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Finance Summary" sheetId="2" r:id="rId5"/>
    <sheet state="visible" name="checkoff" sheetId="3" r:id="rId6"/>
    <sheet state="visible" name="ECOBANK" sheetId="4" r:id="rId7"/>
    <sheet state="visible" name="TRADE CENTER" sheetId="5" r:id="rId8"/>
    <sheet state="visible" name="ELDORET" sheetId="6" r:id="rId9"/>
    <sheet state="visible" name="THIKA" sheetId="7" r:id="rId10"/>
    <sheet state="visible" name="KISUMU" sheetId="8" r:id="rId11"/>
    <sheet state="visible" name="MOMBASA" sheetId="9" r:id="rId12"/>
    <sheet state="visible" name="NAKURU" sheetId="10" r:id="rId13"/>
    <sheet state="visible" name="HOMABAY" sheetId="11" r:id="rId14"/>
    <sheet state="visible" name="KITUI" sheetId="12" r:id="rId15"/>
    <sheet state="visible" name="VOI" sheetId="13" r:id="rId16"/>
    <sheet state="visible" name="MACHAKOS" sheetId="14" r:id="rId17"/>
    <sheet state="visible" name="KITENGELA" sheetId="15" r:id="rId18"/>
    <sheet state="visible" name="PENSION" sheetId="16" r:id="rId19"/>
    <sheet state="visible" name="FINANCE  COLLECTION SUMMARY" sheetId="17" r:id="rId20"/>
    <sheet state="visible" name="Sheet7" sheetId="18" r:id="rId21"/>
    <sheet state="visible" name="Sheet8" sheetId="19" r:id="rId22"/>
    <sheet state="hidden" name="COLLECTION" sheetId="20" r:id="rId23"/>
  </sheets>
  <definedNames>
    <definedName name="MY_FUNCTION1">LAMBDA(IFIF(#REF!&gt;=#REF!,"FULLY PAID",IF(#REF!=0,"NOT PAID","PARTIALLY PAID")))</definedName>
  </definedNames>
  <calcPr/>
  <extLst>
    <ext uri="GoogleSheetsCustomDataVersion2">
      <go:sheetsCustomData xmlns:go="http://customooxmlschemas.google.com/" r:id="rId24" roundtripDataChecksum="ifGVohUM12H28tXu7e8smrVeX0GNzkYbrHAkWDtlnC8="/>
    </ext>
  </extLst>
</workbook>
</file>

<file path=xl/sharedStrings.xml><?xml version="1.0" encoding="utf-8"?>
<sst xmlns="http://schemas.openxmlformats.org/spreadsheetml/2006/main" count="45057" uniqueCount="7023">
  <si>
    <t xml:space="preserve"> </t>
  </si>
  <si>
    <t>BRANCH</t>
  </si>
  <si>
    <t>AMOUNT COMMITTED</t>
  </si>
  <si>
    <t>ACCOUNTS COMMITTED</t>
  </si>
  <si>
    <t>AMOUNT PAID</t>
  </si>
  <si>
    <t>ACCOUNTS PAID</t>
  </si>
  <si>
    <t>%ACHIEVED ON COMMITTMENT</t>
  </si>
  <si>
    <t>PARTIALLY PAID</t>
  </si>
  <si>
    <t>FULLY PAID</t>
  </si>
  <si>
    <t>NOT PAID</t>
  </si>
  <si>
    <t>ECOBANK</t>
  </si>
  <si>
    <t>TRADE ENTER</t>
  </si>
  <si>
    <t>PENSION</t>
  </si>
  <si>
    <t>KITENGELA</t>
  </si>
  <si>
    <t>ELDORET</t>
  </si>
  <si>
    <t>NAKURU</t>
  </si>
  <si>
    <t>HOMABAY</t>
  </si>
  <si>
    <t>MOMBASA</t>
  </si>
  <si>
    <t>KISUMU</t>
  </si>
  <si>
    <t>VOI</t>
  </si>
  <si>
    <t>THIKA</t>
  </si>
  <si>
    <t>KITUI</t>
  </si>
  <si>
    <t>MACHAKOS</t>
  </si>
  <si>
    <t>TOTAL</t>
  </si>
  <si>
    <t>TRADE CENTER</t>
  </si>
  <si>
    <t>CAR SALES</t>
  </si>
  <si>
    <t xml:space="preserve">TOTAL  </t>
  </si>
  <si>
    <t>CAR SALE</t>
  </si>
  <si>
    <t xml:space="preserve">CAR SALES </t>
  </si>
  <si>
    <t>CHECK OFF COLLECTION</t>
  </si>
  <si>
    <t>CHECK OFF COLECTION</t>
  </si>
  <si>
    <t>CHECK OFF</t>
  </si>
  <si>
    <t xml:space="preserve">CAR SALE </t>
  </si>
  <si>
    <t>AMOUNT IN ARREARS (LESS CHECKOFF)</t>
  </si>
  <si>
    <t>ACCOUNT IN ARREARS (LESS CHECKOFF)</t>
  </si>
  <si>
    <t>1</t>
  </si>
  <si>
    <t>bjl</t>
  </si>
  <si>
    <t>MSSDSDA</t>
  </si>
  <si>
    <t>DATE</t>
  </si>
  <si>
    <t>LOAN NUMBER</t>
  </si>
  <si>
    <t>CLIENT NAME</t>
  </si>
  <si>
    <t>employer</t>
  </si>
  <si>
    <t xml:space="preserve">AGNET NAME </t>
  </si>
  <si>
    <t xml:space="preserve">AMMOUNT COOMMITEED </t>
  </si>
  <si>
    <t xml:space="preserve">AMOUNT PAID </t>
  </si>
  <si>
    <t>STATUS</t>
  </si>
  <si>
    <t xml:space="preserve">EXPLANANTION </t>
  </si>
  <si>
    <t>DAY</t>
  </si>
  <si>
    <t xml:space="preserve">FULL NAMES </t>
  </si>
  <si>
    <t>PRODUCT</t>
  </si>
  <si>
    <t>HELD BY</t>
  </si>
  <si>
    <t>AMOUNT COMMITED</t>
  </si>
  <si>
    <t>L34115</t>
  </si>
  <si>
    <t>Alexander Mwanzia Ndemwa</t>
  </si>
  <si>
    <t>Logbook</t>
  </si>
  <si>
    <t>Annastacia Mue</t>
  </si>
  <si>
    <t xml:space="preserve">paid </t>
  </si>
  <si>
    <t>L30863</t>
  </si>
  <si>
    <t>YUSUFU HASSAN MUBWANA</t>
  </si>
  <si>
    <t>Title Deed</t>
  </si>
  <si>
    <t>Enock juma</t>
  </si>
  <si>
    <t xml:space="preserve">To pay overnight </t>
  </si>
  <si>
    <t>L37031</t>
  </si>
  <si>
    <t>NELSON SUNDAY OMONDI</t>
  </si>
  <si>
    <t xml:space="preserve">To pay tomorrow </t>
  </si>
  <si>
    <t>L36129</t>
  </si>
  <si>
    <t>JOHNSON NGILA MUTUKU</t>
  </si>
  <si>
    <t>Unsecured</t>
  </si>
  <si>
    <t xml:space="preserve">To pay tomorrow ,active demand running </t>
  </si>
  <si>
    <t>L34626</t>
  </si>
  <si>
    <t>Caroline Gitau</t>
  </si>
  <si>
    <t>L36871</t>
  </si>
  <si>
    <t>JOSEPH LENDRIX WASWA</t>
  </si>
  <si>
    <t>L38669</t>
  </si>
  <si>
    <t>HWOAL KI KIM</t>
  </si>
  <si>
    <t>Weekend</t>
  </si>
  <si>
    <t xml:space="preserve">To pay end of July 2024 ,demand issued 22nd july </t>
  </si>
  <si>
    <t>L37063</t>
  </si>
  <si>
    <t>L30968</t>
  </si>
  <si>
    <t>ROBERT BUNDI MUGAA</t>
  </si>
  <si>
    <t>Enock Juma</t>
  </si>
  <si>
    <t>L38637</t>
  </si>
  <si>
    <t>HENRY ODHIAMBO ORINJO</t>
  </si>
  <si>
    <t>L37877</t>
  </si>
  <si>
    <t>Stephen Khamis Pasqual</t>
  </si>
  <si>
    <t>L35514</t>
  </si>
  <si>
    <t>TARRY ABDUB ADHI</t>
  </si>
  <si>
    <t xml:space="preserve">cheque banked </t>
  </si>
  <si>
    <t>L36173</t>
  </si>
  <si>
    <t>LEVI KINOTI MWONGERA</t>
  </si>
  <si>
    <t>L38764</t>
  </si>
  <si>
    <t>ANNE BEATRICE KIHARA</t>
  </si>
  <si>
    <t>L34168</t>
  </si>
  <si>
    <t>DAVID OTIENO OBONGO</t>
  </si>
  <si>
    <t>L34625</t>
  </si>
  <si>
    <t>EUTYCUS MWANGI MUTHINJU</t>
  </si>
  <si>
    <t>L34320</t>
  </si>
  <si>
    <t>CHARITY MURUGI NJUE</t>
  </si>
  <si>
    <t>L36854</t>
  </si>
  <si>
    <t>TITUS KIPLAGAT CHUMBA</t>
  </si>
  <si>
    <t>L34159</t>
  </si>
  <si>
    <t>Stephen Muturi Ngugi</t>
  </si>
  <si>
    <t xml:space="preserve">Client expecting funds to pay on or before end of july 2024 </t>
  </si>
  <si>
    <t>L38740</t>
  </si>
  <si>
    <t xml:space="preserve">JAPHETH  OGAMBA  MOMANYI </t>
  </si>
  <si>
    <t>2,747,766,</t>
  </si>
  <si>
    <t>Client has reqested for extension</t>
  </si>
  <si>
    <t>Recovery</t>
  </si>
  <si>
    <t>CCIN002464-4000-001</t>
  </si>
  <si>
    <t>David Songok</t>
  </si>
  <si>
    <t>Sandra Mumbua</t>
  </si>
  <si>
    <t>L33914</t>
  </si>
  <si>
    <t>Kenneth Mwirigi Kimathi</t>
  </si>
  <si>
    <t>Lobook</t>
  </si>
  <si>
    <t>Paul Mutiso</t>
  </si>
  <si>
    <t>23/7/2024</t>
  </si>
  <si>
    <t xml:space="preserve">Partially paid ,following up the balance </t>
  </si>
  <si>
    <t>-</t>
  </si>
  <si>
    <t xml:space="preserve">partially paid to clear 25th July ,active demand </t>
  </si>
  <si>
    <t xml:space="preserve">Ptp to clear on before 29th July ,active demand  </t>
  </si>
  <si>
    <t>To pay on friday 26th July 2024</t>
  </si>
  <si>
    <t>To pay tomorrow 24th July 2024,</t>
  </si>
  <si>
    <t xml:space="preserve">To Bank cheque tomorrow </t>
  </si>
  <si>
    <t>L38715</t>
  </si>
  <si>
    <t xml:space="preserve">BARCKLEIH K MUTINDA </t>
  </si>
  <si>
    <t>To pay tomorrow 24th July 2024</t>
  </si>
  <si>
    <t>Client awaiting for money from bank to pay lately 30th July 2024</t>
  </si>
  <si>
    <t>CCIN000040-18000-005</t>
  </si>
  <si>
    <t>Joseph Lendrix Waswa</t>
  </si>
  <si>
    <t xml:space="preserve">Kennedy </t>
  </si>
  <si>
    <t>1, 000, 000</t>
  </si>
  <si>
    <t>To pay Tomorrow 7/25/2024</t>
  </si>
  <si>
    <t xml:space="preserve">Paid via Ussd Awaiting to reflect </t>
  </si>
  <si>
    <t>JAPHETH OGAMBA MOMANYI</t>
  </si>
  <si>
    <t xml:space="preserve">Client non commital </t>
  </si>
  <si>
    <t>L38752</t>
  </si>
  <si>
    <t>ANTHONY KAMAU MUNGARA</t>
  </si>
  <si>
    <t xml:space="preserve">Client unreachale </t>
  </si>
  <si>
    <t xml:space="preserve">To pay tomorrow ,Active demand running </t>
  </si>
  <si>
    <t xml:space="preserve">Client unreachabe ,seeking court order to recover the unit </t>
  </si>
  <si>
    <t xml:space="preserve">Paid through Ussd Awaiting to reflect </t>
  </si>
  <si>
    <t>L38780</t>
  </si>
  <si>
    <t>KIM NJENGA KIMANI NDIORANGU</t>
  </si>
  <si>
    <t xml:space="preserve">Partially paid to clear overnight </t>
  </si>
  <si>
    <t>To pay 7/25/2024</t>
  </si>
  <si>
    <t>L34808</t>
  </si>
  <si>
    <t xml:space="preserve">Extension fee </t>
  </si>
  <si>
    <t>L27995</t>
  </si>
  <si>
    <t>MICHAEL NDEMANGE</t>
  </si>
  <si>
    <t xml:space="preserve">Paid </t>
  </si>
  <si>
    <t>Client non comittal ,demand issued 7/25/2024</t>
  </si>
  <si>
    <t>BARCKLEIH K MUTINDA</t>
  </si>
  <si>
    <t>L37642</t>
  </si>
  <si>
    <t>MERCY NDUKU MALULI</t>
  </si>
  <si>
    <t>annastacia Mue</t>
  </si>
  <si>
    <t xml:space="preserve">Cheque banked </t>
  </si>
  <si>
    <t xml:space="preserve">Client awaiting for funds from abroad to pay tomorrow </t>
  </si>
  <si>
    <t>JOSEPH WASWA</t>
  </si>
  <si>
    <t>Kennedy Kaunda</t>
  </si>
  <si>
    <t xml:space="preserve">Client non comittal ,seeking court order to recover the vehicle </t>
  </si>
  <si>
    <t>L38532</t>
  </si>
  <si>
    <t>JOSEPH KIPROTICH NGETICH</t>
  </si>
  <si>
    <t>L34403</t>
  </si>
  <si>
    <t>HARRY MUTUMA KATHURIMA</t>
  </si>
  <si>
    <t xml:space="preserve">partially paid to clear overnight </t>
  </si>
  <si>
    <t xml:space="preserve">To pay later in the evening </t>
  </si>
  <si>
    <t xml:space="preserve">To pay 0n 29/7/2024 account has active demand </t>
  </si>
  <si>
    <t>To pay 27/7/2024</t>
  </si>
  <si>
    <t xml:space="preserve">Unreachable demand issued today </t>
  </si>
  <si>
    <t>Partially paid to clear bal 27/7/2024</t>
  </si>
  <si>
    <t xml:space="preserve">Obtaining court order to recover the vehicle </t>
  </si>
  <si>
    <t xml:space="preserve">Stephen Khamis Pasqual </t>
  </si>
  <si>
    <t>L32134</t>
  </si>
  <si>
    <t>ROBERT BUNDI MUGAA MUGAA</t>
  </si>
  <si>
    <t xml:space="preserve">Client non commital ,demand issued today </t>
  </si>
  <si>
    <t xml:space="preserve">fully paid </t>
  </si>
  <si>
    <t>To make payment by end of day</t>
  </si>
  <si>
    <t>Engaging client for payment</t>
  </si>
  <si>
    <t>Loan cleared</t>
  </si>
  <si>
    <t>To pay overnight</t>
  </si>
  <si>
    <t>L26510</t>
  </si>
  <si>
    <t xml:space="preserve">Client non commital ,demand issued </t>
  </si>
  <si>
    <t>L30642</t>
  </si>
  <si>
    <t>FRANCIS  MUNGAI  MBOCHI</t>
  </si>
  <si>
    <t>Obtaining court order to recover unit</t>
  </si>
  <si>
    <t xml:space="preserve">Cheque Banked </t>
  </si>
  <si>
    <t>To pay tomorrow 30/7/2024</t>
  </si>
  <si>
    <t>FRANCIS MUNGAI MBOCHI</t>
  </si>
  <si>
    <t>L38892</t>
  </si>
  <si>
    <t>DANIEL KIMANI KAMUNYU</t>
  </si>
  <si>
    <t>Partially paid to clear the whole balance on 1st August 2024</t>
  </si>
  <si>
    <t xml:space="preserve">To pay 1st august 2024 ,demand issued 29/7/2024 </t>
  </si>
  <si>
    <t>Client non comittal ,demand issued 29/7/2024</t>
  </si>
  <si>
    <t xml:space="preserve">Client non comittal to reissue intructions to sirme auctioneers </t>
  </si>
  <si>
    <t>Client non responsive to calls ,demand issued 25/7/2024</t>
  </si>
  <si>
    <t>L37957</t>
  </si>
  <si>
    <t>Martin Murithi Makathimo</t>
  </si>
  <si>
    <t>CCIN000532-8000-002</t>
  </si>
  <si>
    <t>Martin Murimi</t>
  </si>
  <si>
    <t>Kenedy Kaunda</t>
  </si>
  <si>
    <t>80, 000.00</t>
  </si>
  <si>
    <t>CCIN000065-7000-001</t>
  </si>
  <si>
    <t>Boniface Kivati Isika</t>
  </si>
  <si>
    <t>10, 000.00</t>
  </si>
  <si>
    <t>L32184</t>
  </si>
  <si>
    <t>ABRAHAM OLANDO MALOBA</t>
  </si>
  <si>
    <t xml:space="preserve">To pay on 6th August 2024 </t>
  </si>
  <si>
    <t>L37292</t>
  </si>
  <si>
    <t>ANTONY MEITIAKI KIROKEN</t>
  </si>
  <si>
    <t>L38136</t>
  </si>
  <si>
    <t xml:space="preserve">Client non comittal ,repossession instructions reasigned to sirme auctioneers </t>
  </si>
  <si>
    <t xml:space="preserve">To pay by cob </t>
  </si>
  <si>
    <t xml:space="preserve">Fully paid </t>
  </si>
  <si>
    <t xml:space="preserve">Paid via rtgs to reflect tomorrow </t>
  </si>
  <si>
    <t>Client non comittal to issue demand 31/7/2024</t>
  </si>
  <si>
    <t>To pay on 1st August 2024</t>
  </si>
  <si>
    <t>To pay 2nd August 2024</t>
  </si>
  <si>
    <t xml:space="preserve">To pay on 1st August 2024,Active demand running </t>
  </si>
  <si>
    <t>To pay 1st August 2024</t>
  </si>
  <si>
    <t xml:space="preserve">TITUS KIPLAGAT CHUMBA </t>
  </si>
  <si>
    <t>L38151</t>
  </si>
  <si>
    <t xml:space="preserve">Client requesting for extension </t>
  </si>
  <si>
    <t>l36324</t>
  </si>
  <si>
    <t xml:space="preserve">PIUS NYABUGA </t>
  </si>
  <si>
    <t>recovery</t>
  </si>
  <si>
    <t xml:space="preserve">Unit at Yard ,engaging client ro redeem the unit </t>
  </si>
  <si>
    <t>To pay 31st July 2024</t>
  </si>
  <si>
    <t>CCIN002280-2000-001</t>
  </si>
  <si>
    <t>DOMINIC CHELAL</t>
  </si>
  <si>
    <t>Thoma Chacha</t>
  </si>
  <si>
    <t>Partially paid to clear on 2nd August 2024</t>
  </si>
  <si>
    <t xml:space="preserve">Client requested to clear the whole balance on 1st August 2024 </t>
  </si>
  <si>
    <t>Client non comittal ,Demand issued 31st August 2024</t>
  </si>
  <si>
    <t xml:space="preserve">Client non comittal ,Auctioneers requested court order to repossess the unit ,Pending approval </t>
  </si>
  <si>
    <t xml:space="preserve">Client unreachable ,follow up ongoing </t>
  </si>
  <si>
    <t xml:space="preserve">Client requested for waiver </t>
  </si>
  <si>
    <t>partially paid to clear on 2nd August 2024</t>
  </si>
  <si>
    <t xml:space="preserve">To pay on 2nd August 2024,Ative demand Running </t>
  </si>
  <si>
    <t xml:space="preserve">Engagimng client to pay </t>
  </si>
  <si>
    <t>L39511</t>
  </si>
  <si>
    <t>MUHAMED MUHAMUD</t>
  </si>
  <si>
    <t xml:space="preserve">One week extension approved </t>
  </si>
  <si>
    <t>L38943</t>
  </si>
  <si>
    <t>L38966</t>
  </si>
  <si>
    <t>GIDEON NYALE MUNGA</t>
  </si>
  <si>
    <t xml:space="preserve">Following up for payments </t>
  </si>
  <si>
    <t xml:space="preserve">To paartiall pay overnight ,then clear on 2nd august 2024 </t>
  </si>
  <si>
    <t>L38940</t>
  </si>
  <si>
    <t xml:space="preserve">To pay on 2nd August 2024 ,repossession with sirme auctioneers </t>
  </si>
  <si>
    <t>To pay on monday 5th August 2024</t>
  </si>
  <si>
    <t xml:space="preserve">To pay on 2nd August 2024 </t>
  </si>
  <si>
    <t>L33106</t>
  </si>
  <si>
    <t>Moses Kariuki Njiri</t>
  </si>
  <si>
    <t>L38963</t>
  </si>
  <si>
    <t>CCIN000350-1000-005</t>
  </si>
  <si>
    <t>John Kiumi Wambugu C/O Eki Investments Ltd</t>
  </si>
  <si>
    <t xml:space="preserve">Title </t>
  </si>
  <si>
    <t xml:space="preserve">stephen mulei </t>
  </si>
  <si>
    <t>Title  Deed</t>
  </si>
  <si>
    <t>Thomas Chacha</t>
  </si>
  <si>
    <t xml:space="preserve">Awaiting the documentation from the customer to enable us proceed with banking cheques </t>
  </si>
  <si>
    <t>L36051</t>
  </si>
  <si>
    <t>MARGARET OSEBE KEBIRO</t>
  </si>
  <si>
    <t>Assest Finance</t>
  </si>
  <si>
    <t>To pay tomorrow 3rd August 2024</t>
  </si>
  <si>
    <t>To pay 5th August 2024</t>
  </si>
  <si>
    <t>L23093</t>
  </si>
  <si>
    <t>paid</t>
  </si>
  <si>
    <t>Cheques banked</t>
  </si>
  <si>
    <t xml:space="preserve">Recovery </t>
  </si>
  <si>
    <t xml:space="preserve">To Pay tomorrow </t>
  </si>
  <si>
    <t>L36081</t>
  </si>
  <si>
    <t>Twenty Twenty Ventures</t>
  </si>
  <si>
    <t>Stephen Mulei</t>
  </si>
  <si>
    <t xml:space="preserve">To benk the cheque tomorrow </t>
  </si>
  <si>
    <t>To pay today 1pm</t>
  </si>
  <si>
    <t xml:space="preserve">To pay today later in the day </t>
  </si>
  <si>
    <t xml:space="preserve">To pay on monday 5th ,Active demand running </t>
  </si>
  <si>
    <t xml:space="preserve">Repossession instructions reasigned to Vintage auctioneers </t>
  </si>
  <si>
    <t>To pay today 4pm</t>
  </si>
  <si>
    <t xml:space="preserve">Unit at yard ,to Bank the cheque worth 500k on monday 5th </t>
  </si>
  <si>
    <t xml:space="preserve">Client non committal ,Escalated to legal for prosecution </t>
  </si>
  <si>
    <t xml:space="preserve">Client unreachable ,demand lapse 5th,To issue procmation </t>
  </si>
  <si>
    <t xml:space="preserve">To pay today by 3pm </t>
  </si>
  <si>
    <t xml:space="preserve">Unit at yard ,engaging to redeem </t>
  </si>
  <si>
    <t>L39095</t>
  </si>
  <si>
    <t>JOSEPH IRENGANE MANYEKO</t>
  </si>
  <si>
    <t xml:space="preserve">partially paid to clear tomorrow 6th August 2024 </t>
  </si>
  <si>
    <t xml:space="preserve">Repossessed the unit ,client working on clearance </t>
  </si>
  <si>
    <t xml:space="preserve">To pay 1.5m on 7th august 2024 </t>
  </si>
  <si>
    <t>L39648</t>
  </si>
  <si>
    <t>DAVID MAINA KAMAU</t>
  </si>
  <si>
    <t xml:space="preserve">To pay on 7th august 2024 </t>
  </si>
  <si>
    <t xml:space="preserve">Client will bring the cheque on 7th August 2024 </t>
  </si>
  <si>
    <t>L36423</t>
  </si>
  <si>
    <t>PETER KIMANI GICEHA</t>
  </si>
  <si>
    <t>L39178</t>
  </si>
  <si>
    <t>L39151</t>
  </si>
  <si>
    <t>PETER MUINDE MUTUA</t>
  </si>
  <si>
    <t xml:space="preserve">To 500k tomorrow </t>
  </si>
  <si>
    <t>CCIN000090-1000-005</t>
  </si>
  <si>
    <t xml:space="preserve">Thomas Mitwe Kariuki 
</t>
  </si>
  <si>
    <t>The client to pay overnight.</t>
  </si>
  <si>
    <t>CCIN000041-4000-005</t>
  </si>
  <si>
    <t xml:space="preserve">Leonard Sayanka Sikorei 
</t>
  </si>
  <si>
    <t>The customer to pay overnight</t>
  </si>
  <si>
    <t>The client pledged to pay 1800hrs today</t>
  </si>
  <si>
    <t>Client to pay overnight.</t>
  </si>
  <si>
    <t>The client requested for loan statement. To pay tomorrow (06/08/2024)</t>
  </si>
  <si>
    <t xml:space="preserve">To pay today later in the evening </t>
  </si>
  <si>
    <t xml:space="preserve">Unit at yard ,client partially paid ,to clear tomorrow 7th august 2024 </t>
  </si>
  <si>
    <t xml:space="preserve">PTP1.5m on 7th august 2024 ,Rpossession out with vintage auctionerr </t>
  </si>
  <si>
    <t>L09663</t>
  </si>
  <si>
    <t>JULIUS WANYOIKE MBURU</t>
  </si>
  <si>
    <t xml:space="preserve">Client will bring the cheque tomorrow 7th august 2024 </t>
  </si>
  <si>
    <t xml:space="preserve">Partially paid to clear the bal 7th august 2024 </t>
  </si>
  <si>
    <t>Client advised to bank the cheque tomorrow (500k)</t>
  </si>
  <si>
    <t>L38152</t>
  </si>
  <si>
    <t>Virginia Wangari Kamau</t>
  </si>
  <si>
    <t>Asset Finance</t>
  </si>
  <si>
    <t xml:space="preserve">Modesty </t>
  </si>
  <si>
    <t xml:space="preserve">Ptp t7th August 2024 Active demand to expire on 9th August 2024 </t>
  </si>
  <si>
    <t xml:space="preserve">To pay tomorrow 7th august 2024 .active demand running </t>
  </si>
  <si>
    <t xml:space="preserve">The customer insisted on paying overnight. </t>
  </si>
  <si>
    <t>Will be picking a current cheque from the client tomorrow (07/08/2024)</t>
  </si>
  <si>
    <t>This client will be paying today by 1800hrs</t>
  </si>
  <si>
    <t>Client broke ptp to continue engaging client for payment</t>
  </si>
  <si>
    <t>Unit at yard  still engaging client to redeem his unit</t>
  </si>
  <si>
    <t xml:space="preserve">Client ill ,will bring the cheque on 9th august 2024 </t>
  </si>
  <si>
    <t xml:space="preserve">To pay 8/8/2024 </t>
  </si>
  <si>
    <t>Client non compliant ,to issue proclation 8/8/2024</t>
  </si>
  <si>
    <t xml:space="preserve">Partially paid to clear the balance 8/8/2024 </t>
  </si>
  <si>
    <t xml:space="preserve">customer resides in Ukunda - Mombasa </t>
  </si>
  <si>
    <t xml:space="preserve">clients office - valley road </t>
  </si>
  <si>
    <t>l32184</t>
  </si>
  <si>
    <t xml:space="preserve">abraham olando maloba </t>
  </si>
  <si>
    <t xml:space="preserve">titledeed </t>
  </si>
  <si>
    <t xml:space="preserve">Partially paid 20k overnight to clear the balance 8/8/2024 </t>
  </si>
  <si>
    <t>L35929</t>
  </si>
  <si>
    <t>NELLY ILI MUASYA</t>
  </si>
  <si>
    <t xml:space="preserve">Title deed </t>
  </si>
  <si>
    <t xml:space="preserve">Thomas chacha </t>
  </si>
  <si>
    <t>committed to clear balance ksh 12,360,000.00 by 25.08.2024.</t>
  </si>
  <si>
    <t>L37566</t>
  </si>
  <si>
    <t>SIMON GITAU WANGU C/O URBAN SIND LIMITED</t>
  </si>
  <si>
    <t>L36076</t>
  </si>
  <si>
    <t>Insurance Premium Finance</t>
  </si>
  <si>
    <t>Levi Kinoti Mwongera</t>
  </si>
  <si>
    <t>L37594</t>
  </si>
  <si>
    <t>ANN NJERI KIRAGU</t>
  </si>
  <si>
    <t xml:space="preserve">Client served with proclamation notice ,ptp 10/8/2024 </t>
  </si>
  <si>
    <t>Client organizing for clearance latest tomorrow 10/8/2024</t>
  </si>
  <si>
    <t xml:space="preserve">Partially paid to clear on 11th august plus the instalment </t>
  </si>
  <si>
    <t>To bring the cheque worth 100k tomorrow 10th august 2024</t>
  </si>
  <si>
    <t xml:space="preserve">Partially paid ,to clear balance later in the evening </t>
  </si>
  <si>
    <t>Thomas Mitwe Kariuki</t>
  </si>
  <si>
    <t>The customer insisted on paying overnight.</t>
  </si>
  <si>
    <t xml:space="preserve">Client unreachable </t>
  </si>
  <si>
    <t xml:space="preserve">Unit at yard engaging client to redeem </t>
  </si>
  <si>
    <t>Modesty</t>
  </si>
  <si>
    <t xml:space="preserve">Client non committal ,prolamation issued today 9/8/2024 </t>
  </si>
  <si>
    <t xml:space="preserve">Client non compliant to serve him proclamation notice tomorrow </t>
  </si>
  <si>
    <t>To pay Monday 12th August 2024 ,Demand issued 9/8/2024</t>
  </si>
  <si>
    <t>Postponed payment to 10/08/2024</t>
  </si>
  <si>
    <t xml:space="preserve">Client awaiting for funds from abroad ,proclamation running </t>
  </si>
  <si>
    <t>L33173</t>
  </si>
  <si>
    <t>PETER GITHINJI KARIUKI</t>
  </si>
  <si>
    <t xml:space="preserve">Enock Juma </t>
  </si>
  <si>
    <t>L38404</t>
  </si>
  <si>
    <t>JOSEPH OMONDI ANINDO</t>
  </si>
  <si>
    <t xml:space="preserve">To pay later in the day </t>
  </si>
  <si>
    <t xml:space="preserve">Brought the chegue to be banked on monday </t>
  </si>
  <si>
    <t xml:space="preserve">ptp Monday ,however proclamation running </t>
  </si>
  <si>
    <t xml:space="preserve">To pay on monday </t>
  </si>
  <si>
    <t xml:space="preserve">To pay later in the day active demand running </t>
  </si>
  <si>
    <t xml:space="preserve">To pay on monday ,active demand running </t>
  </si>
  <si>
    <t>L36770</t>
  </si>
  <si>
    <t>BRIAN  OTIENO  NYAMAYI</t>
  </si>
  <si>
    <t>To pay over the weekend</t>
  </si>
  <si>
    <t>To pay by COB today</t>
  </si>
  <si>
    <t>Client to make payment by 12th August 2024 following up for payment.</t>
  </si>
  <si>
    <t>Unit at still engaging client to make payment and redeem unit.</t>
  </si>
  <si>
    <t xml:space="preserve">Ptp 14th August 2024 ,proclamation to expire on 17th August 2024 </t>
  </si>
  <si>
    <t xml:space="preserve">Client to visit the office today to settle the account </t>
  </si>
  <si>
    <t>L31422</t>
  </si>
  <si>
    <t>DENNIS MWENDWA KATIKU</t>
  </si>
  <si>
    <t>L39275</t>
  </si>
  <si>
    <t>JACKSON MUCHOKI MWANGI</t>
  </si>
  <si>
    <t xml:space="preserve">To pay on friday ,active demand running </t>
  </si>
  <si>
    <t>L39310</t>
  </si>
  <si>
    <t>PETER THIONGO GITHU</t>
  </si>
  <si>
    <t xml:space="preserve">Broke Ptp ,following up to pay </t>
  </si>
  <si>
    <t xml:space="preserve">Unit at yard ,client still awaiting for funds to redeem </t>
  </si>
  <si>
    <t xml:space="preserve">To pay 16th August 2024 ,Proclamation to expire on 16th August </t>
  </si>
  <si>
    <t xml:space="preserve">Client non committal .Active demand running </t>
  </si>
  <si>
    <t xml:space="preserve">To pay on 14th August 2024 ,active demand running </t>
  </si>
  <si>
    <t>13/8/2024</t>
  </si>
  <si>
    <t xml:space="preserve">proclamation running ,Client organizizng funds to pay on 17/8/2024 </t>
  </si>
  <si>
    <t>The customer promised to pay on/before 21/08/2024</t>
  </si>
  <si>
    <t xml:space="preserve">Client non compliant ,active demand running </t>
  </si>
  <si>
    <t>To pay tomorrow 14/8/2024</t>
  </si>
  <si>
    <t>Fully paid</t>
  </si>
  <si>
    <t xml:space="preserve">Client organizing funds to clear on or before 16/8/2024 </t>
  </si>
  <si>
    <t xml:space="preserve">JOSEPH IRENGANE MANYEKO </t>
  </si>
  <si>
    <t xml:space="preserve">Partially paid ,to clear balance on friday 16th August 2024 </t>
  </si>
  <si>
    <t>The client postponed payment to 14/08/2024</t>
  </si>
  <si>
    <t xml:space="preserve">Unit at yard ,client promised to clear on 15/8/2024 </t>
  </si>
  <si>
    <t>14/8/2024</t>
  </si>
  <si>
    <t>L38605</t>
  </si>
  <si>
    <t>TITUS MUTINDA NDAMBUKI</t>
  </si>
  <si>
    <t>L34569</t>
  </si>
  <si>
    <t>SURAYA INVESTMENTS</t>
  </si>
  <si>
    <t xml:space="preserve">Unit at yard ,Client requested to pay end of next month </t>
  </si>
  <si>
    <t>weekend</t>
  </si>
  <si>
    <t xml:space="preserve">To clear on 18/8/2024 </t>
  </si>
  <si>
    <t>L21413</t>
  </si>
  <si>
    <t xml:space="preserve">Client requested for a buy-off ,pending approval </t>
  </si>
  <si>
    <t xml:space="preserve">Unit at yard ,client non compliant </t>
  </si>
  <si>
    <t xml:space="preserve">Client confirmed to make payment payments on 16/8/2024 </t>
  </si>
  <si>
    <t>L28295</t>
  </si>
  <si>
    <t xml:space="preserve">ALICE WAMUYU KANIRI </t>
  </si>
  <si>
    <t>15/8/2024</t>
  </si>
  <si>
    <t xml:space="preserve">cheques banked </t>
  </si>
  <si>
    <t>L39399</t>
  </si>
  <si>
    <t>JANE WANJIRU MACHARIA</t>
  </si>
  <si>
    <t xml:space="preserve">one week extension approved </t>
  </si>
  <si>
    <t>L36241</t>
  </si>
  <si>
    <t>CHRISTOPHER BUNDI</t>
  </si>
  <si>
    <t xml:space="preserve">modesty </t>
  </si>
  <si>
    <t xml:space="preserve">To pay tomorrow 16/8/2024 </t>
  </si>
  <si>
    <t xml:space="preserve">To pay 16/8/2024 </t>
  </si>
  <si>
    <t xml:space="preserve">Requested for a buy off ,approval pending </t>
  </si>
  <si>
    <t>L39216</t>
  </si>
  <si>
    <t>ROSE AWINO OWALLA</t>
  </si>
  <si>
    <t>ALEXANDER MWANZIA</t>
  </si>
  <si>
    <t xml:space="preserve">Requested for one week extension ,pending approval </t>
  </si>
  <si>
    <t>Twenty Twenty Ventures C/O Alice Wamuyu Kaniri</t>
  </si>
  <si>
    <t>CCIN002438-2000-001</t>
  </si>
  <si>
    <t>JOEL MUHINJA MATHENGE</t>
  </si>
  <si>
    <t>LOGBOOK</t>
  </si>
  <si>
    <t>L25074</t>
  </si>
  <si>
    <t>JOHN KYANESA MUSAU</t>
  </si>
  <si>
    <t>CCIN001449-17000-001</t>
  </si>
  <si>
    <t>Gloria Mukeli Muia</t>
  </si>
  <si>
    <t>Payment postponed to 16/08/2024</t>
  </si>
  <si>
    <t>CCIN000851-12000-001</t>
  </si>
  <si>
    <t>MONICAH IRENE WAITHERA WEROH</t>
  </si>
  <si>
    <t>To pay by 1800hrs</t>
  </si>
  <si>
    <t>CCIN001827-40000-001</t>
  </si>
  <si>
    <t>Jecton Obure Abongo</t>
  </si>
  <si>
    <t>The client will be paying overnight.</t>
  </si>
  <si>
    <t>CCIN001474-4000-001</t>
  </si>
  <si>
    <t>James Mutele Weindaba</t>
  </si>
  <si>
    <t xml:space="preserve">paid awaiting to reflect to our account tomorrow </t>
  </si>
  <si>
    <t>16/8/2024</t>
  </si>
  <si>
    <t>Active demand running ,client expecting funds to clear on 19/8/2024</t>
  </si>
  <si>
    <t xml:space="preserve">Demand issued today ,client expecting funds to clear on 19/8/2024 </t>
  </si>
  <si>
    <t xml:space="preserve">Client non compliant ,Active demand running to expire on 9/9/2024 </t>
  </si>
  <si>
    <t xml:space="preserve">IPF </t>
  </si>
  <si>
    <t xml:space="preserve">To pay on 18/8/2024 </t>
  </si>
  <si>
    <t xml:space="preserve">Funds delayed ,to pay overnight </t>
  </si>
  <si>
    <t xml:space="preserve">unit at yard ,client giving false ptp in regards to redeem his vehicle </t>
  </si>
  <si>
    <t>Partial payment done, the client to deposit more funds on 17/08/2024</t>
  </si>
  <si>
    <t>L38485</t>
  </si>
  <si>
    <t xml:space="preserve">DAVID MAINA KAMAU  </t>
  </si>
  <si>
    <t xml:space="preserve">One week extension </t>
  </si>
  <si>
    <t>17/8/2024</t>
  </si>
  <si>
    <t>IPF</t>
  </si>
  <si>
    <t xml:space="preserve">To pay whole amount next week 20/8/2024 </t>
  </si>
  <si>
    <t xml:space="preserve">To pay today 3pm </t>
  </si>
  <si>
    <t xml:space="preserve">To pay tomorrow 18/8/2024 </t>
  </si>
  <si>
    <t xml:space="preserve">To pay monday 19/8/2024 </t>
  </si>
  <si>
    <t>L37015</t>
  </si>
  <si>
    <t>JANETMILKA WANGUI KAMAU</t>
  </si>
  <si>
    <t xml:space="preserve">To pay 4pm </t>
  </si>
  <si>
    <t>Unit at yard still engaging client to redeem unit</t>
  </si>
  <si>
    <t xml:space="preserve">Client non compliant ,active demand still running </t>
  </si>
  <si>
    <t>L39502</t>
  </si>
  <si>
    <t>IRENE EKWOM .</t>
  </si>
  <si>
    <t>L39635</t>
  </si>
  <si>
    <t>Sahara Energy</t>
  </si>
  <si>
    <t>Trade Finance</t>
  </si>
  <si>
    <t>The client to pay over the weekend.</t>
  </si>
  <si>
    <t xml:space="preserve">19/8/2024 </t>
  </si>
  <si>
    <t xml:space="preserve">caroline Gitau </t>
  </si>
  <si>
    <t xml:space="preserve">To pay tomorrow morning </t>
  </si>
  <si>
    <t xml:space="preserve">To pay overnight ,active demand running </t>
  </si>
  <si>
    <t xml:space="preserve">Committed to pay tomorrow 20/8/2024 </t>
  </si>
  <si>
    <t xml:space="preserve">Commits to pay and clear by latest tomorrow,Active demand still running </t>
  </si>
  <si>
    <t>modesty</t>
  </si>
  <si>
    <t>Commits to pay and clear by latest tomorrow</t>
  </si>
  <si>
    <t xml:space="preserve">To pay wednesday 21/8/2024 </t>
  </si>
  <si>
    <t xml:space="preserve">To clear overnight </t>
  </si>
  <si>
    <t>L39296</t>
  </si>
  <si>
    <t>Cargo World Conveyors Ltd/ George Bhutto</t>
  </si>
  <si>
    <t xml:space="preserve">Partially paid 40k,to clear the balance overnight </t>
  </si>
  <si>
    <t xml:space="preserve">Unit at yard ,still engaging client to redeem </t>
  </si>
  <si>
    <t>The client pledged to pay by 1800hrs</t>
  </si>
  <si>
    <t>L39451</t>
  </si>
  <si>
    <t>ABDIRIZAQ ALI SALAT</t>
  </si>
  <si>
    <t>Client non compliant ,To issue demand 20/8/2024</t>
  </si>
  <si>
    <t>L39524</t>
  </si>
  <si>
    <t>L40413</t>
  </si>
  <si>
    <t xml:space="preserve">antony meitaki kiroken </t>
  </si>
  <si>
    <t xml:space="preserve">20/8/2024 </t>
  </si>
  <si>
    <t xml:space="preserve">To pay tomorrow 21/8/2024 </t>
  </si>
  <si>
    <t>George Bhutto</t>
  </si>
  <si>
    <t xml:space="preserve">partially paid 100k to clear tomorrow </t>
  </si>
  <si>
    <t xml:space="preserve">Active demand still running ,client committed to pay tomorrow </t>
  </si>
  <si>
    <t xml:space="preserve">Client committed to pay on 23/8/2024 </t>
  </si>
  <si>
    <t xml:space="preserve">Client committed to pay on 23/8/2024 ,Active demand running </t>
  </si>
  <si>
    <t>caroline Gitau</t>
  </si>
  <si>
    <t xml:space="preserve">Partially paid ,to clear tomorrow 21/8/2024 </t>
  </si>
  <si>
    <t xml:space="preserve">Client noin committal ,prpared file to be forwarded legal for presocution </t>
  </si>
  <si>
    <t>CLient still awaiting for funds to redeem his unit ,</t>
  </si>
  <si>
    <t xml:space="preserve">Demand to expire on 26/8/2024 ,client non committal </t>
  </si>
  <si>
    <t>Alice Wamuyu Kaniri</t>
  </si>
  <si>
    <t xml:space="preserve">Client visited the office today ,committed to pay on Friday 20/8/2024 </t>
  </si>
  <si>
    <t xml:space="preserve">Promised to pay by 4pm but he's not responding to calls ,DEmand issued today </t>
  </si>
  <si>
    <t>L34104</t>
  </si>
  <si>
    <t>L28396</t>
  </si>
  <si>
    <t>SUSAN KINYA MEME</t>
  </si>
  <si>
    <t xml:space="preserve">TARRY ABDUB ADHI </t>
  </si>
  <si>
    <t>L30728</t>
  </si>
  <si>
    <t xml:space="preserve">ALEX MUTUKU MBELENZI </t>
  </si>
  <si>
    <t>client went to his bank late and they had closed,so he will clear tomorrow</t>
  </si>
  <si>
    <t>21/8/2024</t>
  </si>
  <si>
    <t xml:space="preserve">To pay via RTGS tomorrow morning </t>
  </si>
  <si>
    <t>Committed to pay the balance on 25/8/2024</t>
  </si>
  <si>
    <t xml:space="preserve">Partially paid ,to clear the balance 22/8/2024 </t>
  </si>
  <si>
    <t xml:space="preserve">Client committed to pay on 23/8/2024 plus additional penalties </t>
  </si>
  <si>
    <t>Demand issued ,Client committed to pay 23/8/2024</t>
  </si>
  <si>
    <t xml:space="preserve">Demand issued ,Client committed to pay 22/8/2024 </t>
  </si>
  <si>
    <t xml:space="preserve">Partially paid ,to clear today overnight </t>
  </si>
  <si>
    <t xml:space="preserve">One week extension,approved </t>
  </si>
  <si>
    <t xml:space="preserve">eutycus mwangi </t>
  </si>
  <si>
    <t>L32008</t>
  </si>
  <si>
    <t xml:space="preserve">JOSHUA BOIWO KIBET  </t>
  </si>
  <si>
    <t>Harry Mutuma Kathurima</t>
  </si>
  <si>
    <t>Alex Mutuku Mbelenzi</t>
  </si>
  <si>
    <t xml:space="preserve">22/8/2024 </t>
  </si>
  <si>
    <t>One week extension till 26/8/2024 However client promised to pay 23/8/2024</t>
  </si>
  <si>
    <t xml:space="preserve">To pay 23/8/2024 12noon </t>
  </si>
  <si>
    <t xml:space="preserve">Client committed to pay on 24/8/2024 ,demand issued 22/8/2024 </t>
  </si>
  <si>
    <t>Client experiencing delay of funds ,has committed to pay 23/8/2024 11 am</t>
  </si>
  <si>
    <t xml:space="preserve">Paid main loan in full ,ptp weekend loan tomorrow 23/8/2024 </t>
  </si>
  <si>
    <t xml:space="preserve">To clear whole arrears tomorrow 2pm </t>
  </si>
  <si>
    <t xml:space="preserve">Client committed to clear arrears plus additional penalties 23/8/2024 at 2pm </t>
  </si>
  <si>
    <t xml:space="preserve">Client committed to pay on 26/8/2024 ,Active demand issued on 20/2024 </t>
  </si>
  <si>
    <t xml:space="preserve">To pay on 24/8/2024 </t>
  </si>
  <si>
    <t xml:space="preserve">Client claims he's has no funds to redeem the unit ,sourcing for buyer </t>
  </si>
  <si>
    <t xml:space="preserve">Client experiencing delay of funds ,has committed to pay 23/8/2024 1pm </t>
  </si>
  <si>
    <t>L35511</t>
  </si>
  <si>
    <t xml:space="preserve">Unit at yard ,however client ptp 800k on 24/8/2024 </t>
  </si>
  <si>
    <t>To pay tomorrow ,demand issued on 21/8/2024</t>
  </si>
  <si>
    <t xml:space="preserve">To pay overnight 7pm </t>
  </si>
  <si>
    <t xml:space="preserve">PTP Attached to pay 23/8/2024 </t>
  </si>
  <si>
    <t>23/8/2024</t>
  </si>
  <si>
    <t xml:space="preserve">Extension to expire on 26/8/2024 However client has promised to pay 24/8/2024 noon </t>
  </si>
  <si>
    <t>Partially paid ,to clear 24/8/2024</t>
  </si>
  <si>
    <t>Client partially paid 100k ,to clear 23/8/2024</t>
  </si>
  <si>
    <t xml:space="preserve">Demand issued on 21/8/2024 Howver client committed to pay 26/8/2024 </t>
  </si>
  <si>
    <t xml:space="preserve">Active demand running ,client committed to pay 24/8/2024 </t>
  </si>
  <si>
    <t>Client claims he just deposited a cheque today so will transfer the payment after two working days 27/8/2024</t>
  </si>
  <si>
    <t xml:space="preserve">Client committed to pay on 26/8/2024,PTP attached </t>
  </si>
  <si>
    <t xml:space="preserve">Client claims she has not recieved funds yet but looking for other sources to redeem her vehicle </t>
  </si>
  <si>
    <t>24/8/2024</t>
  </si>
  <si>
    <t>26/8/2024</t>
  </si>
  <si>
    <t>Client non compliant ,iss</t>
  </si>
  <si>
    <t xml:space="preserve">Client has committed to 200k then clear the balance on 28/8/2024 </t>
  </si>
  <si>
    <t xml:space="preserve">Cheques banked </t>
  </si>
  <si>
    <t xml:space="preserve">Client says that he's still at work ,so will make payments today before midnight </t>
  </si>
  <si>
    <t xml:space="preserve">To pay </t>
  </si>
  <si>
    <t>L39717</t>
  </si>
  <si>
    <t>MOINDI PROTUS ARAMBA</t>
  </si>
  <si>
    <t xml:space="preserve">Client committed to pay today later in the evening latest tomorrow morning </t>
  </si>
  <si>
    <t xml:space="preserve">Issuing proclamation ,client is non compliant </t>
  </si>
  <si>
    <t xml:space="preserve">Partiallt paid 20k ,following up thebalance </t>
  </si>
  <si>
    <t>Wilson Mutava</t>
  </si>
  <si>
    <t>Will issue repossession on 27/8/2024</t>
  </si>
  <si>
    <t xml:space="preserve">Partially paid to follow up the balance ,Unit at yard </t>
  </si>
  <si>
    <t>Will re-issue repossession on 27/8/2024</t>
  </si>
  <si>
    <t>27/8/2024</t>
  </si>
  <si>
    <t>Client unreachable ,Account has active demand issued on 20/8/2024</t>
  </si>
  <si>
    <t xml:space="preserve">Committed to clear the arrears 28/8/2024 at noon </t>
  </si>
  <si>
    <t xml:space="preserve">To pay today before midnight  </t>
  </si>
  <si>
    <t>L39749</t>
  </si>
  <si>
    <t xml:space="preserve">Client requesting extension ,to issue demand notice 28/8/2024 </t>
  </si>
  <si>
    <t>L38059</t>
  </si>
  <si>
    <t xml:space="preserve">Account Due 28/8/2024 ,Cient has committed to transfer the money today before midnight </t>
  </si>
  <si>
    <t xml:space="preserve">Client committed to clear arrears plus additional penalties 28/8/2024 ,Account has active demand Running </t>
  </si>
  <si>
    <t>L39855</t>
  </si>
  <si>
    <t xml:space="preserve">Unit at yard ,still insists that he has no money to pay at the moment ,we are sourcing a potential buyer since its advertised </t>
  </si>
  <si>
    <t xml:space="preserve">Client has committed to pay penalties on 31/8/2024 ,Account has active demand </t>
  </si>
  <si>
    <t xml:space="preserve">Client non compliant ,to issue demand notice 28/8/2024 </t>
  </si>
  <si>
    <t>L33508</t>
  </si>
  <si>
    <t xml:space="preserve">Client made 103k on 26/8/2024 ,following up the balance ,the unit is at yard advertised </t>
  </si>
  <si>
    <t xml:space="preserve">Client non compliant ,Account has active demand issued on 20/8/2024 </t>
  </si>
  <si>
    <t>MICHAEL NDEMANGE MLOLONGO WATER SUPPLIES LTD</t>
  </si>
  <si>
    <t xml:space="preserve">Partially paid 20k on 26/8/2024 ,committed to clear 28/8/2024 </t>
  </si>
  <si>
    <t xml:space="preserve">Wilson Mutava </t>
  </si>
  <si>
    <t>client committed to clear balance of 6,723 on 30/8/2024. Demand running</t>
  </si>
  <si>
    <t>Unit repossessed today by Foresight Auctioneers</t>
  </si>
  <si>
    <t>L39796</t>
  </si>
  <si>
    <t>KENNETH PATRICK KWAMA</t>
  </si>
  <si>
    <t xml:space="preserve">Cheques Banked </t>
  </si>
  <si>
    <t xml:space="preserve">Issued new repossession to Lysajoy Auctioneers </t>
  </si>
  <si>
    <t>28/8/2024</t>
  </si>
  <si>
    <t xml:space="preserve">Active demand issued on 21/8/2024 Client travelled DRC will be back on 1/9/2024 to clear </t>
  </si>
  <si>
    <t xml:space="preserve">Client awaiting for funds from his client ,to pay before midnight </t>
  </si>
  <si>
    <t>Client requesting for one week extension ,pending approval ,to issue demand 28/8/2024</t>
  </si>
  <si>
    <t xml:space="preserve">To pay 30/8/2024 </t>
  </si>
  <si>
    <t xml:space="preserve">Client Visisted the office today  signed a ptp Arrears plus any additional penaties   5th Sept 2024,Attached </t>
  </si>
  <si>
    <t xml:space="preserve">Client unreachable ,Active demand issued on 21/8/2024 </t>
  </si>
  <si>
    <t xml:space="preserve">Active demand issued on 21/8/2024 ,Client non compliant </t>
  </si>
  <si>
    <t xml:space="preserve">Client to pay 30/8/2024,To issue demand 29/8/2024 </t>
  </si>
  <si>
    <t xml:space="preserve">To pay 29/8/2024 </t>
  </si>
  <si>
    <t>client will clear arrears on 5/8/2024</t>
  </si>
  <si>
    <t>CCIN002145-6000-001</t>
  </si>
  <si>
    <t>JANE WANJIRU MACHARIA MACHARIA</t>
  </si>
  <si>
    <t>client will pay on 31/8/2024</t>
  </si>
  <si>
    <t>unit booked at yard on 27/8/2024.Client to clear on 30/8/2024 to redeem unit</t>
  </si>
  <si>
    <t>Unit at yard-Client claims she is ourcing for funds to clear arrears</t>
  </si>
  <si>
    <t>29/8/2024</t>
  </si>
  <si>
    <t>L39596</t>
  </si>
  <si>
    <t xml:space="preserve">ALEXANDER MWANZIA NDEMWA </t>
  </si>
  <si>
    <t xml:space="preserve">Client requested for extension not approved however promised to pay 30/8/2024 </t>
  </si>
  <si>
    <t xml:space="preserve">To pay by 4pm </t>
  </si>
  <si>
    <t xml:space="preserve">Client committed to pay 30/8/2024 </t>
  </si>
  <si>
    <t xml:space="preserve">committed to pay today before midnight </t>
  </si>
  <si>
    <t>L39816</t>
  </si>
  <si>
    <t xml:space="preserve">Title Deed </t>
  </si>
  <si>
    <t xml:space="preserve">To make partial payment today 4pm </t>
  </si>
  <si>
    <t xml:space="preserve">Unit at yard client committed to redeem on 30/8/2024 </t>
  </si>
  <si>
    <t>Jane Wanjiru Macharia Macharia</t>
  </si>
  <si>
    <t>client will clear on 31/8/2024</t>
  </si>
  <si>
    <t xml:space="preserve">30/8/2024 </t>
  </si>
  <si>
    <t xml:space="preserve">Caroline Gitau </t>
  </si>
  <si>
    <t xml:space="preserve">Active demand issued ,Client committing to pay before 2nd sept 2024 </t>
  </si>
  <si>
    <t xml:space="preserve">Client giving false promises </t>
  </si>
  <si>
    <t>L39829</t>
  </si>
  <si>
    <t xml:space="preserve">To pay today before midnight </t>
  </si>
  <si>
    <t xml:space="preserve">Client requested for one week extension ,pending approval </t>
  </si>
  <si>
    <t xml:space="preserve">Partially paid to clear the balance 31/8/2024 </t>
  </si>
  <si>
    <t xml:space="preserve">Partially paid to clear the balance before midnight </t>
  </si>
  <si>
    <t xml:space="preserve">Client has committed to pay today before midnight </t>
  </si>
  <si>
    <t xml:space="preserve">Client is very elusive ,the account has active demand running </t>
  </si>
  <si>
    <t>client will clear on 2/9/2024</t>
  </si>
  <si>
    <t>client claims she is waiting for funds to reflect on her account to make transfer</t>
  </si>
  <si>
    <t>Leonard Sayanka Sikorei</t>
  </si>
  <si>
    <t>banked cheque</t>
  </si>
  <si>
    <t>client made a rtgs waiting for the payment to reflect on our side</t>
  </si>
  <si>
    <t>L22461</t>
  </si>
  <si>
    <t>James Oluoch Ka-Oyier</t>
  </si>
  <si>
    <t>31/8/2024</t>
  </si>
  <si>
    <t xml:space="preserve">Client has committed to pay today at 3pm </t>
  </si>
  <si>
    <t xml:space="preserve">The customer committed to clear on 3/9/2024 ,Account has active demand issued on 30/8/2024 </t>
  </si>
  <si>
    <t xml:space="preserve">To issue proclamation on 2/9/2024 ,client is very no committal </t>
  </si>
  <si>
    <t xml:space="preserve">partially paid ,to clear on 2/9/2024 </t>
  </si>
  <si>
    <t xml:space="preserve">Partially paid ,committed to clear on 2/9/2024 </t>
  </si>
  <si>
    <t xml:space="preserve">Committed to pay 100k at 3pm </t>
  </si>
  <si>
    <t xml:space="preserve">Client travelled DRC ,committed to pay 2/9/2024  will be back on 1/9/2024 .Account has active demand issued on 21/8/2024 </t>
  </si>
  <si>
    <t xml:space="preserve">Committed to pay on 3/9/2024 ,Account has active demand 9/9/2024 </t>
  </si>
  <si>
    <t>will do field visit on 2/9/2024</t>
  </si>
  <si>
    <t>will do field visit on 2/9/2025</t>
  </si>
  <si>
    <t>L38941</t>
  </si>
  <si>
    <t>TITLE DEED</t>
  </si>
  <si>
    <t>CAROLINE GITAU</t>
  </si>
  <si>
    <t>UNSECURED</t>
  </si>
  <si>
    <t>WEEKEND LOAN</t>
  </si>
  <si>
    <t>ENOCK JUMA</t>
  </si>
  <si>
    <t>Client visited the office , committed to pay on 5th ,September 2024 Due to unavoidable circumstances .Signed a ptp attached ,to follow up the payment .</t>
  </si>
  <si>
    <t>L39537</t>
  </si>
  <si>
    <t>ALEXANDER MWANZIA NDEMWA</t>
  </si>
  <si>
    <t>the customer has made partial payment of 50k , the balance shall be repaid today by eod</t>
  </si>
  <si>
    <t>L39932</t>
  </si>
  <si>
    <t xml:space="preserve">Committed to pay today before midnight </t>
  </si>
  <si>
    <t xml:space="preserve">Paid 20k to clear on 3/9/2024 </t>
  </si>
  <si>
    <t xml:space="preserve">client committed to clear arrears today before midnight </t>
  </si>
  <si>
    <t>demand running , the customer to clear the arrears by 5th september 2024</t>
  </si>
  <si>
    <t xml:space="preserve">Client is very non committal ,arranged for field visit on 3/9/2024 ,The account has active demand issued on 20/2024 </t>
  </si>
  <si>
    <t xml:space="preserve">Client collecting funds to clear before 8pm </t>
  </si>
  <si>
    <t>CHRISTOPHER BUNDI MUKINDIA</t>
  </si>
  <si>
    <t xml:space="preserve">Client confirmed that he's waiting for funds from his client to pay latest 3/9/2024 ,Account has active demand </t>
  </si>
  <si>
    <t xml:space="preserve">Engaged spouse to remind client pay the arrears because she's non responsive to calls </t>
  </si>
  <si>
    <t>CARGO WORLD CONVEYORS LTD/ GEORGE BHUTTO</t>
  </si>
  <si>
    <t xml:space="preserve">partially paid 50k to clear the balance on 3/9/2024 </t>
  </si>
  <si>
    <t xml:space="preserve">Client disputing tracking fees ,follow up ongoing </t>
  </si>
  <si>
    <t xml:space="preserve">Unit at yard ,client committed to make payments 3/9/2024 to redeem </t>
  </si>
  <si>
    <t xml:space="preserve">Unit at yard ,client had promised to make payments but she's not responding to calls ,we are however sourcing for a potential buyer </t>
  </si>
  <si>
    <t>CCIN001474-4000-00</t>
  </si>
  <si>
    <t>L37591</t>
  </si>
  <si>
    <t>DOMINIC NYABERA RATEMO</t>
  </si>
  <si>
    <t>Nelson Gitau</t>
  </si>
  <si>
    <t>paying this evening</t>
  </si>
  <si>
    <t>L37604</t>
  </si>
  <si>
    <t xml:space="preserve">BENSON MWANGI MURAGE </t>
  </si>
  <si>
    <t>ptp recorded for 24th July</t>
  </si>
  <si>
    <t>L37119</t>
  </si>
  <si>
    <t>MARTIN  NDANG'ARA  IRUNGU</t>
  </si>
  <si>
    <t>to pay on 23rd July with the next installment</t>
  </si>
  <si>
    <t>L36994</t>
  </si>
  <si>
    <t>TERRY WANJIKU KAHORO</t>
  </si>
  <si>
    <t>Wema</t>
  </si>
  <si>
    <t>paying by 25th June</t>
  </si>
  <si>
    <t>L36947</t>
  </si>
  <si>
    <t xml:space="preserve">KIPNGENO NICHOLAS PATRICK </t>
  </si>
  <si>
    <t>To pay in the evening</t>
  </si>
  <si>
    <t>L37976</t>
  </si>
  <si>
    <t>FARMING  AFRICA LLP</t>
  </si>
  <si>
    <t>Paid</t>
  </si>
  <si>
    <t>L37275</t>
  </si>
  <si>
    <t xml:space="preserve">KAEI ROBERT KIBOR </t>
  </si>
  <si>
    <t>to by 24th July</t>
  </si>
  <si>
    <t>L38338</t>
  </si>
  <si>
    <t xml:space="preserve">FRANCIS MUTUA MWANZIA  </t>
  </si>
  <si>
    <t>to clear the balance on 23rd July</t>
  </si>
  <si>
    <t>L31990</t>
  </si>
  <si>
    <t>GEOFFREY AMOLO ONYANGO OTIENO C/O ASCCENTECH  EAST AFRICA LTD</t>
  </si>
  <si>
    <t>paying on 24th July</t>
  </si>
  <si>
    <t>L35870</t>
  </si>
  <si>
    <t>FRANCIS MUTUA MWANZIA</t>
  </si>
  <si>
    <t>committment to pay by 26th July</t>
  </si>
  <si>
    <t>L24594</t>
  </si>
  <si>
    <t>BENSON GATETE MACHARIA</t>
  </si>
  <si>
    <t>to pay by 23rd july</t>
  </si>
  <si>
    <t>L38745</t>
  </si>
  <si>
    <t>CHARLES KYALO MUNYWOKI</t>
  </si>
  <si>
    <t>rolled over</t>
  </si>
  <si>
    <t>L34156</t>
  </si>
  <si>
    <t>ALBERTINA MWENDE MUTHENGI</t>
  </si>
  <si>
    <t>L37511</t>
  </si>
  <si>
    <t>PAUL NGATIA KINYUA</t>
  </si>
  <si>
    <t>Roselynn Wangu</t>
  </si>
  <si>
    <t>paid partially</t>
  </si>
  <si>
    <t>L37087</t>
  </si>
  <si>
    <t>PATRICK GITHUI KORO</t>
  </si>
  <si>
    <t>Paying via paybill before COB</t>
  </si>
  <si>
    <t>L36189</t>
  </si>
  <si>
    <t>JOSEPH WACHIRA NYAGUTO</t>
  </si>
  <si>
    <t>Norah Angote</t>
  </si>
  <si>
    <t>unit at yard/the client selling the unit to payoff</t>
  </si>
  <si>
    <t>L27465</t>
  </si>
  <si>
    <t>CAROLINE CHELIMO BOIT</t>
  </si>
  <si>
    <t>L31890</t>
  </si>
  <si>
    <t>WASHINGTON GATHUKI KINYUA</t>
  </si>
  <si>
    <t>L38486</t>
  </si>
  <si>
    <t>DANIEL KURIA MUYA</t>
  </si>
  <si>
    <t>to pay by 23rd July from expected payment</t>
  </si>
  <si>
    <t>L32716</t>
  </si>
  <si>
    <t>CAROLYNE JUDITH ADEMBA</t>
  </si>
  <si>
    <t>the client hospitalised/sick sheet attached</t>
  </si>
  <si>
    <t>L36184</t>
  </si>
  <si>
    <t>CONSUMERS CHOICE</t>
  </si>
  <si>
    <t>L34804</t>
  </si>
  <si>
    <t>GIBSON KIMOLI MUTUA</t>
  </si>
  <si>
    <t>seeking extension to 5th July/not paid</t>
  </si>
  <si>
    <t>L38126</t>
  </si>
  <si>
    <t>JOHN MUKABURU MATHENGE</t>
  </si>
  <si>
    <t>Peris Macharia</t>
  </si>
  <si>
    <t>email committment to pay by 23rd July</t>
  </si>
  <si>
    <t>L38535</t>
  </si>
  <si>
    <t>WILFRED M OMARIBA</t>
  </si>
  <si>
    <t>Paid partially and to clear on 23rd July</t>
  </si>
  <si>
    <t>L27908</t>
  </si>
  <si>
    <t>STEPHEN OCHIEL OTIENO</t>
  </si>
  <si>
    <t>committment to pay by 25th July</t>
  </si>
  <si>
    <t>L31977</t>
  </si>
  <si>
    <t>HISKYAS SAMSON ARAYA</t>
  </si>
  <si>
    <t>matters in court</t>
  </si>
  <si>
    <t>L35456</t>
  </si>
  <si>
    <t>TERRY WANJIKU KIARIE WIJENJE</t>
  </si>
  <si>
    <t>PAID</t>
  </si>
  <si>
    <t>Seeking 7 days extension</t>
  </si>
  <si>
    <t>L37878</t>
  </si>
  <si>
    <t>RAPHAEL LERIONKA KAPAI</t>
  </si>
  <si>
    <t>extension approved</t>
  </si>
  <si>
    <t>L25467</t>
  </si>
  <si>
    <t>SILVANCE OSELE ONYANGO</t>
  </si>
  <si>
    <t>Victor Okombo</t>
  </si>
  <si>
    <t>to pay from the salary this evening</t>
  </si>
  <si>
    <t>L35744</t>
  </si>
  <si>
    <t>SOFIA MWIKALI SHILOSWO</t>
  </si>
  <si>
    <t>L32803</t>
  </si>
  <si>
    <t>SIMON KARANJA NGIGE</t>
  </si>
  <si>
    <t>repo issued/auctioneer travelling to west pokot</t>
  </si>
  <si>
    <t>L25111</t>
  </si>
  <si>
    <t>MEDLINE NJOKI NJUE</t>
  </si>
  <si>
    <t>L33383</t>
  </si>
  <si>
    <t>JASMEET MAYODI ENDEKWA</t>
  </si>
  <si>
    <t>repo issued/to seek production order</t>
  </si>
  <si>
    <t>L37433</t>
  </si>
  <si>
    <t>DAVID WANJE MASHA</t>
  </si>
  <si>
    <t>at yard/arrears shared and working to redeem by COB</t>
  </si>
  <si>
    <t>L37556</t>
  </si>
  <si>
    <t>JOSEPH NJERU MUGO</t>
  </si>
  <si>
    <t>at yard/to redeem from expected funds on 23rd July</t>
  </si>
  <si>
    <t>RECOVERY</t>
  </si>
  <si>
    <t>CCIN000957-4000-005</t>
  </si>
  <si>
    <t xml:space="preserve">RAPHAEL LERIONKA KAPAI </t>
  </si>
  <si>
    <t>L28159</t>
  </si>
  <si>
    <t>DAVID BIKETI WATI</t>
  </si>
  <si>
    <t>L38196</t>
  </si>
  <si>
    <t>PHOEBE WANGUI MAINA C/O MILELE AFRIQUE LIMITED</t>
  </si>
  <si>
    <t>partially paid</t>
  </si>
  <si>
    <t>Reminder sent through smart collect client to clear arrears</t>
  </si>
  <si>
    <t xml:space="preserve">Demand running on account however client committs to clear by 7th </t>
  </si>
  <si>
    <t>L34745</t>
  </si>
  <si>
    <t>ADAMS MULWA KISILU</t>
  </si>
  <si>
    <t>L32753</t>
  </si>
  <si>
    <t>JOSEPHINE NAISULA LESUUNDA</t>
  </si>
  <si>
    <t>L31597</t>
  </si>
  <si>
    <t>EDNAH CHEPKORIR</t>
  </si>
  <si>
    <t>L37512</t>
  </si>
  <si>
    <t>L37513</t>
  </si>
  <si>
    <t>HUMPHREY MULINDI MATHAHANA</t>
  </si>
  <si>
    <t>Undertaking acceptance done to Solza Ltd</t>
  </si>
  <si>
    <t>L37514</t>
  </si>
  <si>
    <t xml:space="preserve">AKOOLO SAMUEL  </t>
  </si>
  <si>
    <t>to pay on 26th July/demand expiring on 26th July</t>
  </si>
  <si>
    <t>at yard/facility to be credited on 24th July</t>
  </si>
  <si>
    <t>to pay on 26th july/deceased</t>
  </si>
  <si>
    <t>hospitalised/sick sheet attached</t>
  </si>
  <si>
    <t>cheques banked/awaiting clearance</t>
  </si>
  <si>
    <t>seeking extension to 5th July/not approved</t>
  </si>
  <si>
    <t>L37105</t>
  </si>
  <si>
    <t>DUKE ORIKU GISEMBA</t>
  </si>
  <si>
    <t>L33604</t>
  </si>
  <si>
    <t>DAVID MUNIU KAROKI</t>
  </si>
  <si>
    <t>early settlement shared and to pay on 24th July</t>
  </si>
  <si>
    <t>to pay by 25th July/email committment</t>
  </si>
  <si>
    <t>Demand running. Account partially paid</t>
  </si>
  <si>
    <t>Matter in court. Client disputed the penalties terming them as illegal</t>
  </si>
  <si>
    <t>L35537</t>
  </si>
  <si>
    <t>DANSON BUYA MUNGATANA</t>
  </si>
  <si>
    <t>to bring bankable cheques on 24th July</t>
  </si>
  <si>
    <t>seeking extension/approval pending</t>
  </si>
  <si>
    <t>to pay on 25th July/engagements for liquidation</t>
  </si>
  <si>
    <t>repo issued/tampering obtained/to seek production order</t>
  </si>
  <si>
    <t>at yard/to redeem on 24th July</t>
  </si>
  <si>
    <t>at yard/Title deed facility to credited on 24th July</t>
  </si>
  <si>
    <t>L30102</t>
  </si>
  <si>
    <t>CHARLES NDETI MAKAU</t>
  </si>
  <si>
    <t>closed biz/to pay on 24th July</t>
  </si>
  <si>
    <t>to bring bankable cheques on 26th July</t>
  </si>
  <si>
    <t>to be deducted from invoice/service provider</t>
  </si>
  <si>
    <t>L31474</t>
  </si>
  <si>
    <t>MOSES  MBUTHIA MIGWI-CAR SALE</t>
  </si>
  <si>
    <t xml:space="preserve">Elizabeth </t>
  </si>
  <si>
    <t>Unit sold/balance to be credited</t>
  </si>
  <si>
    <t>L37310</t>
  </si>
  <si>
    <t>CHARLES KYALO MUTINDA</t>
  </si>
  <si>
    <t>Nebert</t>
  </si>
  <si>
    <t>24/07/2024</t>
  </si>
  <si>
    <t>L32057</t>
  </si>
  <si>
    <t>Mourice Ngugi Muniu</t>
  </si>
  <si>
    <t>Commitment to clear today by 8pm</t>
  </si>
  <si>
    <t xml:space="preserve">Commitment to partially pay 100k by close of business </t>
  </si>
  <si>
    <t xml:space="preserve">Commitment to clear by close of business </t>
  </si>
  <si>
    <t>Reminder sent to client to clear arrears</t>
  </si>
  <si>
    <t xml:space="preserve">To clear arrears by 26th </t>
  </si>
  <si>
    <t>Commitment to clear by 7pm</t>
  </si>
  <si>
    <t>Ptp signed to upto the 27th</t>
  </si>
  <si>
    <t>at yard/facility to be credited on 26th July</t>
  </si>
  <si>
    <t>To clear arrears by  26th</t>
  </si>
  <si>
    <t>To clear arrears by 27th</t>
  </si>
  <si>
    <t>Cheque banked /awaitig to clear</t>
  </si>
  <si>
    <t>seeking extension to 5th July/not approved/PTP signed</t>
  </si>
  <si>
    <t>L37927</t>
  </si>
  <si>
    <t>PHYLIS JEROTICH MUTWOR</t>
  </si>
  <si>
    <t>L34103</t>
  </si>
  <si>
    <t>CHARLES OJIAMBO MAENDE</t>
  </si>
  <si>
    <t>To clear by 9pm</t>
  </si>
  <si>
    <t xml:space="preserve">to clear the arres within the week </t>
  </si>
  <si>
    <t xml:space="preserve">To clear arrears by 28th </t>
  </si>
  <si>
    <t>JOHN MATHENGE MUKABURU</t>
  </si>
  <si>
    <t>Account fully paid</t>
  </si>
  <si>
    <t>L31335</t>
  </si>
  <si>
    <t>AKOOLO SAMUEL</t>
  </si>
  <si>
    <t>reminder sent,client replied that he will pay on 27th July once he gets his salary.Demand expires on 26th July.</t>
  </si>
  <si>
    <t>reminder sent,client was to clear yesterday.Demand expiring on 29th july</t>
  </si>
  <si>
    <t>L375513</t>
  </si>
  <si>
    <t>HUMPHREY MULINDI</t>
  </si>
  <si>
    <t>undertaking acceptance from SOLZA done.</t>
  </si>
  <si>
    <t>Fredrick Ngugi Ndungu</t>
  </si>
  <si>
    <t xml:space="preserve">Client issued with proclamation , to make payments tomorrow </t>
  </si>
  <si>
    <t>CCIN001751-1000-005</t>
  </si>
  <si>
    <t>Simon Karanja Ngige</t>
  </si>
  <si>
    <t>Cheques to be banked on 25/07/2024</t>
  </si>
  <si>
    <t>L32805</t>
  </si>
  <si>
    <t>at yard/to redeem on 26th July</t>
  </si>
  <si>
    <t xml:space="preserve">demand letter  issued , following up with the client for payment </t>
  </si>
  <si>
    <t>unit repossessed , at yard.</t>
  </si>
  <si>
    <t>CARSALE</t>
  </si>
  <si>
    <t>DUNCAN OJIAMBO</t>
  </si>
  <si>
    <t>Car sold</t>
  </si>
  <si>
    <t>25/07/2024</t>
  </si>
  <si>
    <t xml:space="preserve">Ptp signed </t>
  </si>
  <si>
    <t>Commitment to pay 150,000 26th/7</t>
  </si>
  <si>
    <t>Cleared</t>
  </si>
  <si>
    <t>paying in the evening</t>
  </si>
  <si>
    <t>Partially paid to be cleared by 26th/7</t>
  </si>
  <si>
    <t>Ptp signed to 27th</t>
  </si>
  <si>
    <t>Committment to pay by EOD on 26th July</t>
  </si>
  <si>
    <t>L38792</t>
  </si>
  <si>
    <t>Paid partially</t>
  </si>
  <si>
    <t>Ptp signed</t>
  </si>
  <si>
    <t>Extension  expires 31/7/2024</t>
  </si>
  <si>
    <t>expected salary date 30/07/2024/to issue demand</t>
  </si>
  <si>
    <t>L37139</t>
  </si>
  <si>
    <t>ALTRIGA LIMITED C/O REGINAULD JOHN NGALA</t>
  </si>
  <si>
    <t>Restructure ongoing</t>
  </si>
  <si>
    <t>to pay by 26/07/2024</t>
  </si>
  <si>
    <t>to pay by 28/07/2024</t>
  </si>
  <si>
    <t>Paid partially/to clear on 26 July</t>
  </si>
  <si>
    <t>L38776</t>
  </si>
  <si>
    <t>MICHAEL GITONGA</t>
  </si>
  <si>
    <t>to pay by 27/07/2024</t>
  </si>
  <si>
    <t>L37979</t>
  </si>
  <si>
    <t>BEATRICE NJERI NGUGI</t>
  </si>
  <si>
    <t>To pay by 6.00 pm</t>
  </si>
  <si>
    <t>L32665</t>
  </si>
  <si>
    <t>SAMWEL OCHIENG WAGAKA</t>
  </si>
  <si>
    <t>To pay by 1/08/2024</t>
  </si>
  <si>
    <t>at yard/to pay by 26th July/has less amount currently</t>
  </si>
  <si>
    <t>L30101</t>
  </si>
  <si>
    <t>committment to pay on 26th July</t>
  </si>
  <si>
    <t>at yard/to pay by 26th July/his facility awaits disbursement</t>
  </si>
  <si>
    <t>to pay on 27th July</t>
  </si>
  <si>
    <t xml:space="preserve">SILVANCE OSELE ONYANGO </t>
  </si>
  <si>
    <t>to pay this evening/from expected salary</t>
  </si>
  <si>
    <t>Duncan Ojiambo</t>
  </si>
  <si>
    <t>Unit sold</t>
  </si>
  <si>
    <t>at yard/cheque to be banked on 26th July</t>
  </si>
  <si>
    <t>at yard/making payment this evening</t>
  </si>
  <si>
    <t xml:space="preserve">client to make payments of 100k tomorrow </t>
  </si>
  <si>
    <t xml:space="preserve"> unit at yard , client wrote an email  the cheques to be banked tomorrow 26/2024</t>
  </si>
  <si>
    <t>David Biketi Wati</t>
  </si>
  <si>
    <t>26/07/2024</t>
  </si>
  <si>
    <t>paying by COB</t>
  </si>
  <si>
    <t>Client out of the country,working on clearing arrears</t>
  </si>
  <si>
    <t xml:space="preserve">cleared </t>
  </si>
  <si>
    <t>Commitment from client to pay by 27th</t>
  </si>
  <si>
    <t>Commitment from client to start clearing arreasrs from today</t>
  </si>
  <si>
    <t>PTP signed client to pay by 5th</t>
  </si>
  <si>
    <t>L08387</t>
  </si>
  <si>
    <t>PETER NDUNGU KANYUGI</t>
  </si>
  <si>
    <t>CLIENT TO CLEAR THE BALANCE NEXT WEEK</t>
  </si>
  <si>
    <t xml:space="preserve">Client to partial pay </t>
  </si>
  <si>
    <t>DOUGLAS OKEYO OKECH</t>
  </si>
  <si>
    <t>L37129</t>
  </si>
  <si>
    <t>FAITH CHEPKORIR</t>
  </si>
  <si>
    <t>Demand issued</t>
  </si>
  <si>
    <t>Paid Partially</t>
  </si>
  <si>
    <t>L36442</t>
  </si>
  <si>
    <t>DUNCAN WAINAINA RAGOI</t>
  </si>
  <si>
    <t>TERRY WIJENJE</t>
  </si>
  <si>
    <t>at yard/to make payment on 27th July</t>
  </si>
  <si>
    <t>at yard/to pay on 30th July</t>
  </si>
  <si>
    <t>awaits the salary/to pay today</t>
  </si>
  <si>
    <t>L27838</t>
  </si>
  <si>
    <t>ALBERT MARTIN ONDU AMKOA</t>
  </si>
  <si>
    <t>at yard/to pay from the salary tommorrow</t>
  </si>
  <si>
    <t xml:space="preserve">Client has commited to make payment today </t>
  </si>
  <si>
    <t>Follow up for payment  tomorrow  27/07/2024</t>
  </si>
  <si>
    <t>SIMON KARAJA NGIGE</t>
  </si>
  <si>
    <t xml:space="preserve">cheques of 88,124.00 banked  </t>
  </si>
  <si>
    <t>27/07/2024</t>
  </si>
  <si>
    <t>Demand running on account ptp to clear by 29th</t>
  </si>
  <si>
    <t xml:space="preserve">Following up on client to clear arrears </t>
  </si>
  <si>
    <t>Following up on client to clear arrears ,ptp 29th</t>
  </si>
  <si>
    <t xml:space="preserve">Client has commited to start making payments today </t>
  </si>
  <si>
    <t>Engaging client for liquidation</t>
  </si>
  <si>
    <t>Client committed to clear arrears by 28th</t>
  </si>
  <si>
    <t>awaits the salary/to pay on 5th,PTP signed</t>
  </si>
  <si>
    <t xml:space="preserve">Demand running  </t>
  </si>
  <si>
    <t xml:space="preserve">Client will make a payment before of day failer tuu a demand will be issued </t>
  </si>
  <si>
    <t>demand expiring on 27th July/repo to be issued on 29th July</t>
  </si>
  <si>
    <t>at yard/to redeem on 29th July</t>
  </si>
  <si>
    <t>to clear on 29th July/demand issued on 25th July</t>
  </si>
  <si>
    <t>at yard/his facility to be credited on 30th July</t>
  </si>
  <si>
    <t>expects salary this evening/demand issued on 11th July</t>
  </si>
  <si>
    <t>at yard/salary awiated to redeem/to redeem before 29th July</t>
  </si>
  <si>
    <t>L29277</t>
  </si>
  <si>
    <t>JOSEPH MUINDE NZIOKA</t>
  </si>
  <si>
    <t>nil arrears/the client to payoff this evening</t>
  </si>
  <si>
    <t xml:space="preserve">Made a office visit did not find the debtor, follow up ongoing </t>
  </si>
  <si>
    <t>Unit repossessed and to redeem by 14th August</t>
  </si>
  <si>
    <t>29/07/2024</t>
  </si>
  <si>
    <t>Maureen Mugasia</t>
  </si>
  <si>
    <t>L38889</t>
  </si>
  <si>
    <t>AUGUSTINE OGAYE ADHOLA</t>
  </si>
  <si>
    <t>Client seeking a buyoff</t>
  </si>
  <si>
    <t>L38011</t>
  </si>
  <si>
    <t xml:space="preserve">SILAS NJIRU GATURU  </t>
  </si>
  <si>
    <t xml:space="preserve">ALBERTINA MWENDE MUTHENGI  </t>
  </si>
  <si>
    <t>Demand issued on account following up on client to clear arrears</t>
  </si>
  <si>
    <t>L38772</t>
  </si>
  <si>
    <t>CYNTHIA WAMBUI GIKERA</t>
  </si>
  <si>
    <t>Client commited to pay via paybill.</t>
  </si>
  <si>
    <t xml:space="preserve">client to share,make payment next week </t>
  </si>
  <si>
    <t>L38766</t>
  </si>
  <si>
    <t>VICTORIA MUENI MULWA</t>
  </si>
  <si>
    <t>L38806</t>
  </si>
  <si>
    <t>ALI BISHAR MOHAMED</t>
  </si>
  <si>
    <t>Paying this evening</t>
  </si>
  <si>
    <t>L38895</t>
  </si>
  <si>
    <t>JOSEPH OPIYO WARERO</t>
  </si>
  <si>
    <t xml:space="preserve">paying by COB </t>
  </si>
  <si>
    <t>Not paid - Demand expired</t>
  </si>
  <si>
    <t>Not paid - Demand issiued</t>
  </si>
  <si>
    <t>Not paid - Demand issued client to normalise account on 1/08/2024</t>
  </si>
  <si>
    <t>L39445</t>
  </si>
  <si>
    <t>MELKA LOGISTICS LTD C/O KAHORA SIMON NGANGA</t>
  </si>
  <si>
    <t>Client to pay before EOD</t>
  </si>
  <si>
    <t>Client to clear arrears tomorrow - Demand issued</t>
  </si>
  <si>
    <t>Demand issued. Client to pay on 1.8.2024</t>
  </si>
  <si>
    <t>Client to clear arrears tomorrow. Demand issued today</t>
  </si>
  <si>
    <t>Client to clear arrears tomorrow. Demand Letter issued today</t>
  </si>
  <si>
    <t>L39705</t>
  </si>
  <si>
    <t>JUSTUS OKOTH NGOJE C/O LION STA MECHANICAL WORKS LTD</t>
  </si>
  <si>
    <t>Cheque discounting</t>
  </si>
  <si>
    <t>to pay on 30th July/Demand dated 29th July</t>
  </si>
  <si>
    <t>L34579</t>
  </si>
  <si>
    <t>JIMLIZER HOTEL LIMITED</t>
  </si>
  <si>
    <t>repo to be issued on 30th July/to pay this evening</t>
  </si>
  <si>
    <t>account has no arrears/the client to pay ff the balance on 30th July</t>
  </si>
  <si>
    <t>at yard/to be sold on 30th July/to redeem on 30th July</t>
  </si>
  <si>
    <t>Client has declined to make payments , schedule for a field  visit on 30/07/2024</t>
  </si>
  <si>
    <t xml:space="preserve">Unit at yard , waiting for the cheque to clear </t>
  </si>
  <si>
    <t>logbook</t>
  </si>
  <si>
    <t>client is putting up funds to make payments tomorrow 30/7/2024</t>
  </si>
  <si>
    <t>Raphael Lerionka Kapai</t>
  </si>
  <si>
    <t>Applied for a facility with COOP bank and is expected to disbursed before 16th August 2024</t>
  </si>
  <si>
    <t>L27249</t>
  </si>
  <si>
    <t>Stephen Igogo Mwangi</t>
  </si>
  <si>
    <t>Aoount fully paid</t>
  </si>
  <si>
    <t>30/07/2024</t>
  </si>
  <si>
    <t>to by 28th July</t>
  </si>
  <si>
    <t>Partially paid</t>
  </si>
  <si>
    <t>BENSON  GATETE MACHARIA</t>
  </si>
  <si>
    <t xml:space="preserve">line unreachable </t>
  </si>
  <si>
    <t>L25451</t>
  </si>
  <si>
    <t>KISINO LEDAMA NICHOLAS</t>
  </si>
  <si>
    <t>To pay by evening</t>
  </si>
  <si>
    <t>Payment to be done by  2/8/2024,he has lost a relative</t>
  </si>
  <si>
    <t>L34827</t>
  </si>
  <si>
    <t xml:space="preserve">EVERLYNE MBINYA NDUVA </t>
  </si>
  <si>
    <t>not paid</t>
  </si>
  <si>
    <t>Partiallay paid- demand expired at recovery stage</t>
  </si>
  <si>
    <t>Partiallay paid - demand issued ,client to pay 10,000 on 2/08/2024</t>
  </si>
  <si>
    <t>Demand issued client to normalise account on 1/08/2024</t>
  </si>
  <si>
    <t>paid partially. To clear the balance tomorrow</t>
  </si>
  <si>
    <t>Client had a medical emergency. He will clear the balance tomorrow. demand attached on Smart collect</t>
  </si>
  <si>
    <t>Deamand Issued. Client to clear arrears by 2.8.2024</t>
  </si>
  <si>
    <t>paid partially. To clear arrears tomorrow</t>
  </si>
  <si>
    <t>unit at yard/arrears shared and salary awiated to pay</t>
  </si>
  <si>
    <t>to pay this evening/demand issued on 29th July</t>
  </si>
  <si>
    <t>repo to be issued on 31st July</t>
  </si>
  <si>
    <t>debt cleared</t>
  </si>
  <si>
    <t>unit at yard/buyer of the unit found</t>
  </si>
  <si>
    <t>JOSEPH NJERU MUGO(CAR SALE)</t>
  </si>
  <si>
    <t>unit at yard/buyer found and to be disposed on 31st July</t>
  </si>
  <si>
    <t>CHARLES  NDETI MAKAU</t>
  </si>
  <si>
    <t>paid partially and to clear tomorrow</t>
  </si>
  <si>
    <t>unit at yard , client to redeem by 2nd august 2024</t>
  </si>
  <si>
    <t xml:space="preserve">Client self-booked the unit at sheywe yard </t>
  </si>
  <si>
    <t>31/07/2024</t>
  </si>
  <si>
    <t>L39549</t>
  </si>
  <si>
    <t>NICHOLAS  KASYOKI  MWANIA</t>
  </si>
  <si>
    <t>Engaging client for liquidation/Demand running</t>
  </si>
  <si>
    <t>Client promise to make payment by evening</t>
  </si>
  <si>
    <t>Partially paid.Demand running.Client promised to pay 14,400 on2/08/2024</t>
  </si>
  <si>
    <t>Arrears reminder sent and demand issiued</t>
  </si>
  <si>
    <t>Demand expired,reminder sent.Repossession to be effected on 12/08/2024</t>
  </si>
  <si>
    <t>Partially paid.Demand running.Client promised to pay 10,000 on2/08/2024</t>
  </si>
  <si>
    <t>Reminder sent.Demand running .Client to clear arrears on 1/08/2024</t>
  </si>
  <si>
    <t>Reminder and uploaded on CRM. To issue demand tomorrow on the third day</t>
  </si>
  <si>
    <t>Client will clear arrears as soon as the is released to his account. Email attached on smart colle</t>
  </si>
  <si>
    <t>Demand issued. Client ot clear arrears by end of the week</t>
  </si>
  <si>
    <t>Demand Issued and uploaded on CRM</t>
  </si>
  <si>
    <t xml:space="preserve">Client disputed arrears. </t>
  </si>
  <si>
    <t>Client to pay tomorrow the balance</t>
  </si>
  <si>
    <t>Paid partially/to clear this evening. Demand Issued</t>
  </si>
  <si>
    <t>Unit at yard yard/salary expected this evening/arrears shared</t>
  </si>
  <si>
    <t>to pay by 5pm</t>
  </si>
  <si>
    <t>DAVID WANJE MASHA(CAR SALE)</t>
  </si>
  <si>
    <t>L31732</t>
  </si>
  <si>
    <t>NAOMI NAMSI SHABAN</t>
  </si>
  <si>
    <t>Paying this evening/demandnotice dated 25th July</t>
  </si>
  <si>
    <t>L31637</t>
  </si>
  <si>
    <t xml:space="preserve">STELLA NDUKU MULANDI </t>
  </si>
  <si>
    <t>cheque to be banked on 1st August</t>
  </si>
  <si>
    <t>working to pay as the per the agreement</t>
  </si>
  <si>
    <t>Unit at yard/salary exepected on 1st August</t>
  </si>
  <si>
    <t xml:space="preserve">FREDRICK NGUGI NDUNGU </t>
  </si>
  <si>
    <t>CCIN001992-1000-005</t>
  </si>
  <si>
    <t>AWES MAALIM ISSACK</t>
  </si>
  <si>
    <t>WEMA</t>
  </si>
  <si>
    <t>Account due for closure</t>
  </si>
  <si>
    <t>The client made a payment of KES 70,000.00 through paybill on 01/08/2024 and to clear the remaining balance by COB</t>
  </si>
  <si>
    <t>The client to make payments in the evening</t>
  </si>
  <si>
    <t>L32607</t>
  </si>
  <si>
    <t>ABDULLAHI ABDILLE ISSACK</t>
  </si>
  <si>
    <t>L33600</t>
  </si>
  <si>
    <t>MAHADIA AMANI</t>
  </si>
  <si>
    <t>Commitment to pay via paybill before close of business today</t>
  </si>
  <si>
    <t>L36924</t>
  </si>
  <si>
    <t>CHRISTINE ACHIENG OYIEKE</t>
  </si>
  <si>
    <t>Arrears fully paid balance to be waved</t>
  </si>
  <si>
    <t>KIPNGENO NICHOLAS PATRICK</t>
  </si>
  <si>
    <t>Demand issued on account</t>
  </si>
  <si>
    <t>Reminder sent through smnart collect client to clear arrears</t>
  </si>
  <si>
    <t>L37726</t>
  </si>
  <si>
    <t>SIMON GITAU WANGU</t>
  </si>
  <si>
    <t>Cheque Discounting</t>
  </si>
  <si>
    <t>Demand running doing follow ups</t>
  </si>
  <si>
    <t>L37729</t>
  </si>
  <si>
    <t>STELLA NDUKU MULANDI</t>
  </si>
  <si>
    <t>Cheque banked to clear</t>
  </si>
  <si>
    <t>L35083</t>
  </si>
  <si>
    <t>SIMON MUCHOKI NJOROGE/WABRIAN ENTERPRISE LTD</t>
  </si>
  <si>
    <t>Due 8th</t>
  </si>
  <si>
    <t>KAEI ROBERT KIBOR</t>
  </si>
  <si>
    <t>Reminder done to client to clear arrears</t>
  </si>
  <si>
    <t>L34897</t>
  </si>
  <si>
    <t>DORCAS WAWIRA NYAGA</t>
  </si>
  <si>
    <t>ROSELYN WANGU WAITHAKA</t>
  </si>
  <si>
    <t>Client due on 15/08/2024</t>
  </si>
  <si>
    <t>L36856</t>
  </si>
  <si>
    <t>CATHERINE MURUGI KARIUKI</t>
  </si>
  <si>
    <t>Client disputing the arrears,sent her te statement and she has promise to pay once the statement.</t>
  </si>
  <si>
    <t>Demand expired,repo to be issiued on 12/08/2024</t>
  </si>
  <si>
    <t>Demand running ,client to pay 10,000 on 2/08/2024</t>
  </si>
  <si>
    <t>ROSELINE NEKESA WANDERA</t>
  </si>
  <si>
    <t>unit at the yard,reminder sent</t>
  </si>
  <si>
    <t>Demand running,client to pay today</t>
  </si>
  <si>
    <t>L38597</t>
  </si>
  <si>
    <t>EDWARD MAKHINO NAMASAKA</t>
  </si>
  <si>
    <t>ROSE WANGU WAITHAKA</t>
  </si>
  <si>
    <t>Demand issued and reminder sent</t>
  </si>
  <si>
    <t>L38839</t>
  </si>
  <si>
    <t>MICHAEL MUIRURI MUGWE</t>
  </si>
  <si>
    <t>PERIS MACHARIA</t>
  </si>
  <si>
    <t>Demand Issued</t>
  </si>
  <si>
    <t>EVERLYNE MBINYA NDUVA</t>
  </si>
  <si>
    <t>Demand Issued dated 25.7.2024</t>
  </si>
  <si>
    <t xml:space="preserve">Demand Issued dated </t>
  </si>
  <si>
    <t>L36514</t>
  </si>
  <si>
    <t>DAVID GATUMA MBAI</t>
  </si>
  <si>
    <t>Partially Paid</t>
  </si>
  <si>
    <t>Repo issued. Auctioneer searching for the unit</t>
  </si>
  <si>
    <t>Partially Paid. Demand issued</t>
  </si>
  <si>
    <t>NORAH ANGOTE</t>
  </si>
  <si>
    <t>the client hospitalised/sick sheet attached but to clear arrears by 2/8/2024</t>
  </si>
  <si>
    <t>L25939</t>
  </si>
  <si>
    <t>FRASHIA WAMBUI KAMAU</t>
  </si>
  <si>
    <t>Unit at the yard car has been advertised</t>
  </si>
  <si>
    <t>unit at the yard client waiting for his salary to clear arrears</t>
  </si>
  <si>
    <t>L35750</t>
  </si>
  <si>
    <t>WILLYS ODHIAMBO OKWARO</t>
  </si>
  <si>
    <t>unit at yard client send a letter commiting to clear arrears in 2 weeks time, will follow up on the payment</t>
  </si>
  <si>
    <t>Partially paid.Demand running.Client promised to pay  the balance 2/08/2024</t>
  </si>
  <si>
    <t>Cheque banked awaiting to clear</t>
  </si>
  <si>
    <t xml:space="preserve">Client request  to settle the amount of the 5th due to a payment delay on his side.  </t>
  </si>
  <si>
    <t>Will rebank the cheque on2/8/2024</t>
  </si>
  <si>
    <t>cheque banked awaiting  to clear</t>
  </si>
  <si>
    <t>MARTIN NDANG'ARA IRUNGU</t>
  </si>
  <si>
    <t>NELSON GITAU NDUNGU</t>
  </si>
  <si>
    <t xml:space="preserve">Tracking arreas , following up with client to clear </t>
  </si>
  <si>
    <t>demand issued, Client promised to pay  the balance 2/08/2024</t>
  </si>
  <si>
    <t>MERCY MWIKALI KYALO</t>
  </si>
  <si>
    <t>L32515</t>
  </si>
  <si>
    <t>NEBERT KANGWANA</t>
  </si>
  <si>
    <t>Waiver of account approval</t>
  </si>
  <si>
    <t>Pending mgt approval to deduct from invoice-client confirmed</t>
  </si>
  <si>
    <t>L38023</t>
  </si>
  <si>
    <t>DAVID SOMOIRE SHANKA</t>
  </si>
  <si>
    <t>Breaking PTP-visit scheduled 02/08/2024</t>
  </si>
  <si>
    <t>Partially paid and has committed to make unconfirmed deposit tomorrow</t>
  </si>
  <si>
    <t>Client signing restructure offer.</t>
  </si>
  <si>
    <t>L34905</t>
  </si>
  <si>
    <t xml:space="preserve">ELIAS MUTETHIA MATE </t>
  </si>
  <si>
    <t>Unit at yard/paid partially</t>
  </si>
  <si>
    <t>To give out cheque in honor of the agreement to pay 1.5million</t>
  </si>
  <si>
    <t>Account has no arrears</t>
  </si>
  <si>
    <t>To pay this evening</t>
  </si>
  <si>
    <t xml:space="preserve"> CCIN000350-1000-005</t>
  </si>
  <si>
    <t>a visit is scheduled for 9th Agust 2024</t>
  </si>
  <si>
    <t>Account being reviewed for closure</t>
  </si>
  <si>
    <t>E</t>
  </si>
  <si>
    <t>Demand running client working on clearing arrears today</t>
  </si>
  <si>
    <t>The client will clear the remaining amount in arrears by 4pm today.02/08/2024</t>
  </si>
  <si>
    <t>The client to clear the arrears on 3rd August 2024. Demand issued on 25th July 2024.</t>
  </si>
  <si>
    <t>Arrears to be overnight</t>
  </si>
  <si>
    <t>Request for waiver to be done</t>
  </si>
  <si>
    <t xml:space="preserve">Following up with clients to clear arrears </t>
  </si>
  <si>
    <t>Committement to clear arrears before close of business</t>
  </si>
  <si>
    <t>Demand running on account however reminder via sms done to client</t>
  </si>
  <si>
    <t>Demand running on account however reminder via email done to client</t>
  </si>
  <si>
    <t>L35122</t>
  </si>
  <si>
    <t>BENSON ZAKAYO OMBIKO OKWAYO</t>
  </si>
  <si>
    <t>Account Fully paid</t>
  </si>
  <si>
    <t>Client is unwell. He will give me a feedback tomorrow</t>
  </si>
  <si>
    <t>Client to clear arrears by 5th as sahred via email. She will make another payment tomorrow</t>
  </si>
  <si>
    <t>Fully Paid</t>
  </si>
  <si>
    <t>Repo Issued. Auctioneers are tracing the vehicle</t>
  </si>
  <si>
    <t>Demand isssued. Reminder sent via all channels</t>
  </si>
  <si>
    <t>L39005</t>
  </si>
  <si>
    <t>PETER IKULI KAUVE</t>
  </si>
  <si>
    <t xml:space="preserve">Weekend </t>
  </si>
  <si>
    <t>Called client at the moment shes not in position of making payment but promised to pay by 5th meanwhile she has send email commitment to pay by 5th August</t>
  </si>
  <si>
    <t>unit at yard looking for buyer to dispose client is not co-operating</t>
  </si>
  <si>
    <t>Unit at the yard not yet sold,client awaits salary by 5th August to clear arrears</t>
  </si>
  <si>
    <t>unit at the yard send a letter to clear the next 2 weeks,following up on the payments</t>
  </si>
  <si>
    <t>Demand running waiting for salary by 5th to clear</t>
  </si>
  <si>
    <t>Cheque banked arrears fully paid via paybill</t>
  </si>
  <si>
    <t>Client to pay today</t>
  </si>
  <si>
    <t>Demand running ,client to pay 10,000 today</t>
  </si>
  <si>
    <t>unit at the yard,To issue intent of sale on 3/08/2024</t>
  </si>
  <si>
    <t xml:space="preserve">Demand issued and reminder sent </t>
  </si>
  <si>
    <t>Demand running commited to settle the amount  on or before the 5th due.</t>
  </si>
  <si>
    <t>Demand running ,Client commited to payoff the loan on third August 2024</t>
  </si>
  <si>
    <t>L39001</t>
  </si>
  <si>
    <t>Client commited to payoff the loan on third August 2024</t>
  </si>
  <si>
    <t>L39180</t>
  </si>
  <si>
    <t>MICHAEL GITITU MACHARIA</t>
  </si>
  <si>
    <t>applied for facility by COOP to be ready by 8th August</t>
  </si>
  <si>
    <t>victor okombo</t>
  </si>
  <si>
    <t>account fully paid</t>
  </si>
  <si>
    <t>the client to make payment of KES 100,000.00 on 3rd August/has proposal to pay 1.3 million within 30 days</t>
  </si>
  <si>
    <t>He has today banked a cheque and to clear on 6th August/to pay 400,000.00</t>
  </si>
  <si>
    <t>we will conduct a visit on 5th August</t>
  </si>
  <si>
    <t>Moses Mbuthia Migwi</t>
  </si>
  <si>
    <t>Car sold and the buyer working to clear the remaining balance</t>
  </si>
  <si>
    <t xml:space="preserve"> L23881</t>
  </si>
  <si>
    <t>Suleiman Murunga Kasuti</t>
  </si>
  <si>
    <t>the client working to pay the amount agreed by the management.</t>
  </si>
  <si>
    <t>cleared</t>
  </si>
  <si>
    <t>L36483</t>
  </si>
  <si>
    <t>Demand running client to clear arrears by 6th Aug</t>
  </si>
  <si>
    <t>Client unresponsive on call and emails however constant emails sent to client to clear arrears</t>
  </si>
  <si>
    <t>Auctionner is tracing the unit</t>
  </si>
  <si>
    <t>L39027</t>
  </si>
  <si>
    <t>MUTINDA MWENDWA MUTUTO</t>
  </si>
  <si>
    <t xml:space="preserve"> b</t>
  </si>
  <si>
    <t>partially paid ,reminder sent.Demand running.</t>
  </si>
  <si>
    <t>Client to pay 3000 today evening ,demand running.</t>
  </si>
  <si>
    <t>Client has promised to clear arrears on Monday,unit at the yard.</t>
  </si>
  <si>
    <t>Client disputing arrears.Reminder sent. Demand running.To follow up on again on Monday.</t>
  </si>
  <si>
    <t>Client to clear on Monday,Reminder sent,demand running</t>
  </si>
  <si>
    <t>Reminder sent ,Client not picking calls,unit at the yard.</t>
  </si>
  <si>
    <t>Demand running, client has committed to make the payment this afternoon 03/8/2023</t>
  </si>
  <si>
    <t xml:space="preserve">DEMAND running , Client not responding to calls, i have confirmed the vehicle is tracking </t>
  </si>
  <si>
    <t xml:space="preserve">DEMAND running ,  Client not responding to calls, i have confirmed the vehicle is tracking </t>
  </si>
  <si>
    <t>VICTOR OKOMBO</t>
  </si>
  <si>
    <t>Paying KES 100,000.00 by 3pm</t>
  </si>
  <si>
    <t>a visit is scheduled for 5th August 2024</t>
  </si>
  <si>
    <t>MOSES  MBUTHIA MIGWI</t>
  </si>
  <si>
    <t>Unit sold and  the buyer to deposit the remainder balance before the end of the month</t>
  </si>
  <si>
    <t>The client will clear the remainder arrears by 4pm today.</t>
  </si>
  <si>
    <t>Arrears shared and the client will clearing the arrears by COB.05.08.2024</t>
  </si>
  <si>
    <t>Request through Bm to waive the penalty</t>
  </si>
  <si>
    <t xml:space="preserve">Client requested for early settlement </t>
  </si>
  <si>
    <t>Buyoff from Simple pay-Approved</t>
  </si>
  <si>
    <t>L39139</t>
  </si>
  <si>
    <t>PATRICK NDIRANGU KINUTHIA</t>
  </si>
  <si>
    <t>Client expecting funds by 7pm to clear the wekend loan</t>
  </si>
  <si>
    <t>Client promised to clear insuarance arrears by tomorrow.</t>
  </si>
  <si>
    <t>L39138</t>
  </si>
  <si>
    <t>L36690</t>
  </si>
  <si>
    <t xml:space="preserve">DAMARIS  KAARI NJAGI </t>
  </si>
  <si>
    <t>overnight</t>
  </si>
  <si>
    <t xml:space="preserve"> GIBSON KIMOLI MUTUA</t>
  </si>
  <si>
    <t>Awaiting cheque to clear</t>
  </si>
  <si>
    <t>L33011</t>
  </si>
  <si>
    <t xml:space="preserve"> PETER IKULI KAUVE</t>
  </si>
  <si>
    <t>Unit at the yard,car has been advertised</t>
  </si>
  <si>
    <t>unit at the yard,to issue an intent of sale today</t>
  </si>
  <si>
    <t>L39061</t>
  </si>
  <si>
    <t>BENJAMIN GATHIRU</t>
  </si>
  <si>
    <t>L35976</t>
  </si>
  <si>
    <t xml:space="preserve">GEORGE NJOROGE </t>
  </si>
  <si>
    <t>Client not cooperative,demand expired ,to reclaim unit by 12/08/2024 after his next due date</t>
  </si>
  <si>
    <t>Client to pay 2000,demand running and reminder sent.</t>
  </si>
  <si>
    <t>Client claims he has no money,unit at the yard,to issue an intent of sale today.</t>
  </si>
  <si>
    <t>Reminder sent ,client disputing arrears,he promised to start paying from 14 /08/2024.Demand running</t>
  </si>
  <si>
    <t>Undertaking currently underway.Demand running.</t>
  </si>
  <si>
    <t>Client has promised to clear arrears tomorrow once an investigation regarding repossesion of his unit is completed later today</t>
  </si>
  <si>
    <t>Demand running. I sent reminders. Demand to expire on 8.8.2024</t>
  </si>
  <si>
    <t>Client to clear arrears tomorrow before EOD</t>
  </si>
  <si>
    <t>Repo running/ auctioneers are tracing the unit</t>
  </si>
  <si>
    <t>Account Fully Paid</t>
  </si>
  <si>
    <t>Demand running. I sent reminders. Client had sent an email committing to clear arrears on 5.8.2024</t>
  </si>
  <si>
    <t>Demand running, has has signed a ptp to pay the loan withing the week</t>
  </si>
  <si>
    <t xml:space="preserve">Demand running ,following up with the client to clear </t>
  </si>
  <si>
    <t xml:space="preserve">DEMAND ISSUES </t>
  </si>
  <si>
    <t>DAMARIS KAARI NJAGI</t>
  </si>
  <si>
    <t>NEBERT</t>
  </si>
  <si>
    <t>The client to make a payment of KES 100,000.00 by 6th August 2024</t>
  </si>
  <si>
    <t>A visit is scheduled for 6th aUGUST 2024</t>
  </si>
  <si>
    <t>Unit at yard and the client to redeem the unit before the end of the week from the expected funds</t>
  </si>
  <si>
    <t>STEPHEN MULEI</t>
  </si>
  <si>
    <t>Applied for a facility with COOP bank to be ready on 7th August 2024</t>
  </si>
  <si>
    <t>Unit sold and the buyer to deposit the remaining amount before the week ends</t>
  </si>
  <si>
    <t xml:space="preserve">Client request to have penalties waved </t>
  </si>
  <si>
    <t>Demand running client to clear arrears by 7th Aug</t>
  </si>
  <si>
    <t>Demand running client to clear arrears before 10th</t>
  </si>
  <si>
    <t>Client working on clearing arrears</t>
  </si>
  <si>
    <t>Buy off from Simple pay approved awaiting payment</t>
  </si>
  <si>
    <t>Committment from client to clear arrears by tonight</t>
  </si>
  <si>
    <t xml:space="preserve">Demand running on account reminders being done to client to clear arrears </t>
  </si>
  <si>
    <t xml:space="preserve">Intend of sale issiued to client ,Reminder sent </t>
  </si>
  <si>
    <t>Cheque banked awaits to clear</t>
  </si>
  <si>
    <t>Partially paid ,demand expired ,to reclaim unit by 12/08/2024 after his next due date</t>
  </si>
  <si>
    <t>Talked to client who keeps promising to pay but to no avail.Demand running and reminder sent.</t>
  </si>
  <si>
    <t xml:space="preserve">Intent of sale issiued to client ,Reminder sent </t>
  </si>
  <si>
    <t>Undertaking in progress</t>
  </si>
  <si>
    <t xml:space="preserve">L36583
</t>
  </si>
  <si>
    <t xml:space="preserve">GEORGE KAMAU KIHARA AND LUCY NJERI KAMAU
</t>
  </si>
  <si>
    <t>Banked</t>
  </si>
  <si>
    <t>L36587</t>
  </si>
  <si>
    <t>Demand running, client to clear arrears by noon tomorrow. The unit is tracking</t>
  </si>
  <si>
    <t>Demand running. Client had committed to clear arrears tomorrow via email.</t>
  </si>
  <si>
    <t>Demand running, Ptp signed , following up with the client to the arres</t>
  </si>
  <si>
    <t>Invoice deduction still being finalised by finance-to keep follow up</t>
  </si>
  <si>
    <t>to conduct a visit on 6th August 2024</t>
  </si>
  <si>
    <t>Applied for facility with COOP to be credited on 7th August 2024</t>
  </si>
  <si>
    <t>Unit at  yard/Expecting funds between 7th and 8th August</t>
  </si>
  <si>
    <t>L23881</t>
  </si>
  <si>
    <t xml:space="preserve">SULEIMAN MURUNGA KASUTI </t>
  </si>
  <si>
    <t>to pay 2million next week on wednesday from the expected funds</t>
  </si>
  <si>
    <t xml:space="preserve">SIMON GITAU WANGU </t>
  </si>
  <si>
    <t>CHEQUE DISCOUNTING</t>
  </si>
  <si>
    <t>Partial payment of 15,100 done via paybill</t>
  </si>
  <si>
    <t>Client expecting clients at 7pm to clear arrears</t>
  </si>
  <si>
    <t>Client not responding to calls</t>
  </si>
  <si>
    <t>Demand running on account however I dscussed with client toi clear arrears today</t>
  </si>
  <si>
    <t>Committement from client to clear arrears today by 8pm</t>
  </si>
  <si>
    <t>Commitment from client to clear arrears 8th Aug as he clears his due accounts</t>
  </si>
  <si>
    <t>Client resides in Nyeri</t>
  </si>
  <si>
    <t>NORAH</t>
  </si>
  <si>
    <t>Unit at the yard already advertised</t>
  </si>
  <si>
    <t>unit at the yard ,intend to sale was send,client promised to visit the office he wants his salary to be attached</t>
  </si>
  <si>
    <t>Visited the client he was not in the office i called him promised to make payment 8th</t>
  </si>
  <si>
    <t>WILLYS  ODHIAMBO OKWARO</t>
  </si>
  <si>
    <t>L32962</t>
  </si>
  <si>
    <t>SAFARI KEVIN LEWIS</t>
  </si>
  <si>
    <t>Client gave us a cheque worth 500,000 will be banked by 9th</t>
  </si>
  <si>
    <t>Lives in Baraka estate,along north airport rd.Demand running</t>
  </si>
  <si>
    <t>Client was not home at the time of visit,to vist her tomorrow morning for payment or self booking unit at kiambu rd.Demand running.</t>
  </si>
  <si>
    <t>client due on 15/08/2024</t>
  </si>
  <si>
    <t>client not picking calls,unit at the yard</t>
  </si>
  <si>
    <t>Client has an office at industrial area, lives in kikuyu</t>
  </si>
  <si>
    <t xml:space="preserve">Home visit done,not authourised to enter residence  , demand running and vehicle is tracking </t>
  </si>
  <si>
    <t>L37368</t>
  </si>
  <si>
    <t>MARWA  THOMAS MWITA</t>
  </si>
  <si>
    <t>L37096</t>
  </si>
  <si>
    <t>ROSEMARIE ANYANGO OMONDI</t>
  </si>
  <si>
    <t>EOD</t>
  </si>
  <si>
    <t>ACCOUNTANT</t>
  </si>
  <si>
    <t>client resides in Karen</t>
  </si>
  <si>
    <t>Visit done at the firm/To give cheques of KES 1.3 million on 12th August</t>
  </si>
  <si>
    <t>Visit done/committment to pay by 10th August as per the notice to sell from the facility applied for at the bank</t>
  </si>
  <si>
    <t>Visit not succesful/but will visit the office on 9th August/unit at yard</t>
  </si>
  <si>
    <t>Visited the office an gave committment to clear the arrears by 16th August 2024</t>
  </si>
  <si>
    <t xml:space="preserve">DAVID SOMOIRE SHANKA  </t>
  </si>
  <si>
    <t>Has confirmed PTP to pay 1.5M 09/08/2024</t>
  </si>
  <si>
    <t>title deed</t>
  </si>
  <si>
    <t>Visit done at Hurlingam and paid partially</t>
  </si>
  <si>
    <t xml:space="preserve">Committiment from client to clear arrears 14th </t>
  </si>
  <si>
    <t>Committiment from client to clear part of the arrears overnight .</t>
  </si>
  <si>
    <t>Client has done a partial payment of 10,000 to clear arrears today.</t>
  </si>
  <si>
    <t>L34909</t>
  </si>
  <si>
    <t>Cheque ban</t>
  </si>
  <si>
    <t>H</t>
  </si>
  <si>
    <t>Demand running on account however client is working on clearing arrears.</t>
  </si>
  <si>
    <t>Demand running on account however client is working on clearing arrears</t>
  </si>
  <si>
    <t>L36758</t>
  </si>
  <si>
    <t>BRIAN OMBASO NYABUTO</t>
  </si>
  <si>
    <t>Request for a rollover , client to pay for the the fee</t>
  </si>
  <si>
    <t>L39213</t>
  </si>
  <si>
    <t>RITAH MUTHONI NJUYA</t>
  </si>
  <si>
    <t>Request for a rollover</t>
  </si>
  <si>
    <t>Client promised to visit the office forn payment plan</t>
  </si>
  <si>
    <t>client gave out cheque to deposit by 14th</t>
  </si>
  <si>
    <t>Client promised to clear by 9th august</t>
  </si>
  <si>
    <t>L39229</t>
  </si>
  <si>
    <t>EVERLYN MBINYA NDUVA</t>
  </si>
  <si>
    <t>Repo issued/auctioneer tracing the unit</t>
  </si>
  <si>
    <t xml:space="preserve">Demand issued. </t>
  </si>
  <si>
    <t>Proposed a one off payment of KES 1.3 million which is still under approval</t>
  </si>
  <si>
    <t>Visited the office and gave committment to fully pay the arrears by 16th August</t>
  </si>
  <si>
    <t>Unit at yard/advertised.working to redeem before the week ends</t>
  </si>
  <si>
    <t xml:space="preserve">Demand running on account,clien unresponsive on phone however reminders have been to client </t>
  </si>
  <si>
    <t>Partial payments done however a demand is running on account</t>
  </si>
  <si>
    <t>Partial payment done following up with client to clear arrears</t>
  </si>
  <si>
    <t>Demand running on account however client is woring on clearing arrears</t>
  </si>
  <si>
    <t xml:space="preserve">Cheque banked to clear </t>
  </si>
  <si>
    <t xml:space="preserve">Committemnt from clear insuarance arrears </t>
  </si>
  <si>
    <t xml:space="preserve">Client requested for a </t>
  </si>
  <si>
    <t>STEPHEN IGOGO MWANGI</t>
  </si>
  <si>
    <t>Committement to clear arrears by 7pm today</t>
  </si>
  <si>
    <t xml:space="preserve">Unit at the yard not yet sold,client to pay some cash by 10th </t>
  </si>
  <si>
    <t>L38297</t>
  </si>
  <si>
    <t>Client to pay via paybill</t>
  </si>
  <si>
    <t>To bank cheque at 2.00pm - banked .Demand expired</t>
  </si>
  <si>
    <r>
      <rPr>
        <rFont val="Calibri"/>
        <color theme="1"/>
        <sz val="11.0"/>
      </rPr>
      <t xml:space="preserve">To pay 7,000 before noon,Partially </t>
    </r>
    <r>
      <rPr>
        <rFont val="Calibri"/>
        <color rgb="FF1155CC"/>
        <sz val="11.0"/>
        <u/>
      </rPr>
      <t>paid</t>
    </r>
    <r>
      <rPr>
        <rFont val="Calibri"/>
        <color theme="1"/>
        <sz val="11.0"/>
      </rPr>
      <t>,client to clera arrear on saturday and sunday</t>
    </r>
  </si>
  <si>
    <t>client not picking calls, only communicating throgh email and was to clear arrears yesterday but did not honour .Reminder sent .unit at the yard</t>
  </si>
  <si>
    <t>To clear balance tomorrow 10/08/2024</t>
  </si>
  <si>
    <t>Visit done on 07/08/2024/to give cheque of 1.3 million on 12th August</t>
  </si>
  <si>
    <t xml:space="preserve">A visit is rescheduled for 12th August 2024 since the client failed to honor the ptp for 9th August 2024
</t>
  </si>
  <si>
    <t xml:space="preserve">Visit not succesfull/the client was not available in the office at NGCDF-Harambee saccoo society
</t>
  </si>
  <si>
    <t>Partial payment done however client to clear arrears today</t>
  </si>
  <si>
    <t>Payment to be done by end of today</t>
  </si>
  <si>
    <t>Client communicated to clear arrears today evening</t>
  </si>
  <si>
    <t>Demand running however reminder done to client to clear arrears</t>
  </si>
  <si>
    <t>Client banked a cheque to clear on monday</t>
  </si>
  <si>
    <t xml:space="preserve">Demand running on account however reminder done to client </t>
  </si>
  <si>
    <t>Committment from client to clear arrears today</t>
  </si>
  <si>
    <t>unit at the yard,client promised to make some  payments by 12th August</t>
  </si>
  <si>
    <t>Scheduled a meeting with the client on 12th client to share payment propasal</t>
  </si>
  <si>
    <t>Cheque to be banked on 13th August</t>
  </si>
  <si>
    <t>Client to clear balance over the weekend ,demand running</t>
  </si>
  <si>
    <t>client not picking calls, only communicating throgh email and was to clear arrears on friday but did not honour .Reminder sent .unit at the yard</t>
  </si>
  <si>
    <t>L39155</t>
  </si>
  <si>
    <t>ERNEST MUMO KILONZO</t>
  </si>
  <si>
    <t>vehicle tracking, demand running, engaging the client to offset the arrears</t>
  </si>
  <si>
    <t>Vehicle tracking, demand running, Client no responding to calls reminder sent</t>
  </si>
  <si>
    <t>L39235</t>
  </si>
  <si>
    <t>JEFLOY MWIRIGI MARANGU</t>
  </si>
  <si>
    <t>L38450</t>
  </si>
  <si>
    <t>PETER MACHARIA MWANIKI MUNUHE</t>
  </si>
  <si>
    <t>Repo issiued/auctioneer tracing the unit</t>
  </si>
  <si>
    <t>Client to clear arrears in the afternoon</t>
  </si>
  <si>
    <t>A visit is scheduled for 14th August 2024</t>
  </si>
  <si>
    <t>Visited the office and gave committment to pay the arrears by 16th August</t>
  </si>
  <si>
    <t>Commitment from client to clear arrears 14th Aug as he clears his due accounts</t>
  </si>
  <si>
    <t>Commitment from client to clear arrears14thAug as he clears his due accounts</t>
  </si>
  <si>
    <t xml:space="preserve">demand issued, commited to make payment before end of day </t>
  </si>
  <si>
    <t xml:space="preserve">Client communicated to clear arrears Tomorrow </t>
  </si>
  <si>
    <t>Demand issued.</t>
  </si>
  <si>
    <t>demand issued on the account , client to send an email requesting for the a rollover</t>
  </si>
  <si>
    <t>demand issued  Committment from client to clear arrears today 4pm , yet to make the payment , not responding to calls upon follow up</t>
  </si>
  <si>
    <t>L27128</t>
  </si>
  <si>
    <t>ROBERT KIPKEMOI KIRUI</t>
  </si>
  <si>
    <t>L32528</t>
  </si>
  <si>
    <t>SILAS NJIRU GATURU</t>
  </si>
  <si>
    <t>L39329</t>
  </si>
  <si>
    <t>AGNES WAMBUI MUTHUA</t>
  </si>
  <si>
    <t xml:space="preserve">unit at the yard and advertised </t>
  </si>
  <si>
    <t>unit at the yard,client promised to visit the office by 13th August</t>
  </si>
  <si>
    <t>called client he was out of town promise to visit the office for payment plan</t>
  </si>
  <si>
    <t>client gave out cheque should be deposited by 13th</t>
  </si>
  <si>
    <t>Client to make payment by 13th</t>
  </si>
  <si>
    <t>Cheque banked,awaiting arrears to clear</t>
  </si>
  <si>
    <t>L39400</t>
  </si>
  <si>
    <t>NELSON KENDA MWANGI</t>
  </si>
  <si>
    <t>L36001</t>
  </si>
  <si>
    <t>PROF. HERBERT OUMA OBURRA</t>
  </si>
  <si>
    <t>To clear balance by end of today,demand expired .Repo to be issued tomorrow</t>
  </si>
  <si>
    <t>Client to clear loan today,demand running</t>
  </si>
  <si>
    <t>fully paid</t>
  </si>
  <si>
    <t>Unit at the yard,to advertise unit as client is uncooperative</t>
  </si>
  <si>
    <t>JOSEPH  OPIYO WARERO</t>
  </si>
  <si>
    <t>undertaking in progress</t>
  </si>
  <si>
    <t>L39375</t>
  </si>
  <si>
    <t>G CLEPH LIMITED</t>
  </si>
  <si>
    <t>TO  Make payment via rtgs</t>
  </si>
  <si>
    <t xml:space="preserve">Client has commited the settle the arrears tomorrow </t>
  </si>
  <si>
    <t xml:space="preserve">No responding on called , demand running, vehile is tracking </t>
  </si>
  <si>
    <t>L38520</t>
  </si>
  <si>
    <t>JUDITH MWONGELI KATUMO</t>
  </si>
  <si>
    <t>L39328</t>
  </si>
  <si>
    <t>BETH WANJIRU MWANGI</t>
  </si>
  <si>
    <t>L39295</t>
  </si>
  <si>
    <t>Client to clear arrears tomorrow</t>
  </si>
  <si>
    <t>Cheque to be banked tomorrow at noon</t>
  </si>
  <si>
    <t>Reppo issued</t>
  </si>
  <si>
    <t>Client to make payment before EOD - Demand running</t>
  </si>
  <si>
    <t>L29584</t>
  </si>
  <si>
    <t>Maureen mugasia</t>
  </si>
  <si>
    <t>A visit is scheduled for 13th August 2024 to pick up cheques forbanking</t>
  </si>
  <si>
    <t>Unit at yard and advertised for sale/the client to clear before the week ends from the expected funds</t>
  </si>
  <si>
    <t>13/08/2024</t>
  </si>
  <si>
    <t>Demand issued, commited to make payment before close of business.</t>
  </si>
  <si>
    <t>Committment from client to clear arrears tomorrow 14/8</t>
  </si>
  <si>
    <t>Demand running account because of tracking arrears however client is expecting some money to clear arrears.</t>
  </si>
  <si>
    <t>Demand Running on account and following up with client to clear the insuarance arrears.</t>
  </si>
  <si>
    <t>Demand running on account however a reminder has been  sent to client to clear arrears</t>
  </si>
  <si>
    <t xml:space="preserve">unit at the yard and advertised ,send her sms  to know her plans with the unit,awaiting her response,visit is scheduled for 15th </t>
  </si>
  <si>
    <t>unit at the yard,client didnt manage will visit him by 15th</t>
  </si>
  <si>
    <t>client called to instruct what time to deposit the cheque</t>
  </si>
  <si>
    <t>Client requested for a restructure approval sent</t>
  </si>
  <si>
    <t>TERRY  WANJIKU  KIARIE WIJENJE</t>
  </si>
  <si>
    <t>seeked extension</t>
  </si>
  <si>
    <t>Client had committed to clear loan today by 2.00pm,demand expired,reminder sent</t>
  </si>
  <si>
    <t>undertaking approved</t>
  </si>
  <si>
    <t>banked</t>
  </si>
  <si>
    <t>Client has committed to pay the balance today if does not manage to pay he will self-book the vehicle at our yard. first thing tomorrow Morning.</t>
  </si>
  <si>
    <t>Clients Phone is off, Demand running, i have called the guarantor (husband) and his not responding to calls, phone ring no responses. i have confirmed the vehicle is tracking.</t>
  </si>
  <si>
    <t>L37574</t>
  </si>
  <si>
    <t>NICHOLAS NZIOKA MWEU</t>
  </si>
  <si>
    <t>L35354</t>
  </si>
  <si>
    <t>BETTY MWIU M.</t>
  </si>
  <si>
    <t>Partially paid. Her payment delayed she will clear the balance by Sat.</t>
  </si>
  <si>
    <t>Partially paid. Client to pay the balance tomorrow</t>
  </si>
  <si>
    <t>Cadua Auctioneers are tracing the unit.</t>
  </si>
  <si>
    <t>Client to make another payment before end of day. Demand running</t>
  </si>
  <si>
    <t>Visited the office and commits to clear by 16th August</t>
  </si>
  <si>
    <t>Unit at yard/ to redeem the unit by 14th August 2024</t>
  </si>
  <si>
    <t>Proposal to pay 1.3 million is under approval for the client to issue cheques</t>
  </si>
  <si>
    <t>The client visited the office today and committs to wire 1.5 million latest tomorrow</t>
  </si>
  <si>
    <t>Visit done today at the office and to make partial payment on 14th August and share  payment proposal by 16th August for approval</t>
  </si>
  <si>
    <t>14/08/2024</t>
  </si>
  <si>
    <t>To pay by 4pm</t>
  </si>
  <si>
    <t xml:space="preserve">Client commited to clear the arrers this evening </t>
  </si>
  <si>
    <t>Client not responding to calls however we have a sms reminder via smart collect for the client to clear arrears</t>
  </si>
  <si>
    <t>client promised to visit the office  we discuss payment plan</t>
  </si>
  <si>
    <t>Client visited the office  he wrote a letter request to hold  on selling his car untill 14th september to clear his loan</t>
  </si>
  <si>
    <t>Called client his phone was unavailable, will follow up or will deposit the cheque tomorrow if he wont communicate</t>
  </si>
  <si>
    <t>L39353</t>
  </si>
  <si>
    <t>fully paid.</t>
  </si>
  <si>
    <t>Client not commital ,has an expired demand letter.</t>
  </si>
  <si>
    <t>Undertaking approved</t>
  </si>
  <si>
    <t>L39222</t>
  </si>
  <si>
    <t>client to pay by 7.00 pm today,demand to be issiued tomorrow incase of failed payment</t>
  </si>
  <si>
    <t>Client has self booked,</t>
  </si>
  <si>
    <t xml:space="preserve">Not responding to calls , Demand still running, Vehicle still tracking </t>
  </si>
  <si>
    <t>BENSON MWANGI MURAGE</t>
  </si>
  <si>
    <t xml:space="preserve">Client to make payment on the 16th </t>
  </si>
  <si>
    <t>L25069</t>
  </si>
  <si>
    <t>JOSEPH OUMA OSEWE</t>
  </si>
  <si>
    <t>a/c cleared.</t>
  </si>
  <si>
    <t>Cheque Banked</t>
  </si>
  <si>
    <t>Client to clear arrears by Sat. Her payment delayed resulting her to making a partial payment</t>
  </si>
  <si>
    <t>Repossession issued to Cadua who are tracing the unit</t>
  </si>
  <si>
    <t>To visit the client tomorrow at his office if he doesn't clear the arrears</t>
  </si>
  <si>
    <t>Awaiting approval for early settlement request.</t>
  </si>
  <si>
    <t>Held a meeting with the management/committed to clear the arrears by 16th August</t>
  </si>
  <si>
    <t>Unit at yard/arrears shared as per the request/clearing this evening</t>
  </si>
  <si>
    <t>Agreement with the management to pay 2 million/funds expected as from today latest tomorrow/to wire</t>
  </si>
  <si>
    <t>Client visit conducted on 13th August/to share committment to fully clear by 16th August</t>
  </si>
  <si>
    <t>Approval awaited on client's proposal to pay 1.3 million/cheques to be picked up once accepted</t>
  </si>
  <si>
    <t>CCIN001005-3000-002</t>
  </si>
  <si>
    <t>Margaret Waithera Munyori</t>
  </si>
  <si>
    <t>stephen Mulei</t>
  </si>
  <si>
    <t>Propery sold/paid partially and balance expected in any moment this week</t>
  </si>
  <si>
    <t>15/08/2024</t>
  </si>
  <si>
    <t>Client still not responding calls however reminder done to him to clear arrears outstanding</t>
  </si>
  <si>
    <t>Partial payment following up with client to clear arrearrs</t>
  </si>
  <si>
    <t xml:space="preserve">Client to clear arrears today by 7pm </t>
  </si>
  <si>
    <t>Client to receive cash on the 17th to  clear both due installment and arrearrs</t>
  </si>
  <si>
    <t>Demand running on account however there is a ptp for 17th for client to clear arrears</t>
  </si>
  <si>
    <t>Client committed to atleast make a partial payment of 3k today by 7pm</t>
  </si>
  <si>
    <t>Client not responding to calls but reminder has been done to him to clear arrears</t>
  </si>
  <si>
    <t>Demand running on account however client to visit the office tomorrow 16th to clear arrears</t>
  </si>
  <si>
    <t>Demand running on account client planning to settle arrears</t>
  </si>
  <si>
    <t>The client made a payment of KES 15,000.00 through paybill dated 14th August 2024 and will be clearing the balance today by COB from the expected funds.</t>
  </si>
  <si>
    <t>L35440</t>
  </si>
  <si>
    <t>Client has requested for a buyoff from Simple pay credit</t>
  </si>
  <si>
    <t>Client scheduled our meeting because she had another meeting ,will do a field visit by 19/8/2024</t>
  </si>
  <si>
    <t>Held a meeting with the management/committed to clear the arrears by 16th september</t>
  </si>
  <si>
    <t>client he is in a meeting promised to call back ,still following up with the same</t>
  </si>
  <si>
    <t>Restructure done</t>
  </si>
  <si>
    <t>Demand running  on the account,client promised to start making partial payment by 16/8/2024</t>
  </si>
  <si>
    <t>L36926</t>
  </si>
  <si>
    <t>WILLIAM ONYANGO OYUGI</t>
  </si>
  <si>
    <t>L39516</t>
  </si>
  <si>
    <t>THE ALTRIGA</t>
  </si>
  <si>
    <t>Client promised to make payment  21st where he was expecting the cash it has delayed,will follow up with the same</t>
  </si>
  <si>
    <t>L39271</t>
  </si>
  <si>
    <t>TIMOTHY KANIU GATHURA</t>
  </si>
  <si>
    <t>Client to clear by 7.00pm</t>
  </si>
  <si>
    <t xml:space="preserve">Vehicle booked at the yard , client working to sort the arrears </t>
  </si>
  <si>
    <t>Client to clear arrears by Sat</t>
  </si>
  <si>
    <t>Client unwell. Demand running. Client to clear arrears on Sat</t>
  </si>
  <si>
    <t>Repossession running and order issued to Cadua Cadua</t>
  </si>
  <si>
    <t>To visit the client tomorrow with the BM</t>
  </si>
  <si>
    <t>Review by audit for consideration of approval</t>
  </si>
  <si>
    <t>Unit at yard/We will proceed with the advertisement</t>
  </si>
  <si>
    <t>Agreement to pay 2million/Money expected later today and to wire 1.5 Million tomorrow</t>
  </si>
  <si>
    <t>Visit scheduled for 16th August at CBD office</t>
  </si>
  <si>
    <t>16/08/2024</t>
  </si>
  <si>
    <t>Client to clear arrears today by end of day</t>
  </si>
  <si>
    <t>L23673</t>
  </si>
  <si>
    <t>VICTOR SHUM ELAD TAKU</t>
  </si>
  <si>
    <t>GEOFFREY AMOLO ONYANGO OTIENO C/O ASCCENTECH EAST AFRICA LTD</t>
  </si>
  <si>
    <t>she had scheduled a meeting with the office to discuss her payment plan but she still caught up will advice when she'll visit,unit at the yard and it's advertised</t>
  </si>
  <si>
    <t>Visited the office wrote a commitment letter he will clear his loan and arrears on 16th September</t>
  </si>
  <si>
    <t>lines are  not going through.land on auction</t>
  </si>
  <si>
    <t>To Start paying partial today follow up</t>
  </si>
  <si>
    <t>Awaiting his payments until 24th August</t>
  </si>
  <si>
    <t>Client has promised to clear arrears by 7.00 pm</t>
  </si>
  <si>
    <t>Client will take the vehicle to the yard over the weekend , Demand still running, Vehicle still tracking within rongai region  2am</t>
  </si>
  <si>
    <t xml:space="preserve">Clients  sited a pending payment, his awaiting to pay the installment, will be making payment next week </t>
  </si>
  <si>
    <t xml:space="preserve">WILFRED M OMARIBA  </t>
  </si>
  <si>
    <t xml:space="preserve">Client to clear arrears by tomorrow. Demand issued and uploaded on smart collect. </t>
  </si>
  <si>
    <t>Demand issued. Client unwell but he agreed to cleat the arrears tomorrow</t>
  </si>
  <si>
    <t>Repossession issued to Cadua Cadua. Investigation on going, to forward file for litigation if they do not repossess the unit by Monday</t>
  </si>
  <si>
    <t>Demand running. Client visit resheduled to tomorrow due to unforseen circumstances</t>
  </si>
  <si>
    <t>The updates will clear the arrears by 17th August 2024</t>
  </si>
  <si>
    <t>Unit at yard/funds got delayed until 19th August 2024</t>
  </si>
  <si>
    <t>Client has promised to issue cheques today for payment. In a meeting at DCI this afternoon and thereafter confirm picking of cheques</t>
  </si>
  <si>
    <t>Visit not successful the client was not available/rescheduled to 19th August 2024</t>
  </si>
  <si>
    <t>17/08/2024</t>
  </si>
  <si>
    <t>The client client committs to clear the arrears by 19th August</t>
  </si>
  <si>
    <t>Agreement to pay 2 million/to give cheques on 19th August 2024</t>
  </si>
  <si>
    <t>A visit is cheduled for 19th August 2024</t>
  </si>
  <si>
    <t>19/08/2024</t>
  </si>
  <si>
    <t>Cleint not cooperative,file to be prosecuted</t>
  </si>
  <si>
    <t>To pay on 21st August after getting to Nairobi</t>
  </si>
  <si>
    <t>Repo to be issued on 20th August 2024</t>
  </si>
  <si>
    <t>Paying by 22nd August</t>
  </si>
  <si>
    <t>Seeking loan restructure which was declined</t>
  </si>
  <si>
    <t>To pay on 20th August</t>
  </si>
  <si>
    <t>Committment to clear the arrears by 20th August 2024</t>
  </si>
  <si>
    <t>Undertaking the facility with Simple pay</t>
  </si>
  <si>
    <t>L36233</t>
  </si>
  <si>
    <t>Extended</t>
  </si>
  <si>
    <t>L31017</t>
  </si>
  <si>
    <t>MOHAMED IBRAHIM SHEIKH ISSACK</t>
  </si>
  <si>
    <t>L39515</t>
  </si>
  <si>
    <t>Reminder sent,client to pay via RTGS</t>
  </si>
  <si>
    <t>Reminder sent ,unit at the yard and it's advertised</t>
  </si>
  <si>
    <t>Reminder sent Visited the office wrote a commitment letter he will clear his loan and arrears on 16th September</t>
  </si>
  <si>
    <t>Reminder sent.lines are  not going through.land on auction</t>
  </si>
  <si>
    <t>Reminder sent .To pay on 26/08/2024</t>
  </si>
  <si>
    <t>Reminder sent,Client not responsive,demand to be issued tomorrow</t>
  </si>
  <si>
    <t>reminder sent.client to clear balance on24/08/2024</t>
  </si>
  <si>
    <t>Reminder sent,unit at the yard,client has promised to clear by 25/08/2024</t>
  </si>
  <si>
    <t>Client to clear arrears by 21/08/2024 demand running</t>
  </si>
  <si>
    <t>L39507</t>
  </si>
  <si>
    <t>BERTHA NAVURI CHASIA</t>
  </si>
  <si>
    <t>L36302</t>
  </si>
  <si>
    <t>JAMES BOSIRE OISEBE</t>
  </si>
  <si>
    <t>Client to pay at 5.00 pm</t>
  </si>
  <si>
    <t>L32680</t>
  </si>
  <si>
    <t>SAMUEL OUTSO SOTSI</t>
  </si>
  <si>
    <t>unit at the yard client woking to redeem it</t>
  </si>
  <si>
    <t xml:space="preserve">Demand running , not responding to called , Time:15-08-2024 02:27:51 PM   Stop duration:        93h 53min 20s
</t>
  </si>
  <si>
    <t xml:space="preserve">To clear the arreas as at 21st </t>
  </si>
  <si>
    <t>L37776</t>
  </si>
  <si>
    <t>JANET MUTHONI MWANGI</t>
  </si>
  <si>
    <t>L39475</t>
  </si>
  <si>
    <t>EDWIN WERE OMUKAGA</t>
  </si>
  <si>
    <t>repo issued and the  asset being investigated for repossession</t>
  </si>
  <si>
    <t>the client to pay off on 20th August</t>
  </si>
  <si>
    <t>L33478</t>
  </si>
  <si>
    <t>Committment to clear by 20th August</t>
  </si>
  <si>
    <t>Matter in court/the client to wire 1.5 million as per the agreement</t>
  </si>
  <si>
    <t>Another visit is scheduled for 20th August/Today's not succesfull since the client was attending court session</t>
  </si>
  <si>
    <t>20/08/2024</t>
  </si>
  <si>
    <t>Arrears shared with the client and committs to clear by 20th August 2024</t>
  </si>
  <si>
    <t>Committement from to clear arrears by 22nd.</t>
  </si>
  <si>
    <t>Client expecting funds tomorrow to clear arrears</t>
  </si>
  <si>
    <t>Demand running on account however reminder has been client to clear outstanding arrears</t>
  </si>
  <si>
    <t>Following up on client with reminders to clear arrears</t>
  </si>
  <si>
    <t>Buyoff request from Simple pay credit</t>
  </si>
  <si>
    <t>Committement to clear arrears by 6pm</t>
  </si>
  <si>
    <t>L35346</t>
  </si>
  <si>
    <t>JUDE L KANGETHE NJOMO</t>
  </si>
  <si>
    <t xml:space="preserve">Demand running on account however pushing client to pay </t>
  </si>
  <si>
    <t>Reminder send unit at the yard,owner is reluctant to pay as she claims her vehicle  was in good shape when it was taken  to the yard and developed mechanical problem once it got there</t>
  </si>
  <si>
    <t>client wrote a letter to commit to clear his arrears  by 14th sept</t>
  </si>
  <si>
    <t>valuation done land to be auctioned tomorrow</t>
  </si>
  <si>
    <t>Reminder send client to pay the arrears by  24th</t>
  </si>
  <si>
    <t>L38691</t>
  </si>
  <si>
    <t>JOEL ABRAHAM CHOLA MNJALA</t>
  </si>
  <si>
    <t xml:space="preserve">Reposition issues </t>
  </si>
  <si>
    <t>cheque Discounting</t>
  </si>
  <si>
    <t xml:space="preserve">client to clear the arrears tomorrow </t>
  </si>
  <si>
    <t xml:space="preserve">Has commited to clear the balance before end of day </t>
  </si>
  <si>
    <t>L37060</t>
  </si>
  <si>
    <t>BRIAN LETUYA LEMAYIAN</t>
  </si>
  <si>
    <t>Demand running client to clear arrears tomorow by EOD</t>
  </si>
  <si>
    <t>Demand running... Client to visit the branch tomorrow mid morning</t>
  </si>
  <si>
    <t>Demand running. Client is hospitalized at MP Shah but will clear the balance tomorrow before noon</t>
  </si>
  <si>
    <t>Client to visit the branch the branch tomorrow at noon. Demand running</t>
  </si>
  <si>
    <t>Waiting for early settlement approval</t>
  </si>
  <si>
    <t>Committment to clear the arrears by 21st August 2024</t>
  </si>
  <si>
    <t>Ageement to settle 2 million and close the account/a visit is cheduled for 21st August 2024</t>
  </si>
  <si>
    <t>Visit was not successful today/repo re-issued to Kogo junior auctioneers to investigate and recover er the asset</t>
  </si>
  <si>
    <t>The client to give cheques tomorrow/only one signatory remains</t>
  </si>
  <si>
    <t>21/08/2024</t>
  </si>
  <si>
    <t>Demand running ,called the customer promised to make payment by tomorrow morning awaiting funds which have delayed.</t>
  </si>
  <si>
    <t xml:space="preserve">Demand running send a reminder  </t>
  </si>
  <si>
    <t>Reminder done,client to clear her arrears by close of business</t>
  </si>
  <si>
    <t>Demand running,called the client promised  to make payment by close of business.</t>
  </si>
  <si>
    <t>Demand running  reminder send</t>
  </si>
  <si>
    <t>Buy off process ongoing</t>
  </si>
  <si>
    <t>Demand issued client to clear arrears by 26th</t>
  </si>
  <si>
    <t xml:space="preserve">Partial payment done,client promise to clear the arrears by 22nd </t>
  </si>
  <si>
    <t>Unit at the yard and its advertised,tried to call the client calls were unanswered planning to do a field visit by  23rd so that client can give us her payment plan</t>
  </si>
  <si>
    <t>Client wrote a commitment letter to clear the loan by mid september,</t>
  </si>
  <si>
    <t xml:space="preserve">valuation done land to be auctioned </t>
  </si>
  <si>
    <t>Demmand running  on account,reminder send to client to clear outstanding arrears</t>
  </si>
  <si>
    <t>Demand running,send reminder client to clear arrears by 24th</t>
  </si>
  <si>
    <t>Client visited the office to request for her statements,she's planning to do early settlement</t>
  </si>
  <si>
    <t>Client claims to be at the hospital, he says he is expecting money on Sat 24/08/2024 which is when he will clear the arrears</t>
  </si>
  <si>
    <r>
      <rPr>
        <rFont val="Montserrat, Helvetica, Arial, serif"/>
        <b/>
        <color rgb="FF6E6B7B"/>
        <sz val="9.0"/>
      </rPr>
      <t>Vehicle at the yard. as per our phone conversation, He his working to redeem the unit by make payment of the arrears.</t>
    </r>
  </si>
  <si>
    <t>client commited to pay the full arrears tomorrow</t>
  </si>
  <si>
    <t xml:space="preserve">client to cleat the arears before end of day </t>
  </si>
  <si>
    <t xml:space="preserve">Client is request for an extension , we have advised the client that will not be possible and he will have </t>
  </si>
  <si>
    <t>to pay the balance before end of day</t>
  </si>
  <si>
    <t xml:space="preserve">Demand issued </t>
  </si>
  <si>
    <t>partial payment , paying 30k tomorrow</t>
  </si>
  <si>
    <t>Client to visit the office to sign a ptp</t>
  </si>
  <si>
    <t xml:space="preserve">Demand running, to clear arrears before end of day </t>
  </si>
  <si>
    <t>Demand running,  client promised to visit the office , to make arrangements to pay the loan</t>
  </si>
  <si>
    <t xml:space="preserve">awaiting early settlement approve </t>
  </si>
  <si>
    <t>Demand expiring today/to issue repo on 22nd August if the arrears is not paid</t>
  </si>
  <si>
    <t>Visit conducted today and the client is attending court proceedings in Kisumu/rescheduled to tomorrow</t>
  </si>
  <si>
    <t>Client visit done and not successful/the other signatory was not present for the cheque to be fully signed</t>
  </si>
  <si>
    <t>Experienced delay in expected funds</t>
  </si>
  <si>
    <t>L21845</t>
  </si>
  <si>
    <t xml:space="preserve">MWANGI BORO ZEPHANIAH </t>
  </si>
  <si>
    <t>22/08/2024</t>
  </si>
  <si>
    <t>Depositing before 5PM</t>
  </si>
  <si>
    <t>L39655</t>
  </si>
  <si>
    <t>Roll over done</t>
  </si>
  <si>
    <t>L32166</t>
  </si>
  <si>
    <t>JOHN KARUGIAH NGUGI</t>
  </si>
  <si>
    <t>Client who bought unit depositing 100,000/- by 6pm as per discussion this afternoon</t>
  </si>
  <si>
    <t>L34675</t>
  </si>
  <si>
    <t>FRED OUDA ODHIAMBO</t>
  </si>
  <si>
    <t>Matter fixed on hearing on 29th October</t>
  </si>
  <si>
    <t>[CCIN000485-005] - ALBERTINA MWENDE MUTHENGI</t>
  </si>
  <si>
    <t>Fresh  instructions issued to Jeray auctioneers to speed up the recovery process</t>
  </si>
  <si>
    <t>The unit at yard and advertised/we have written an email to redeem by 23rd August or she shares her payment plan</t>
  </si>
  <si>
    <t>Unit at the yard, has commited to redeem his unit  by writing a letter</t>
  </si>
  <si>
    <t>FIile moved  to Garam Auctioneer on 21st August  for auction</t>
  </si>
  <si>
    <t>Client calls,went unanswered however send an email to client urging him to self book the vehicle.</t>
  </si>
  <si>
    <t>Client calls,went unanswered however send an email to client urging her to self book the vehicle.</t>
  </si>
  <si>
    <t>Demand issued,send email to client to clear his arrears ,client promised to clear arrears by 2th August</t>
  </si>
  <si>
    <t>L09642</t>
  </si>
  <si>
    <t>MOSES KAMUTI KINUTHIA</t>
  </si>
  <si>
    <t>Called the client, he hung up once I mentioned mwananchi credit.The unit is still under investigations by the auctioneers and to share update through email once the same is successful</t>
  </si>
  <si>
    <t>L22410</t>
  </si>
  <si>
    <t>MICHAEL MUIA BERNARD</t>
  </si>
  <si>
    <t>Matter fixed for hearing on 13th November 2024. Reviewed client's account and established that his vehicle had already been sold via auction.</t>
  </si>
  <si>
    <t>L24129</t>
  </si>
  <si>
    <t>JENNIFER WANGARI MAINA</t>
  </si>
  <si>
    <t>The Case File re-allocated to SIRME AGENCIES AUCTIONEERS on 14/08/2024</t>
  </si>
  <si>
    <t>L24169</t>
  </si>
  <si>
    <t>HON. MATHEW CHERUIYOT LANGAT</t>
  </si>
  <si>
    <t>Reminder sent .Repossession reshared with Foryears auctioneers to conduct investigation and recover the unit.</t>
  </si>
  <si>
    <t>L26937</t>
  </si>
  <si>
    <t>LYDIAH NYATEGI TINGWE</t>
  </si>
  <si>
    <t>Instructions issued to Mikael auctioneers to investigate and recover the unit dated 17th August 2024</t>
  </si>
  <si>
    <t>L26949</t>
  </si>
  <si>
    <t>DIVINAH GESORE MAGEMBE</t>
  </si>
  <si>
    <t xml:space="preserve">Mention/Hearing on 2024-07-23 </t>
  </si>
  <si>
    <t>L27040</t>
  </si>
  <si>
    <t>MAGDALINE WATIRI NJENGA</t>
  </si>
  <si>
    <t>The unit is still under investigations by Narama auctioneers and following up for the feedback</t>
  </si>
  <si>
    <t>File is due for closure as the account was cleared by two invoices from mwananchi credit</t>
  </si>
  <si>
    <t xml:space="preserve">Reposition issued / we have been able get location of the qurantor will be visiting his home tomorrow </t>
  </si>
  <si>
    <t xml:space="preserve">Demand issues,Client is working on to clear the balance </t>
  </si>
  <si>
    <t xml:space="preserve">unit at the yard, has commited to redeem his unit </t>
  </si>
  <si>
    <t xml:space="preserve"> As per our phone conversation Client is awaiting a payment from his business to clear the amount due.</t>
  </si>
  <si>
    <t>CCIN001871-1000-005</t>
  </si>
  <si>
    <t>Kenneth Owino Odiwuor</t>
  </si>
  <si>
    <t xml:space="preserve">The unit is at yard and advertised for sale, </t>
  </si>
  <si>
    <t>CCIN001879-2000-005</t>
  </si>
  <si>
    <t>TECLA JEMAIYO TECO</t>
  </si>
  <si>
    <t>Court fixed the case for judgement on 11th October 2024</t>
  </si>
  <si>
    <t>CCIN001903-1000-005</t>
  </si>
  <si>
    <t>PATRICK KISANGAU DANIEL</t>
  </si>
  <si>
    <r>
      <rPr>
        <rFont val="Montserrat, Helvetica, Arial, serif"/>
        <b/>
        <color rgb="FF6E6B7B"/>
        <sz val="10.0"/>
      </rPr>
      <t>Unit sold and payment made by buyer</t>
    </r>
  </si>
  <si>
    <t>CCIN002016-1000-005</t>
  </si>
  <si>
    <t>JUSTUS WALUKALE OYIEBAH</t>
  </si>
  <si>
    <r>
      <rPr>
        <rFont val="Montserrat, Helvetica, Arial, serif"/>
        <b/>
        <color rgb="FF6E6B7B"/>
        <sz val="9.0"/>
      </rPr>
      <t>Case closed and the account to be closed</t>
    </r>
  </si>
  <si>
    <t>CCIN003103-7000-001</t>
  </si>
  <si>
    <t>MARY GATHONI NDUNGU</t>
  </si>
  <si>
    <t>Repossession issued on 12/8/2024 - The search is still ongoing on the possible location of the unit</t>
  </si>
  <si>
    <t>L23138</t>
  </si>
  <si>
    <t>PETER MAINA NJOROGE</t>
  </si>
  <si>
    <t xml:space="preserve">as at 22/8/2024 - we have requested for an update from legal - saleh </t>
  </si>
  <si>
    <t>repossession issued as at 22/8/2024</t>
  </si>
  <si>
    <r>
      <rPr>
        <rFont val="Montserrat, Helvetica, Arial, serif"/>
        <b/>
        <color rgb="FF6E6B7B"/>
        <sz val="8.0"/>
      </rPr>
      <t>PTP 100,000 this evening or 23/08/2024 at 8.00am 100,000</t>
    </r>
  </si>
  <si>
    <t>The client confirms the other signatory will be available today to sign the cheques and they will be available for pick up on 22nd August 2024</t>
  </si>
  <si>
    <t>We await call back from client to confim the venue for the cheques pick</t>
  </si>
  <si>
    <t>The unit at yard and advertised/we have written an email to redeem by 23rd August or the unit to proceed for auction</t>
  </si>
  <si>
    <t>L28987</t>
  </si>
  <si>
    <t xml:space="preserve">WAFULA CASSINA CARLO </t>
  </si>
  <si>
    <t>The client expects govt. payments by 20th Sept/repo instructions re-issued to Dibomog autioneers today</t>
  </si>
  <si>
    <t>L20813</t>
  </si>
  <si>
    <t xml:space="preserve">JOSHUA MBITHI MUTUA MWALYO </t>
  </si>
  <si>
    <t>We have today issued a separate instructions to Freeman auctioneers to investigate and recover the asset</t>
  </si>
  <si>
    <t>CCIN001251-1000-005</t>
  </si>
  <si>
    <t xml:space="preserve">ROBERT OUKO BONYO </t>
  </si>
  <si>
    <t>A seperate repo. isntructions given to Moran auctioneers today to speed up the process</t>
  </si>
  <si>
    <t>CCIN000448-1000-005</t>
  </si>
  <si>
    <t xml:space="preserve">DAVID KAMAU KAIGU  </t>
  </si>
  <si>
    <t>Josrick Merchants auctioneers given the repo instructions to widen the search area</t>
  </si>
  <si>
    <t>CCIN000778-3000-003</t>
  </si>
  <si>
    <t xml:space="preserve">JAMES MAINGI KIMANI </t>
  </si>
  <si>
    <t>Repo instructions given to Vibrant auctioneers on 21st August to widen the search area</t>
  </si>
  <si>
    <t>CCIN000768-3000-005</t>
  </si>
  <si>
    <t xml:space="preserve">FIDELIS KIBIRO KAMAU </t>
  </si>
  <si>
    <t>We have given separate insructions to Davis Auctioneering Services today to speed up the process</t>
  </si>
  <si>
    <t>L25253</t>
  </si>
  <si>
    <t>RENEE ROYAL COACHES LIMITE LIMITED</t>
  </si>
  <si>
    <t>The unit  is at Kitui/express agency auctioneer was given instructions on 21st Aug and will be proceeding on 23rd Aug</t>
  </si>
  <si>
    <t>CCIN000091-3000-005</t>
  </si>
  <si>
    <t>SUSAN MOGOTU MOCHORWA</t>
  </si>
  <si>
    <t>L24112</t>
  </si>
  <si>
    <t>NORMAN WAITHAKA MUKUNA</t>
  </si>
  <si>
    <t xml:space="preserve">Court allowed and fixed the matter for mention for compliance on 12th September 2024. </t>
  </si>
  <si>
    <t>L30603</t>
  </si>
  <si>
    <t>MICHAEL NJENGA KARANJA</t>
  </si>
  <si>
    <t>Contacted the client via 0721358397 and we agreed that the client should send his proposal seeking waiver of 50% of the accrued penalties, immediately after approval to pay Kshs. 2,000,000.00 and to restructure the balance into 12 months.  Sending request this evening</t>
  </si>
  <si>
    <t>CCIN000064-5000-005</t>
  </si>
  <si>
    <t>KALEKWA MBONI ELLY</t>
  </si>
  <si>
    <t xml:space="preserve">property being re- evaluated to enable close on the matter </t>
  </si>
  <si>
    <t>L29056</t>
  </si>
  <si>
    <t>POLLY WANJIKU WANJAU</t>
  </si>
  <si>
    <t>Guarantors request to make  a ksh 3M as final settlement  declined . they say they will respond on the same email</t>
  </si>
  <si>
    <t>Client is confirming where to pick the cheques as he is held up in meetings with DCI. Visited at place of business but not available</t>
  </si>
  <si>
    <t>CCIN000137-2000-005</t>
  </si>
  <si>
    <t>Aomo Asaka Nyangara</t>
  </si>
  <si>
    <t>23/08/2024</t>
  </si>
  <si>
    <t>L36507</t>
  </si>
  <si>
    <t>LIZZY CHEPCHUMBA NG'OCHOCH</t>
  </si>
  <si>
    <t xml:space="preserve">Scheduled visit  with a client 27th August </t>
  </si>
  <si>
    <t>client to clear arrears by 24th August</t>
  </si>
  <si>
    <t>Client says is aware and paying via paybill this evening. To bank the cheque is not paid 24/08/2024</t>
  </si>
  <si>
    <t>Proclamation issued by auctioner. Client has brocken PTP and meeting scheduled 23/08/2024 and became unresponsive</t>
  </si>
  <si>
    <t>Client requested for her statements and organise how she will clear her loan</t>
  </si>
  <si>
    <t>Called the client to know his plans on settling the arrears and still insist on clearing by 15th september.</t>
  </si>
  <si>
    <t xml:space="preserve">FRASHIA WAMBUI KAMAU </t>
  </si>
  <si>
    <t>Client promised to visit the office on 24th August we discuss payment plan</t>
  </si>
  <si>
    <t>Tried to reach the client she didnt respond to calls however have send a reminder to her via email</t>
  </si>
  <si>
    <t>L39636</t>
  </si>
  <si>
    <t>GEORGE NJOROGE KARANJA</t>
  </si>
  <si>
    <t>File re-allocated to SIRME AGENCIES AUCTIONEERS as from 14/08/2024</t>
  </si>
  <si>
    <t>unit under investigation by Mikael auctioneers as from 17th August 2024</t>
  </si>
  <si>
    <t>Mention/Hearing on 2024-07-23</t>
  </si>
  <si>
    <t xml:space="preserve">unit is still under investigations by Narama auctioneers </t>
  </si>
  <si>
    <t>penalty waiver being processed</t>
  </si>
  <si>
    <t>L36026</t>
  </si>
  <si>
    <t>DIANA WACEKE WAINAINA</t>
  </si>
  <si>
    <r>
      <rPr>
        <rFont val="Calibri"/>
        <color theme="1"/>
      </rPr>
      <t xml:space="preserve">Matter scheduled for mention to confirm filling of our response, submissions and fix a ruling date on 30th July </t>
    </r>
    <r>
      <rPr>
        <rFont val="Calibri"/>
        <b/>
        <color theme="1"/>
      </rPr>
      <t>2024</t>
    </r>
    <r>
      <rPr>
        <rFont val="Calibri"/>
        <color theme="1"/>
      </rPr>
      <t>.</t>
    </r>
  </si>
  <si>
    <t>L23610</t>
  </si>
  <si>
    <t>GEORGE MUTHURI MUTUMA</t>
  </si>
  <si>
    <t>Active in court with a no date</t>
  </si>
  <si>
    <t>Reviewed client's account and established that his vehicle had already been sold via auction</t>
  </si>
  <si>
    <t xml:space="preserve">Reposition issued / call center agent visited the client residensy bt did not find her there </t>
  </si>
  <si>
    <t xml:space="preserve">demand running client  has promissed to make a depositi  from tomorrow </t>
  </si>
  <si>
    <t xml:space="preserve">unit at the yard, Normal loan due today, negotiationg with the client to to redeem the unit. </t>
  </si>
  <si>
    <t>L39645</t>
  </si>
  <si>
    <t xml:space="preserve">client will be making the payment via paybill </t>
  </si>
  <si>
    <t>demand issued attached on smart collect and sent to the client via email</t>
  </si>
  <si>
    <t xml:space="preserve">[CCIN001860-005] - WILFRED M OMARIBA  </t>
  </si>
  <si>
    <t>Moran auctioneers given separate instructions on 23.08.2024 to speed up the search process</t>
  </si>
  <si>
    <t>CCIN000561-4000-005</t>
  </si>
  <si>
    <t>RICHARD MATU MACHARIA</t>
  </si>
  <si>
    <t>Fresh instructions given to Yamuko auctioneers on 23.08.2024 to widen search area</t>
  </si>
  <si>
    <t>We have given fresh instuctions to Japesa auctioneers to assist the Cadua auctioneers to speed up the search</t>
  </si>
  <si>
    <t>New instructions has today been given Melab auctioneers to investigate and recover the asset</t>
  </si>
  <si>
    <t>JAMES MAINGI KIMANI</t>
  </si>
  <si>
    <t>Instructions was given to vibrant auctioneers on 20th August who are still conducting search of the unit</t>
  </si>
  <si>
    <t>CCIN000599-5000-005</t>
  </si>
  <si>
    <t>STEPHEN OCHIENG OLAGO</t>
  </si>
  <si>
    <t>Repo. instructions re-issued to Upsate Kenya auctioneers to assist the existing auctioneer to speed up the recovery</t>
  </si>
  <si>
    <t>CCIN000998-1000-005</t>
  </si>
  <si>
    <t>MERCY WANJIKU WANJOHI</t>
  </si>
  <si>
    <t>Repo. instructions given to express agency auctioneesr to investigate and recover the asset on 21.08.2024 to speed up the recovery process</t>
  </si>
  <si>
    <t>DAVID KAMAU KAIGU</t>
  </si>
  <si>
    <t>Repo. instructions given to Josrick merchants auctioneers on 20/08/2024 to widen the search area</t>
  </si>
  <si>
    <t>CCIN001203-2000-005</t>
  </si>
  <si>
    <t>ISAACK ONYANGO OGUNDE</t>
  </si>
  <si>
    <t>New instructions given to vintage auctioneers on 21/08/2024 to investigate and recover the asset</t>
  </si>
  <si>
    <t>The client to send over a rider with the cheques on 24th Aug 2024</t>
  </si>
  <si>
    <t>To schedule a meeting with the client on 26th August to pick up the cheques</t>
  </si>
  <si>
    <t>CCIN000552-1000-005</t>
  </si>
  <si>
    <t>JOHN NGONGA NANDWA</t>
  </si>
  <si>
    <t>File prosecuted and the decree to be processed on 23/08/2024</t>
  </si>
  <si>
    <t>CCIN000933-1000-005</t>
  </si>
  <si>
    <t>ANN MOREEN OPAKASI</t>
  </si>
  <si>
    <t>STAFF LOAN</t>
  </si>
  <si>
    <t>File request placed by the HR department and to proceed with demand after retrieval</t>
  </si>
  <si>
    <t>CCIN000392-4000-005</t>
  </si>
  <si>
    <t>MORRIS KALOKI NZIOKI</t>
  </si>
  <si>
    <t>24/08/2024</t>
  </si>
  <si>
    <t>Demand running send a reminder  to client to clear his arrears</t>
  </si>
  <si>
    <t>Reminder done  to client to clear outstanding arrears</t>
  </si>
  <si>
    <t xml:space="preserve">ADAMS MULWA KISILU </t>
  </si>
  <si>
    <t>Client to make partial payment by 3p.m to clear the on 26thAugust</t>
  </si>
  <si>
    <t>Client had requested for waiver on penalties awaiting approval</t>
  </si>
  <si>
    <t>Client awaits fhis salary to reflect to pay today by 6 p.m</t>
  </si>
  <si>
    <t>Reminder sent and demand issiued</t>
  </si>
  <si>
    <t>EDWIN  WERE OMUKAGA</t>
  </si>
  <si>
    <t>Client did not pick calls,reminder sent and demand running.</t>
  </si>
  <si>
    <t xml:space="preserve">STEPHEN OCHIEL OTIENO </t>
  </si>
  <si>
    <t>Client currently at the hopspital,he has promised to start making partial payments from monday,demand running.</t>
  </si>
  <si>
    <t>Client has promised to ,make a partial payment today,demand running.</t>
  </si>
  <si>
    <t>Client not picked,reminder sent ,demand running</t>
  </si>
  <si>
    <t>account has a demand running, client has committed to make a deposit on Monday 8/26/2024</t>
  </si>
  <si>
    <t>unit at the yard, negotiation with the client to redeem the unit.</t>
  </si>
  <si>
    <r>
      <rPr>
        <rFont val="Calibri, sans-serif"/>
        <color rgb="FF000000"/>
        <sz val="11.0"/>
      </rPr>
      <t>Reposition issued / call center agent visited the client residency but was denied entry</t>
    </r>
  </si>
  <si>
    <r>
      <rPr>
        <rFont val="Calibri, sans-serif"/>
        <color rgb="FF000000"/>
        <sz val="11.0"/>
      </rPr>
      <t>Reposition issued / call center agent visited the client residency but was denied entry</t>
    </r>
  </si>
  <si>
    <t xml:space="preserve">Client will be making payment  withing the day </t>
  </si>
  <si>
    <t>The client to send over a rider with cheques on 26th August 2024</t>
  </si>
  <si>
    <t>Fresh instructions issued to Kogo Junior auctioneers for the recovery of the asset in Busia</t>
  </si>
  <si>
    <t>26/08/2024</t>
  </si>
  <si>
    <t>L39721</t>
  </si>
  <si>
    <t>Client expecting funds delayed however he has committed to clear by 12pm the 27th</t>
  </si>
  <si>
    <t>After engagement with client ,he is working on clearing arrears by close of business today</t>
  </si>
  <si>
    <t>Demand running on account however client has committed on clearing arrears</t>
  </si>
  <si>
    <t>Client is expecting funds to clear part of arrears today</t>
  </si>
  <si>
    <t>Reminders done to client to clear outstanding arrears</t>
  </si>
  <si>
    <t>NELSON  KENDA  MWANGI</t>
  </si>
  <si>
    <t>Partial payment of khs 40,000 done via paybill to clear outstanding arrears by 27th cob</t>
  </si>
  <si>
    <t>Engaging client to clear outstanding tracking arrears,there is ptp to clear 28th</t>
  </si>
  <si>
    <t>Request for waiver awaiting approval.</t>
  </si>
  <si>
    <t>L39753</t>
  </si>
  <si>
    <t>Martin Arrota Buca</t>
  </si>
  <si>
    <t>Client to pay via paybill by 12:00am due to Mpesa transactions limit</t>
  </si>
  <si>
    <t>Partial payment of 250,000 done via paybill to clear part of outstanding arrears</t>
  </si>
  <si>
    <t>Client awaits funds to clear the arrears by 28th August</t>
  </si>
  <si>
    <t>Demand running client awaits  salary to clear by 30th August</t>
  </si>
  <si>
    <t>partial payment done will clear arrears by 27th August</t>
  </si>
  <si>
    <t>Client has promised to clear arrears tomorrow ,demand running</t>
  </si>
  <si>
    <t>Client due today and will pay 3000 at tonight and clear balance tomorrow at 4.00 pm</t>
  </si>
  <si>
    <t>Client visited the office today and signed a PTP for 2/09/2024</t>
  </si>
  <si>
    <t>Reminder sent,demand running</t>
  </si>
  <si>
    <t xml:space="preserve">demand running , commited to make a deposit  today </t>
  </si>
  <si>
    <t>unit at the yard client is commited to redeem his unit.</t>
  </si>
  <si>
    <t xml:space="preserve">Reposition issued / auctioneer  tracking the frequest locations of the vehicle </t>
  </si>
  <si>
    <t xml:space="preserve">Partial payment </t>
  </si>
  <si>
    <r>
      <rPr>
        <rFont val="Calibri"/>
        <color theme="1"/>
        <sz val="11.0"/>
      </rPr>
      <t xml:space="preserve">Client due today,Not picking calls reminder </t>
    </r>
    <r>
      <rPr>
        <rFont val="Calibri"/>
        <color rgb="FF1155CC"/>
        <sz val="11.0"/>
        <u/>
      </rPr>
      <t>sent.To</t>
    </r>
    <r>
      <rPr>
        <rFont val="Calibri"/>
        <color theme="1"/>
        <sz val="11.0"/>
      </rPr>
      <t xml:space="preserve"> visit his office tomorrow morning if he fails to pay today</t>
    </r>
  </si>
  <si>
    <t>L39661</t>
  </si>
  <si>
    <t>WATO DOKO YATTANI</t>
  </si>
  <si>
    <t xml:space="preserve">Client has requested  for a  an extension for one month - subject to approval </t>
  </si>
  <si>
    <t xml:space="preserve">client promised to make the payment she is yet to make the payment </t>
  </si>
  <si>
    <t>arrers payment reminder sent, client not responding to calls.</t>
  </si>
  <si>
    <t>Client currently unwell,he was to start makind partial payments today,reminder sent as calls went unanswered.Demand running</t>
  </si>
  <si>
    <r>
      <rPr>
        <rFont val="Montserrat, Helvetica, Arial, serif"/>
        <color rgb="FF6E6B7B"/>
        <sz val="11.0"/>
      </rPr>
      <t>CCIN000137-2000-005</t>
    </r>
  </si>
  <si>
    <t>AOMO NYANGARA</t>
  </si>
  <si>
    <t>The client failed to deliver the cheques through a rider/Visit is scheduled for 27th August 2024 to pysically pick up the cheques</t>
  </si>
  <si>
    <t>To confirm pick location and time for the cheques</t>
  </si>
  <si>
    <t>Visit not succesful/client attending legal proceeding in Kisumu/another vist rescheduled for 28th August</t>
  </si>
  <si>
    <t>Unit broken down at ICD depot yard with storage charges/lumpsum payments expected bounced to 28th August</t>
  </si>
  <si>
    <t xml:space="preserve">Unit at yard/advertised for sale/expects funds before 31st August </t>
  </si>
  <si>
    <t>27/08/2024</t>
  </si>
  <si>
    <t xml:space="preserve">BM has done client visit in regards to  clearance of arrears as his extension has expired </t>
  </si>
  <si>
    <t xml:space="preserve">Client waiting some from his business associates to clear arrears tomorrow 28th </t>
  </si>
  <si>
    <t>Demand running on account however client client is working on clearing arrears by 29th</t>
  </si>
  <si>
    <t>Demand running on account but following up on engagements with client she will be clearing arrears by 29th</t>
  </si>
  <si>
    <t>Buyoff request from Simple pay credit underway</t>
  </si>
  <si>
    <t>Client to clear arrears by tomorrow 28th by noon</t>
  </si>
  <si>
    <t>L39793</t>
  </si>
  <si>
    <t>Demand issued against account however client has committed to clear arrears by 30th.</t>
  </si>
  <si>
    <t>L39797</t>
  </si>
  <si>
    <t>BETTY MKANYIKA KYALO</t>
  </si>
  <si>
    <t xml:space="preserve">Cheque issued to be banked 28th </t>
  </si>
  <si>
    <r>
      <rPr>
        <rFont val="Montserrat, Helvetica, Arial, serif"/>
        <b/>
        <color rgb="FF6E6B7B"/>
        <sz val="11.0"/>
      </rPr>
      <t>The client made a payment of KES 1,500.00 through paybill dated 27th August 2024</t>
    </r>
  </si>
  <si>
    <t>Client to start making payment by 29th August awaits funds ,will call him to follow up with the payment</t>
  </si>
  <si>
    <t>Client wrote an email informing us he is awaiting funds from his employer by 31st August will clear all the arrears,Demand issued</t>
  </si>
  <si>
    <t>L39779</t>
  </si>
  <si>
    <t>partially paid,client promised to clear by 28th.demand issiued</t>
  </si>
  <si>
    <t>partially paid,client promised to clear at 5.00 pm.demand issiued</t>
  </si>
  <si>
    <t>Client signed a PTP for 2/09/2024</t>
  </si>
  <si>
    <t>Reminder sent ,client promised to pay on 31/08/2024 via email.Demand running.</t>
  </si>
  <si>
    <t xml:space="preserve">Reminder sent,client not picking calls .Demand issiued </t>
  </si>
  <si>
    <t>L39718</t>
  </si>
  <si>
    <t>GITOBU IMANYARA</t>
  </si>
  <si>
    <t>Godwin Collins Omondi</t>
  </si>
  <si>
    <t>demand running , following up with the client to pay.</t>
  </si>
  <si>
    <t>unit at the yard client expecting money on the 29 to pay and redeem the unit.</t>
  </si>
  <si>
    <t xml:space="preserve">Reposition issued / Auctioneer tracking the vehicle, intouch with the yard to get more information </t>
  </si>
  <si>
    <t xml:space="preserve">demand running client made a partial payment following up with the client to clear the balance </t>
  </si>
  <si>
    <t xml:space="preserve">client has commited to clear the arrears Tomorrow </t>
  </si>
  <si>
    <t xml:space="preserve">No/ client not responding to calls </t>
  </si>
  <si>
    <t>Client not respondinng to calls.</t>
  </si>
  <si>
    <t>The client gave PD cheques bankable on 6th September</t>
  </si>
  <si>
    <t>To confirm tomorrow the time and venue to collect the cheques for banking</t>
  </si>
  <si>
    <t>Visit not successful sinec the client is not back from Kisumu courts</t>
  </si>
  <si>
    <t>Was away on fieldwork and to pay by 6pm today after getting back to Kisumu</t>
  </si>
  <si>
    <t>L21984</t>
  </si>
  <si>
    <t>Patrick Karanja Ngugi</t>
  </si>
  <si>
    <t>28/07/2024</t>
  </si>
  <si>
    <t>Demand issued against account however client to clear arrears by 29th</t>
  </si>
  <si>
    <t>Demand running on account however client to clear all arrears bybthe 30th</t>
  </si>
  <si>
    <t>Buyoff request from Simple pay credit underway,Awaiting payment</t>
  </si>
  <si>
    <t xml:space="preserve">Demand issued againt account however client to clear arrears 29th </t>
  </si>
  <si>
    <t>L23159</t>
  </si>
  <si>
    <t>DAVID NJUE GATUMU</t>
  </si>
  <si>
    <t>Demand running,issued on 14/8/2024,but still engaging client for payment,repossession order to be issued</t>
  </si>
  <si>
    <t>Reminder sent Client signed a PTP to pay on 2/09/2024 once he gets his salary.</t>
  </si>
  <si>
    <t>Communicated  with the client pushing for payment promise to clear arrears by 30tth August</t>
  </si>
  <si>
    <t>Client lapsed undertaking. Paid full installment</t>
  </si>
  <si>
    <t>Partially paid, client issiued a cheque to be banked on 30/08/2024</t>
  </si>
  <si>
    <t xml:space="preserve">Partially paid,Called client and she promised to clear balance on 30/08/2024.Demand running </t>
  </si>
  <si>
    <t>Client visited the office and signed a PTP to pay on 2/09/2024.unit at the yard and has been advertised</t>
  </si>
  <si>
    <t>Visited client's office but he was not available ,reminder sent as client is not picking calls.demand issiued.Vehicle tracking</t>
  </si>
  <si>
    <t xml:space="preserve">Client not responding to calls </t>
  </si>
  <si>
    <t xml:space="preserve">client made a partial yesterday payment has commited to clear the arrears  </t>
  </si>
  <si>
    <t xml:space="preserve">unit at the yard client has commited </t>
  </si>
  <si>
    <r>
      <rPr>
        <rFont val="docs-Calibri"/>
        <color rgb="FF000000"/>
        <sz val="11.0"/>
      </rPr>
      <t>Demand and repo running</t>
    </r>
  </si>
  <si>
    <t xml:space="preserve">Partially paid, Demand and repo running </t>
  </si>
  <si>
    <t>demand running client made a partial payment on the account will make a deposit today</t>
  </si>
  <si>
    <t xml:space="preserve">demand issued  att on smart collect </t>
  </si>
  <si>
    <t>demand running client not responding to calls , updated arrears shared to the client.</t>
  </si>
  <si>
    <t xml:space="preserve">Client has commited to clear the balance tomorrow </t>
  </si>
  <si>
    <t>The legal engagement in Kisumu ending today/to visit the client on 28th Aug</t>
  </si>
  <si>
    <t>Funds delayed and expected today at 6pm</t>
  </si>
  <si>
    <t>RAPHAEL KAPAI</t>
  </si>
  <si>
    <t>Title deed</t>
  </si>
  <si>
    <t>Brought cheque to be banked on 30th Aug</t>
  </si>
  <si>
    <t>29/08/2024</t>
  </si>
  <si>
    <t>Demand issued on account however we making follow ups with client to clear arrears</t>
  </si>
  <si>
    <t>Demand issue against account howerver there is a commitment from client to clear arrears by 30th 10:00 am</t>
  </si>
  <si>
    <t>Demand running on account however from follow ups with client shes to clear arrears by 30th</t>
  </si>
  <si>
    <t>Buyoff from Simple pay approved awaiting payment</t>
  </si>
  <si>
    <t>Demand running on account however client is working on clearing arrears by 30th</t>
  </si>
  <si>
    <t xml:space="preserve">Client to clear arrears by 30th </t>
  </si>
  <si>
    <t>Demand running on account however client client is working on clearing arrears by 30th</t>
  </si>
  <si>
    <t xml:space="preserve">Expected salary date 31/08/2024 and has committed to pay on 31st August. Demand Running </t>
  </si>
  <si>
    <t>client has promised to make partial payment today then clear by 30th August</t>
  </si>
  <si>
    <t>To bank his cheque tomorrow</t>
  </si>
  <si>
    <t>Client promised to clear tomorrow on 30/08/2024 ,demand running and reminder issiued</t>
  </si>
  <si>
    <t>Client signed a PTP to clear on 2/09/2024,unit at the yard</t>
  </si>
  <si>
    <t>Client promised to clear on 31/08/2024 once his salary reflects.Demand running</t>
  </si>
  <si>
    <t>Reminder email sent and went to look for the client at his office todat at 12.00 but he was not available.client not picking our calls.demand issiued.</t>
  </si>
  <si>
    <t xml:space="preserve">Client will be visiting the office to negotiate on a repayment plan </t>
  </si>
  <si>
    <t>L39794</t>
  </si>
  <si>
    <t>MAUREEN WANJIRU GITHINJI MUMBI</t>
  </si>
  <si>
    <t xml:space="preserve">Bank </t>
  </si>
  <si>
    <t>L39687</t>
  </si>
  <si>
    <t>ISAAC SHIBIA KADANE</t>
  </si>
  <si>
    <t xml:space="preserve">Client promised to pay the loan before end of day. </t>
  </si>
  <si>
    <t xml:space="preserve">paid 15,000 yesterday , commited to pay another installment today </t>
  </si>
  <si>
    <t>demand running , following up with the client to pay. salary for Narok country not paid.</t>
  </si>
  <si>
    <t xml:space="preserve">united at the yard client has issued a check </t>
  </si>
  <si>
    <t xml:space="preserve">repo issued, following up on the the client to pay the loan </t>
  </si>
  <si>
    <t xml:space="preserve">Demand running ,following up with the client the balance </t>
  </si>
  <si>
    <t xml:space="preserve">Demand running , client expecting her salary today to pay the installment </t>
  </si>
  <si>
    <t xml:space="preserve">demand running , updated arrears client has commited to clear the lblance btwn today and tomorrow </t>
  </si>
  <si>
    <t xml:space="preserve">demand running , client not responmding to calls </t>
  </si>
  <si>
    <t xml:space="preserve">demand running , updated arrears client has commited to clear the balance  today </t>
  </si>
  <si>
    <t>Still away for legal proceeding in Kisumu/visit for 30th Aug</t>
  </si>
  <si>
    <t>Demand expiring on 29th Aug/Repo to be issued on 30th Aug</t>
  </si>
  <si>
    <t>Unit at yard/notice to sell expired/funds expected on 3rd September</t>
  </si>
  <si>
    <t xml:space="preserve">the buyer of the property has today said that she was busy in the afternoon she will deposit the funds tomorrow in the morning </t>
  </si>
  <si>
    <t>30/08/2024</t>
  </si>
  <si>
    <t>Banked.partially paid ,demand running</t>
  </si>
  <si>
    <t>Partially paid,client to has promise d to clear on 5/09/2024,demand running.</t>
  </si>
  <si>
    <t>Client signed a PTP for 2/09/2024,reminder sent ,demand running</t>
  </si>
  <si>
    <t>To clear arrears tomorrow once he recieves his salary,reminder sent and demand running</t>
  </si>
  <si>
    <t>Reminder sent as client is not picking calls and is not available in his office,demand issiued</t>
  </si>
  <si>
    <t>Reminder sent ,to visit the client tomorrow at Kirinyaga rd as he is not picking calls.demandd running.</t>
  </si>
  <si>
    <t xml:space="preserve">PATRICK GITHUI KORO </t>
  </si>
  <si>
    <t>Partially paid,reminder sent,client to clear tomorrow 31/08/24.demand running.</t>
  </si>
  <si>
    <t>Partially paid,called client and she has promised to pay 5000 on 31/08/24 then clear balance on 1/09/2024</t>
  </si>
  <si>
    <t xml:space="preserve"> Client had a sit down with BM and Madam Stella she is expected to start making payments from 2nd sep then finalize on 5th</t>
  </si>
  <si>
    <t>Demand running account however client is expecting funds tomorrow 31st to clear arrears</t>
  </si>
  <si>
    <t>Demand running on account however client expecting funds on 3rd Sep to clear outstanding</t>
  </si>
  <si>
    <t>Request to waive penalty and normalize account.</t>
  </si>
  <si>
    <t>SIMON GITAU MWANGI</t>
  </si>
  <si>
    <t>Demand running on account however several reminders have been to client to clears and normalize account</t>
  </si>
  <si>
    <t>Cheque Bank</t>
  </si>
  <si>
    <t>Demand running send a reminder to client ,Repo to be issued by  2nd September</t>
  </si>
  <si>
    <t>Partially paid,called client and she has promised to  clear balance on 1/09/2024</t>
  </si>
  <si>
    <t>DUKE GiSEMBA</t>
  </si>
  <si>
    <t>LIZZY NGOCHOCH</t>
  </si>
  <si>
    <t>Client to visit the branch the branch tomorrow 31st  at noon. Demand running</t>
  </si>
  <si>
    <t>BANK</t>
  </si>
  <si>
    <t xml:space="preserve">Repo issued ,client commited to make un installmemt  today </t>
  </si>
  <si>
    <t xml:space="preserve">Demand running </t>
  </si>
  <si>
    <t>partial payment done</t>
  </si>
  <si>
    <t xml:space="preserve">demand running , Proclamation sent to the client </t>
  </si>
  <si>
    <t>A visit is scheduled for 2nd Aug</t>
  </si>
  <si>
    <t>Asset proclaimed on 30th Aug</t>
  </si>
  <si>
    <t>Demand expired/file to be forwarded for prosecution</t>
  </si>
  <si>
    <t>L31126</t>
  </si>
  <si>
    <t>DANIEL NDEGWA KANG'ARA C/O DANKAN PETROLEUM E.A LIMITED</t>
  </si>
  <si>
    <t>DUNCAN ODHIAMBO</t>
  </si>
  <si>
    <t>Unit sold/balance to be paid on 31st Aug</t>
  </si>
  <si>
    <t>31/08/2024</t>
  </si>
  <si>
    <t>Demand expired account in huge arrears,due for repossession</t>
  </si>
  <si>
    <t>L39869</t>
  </si>
  <si>
    <t>DUNCAN MURIUKI KAGUURU</t>
  </si>
  <si>
    <t>Extension fee for 1 month on installment paid</t>
  </si>
  <si>
    <t>Client to clear loan on 5/08/2024 ,demand running ,reminder sent</t>
  </si>
  <si>
    <t xml:space="preserve">Client to clear loan on 2/08/2024 and signed a PTP ,unit at the yard </t>
  </si>
  <si>
    <t>Client to clear today once he gets his salary,demand running</t>
  </si>
  <si>
    <t xml:space="preserve"> client is not picking calls.have visited his office twice and not found him,Demand running,reminder sent</t>
  </si>
  <si>
    <t>Reminder sent ,to visit the on monday at Kirinyaga rd as he is not picking calls.demandd running.</t>
  </si>
  <si>
    <t>Partially paid ,client to clear arrears today,reminder sent</t>
  </si>
  <si>
    <t>Partially paid client to clear pay 5000 today atnd tomorrow,reminder sent</t>
  </si>
  <si>
    <t>ISAAC   SHIBIA KADANE</t>
  </si>
  <si>
    <t>reminder sent to the client to normalize the account,.</t>
  </si>
  <si>
    <t xml:space="preserve">Demand running, reminder sent to the client to narmalize the account </t>
  </si>
  <si>
    <t xml:space="preserve">demand running, client has committed to pay within the day </t>
  </si>
  <si>
    <t>demand running, Client has committed to clear the arrears  on the  2nd of sept 2024</t>
  </si>
  <si>
    <t>Demand running , Proclamation sent to the client, Following up with the client to repay the amount.</t>
  </si>
  <si>
    <t>Unit proclaimed on 30th Aug/client committs to pay by 2nd Sept</t>
  </si>
  <si>
    <t>Asset at yard/gave committment to redeem by 3rd Sept</t>
  </si>
  <si>
    <t>Asset sold/paid partially and balance to be paid by 3rd Aug</t>
  </si>
  <si>
    <t>PTP to make another payment on 03/09/2024</t>
  </si>
  <si>
    <t>Paid via mpesa</t>
  </si>
  <si>
    <t>Unit due for repossession</t>
  </si>
  <si>
    <t>Following up with client to clear arrears as per her committement</t>
  </si>
  <si>
    <t>Due for repossesion however client working on clearing the arrears</t>
  </si>
  <si>
    <t>unit at the yard,client promised to visit the office by 5th  to clear the loan arrears</t>
  </si>
  <si>
    <t>L40002</t>
  </si>
  <si>
    <t xml:space="preserve">ALTRIGA LIMITED </t>
  </si>
  <si>
    <t xml:space="preserve">Titledeed </t>
  </si>
  <si>
    <t>Cheque banked</t>
  </si>
  <si>
    <t>DUKE GISEMBA</t>
  </si>
  <si>
    <t>Partially paid.Client has promised to clear on 5/09/2024 demand running</t>
  </si>
  <si>
    <t>Client was to pay today reminder sent and calls made ,however there has been no response,to issiue intent of sale in the morning as unit is at the yard.</t>
  </si>
  <si>
    <t>Client not picking calls and not available in his office,demand running  and will expire on 14/09/2024 ,repo to occur then.</t>
  </si>
  <si>
    <t xml:space="preserve">reminder sent and a call made,client not cooperative and recovery </t>
  </si>
  <si>
    <t>reminder sent as client was to pay today and not picking calls to follow up on the payment in the morning</t>
  </si>
  <si>
    <t>Partially paid,client to clear tomorrow morning.</t>
  </si>
  <si>
    <r>
      <rPr>
        <rFont val="Montserrat, Helvetica, Arial, serif"/>
        <color rgb="FF6E6B7B"/>
        <sz val="10.0"/>
      </rPr>
      <t>Demand running , following up with the client to pay. salary for Narok country not paid.</t>
    </r>
  </si>
  <si>
    <t>Awaiting the cheque to clear.</t>
  </si>
  <si>
    <t xml:space="preserve">Repo issued ,client commited to make an installemet of 100,000 today  </t>
  </si>
  <si>
    <t xml:space="preserve">partial payment </t>
  </si>
  <si>
    <t xml:space="preserve">demand running , client awating for his salary to repay her installment </t>
  </si>
  <si>
    <t xml:space="preserve">demand running, following with the client to clear arrers </t>
  </si>
  <si>
    <t xml:space="preserve">Client has communicated his in hospital and will  be sharing  evidence of  the same </t>
  </si>
  <si>
    <t>The unit proclaimed on 30th Aug/arrears shared and to pay by 3rd Sep</t>
  </si>
  <si>
    <t>Unit at yard and advertised/verbal committment topay by 3rd Sept.</t>
  </si>
  <si>
    <t>Visit not succesful as the client was away in court/File to be prosecuted after obtaining auctioneers report</t>
  </si>
  <si>
    <t>Unit sold/balance to be paid not later than 15th Sept.</t>
  </si>
  <si>
    <t xml:space="preserve">DAY </t>
  </si>
  <si>
    <t>L38414</t>
  </si>
  <si>
    <t>ALFRED KIPTUI</t>
  </si>
  <si>
    <t>HILLARY KOSGEI</t>
  </si>
  <si>
    <t>L26155</t>
  </si>
  <si>
    <t>NANGABO MUHONJA CORAZON</t>
  </si>
  <si>
    <t>Demand running,issued on 18/7/2024,but still engaging client for payment</t>
  </si>
  <si>
    <t>L38865</t>
  </si>
  <si>
    <t>JULIUS JOHN MALABA</t>
  </si>
  <si>
    <t>Demand running, issued on 15/7/2024,but still engaging client for payment</t>
  </si>
  <si>
    <t>L37166</t>
  </si>
  <si>
    <t>LILY MONICA NAFULA</t>
  </si>
  <si>
    <t>Demand running,issued on 17/7/2024,but still engaging client for payment</t>
  </si>
  <si>
    <t>L38296</t>
  </si>
  <si>
    <t xml:space="preserve">GREYSON  BUCHICHI  ISIAHO </t>
  </si>
  <si>
    <t>L38615</t>
  </si>
  <si>
    <t>Demand running, issued on 18/7/2024,but still engaging client for payment had promised to pay tonight</t>
  </si>
  <si>
    <t>L36992</t>
  </si>
  <si>
    <t>DISMAS KIPTOO .</t>
  </si>
  <si>
    <t>L34471</t>
  </si>
  <si>
    <t>PASCAL JOSEPH JUNA ABWOGA</t>
  </si>
  <si>
    <t>Demand issued on 17/7/2024,but still engaging client for payment</t>
  </si>
  <si>
    <t>L33292</t>
  </si>
  <si>
    <t>BEATRICE LONNAH KWAMBOKA MAROKO</t>
  </si>
  <si>
    <t>to pay before end of day</t>
  </si>
  <si>
    <t>L38729</t>
  </si>
  <si>
    <t>STEPHEN GITHINJI OYUKO</t>
  </si>
  <si>
    <t>to pay tonight</t>
  </si>
  <si>
    <t>L35438</t>
  </si>
  <si>
    <t>JAEL ADHIAMBO GUUDU</t>
  </si>
  <si>
    <t>L37106</t>
  </si>
  <si>
    <t>JUSTINA EVELIA MMASI</t>
  </si>
  <si>
    <t>90 day demand running</t>
  </si>
  <si>
    <t>L28900</t>
  </si>
  <si>
    <t>George Joash Akong’o Anyong’o</t>
  </si>
  <si>
    <t>Allan Nzaka</t>
  </si>
  <si>
    <t>Demand running,issued on 11/7/2024,but still engaging client for payment</t>
  </si>
  <si>
    <t>Partially paid,demand running, issued on 18/7/2024,but still engaging client for payment</t>
  </si>
  <si>
    <t>to pay by evening,to call back client</t>
  </si>
  <si>
    <t>To pay by 25th of July 2024</t>
  </si>
  <si>
    <t>L27382</t>
  </si>
  <si>
    <t>BERNARD  LISECHE  MUKABWA</t>
  </si>
  <si>
    <t>DUNCAN</t>
  </si>
  <si>
    <t>Demand running, issued on 18/7/2024,but still engaging client for payment</t>
  </si>
  <si>
    <t>Client promised to pay by evening,to issue demand</t>
  </si>
  <si>
    <t>L37058</t>
  </si>
  <si>
    <t>PHILEMON YEGON KIPLANGAT</t>
  </si>
  <si>
    <t>to pay by 1700hrs</t>
  </si>
  <si>
    <t>L38787</t>
  </si>
  <si>
    <t>LILIAN JEPKEMEI SAINA</t>
  </si>
  <si>
    <t>Demand issued today on 25.07.2024</t>
  </si>
  <si>
    <t>To issue demand,still engaging client to make payment</t>
  </si>
  <si>
    <t>L26439</t>
  </si>
  <si>
    <t>PATRICK KIBET CHUMBA</t>
  </si>
  <si>
    <t>To pay by COB</t>
  </si>
  <si>
    <t>Demand running,issued on 11/7/2024,but still engaging client for payment,repossession order to be issued</t>
  </si>
  <si>
    <t>Partial payment done,to clear tommorrow</t>
  </si>
  <si>
    <t>Demand issued on 25.07.2024,still engaging client</t>
  </si>
  <si>
    <t>Demand issued today on 26.07.2024</t>
  </si>
  <si>
    <t>L25725</t>
  </si>
  <si>
    <t>SAMUEL  KANDA  TALAI</t>
  </si>
  <si>
    <t>L32109</t>
  </si>
  <si>
    <t xml:space="preserve">ISAAC KIMELI RONOH </t>
  </si>
  <si>
    <t>Demand issued on 26.07.2024</t>
  </si>
  <si>
    <t>L37033</t>
  </si>
  <si>
    <t>PZYNJAH KALOKENU MICAH</t>
  </si>
  <si>
    <t>L38828</t>
  </si>
  <si>
    <t>ALEX WANJALA KANGO</t>
  </si>
  <si>
    <t>cheque banked</t>
  </si>
  <si>
    <t>Demand issued  on 26.07.2024</t>
  </si>
  <si>
    <t>Demand running</t>
  </si>
  <si>
    <t>Demand running, issued on 15/7/2024,but still engaging client for payment,had promised to clear this evening</t>
  </si>
  <si>
    <t>L38840</t>
  </si>
  <si>
    <t>EDWARD KIBET KORIR MABIL</t>
  </si>
  <si>
    <t>L38073</t>
  </si>
  <si>
    <t>DUTCH LOGISTICS LTD/ABRAHAM KIPKOECH KORIR</t>
  </si>
  <si>
    <t>PASCAL JOSEPH JUMA ABWOGA</t>
  </si>
  <si>
    <t>Demand issued  26.07.2024</t>
  </si>
  <si>
    <t>L36808</t>
  </si>
  <si>
    <t>Partially paid client to clear tonight,Demand running</t>
  </si>
  <si>
    <t>L32164</t>
  </si>
  <si>
    <t>AGUI  KIPKOSGEI .</t>
  </si>
  <si>
    <t>to pay in the evening</t>
  </si>
  <si>
    <t>L32778</t>
  </si>
  <si>
    <t>ALBERT  KIPLAGAT RUGUT</t>
  </si>
  <si>
    <t>L36458</t>
  </si>
  <si>
    <t>LUCY  JEROP  KURUI</t>
  </si>
  <si>
    <t>to pay by cob</t>
  </si>
  <si>
    <t>L36971</t>
  </si>
  <si>
    <t>GRACE  RUNG'ASHI .</t>
  </si>
  <si>
    <t>still ennagaging client to pay in the evening</t>
  </si>
  <si>
    <t>L38144</t>
  </si>
  <si>
    <t xml:space="preserve">FLORENCE  NJERI  NGURE </t>
  </si>
  <si>
    <t>client promised to visit office HQ ,to make payment today</t>
  </si>
  <si>
    <t>Client paid 91000 on 30th July enganging to clear arrears,demand issued on 26.07.2024</t>
  </si>
  <si>
    <t>To issue demand,had engaged client to pay by cob</t>
  </si>
  <si>
    <t>client did a partial payment yesteday to clear tonight</t>
  </si>
  <si>
    <t>Demand to be issued,to visit client at the university</t>
  </si>
  <si>
    <t>Demand issued on 11/7/2024</t>
  </si>
  <si>
    <t>Paying overnight</t>
  </si>
  <si>
    <t>Awaiting salary, will pay 5/6/2024</t>
  </si>
  <si>
    <t>L31723</t>
  </si>
  <si>
    <t>JEPKOSGEI . KEMBOI</t>
  </si>
  <si>
    <t>L35045</t>
  </si>
  <si>
    <t>STANELY  OKUNGU ALAKA</t>
  </si>
  <si>
    <t>L38961</t>
  </si>
  <si>
    <t>FLORENCE NJERI NGURE</t>
  </si>
  <si>
    <t>Demand issued on 17/7/2024,a repossession order to be issued</t>
  </si>
  <si>
    <t>Demand issued on 25.07.2024,still engaging client for payment</t>
  </si>
  <si>
    <t>Partially paid,client to clear the balance</t>
  </si>
  <si>
    <t>Demand running, issued on 15/7/2024,a repossession order to be issued on monday</t>
  </si>
  <si>
    <t>Have engaged the cleint who promises to pay immeditely</t>
  </si>
  <si>
    <t>Partially paid,client to clear the balance by close of business</t>
  </si>
  <si>
    <t>To issue demand,but still engaging client</t>
  </si>
  <si>
    <t>L29946</t>
  </si>
  <si>
    <t>PAUL MASIVO LUBISIA</t>
  </si>
  <si>
    <t>ALEX  WANJALA KANGO</t>
  </si>
  <si>
    <t>client visited  office HQ  and had an agreement with our staff,to make payment today</t>
  </si>
  <si>
    <t>Partially paid yesterday,agreed with client to clear the balance today</t>
  </si>
  <si>
    <t>Demand running, issued on 15/7/2024,a repossession order to be issued on monday client non-committal</t>
  </si>
  <si>
    <t>Have engaged the cleint to pay by cob</t>
  </si>
  <si>
    <t>Paying in the afternoon</t>
  </si>
  <si>
    <t>Demand issued on 20/7/2024, Engaging client to clear arrears</t>
  </si>
  <si>
    <t>Partially paid yesterday,agreed with client to clear the arrears today</t>
  </si>
  <si>
    <t>Demand running, issued on 18/7/2024,engaged the client throughout the day a repossession order to be issued tomorrow client non-committal</t>
  </si>
  <si>
    <t>Demand issuesd on 3rd August</t>
  </si>
  <si>
    <t>Partially paid ,client to clear by cob as agreed</t>
  </si>
  <si>
    <t>Client promised to clear arrears by evening</t>
  </si>
  <si>
    <t>Demand issued on 3rd August</t>
  </si>
  <si>
    <t>Demand to be issued today 5th August</t>
  </si>
  <si>
    <t>Cheque received,to be deposited tomorrow</t>
  </si>
  <si>
    <t>Demand to be issued on 5th August 2024</t>
  </si>
  <si>
    <t>L39110</t>
  </si>
  <si>
    <t>paying by cob</t>
  </si>
  <si>
    <t>L33760</t>
  </si>
  <si>
    <t>L24949</t>
  </si>
  <si>
    <t xml:space="preserve">WYCLIFFE KISIANGANI SONGWA </t>
  </si>
  <si>
    <t>L39074</t>
  </si>
  <si>
    <t>AMOS  MWANGI  KARIMI</t>
  </si>
  <si>
    <t>client visited  office HQ  and had an agreement with our staff Stephen Mulei to make payment ,doing follow up</t>
  </si>
  <si>
    <t>90 day demand running,issued on 17.07.2024</t>
  </si>
  <si>
    <t>Demand issued on 04.08.2024,still engaging client</t>
  </si>
  <si>
    <t>Repossession order issued today 06.08.2024 after several attempts client has proven non committal</t>
  </si>
  <si>
    <t>Cheque received,but is a posdated cheque for 08.08.2024</t>
  </si>
  <si>
    <t>Demand issued on 4th August 2024</t>
  </si>
  <si>
    <t>L36711</t>
  </si>
  <si>
    <t>EDWIN LIGABO ANJILA</t>
  </si>
  <si>
    <t>Engaging client ,was held in theatre the whole day to pay  by cob</t>
  </si>
  <si>
    <t>L38009</t>
  </si>
  <si>
    <t>YUSUF MUTAI ASMAN</t>
  </si>
  <si>
    <t>Unit involved in an accident as mentioned on mail client reported to us and awaiting insurance report,demand to be issued</t>
  </si>
  <si>
    <t xml:space="preserve">Client visited and Partially paid to clear arrears  </t>
  </si>
  <si>
    <t xml:space="preserve">Repossession order issued today ,unit under auctioneer </t>
  </si>
  <si>
    <t>Loan cleared ,account to be closed</t>
  </si>
  <si>
    <t>Client promised to clear arrears by evening,demand to be issued</t>
  </si>
  <si>
    <t>L26453</t>
  </si>
  <si>
    <t>RUTH JEPKOSGEI KATWA</t>
  </si>
  <si>
    <t xml:space="preserve">Client visited and promised to pay by cob,a demand to be issued </t>
  </si>
  <si>
    <t>L31813</t>
  </si>
  <si>
    <t>L38007</t>
  </si>
  <si>
    <t>client as per our conversation is in communication with our staff Stephen Mulei,visited  office HQ  and had an agreement with   to make payment ,doing follow up and due processes to be followed upon failure to pay</t>
  </si>
  <si>
    <t>Client visited by bm but not around communicated on ptp</t>
  </si>
  <si>
    <t>Demand issued on 5th August,engaging client</t>
  </si>
  <si>
    <t>Client promised to clear arrears by evening,demand to be issued on 9th Aug</t>
  </si>
  <si>
    <t>L39224</t>
  </si>
  <si>
    <t>Client visited promised to pay</t>
  </si>
  <si>
    <t>Demand issued , Engaging client to clear arrears</t>
  </si>
  <si>
    <t xml:space="preserve">Client to clear arrears was in hospital visited by FO </t>
  </si>
  <si>
    <t>Demand  issued on 5th August</t>
  </si>
  <si>
    <t>Demand  issued today 9th August</t>
  </si>
  <si>
    <t>Client visited and promised to pay by cob,a demand to be issued on monday</t>
  </si>
  <si>
    <t>L36663</t>
  </si>
  <si>
    <t>EMMANUEL MARITIM</t>
  </si>
  <si>
    <t>L29833</t>
  </si>
  <si>
    <t>ELIUD KIPKOSGEI SEUREI</t>
  </si>
  <si>
    <t>L33323</t>
  </si>
  <si>
    <t>TIMOTHY KIPRONO YATOR</t>
  </si>
  <si>
    <t>Engaging client to pay by cob</t>
  </si>
  <si>
    <t>L26581</t>
  </si>
  <si>
    <t>Client visited  ptp by end of today was waiting for some amount</t>
  </si>
  <si>
    <t>Deamand was issued ,still engaging client</t>
  </si>
  <si>
    <t>Client to pay by cob</t>
  </si>
  <si>
    <t>Partially paid ,client to clear by wednesday</t>
  </si>
  <si>
    <t>Demand issued on 5th August,still engaging client iinitially provided a cheque which bounced</t>
  </si>
  <si>
    <t>Demand issued ,client has been non committal on her promises</t>
  </si>
  <si>
    <t xml:space="preserve">Client cited to have a challenge on receiving salary on time,demand issued </t>
  </si>
  <si>
    <t>Client visited and promised to pay by cob,a demand to be issued 12th aug</t>
  </si>
  <si>
    <t>Engaging client demand to be issued</t>
  </si>
  <si>
    <t>L38512</t>
  </si>
  <si>
    <t>ANDERSON KIBITOK JOASH</t>
  </si>
  <si>
    <t>Repossession order issued</t>
  </si>
  <si>
    <t>client as per our conversation is in communication with our staff Stephen Mulei on payment agreement,monitoring and demand to be issued</t>
  </si>
  <si>
    <t>Made payment yesterday for logbook loan ,agreed to clear the arrears by thursday</t>
  </si>
  <si>
    <t>Demand issued on 04.08.2024,still engaging client who has been non committal</t>
  </si>
  <si>
    <t>Partially paid ,client to clear by Friday</t>
  </si>
  <si>
    <t>Still engaging client,demand issued</t>
  </si>
  <si>
    <t>Client has been non committal demand  issued yesterday</t>
  </si>
  <si>
    <t>Engaging client,demand to be issued</t>
  </si>
  <si>
    <t>Still engaging client ,to issue demand</t>
  </si>
  <si>
    <t xml:space="preserve">Demand to be issued,,still engaging client </t>
  </si>
  <si>
    <t>Repossession order issued,still running</t>
  </si>
  <si>
    <t>client has said that he has banked a cheque this morning , if it clears by tomorrow he will pay Ksh 100k</t>
  </si>
  <si>
    <t>L36152</t>
  </si>
  <si>
    <t>Still engaging client promised to make payment by COB,</t>
  </si>
  <si>
    <t>Engaging client ptp/ to clear the arrears by thursday did partial payment on Monday</t>
  </si>
  <si>
    <t>Client visited  ptp by end of today was waiting for funds which has delayed,demand issued 06.08.2024</t>
  </si>
  <si>
    <t xml:space="preserve">Demand issued on 5th August,still engaging client initially provided a cheque which bounced ELDORET </t>
  </si>
  <si>
    <t>Demand issued today</t>
  </si>
  <si>
    <t xml:space="preserve">ANDERSON KIBITOK JOASH </t>
  </si>
  <si>
    <t>I banked client's cheque on monday which bounced ,the client cites that he is urgently correcting this and making payment</t>
  </si>
  <si>
    <t xml:space="preserve">LILY  MONICA  NAFULA </t>
  </si>
  <si>
    <t>L39695</t>
  </si>
  <si>
    <t>Still engaging client promised,demand issued on 06.08.2024</t>
  </si>
  <si>
    <t>L38613</t>
  </si>
  <si>
    <t>SALOME  PASCALIA  KWAMBOKA</t>
  </si>
  <si>
    <t>Still engaging client,demand to be issued</t>
  </si>
  <si>
    <t>Engaging client ptp/ did partial payment on Monday</t>
  </si>
  <si>
    <t>Demand issued on 7th August</t>
  </si>
  <si>
    <t>Demand issued on 9th August</t>
  </si>
  <si>
    <t xml:space="preserve">Client has been non committal demand  issued </t>
  </si>
  <si>
    <t>Client engaged to visit office tomorrow 16.08.2024,to issue demand</t>
  </si>
  <si>
    <t>client as per our conversation visited our hq office and made an agreement on payment with our staff Stephen Mulei</t>
  </si>
  <si>
    <t>Engaging client ptp/did partial payment to issue demand</t>
  </si>
  <si>
    <t>Demand issued on 15.08.2024</t>
  </si>
  <si>
    <t>Repossession order issued,client is clearing the loan today</t>
  </si>
  <si>
    <t>L33291</t>
  </si>
  <si>
    <t xml:space="preserve">STEPHEN  KANAI  MIRACHO </t>
  </si>
  <si>
    <t>Client has been sent the amount due promised to clear by evening</t>
  </si>
  <si>
    <t>Client visited office on 16.08.2024,to issue demand on monday</t>
  </si>
  <si>
    <t>Repossession order issued still running</t>
  </si>
  <si>
    <t>L31384</t>
  </si>
  <si>
    <t xml:space="preserve">JOSEPH KIBORE ERASTUS </t>
  </si>
  <si>
    <t>Client due today contacted and promised to pay before end of day</t>
  </si>
  <si>
    <t>L39260</t>
  </si>
  <si>
    <t>VARSANI  DHANJI BHIMJI</t>
  </si>
  <si>
    <t>L39432</t>
  </si>
  <si>
    <t>DENNIS ODUOR NYONGESA</t>
  </si>
  <si>
    <t>Contacted the client to pay lb loan today to clear the ipf loan by wednesday</t>
  </si>
  <si>
    <t>L39435</t>
  </si>
  <si>
    <t>L31465</t>
  </si>
  <si>
    <t>AMOS KIPKECHEM KIPLEL</t>
  </si>
  <si>
    <t>Contacted the client to clear by evening,to issue demand</t>
  </si>
  <si>
    <t>L34748</t>
  </si>
  <si>
    <t>STANELY OKUNGU ALAKA</t>
  </si>
  <si>
    <t>Client partially paid,to clear by wednesday ,to issue demand</t>
  </si>
  <si>
    <t xml:space="preserve">Demand issued on 06.08.2024,to issue repossession order </t>
  </si>
  <si>
    <t>Demand issued on 5th August</t>
  </si>
  <si>
    <t>Demand issued on 12/8/2024</t>
  </si>
  <si>
    <t xml:space="preserve">Demand to be issued on 21.08.2024 </t>
  </si>
  <si>
    <t>Repossession order running</t>
  </si>
  <si>
    <t>90 Days demand running</t>
  </si>
  <si>
    <t>Demand to be issued on 21.08.2024 Partially paid</t>
  </si>
  <si>
    <t>Still engaging client,to issue demand</t>
  </si>
  <si>
    <t>Demand running issued 16.08.2024</t>
  </si>
  <si>
    <t>L27937</t>
  </si>
  <si>
    <t>JOSHUA OPIYO ODERA</t>
  </si>
  <si>
    <t>Still engaging client,demand issued 20.08.2024</t>
  </si>
  <si>
    <t>Demand running,client visited</t>
  </si>
  <si>
    <t>Demand issued on 04.08.2024,repossession order to be issued on 23rd AUGUST</t>
  </si>
  <si>
    <t>to pay overnight</t>
  </si>
  <si>
    <t xml:space="preserve">Demand to be issued today  on 21.08.2024 </t>
  </si>
  <si>
    <t>Repossession order running,client visited</t>
  </si>
  <si>
    <t>STEPHEN  GITHINJI  OYUKO</t>
  </si>
  <si>
    <t>Client engaged to clear by evenining demand to be issued</t>
  </si>
  <si>
    <t xml:space="preserve">Demand issued today on 21.08.2024 </t>
  </si>
  <si>
    <t>Still engaging client,demand issued today 22.08.2024</t>
  </si>
  <si>
    <t>Partially paid,to clear the rest before end of day</t>
  </si>
  <si>
    <t>Demand to be issued still engaging client</t>
  </si>
  <si>
    <t xml:space="preserve">Client made a partial payment on Tue ,demand issued on 21.08.2024 </t>
  </si>
  <si>
    <t xml:space="preserve">Demand running issued </t>
  </si>
  <si>
    <t>Demand to be issued</t>
  </si>
  <si>
    <t>L39701</t>
  </si>
  <si>
    <t>DARIUS CHELULEY TOO</t>
  </si>
  <si>
    <t>ESTHER WANJIKU</t>
  </si>
  <si>
    <t>Demand issued on 04.08.2024,client to clear by cob</t>
  </si>
  <si>
    <t>Repossession order issued on 24.08.2024</t>
  </si>
  <si>
    <t>Client contacted to pay by 6pm</t>
  </si>
  <si>
    <t>Demand issued today on 26.08.2024</t>
  </si>
  <si>
    <t>Still engaging client to issue demand</t>
  </si>
  <si>
    <t>L39737</t>
  </si>
  <si>
    <t>ISAAC KIMELI RONOH</t>
  </si>
  <si>
    <t>Client contacted cites to receive salary on 02.09.2024,demand to be issued</t>
  </si>
  <si>
    <t>Demand issued on 04.08.2024</t>
  </si>
  <si>
    <t>To issue a repossesion</t>
  </si>
  <si>
    <t xml:space="preserve">CLIENT WORKING WITH INSURANCE FOR CLAIM AFTER AN ACCIDENT HAPPENED </t>
  </si>
  <si>
    <t xml:space="preserve">to clear by friday </t>
  </si>
  <si>
    <t>Client contacted non committal to issue demand</t>
  </si>
  <si>
    <t>Demand issued on 26.08.2024</t>
  </si>
  <si>
    <t xml:space="preserve">PAID 60,962 TO CLEAR TOMORROW </t>
  </si>
  <si>
    <t xml:space="preserve">CLEARED </t>
  </si>
  <si>
    <t>client receiving salary on 5th sept,demand issused</t>
  </si>
  <si>
    <t xml:space="preserve">prepaid </t>
  </si>
  <si>
    <t>Client working with insurance for claim after an accident</t>
  </si>
  <si>
    <t>demand issued</t>
  </si>
  <si>
    <t>Repossession order issued,client has been doing a payment of 2000 daily</t>
  </si>
  <si>
    <t>Client engaged and to clear by cob</t>
  </si>
  <si>
    <t>Repossession order issued,partially paid</t>
  </si>
  <si>
    <r>
      <rPr>
        <rFont val="docs-Calibri"/>
        <color rgb="FF000000"/>
        <sz val="11.0"/>
      </rPr>
      <t>demand issued today 22.08.2024</t>
    </r>
  </si>
  <si>
    <r>
      <rPr>
        <rFont val="docs-Calibri"/>
        <color rgb="FF000000"/>
        <sz val="11.0"/>
      </rPr>
      <t>demand issued today 22.08.2024</t>
    </r>
  </si>
  <si>
    <t>demand issued 20.08.2024</t>
  </si>
  <si>
    <r>
      <rPr>
        <rFont val="docs-Calibri"/>
        <color rgb="FF000000"/>
        <sz val="11.0"/>
      </rPr>
      <t>Demand running</t>
    </r>
  </si>
  <si>
    <t xml:space="preserve">Demand running , client to deposit 10,000 by cob </t>
  </si>
  <si>
    <t xml:space="preserve">Demand issued on 5th August , client to clear arrears by 12th september </t>
  </si>
  <si>
    <t xml:space="preserve">car at yard </t>
  </si>
  <si>
    <t xml:space="preserve">car was involved in an accident , case with insurance </t>
  </si>
  <si>
    <t xml:space="preserve">repossession order </t>
  </si>
  <si>
    <t xml:space="preserve">client unreachable </t>
  </si>
  <si>
    <r>
      <rPr>
        <rFont val="docs-Calibri"/>
        <color rgb="FF000000"/>
        <sz val="11.0"/>
      </rPr>
      <t>Demand running</t>
    </r>
  </si>
  <si>
    <t xml:space="preserve">client to clear </t>
  </si>
  <si>
    <t>demand le</t>
  </si>
  <si>
    <t>L34430</t>
  </si>
  <si>
    <t>ANNCLAIRE MUTHONI NDUNGU</t>
  </si>
  <si>
    <t>Kareko</t>
  </si>
  <si>
    <t>L34170</t>
  </si>
  <si>
    <t>GEDION KIMWELI KIOKO</t>
  </si>
  <si>
    <t>L34425</t>
  </si>
  <si>
    <t>L37061</t>
  </si>
  <si>
    <t>NJUCA CONSOLIDATED CO LTD/PATRICK NJOROGE WACHIRA</t>
  </si>
  <si>
    <t>L38623</t>
  </si>
  <si>
    <t>MENG'ANYI AMOSI SIGORE</t>
  </si>
  <si>
    <t>Weekend Loan</t>
  </si>
  <si>
    <t>L27551</t>
  </si>
  <si>
    <t>RUTH MORAA OGENCHE</t>
  </si>
  <si>
    <t>L33322</t>
  </si>
  <si>
    <t>SHADRACK KIRWA KIRWA</t>
  </si>
  <si>
    <t>L33680</t>
  </si>
  <si>
    <t>ANDREW KARIMI KINGORI</t>
  </si>
  <si>
    <t>L38700</t>
  </si>
  <si>
    <t>BASILIO MUGENDI MITHIKA</t>
  </si>
  <si>
    <t>Demand Letter issued on 22nd July,</t>
  </si>
  <si>
    <t>L34071</t>
  </si>
  <si>
    <t>EUNICE KAGENDO NAMU</t>
  </si>
  <si>
    <t>Demand Letter issued on 22nd July</t>
  </si>
  <si>
    <t>L38155</t>
  </si>
  <si>
    <t xml:space="preserve">ERIC MUCHANGI NJERU           </t>
  </si>
  <si>
    <t>L30424</t>
  </si>
  <si>
    <t>DANIEL GACHUHI WANIARA</t>
  </si>
  <si>
    <t>L31339</t>
  </si>
  <si>
    <t>Jesse Wamithi Kiago</t>
  </si>
  <si>
    <t>Anthony Mung'ara</t>
  </si>
  <si>
    <t>Unit has been repossessed</t>
  </si>
  <si>
    <t>L36449</t>
  </si>
  <si>
    <t>John Bosco Olago</t>
  </si>
  <si>
    <t>Unit advertised</t>
  </si>
  <si>
    <t>L20723</t>
  </si>
  <si>
    <t>Bonface Kamau Migwi</t>
  </si>
  <si>
    <t>Client cleared arrears</t>
  </si>
  <si>
    <t>Paying Overnight</t>
  </si>
  <si>
    <t>Paying by 6pm</t>
  </si>
  <si>
    <t>L31606</t>
  </si>
  <si>
    <t>GLADYS KARIMI MWAMBIA</t>
  </si>
  <si>
    <t>To sign PTP and clear on 4th Aug</t>
  </si>
  <si>
    <t>L34192</t>
  </si>
  <si>
    <t>JOSHUA MWANGI NGANGA</t>
  </si>
  <si>
    <t>L34197</t>
  </si>
  <si>
    <t>L32076</t>
  </si>
  <si>
    <t>ABDO BORA DIDA</t>
  </si>
  <si>
    <t>Demand running,issued on 25/06/2024,but still engaging client for payment</t>
  </si>
  <si>
    <t>Signed PTP to clear arrears on 5th August</t>
  </si>
  <si>
    <t>Demand running,issued on 22/7/2024,but still engaging client for payment</t>
  </si>
  <si>
    <t>L21480</t>
  </si>
  <si>
    <t>SAMUEL NJOROGE NJENGA</t>
  </si>
  <si>
    <t>Demand running,issued on 19/7/2024,but still engaging client for payment</t>
  </si>
  <si>
    <t>L36885</t>
  </si>
  <si>
    <t>JOHN GITUKU GATHU</t>
  </si>
  <si>
    <t>Buy off in progress</t>
  </si>
  <si>
    <t>L38934</t>
  </si>
  <si>
    <t>Edwin Mwiti Kirungu</t>
  </si>
  <si>
    <t>L37561</t>
  </si>
  <si>
    <t>Collins Ptoo Kaniki</t>
  </si>
  <si>
    <t>A/c restructured on 31st July</t>
  </si>
  <si>
    <t>L29872</t>
  </si>
  <si>
    <t>FRANCIS NJENGA MIRANGI</t>
  </si>
  <si>
    <t>Demand running,issued on 10/07/2024,but still engaging client for payment</t>
  </si>
  <si>
    <t>Demand running,issued on 22/07/2024,but still engaging client for payment</t>
  </si>
  <si>
    <t>L33003</t>
  </si>
  <si>
    <t>Margaret Mumbua Muthama</t>
  </si>
  <si>
    <t>Buy-off in progress</t>
  </si>
  <si>
    <t>L34445</t>
  </si>
  <si>
    <t>ALEX KABUU WAINAINA</t>
  </si>
  <si>
    <t>L32918</t>
  </si>
  <si>
    <t>FRANCIS  MARIKU MURAGE</t>
  </si>
  <si>
    <t>L21167</t>
  </si>
  <si>
    <t>TABITHA NJOKI KINYANJUI</t>
  </si>
  <si>
    <t>L34551</t>
  </si>
  <si>
    <t>Wilfred Bungei</t>
  </si>
  <si>
    <t>To pay via RTGS</t>
  </si>
  <si>
    <t xml:space="preserve">Anthony Mung'ara </t>
  </si>
  <si>
    <t>L31932</t>
  </si>
  <si>
    <t>COLLINS PTOO KANIKI</t>
  </si>
  <si>
    <t>L31625</t>
  </si>
  <si>
    <t>JEREMIAH WARUTERE NJOGU</t>
  </si>
  <si>
    <t>L34654</t>
  </si>
  <si>
    <t>FRANCIS KIBE KAMAU</t>
  </si>
  <si>
    <t>L37161</t>
  </si>
  <si>
    <t>RUFUS WAMAE MACHARIA</t>
  </si>
  <si>
    <t>L37969</t>
  </si>
  <si>
    <t>SANAIPEI DEBORAH NTIMAMA</t>
  </si>
  <si>
    <t>L38791</t>
  </si>
  <si>
    <t>JAMES NJOROGE KAMAU</t>
  </si>
  <si>
    <t>L35678</t>
  </si>
  <si>
    <t>Jimmy Tati Mwenda</t>
  </si>
  <si>
    <t>Commitment to pay Tue 1st</t>
  </si>
  <si>
    <t>L29527</t>
  </si>
  <si>
    <t>DOMINIC KAPERO MUKOMA</t>
  </si>
  <si>
    <t>Deman issued on 25th July,following up for payments</t>
  </si>
  <si>
    <t>Client still working with the bank to clear the loan</t>
  </si>
  <si>
    <t>SHADRACK  KIRWA KIRWA</t>
  </si>
  <si>
    <t>ipf</t>
  </si>
  <si>
    <t>L28316</t>
  </si>
  <si>
    <t>JOAN NYAMBURA THUO</t>
  </si>
  <si>
    <t>L32832</t>
  </si>
  <si>
    <t>SAMUEL GITONGA MAINA</t>
  </si>
  <si>
    <t>L36381</t>
  </si>
  <si>
    <t>MARY WANJIRU NJORAA</t>
  </si>
  <si>
    <t>To pay by 6pm</t>
  </si>
  <si>
    <t>To pay by 7pm</t>
  </si>
  <si>
    <t>L35390</t>
  </si>
  <si>
    <t>Julius Kenneth Wanjau</t>
  </si>
  <si>
    <t>Visited the office today,commited to pay partailly overnight</t>
  </si>
  <si>
    <t>To make payments over the weekend</t>
  </si>
  <si>
    <t>L31954</t>
  </si>
  <si>
    <t>BENSON KAJANA MUYANGA</t>
  </si>
  <si>
    <t>To issue proclamation notice,unit at garauge</t>
  </si>
  <si>
    <t xml:space="preserve">To clear arrears before 30th July </t>
  </si>
  <si>
    <t>Demand issued on 20th June,following up for payments</t>
  </si>
  <si>
    <t>L38821</t>
  </si>
  <si>
    <t>BENARD NJUKIA</t>
  </si>
  <si>
    <t>Paying by COB today</t>
  </si>
  <si>
    <t>Demand issued on 2/7/2024</t>
  </si>
  <si>
    <t>L37008</t>
  </si>
  <si>
    <t>OBADIAH MWAURA NJUGUNA</t>
  </si>
  <si>
    <t>Commitment to clear arrears on 5th August</t>
  </si>
  <si>
    <t>L21939</t>
  </si>
  <si>
    <t>JOHN KARUGA MUREMWA</t>
  </si>
  <si>
    <t>L22521</t>
  </si>
  <si>
    <t>EVELYNE NICOLE MATHAI</t>
  </si>
  <si>
    <t>L26553</t>
  </si>
  <si>
    <t>JANE OLIVER MULWA</t>
  </si>
  <si>
    <t>L30174</t>
  </si>
  <si>
    <t>ALLAN AYAGA ODWAR</t>
  </si>
  <si>
    <t>L34921</t>
  </si>
  <si>
    <t>JOHN MWANGI MACHARIA</t>
  </si>
  <si>
    <t>To pay on 30th July</t>
  </si>
  <si>
    <t>Andrew Karimi Kingori</t>
  </si>
  <si>
    <t>L38872</t>
  </si>
  <si>
    <t>JAMES IGANGA MUHANI C/O PRECIMED ENTERPRISES LIMITED</t>
  </si>
  <si>
    <t xml:space="preserve">L38934 </t>
  </si>
  <si>
    <t>EDWIN MWITI KIRUNGU</t>
  </si>
  <si>
    <t>L25750</t>
  </si>
  <si>
    <t>JOSEPH MUTUA KASUNGA</t>
  </si>
  <si>
    <t>L31112</t>
  </si>
  <si>
    <t>COLLINS AMBOSO MUKHUMU</t>
  </si>
  <si>
    <t xml:space="preserve">Commitment to clear arrears before 30th July </t>
  </si>
  <si>
    <t>Restructure in progress</t>
  </si>
  <si>
    <t>Visited the office and signed PTP to clear on 14th July</t>
  </si>
  <si>
    <t>Making partial payments to clear on Fri 9</t>
  </si>
  <si>
    <t>Paying by 7pm today</t>
  </si>
  <si>
    <t>Demand to be issued on 31st if not paid overnight</t>
  </si>
  <si>
    <t>Restructure on 31st July</t>
  </si>
  <si>
    <t>L31688</t>
  </si>
  <si>
    <t>JAMES THANGARI WAMITI</t>
  </si>
  <si>
    <t>Partially paid,to clear arrears on Thu</t>
  </si>
  <si>
    <t>FRANCIS MARIKU MURAGE</t>
  </si>
  <si>
    <t xml:space="preserve">Visited </t>
  </si>
  <si>
    <t>L34262</t>
  </si>
  <si>
    <t>PETER KAMAU NJUGUNA</t>
  </si>
  <si>
    <t xml:space="preserve">CHEQUE BANKED </t>
  </si>
  <si>
    <t>L37262</t>
  </si>
  <si>
    <t>RICHARD KIBWAGE BOGITA</t>
  </si>
  <si>
    <t>ERIC MUCHANGI NJERU</t>
  </si>
  <si>
    <t>client cleared arrears</t>
  </si>
  <si>
    <t>Demand posted via Email on 10th July,following via calls and emails to clear the arrears</t>
  </si>
  <si>
    <t>Buy-off by Cooperative bank in progress</t>
  </si>
  <si>
    <t>Demand issued on 31st July,following up for full payments</t>
  </si>
  <si>
    <t>Account is being restructured,home visit done today</t>
  </si>
  <si>
    <t>Demand posted via Email on 22nd July,following up for full payments</t>
  </si>
  <si>
    <t>JULIUS KENNETH WANJAU</t>
  </si>
  <si>
    <t>BONFACE KAMAU MIGWI</t>
  </si>
  <si>
    <t>Demand posted via email on 25th June,following via calls and SMS</t>
  </si>
  <si>
    <t>L37053</t>
  </si>
  <si>
    <t>JAGJIT SINGH UMESH</t>
  </si>
  <si>
    <t>Partialy paid</t>
  </si>
  <si>
    <t>L31149</t>
  </si>
  <si>
    <t>ADAN HUKA HALAKE</t>
  </si>
  <si>
    <t>Client Promised to pay overnight</t>
  </si>
  <si>
    <t>L31186</t>
  </si>
  <si>
    <t>JOTHAM GITONGA BAARIU</t>
  </si>
  <si>
    <t>Client Promised to pay by COB today</t>
  </si>
  <si>
    <t>L34918</t>
  </si>
  <si>
    <t>DUNCAN KURIA KABOCHI C/O DUKAB INVESTMENTS LIMITED</t>
  </si>
  <si>
    <t>Commitment to pay on Tue 6th August.</t>
  </si>
  <si>
    <t>Demand issued on 10th July,client making daily partial payments</t>
  </si>
  <si>
    <t>Buy-off by co-operative failed,engaging client to seek for alternative source of funds to clear arrears</t>
  </si>
  <si>
    <t>Demand issued on 1st July,client commited to clear arrears by 5th August</t>
  </si>
  <si>
    <t>Demand issued on 31st July,client commited to clear arrears on 5th Aug  after receiving her salary</t>
  </si>
  <si>
    <t>Demand issued on 31st July,client to make partial payments on  5th Aug</t>
  </si>
  <si>
    <t>L37266</t>
  </si>
  <si>
    <t>Robert Mburung’a Nangithia</t>
  </si>
  <si>
    <t>Commitment to clear on 3rd August</t>
  </si>
  <si>
    <t>Demand issued on 31st July,following up with the 3rd party for full payments</t>
  </si>
  <si>
    <t>Demand issued on 22nd July,reminders sent to clear the arrears</t>
  </si>
  <si>
    <t>Commitment to clear arrears/ loan balance by  Thu 8th</t>
  </si>
  <si>
    <t>Demand issued on 25th June,</t>
  </si>
  <si>
    <t>Signed PTP co clear arrears on 5th Aug,commited to make partial paymen</t>
  </si>
  <si>
    <t>Arrears cleared</t>
  </si>
  <si>
    <t>A/c restructured</t>
  </si>
  <si>
    <t>L35223</t>
  </si>
  <si>
    <t>TABITHA WANGARI KIMOTHO</t>
  </si>
  <si>
    <t>L27193</t>
  </si>
  <si>
    <t>ALPHONCE OKONG'O OGUTU</t>
  </si>
  <si>
    <t>L31691</t>
  </si>
  <si>
    <t>MARIAM ATIENO YUSUF</t>
  </si>
  <si>
    <t>L34919</t>
  </si>
  <si>
    <t>RODGERS MOSE OGENDI</t>
  </si>
  <si>
    <t>L35072</t>
  </si>
  <si>
    <t>KILLIAN KARANJA KIMANI</t>
  </si>
  <si>
    <t>JIMMY TATI MWENDA</t>
  </si>
  <si>
    <t>Demand issued on 2nd August,client sourcing for funds.</t>
  </si>
  <si>
    <t>paying overnight,Client commitment to pay 50k every Friday to redeem the vehicle from yard</t>
  </si>
  <si>
    <t>Commited to pay tomorrow 3rd August</t>
  </si>
  <si>
    <t>Commited to pay today 2nd August,paying overnight</t>
  </si>
  <si>
    <t>L32152</t>
  </si>
  <si>
    <t>NOAH SIPOI MAINAH</t>
  </si>
  <si>
    <t>90 days demand running to expire on 30th August,home visit scheduled on 6th August</t>
  </si>
  <si>
    <t>L34419</t>
  </si>
  <si>
    <t>EUGENE OLAK ORIMBO</t>
  </si>
  <si>
    <t xml:space="preserve">Client failed to clear arrears pending on account.We are engaging the client for full payment. client has a running demand </t>
  </si>
  <si>
    <t xml:space="preserve">Client had communicated he will be receiving funds today to settle his arrears and redeem his car from the yard but failed to make payments. To follow up tomorrow for payment and status of advertisement of the unit </t>
  </si>
  <si>
    <t>L20685</t>
  </si>
  <si>
    <t>JOSEPH WAMBUGU NDUNGU</t>
  </si>
  <si>
    <t>Anthony</t>
  </si>
  <si>
    <t>REPOSSESSED</t>
  </si>
  <si>
    <t>L32999</t>
  </si>
  <si>
    <t>GITHINJI PETER MWANGI</t>
  </si>
  <si>
    <t>Due today,SMS and Email reminder sent to pay the instalmet</t>
  </si>
  <si>
    <t>Client has a commitment to pay the outstanding arrears/loan balance by COB today</t>
  </si>
  <si>
    <t>Demand issued on 1st July,promised to pay 10k partial payment by COB today</t>
  </si>
  <si>
    <t xml:space="preserve">Client commited to pay the dues+penalties that will accumulate by date 7 August. Waiting for salary </t>
  </si>
  <si>
    <t>Demand issued on 31st July,SMS and Email reminders sent</t>
  </si>
  <si>
    <t>Demand issued on 26th July,Client making daily partial payments.To clear by date 15 August</t>
  </si>
  <si>
    <t>Demand Issued on 31st July,SMS and Email reminders sent TO CLEAR THE ARREARS</t>
  </si>
  <si>
    <t>Commitment to clear arrears over the weekend.</t>
  </si>
  <si>
    <t>Demand Issued on 31st July,SMS and Email reminders sent, client has been paying 1k per day but advised to visit branch for restructure</t>
  </si>
  <si>
    <t>L34438</t>
  </si>
  <si>
    <t>NASHON KALOKI NG’ELU</t>
  </si>
  <si>
    <t>Signed PTP to clear by 13th August</t>
  </si>
  <si>
    <t>L35151</t>
  </si>
  <si>
    <t>STANLEY KANJA KIMANI</t>
  </si>
  <si>
    <t>Gladys Karimi Mwambia</t>
  </si>
  <si>
    <t xml:space="preserve">ABDO BORA DIDA      </t>
  </si>
  <si>
    <t>Promised to clear arrears by Friday 9th August</t>
  </si>
  <si>
    <t>Commitment to pay by COB today</t>
  </si>
  <si>
    <t>Demand issued on 1st July, client making partial paymnet by COB today</t>
  </si>
  <si>
    <t>L37336</t>
  </si>
  <si>
    <t>GRACE WANGARI KARANJA</t>
  </si>
  <si>
    <t>L39073</t>
  </si>
  <si>
    <t>NICHOLAS KIRANGO KINGATUA</t>
  </si>
  <si>
    <t>Due date to be rescheduled to 18th August,when take home was disbursed.</t>
  </si>
  <si>
    <t>Has a running PTP to clear arrears by 14th August,SMS reminders sent</t>
  </si>
  <si>
    <t>Commitment to clear arrears by 10th August</t>
  </si>
  <si>
    <t>Demand running,Client commited to clear arrears by 8pm today,overnight</t>
  </si>
  <si>
    <t>JOHN MWANGI  MACHARIA</t>
  </si>
  <si>
    <t>ANNCLAIRE MUTHONI  NDUNGU</t>
  </si>
  <si>
    <t>Client commited to clear arrears by 7th August,waiting for salary</t>
  </si>
  <si>
    <t>Mungara</t>
  </si>
  <si>
    <t>SELFBOOKED today 5th August</t>
  </si>
  <si>
    <t>L37419</t>
  </si>
  <si>
    <t>EDGAR OGAI WAMANGO</t>
  </si>
  <si>
    <t>To pay overnight. Follow up on 07.08.24 to ensure he pays</t>
  </si>
  <si>
    <t>Client waiting for payments from his contractors,demand to be issued tomorrow if not paid overnight.</t>
  </si>
  <si>
    <t>Demand issued on 22nd July,Commitment to pay by 8th August</t>
  </si>
  <si>
    <t>Demand issued on 31st July,engaging the client for full payments</t>
  </si>
  <si>
    <t>Signed PTP to clear on 14th August,promissed to make partial payment overnight.</t>
  </si>
  <si>
    <t>Commited to clear arrears by 10th August</t>
  </si>
  <si>
    <t>Client had a commitment to clear arrears today,to confirm payments overnight.</t>
  </si>
  <si>
    <t>Client abroad.Demand running,issued on 22/07/2024,commited to clear arrears by 10th August</t>
  </si>
  <si>
    <t>Demand issued on 31st Email,following up for full payments.</t>
  </si>
  <si>
    <t xml:space="preserve">TO DEPOSIT AT FAMILY BANK ON 7TH MORNING </t>
  </si>
  <si>
    <t>L30176</t>
  </si>
  <si>
    <t>COMMITMENT TO PAY TOMMOROW,CLIENT IS IN RWANDA AND HAS BEEN PAID IN DOLLARS,TO DO THE EXCHANGE TOMMOROW</t>
  </si>
  <si>
    <t>L34606</t>
  </si>
  <si>
    <t>PATRICK NGUGI THUO</t>
  </si>
  <si>
    <t>L35708</t>
  </si>
  <si>
    <t>DAVID KARANJA MWANGI</t>
  </si>
  <si>
    <t>Client due today,to confirm payments overnight</t>
  </si>
  <si>
    <t>L38457</t>
  </si>
  <si>
    <t>L38488</t>
  </si>
  <si>
    <t>Partially paid,to clear arrears on 8th August</t>
  </si>
  <si>
    <t>Demand issued on 1st July,client visited at Landless Thika,commited to pay 5k every Monday</t>
  </si>
  <si>
    <t>L38542</t>
  </si>
  <si>
    <t>THOMAS NJENGA MUGO</t>
  </si>
  <si>
    <t>Signed PTP to clear arrears by 14th August,de</t>
  </si>
  <si>
    <t>Commitment to make payments by Friday 9th August</t>
  </si>
  <si>
    <t>To sign PTP to clear arrears by 17th August</t>
  </si>
  <si>
    <t>We did not manage to make the visit today , visit rescheduled for 8th,Demand issued on 31st July</t>
  </si>
  <si>
    <t>We did not manage to make the visit today , visit rescheduled for 8th</t>
  </si>
  <si>
    <t>Client commitment to pay daily partial payment of 1K to clear the arrears</t>
  </si>
  <si>
    <t>Commitment to make payments on Friday 9th August</t>
  </si>
  <si>
    <t>L26817</t>
  </si>
  <si>
    <t>Francis Kamau Kingori</t>
  </si>
  <si>
    <t>Visited his premises and Business but the client was unavailable for payment on pending arrears due. To engage client on 8th August for Payment</t>
  </si>
  <si>
    <t xml:space="preserve">Client failed on his prior commitment to settle arrears, To follow up for payment on 8th August </t>
  </si>
  <si>
    <t>Client making daily partial payments,to pay 2k overnight</t>
  </si>
  <si>
    <t xml:space="preserve">Client settled his arrears and his unit released back from the Yard </t>
  </si>
  <si>
    <t>John Gituku  Gathu</t>
  </si>
  <si>
    <t xml:space="preserve">Client failed to settle arrears as earlier committed  to follow up with the client for payment on 8th August </t>
  </si>
  <si>
    <t>MARGARET MUMBUA MUTHAMA</t>
  </si>
  <si>
    <t>Demand letter issued on 31st July</t>
  </si>
  <si>
    <t>L36698</t>
  </si>
  <si>
    <t>SAMUEL THAIRU WANGENDO</t>
  </si>
  <si>
    <t>Making partial payments</t>
  </si>
  <si>
    <t>L39225</t>
  </si>
  <si>
    <t>JESSICA NYAMBURA KIMATHI</t>
  </si>
  <si>
    <t>Requested for roll over</t>
  </si>
  <si>
    <t>Signed PTP to clear arrears on 14th August</t>
  </si>
  <si>
    <t>Jagjit Singh Umesh</t>
  </si>
  <si>
    <t>Jane Karimi</t>
  </si>
  <si>
    <t>Commitment to pay 1k daily</t>
  </si>
  <si>
    <t>Demand issued on 31st July</t>
  </si>
  <si>
    <t>Alex Kabuu Wainaina</t>
  </si>
  <si>
    <t>Anthony Mungara</t>
  </si>
  <si>
    <t xml:space="preserve">Called the client who declined our calls made to him, Sent an sms reminder to settle pending arrears. the client has a running 90 day demand expiring on 30th August </t>
  </si>
  <si>
    <t>Stanley Kanja Kimani</t>
  </si>
  <si>
    <t>Client scheduled to visit office on Tue 13th Aug to clear pending arrears</t>
  </si>
  <si>
    <t>Called the client who was unreachable. Sent the client an sms reminder for pending payment.Engaging allternate contacts for connection with the client</t>
  </si>
  <si>
    <t>Edger Ogai Wamango</t>
  </si>
  <si>
    <t>The client was unreachable on calls made, Sent the client an sms reminder to settle arrears. To issue client with a demand letter on 9th August and share on email</t>
  </si>
  <si>
    <t>Nicholas Kirango Kingatua</t>
  </si>
  <si>
    <t xml:space="preserve">Client received his money late and is awaiting approval for switch of due dates to 18th to align with his date of disbursement </t>
  </si>
  <si>
    <t>spoke to the spouse who communicated the payment will be made by close of day 9th August</t>
  </si>
  <si>
    <t>L31387</t>
  </si>
  <si>
    <t>LEONARD MWENDWA PETER</t>
  </si>
  <si>
    <t>Due today,to pay overnight</t>
  </si>
  <si>
    <t>L33812</t>
  </si>
  <si>
    <t>CHRISTINE WANGARI KAMAU</t>
  </si>
  <si>
    <t>The client has a due installment for today, sent the client a reminder for payment on arrears to issue a demand letter</t>
  </si>
  <si>
    <t>L36826</t>
  </si>
  <si>
    <t>STEPHEN NDABA MUNIU</t>
  </si>
  <si>
    <t>Paying by COB</t>
  </si>
  <si>
    <t xml:space="preserve">Client failed to make his payment, Client unit is still at the yard and has been advertised. Sourcing for buyer </t>
  </si>
  <si>
    <t>L37521</t>
  </si>
  <si>
    <t>GAITANO OUMA LUTA</t>
  </si>
  <si>
    <t>The client was unreachable on calls made, Sent the client an email and sms reminder to settle arrears. The client has also been issued with a demand letter today 9th August</t>
  </si>
  <si>
    <t>L36888</t>
  </si>
  <si>
    <t>Florence Gladys Muthoni Wachira</t>
  </si>
  <si>
    <t>The client declined calls made for payment. The client's property has a 90 day running</t>
  </si>
  <si>
    <t>Signed PTP to clear arrears by 14th August</t>
  </si>
  <si>
    <t>Demand issued on 9th August,client to make partial payment overnight</t>
  </si>
  <si>
    <t>Demand to be issued on 10th August if payments not received overnight</t>
  </si>
  <si>
    <t>Demand issued on 31st July,</t>
  </si>
  <si>
    <t>Commited to clear arrears today,waiting for overnight payments</t>
  </si>
  <si>
    <t>Waiting for cheque to clear and clear arrears on Mon or Tue 13th</t>
  </si>
  <si>
    <t xml:space="preserve">Client failed to respond to all calls made for payment, To follow up for full payment.Home visit sheduled for Monday 12th August  </t>
  </si>
  <si>
    <t xml:space="preserve">client cheque banked on 9th August </t>
  </si>
  <si>
    <t>Demand issued on 9th August,following up for full payments</t>
  </si>
  <si>
    <t xml:space="preserve">Client is unreachable on calls to issue a demand letter on 12th August </t>
  </si>
  <si>
    <t xml:space="preserve">Client committed to settle arrears by 13th August to normalize the account </t>
  </si>
  <si>
    <t xml:space="preserve">Signed PTP to clear by 14th August </t>
  </si>
  <si>
    <t>L37172</t>
  </si>
  <si>
    <t>Johathan Mulwa Akilte Osoi</t>
  </si>
  <si>
    <t>Commitment to pay over the weekend</t>
  </si>
  <si>
    <t>Client is making a payment of 150000 and is working to redeem the unit and set full loan balance by the end of next week</t>
  </si>
  <si>
    <t xml:space="preserve">Client has failed on her Installment payment. To issue client with a demand letter on 12th August for pending payment </t>
  </si>
  <si>
    <t xml:space="preserve">Client issued with demand letter via email on 9th august. Sent the client a reminder as he is unreachable on calls. To engage alternative client contacts </t>
  </si>
  <si>
    <t>Client scheduled to visit office on Tue !3th Aug to clear pending arrears</t>
  </si>
  <si>
    <t>L26671</t>
  </si>
  <si>
    <t>CHARLES BOLVINCE OPONDO</t>
  </si>
  <si>
    <t xml:space="preserve">Client Communicated he will be settling arrears today , Following up for full settlement on installment Due </t>
  </si>
  <si>
    <t>FRANCIS KAMAU KINGORI</t>
  </si>
  <si>
    <t>Client to visit the office tommorow and sign PTP</t>
  </si>
  <si>
    <t>L27777</t>
  </si>
  <si>
    <t>BENEDICT ONYANGO OYULA</t>
  </si>
  <si>
    <t xml:space="preserve">Client made a payment of Kshs. 29,000 following up with finance for pending arrears to be shared with the client to Normalize account </t>
  </si>
  <si>
    <t>L35298</t>
  </si>
  <si>
    <t>PETER NGUGI NDUATI</t>
  </si>
  <si>
    <t xml:space="preserve">Client made a payment of 28000 to confirm status with finance on account normalization </t>
  </si>
  <si>
    <t>Client failed to make his payment as earlier communicated,following up for full payments</t>
  </si>
  <si>
    <t>Signed PTP to clear arrears on Wednesday 14th,following up for the full payments</t>
  </si>
  <si>
    <t>Demand Letter issued on 12th August</t>
  </si>
  <si>
    <t>\Demand Letter issued on 31st July,following up for full payments</t>
  </si>
  <si>
    <t>Demand letters issued on 9th August,client making partial payments and clear by end of next week</t>
  </si>
  <si>
    <t>Demand Letter issued on 12th August,following up for full payments</t>
  </si>
  <si>
    <t>Demand Letter issued on 31st July,following up for full payments</t>
  </si>
  <si>
    <t xml:space="preserve">Client failed to make his payment as earlier communicated, Client Intends to settle loan in full to redeem his vehicle from the yard and close account </t>
  </si>
  <si>
    <t xml:space="preserve">Spoke to the spouse of the client who communicated they were working on making the payment, Client has a running demand as of 9th August and repossession orders to be issued on failure to pay </t>
  </si>
  <si>
    <t>Demand issued on 22nd July,to be issued with proclamation notice if not paid overnight</t>
  </si>
  <si>
    <t>Due today,promised to pay by COB</t>
  </si>
  <si>
    <t>L37600</t>
  </si>
  <si>
    <t>JOHN KIPLANG'AT NG'ENO</t>
  </si>
  <si>
    <t>L37639</t>
  </si>
  <si>
    <t>GEORGE OTIENO OSEWE</t>
  </si>
  <si>
    <t>Client due today,commited to pay before Friday 16th</t>
  </si>
  <si>
    <t>Repossession orders issued to Foresight,Cadua and Moran auctioneers</t>
  </si>
  <si>
    <t>Demand issued on 13th August,commited to make partial payments by COB today</t>
  </si>
  <si>
    <t>Demand issued on 31st July,promised to make partial payment by COB today</t>
  </si>
  <si>
    <t>The NOK promised to visit the office today and make a payment plan to clear the pending arrears</t>
  </si>
  <si>
    <t>Signed PTP to clear arrears tommorow on 14th August</t>
  </si>
  <si>
    <t>Demand Letter issued on 12th August,</t>
  </si>
  <si>
    <t>Partially paid,to clear arrears by next week 23rd August</t>
  </si>
  <si>
    <t>Demand Letter issued on 12th August,following up via emails and SMS for full payments</t>
  </si>
  <si>
    <t>Client commited to pay ksh 5000 by COB today</t>
  </si>
  <si>
    <t xml:space="preserve">Anthony </t>
  </si>
  <si>
    <t xml:space="preserve">Client has committed to settle loan in full to redeem his vehicle from the yard and close account by the end of the week </t>
  </si>
  <si>
    <t xml:space="preserve"> Sent the client an email reminder to settle arrears, Client has a running demand from 9th August and repossession orders to follow on demand expiry on 27th August </t>
  </si>
  <si>
    <t>Charles Bolvince Opondo</t>
  </si>
  <si>
    <t xml:space="preserve">Client made a payment of kshs.56,429.00 overnight and was updated today and normalized the account </t>
  </si>
  <si>
    <t>Duncan Kuria Kabochi C/O Dukab Investments Limited</t>
  </si>
  <si>
    <t>Partially paid,commited to pay another 20K overnight.</t>
  </si>
  <si>
    <t>Demand to be issued on 15th August,client commited to pay by 17th August</t>
  </si>
  <si>
    <t>Client signed a PTP to clear arrears today,promised to make payments by 6pm</t>
  </si>
  <si>
    <t>Demand issued on 31st July,repossession orders to be issued on 18th August if not paid</t>
  </si>
  <si>
    <t>Partially paid,to clear arrear by next Friday 23rd</t>
  </si>
  <si>
    <t>Demand to be issued on 15th August,client commited to pay by 24th August.PTP Form sent to client for signing</t>
  </si>
  <si>
    <t>L38578</t>
  </si>
  <si>
    <t>EVERLYNE WANJIRU MACHARIA</t>
  </si>
  <si>
    <t>Due today,to make payments by COB today</t>
  </si>
  <si>
    <t>L25825</t>
  </si>
  <si>
    <t>SARAH NDANU NGESU</t>
  </si>
  <si>
    <t>Allan Ayaga Odwar</t>
  </si>
  <si>
    <t>Partially paid,client signed PTP to clear arrears by 20th August</t>
  </si>
  <si>
    <t>Demand running,issued on 9th August,client to make partial payment of ksh 2500</t>
  </si>
  <si>
    <t>L39089</t>
  </si>
  <si>
    <t>Demand issued on 13th August,commited to make partial payments by COB tommorow</t>
  </si>
  <si>
    <t xml:space="preserve">Client signed a Ptp for thursday 22nd August. He has a running demand issued on 12th August repossession orders to follow on demand expiry on 30th failure to pay </t>
  </si>
  <si>
    <t xml:space="preserve">Client Paid Partially On his arrears. Client yard is still at the yard and has been advertised as of 27th July </t>
  </si>
  <si>
    <t>Christine Wangari Kamau</t>
  </si>
  <si>
    <t xml:space="preserve">Running demand as of 12th August. Trying alternative contacts to reach the client </t>
  </si>
  <si>
    <t xml:space="preserve">Client disputing arrears currently on account, the client has a running demand as of 9th August </t>
  </si>
  <si>
    <t xml:space="preserve">COLLINS AMBOSO  MUKHUMU </t>
  </si>
  <si>
    <t xml:space="preserve">Client paid and has a balance of Kshs.415 sent the client a reminder to settle balance and have his logbook released tomorrow 15th August </t>
  </si>
  <si>
    <t xml:space="preserve">Client has a running demand issued on 9th august , Spoke to the spouse who made no commitment, sent reminders for pending payment due. </t>
  </si>
  <si>
    <t>Wrote reminders to the client to make payment. She has a running demand issued on 12th July. To engage the client on 16th for clearance of arrears</t>
  </si>
  <si>
    <t>L36941</t>
  </si>
  <si>
    <t>Benta Wanjiku Maina</t>
  </si>
  <si>
    <t>l</t>
  </si>
  <si>
    <t xml:space="preserve">Client communicated they were expecting funds today and will make their payment tomorrow morning on 16th August </t>
  </si>
  <si>
    <t>L36980</t>
  </si>
  <si>
    <t>Carol Gatwiri Mugwongo</t>
  </si>
  <si>
    <t xml:space="preserve">Client paying overnight to settle installment due, To update on payment completion </t>
  </si>
  <si>
    <t>Spoke to the client who disputed his arrears. The client is working to redeem his car by the end of the week. To engage client for payment on 16th August</t>
  </si>
  <si>
    <t>Benson  Kajana Muyanga</t>
  </si>
  <si>
    <t xml:space="preserve">Repossession orders reissued to recover the unit </t>
  </si>
  <si>
    <t>L36776</t>
  </si>
  <si>
    <t>Denis Mulongo Mutoro</t>
  </si>
  <si>
    <t>Shared arrears with the client to make payments and redeem his unit from the yard. The unit has been advertised and we are sourcing for buyers to recover funds</t>
  </si>
  <si>
    <t>Commited to pay 20K today,and 5K every Monday</t>
  </si>
  <si>
    <t>Demand Letter issued on 15th August,Client promised to pay arrrears on or before Sat 17th August</t>
  </si>
  <si>
    <t>Paid 35K partially overnight,to clear the remaining 6K on Sat 17th</t>
  </si>
  <si>
    <t>The NOK visited the HQ and commited to pay 20K before Sat 17th August and clear the arrears before 10th SEP</t>
  </si>
  <si>
    <t>Running demand issued on 31st July to expire on Monday 18th,to issue repossession on Tue 19th if arrears not paid</t>
  </si>
  <si>
    <t>Running demand issued on 9th August</t>
  </si>
  <si>
    <t>Demand running issued on 12th August,Client signed PTP to clear arrears on 25th August</t>
  </si>
  <si>
    <t>Commited to pay arrears on or before SAT 17th August</t>
  </si>
  <si>
    <t>Demand running issued today 15th August,client was due yesterday</t>
  </si>
  <si>
    <t>L39484</t>
  </si>
  <si>
    <t>Norah Nzisa Muendo</t>
  </si>
  <si>
    <t>Weekendloan</t>
  </si>
  <si>
    <t>To make 1M payment overnight</t>
  </si>
  <si>
    <t>Client commited to clear the pending arrears on or before Tuesday 20th,running demand issued on 20th August</t>
  </si>
  <si>
    <t>Commited to make 20K payments overnight</t>
  </si>
  <si>
    <t>Commited to make payments today overnight or Sat 17th,repossession to be issued if not paid on Monday 18th</t>
  </si>
  <si>
    <t>Demand issued on 15th July</t>
  </si>
  <si>
    <t>Samuel Njoroge Njenga</t>
  </si>
  <si>
    <t>Partially paid,commited to clear the remaining arrears by 15th August</t>
  </si>
  <si>
    <t>Partially paid,to clear overnigtht</t>
  </si>
  <si>
    <t>Demand issued on 31st July,to expire on 18th August.Repossesion to be issued on Monady if not paid</t>
  </si>
  <si>
    <t>Commited to pay 20K on Sat,and clear arrears before 10th Sep.</t>
  </si>
  <si>
    <t xml:space="preserve">Client has a running demand issued on 12th July she communicated she will make payments by monday 19th August </t>
  </si>
  <si>
    <t xml:space="preserve">Client Communicated they will be paying by 6pm today, To issue demand on 17th on failure to make payment </t>
  </si>
  <si>
    <t xml:space="preserve">Client disputing arrears due, requested for client statement to share with the client for reference. Unit is at yard and advertised </t>
  </si>
  <si>
    <t xml:space="preserve">Client making a payment of 100000 today Evening, Sent the client reminders for payment,Unit at yard and has been advertised </t>
  </si>
  <si>
    <t>Rodgers Mose  Ogendi</t>
  </si>
  <si>
    <t xml:space="preserve">Client visited the branch on 15th, Client committed to clear arrears by next week </t>
  </si>
  <si>
    <t>Commitment to pay 30K on Monday 18th by 10AM</t>
  </si>
  <si>
    <t>Repossession to be issued on 19th Aug if not paid on 18th,the expiry date of the demand letter</t>
  </si>
  <si>
    <t>Unit remains at yard and has been advertised for sale. The client communicated he will deposit 100000</t>
  </si>
  <si>
    <t xml:space="preserve">Settling arrears by 6pm </t>
  </si>
  <si>
    <t xml:space="preserve">Client failed to settle arrears to issue with demand on 19th </t>
  </si>
  <si>
    <t>Florence Gladys  Muthoni  Wachira</t>
  </si>
  <si>
    <t>Client made payment of 50000</t>
  </si>
  <si>
    <t>L35565</t>
  </si>
  <si>
    <t>FESTUS KIPKORIR ROTICH</t>
  </si>
  <si>
    <t>Due today,client to make payment by COB today</t>
  </si>
  <si>
    <t>L39389</t>
  </si>
  <si>
    <t>L39523</t>
  </si>
  <si>
    <t>ODHIAMBO CAROLINE AWUOR</t>
  </si>
  <si>
    <t>L39589</t>
  </si>
  <si>
    <t>JAMES MACHARIA GICHIRI</t>
  </si>
  <si>
    <t xml:space="preserve">Client car remains at the yard and has been advertised for sale. Engaging the client while sourcing for buyer to recover amount due </t>
  </si>
  <si>
    <t xml:space="preserve">Demand letter issued for pending payment. Sent the client reminders to settle pending arrears </t>
  </si>
  <si>
    <t xml:space="preserve">Client has a running 90 day demand. Sent the client an email reminder with pending arrears due  </t>
  </si>
  <si>
    <t xml:space="preserve">Client demand running from 9th and shared via Email. Client failed on commitment to pay. sent the client a reminder to settle balance </t>
  </si>
  <si>
    <t xml:space="preserve">seeking approval for due dates change to 18th. Pending approval from finance </t>
  </si>
  <si>
    <t>Partially paid,to add another 10K overnight</t>
  </si>
  <si>
    <t>Partially paid,to pay balance overnight</t>
  </si>
  <si>
    <t xml:space="preserve">Client issued with a demand letter today 19th Of August. Sent demand via email with pending arrears due </t>
  </si>
  <si>
    <t>L34110</t>
  </si>
  <si>
    <t>EDWIN MURITHI NKUNE</t>
  </si>
  <si>
    <t xml:space="preserve">Client to make payment overnight </t>
  </si>
  <si>
    <t>Repossession to be issued tomorrow if not paid overnight,demand expired today</t>
  </si>
  <si>
    <t>NORAH NZISA MUENDO</t>
  </si>
  <si>
    <t>Client wrote to commit herself to pay the total outstanding arrears + dues on 29th August.</t>
  </si>
  <si>
    <t>Jane Oliver Mulwa</t>
  </si>
  <si>
    <t>client has a commitment to make payments of 50000 every monday to settle arrears</t>
  </si>
  <si>
    <t xml:space="preserve">Client issued with a demand letter on 19th August, Sent the client a reminder to settle pending arrears </t>
  </si>
  <si>
    <t xml:space="preserve">Client has a running demand lapsing on 28th August and repossession orders to follow,sent the client a reminder to make payments or book her car at the yard </t>
  </si>
  <si>
    <t xml:space="preserve">Client to make payments by end of day 20th August </t>
  </si>
  <si>
    <t xml:space="preserve">Client car at yard and has been advertised. Sourcing for buyers to recover funds and close account </t>
  </si>
  <si>
    <t xml:space="preserve">Wrote a reminder to the client to settle current arrears due. The client has a running demand as of date 12th. Engaging alternate contacts of the client </t>
  </si>
  <si>
    <t>L38711</t>
  </si>
  <si>
    <t>ERIC MWENDA MUGAMBI</t>
  </si>
  <si>
    <t>L39623</t>
  </si>
  <si>
    <t>JULIUS MOMANYI OBINO</t>
  </si>
  <si>
    <t xml:space="preserve">Account to be restructured on 21st </t>
  </si>
  <si>
    <t>Commitment to make 10K payment overnight</t>
  </si>
  <si>
    <t>Client commited to clear the arrears on or before the due date on 30th August</t>
  </si>
  <si>
    <t>Client commited to clear the pending arrears today Tuesday 20th,running demand issued on 13th August</t>
  </si>
  <si>
    <t>Benson Kajana Muyanga</t>
  </si>
  <si>
    <t xml:space="preserve">Client issued with a demand letter on 19th, he paid partially on his loan. sent the client a reminder for pending payment </t>
  </si>
  <si>
    <t>sent the client reminders. Client not responding to calls,to follow up with Spouse for pending payment ,</t>
  </si>
  <si>
    <t>L39639</t>
  </si>
  <si>
    <t xml:space="preserve">Client to pay on friday the 23rd of August </t>
  </si>
  <si>
    <t>To issue demand letter on failure to pay on 25th as she has commited</t>
  </si>
  <si>
    <t>L33325</t>
  </si>
  <si>
    <t xml:space="preserve">Vehicle involved in accident,following up with Shimin for authority to repair approval </t>
  </si>
  <si>
    <t>Running Demand issued on 15th August</t>
  </si>
  <si>
    <t>Demand Issued on 9th August 2024</t>
  </si>
  <si>
    <t xml:space="preserve">Client unavailable on calls made. Sent the client an email reminder for pending payment The Client also has a running demand letter issued on 12th August to expire on 31st August </t>
  </si>
  <si>
    <t xml:space="preserve">Account normalized </t>
  </si>
  <si>
    <t>To issue demand letter on 22nd failure to pay on 22nd</t>
  </si>
  <si>
    <t xml:space="preserve">Client failed on his earlier commitment to pay. The client has a running demand as of 19th and repossession orders to follow on 7th September </t>
  </si>
  <si>
    <t xml:space="preserve">All Client contacts were unreachable. Wrote an email reminder with arrears due for payment . Unit advertised for sale on 27th July and is up for Auction </t>
  </si>
  <si>
    <t>Spoke to the spouse as the client was unreachable. Shared client arrears for payment and requested for the client statement as the client is disputing current penalties</t>
  </si>
  <si>
    <t>John Gituku Gathu</t>
  </si>
  <si>
    <t>Spoke to the client who has a commitment to pay 50,000 on monday</t>
  </si>
  <si>
    <t>L39626</t>
  </si>
  <si>
    <t>JOSPHAT WOKABI KAMAU</t>
  </si>
  <si>
    <t>Client commited to make payments on or before Sat 24th,vehicle involved in accident and follow up being done by Shimin insurance for authority to repair</t>
  </si>
  <si>
    <t>Demand issued on 9th August 2024 to expire on 28th August</t>
  </si>
  <si>
    <t>Demand issued on 15th August 2024 to expire on 3rd Sept</t>
  </si>
  <si>
    <t xml:space="preserve">Client communicated through email he will be settling arrears by COB today 22nd August </t>
  </si>
  <si>
    <t>Njuca Consolidated Co Ltd/Patrick  Njoroge Wachira</t>
  </si>
  <si>
    <t xml:space="preserve">to clear balance on 26th </t>
  </si>
  <si>
    <t>L25851</t>
  </si>
  <si>
    <t>Paul Mwakisha Njagi</t>
  </si>
  <si>
    <r>
      <rPr>
        <rFont val="Calibri"/>
        <color theme="1"/>
        <sz val="11.0"/>
      </rPr>
      <t xml:space="preserve">Due yesterday,waiting for </t>
    </r>
    <r>
      <rPr>
        <rFont val="Calibri"/>
        <color rgb="FF1155CC"/>
        <sz val="11.0"/>
        <u/>
      </rPr>
      <t>salary. To</t>
    </r>
    <r>
      <rPr>
        <rFont val="Calibri"/>
        <color theme="1"/>
        <sz val="11.0"/>
      </rPr>
      <t xml:space="preserve"> pay on or before 28th August</t>
    </r>
  </si>
  <si>
    <t>Client is sick and admited at MP SHAH Hospital,commited to pay when out of hospital next week Tuesday 27th</t>
  </si>
  <si>
    <t>L39631</t>
  </si>
  <si>
    <t>JOSHUA ODONGO OMIDO</t>
  </si>
  <si>
    <t>L39657</t>
  </si>
  <si>
    <t>KENNEDY MURIMI NJAGI</t>
  </si>
  <si>
    <t>Spoke to the client who will be making payments early next week. Client has a running demand lapsing on 28th and recovery to follow</t>
  </si>
  <si>
    <t xml:space="preserve">Client not reachable for communication. She has a running demand lapsing on 30th August </t>
  </si>
  <si>
    <t xml:space="preserve">Demand issued on 9th. Client communicated they are working on settling current arrears by Monday 26th. Demand lapsing on 28th august and repossession orders to follow  </t>
  </si>
  <si>
    <t>Demand issued on 23rd August,waiting for salary to be paid on or before 28th August</t>
  </si>
  <si>
    <t>ulius Kenneth Wanjau</t>
  </si>
  <si>
    <t>Client commited to make payments over the weekend and clear next week by Friday 30th August</t>
  </si>
  <si>
    <r>
      <rPr>
        <rFont val="Calibri"/>
        <color theme="1"/>
        <sz val="11.0"/>
      </rPr>
      <t xml:space="preserve">Due yesterday,waiting for </t>
    </r>
    <r>
      <rPr>
        <rFont val="Calibri"/>
        <color rgb="FF1155CC"/>
        <sz val="11.0"/>
        <u/>
      </rPr>
      <t>salary. To</t>
    </r>
    <r>
      <rPr>
        <rFont val="Calibri"/>
        <color theme="1"/>
        <sz val="11.0"/>
      </rPr>
      <t xml:space="preserve"> pay on or before 28th August</t>
    </r>
  </si>
  <si>
    <t>Demand issued on 15/8/2024</t>
  </si>
  <si>
    <t>Running demand</t>
  </si>
  <si>
    <r>
      <rPr>
        <rFont val="Calibri"/>
        <color theme="1"/>
        <sz val="11.0"/>
      </rPr>
      <t xml:space="preserve">Due yesterday,waiting for </t>
    </r>
    <r>
      <rPr>
        <rFont val="Calibri"/>
        <color rgb="FF1155CC"/>
        <sz val="11.0"/>
        <u/>
      </rPr>
      <t>salary. To</t>
    </r>
    <r>
      <rPr>
        <rFont val="Calibri"/>
        <color theme="1"/>
        <sz val="11.0"/>
      </rPr>
      <t xml:space="preserve"> pay on or before 28th August</t>
    </r>
  </si>
  <si>
    <t>L39680</t>
  </si>
  <si>
    <t>MAURICE OMONDI</t>
  </si>
  <si>
    <t>Demand to be issued on 27th August if not paid today by COB as commited</t>
  </si>
  <si>
    <t>Client commited to make payments on or before Sat 31st,vehicle involved in accident and follow up being done by Shimin insurance for authority to repair</t>
  </si>
  <si>
    <t>Demand issued on 26th August,client commited to make payments from Wednesday 28th once she is out of hospital where she is admited</t>
  </si>
  <si>
    <t>Vehicle repossessed,client has a commitment to pay Ksh 50,000 every Friday,he has promised to make the payments overnight</t>
  </si>
  <si>
    <t xml:space="preserve">She has a running demand lapsing on 30th August, She has made no commitment to pay. pushing client to self book </t>
  </si>
  <si>
    <t>L39777</t>
  </si>
  <si>
    <t>Rufus Wamae Macharia</t>
  </si>
  <si>
    <t>Vehicle at yard,client is working with a 3rd party to make payments and redeem the vehicle from yard</t>
  </si>
  <si>
    <t>Tabitha Njoki Kinyanjui</t>
  </si>
  <si>
    <t>Account has been normalised</t>
  </si>
  <si>
    <t>L32188</t>
  </si>
  <si>
    <t>Supreme Acceptance Credit Ltd C/O Ephraim David</t>
  </si>
  <si>
    <t>L39076</t>
  </si>
  <si>
    <r>
      <rPr>
        <rFont val="docs-Calibri"/>
        <color rgb="FF000000"/>
        <sz val="11.0"/>
      </rPr>
      <t>L34918</t>
    </r>
  </si>
  <si>
    <t xml:space="preserve">Client paying by 5pm today </t>
  </si>
  <si>
    <t>Demand issued on 27th August</t>
  </si>
  <si>
    <r>
      <rPr>
        <rFont val="docs-Calibri"/>
        <color rgb="FF000000"/>
        <sz val="11.0"/>
      </rPr>
      <t>L38791</t>
    </r>
  </si>
  <si>
    <t>Running Demand issued on 27th August</t>
  </si>
  <si>
    <t>Running Demand issued on 19th August,commited to pay today by COB</t>
  </si>
  <si>
    <t>L38365</t>
  </si>
  <si>
    <t>PATRICK WANJOHI KIBOI</t>
  </si>
  <si>
    <t>Client to pay on 28th Aug,by COB</t>
  </si>
  <si>
    <t>Commited to pay by COB today,due on 28th August</t>
  </si>
  <si>
    <t>joan nyambura thuo</t>
  </si>
  <si>
    <t>Client commited to pay today by COB,Demand issued today 27th Aug</t>
  </si>
  <si>
    <t>Running demand issued on 27th August,client commited to pay on or before Sat 31st August</t>
  </si>
  <si>
    <t>Total</t>
  </si>
  <si>
    <t>Client awaiting payment to settle current arrears , sent the client an sms reminder for the due installment,Due Today</t>
  </si>
  <si>
    <t>Repossession issued to Foresight auctioneers today</t>
  </si>
  <si>
    <t>PAUL MWAKISHA NJAGI</t>
  </si>
  <si>
    <t>L26515</t>
  </si>
  <si>
    <t>DAMARIS ESERI OPEMI</t>
  </si>
  <si>
    <t>spoke to the Client on call and she will be making payments today to settle arrears , sent the client a reminder</t>
  </si>
  <si>
    <t>Client awaiting payment to settle current arrears , sent the client an sms reminder for the due installment</t>
  </si>
  <si>
    <t>Demand Letter issued today 28th August,client waiting for payments on or before Sat 31st Aug</t>
  </si>
  <si>
    <t>Client visited HQ to sign PTP and clear arrears on or before 9th Sep,Demand issued on 26th Aug</t>
  </si>
  <si>
    <t>Demand Issued on 27th August,client to pay 6K overnight</t>
  </si>
  <si>
    <t xml:space="preserve">Spoke to the client who will be making payments Today by COB. The client has a running demand issued on 12th August and lapsing on 31st August </t>
  </si>
  <si>
    <t>client Paid partially on the loan arrears, The client is getting a restructure on his loan</t>
  </si>
  <si>
    <t>Issued on 9th August</t>
  </si>
  <si>
    <t xml:space="preserve">Wrote to the client to self book her unit, The client is yet to make a commitment for payment. Demand expires on 31st August </t>
  </si>
  <si>
    <t xml:space="preserve">Account Normalized </t>
  </si>
  <si>
    <t xml:space="preserve"> Wrote a reminder to the client to settle arrears, To issue demand letter on 30th August on failure to pay </t>
  </si>
  <si>
    <t>Waiting for Salary,waiting for salary</t>
  </si>
  <si>
    <t xml:space="preserve">Client issued with a demand letter today 29th August,sent the client reminders to settle pending arrears </t>
  </si>
  <si>
    <t xml:space="preserve">Client was unavailable on call for commitment. To issue demand letter on 30th August </t>
  </si>
  <si>
    <t>L39681</t>
  </si>
  <si>
    <t>Moses Kisa Jipcho</t>
  </si>
  <si>
    <t>Running demand issued on 27th August</t>
  </si>
  <si>
    <t>L40269</t>
  </si>
  <si>
    <t xml:space="preserve">JESSICAH NYAMBURA KIMATHI </t>
  </si>
  <si>
    <t xml:space="preserve">WEEKEND </t>
  </si>
  <si>
    <t>Francis  Mariku Murage</t>
  </si>
  <si>
    <t xml:space="preserve">Client seeking to pay on 5th, PTP pending approval </t>
  </si>
  <si>
    <t xml:space="preserve">Sent the client a reminder on pending arrears,Demand issued 30th august </t>
  </si>
  <si>
    <t xml:space="preserve">Issuing client with a demand letter for pending payment on arrears due </t>
  </si>
  <si>
    <t>Peter Kamau Njuguna</t>
  </si>
  <si>
    <t>L27567</t>
  </si>
  <si>
    <t>Chrisbert Safaris &amp;Tours Ltd C/O Gilbert Mukhalis</t>
  </si>
  <si>
    <t>Client promised to pay overnight ,demand to be issued on 31st Aug if not paid overnight</t>
  </si>
  <si>
    <t xml:space="preserve">Client has a running demand issued on 29th August , Client declined all calls made . Engaging alternative contacts </t>
  </si>
  <si>
    <t>Evelyne Nicole Mathai</t>
  </si>
  <si>
    <t xml:space="preserve">Unit to be repossessed on 31st August </t>
  </si>
  <si>
    <t>L39799</t>
  </si>
  <si>
    <t>To make payments by COB</t>
  </si>
  <si>
    <t xml:space="preserve">RUTH OGENCHE </t>
  </si>
  <si>
    <t>NASHON KALOKI NGELU</t>
  </si>
  <si>
    <t>EDWIN MWITI</t>
  </si>
  <si>
    <t>Booked at the yard on 31st August</t>
  </si>
  <si>
    <t>EVELYNE NICOLE MATHA</t>
  </si>
  <si>
    <t xml:space="preserve">Committed to pay today upon salary, he's due today </t>
  </si>
  <si>
    <t xml:space="preserve">Demand issued on 2nd Sept client promised to clear on 9th </t>
  </si>
  <si>
    <t>Mary Wanjiru Njoraa</t>
  </si>
  <si>
    <t xml:space="preserve">Demand issued on 27th, client committed to pay by 5th upon her delayed salary </t>
  </si>
  <si>
    <t>Demand issued on 2nd Sep</t>
  </si>
  <si>
    <t>Client making partial payments,to clear arrears on or befefore Sat 7th Sep</t>
  </si>
  <si>
    <t>Demand issued on 2nd Sep,client to make partial payment by COB today</t>
  </si>
  <si>
    <t>Dominic Kapero Mukoma</t>
  </si>
  <si>
    <t>Demand sent on 31st, client committed to pay plus penalties on 3rd as he awaits pension payments</t>
  </si>
  <si>
    <t>Demand issued on 28th August,client waiting for salary to arrears arrears on or before 5th Sep</t>
  </si>
  <si>
    <t>Client issued with a demand letter on 30th August, client requested for arrears breakdown to settle her installment</t>
  </si>
  <si>
    <t>FULL NAMES</t>
  </si>
  <si>
    <t>L29487</t>
  </si>
  <si>
    <t>EVERLYNE FELISTUS OPOLOI</t>
  </si>
  <si>
    <t>Winnie Oyugi</t>
  </si>
  <si>
    <t>Arrears communicated to the client-pushing for payment</t>
  </si>
  <si>
    <t>L32112</t>
  </si>
  <si>
    <t>SAMWEL OOKO CHIAJI</t>
  </si>
  <si>
    <t xml:space="preserve">Unit redeemed </t>
  </si>
  <si>
    <t>L35277</t>
  </si>
  <si>
    <t>MOKONO SAMWEL MWITA</t>
  </si>
  <si>
    <t>Josephin Nyamwaya</t>
  </si>
  <si>
    <t>Demand running 07/08/24</t>
  </si>
  <si>
    <t>L30270</t>
  </si>
  <si>
    <t>MICHELLE AKINYI OTIENO</t>
  </si>
  <si>
    <t>Winnie oyugi</t>
  </si>
  <si>
    <t xml:space="preserve">partially paid </t>
  </si>
  <si>
    <t>L33608</t>
  </si>
  <si>
    <t>EUNICE JEPKORIR</t>
  </si>
  <si>
    <t>Beatrice</t>
  </si>
  <si>
    <t>L30811</t>
  </si>
  <si>
    <t>LILIAN AKINYI</t>
  </si>
  <si>
    <t>Demand issued 24/07/24</t>
  </si>
  <si>
    <t>JAMES OLUOCH KA-OYIER</t>
  </si>
  <si>
    <t>Client promised to pay on 15/08/24</t>
  </si>
  <si>
    <t>L36911</t>
  </si>
  <si>
    <t>MAURICE OTIENO NGETA</t>
  </si>
  <si>
    <t>Josephine Nyamwaya</t>
  </si>
  <si>
    <t>L36974</t>
  </si>
  <si>
    <t>JEFF LWANE KOVETI</t>
  </si>
  <si>
    <t>Performing</t>
  </si>
  <si>
    <t>L36726</t>
  </si>
  <si>
    <t>SAMMY NJOROGE WAKANYI</t>
  </si>
  <si>
    <t>L38586</t>
  </si>
  <si>
    <t>SAIDI ATHUMANI MWANDEMBA</t>
  </si>
  <si>
    <t>L32675</t>
  </si>
  <si>
    <t>PATRICK ODHIAMBO OTIENO</t>
  </si>
  <si>
    <t>L37025</t>
  </si>
  <si>
    <t>HABEL JACOB OTIENO</t>
  </si>
  <si>
    <t>L35249</t>
  </si>
  <si>
    <t>willis otieno Ogendo</t>
  </si>
  <si>
    <t>Beatrice Okeyo</t>
  </si>
  <si>
    <t>L38758</t>
  </si>
  <si>
    <t>WALTER ANDIERI ANDAYI</t>
  </si>
  <si>
    <t>L34125</t>
  </si>
  <si>
    <t>TOM OUMA OPOLO</t>
  </si>
  <si>
    <t>L34206</t>
  </si>
  <si>
    <t>CAROLINE ACHIENG ADOYO</t>
  </si>
  <si>
    <t>L38744</t>
  </si>
  <si>
    <t>DANIEL ONYANGO ONGOR</t>
  </si>
  <si>
    <t>account had an active demand .calls and follow up on going</t>
  </si>
  <si>
    <t>L34207</t>
  </si>
  <si>
    <t>L32661</t>
  </si>
  <si>
    <t>HUMPHREY QUIRINIUS ONGANGI</t>
  </si>
  <si>
    <t>L31566</t>
  </si>
  <si>
    <t>EMMANUEL SABALA IYENYI</t>
  </si>
  <si>
    <t>L37114</t>
  </si>
  <si>
    <t>JOHN ONGWAE MOSONGO</t>
  </si>
  <si>
    <t>L37905</t>
  </si>
  <si>
    <t>JUSTUS BRIAN OMONDI MAC' OBIERO</t>
  </si>
  <si>
    <t>L37175</t>
  </si>
  <si>
    <t>DANIEL ELIUD NYONGESA</t>
  </si>
  <si>
    <t>L38252</t>
  </si>
  <si>
    <t>ROBERT NYAMONGO ONDEYO</t>
  </si>
  <si>
    <t>unit at the yard sourcing for buyer</t>
  </si>
  <si>
    <t>L32414</t>
  </si>
  <si>
    <t>STEPHEN OUMA LENYA</t>
  </si>
  <si>
    <t>reposession issued .retriving file for legal considaration</t>
  </si>
  <si>
    <t>L36472</t>
  </si>
  <si>
    <t>JOHANES ODHIAMBO ONYANGO</t>
  </si>
  <si>
    <t>LEVICK ONYANGO OCHIENG</t>
  </si>
  <si>
    <t>Repossession order issued 02/08/24</t>
  </si>
  <si>
    <t xml:space="preserve">                                                                                                   </t>
  </si>
  <si>
    <t>L29054</t>
  </si>
  <si>
    <t>WILLIAM  ODUOGO .</t>
  </si>
  <si>
    <t>L29549</t>
  </si>
  <si>
    <t>ANTOINATTE AKOTH YOGO</t>
  </si>
  <si>
    <t>on going restructure</t>
  </si>
  <si>
    <t>forwading dind file for legal considaration</t>
  </si>
  <si>
    <t>Proclamation issued to client .calls and follow up on going</t>
  </si>
  <si>
    <t>Partialy paid-demand issued 24/07/24</t>
  </si>
  <si>
    <t>Account forwaded for restructure</t>
  </si>
  <si>
    <t xml:space="preserve">Demand issued on 16th /07/2024/client visited the branch today .client to be servered with proclamation notice   </t>
  </si>
  <si>
    <t>Demand issued 24/07/24/Partially paid and pomised to cleared befoe he end of the week</t>
  </si>
  <si>
    <t>account has an active demand calls and follow up on going 24/07/2024</t>
  </si>
  <si>
    <t>To issue demand-arrears shared for collection-account shared</t>
  </si>
  <si>
    <t>Paying tomorrow 02/08/24</t>
  </si>
  <si>
    <t xml:space="preserve">Partialy paid calls and follow up on going </t>
  </si>
  <si>
    <t>client has made partial payments .calls and follow up on going</t>
  </si>
  <si>
    <t>exepecting payments by end of business closure today 29/07/2024</t>
  </si>
  <si>
    <t xml:space="preserve">account has an active demand </t>
  </si>
  <si>
    <t>retreviving file for legal considation</t>
  </si>
  <si>
    <t xml:space="preserve">pursing court order </t>
  </si>
  <si>
    <t>L38924</t>
  </si>
  <si>
    <t>PETERSON OMBOGA MOSERA</t>
  </si>
  <si>
    <t>L35001</t>
  </si>
  <si>
    <t>WIMSY MANOAH OSORE</t>
  </si>
  <si>
    <t>L37983</t>
  </si>
  <si>
    <t>MICHAEL NAMAN OTIENI ONG'OMA</t>
  </si>
  <si>
    <t>L37963</t>
  </si>
  <si>
    <t>COLLINS OKOTH OUNDO</t>
  </si>
  <si>
    <t>L39165</t>
  </si>
  <si>
    <t>DANIEL ELIUD NYONGESA MOGORIA</t>
  </si>
  <si>
    <t>L38093</t>
  </si>
  <si>
    <t>LINET AMONDI OUKO</t>
  </si>
  <si>
    <t xml:space="preserve">demand issued on 31/07/2024 calls and follow up on going </t>
  </si>
  <si>
    <t>L33567</t>
  </si>
  <si>
    <t>Paying today 01/08/24</t>
  </si>
  <si>
    <t>L33578</t>
  </si>
  <si>
    <t>Unit at yard-arrears shared for client to redeem unit</t>
  </si>
  <si>
    <t>L30177</t>
  </si>
  <si>
    <t>CHARLES KIPRONO MARITIM</t>
  </si>
  <si>
    <t>WILLIAM  ODUOGO</t>
  </si>
  <si>
    <t>L39008</t>
  </si>
  <si>
    <t xml:space="preserve">MICHAEL GEOFREY OCHIENG OJIAMBO </t>
  </si>
  <si>
    <t>WL</t>
  </si>
  <si>
    <t xml:space="preserve">SAMWEL OOKO CHIAJI </t>
  </si>
  <si>
    <t>L38928</t>
  </si>
  <si>
    <t>FRANCIS MAANGI NYAMONGO</t>
  </si>
  <si>
    <t>L38081</t>
  </si>
  <si>
    <t>MICHAEL OWINO OORO</t>
  </si>
  <si>
    <t xml:space="preserve">Assest at the yard .payment to be confired tomorrow </t>
  </si>
  <si>
    <t>L39396</t>
  </si>
  <si>
    <t>PATRICK ODHIAMBO  OTIENO</t>
  </si>
  <si>
    <t xml:space="preserve">reposession issued on 2/08/2024. follow up on going </t>
  </si>
  <si>
    <t>client has promised to pay on 5/08/2024.account has an account demand</t>
  </si>
  <si>
    <t xml:space="preserve">Asset at the yard .calls and follow up on going </t>
  </si>
  <si>
    <t>L38990</t>
  </si>
  <si>
    <t>RUTH DIANA ASIALA OMONDI</t>
  </si>
  <si>
    <t>L39041</t>
  </si>
  <si>
    <t xml:space="preserve">FRANCIS KIVATI KADASIRA </t>
  </si>
  <si>
    <t>L39036</t>
  </si>
  <si>
    <t>FREDRICK  ONYANGO .</t>
  </si>
  <si>
    <t xml:space="preserve">PAID </t>
  </si>
  <si>
    <t>L38814</t>
  </si>
  <si>
    <t>JACKSON MAGAMBO BACH</t>
  </si>
  <si>
    <t>Made partial payment promised to pay the remaining on Friday</t>
  </si>
  <si>
    <t>arrears communicated to the client making follow ups</t>
  </si>
  <si>
    <t>client to self book the unit at the yard tommorrow 8/6/2024 ..pushing for payment</t>
  </si>
  <si>
    <t>sms and calls done for follow ups</t>
  </si>
  <si>
    <t>paying before COB today</t>
  </si>
  <si>
    <t>Client has not picked the phone but still making calls for follow ups</t>
  </si>
  <si>
    <t>Client has not picked the call</t>
  </si>
  <si>
    <t>ca at yard</t>
  </si>
  <si>
    <t>unit at the yard,client has requested for the buyoff statement</t>
  </si>
  <si>
    <t>L36606</t>
  </si>
  <si>
    <t>DAN OMONDI NYALIK OSELU</t>
  </si>
  <si>
    <t>Promised to pay before COB still in a meeting</t>
  </si>
  <si>
    <t>made partial payment promised to clea the rest by Thursday</t>
  </si>
  <si>
    <t>paying before  COB today</t>
  </si>
  <si>
    <t>L27565</t>
  </si>
  <si>
    <t>SHANGALA PHILIP GUSIGOLO</t>
  </si>
  <si>
    <t>L38311</t>
  </si>
  <si>
    <t>ARCHIBALD ANODE</t>
  </si>
  <si>
    <t>L39130</t>
  </si>
  <si>
    <t>EMMANUEL  MARITIM</t>
  </si>
  <si>
    <t>Arrears communicated to the client making follow up</t>
  </si>
  <si>
    <t>L39183</t>
  </si>
  <si>
    <t>COLLATE ATIENO OWICH</t>
  </si>
  <si>
    <t>L32175</t>
  </si>
  <si>
    <t>JOHN KIMOI SANG</t>
  </si>
  <si>
    <t>L39080</t>
  </si>
  <si>
    <t>RICHARD ANGULU OPEMBE</t>
  </si>
  <si>
    <t>L39126</t>
  </si>
  <si>
    <t>AWUOR EVERLINE OTIENO</t>
  </si>
  <si>
    <t>Pending repossession</t>
  </si>
  <si>
    <t>calls and sms done ..pushing for payments</t>
  </si>
  <si>
    <t>The client phone was not going through but i sent him a message</t>
  </si>
  <si>
    <t>client to self book his unit at the yard</t>
  </si>
  <si>
    <t>client not picking calls ,,sms sent</t>
  </si>
  <si>
    <t>Client to pay anytime as we have agreed</t>
  </si>
  <si>
    <t>Client did not pick the call but still making follow up</t>
  </si>
  <si>
    <t>unit at the yard</t>
  </si>
  <si>
    <t>Talk to the client and he has promised that by tomorrow he will clear</t>
  </si>
  <si>
    <t>Talked to the client and agreed that tomorrow by 11AM he will clear</t>
  </si>
  <si>
    <t>L39106</t>
  </si>
  <si>
    <t>called the client and he promised o pay before close of business</t>
  </si>
  <si>
    <t>Beatric Okeyo</t>
  </si>
  <si>
    <t>To pay by Thiursday talked to the client</t>
  </si>
  <si>
    <t>Talked to the client and he said he will pay on hursday.</t>
  </si>
  <si>
    <t xml:space="preserve">reposession order issued to valdom autioneerstoday 3/08/2024.calls and follow up on going </t>
  </si>
  <si>
    <t>next of kin to visit the branch tomorrow to clear pending arrears</t>
  </si>
  <si>
    <t>arrears communicated to client via calls and sms</t>
  </si>
  <si>
    <t xml:space="preserve">reposession orderissued to valdom autioneerstoday 7/08/2024.calls and follow up on going </t>
  </si>
  <si>
    <t>client has been advised to self book the unit at Nyaluoyo yard[kisumu</t>
  </si>
  <si>
    <t>arrears communicated to client</t>
  </si>
  <si>
    <t>has promised to clear the arrears today</t>
  </si>
  <si>
    <t>Demand issued 02/08/24</t>
  </si>
  <si>
    <t>Client made partial payment</t>
  </si>
  <si>
    <t>L37333</t>
  </si>
  <si>
    <t>JACKLINE NAFULA MUMELO</t>
  </si>
  <si>
    <t>clearing the difference before COB</t>
  </si>
  <si>
    <t>unit at the yard ,,sourcing for buyer</t>
  </si>
  <si>
    <t>L37531</t>
  </si>
  <si>
    <t>MARK ONDEYO ODIERO</t>
  </si>
  <si>
    <t>Client made partial payment promised to clear the rest by Saturday</t>
  </si>
  <si>
    <t>Client made partial payment and has promised to clear the rest by Friday</t>
  </si>
  <si>
    <t>L37422</t>
  </si>
  <si>
    <t xml:space="preserve">exepecting payment by end of business closure today </t>
  </si>
  <si>
    <t>Demand issued 12/08/24</t>
  </si>
  <si>
    <t>Called the client and send sms updated on smart collect</t>
  </si>
  <si>
    <t>called the client and sen a messae</t>
  </si>
  <si>
    <t xml:space="preserve">called the client and sent the message </t>
  </si>
  <si>
    <t xml:space="preserve">client has requested for the buyoff statement ,unit at yard </t>
  </si>
  <si>
    <t>L33077</t>
  </si>
  <si>
    <t>calld the clien and he pomised to clear on saturday</t>
  </si>
  <si>
    <t>client pomised to clear the balance on saturday</t>
  </si>
  <si>
    <t>Client made partial booking</t>
  </si>
  <si>
    <t xml:space="preserve">verification of court to be done today by Siaya Ocs .Auctioneers to repossess unit tomorrow after verification. Calls and follow up on going </t>
  </si>
  <si>
    <t>repossession order issued . asset found in a gated compound. auctioneers requesting for court and police assistance calls and follow up on going</t>
  </si>
  <si>
    <t>L39223</t>
  </si>
  <si>
    <t>GERALD OTIENO OCHIENG</t>
  </si>
  <si>
    <t>Demand issued 07/08/24</t>
  </si>
  <si>
    <t>Client to make payment by Friday</t>
  </si>
  <si>
    <t>Client has promised to clear on wednesday</t>
  </si>
  <si>
    <t>L29775</t>
  </si>
  <si>
    <t>L33830</t>
  </si>
  <si>
    <t>DICK OMONDI MBAJA</t>
  </si>
  <si>
    <t>partialy paid following up to ensure full payment is done before COB</t>
  </si>
  <si>
    <t xml:space="preserve">arrears coomunicated to client to visit client at his office tomorrow morning.calls and follow up on going </t>
  </si>
  <si>
    <t>To pay COB</t>
  </si>
  <si>
    <t>unit at yard,pushing for payment</t>
  </si>
  <si>
    <t>client has promised to clear the arrears before COB today</t>
  </si>
  <si>
    <t>Called client and send message updated on the interswitch</t>
  </si>
  <si>
    <t xml:space="preserve">Client has made partial payment </t>
  </si>
  <si>
    <t>arrears communicated to client ,calls and sms sent</t>
  </si>
  <si>
    <r>
      <rPr>
        <rFont val="Calibri"/>
        <color theme="1"/>
        <sz val="11.0"/>
      </rPr>
      <t xml:space="preserve">client has requested for an updates </t>
    </r>
    <r>
      <rPr>
        <rFont val="Calibri"/>
        <color rgb="FF1155CC"/>
        <sz val="11.0"/>
        <u/>
      </rPr>
      <t>statement.to</t>
    </r>
    <r>
      <rPr>
        <rFont val="Calibri"/>
        <color theme="1"/>
        <sz val="11.0"/>
      </rPr>
      <t xml:space="preserve"> clear outstanding .Call and follow up on going </t>
    </r>
  </si>
  <si>
    <t>Called the client and he has promised to pay before COB</t>
  </si>
  <si>
    <t xml:space="preserve">The client has paid Ksh 2000 to clear balance at 6.00pm .Mpesa payment to be confired tomorrow morning </t>
  </si>
  <si>
    <t xml:space="preserve">payment to be confirmed tomorrow morning .calls and follow up on going </t>
  </si>
  <si>
    <t>Called the client and sent the sms reminder updated on smart collect</t>
  </si>
  <si>
    <t>Demand issued .arrears communicated to client .calls and follow up on going</t>
  </si>
  <si>
    <t>Client has promised to clear his tracking fee on Tuesday</t>
  </si>
  <si>
    <t>L29841</t>
  </si>
  <si>
    <t>Beatrice okeyo</t>
  </si>
  <si>
    <t>payment to be confirmed tomorrow morning</t>
  </si>
  <si>
    <t>arrears communicated to next of kin whom had promised to visit the branch tommorrow,8/14/2024</t>
  </si>
  <si>
    <t xml:space="preserve">client didnot honour promise to pay .calls and follow up on going .planning for a field visit tomorrow </t>
  </si>
  <si>
    <t>Called the client and sent the sms</t>
  </si>
  <si>
    <t>Client to pay by COB</t>
  </si>
  <si>
    <t>client to clear arreas before 8/15/2024</t>
  </si>
  <si>
    <t>sms and call done for follow up;pushing for payment</t>
  </si>
  <si>
    <t>Talked to he client and he promised o make payment</t>
  </si>
  <si>
    <t>Called the client and he promised to make payment b4 COB</t>
  </si>
  <si>
    <t>client promised to cliear the pending arrears 8 /14/2024</t>
  </si>
  <si>
    <t>unit at yard advertised for sell,,,client is working on clearing the whole loan amount</t>
  </si>
  <si>
    <t>client made a partially payment .to clear balance tomorrow morningi</t>
  </si>
  <si>
    <t>Called the client and agreed that hes making payment</t>
  </si>
  <si>
    <t>To make payment</t>
  </si>
  <si>
    <t xml:space="preserve">court verification on going at siaya county .ocs has confirmed that this will be done by tomorrow morning and unit will be reposessed by their assistance as early requested </t>
  </si>
  <si>
    <t>court order requested ,inorder to proceed with unit reposession</t>
  </si>
  <si>
    <t xml:space="preserve">payment to be confirmed tomorrow morning </t>
  </si>
  <si>
    <t>To pay tomorrow</t>
  </si>
  <si>
    <t>L33805</t>
  </si>
  <si>
    <t xml:space="preserve"> LEVICK ONYANGO OCHIENG</t>
  </si>
  <si>
    <t>Called the client and the phone was not going throu i send sms an updated in smart collect</t>
  </si>
  <si>
    <t>L32335</t>
  </si>
  <si>
    <t>susan okiro</t>
  </si>
  <si>
    <t>client requested we do the restrucure</t>
  </si>
  <si>
    <t>L31657</t>
  </si>
  <si>
    <t>GILBERT KIPKOSGEI CHEPKOK</t>
  </si>
  <si>
    <t xml:space="preserve">retriving file for legal consideartion </t>
  </si>
  <si>
    <t>JOHANES  ODHIAMBO ONYANGO</t>
  </si>
  <si>
    <t>L39409</t>
  </si>
  <si>
    <t>STANLEY MAXWELL ACHOLA</t>
  </si>
  <si>
    <t>L35335</t>
  </si>
  <si>
    <t>DOMINIC WAMUGI NDERI</t>
  </si>
  <si>
    <t>L39243</t>
  </si>
  <si>
    <t>pai</t>
  </si>
  <si>
    <t>Client was in the office and communicted</t>
  </si>
  <si>
    <t>Client to pay before COB</t>
  </si>
  <si>
    <t>arrears communicated to client,unit at the yard</t>
  </si>
  <si>
    <t>calls and sms done for follow ups</t>
  </si>
  <si>
    <t>Client to pay on Friday</t>
  </si>
  <si>
    <t>client to clear the arrears tommorow 8/15/2024</t>
  </si>
  <si>
    <t>unit at yard,client working on reddeming the vehicle at the yard</t>
  </si>
  <si>
    <t>To pay by cob</t>
  </si>
  <si>
    <t>expecting payment before closure ogf business today .</t>
  </si>
  <si>
    <t>Talked to the client and he has promised to make payment COB</t>
  </si>
  <si>
    <t>retriving file for legal consideration</t>
  </si>
  <si>
    <t>arrears communicated to client via sms and calls</t>
  </si>
  <si>
    <t>arrears communicated to next of kin</t>
  </si>
  <si>
    <t>To pay cob</t>
  </si>
  <si>
    <t>L29194</t>
  </si>
  <si>
    <t>to pay cob</t>
  </si>
  <si>
    <t>Partialy paid-Repossession order issued 02/08/24</t>
  </si>
  <si>
    <t>client has promised to clear the arrears 8/16/2024</t>
  </si>
  <si>
    <t>Writing a cheque today 15/08/24 of the arrears</t>
  </si>
  <si>
    <t>To make payment by COB</t>
  </si>
  <si>
    <t>reminders sent via sms and phone call</t>
  </si>
  <si>
    <t>Callaed the client and he promised to make payment</t>
  </si>
  <si>
    <t>Arrears communicated-pushing for collection</t>
  </si>
  <si>
    <t>Demand running 12/08/24</t>
  </si>
  <si>
    <t>Called the client send the message and he agreed to make payment</t>
  </si>
  <si>
    <t>Client to make payment by COB</t>
  </si>
  <si>
    <t xml:space="preserve">Client to make payment </t>
  </si>
  <si>
    <t>Clled the client and he promised to make payment</t>
  </si>
  <si>
    <t>L39442</t>
  </si>
  <si>
    <t>L30964</t>
  </si>
  <si>
    <t>sms and calls sent for arrears reminder</t>
  </si>
  <si>
    <t>to clear tommorrow 8/17/2024</t>
  </si>
  <si>
    <t>arrears cleared</t>
  </si>
  <si>
    <t>client advised via phone call to clear the arrears and redeem the unit</t>
  </si>
  <si>
    <t>calls and sms sent for arrears reminder</t>
  </si>
  <si>
    <t>L36959</t>
  </si>
  <si>
    <t>sms and calls done for follow ups,,,arrears communicated to next of kin and client</t>
  </si>
  <si>
    <t>did asite visit ,,,,,arrears communicated to client</t>
  </si>
  <si>
    <t>Called the client and he agreed to make payment by COB</t>
  </si>
  <si>
    <t>client self booked the unit,,sms and calls done for follow ups</t>
  </si>
  <si>
    <t xml:space="preserve">sms and calls done for follow ups </t>
  </si>
  <si>
    <t>L32640</t>
  </si>
  <si>
    <t>unit advertised for sale,,,client advised to clear the arreas and redeem the unit</t>
  </si>
  <si>
    <t>Clioent to clear the arears today</t>
  </si>
  <si>
    <t>Client to make payment before the end of today</t>
  </si>
  <si>
    <t>Called he client and he has ageed to make payment today</t>
  </si>
  <si>
    <t>pushing for payments</t>
  </si>
  <si>
    <t>Called the client and he has agreed to make payment</t>
  </si>
  <si>
    <t>sms and calls done for follow ups,,,,clients is positive and has promised to clear the arrears</t>
  </si>
  <si>
    <t>To make payment befoe the end of today</t>
  </si>
  <si>
    <t>To make payment today COB</t>
  </si>
  <si>
    <t>L36062</t>
  </si>
  <si>
    <t>OMOKE GERALD ONYANGO</t>
  </si>
  <si>
    <t>Elizabeth</t>
  </si>
  <si>
    <t>unit at yard ,,sourcing for buyer</t>
  </si>
  <si>
    <t xml:space="preserve">rosila waringa </t>
  </si>
  <si>
    <t>Partialy paid-Arrears communicated to the client-pushing for payment</t>
  </si>
  <si>
    <t>Client disputing arrears-engaged for information-repossession order issued</t>
  </si>
  <si>
    <t>Client self booked his unit as he wait to clear the arrears</t>
  </si>
  <si>
    <t>Unit at yard</t>
  </si>
  <si>
    <t xml:space="preserve">To pay by COB </t>
  </si>
  <si>
    <t>Demand issued 07/08/24-client requested to clear his arrears before end week</t>
  </si>
  <si>
    <t>Client to make payment before the end of the day</t>
  </si>
  <si>
    <t>L39599</t>
  </si>
  <si>
    <t>L39554</t>
  </si>
  <si>
    <t>GEORGE  KIMANI KARIUKI</t>
  </si>
  <si>
    <t>L39489</t>
  </si>
  <si>
    <t>JACK BENZ OUKO</t>
  </si>
  <si>
    <t xml:space="preserve">Client made partial payment </t>
  </si>
  <si>
    <t>L30523</t>
  </si>
  <si>
    <t>L27446</t>
  </si>
  <si>
    <t>MOSES MAHONGA SALVADOR</t>
  </si>
  <si>
    <t>Client made partial payment to clear the rest ommorrow</t>
  </si>
  <si>
    <t>L35477</t>
  </si>
  <si>
    <t>NOAH OCHIENG OTIENO</t>
  </si>
  <si>
    <t>L35478</t>
  </si>
  <si>
    <t>L33260</t>
  </si>
  <si>
    <t>Anthony Ogango</t>
  </si>
  <si>
    <t xml:space="preserve">car sale </t>
  </si>
  <si>
    <t>Demand issued 12/08/24-client requested to clear his arrears before end week</t>
  </si>
  <si>
    <t>Demand issued 19/08/24</t>
  </si>
  <si>
    <t>Demand issued on 17/08/24</t>
  </si>
  <si>
    <t>Demand issued on 17/08/25</t>
  </si>
  <si>
    <t>To issue demand-arrears communicated</t>
  </si>
  <si>
    <t xml:space="preserve">client has made partiall payment .unit at the yard follow up on going </t>
  </si>
  <si>
    <t>Cheque to be banked on 23rd aug</t>
  </si>
  <si>
    <t xml:space="preserve">Reposession order issued .follow up on going </t>
  </si>
  <si>
    <t xml:space="preserve">demand issued .arrears communicated calls and field follow up on going </t>
  </si>
  <si>
    <t xml:space="preserve">unit at the yard ,sourcing for buyers </t>
  </si>
  <si>
    <t xml:space="preserve">client has made partiall payments to clear balance tomorrow moning </t>
  </si>
  <si>
    <t>Demand running arrears communicated to the client and he agreed to make payment COB</t>
  </si>
  <si>
    <t>Client to make payment before the end of the day today</t>
  </si>
  <si>
    <t>Dman drunning</t>
  </si>
  <si>
    <t>L39608</t>
  </si>
  <si>
    <t>L34089</t>
  </si>
  <si>
    <t xml:space="preserve">client has made partial payment following up for arraeras </t>
  </si>
  <si>
    <t xml:space="preserve">Issued cheque to be banked on 23rd </t>
  </si>
  <si>
    <t>Arrears communicated to the client and he agreed to make payment</t>
  </si>
  <si>
    <t>Car at the yard</t>
  </si>
  <si>
    <t xml:space="preserve">Client made partial paymemt </t>
  </si>
  <si>
    <t>Client requested for the statement to clear his loan</t>
  </si>
  <si>
    <t>Called the clientand he agreed to make payment by COB</t>
  </si>
  <si>
    <t>Client to make payment today before COB</t>
  </si>
  <si>
    <t>Arrears communicated to the client and and he has ageed to make payment by COB</t>
  </si>
  <si>
    <t>Client to make payment by COB demand running</t>
  </si>
  <si>
    <t>Runing Demand</t>
  </si>
  <si>
    <t>Running Demand</t>
  </si>
  <si>
    <t>CLEARED</t>
  </si>
  <si>
    <t>CClient to make payment by COB</t>
  </si>
  <si>
    <t>Calaed the client and he agreed to make payment</t>
  </si>
  <si>
    <t>Arrears communicated to the client-client writing a cheque on 23/08/24</t>
  </si>
  <si>
    <t>Demand running 31/07/24</t>
  </si>
  <si>
    <t>Paying today -arrears communicated</t>
  </si>
  <si>
    <t>Demand running 17/08/24</t>
  </si>
  <si>
    <t>Demand issued on 20/08/24</t>
  </si>
  <si>
    <t>Demand issued 24/07/24-to issue repossession</t>
  </si>
  <si>
    <t>Demand issued 20/08/24</t>
  </si>
  <si>
    <t>Not in arrears</t>
  </si>
  <si>
    <t xml:space="preserve">Paying today   </t>
  </si>
  <si>
    <t>To issue demand</t>
  </si>
  <si>
    <t>Prepayment on 22/08/24</t>
  </si>
  <si>
    <r>
      <rPr>
        <rFont val="Arial"/>
        <color rgb="FF000000"/>
        <sz val="10.0"/>
      </rPr>
      <t>L32699</t>
    </r>
  </si>
  <si>
    <t>John Ongwae Mosongo</t>
  </si>
  <si>
    <t xml:space="preserve">Client has made partials payment .calls and follow up on going </t>
  </si>
  <si>
    <t>cheque to be banked on 26/08/2024</t>
  </si>
  <si>
    <t>account to be issued with proclamation on 26.08.2024</t>
  </si>
  <si>
    <t>unit at yard sourcing for buyer</t>
  </si>
  <si>
    <t>running demand</t>
  </si>
  <si>
    <t xml:space="preserve">arrears communicated to client field follow up on going </t>
  </si>
  <si>
    <t>client making partial payment</t>
  </si>
  <si>
    <t>Demand Running</t>
  </si>
  <si>
    <t>demand running,,arrears communicated to client</t>
  </si>
  <si>
    <t>demand running arrears communicated to client via calls and sms</t>
  </si>
  <si>
    <t>client to clear the arrears today 8/24/2024</t>
  </si>
  <si>
    <t>arrears communicated to client promise to clear today 8/24/2024</t>
  </si>
  <si>
    <t>unit at the yard ,pushing for payment</t>
  </si>
  <si>
    <t>has an active demand running</t>
  </si>
  <si>
    <t>Called the client inormed him about the arreas and he agree to make payment by cob</t>
  </si>
  <si>
    <t>unit at the yard,,client advised to clear the pending arrears to redeem the unit</t>
  </si>
  <si>
    <t>to pay by COB</t>
  </si>
  <si>
    <t>to by cob called the client and arrears communicated</t>
  </si>
  <si>
    <t>Client to make payment b cob</t>
  </si>
  <si>
    <t>client did partial payment to clear the remaining arrears tommorrow,,,has an active demand running</t>
  </si>
  <si>
    <t>did ahome visit ,,client promised to clear the whole arrears tommorow 8/27/2024</t>
  </si>
  <si>
    <t>demand issued ,pushing for payments</t>
  </si>
  <si>
    <t>Client to make payment by cob arrears communicated to him</t>
  </si>
  <si>
    <t>unit at yard sourcing for buyers</t>
  </si>
  <si>
    <t>Called the client arrears communicated and client agreed to make payment</t>
  </si>
  <si>
    <t>Arrears communicated o the client and he agrees to make paymen by cob</t>
  </si>
  <si>
    <t>Client to make payment by cob arrears communicated to he client</t>
  </si>
  <si>
    <t>Arrears communicated to the client and he agreed to make payment by cob</t>
  </si>
  <si>
    <t>Client made partial booking agreed to clear the remaining by cob</t>
  </si>
  <si>
    <t>Client to make payment befoe the end of today</t>
  </si>
  <si>
    <t>account being restructured</t>
  </si>
  <si>
    <t>demand running pushing for payment</t>
  </si>
  <si>
    <t>L39809</t>
  </si>
  <si>
    <t>paid in advance</t>
  </si>
  <si>
    <t>UNIT AT YARD SOURCING FOR BUYER</t>
  </si>
  <si>
    <t>CLIENT SOURCING FOR FUNDS  TO REDEEM THE UNIT</t>
  </si>
  <si>
    <t>Client to make payment by cob</t>
  </si>
  <si>
    <t>Called the client sms sent and he agreed to make payment</t>
  </si>
  <si>
    <t>Called the client arears communicated and he agreed to make payment</t>
  </si>
  <si>
    <t>Client to make payment by cob demand running</t>
  </si>
  <si>
    <t>RESTRUCTURING THE ACCOUNT</t>
  </si>
  <si>
    <t>has an active demand,,,client to clear the arrears today</t>
  </si>
  <si>
    <t>restructuring the account</t>
  </si>
  <si>
    <t>L39827</t>
  </si>
  <si>
    <t>MAXIMILLAH SALOME SAKWA</t>
  </si>
  <si>
    <t>Cecilia</t>
  </si>
  <si>
    <t>WInnie</t>
  </si>
  <si>
    <t>L33518</t>
  </si>
  <si>
    <t>unit at yard, client is working on clearing the pending arrears to redeem the unit  before 4th/09/2024</t>
  </si>
  <si>
    <t>Runnig demand</t>
  </si>
  <si>
    <t>unit advertised for sale ,,sourcing for buyer</t>
  </si>
  <si>
    <t>running possession</t>
  </si>
  <si>
    <t>client made partial payment</t>
  </si>
  <si>
    <t>winnie</t>
  </si>
  <si>
    <t>promised to pay her due instalment before the day ends</t>
  </si>
  <si>
    <t>client to make payment by cob</t>
  </si>
  <si>
    <t>L37127</t>
  </si>
  <si>
    <t>ASENA BICO</t>
  </si>
  <si>
    <t xml:space="preserve">doing follow up via calls </t>
  </si>
  <si>
    <t>CHARLES  KIPRONO MARITIM</t>
  </si>
  <si>
    <t>unit at yard ,client sourcing to clear the arrears and redeem the uniy</t>
  </si>
  <si>
    <t>unit advertised for sale ,,,sourcing for buyer,</t>
  </si>
  <si>
    <t>Called the client and he ageed to make paymen by cob today</t>
  </si>
  <si>
    <t>Client to make payment by 2pm</t>
  </si>
  <si>
    <t>Client to make payment</t>
  </si>
  <si>
    <t>client to make payment by cob today</t>
  </si>
  <si>
    <t>Client to make paymen by cob</t>
  </si>
  <si>
    <t>client banked the cheque that will mature on monday,,,,,2/09/2024</t>
  </si>
  <si>
    <t>following up on the arrears through calls and sms</t>
  </si>
  <si>
    <t>Client to pay by cob today arrears communicated to him</t>
  </si>
  <si>
    <t>client to pay by cob</t>
  </si>
  <si>
    <t>Car at yard</t>
  </si>
  <si>
    <t>Client to make payment by 3PM</t>
  </si>
  <si>
    <t>client to make paymen by cob arrears communicated to him</t>
  </si>
  <si>
    <t>L40050</t>
  </si>
  <si>
    <t>OTEMA EDGAR NYABENGI</t>
  </si>
  <si>
    <t>L39868</t>
  </si>
  <si>
    <t>SYLVIA MARIAN NAFULA</t>
  </si>
  <si>
    <t>L38389</t>
  </si>
  <si>
    <t>BEN SHAPAYA</t>
  </si>
  <si>
    <t>Hamisi Nzomo</t>
  </si>
  <si>
    <t>L33426</t>
  </si>
  <si>
    <t>paid on 22nd and 13th</t>
  </si>
  <si>
    <t>L38510</t>
  </si>
  <si>
    <t>CALLEB OWIRA OBIENE</t>
  </si>
  <si>
    <t>Abel Motanya</t>
  </si>
  <si>
    <t>L32123</t>
  </si>
  <si>
    <t>MACLINE GONA MASHA</t>
  </si>
  <si>
    <t>L34875</t>
  </si>
  <si>
    <t>JACKSON GITAHI GITONGA</t>
  </si>
  <si>
    <t>Mitchel Salome</t>
  </si>
  <si>
    <t>Field visit on 23.7.24 to clarify penalties and ensure full payment is made</t>
  </si>
  <si>
    <t>L36977</t>
  </si>
  <si>
    <t>LAMECH ONGERI NYAKORA</t>
  </si>
  <si>
    <t>Repossession in progress</t>
  </si>
  <si>
    <t>L36327</t>
  </si>
  <si>
    <t>MARTIN WAINAINA KENYANJUI</t>
  </si>
  <si>
    <t>L36182</t>
  </si>
  <si>
    <t>TERRY ACHIENG ONYANGO</t>
  </si>
  <si>
    <t>To pay full arrears on 23.7.24</t>
  </si>
  <si>
    <t>L32394</t>
  </si>
  <si>
    <t>MUHSIN OMAR SAID</t>
  </si>
  <si>
    <t>Field visit on 23.7.24 to ensure full arrears is paid or unit selfbooked</t>
  </si>
  <si>
    <t>L30319</t>
  </si>
  <si>
    <t>PATIENCE MBULA MUTINDA</t>
  </si>
  <si>
    <t>L30293</t>
  </si>
  <si>
    <t>RANGIJO SHUGULI M'BWANA</t>
  </si>
  <si>
    <t>L35553</t>
  </si>
  <si>
    <t>CRISPUS METINYOKI MASAGA</t>
  </si>
  <si>
    <t>Client to confirm payment plan by 24.7.24</t>
  </si>
  <si>
    <t>L31804</t>
  </si>
  <si>
    <t>Duncan Kiruai Mwai</t>
  </si>
  <si>
    <t>Titledeed</t>
  </si>
  <si>
    <t>Maxwel Odhiambo</t>
  </si>
  <si>
    <t>Negotiations ongoing for client to pay the loan balance within 60 days</t>
  </si>
  <si>
    <t>L21087</t>
  </si>
  <si>
    <t>Margaret Wambui Wangui</t>
  </si>
  <si>
    <t>Unit at yard. To clear loan on 23.7.24 and redeem unit</t>
  </si>
  <si>
    <t>Paid overnight</t>
  </si>
  <si>
    <t>To revisit client on 24.7.24 and ensure full arrears is paid</t>
  </si>
  <si>
    <t>L36188</t>
  </si>
  <si>
    <t>LORIN CAROLINE OKELLO OWINO</t>
  </si>
  <si>
    <t>L31960</t>
  </si>
  <si>
    <t>SHADYA MOHAMED ALI</t>
  </si>
  <si>
    <t>Field visit on 24.7.24 and ensure full arrears is paid</t>
  </si>
  <si>
    <t>L33893</t>
  </si>
  <si>
    <t>DANIEL ODONGO KWAYO</t>
  </si>
  <si>
    <t>Demand notice expiring on 1.8.24. To pay full arrears on 24.7.24</t>
  </si>
  <si>
    <t>L33909</t>
  </si>
  <si>
    <t>L33112</t>
  </si>
  <si>
    <t>JOSEPHINE MWANGI</t>
  </si>
  <si>
    <t>L32786</t>
  </si>
  <si>
    <t>MOHAMED NAGIB</t>
  </si>
  <si>
    <t>L30358</t>
  </si>
  <si>
    <t>DAVIES MCHETE MWAIZINGA</t>
  </si>
  <si>
    <t>L34697</t>
  </si>
  <si>
    <t>DUNCAN MWAROGO MARK</t>
  </si>
  <si>
    <t>To pay balance on 24.724</t>
  </si>
  <si>
    <t>L31458</t>
  </si>
  <si>
    <t>FATUMA RASHID TOYA</t>
  </si>
  <si>
    <t>L30463</t>
  </si>
  <si>
    <t>ROBERT HATUA MANENO</t>
  </si>
  <si>
    <t>L31599</t>
  </si>
  <si>
    <t>Willie Wamethi Mbote</t>
  </si>
  <si>
    <t>Engaging client to pay the full arrears or we proceed with auction</t>
  </si>
  <si>
    <t>Unit at yard. Client to confirm payment on 24.7.24</t>
  </si>
  <si>
    <t>L36198</t>
  </si>
  <si>
    <t>FAIZA KOMBO MGAZA</t>
  </si>
  <si>
    <t>L31480</t>
  </si>
  <si>
    <t>HAMZA TURUKI RENGWA</t>
  </si>
  <si>
    <t>MOHAMED . NAGIB</t>
  </si>
  <si>
    <t>Damaris Wakio</t>
  </si>
  <si>
    <t>L38768</t>
  </si>
  <si>
    <t>DAVIES KANYI MITHAMO</t>
  </si>
  <si>
    <t>L38786</t>
  </si>
  <si>
    <t>JUMA FADHILI CHIGULU</t>
  </si>
  <si>
    <t>To revisit client on 25.7.24 and collect full arrears</t>
  </si>
  <si>
    <t>L34854</t>
  </si>
  <si>
    <t>MARTIN ALEX BUKO</t>
  </si>
  <si>
    <t>L36060</t>
  </si>
  <si>
    <t>FELIX KISIA WAMBUA KIVUVA</t>
  </si>
  <si>
    <t>Account normalised</t>
  </si>
  <si>
    <t>L34171</t>
  </si>
  <si>
    <t>FRANCIS KAZUNGU KOMBE</t>
  </si>
  <si>
    <t>L34220</t>
  </si>
  <si>
    <t>L34678</t>
  </si>
  <si>
    <t>MAURICE ODHIAMBO ACHOLA</t>
  </si>
  <si>
    <t>To visit the branch for a restructure on 26.7.24</t>
  </si>
  <si>
    <t>L32007</t>
  </si>
  <si>
    <t>JASPHER MURIITHI KABUTU</t>
  </si>
  <si>
    <t>Demand notice expiry on 8.8.24. To pay full arrears on 25.7.24</t>
  </si>
  <si>
    <t>Shipside General Services Ltd C/O Willie Wamethi Mbote</t>
  </si>
  <si>
    <t>Client to confirm payment on 25.724</t>
  </si>
  <si>
    <t>To revisit daughter on 25.7.24 for full arrears collection</t>
  </si>
  <si>
    <t>Demand notice expiring on 29/7/24. Field visit on 26/7.24 to collect full arrears.</t>
  </si>
  <si>
    <t>L31630</t>
  </si>
  <si>
    <t>TIMOTHY MURIRI KABIRA</t>
  </si>
  <si>
    <t>To pay full arrears by 27.7.24</t>
  </si>
  <si>
    <t>L39311</t>
  </si>
  <si>
    <t>DAVID ODHIAMBO KAROS</t>
  </si>
  <si>
    <t>Engagement ongoing with the daughter to pay full arrears</t>
  </si>
  <si>
    <t>L38021</t>
  </si>
  <si>
    <t>MAUREEN LUCY OWINO</t>
  </si>
  <si>
    <t>L35459</t>
  </si>
  <si>
    <t>WILSON NZOMO NGEI</t>
  </si>
  <si>
    <t>To pay full arrears by 26.7.24</t>
  </si>
  <si>
    <t>Demand notice expiring on 8.8.24. To pay full arrears by 27.7.24</t>
  </si>
  <si>
    <t>L32678</t>
  </si>
  <si>
    <t>ELIZABETH WAMBUI KARANJA</t>
  </si>
  <si>
    <t>To pay full arrears on 26.7.24</t>
  </si>
  <si>
    <t>To confirm payment on 26.7.24</t>
  </si>
  <si>
    <t>L30125</t>
  </si>
  <si>
    <t>DEDAN KIRIMI MURUNGI</t>
  </si>
  <si>
    <t>To pay balance by COB</t>
  </si>
  <si>
    <t>To pay full arrears on 27.7.24</t>
  </si>
  <si>
    <t>To pay full arrears on 29.7.24</t>
  </si>
  <si>
    <t>To confirm payment on 27.7.24</t>
  </si>
  <si>
    <t>L26458</t>
  </si>
  <si>
    <t>ROSE FAITH AKEYO AURA</t>
  </si>
  <si>
    <t>To apply for restructure</t>
  </si>
  <si>
    <t>Postponed payment to 27.7.24. Followup ongoing</t>
  </si>
  <si>
    <t>L35637</t>
  </si>
  <si>
    <t>FREDRICK SAID DIMBWA</t>
  </si>
  <si>
    <t>WEBSTER ISABOKE NYARIEKO</t>
  </si>
  <si>
    <t>ANNE WANJIKU MUCHIRI</t>
  </si>
  <si>
    <t>paid overnight</t>
  </si>
  <si>
    <t>JOSEPH ODONGO MUJAW</t>
  </si>
  <si>
    <t>Engagement ongoing with client to confirm payment plan.</t>
  </si>
  <si>
    <t>L32579</t>
  </si>
  <si>
    <t>PETER MBOGHO MWANG'OMBE</t>
  </si>
  <si>
    <t>L35711</t>
  </si>
  <si>
    <t>ESTHER PANGA THONGORI</t>
  </si>
  <si>
    <t>L35251</t>
  </si>
  <si>
    <t>MARTHA LIPUKA JIRA</t>
  </si>
  <si>
    <t>L37271</t>
  </si>
  <si>
    <t>JOHN  KIHARA WANYONYI</t>
  </si>
  <si>
    <t>To pay full arrears on 30.7.24</t>
  </si>
  <si>
    <t>Client visit on 30.7.24 to ensure full arrears is paid</t>
  </si>
  <si>
    <t>L35690</t>
  </si>
  <si>
    <t>SHAWN  GABRIEL MWADIME</t>
  </si>
  <si>
    <t>To confirm payment on 30.7.24</t>
  </si>
  <si>
    <t>L29582</t>
  </si>
  <si>
    <t>EMMANUEL CHARO YONGO</t>
  </si>
  <si>
    <t>L26481</t>
  </si>
  <si>
    <t>GUNDA ATHMAN CHEMBEA</t>
  </si>
  <si>
    <t>L32192</t>
  </si>
  <si>
    <t>MACREEN ANYANGO ONG'ANY</t>
  </si>
  <si>
    <t>L37023</t>
  </si>
  <si>
    <t>WILFRED OTIENO ODHIAMBO</t>
  </si>
  <si>
    <t>L37991</t>
  </si>
  <si>
    <t>STEPHEN MASINI KITHEKA</t>
  </si>
  <si>
    <t>Asset finance</t>
  </si>
  <si>
    <t>L34959</t>
  </si>
  <si>
    <t>RICHARD LUCAS KIMANTHI</t>
  </si>
  <si>
    <t>L39334</t>
  </si>
  <si>
    <t>JOHN OTIENO OMWARE</t>
  </si>
  <si>
    <t>L35764</t>
  </si>
  <si>
    <t xml:space="preserve">ELLY KIPSANG </t>
  </si>
  <si>
    <t>Engagement ongoing with the client to confirm payment plan</t>
  </si>
  <si>
    <t>Rose Faith Akeyo Aura</t>
  </si>
  <si>
    <t>Engagement ongoing with the client to confirm payment.</t>
  </si>
  <si>
    <t>To pay balance on 31.7.24</t>
  </si>
  <si>
    <t>L37103</t>
  </si>
  <si>
    <t>STEPHEN GATERI KIARIE</t>
  </si>
  <si>
    <t>L32912</t>
  </si>
  <si>
    <t>DAVID KIRIMA KABURIA</t>
  </si>
  <si>
    <t>L37193</t>
  </si>
  <si>
    <t>ANTHONY KIUA MUANGE</t>
  </si>
  <si>
    <t>L30119</t>
  </si>
  <si>
    <t>BWANAH ATIENO LINDA</t>
  </si>
  <si>
    <t>To confirm payment on 31.7.24</t>
  </si>
  <si>
    <t>L26497</t>
  </si>
  <si>
    <t>L38616</t>
  </si>
  <si>
    <t>SAMUEL GITHUA GITONGA</t>
  </si>
  <si>
    <t>Engagement ongoing with client to confirm payment</t>
  </si>
  <si>
    <t>L36608</t>
  </si>
  <si>
    <t>HASSAN  ADAN LIBAN</t>
  </si>
  <si>
    <t>L33517</t>
  </si>
  <si>
    <t>LILLIAN NAMULANDA NALIANYA</t>
  </si>
  <si>
    <t>L33585</t>
  </si>
  <si>
    <t>VALARY OPISA SHIKHULE</t>
  </si>
  <si>
    <t>ANTHONY  KIUA MUANGE</t>
  </si>
  <si>
    <t>L31939</t>
  </si>
  <si>
    <t>ISABEL NDUGWA PAUL</t>
  </si>
  <si>
    <t>To confirm payment on 1.8.24</t>
  </si>
  <si>
    <t>L33568</t>
  </si>
  <si>
    <t>MARY AKINYI ONYANGO</t>
  </si>
  <si>
    <t>STEPHEN MASINI  KITHEKA</t>
  </si>
  <si>
    <t>To self book unit on 1.8.24 and avail payment plan</t>
  </si>
  <si>
    <t>L35787</t>
  </si>
  <si>
    <t>Field visit on 1.8.24 to ensure full payemnt is done</t>
  </si>
  <si>
    <t xml:space="preserve">To pay tonight </t>
  </si>
  <si>
    <t>L35691</t>
  </si>
  <si>
    <t>L31803</t>
  </si>
  <si>
    <t>KIREMA GODFFREY MWIKA</t>
  </si>
  <si>
    <t>To confirm payment on 2.8.24</t>
  </si>
  <si>
    <t>L32617</t>
  </si>
  <si>
    <t>MICHELLE VIHENDA SEMO</t>
  </si>
  <si>
    <t>L38956</t>
  </si>
  <si>
    <t>DIANGA  GEORGE</t>
  </si>
  <si>
    <t>MITCHEL SALOME</t>
  </si>
  <si>
    <t>L38957</t>
  </si>
  <si>
    <t>EUNICE NJERI MACHARIA</t>
  </si>
  <si>
    <t>Field visit on 2.8.24 and ensure full arrears is paid</t>
  </si>
  <si>
    <t>Repossession ongoing with Vintage auctioneers</t>
  </si>
  <si>
    <t>To pay balance on 2.8.24</t>
  </si>
  <si>
    <t>L38923</t>
  </si>
  <si>
    <t>14 days extension approved.</t>
  </si>
  <si>
    <t xml:space="preserve">Client to avail payment plan for approval </t>
  </si>
  <si>
    <t>Field visit on 2.8.24 for full arrears payment.</t>
  </si>
  <si>
    <t>L36998</t>
  </si>
  <si>
    <t>MESHACK KIINDU MBINDA</t>
  </si>
  <si>
    <t>L38914</t>
  </si>
  <si>
    <t>CHERUTTO CHARLOTTE</t>
  </si>
  <si>
    <t>Demand notice expiring on 10.8.24. To pay full arrears on 3.8.24</t>
  </si>
  <si>
    <t>Demand notice expiring on 17.8.24. To pay full arrears on 3.8.24</t>
  </si>
  <si>
    <t>L28580</t>
  </si>
  <si>
    <t>SAID HASHIM RASHID</t>
  </si>
  <si>
    <t>To confirm payment on 3.8.24</t>
  </si>
  <si>
    <t>L36532</t>
  </si>
  <si>
    <t>SIMON MURIMI MUCHIRI</t>
  </si>
  <si>
    <t xml:space="preserve">Extension approved. arrears to be deducted from aproved new loan by cob </t>
  </si>
  <si>
    <t>To selfbook unit on 3.8.24 and avail payment plan.</t>
  </si>
  <si>
    <t>Field visit on 3.8.24 to ensure full arrears is paid</t>
  </si>
  <si>
    <t>L33878</t>
  </si>
  <si>
    <t>JACKSON MWANG'OMBE ASER</t>
  </si>
  <si>
    <t xml:space="preserve">MACREEN ANYANGO ONG'ANY </t>
  </si>
  <si>
    <t xml:space="preserve">Client to confirm payment plan for approval </t>
  </si>
  <si>
    <t xml:space="preserve">Unit at yard. To pay full arrears on 3.8.24 to redeem unit </t>
  </si>
  <si>
    <t>L36258</t>
  </si>
  <si>
    <t>MORRIS MUINDI MUTISO</t>
  </si>
  <si>
    <t>L36638</t>
  </si>
  <si>
    <t>JOGHBRIGHT MUNYALO NZIOKI</t>
  </si>
  <si>
    <t>L31592</t>
  </si>
  <si>
    <t>FELIX OTIENO ONG'WEN</t>
  </si>
  <si>
    <t>L38261</t>
  </si>
  <si>
    <t>ACADIUS ANAMI LULESA</t>
  </si>
  <si>
    <t>Paying balance by COB</t>
  </si>
  <si>
    <t>L34879</t>
  </si>
  <si>
    <t>Insurance premium finance</t>
  </si>
  <si>
    <t>To confirm payment on 5.8.24</t>
  </si>
  <si>
    <t>To visit the office on 5.8.24 for tracking fee clarification and payment.</t>
  </si>
  <si>
    <t>To selfbook unit on 5.8.24 and avail payment plan.</t>
  </si>
  <si>
    <t>L37210</t>
  </si>
  <si>
    <t>CLAIN MALIETSO DISI</t>
  </si>
  <si>
    <t>DAMARIS WAKIO</t>
  </si>
  <si>
    <t>L37994</t>
  </si>
  <si>
    <t>Import Duty Finance</t>
  </si>
  <si>
    <t>Client making arrangements to pay full arrears by 8.8.24</t>
  </si>
  <si>
    <t>L39127</t>
  </si>
  <si>
    <t xml:space="preserve"> Cleared Weekend loan 85,000.00 paid overnight.</t>
  </si>
  <si>
    <t xml:space="preserve">RICHARD LUCAS KIMANTHI </t>
  </si>
  <si>
    <t>Unit at yard. To pay full arrears on 5.8.24 and redeed unit.</t>
  </si>
  <si>
    <t>Maurice Odhiambo Achola</t>
  </si>
  <si>
    <t>Demand notice expiring on 10.8.24. To pay full arrears on 5.8.24</t>
  </si>
  <si>
    <t>L39210</t>
  </si>
  <si>
    <t>L35134</t>
  </si>
  <si>
    <t>To confirm payment on 6.8.24</t>
  </si>
  <si>
    <t>L39114</t>
  </si>
  <si>
    <t>EMMAH WAIRIMU NJENGA</t>
  </si>
  <si>
    <t>L39152</t>
  </si>
  <si>
    <t>ERIC ROGOI KIMANI</t>
  </si>
  <si>
    <t>Field visit on 6.8.24 to ensure full arrears are paid or unit selfbooked.</t>
  </si>
  <si>
    <t>L38095</t>
  </si>
  <si>
    <t>LEWIS ODUMA</t>
  </si>
  <si>
    <t>L38182</t>
  </si>
  <si>
    <t>RAPHAEL   MUKENI</t>
  </si>
  <si>
    <t>Unit at yard. To redeem unit on 8.8.24</t>
  </si>
  <si>
    <t>Field visit on 6.8.24 to ensure full arrears are paid.</t>
  </si>
  <si>
    <t>To confirm payment by 10.8.24</t>
  </si>
  <si>
    <t>Unit at yard. To redeem unit on  7.8.24</t>
  </si>
  <si>
    <t>To confirm payment by COB</t>
  </si>
  <si>
    <t>L29743</t>
  </si>
  <si>
    <t>ISSA KHALIFA ISSA</t>
  </si>
  <si>
    <t>To confirm payment on 7.8.24 morning</t>
  </si>
  <si>
    <t>L30806</t>
  </si>
  <si>
    <t>LILIAN ODEDA OLIKE</t>
  </si>
  <si>
    <t>Proclamation issued. To confirm payment on 7.8.24</t>
  </si>
  <si>
    <t>L33074</t>
  </si>
  <si>
    <t>RABAI FOODS LIMITED C/O MOUREEN  WANGECI MWANIKI</t>
  </si>
  <si>
    <t>L33661</t>
  </si>
  <si>
    <t>NELLY ILONGO</t>
  </si>
  <si>
    <t>L34179</t>
  </si>
  <si>
    <t>PETER MWAI ROORE</t>
  </si>
  <si>
    <t>L34198</t>
  </si>
  <si>
    <t>L36728</t>
  </si>
  <si>
    <t>DANIEL GITONGA NJIRU</t>
  </si>
  <si>
    <t>To confirm payment on 7.8.24</t>
  </si>
  <si>
    <t>L36789</t>
  </si>
  <si>
    <t>MARTINO SEIF PEMBE</t>
  </si>
  <si>
    <t>Unit at yard. To redeem unit on 9.8.24</t>
  </si>
  <si>
    <t>L38253</t>
  </si>
  <si>
    <t>JOSEPH KENNETH MWAMBUI</t>
  </si>
  <si>
    <t>To self book unit on 7.8.24 and avail payment plan</t>
  </si>
  <si>
    <t>Unit at yard. To redeem unit on 7.8.24</t>
  </si>
  <si>
    <t>Field visit on 7.8.24 to ensure full arrears is collected.</t>
  </si>
  <si>
    <t>DAVIS MCHETE MWAIZINGA</t>
  </si>
  <si>
    <t>L31714</t>
  </si>
  <si>
    <t>ANASTACIA EKWANGE LOKATO</t>
  </si>
  <si>
    <t>Maxwell Odhiambo</t>
  </si>
  <si>
    <t>To confirm payment on 8.8.24. Demand notice expiring on 18.8.24</t>
  </si>
  <si>
    <t>L33057</t>
  </si>
  <si>
    <t>TRUPHOSA OTENYO CEPHAS</t>
  </si>
  <si>
    <t>MWANZA RUWA</t>
  </si>
  <si>
    <t>Proclamation issued. To confirm payment on 8.8.24</t>
  </si>
  <si>
    <t>Repossession in progress with Neptune auctioneers</t>
  </si>
  <si>
    <t>To confirm payment on 8.8.24</t>
  </si>
  <si>
    <t>Field visit on 8.8.24 for full arrears payment</t>
  </si>
  <si>
    <t>Unit at yard. To avail payment plan by 9.8.24</t>
  </si>
  <si>
    <t>To confirm payment on 8.8.24. Demand notice expiring on 21.8.24</t>
  </si>
  <si>
    <t>To confirm payment on 8.8.24. Demand notice expiring on 23.8.24</t>
  </si>
  <si>
    <t>Repossession in progress with NCS auctioneers</t>
  </si>
  <si>
    <t>Paid via pesalink</t>
  </si>
  <si>
    <t>Unit at the yard. To redeed unit on 9.8.24</t>
  </si>
  <si>
    <t>To confirm payment by 8.8.24</t>
  </si>
  <si>
    <t>Field visit on 9.8.24 for payment</t>
  </si>
  <si>
    <t>L33070</t>
  </si>
  <si>
    <t>DAVIES  KANYI MITHAMO</t>
  </si>
  <si>
    <t>JOSEPHINE MWANGI .</t>
  </si>
  <si>
    <t>L33745</t>
  </si>
  <si>
    <t>PHOEBE ACHIENG OWUONDA</t>
  </si>
  <si>
    <t>L35689</t>
  </si>
  <si>
    <t>VIRGINIA NDUKU PAUL</t>
  </si>
  <si>
    <t>FELIX  KISIA WAMBUA KIVUVA</t>
  </si>
  <si>
    <t>L39072</t>
  </si>
  <si>
    <t>MONICA OMONDI JUMBA</t>
  </si>
  <si>
    <t>L39716</t>
  </si>
  <si>
    <t>DAVID  ODHIAMBO KAROS</t>
  </si>
  <si>
    <t>L39731</t>
  </si>
  <si>
    <t>To confirm payment on 9.8.24</t>
  </si>
  <si>
    <t>L37990</t>
  </si>
  <si>
    <t xml:space="preserve">JOSEPH ODONGO MUJAW </t>
  </si>
  <si>
    <t xml:space="preserve">Import Duty finance </t>
  </si>
  <si>
    <t>CCIN000086-1000-006</t>
  </si>
  <si>
    <t>Praxidese Khatembi Imonje</t>
  </si>
  <si>
    <t>Duncan</t>
  </si>
  <si>
    <t>L30259</t>
  </si>
  <si>
    <t>FAIZA ABDALLAH HAKIM</t>
  </si>
  <si>
    <t>Enagement ongoing for client to confirm payment plan</t>
  </si>
  <si>
    <t>L34480</t>
  </si>
  <si>
    <t>L39257</t>
  </si>
  <si>
    <t>YUSUF MOHAMED MARCO PACUCCI</t>
  </si>
  <si>
    <t>To confirm payment on 10.8.24</t>
  </si>
  <si>
    <t>Field visit on 10.8.24 to ensure full arrears are paid</t>
  </si>
  <si>
    <t>Unit at yard. To redeem unit on  12.8.24</t>
  </si>
  <si>
    <t>To pay full arrears on 10.8.24</t>
  </si>
  <si>
    <t>To self book unit on 10.8.24</t>
  </si>
  <si>
    <t>L31405</t>
  </si>
  <si>
    <t>NICHOLAS KISUNDE OKATCH</t>
  </si>
  <si>
    <t>Client to selfbook unit on 12.8.24</t>
  </si>
  <si>
    <t>To confirm payment on 12.8.24</t>
  </si>
  <si>
    <t>L36133</t>
  </si>
  <si>
    <t>CONSOLATA  MOCHA</t>
  </si>
  <si>
    <t>L39305</t>
  </si>
  <si>
    <t>PIUS BARONGO OMBUNA</t>
  </si>
  <si>
    <t>Field visit on 13.8.24 for full arrears payment</t>
  </si>
  <si>
    <t>L38434</t>
  </si>
  <si>
    <t>Account normalised. Paid overnight</t>
  </si>
  <si>
    <t>To confirm payment on 13.8.24</t>
  </si>
  <si>
    <t>To pay full arrears on 13.8.24</t>
  </si>
  <si>
    <t>Repossession ongoing with Neptune auctioneers</t>
  </si>
  <si>
    <t>L32410</t>
  </si>
  <si>
    <t>CYRUS MWAURA KINUTHIA</t>
  </si>
  <si>
    <t>Cheque banked.</t>
  </si>
  <si>
    <t>L35326</t>
  </si>
  <si>
    <t>L36135</t>
  </si>
  <si>
    <t>L39828</t>
  </si>
  <si>
    <t>Field visit on 14.8.24 to ensure full arrears is paid</t>
  </si>
  <si>
    <t>L36225</t>
  </si>
  <si>
    <t>SHARIFF A ABDULLA HUSSEIN</t>
  </si>
  <si>
    <t>To confirm payment on 14.8.24</t>
  </si>
  <si>
    <t xml:space="preserve">PRAXIDESE KHATEMBI IMONJE  </t>
  </si>
  <si>
    <t>L37356</t>
  </si>
  <si>
    <t>Engagement ongoing with daughter for full arrears payment</t>
  </si>
  <si>
    <t>L27553</t>
  </si>
  <si>
    <t>SIMON NJOROGE MAINA</t>
  </si>
  <si>
    <t>L27830</t>
  </si>
  <si>
    <t>L35400</t>
  </si>
  <si>
    <t>LORIN  CAROLINE OKELLO OWINO</t>
  </si>
  <si>
    <t>To confirm payment on 15.8.24</t>
  </si>
  <si>
    <t>L36224</t>
  </si>
  <si>
    <t>L31963</t>
  </si>
  <si>
    <t>CHARLES KINOTI MUGAMBI</t>
  </si>
  <si>
    <t>L36405</t>
  </si>
  <si>
    <t>STACY SOILA KISHOYIAN</t>
  </si>
  <si>
    <t>L26253</t>
  </si>
  <si>
    <t>PAULINE VATA MUSANGI</t>
  </si>
  <si>
    <t>Engagement ongoing with the daughter to make payment</t>
  </si>
  <si>
    <t>L33289</t>
  </si>
  <si>
    <t>To confirm full arrears payment on 16.8.24</t>
  </si>
  <si>
    <t>Field visit on 16.8.24 for full arrears payment</t>
  </si>
  <si>
    <t>To confirm payment on 16.8.24</t>
  </si>
  <si>
    <t>L32677</t>
  </si>
  <si>
    <t xml:space="preserve">JACKSON GITAHI GITONGA </t>
  </si>
  <si>
    <t>To confirm payment on 17.8.24 morning</t>
  </si>
  <si>
    <t>Field visit on 17.8.24 to get full arrears payment</t>
  </si>
  <si>
    <t>L33959</t>
  </si>
  <si>
    <t>BENSON MUUO MUNYAO</t>
  </si>
  <si>
    <t>L26744</t>
  </si>
  <si>
    <t>ROBERT KIPRONO ROTICH</t>
  </si>
  <si>
    <t>Field visit on 19.8.24 to get full arrears payment</t>
  </si>
  <si>
    <t>L39433</t>
  </si>
  <si>
    <t>EMMANUEL CHARO TINGA</t>
  </si>
  <si>
    <t>L37692</t>
  </si>
  <si>
    <t>DESMOND OCHIENG</t>
  </si>
  <si>
    <t>Engagement ongoing for client to make full payment or selfbook unit</t>
  </si>
  <si>
    <t>Demand notice expiring on 27.8.24. To confirm payment on 17.8.24</t>
  </si>
  <si>
    <t>L32234</t>
  </si>
  <si>
    <t xml:space="preserve">ANTONY MUHANJI </t>
  </si>
  <si>
    <t>Cheques to be rebanked on 22.8.24</t>
  </si>
  <si>
    <t xml:space="preserve">LEWIS ODUMA </t>
  </si>
  <si>
    <t>To pay by 1600hrs</t>
  </si>
  <si>
    <t>Engagement ongoing for client to make payment or selfbook unit</t>
  </si>
  <si>
    <t>Demand notice expiring on 22.8.24. Field visit on 19.8.24 for full arrears</t>
  </si>
  <si>
    <t>Unit at yard. Client to redeem unit on 17.8.24</t>
  </si>
  <si>
    <t>L39427</t>
  </si>
  <si>
    <t>Client committed to pay full arrears on 17.8.24</t>
  </si>
  <si>
    <t>Account normalised. Escalated to the accountant for date change review</t>
  </si>
  <si>
    <t>L34406</t>
  </si>
  <si>
    <t>VITALIS CHENGO MENZA</t>
  </si>
  <si>
    <t>To pay full arrears by 1600hrs today</t>
  </si>
  <si>
    <t>To confirm payment on 19.8.24 morning</t>
  </si>
  <si>
    <t>To pay full arrears on 19.8.24 or selfbook unit same day.</t>
  </si>
  <si>
    <t>Unit at yard. To redeem unit on 20.8.24</t>
  </si>
  <si>
    <t xml:space="preserve">Repossession ongoing with Vinatage auctioneers while engaging client make payment or avail unit </t>
  </si>
  <si>
    <t xml:space="preserve">Repossession ongoing with NCS auctioneers while engaging client make payment or avail unit </t>
  </si>
  <si>
    <t>To confirm payment on 20.8.24 morning</t>
  </si>
  <si>
    <t>Field visit on 20.8.24 for full arrears collection</t>
  </si>
  <si>
    <t>L34580</t>
  </si>
  <si>
    <t xml:space="preserve">DESMOND  OCHIENG </t>
  </si>
  <si>
    <t>EPHRON NYATTA MARAMI</t>
  </si>
  <si>
    <t>Unit at yard. To redeem unit on 24.8.24</t>
  </si>
  <si>
    <t>L36954</t>
  </si>
  <si>
    <t>TIMOTHY  NZIOKI KATUA</t>
  </si>
  <si>
    <t>L37003</t>
  </si>
  <si>
    <t>LIBESE ALA ERIC</t>
  </si>
  <si>
    <t>L39479</t>
  </si>
  <si>
    <t>FRANCIS KAMWARO</t>
  </si>
  <si>
    <t>L39522</t>
  </si>
  <si>
    <t>DOUGLAS   KAMBITI</t>
  </si>
  <si>
    <t>L31505</t>
  </si>
  <si>
    <t>SAMUEL MURIITHI KARIUKI</t>
  </si>
  <si>
    <t>L33313</t>
  </si>
  <si>
    <t>Unit at yard. To redeem unit on 25.8.24</t>
  </si>
  <si>
    <t>L35448</t>
  </si>
  <si>
    <t>L37694</t>
  </si>
  <si>
    <t>DESMOND  OCHIENG</t>
  </si>
  <si>
    <t>To self book unit on 20.8.24 by 1200hrs</t>
  </si>
  <si>
    <t>Engagement ongoing for client to confirm payment plan</t>
  </si>
  <si>
    <t>Muhsin Omar</t>
  </si>
  <si>
    <t>Unit at yard. To redeem unit on 21.8.24</t>
  </si>
  <si>
    <t>L38672</t>
  </si>
  <si>
    <t>ELVIS  PRESLEY JUMA</t>
  </si>
  <si>
    <t>L38673</t>
  </si>
  <si>
    <t>Engagement ongoing with the client to make payment or selfbook unit by 21.8.24</t>
  </si>
  <si>
    <t>To confirm payment on 21.8.24 morning</t>
  </si>
  <si>
    <t>To revisit the client on 21.8.24 for payment.</t>
  </si>
  <si>
    <t>Unit at yard. Client to confirm payment plan on 22.8.24</t>
  </si>
  <si>
    <t>Proclamation issued. Client to confirm payment plan on 22.8.24</t>
  </si>
  <si>
    <t>Demand notice expiring on 7.8.24. To Pay full arrears on 21.8.24</t>
  </si>
  <si>
    <t>Engagement ongoing with the client to make payment or selfbook unit by 22.8.24</t>
  </si>
  <si>
    <t>Field visit on 22.8.24 to collect full arrears</t>
  </si>
  <si>
    <t>To confirm payment on 22.8.24</t>
  </si>
  <si>
    <t>To confirm payment on 22.8.24 morning</t>
  </si>
  <si>
    <t>Unit at yard. To redeem unit by 1030hrs 22.8.24</t>
  </si>
  <si>
    <t>Unit at yard. To redeem unit by 1530hrs on 23.8.24</t>
  </si>
  <si>
    <t xml:space="preserve">Account normalised. </t>
  </si>
  <si>
    <t>CONSOLATA MOCHA</t>
  </si>
  <si>
    <t>To confirm payment on 23.8.24</t>
  </si>
  <si>
    <t>Field visit on 23.8.24 to collect full arrears.</t>
  </si>
  <si>
    <t>Engagement ongoing with the client to make payment or selfbook unit by 23.8.24</t>
  </si>
  <si>
    <t>L39666</t>
  </si>
  <si>
    <t>Unit at yard. To redeem unit on 23.8.24</t>
  </si>
  <si>
    <t xml:space="preserve">Engagement ongoing for client to confirm payment </t>
  </si>
  <si>
    <t>PETER RUTTO CHEROP</t>
  </si>
  <si>
    <t>To confirm payment on 23.8.24 morning</t>
  </si>
  <si>
    <t>Unit at yard. To redeem unit by 1200hrs 24.8.24</t>
  </si>
  <si>
    <t>To confirm payment on 24.8.24</t>
  </si>
  <si>
    <t>Engagemnet ongoing for client to confirm payment</t>
  </si>
  <si>
    <t>To confirm payment on 24.8.24 morning</t>
  </si>
  <si>
    <t>Account normalised. paid overnight</t>
  </si>
  <si>
    <t>Field visit on 24.824 for full arrears collection</t>
  </si>
  <si>
    <t>Field visit on 26.8.24 for full arrears collection.</t>
  </si>
  <si>
    <t xml:space="preserve">To confirm payment on 24.8.24 </t>
  </si>
  <si>
    <t>Client to confirm payment on 24.8.24 or selfbook unit.</t>
  </si>
  <si>
    <t>L39703</t>
  </si>
  <si>
    <t xml:space="preserve">Engagemnet ongoing for client to confirm payment or avail unit </t>
  </si>
  <si>
    <t>To confirm payment by 1600hrs today</t>
  </si>
  <si>
    <t>L39704</t>
  </si>
  <si>
    <t>To confirm payment on 26.8.24</t>
  </si>
  <si>
    <t>Client to confirm payment on 26.8.24 or selfbook unit.</t>
  </si>
  <si>
    <t>Field visit on 26.8.24 to collect full arrears</t>
  </si>
  <si>
    <t>Unit at yard. To redeem unit by 1200hrs 26.8.24</t>
  </si>
  <si>
    <t>Unit at yard. To redeem unit on by 30.8.24</t>
  </si>
  <si>
    <t xml:space="preserve">HAMZA TURUKI RENGWA  </t>
  </si>
  <si>
    <t>Field visit on 27.8.24 for full arrears collection</t>
  </si>
  <si>
    <t>To confirm payment on 27.8.24.</t>
  </si>
  <si>
    <t>Unit at yard. To redeem unit on 27.8.24</t>
  </si>
  <si>
    <t>To confirm payment on 27.8.24 morning</t>
  </si>
  <si>
    <t>To confirm payment of balance on 27.8.24 morning</t>
  </si>
  <si>
    <t>L39702</t>
  </si>
  <si>
    <t>L38802</t>
  </si>
  <si>
    <t>Engagemnet ongoing for client to confirm payment plan</t>
  </si>
  <si>
    <t>To confirm payment on 28.8.24 morning</t>
  </si>
  <si>
    <t>To confirm payment on 28.8.24</t>
  </si>
  <si>
    <t>Account normalized</t>
  </si>
  <si>
    <t xml:space="preserve">To pay before 4pm </t>
  </si>
  <si>
    <t xml:space="preserve">MAUREEN LUCY OWINO </t>
  </si>
  <si>
    <t>Field visit on 28.8.24 to collect full arrears</t>
  </si>
  <si>
    <t>L33570</t>
  </si>
  <si>
    <t>Field visit on 29.8.24 for full arrears collection</t>
  </si>
  <si>
    <t>Engagement ongoing for client to confirm payment or avail unit</t>
  </si>
  <si>
    <t>To confirm payment on 29.8.24 morning</t>
  </si>
  <si>
    <t>MARTIN  ALEX BUKO</t>
  </si>
  <si>
    <t>Account normalised. Paid balance overnight</t>
  </si>
  <si>
    <t>Maxwel Wandera</t>
  </si>
  <si>
    <t>Unit at yard. To redeem unit by 30.8.24</t>
  </si>
  <si>
    <t>SHAWN GABRIEL MWADIME</t>
  </si>
  <si>
    <t>L36438</t>
  </si>
  <si>
    <t>DOUGLAS KAMBITI</t>
  </si>
  <si>
    <t>Availed cheque to be banked on 3.8.24</t>
  </si>
  <si>
    <t>To confirm payment of balance on 29.8.24 morning</t>
  </si>
  <si>
    <t>Field visit on 30.8.24 for full arrears collection</t>
  </si>
  <si>
    <t>Account normalised.paid balance overnight</t>
  </si>
  <si>
    <t>To pay full arrears on 30.8.24</t>
  </si>
  <si>
    <t>To confirm payment on 30.8.24 morning</t>
  </si>
  <si>
    <t>L31662</t>
  </si>
  <si>
    <t>MAUREEN JEPKOECH RUTO</t>
  </si>
  <si>
    <t>L34404</t>
  </si>
  <si>
    <t>VITALIS  CHENGO MENZA</t>
  </si>
  <si>
    <t>L38061</t>
  </si>
  <si>
    <t>Crispus Metinyoki Masaga</t>
  </si>
  <si>
    <t>Samuel Githua Gitonga</t>
  </si>
  <si>
    <t>ANTONY MUHANJI</t>
  </si>
  <si>
    <t>Cheques banked.</t>
  </si>
  <si>
    <t xml:space="preserve">To confirm payments by 31/08/2024 morning </t>
  </si>
  <si>
    <t>Field visit on 31.8.24 for full arrears collection</t>
  </si>
  <si>
    <t>Douglas</t>
  </si>
  <si>
    <t>Paid deposit.Buyoff ongoing</t>
  </si>
  <si>
    <t>Unit at yard. To redeen unit on 2.8.24</t>
  </si>
  <si>
    <t>Self booked unit. To redeem unit on 3.8.24</t>
  </si>
  <si>
    <t>Partilay paid to clear by 3pm</t>
  </si>
  <si>
    <t>L33613</t>
  </si>
  <si>
    <t>NICHODEMUS DENISHE OCHOLA</t>
  </si>
  <si>
    <t>Unit at yard. To redeen unit on 5.8.24</t>
  </si>
  <si>
    <t>To confirm payment on 2.9.24 morning</t>
  </si>
  <si>
    <t>To pay full arrears by 1600 hrs 31.8.24</t>
  </si>
  <si>
    <t>Field visit on 2.9.24 for full arrears collection.</t>
  </si>
  <si>
    <t>To pay full arrears on 2.9.24</t>
  </si>
  <si>
    <t>unit at yard. To redeem unit on 3.9.24</t>
  </si>
  <si>
    <t>To confirm payment on 3.9.24 morning</t>
  </si>
  <si>
    <t>Field visit on 3.9.24 for full arrears collection</t>
  </si>
  <si>
    <t>Availed cheque for banking on 3.9.24</t>
  </si>
  <si>
    <t>Unit at yard. To redeem unit by 5.9.24</t>
  </si>
  <si>
    <t>L40074</t>
  </si>
  <si>
    <t>ROSE  FAITH AKEYO AURA</t>
  </si>
  <si>
    <t>MACREEN  ANYANGO ONG'ANY</t>
  </si>
  <si>
    <t>L38625</t>
  </si>
  <si>
    <t>WILSON KIGET</t>
  </si>
  <si>
    <t>QUEEN WANJIRU</t>
  </si>
  <si>
    <t>L35471</t>
  </si>
  <si>
    <t>JONATHAN KIPRUTO</t>
  </si>
  <si>
    <t>L38649</t>
  </si>
  <si>
    <t>CALVINCE ODONYO</t>
  </si>
  <si>
    <t>L31125</t>
  </si>
  <si>
    <t>ELPHAS KIPSANG SITIENEI</t>
  </si>
  <si>
    <t>L36648</t>
  </si>
  <si>
    <t>Pauline Wanjiku Karanja</t>
  </si>
  <si>
    <t>Janerose Wanjala</t>
  </si>
  <si>
    <t>L33427</t>
  </si>
  <si>
    <t>JOHN MICHUKI</t>
  </si>
  <si>
    <t>L37069</t>
  </si>
  <si>
    <t>MARTHA JOB</t>
  </si>
  <si>
    <t>L37959</t>
  </si>
  <si>
    <t>MOSES KABERGAY</t>
  </si>
  <si>
    <t>L28091</t>
  </si>
  <si>
    <t>MUSA CHEPSOM</t>
  </si>
  <si>
    <t>ASSET FINANCE</t>
  </si>
  <si>
    <t>L32756</t>
  </si>
  <si>
    <t>LEORNARD KANDIE</t>
  </si>
  <si>
    <t>L30189</t>
  </si>
  <si>
    <t>ROSALINE JEPTANUI CHOGE</t>
  </si>
  <si>
    <t>L36633</t>
  </si>
  <si>
    <t>JOHN KOECH</t>
  </si>
  <si>
    <t xml:space="preserve">unit at yard sourcing for a buyer </t>
  </si>
  <si>
    <t>JOHN KIBET</t>
  </si>
  <si>
    <t>L29154</t>
  </si>
  <si>
    <t>SHARON RAEL</t>
  </si>
  <si>
    <t>ASSET</t>
  </si>
  <si>
    <t>demand issued 27.7.2024 expires 14.8 .2024</t>
  </si>
  <si>
    <t>L34164</t>
  </si>
  <si>
    <t>STANLEY KIRUI</t>
  </si>
  <si>
    <t>ASSEST</t>
  </si>
  <si>
    <t>demand issued 27.7.2024expires 14.8.2024</t>
  </si>
  <si>
    <t>L38808</t>
  </si>
  <si>
    <t>l29154</t>
  </si>
  <si>
    <t>demand issued 27.7.2024expires 14.7.2024</t>
  </si>
  <si>
    <t>L38893</t>
  </si>
  <si>
    <t>ESTHER NJOKI</t>
  </si>
  <si>
    <t>MOSES K K KABERGEY</t>
  </si>
  <si>
    <t>L37235</t>
  </si>
  <si>
    <t>JUDITH BIRBIR</t>
  </si>
  <si>
    <t>L28974</t>
  </si>
  <si>
    <t>GODFREY WACHIRA</t>
  </si>
  <si>
    <t>restructured</t>
  </si>
  <si>
    <t>L38947</t>
  </si>
  <si>
    <t>QUEEN ANJIRU</t>
  </si>
  <si>
    <t>L38165</t>
  </si>
  <si>
    <t>PAUL NGUNJIRI</t>
  </si>
  <si>
    <t>L38952</t>
  </si>
  <si>
    <t>to be cleared by cob</t>
  </si>
  <si>
    <t>to be pad by cob tommorrow</t>
  </si>
  <si>
    <t>to be paid overnight</t>
  </si>
  <si>
    <t>L35009</t>
  </si>
  <si>
    <t>WELLINTGTON ODONYO</t>
  </si>
  <si>
    <t>demand issued 27.7.2024 expires.14.8.2024</t>
  </si>
  <si>
    <t xml:space="preserve">restructured </t>
  </si>
  <si>
    <t>QUEEN</t>
  </si>
  <si>
    <t>demand issued 1.8.2024expires15.8.2024</t>
  </si>
  <si>
    <t>demand issued 2.8.2024 expires9.8.2024</t>
  </si>
  <si>
    <t>demand issued 27.7.2024 expire S10.8.2024</t>
  </si>
  <si>
    <t>L21946</t>
  </si>
  <si>
    <t>DARIUS TOO</t>
  </si>
  <si>
    <t>to be paid by cob</t>
  </si>
  <si>
    <t>L26054</t>
  </si>
  <si>
    <t>GEORGE MORARA MONYANCHA</t>
  </si>
  <si>
    <t xml:space="preserve">account for restructure </t>
  </si>
  <si>
    <t>GODREY WACHIRA</t>
  </si>
  <si>
    <t>WEK/LOG</t>
  </si>
  <si>
    <t xml:space="preserve">to clear balance by cob tomorrow </t>
  </si>
  <si>
    <t>L38960</t>
  </si>
  <si>
    <t>JOSEPHAT EKITELA</t>
  </si>
  <si>
    <t>L36657</t>
  </si>
  <si>
    <t>ABDI MOHAMMED</t>
  </si>
  <si>
    <t>Account restructured</t>
  </si>
  <si>
    <t>Cleared`</t>
  </si>
  <si>
    <t>LOGBOOK LOAN</t>
  </si>
  <si>
    <t>demand issued on 27.7.2024 expires 10.8.2024</t>
  </si>
  <si>
    <t>demand issuedon 6.08.2024 expires on 20th</t>
  </si>
  <si>
    <t>L30301</t>
  </si>
  <si>
    <t>JAMES NUGI</t>
  </si>
  <si>
    <t xml:space="preserve">to cleared by cob </t>
  </si>
  <si>
    <t>L29739</t>
  </si>
  <si>
    <t>DAVID - KURIA</t>
  </si>
  <si>
    <t>demand issued 27.7.2024expires10.8.2024</t>
  </si>
  <si>
    <t>LOGBBOK LOAN</t>
  </si>
  <si>
    <t xml:space="preserve">unit at yard to be redeemed tomorrow </t>
  </si>
  <si>
    <t>DAVID KURIA</t>
  </si>
  <si>
    <t xml:space="preserve">to  be cleared by tomorrow </t>
  </si>
  <si>
    <t>demand issued 6.8.2024 expires 20.8.2024</t>
  </si>
  <si>
    <t>GODFEY WACHIRA</t>
  </si>
  <si>
    <t xml:space="preserve">restructure to be completed by tomorrow </t>
  </si>
  <si>
    <t xml:space="preserve">paid partially </t>
  </si>
  <si>
    <t>L33786</t>
  </si>
  <si>
    <t>ALBERT CHEBOI</t>
  </si>
  <si>
    <t>JOHN EKITELA</t>
  </si>
  <si>
    <t>L29767</t>
  </si>
  <si>
    <t>GOEFREY OCHIENG OGUTU</t>
  </si>
  <si>
    <t xml:space="preserve">Sharon Rael </t>
  </si>
  <si>
    <t xml:space="preserve">Logbook Nakuru </t>
  </si>
  <si>
    <t xml:space="preserve">Queen wanjiru </t>
  </si>
  <si>
    <t xml:space="preserve">John ekitela </t>
  </si>
  <si>
    <t xml:space="preserve">David kuria </t>
  </si>
  <si>
    <t xml:space="preserve">John kibet </t>
  </si>
  <si>
    <t xml:space="preserve">unit at yard sourcing for buyer </t>
  </si>
  <si>
    <t xml:space="preserve">Godfrey Wachira </t>
  </si>
  <si>
    <t xml:space="preserve">Queen Wanjiru </t>
  </si>
  <si>
    <t xml:space="preserve">to be cleared by cob tomorrow </t>
  </si>
  <si>
    <t xml:space="preserve">unit to be redeemed by wednesday </t>
  </si>
  <si>
    <t>account restructured</t>
  </si>
  <si>
    <t>L39287</t>
  </si>
  <si>
    <t>L31407</t>
  </si>
  <si>
    <t>ANDREW KIMANI MWANGI</t>
  </si>
  <si>
    <t>STANLEY KIPNGETICH KIRUI</t>
  </si>
  <si>
    <t>L35868</t>
  </si>
  <si>
    <t>EMMANUEL NGETO TOROITICH</t>
  </si>
  <si>
    <t>L39291</t>
  </si>
  <si>
    <t xml:space="preserve">to clear before noon tomorrow </t>
  </si>
  <si>
    <t>L32537</t>
  </si>
  <si>
    <t>KIPRONO WILSON KIGET</t>
  </si>
  <si>
    <t xml:space="preserve">to be cleared by cob </t>
  </si>
  <si>
    <t>demand issue 27.7.2024 expires 14.8.2024</t>
  </si>
  <si>
    <t>to be cleared by cob tommorrow</t>
  </si>
  <si>
    <t>to sell unit by thursday morning</t>
  </si>
  <si>
    <t>L29974</t>
  </si>
  <si>
    <t xml:space="preserve"> GODFREY WACHIRA</t>
  </si>
  <si>
    <t>NANGABO MUHONJA</t>
  </si>
  <si>
    <t>demand issued 13.8.2024expires20.8.2024</t>
  </si>
  <si>
    <t>to be cleared by cob.</t>
  </si>
  <si>
    <t>to clear insurance balance tomorrow noon</t>
  </si>
  <si>
    <t xml:space="preserve">to clear by cob tomorrow </t>
  </si>
  <si>
    <t xml:space="preserve">to clear before cob today </t>
  </si>
  <si>
    <t xml:space="preserve"> WELLINGTON IDENYO MUDOGO</t>
  </si>
  <si>
    <t xml:space="preserve"> ANDREW KIMANI MWANGI</t>
  </si>
  <si>
    <t>TO CLEAR INSURANCE OVERNIGHT</t>
  </si>
  <si>
    <t>WEEKND LOAN</t>
  </si>
  <si>
    <t>PAID PARTIALLY TO CLEAR BALANCE OVERNIGHT</t>
  </si>
  <si>
    <t>DEMAND ISSUED 13.8.2024 EXPIRES 27.8.2024</t>
  </si>
  <si>
    <t>STEPEHEN LUTTA</t>
  </si>
  <si>
    <t>DUE TODAY TO CLEAR BEFORE COB</t>
  </si>
  <si>
    <t>L36918</t>
  </si>
  <si>
    <t>SAMMY MACHARIA</t>
  </si>
  <si>
    <t xml:space="preserve">to clear before cob tomorrow </t>
  </si>
  <si>
    <t>to clear before cob</t>
  </si>
  <si>
    <t>WEEKEND</t>
  </si>
  <si>
    <t xml:space="preserve">to clear before cob </t>
  </si>
  <si>
    <t>STPHEN LUTTA</t>
  </si>
  <si>
    <t>L39461</t>
  </si>
  <si>
    <t>DANIEL KALYA</t>
  </si>
  <si>
    <t>demand issued13.8.2024 expires 20.8.12024</t>
  </si>
  <si>
    <t>t clear today cob</t>
  </si>
  <si>
    <t>STEPHEN LUTTA</t>
  </si>
  <si>
    <t>to clear tommorow</t>
  </si>
  <si>
    <t>to clear today</t>
  </si>
  <si>
    <t>DEMAND ISSUED 19.8.2024 EXPIRES 3.9.2024</t>
  </si>
  <si>
    <t>TO CLEAT BY COB TOMMORROW</t>
  </si>
  <si>
    <t>L38620</t>
  </si>
  <si>
    <t>MARY MAGDALENE</t>
  </si>
  <si>
    <t>TO CLEAR BY COB</t>
  </si>
  <si>
    <t>L29612</t>
  </si>
  <si>
    <t>MARY MAKORI</t>
  </si>
  <si>
    <t>QUEEN WANJIU</t>
  </si>
  <si>
    <t>to clear by tomorrow noon</t>
  </si>
  <si>
    <t xml:space="preserve">WILSON KIGET </t>
  </si>
  <si>
    <t xml:space="preserve">to clear tomorrow morning </t>
  </si>
  <si>
    <t xml:space="preserve">to clear by cob today </t>
  </si>
  <si>
    <t>L32490</t>
  </si>
  <si>
    <t xml:space="preserve">MOSES KABERGAY </t>
  </si>
  <si>
    <t>to clear by cob</t>
  </si>
  <si>
    <t>L30628</t>
  </si>
  <si>
    <t>DIKSON KIBET</t>
  </si>
  <si>
    <t xml:space="preserve">to clear by cob </t>
  </si>
  <si>
    <t xml:space="preserve">to clear cob tomorrow </t>
  </si>
  <si>
    <t xml:space="preserve">paid partially clear balance tomorrow </t>
  </si>
  <si>
    <t>DICKSON KIBET</t>
  </si>
  <si>
    <t>demand issued 13.8.2024 expires 27.8.2024</t>
  </si>
  <si>
    <t>demand  issued  21.8.2024 expires 7.9.2024</t>
  </si>
  <si>
    <t>demand issued 22.8.2024 expires 6.9.2024</t>
  </si>
  <si>
    <t>L39789</t>
  </si>
  <si>
    <t>L32758</t>
  </si>
  <si>
    <t>LEORNAD KANDIE</t>
  </si>
  <si>
    <t>demand issued 13.8.2024expires 2.8.2025</t>
  </si>
  <si>
    <t>L39628</t>
  </si>
  <si>
    <t>to clear balance by cob</t>
  </si>
  <si>
    <t>LOGOOK</t>
  </si>
  <si>
    <t>to pay tracking charges by cob</t>
  </si>
  <si>
    <t>L39770</t>
  </si>
  <si>
    <t>EDWARD MOMBO</t>
  </si>
  <si>
    <t xml:space="preserve">to issue demand tomorrow </t>
  </si>
  <si>
    <t xml:space="preserve">clear cob tomorrow </t>
  </si>
  <si>
    <t>demand issued 13.8.2024expires 2.9.2024</t>
  </si>
  <si>
    <t>demand issued 28.8.2024expires 12.9.2024</t>
  </si>
  <si>
    <t>tracking charges paid balance to request reversal</t>
  </si>
  <si>
    <t>paid partially to clear balance by cin</t>
  </si>
  <si>
    <t>emand issued 28.8.2024expires 12.9.2024</t>
  </si>
  <si>
    <t>L30638</t>
  </si>
  <si>
    <t>demand issued 13.8.2024expires 2.8.2024</t>
  </si>
  <si>
    <t>l32537</t>
  </si>
  <si>
    <t xml:space="preserve">ASSET </t>
  </si>
  <si>
    <t>L39800</t>
  </si>
  <si>
    <t>JOHN NDUNGU</t>
  </si>
  <si>
    <t>WILLSON KIGET</t>
  </si>
  <si>
    <t>l37235</t>
  </si>
  <si>
    <t>LOGBBOK</t>
  </si>
  <si>
    <t>l38165</t>
  </si>
  <si>
    <t xml:space="preserve">LOGBOOK </t>
  </si>
  <si>
    <t>demand issued 27.8.2024expires11.9.3024</t>
  </si>
  <si>
    <t>demand issued 2.9.2024expires16.9.2024</t>
  </si>
  <si>
    <t>L29391</t>
  </si>
  <si>
    <t>EVANS YEGO</t>
  </si>
  <si>
    <t xml:space="preserve">to clear overnight </t>
  </si>
  <si>
    <t>MAGDALENE</t>
  </si>
  <si>
    <t xml:space="preserve">to clear by wednesday </t>
  </si>
  <si>
    <t>WELLINGTON IDONYO</t>
  </si>
  <si>
    <t>L39838</t>
  </si>
  <si>
    <t>demand issued 2.9.2024 expires 9.9.2024</t>
  </si>
  <si>
    <t>L27473</t>
  </si>
  <si>
    <t>MARY OJALA</t>
  </si>
  <si>
    <t>Sylus ogallo</t>
  </si>
  <si>
    <t>PTP 23/7/24 PROCLAMATION</t>
  </si>
  <si>
    <t>L21422</t>
  </si>
  <si>
    <t>shemila yusuf khamisi</t>
  </si>
  <si>
    <t>PTP 23/7/24</t>
  </si>
  <si>
    <t>L35264</t>
  </si>
  <si>
    <t>Justus onyango oluoch</t>
  </si>
  <si>
    <t>DEMAND RUNNING</t>
  </si>
  <si>
    <t>L27548</t>
  </si>
  <si>
    <t>JOASH OMANGA OIRERE</t>
  </si>
  <si>
    <t>MARY OJALLA</t>
  </si>
  <si>
    <t>sylus ogallo</t>
  </si>
  <si>
    <t>TO PAY BEFORE COB</t>
  </si>
  <si>
    <t>SHEMILA YUSUF KHAMISI</t>
  </si>
  <si>
    <t>PTP BEFORE COB</t>
  </si>
  <si>
    <t>JUSTUS OLUOCH</t>
  </si>
  <si>
    <t>PTP DEMAND RUNNING</t>
  </si>
  <si>
    <t>L28905</t>
  </si>
  <si>
    <t>MOUVINE NYARUMBO</t>
  </si>
  <si>
    <t>PTP DEFICIT BY 25/7/24</t>
  </si>
  <si>
    <t>L37107</t>
  </si>
  <si>
    <t>ROCHI OKOTH OSII</t>
  </si>
  <si>
    <t>PROCLAMATION ISSUED</t>
  </si>
  <si>
    <t>L33942</t>
  </si>
  <si>
    <t>SAMUEL NYAMUNDA MAKONGO</t>
  </si>
  <si>
    <t>TO CLEAR ARREARS BY26/7/24</t>
  </si>
  <si>
    <t>MOUVINE NYARUMBA</t>
  </si>
  <si>
    <t>PTP PAY BY 25/7/24</t>
  </si>
  <si>
    <t>Shemila Yusuf Khamisi</t>
  </si>
  <si>
    <t>L33362</t>
  </si>
  <si>
    <t>MARY OJALLA OJALLA</t>
  </si>
  <si>
    <t>to pay 26/7/24</t>
  </si>
  <si>
    <t>PTP arrears by 27/7/24</t>
  </si>
  <si>
    <t>PTP arrears by 29/7/24</t>
  </si>
  <si>
    <t>L38096</t>
  </si>
  <si>
    <t>JACOB OTIENO MBOYA</t>
  </si>
  <si>
    <t>L38036</t>
  </si>
  <si>
    <t>topay by 30/7/24</t>
  </si>
  <si>
    <t>ptp by 1/8/24 demand running</t>
  </si>
  <si>
    <t>L38936</t>
  </si>
  <si>
    <t>ALFRED OJUKA OJUKA</t>
  </si>
  <si>
    <t>WEEEKEND</t>
  </si>
  <si>
    <t>Unit at the yard pendind disposal</t>
  </si>
  <si>
    <t>MOUVINE OCHIENG NYARUMBA</t>
  </si>
  <si>
    <t>L2773</t>
  </si>
  <si>
    <t>ROCHI OKOTH OSSI</t>
  </si>
  <si>
    <t>To pay before COB</t>
  </si>
  <si>
    <t>Partially paid demand running</t>
  </si>
  <si>
    <t>PTPthe deficite before COB</t>
  </si>
  <si>
    <t xml:space="preserve">MARY OJALLA </t>
  </si>
  <si>
    <t>ptp by 2/8/24</t>
  </si>
  <si>
    <t>MOUVINE OCHIENG</t>
  </si>
  <si>
    <t>L36893</t>
  </si>
  <si>
    <t>MICHAEL O. OORO</t>
  </si>
  <si>
    <t>unit at the yard to confirm payment tomorrow</t>
  </si>
  <si>
    <t>To confirm payment before COB</t>
  </si>
  <si>
    <t>ptp the whole arears by 5/8/24</t>
  </si>
  <si>
    <t>to confim payment by today</t>
  </si>
  <si>
    <t xml:space="preserve">LOGBOOK  </t>
  </si>
  <si>
    <t>sylus Ogallo</t>
  </si>
  <si>
    <t xml:space="preserve">L35264 </t>
  </si>
  <si>
    <t>to confirm payment</t>
  </si>
  <si>
    <t>L36876</t>
  </si>
  <si>
    <t>Car at the yard client requested for settlement statament.</t>
  </si>
  <si>
    <t>JUSTUS ONYANGO OLUOCH</t>
  </si>
  <si>
    <t>Unit at the yard soucing for a buyer</t>
  </si>
  <si>
    <t>L27481</t>
  </si>
  <si>
    <t>SAMWEL NYAMUNDA MAKONGO</t>
  </si>
  <si>
    <t>SAMWEL NYAMUNDA</t>
  </si>
  <si>
    <t>client paid unit at the yard promised to redeem the unit</t>
  </si>
  <si>
    <t>L36285</t>
  </si>
  <si>
    <t>JAMES NJUGUNA KARUGA</t>
  </si>
  <si>
    <t>to confirm payment by COB</t>
  </si>
  <si>
    <t>L37134</t>
  </si>
  <si>
    <t>Client to pay by12/8/24</t>
  </si>
  <si>
    <t>L29847</t>
  </si>
  <si>
    <t>OTIENO RICHARD WASONGO</t>
  </si>
  <si>
    <t>ROCHI OSII</t>
  </si>
  <si>
    <t>Follow up on payment by COB</t>
  </si>
  <si>
    <t>JUSTUS OLUOCH ONYANGO</t>
  </si>
  <si>
    <t>Banked cheque</t>
  </si>
  <si>
    <t>L36943</t>
  </si>
  <si>
    <t>ROBERT NYAMOGO</t>
  </si>
  <si>
    <t>fully paid no arrears</t>
  </si>
  <si>
    <t>Awaiting mpesa payment by COB</t>
  </si>
  <si>
    <t>Unit at the yard</t>
  </si>
  <si>
    <t>car at the yard but still follwing for payments to redeem the unit</t>
  </si>
  <si>
    <t>A waiting mpesa payment by COB</t>
  </si>
  <si>
    <t>Demand running still engaging client to make payment.</t>
  </si>
  <si>
    <t>SAMUEL NYAMUNDA</t>
  </si>
  <si>
    <t>Car at the yard /advertised still waiting for the client to clear the arrears</t>
  </si>
  <si>
    <t>partialy paid to clear arrears by COB</t>
  </si>
  <si>
    <t>Car at the yard /advertised still waiting for the client to clear the arrears to redeem the unit</t>
  </si>
  <si>
    <t>CLIENT REQUESTED FOR EARLY SETTLEMENT STATEMENT TO CLEAR THE ACCOUNT.</t>
  </si>
  <si>
    <t>CLIENT PROMISED TO PAY BY 19/8/24</t>
  </si>
  <si>
    <t>L39424</t>
  </si>
  <si>
    <t>ROSE OWALLA</t>
  </si>
  <si>
    <t>L33831</t>
  </si>
  <si>
    <t>MUTWIRI JESSEKABUTHA</t>
  </si>
  <si>
    <t>L27474</t>
  </si>
  <si>
    <t>CLIENT PROMISES TO PAY THIS AFTERNOON</t>
  </si>
  <si>
    <t>CLIENT REQUESTED FOR AUDITED EARLY SETTLEMENT TO CLEAR HIS LOAN</t>
  </si>
  <si>
    <t>UNIT AT THE YARD ADVERTISED FOR SALE.</t>
  </si>
  <si>
    <t>unit at Yard Sourcing for buyer</t>
  </si>
  <si>
    <t>To clear Arrears overnght</t>
  </si>
  <si>
    <t>Promised to clear by friday.</t>
  </si>
  <si>
    <t>Client promised to pay issued demand</t>
  </si>
  <si>
    <t>MOUVINE  NYARUMBA</t>
  </si>
  <si>
    <t>partialy paid promised to clear his arrears by 21/8/24</t>
  </si>
  <si>
    <t>LOGBGOOK</t>
  </si>
  <si>
    <t>Client promises to pay by 23/8/24 demand notice running</t>
  </si>
  <si>
    <t>JUSTUS ONYANGO  OLUOCH</t>
  </si>
  <si>
    <t>following for payment demand notice running</t>
  </si>
  <si>
    <t>Car at yard,Sourcing for buyer</t>
  </si>
  <si>
    <t>to clear his arrears by 22/8/24</t>
  </si>
  <si>
    <t>JACOB OTIENO MBYA</t>
  </si>
  <si>
    <t>to confirm payment by today.</t>
  </si>
  <si>
    <t>Communicated to the client pushing for payment</t>
  </si>
  <si>
    <t>Demand running ussued on 20/8/24 still pushing for payment</t>
  </si>
  <si>
    <t>Unit at the yard pushing for payment to redeem the car.</t>
  </si>
  <si>
    <t>Partially paid demand expired still pushing client for payment.</t>
  </si>
  <si>
    <t xml:space="preserve">Demand running pushing for payment </t>
  </si>
  <si>
    <t>Communicated  with the client pushing for payment</t>
  </si>
  <si>
    <t>IFP</t>
  </si>
  <si>
    <t>demand expired pushing for payment to clear the arrears.</t>
  </si>
  <si>
    <t>Car at the yard pushing client for payment</t>
  </si>
  <si>
    <t xml:space="preserve">JUSTUS OLUOCH ONYANGO </t>
  </si>
  <si>
    <t>demand notice running pushing for payment</t>
  </si>
  <si>
    <t>L39678</t>
  </si>
  <si>
    <t>ptp by 26/8/24</t>
  </si>
  <si>
    <t>To clear his arrears by 26/8/34</t>
  </si>
  <si>
    <t>Demand notice running pushing for payment</t>
  </si>
  <si>
    <t>PARTIALLY PAID DEMAND RUNNING STILL PUSHING FOR PAYMENT</t>
  </si>
  <si>
    <t>ALFRED OJUKA</t>
  </si>
  <si>
    <t>TO PAY BY 27/8/24</t>
  </si>
  <si>
    <t>TO ISSUE REPOSETION ORDER DEMAND EXPIRED</t>
  </si>
  <si>
    <t>DEMAND  NOTICE RUNNING PUSHING CLIENT TO PAY</t>
  </si>
  <si>
    <t>PARTIALY PAID 21500 ON 25/8/24 BUT STILL ENGAGING CLIENT TO CLEAR THE ARREARS.</t>
  </si>
  <si>
    <t>CLEARED ARREARS</t>
  </si>
  <si>
    <t>TO PAY BY TODAY 27/8/24</t>
  </si>
  <si>
    <t>DEMAND EXPIRED ISSUED REPOSSETION ORDER</t>
  </si>
  <si>
    <t>JACOB OTIENO  MBOYA</t>
  </si>
  <si>
    <t>CLIENT TO PAY  BY 28/8/24</t>
  </si>
  <si>
    <t>L39638</t>
  </si>
  <si>
    <t>ARREARS FULLY PAID</t>
  </si>
  <si>
    <t>PARTIALY PAID BUT STILL PUSHING FOR PAYMENT</t>
  </si>
  <si>
    <t>RUNNING DEMAND STILL PUSHING FOR PAYMENT</t>
  </si>
  <si>
    <t xml:space="preserve">MICHAEL OORO </t>
  </si>
  <si>
    <t>unit advertised sourcing for a buyer  but still pushing for payment</t>
  </si>
  <si>
    <t>demand issued on 20/8/2024 still pushing for payment.</t>
  </si>
  <si>
    <t>issued repossetion order but still pushing for payment.</t>
  </si>
  <si>
    <t>L39845</t>
  </si>
  <si>
    <t xml:space="preserve">W/L </t>
  </si>
  <si>
    <t>PAID NO ARREARS</t>
  </si>
  <si>
    <t>DEMAND RUNNING BUT STILL PUSHING FOR PAYMENT.</t>
  </si>
  <si>
    <t>Running demand but still pushing for payment</t>
  </si>
  <si>
    <t>PTP before COB</t>
  </si>
  <si>
    <t>Car at yard advetised but still pushing for payment  to redeem the unit.</t>
  </si>
  <si>
    <t>PTP before COB .</t>
  </si>
  <si>
    <t xml:space="preserve">Partially paid demand notice running </t>
  </si>
  <si>
    <t>Car at the yard advertised for sale.</t>
  </si>
  <si>
    <t>L38105</t>
  </si>
  <si>
    <t>NTHAMBI KILAIKU</t>
  </si>
  <si>
    <t>Abednego kilonzo</t>
  </si>
  <si>
    <t>14day demand running client is paying tomorrow 23rd july 2024</t>
  </si>
  <si>
    <t>L34074</t>
  </si>
  <si>
    <t>MARTIN MALONZA</t>
  </si>
  <si>
    <t xml:space="preserve">partially paid unit at yard </t>
  </si>
  <si>
    <t xml:space="preserve">14 day demand running </t>
  </si>
  <si>
    <t>ASSET FINANCING</t>
  </si>
  <si>
    <t xml:space="preserve">unit at yard </t>
  </si>
  <si>
    <t xml:space="preserve">demand running waiting for buy off </t>
  </si>
  <si>
    <t>demand running waiting for payment from momentum credit</t>
  </si>
  <si>
    <t>l34074</t>
  </si>
  <si>
    <t xml:space="preserve">ASSET FINANCING </t>
  </si>
  <si>
    <t xml:space="preserve">unit at yard client reedeming before the end of the day tomorrow </t>
  </si>
  <si>
    <t>Abednego Kilonzo</t>
  </si>
  <si>
    <t>L37946</t>
  </si>
  <si>
    <t>BENSON KYANIA</t>
  </si>
  <si>
    <t xml:space="preserve">Partially paidfully </t>
  </si>
  <si>
    <t>L37950</t>
  </si>
  <si>
    <t xml:space="preserve">partially paid client clearing the balance today </t>
  </si>
  <si>
    <t>unit in yard client redeeming the unit before end of month</t>
  </si>
  <si>
    <t>L38501</t>
  </si>
  <si>
    <t xml:space="preserve">REPOSSESSION </t>
  </si>
  <si>
    <t>L36473</t>
  </si>
  <si>
    <t>KYANIA NYAMAI NYAMAI</t>
  </si>
  <si>
    <t>ptp 05.08.2024 monday</t>
  </si>
  <si>
    <t>KYANIA NYAMAI</t>
  </si>
  <si>
    <t>0805/2024</t>
  </si>
  <si>
    <t xml:space="preserve">UNIT SELFBOOKED AT YARD </t>
  </si>
  <si>
    <t>L37363</t>
  </si>
  <si>
    <t>SAMMY MUTUVA</t>
  </si>
  <si>
    <t>Unit at yard client promised to redeem by end of the month</t>
  </si>
  <si>
    <t>calls and follow up ongoing</t>
  </si>
  <si>
    <t>L33814</t>
  </si>
  <si>
    <t>MERCY IBURU</t>
  </si>
  <si>
    <t>l37394</t>
  </si>
  <si>
    <t>l37946</t>
  </si>
  <si>
    <t xml:space="preserve">Unit at yard client had promised to redeem the unit today </t>
  </si>
  <si>
    <t>unit at yard client is depositing 120k before close of business</t>
  </si>
  <si>
    <t>L35182</t>
  </si>
  <si>
    <t>MARCY NASIMIYU</t>
  </si>
  <si>
    <t>L37632</t>
  </si>
  <si>
    <t>GEOFFREY MAUNDU IVUTHA</t>
  </si>
  <si>
    <t xml:space="preserve">client is depositing the money today </t>
  </si>
  <si>
    <t>GEOFFREY IVUTHA</t>
  </si>
  <si>
    <t>L378105</t>
  </si>
  <si>
    <t xml:space="preserve">paying the balance tomorrow to redeem the unit from yard </t>
  </si>
  <si>
    <t xml:space="preserve">ASSET FINANCE </t>
  </si>
  <si>
    <t>ptp on 30th .08.2024</t>
  </si>
  <si>
    <t>promised to pay to redeem the unit , the unit has been forwarded for advertisement to sell</t>
  </si>
  <si>
    <t>promised to pay on 30.08.2024</t>
  </si>
  <si>
    <t>client is paying the balance to redeem the unit from yard</t>
  </si>
  <si>
    <t xml:space="preserve">unit advertised we are selling </t>
  </si>
  <si>
    <t>client is paying overnight</t>
  </si>
  <si>
    <t>Client paying overnight</t>
  </si>
  <si>
    <t xml:space="preserve">waiting for the valuation to dispose the unit </t>
  </si>
  <si>
    <t>paying overnight</t>
  </si>
  <si>
    <t xml:space="preserve">clearing balance by end of the day </t>
  </si>
  <si>
    <t xml:space="preserve">promised to clear today </t>
  </si>
  <si>
    <t>L30827</t>
  </si>
  <si>
    <t>Robert Kiptanui Kitur</t>
  </si>
  <si>
    <t>L32168</t>
  </si>
  <si>
    <t>RUTH KITHIA KILUVA</t>
  </si>
  <si>
    <t>comments</t>
  </si>
  <si>
    <t>L36143</t>
  </si>
  <si>
    <t>RAPHAEL ELVIS</t>
  </si>
  <si>
    <t>FELISTUS MUTHEU</t>
  </si>
  <si>
    <t>account has an active demmand running, calls and follow up ongoing</t>
  </si>
  <si>
    <t>L30668</t>
  </si>
  <si>
    <t>DELINA ALAKU</t>
  </si>
  <si>
    <t>L35323</t>
  </si>
  <si>
    <t>ELISHA MWAKAZI</t>
  </si>
  <si>
    <t>LILIAN MWAVULA</t>
  </si>
  <si>
    <t>L31902</t>
  </si>
  <si>
    <t>GETRUDE WAWUDA</t>
  </si>
  <si>
    <t>expecting payment by end of business closure friday of 2/8/2024</t>
  </si>
  <si>
    <t>L37517</t>
  </si>
  <si>
    <t>JOSIAH OKARI</t>
  </si>
  <si>
    <t>DIANA MWAKIO</t>
  </si>
  <si>
    <t>L35403</t>
  </si>
  <si>
    <t>JENIPHER MAWONDO</t>
  </si>
  <si>
    <t>expecting payment by end of business closure tomorrow 1/8/2024</t>
  </si>
  <si>
    <t>L38647</t>
  </si>
  <si>
    <t>JOHN MUNYAO</t>
  </si>
  <si>
    <t>account has an active demand running, calls and follow up on going</t>
  </si>
  <si>
    <t>L33998</t>
  </si>
  <si>
    <t>MESHACK PONGAH</t>
  </si>
  <si>
    <t>L37110</t>
  </si>
  <si>
    <t>MWANAINDI VARIRWE</t>
  </si>
  <si>
    <t>L35859</t>
  </si>
  <si>
    <t>WILFRED MWAZEMBA MWAZUNA</t>
  </si>
  <si>
    <t>L35123</t>
  </si>
  <si>
    <t>ELNATHAN MASAKA SHUGHULA</t>
  </si>
  <si>
    <t>L28443</t>
  </si>
  <si>
    <t>GEORGE NYAKUNDI MANYARA</t>
  </si>
  <si>
    <t>L31582</t>
  </si>
  <si>
    <t>PATRICK MUTINDA</t>
  </si>
  <si>
    <t>FAITH MUENI</t>
  </si>
  <si>
    <t>L38534</t>
  </si>
  <si>
    <t>TITUS JUMA</t>
  </si>
  <si>
    <t>PHILIP MWABILI</t>
  </si>
  <si>
    <t>L38631</t>
  </si>
  <si>
    <t>expecting payment by end of business closure 1/8/2024</t>
  </si>
  <si>
    <t>Client has requested to clear the balance by closure of business of 3/8/2024</t>
  </si>
  <si>
    <t>L31751</t>
  </si>
  <si>
    <t>EDWIN MWAMBURI MWADIME</t>
  </si>
  <si>
    <t>client to pay by closure of business today 2/8/2024</t>
  </si>
  <si>
    <t>Client has requested to clear the balance by closure of business today</t>
  </si>
  <si>
    <t>client has requested for extension until 6/08/2024</t>
  </si>
  <si>
    <t>demand letter to be served on 5/8/2024</t>
  </si>
  <si>
    <t>demand letter served today 5/08/2024</t>
  </si>
  <si>
    <t>L31237</t>
  </si>
  <si>
    <t>JASON TUJA</t>
  </si>
  <si>
    <t>client has requested for extension until 7/08/2024 to clear the arrears</t>
  </si>
  <si>
    <t>account has an active demand running, calls and follow up ongoing</t>
  </si>
  <si>
    <t>client to pay overnight</t>
  </si>
  <si>
    <t>client requested for extension until 8/8/2024</t>
  </si>
  <si>
    <t xml:space="preserve">FELISTUS MUTHEU </t>
  </si>
  <si>
    <t>To clear on 9/8/2024</t>
  </si>
  <si>
    <t>client to clear over night</t>
  </si>
  <si>
    <t>account has a demand running, calls and follow up ongoing.</t>
  </si>
  <si>
    <t>repossesion on process</t>
  </si>
  <si>
    <t>account has a demand running, calls and follow up ongoing</t>
  </si>
  <si>
    <t>L39112</t>
  </si>
  <si>
    <t>PATRICIA MWASHIGHADI</t>
  </si>
  <si>
    <t>L39218</t>
  </si>
  <si>
    <t>CHARLES NZIOKA NDAMBUKI</t>
  </si>
  <si>
    <t>client requested to clear on tuesday of 13/08/2024</t>
  </si>
  <si>
    <t>repossesion on proccess</t>
  </si>
  <si>
    <t>account has a demand running, calls and follow up ongong</t>
  </si>
  <si>
    <t>client requested to clear on 13/8/2024</t>
  </si>
  <si>
    <t>repossesion process ongoing</t>
  </si>
  <si>
    <t>promised to clear the arrears by tomorrow 15/08/2024</t>
  </si>
  <si>
    <t>L35085</t>
  </si>
  <si>
    <t>ABDI MWANYAI</t>
  </si>
  <si>
    <t>client engaged and promised to pay either by closure of business today or overninght</t>
  </si>
  <si>
    <t>ELVIS OMUKADIO</t>
  </si>
  <si>
    <t>L37236</t>
  </si>
  <si>
    <t>BEATRICE MANGA</t>
  </si>
  <si>
    <t>JOSIAH MOSE</t>
  </si>
  <si>
    <t>L37611</t>
  </si>
  <si>
    <t>JUDAH KILONZO</t>
  </si>
  <si>
    <t>client to pay by the end of business closure</t>
  </si>
  <si>
    <t>Requested extension to pay by 17/08/2024</t>
  </si>
  <si>
    <t>client to be served with demand letter</t>
  </si>
  <si>
    <t>client requested extension to pay on 19/08/2024</t>
  </si>
  <si>
    <t>client requested extension to pay on or before 20/08/2024</t>
  </si>
  <si>
    <t>JENIPHER MAWONDO NGIMA</t>
  </si>
  <si>
    <t>served demand letter for the client</t>
  </si>
  <si>
    <t>client requested for extension to pay 19/08/2024</t>
  </si>
  <si>
    <t>account has a demand running calls and follow up ongoing</t>
  </si>
  <si>
    <t>client has been served with proclamation of seven (7) days</t>
  </si>
  <si>
    <t>The client has promised to deposit some amount before the closure of business, also the demand still running</t>
  </si>
  <si>
    <t>client has been served with proclamation letter of seven (7) days</t>
  </si>
  <si>
    <t>REPOSSESION ON PROCESS</t>
  </si>
  <si>
    <t>demand letter running, client enganged follow up ongoing</t>
  </si>
  <si>
    <t>demand letter running, client engaged and promised to pay befor the demand elapses.</t>
  </si>
  <si>
    <t>client engaged and promised to clear the arrears before the closure of business on 24/08</t>
  </si>
  <si>
    <t>client engaged and promised to clear the arrears before the closure of business on 23/08</t>
  </si>
  <si>
    <t>client served with a proclamation, engaged and promised to pay the balance before the closure of business on 24/08</t>
  </si>
  <si>
    <t>client engaged and requested  extension  to clear the arrears on or before 28/8/2024</t>
  </si>
  <si>
    <t>demand  letter running, client engaged and promised to pay by the closure of business today</t>
  </si>
  <si>
    <t>Not paid</t>
  </si>
  <si>
    <t>Repossesion on progress</t>
  </si>
  <si>
    <t>L39711</t>
  </si>
  <si>
    <t>KENNEDY WEKESA WAMALWA</t>
  </si>
  <si>
    <t>TITUS MUTORO</t>
  </si>
  <si>
    <t>client engaged and promised to clear the arrears before the closure of business</t>
  </si>
  <si>
    <t>client engaged and promised to clear the arrears before the demand elapses</t>
  </si>
  <si>
    <t>demand running</t>
  </si>
  <si>
    <t xml:space="preserve">client served with proclamation </t>
  </si>
  <si>
    <t>MV repossed</t>
  </si>
  <si>
    <t>client engaged and promised to clear the arrears before the closure of the business</t>
  </si>
  <si>
    <t>L32120</t>
  </si>
  <si>
    <t>08/29/2024/</t>
  </si>
  <si>
    <t>L32130</t>
  </si>
  <si>
    <t>L37179</t>
  </si>
  <si>
    <t>PAUL MUTHUSI</t>
  </si>
  <si>
    <t>TITTLE DEED</t>
  </si>
  <si>
    <t>GLADYS MUTIO</t>
  </si>
  <si>
    <t>IN ARREAS</t>
  </si>
  <si>
    <t>L37171</t>
  </si>
  <si>
    <t>MICHAEL MWASA KILONZO</t>
  </si>
  <si>
    <t>REDEMPTA MUTUNGA</t>
  </si>
  <si>
    <t>Promised to pay</t>
  </si>
  <si>
    <t>TITILE DEED</t>
  </si>
  <si>
    <t>demand issued today 29/7/2024 but still engaging the client to pay today</t>
  </si>
  <si>
    <t>L38875</t>
  </si>
  <si>
    <t>ALICE KAVESU</t>
  </si>
  <si>
    <t>demand letter issued on 29/7/2024 still engaging the client to pay</t>
  </si>
  <si>
    <t>TILLLE DEED</t>
  </si>
  <si>
    <t>Demand letter issued on 29/7/2024 but agreed to pay tommorow</t>
  </si>
  <si>
    <t>customer serving a demand letter,still engaging the client to pay</t>
  </si>
  <si>
    <t>customer promised to pay 4/8/2024</t>
  </si>
  <si>
    <t>customer serving a demand notice,still engaging the client to pay</t>
  </si>
  <si>
    <t>customer has not honoured his payment due 2/8/2024 will keep on following up to ensure this is paid.if its not paid will issue demand as per the matrix.</t>
  </si>
  <si>
    <t>customer is serving a demand notice,will visit the client tomorrow to demand for the payment</t>
  </si>
  <si>
    <t>customer had promised to pay on  saturday but did not pay,issued a demand letter today and i will visit him tomorrow to collect the arrears.</t>
  </si>
  <si>
    <t>customer is serving a demand notice,the client has commited to pay today,will follow up on payments tomorrow on his business premise.</t>
  </si>
  <si>
    <t>the customer had promised to pay today,he has not been honoring the promise,he is serving a demand letter for 3 days,i will visit the client tomorrow to collect the arrears,</t>
  </si>
  <si>
    <t>visited the client on his business premises,promised to pay tomorrow.</t>
  </si>
  <si>
    <t>visited the client on his home premises,promised to pay on friday.</t>
  </si>
  <si>
    <t>the client still postponed the the ptp,i will followup today to ensure the payments are paid</t>
  </si>
  <si>
    <t>client promised to visit the office today to make the payments</t>
  </si>
  <si>
    <t>L37192</t>
  </si>
  <si>
    <t>BONFACE MULWA</t>
  </si>
  <si>
    <t>ROSELLIAH MUTHUI</t>
  </si>
  <si>
    <t>CLIENT PAID</t>
  </si>
  <si>
    <t>Client has paid some and has promised to pay next week.</t>
  </si>
  <si>
    <t>Client is not picking calls but will keep on following up</t>
  </si>
  <si>
    <t>Client to clear all the dues on Thursday</t>
  </si>
  <si>
    <t>Not picking calls</t>
  </si>
  <si>
    <t>L38541</t>
  </si>
  <si>
    <t>FRANCIS MUSEMBI MWANZIA</t>
  </si>
  <si>
    <t>ROSELLIAH</t>
  </si>
  <si>
    <t>client paid fully</t>
  </si>
  <si>
    <t>L38834</t>
  </si>
  <si>
    <t>DANIEL KAMONDE MUINDI</t>
  </si>
  <si>
    <t>Client has promised to pay half tomorrow and clear the rest on Friday</t>
  </si>
  <si>
    <t>Client to clear all the dues on thursday</t>
  </si>
  <si>
    <t>Client not picking calls</t>
  </si>
  <si>
    <t>Client to pay by evening</t>
  </si>
  <si>
    <t>Client to pay tomorrow</t>
  </si>
  <si>
    <t>Has paid 10,000 now in the morning</t>
  </si>
  <si>
    <t>client has received a cheque of 150,000, he will clear by saturday once the cheque matures</t>
  </si>
  <si>
    <t>REDEMPTA MUENDI</t>
  </si>
  <si>
    <t>Not responsive</t>
  </si>
  <si>
    <t>Has cleared yesterday evening</t>
  </si>
  <si>
    <t>L38939</t>
  </si>
  <si>
    <t>JUSTUS KASYOKA</t>
  </si>
  <si>
    <t>ROSELIA MUTHUI</t>
  </si>
  <si>
    <t>L39494</t>
  </si>
  <si>
    <t>SAMSON KISOMO</t>
  </si>
  <si>
    <t>client to pay tomorrow</t>
  </si>
  <si>
    <t xml:space="preserve">demand letter expired forwaded documents for execution,i will visit the client tomorrow to followup on his payments </t>
  </si>
  <si>
    <t>client partially paid,demand letter already issued today,i will visit the client tomorrow morning and collect the balance of arrears</t>
  </si>
  <si>
    <t>client still not responsive,he has a demand letter expiring tomorrow 20/8/2024</t>
  </si>
  <si>
    <t>client promised to pay tomorrow</t>
  </si>
  <si>
    <t>documents forwaded for execution</t>
  </si>
  <si>
    <t>DANIEL KAMONDE</t>
  </si>
  <si>
    <t>L38648</t>
  </si>
  <si>
    <t>ANNAH NDUNGE</t>
  </si>
  <si>
    <t>partially paid ,to clear tomorrow morning</t>
  </si>
  <si>
    <t>documents forwaded to collection dept,client is not committing to pay despite severall followups.</t>
  </si>
  <si>
    <t>partially paid ,to clear the balance today</t>
  </si>
  <si>
    <t>documents forwaded to collections dept for assistance,client is not commiting to pay despite being served with demand letters.</t>
  </si>
  <si>
    <t>partially paid to clear today</t>
  </si>
  <si>
    <t>the client is not committing to pay,forwaded the file to recovery,still following the client to pay.</t>
  </si>
  <si>
    <t>partially paid,to clear today</t>
  </si>
  <si>
    <t>partially paid 50,000,demand letter issued,i will visit the customer tomorrow</t>
  </si>
  <si>
    <t>the client is not commiting to pay,the file has been forwarded to recovery for assistance but i will keep on following up the clien to pay.</t>
  </si>
  <si>
    <t>partially paying,committed to clear tommrrow</t>
  </si>
  <si>
    <t>partially paid 50,000,demand letter issued,the customer promised to pay the balance today</t>
  </si>
  <si>
    <t>the client has promised to make the payments this week,i will keep on following up for the paymentys</t>
  </si>
  <si>
    <t>the file has been forwarded to recovery,i will keep on followingup the client to pay.</t>
  </si>
  <si>
    <t>partially paid ,to followup the pending arrears to be paid tomorrow</t>
  </si>
  <si>
    <t>the file has already been forwaded to recovery,i will keep on following up the client to pay</t>
  </si>
  <si>
    <t>the customer will visit the office tomorrow and work on payments</t>
  </si>
  <si>
    <t>L39745</t>
  </si>
  <si>
    <t>JOHANA MUKULA</t>
  </si>
  <si>
    <t>partially paid,to followup on the pending arrears to be paid today</t>
  </si>
  <si>
    <t>8/27/0204</t>
  </si>
  <si>
    <t>90 day demand given to the client,still in touch with the client to make the payments</t>
  </si>
  <si>
    <t>the customer has agreed we meet today</t>
  </si>
  <si>
    <t>L37654</t>
  </si>
  <si>
    <t>JUSTUS NDETO</t>
  </si>
  <si>
    <t>partially paid,to followup on the arrears balance tomorrow</t>
  </si>
  <si>
    <t>partially paid,i will keep on following up the balance to be paid today</t>
  </si>
  <si>
    <t>90day demand still running,still following up the client to pay</t>
  </si>
  <si>
    <t>the customer has been promising we meet at the office but he did not come,i will visit him on monday</t>
  </si>
  <si>
    <t>BONIFACE MULWA MUTUKU</t>
  </si>
  <si>
    <t>KEVIN OUMA ODONGO</t>
  </si>
  <si>
    <t>SAMSON KISOMO PIUS</t>
  </si>
  <si>
    <t>GLADYS MUTUO PAUL</t>
  </si>
  <si>
    <t>PAUL NZIOKA MUTHUSI</t>
  </si>
  <si>
    <t>MICHAEL  MWASA KILONZO</t>
  </si>
  <si>
    <t>REDEMPTA MUENDI MUTUNGA</t>
  </si>
  <si>
    <t>customer has agreed to clear the balance tomorrow</t>
  </si>
  <si>
    <t>customer has been partially paying but has agreed to clear the balance tomorrow,still serving a demand notice</t>
  </si>
  <si>
    <t>the customer is serving a demand notice but am still following up on him to pay the arrears</t>
  </si>
  <si>
    <t xml:space="preserve">LOAN NUMBER </t>
  </si>
  <si>
    <t>L32386</t>
  </si>
  <si>
    <t>[003-0007786] - FRANCIS KIPRONO KIRUI</t>
  </si>
  <si>
    <t>JANE KIRIMI</t>
  </si>
  <si>
    <t>L32653</t>
  </si>
  <si>
    <t>[003-0010013] - JAMES NJOROGE KAMAU</t>
  </si>
  <si>
    <t>IRENE VAATI</t>
  </si>
  <si>
    <t>L32869</t>
  </si>
  <si>
    <t>[003-0010069] - ALEXANDER NJONDE KAHURA</t>
  </si>
  <si>
    <t>L32894</t>
  </si>
  <si>
    <t>[003-0010078] - AGNES ACHIENG DAVE</t>
  </si>
  <si>
    <t>L33723</t>
  </si>
  <si>
    <t>[003-0010328] - JONATHAN MUTISYA MUINDE</t>
  </si>
  <si>
    <t>L33975</t>
  </si>
  <si>
    <t>[003-0010420] - SIMON KARICHU IRUNGU</t>
  </si>
  <si>
    <t>L34576</t>
  </si>
  <si>
    <t>[003-0010617] - FREDRICK MUNYUI KAHIGA</t>
  </si>
  <si>
    <t>L34924</t>
  </si>
  <si>
    <t>[CCIN002134-001] - ANTHONY MACHARIA</t>
  </si>
  <si>
    <t>L35550</t>
  </si>
  <si>
    <t>[003-0008042] - DENNIS NGANDAH KIMUYU</t>
  </si>
  <si>
    <t>L36460</t>
  </si>
  <si>
    <t>[003-0009596] - PRESTONE SIMBOVO ABUNA</t>
  </si>
  <si>
    <t>L36716</t>
  </si>
  <si>
    <t>[003-0011389] - CYRUS WARUI KIMANI</t>
  </si>
  <si>
    <t>L36798</t>
  </si>
  <si>
    <t>[002-0005974] - VICTOR MURIUKI NDUNGU</t>
  </si>
  <si>
    <t>L37108</t>
  </si>
  <si>
    <t>[003-0011549] - FREDRICK MUTUA MUTUNGA</t>
  </si>
  <si>
    <t>L37519</t>
  </si>
  <si>
    <t>[003-0005719] - MAKAU KIMEU</t>
  </si>
  <si>
    <t>L28846</t>
  </si>
  <si>
    <t>[CCIN000795-003] - CURTIS MUNENE MUCHIRI</t>
  </si>
  <si>
    <t xml:space="preserve">Will issue repossession today </t>
  </si>
  <si>
    <t>L30019</t>
  </si>
  <si>
    <t>[CCIN000627-003] - JOHN MUKABURU MATHENGE</t>
  </si>
  <si>
    <t>client hospitalized</t>
  </si>
  <si>
    <t>L30997</t>
  </si>
  <si>
    <t>[003-0006400] - MUIA WAMBUA</t>
  </si>
  <si>
    <t>L34647</t>
  </si>
  <si>
    <t>[003-0010635] - KYALO EDWARD MALONZA</t>
  </si>
  <si>
    <t>L35140</t>
  </si>
  <si>
    <t>[CCIN001103-003] - SIMEON CHIRA NJIRU</t>
  </si>
  <si>
    <t>L35545</t>
  </si>
  <si>
    <t>[003-0010940] - JOSEPH MAILU MUSAU</t>
  </si>
  <si>
    <t>L37013</t>
  </si>
  <si>
    <t>[CCIN000945-003] - JAMAL HASSAN ALI</t>
  </si>
  <si>
    <t>L37772</t>
  </si>
  <si>
    <t>[003-0011757] - JUSTUS MASAKU NDETO</t>
  </si>
  <si>
    <t>L37802</t>
  </si>
  <si>
    <t>L38283</t>
  </si>
  <si>
    <t>[CCIN000636-003] - MICHAEL KIPKORIR KOSKE</t>
  </si>
  <si>
    <t>L38304</t>
  </si>
  <si>
    <t>L38517</t>
  </si>
  <si>
    <t>[003-0010181] - STANSLAUS MUNYAO MUTHINI</t>
  </si>
  <si>
    <t>CYRUS WANJOHI</t>
  </si>
  <si>
    <t>will clear on 24th</t>
  </si>
  <si>
    <t>L38723</t>
  </si>
  <si>
    <t>L29577</t>
  </si>
  <si>
    <t>Victor Kimathi Mirori</t>
  </si>
  <si>
    <t>waiting for waive request to be approved</t>
  </si>
  <si>
    <t>Fredrick Munyui Kahiga</t>
  </si>
  <si>
    <t>L28498</t>
  </si>
  <si>
    <t>Denis Nyambogo Moriasi</t>
  </si>
  <si>
    <t>L30175</t>
  </si>
  <si>
    <t>Jonah Thuo Kinuthia</t>
  </si>
  <si>
    <t>repossession running</t>
  </si>
  <si>
    <t>L36585</t>
  </si>
  <si>
    <t>Joseph Macharia Gathuku C/O Netco Limited</t>
  </si>
  <si>
    <t>paid by cheque</t>
  </si>
  <si>
    <t>Ruth Kithia Kiluva</t>
  </si>
  <si>
    <t xml:space="preserve"> FRANCIS KIPRONO KIRUI</t>
  </si>
  <si>
    <t>will clear balance on 25/7/2024</t>
  </si>
  <si>
    <t xml:space="preserve"> ALEXANDER NJONDE KAHURA</t>
  </si>
  <si>
    <t xml:space="preserve"> AGNES ACHIENG DAVE</t>
  </si>
  <si>
    <t>Following up to pay by cob</t>
  </si>
  <si>
    <t>JONATHAN MUTISYA MUINDE</t>
  </si>
  <si>
    <t xml:space="preserve"> SIMON KARICHU IRUNGU</t>
  </si>
  <si>
    <t xml:space="preserve"> ANTHONY MACHARIA</t>
  </si>
  <si>
    <t xml:space="preserve"> DENNIS NGANDAH KIMUYU</t>
  </si>
  <si>
    <t xml:space="preserve"> PRESTONE SIMBOVO ABUNA</t>
  </si>
  <si>
    <t>L30906</t>
  </si>
  <si>
    <t>SINGH SANTOSH KUMAR C/O KENTURIAN PULP</t>
  </si>
  <si>
    <t>IRENE VAATI MUSYOKA</t>
  </si>
  <si>
    <t xml:space="preserve"> VICTOR MURIUKI NDUNGU</t>
  </si>
  <si>
    <t xml:space="preserve"> FREDRICK MUTUA MUTUNGA</t>
  </si>
  <si>
    <t xml:space="preserve"> MAKAU KIMEU</t>
  </si>
  <si>
    <t xml:space="preserve"> MUIA WAMBUA</t>
  </si>
  <si>
    <t xml:space="preserve"> KYALO EDWARD MALONZA</t>
  </si>
  <si>
    <t xml:space="preserve"> JOSEPH MAILU MUSAU</t>
  </si>
  <si>
    <t>L32634</t>
  </si>
  <si>
    <t>SERAH AKINYI ADUNDO</t>
  </si>
  <si>
    <t xml:space="preserve"> MICHAEL KIPKORIR KOSKE</t>
  </si>
  <si>
    <t>JAMAL HASSAN ALI</t>
  </si>
  <si>
    <t>STANSLAUS MUNYAO MUTHINI</t>
  </si>
  <si>
    <t>FRANCIS KIPRONO KIRUI</t>
  </si>
  <si>
    <t>L30466</t>
  </si>
  <si>
    <t>PHILIP MUSEVE KUTIMA</t>
  </si>
  <si>
    <t>L31595</t>
  </si>
  <si>
    <t>ROMANO NTONG'ONDU GITILE</t>
  </si>
  <si>
    <t>L37086</t>
  </si>
  <si>
    <t>ANTHONY MUSYOKA NDAMBUKI</t>
  </si>
  <si>
    <t>Curtis Munene Muchiri</t>
  </si>
  <si>
    <t>L32098</t>
  </si>
  <si>
    <t>Daniel Munyoki Kilonzo</t>
  </si>
  <si>
    <t>L33431</t>
  </si>
  <si>
    <t>EMILY  ANNE WANGARI</t>
  </si>
  <si>
    <t>issued repossession today-sirme auctioneers</t>
  </si>
  <si>
    <t xml:space="preserve">last instalment, Demand i9ssued promsied to pay by 25th </t>
  </si>
  <si>
    <t xml:space="preserve">partailly paid, Demand issued, following up with client to make payments </t>
  </si>
  <si>
    <t xml:space="preserve">paid fully </t>
  </si>
  <si>
    <t>paid overnight 23/7/2024</t>
  </si>
  <si>
    <t>L31573</t>
  </si>
  <si>
    <t>JAMES  NDUNGU WACHERA</t>
  </si>
  <si>
    <t>Will issue new repossession on 25/7/2024</t>
  </si>
  <si>
    <t xml:space="preserve">Auctioneers tracing the unit </t>
  </si>
  <si>
    <t>Issued repossession today-moran</t>
  </si>
  <si>
    <t>will follow up on 24/7/2024</t>
  </si>
  <si>
    <t>paying by cob to redeem unit at yard</t>
  </si>
  <si>
    <t>L32095</t>
  </si>
  <si>
    <t>SALOME ANYANGO AWINO</t>
  </si>
  <si>
    <t>Irene vaati</t>
  </si>
  <si>
    <t>L34853</t>
  </si>
  <si>
    <t>FRANCIS KIPKOSGEI KOMEN</t>
  </si>
  <si>
    <t>wilson mutava</t>
  </si>
  <si>
    <t>FREDRICK MUTUA MUTUNGA</t>
  </si>
  <si>
    <t>patricia mwende</t>
  </si>
  <si>
    <t>L27066</t>
  </si>
  <si>
    <t xml:space="preserve"> FATUMA ADAN ALI</t>
  </si>
  <si>
    <t>Jane kirimi</t>
  </si>
  <si>
    <t>L36436</t>
  </si>
  <si>
    <t>JOSEPH  WAHOME GATONGA</t>
  </si>
  <si>
    <t>L31531</t>
  </si>
  <si>
    <t>STEPHEN NDEGWA WACHIRA</t>
  </si>
  <si>
    <t>L31639</t>
  </si>
  <si>
    <t>PETER WANJIMA MWANGI</t>
  </si>
  <si>
    <t>To clear on 27th</t>
  </si>
  <si>
    <t>L31821</t>
  </si>
  <si>
    <t>SIMON ODUOR OGOLA</t>
  </si>
  <si>
    <t xml:space="preserve"> DELILAH ANITA OWITI</t>
  </si>
  <si>
    <t>ALEXANDER NJONDE KAHURA</t>
  </si>
  <si>
    <t>SIMON KARICHU IRUNGU</t>
  </si>
  <si>
    <t>KYALO EDWARD MALONZA</t>
  </si>
  <si>
    <t>JOSEPH MAILU MUSAU</t>
  </si>
  <si>
    <t>JOSEPH MACHARIA GATHUKU C/O NETCO LIMITED</t>
  </si>
  <si>
    <t>To clear on 26th</t>
  </si>
  <si>
    <t>VICTOR MURIUKI NDUNGU</t>
  </si>
  <si>
    <t>jane kirimi</t>
  </si>
  <si>
    <t xml:space="preserve">paid  </t>
  </si>
  <si>
    <t>FREDRICK MUNYUI KAHIGA</t>
  </si>
  <si>
    <t>Will issue repossession today</t>
  </si>
  <si>
    <t xml:space="preserve"> SIMEON CHIRA NJIRU</t>
  </si>
  <si>
    <t xml:space="preserve"> ANTHONY MUSYOKA NDAMBUKI</t>
  </si>
  <si>
    <t>L38246</t>
  </si>
  <si>
    <t>ANTHONY MACHARIA</t>
  </si>
  <si>
    <t xml:space="preserve">recovery </t>
  </si>
  <si>
    <t>AGNES ACHIENG DAVE</t>
  </si>
  <si>
    <t>CYRUS WARUI KIMANI</t>
  </si>
  <si>
    <t>client to clear before 28th</t>
  </si>
  <si>
    <t>DANIEL MUNYOKI KILONZO</t>
  </si>
  <si>
    <t>To pay today and redeem unit at yard</t>
  </si>
  <si>
    <t>JONAH THUO KINUTHIA</t>
  </si>
  <si>
    <t>repossession runnng</t>
  </si>
  <si>
    <t>PRESTONE SIMBOVO ABUNA</t>
  </si>
  <si>
    <t>L38797</t>
  </si>
  <si>
    <t>L38822</t>
  </si>
  <si>
    <t>PATRICK KIPKEMOI TOWETT</t>
  </si>
  <si>
    <t>L31674</t>
  </si>
  <si>
    <t>L32633</t>
  </si>
  <si>
    <t>PHOEBE MWANGANGE MAINA</t>
  </si>
  <si>
    <t>paying by cob today</t>
  </si>
  <si>
    <t>L38922</t>
  </si>
  <si>
    <t xml:space="preserve">SOLOMON GITHUKA GICHURU </t>
  </si>
  <si>
    <t>L30058</t>
  </si>
  <si>
    <t>L37870</t>
  </si>
  <si>
    <t>JAPHETH MALUKI MBUVI</t>
  </si>
  <si>
    <t>L39739</t>
  </si>
  <si>
    <t>KENNEDY ODHIAMBO OLUOCH</t>
  </si>
  <si>
    <t>repossession running with moran</t>
  </si>
  <si>
    <t>Anthony Macharia</t>
  </si>
  <si>
    <t>ROBERT KIPTANUI KITUR</t>
  </si>
  <si>
    <t>L37147</t>
  </si>
  <si>
    <t>PETER KIBE MWANGI</t>
  </si>
  <si>
    <t>[003-0009712] - STEPHEN NDEGWA WACHIRA</t>
  </si>
  <si>
    <t>Irene Vaati</t>
  </si>
  <si>
    <t>7/27 2024</t>
  </si>
  <si>
    <t>[003-0009728] - ROMANO NTONG'ONDU GITILE</t>
  </si>
  <si>
    <t>[CCIN001075-003] - SINGH SANTOSH KUMAR C/O KENTURIAN PULP</t>
  </si>
  <si>
    <t>[003-0009796] - SIMON ODUOR OGOLA</t>
  </si>
  <si>
    <t>[003-0009871] - SALOME ANYANGO AWINO</t>
  </si>
  <si>
    <t>L32763</t>
  </si>
  <si>
    <t>[003-0010043] - DOUGLAS NDANGURI NDONGA</t>
  </si>
  <si>
    <t>L33435</t>
  </si>
  <si>
    <t>[003-0010233] - IRENE KATUNGE NZOMO</t>
  </si>
  <si>
    <t>L36230</t>
  </si>
  <si>
    <t>[003-0005081] - DAVID BULIMU ANDIKA</t>
  </si>
  <si>
    <t>Jane Karianto</t>
  </si>
  <si>
    <t>[003-0011539] - ANTHONY MUSYOKA NDAMBUKI</t>
  </si>
  <si>
    <t>Partial paid</t>
  </si>
  <si>
    <t>irene Vaati</t>
  </si>
  <si>
    <t>Jane karianto</t>
  </si>
  <si>
    <t>L38844</t>
  </si>
  <si>
    <t>client will clear today by cob</t>
  </si>
  <si>
    <t>L32937</t>
  </si>
  <si>
    <t>ELIZABETH NJERI N</t>
  </si>
  <si>
    <t>wilson Mutava</t>
  </si>
  <si>
    <t>ANTHONY MUSYOKA  NDAMBUKI</t>
  </si>
  <si>
    <t xml:space="preserve">Jane kirimi </t>
  </si>
  <si>
    <t xml:space="preserve"> JAMAL HASSAN ALI</t>
  </si>
  <si>
    <t>MUIA WAMBUA</t>
  </si>
  <si>
    <t>DOUGLAS NDANGURI NDONGA</t>
  </si>
  <si>
    <t>L35069</t>
  </si>
  <si>
    <t>SIMEON CHIRA NJIRU</t>
  </si>
  <si>
    <t>L37083</t>
  </si>
  <si>
    <t>FRANCIS WACHIRA MURANGURI</t>
  </si>
  <si>
    <t>L38832</t>
  </si>
  <si>
    <t>JACOB MAUNDU KAKUNDI</t>
  </si>
  <si>
    <t>L38856</t>
  </si>
  <si>
    <t xml:space="preserve">td </t>
  </si>
  <si>
    <t>L32783</t>
  </si>
  <si>
    <t>Cyrus Warui Kimani</t>
  </si>
  <si>
    <t>Cheque banked yesterday</t>
  </si>
  <si>
    <t>L31668</t>
  </si>
  <si>
    <t>SIRHA GURMAIL SINGH</t>
  </si>
  <si>
    <t>L37846</t>
  </si>
  <si>
    <t>BENSON MUEMA KILONZO</t>
  </si>
  <si>
    <t>have issued demand</t>
  </si>
  <si>
    <t>client will clear on 31/7/2024</t>
  </si>
  <si>
    <t>Peter Kibe Mwangi</t>
  </si>
  <si>
    <t>Cheque was banked</t>
  </si>
  <si>
    <t>L28376</t>
  </si>
  <si>
    <t>WILLY MUREITHI MUKUNDI</t>
  </si>
  <si>
    <t>L38925</t>
  </si>
  <si>
    <t>7/31/0202</t>
  </si>
  <si>
    <t>Jane Kirimi</t>
  </si>
  <si>
    <t>Demand issued 30/7/2024</t>
  </si>
  <si>
    <t>Vaati Irene</t>
  </si>
  <si>
    <t>Partial Paid, Demand issued</t>
  </si>
  <si>
    <t>Paid 11,753 to clear today</t>
  </si>
  <si>
    <t>L35773</t>
  </si>
  <si>
    <t>WILLIAM OKUGE WATEMBO</t>
  </si>
  <si>
    <t>IRENE KATUNGE NZOMO</t>
  </si>
  <si>
    <t>Partial Paid</t>
  </si>
  <si>
    <t>DAVID BULIMU ANDIKA</t>
  </si>
  <si>
    <t>Demand issued 29/7/2024</t>
  </si>
  <si>
    <t>Demand issued 20/7/2024</t>
  </si>
  <si>
    <t>MAKAU KIMEU</t>
  </si>
  <si>
    <t>partially paid and will clear arrears on 2/8/2024</t>
  </si>
  <si>
    <t>To pay the balance tomorrow</t>
  </si>
  <si>
    <t>MICHAEL KIPKORIR KOSKE</t>
  </si>
  <si>
    <t>partially paid, 100,000  and will clear arrears on 2/8/2024</t>
  </si>
  <si>
    <t>issued repossession to new auctioneers</t>
  </si>
  <si>
    <t>client to clear today overnight</t>
  </si>
  <si>
    <t>court order apllication done today to follow with auctioneers</t>
  </si>
  <si>
    <t>L31753</t>
  </si>
  <si>
    <t>Moses Ngemu Somoine</t>
  </si>
  <si>
    <t>clear to be followed again on 2/8/2024</t>
  </si>
  <si>
    <t>client to bank cheque today</t>
  </si>
  <si>
    <t>demand issued  24/7/2024</t>
  </si>
  <si>
    <t>Demand issued 20/7/2025</t>
  </si>
  <si>
    <t>Demand issued 19/7/2025</t>
  </si>
  <si>
    <t>client will clear on 5/8/2024</t>
  </si>
  <si>
    <t>court order processed to be verified today</t>
  </si>
  <si>
    <t>L39069</t>
  </si>
  <si>
    <t>EZEKIEL RIOBA MWITA BOKOBORA</t>
  </si>
  <si>
    <t>Demand issued 9/7/2024</t>
  </si>
  <si>
    <t>Demand issued 30/7/2025</t>
  </si>
  <si>
    <t>L35736</t>
  </si>
  <si>
    <t>JANE NJERI NJAU</t>
  </si>
  <si>
    <t>L36533</t>
  </si>
  <si>
    <t>LUCY WANJIRU WAMBUI</t>
  </si>
  <si>
    <t>cyrus njungwa</t>
  </si>
  <si>
    <t>L39016</t>
  </si>
  <si>
    <t>LEWIS KITHINJI GATOBU</t>
  </si>
  <si>
    <t>L23442</t>
  </si>
  <si>
    <t>Nicodemus Muse Wekesa</t>
  </si>
  <si>
    <t>L32945</t>
  </si>
  <si>
    <t>JOHN  MBUGUA  NGUGI</t>
  </si>
  <si>
    <t>L38169</t>
  </si>
  <si>
    <t>L38926</t>
  </si>
  <si>
    <t>CALISTUS SIMIYU KONGANI</t>
  </si>
  <si>
    <t>L39078</t>
  </si>
  <si>
    <t>MARY WANJA MUNYI</t>
  </si>
  <si>
    <t xml:space="preserve"> JOHN MUKABURU MATHENGE</t>
  </si>
  <si>
    <t xml:space="preserve"> CYRUS WARUI KIMANI</t>
  </si>
  <si>
    <t>L31545</t>
  </si>
  <si>
    <t>KEVIN NYANG'ECHI MATOKE</t>
  </si>
  <si>
    <t xml:space="preserve"> ROMANO NTONG'ONDU GITILE</t>
  </si>
  <si>
    <t>Demand issued 27/7/2024</t>
  </si>
  <si>
    <t xml:space="preserve"> PETER WANJIMA MWANGI</t>
  </si>
  <si>
    <t>Partial paid 17,530</t>
  </si>
  <si>
    <t xml:space="preserve"> SINGH SANTOSH KUMAR C/O KENTURIAN PULP</t>
  </si>
  <si>
    <t>vaati irene</t>
  </si>
  <si>
    <t>Demand issued 3/8/2024</t>
  </si>
  <si>
    <t>JOHN MBUGUA NGUGI</t>
  </si>
  <si>
    <t>L39732</t>
  </si>
  <si>
    <t>Partial paid, clearing by COB</t>
  </si>
  <si>
    <t>Demand issued 24/7/2024</t>
  </si>
  <si>
    <t xml:space="preserve"> JOSEPH MACHARIA GATHUKU C/O NETCO LIMITED</t>
  </si>
  <si>
    <t xml:space="preserve">Client to pay by Cllose of business Today </t>
  </si>
  <si>
    <t>Demand issued on 20/7/2024</t>
  </si>
  <si>
    <t xml:space="preserve">cyrus Njugwa </t>
  </si>
  <si>
    <t>L38341</t>
  </si>
  <si>
    <t>Client promise to pay by 8th Aug 2024</t>
  </si>
  <si>
    <t>L39087</t>
  </si>
  <si>
    <t>L39148</t>
  </si>
  <si>
    <t xml:space="preserve"> BENJAMIN KIPROP CHEMWENO</t>
  </si>
  <si>
    <t xml:space="preserve">crrus Njugwa </t>
  </si>
  <si>
    <t xml:space="preserve">to pay by end of today Today </t>
  </si>
  <si>
    <t>L39157</t>
  </si>
  <si>
    <t>JOSEPH ODHIAMBO AUMA</t>
  </si>
  <si>
    <t xml:space="preserve">to pay by close of business </t>
  </si>
  <si>
    <t>L28994</t>
  </si>
  <si>
    <t>Paid 98,000 overnight</t>
  </si>
  <si>
    <t>Paying COB</t>
  </si>
  <si>
    <t>partially paid,to Follow up with Client to pay Close of business.</t>
  </si>
  <si>
    <t xml:space="preserve">visisted client and promsied to make payments </t>
  </si>
  <si>
    <t>Cheque banked 4/8/2024</t>
  </si>
  <si>
    <t xml:space="preserve">Client    To pay by 8th aug </t>
  </si>
  <si>
    <t>L39094</t>
  </si>
  <si>
    <t xml:space="preserve"> LUCY WANJIRU WAMBUI</t>
  </si>
  <si>
    <t>Client promsied to make payments by 8th Aug</t>
  </si>
  <si>
    <t>client will clear arrears today</t>
  </si>
  <si>
    <t>Jamal Hassan Ali</t>
  </si>
  <si>
    <t xml:space="preserve">banked a cheque </t>
  </si>
  <si>
    <t>repossession running - court order obtained</t>
  </si>
  <si>
    <t>client waiting for a cheque to mature to clear arrears</t>
  </si>
  <si>
    <t>Vaati</t>
  </si>
  <si>
    <t xml:space="preserve">Demand issued 27/7/2024, visisted client and promsied to make payments by COB </t>
  </si>
  <si>
    <t xml:space="preserve">Partial paid 17,530, following up for payments </t>
  </si>
  <si>
    <t xml:space="preserve">Demand issued 29/7/2024,Visited client and promised to make payments </t>
  </si>
  <si>
    <t>L31762</t>
  </si>
  <si>
    <t>cyrus</t>
  </si>
  <si>
    <t>wilson</t>
  </si>
  <si>
    <t xml:space="preserve">Demand issued 29/7/2024,Client promsied to make payments by Close of business </t>
  </si>
  <si>
    <t xml:space="preserve">Demand issued 3/8/2024, Following up for payments </t>
  </si>
  <si>
    <t xml:space="preserve">Demand issued 5/8/2024, Following up for payments </t>
  </si>
  <si>
    <t>L33298</t>
  </si>
  <si>
    <t>ANTHONY KIHURIA MWENDA</t>
  </si>
  <si>
    <t>Following up to pay by cob,to follow up with client to make payments</t>
  </si>
  <si>
    <t xml:space="preserve">Partial paid, clearing by cob,to follow up with Client for payments   </t>
  </si>
  <si>
    <t>jane</t>
  </si>
  <si>
    <t>Jane</t>
  </si>
  <si>
    <t>Demand issued 5/8/2024</t>
  </si>
  <si>
    <t>JOSEPH WAHOME GATONGA</t>
  </si>
  <si>
    <t>Partial paid, Demand issued</t>
  </si>
  <si>
    <t xml:space="preserve">Client to pay by Close of business Today </t>
  </si>
  <si>
    <t>L39189</t>
  </si>
  <si>
    <t>CHARLES GOPAL MWIKALI</t>
  </si>
  <si>
    <t>L39198</t>
  </si>
  <si>
    <t>Topay by Close of business, Demand issued on 2nd Aug</t>
  </si>
  <si>
    <t xml:space="preserve">Demand issued on 23rd July, following for payments </t>
  </si>
  <si>
    <t>Promised to pay on 8th Thursday, Demand issued 6th Aug 2024</t>
  </si>
  <si>
    <t>BENJAMIN KIPROP CHEMWENO</t>
  </si>
  <si>
    <t>To make payments by Close of business</t>
  </si>
  <si>
    <t>Partally paid. to Clear by Close of business</t>
  </si>
  <si>
    <t>L31498</t>
  </si>
  <si>
    <t>MICHEAL MUTISYA KAMENE</t>
  </si>
  <si>
    <t>Partial paid, property at auction</t>
  </si>
  <si>
    <t>Repossessed</t>
  </si>
  <si>
    <t>Property advertised for sale</t>
  </si>
  <si>
    <t>L26093</t>
  </si>
  <si>
    <t>[003-0007815] - RUTH GILBERT MUTUA</t>
  </si>
  <si>
    <t>Demand issued, follow up ongoing</t>
  </si>
  <si>
    <t>L28525</t>
  </si>
  <si>
    <t>[003-0008719] - BENADETTE WAITHIRA KABIRU</t>
  </si>
  <si>
    <t>[003-0009218] - PATRICK KIPKEMOI TOWETT</t>
  </si>
  <si>
    <t>[003-0009741] - PETER WANJIMA MWANGI</t>
  </si>
  <si>
    <t>field visit done but client was not there/offline will follow up on 8/8/2024</t>
  </si>
  <si>
    <t>partial paid</t>
  </si>
  <si>
    <t>client will clear on 9/8/2024</t>
  </si>
  <si>
    <t>[003-0010086] - JOHN MBUGUA NGUGI</t>
  </si>
  <si>
    <t>We managed to visit client in kitengela but he claims he will be making payments on 10th. Demand running</t>
  </si>
  <si>
    <t>[003-0010197] - ANTHONY KIHURIA MWENDA</t>
  </si>
  <si>
    <t>will follow up on 8/8/2024</t>
  </si>
  <si>
    <t>We managed to visit the client in kitengela but claimed he is sourcing for cash to clear today. Proclamation will expire on 7/8/2024</t>
  </si>
  <si>
    <t>[003-0007007] - JANE NJERI NJAU</t>
  </si>
  <si>
    <t>L35990</t>
  </si>
  <si>
    <t>[003-0011078] - REGINA NDELEVA MBINGO</t>
  </si>
  <si>
    <t>[003-0011291] - JOSEPH WAHOME GATONGA</t>
  </si>
  <si>
    <t>[003-0011325] - LUCY WANJIRU WAMBUI</t>
  </si>
  <si>
    <t>Partial paid, to issue demand</t>
  </si>
  <si>
    <t>[CCIN000875-003] - JOSEPH MACHARIA GATHUKU C/O NETCO LIMITED</t>
  </si>
  <si>
    <t>Demand issued  will follow up on 8/8/2024</t>
  </si>
  <si>
    <t>L37450</t>
  </si>
  <si>
    <t>[003-0007318] - CAROLINE MUTHEU MWAKODI</t>
  </si>
  <si>
    <t>[CCIN000835-003] - BENSON MUEMA KILONZO</t>
  </si>
  <si>
    <t>[003-0012217] - CALISTUS SIMIYU KONGANI</t>
  </si>
  <si>
    <t xml:space="preserve">demand issued today </t>
  </si>
  <si>
    <t>[003-0008826] - ELIZABETH NJERI N</t>
  </si>
  <si>
    <t>[003-0010204] - BENJAMIN KIPROP CHEMWENO</t>
  </si>
  <si>
    <t>[003-0009775] - JOSEPH ODHIAMBO AUMA</t>
  </si>
  <si>
    <t>[003-0009663] - CHARLES GOPAL MWIKALI</t>
  </si>
  <si>
    <t xml:space="preserve">Jamal Hassan </t>
  </si>
  <si>
    <t>40 days demand issued</t>
  </si>
  <si>
    <t>vaati</t>
  </si>
  <si>
    <t>Follow up ongoing, to issue demand</t>
  </si>
  <si>
    <t>kiio</t>
  </si>
  <si>
    <t>L39211</t>
  </si>
  <si>
    <t>JAPHETH KYALO MUTUA</t>
  </si>
  <si>
    <t>L39231</t>
  </si>
  <si>
    <t>DANFACE KARANI NYANG'AU</t>
  </si>
  <si>
    <t xml:space="preserve">paid partially to clear by close of business </t>
  </si>
  <si>
    <t>Unit at Yard</t>
  </si>
  <si>
    <t>RUTH GILBERT MUTUA</t>
  </si>
  <si>
    <t>BENADETTE WAITHIRA KABIRU</t>
  </si>
  <si>
    <t>Follow up ongoing</t>
  </si>
  <si>
    <t>Wilson</t>
  </si>
  <si>
    <t>REGINA NDELEVA MBINGO</t>
  </si>
  <si>
    <t>unit at yard</t>
  </si>
  <si>
    <t>Property in auction</t>
  </si>
  <si>
    <t>Demand issued on 27/7/2024</t>
  </si>
  <si>
    <t>To issue demand today</t>
  </si>
  <si>
    <t>L34896</t>
  </si>
  <si>
    <t>TIMOTHY NGUI KIOIKO</t>
  </si>
  <si>
    <t>Demand issued on 5/8/2024</t>
  </si>
  <si>
    <t>Demand issued 7/8/2024</t>
  </si>
  <si>
    <t>L37622</t>
  </si>
  <si>
    <t>Demand issued 20/8/2024, Paid field visit today</t>
  </si>
  <si>
    <t>L39221</t>
  </si>
  <si>
    <t>ROBINSON MUSYOKI MWOLOLO</t>
  </si>
  <si>
    <t xml:space="preserve">visisted the client, to self book the unit </t>
  </si>
  <si>
    <t xml:space="preserve">promsied to pay by 10th Aug demand issued </t>
  </si>
  <si>
    <t>visisted client to pay by cob</t>
  </si>
  <si>
    <t xml:space="preserve">visited client and promsied to make payments by 11th Aug, Demand issued 3rd Aug </t>
  </si>
  <si>
    <t xml:space="preserve">demand issued, Following up with Client to make payments </t>
  </si>
  <si>
    <t>partially paid, to Clear by Close of business</t>
  </si>
  <si>
    <t xml:space="preserve">visisted the client and promsied to make payments </t>
  </si>
  <si>
    <t xml:space="preserve">paid overnight </t>
  </si>
  <si>
    <t>L39365</t>
  </si>
  <si>
    <t>unit repossesed today by Moran and booked at yard</t>
  </si>
  <si>
    <t>client will be making payments either today or on 10th to redeem unit at yard</t>
  </si>
  <si>
    <t>L31365</t>
  </si>
  <si>
    <t>ONESMUS MUTETI MASILI</t>
  </si>
  <si>
    <t>L39247</t>
  </si>
  <si>
    <t>NDEGWA MWANIKI</t>
  </si>
  <si>
    <t>L39268</t>
  </si>
  <si>
    <t>ALEX LEGIS SINKEET</t>
  </si>
  <si>
    <t>L25481</t>
  </si>
  <si>
    <t>EDWIN MURITHI KINYUAH</t>
  </si>
  <si>
    <t>Will follow up on 12/8/2024</t>
  </si>
  <si>
    <t>banked a cheque</t>
  </si>
  <si>
    <t>L30981</t>
  </si>
  <si>
    <t>MARTIN KIARIE MUNGAI</t>
  </si>
  <si>
    <t>CYRUS NJUNGWA</t>
  </si>
  <si>
    <t xml:space="preserve"> RUTH GILBERT MUTUA</t>
  </si>
  <si>
    <t>L29734</t>
  </si>
  <si>
    <t xml:space="preserve"> DORCAS NG'ONDU MAWEU</t>
  </si>
  <si>
    <t>Demand issued 3/7/2024, follow up ongoing</t>
  </si>
  <si>
    <t>Partial paid, demand issued</t>
  </si>
  <si>
    <t>Demand issued 29/7/2024,Client promsied to make payment by COB</t>
  </si>
  <si>
    <t>promise to pay today after field visit in kitengela but he, demand iaaued</t>
  </si>
  <si>
    <t>Unit Repossessed</t>
  </si>
  <si>
    <t>Parial paid demand issued</t>
  </si>
  <si>
    <t xml:space="preserve"> STANSLAUS MUNYAO MUTHINI</t>
  </si>
  <si>
    <t>L39335</t>
  </si>
  <si>
    <t>MARY NDANU NGAO</t>
  </si>
  <si>
    <t>L39395</t>
  </si>
  <si>
    <t>L29116</t>
  </si>
  <si>
    <t xml:space="preserve"> ESTHER KANINI NJAGI</t>
  </si>
  <si>
    <t>Client  to make payments by COB</t>
  </si>
  <si>
    <t>L31351</t>
  </si>
  <si>
    <t xml:space="preserve"> CHARLES GOPAL MWIKALI</t>
  </si>
  <si>
    <t>Demand issued on 9th  Aug 2024</t>
  </si>
  <si>
    <t xml:space="preserve"> RUTH KITHIA KILUVA</t>
  </si>
  <si>
    <t>Client promised to  make payments by Close of business Today.</t>
  </si>
  <si>
    <t xml:space="preserve"> ELIZABETH NJERI N</t>
  </si>
  <si>
    <t xml:space="preserve">Client paid partially, To clear by Close of business </t>
  </si>
  <si>
    <t>the unit is at yard,  client promsied to make payments by Close of business.</t>
  </si>
  <si>
    <t xml:space="preserve">Visited client and promsied to make payments by Close of business Today </t>
  </si>
  <si>
    <t xml:space="preserve">Client is currently at bank, To pay via RTGS by Close of business </t>
  </si>
  <si>
    <t xml:space="preserve"> JOSEPH ODHIAMBO AUMA</t>
  </si>
  <si>
    <t xml:space="preserve">Cyrus Njugwa </t>
  </si>
  <si>
    <t>Client to clear arrears by Close of business, Demand issued on 9th Aug</t>
  </si>
  <si>
    <t xml:space="preserve">Client to pay by Close of business, Demand issued  on 12th Aug 2024 </t>
  </si>
  <si>
    <t xml:space="preserve"> ALEX LEGIS SINKEET</t>
  </si>
  <si>
    <t>L39313</t>
  </si>
  <si>
    <t>L39343</t>
  </si>
  <si>
    <t>JUDITH MERCY MUSAU</t>
  </si>
  <si>
    <t>Vivian kirui</t>
  </si>
  <si>
    <t>Client to make early settlement either today or 14/8/2024</t>
  </si>
  <si>
    <t xml:space="preserve"> BENADETTE WAITHIRA KABIRU</t>
  </si>
  <si>
    <t>cyrus Njungwa</t>
  </si>
  <si>
    <t>victroria mbashu</t>
  </si>
  <si>
    <t>client will clear on 14/8/2024</t>
  </si>
  <si>
    <t xml:space="preserve"> PATRICK KIPKEMOI TOWETT</t>
  </si>
  <si>
    <t>will clear today by cob</t>
  </si>
  <si>
    <t>L30903</t>
  </si>
  <si>
    <t>WILSON NG'ANG'A CHEGE</t>
  </si>
  <si>
    <t>client has paid 434,100</t>
  </si>
  <si>
    <t>demand issued today</t>
  </si>
  <si>
    <t>L31914</t>
  </si>
  <si>
    <t>JUSTUS MASAKU NDETO</t>
  </si>
  <si>
    <t xml:space="preserve"> JOHN MBUGUA NGUGI</t>
  </si>
  <si>
    <t>paying today by cob</t>
  </si>
  <si>
    <t>client will clear today or self book unit at yard on 14/8/2024</t>
  </si>
  <si>
    <t xml:space="preserve"> REGINA NDELEVA MBINGO</t>
  </si>
  <si>
    <t>Unit at yard client pushing for payamnts to redeem unit</t>
  </si>
  <si>
    <t>L37751</t>
  </si>
  <si>
    <t>MWATHI NGANGA N</t>
  </si>
  <si>
    <t xml:space="preserve"> BENSON MUEMA KILONZO</t>
  </si>
  <si>
    <t>paying today by 3pm</t>
  </si>
  <si>
    <t>L39411</t>
  </si>
  <si>
    <t>demand issued on 9/8/2024</t>
  </si>
  <si>
    <t xml:space="preserve">Demand issued today </t>
  </si>
  <si>
    <t>paying today by cob, demand issued 9/8/2024</t>
  </si>
  <si>
    <t xml:space="preserve"> ROBINSON MUSYOKI MWOLOLO</t>
  </si>
  <si>
    <t xml:space="preserve"> DAVID BULIMU ANDIKA</t>
  </si>
  <si>
    <t xml:space="preserve"> VICTOR KIMATHI MIRORI</t>
  </si>
  <si>
    <t>Repo issued in April 2024</t>
  </si>
  <si>
    <t>L32959</t>
  </si>
  <si>
    <t xml:space="preserve"> KEVIN OTIENO O</t>
  </si>
  <si>
    <t>File forwarded to legal</t>
  </si>
  <si>
    <t>8/13/0204</t>
  </si>
  <si>
    <t>L34828</t>
  </si>
  <si>
    <t>40 days deemand issued 5th july 2024</t>
  </si>
  <si>
    <t>Following up for payment, has active demand</t>
  </si>
  <si>
    <t>40 days demand issued 2/8/2024</t>
  </si>
  <si>
    <t xml:space="preserve">Unit at Yard however client will clear today to redeem unit </t>
  </si>
  <si>
    <t xml:space="preserve">paid 34500 clearing balance by 3pm today </t>
  </si>
  <si>
    <t>client will clear loan balance today by 6pm</t>
  </si>
  <si>
    <t>paying today or 15/8/2024 in morning</t>
  </si>
  <si>
    <t>Demand issued on 11/8/2024</t>
  </si>
  <si>
    <t>requested statement to clear arrears today</t>
  </si>
  <si>
    <t>Will follow up on 15/8/2024</t>
  </si>
  <si>
    <t>client will clear on 15/8/2024</t>
  </si>
  <si>
    <t>paying today by 6 pm</t>
  </si>
  <si>
    <t>will clear on 15/8/2024 to redeem unit at yard</t>
  </si>
  <si>
    <t>will clear on 15/8/2024 or self book unit at yard</t>
  </si>
  <si>
    <t>banking cheque today by 4pm</t>
  </si>
  <si>
    <t>client will pay on 15th morning</t>
  </si>
  <si>
    <t>L37626</t>
  </si>
  <si>
    <t>MANASH OTIENO KIDEW</t>
  </si>
  <si>
    <t>will clear on 16/8/2024</t>
  </si>
  <si>
    <t>will clear on 15/8/2024</t>
  </si>
  <si>
    <t xml:space="preserve">banked cheque to partially pay </t>
  </si>
  <si>
    <t>paid 1,650,000.00 by pesalink waiting for it to reflect on our account</t>
  </si>
  <si>
    <t>client will clear on 20/8/2024</t>
  </si>
  <si>
    <t xml:space="preserve">paying by cob today </t>
  </si>
  <si>
    <t>requested statement to clear arrears</t>
  </si>
  <si>
    <t>L39456</t>
  </si>
  <si>
    <t>LAWRENCE KAMAU MUCHEKE</t>
  </si>
  <si>
    <t>L31453</t>
  </si>
  <si>
    <t>JANE NYAMBURA MAGARA</t>
  </si>
  <si>
    <t>Partial paid, following up for clearance</t>
  </si>
  <si>
    <t>client will clear today by 3:30pm</t>
  </si>
  <si>
    <t>L35290</t>
  </si>
  <si>
    <t>client banked cheque waiting to clear on 19/8/2024</t>
  </si>
  <si>
    <t>L35299</t>
  </si>
  <si>
    <t>client banked cheque waiting to clear on 19/8/2025</t>
  </si>
  <si>
    <t>L39438</t>
  </si>
  <si>
    <t>client will clear today by 3pm</t>
  </si>
  <si>
    <t>L39483</t>
  </si>
  <si>
    <t>ALICE WAKANYI ANANGI</t>
  </si>
  <si>
    <t xml:space="preserve">client to clear by 4pm latest 5pm </t>
  </si>
  <si>
    <t>client will clear on 17/8/2024</t>
  </si>
  <si>
    <t>Client will visit office on 19/8/2024 for payments</t>
  </si>
  <si>
    <t>demand issued- Will follow up client on 17/8/2024</t>
  </si>
  <si>
    <t>Will do field visit on 19/8/2024</t>
  </si>
  <si>
    <t>L37750</t>
  </si>
  <si>
    <t>Will partially pay today and clear before 19/8/2024</t>
  </si>
  <si>
    <t>Will clear today by 1pm</t>
  </si>
  <si>
    <t>partially paid and will clear arrears by 4pm</t>
  </si>
  <si>
    <t>Client has requested to clear on 19/8/2024</t>
  </si>
  <si>
    <t>patrcia Mwende</t>
  </si>
  <si>
    <t xml:space="preserve">Repossession running with Express auctioneers </t>
  </si>
  <si>
    <t>Willl do field visit on 17/8/2024 if not cleared today</t>
  </si>
  <si>
    <t xml:space="preserve"> cheque banked today</t>
  </si>
  <si>
    <t>Will do field visit on 19/8/2024 if not cleared today</t>
  </si>
  <si>
    <t>Will make payments on 17/8/2024</t>
  </si>
  <si>
    <t>Will bank a cheque today by 4pm</t>
  </si>
  <si>
    <t>Client has requested to clear on 19th due to pesalink transfer reversed</t>
  </si>
  <si>
    <t>Client will redeeem unit from yard on 19/8/2024</t>
  </si>
  <si>
    <t>Will clear today by 3pm</t>
  </si>
  <si>
    <t>visit done and client promised to clear on 19/8/2024</t>
  </si>
  <si>
    <t>partially paid will clear arrears on 22/8/2024</t>
  </si>
  <si>
    <t>L35524</t>
  </si>
  <si>
    <t>JOHN NJOGU KINYANJUI</t>
  </si>
  <si>
    <t>L39493</t>
  </si>
  <si>
    <t>CONNILIA JEPTARUS</t>
  </si>
  <si>
    <t>L39620</t>
  </si>
  <si>
    <t xml:space="preserve">Phoebe Mwangange Maina </t>
  </si>
  <si>
    <t>Paying By 6pm  today</t>
  </si>
  <si>
    <t>Will do field visit on 20/8/2024</t>
  </si>
  <si>
    <t>Demand issued on 8/8/2024</t>
  </si>
  <si>
    <t>Paying By 6pm today</t>
  </si>
  <si>
    <t>Client partially paid, to clear by 3pm</t>
  </si>
  <si>
    <t>Will clear today by 6pm</t>
  </si>
  <si>
    <t>account to be updated client fully</t>
  </si>
  <si>
    <t>Client partially paid, to clear by 4pm</t>
  </si>
  <si>
    <r>
      <rPr>
        <rFont val="Calibri"/>
        <color theme="1"/>
        <sz val="11.0"/>
      </rPr>
      <t xml:space="preserve">promsied to make payments by </t>
    </r>
    <r>
      <rPr>
        <rFont val="Calibri"/>
        <color rgb="FF1155CC"/>
        <sz val="11.0"/>
        <u/>
      </rPr>
      <t>4.pm</t>
    </r>
    <r>
      <rPr>
        <rFont val="Calibri"/>
        <color theme="1"/>
        <sz val="11.0"/>
      </rPr>
      <t xml:space="preserve"> Today </t>
    </r>
  </si>
  <si>
    <r>
      <rPr>
        <rFont val="Calibri"/>
        <color theme="1"/>
        <sz val="11.0"/>
      </rPr>
      <t xml:space="preserve">Visisted client and promsied to pay balance by </t>
    </r>
    <r>
      <rPr>
        <rFont val="Calibri"/>
        <color rgb="FF1155CC"/>
        <sz val="11.0"/>
        <u/>
      </rPr>
      <t>3.pm</t>
    </r>
  </si>
  <si>
    <t xml:space="preserve">Promsied to pay by 4.30 pm </t>
  </si>
  <si>
    <r>
      <rPr>
        <rFont val="Calibri"/>
        <color theme="1"/>
        <sz val="11.0"/>
      </rPr>
      <t xml:space="preserve">Client to pay by </t>
    </r>
    <r>
      <rPr>
        <rFont val="Calibri"/>
        <color rgb="FF1155CC"/>
        <sz val="11.0"/>
        <u/>
      </rPr>
      <t>5.pm</t>
    </r>
  </si>
  <si>
    <t>Client to pay by 4.60 am</t>
  </si>
  <si>
    <t>L25703</t>
  </si>
  <si>
    <t>DANIEL KIPYATOR KIPRONO</t>
  </si>
  <si>
    <t>L39528</t>
  </si>
  <si>
    <t>will clear on 20/8/2024</t>
  </si>
  <si>
    <t>L39583</t>
  </si>
  <si>
    <t>L39594</t>
  </si>
  <si>
    <t>KENNEDY ODHIAMBO NYABWALA</t>
  </si>
  <si>
    <t>Paying By 3pm</t>
  </si>
  <si>
    <t>repossession running with Express</t>
  </si>
  <si>
    <t xml:space="preserve">To issue Demand </t>
  </si>
  <si>
    <t>Paying By 4pm</t>
  </si>
  <si>
    <t>jane Kirimi</t>
  </si>
  <si>
    <t>Client will do rtgs today</t>
  </si>
  <si>
    <t>client will clear by 4pm</t>
  </si>
  <si>
    <t>will revisit home on 20/8/2024</t>
  </si>
  <si>
    <t>client will clear on 19/8/2024 to redeem unit at yard</t>
  </si>
  <si>
    <t>will pay today by 6pm to redeem unit at yard</t>
  </si>
  <si>
    <t>[003-0009097] - DORCAS NG'ONDU MAWEU</t>
  </si>
  <si>
    <t>client to visit office on 21/8/2024</t>
  </si>
  <si>
    <t>[003-0009666] - ONESMUS MUTETI MASILI</t>
  </si>
  <si>
    <t>Partial Paid, clearing today</t>
  </si>
  <si>
    <t>Field visit done, to pay by 6pm today</t>
  </si>
  <si>
    <t>[003-0009814] - MARY WANJA MUNYI</t>
  </si>
  <si>
    <t>Patial paid, following up</t>
  </si>
  <si>
    <t>[003-0010841] - EZEKIEL RIOBA MWITA BOKOBORA</t>
  </si>
  <si>
    <t>[003-0010928] - JOHN NJOGU KINYANJUI</t>
  </si>
  <si>
    <t>paid , Partailly to Clear balance by 6.30pm</t>
  </si>
  <si>
    <t>L37872</t>
  </si>
  <si>
    <t>[003-0008969] - JAPHETH MALUKI MBUVI</t>
  </si>
  <si>
    <t xml:space="preserve">Client to make payments Client by 4.30 pm @0th Aug.Demand issued </t>
  </si>
  <si>
    <t>L38690</t>
  </si>
  <si>
    <t>[003-0012118] - NATHAN WAMBUGU THUKU</t>
  </si>
  <si>
    <r>
      <rPr>
        <rFont val="Calibri"/>
        <color theme="1"/>
        <sz val="11.0"/>
      </rPr>
      <t xml:space="preserve">client promsied to pay by </t>
    </r>
    <r>
      <rPr>
        <rFont val="Calibri"/>
        <color rgb="FF1155CC"/>
        <sz val="11.0"/>
        <u/>
      </rPr>
      <t>4.pm</t>
    </r>
    <r>
      <rPr>
        <rFont val="Calibri"/>
        <color theme="1"/>
        <sz val="11.0"/>
      </rPr>
      <t xml:space="preserve"> </t>
    </r>
  </si>
  <si>
    <t>client promsied to pay by 23rd Aug after the payments.</t>
  </si>
  <si>
    <t>[003-0010302] - JUDITH MERCY MUSAU</t>
  </si>
  <si>
    <t xml:space="preserve">account to be updated client paid fully </t>
  </si>
  <si>
    <t>L39601</t>
  </si>
  <si>
    <t>[003-0007530] - EDWIN MURITHI KINYUAH</t>
  </si>
  <si>
    <r>
      <rPr>
        <rFont val="Calibri"/>
        <color theme="1"/>
        <sz val="11.0"/>
      </rPr>
      <t xml:space="preserve">Client promsied to pay by </t>
    </r>
    <r>
      <rPr>
        <rFont val="Calibri"/>
        <color rgb="FF1155CC"/>
        <sz val="11.0"/>
        <u/>
      </rPr>
      <t>3.pm</t>
    </r>
    <r>
      <rPr>
        <rFont val="Calibri"/>
        <color theme="1"/>
        <sz val="11.0"/>
      </rPr>
      <t xml:space="preserve"> and take another weekend loan </t>
    </r>
  </si>
  <si>
    <r>
      <rPr>
        <rFont val="Calibri"/>
        <color theme="1"/>
        <sz val="11.0"/>
      </rPr>
      <t xml:space="preserve">promsied to make paymets by </t>
    </r>
    <r>
      <rPr>
        <rFont val="Calibri"/>
        <color rgb="FF1155CC"/>
        <sz val="11.0"/>
        <u/>
      </rPr>
      <t>4.30.Pm</t>
    </r>
    <r>
      <rPr>
        <rFont val="Calibri"/>
        <color theme="1"/>
        <sz val="11.0"/>
      </rPr>
      <t>, Following up</t>
    </r>
  </si>
  <si>
    <t>Client promsied to make payments on 21/8/2024</t>
  </si>
  <si>
    <t>Client promsied to make payments on 21/8/2025</t>
  </si>
  <si>
    <t xml:space="preserve">still pursuing client to make payments </t>
  </si>
  <si>
    <t>Client promsied to make payments by 22nd Aug. Demand issued on 17th Aug</t>
  </si>
  <si>
    <t>[003-0007908] - DANFACE KARANI NYANG'AU</t>
  </si>
  <si>
    <t>Paid fully</t>
  </si>
  <si>
    <t>[003-0007629] - MARY NDANU NGAO</t>
  </si>
  <si>
    <t>visisted client and p[romsied to make payments by  thursday 22nd Aug</t>
  </si>
  <si>
    <t xml:space="preserve">To pay by 26th Demand issued, </t>
  </si>
  <si>
    <t>[003-0005089] - KENNEDY ODHIAMBO NYABWALA</t>
  </si>
  <si>
    <t>paying today by 7pm</t>
  </si>
  <si>
    <t>Field visit done but client was not there. Following up for payments</t>
  </si>
  <si>
    <t>DENIS   NYAMBOGO MORIASI</t>
  </si>
  <si>
    <t>Fully cleared arrears</t>
  </si>
  <si>
    <t>client will clear today by 6pm</t>
  </si>
  <si>
    <t xml:space="preserve"> MARY WANJA MUNYI</t>
  </si>
  <si>
    <t>Client promsied to pay by 26th Aug 2024, Demand issued</t>
  </si>
  <si>
    <t xml:space="preserve"> SALOME ANYANGO AWINO</t>
  </si>
  <si>
    <t xml:space="preserve">Client to pay 1900 hrs </t>
  </si>
  <si>
    <t>client will clear on 22/8/2024</t>
  </si>
  <si>
    <t>L32754</t>
  </si>
  <si>
    <t xml:space="preserve"> PERIS WANJIRU MACHARIA</t>
  </si>
  <si>
    <t>Staff Salary Advance</t>
  </si>
  <si>
    <t xml:space="preserve">Client  promsied to make payments by 4.30 PM </t>
  </si>
  <si>
    <t xml:space="preserve">WILLY MUREITHI MUKUNDI  </t>
  </si>
  <si>
    <r>
      <rPr>
        <rFont val="Calibri"/>
        <color theme="1"/>
        <sz val="11.0"/>
      </rPr>
      <t xml:space="preserve">Client making partial </t>
    </r>
    <r>
      <rPr>
        <rFont val="Calibri"/>
        <color rgb="FF1155CC"/>
        <sz val="11.0"/>
        <u/>
      </rPr>
      <t>by3.pm</t>
    </r>
  </si>
  <si>
    <t>Client</t>
  </si>
  <si>
    <t>Cyrus Njugwa</t>
  </si>
  <si>
    <t>will clear arrears today by 4pm</t>
  </si>
  <si>
    <t>L38708</t>
  </si>
  <si>
    <t xml:space="preserve"> NATHAN WAMBUGU THUKU</t>
  </si>
  <si>
    <t>Restruture ongoing - waiting for a client to pay valuation to proceed</t>
  </si>
  <si>
    <t xml:space="preserve"> EZEKIEL RIOBA MWITA BOKOBORA</t>
  </si>
  <si>
    <t xml:space="preserve">Client to male payments b CLsoe of business Today </t>
  </si>
  <si>
    <t xml:space="preserve">Client promsied to make payments by Close of business Today </t>
  </si>
  <si>
    <t xml:space="preserve">Client self booked the unit at yard, Engaging him for restructure </t>
  </si>
  <si>
    <t xml:space="preserve"> MARY NDANU NGAO</t>
  </si>
  <si>
    <t>Engagement ongoing with the client to make payment or selfbook unit by 1600hrs</t>
  </si>
  <si>
    <t xml:space="preserve">Client to deposit  cash by 4.30 Pm </t>
  </si>
  <si>
    <t>Engagement ongoing with the client to make payment or selfbook unit by 1700hrs</t>
  </si>
  <si>
    <t>client sourcing for a buyer to sell unit and clear arrears</t>
  </si>
  <si>
    <t>L33584</t>
  </si>
  <si>
    <t xml:space="preserve">JOSEPH wahome </t>
  </si>
  <si>
    <t>Client paid fully</t>
  </si>
  <si>
    <t xml:space="preserve">Client paid fully </t>
  </si>
  <si>
    <t>L31526</t>
  </si>
  <si>
    <t>JOSEPH NYANJUI GATHUNGO</t>
  </si>
  <si>
    <t xml:space="preserve">promsied to make payments by CLose of business 1730hrs </t>
  </si>
  <si>
    <t xml:space="preserve">Client self booked the unit at yard </t>
  </si>
  <si>
    <t>cleared the arrears</t>
  </si>
  <si>
    <t>client will clear on 25/8/2024</t>
  </si>
  <si>
    <t>DELILAH ANITA OWITI</t>
  </si>
  <si>
    <t>Client to pay all the amount in arrears by 23rd Aug</t>
  </si>
  <si>
    <t>instalment fully paid</t>
  </si>
  <si>
    <t>Unit at the yard client glooking for money to redeem the unit.</t>
  </si>
  <si>
    <t>arrears fully paid</t>
  </si>
  <si>
    <t>client will clear today by 5:30 pm</t>
  </si>
  <si>
    <t xml:space="preserve">Client to clear arrears by Close of business 23rd AUg </t>
  </si>
  <si>
    <t>DENNIS NGANDAH KIMUYU</t>
  </si>
  <si>
    <t>partial paid and sorting balance before end of the day</t>
  </si>
  <si>
    <t>L36391</t>
  </si>
  <si>
    <t>WILLIAM NGUNJIRI KIMANI</t>
  </si>
  <si>
    <t>installment fully paid</t>
  </si>
  <si>
    <t>Client to clear the tomorrow.he had paid partial payment</t>
  </si>
  <si>
    <t xml:space="preserve">Client promsied to make payments by 24th NOOn, Demand running </t>
  </si>
  <si>
    <t>to pay amount in arrears by  close of business today, Demand issued</t>
  </si>
  <si>
    <t xml:space="preserve">Buy-off on going,still convincing client to make full payments , the unit is at yard </t>
  </si>
  <si>
    <t>Balance to be collected tomorow</t>
  </si>
  <si>
    <t xml:space="preserve">Client promsie dto pay full amount by 26th aug, Vehicle is at yard , </t>
  </si>
  <si>
    <t>Car at the yard,Client looking for money before the unit is advertised for sale</t>
  </si>
  <si>
    <t>partially paid to clear by 1600hrs</t>
  </si>
  <si>
    <t>Promised  to pay full by 27rd Aug by Noon</t>
  </si>
  <si>
    <t xml:space="preserve">balance to be paid fully by tommorow noon </t>
  </si>
  <si>
    <t xml:space="preserve">Visited Client and she partially paid ksh 50,000 and promsied to make payments by Close of business 25th.Demand issued </t>
  </si>
  <si>
    <t>DORCAS NG'ONDU MAWEU</t>
  </si>
  <si>
    <t>Client to pay full amount in arrears by Close of business 1600 Today</t>
  </si>
  <si>
    <t>40days demand notice running. client claims he will clear on 24/8/2024</t>
  </si>
  <si>
    <t>client is sourcing for buyer to dispose one unit and clear arrears.</t>
  </si>
  <si>
    <t>Paying field visit today</t>
  </si>
  <si>
    <t>Partial paid, followin up for clearance by cob</t>
  </si>
  <si>
    <t>Demand issued on 8/8/2024, following up</t>
  </si>
  <si>
    <t>Partial paid, following up for clearance by cob</t>
  </si>
  <si>
    <t>paid in full</t>
  </si>
  <si>
    <t xml:space="preserve"> JAMES NJOROGE KAMAU</t>
  </si>
  <si>
    <t xml:space="preserve"> FREDRICK MUNYUI KAHIGA</t>
  </si>
  <si>
    <t>Paying by 5pm today</t>
  </si>
  <si>
    <t>Client to clear today.Installment is due today 24th august</t>
  </si>
  <si>
    <t>L39672</t>
  </si>
  <si>
    <t>client waiting for salary to reflect to pay off.A visit is scheduled tommorrow</t>
  </si>
  <si>
    <t>Client responded to my call and committed to clear today 24th august</t>
  </si>
  <si>
    <t>Car booked at the yard.Client looking for money to redeem the unit</t>
  </si>
  <si>
    <t>Cheque bounced to issue demand today</t>
  </si>
  <si>
    <t>FATUMA  ADAN ALI</t>
  </si>
  <si>
    <t>L38777</t>
  </si>
  <si>
    <t xml:space="preserve">Partialy Paid </t>
  </si>
  <si>
    <t>Paying by 6pm today</t>
  </si>
  <si>
    <t>cyus Njugwa</t>
  </si>
  <si>
    <t xml:space="preserve"> ROBERT KIPTANUI KITUR</t>
  </si>
  <si>
    <t>Cheque to be banked</t>
  </si>
  <si>
    <t xml:space="preserve"> STEPHEN NDEGWA WACHIRA</t>
  </si>
  <si>
    <t>Paid field visit today, client promised to clear today</t>
  </si>
  <si>
    <t>Client self book</t>
  </si>
  <si>
    <t>ANYANGO AWINO</t>
  </si>
  <si>
    <t xml:space="preserve"> PHOEBE MWANGANGE MAINA</t>
  </si>
  <si>
    <t xml:space="preserve"> EMILY ANNE WANGARI</t>
  </si>
  <si>
    <t>Paying by 4pm today</t>
  </si>
  <si>
    <t>L39759</t>
  </si>
  <si>
    <t xml:space="preserve"> SOLOMON GITHUKA GICHURU</t>
  </si>
  <si>
    <t>L39761</t>
  </si>
  <si>
    <t>Paying the balance of KES 6500</t>
  </si>
  <si>
    <t>Waiting for his salary to clear</t>
  </si>
  <si>
    <t>L39697</t>
  </si>
  <si>
    <t>L39706</t>
  </si>
  <si>
    <t>Unit at yard, engenging the client to redeem</t>
  </si>
  <si>
    <t>L39754</t>
  </si>
  <si>
    <t>Paying today by 5pm</t>
  </si>
  <si>
    <t>L39762</t>
  </si>
  <si>
    <t>L39782</t>
  </si>
  <si>
    <t>Partial paid To clear today by 4pm</t>
  </si>
  <si>
    <t>L28853</t>
  </si>
  <si>
    <t>OWLIA HASSAN HUSSEIN</t>
  </si>
  <si>
    <t>Property under auction</t>
  </si>
  <si>
    <t>Partial paid, to issue repo</t>
  </si>
  <si>
    <t>Forwarded for issuing Repo</t>
  </si>
  <si>
    <t>unit at the yard , engaging client to redeem</t>
  </si>
  <si>
    <t xml:space="preserve">unit at the yard </t>
  </si>
  <si>
    <t>Client committed to pay today.Demand running</t>
  </si>
  <si>
    <t>Partial paid, has active demand</t>
  </si>
  <si>
    <t>Demand issued 20/8/2024</t>
  </si>
  <si>
    <t>Demand issued 21/8/2024</t>
  </si>
  <si>
    <t>Demand issued to go for collection tomorrow</t>
  </si>
  <si>
    <r>
      <rPr>
        <rFont val="&quot;Google Sans&quot;, Roboto, sans-serif"/>
        <color rgb="FF1F1F1F"/>
        <sz val="9.0"/>
      </rPr>
      <t>L31674</t>
    </r>
  </si>
  <si>
    <t>40days demand notice running</t>
  </si>
  <si>
    <t>Cheque banked on 26/8/2024</t>
  </si>
  <si>
    <t>L38062</t>
  </si>
  <si>
    <t>MICHIRE NJERI JUNE</t>
  </si>
  <si>
    <t>cheque banked today 28th august</t>
  </si>
  <si>
    <t xml:space="preserve">paid 82000 </t>
  </si>
  <si>
    <t>client to make partial payment by today and balance by friday due to her delayed payment</t>
  </si>
  <si>
    <t>demand runnig ,client committed to pay on friday</t>
  </si>
  <si>
    <t>client is sorting the remaining balance before friday</t>
  </si>
  <si>
    <t>client to sort by tomorrow 29th</t>
  </si>
  <si>
    <t>client is sorting between today overnight and tomorrow morning</t>
  </si>
  <si>
    <t>client sorting with his bank since the reversal of his funds yet to refrect</t>
  </si>
  <si>
    <t>unit at the yard to clear balance of kes 3500 so as to redeem the uni</t>
  </si>
  <si>
    <t>L01-CCIN000706-003</t>
  </si>
  <si>
    <t xml:space="preserve">AGGREY ANUSU AKHAYA </t>
  </si>
  <si>
    <t>arrears fully settled as per the boss approval</t>
  </si>
  <si>
    <t>JAMES WACHERA NDUNGU</t>
  </si>
  <si>
    <t>loan fully paid</t>
  </si>
  <si>
    <t>paying before cob</t>
  </si>
  <si>
    <t>benedict  nyalo</t>
  </si>
  <si>
    <t>L39786</t>
  </si>
  <si>
    <t>L39818</t>
  </si>
  <si>
    <t>MOFFAT OTIENO OKEYO</t>
  </si>
  <si>
    <t xml:space="preserve">physical demand visit to her business </t>
  </si>
  <si>
    <t>to pay before 5pm</t>
  </si>
  <si>
    <t>he is making partial of kes 200k and to clear the balance before saturday</t>
  </si>
  <si>
    <t>paid 34590 on 28Tth</t>
  </si>
  <si>
    <t>Following client to clear</t>
  </si>
  <si>
    <t>she is making partial payment and the balance by tomorow in full</t>
  </si>
  <si>
    <t xml:space="preserve">repossession running thoughh client has promised to clear by tomorrow </t>
  </si>
  <si>
    <t xml:space="preserve">stills sorting with his bank to update by 2pm </t>
  </si>
  <si>
    <t>to make additional partial by today and clear the full balance by tomorrow</t>
  </si>
  <si>
    <t>client rebanked the cheque ,then clear the cheque fees and penalties</t>
  </si>
  <si>
    <t>client to clear between today and tomorrow</t>
  </si>
  <si>
    <t>paying before 5pm</t>
  </si>
  <si>
    <t>To pay by 1/9/2024</t>
  </si>
  <si>
    <t xml:space="preserve">client is vivisiting the office by 2pm today </t>
  </si>
  <si>
    <t>L39822</t>
  </si>
  <si>
    <t>client si sorting before 330pm his last instalment</t>
  </si>
  <si>
    <t>to pay befoore 5pm</t>
  </si>
  <si>
    <t>making the payment before  3pm</t>
  </si>
  <si>
    <t>to pay by monday due to delayed payment from his supplier</t>
  </si>
  <si>
    <t>she was to do partial payment by today pushing for full payment</t>
  </si>
  <si>
    <t>he promised to clear the arrears by today cob</t>
  </si>
  <si>
    <t>he did partal of 200k yesterday and he is adding 400k before 5pm today</t>
  </si>
  <si>
    <t>she is still following up on her payment but she is making partial of kes 100k as  she waits to clear the full arrears</t>
  </si>
  <si>
    <t>clearing between 40m and 5pm</t>
  </si>
  <si>
    <t>Balance to clear tommorow</t>
  </si>
  <si>
    <t>to update by 3pm</t>
  </si>
  <si>
    <t xml:space="preserve">makng partial of 100k </t>
  </si>
  <si>
    <t>did a partial payment of kes 20,000 following up to recover arrears in full</t>
  </si>
  <si>
    <t>benedict nyalo</t>
  </si>
  <si>
    <t>paying before cob today</t>
  </si>
  <si>
    <r>
      <rPr>
        <rFont val="&quot;Google Sans&quot;, Roboto, sans-serif"/>
        <color rgb="FF1F1F1F"/>
        <sz val="10.0"/>
      </rPr>
      <t>RUTH KITHIA KILUVA</t>
    </r>
  </si>
  <si>
    <t>partially paid pushing for the balance</t>
  </si>
  <si>
    <t>L39785</t>
  </si>
  <si>
    <t xml:space="preserve">To pay 40,000 by today </t>
  </si>
  <si>
    <t>L39734</t>
  </si>
  <si>
    <t>L39894</t>
  </si>
  <si>
    <r>
      <rPr>
        <rFont val="Calibri"/>
        <color theme="1"/>
        <sz val="11.0"/>
      </rPr>
      <t xml:space="preserve">to Clear by   </t>
    </r>
    <r>
      <rPr>
        <rFont val="Calibri"/>
        <color rgb="FF1155CC"/>
        <sz val="11.0"/>
        <u/>
      </rPr>
      <t>06.45.pm</t>
    </r>
    <r>
      <rPr>
        <rFont val="Calibri"/>
        <color theme="1"/>
        <sz val="11.0"/>
      </rPr>
      <t xml:space="preserve"> Today , Following up</t>
    </r>
  </si>
  <si>
    <t>L39989</t>
  </si>
  <si>
    <t xml:space="preserve">Paid Fully </t>
  </si>
  <si>
    <t>L39991</t>
  </si>
  <si>
    <t xml:space="preserve"> LEWIS KITHINJI GATOBU</t>
  </si>
  <si>
    <t>Client to pay by  1645pm today, Following up for payments.</t>
  </si>
  <si>
    <t xml:space="preserve">to  pay partially today and clear by 6th Sep 2024 Demand issued </t>
  </si>
  <si>
    <t xml:space="preserve">Client promsied to make payments by </t>
  </si>
  <si>
    <t xml:space="preserve"> EDWIN MURITHI KINYUAH</t>
  </si>
  <si>
    <t>To pay by 1530hrs</t>
  </si>
  <si>
    <t>[JOSEPH MACHARIA GATHUKU C/O NETCO LIMITED</t>
  </si>
  <si>
    <t>FATUMA ADAN ALI</t>
  </si>
  <si>
    <t>To confirm payment by 1600hrs</t>
  </si>
  <si>
    <t>samuel kiilo</t>
  </si>
  <si>
    <t>erroneous error .Accountant to reverse the penalty</t>
  </si>
  <si>
    <t>Unit at yard. To confirm payment by 1600hrs</t>
  </si>
  <si>
    <t xml:space="preserve"> ANTHONY KIHURIA MWENDA</t>
  </si>
  <si>
    <t>L24660</t>
  </si>
  <si>
    <t xml:space="preserve">partially paid, To clear by Close of business </t>
  </si>
  <si>
    <t>paid 18191 on saturday -split mai acc and IPF</t>
  </si>
  <si>
    <t>L39864</t>
  </si>
  <si>
    <t xml:space="preserve"> CAROLYNE MMBOGA KISIGWA</t>
  </si>
  <si>
    <t>To pay by 1645 pm Today</t>
  </si>
  <si>
    <t>RUTH GILBERT  MUTUA</t>
  </si>
  <si>
    <t>BENEDICT MWENDWA</t>
  </si>
  <si>
    <t>m</t>
  </si>
  <si>
    <t>L30582</t>
  </si>
  <si>
    <t>IBRAHIM ADAN ALI</t>
  </si>
  <si>
    <t>Annastacia</t>
  </si>
  <si>
    <t>L31580</t>
  </si>
  <si>
    <t>FRANCIS MUTIE KITAVI</t>
  </si>
  <si>
    <t>esther nyambura</t>
  </si>
  <si>
    <t>L32087</t>
  </si>
  <si>
    <t>BERNARD LENANA KEEN</t>
  </si>
  <si>
    <t>L33245</t>
  </si>
  <si>
    <t>ELIZABETH WAYUA MUTINDA</t>
  </si>
  <si>
    <t>L34715</t>
  </si>
  <si>
    <t>GLADYS NJERI MUHIA</t>
  </si>
  <si>
    <t>Janerose</t>
  </si>
  <si>
    <t>repossession issued to Cadua Auctioneers on 14/8/2024</t>
  </si>
  <si>
    <t>L34733</t>
  </si>
  <si>
    <t>CHRISTINE MUENDI KIILO</t>
  </si>
  <si>
    <t>L35530</t>
  </si>
  <si>
    <t>BOAZ IKAPES MATINDI</t>
  </si>
  <si>
    <t>L36266</t>
  </si>
  <si>
    <t>NANCY JEPTOO CHERUIYOT</t>
  </si>
  <si>
    <t xml:space="preserve">to pay tommorrow </t>
  </si>
  <si>
    <t>L36409</t>
  </si>
  <si>
    <t>L37100</t>
  </si>
  <si>
    <t>BASHIRI MRIMIA KIPIMO.</t>
  </si>
  <si>
    <t>L37810</t>
  </si>
  <si>
    <t>BERNARD CHARLES SATI</t>
  </si>
  <si>
    <t>To pay by close of business</t>
  </si>
  <si>
    <t>L28833</t>
  </si>
  <si>
    <t>PIORA MWENDWA MURUNGI</t>
  </si>
  <si>
    <t>L31019</t>
  </si>
  <si>
    <t>WILFRED GATHARA WARUI</t>
  </si>
  <si>
    <t>L32107</t>
  </si>
  <si>
    <t>TONNY MAKALE .</t>
  </si>
  <si>
    <t>L32683</t>
  </si>
  <si>
    <t>KENNETH   KAMAU MBURU</t>
  </si>
  <si>
    <t>Demand Isuued</t>
  </si>
  <si>
    <t>L33394</t>
  </si>
  <si>
    <t>JOY ANNE NAFULA NAMASAKA</t>
  </si>
  <si>
    <t>L34379</t>
  </si>
  <si>
    <t>JOSEPH BAHATI .</t>
  </si>
  <si>
    <t>L35507</t>
  </si>
  <si>
    <t>PETER KINYANJUI NDICHU</t>
  </si>
  <si>
    <t>annastacia</t>
  </si>
  <si>
    <t xml:space="preserve">To pay tommorrow </t>
  </si>
  <si>
    <t>L37230</t>
  </si>
  <si>
    <t>NAOMI WANGARI GACHUHO</t>
  </si>
  <si>
    <t>L38671</t>
  </si>
  <si>
    <t>DERICK ODHIAMBO EKESA</t>
  </si>
  <si>
    <t xml:space="preserve">to pay overnight </t>
  </si>
  <si>
    <t>L38734</t>
  </si>
  <si>
    <t>JACOB OCHOLA NYAKAKO</t>
  </si>
  <si>
    <t>to pay on 29th July, demand issued</t>
  </si>
  <si>
    <t>L39285</t>
  </si>
  <si>
    <t>KEPHA NYAMONGO OENGA</t>
  </si>
  <si>
    <t>CCIN001884-1000-002</t>
  </si>
  <si>
    <t xml:space="preserve">Luis Wahome </t>
  </si>
  <si>
    <t>L36265</t>
  </si>
  <si>
    <t>Elizabeth Wayua Mutinda</t>
  </si>
  <si>
    <t>L36227</t>
  </si>
  <si>
    <t>Bonface Kakunyi Nguma</t>
  </si>
  <si>
    <t>unit at yard.client to redeem latest by 16/8/2024</t>
  </si>
  <si>
    <t>CCIN001753-1000-002</t>
  </si>
  <si>
    <t>Grace Njeri</t>
  </si>
  <si>
    <t>promise to make partial payment on 16/8/2024.Repossession issued</t>
  </si>
  <si>
    <t>L32063</t>
  </si>
  <si>
    <t>Hezron Otieno Mc Obewa</t>
  </si>
  <si>
    <t xml:space="preserve">Seeking court order for approval for the collateral to be repossessed </t>
  </si>
  <si>
    <t>L34842</t>
  </si>
  <si>
    <t>Michael Maina</t>
  </si>
  <si>
    <t>L30715</t>
  </si>
  <si>
    <t xml:space="preserve">Martin Thuranira Kimumu
</t>
  </si>
  <si>
    <t>Auctioneer in the process of applying court order to repossess the unit</t>
  </si>
  <si>
    <t xml:space="preserve"> L35450</t>
  </si>
  <si>
    <t>Ann Wangechi Itinga</t>
  </si>
  <si>
    <t>L27024</t>
  </si>
  <si>
    <t>WELLINGTON MWAMBURI MANDE</t>
  </si>
  <si>
    <t>Cerullo</t>
  </si>
  <si>
    <t>L30617</t>
  </si>
  <si>
    <t>MILDRIN LUMONYE .</t>
  </si>
  <si>
    <t>L33481</t>
  </si>
  <si>
    <t>JOHN KENNEDY AYIEKO</t>
  </si>
  <si>
    <t>estther</t>
  </si>
  <si>
    <t>L34259</t>
  </si>
  <si>
    <t>DANIEL MUNGAI KABII</t>
  </si>
  <si>
    <t>L34516</t>
  </si>
  <si>
    <t>RICHARD AKALA CHUCHU</t>
  </si>
  <si>
    <t>L34604</t>
  </si>
  <si>
    <t>PATRICK MUSOTSI MATASI</t>
  </si>
  <si>
    <t>unit sold</t>
  </si>
  <si>
    <t>L35555</t>
  </si>
  <si>
    <t>RAHIMA WANJIRA GACHOKI</t>
  </si>
  <si>
    <t>L35588</t>
  </si>
  <si>
    <t>BRIAN MMATA MUSERA</t>
  </si>
  <si>
    <t xml:space="preserve">Committed to pay tommorrow </t>
  </si>
  <si>
    <t>L37124</t>
  </si>
  <si>
    <t>NICHOLAS WAITITU MWANGI</t>
  </si>
  <si>
    <t>L37812</t>
  </si>
  <si>
    <t>FRANCIS MURITHI NYAGA</t>
  </si>
  <si>
    <t>L37931</t>
  </si>
  <si>
    <t>RICHARD LITU MAJANI</t>
  </si>
  <si>
    <t>to clear by 15/08/2024</t>
  </si>
  <si>
    <t>to clear by 19/08/2024</t>
  </si>
  <si>
    <t xml:space="preserve">to pay by cob </t>
  </si>
  <si>
    <t>L38423</t>
  </si>
  <si>
    <t>REBECCA NYAWIRA .</t>
  </si>
  <si>
    <t>L38484</t>
  </si>
  <si>
    <t>JANE WANJIRU WAMAE</t>
  </si>
  <si>
    <t>L32122</t>
  </si>
  <si>
    <t xml:space="preserve">RECOVERY </t>
  </si>
  <si>
    <t>L34861</t>
  </si>
  <si>
    <t>William Kinuthia Kahindi</t>
  </si>
  <si>
    <t>paid ksh 70,000 via apybil.Account to be restructured</t>
  </si>
  <si>
    <t xml:space="preserve">Grace Njeri
</t>
  </si>
  <si>
    <t>promise to make partial payment on 16/8/2024</t>
  </si>
  <si>
    <t>To make payment by the 30th of July.</t>
  </si>
  <si>
    <t>L30648</t>
  </si>
  <si>
    <t>DENNIS AMOLLO ONDIEK</t>
  </si>
  <si>
    <t>L28479</t>
  </si>
  <si>
    <t>BELDINE ADOYO OCHIENG</t>
  </si>
  <si>
    <t>CERULLO</t>
  </si>
  <si>
    <t>Will pay tomorrow 25th</t>
  </si>
  <si>
    <t>L33442</t>
  </si>
  <si>
    <t>DAVID GITOGO NGUMO</t>
  </si>
  <si>
    <t>Clients to make payment on friday</t>
  </si>
  <si>
    <t>L34672</t>
  </si>
  <si>
    <t>JACOB MUTHUI KILONZO</t>
  </si>
  <si>
    <t>ESTHER</t>
  </si>
  <si>
    <t>demand is almost lapsing. to reposess unit upon expiry</t>
  </si>
  <si>
    <t>L37102</t>
  </si>
  <si>
    <t>JAMES NJENGA WAITHIRA</t>
  </si>
  <si>
    <t>client had partial paid and is repaying the balance before close of business</t>
  </si>
  <si>
    <t>L38742</t>
  </si>
  <si>
    <t>MARIERA MATAGARO MICHAEL</t>
  </si>
  <si>
    <t xml:space="preserve">Client to pay tommorrow </t>
  </si>
  <si>
    <t xml:space="preserve">demand running </t>
  </si>
  <si>
    <t>ANNASTACIA</t>
  </si>
  <si>
    <t>to pay by 15/08/2024</t>
  </si>
  <si>
    <t xml:space="preserve">to pay before friday </t>
  </si>
  <si>
    <t>L38837</t>
  </si>
  <si>
    <t>BASHIRI KIPIMO</t>
  </si>
  <si>
    <t>THOMAS OGUTU</t>
  </si>
  <si>
    <t>TITLEDEED</t>
  </si>
  <si>
    <t xml:space="preserve">Committed to pay by friday </t>
  </si>
  <si>
    <t xml:space="preserve">to clear tommorrow </t>
  </si>
  <si>
    <t>L32704</t>
  </si>
  <si>
    <t>SOSPETER ONYANGO OSUNGA</t>
  </si>
  <si>
    <t>client is requesting statement to clear arrears</t>
  </si>
  <si>
    <t xml:space="preserve">client confirmed to make payment before friday </t>
  </si>
  <si>
    <t>L25651</t>
  </si>
  <si>
    <t>MANAS OMULAMA OMUTANYI</t>
  </si>
  <si>
    <t>L28850</t>
  </si>
  <si>
    <t>MOHAMED ABASS  BULALE</t>
  </si>
  <si>
    <t xml:space="preserve">Repossesion Running </t>
  </si>
  <si>
    <t xml:space="preserve">to pay before  on friday </t>
  </si>
  <si>
    <t>L38760</t>
  </si>
  <si>
    <t>AQUADROPS PUREWATER LIMITED</t>
  </si>
  <si>
    <t xml:space="preserve">Account to be rolled over </t>
  </si>
  <si>
    <t>Account to be restructured</t>
  </si>
  <si>
    <t xml:space="preserve"> L32063</t>
  </si>
  <si>
    <t>INSIDE COLLECTION</t>
  </si>
  <si>
    <t xml:space="preserve">OTHER </t>
  </si>
  <si>
    <t xml:space="preserve">TOTAL COLLECTION </t>
  </si>
  <si>
    <t>L32144</t>
  </si>
  <si>
    <t>DAVID . MUIRURI</t>
  </si>
  <si>
    <t>Esther Nyambura</t>
  </si>
  <si>
    <t>L34778</t>
  </si>
  <si>
    <t>MERCY WALUNYWA .</t>
  </si>
  <si>
    <t>Maurice Cerullo</t>
  </si>
  <si>
    <t>to pay 27.7.24 COB</t>
  </si>
  <si>
    <t>L36020</t>
  </si>
  <si>
    <t>ALEX ODERO KAZONGO</t>
  </si>
  <si>
    <t>Anastacia Mue</t>
  </si>
  <si>
    <t>L36028</t>
  </si>
  <si>
    <t>JACKLINE KATHURE MURIITHI</t>
  </si>
  <si>
    <t>L36453</t>
  </si>
  <si>
    <t>JANET WARIGHE MWAMBELA</t>
  </si>
  <si>
    <t>To revisit client on 27.7.24 and collect full arrears</t>
  </si>
  <si>
    <t>L39249</t>
  </si>
  <si>
    <t>NEHEMIAH NGUGI KIMANI</t>
  </si>
  <si>
    <t>demand is running . client to be issued a proclamation by 16th</t>
  </si>
  <si>
    <t>FAITH NJERI WAMBUI</t>
  </si>
  <si>
    <t>demand issued on 25th July, has made partial payment</t>
  </si>
  <si>
    <t xml:space="preserve">Arrears cleared </t>
  </si>
  <si>
    <t>Expected salary date 30/07/2024 and has committed to pay on 30th July. To issue demand</t>
  </si>
  <si>
    <t>demand issued on 25th July</t>
  </si>
  <si>
    <t>L3793</t>
  </si>
  <si>
    <t>client has promised to make partial payment today then clear by tomorrow</t>
  </si>
  <si>
    <t>Jane Rose Wanjala</t>
  </si>
  <si>
    <t>unit at yard souricing for a buyer</t>
  </si>
  <si>
    <t>To clear by tomorrow 10am, still following up</t>
  </si>
  <si>
    <t>client disputing tracking fees waiting on statement</t>
  </si>
  <si>
    <t>esther Nyambura</t>
  </si>
  <si>
    <t xml:space="preserve"> Anastacia Mue</t>
  </si>
  <si>
    <t>L34330</t>
  </si>
  <si>
    <t>JUDE MUTUMA THURANIRA</t>
  </si>
  <si>
    <t>L39192</t>
  </si>
  <si>
    <t>Lydia Wanjiku Kiboro/Dujour Limited</t>
  </si>
  <si>
    <t>partial paid, to clear tomorrow</t>
  </si>
  <si>
    <t>L31792</t>
  </si>
  <si>
    <t>DUKE MAINYE NYAUNCHO</t>
  </si>
  <si>
    <t>promise to make payment on 7/26/2024</t>
  </si>
  <si>
    <t>proclamation running</t>
  </si>
  <si>
    <t xml:space="preserve">Bonface Kakunyi Nguma
</t>
  </si>
  <si>
    <t>unit repossessed today 7/25/2024</t>
  </si>
  <si>
    <t>L30051</t>
  </si>
  <si>
    <t>Maurice Jumah Okumu</t>
  </si>
  <si>
    <t xml:space="preserve">Paid Kes 20,000 to be followed to clear the balance over the weekend </t>
  </si>
  <si>
    <t>L28012</t>
  </si>
  <si>
    <t>CAROLYNE FAITH NGONYO MUTINDA</t>
  </si>
  <si>
    <t>L32836</t>
  </si>
  <si>
    <t>PAUL MLAMA RAPANDO</t>
  </si>
  <si>
    <t>L34922</t>
  </si>
  <si>
    <t>ERIC JUMA OBEKO</t>
  </si>
  <si>
    <t>L36059</t>
  </si>
  <si>
    <t>JANEFFER MUTHEU NZAU</t>
  </si>
  <si>
    <t>awaiting payment confirmation</t>
  </si>
  <si>
    <t>L36332</t>
  </si>
  <si>
    <t>WILBERFORCE MUTAMA MUNOKO</t>
  </si>
  <si>
    <t>L36392</t>
  </si>
  <si>
    <t>ANGIRA SHADRACK OTHIENO</t>
  </si>
  <si>
    <t>L36410</t>
  </si>
  <si>
    <t>JOHN KYALO MUTISYA</t>
  </si>
  <si>
    <t>L36428</t>
  </si>
  <si>
    <t>DONALD MULI MWANGEA</t>
  </si>
  <si>
    <t>L37151</t>
  </si>
  <si>
    <t>IRENE NDUKU MALUKI</t>
  </si>
  <si>
    <t>L37165</t>
  </si>
  <si>
    <t>JOHN MATHEKA KITHUKA</t>
  </si>
  <si>
    <t>To revisit client on 27.7.24 and collect full arrears, issue demand</t>
  </si>
  <si>
    <t>L37205</t>
  </si>
  <si>
    <t>ISAIAH MUDAMBI MANDALA</t>
  </si>
  <si>
    <t>L38788</t>
  </si>
  <si>
    <t>AMOS OMONDI WANGWA</t>
  </si>
  <si>
    <t>MAURICE CERULLO</t>
  </si>
  <si>
    <t>client has promised to pay by COB</t>
  </si>
  <si>
    <t>L38826</t>
  </si>
  <si>
    <t>PAUL KARARI KIRIBA</t>
  </si>
  <si>
    <t>MODESTY LYIMO</t>
  </si>
  <si>
    <t>VINCENT KATUTA</t>
  </si>
  <si>
    <t>DERRICK EKESA</t>
  </si>
  <si>
    <t>ANNASTICIA</t>
  </si>
  <si>
    <t>To make partial payment then clear by tomorrow</t>
  </si>
  <si>
    <t>Paid- Finance to reverse the tracking arrears</t>
  </si>
  <si>
    <t>L35605</t>
  </si>
  <si>
    <t>Samuel Ngugi Ndiba</t>
  </si>
  <si>
    <t>LIZ</t>
  </si>
  <si>
    <t>L34702</t>
  </si>
  <si>
    <t>BRAMWEL MWANJE SHITERO</t>
  </si>
  <si>
    <t>Alex Kazongo</t>
  </si>
  <si>
    <t>L38878</t>
  </si>
  <si>
    <t xml:space="preserve">Boniface Ochola Obala  </t>
  </si>
  <si>
    <t xml:space="preserve">Elizabeth Wayua Mutinda
</t>
  </si>
  <si>
    <t>unit at yard advertised for sale</t>
  </si>
  <si>
    <t>partial paid ksh 25,000 via cash deposit on 26th July 2024.</t>
  </si>
  <si>
    <t>L29633</t>
  </si>
  <si>
    <t xml:space="preserve">Leonard Kiprono Kirui
</t>
  </si>
  <si>
    <t>L28063</t>
  </si>
  <si>
    <t>SILVIA NJERI MUTURI</t>
  </si>
  <si>
    <t>promise to make payment on 7/28/2024</t>
  </si>
  <si>
    <t>L30018</t>
  </si>
  <si>
    <t>AISHA WANJIRU KARUGU</t>
  </si>
  <si>
    <t>L30173</t>
  </si>
  <si>
    <t>GRACE WANJIRU MWANGI</t>
  </si>
  <si>
    <t>L31140</t>
  </si>
  <si>
    <t>HESBON OLWENY</t>
  </si>
  <si>
    <t>to pay by CoB</t>
  </si>
  <si>
    <t>L32809</t>
  </si>
  <si>
    <t>ADAM ALI OSMAN</t>
  </si>
  <si>
    <t>L32852</t>
  </si>
  <si>
    <t>PHILIP KITEME MANZI</t>
  </si>
  <si>
    <t>L32866</t>
  </si>
  <si>
    <t>VINCENT  MICHAEL  KATUTA</t>
  </si>
  <si>
    <t>L36369</t>
  </si>
  <si>
    <t>to make partial payments COB and clear arrears plus penalties on 5th August</t>
  </si>
  <si>
    <t>L36429</t>
  </si>
  <si>
    <t>ALICE MUMBUA MUSYOKI</t>
  </si>
  <si>
    <t>L36475</t>
  </si>
  <si>
    <t>CHARITY NYAGUTHII KABAARA</t>
  </si>
  <si>
    <t>L38028</t>
  </si>
  <si>
    <t>JOANNE CYNTHIA NJERI KIARIE</t>
  </si>
  <si>
    <t>L39415</t>
  </si>
  <si>
    <t>DORCAS ACHIENG OTINGA</t>
  </si>
  <si>
    <t>L32769</t>
  </si>
  <si>
    <t>JOSEPHINE NYOKABI WANJIKU</t>
  </si>
  <si>
    <t>Michael Muhoho</t>
  </si>
  <si>
    <t>L33533</t>
  </si>
  <si>
    <t>paid 1,000,000 to clear the rest by CoB</t>
  </si>
  <si>
    <t>Samuel Musisi</t>
  </si>
  <si>
    <t>To pay by CoB</t>
  </si>
  <si>
    <t>Waiting for confirmation of payment inorder to do a restructure</t>
  </si>
  <si>
    <t>partially paid ksh 7,000 via paybil on 27/7/2024</t>
  </si>
  <si>
    <t>account to be restructured</t>
  </si>
  <si>
    <t>partially paid ksh 33,000 via paybil on 27th July 2024</t>
  </si>
  <si>
    <t>L32173</t>
  </si>
  <si>
    <t>EDWARD MUTEA MBAYA</t>
  </si>
  <si>
    <t>L33551</t>
  </si>
  <si>
    <t>SOPHIA NAFULA WAMALWA</t>
  </si>
  <si>
    <t>L34664</t>
  </si>
  <si>
    <t>BRYAN MUNIKA LISECHE</t>
  </si>
  <si>
    <t>L34948</t>
  </si>
  <si>
    <t>BONIFACE MUUMBI NZOMO</t>
  </si>
  <si>
    <t>L35670</t>
  </si>
  <si>
    <t>WRIGHT ARIEMBA MOMANYI</t>
  </si>
  <si>
    <t>L36488</t>
  </si>
  <si>
    <t>CHARLES LIKOYE OTUMA</t>
  </si>
  <si>
    <t>to pay by tomorrow 10am</t>
  </si>
  <si>
    <t>L36675</t>
  </si>
  <si>
    <t>CALVIN NYAKURE KUNI</t>
  </si>
  <si>
    <t>L37247</t>
  </si>
  <si>
    <t>EDWIN ONSARIGO KENGERE</t>
  </si>
  <si>
    <t>CORAZON NYANGALA</t>
  </si>
  <si>
    <t>L37930</t>
  </si>
  <si>
    <t>KIPKIRUI KETER CHARLES</t>
  </si>
  <si>
    <t>to clear by 31/7/2024</t>
  </si>
  <si>
    <t>L38054</t>
  </si>
  <si>
    <t>ERIC MURIITHI NJOKA</t>
  </si>
  <si>
    <t>L39431</t>
  </si>
  <si>
    <t>L24710</t>
  </si>
  <si>
    <t>IVY MAKENA BAUNI</t>
  </si>
  <si>
    <t>L28082</t>
  </si>
  <si>
    <t>L32847</t>
  </si>
  <si>
    <t>IRENE NDUNGE JOEL</t>
  </si>
  <si>
    <t>client committed to pay full arrears by COB 30.7.24</t>
  </si>
  <si>
    <t>L33531</t>
  </si>
  <si>
    <t>SAMSON MUTINDA MALONZA</t>
  </si>
  <si>
    <t>L35640</t>
  </si>
  <si>
    <t>ROY MASAI .</t>
  </si>
  <si>
    <t>to pay COB</t>
  </si>
  <si>
    <t>L35717</t>
  </si>
  <si>
    <t>ROBERT KIPYEGO RUTO</t>
  </si>
  <si>
    <t>L36463</t>
  </si>
  <si>
    <t>ERICK NYAGISERA OMAE</t>
  </si>
  <si>
    <t>L38025</t>
  </si>
  <si>
    <t>DEREK WAHOME NDIRANGU</t>
  </si>
  <si>
    <t>L38716</t>
  </si>
  <si>
    <t>MICHAEL KINYANJUI MUHOHO</t>
  </si>
  <si>
    <t>Partially paid on 27.7.24, to clear balance on 30.7.24</t>
  </si>
  <si>
    <t>Boniface Ochola Obala</t>
  </si>
  <si>
    <t>L28190</t>
  </si>
  <si>
    <t xml:space="preserve">SOLOMON MWANGA LUTTA </t>
  </si>
  <si>
    <t>l31116</t>
  </si>
  <si>
    <t>Boniface Kilaa Kasina</t>
  </si>
  <si>
    <t>l32852</t>
  </si>
  <si>
    <t>Philip kiteme manzi</t>
  </si>
  <si>
    <t>to pay overnight and share confirmation</t>
  </si>
  <si>
    <t>To make partial payment today due to funds delay and clear the rest on 30.7.24</t>
  </si>
  <si>
    <t>L37815</t>
  </si>
  <si>
    <t xml:space="preserve">ABRAHAM KIPKEINO TALEL  </t>
  </si>
  <si>
    <t>L34934</t>
  </si>
  <si>
    <t>PAULO ODERA .</t>
  </si>
  <si>
    <t>Duncun</t>
  </si>
  <si>
    <t>L29602</t>
  </si>
  <si>
    <t>MICHELLE KERUBO ONDARI</t>
  </si>
  <si>
    <t>L34245</t>
  </si>
  <si>
    <t>GILBERT NDIRITU WANGOMBE</t>
  </si>
  <si>
    <t xml:space="preserve">Partilay paid </t>
  </si>
  <si>
    <t xml:space="preserve">to clear by 31st, demand running </t>
  </si>
  <si>
    <t>L33489</t>
  </si>
  <si>
    <t>PAUL CHAKA SICHANGI</t>
  </si>
  <si>
    <t>paid ksh 34,591 via paybil on 29/7/2024</t>
  </si>
  <si>
    <t>Martin Thuranira Kimumu</t>
  </si>
  <si>
    <t>John Matheka Kithuka</t>
  </si>
  <si>
    <t>paid arrears in full</t>
  </si>
  <si>
    <t>John Kyalo Mutisya</t>
  </si>
  <si>
    <t>To pay by the 30th of July 2024</t>
  </si>
  <si>
    <t>To make payment by 31st of July 2024</t>
  </si>
  <si>
    <t>L35498</t>
  </si>
  <si>
    <t>Ayyakannu . Loganathasn</t>
  </si>
  <si>
    <t>The auctioneer spot the unit in Narok at Garage and are monitoring it to repossess it today</t>
  </si>
  <si>
    <t>Philip Tuju Sijenyi</t>
  </si>
  <si>
    <t>L30711</t>
  </si>
  <si>
    <t>BENSON NJENGA KINYANJUI</t>
  </si>
  <si>
    <t>To pay by 3rd of August 2024</t>
  </si>
  <si>
    <t>L31717</t>
  </si>
  <si>
    <t>BENSON</t>
  </si>
  <si>
    <t>L32816</t>
  </si>
  <si>
    <t>JINALO NDERITU MWANGI</t>
  </si>
  <si>
    <t>Shimin Insurance Departmen</t>
  </si>
  <si>
    <t>L33556</t>
  </si>
  <si>
    <t>L34258</t>
  </si>
  <si>
    <t>ABDUB KALLA FUGICHA</t>
  </si>
  <si>
    <t>L37154</t>
  </si>
  <si>
    <t>ISAYA ODUOR OTIENO</t>
  </si>
  <si>
    <t>to clear by 16/08/2024</t>
  </si>
  <si>
    <t>L37176</t>
  </si>
  <si>
    <t>MARGARET OYIM ONYANGO</t>
  </si>
  <si>
    <t>L37253</t>
  </si>
  <si>
    <t>to clear by 17/08/2024</t>
  </si>
  <si>
    <t>L38140</t>
  </si>
  <si>
    <t>JOYCE MUKHUNJI CHUNE</t>
  </si>
  <si>
    <t>MACLINE GATI NYAMOHANGA</t>
  </si>
  <si>
    <t xml:space="preserve">Samson Mutinda Malonza
</t>
  </si>
  <si>
    <t>L31116</t>
  </si>
  <si>
    <t>BONIFACE KILAA KASINA</t>
  </si>
  <si>
    <t xml:space="preserve">Kipkirui Charles Keter </t>
  </si>
  <si>
    <t xml:space="preserve">to clear by 20/08/2024, demand still running </t>
  </si>
  <si>
    <t>PAUL KIRIBA</t>
  </si>
  <si>
    <t>L38888</t>
  </si>
  <si>
    <t xml:space="preserve">Langat Nelson </t>
  </si>
  <si>
    <t>L37696</t>
  </si>
  <si>
    <t>Wesley Githinji</t>
  </si>
  <si>
    <t>To Pay overnight</t>
  </si>
  <si>
    <t xml:space="preserve">John Kyalo Mutisya
</t>
  </si>
  <si>
    <t>L36242</t>
  </si>
  <si>
    <t xml:space="preserve">Eric Mwangi Ndirangu
</t>
  </si>
  <si>
    <t xml:space="preserve">Daniel Mungai Kabii
</t>
  </si>
  <si>
    <t>partially paid 15k via paybil on 30/7/2024,to clear arrears  by 16/8/2024</t>
  </si>
  <si>
    <t>The auctioneer spotted the unit is Narok at a Garage we are monitoring to repossessed it.</t>
  </si>
  <si>
    <t>L37454</t>
  </si>
  <si>
    <t>Thomas Joseph Omondi Ogutu</t>
  </si>
  <si>
    <t>The client said he is waiting for the payment to be done to him so that he can clear th arrears end of today</t>
  </si>
  <si>
    <t>L35838</t>
  </si>
  <si>
    <t>EDWARD MAXWELL ANYONA</t>
  </si>
  <si>
    <t>to clear by 20/08/2024</t>
  </si>
  <si>
    <t>commited to clear on 15/08/2024</t>
  </si>
  <si>
    <t>SAMSON MUTINDA MUTISYA</t>
  </si>
  <si>
    <t>LANGAT KIBET NELSON</t>
  </si>
  <si>
    <t>LYDIA WANJIKU KIBORO/DUJOUR LIMITED.</t>
  </si>
  <si>
    <t>Waiting for the approval of the court order to repossess the unit</t>
  </si>
  <si>
    <t>The client said his payments got delayed still waiting for them to reflect to make the payments</t>
  </si>
  <si>
    <t>unit at yard.Client doing restructure</t>
  </si>
  <si>
    <t>Daniel Mungai Kabii</t>
  </si>
  <si>
    <t>Promise to clear arrears on 16/8/2024</t>
  </si>
  <si>
    <t xml:space="preserve">HEZRON OTIENO MC OBEWA </t>
  </si>
  <si>
    <t>The client was served with a proclamation set to expire by the 2nd of July 2024</t>
  </si>
  <si>
    <t>client committed to pay and clear arrears on 02.08.24. Ddemand issued</t>
  </si>
  <si>
    <t>L30355</t>
  </si>
  <si>
    <t>JOSEPH KIPCHUMBA TOWEETT</t>
  </si>
  <si>
    <t>L32908</t>
  </si>
  <si>
    <t>JOSEPHINE KAVESU KITHUKA KILONZO</t>
  </si>
  <si>
    <t>Cheque banked today</t>
  </si>
  <si>
    <t>L33597</t>
  </si>
  <si>
    <t>KELVIS WANJIA IRAVONGA</t>
  </si>
  <si>
    <t>L34974</t>
  </si>
  <si>
    <t>CHRISTINE KENDI MUTHAMIA</t>
  </si>
  <si>
    <t>L35064</t>
  </si>
  <si>
    <t>OCHIENG AZIZ ABDALLAH</t>
  </si>
  <si>
    <t>client was issued with a demand notice that is currently upon elapsing of the demand on 17th reposession orders will be issued</t>
  </si>
  <si>
    <t>L35070</t>
  </si>
  <si>
    <t>L35634</t>
  </si>
  <si>
    <t>PAUL GAKURU KARANJA</t>
  </si>
  <si>
    <t>To pay Overnight</t>
  </si>
  <si>
    <t>L35759</t>
  </si>
  <si>
    <t>L38815</t>
  </si>
  <si>
    <t>KENNEDY MBUGUA THAIRU</t>
  </si>
  <si>
    <t>L38829</t>
  </si>
  <si>
    <t>DANIEL MURIUKI GITHUI/ DANKI CRANES LTD</t>
  </si>
  <si>
    <t>L38930</t>
  </si>
  <si>
    <t>MARTIN MWIRIGI KARANI</t>
  </si>
  <si>
    <t>L31743</t>
  </si>
  <si>
    <t>JOHN NGANGA KARIUKI</t>
  </si>
  <si>
    <t>L37351</t>
  </si>
  <si>
    <t>JAMES WANYOIKE WAWERU</t>
  </si>
  <si>
    <t>L33157</t>
  </si>
  <si>
    <t>FRANCIS KAGIRI KABARITA</t>
  </si>
  <si>
    <t>unit at yard, sourcing for a buyer</t>
  </si>
  <si>
    <t>STEPHEN KIHIU</t>
  </si>
  <si>
    <t>L31793</t>
  </si>
  <si>
    <t xml:space="preserve">EDWIN SILA MUTISO </t>
  </si>
  <si>
    <t>L30359</t>
  </si>
  <si>
    <t>MICHAEL KIBISU KIBANDE</t>
  </si>
  <si>
    <t>Margaret oyim</t>
  </si>
  <si>
    <t>L35474</t>
  </si>
  <si>
    <t>Samuel mwangi Njuguna</t>
  </si>
  <si>
    <t>partially paid via paybill, Has a running demand</t>
  </si>
  <si>
    <t>The arrears were paid</t>
  </si>
  <si>
    <t>partially paid.</t>
  </si>
  <si>
    <t>Auctioneer still searching the unit</t>
  </si>
  <si>
    <t>promise to make payment on 2/8/2024</t>
  </si>
  <si>
    <t>L36872</t>
  </si>
  <si>
    <t>michere june njeri</t>
  </si>
  <si>
    <t>a dmand letter was ssued on accoun t. proclamation will be sent to client on 16th aug</t>
  </si>
  <si>
    <t>L36862</t>
  </si>
  <si>
    <t>george wangendo marai</t>
  </si>
  <si>
    <t>unit at yard, client to redeem unit before 18th aug</t>
  </si>
  <si>
    <t>Partially paid, to clear the remaining balance on 05.08.24</t>
  </si>
  <si>
    <t>L30136</t>
  </si>
  <si>
    <t>PETER OCHIENG SISO</t>
  </si>
  <si>
    <t>L31473</t>
  </si>
  <si>
    <t>a demand letter was issued on clients account and is currently running</t>
  </si>
  <si>
    <t>L32191</t>
  </si>
  <si>
    <t>PETRONILLA MUTHEU KITHUMA</t>
  </si>
  <si>
    <t>L32244</t>
  </si>
  <si>
    <t>KELVIN KANGETHE MBUGUA</t>
  </si>
  <si>
    <t>to partially pay overnight and clear by 03.08.24 COB</t>
  </si>
  <si>
    <t>L32977</t>
  </si>
  <si>
    <t>benson agunda</t>
  </si>
  <si>
    <t>L35088</t>
  </si>
  <si>
    <t>LILIAN NYIHA NDUNGU</t>
  </si>
  <si>
    <t>L35728</t>
  </si>
  <si>
    <t>LEAMY KARIENYE</t>
  </si>
  <si>
    <t>L37144</t>
  </si>
  <si>
    <t>ANDREW OMBWORI ONSOMU</t>
  </si>
  <si>
    <t>client has committed to clear arrears and penalties on 05.08.24 as his funds have delayed</t>
  </si>
  <si>
    <t>L38929</t>
  </si>
  <si>
    <t>GEORGE GITONGA MURIUNGI</t>
  </si>
  <si>
    <t>L39604</t>
  </si>
  <si>
    <t>OLGA NERIMA WEBUYE</t>
  </si>
  <si>
    <t>AMOS WANGWA</t>
  </si>
  <si>
    <t>repossesion issued,proclamation to be served to client</t>
  </si>
  <si>
    <t>L37711</t>
  </si>
  <si>
    <t>OCHIENG JAPHETH DIBO</t>
  </si>
  <si>
    <t>Paid. To clear the remaining balance on 05.08.24</t>
  </si>
  <si>
    <t xml:space="preserve">client to be issued demand notice </t>
  </si>
  <si>
    <t xml:space="preserve">esther nyambura </t>
  </si>
  <si>
    <t>demand letter was issued and is set to expire by 16th aug. eposession orders will be issued</t>
  </si>
  <si>
    <t>client partial paid. to complete arrears by 18th. a demnd letter was issued and is currently running</t>
  </si>
  <si>
    <t>RIVERCROSS TRACKING LTD</t>
  </si>
  <si>
    <t xml:space="preserve">KENNEDY MBUGUA THAIRU </t>
  </si>
  <si>
    <t>L35147</t>
  </si>
  <si>
    <t>PAUL AMENYA OLELA</t>
  </si>
  <si>
    <t>Francis Kagiri Kabarita</t>
  </si>
  <si>
    <t>The client unit has been repossessed and booked to the yard today.</t>
  </si>
  <si>
    <t>Peter Kinyanjui Ndichu</t>
  </si>
  <si>
    <t>To make a follow up by the 3/8/2024</t>
  </si>
  <si>
    <t>The client to make payment for the arrears by the 5th of August 2024</t>
  </si>
  <si>
    <t>The client to make overnight payment today</t>
  </si>
  <si>
    <t xml:space="preserve">Gladys Njeri Muhia 
</t>
  </si>
  <si>
    <t>repossession issued to jeray Auctioneer on 2/8/2024</t>
  </si>
  <si>
    <t xml:space="preserve">Grace Njeri 
</t>
  </si>
  <si>
    <t>promise to make payment on 5/8/2024</t>
  </si>
  <si>
    <t>client self booked the unit today 2/8/2024</t>
  </si>
  <si>
    <t>Auctioneer to proceed with repossession on 3/8/2024</t>
  </si>
  <si>
    <t>To clear the arrears by the 3rd of August 2024</t>
  </si>
  <si>
    <t>L27638</t>
  </si>
  <si>
    <t>MIRIAM AOKO OJUOK</t>
  </si>
  <si>
    <t>L29629</t>
  </si>
  <si>
    <t>TITUS KIPCHUMBA KIPROP</t>
  </si>
  <si>
    <t>LEONARD KIPRONO KIRUI</t>
  </si>
  <si>
    <r>
      <rPr>
        <rFont val="Calibri, sans-serif"/>
        <color rgb="FF000000"/>
        <sz val="11.0"/>
      </rPr>
      <t xml:space="preserve">Client to pay on </t>
    </r>
    <r>
      <rPr>
        <rFont val="Calibri, sans-serif"/>
        <color rgb="FF1155CC"/>
        <sz val="11.0"/>
        <u/>
      </rPr>
      <t>04.08.24. To</t>
    </r>
    <r>
      <rPr>
        <rFont val="Calibri, sans-serif"/>
        <color rgb="FF000000"/>
        <sz val="11.0"/>
      </rPr>
      <t xml:space="preserve"> follow up with the client on05.08.24</t>
    </r>
  </si>
  <si>
    <t>L31226</t>
  </si>
  <si>
    <t>ABERI ONESMUS BOSIRE</t>
  </si>
  <si>
    <t>L32342</t>
  </si>
  <si>
    <t>RIVERCROSS TRACKING LIMITED</t>
  </si>
  <si>
    <t>L32991</t>
  </si>
  <si>
    <t>JOSEPH KAHUTHIA MWANGI</t>
  </si>
  <si>
    <t>L35082</t>
  </si>
  <si>
    <t>HOSEA SITATI BARASA</t>
  </si>
  <si>
    <t>L35136</t>
  </si>
  <si>
    <t>L36304</t>
  </si>
  <si>
    <t>AUSTINE WESLY OCHIENG</t>
  </si>
  <si>
    <t>L36308</t>
  </si>
  <si>
    <t>L37693</t>
  </si>
  <si>
    <t>GORDON APOLLO OLIECH ODHIAMBO</t>
  </si>
  <si>
    <t>L38186</t>
  </si>
  <si>
    <t>JAMES MWANGI NDIRITU</t>
  </si>
  <si>
    <t>L38191</t>
  </si>
  <si>
    <t>L38222</t>
  </si>
  <si>
    <t>STEPHEN KAIRU GATUNDU</t>
  </si>
  <si>
    <t>L39002</t>
  </si>
  <si>
    <t>JOSEPHAT BIU KAMAU</t>
  </si>
  <si>
    <t>L36991</t>
  </si>
  <si>
    <t xml:space="preserve">PAUL MUNYI WAIHENYA </t>
  </si>
  <si>
    <t>L35835</t>
  </si>
  <si>
    <t>STEPHEN OMONDI OGENGA</t>
  </si>
  <si>
    <t>L34022</t>
  </si>
  <si>
    <t>VICTOR KIMORI AROGO</t>
  </si>
  <si>
    <t>L37413</t>
  </si>
  <si>
    <t>JOHN KIHONGE .</t>
  </si>
  <si>
    <t>L38287</t>
  </si>
  <si>
    <t>RACHEL GESARE ORANG'I</t>
  </si>
  <si>
    <t>L38290</t>
  </si>
  <si>
    <t>The client is sourcing for the funds to redeem the unit</t>
  </si>
  <si>
    <t xml:space="preserve"> L35507</t>
  </si>
  <si>
    <t>The auctioneer is doing an investigation in Kirigiti to repossess the unit</t>
  </si>
  <si>
    <t>The auctioneer spotted the unit in Garage in Narok to repossess the unit today</t>
  </si>
  <si>
    <t xml:space="preserve">Gladys Njeri Muhia
</t>
  </si>
  <si>
    <t>L34988</t>
  </si>
  <si>
    <t xml:space="preserve">John Njuguna Wanjiku
</t>
  </si>
  <si>
    <t>L30506</t>
  </si>
  <si>
    <t>CATHERINE WANJIRU WACHIRA</t>
  </si>
  <si>
    <t>L32233</t>
  </si>
  <si>
    <t>L32339</t>
  </si>
  <si>
    <t>To pay overnight, follow up on 06.08.24</t>
  </si>
  <si>
    <t>L33648</t>
  </si>
  <si>
    <t>BRIAN MUSYOKA ALEX</t>
  </si>
  <si>
    <t>L35704</t>
  </si>
  <si>
    <t>SAMUEL KARIUKI MAINA</t>
  </si>
  <si>
    <t>demand was issued on clients account. he commits to clearing before 18th aug</t>
  </si>
  <si>
    <t>L35782</t>
  </si>
  <si>
    <t>THOMAS OBURE OSIEMO</t>
  </si>
  <si>
    <t>L35783</t>
  </si>
  <si>
    <t>L36219</t>
  </si>
  <si>
    <t>EVA KANYIRI KAIMENYI</t>
  </si>
  <si>
    <t>L36545</t>
  </si>
  <si>
    <t>MESHACK MUTIE NGUI</t>
  </si>
  <si>
    <t>L36646</t>
  </si>
  <si>
    <t>ROBERT KIILU MUTISYA</t>
  </si>
  <si>
    <t>client partial paid. a demand letter was issued and its currently running.  Client commits to clear before 18th aug</t>
  </si>
  <si>
    <t>L36649</t>
  </si>
  <si>
    <t>MARGARET STELLA WANJIRU</t>
  </si>
  <si>
    <t>L28952</t>
  </si>
  <si>
    <t>CAROLINE CHERUTO KAPTICH</t>
  </si>
  <si>
    <t>L29019</t>
  </si>
  <si>
    <t>SAMSON ODUOR OMONDI</t>
  </si>
  <si>
    <t>L29655</t>
  </si>
  <si>
    <t>MUTINDA MUTISYA .</t>
  </si>
  <si>
    <t>demand issued and currently running. client has patial paid and is expecte to clear the balance by 16th</t>
  </si>
  <si>
    <t>L32356</t>
  </si>
  <si>
    <t>DENIS GACHEE KABUTHA</t>
  </si>
  <si>
    <t>L33664</t>
  </si>
  <si>
    <t>KENNEDY OMONDI OGUNDE</t>
  </si>
  <si>
    <t>client issued with s demand notice. client has signed a commitment for clearing all arrears by friday 16th</t>
  </si>
  <si>
    <t>L33671</t>
  </si>
  <si>
    <t>RUTH MORAA NYASINGA</t>
  </si>
  <si>
    <t>L34992</t>
  </si>
  <si>
    <t>ALEX MUNENE MBAKA</t>
  </si>
  <si>
    <t>Unit at yard sourcing for a buyer</t>
  </si>
  <si>
    <t>L35846</t>
  </si>
  <si>
    <t>CAROLINE WANJIKU MACHARIA</t>
  </si>
  <si>
    <t>L36749</t>
  </si>
  <si>
    <t>NELSON MWANYANGWA  LUKA KALE</t>
  </si>
  <si>
    <t>L37527</t>
  </si>
  <si>
    <t>RUTH BONARERI MOMANYI</t>
  </si>
  <si>
    <t>To pay COB today</t>
  </si>
  <si>
    <t>L39109</t>
  </si>
  <si>
    <t>BRIAN SERETE .</t>
  </si>
  <si>
    <t>L39167</t>
  </si>
  <si>
    <t>EVA CHEBET CHUMO</t>
  </si>
  <si>
    <t xml:space="preserve">BRYAN MUNIKA </t>
  </si>
  <si>
    <t>esther nyambua</t>
  </si>
  <si>
    <t xml:space="preserve">BENARD LENANA KEEN </t>
  </si>
  <si>
    <t>Tittle deed</t>
  </si>
  <si>
    <t>Client requested for extension and paid extension fees</t>
  </si>
  <si>
    <t xml:space="preserve">annastacia </t>
  </si>
  <si>
    <t>L37164</t>
  </si>
  <si>
    <t>repossesion issued</t>
  </si>
  <si>
    <t>L37488</t>
  </si>
  <si>
    <t>DOREEN NKATHA .</t>
  </si>
  <si>
    <t>PAID PARTIALLY</t>
  </si>
  <si>
    <t>To clear all arrears 14.08.24. Demand running</t>
  </si>
  <si>
    <t>L36945</t>
  </si>
  <si>
    <t>DUNCAN NDEGWA MUKABURU</t>
  </si>
  <si>
    <t>CHARLES SUNKULI</t>
  </si>
  <si>
    <t xml:space="preserve">William Kinuthia Kahindi </t>
  </si>
  <si>
    <t xml:space="preserve"> L34842</t>
  </si>
  <si>
    <t>We are seeking for the approval of a court order for the auctioneer to procure court order to repossess the unit</t>
  </si>
  <si>
    <t>The client says he is still sourcing for the funds for the unit to be repossessed</t>
  </si>
  <si>
    <t>The auctioneer are doing investigation in Kirigiti to repossess the unit.</t>
  </si>
  <si>
    <t>The collateral has been spotted in a garage in Narok the auctioneer are monitoring to repossess the unit</t>
  </si>
  <si>
    <t>L31747</t>
  </si>
  <si>
    <t>CHRISTOPHER JUMA OUMA</t>
  </si>
  <si>
    <t xml:space="preserve">Client to pay on 07.08.24.Follow up with client on 07.08.2024 and ensure client pays </t>
  </si>
  <si>
    <t>L32388</t>
  </si>
  <si>
    <t>JOHN KINUTHIA NJUGUNA</t>
  </si>
  <si>
    <t>L32415</t>
  </si>
  <si>
    <t>STEPHEN NJUGUNA</t>
  </si>
  <si>
    <t>L33073</t>
  </si>
  <si>
    <t>NYABWANGA ISABOKE PETER</t>
  </si>
  <si>
    <t>L33638</t>
  </si>
  <si>
    <t>EMMASTELLA  WANGUI GAKUO</t>
  </si>
  <si>
    <t>client vehicle was written off. To visit branch on 07.08.24 . Folow up to ensure he pays</t>
  </si>
  <si>
    <t>L33743</t>
  </si>
  <si>
    <t>GERALD IRAKI NGANGA</t>
  </si>
  <si>
    <t>L36316</t>
  </si>
  <si>
    <t>BARRACK ODHIAMBO OWINO</t>
  </si>
  <si>
    <t>L37242</t>
  </si>
  <si>
    <t>ROGERS MUGAMBI .</t>
  </si>
  <si>
    <t>L37390</t>
  </si>
  <si>
    <t>JOSEPH GAICHURU MIGWI</t>
  </si>
  <si>
    <t>Made partial payments on 9th. To clear teh remaining arrears and accrued penalties on 14.08.24</t>
  </si>
  <si>
    <t>L37426</t>
  </si>
  <si>
    <t>LEVON BEYUKIAN .</t>
  </si>
  <si>
    <t>L37443</t>
  </si>
  <si>
    <t>ALEX NYAMBANE GUKU</t>
  </si>
  <si>
    <t>L38033</t>
  </si>
  <si>
    <t>FRED JOAB ODHIAMBO OSUMBA</t>
  </si>
  <si>
    <t>L38220</t>
  </si>
  <si>
    <t>OLIVIA KEMUNTO MOMANYI</t>
  </si>
  <si>
    <t>Proclamation running</t>
  </si>
  <si>
    <t>paid on 8th</t>
  </si>
  <si>
    <t>client was issued with a demand that is elapsing by 16th aug. client will be issued with a proclamtion notice</t>
  </si>
  <si>
    <t>Client paid and has no arrears. Bought tracker and has been shared with finance to reverse the arrears</t>
  </si>
  <si>
    <t>demand letter has been issued and is currently running. client partial paid to clear the rest of the arrears before 16th</t>
  </si>
  <si>
    <t>client waas issued iwth a demand notice. signed a commitment to clear all arrears before 16th</t>
  </si>
  <si>
    <t>client is non committal.. demand running</t>
  </si>
  <si>
    <t>demand issued to client</t>
  </si>
  <si>
    <t>To clear all arrears on 14.08.24.Demand running</t>
  </si>
  <si>
    <t>SAMSON MUTINDA</t>
  </si>
  <si>
    <t>ALEX KAZONGO</t>
  </si>
  <si>
    <t>client cleared arrears only</t>
  </si>
  <si>
    <t>L36164</t>
  </si>
  <si>
    <t>FINIAS MWANDALE KIRIMA</t>
  </si>
  <si>
    <t>Unit at yard the client is looking for the funds to clear the arrears to redeem the unit</t>
  </si>
  <si>
    <t>Auctioneers are doing investigation in Kirigiti to repossess the unit</t>
  </si>
  <si>
    <t>The unit has been spotted in Narok auctioneers are monitoring to repossess it after it is done with repairs from the Garage</t>
  </si>
  <si>
    <t>L36767</t>
  </si>
  <si>
    <t>Wilfred Gathara Warui</t>
  </si>
  <si>
    <t>promise to make payment on 7/8/2024</t>
  </si>
  <si>
    <t>promise to make payment on 8/8/2024</t>
  </si>
  <si>
    <t>promise to pay on 7/8/2024</t>
  </si>
  <si>
    <t>L28622</t>
  </si>
  <si>
    <t>To pay overnight. Follow up on 08.08.24 and ensure arrears fully paid</t>
  </si>
  <si>
    <t>L30225</t>
  </si>
  <si>
    <t>EUNICE WANJIKU NDUTA</t>
  </si>
  <si>
    <t>client vehicle was repossesed and the client  is non commital</t>
  </si>
  <si>
    <t>L31251</t>
  </si>
  <si>
    <t>EVANS ANINGU .</t>
  </si>
  <si>
    <t xml:space="preserve">demand was issued with a demand notice. client commits to clearing alla pending arrears before 17th aug </t>
  </si>
  <si>
    <t>EDWIN SILA MUTISO</t>
  </si>
  <si>
    <t>L32411</t>
  </si>
  <si>
    <t>client to repay before 15th aug all pending arraers</t>
  </si>
  <si>
    <t>JOHN NJUGUNA WANJIKU</t>
  </si>
  <si>
    <t>L35926</t>
  </si>
  <si>
    <t>L35940</t>
  </si>
  <si>
    <t>EDDAH MARIA KENDI MARETE</t>
  </si>
  <si>
    <t>client wants a waiver. following up on client to clear</t>
  </si>
  <si>
    <t>L35971</t>
  </si>
  <si>
    <t>MARY WAMAITHA MIRINGU</t>
  </si>
  <si>
    <t>unit at yard.advertised for sale</t>
  </si>
  <si>
    <t>L36022</t>
  </si>
  <si>
    <t>THOMAS JOSEPH OMONDI OGUTU</t>
  </si>
  <si>
    <t>L38425</t>
  </si>
  <si>
    <t>SHARON ADISA SHAUNDA</t>
  </si>
  <si>
    <t>L38427</t>
  </si>
  <si>
    <t>SAMUEL MWANGI NJIHIA</t>
  </si>
  <si>
    <t>Daniel Muriuki</t>
  </si>
  <si>
    <t>paid.</t>
  </si>
  <si>
    <t>DOREEN NKATHA</t>
  </si>
  <si>
    <t>Paid partially on 12th</t>
  </si>
  <si>
    <t xml:space="preserve">Charles Keter </t>
  </si>
  <si>
    <t>To make payments by COB 08.08.24. Follow up on 09.08.24 and ensure arrears are fully settled.</t>
  </si>
  <si>
    <t>L31117</t>
  </si>
  <si>
    <t>WILBERFORCE MUTAMA</t>
  </si>
  <si>
    <t>KENNEDY ODONGO</t>
  </si>
  <si>
    <t>SOLOMON MWANGA LUTTA</t>
  </si>
  <si>
    <t>Client served with a seven day  proclamation</t>
  </si>
  <si>
    <t>L31846</t>
  </si>
  <si>
    <t>FULGENCE MBITHUKA NDILO</t>
  </si>
  <si>
    <t>L31850</t>
  </si>
  <si>
    <t>MARY NJERI HUNJA</t>
  </si>
  <si>
    <t>L33144</t>
  </si>
  <si>
    <t>BRENDA NDUKU MUTUKU</t>
  </si>
  <si>
    <t>paid partially on 13th.08.24. Demand running</t>
  </si>
  <si>
    <t>L33828</t>
  </si>
  <si>
    <t>paid on 14.08.24</t>
  </si>
  <si>
    <t>L35042</t>
  </si>
  <si>
    <t>FELISTUS NZILANI MUSILA</t>
  </si>
  <si>
    <t>ANASTACIA</t>
  </si>
  <si>
    <t>L35098</t>
  </si>
  <si>
    <t>DAVID MUTISYA PATRICK</t>
  </si>
  <si>
    <t>L36486</t>
  </si>
  <si>
    <t>JOHN KIHONGE MBICHIRI</t>
  </si>
  <si>
    <t>client paid partially , to clear on 14.08.24.Demand running</t>
  </si>
  <si>
    <t>L37260</t>
  </si>
  <si>
    <t>GIKUNDA BENSON ERASTUS JAMES</t>
  </si>
  <si>
    <t>L37479</t>
  </si>
  <si>
    <t>CAROLINE WANGARI WAMBUI</t>
  </si>
  <si>
    <t>Unit was repossesed on 22nd July and is at the yard sourcing for buyer</t>
  </si>
  <si>
    <t>client made partial payments. Demand running</t>
  </si>
  <si>
    <t>L37569</t>
  </si>
  <si>
    <t>CHRISTINE IRONDE MUNYULI</t>
  </si>
  <si>
    <t>L38443</t>
  </si>
  <si>
    <t>L39013</t>
  </si>
  <si>
    <t>L39120</t>
  </si>
  <si>
    <t>SAMUEL THUO KIAMBO</t>
  </si>
  <si>
    <t>paid partially,the other amount settled the ipf loan.demand running</t>
  </si>
  <si>
    <t>L39123</t>
  </si>
  <si>
    <t>client partial paid. to clear all outstanding before 16th</t>
  </si>
  <si>
    <t>CCIN000787-6000-002</t>
  </si>
  <si>
    <t>Derick Odhiambo Ekesa</t>
  </si>
  <si>
    <t>Weekend/Logbook</t>
  </si>
  <si>
    <t xml:space="preserve"> L36227</t>
  </si>
  <si>
    <t>car a</t>
  </si>
  <si>
    <t>Michael Maina .</t>
  </si>
  <si>
    <t>Waiting approval of a court order for the unit to be repossessed</t>
  </si>
  <si>
    <t>Joseph Kipchumba Toweett</t>
  </si>
  <si>
    <t>Paid Kes 50,000.00 on the 13th of August to clear the balance by the 16th of Augustt 2024</t>
  </si>
  <si>
    <t>partially paid. To clear the remaining arrears on 14.08.24. Demand running</t>
  </si>
  <si>
    <t>ALEX KAZONGO ODERO</t>
  </si>
  <si>
    <t>Anastacia</t>
  </si>
  <si>
    <t>[002-0011629] - JOSEPH GAICHURU MIGWI</t>
  </si>
  <si>
    <t>[002-0011668] - JOHN KIHONGE .</t>
  </si>
  <si>
    <t>L37681</t>
  </si>
  <si>
    <t>[002-0008789] - BRIAN MAKUBA INGALULA</t>
  </si>
  <si>
    <t>[002-0011016] - KIPKIRUI KETER CHARLES</t>
  </si>
  <si>
    <t>[002-0011837] - RICHARD LITU MAJANI</t>
  </si>
  <si>
    <t>[002-0008738] - FRED JOAB ODHIAMBO OSUMBA</t>
  </si>
  <si>
    <t>[002-0011903] - JOYCE MUKHUNJI CHUNE</t>
  </si>
  <si>
    <t>[002-0012018] - SAMUEL MWANGI  NJIHIA</t>
  </si>
  <si>
    <t>[002-0012221] - GEORGE GITONGA MURIUNGI</t>
  </si>
  <si>
    <t>[002-0012241] - BRIAN SERETE .</t>
  </si>
  <si>
    <t>MARGARET WAITHERA</t>
  </si>
  <si>
    <t>L31855</t>
  </si>
  <si>
    <t>PASCALIA MUMO WASOI</t>
  </si>
  <si>
    <t>L33810</t>
  </si>
  <si>
    <t>NANCY WANJIRA NJERU</t>
  </si>
  <si>
    <t>To pay by COB 10.08.24</t>
  </si>
  <si>
    <t>L33858</t>
  </si>
  <si>
    <t>MARGARET WANJERI KIGWE</t>
  </si>
  <si>
    <t>GEOFFREY MUNYUA  MWANGI</t>
  </si>
  <si>
    <t>L36840</t>
  </si>
  <si>
    <t>JAMES  MUTISYA KING'ONDU</t>
  </si>
  <si>
    <t>L39240</t>
  </si>
  <si>
    <t>PETER GAITHO KIMANI</t>
  </si>
  <si>
    <t>Client served with a seven day  proclamation on 07.08.24</t>
  </si>
  <si>
    <t>paid 20,000 to clear the remaining balance on 10.08.24 COB</t>
  </si>
  <si>
    <t>Pay 14.08.24. Follow up to ensure arrears fully paid</t>
  </si>
  <si>
    <t>Demand sent</t>
  </si>
  <si>
    <t>unit is at the yard</t>
  </si>
  <si>
    <t>demand was issued. customer partial paid. to clear the bal before 16th</t>
  </si>
  <si>
    <t>paid partial payments of 50,000, to clear the remaining arrears on 14.08.24. Demand sent</t>
  </si>
  <si>
    <t>Has a running demand</t>
  </si>
  <si>
    <t xml:space="preserve">paid   </t>
  </si>
  <si>
    <t>promise to clear arrears on 10/8/2024</t>
  </si>
  <si>
    <t xml:space="preserve">Awaiting for court order approval </t>
  </si>
  <si>
    <t>Seeking approval of a court order for the unit to be repossessed. The approval was done waiting for the funds to be channelled to auctioneer to procure court order.</t>
  </si>
  <si>
    <t>CCIN001412-1000-002</t>
  </si>
  <si>
    <t>Mahamud Zaid Suleman</t>
  </si>
  <si>
    <t>L34519</t>
  </si>
  <si>
    <t>DANIEL  KARIUKI GAKURU</t>
  </si>
  <si>
    <t>L38908</t>
  </si>
  <si>
    <t>FAITH MWIHAKI NDIARI</t>
  </si>
  <si>
    <t>L39140</t>
  </si>
  <si>
    <t>ERIC KINYOWE MULI</t>
  </si>
  <si>
    <t>L39166</t>
  </si>
  <si>
    <t>EVERLYNE JANE SAKWA</t>
  </si>
  <si>
    <t>L39168</t>
  </si>
  <si>
    <t>JASPER MWITI KINOTI</t>
  </si>
  <si>
    <t>L39283</t>
  </si>
  <si>
    <t>PHILOMENA MAGHUWA MWAMBURI</t>
  </si>
  <si>
    <t>Daniel Muriuki Githui</t>
  </si>
  <si>
    <t>weekend loan</t>
  </si>
  <si>
    <t>Waiting for the funds to be channel to auctioneer for her to procure court order to repossess the unit</t>
  </si>
  <si>
    <t>Paid Kes 50,000 on 13th of August to clear the balance by the 16th of August 2024</t>
  </si>
  <si>
    <t>Paul Karari Kiriba</t>
  </si>
  <si>
    <t>L27700</t>
  </si>
  <si>
    <t>SIMON WARUKIRA KIGOCHO</t>
  </si>
  <si>
    <t>L32118</t>
  </si>
  <si>
    <t>KELVIN KIBET LEKUTA</t>
  </si>
  <si>
    <t>L34202</t>
  </si>
  <si>
    <t>KOIKAI STANLEY LEKISHON</t>
  </si>
  <si>
    <t>L34420</t>
  </si>
  <si>
    <t>PAUL ATENG'A NYAMWAMU</t>
  </si>
  <si>
    <t>L35767</t>
  </si>
  <si>
    <t>ISAAC KIPRONO RUTTO</t>
  </si>
  <si>
    <t>reposession orders issued</t>
  </si>
  <si>
    <t>L35923</t>
  </si>
  <si>
    <t>ANDREW MOCHAMA OKEMWA</t>
  </si>
  <si>
    <t>L36114</t>
  </si>
  <si>
    <t>ODOYO ONYANGO  SORINE</t>
  </si>
  <si>
    <t>cheque banked. to issue client with a procvlamation</t>
  </si>
  <si>
    <t>L38101</t>
  </si>
  <si>
    <t>GEOFFREY MACHARIA WAIRIMU</t>
  </si>
  <si>
    <t>L39201</t>
  </si>
  <si>
    <t>ERIC NGUKU MBIU</t>
  </si>
  <si>
    <t xml:space="preserve">To pay overnight. Follow up on 13.08.24 </t>
  </si>
  <si>
    <t>L39246</t>
  </si>
  <si>
    <t>DOMINIC KARANJA OGONYO</t>
  </si>
  <si>
    <t>L39308</t>
  </si>
  <si>
    <t>NELLY NJOKI GATONYE</t>
  </si>
  <si>
    <t>L31337</t>
  </si>
  <si>
    <t>TIMOTHY MWANZIA IKIME</t>
  </si>
  <si>
    <t>customer signed a commitment to clear by 26th approved by head of collections ; andrew</t>
  </si>
  <si>
    <t>L32432</t>
  </si>
  <si>
    <t>customer said she will be repaying by 26th. a demand notice has been issued to client</t>
  </si>
  <si>
    <t>L32498</t>
  </si>
  <si>
    <t>AUSTINE OMONDI ONYINA</t>
  </si>
  <si>
    <t>client was isued with a demand notice, he has commited to clearing by 15th aug</t>
  </si>
  <si>
    <t>L35343</t>
  </si>
  <si>
    <t>NELLY WINNIE NKIROTE MBURUGU</t>
  </si>
  <si>
    <t>L35879</t>
  </si>
  <si>
    <t>OMARI KINUTHIA NJENGA</t>
  </si>
  <si>
    <t>L36042</t>
  </si>
  <si>
    <t>PATRICK KILAVU KAVII</t>
  </si>
  <si>
    <t>paid installment and failed to clear tracking fees a demand notice has been issued</t>
  </si>
  <si>
    <t>L36571</t>
  </si>
  <si>
    <t>GEORGE WANGENDO MARAI</t>
  </si>
  <si>
    <t>unit at yard, client to redeem asset before 16th</t>
  </si>
  <si>
    <t>L38575</t>
  </si>
  <si>
    <t>L39284</t>
  </si>
  <si>
    <t>TIMOTHY KIBE  NJUGUNA</t>
  </si>
  <si>
    <t>paid on 24.08.24</t>
  </si>
  <si>
    <t>L39358</t>
  </si>
  <si>
    <t>LILIAN KINYA MAKUYU</t>
  </si>
  <si>
    <t>L39373</t>
  </si>
  <si>
    <t>PETER MUNEENO MUSYIMI</t>
  </si>
  <si>
    <t>client is disputing the total debt to visit the branch today the 14th to be taken through statement</t>
  </si>
  <si>
    <t>The unit was spotted in Narok at a Garage auctioneer are monitoring to repossess the unit.</t>
  </si>
  <si>
    <t>Langat Kibet Nelson</t>
  </si>
  <si>
    <t>Gladys Njeri Muhia</t>
  </si>
  <si>
    <t>Seeking approval of a court order to repossess the collateral</t>
  </si>
  <si>
    <t>L32934</t>
  </si>
  <si>
    <t>DOUGLAS M J MBURIA</t>
  </si>
  <si>
    <t>nyambura</t>
  </si>
  <si>
    <t>L30418</t>
  </si>
  <si>
    <t>LEONARD MURAGE KARANJA</t>
  </si>
  <si>
    <t>MAURICE CERULO</t>
  </si>
  <si>
    <t>Pay overnight. Follow up on 14.08.24</t>
  </si>
  <si>
    <t>L30419</t>
  </si>
  <si>
    <t>FREDRICK  OTIENO  OPONDO</t>
  </si>
  <si>
    <t>L33916</t>
  </si>
  <si>
    <t>PAULINE NDUTA NJOROGE</t>
  </si>
  <si>
    <t>ANNASTACIA MUE</t>
  </si>
  <si>
    <t>L35372</t>
  </si>
  <si>
    <t>Rashid Njeru Gachoki</t>
  </si>
  <si>
    <t>BENSON AGUNDA</t>
  </si>
  <si>
    <t>L35393</t>
  </si>
  <si>
    <t>JOYCE MUTHONI MAINA</t>
  </si>
  <si>
    <t>ESTHER NYAMBURA</t>
  </si>
  <si>
    <t>paying before 15th</t>
  </si>
  <si>
    <t>L36197</t>
  </si>
  <si>
    <t>Joseph Maigwa Macharia</t>
  </si>
  <si>
    <t>L39831</t>
  </si>
  <si>
    <t>client clearing on 14th</t>
  </si>
  <si>
    <t>JANE ROSE</t>
  </si>
  <si>
    <t>unit at yard. client redeeming before end of 16th</t>
  </si>
  <si>
    <t>pay on 14.08.24. Follow up to ensure all arrears are paid</t>
  </si>
  <si>
    <t>to clear overnight</t>
  </si>
  <si>
    <t>client will pay by 26th a demand letter will be issued tommorow</t>
  </si>
  <si>
    <t>client will pay by 20th a demand letter will be issued on account tomorrow</t>
  </si>
  <si>
    <t>ALLAN NZAKA</t>
  </si>
  <si>
    <t>unit at yard. client to reddem unit by 16th</t>
  </si>
  <si>
    <t>JACKLINE KATHURE</t>
  </si>
  <si>
    <t>client partial paid to clear before end of day</t>
  </si>
  <si>
    <t>maURICE CERULO</t>
  </si>
  <si>
    <t>client is disputing total outstanding. to visit branch tomorrow the 14th</t>
  </si>
  <si>
    <t>L34736</t>
  </si>
  <si>
    <t>ZAPHANIA ABALA INDEKAMA</t>
  </si>
  <si>
    <t>shadrack angira othieno</t>
  </si>
  <si>
    <t>Duncan Ndegwa Mukaburu</t>
  </si>
  <si>
    <t xml:space="preserve">Ibrahim Adan Ali 
</t>
  </si>
  <si>
    <t xml:space="preserve">Langat Kibet Nelson 
</t>
  </si>
  <si>
    <t>repossession issued.Promise to make partial payment overning and clear 16/8/2024</t>
  </si>
  <si>
    <t>promise to make payment overnight</t>
  </si>
  <si>
    <t xml:space="preserve">William Kinuthia Kahindi 
</t>
  </si>
  <si>
    <t xml:space="preserve">John Njuguna Wanjiku 
</t>
  </si>
  <si>
    <t>proclamation running.promise to pay overnight</t>
  </si>
  <si>
    <t>L32567</t>
  </si>
  <si>
    <t>PETER OWUOR OKOLA</t>
  </si>
  <si>
    <t>Client has requested to allow make the payments on 21st. Demand notice to be issued tomorrow 15.08.24</t>
  </si>
  <si>
    <t>L35381</t>
  </si>
  <si>
    <t>OSEKO OYORI JARED</t>
  </si>
  <si>
    <t>L35452</t>
  </si>
  <si>
    <t>Paying the overdue penalty overnight</t>
  </si>
  <si>
    <t>L36054</t>
  </si>
  <si>
    <t>NICHOLAS KAYU MUIGAI KENYATTA</t>
  </si>
  <si>
    <t>L36058</t>
  </si>
  <si>
    <t>Client to pay on 28.08.24. Signed PTP</t>
  </si>
  <si>
    <t>L36136</t>
  </si>
  <si>
    <t>MAUREEN MWIHAKI WAMBUI</t>
  </si>
  <si>
    <t>To pa y overnight</t>
  </si>
  <si>
    <t>partially paid. to clear remaining arrears on 15.08.24</t>
  </si>
  <si>
    <t>L36244</t>
  </si>
  <si>
    <t>JOSEPH WANGIRA MUSANA</t>
  </si>
  <si>
    <t>mauRICE CERULO</t>
  </si>
  <si>
    <t>To pay overnight via paybill</t>
  </si>
  <si>
    <t>L37568</t>
  </si>
  <si>
    <t>JANET MORAA OKARI</t>
  </si>
  <si>
    <t>promised to pay overnight</t>
  </si>
  <si>
    <t>L37659</t>
  </si>
  <si>
    <t>JOSEPH MAINA MUTAHI</t>
  </si>
  <si>
    <t>To pay overnight. Follow up on 15.08.24</t>
  </si>
  <si>
    <t>L37667</t>
  </si>
  <si>
    <t>HASSAN WAKO GOLICHA</t>
  </si>
  <si>
    <t>L39813</t>
  </si>
  <si>
    <t>Due to unforeseen financial challenges, client has committed to pay by 17.08.24 including all the penalties. Demand sent to the client. Follow up to ensure arrears are paid</t>
  </si>
  <si>
    <t>Client not responsive. Demand sent</t>
  </si>
  <si>
    <t>client is disputing tracking fees. to contact client on his next due date</t>
  </si>
  <si>
    <t>Client says he'll make a partial payment today, then clear the rest by tomorrow</t>
  </si>
  <si>
    <t>promised to clear by Friday</t>
  </si>
  <si>
    <t>client requested for more time when he visited the branch yesterday and made a commitment of clearing the arrears by 26th aug</t>
  </si>
  <si>
    <t>client to repay overnight</t>
  </si>
  <si>
    <t>client says the money he was expecting didnt eflcet but he will make payment by 26th. a demand notice has been issued</t>
  </si>
  <si>
    <t>UNIT WAS BOOKED TO YARD TODAY</t>
  </si>
  <si>
    <t>client to repay by 16th aug, a demand letter was issued to the client</t>
  </si>
  <si>
    <t>To pay overnight. Folow up on 16.08.24 to ensure payment is made fully</t>
  </si>
  <si>
    <t>L37337</t>
  </si>
  <si>
    <t>PETER MUNENE WANGOMBE</t>
  </si>
  <si>
    <t>L36237</t>
  </si>
  <si>
    <t>PETER KAMONDE NDEGWA</t>
  </si>
  <si>
    <t>Partial paid to clear by 15/08/2024</t>
  </si>
  <si>
    <t>[002-0012304] - ERIC KINYOWE MULI</t>
  </si>
  <si>
    <t>penalty paid, cheque to be banked tomorrow</t>
  </si>
  <si>
    <t>Demand still running, client promised to pay by 19/08/2024</t>
  </si>
  <si>
    <t>[002-0009536] - JANET WARIGHE MWAMBELA</t>
  </si>
  <si>
    <t>paid partially , to clear the remaining balance overnight</t>
  </si>
  <si>
    <t xml:space="preserve">DOUGHLAS MJ MBURIA </t>
  </si>
  <si>
    <t>L36933</t>
  </si>
  <si>
    <t>AHMED SAID HASHI ADAM</t>
  </si>
  <si>
    <t xml:space="preserve">DORCAS ACHIENG OTINGA </t>
  </si>
  <si>
    <t>PAUL ODERA</t>
  </si>
  <si>
    <t xml:space="preserve">George Wangendo Marai </t>
  </si>
  <si>
    <t>client self booked the unit on 18/7/2024</t>
  </si>
  <si>
    <t>Caroline Wangari Wambui</t>
  </si>
  <si>
    <t>promise to make payment on 15/8/2024</t>
  </si>
  <si>
    <t>unit under repossession</t>
  </si>
  <si>
    <t>Kennedy Mbugua Thairu</t>
  </si>
  <si>
    <t>THOMAS CHACHA</t>
  </si>
  <si>
    <t>L28744</t>
  </si>
  <si>
    <t>SAMUEL AYORA MORICHO</t>
  </si>
  <si>
    <t>To pay overnight. Follow up on 16.08.24 and ensure installment is paid in full</t>
  </si>
  <si>
    <t>L33264</t>
  </si>
  <si>
    <t>DENNIS MUHANGANI MWALE</t>
  </si>
  <si>
    <t>L34421</t>
  </si>
  <si>
    <t>AYYAKANNU . LOGANATHASN</t>
  </si>
  <si>
    <t>L36191</t>
  </si>
  <si>
    <t>Client to be served with a proclamtion</t>
  </si>
  <si>
    <t>L36925</t>
  </si>
  <si>
    <t>MARTHA WANGUI NJIHIA</t>
  </si>
  <si>
    <t>Expecting funds at 6pm . To make payments overnight.follow up on 16.08.24</t>
  </si>
  <si>
    <t>L37673</t>
  </si>
  <si>
    <t>BILLY MAGAME LUVAI</t>
  </si>
  <si>
    <t>BRIAN MAKUBA INGALULA</t>
  </si>
  <si>
    <t>client paying overnight</t>
  </si>
  <si>
    <t>Has requested that we hold until monday 19.08.24</t>
  </si>
  <si>
    <t>Client has committed to pay on monday 19th. To be issued demand tomorrow 16.08.24</t>
  </si>
  <si>
    <t>client is non responsive. a demand letter has been sent</t>
  </si>
  <si>
    <t>repposession orders sent</t>
  </si>
  <si>
    <t>client has signed a commitment to clear all outstanding arrears by 26th aug</t>
  </si>
  <si>
    <t>To clear overnight. Follow up on 16.08.24</t>
  </si>
  <si>
    <t>prepaid on 14.08.2024</t>
  </si>
  <si>
    <t>To pay overnight. Follow up on 16.08.24</t>
  </si>
  <si>
    <t>Unit at the yard.promise to pay</t>
  </si>
  <si>
    <t>loan cleared</t>
  </si>
  <si>
    <t>Odoyo Onyango Sorine</t>
  </si>
  <si>
    <t>L28785</t>
  </si>
  <si>
    <t>MURURUH MOSES GITONGA</t>
  </si>
  <si>
    <t>Client had an emergency and has committed to make the payment inclusive of all the arrears by 18.08.24</t>
  </si>
  <si>
    <t>L30413</t>
  </si>
  <si>
    <t>FAUSTINE MUTIE MAITHYA</t>
  </si>
  <si>
    <t>L31982</t>
  </si>
  <si>
    <t>ALLAN WAFULA MAKETE</t>
  </si>
  <si>
    <t>L33983</t>
  </si>
  <si>
    <t>SWANCYBARRY IDAKI MWANGA</t>
  </si>
  <si>
    <t>L35751</t>
  </si>
  <si>
    <t>HARRIET MIDIKA KAGIA</t>
  </si>
  <si>
    <t>L36130</t>
  </si>
  <si>
    <t>PETER MUTETHIA .</t>
  </si>
  <si>
    <t>BONFACE KAKUNYI NGUMA</t>
  </si>
  <si>
    <t>L36389</t>
  </si>
  <si>
    <t>MARGARET WANJIRU MBAARI</t>
  </si>
  <si>
    <t>L36868</t>
  </si>
  <si>
    <t xml:space="preserve">Unit at yard, To redeem next week Tuesday 20.08.24
</t>
  </si>
  <si>
    <t>PAUL MUNYI WAIHENYA</t>
  </si>
  <si>
    <t>WESLEY  GITHINJI KIBUGI</t>
  </si>
  <si>
    <t>paid.Cheque has been banked</t>
  </si>
  <si>
    <t>L39146</t>
  </si>
  <si>
    <t>FELIX BRIAN ODHIAMBO</t>
  </si>
  <si>
    <t>To pay overnight.Follow up on 17.08.24</t>
  </si>
  <si>
    <t>L39476</t>
  </si>
  <si>
    <t>STANLEY MUNIU THUO</t>
  </si>
  <si>
    <t>Client partially prepaid.Has requested that we hold until monday 19.08.24</t>
  </si>
  <si>
    <t>Client has committed to pay on monday 19th. Demand sent to client</t>
  </si>
  <si>
    <t xml:space="preserve">Due to unforeseen financial challenges, client has committed to pay by 17.08.24 including all the penalties.Client disputing insurance arrears. account is at shimin desk awaiting feedback </t>
  </si>
  <si>
    <t>Partial Paid ,to clear arrears on monday 19.08.24 via RTGS</t>
  </si>
  <si>
    <t xml:space="preserve">The buyer has done an RTGS this evening , amount to reflect in the account tomorrow </t>
  </si>
  <si>
    <t>promise to make partial payment on 19/8/2024</t>
  </si>
  <si>
    <t xml:space="preserve">Irene Ndunge Joel
</t>
  </si>
  <si>
    <t>client self booked the unit on 16/8/2024</t>
  </si>
  <si>
    <t>promise to clear arrears on 19/8/2024</t>
  </si>
  <si>
    <t>court order verification ongoing</t>
  </si>
  <si>
    <t>L33288</t>
  </si>
  <si>
    <t>DIERO OCHOLA THOMAS</t>
  </si>
  <si>
    <t>L33372</t>
  </si>
  <si>
    <t>BRIGID MUKOYA WALIUBA</t>
  </si>
  <si>
    <t>L34299</t>
  </si>
  <si>
    <t>EDWIN NJOROGE WAMBURU</t>
  </si>
  <si>
    <t>L34543</t>
  </si>
  <si>
    <t>SAMUEL WAHOME KABUCHO</t>
  </si>
  <si>
    <t>L34686</t>
  </si>
  <si>
    <t>PETER  NANYUMBAH  ECHESSAH</t>
  </si>
  <si>
    <t>SAMUEL MWANGI NJUGUNA</t>
  </si>
  <si>
    <t>L35480</t>
  </si>
  <si>
    <t>BEN MATU NDONGA</t>
  </si>
  <si>
    <t>L36958</t>
  </si>
  <si>
    <t>DANIEL KAMAU MUNYORA</t>
  </si>
  <si>
    <t>L37747</t>
  </si>
  <si>
    <t>JERIOTH WANJIRA GATHONI</t>
  </si>
  <si>
    <t>To pay today 17.08.24 evening at 6pm. Follow up on 19.08.24 at 9am</t>
  </si>
  <si>
    <t>L37761</t>
  </si>
  <si>
    <t>EMILY MASIYOI NAIJA</t>
  </si>
  <si>
    <t>ABRAHAM KIPKEINO TALEL</t>
  </si>
  <si>
    <t>L39383</t>
  </si>
  <si>
    <t>DORIS KADOGO OMWAKWE</t>
  </si>
  <si>
    <t>L39504</t>
  </si>
  <si>
    <t>BEATRICE WANGARI GICHINI</t>
  </si>
  <si>
    <t>client to clear loan on 19/8/2024</t>
  </si>
  <si>
    <t>John Njuguna Wanjiku</t>
  </si>
  <si>
    <t>court order verification to be done on 19/8/2024</t>
  </si>
  <si>
    <t>L35506</t>
  </si>
  <si>
    <t>NELIUS WAITHIRA MUIRURI</t>
  </si>
  <si>
    <t>L36196</t>
  </si>
  <si>
    <t>ERIC EENEN EMOJONG</t>
  </si>
  <si>
    <t>L36273</t>
  </si>
  <si>
    <t>STANLEY MACHARIA GAKURU</t>
  </si>
  <si>
    <t>Client phone has been switched off since morning.sms and email reminders have been sent to the client. Follow up with next of kin to ensure the arrears is paid</t>
  </si>
  <si>
    <t>L36344</t>
  </si>
  <si>
    <t>PHILIP  TUJU SIJENYI</t>
  </si>
  <si>
    <t>client says his salry will reflect on 23rd and thats when he will repay. a demand letter has been issued</t>
  </si>
  <si>
    <t>L37245</t>
  </si>
  <si>
    <t>PHILIP SOITA KOROTI</t>
  </si>
  <si>
    <t>client says he recieves salary on every 26th, and has committed to make partial payments as he awaits to clear the arrears including all the penalties on 26th. Demand will be issued on 20.08.24</t>
  </si>
  <si>
    <t>L38104</t>
  </si>
  <si>
    <t>L39390</t>
  </si>
  <si>
    <t>KELVIN MUGAMBI MWIRIGI</t>
  </si>
  <si>
    <t>To pay at 7pm today. Follow up on 20.08.24 and ensure full pay</t>
  </si>
  <si>
    <t>L39488</t>
  </si>
  <si>
    <t>GEORGE MAINA MWANIKI</t>
  </si>
  <si>
    <t>L39503</t>
  </si>
  <si>
    <t>L39525</t>
  </si>
  <si>
    <t>To pay overnight. Follow up on 20.08.24 and ensure arrears paid in full</t>
  </si>
  <si>
    <t>L39527</t>
  </si>
  <si>
    <t>DORCAS JEPKURUNY KIPLAGAT</t>
  </si>
  <si>
    <t>To pay at 9pm today. Follow up on 20.08.24 and ensure full pay</t>
  </si>
  <si>
    <t>L39529</t>
  </si>
  <si>
    <t>L39543</t>
  </si>
  <si>
    <t>JAPHLET MORRIS MAKARI GITHUKU</t>
  </si>
  <si>
    <t>Client phone unreachable.Reminders have been sent to the client via sms and email and will follow up on 20.08.24 and ensure full pay</t>
  </si>
  <si>
    <t>L39556</t>
  </si>
  <si>
    <t>L39580</t>
  </si>
  <si>
    <t>HENRY KISSINGER FIGONDO</t>
  </si>
  <si>
    <t>sms reminder sent to the client .Client committed to pay on 20.08.24 by 7pm.Follow up to ensure full pay</t>
  </si>
  <si>
    <t>L40124</t>
  </si>
  <si>
    <t>L28387</t>
  </si>
  <si>
    <t>JACKSON OMBOKE OMAGWA</t>
  </si>
  <si>
    <t>partially paid. To clear the remaining arrears on 20.08.24</t>
  </si>
  <si>
    <t>L30014</t>
  </si>
  <si>
    <t>JOSHUA MAINA KARUGA</t>
  </si>
  <si>
    <t>L31945</t>
  </si>
  <si>
    <t>EVERLINE ANOLDA LIRONJE</t>
  </si>
  <si>
    <t>client has partially paid. to clear the remaining arrears on 21.08.24</t>
  </si>
  <si>
    <t>L32571</t>
  </si>
  <si>
    <t>MERCY CHEPTOO OCHAKA</t>
  </si>
  <si>
    <t>L35981</t>
  </si>
  <si>
    <t>ZEINABU HIRBO GISSO</t>
  </si>
  <si>
    <t>L36480</t>
  </si>
  <si>
    <t>ZAITUNI NYAMBU</t>
  </si>
  <si>
    <t>L37044</t>
  </si>
  <si>
    <t>WINNIE ACHIENG ONYANGO</t>
  </si>
  <si>
    <t>The client has been sent a reminder to make the payment for the facility in arrears to be followed for the arrears to be paid.</t>
  </si>
  <si>
    <t>L37838</t>
  </si>
  <si>
    <t>CECILIA NYOKABI MUCHENE</t>
  </si>
  <si>
    <t>Eric Kinyowe Muli</t>
  </si>
  <si>
    <t>Abraham Talel</t>
  </si>
  <si>
    <t>George Wangendo Marai</t>
  </si>
  <si>
    <t xml:space="preserve">promise to </t>
  </si>
  <si>
    <t>L29950</t>
  </si>
  <si>
    <t>spoke with the client and she said she'll make her partial payment then clear the remaining balance by 25th since that's when she'll get her salary, to keep following up</t>
  </si>
  <si>
    <t>L34108</t>
  </si>
  <si>
    <t>FLORA WAKESHO MUSAU</t>
  </si>
  <si>
    <t>L34275</t>
  </si>
  <si>
    <t>SCOLIE ARABELLA SYOMBUA MUTUA</t>
  </si>
  <si>
    <t>L34624</t>
  </si>
  <si>
    <t>RAYMOND NJENGA MUIGAI</t>
  </si>
  <si>
    <t>esTHER NYAMBURA</t>
  </si>
  <si>
    <t>Client is repaying today before 6pm.</t>
  </si>
  <si>
    <t>L37746</t>
  </si>
  <si>
    <t>NANCY WAMBUI NGETHE</t>
  </si>
  <si>
    <t>L38685</t>
  </si>
  <si>
    <t>JULIE ANNE  WANJIRU MUREITHI</t>
  </si>
  <si>
    <t>client made a partial payment and said he'll clear the remaining balance before end of the day, to keep following up</t>
  </si>
  <si>
    <t>HARRIET MIDIKA</t>
  </si>
  <si>
    <t>Client to make payments overnight. Follow up on 21.08.24</t>
  </si>
  <si>
    <t xml:space="preserve">client has committed to clear the arrears on 22.08.24. Demand to be issued on 21.08.24
</t>
  </si>
  <si>
    <t>partially paid, to clear the remaining balance on 22.08.24</t>
  </si>
  <si>
    <t>Arrears paid in full to redeem the unit on 20/8/2024</t>
  </si>
  <si>
    <t>Irene Ndunge Joel</t>
  </si>
  <si>
    <t>unit at yard.Promise to pay on 21/8/2024</t>
  </si>
  <si>
    <t>promise to make payment on 23/8/2024</t>
  </si>
  <si>
    <t>client to pay</t>
  </si>
  <si>
    <t>repossesion running</t>
  </si>
  <si>
    <t>Promised to clear overnight</t>
  </si>
  <si>
    <t>The auctioneer is doing investigation to repossess the unit in Kirigiti area where the collateral is suspected of operating Uber business.</t>
  </si>
  <si>
    <t>L35508</t>
  </si>
  <si>
    <t>To pay by 6pm today</t>
  </si>
  <si>
    <t xml:space="preserve">spoke with the client and she said she'll clear the remaining balance of ksh 800, by end of the week, to keep following up
</t>
  </si>
  <si>
    <t xml:space="preserve">client has committed to clear the arrears on 22.08.24. Demand  issued 
</t>
  </si>
  <si>
    <t>AGUNDA</t>
  </si>
  <si>
    <t>[CCIN000650-003] - LANGAT KIBET NELSON</t>
  </si>
  <si>
    <t>[CCIN001862-002] - ERIC NGUKU MBIU</t>
  </si>
  <si>
    <t>[002-0009853] - NEHEMIAH NGUGI KIMANI</t>
  </si>
  <si>
    <t>[002-0006379] - OLGA NERIMA WEBUYE</t>
  </si>
  <si>
    <t>[002-0009854] - TONNY MAKALE .</t>
  </si>
  <si>
    <t>demand running.Client has committed to clear on 23.08.24</t>
  </si>
  <si>
    <t>demand running.Client to pay on 23.08.24</t>
  </si>
  <si>
    <t>[CCIN002399-002] - DIERO OCHOLA THOMAS</t>
  </si>
  <si>
    <t>[002-0010216] - BRIGID MUKOYA WALIUBA</t>
  </si>
  <si>
    <t xml:space="preserve">spoke with the client and she said she'll make her payment by 26/08/2024, to keep following up. Demand running
</t>
  </si>
  <si>
    <t>L35591</t>
  </si>
  <si>
    <t>[002-0010959] - BEATRICE WANGARI GICHINI</t>
  </si>
  <si>
    <t>[002-0010004] - JOSEPH WANGIRA MUSANA</t>
  </si>
  <si>
    <t>[002-0009293] - HENRY KISSINGER FIGONDO</t>
  </si>
  <si>
    <t>[002-0009263] - GEOFFREY MACHARIA WAIRIMU</t>
  </si>
  <si>
    <t>[002-0011395] - MICHIRE NJERI JUNE</t>
  </si>
  <si>
    <t>[002-0010604] - SAMUEL WAHOME KABUCHO</t>
  </si>
  <si>
    <t>[CCIN000835-002] - LEAMY KARIENYE</t>
  </si>
  <si>
    <t>[002-0011206] - PETER KAMONDE NDEGWA</t>
  </si>
  <si>
    <t>The client to make payment on the 22nd of August 2024</t>
  </si>
  <si>
    <t>unit at yard.client to redeem unit on 22/8/2024</t>
  </si>
  <si>
    <t>Wesley Githinji Kibugi</t>
  </si>
  <si>
    <t>client to issue cheque to be banked on 23/8/2024</t>
  </si>
  <si>
    <t>Kipkirui Keter Charles</t>
  </si>
  <si>
    <t>Nelly Winnie Nkirote Mburugu</t>
  </si>
  <si>
    <t>The client to make payment by 23rd of August 2024</t>
  </si>
  <si>
    <t>Cecilia Wanderi</t>
  </si>
  <si>
    <t>to pay on 26th before noon</t>
  </si>
  <si>
    <t>to pay before end of the day</t>
  </si>
  <si>
    <t xml:space="preserve">I have engaged the client and he is making partial payment overnight .
</t>
  </si>
  <si>
    <t>client has committed to make payments by 25.08.24 due to lack of funds. Repossesion running</t>
  </si>
  <si>
    <t>UNIT AT YARD.</t>
  </si>
  <si>
    <t>L39634</t>
  </si>
  <si>
    <t>L36315</t>
  </si>
  <si>
    <t>paying today before 5</t>
  </si>
  <si>
    <t>To make payments tomorrow including penalties due to unforeseen funds delay</t>
  </si>
  <si>
    <t>Says she'll clear by Friday, to keep following up Demand issued</t>
  </si>
  <si>
    <t>client to pay by end of week</t>
  </si>
  <si>
    <t>partial paid to clear by 24th Demand running</t>
  </si>
  <si>
    <t>client issued with proclamation today</t>
  </si>
  <si>
    <t>demand running.Client to pay on 28.08.24 due to funds delay</t>
  </si>
  <si>
    <t xml:space="preserve">Demand issued. I spoke with the client and she said she'll make her payment by 26/08/2024, to keep following up
</t>
  </si>
  <si>
    <t>Demand running, client wrote an email and committed to pay on 30th</t>
  </si>
  <si>
    <t>Debt cleared</t>
  </si>
  <si>
    <t xml:space="preserve">To make payment overnight today </t>
  </si>
  <si>
    <t>The auctioneer is investigating to repossess the unit</t>
  </si>
  <si>
    <t>The client to make the payment overnight today</t>
  </si>
  <si>
    <t>Client to pay his arrears on 25.08.24 including penalties accrued since thats when he will be recieving his salary. Demand issued</t>
  </si>
  <si>
    <t>called not responsive even after several calls. sms for reminders sent and also still following up with him via personal number, since he made partial payment and said he'll clear once he gets his funds which his awaiting,and has fallen due for this month.
Demand running</t>
  </si>
  <si>
    <t>L39625</t>
  </si>
  <si>
    <t>EZEKIEL JOEL SANYA</t>
  </si>
  <si>
    <t>L39627</t>
  </si>
  <si>
    <t>L39663</t>
  </si>
  <si>
    <t>To make payments overnight including penalties due to unforeseen funds delay</t>
  </si>
  <si>
    <t>issuing demand,client has committed to pay on 29th AUG</t>
  </si>
  <si>
    <t>client is unreachable,i have sent a sms reminder on the same.Demand running</t>
  </si>
  <si>
    <t>to pay tomorrow 24th.08.24. Demand running</t>
  </si>
  <si>
    <t>partially paid. To clear remaining arrears on 26.08.24.Demand running</t>
  </si>
  <si>
    <t>L31895</t>
  </si>
  <si>
    <t>TIMOTHY MACHARIA MAIN</t>
  </si>
  <si>
    <t>client paid to redeem the unit on 23/8/2024</t>
  </si>
  <si>
    <t>Samuel Wahome Kabucho</t>
  </si>
  <si>
    <t>unit at yard.Promise to pay</t>
  </si>
  <si>
    <t>engaged the client to pay by 4:00pm</t>
  </si>
  <si>
    <t>client to advise on the cheque</t>
  </si>
  <si>
    <t>L37143</t>
  </si>
  <si>
    <t>L39694</t>
  </si>
  <si>
    <t>ANN WANGECHI ITINGA</t>
  </si>
  <si>
    <t xml:space="preserve">To pay by 26.08.24 including penalties. Demand running
</t>
  </si>
  <si>
    <t>Demand running. Client says will recieve funds on 28.08.24</t>
  </si>
  <si>
    <t>client commited to pay on monday 26th</t>
  </si>
  <si>
    <t>engaged the client,she has committed to pay on 29th</t>
  </si>
  <si>
    <t>To pay on 26.08.24 as his finances bounced. Demand running</t>
  </si>
  <si>
    <t>Demand issued. I spoke with the client and she said she'll make her payment by 26/08/2024, to keep following up</t>
  </si>
  <si>
    <t>agunda</t>
  </si>
  <si>
    <t>MICHAEL MAINA .</t>
  </si>
  <si>
    <t>allan</t>
  </si>
  <si>
    <t>L39241</t>
  </si>
  <si>
    <t>JANET NJERI WANJIKU</t>
  </si>
  <si>
    <t>MACLINE</t>
  </si>
  <si>
    <t>TIMOTHY KIBE NJUGUNA</t>
  </si>
  <si>
    <t xml:space="preserve"> L34543</t>
  </si>
  <si>
    <t xml:space="preserve">Samuel Wahome Kabucho
</t>
  </si>
  <si>
    <t xml:space="preserve">L37930 </t>
  </si>
  <si>
    <t xml:space="preserve">Kipkirui Keter Charles </t>
  </si>
  <si>
    <t>L31611</t>
  </si>
  <si>
    <t>L35638</t>
  </si>
  <si>
    <t>ANTONY KITHINJI MUKINDIA</t>
  </si>
  <si>
    <t>L36380</t>
  </si>
  <si>
    <t>PATRICK MWANIKI MAUNDU</t>
  </si>
  <si>
    <t>L39584</t>
  </si>
  <si>
    <t>SAMANTHA MWAVISHI MISANGO</t>
  </si>
  <si>
    <t>L39748</t>
  </si>
  <si>
    <t>L39760</t>
  </si>
  <si>
    <t>LABAN MBURU THIONGO</t>
  </si>
  <si>
    <t>L40335</t>
  </si>
  <si>
    <t>partially paid. To clear the remaining arrears on Tuesday 27.08.24</t>
  </si>
  <si>
    <t xml:space="preserve">LANGAT KIBET NELSON </t>
  </si>
  <si>
    <t>Mildrin Lumonye .</t>
  </si>
  <si>
    <t>Janet Warighe Mwambela</t>
  </si>
  <si>
    <t>L35647</t>
  </si>
  <si>
    <t>ISAAC OPICHO MUKHWANA</t>
  </si>
  <si>
    <t>L35648</t>
  </si>
  <si>
    <t xml:space="preserve">client has committed to make payments overnight by 9pm. Follow up tomorrow 28/08/24 and ensure payment is made
</t>
  </si>
  <si>
    <t>L39664</t>
  </si>
  <si>
    <t>To pay overnight at 8pm. Follow up tomorrow 27/8/24 and ensure payment is made</t>
  </si>
  <si>
    <t xml:space="preserve">Mildrin Lumonye .
</t>
  </si>
  <si>
    <t>BASHIR KIPLIMO</t>
  </si>
  <si>
    <t>Benson Agunda</t>
  </si>
  <si>
    <t>L</t>
  </si>
  <si>
    <t>Leornard Karanja</t>
  </si>
  <si>
    <t>To pay overnight.Follo wup on 29/08/24 and ensure it is paid.Demand issued</t>
  </si>
  <si>
    <t xml:space="preserve">ODOYO ONYANGO SORINE </t>
  </si>
  <si>
    <t>To pay overnight. Follow  up to ensure  full payment is made</t>
  </si>
  <si>
    <t>cheque banked today</t>
  </si>
  <si>
    <t xml:space="preserve">client to make payments on 30.08.24. Follow up to ensure payments is made. </t>
  </si>
  <si>
    <t>Client to pay arrears on 4/9/24 due to delay in funds. To issue demand</t>
  </si>
  <si>
    <t>Geoffrey Gangla</t>
  </si>
  <si>
    <t>NJERI</t>
  </si>
  <si>
    <t>Amos Wangwa</t>
  </si>
  <si>
    <t xml:space="preserve">L31019
</t>
  </si>
  <si>
    <t>L25321</t>
  </si>
  <si>
    <t>CHARLES ATELU WACHUDI</t>
  </si>
  <si>
    <t>to pay overnight. Follow up to ensure payment is made</t>
  </si>
  <si>
    <t>To pay by 6pm today. Follow up to ensure full payment is made</t>
  </si>
  <si>
    <t xml:space="preserve">client has committed to make the payments on 31.08.24. Follow up to ensure payment is made
</t>
  </si>
  <si>
    <t>L39790</t>
  </si>
  <si>
    <t>JAMLECK K KABUNGO</t>
  </si>
  <si>
    <t>L39832</t>
  </si>
  <si>
    <t>L39836</t>
  </si>
  <si>
    <t>L40442</t>
  </si>
  <si>
    <t>To pay overnight. Follow up to ensure full amount is paid</t>
  </si>
  <si>
    <t>To partially pay arrears overnight, and clear the remaining balance on 10th/sept. Demand to be issued</t>
  </si>
  <si>
    <t xml:space="preserve">Client to pay arrears on 4/9/24 due to delay in funds. To issue demand
</t>
  </si>
  <si>
    <t>Sorine odoyo</t>
  </si>
  <si>
    <t>eunice wanjiku nduta</t>
  </si>
  <si>
    <t>Samuel Kariuki Maina</t>
  </si>
  <si>
    <t>L39857</t>
  </si>
  <si>
    <t>L39896</t>
  </si>
  <si>
    <t>L39908</t>
  </si>
  <si>
    <t>L39963</t>
  </si>
  <si>
    <t>L28996</t>
  </si>
  <si>
    <t>JULIUS  KAUNDA NZIOKA</t>
  </si>
  <si>
    <t>L39834</t>
  </si>
  <si>
    <t>CAROLINE NJERI NG'ANG'A</t>
  </si>
  <si>
    <t>L39860</t>
  </si>
  <si>
    <t>MARTIN THURANIRA KIMUMU</t>
  </si>
  <si>
    <t>L35040</t>
  </si>
  <si>
    <t>CATHERINE NTHAMBI WAMBUA</t>
  </si>
  <si>
    <t>COMMITMENTS</t>
  </si>
  <si>
    <t>MTD ARREAS</t>
  </si>
  <si>
    <t>COLLECTIONS INSIDE  COMMITMENTS</t>
  </si>
  <si>
    <t>COLLECTIONS OUTSIDE COMMITMENTS</t>
  </si>
  <si>
    <t>TOTAL COLLECTIONS</t>
  </si>
  <si>
    <t>UNPOSTED</t>
  </si>
  <si>
    <t>12th july 2024</t>
  </si>
  <si>
    <t>13th july 2024</t>
  </si>
  <si>
    <t>CHEQUES BANKED 5 kES 3,019,721</t>
  </si>
  <si>
    <t>15th July</t>
  </si>
  <si>
    <t>16th July</t>
  </si>
  <si>
    <t>17th July</t>
  </si>
  <si>
    <t>18th July</t>
  </si>
  <si>
    <t>19th July</t>
  </si>
  <si>
    <t>MTD ARREARS</t>
  </si>
  <si>
    <t>20TH</t>
  </si>
  <si>
    <t>22nd July 2024</t>
  </si>
  <si>
    <t>23rd July 2024</t>
  </si>
  <si>
    <t>25th july 2024</t>
  </si>
  <si>
    <t>26th july 2024</t>
  </si>
  <si>
    <t>27th july 2024</t>
  </si>
  <si>
    <t>PROFIT FOR THE DAY</t>
  </si>
  <si>
    <t>PARTICULARS</t>
  </si>
  <si>
    <t>AMOUNT</t>
  </si>
  <si>
    <t>INTEREST PAID</t>
  </si>
  <si>
    <t>PENALTY PAID</t>
  </si>
  <si>
    <t xml:space="preserve">TOTAL INTEREST AND INCOME </t>
  </si>
  <si>
    <t>SUPPLIERS PAID/CHEQUE ISSUED</t>
  </si>
  <si>
    <t>TOTAL INCOME</t>
  </si>
  <si>
    <t>30th</t>
  </si>
  <si>
    <t>31/7/24</t>
  </si>
  <si>
    <t>TOTAL BRANCHES COMMITMENTS</t>
  </si>
  <si>
    <t>13/8/24</t>
  </si>
  <si>
    <t>14/8/24</t>
  </si>
  <si>
    <t>.</t>
  </si>
  <si>
    <t>NB: CHEQUE WORTH 1,986,396 BANKED</t>
  </si>
  <si>
    <t>19/8/24</t>
  </si>
  <si>
    <t>20/8/24</t>
  </si>
  <si>
    <t>22/8/24</t>
  </si>
  <si>
    <t>23/8/24</t>
  </si>
  <si>
    <t>24/8/24</t>
  </si>
  <si>
    <t>26/8/24</t>
  </si>
  <si>
    <t>27/8/24</t>
  </si>
  <si>
    <t>28/8/24</t>
  </si>
  <si>
    <t>29/8/24</t>
  </si>
  <si>
    <t>122,634,56</t>
  </si>
  <si>
    <t>CFID</t>
  </si>
  <si>
    <t>LOAN ID</t>
  </si>
  <si>
    <t>CATEGORY</t>
  </si>
  <si>
    <t>RECOVERY OFFICER</t>
  </si>
  <si>
    <t>L25822</t>
  </si>
  <si>
    <t>Jeremiah Munyori Maina</t>
  </si>
  <si>
    <t>Cash Collections</t>
  </si>
  <si>
    <t>Mombasa</t>
  </si>
  <si>
    <t>Nakuru</t>
  </si>
  <si>
    <t>Phoebe Maina Wangui</t>
  </si>
  <si>
    <t>Trade Center</t>
  </si>
  <si>
    <t>L37912 &amp; L37786</t>
  </si>
  <si>
    <t>Thika</t>
  </si>
  <si>
    <t>L32923</t>
  </si>
  <si>
    <t>Haka International C/O John Mugondi</t>
  </si>
  <si>
    <t>Ecobank</t>
  </si>
  <si>
    <t>Elias Mutethia Mate</t>
  </si>
  <si>
    <t>Albertina Mwende Muthengi</t>
  </si>
  <si>
    <t>John Kiumi Wambugu</t>
  </si>
  <si>
    <t>L32016</t>
  </si>
  <si>
    <t>Elvis Omari Obaigwa</t>
  </si>
  <si>
    <t>L25236</t>
  </si>
  <si>
    <t>Mwangi Boro Zephaniah</t>
  </si>
  <si>
    <t>Trade centre</t>
  </si>
  <si>
    <t>L36235</t>
  </si>
  <si>
    <t>Chacha Patrick Mairo</t>
  </si>
  <si>
    <t>Cash Collection</t>
  </si>
  <si>
    <t>Pension</t>
  </si>
  <si>
    <t>L31636</t>
  </si>
  <si>
    <t>Mohamed Soud Machele</t>
  </si>
  <si>
    <t>Cas Collections</t>
  </si>
  <si>
    <t>Eldoret</t>
  </si>
  <si>
    <t>Kitengela</t>
  </si>
  <si>
    <t>Jane Njeri Njau</t>
  </si>
  <si>
    <t>Eco Bank</t>
  </si>
  <si>
    <t>John Mbugua Ngugi</t>
  </si>
  <si>
    <t>L31519</t>
  </si>
  <si>
    <t>Muoki Manundu M</t>
  </si>
  <si>
    <t>CCIN000278-3000-006</t>
  </si>
  <si>
    <t>Paul Kitonga Daudi</t>
  </si>
  <si>
    <t>Morris Jumah Okumu</t>
  </si>
</sst>
</file>

<file path=xl/styles.xml><?xml version="1.0" encoding="utf-8"?>
<styleSheet xmlns="http://schemas.openxmlformats.org/spreadsheetml/2006/main" xmlns:x14ac="http://schemas.microsoft.com/office/spreadsheetml/2009/9/ac" xmlns:mc="http://schemas.openxmlformats.org/markup-compatibility/2006">
  <numFmts count="15">
    <numFmt numFmtId="164" formatCode="#,##0.00;(#,##0.00)"/>
    <numFmt numFmtId="165" formatCode="m/d/yy"/>
    <numFmt numFmtId="166" formatCode="m/d/yyyy"/>
    <numFmt numFmtId="167" formatCode="mm/dd/yyyy"/>
    <numFmt numFmtId="168" formatCode="[$-10809]#,##0.00;\-#,##0.00"/>
    <numFmt numFmtId="169" formatCode="[$-10409]#,##0.00;\-#,##0.00"/>
    <numFmt numFmtId="170" formatCode="0.0"/>
    <numFmt numFmtId="171" formatCode="mm-dd-yy"/>
    <numFmt numFmtId="172" formatCode="m-d-yyyy"/>
    <numFmt numFmtId="173" formatCode="m/d"/>
    <numFmt numFmtId="174" formatCode="#,##0.0"/>
    <numFmt numFmtId="175" formatCode="mm/dd/yy"/>
    <numFmt numFmtId="176" formatCode="mm/dd"/>
    <numFmt numFmtId="177" formatCode="d mmmm yyyy"/>
    <numFmt numFmtId="178" formatCode="dmmmm yyyy"/>
  </numFmts>
  <fonts count="122">
    <font>
      <sz val="11.0"/>
      <color theme="1"/>
      <name val="Calibri"/>
      <scheme val="minor"/>
    </font>
    <font>
      <color theme="1"/>
      <name val="Calibri"/>
      <scheme val="minor"/>
    </font>
    <font>
      <b/>
      <sz val="11.0"/>
      <color rgb="FF3F3F3F"/>
      <name val="Times New Roman"/>
    </font>
    <font>
      <b/>
      <sz val="11.0"/>
      <color theme="1"/>
      <name val="Calibri"/>
    </font>
    <font>
      <sz val="11.0"/>
      <color rgb="FF3F3F3F"/>
      <name val="Times New Roman"/>
    </font>
    <font>
      <sz val="11.0"/>
      <color theme="1"/>
      <name val="Calibri"/>
    </font>
    <font>
      <sz val="9.0"/>
      <color theme="1"/>
      <name val="Google Sans Mono"/>
    </font>
    <font>
      <sz val="9.0"/>
      <color rgb="FF000000"/>
      <name val="&quot;Google Sans Mono&quot;"/>
    </font>
    <font>
      <b/>
      <sz val="11.0"/>
      <color rgb="FF3F3F3F"/>
      <name val="Calibri"/>
    </font>
    <font>
      <b/>
      <color theme="1"/>
      <name val="Calibri"/>
      <scheme val="minor"/>
    </font>
    <font>
      <color rgb="FF222222"/>
      <name val="Arial"/>
    </font>
    <font>
      <b/>
      <sz val="11.0"/>
      <color rgb="FF000000"/>
      <name val="Times New Roman"/>
    </font>
    <font>
      <b/>
      <sz val="11.0"/>
      <color rgb="FF000000"/>
      <name val="Calibri"/>
    </font>
    <font>
      <b/>
      <sz val="9.0"/>
      <color rgb="FF000000"/>
      <name val="Google Sans Mono"/>
    </font>
    <font>
      <b/>
      <color rgb="FF000000"/>
      <name val="Calibri"/>
      <scheme val="minor"/>
    </font>
    <font>
      <color theme="1"/>
      <name val="Arial"/>
    </font>
    <font>
      <color rgb="FFFF0000"/>
      <name val="Arial"/>
    </font>
    <font>
      <b/>
      <sz val="10.0"/>
      <color theme="1"/>
      <name val="Calibri"/>
    </font>
    <font>
      <sz val="10.0"/>
      <color theme="1"/>
      <name val="Calibri"/>
    </font>
    <font>
      <sz val="10.0"/>
      <color rgb="FF000000"/>
      <name val="Calibri"/>
    </font>
    <font>
      <b/>
      <sz val="10.0"/>
      <color rgb="FF000000"/>
      <name val="Calibri"/>
    </font>
    <font>
      <sz val="10.0"/>
      <color rgb="FF222222"/>
      <name val="Calibri"/>
    </font>
    <font>
      <sz val="10.0"/>
      <color theme="1"/>
      <name val="Arial"/>
    </font>
    <font>
      <sz val="10.0"/>
      <color rgb="FF000000"/>
      <name val="Calibri"/>
      <scheme val="minor"/>
    </font>
    <font>
      <sz val="10.0"/>
      <color rgb="FF000000"/>
      <name val="Arial"/>
    </font>
    <font>
      <sz val="10.0"/>
      <color rgb="FF222222"/>
      <name val="Calibri"/>
      <scheme val="minor"/>
    </font>
    <font>
      <sz val="10.0"/>
      <color theme="1"/>
      <name val="Calibri"/>
      <scheme val="minor"/>
    </font>
    <font>
      <sz val="10.0"/>
      <color theme="1"/>
      <name val="&quot;Bookman Old Style&quot;"/>
    </font>
    <font>
      <b/>
      <sz val="10.0"/>
      <color rgb="FF000000"/>
      <name val="Calibri"/>
      <scheme val="minor"/>
    </font>
    <font>
      <b/>
      <sz val="10.0"/>
      <color rgb="FF000000"/>
      <name val="Arial"/>
    </font>
    <font>
      <sz val="9.0"/>
      <color rgb="FF000000"/>
      <name val="Arial"/>
    </font>
    <font>
      <color rgb="FF000000"/>
      <name val="Calibri"/>
      <scheme val="minor"/>
    </font>
    <font>
      <color rgb="FF000000"/>
      <name val="Arial"/>
    </font>
    <font>
      <b/>
      <sz val="9.0"/>
      <color rgb="FF000000"/>
      <name val="Arial"/>
    </font>
    <font>
      <sz val="8.0"/>
      <color theme="1"/>
      <name val="Calibri"/>
    </font>
    <font>
      <sz val="8.0"/>
      <color rgb="FF000000"/>
      <name val="Calibri"/>
    </font>
    <font>
      <sz val="8.0"/>
      <color rgb="FF000000"/>
      <name val="Arial"/>
    </font>
    <font>
      <sz val="11.0"/>
      <color rgb="FF000000"/>
      <name val="Calibri"/>
      <scheme val="minor"/>
    </font>
    <font>
      <sz val="11.0"/>
      <color rgb="FF000000"/>
      <name val="Calibri"/>
    </font>
    <font>
      <color rgb="FF222222"/>
      <name val="Calibri"/>
    </font>
    <font>
      <color rgb="FF000000"/>
      <name val="Calibri"/>
    </font>
    <font>
      <sz val="11.0"/>
      <color rgb="FF000000"/>
      <name val="Docs-Calibri"/>
    </font>
    <font>
      <sz val="12.0"/>
      <color rgb="FF000000"/>
      <name val="Arial"/>
    </font>
    <font>
      <sz val="12.0"/>
      <color rgb="FF1F1F1F"/>
      <name val="&quot;Google Sans&quot;"/>
    </font>
    <font>
      <sz val="11.0"/>
      <color rgb="FF000000"/>
      <name val="Arial"/>
    </font>
    <font>
      <sz val="9.0"/>
      <color theme="1"/>
      <name val="Arial"/>
    </font>
    <font>
      <b/>
      <sz val="11.0"/>
      <color rgb="FF6E6B7B"/>
      <name val="Montserrat"/>
    </font>
    <font>
      <sz val="10.0"/>
      <color theme="1"/>
      <name val="Montserrat"/>
    </font>
    <font>
      <sz val="9.0"/>
      <color rgb="FF222222"/>
      <name val="Montserrat"/>
    </font>
    <font>
      <b/>
      <sz val="9.0"/>
      <color rgb="FF1F1F1F"/>
      <name val="&quot;Google Sans&quot;"/>
    </font>
    <font>
      <sz val="11.0"/>
      <color rgb="FF6E6B7B"/>
      <name val="Montserrat"/>
    </font>
    <font>
      <sz val="10.0"/>
      <color rgb="FF222222"/>
      <name val="Arial"/>
    </font>
    <font>
      <b/>
      <sz val="14.0"/>
      <color theme="1"/>
      <name val="Calibri"/>
    </font>
    <font>
      <b/>
      <sz val="8.0"/>
      <color rgb="FF6E6B7B"/>
      <name val="Montserrat"/>
    </font>
    <font>
      <b/>
      <sz val="9.0"/>
      <color rgb="FF6E6B7B"/>
      <name val="Montserrat"/>
    </font>
    <font>
      <b/>
      <sz val="12.0"/>
      <color theme="1"/>
      <name val="Calibri"/>
    </font>
    <font>
      <b/>
      <sz val="11.0"/>
      <color rgb="FF000000"/>
      <name val="Calibri"/>
      <scheme val="minor"/>
    </font>
    <font>
      <u/>
      <sz val="11.0"/>
      <color theme="1"/>
      <name val="Calibri"/>
    </font>
    <font>
      <b/>
      <sz val="10.0"/>
      <color rgb="FF6E6B7B"/>
      <name val="Calibri"/>
    </font>
    <font>
      <sz val="12.0"/>
      <color theme="1"/>
      <name val="Arial"/>
    </font>
    <font>
      <sz val="12.0"/>
      <color rgb="FF4A86E8"/>
      <name val="Arial"/>
    </font>
    <font>
      <sz val="11.0"/>
      <color rgb="FF1F1F1F"/>
      <name val="&quot;Google Sans&quot;"/>
    </font>
    <font>
      <sz val="10.0"/>
      <color rgb="FF6E6B7B"/>
      <name val="Calibri"/>
    </font>
    <font>
      <sz val="9.0"/>
      <color rgb="FF1F1F1F"/>
      <name val="&quot;Google Sans&quot;"/>
    </font>
    <font>
      <b/>
      <sz val="9.0"/>
      <color theme="1"/>
      <name val="Calibri"/>
      <scheme val="minor"/>
    </font>
    <font>
      <sz val="10.0"/>
      <color rgb="FF6E6B7B"/>
      <name val="Arial"/>
    </font>
    <font>
      <b/>
      <color rgb="FF5E5873"/>
      <name val="Montserrat"/>
    </font>
    <font>
      <b/>
      <sz val="10.0"/>
      <color rgb="FF6E6B7B"/>
      <name val="Arial"/>
    </font>
    <font>
      <sz val="10.0"/>
      <color rgb="FF000000"/>
      <name val="Bookman Old Style"/>
    </font>
    <font>
      <b/>
      <sz val="10.0"/>
      <color theme="1"/>
      <name val="Calibri"/>
      <scheme val="minor"/>
    </font>
    <font>
      <b/>
      <sz val="8.0"/>
      <color theme="1"/>
      <name val="Calibri"/>
      <scheme val="minor"/>
    </font>
    <font>
      <sz val="12.0"/>
      <color theme="1"/>
      <name val="Calibri"/>
    </font>
    <font>
      <sz val="8.0"/>
      <color theme="1"/>
      <name val="Arial"/>
    </font>
    <font>
      <b/>
      <sz val="9.0"/>
      <color rgb="FF000000"/>
      <name val="&quot;Google Sans Mono&quot;"/>
    </font>
    <font>
      <sz val="11.0"/>
      <color rgb="FF222222"/>
      <name val="Arial"/>
    </font>
    <font/>
    <font>
      <sz val="9.0"/>
      <color rgb="FF000000"/>
      <name val="Calibri"/>
    </font>
    <font>
      <sz val="11.0"/>
      <color rgb="FF434343"/>
      <name val="Calibri"/>
    </font>
    <font>
      <sz val="9.0"/>
      <color theme="1"/>
      <name val="Calibri"/>
    </font>
    <font>
      <sz val="11.0"/>
      <color theme="1"/>
      <name val="Georgia"/>
    </font>
    <font>
      <sz val="9.0"/>
      <color rgb="FF000000"/>
      <name val="&quot;Bookman Old Style&quot;"/>
    </font>
    <font>
      <sz val="11.0"/>
      <color theme="1"/>
      <name val="Arial"/>
    </font>
    <font>
      <sz val="11.0"/>
      <color rgb="FFFFC000"/>
      <name val="Calibri"/>
    </font>
    <font>
      <sz val="9.0"/>
      <color rgb="FFFFC000"/>
      <name val="&quot;Google Sans Mono&quot;"/>
    </font>
    <font>
      <sz val="11.0"/>
      <color rgb="FFCC0000"/>
      <name val="Calibri"/>
    </font>
    <font>
      <sz val="9.0"/>
      <color rgb="FFCC0000"/>
      <name val="&quot;Google Sans Mono&quot;"/>
    </font>
    <font>
      <b/>
      <color rgb="FF000000"/>
      <name val="Arial"/>
    </font>
    <font>
      <b/>
      <sz val="8.0"/>
      <color rgb="FF000000"/>
      <name val="Arial"/>
    </font>
    <font>
      <sz val="11.0"/>
      <color rgb="FF434343"/>
      <name val="Arial"/>
    </font>
    <font>
      <sz val="13.0"/>
      <color theme="1"/>
      <name val="Georgia"/>
    </font>
    <font>
      <b/>
      <sz val="9.0"/>
      <color rgb="FF000000"/>
      <name val="Calibri"/>
    </font>
    <font>
      <sz val="11.0"/>
      <color rgb="FF000000"/>
      <name val="&quot;Google Sans Mono&quot;"/>
    </font>
    <font>
      <b/>
      <sz val="11.0"/>
      <color rgb="FF000000"/>
      <name val="Arial"/>
    </font>
    <font>
      <b/>
      <sz val="11.0"/>
      <color theme="1"/>
      <name val="Calibri"/>
      <scheme val="minor"/>
    </font>
    <font>
      <sz val="11.0"/>
      <color rgb="FF222222"/>
      <name val="Calibri"/>
      <scheme val="minor"/>
    </font>
    <font>
      <sz val="11.0"/>
      <color rgb="FF222222"/>
      <name val="Verdana"/>
    </font>
    <font>
      <b/>
      <sz val="11.0"/>
      <color theme="1"/>
      <name val="Arial"/>
    </font>
    <font>
      <sz val="11.0"/>
      <color rgb="FF222222"/>
      <name val="Calibri"/>
    </font>
    <font>
      <sz val="9.0"/>
      <color theme="1"/>
      <name val="Calibri"/>
      <scheme val="minor"/>
    </font>
    <font>
      <b/>
      <sz val="9.0"/>
      <color theme="1"/>
      <name val="Calibri"/>
    </font>
    <font>
      <u/>
      <sz val="11.0"/>
      <color rgb="FF000000"/>
      <name val="Calibri"/>
    </font>
    <font>
      <color rgb="FF1F1F1F"/>
      <name val="Arial"/>
    </font>
    <font>
      <b/>
      <sz val="11.0"/>
      <color rgb="FF434343"/>
      <name val="Calibri"/>
    </font>
    <font>
      <b/>
      <sz val="9.0"/>
      <color rgb="FF434343"/>
      <name val="Calibri"/>
    </font>
    <font>
      <b/>
      <sz val="12.0"/>
      <color theme="1"/>
      <name val="Calibri"/>
      <scheme val="minor"/>
    </font>
    <font>
      <sz val="12.0"/>
      <color theme="1"/>
      <name val="Calibri"/>
      <scheme val="minor"/>
    </font>
    <font>
      <b/>
      <sz val="12.0"/>
      <color rgb="FF000000"/>
      <name val="Arial"/>
    </font>
    <font>
      <sz val="12.0"/>
      <color rgb="FF000000"/>
      <name val="Calibri"/>
    </font>
    <font>
      <b/>
      <sz val="12.0"/>
      <color rgb="FF000000"/>
      <name val="Calibri"/>
    </font>
    <font>
      <b/>
      <sz val="12.0"/>
      <color rgb="FF3F3F3F"/>
      <name val="Calibri"/>
    </font>
    <font>
      <b/>
      <sz val="12.0"/>
      <color rgb="FF3F3F3F"/>
      <name val="&quot;Times New Roman&quot;"/>
    </font>
    <font>
      <sz val="12.0"/>
      <color rgb="FF000000"/>
      <name val="Calibri"/>
      <scheme val="minor"/>
    </font>
    <font>
      <b/>
      <sz val="12.0"/>
      <color rgb="FF3F3F3F"/>
      <name val="Times New Roman"/>
    </font>
    <font>
      <sz val="12.0"/>
      <color rgb="FF3F3F3F"/>
      <name val="Times New Roman"/>
    </font>
    <font>
      <b/>
      <sz val="12.0"/>
      <color rgb="FF000000"/>
      <name val="Calibri"/>
      <scheme val="minor"/>
    </font>
    <font>
      <b/>
      <sz val="12.0"/>
      <color rgb="FF222222"/>
      <name val="Arial"/>
    </font>
    <font>
      <sz val="12.0"/>
      <color rgb="FF222222"/>
      <name val="Arial"/>
    </font>
    <font>
      <b/>
      <sz val="12.0"/>
      <color rgb="FFFFFFFF"/>
      <name val="Calibri"/>
      <scheme val="minor"/>
    </font>
    <font>
      <sz val="12.0"/>
      <color rgb="FFFFFFFF"/>
      <name val="Calibri"/>
      <scheme val="minor"/>
    </font>
    <font>
      <b/>
      <sz val="6.0"/>
      <color rgb="FF000000"/>
      <name val="Calibri"/>
    </font>
    <font>
      <sz val="12.0"/>
      <color rgb="FFFFFFFF"/>
      <name val="Calibri"/>
    </font>
    <font>
      <color rgb="FFFF0000"/>
      <name val="Calibri"/>
      <scheme val="minor"/>
    </font>
  </fonts>
  <fills count="18">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F2F2F2"/>
        <bgColor rgb="FFF2F2F2"/>
      </patternFill>
    </fill>
    <fill>
      <patternFill patternType="solid">
        <fgColor rgb="FFF1C232"/>
        <bgColor rgb="FFF1C232"/>
      </patternFill>
    </fill>
    <fill>
      <patternFill patternType="solid">
        <fgColor rgb="FFFFC000"/>
        <bgColor rgb="FFFFC000"/>
      </patternFill>
    </fill>
    <fill>
      <patternFill patternType="solid">
        <fgColor theme="0"/>
        <bgColor theme="0"/>
      </patternFill>
    </fill>
    <fill>
      <patternFill patternType="solid">
        <fgColor rgb="FFFAFAFC"/>
        <bgColor rgb="FFFAFAFC"/>
      </patternFill>
    </fill>
    <fill>
      <patternFill patternType="solid">
        <fgColor rgb="FFB6D7A8"/>
        <bgColor rgb="FFB6D7A8"/>
      </patternFill>
    </fill>
    <fill>
      <patternFill patternType="solid">
        <fgColor rgb="FFF8F8F8"/>
        <bgColor rgb="FFF8F8F8"/>
      </patternFill>
    </fill>
    <fill>
      <patternFill patternType="solid">
        <fgColor rgb="FFF3F3F3"/>
        <bgColor rgb="FFF3F3F3"/>
      </patternFill>
    </fill>
    <fill>
      <patternFill patternType="solid">
        <fgColor rgb="FFFFFF00"/>
        <bgColor rgb="FFFFFF00"/>
      </patternFill>
    </fill>
    <fill>
      <patternFill patternType="solid">
        <fgColor rgb="FF00FFFF"/>
        <bgColor rgb="FF00FFFF"/>
      </patternFill>
    </fill>
    <fill>
      <patternFill patternType="solid">
        <fgColor rgb="FF00FF00"/>
        <bgColor rgb="FF00FF00"/>
      </patternFill>
    </fill>
    <fill>
      <patternFill patternType="solid">
        <fgColor rgb="FFD9EAD3"/>
        <bgColor rgb="FFD9EAD3"/>
      </patternFill>
    </fill>
    <fill>
      <patternFill patternType="solid">
        <fgColor rgb="FFFF9900"/>
        <bgColor rgb="FFFF9900"/>
      </patternFill>
    </fill>
    <fill>
      <patternFill patternType="solid">
        <fgColor rgb="FFE69138"/>
        <bgColor rgb="FFE69138"/>
      </patternFill>
    </fill>
  </fills>
  <borders count="1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medium">
        <color rgb="FFCCCCCC"/>
      </left>
      <right style="medium">
        <color rgb="FFCCCCCC"/>
      </right>
      <top style="medium">
        <color rgb="FFCCCCCC"/>
      </top>
      <bottom style="medium">
        <color rgb="FFCCCCCC"/>
      </bottom>
    </border>
    <border>
      <left style="thin">
        <color rgb="FF000000"/>
      </left>
      <right style="thin">
        <color rgb="FF000000"/>
      </right>
    </border>
    <border>
      <right style="thin">
        <color rgb="FF000000"/>
      </right>
    </border>
    <border>
      <right style="thin">
        <color rgb="FF000000"/>
      </right>
      <top style="thin">
        <color rgb="FF000000"/>
      </top>
    </border>
    <border>
      <top style="thin">
        <color rgb="FF000000"/>
      </top>
      <bottom style="thin">
        <color rgb="FF000000"/>
      </bottom>
    </border>
    <border>
      <bottom style="thin">
        <color rgb="FF000000"/>
      </bottom>
    </border>
    <border>
      <left style="thin">
        <color rgb="FF000000"/>
      </left>
      <top style="thin">
        <color rgb="FF000000"/>
      </top>
      <bottom style="thin">
        <color rgb="FF000000"/>
      </bottom>
    </border>
    <border>
      <left style="thin">
        <color rgb="FF000000"/>
      </left>
      <bottom style="thin">
        <color rgb="FF000000"/>
      </bottom>
    </border>
  </borders>
  <cellStyleXfs count="1">
    <xf borderId="0" fillId="0" fontId="0" numFmtId="0" applyAlignment="1" applyFont="1"/>
  </cellStyleXfs>
  <cellXfs count="1345">
    <xf borderId="0" fillId="0" fontId="0" numFmtId="0" xfId="0" applyAlignment="1" applyFont="1">
      <alignment readingOrder="0" shrinkToFit="0" vertical="bottom" wrapText="0"/>
    </xf>
    <xf borderId="1" fillId="0" fontId="1" numFmtId="0" xfId="0" applyAlignment="1" applyBorder="1" applyFont="1">
      <alignment readingOrder="0"/>
    </xf>
    <xf borderId="1" fillId="0" fontId="1" numFmtId="0" xfId="0" applyBorder="1" applyFont="1"/>
    <xf borderId="1" fillId="2" fontId="2" numFmtId="0" xfId="0" applyAlignment="1" applyBorder="1" applyFill="1" applyFont="1">
      <alignment horizontal="center" shrinkToFit="0" vertical="bottom" wrapText="1"/>
    </xf>
    <xf borderId="2" fillId="2" fontId="2" numFmtId="0" xfId="0" applyAlignment="1" applyBorder="1" applyFont="1">
      <alignment horizontal="center" readingOrder="0" shrinkToFit="0" vertical="bottom" wrapText="1"/>
    </xf>
    <xf borderId="2" fillId="2" fontId="2" numFmtId="0" xfId="0" applyAlignment="1" applyBorder="1" applyFont="1">
      <alignment horizontal="center" shrinkToFit="0" vertical="bottom" wrapText="1"/>
    </xf>
    <xf borderId="2" fillId="2" fontId="3" numFmtId="0" xfId="0" applyAlignment="1" applyBorder="1" applyFont="1">
      <alignment horizontal="center" shrinkToFit="0" wrapText="1"/>
    </xf>
    <xf borderId="3" fillId="3" fontId="4" numFmtId="0" xfId="0" applyAlignment="1" applyBorder="1" applyFill="1" applyFont="1">
      <alignment vertical="bottom"/>
    </xf>
    <xf borderId="4" fillId="0" fontId="5" numFmtId="164" xfId="0" applyAlignment="1" applyBorder="1" applyFont="1" applyNumberFormat="1">
      <alignment horizontal="right" vertical="bottom"/>
    </xf>
    <xf borderId="4" fillId="0" fontId="5" numFmtId="0" xfId="0" applyAlignment="1" applyBorder="1" applyFont="1">
      <alignment horizontal="right" vertical="bottom"/>
    </xf>
    <xf borderId="4" fillId="3" fontId="5" numFmtId="164" xfId="0" applyAlignment="1" applyBorder="1" applyFont="1" applyNumberFormat="1">
      <alignment horizontal="right" vertical="bottom"/>
    </xf>
    <xf borderId="4" fillId="3" fontId="6" numFmtId="0" xfId="0" applyAlignment="1" applyBorder="1" applyFont="1">
      <alignment horizontal="right" vertical="bottom"/>
    </xf>
    <xf borderId="4" fillId="0" fontId="5" numFmtId="10" xfId="0" applyAlignment="1" applyBorder="1" applyFont="1" applyNumberFormat="1">
      <alignment horizontal="right" vertical="bottom"/>
    </xf>
    <xf borderId="3" fillId="3" fontId="4" numFmtId="0" xfId="0" applyAlignment="1" applyBorder="1" applyFont="1">
      <alignment readingOrder="0" vertical="bottom"/>
    </xf>
    <xf borderId="1" fillId="3" fontId="7" numFmtId="164" xfId="0" applyBorder="1" applyFont="1" applyNumberFormat="1"/>
    <xf borderId="3" fillId="4" fontId="4" numFmtId="0" xfId="0" applyAlignment="1" applyBorder="1" applyFill="1" applyFont="1">
      <alignment vertical="bottom"/>
    </xf>
    <xf borderId="3" fillId="5" fontId="8" numFmtId="0" xfId="0" applyAlignment="1" applyBorder="1" applyFill="1" applyFont="1">
      <alignment vertical="bottom"/>
    </xf>
    <xf borderId="4" fillId="5" fontId="8" numFmtId="164" xfId="0" applyAlignment="1" applyBorder="1" applyFont="1" applyNumberFormat="1">
      <alignment horizontal="right" readingOrder="0" vertical="bottom"/>
    </xf>
    <xf borderId="4" fillId="5" fontId="8" numFmtId="0" xfId="0" applyAlignment="1" applyBorder="1" applyFont="1">
      <alignment horizontal="right" vertical="bottom"/>
    </xf>
    <xf borderId="4" fillId="5" fontId="8" numFmtId="164" xfId="0" applyAlignment="1" applyBorder="1" applyFont="1" applyNumberFormat="1">
      <alignment horizontal="right" vertical="bottom"/>
    </xf>
    <xf borderId="4" fillId="6" fontId="3" numFmtId="10" xfId="0" applyAlignment="1" applyBorder="1" applyFill="1" applyFont="1" applyNumberFormat="1">
      <alignment horizontal="right" vertical="bottom"/>
    </xf>
    <xf borderId="4" fillId="6" fontId="5" numFmtId="0" xfId="0" applyAlignment="1" applyBorder="1" applyFont="1">
      <alignment horizontal="right" vertical="bottom"/>
    </xf>
    <xf borderId="1" fillId="6" fontId="9" numFmtId="0" xfId="0" applyAlignment="1" applyBorder="1" applyFont="1">
      <alignment readingOrder="0"/>
    </xf>
    <xf borderId="1" fillId="0" fontId="1" numFmtId="3" xfId="0" applyAlignment="1" applyBorder="1" applyFont="1" applyNumberFormat="1">
      <alignment readingOrder="0"/>
    </xf>
    <xf borderId="1" fillId="0" fontId="1" numFmtId="164" xfId="0" applyBorder="1" applyFont="1" applyNumberFormat="1"/>
    <xf borderId="1" fillId="0" fontId="1" numFmtId="4" xfId="0" applyAlignment="1" applyBorder="1" applyFont="1" applyNumberFormat="1">
      <alignment readingOrder="0"/>
    </xf>
    <xf borderId="2" fillId="2" fontId="3" numFmtId="0" xfId="0" applyAlignment="1" applyBorder="1" applyFont="1">
      <alignment horizontal="center" shrinkToFit="0" vertical="bottom" wrapText="1"/>
    </xf>
    <xf borderId="4" fillId="3" fontId="6" numFmtId="164" xfId="0" applyAlignment="1" applyBorder="1" applyFont="1" applyNumberFormat="1">
      <alignment horizontal="right" vertical="bottom"/>
    </xf>
    <xf borderId="4" fillId="3" fontId="6" numFmtId="0" xfId="0" applyAlignment="1" applyBorder="1" applyFont="1">
      <alignment horizontal="right" readingOrder="0" vertical="bottom"/>
    </xf>
    <xf borderId="4" fillId="3" fontId="5" numFmtId="164" xfId="0" applyAlignment="1" applyBorder="1" applyFont="1" applyNumberFormat="1">
      <alignment horizontal="right" readingOrder="0" vertical="bottom"/>
    </xf>
    <xf borderId="0" fillId="3" fontId="10" numFmtId="4" xfId="0" applyAlignment="1" applyFont="1" applyNumberFormat="1">
      <alignment readingOrder="0"/>
    </xf>
    <xf borderId="4" fillId="0" fontId="5" numFmtId="0" xfId="0" applyAlignment="1" applyBorder="1" applyFont="1">
      <alignment horizontal="right" vertical="bottom"/>
    </xf>
    <xf borderId="4" fillId="0" fontId="5" numFmtId="164" xfId="0" applyAlignment="1" applyBorder="1" applyFont="1" applyNumberFormat="1">
      <alignment horizontal="right" readingOrder="0" vertical="bottom"/>
    </xf>
    <xf borderId="4" fillId="0" fontId="5" numFmtId="0" xfId="0" applyAlignment="1" applyBorder="1" applyFont="1">
      <alignment horizontal="right" readingOrder="0" vertical="bottom"/>
    </xf>
    <xf borderId="2" fillId="7" fontId="5" numFmtId="3" xfId="0" applyAlignment="1" applyBorder="1" applyFill="1" applyFont="1" applyNumberFormat="1">
      <alignment readingOrder="0" vertical="bottom"/>
    </xf>
    <xf borderId="4" fillId="3" fontId="6" numFmtId="4" xfId="0" applyAlignment="1" applyBorder="1" applyFont="1" applyNumberFormat="1">
      <alignment horizontal="right" readingOrder="0" vertical="bottom"/>
    </xf>
    <xf borderId="4" fillId="5" fontId="8" numFmtId="49" xfId="0" applyAlignment="1" applyBorder="1" applyFont="1" applyNumberFormat="1">
      <alignment horizontal="right" readingOrder="0" vertical="bottom"/>
    </xf>
    <xf borderId="4" fillId="5" fontId="8" numFmtId="0" xfId="0" applyAlignment="1" applyBorder="1" applyFont="1">
      <alignment horizontal="right" readingOrder="0" vertical="bottom"/>
    </xf>
    <xf borderId="1" fillId="0" fontId="5" numFmtId="3" xfId="0" applyAlignment="1" applyBorder="1" applyFont="1" applyNumberFormat="1">
      <alignment readingOrder="0" shrinkToFit="0" vertical="bottom" wrapText="0"/>
    </xf>
    <xf borderId="1" fillId="0" fontId="5" numFmtId="164" xfId="0" applyAlignment="1" applyBorder="1" applyFont="1" applyNumberFormat="1">
      <alignment readingOrder="0" shrinkToFit="0" vertical="bottom" wrapText="0"/>
    </xf>
    <xf borderId="1" fillId="0" fontId="5" numFmtId="0" xfId="0" applyAlignment="1" applyBorder="1" applyFont="1">
      <alignment horizontal="right" readingOrder="0" shrinkToFit="0" vertical="bottom" wrapText="0"/>
    </xf>
    <xf borderId="3" fillId="0" fontId="5" numFmtId="164" xfId="0" applyAlignment="1" applyBorder="1" applyFont="1" applyNumberFormat="1">
      <alignment readingOrder="0" shrinkToFit="0" vertical="bottom" wrapText="0"/>
    </xf>
    <xf borderId="3" fillId="0" fontId="5" numFmtId="0" xfId="0" applyAlignment="1" applyBorder="1" applyFont="1">
      <alignment horizontal="right" readingOrder="0" shrinkToFit="0" vertical="bottom" wrapText="0"/>
    </xf>
    <xf borderId="1" fillId="3" fontId="4" numFmtId="0" xfId="0" applyAlignment="1" applyBorder="1" applyFont="1">
      <alignment vertical="bottom"/>
    </xf>
    <xf borderId="1" fillId="0" fontId="5" numFmtId="164" xfId="0" applyAlignment="1" applyBorder="1" applyFont="1" applyNumberFormat="1">
      <alignment horizontal="right" vertical="bottom"/>
    </xf>
    <xf borderId="1" fillId="3" fontId="6" numFmtId="0" xfId="0" applyAlignment="1" applyBorder="1" applyFont="1">
      <alignment horizontal="right" vertical="bottom"/>
    </xf>
    <xf borderId="1" fillId="3" fontId="5" numFmtId="164" xfId="0" applyAlignment="1" applyBorder="1" applyFont="1" applyNumberFormat="1">
      <alignment horizontal="right" vertical="bottom"/>
    </xf>
    <xf borderId="1" fillId="0" fontId="5" numFmtId="10" xfId="0" applyAlignment="1" applyBorder="1" applyFont="1" applyNumberFormat="1">
      <alignment horizontal="right" vertical="bottom"/>
    </xf>
    <xf borderId="1" fillId="0" fontId="5" numFmtId="0" xfId="0" applyAlignment="1" applyBorder="1" applyFont="1">
      <alignment horizontal="right" vertical="bottom"/>
    </xf>
    <xf borderId="1" fillId="4" fontId="4" numFmtId="0" xfId="0" applyAlignment="1" applyBorder="1" applyFont="1">
      <alignment vertical="bottom"/>
    </xf>
    <xf borderId="1" fillId="3" fontId="10" numFmtId="4" xfId="0" applyAlignment="1" applyBorder="1" applyFont="1" applyNumberFormat="1">
      <alignment readingOrder="0"/>
    </xf>
    <xf borderId="1" fillId="0" fontId="1" numFmtId="4" xfId="0" applyBorder="1" applyFont="1" applyNumberFormat="1"/>
    <xf borderId="1" fillId="7" fontId="5" numFmtId="3" xfId="0" applyAlignment="1" applyBorder="1" applyFont="1" applyNumberFormat="1">
      <alignment readingOrder="0" vertical="bottom"/>
    </xf>
    <xf borderId="1" fillId="3" fontId="6" numFmtId="0" xfId="0" applyAlignment="1" applyBorder="1" applyFont="1">
      <alignment horizontal="right" readingOrder="0" vertical="bottom"/>
    </xf>
    <xf borderId="1" fillId="0" fontId="5" numFmtId="0" xfId="0" applyAlignment="1" applyBorder="1" applyFont="1">
      <alignment horizontal="right" readingOrder="0" vertical="bottom"/>
    </xf>
    <xf borderId="1" fillId="5" fontId="8" numFmtId="0" xfId="0" applyAlignment="1" applyBorder="1" applyFont="1">
      <alignment vertical="bottom"/>
    </xf>
    <xf borderId="1" fillId="5" fontId="8" numFmtId="164" xfId="0" applyAlignment="1" applyBorder="1" applyFont="1" applyNumberFormat="1">
      <alignment horizontal="right" readingOrder="0" vertical="bottom"/>
    </xf>
    <xf borderId="1" fillId="5" fontId="8" numFmtId="49" xfId="0" applyAlignment="1" applyBorder="1" applyFont="1" applyNumberFormat="1">
      <alignment horizontal="right" readingOrder="0" vertical="bottom"/>
    </xf>
    <xf borderId="1" fillId="5" fontId="8" numFmtId="0" xfId="0" applyAlignment="1" applyBorder="1" applyFont="1">
      <alignment horizontal="right" readingOrder="0" vertical="bottom"/>
    </xf>
    <xf borderId="1" fillId="5" fontId="8" numFmtId="164" xfId="0" applyAlignment="1" applyBorder="1" applyFont="1" applyNumberFormat="1">
      <alignment horizontal="right" vertical="bottom"/>
    </xf>
    <xf borderId="1" fillId="5" fontId="8" numFmtId="0" xfId="0" applyAlignment="1" applyBorder="1" applyFont="1">
      <alignment horizontal="right" vertical="bottom"/>
    </xf>
    <xf borderId="1" fillId="6" fontId="3" numFmtId="10" xfId="0" applyAlignment="1" applyBorder="1" applyFont="1" applyNumberFormat="1">
      <alignment horizontal="right" vertical="bottom"/>
    </xf>
    <xf borderId="1" fillId="6" fontId="5" numFmtId="0" xfId="0" applyAlignment="1" applyBorder="1" applyFont="1">
      <alignment horizontal="right" vertical="bottom"/>
    </xf>
    <xf borderId="3" fillId="0" fontId="5" numFmtId="164" xfId="0" applyAlignment="1" applyBorder="1" applyFont="1" applyNumberFormat="1">
      <alignment horizontal="right" vertical="bottom"/>
    </xf>
    <xf borderId="3" fillId="0" fontId="5" numFmtId="0" xfId="0" applyAlignment="1" applyBorder="1" applyFont="1">
      <alignment horizontal="right" vertical="bottom"/>
    </xf>
    <xf borderId="0" fillId="0" fontId="1" numFmtId="0" xfId="0" applyAlignment="1" applyFont="1">
      <alignment readingOrder="0"/>
    </xf>
    <xf borderId="1" fillId="0" fontId="5" numFmtId="0" xfId="0" applyAlignment="1" applyBorder="1" applyFont="1">
      <alignment vertical="bottom"/>
    </xf>
    <xf borderId="1" fillId="0" fontId="5" numFmtId="164" xfId="0" applyAlignment="1" applyBorder="1" applyFont="1" applyNumberFormat="1">
      <alignment vertical="bottom"/>
    </xf>
    <xf borderId="1" fillId="3" fontId="5" numFmtId="4" xfId="0" applyAlignment="1" applyBorder="1" applyFont="1" applyNumberFormat="1">
      <alignment vertical="bottom"/>
    </xf>
    <xf borderId="1" fillId="0" fontId="5" numFmtId="4" xfId="0" applyAlignment="1" applyBorder="1" applyFont="1" applyNumberFormat="1">
      <alignment horizontal="right" vertical="bottom"/>
    </xf>
    <xf borderId="1" fillId="3" fontId="5" numFmtId="3" xfId="0" applyAlignment="1" applyBorder="1" applyFont="1" applyNumberFormat="1">
      <alignment horizontal="right" vertical="bottom"/>
    </xf>
    <xf borderId="1" fillId="0" fontId="5" numFmtId="3" xfId="0" applyAlignment="1" applyBorder="1" applyFont="1" applyNumberFormat="1">
      <alignment readingOrder="0" vertical="bottom"/>
    </xf>
    <xf borderId="1" fillId="3" fontId="5" numFmtId="0" xfId="0" applyAlignment="1" applyBorder="1" applyFont="1">
      <alignment readingOrder="0" vertical="bottom"/>
    </xf>
    <xf borderId="1" fillId="0" fontId="5" numFmtId="4" xfId="0" applyAlignment="1" applyBorder="1" applyFont="1" applyNumberFormat="1">
      <alignment horizontal="right" readingOrder="0" vertical="bottom"/>
    </xf>
    <xf borderId="1" fillId="0" fontId="5" numFmtId="10" xfId="0" applyAlignment="1" applyBorder="1" applyFont="1" applyNumberFormat="1">
      <alignment vertical="bottom"/>
    </xf>
    <xf borderId="1" fillId="3" fontId="5" numFmtId="0" xfId="0" applyAlignment="1" applyBorder="1" applyFont="1">
      <alignment vertical="bottom"/>
    </xf>
    <xf borderId="1" fillId="5" fontId="8" numFmtId="49" xfId="0" applyAlignment="1" applyBorder="1" applyFont="1" applyNumberFormat="1">
      <alignment horizontal="right" vertical="bottom"/>
    </xf>
    <xf borderId="1" fillId="0" fontId="5" numFmtId="164" xfId="0" applyAlignment="1" applyBorder="1" applyFont="1" applyNumberFormat="1">
      <alignment horizontal="right" readingOrder="0" vertical="bottom"/>
    </xf>
    <xf borderId="3" fillId="0" fontId="5" numFmtId="164" xfId="0" applyAlignment="1" applyBorder="1" applyFont="1" applyNumberFormat="1">
      <alignment horizontal="right" readingOrder="0" vertical="bottom"/>
    </xf>
    <xf borderId="3" fillId="0" fontId="5" numFmtId="0" xfId="0" applyAlignment="1" applyBorder="1" applyFont="1">
      <alignment horizontal="right" readingOrder="0" vertical="bottom"/>
    </xf>
    <xf borderId="1" fillId="3" fontId="5" numFmtId="3" xfId="0" applyAlignment="1" applyBorder="1" applyFont="1" applyNumberFormat="1">
      <alignment horizontal="right" readingOrder="0" vertical="bottom"/>
    </xf>
    <xf borderId="3" fillId="3" fontId="11" numFmtId="0" xfId="0" applyAlignment="1" applyBorder="1" applyFont="1">
      <alignment vertical="bottom"/>
    </xf>
    <xf borderId="3" fillId="0" fontId="12" numFmtId="164" xfId="0" applyAlignment="1" applyBorder="1" applyFont="1" applyNumberFormat="1">
      <alignment horizontal="right" readingOrder="0" vertical="bottom"/>
    </xf>
    <xf borderId="3" fillId="0" fontId="12" numFmtId="0" xfId="0" applyAlignment="1" applyBorder="1" applyFont="1">
      <alignment horizontal="right" readingOrder="0" vertical="bottom"/>
    </xf>
    <xf borderId="4" fillId="0" fontId="12" numFmtId="164" xfId="0" applyAlignment="1" applyBorder="1" applyFont="1" applyNumberFormat="1">
      <alignment horizontal="right" vertical="bottom"/>
    </xf>
    <xf borderId="4" fillId="3" fontId="13" numFmtId="0" xfId="0" applyAlignment="1" applyBorder="1" applyFont="1">
      <alignment horizontal="right" vertical="bottom"/>
    </xf>
    <xf borderId="4" fillId="3" fontId="12" numFmtId="164" xfId="0" applyAlignment="1" applyBorder="1" applyFont="1" applyNumberFormat="1">
      <alignment horizontal="right" vertical="bottom"/>
    </xf>
    <xf borderId="4" fillId="0" fontId="12" numFmtId="10" xfId="0" applyAlignment="1" applyBorder="1" applyFont="1" applyNumberFormat="1">
      <alignment horizontal="right" vertical="bottom"/>
    </xf>
    <xf borderId="1" fillId="0" fontId="14" numFmtId="0" xfId="0" applyBorder="1" applyFont="1"/>
    <xf borderId="0" fillId="0" fontId="14" numFmtId="0" xfId="0" applyFont="1"/>
    <xf borderId="1" fillId="0" fontId="1" numFmtId="10" xfId="0" applyBorder="1" applyFont="1" applyNumberFormat="1"/>
    <xf borderId="0" fillId="0" fontId="15" numFmtId="0" xfId="0" applyAlignment="1" applyFont="1">
      <alignment readingOrder="0" shrinkToFit="0" vertical="bottom" wrapText="1"/>
    </xf>
    <xf borderId="5" fillId="0" fontId="15" numFmtId="0" xfId="0" applyAlignment="1" applyBorder="1" applyFont="1">
      <alignment readingOrder="0" shrinkToFit="0" vertical="bottom" wrapText="1"/>
    </xf>
    <xf borderId="5" fillId="0" fontId="5" numFmtId="0" xfId="0" applyAlignment="1" applyBorder="1" applyFont="1">
      <alignment readingOrder="0" vertical="bottom"/>
    </xf>
    <xf borderId="5" fillId="0" fontId="5" numFmtId="0" xfId="0" applyAlignment="1" applyBorder="1" applyFont="1">
      <alignment vertical="bottom"/>
    </xf>
    <xf borderId="0" fillId="0" fontId="15" numFmtId="165" xfId="0" applyAlignment="1" applyFont="1" applyNumberFormat="1">
      <alignment readingOrder="0" shrinkToFit="0" vertical="bottom" wrapText="1"/>
    </xf>
    <xf borderId="5" fillId="0" fontId="15" numFmtId="0" xfId="0" applyAlignment="1" applyBorder="1" applyFont="1">
      <alignment shrinkToFit="0" vertical="bottom" wrapText="1"/>
    </xf>
    <xf borderId="5" fillId="0" fontId="15" numFmtId="0" xfId="0" applyAlignment="1" applyBorder="1" applyFont="1">
      <alignment horizontal="right" shrinkToFit="0" vertical="bottom" wrapText="1"/>
    </xf>
    <xf borderId="5" fillId="0" fontId="16" numFmtId="0" xfId="0" applyAlignment="1" applyBorder="1" applyFont="1">
      <alignment horizontal="right" shrinkToFit="0" vertical="bottom" wrapText="1"/>
    </xf>
    <xf borderId="5" fillId="0" fontId="15" numFmtId="0" xfId="0" applyBorder="1" applyFont="1"/>
    <xf borderId="5" fillId="0" fontId="15" numFmtId="14" xfId="0" applyAlignment="1" applyBorder="1" applyFont="1" applyNumberFormat="1">
      <alignment horizontal="right" shrinkToFit="0" vertical="bottom" wrapText="1"/>
    </xf>
    <xf borderId="0" fillId="0" fontId="15" numFmtId="0" xfId="0" applyAlignment="1" applyFont="1">
      <alignment horizontal="right" shrinkToFit="0" vertical="bottom" wrapText="1"/>
    </xf>
    <xf borderId="0" fillId="3" fontId="10" numFmtId="0" xfId="0" applyAlignment="1" applyFont="1">
      <alignment readingOrder="0"/>
    </xf>
    <xf borderId="1" fillId="0" fontId="17" numFmtId="0" xfId="0" applyAlignment="1" applyBorder="1" applyFont="1">
      <alignment readingOrder="0"/>
    </xf>
    <xf borderId="1" fillId="0" fontId="17" numFmtId="0" xfId="0" applyBorder="1" applyFont="1"/>
    <xf borderId="1" fillId="0" fontId="17" numFmtId="4" xfId="0" applyAlignment="1" applyBorder="1" applyFont="1" applyNumberFormat="1">
      <alignment readingOrder="0"/>
    </xf>
    <xf borderId="1" fillId="0" fontId="17" numFmtId="4" xfId="0" applyBorder="1" applyFont="1" applyNumberFormat="1"/>
    <xf borderId="1" fillId="0" fontId="18" numFmtId="0" xfId="0" applyBorder="1" applyFont="1"/>
    <xf borderId="1" fillId="0" fontId="17" numFmtId="166" xfId="0" applyAlignment="1" applyBorder="1" applyFont="1" applyNumberFormat="1">
      <alignment horizontal="center" readingOrder="0"/>
    </xf>
    <xf borderId="1" fillId="0" fontId="18" numFmtId="4" xfId="0" applyBorder="1" applyFont="1" applyNumberFormat="1"/>
    <xf borderId="1" fillId="0" fontId="18" numFmtId="166" xfId="0" applyAlignment="1" applyBorder="1" applyFont="1" applyNumberFormat="1">
      <alignment readingOrder="0"/>
    </xf>
    <xf borderId="1" fillId="0" fontId="18" numFmtId="0" xfId="0" applyAlignment="1" applyBorder="1" applyFont="1">
      <alignment readingOrder="0"/>
    </xf>
    <xf borderId="1" fillId="0" fontId="18" numFmtId="4" xfId="0" applyAlignment="1" applyBorder="1" applyFont="1" applyNumberFormat="1">
      <alignment horizontal="right" readingOrder="0"/>
    </xf>
    <xf borderId="1" fillId="0" fontId="18" numFmtId="4" xfId="0" applyAlignment="1" applyBorder="1" applyFont="1" applyNumberFormat="1">
      <alignment readingOrder="0"/>
    </xf>
    <xf borderId="3" fillId="0" fontId="19" numFmtId="0" xfId="0" applyAlignment="1" applyBorder="1" applyFont="1">
      <alignment readingOrder="0" shrinkToFit="0" vertical="bottom" wrapText="0"/>
    </xf>
    <xf borderId="3" fillId="3" fontId="19" numFmtId="4" xfId="0" applyAlignment="1" applyBorder="1" applyFont="1" applyNumberFormat="1">
      <alignment horizontal="right" readingOrder="0" shrinkToFit="0" vertical="bottom" wrapText="0"/>
    </xf>
    <xf borderId="1" fillId="3" fontId="19" numFmtId="0" xfId="0" applyAlignment="1" applyBorder="1" applyFont="1">
      <alignment readingOrder="0" shrinkToFit="0" vertical="bottom" wrapText="0"/>
    </xf>
    <xf borderId="2" fillId="3" fontId="19" numFmtId="0" xfId="0" applyAlignment="1" applyBorder="1" applyFont="1">
      <alignment readingOrder="0" shrinkToFit="0" vertical="bottom" wrapText="0"/>
    </xf>
    <xf borderId="1" fillId="0" fontId="19" numFmtId="0" xfId="0" applyAlignment="1" applyBorder="1" applyFont="1">
      <alignment readingOrder="0" vertical="bottom"/>
    </xf>
    <xf borderId="2" fillId="0" fontId="19" numFmtId="0" xfId="0" applyAlignment="1" applyBorder="1" applyFont="1">
      <alignment readingOrder="0" vertical="bottom"/>
    </xf>
    <xf borderId="2" fillId="0" fontId="19" numFmtId="4" xfId="0" applyAlignment="1" applyBorder="1" applyFont="1" applyNumberFormat="1">
      <alignment horizontal="right" readingOrder="0" vertical="bottom"/>
    </xf>
    <xf borderId="1" fillId="0" fontId="19" numFmtId="0" xfId="0" applyAlignment="1" applyBorder="1" applyFont="1">
      <alignment readingOrder="0" shrinkToFit="0" vertical="bottom" wrapText="0"/>
    </xf>
    <xf borderId="2" fillId="0" fontId="19" numFmtId="0" xfId="0" applyAlignment="1" applyBorder="1" applyFont="1">
      <alignment readingOrder="0" shrinkToFit="0" vertical="bottom" wrapText="0"/>
    </xf>
    <xf borderId="2" fillId="3" fontId="19" numFmtId="4" xfId="0" applyAlignment="1" applyBorder="1" applyFont="1" applyNumberFormat="1">
      <alignment horizontal="right" readingOrder="0" shrinkToFit="0" vertical="bottom" wrapText="0"/>
    </xf>
    <xf borderId="1" fillId="0" fontId="18" numFmtId="0" xfId="0" applyAlignment="1" applyBorder="1" applyFont="1">
      <alignment horizontal="left" readingOrder="0" shrinkToFit="0" vertical="bottom" wrapText="0"/>
    </xf>
    <xf borderId="2" fillId="0" fontId="18" numFmtId="0" xfId="0" applyAlignment="1" applyBorder="1" applyFont="1">
      <alignment horizontal="left" readingOrder="0" shrinkToFit="0" vertical="bottom" wrapText="0"/>
    </xf>
    <xf borderId="2" fillId="0" fontId="18" numFmtId="4" xfId="0" applyAlignment="1" applyBorder="1" applyFont="1" applyNumberFormat="1">
      <alignment horizontal="right" readingOrder="0" shrinkToFit="0" vertical="bottom" wrapText="0"/>
    </xf>
    <xf borderId="3" fillId="3" fontId="19" numFmtId="0" xfId="0" applyAlignment="1" applyBorder="1" applyFont="1">
      <alignment readingOrder="0" shrinkToFit="0" vertical="bottom" wrapText="0"/>
    </xf>
    <xf borderId="4" fillId="3" fontId="19" numFmtId="0" xfId="0" applyAlignment="1" applyBorder="1" applyFont="1">
      <alignment readingOrder="0" shrinkToFit="0" vertical="bottom" wrapText="0"/>
    </xf>
    <xf borderId="4" fillId="3" fontId="19" numFmtId="4" xfId="0" applyAlignment="1" applyBorder="1" applyFont="1" applyNumberFormat="1">
      <alignment horizontal="right" readingOrder="0" shrinkToFit="0" vertical="bottom" wrapText="0"/>
    </xf>
    <xf borderId="4" fillId="0" fontId="19" numFmtId="0" xfId="0" applyAlignment="1" applyBorder="1" applyFont="1">
      <alignment readingOrder="0" shrinkToFit="0" vertical="bottom" wrapText="0"/>
    </xf>
    <xf borderId="1" fillId="3" fontId="19" numFmtId="4" xfId="0" applyAlignment="1" applyBorder="1" applyFont="1" applyNumberFormat="1">
      <alignment horizontal="right" readingOrder="0" shrinkToFit="0" vertical="bottom" wrapText="0"/>
    </xf>
    <xf borderId="1" fillId="0" fontId="17" numFmtId="0" xfId="0" applyAlignment="1" applyBorder="1" applyFont="1">
      <alignment horizontal="center" readingOrder="0"/>
    </xf>
    <xf borderId="2" fillId="0" fontId="19" numFmtId="4" xfId="0" applyAlignment="1" applyBorder="1" applyFont="1" applyNumberFormat="1">
      <alignment horizontal="left" readingOrder="0" shrinkToFit="0" vertical="bottom" wrapText="0"/>
    </xf>
    <xf borderId="1" fillId="0" fontId="19" numFmtId="4" xfId="0" applyAlignment="1" applyBorder="1" applyFont="1" applyNumberFormat="1">
      <alignment readingOrder="0" shrinkToFit="0" vertical="bottom" wrapText="0"/>
    </xf>
    <xf borderId="2" fillId="0" fontId="19" numFmtId="4" xfId="0" applyAlignment="1" applyBorder="1" applyFont="1" applyNumberFormat="1">
      <alignment horizontal="right" readingOrder="0" shrinkToFit="0" vertical="bottom" wrapText="0"/>
    </xf>
    <xf borderId="4" fillId="0" fontId="19" numFmtId="4" xfId="0" applyAlignment="1" applyBorder="1" applyFont="1" applyNumberFormat="1">
      <alignment horizontal="left" readingOrder="0" shrinkToFit="0" vertical="bottom" wrapText="0"/>
    </xf>
    <xf borderId="3" fillId="0" fontId="19" numFmtId="4" xfId="0" applyAlignment="1" applyBorder="1" applyFont="1" applyNumberFormat="1">
      <alignment readingOrder="0" shrinkToFit="0" vertical="bottom" wrapText="0"/>
    </xf>
    <xf borderId="4" fillId="0" fontId="19" numFmtId="4" xfId="0" applyAlignment="1" applyBorder="1" applyFont="1" applyNumberFormat="1">
      <alignment horizontal="right" readingOrder="0" shrinkToFit="0" vertical="bottom" wrapText="0"/>
    </xf>
    <xf borderId="1" fillId="0" fontId="18" numFmtId="0" xfId="0" applyAlignment="1" applyBorder="1" applyFont="1">
      <alignment readingOrder="0" shrinkToFit="0" wrapText="1"/>
    </xf>
    <xf borderId="2" fillId="0" fontId="18" numFmtId="0" xfId="0" applyAlignment="1" applyBorder="1" applyFont="1">
      <alignment readingOrder="0"/>
    </xf>
    <xf borderId="2" fillId="0" fontId="18" numFmtId="0" xfId="0" applyBorder="1" applyFont="1"/>
    <xf borderId="0" fillId="0" fontId="18" numFmtId="0" xfId="0" applyFont="1"/>
    <xf borderId="2" fillId="0" fontId="20" numFmtId="166" xfId="0" applyAlignment="1" applyBorder="1" applyFont="1" applyNumberFormat="1">
      <alignment horizontal="center" readingOrder="0" shrinkToFit="0" vertical="bottom" wrapText="0"/>
    </xf>
    <xf borderId="3" fillId="3" fontId="19" numFmtId="4" xfId="0" applyAlignment="1" applyBorder="1" applyFont="1" applyNumberFormat="1">
      <alignment readingOrder="0" shrinkToFit="0" vertical="bottom" wrapText="0"/>
    </xf>
    <xf borderId="1" fillId="0" fontId="18" numFmtId="0" xfId="0" applyAlignment="1" applyBorder="1" applyFont="1">
      <alignment readingOrder="0"/>
    </xf>
    <xf borderId="1" fillId="0" fontId="18" numFmtId="4" xfId="0" applyAlignment="1" applyBorder="1" applyFont="1" applyNumberFormat="1">
      <alignment horizontal="right" readingOrder="0" vertical="bottom"/>
    </xf>
    <xf borderId="2" fillId="0" fontId="19" numFmtId="4" xfId="0" applyAlignment="1" applyBorder="1" applyFont="1" applyNumberFormat="1">
      <alignment readingOrder="0" shrinkToFit="0" vertical="bottom" wrapText="0"/>
    </xf>
    <xf borderId="1" fillId="0" fontId="18" numFmtId="0" xfId="0" applyAlignment="1" applyBorder="1" applyFont="1">
      <alignment vertical="bottom"/>
    </xf>
    <xf borderId="2" fillId="0" fontId="18" numFmtId="0" xfId="0" applyAlignment="1" applyBorder="1" applyFont="1">
      <alignment vertical="bottom"/>
    </xf>
    <xf borderId="2" fillId="0" fontId="18" numFmtId="4" xfId="0" applyAlignment="1" applyBorder="1" applyFont="1" applyNumberFormat="1">
      <alignment horizontal="right" vertical="bottom"/>
    </xf>
    <xf borderId="1" fillId="0" fontId="17" numFmtId="166" xfId="0" applyAlignment="1" applyBorder="1" applyFont="1" applyNumberFormat="1">
      <alignment horizontal="center" readingOrder="0" vertical="bottom"/>
    </xf>
    <xf borderId="6" fillId="0" fontId="19" numFmtId="0" xfId="0" applyAlignment="1" applyBorder="1" applyFont="1">
      <alignment readingOrder="0" shrinkToFit="0" vertical="bottom" wrapText="0"/>
    </xf>
    <xf borderId="7" fillId="0" fontId="19" numFmtId="0" xfId="0" applyAlignment="1" applyBorder="1" applyFont="1">
      <alignment readingOrder="0" shrinkToFit="0" vertical="bottom" wrapText="0"/>
    </xf>
    <xf borderId="7" fillId="3" fontId="19" numFmtId="4" xfId="0" applyAlignment="1" applyBorder="1" applyFont="1" applyNumberFormat="1">
      <alignment horizontal="right" readingOrder="0" shrinkToFit="0" vertical="bottom" wrapText="0"/>
    </xf>
    <xf borderId="1" fillId="0" fontId="18" numFmtId="0" xfId="0" applyAlignment="1" applyBorder="1" applyFont="1">
      <alignment readingOrder="0" vertical="bottom"/>
    </xf>
    <xf borderId="2" fillId="0" fontId="18" numFmtId="0" xfId="0" applyAlignment="1" applyBorder="1" applyFont="1">
      <alignment readingOrder="0" vertical="bottom"/>
    </xf>
    <xf borderId="2" fillId="0" fontId="18" numFmtId="4" xfId="0" applyAlignment="1" applyBorder="1" applyFont="1" applyNumberFormat="1">
      <alignment horizontal="left" readingOrder="0" vertical="bottom"/>
    </xf>
    <xf borderId="2" fillId="0" fontId="18" numFmtId="4" xfId="0" applyAlignment="1" applyBorder="1" applyFont="1" applyNumberFormat="1">
      <alignment readingOrder="0" vertical="bottom"/>
    </xf>
    <xf borderId="2" fillId="0" fontId="18" numFmtId="4" xfId="0" applyAlignment="1" applyBorder="1" applyFont="1" applyNumberFormat="1">
      <alignment horizontal="right" readingOrder="0" vertical="bottom"/>
    </xf>
    <xf borderId="2" fillId="0" fontId="19" numFmtId="4" xfId="0" applyAlignment="1" applyBorder="1" applyFont="1" applyNumberFormat="1">
      <alignment readingOrder="0" vertical="bottom"/>
    </xf>
    <xf borderId="8" fillId="0" fontId="19" numFmtId="0" xfId="0" applyAlignment="1" applyBorder="1" applyFont="1">
      <alignment readingOrder="0" vertical="bottom"/>
    </xf>
    <xf borderId="8" fillId="0" fontId="19" numFmtId="4" xfId="0" applyAlignment="1" applyBorder="1" applyFont="1" applyNumberFormat="1">
      <alignment horizontal="right" readingOrder="0" vertical="bottom"/>
    </xf>
    <xf borderId="3" fillId="0" fontId="19" numFmtId="0" xfId="0" applyAlignment="1" applyBorder="1" applyFont="1">
      <alignment readingOrder="0" vertical="bottom"/>
    </xf>
    <xf borderId="4" fillId="0" fontId="19" numFmtId="0" xfId="0" applyAlignment="1" applyBorder="1" applyFont="1">
      <alignment readingOrder="0" vertical="bottom"/>
    </xf>
    <xf borderId="6" fillId="0" fontId="19" numFmtId="0" xfId="0" applyAlignment="1" applyBorder="1" applyFont="1">
      <alignment readingOrder="0" vertical="bottom"/>
    </xf>
    <xf borderId="7" fillId="0" fontId="19" numFmtId="0" xfId="0" applyAlignment="1" applyBorder="1" applyFont="1">
      <alignment readingOrder="0" vertical="bottom"/>
    </xf>
    <xf borderId="7" fillId="0" fontId="19" numFmtId="4" xfId="0" applyAlignment="1" applyBorder="1" applyFont="1" applyNumberFormat="1">
      <alignment horizontal="right" readingOrder="0" vertical="bottom"/>
    </xf>
    <xf borderId="4" fillId="0" fontId="19" numFmtId="4" xfId="0" applyAlignment="1" applyBorder="1" applyFont="1" applyNumberFormat="1">
      <alignment horizontal="right" readingOrder="0" vertical="bottom"/>
    </xf>
    <xf borderId="1" fillId="3" fontId="21" numFmtId="4" xfId="0" applyAlignment="1" applyBorder="1" applyFont="1" applyNumberFormat="1">
      <alignment horizontal="right" readingOrder="0" shrinkToFit="0" vertical="bottom" wrapText="0"/>
    </xf>
    <xf borderId="1" fillId="0" fontId="19" numFmtId="0" xfId="0" applyAlignment="1" applyBorder="1" applyFont="1">
      <alignment horizontal="left" readingOrder="0" shrinkToFit="0" vertical="bottom" wrapText="0"/>
    </xf>
    <xf borderId="2" fillId="0" fontId="19" numFmtId="0" xfId="0" applyAlignment="1" applyBorder="1" applyFont="1">
      <alignment horizontal="left" readingOrder="0" shrinkToFit="0" vertical="bottom" wrapText="0"/>
    </xf>
    <xf borderId="3" fillId="0" fontId="19" numFmtId="0" xfId="0" applyAlignment="1" applyBorder="1" applyFont="1">
      <alignment horizontal="left" readingOrder="0" shrinkToFit="0" vertical="bottom" wrapText="0"/>
    </xf>
    <xf borderId="4" fillId="0" fontId="19" numFmtId="0" xfId="0" applyAlignment="1" applyBorder="1" applyFont="1">
      <alignment horizontal="left" readingOrder="0" shrinkToFit="0" vertical="bottom" wrapText="0"/>
    </xf>
    <xf borderId="2" fillId="0" fontId="18" numFmtId="4" xfId="0" applyAlignment="1" applyBorder="1" applyFont="1" applyNumberFormat="1">
      <alignment readingOrder="0"/>
    </xf>
    <xf borderId="2" fillId="3" fontId="21" numFmtId="4" xfId="0" applyAlignment="1" applyBorder="1" applyFont="1" applyNumberFormat="1">
      <alignment horizontal="left" readingOrder="0" vertical="bottom"/>
    </xf>
    <xf borderId="2" fillId="3" fontId="21" numFmtId="4" xfId="0" applyAlignment="1" applyBorder="1" applyFont="1" applyNumberFormat="1">
      <alignment horizontal="right" vertical="bottom"/>
    </xf>
    <xf borderId="3" fillId="3" fontId="18" numFmtId="0" xfId="0" applyAlignment="1" applyBorder="1" applyFont="1">
      <alignment vertical="bottom"/>
    </xf>
    <xf borderId="4" fillId="3" fontId="18" numFmtId="0" xfId="0" applyAlignment="1" applyBorder="1" applyFont="1">
      <alignment vertical="bottom"/>
    </xf>
    <xf borderId="3" fillId="3" fontId="18" numFmtId="4" xfId="0" applyAlignment="1" applyBorder="1" applyFont="1" applyNumberFormat="1">
      <alignment horizontal="left" vertical="bottom"/>
    </xf>
    <xf borderId="3" fillId="3" fontId="18" numFmtId="4" xfId="0" applyAlignment="1" applyBorder="1" applyFont="1" applyNumberFormat="1">
      <alignment vertical="bottom"/>
    </xf>
    <xf borderId="4" fillId="3" fontId="18" numFmtId="4" xfId="0" applyAlignment="1" applyBorder="1" applyFont="1" applyNumberFormat="1">
      <alignment horizontal="right" vertical="bottom"/>
    </xf>
    <xf borderId="0" fillId="3" fontId="21" numFmtId="0" xfId="0" applyAlignment="1" applyFont="1">
      <alignment readingOrder="0"/>
    </xf>
    <xf borderId="4" fillId="3" fontId="19" numFmtId="4" xfId="0" applyAlignment="1" applyBorder="1" applyFont="1" applyNumberFormat="1">
      <alignment readingOrder="0" shrinkToFit="0" vertical="bottom" wrapText="0"/>
    </xf>
    <xf borderId="4" fillId="0" fontId="19" numFmtId="4" xfId="0" applyAlignment="1" applyBorder="1" applyFont="1" applyNumberFormat="1">
      <alignment readingOrder="0" shrinkToFit="0" vertical="bottom" wrapText="0"/>
    </xf>
    <xf borderId="2" fillId="3" fontId="19" numFmtId="4" xfId="0" applyAlignment="1" applyBorder="1" applyFont="1" applyNumberFormat="1">
      <alignment readingOrder="0" shrinkToFit="0" vertical="bottom" wrapText="0"/>
    </xf>
    <xf borderId="3" fillId="0" fontId="18" numFmtId="0" xfId="0" applyAlignment="1" applyBorder="1" applyFont="1">
      <alignment readingOrder="0"/>
    </xf>
    <xf borderId="4" fillId="0" fontId="18" numFmtId="0" xfId="0" applyAlignment="1" applyBorder="1" applyFont="1">
      <alignment readingOrder="0"/>
    </xf>
    <xf borderId="4" fillId="0" fontId="18" numFmtId="4" xfId="0" applyAlignment="1" applyBorder="1" applyFont="1" applyNumberFormat="1">
      <alignment horizontal="right" readingOrder="0"/>
    </xf>
    <xf borderId="3" fillId="0" fontId="17" numFmtId="0" xfId="0" applyAlignment="1" applyBorder="1" applyFont="1">
      <alignment horizontal="center" readingOrder="0"/>
    </xf>
    <xf borderId="4" fillId="3" fontId="20" numFmtId="166" xfId="0" applyAlignment="1" applyBorder="1" applyFont="1" applyNumberFormat="1">
      <alignment horizontal="center" readingOrder="0" shrinkToFit="0" vertical="bottom" wrapText="0"/>
    </xf>
    <xf borderId="4" fillId="3" fontId="19" numFmtId="166" xfId="0" applyAlignment="1" applyBorder="1" applyFont="1" applyNumberFormat="1">
      <alignment readingOrder="0" shrinkToFit="0" vertical="bottom" wrapText="0"/>
    </xf>
    <xf borderId="1" fillId="0" fontId="19" numFmtId="0" xfId="0" applyAlignment="1" applyBorder="1" applyFont="1">
      <alignment horizontal="left" readingOrder="0" vertical="bottom"/>
    </xf>
    <xf borderId="2" fillId="0" fontId="19" numFmtId="0" xfId="0" applyAlignment="1" applyBorder="1" applyFont="1">
      <alignment horizontal="left" readingOrder="0" vertical="bottom"/>
    </xf>
    <xf borderId="3" fillId="0" fontId="19" numFmtId="0" xfId="0" applyAlignment="1" applyBorder="1" applyFont="1">
      <alignment horizontal="left" readingOrder="0" vertical="bottom"/>
    </xf>
    <xf borderId="4" fillId="0" fontId="19" numFmtId="0" xfId="0" applyAlignment="1" applyBorder="1" applyFont="1">
      <alignment horizontal="left" readingOrder="0" vertical="bottom"/>
    </xf>
    <xf borderId="4" fillId="3" fontId="19" numFmtId="4" xfId="0" applyAlignment="1" applyBorder="1" applyFont="1" applyNumberFormat="1">
      <alignment horizontal="right" readingOrder="0" vertical="bottom"/>
    </xf>
    <xf borderId="3" fillId="0" fontId="19" numFmtId="3" xfId="0" applyAlignment="1" applyBorder="1" applyFont="1" applyNumberFormat="1">
      <alignment readingOrder="0" vertical="bottom"/>
    </xf>
    <xf borderId="3" fillId="0" fontId="19" numFmtId="0" xfId="0" applyAlignment="1" applyBorder="1" applyFont="1">
      <alignment readingOrder="0" vertical="top"/>
    </xf>
    <xf borderId="4" fillId="0" fontId="19" numFmtId="0" xfId="0" applyAlignment="1" applyBorder="1" applyFont="1">
      <alignment readingOrder="0" vertical="top"/>
    </xf>
    <xf borderId="4" fillId="0" fontId="19" numFmtId="4" xfId="0" applyAlignment="1" applyBorder="1" applyFont="1" applyNumberFormat="1">
      <alignment horizontal="right" readingOrder="0" vertical="top"/>
    </xf>
    <xf borderId="1" fillId="3" fontId="21" numFmtId="0" xfId="0" applyAlignment="1" applyBorder="1" applyFont="1">
      <alignment readingOrder="0"/>
    </xf>
    <xf borderId="6" fillId="0" fontId="18" numFmtId="0" xfId="0" applyBorder="1" applyFont="1"/>
    <xf borderId="7" fillId="0" fontId="18" numFmtId="0" xfId="0" applyBorder="1" applyFont="1"/>
    <xf borderId="7" fillId="0" fontId="18" numFmtId="4" xfId="0" applyBorder="1" applyFont="1" applyNumberFormat="1"/>
    <xf borderId="9" fillId="0" fontId="19" numFmtId="0" xfId="0" applyAlignment="1" applyBorder="1" applyFont="1">
      <alignment horizontal="left" readingOrder="0" vertical="bottom"/>
    </xf>
    <xf borderId="1" fillId="0" fontId="19" numFmtId="4" xfId="0" applyAlignment="1" applyBorder="1" applyFont="1" applyNumberFormat="1">
      <alignment horizontal="right" readingOrder="0" vertical="bottom"/>
    </xf>
    <xf borderId="10" fillId="0" fontId="19" numFmtId="0" xfId="0" applyAlignment="1" applyBorder="1" applyFont="1">
      <alignment readingOrder="0" vertical="bottom"/>
    </xf>
    <xf borderId="3" fillId="0" fontId="19" numFmtId="4" xfId="0" applyAlignment="1" applyBorder="1" applyFont="1" applyNumberFormat="1">
      <alignment horizontal="right" readingOrder="0" vertical="bottom"/>
    </xf>
    <xf borderId="3" fillId="3" fontId="19" numFmtId="4" xfId="0" applyAlignment="1" applyBorder="1" applyFont="1" applyNumberFormat="1">
      <alignment horizontal="right" readingOrder="0" vertical="bottom"/>
    </xf>
    <xf borderId="10" fillId="0" fontId="19" numFmtId="0" xfId="0" applyAlignment="1" applyBorder="1" applyFont="1">
      <alignment horizontal="left" readingOrder="0" vertical="bottom"/>
    </xf>
    <xf borderId="4" fillId="0" fontId="18" numFmtId="4" xfId="0" applyAlignment="1" applyBorder="1" applyFont="1" applyNumberFormat="1">
      <alignment horizontal="right" readingOrder="0" vertical="bottom"/>
    </xf>
    <xf borderId="0" fillId="0" fontId="19" numFmtId="0" xfId="0" applyAlignment="1" applyFont="1">
      <alignment readingOrder="0" shrinkToFit="0" vertical="bottom" wrapText="0"/>
    </xf>
    <xf borderId="6" fillId="0" fontId="19" numFmtId="0" xfId="0" applyAlignment="1" applyBorder="1" applyFont="1">
      <alignment readingOrder="0" vertical="top"/>
    </xf>
    <xf borderId="7" fillId="0" fontId="19" numFmtId="0" xfId="0" applyAlignment="1" applyBorder="1" applyFont="1">
      <alignment readingOrder="0" vertical="top"/>
    </xf>
    <xf borderId="0" fillId="0" fontId="19" numFmtId="0" xfId="0" applyAlignment="1" applyFont="1">
      <alignment readingOrder="0" vertical="top"/>
    </xf>
    <xf borderId="6" fillId="0" fontId="19" numFmtId="4" xfId="0" applyAlignment="1" applyBorder="1" applyFont="1" applyNumberFormat="1">
      <alignment horizontal="right" readingOrder="0" vertical="top"/>
    </xf>
    <xf borderId="0" fillId="0" fontId="18" numFmtId="4" xfId="0" applyFont="1" applyNumberFormat="1"/>
    <xf borderId="1" fillId="0" fontId="18" numFmtId="4" xfId="0" applyAlignment="1" applyBorder="1" applyFont="1" applyNumberFormat="1">
      <alignment horizontal="right"/>
    </xf>
    <xf borderId="9" fillId="0" fontId="19" numFmtId="0" xfId="0" applyAlignment="1" applyBorder="1" applyFont="1">
      <alignment readingOrder="0" vertical="bottom"/>
    </xf>
    <xf borderId="1" fillId="0" fontId="18" numFmtId="0" xfId="0" applyAlignment="1" applyBorder="1" applyFont="1">
      <alignment vertical="top"/>
    </xf>
    <xf borderId="2" fillId="0" fontId="18" numFmtId="0" xfId="0" applyAlignment="1" applyBorder="1" applyFont="1">
      <alignment vertical="top"/>
    </xf>
    <xf borderId="2" fillId="0" fontId="18" numFmtId="0" xfId="0" applyAlignment="1" applyBorder="1" applyFont="1">
      <alignment readingOrder="0" vertical="top"/>
    </xf>
    <xf borderId="1" fillId="0" fontId="18" numFmtId="0" xfId="0" applyBorder="1" applyFont="1"/>
    <xf borderId="1" fillId="0" fontId="18" numFmtId="0" xfId="0" applyAlignment="1" applyBorder="1" applyFont="1">
      <alignment vertical="top"/>
    </xf>
    <xf borderId="2" fillId="0" fontId="18" numFmtId="0" xfId="0" applyAlignment="1" applyBorder="1" applyFont="1">
      <alignment vertical="top"/>
    </xf>
    <xf borderId="0" fillId="0" fontId="18" numFmtId="0" xfId="0" applyAlignment="1" applyFont="1">
      <alignment readingOrder="0"/>
    </xf>
    <xf borderId="1" fillId="0" fontId="19" numFmtId="4" xfId="0" applyAlignment="1" applyBorder="1" applyFont="1" applyNumberFormat="1">
      <alignment readingOrder="0" vertical="bottom"/>
    </xf>
    <xf borderId="3" fillId="0" fontId="19" numFmtId="4" xfId="0" applyAlignment="1" applyBorder="1" applyFont="1" applyNumberFormat="1">
      <alignment readingOrder="0" vertical="bottom"/>
    </xf>
    <xf borderId="3" fillId="3" fontId="19" numFmtId="4" xfId="0" applyAlignment="1" applyBorder="1" applyFont="1" applyNumberFormat="1">
      <alignment readingOrder="0" vertical="bottom"/>
    </xf>
    <xf borderId="4" fillId="0" fontId="19" numFmtId="4" xfId="0" applyAlignment="1" applyBorder="1" applyFont="1" applyNumberFormat="1">
      <alignment readingOrder="0" vertical="bottom"/>
    </xf>
    <xf borderId="7" fillId="0" fontId="19" numFmtId="4" xfId="0" applyAlignment="1" applyBorder="1" applyFont="1" applyNumberFormat="1">
      <alignment readingOrder="0" vertical="bottom"/>
    </xf>
    <xf borderId="3" fillId="0" fontId="18" numFmtId="0" xfId="0" applyAlignment="1" applyBorder="1" applyFont="1">
      <alignment readingOrder="0" vertical="bottom"/>
    </xf>
    <xf borderId="4" fillId="0" fontId="18" numFmtId="0" xfId="0" applyAlignment="1" applyBorder="1" applyFont="1">
      <alignment readingOrder="0" vertical="bottom"/>
    </xf>
    <xf borderId="4" fillId="3" fontId="18" numFmtId="4" xfId="0" applyAlignment="1" applyBorder="1" applyFont="1" applyNumberFormat="1">
      <alignment readingOrder="0" vertical="bottom"/>
    </xf>
    <xf borderId="3" fillId="0" fontId="18" numFmtId="0" xfId="0" applyAlignment="1" applyBorder="1" applyFont="1">
      <alignment vertical="bottom"/>
    </xf>
    <xf borderId="4" fillId="0" fontId="18" numFmtId="0" xfId="0" applyAlignment="1" applyBorder="1" applyFont="1">
      <alignment vertical="bottom"/>
    </xf>
    <xf borderId="1" fillId="3" fontId="18" numFmtId="4" xfId="0" applyAlignment="1" applyBorder="1" applyFont="1" applyNumberFormat="1">
      <alignment readingOrder="0" vertical="bottom"/>
    </xf>
    <xf borderId="1" fillId="0" fontId="18" numFmtId="4" xfId="0" applyAlignment="1" applyBorder="1" applyFont="1" applyNumberFormat="1">
      <alignment horizontal="right" vertical="bottom"/>
    </xf>
    <xf borderId="10" fillId="0" fontId="19" numFmtId="4" xfId="0" applyAlignment="1" applyBorder="1" applyFont="1" applyNumberFormat="1">
      <alignment readingOrder="0" vertical="bottom"/>
    </xf>
    <xf borderId="4" fillId="0" fontId="19" numFmtId="0" xfId="0" applyAlignment="1" applyBorder="1" applyFont="1">
      <alignment vertical="bottom"/>
    </xf>
    <xf borderId="4" fillId="3" fontId="18" numFmtId="4" xfId="0" applyAlignment="1" applyBorder="1" applyFont="1" applyNumberFormat="1">
      <alignment horizontal="right" readingOrder="0" vertical="bottom"/>
    </xf>
    <xf borderId="4" fillId="0" fontId="18" numFmtId="4" xfId="0" applyAlignment="1" applyBorder="1" applyFont="1" applyNumberFormat="1">
      <alignment horizontal="left" readingOrder="0" vertical="bottom"/>
    </xf>
    <xf borderId="1" fillId="0" fontId="18" numFmtId="167" xfId="0" applyAlignment="1" applyBorder="1" applyFont="1" applyNumberFormat="1">
      <alignment readingOrder="0"/>
    </xf>
    <xf borderId="4" fillId="0" fontId="18" numFmtId="0" xfId="0" applyAlignment="1" applyBorder="1" applyFont="1">
      <alignment horizontal="left" readingOrder="0" vertical="bottom"/>
    </xf>
    <xf borderId="1" fillId="0" fontId="18" numFmtId="165" xfId="0" applyAlignment="1" applyBorder="1" applyFont="1" applyNumberFormat="1">
      <alignment readingOrder="0"/>
    </xf>
    <xf borderId="9" fillId="0" fontId="18" numFmtId="0" xfId="0" applyAlignment="1" applyBorder="1" applyFont="1">
      <alignment readingOrder="0" vertical="bottom"/>
    </xf>
    <xf borderId="1" fillId="0" fontId="18" numFmtId="4" xfId="0" applyAlignment="1" applyBorder="1" applyFont="1" applyNumberFormat="1">
      <alignment readingOrder="0" vertical="bottom"/>
    </xf>
    <xf borderId="3" fillId="0" fontId="18" numFmtId="0" xfId="0" applyAlignment="1" applyBorder="1" applyFont="1">
      <alignment readingOrder="0" shrinkToFit="0" vertical="bottom" wrapText="0"/>
    </xf>
    <xf borderId="4" fillId="0" fontId="18" numFmtId="0" xfId="0" applyAlignment="1" applyBorder="1" applyFont="1">
      <alignment readingOrder="0" shrinkToFit="0" vertical="bottom" wrapText="0"/>
    </xf>
    <xf borderId="10" fillId="0" fontId="18" numFmtId="0" xfId="0" applyAlignment="1" applyBorder="1" applyFont="1">
      <alignment readingOrder="0" vertical="bottom"/>
    </xf>
    <xf borderId="3" fillId="0" fontId="18" numFmtId="4" xfId="0" applyAlignment="1" applyBorder="1" applyFont="1" applyNumberFormat="1">
      <alignment readingOrder="0" vertical="bottom"/>
    </xf>
    <xf borderId="4" fillId="0" fontId="18" numFmtId="4" xfId="0" applyAlignment="1" applyBorder="1" applyFont="1" applyNumberFormat="1">
      <alignment readingOrder="0" vertical="bottom"/>
    </xf>
    <xf borderId="0" fillId="0" fontId="18" numFmtId="0" xfId="0" applyAlignment="1" applyFont="1">
      <alignment readingOrder="0" shrinkToFit="0" vertical="bottom" wrapText="0"/>
    </xf>
    <xf borderId="3" fillId="3" fontId="18" numFmtId="4" xfId="0" applyAlignment="1" applyBorder="1" applyFont="1" applyNumberFormat="1">
      <alignment readingOrder="0" vertical="bottom"/>
    </xf>
    <xf borderId="6" fillId="0" fontId="18" numFmtId="0" xfId="0" applyAlignment="1" applyBorder="1" applyFont="1">
      <alignment readingOrder="0" vertical="bottom"/>
    </xf>
    <xf borderId="7" fillId="0" fontId="18" numFmtId="0" xfId="0" applyAlignment="1" applyBorder="1" applyFont="1">
      <alignment readingOrder="0" vertical="bottom"/>
    </xf>
    <xf borderId="7" fillId="0" fontId="18" numFmtId="4" xfId="0" applyAlignment="1" applyBorder="1" applyFont="1" applyNumberFormat="1">
      <alignment readingOrder="0" vertical="bottom"/>
    </xf>
    <xf borderId="4" fillId="3" fontId="21" numFmtId="4" xfId="0" applyAlignment="1" applyBorder="1" applyFont="1" applyNumberFormat="1">
      <alignment horizontal="right" readingOrder="0" shrinkToFit="0" vertical="bottom" wrapText="0"/>
    </xf>
    <xf borderId="4" fillId="0" fontId="19" numFmtId="0" xfId="0" applyAlignment="1" applyBorder="1" applyFont="1">
      <alignment readingOrder="0" shrinkToFit="0" vertical="bottom" wrapText="0"/>
    </xf>
    <xf borderId="1" fillId="0" fontId="22" numFmtId="0" xfId="0" applyAlignment="1" applyBorder="1" applyFont="1">
      <alignment readingOrder="0" vertical="bottom"/>
    </xf>
    <xf borderId="1" fillId="0" fontId="22" numFmtId="0" xfId="0" applyAlignment="1" applyBorder="1" applyFont="1">
      <alignment vertical="bottom"/>
    </xf>
    <xf borderId="1" fillId="0" fontId="23" numFmtId="0" xfId="0" applyAlignment="1" applyBorder="1" applyFont="1">
      <alignment readingOrder="0" shrinkToFit="0" vertical="bottom" wrapText="0"/>
    </xf>
    <xf borderId="2" fillId="0" fontId="23" numFmtId="0" xfId="0" applyAlignment="1" applyBorder="1" applyFont="1">
      <alignment readingOrder="0" shrinkToFit="0" vertical="bottom" wrapText="0"/>
    </xf>
    <xf borderId="2" fillId="0" fontId="23" numFmtId="4" xfId="0" applyAlignment="1" applyBorder="1" applyFont="1" applyNumberFormat="1">
      <alignment horizontal="right" readingOrder="0" shrinkToFit="0" vertical="bottom" wrapText="0"/>
    </xf>
    <xf borderId="2" fillId="0" fontId="24" numFmtId="4" xfId="0" applyAlignment="1" applyBorder="1" applyFont="1" applyNumberFormat="1">
      <alignment readingOrder="0" shrinkToFit="0" vertical="bottom" wrapText="0"/>
    </xf>
    <xf borderId="2" fillId="0" fontId="24" numFmtId="0" xfId="0" applyAlignment="1" applyBorder="1" applyFont="1">
      <alignment readingOrder="0" shrinkToFit="0" vertical="bottom" wrapText="0"/>
    </xf>
    <xf borderId="3" fillId="0" fontId="23" numFmtId="0" xfId="0" applyAlignment="1" applyBorder="1" applyFont="1">
      <alignment readingOrder="0" shrinkToFit="0" vertical="bottom" wrapText="0"/>
    </xf>
    <xf borderId="4" fillId="0" fontId="23" numFmtId="0" xfId="0" applyAlignment="1" applyBorder="1" applyFont="1">
      <alignment readingOrder="0" shrinkToFit="0" vertical="bottom" wrapText="0"/>
    </xf>
    <xf borderId="4" fillId="0" fontId="23" numFmtId="4" xfId="0" applyAlignment="1" applyBorder="1" applyFont="1" applyNumberFormat="1">
      <alignment horizontal="right" readingOrder="0" shrinkToFit="0" vertical="bottom" wrapText="0"/>
    </xf>
    <xf borderId="4" fillId="0" fontId="24" numFmtId="4" xfId="0" applyAlignment="1" applyBorder="1" applyFont="1" applyNumberFormat="1">
      <alignment readingOrder="0" shrinkToFit="0" vertical="bottom" wrapText="0"/>
    </xf>
    <xf borderId="4" fillId="0" fontId="24" numFmtId="0" xfId="0" applyAlignment="1" applyBorder="1" applyFont="1">
      <alignment readingOrder="0" shrinkToFit="0" vertical="bottom" wrapText="0"/>
    </xf>
    <xf borderId="4" fillId="3" fontId="25" numFmtId="4" xfId="0" applyAlignment="1" applyBorder="1" applyFont="1" applyNumberFormat="1">
      <alignment horizontal="right" readingOrder="0" shrinkToFit="0" vertical="bottom" wrapText="0"/>
    </xf>
    <xf borderId="0" fillId="0" fontId="26" numFmtId="0" xfId="0" applyFont="1"/>
    <xf borderId="1" fillId="0" fontId="18" numFmtId="0" xfId="0" applyAlignment="1" applyBorder="1" applyFont="1">
      <alignment readingOrder="0" vertical="bottom"/>
    </xf>
    <xf borderId="2" fillId="0" fontId="18" numFmtId="0" xfId="0" applyAlignment="1" applyBorder="1" applyFont="1">
      <alignment readingOrder="0" vertical="bottom"/>
    </xf>
    <xf borderId="9" fillId="0" fontId="18" numFmtId="0" xfId="0" applyAlignment="1" applyBorder="1" applyFont="1">
      <alignment readingOrder="0" vertical="bottom"/>
    </xf>
    <xf borderId="1" fillId="0" fontId="18" numFmtId="4" xfId="0" applyAlignment="1" applyBorder="1" applyFont="1" applyNumberFormat="1">
      <alignment readingOrder="0" vertical="bottom"/>
    </xf>
    <xf borderId="3" fillId="0" fontId="18" numFmtId="0" xfId="0" applyAlignment="1" applyBorder="1" applyFont="1">
      <alignment readingOrder="0" vertical="bottom"/>
    </xf>
    <xf borderId="4" fillId="0" fontId="18" numFmtId="0" xfId="0" applyAlignment="1" applyBorder="1" applyFont="1">
      <alignment readingOrder="0" vertical="bottom"/>
    </xf>
    <xf borderId="4" fillId="0" fontId="18" numFmtId="4" xfId="0" applyAlignment="1" applyBorder="1" applyFont="1" applyNumberFormat="1">
      <alignment horizontal="right" readingOrder="0" vertical="bottom"/>
    </xf>
    <xf borderId="10" fillId="0" fontId="18" numFmtId="0" xfId="0" applyAlignment="1" applyBorder="1" applyFont="1">
      <alignment readingOrder="0" vertical="bottom"/>
    </xf>
    <xf borderId="3" fillId="3" fontId="18" numFmtId="4" xfId="0" applyAlignment="1" applyBorder="1" applyFont="1" applyNumberFormat="1">
      <alignment readingOrder="0" vertical="bottom"/>
    </xf>
    <xf borderId="3" fillId="0" fontId="18" numFmtId="0" xfId="0" applyAlignment="1" applyBorder="1" applyFont="1">
      <alignment readingOrder="0" shrinkToFit="0" vertical="bottom" wrapText="0"/>
    </xf>
    <xf borderId="4" fillId="0" fontId="18" numFmtId="0" xfId="0" applyAlignment="1" applyBorder="1" applyFont="1">
      <alignment readingOrder="0" shrinkToFit="0" vertical="bottom" wrapText="0"/>
    </xf>
    <xf borderId="4" fillId="0" fontId="18" numFmtId="4" xfId="0" applyAlignment="1" applyBorder="1" applyFont="1" applyNumberFormat="1">
      <alignment readingOrder="0" vertical="bottom"/>
    </xf>
    <xf borderId="3" fillId="0" fontId="18" numFmtId="4" xfId="0" applyAlignment="1" applyBorder="1" applyFont="1" applyNumberFormat="1">
      <alignment readingOrder="0" vertical="bottom"/>
    </xf>
    <xf borderId="0" fillId="0" fontId="18" numFmtId="0" xfId="0" applyAlignment="1" applyFont="1">
      <alignment readingOrder="0" shrinkToFit="0" vertical="bottom" wrapText="0"/>
    </xf>
    <xf borderId="6" fillId="0" fontId="18" numFmtId="0" xfId="0" applyAlignment="1" applyBorder="1" applyFont="1">
      <alignment readingOrder="0" vertical="bottom"/>
    </xf>
    <xf borderId="7" fillId="0" fontId="18" numFmtId="0" xfId="0" applyAlignment="1" applyBorder="1" applyFont="1">
      <alignment readingOrder="0" vertical="bottom"/>
    </xf>
    <xf borderId="7" fillId="0" fontId="18" numFmtId="4" xfId="0" applyAlignment="1" applyBorder="1" applyFont="1" applyNumberFormat="1">
      <alignment readingOrder="0" vertical="bottom"/>
    </xf>
    <xf borderId="1" fillId="0" fontId="27" numFmtId="0" xfId="0" applyAlignment="1" applyBorder="1" applyFont="1">
      <alignment readingOrder="0" vertical="bottom"/>
    </xf>
    <xf borderId="2" fillId="0" fontId="22" numFmtId="0" xfId="0" applyAlignment="1" applyBorder="1" applyFont="1">
      <alignment readingOrder="0" vertical="bottom"/>
    </xf>
    <xf borderId="2" fillId="0" fontId="27" numFmtId="0" xfId="0" applyAlignment="1" applyBorder="1" applyFont="1">
      <alignment readingOrder="0" vertical="bottom"/>
    </xf>
    <xf borderId="2" fillId="0" fontId="18" numFmtId="4" xfId="0" applyAlignment="1" applyBorder="1" applyFont="1" applyNumberFormat="1">
      <alignment horizontal="right" readingOrder="0" vertical="bottom"/>
    </xf>
    <xf borderId="3" fillId="0" fontId="19" numFmtId="0" xfId="0" applyAlignment="1" applyBorder="1" applyFont="1">
      <alignment readingOrder="0" vertical="bottom"/>
    </xf>
    <xf borderId="4" fillId="0" fontId="19" numFmtId="0" xfId="0" applyAlignment="1" applyBorder="1" applyFont="1">
      <alignment readingOrder="0" vertical="bottom"/>
    </xf>
    <xf borderId="4" fillId="3" fontId="21" numFmtId="4" xfId="0" applyAlignment="1" applyBorder="1" applyFont="1" applyNumberFormat="1">
      <alignment horizontal="right" readingOrder="0" vertical="bottom"/>
    </xf>
    <xf borderId="3" fillId="0" fontId="22" numFmtId="0" xfId="0" applyAlignment="1" applyBorder="1" applyFont="1">
      <alignment readingOrder="0" vertical="bottom"/>
    </xf>
    <xf borderId="4" fillId="0" fontId="22" numFmtId="0" xfId="0" applyAlignment="1" applyBorder="1" applyFont="1">
      <alignment readingOrder="0" vertical="bottom"/>
    </xf>
    <xf borderId="4" fillId="0" fontId="27" numFmtId="0" xfId="0" applyAlignment="1" applyBorder="1" applyFont="1">
      <alignment readingOrder="0" vertical="bottom"/>
    </xf>
    <xf borderId="4" fillId="0" fontId="27" numFmtId="4" xfId="0" applyAlignment="1" applyBorder="1" applyFont="1" applyNumberFormat="1">
      <alignment horizontal="right" readingOrder="0" vertical="bottom"/>
    </xf>
    <xf borderId="1" fillId="0" fontId="26" numFmtId="4" xfId="0" applyAlignment="1" applyBorder="1" applyFont="1" applyNumberFormat="1">
      <alignment readingOrder="0"/>
    </xf>
    <xf borderId="1" fillId="0" fontId="28" numFmtId="0" xfId="0" applyAlignment="1" applyBorder="1" applyFont="1">
      <alignment readingOrder="0" shrinkToFit="0" vertical="bottom" wrapText="0"/>
    </xf>
    <xf borderId="1" fillId="0" fontId="23" numFmtId="4" xfId="0" applyAlignment="1" applyBorder="1" applyFont="1" applyNumberFormat="1">
      <alignment horizontal="right" readingOrder="0" shrinkToFit="0" vertical="bottom" wrapText="0"/>
    </xf>
    <xf borderId="1" fillId="0" fontId="26" numFmtId="166" xfId="0" applyAlignment="1" applyBorder="1" applyFont="1" applyNumberFormat="1">
      <alignment readingOrder="0"/>
    </xf>
    <xf borderId="4" fillId="3" fontId="23" numFmtId="4" xfId="0" applyAlignment="1" applyBorder="1" applyFont="1" applyNumberFormat="1">
      <alignment horizontal="right" readingOrder="0" shrinkToFit="0" vertical="bottom" wrapText="0"/>
    </xf>
    <xf borderId="3" fillId="0" fontId="23" numFmtId="0" xfId="0" applyAlignment="1" applyBorder="1" applyFont="1">
      <alignment readingOrder="0" shrinkToFit="0" vertical="top" wrapText="0"/>
    </xf>
    <xf borderId="4" fillId="0" fontId="23" numFmtId="0" xfId="0" applyAlignment="1" applyBorder="1" applyFont="1">
      <alignment readingOrder="0" shrinkToFit="0" vertical="top" wrapText="0"/>
    </xf>
    <xf borderId="4" fillId="3" fontId="23" numFmtId="0" xfId="0" applyAlignment="1" applyBorder="1" applyFont="1">
      <alignment readingOrder="0" shrinkToFit="0" vertical="bottom" wrapText="0"/>
    </xf>
    <xf borderId="4" fillId="0" fontId="23" numFmtId="4" xfId="0" applyAlignment="1" applyBorder="1" applyFont="1" applyNumberFormat="1">
      <alignment horizontal="right" readingOrder="0" shrinkToFit="0" vertical="top" wrapText="0"/>
    </xf>
    <xf borderId="4" fillId="3" fontId="24" numFmtId="4" xfId="0" applyAlignment="1" applyBorder="1" applyFont="1" applyNumberFormat="1">
      <alignment readingOrder="0" shrinkToFit="0" vertical="bottom" wrapText="0"/>
    </xf>
    <xf borderId="4" fillId="3" fontId="24" numFmtId="0" xfId="0" applyAlignment="1" applyBorder="1" applyFont="1">
      <alignment readingOrder="0" shrinkToFit="0" vertical="bottom" wrapText="0"/>
    </xf>
    <xf borderId="3" fillId="0" fontId="24" numFmtId="0" xfId="0" applyAlignment="1" applyBorder="1" applyFont="1">
      <alignment readingOrder="0" shrinkToFit="0" vertical="bottom" wrapText="0"/>
    </xf>
    <xf borderId="4" fillId="0" fontId="24" numFmtId="4" xfId="0" applyAlignment="1" applyBorder="1" applyFont="1" applyNumberFormat="1">
      <alignment horizontal="right" readingOrder="0" shrinkToFit="0" vertical="bottom" wrapText="0"/>
    </xf>
    <xf borderId="10" fillId="0" fontId="19" numFmtId="0" xfId="0" applyAlignment="1" applyBorder="1" applyFont="1">
      <alignment readingOrder="0" vertical="bottom"/>
    </xf>
    <xf borderId="4" fillId="0" fontId="22" numFmtId="4" xfId="0" applyAlignment="1" applyBorder="1" applyFont="1" applyNumberFormat="1">
      <alignment horizontal="right" readingOrder="0" shrinkToFit="0" vertical="bottom" wrapText="0"/>
    </xf>
    <xf borderId="4" fillId="0" fontId="19" numFmtId="4" xfId="0" applyAlignment="1" applyBorder="1" applyFont="1" applyNumberFormat="1">
      <alignment horizontal="right" readingOrder="0" vertical="bottom"/>
    </xf>
    <xf borderId="2" fillId="3" fontId="24" numFmtId="4" xfId="0" applyAlignment="1" applyBorder="1" applyFont="1" applyNumberFormat="1">
      <alignment horizontal="right" readingOrder="0" shrinkToFit="0" vertical="bottom" wrapText="0"/>
    </xf>
    <xf borderId="4" fillId="0" fontId="18" numFmtId="0" xfId="0" applyAlignment="1" applyBorder="1" applyFont="1">
      <alignment readingOrder="0" vertical="top"/>
    </xf>
    <xf borderId="4" fillId="3" fontId="24" numFmtId="4" xfId="0" applyAlignment="1" applyBorder="1" applyFont="1" applyNumberFormat="1">
      <alignment horizontal="right" readingOrder="0" shrinkToFit="0" vertical="bottom" wrapText="0"/>
    </xf>
    <xf borderId="3" fillId="0" fontId="18" numFmtId="0" xfId="0" applyAlignment="1" applyBorder="1" applyFont="1">
      <alignment vertical="top"/>
    </xf>
    <xf borderId="4" fillId="0" fontId="18" numFmtId="0" xfId="0" applyAlignment="1" applyBorder="1" applyFont="1">
      <alignment vertical="top"/>
    </xf>
    <xf borderId="4" fillId="0" fontId="17" numFmtId="0" xfId="0" applyAlignment="1" applyBorder="1" applyFont="1">
      <alignment readingOrder="0" vertical="top"/>
    </xf>
    <xf borderId="1" fillId="0" fontId="24" numFmtId="0" xfId="0" applyAlignment="1" applyBorder="1" applyFont="1">
      <alignment readingOrder="0" shrinkToFit="0" vertical="bottom" wrapText="0"/>
    </xf>
    <xf borderId="2" fillId="0" fontId="24" numFmtId="4" xfId="0" applyAlignment="1" applyBorder="1" applyFont="1" applyNumberFormat="1">
      <alignment horizontal="right" readingOrder="0" shrinkToFit="0" vertical="bottom" wrapText="0"/>
    </xf>
    <xf borderId="3" fillId="0" fontId="24" numFmtId="0" xfId="0" applyAlignment="1" applyBorder="1" applyFont="1">
      <alignment readingOrder="0" shrinkToFit="0" vertical="top" wrapText="0"/>
    </xf>
    <xf borderId="4" fillId="0" fontId="24" numFmtId="0" xfId="0" applyAlignment="1" applyBorder="1" applyFont="1">
      <alignment readingOrder="0" shrinkToFit="0" vertical="top" wrapText="0"/>
    </xf>
    <xf borderId="4" fillId="0" fontId="24" numFmtId="4" xfId="0" applyAlignment="1" applyBorder="1" applyFont="1" applyNumberFormat="1">
      <alignment horizontal="right" readingOrder="0" shrinkToFit="0" vertical="top" wrapText="0"/>
    </xf>
    <xf borderId="10" fillId="0" fontId="18" numFmtId="0" xfId="0" applyAlignment="1" applyBorder="1" applyFont="1">
      <alignment vertical="bottom"/>
    </xf>
    <xf borderId="3" fillId="0" fontId="18" numFmtId="4" xfId="0" applyAlignment="1" applyBorder="1" applyFont="1" applyNumberFormat="1">
      <alignment horizontal="right" vertical="bottom"/>
    </xf>
    <xf borderId="0" fillId="0" fontId="18" numFmtId="0" xfId="0" applyAlignment="1" applyFont="1">
      <alignment vertical="bottom"/>
    </xf>
    <xf borderId="3" fillId="3" fontId="18" numFmtId="4" xfId="0" applyAlignment="1" applyBorder="1" applyFont="1" applyNumberFormat="1">
      <alignment horizontal="right" vertical="bottom"/>
    </xf>
    <xf borderId="4" fillId="0" fontId="18" numFmtId="4" xfId="0" applyAlignment="1" applyBorder="1" applyFont="1" applyNumberFormat="1">
      <alignment horizontal="right" vertical="bottom"/>
    </xf>
    <xf borderId="1" fillId="3" fontId="18" numFmtId="4" xfId="0" applyAlignment="1" applyBorder="1" applyFont="1" applyNumberFormat="1">
      <alignment readingOrder="0" vertical="bottom"/>
    </xf>
    <xf borderId="2" fillId="0" fontId="29" numFmtId="0" xfId="0" applyAlignment="1" applyBorder="1" applyFont="1">
      <alignment readingOrder="0" shrinkToFit="0" vertical="bottom" wrapText="0"/>
    </xf>
    <xf borderId="1" fillId="0" fontId="22" numFmtId="4" xfId="0" applyAlignment="1" applyBorder="1" applyFont="1" applyNumberFormat="1">
      <alignment horizontal="right" readingOrder="0" shrinkToFit="0" vertical="bottom" wrapText="0"/>
    </xf>
    <xf borderId="4" fillId="0" fontId="18" numFmtId="4" xfId="0" applyBorder="1" applyFont="1" applyNumberFormat="1"/>
    <xf borderId="10" fillId="0" fontId="18" numFmtId="0" xfId="0" applyAlignment="1" applyBorder="1" applyFont="1">
      <alignment readingOrder="0"/>
    </xf>
    <xf borderId="3" fillId="0" fontId="19" numFmtId="0" xfId="0" applyAlignment="1" applyBorder="1" applyFont="1">
      <alignment readingOrder="0" shrinkToFit="0" vertical="bottom" wrapText="0"/>
    </xf>
    <xf borderId="4" fillId="3" fontId="19" numFmtId="4" xfId="0" applyAlignment="1" applyBorder="1" applyFont="1" applyNumberFormat="1">
      <alignment horizontal="right" readingOrder="0" shrinkToFit="0" vertical="bottom" wrapText="0"/>
    </xf>
    <xf borderId="0" fillId="0" fontId="26" numFmtId="0" xfId="0" applyAlignment="1" applyFont="1">
      <alignment readingOrder="0"/>
    </xf>
    <xf borderId="1" fillId="0" fontId="19" numFmtId="0" xfId="0" applyAlignment="1" applyBorder="1" applyFont="1">
      <alignment readingOrder="0" vertical="bottom"/>
    </xf>
    <xf borderId="3" fillId="0" fontId="5" numFmtId="0" xfId="0" applyAlignment="1" applyBorder="1" applyFont="1">
      <alignment vertical="bottom"/>
    </xf>
    <xf borderId="4" fillId="0" fontId="5" numFmtId="0" xfId="0" applyAlignment="1" applyBorder="1" applyFont="1">
      <alignment vertical="bottom"/>
    </xf>
    <xf borderId="1" fillId="0" fontId="18" numFmtId="0" xfId="0" applyAlignment="1" applyBorder="1" applyFont="1">
      <alignment readingOrder="0" shrinkToFit="0" vertical="bottom" wrapText="0"/>
    </xf>
    <xf borderId="3" fillId="0" fontId="30" numFmtId="0" xfId="0" applyAlignment="1" applyBorder="1" applyFont="1">
      <alignment readingOrder="0" shrinkToFit="0" vertical="bottom" wrapText="0"/>
    </xf>
    <xf borderId="4" fillId="0" fontId="30" numFmtId="0" xfId="0" applyAlignment="1" applyBorder="1" applyFont="1">
      <alignment readingOrder="0" shrinkToFit="0" vertical="bottom" wrapText="0"/>
    </xf>
    <xf borderId="4" fillId="3" fontId="30" numFmtId="4" xfId="0" applyAlignment="1" applyBorder="1" applyFont="1" applyNumberFormat="1">
      <alignment horizontal="right" readingOrder="0" shrinkToFit="0" vertical="bottom" wrapText="0"/>
    </xf>
    <xf borderId="1" fillId="0" fontId="5" numFmtId="0" xfId="0" applyAlignment="1" applyBorder="1" applyFont="1">
      <alignment readingOrder="0"/>
    </xf>
    <xf borderId="3" fillId="0" fontId="31" numFmtId="0" xfId="0" applyAlignment="1" applyBorder="1" applyFont="1">
      <alignment readingOrder="0" shrinkToFit="0" vertical="top" wrapText="0"/>
    </xf>
    <xf borderId="4" fillId="0" fontId="31" numFmtId="0" xfId="0" applyAlignment="1" applyBorder="1" applyFont="1">
      <alignment readingOrder="0" shrinkToFit="0" vertical="top" wrapText="0"/>
    </xf>
    <xf borderId="4" fillId="0" fontId="31" numFmtId="0" xfId="0" applyAlignment="1" applyBorder="1" applyFont="1">
      <alignment readingOrder="0" shrinkToFit="0" vertical="bottom" wrapText="0"/>
    </xf>
    <xf borderId="4" fillId="3" fontId="31" numFmtId="4" xfId="0" applyAlignment="1" applyBorder="1" applyFont="1" applyNumberFormat="1">
      <alignment readingOrder="0" shrinkToFit="0" vertical="bottom" wrapText="0"/>
    </xf>
    <xf borderId="4" fillId="0" fontId="31" numFmtId="4" xfId="0" applyAlignment="1" applyBorder="1" applyFont="1" applyNumberFormat="1">
      <alignment horizontal="right" readingOrder="0" shrinkToFit="0" vertical="top" wrapText="0"/>
    </xf>
    <xf borderId="4" fillId="3" fontId="32" numFmtId="4" xfId="0" applyAlignment="1" applyBorder="1" applyFont="1" applyNumberFormat="1">
      <alignment readingOrder="0" shrinkToFit="0" vertical="bottom" wrapText="0"/>
    </xf>
    <xf borderId="1" fillId="0" fontId="26" numFmtId="3" xfId="0" applyAlignment="1" applyBorder="1" applyFont="1" applyNumberFormat="1">
      <alignment readingOrder="0"/>
    </xf>
    <xf borderId="1" fillId="0" fontId="26" numFmtId="0" xfId="0" applyAlignment="1" applyBorder="1" applyFont="1">
      <alignment readingOrder="0"/>
    </xf>
    <xf borderId="0" fillId="0" fontId="18" numFmtId="0" xfId="0" applyFont="1"/>
    <xf borderId="1" fillId="0" fontId="30" numFmtId="0" xfId="0" applyAlignment="1" applyBorder="1" applyFont="1">
      <alignment readingOrder="0" shrinkToFit="0" vertical="bottom" wrapText="0"/>
    </xf>
    <xf borderId="1" fillId="3" fontId="30" numFmtId="4" xfId="0" applyAlignment="1" applyBorder="1" applyFont="1" applyNumberFormat="1">
      <alignment horizontal="right" readingOrder="0" shrinkToFit="0" vertical="bottom" wrapText="0"/>
    </xf>
    <xf borderId="1" fillId="0" fontId="26" numFmtId="0" xfId="0" applyBorder="1" applyFont="1"/>
    <xf borderId="1" fillId="0" fontId="33" numFmtId="166" xfId="0" applyAlignment="1" applyBorder="1" applyFont="1" applyNumberFormat="1">
      <alignment horizontal="left" readingOrder="0" shrinkToFit="0" vertical="bottom" wrapText="0"/>
    </xf>
    <xf borderId="1" fillId="0" fontId="34" numFmtId="0" xfId="0" applyAlignment="1" applyBorder="1" applyFont="1">
      <alignment readingOrder="0" vertical="bottom"/>
    </xf>
    <xf borderId="2" fillId="0" fontId="34" numFmtId="0" xfId="0" applyAlignment="1" applyBorder="1" applyFont="1">
      <alignment readingOrder="0" vertical="bottom"/>
    </xf>
    <xf borderId="9" fillId="0" fontId="34" numFmtId="0" xfId="0" applyAlignment="1" applyBorder="1" applyFont="1">
      <alignment readingOrder="0" vertical="bottom"/>
    </xf>
    <xf borderId="1" fillId="0" fontId="34" numFmtId="4" xfId="0" applyAlignment="1" applyBorder="1" applyFont="1" applyNumberFormat="1">
      <alignment readingOrder="0" vertical="bottom"/>
    </xf>
    <xf borderId="3" fillId="0" fontId="34" numFmtId="0" xfId="0" applyAlignment="1" applyBorder="1" applyFont="1">
      <alignment readingOrder="0" vertical="bottom"/>
    </xf>
    <xf borderId="4" fillId="0" fontId="34" numFmtId="0" xfId="0" applyAlignment="1" applyBorder="1" applyFont="1">
      <alignment readingOrder="0" vertical="bottom"/>
    </xf>
    <xf borderId="4" fillId="0" fontId="34" numFmtId="4" xfId="0" applyAlignment="1" applyBorder="1" applyFont="1" applyNumberFormat="1">
      <alignment horizontal="right" readingOrder="0" vertical="bottom"/>
    </xf>
    <xf borderId="10" fillId="0" fontId="34" numFmtId="0" xfId="0" applyAlignment="1" applyBorder="1" applyFont="1">
      <alignment readingOrder="0" vertical="bottom"/>
    </xf>
    <xf borderId="3" fillId="0" fontId="34" numFmtId="4" xfId="0" applyAlignment="1" applyBorder="1" applyFont="1" applyNumberFormat="1">
      <alignment readingOrder="0" vertical="bottom"/>
    </xf>
    <xf borderId="3" fillId="3" fontId="34" numFmtId="4" xfId="0" applyAlignment="1" applyBorder="1" applyFont="1" applyNumberFormat="1">
      <alignment readingOrder="0" vertical="bottom"/>
    </xf>
    <xf borderId="6" fillId="0" fontId="34" numFmtId="0" xfId="0" applyAlignment="1" applyBorder="1" applyFont="1">
      <alignment readingOrder="0" shrinkToFit="0" vertical="bottom" wrapText="0"/>
    </xf>
    <xf borderId="7" fillId="0" fontId="34" numFmtId="0" xfId="0" applyAlignment="1" applyBorder="1" applyFont="1">
      <alignment readingOrder="0" shrinkToFit="0" vertical="bottom" wrapText="0"/>
    </xf>
    <xf borderId="7" fillId="0" fontId="34" numFmtId="0" xfId="0" applyAlignment="1" applyBorder="1" applyFont="1">
      <alignment readingOrder="0" vertical="bottom"/>
    </xf>
    <xf borderId="0" fillId="0" fontId="34" numFmtId="0" xfId="0" applyAlignment="1" applyFont="1">
      <alignment readingOrder="0" vertical="bottom"/>
    </xf>
    <xf borderId="6" fillId="0" fontId="34" numFmtId="4" xfId="0" applyAlignment="1" applyBorder="1" applyFont="1" applyNumberFormat="1">
      <alignment readingOrder="0" vertical="bottom"/>
    </xf>
    <xf borderId="1" fillId="0" fontId="35" numFmtId="0" xfId="0" applyAlignment="1" applyBorder="1" applyFont="1">
      <alignment readingOrder="0" vertical="bottom"/>
    </xf>
    <xf borderId="2" fillId="0" fontId="35" numFmtId="0" xfId="0" applyAlignment="1" applyBorder="1" applyFont="1">
      <alignment readingOrder="0" vertical="bottom"/>
    </xf>
    <xf borderId="2" fillId="0" fontId="35" numFmtId="4" xfId="0" applyAlignment="1" applyBorder="1" applyFont="1" applyNumberFormat="1">
      <alignment horizontal="right" readingOrder="0" vertical="bottom"/>
    </xf>
    <xf borderId="4" fillId="3" fontId="34" numFmtId="4" xfId="0" applyAlignment="1" applyBorder="1" applyFont="1" applyNumberFormat="1">
      <alignment horizontal="right" readingOrder="0" vertical="bottom"/>
    </xf>
    <xf borderId="6" fillId="0" fontId="34" numFmtId="0" xfId="0" applyAlignment="1" applyBorder="1" applyFont="1">
      <alignment readingOrder="0" vertical="bottom"/>
    </xf>
    <xf borderId="7" fillId="0" fontId="34" numFmtId="4" xfId="0" applyAlignment="1" applyBorder="1" applyFont="1" applyNumberFormat="1">
      <alignment horizontal="right" readingOrder="0" vertical="bottom"/>
    </xf>
    <xf borderId="4" fillId="0" fontId="35" numFmtId="0" xfId="0" applyAlignment="1" applyBorder="1" applyFont="1">
      <alignment readingOrder="0" vertical="bottom"/>
    </xf>
    <xf borderId="3" fillId="0" fontId="34" numFmtId="0" xfId="0" applyAlignment="1" applyBorder="1" applyFont="1">
      <alignment readingOrder="0" shrinkToFit="0" vertical="bottom" wrapText="0"/>
    </xf>
    <xf borderId="4" fillId="0" fontId="34" numFmtId="0" xfId="0" applyAlignment="1" applyBorder="1" applyFont="1">
      <alignment readingOrder="0" shrinkToFit="0" vertical="bottom" wrapText="0"/>
    </xf>
    <xf borderId="4" fillId="3" fontId="34" numFmtId="4" xfId="0" applyAlignment="1" applyBorder="1" applyFont="1" applyNumberFormat="1">
      <alignment horizontal="right" readingOrder="0" shrinkToFit="0" vertical="bottom" wrapText="0"/>
    </xf>
    <xf borderId="1" fillId="0" fontId="34" numFmtId="0" xfId="0" applyAlignment="1" applyBorder="1" applyFont="1">
      <alignment readingOrder="0"/>
    </xf>
    <xf borderId="1" fillId="0" fontId="34" numFmtId="4" xfId="0" applyAlignment="1" applyBorder="1" applyFont="1" applyNumberFormat="1">
      <alignment readingOrder="0"/>
    </xf>
    <xf borderId="3" fillId="0" fontId="36" numFmtId="0" xfId="0" applyAlignment="1" applyBorder="1" applyFont="1">
      <alignment readingOrder="0" shrinkToFit="0" vertical="bottom" wrapText="0"/>
    </xf>
    <xf borderId="4" fillId="0" fontId="36" numFmtId="0" xfId="0" applyAlignment="1" applyBorder="1" applyFont="1">
      <alignment readingOrder="0" shrinkToFit="0" vertical="bottom" wrapText="0"/>
    </xf>
    <xf borderId="4" fillId="3" fontId="36" numFmtId="4" xfId="0" applyAlignment="1" applyBorder="1" applyFont="1" applyNumberFormat="1">
      <alignment horizontal="right" readingOrder="0" shrinkToFit="0" vertical="bottom" wrapText="0"/>
    </xf>
    <xf borderId="3" fillId="0" fontId="37" numFmtId="0" xfId="0" applyAlignment="1" applyBorder="1" applyFont="1">
      <alignment readingOrder="0" shrinkToFit="0" vertical="bottom" wrapText="0"/>
    </xf>
    <xf borderId="4" fillId="3" fontId="31" numFmtId="4" xfId="0" applyAlignment="1" applyBorder="1" applyFont="1" applyNumberFormat="1">
      <alignment horizontal="right" readingOrder="0" shrinkToFit="0" vertical="bottom" wrapText="0"/>
    </xf>
    <xf borderId="4" fillId="0" fontId="32" numFmtId="0" xfId="0" applyAlignment="1" applyBorder="1" applyFont="1">
      <alignment readingOrder="0" shrinkToFit="0" vertical="bottom" wrapText="0"/>
    </xf>
    <xf borderId="4" fillId="3" fontId="31" numFmtId="0" xfId="0" applyAlignment="1" applyBorder="1" applyFont="1">
      <alignment readingOrder="0" shrinkToFit="0" vertical="bottom" wrapText="0"/>
    </xf>
    <xf borderId="4" fillId="3" fontId="32" numFmtId="3" xfId="0" applyAlignment="1" applyBorder="1" applyFont="1" applyNumberFormat="1">
      <alignment readingOrder="0" shrinkToFit="0" vertical="bottom" wrapText="0"/>
    </xf>
    <xf borderId="4" fillId="3" fontId="32" numFmtId="0" xfId="0" applyAlignment="1" applyBorder="1" applyFont="1">
      <alignment readingOrder="0" shrinkToFit="0" vertical="bottom" wrapText="0"/>
    </xf>
    <xf borderId="0" fillId="0" fontId="30" numFmtId="0" xfId="0" applyAlignment="1" applyFont="1">
      <alignment readingOrder="0" shrinkToFit="0" vertical="bottom" wrapText="0"/>
    </xf>
    <xf borderId="0" fillId="3" fontId="30" numFmtId="4" xfId="0" applyAlignment="1" applyFont="1" applyNumberFormat="1">
      <alignment horizontal="right" readingOrder="0" shrinkToFit="0" vertical="bottom" wrapText="0"/>
    </xf>
    <xf borderId="1" fillId="0" fontId="3" numFmtId="166" xfId="0" applyAlignment="1" applyBorder="1" applyFont="1" applyNumberFormat="1">
      <alignment readingOrder="0"/>
    </xf>
    <xf borderId="1" fillId="0" fontId="5" numFmtId="0" xfId="0" applyBorder="1" applyFont="1"/>
    <xf borderId="1" fillId="0" fontId="5" numFmtId="4" xfId="0" applyBorder="1" applyFont="1" applyNumberFormat="1"/>
    <xf borderId="0" fillId="3" fontId="7" numFmtId="0" xfId="0" applyFont="1"/>
    <xf borderId="0" fillId="0" fontId="5" numFmtId="0" xfId="0" applyFont="1"/>
    <xf borderId="1" fillId="0" fontId="5" numFmtId="166" xfId="0" applyAlignment="1" applyBorder="1" applyFont="1" applyNumberFormat="1">
      <alignment readingOrder="0"/>
    </xf>
    <xf borderId="1" fillId="0" fontId="5" numFmtId="0" xfId="0" applyAlignment="1" applyBorder="1" applyFont="1">
      <alignment vertical="bottom"/>
    </xf>
    <xf borderId="2" fillId="0" fontId="5" numFmtId="0" xfId="0" applyAlignment="1" applyBorder="1" applyFont="1">
      <alignment vertical="bottom"/>
    </xf>
    <xf borderId="1" fillId="0" fontId="38" numFmtId="4" xfId="0" applyAlignment="1" applyBorder="1" applyFont="1" applyNumberFormat="1">
      <alignment horizontal="right" readingOrder="0" shrinkToFit="0" vertical="bottom" wrapText="0"/>
    </xf>
    <xf borderId="3" fillId="0" fontId="5" numFmtId="0" xfId="0" applyAlignment="1" applyBorder="1" applyFont="1">
      <alignment readingOrder="0"/>
    </xf>
    <xf borderId="4" fillId="0" fontId="5" numFmtId="0" xfId="0" applyAlignment="1" applyBorder="1" applyFont="1">
      <alignment readingOrder="0"/>
    </xf>
    <xf borderId="1" fillId="0" fontId="18" numFmtId="0" xfId="0" applyAlignment="1" applyBorder="1" applyFont="1">
      <alignment horizontal="left" readingOrder="0"/>
    </xf>
    <xf borderId="1" fillId="0" fontId="5" numFmtId="4" xfId="0" applyAlignment="1" applyBorder="1" applyFont="1" applyNumberFormat="1">
      <alignment readingOrder="0"/>
    </xf>
    <xf borderId="3" fillId="0" fontId="5" numFmtId="0" xfId="0" applyAlignment="1" applyBorder="1" applyFont="1">
      <alignment readingOrder="0" vertical="bottom"/>
    </xf>
    <xf borderId="4" fillId="0" fontId="5" numFmtId="0" xfId="0" applyAlignment="1" applyBorder="1" applyFont="1">
      <alignment readingOrder="0" vertical="bottom"/>
    </xf>
    <xf borderId="3" fillId="0" fontId="5" numFmtId="4" xfId="0" applyAlignment="1" applyBorder="1" applyFont="1" applyNumberFormat="1">
      <alignment readingOrder="0"/>
    </xf>
    <xf borderId="1" fillId="0" fontId="5" numFmtId="0" xfId="0" applyAlignment="1" applyBorder="1" applyFont="1">
      <alignment vertical="bottom"/>
    </xf>
    <xf borderId="2" fillId="0" fontId="5" numFmtId="0" xfId="0" applyAlignment="1" applyBorder="1" applyFont="1">
      <alignment vertical="bottom"/>
    </xf>
    <xf borderId="1" fillId="0" fontId="5" numFmtId="0" xfId="0" applyAlignment="1" applyBorder="1" applyFont="1">
      <alignment readingOrder="0" vertical="bottom"/>
    </xf>
    <xf borderId="2" fillId="0" fontId="5" numFmtId="0" xfId="0" applyAlignment="1" applyBorder="1" applyFont="1">
      <alignment readingOrder="0" vertical="bottom"/>
    </xf>
    <xf borderId="2" fillId="0" fontId="5" numFmtId="0" xfId="0" applyAlignment="1" applyBorder="1" applyFont="1">
      <alignment readingOrder="0"/>
    </xf>
    <xf borderId="1" fillId="3" fontId="39" numFmtId="4" xfId="0" applyAlignment="1" applyBorder="1" applyFont="1" applyNumberFormat="1">
      <alignment readingOrder="0"/>
    </xf>
    <xf borderId="0" fillId="0" fontId="1" numFmtId="4" xfId="0" applyAlignment="1" applyFont="1" applyNumberFormat="1">
      <alignment readingOrder="0"/>
    </xf>
    <xf borderId="1" fillId="0" fontId="3" numFmtId="0" xfId="0" applyAlignment="1" applyBorder="1" applyFont="1">
      <alignment readingOrder="0"/>
    </xf>
    <xf borderId="1" fillId="0" fontId="40" numFmtId="0" xfId="0" applyAlignment="1" applyBorder="1" applyFont="1">
      <alignment readingOrder="0" shrinkToFit="0" vertical="bottom" wrapText="0"/>
    </xf>
    <xf borderId="3" fillId="0" fontId="3" numFmtId="0" xfId="0" applyAlignment="1" applyBorder="1" applyFont="1">
      <alignment readingOrder="0"/>
    </xf>
    <xf borderId="1" fillId="3" fontId="40" numFmtId="0" xfId="0" applyAlignment="1" applyBorder="1" applyFont="1">
      <alignment horizontal="left" readingOrder="0"/>
    </xf>
    <xf borderId="2" fillId="0" fontId="5" numFmtId="4" xfId="0" applyAlignment="1" applyBorder="1" applyFont="1" applyNumberFormat="1">
      <alignment horizontal="right" vertical="bottom"/>
    </xf>
    <xf borderId="3" fillId="0" fontId="5" numFmtId="166" xfId="0" applyAlignment="1" applyBorder="1" applyFont="1" applyNumberFormat="1">
      <alignment horizontal="right" readingOrder="0" vertical="bottom"/>
    </xf>
    <xf borderId="4" fillId="0" fontId="5" numFmtId="4" xfId="0" applyAlignment="1" applyBorder="1" applyFont="1" applyNumberFormat="1">
      <alignment horizontal="right" vertical="bottom"/>
    </xf>
    <xf borderId="2" fillId="0" fontId="5" numFmtId="4" xfId="0" applyAlignment="1" applyBorder="1" applyFont="1" applyNumberFormat="1">
      <alignment readingOrder="0" vertical="bottom"/>
    </xf>
    <xf borderId="0" fillId="0" fontId="5" numFmtId="0" xfId="0" applyAlignment="1" applyFont="1">
      <alignment vertical="bottom"/>
    </xf>
    <xf borderId="0" fillId="3" fontId="41" numFmtId="0" xfId="0" applyAlignment="1" applyFont="1">
      <alignment horizontal="left" readingOrder="0"/>
    </xf>
    <xf borderId="2" fillId="0" fontId="5" numFmtId="0" xfId="0" applyBorder="1" applyFont="1"/>
    <xf borderId="2" fillId="0" fontId="15" numFmtId="0" xfId="0" applyAlignment="1" applyBorder="1" applyFont="1">
      <alignment vertical="bottom"/>
    </xf>
    <xf borderId="1" fillId="0" fontId="15" numFmtId="0" xfId="0" applyAlignment="1" applyBorder="1" applyFont="1">
      <alignment vertical="bottom"/>
    </xf>
    <xf borderId="2" fillId="0" fontId="15" numFmtId="4" xfId="0" applyAlignment="1" applyBorder="1" applyFont="1" applyNumberFormat="1">
      <alignment horizontal="right" vertical="bottom"/>
    </xf>
    <xf borderId="4" fillId="0" fontId="15" numFmtId="0" xfId="0" applyAlignment="1" applyBorder="1" applyFont="1">
      <alignment vertical="bottom"/>
    </xf>
    <xf borderId="3" fillId="0" fontId="15" numFmtId="0" xfId="0" applyAlignment="1" applyBorder="1" applyFont="1">
      <alignment vertical="bottom"/>
    </xf>
    <xf borderId="4" fillId="0" fontId="15" numFmtId="4" xfId="0" applyAlignment="1" applyBorder="1" applyFont="1" applyNumberFormat="1">
      <alignment horizontal="right" vertical="bottom"/>
    </xf>
    <xf borderId="1" fillId="7" fontId="37" numFmtId="0" xfId="0" applyAlignment="1" applyBorder="1" applyFont="1">
      <alignment horizontal="left" readingOrder="0"/>
    </xf>
    <xf borderId="4" fillId="0" fontId="5" numFmtId="4" xfId="0" applyAlignment="1" applyBorder="1" applyFont="1" applyNumberFormat="1">
      <alignment horizontal="right" readingOrder="0" vertical="bottom"/>
    </xf>
    <xf borderId="1" fillId="3" fontId="41" numFmtId="0" xfId="0" applyAlignment="1" applyBorder="1" applyFont="1">
      <alignment horizontal="left" readingOrder="0"/>
    </xf>
    <xf borderId="1" fillId="0" fontId="5" numFmtId="166" xfId="0" applyAlignment="1" applyBorder="1" applyFont="1" applyNumberFormat="1">
      <alignment vertical="bottom"/>
    </xf>
    <xf borderId="2" fillId="0" fontId="5" numFmtId="4" xfId="0" applyAlignment="1" applyBorder="1" applyFont="1" applyNumberFormat="1">
      <alignment horizontal="right" readingOrder="0" vertical="bottom"/>
    </xf>
    <xf borderId="4" fillId="0" fontId="42" numFmtId="4" xfId="0" applyAlignment="1" applyBorder="1" applyFont="1" applyNumberFormat="1">
      <alignment horizontal="right" readingOrder="0" shrinkToFit="0" vertical="bottom" wrapText="0"/>
    </xf>
    <xf borderId="0" fillId="3" fontId="43" numFmtId="0" xfId="0" applyAlignment="1" applyFont="1">
      <alignment readingOrder="0"/>
    </xf>
    <xf borderId="1" fillId="3" fontId="41" numFmtId="4" xfId="0" applyAlignment="1" applyBorder="1" applyFont="1" applyNumberFormat="1">
      <alignment horizontal="left" readingOrder="0"/>
    </xf>
    <xf borderId="2" fillId="0" fontId="3" numFmtId="0" xfId="0" applyAlignment="1" applyBorder="1" applyFont="1">
      <alignment readingOrder="0" vertical="bottom"/>
    </xf>
    <xf borderId="3" fillId="0" fontId="5" numFmtId="0" xfId="0" applyBorder="1" applyFont="1"/>
    <xf borderId="1" fillId="0" fontId="5" numFmtId="166" xfId="0" applyAlignment="1" applyBorder="1" applyFont="1" applyNumberFormat="1">
      <alignment horizontal="right" readingOrder="0" vertical="bottom"/>
    </xf>
    <xf borderId="3" fillId="0" fontId="5" numFmtId="4" xfId="0" applyAlignment="1" applyBorder="1" applyFont="1" applyNumberFormat="1">
      <alignment horizontal="right" vertical="bottom"/>
    </xf>
    <xf borderId="3" fillId="0" fontId="5" numFmtId="4" xfId="0" applyAlignment="1" applyBorder="1" applyFont="1" applyNumberFormat="1">
      <alignment horizontal="right" readingOrder="0" vertical="bottom"/>
    </xf>
    <xf borderId="1" fillId="3" fontId="38" numFmtId="0" xfId="0" applyAlignment="1" applyBorder="1" applyFont="1">
      <alignment horizontal="left" readingOrder="0"/>
    </xf>
    <xf borderId="1" fillId="0" fontId="38" numFmtId="0" xfId="0" applyAlignment="1" applyBorder="1" applyFont="1">
      <alignment readingOrder="0" shrinkToFit="0" vertical="bottom" wrapText="0"/>
    </xf>
    <xf borderId="3" fillId="0" fontId="32" numFmtId="0" xfId="0" applyAlignment="1" applyBorder="1" applyFont="1">
      <alignment readingOrder="0" shrinkToFit="0" vertical="bottom" wrapText="0"/>
    </xf>
    <xf borderId="3" fillId="0" fontId="44" numFmtId="0" xfId="0" applyAlignment="1" applyBorder="1" applyFont="1">
      <alignment readingOrder="0" shrinkToFit="0" vertical="bottom" wrapText="0"/>
    </xf>
    <xf borderId="3" fillId="3" fontId="32" numFmtId="0" xfId="0" applyAlignment="1" applyBorder="1" applyFont="1">
      <alignment readingOrder="0" shrinkToFit="0" vertical="bottom" wrapText="0"/>
    </xf>
    <xf borderId="1" fillId="0" fontId="22" numFmtId="4" xfId="0" applyAlignment="1" applyBorder="1" applyFont="1" applyNumberFormat="1">
      <alignment horizontal="right" readingOrder="0" vertical="bottom"/>
    </xf>
    <xf borderId="1" fillId="0" fontId="45" numFmtId="4" xfId="0" applyAlignment="1" applyBorder="1" applyFont="1" applyNumberFormat="1">
      <alignment horizontal="right" readingOrder="0" vertical="bottom"/>
    </xf>
    <xf borderId="1" fillId="0" fontId="3" numFmtId="167" xfId="0" applyAlignment="1" applyBorder="1" applyFont="1" applyNumberFormat="1">
      <alignment horizontal="left" readingOrder="0"/>
    </xf>
    <xf borderId="0" fillId="8" fontId="46" numFmtId="0" xfId="0" applyAlignment="1" applyFill="1" applyFont="1">
      <alignment horizontal="left" readingOrder="0"/>
    </xf>
    <xf borderId="0" fillId="8" fontId="47" numFmtId="0" xfId="0" applyAlignment="1" applyFont="1">
      <alignment horizontal="left" readingOrder="0"/>
    </xf>
    <xf borderId="0" fillId="3" fontId="48" numFmtId="0" xfId="0" applyAlignment="1" applyFont="1">
      <alignment horizontal="left" readingOrder="0"/>
    </xf>
    <xf borderId="0" fillId="3" fontId="49" numFmtId="0" xfId="0" applyAlignment="1" applyFont="1">
      <alignment readingOrder="0"/>
    </xf>
    <xf borderId="3" fillId="0" fontId="0" numFmtId="166" xfId="0" applyAlignment="1" applyBorder="1" applyFont="1" applyNumberFormat="1">
      <alignment horizontal="right" readingOrder="0" vertical="bottom"/>
    </xf>
    <xf borderId="1" fillId="0" fontId="31" numFmtId="0" xfId="0" applyAlignment="1" applyBorder="1" applyFont="1">
      <alignment readingOrder="0" shrinkToFit="0" vertical="bottom" wrapText="0"/>
    </xf>
    <xf borderId="2" fillId="0" fontId="31" numFmtId="0" xfId="0" applyAlignment="1" applyBorder="1" applyFont="1">
      <alignment readingOrder="0" shrinkToFit="0" vertical="bottom" wrapText="0"/>
    </xf>
    <xf borderId="2" fillId="3" fontId="31" numFmtId="4" xfId="0" applyAlignment="1" applyBorder="1" applyFont="1" applyNumberFormat="1">
      <alignment horizontal="right" readingOrder="0" shrinkToFit="0" vertical="bottom" wrapText="0"/>
    </xf>
    <xf borderId="2" fillId="0" fontId="32" numFmtId="4" xfId="0" applyAlignment="1" applyBorder="1" applyFont="1" applyNumberFormat="1">
      <alignment readingOrder="0" shrinkToFit="0" vertical="bottom" wrapText="0"/>
    </xf>
    <xf borderId="2" fillId="0" fontId="32" numFmtId="0" xfId="0" applyAlignment="1" applyBorder="1" applyFont="1">
      <alignment readingOrder="0" shrinkToFit="0" vertical="bottom" wrapText="0"/>
    </xf>
    <xf borderId="3" fillId="3" fontId="31" numFmtId="0" xfId="0" applyAlignment="1" applyBorder="1" applyFont="1">
      <alignment readingOrder="0" shrinkToFit="0" vertical="bottom" wrapText="0"/>
    </xf>
    <xf borderId="3" fillId="0" fontId="31" numFmtId="0" xfId="0" applyAlignment="1" applyBorder="1" applyFont="1">
      <alignment readingOrder="0" shrinkToFit="0" vertical="bottom" wrapText="0"/>
    </xf>
    <xf borderId="4" fillId="0" fontId="31" numFmtId="4" xfId="0" applyAlignment="1" applyBorder="1" applyFont="1" applyNumberFormat="1">
      <alignment horizontal="right" readingOrder="0" shrinkToFit="0" vertical="bottom" wrapText="0"/>
    </xf>
    <xf borderId="4" fillId="0" fontId="32" numFmtId="4" xfId="0" applyAlignment="1" applyBorder="1" applyFont="1" applyNumberFormat="1">
      <alignment readingOrder="0" shrinkToFit="0" vertical="bottom" wrapText="0"/>
    </xf>
    <xf borderId="1" fillId="3" fontId="22" numFmtId="0" xfId="0" applyAlignment="1" applyBorder="1" applyFont="1">
      <alignment vertical="bottom"/>
    </xf>
    <xf borderId="2" fillId="3" fontId="22" numFmtId="0" xfId="0" applyAlignment="1" applyBorder="1" applyFont="1">
      <alignment vertical="bottom"/>
    </xf>
    <xf borderId="2" fillId="0" fontId="22" numFmtId="4" xfId="0" applyAlignment="1" applyBorder="1" applyFont="1" applyNumberFormat="1">
      <alignment vertical="bottom"/>
    </xf>
    <xf borderId="2" fillId="0" fontId="22" numFmtId="0" xfId="0" applyAlignment="1" applyBorder="1" applyFont="1">
      <alignment vertical="bottom"/>
    </xf>
    <xf borderId="2" fillId="3" fontId="22" numFmtId="4" xfId="0" applyAlignment="1" applyBorder="1" applyFont="1" applyNumberFormat="1">
      <alignment horizontal="right" vertical="bottom"/>
    </xf>
    <xf borderId="2" fillId="0" fontId="15" numFmtId="4" xfId="0" applyAlignment="1" applyBorder="1" applyFont="1" applyNumberFormat="1">
      <alignment vertical="bottom"/>
    </xf>
    <xf borderId="2" fillId="0" fontId="15" numFmtId="0" xfId="0" applyAlignment="1" applyBorder="1" applyFont="1">
      <alignment readingOrder="0" vertical="bottom"/>
    </xf>
    <xf borderId="0" fillId="3" fontId="7" numFmtId="0" xfId="0" applyAlignment="1" applyFont="1">
      <alignment readingOrder="0"/>
    </xf>
    <xf borderId="3" fillId="0" fontId="38" numFmtId="0" xfId="0" applyAlignment="1" applyBorder="1" applyFont="1">
      <alignment readingOrder="0" shrinkToFit="0" vertical="bottom" wrapText="0"/>
    </xf>
    <xf borderId="0" fillId="8" fontId="50" numFmtId="0" xfId="0" applyAlignment="1" applyFont="1">
      <alignment horizontal="left" readingOrder="0"/>
    </xf>
    <xf borderId="0" fillId="3" fontId="51" numFmtId="4" xfId="0" applyAlignment="1" applyFont="1" applyNumberFormat="1">
      <alignment readingOrder="0"/>
    </xf>
    <xf borderId="0" fillId="3" fontId="38" numFmtId="0" xfId="0" applyAlignment="1" applyFont="1">
      <alignment horizontal="left" readingOrder="0"/>
    </xf>
    <xf borderId="1" fillId="0" fontId="52" numFmtId="167" xfId="0" applyAlignment="1" applyBorder="1" applyFont="1" applyNumberFormat="1">
      <alignment horizontal="center" readingOrder="0"/>
    </xf>
    <xf borderId="4" fillId="0" fontId="5" numFmtId="4" xfId="0" applyAlignment="1" applyBorder="1" applyFont="1" applyNumberFormat="1">
      <alignment readingOrder="0"/>
    </xf>
    <xf borderId="1" fillId="0" fontId="5" numFmtId="0" xfId="0" applyAlignment="1" applyBorder="1" applyFont="1">
      <alignment readingOrder="0"/>
    </xf>
    <xf borderId="0" fillId="8" fontId="53" numFmtId="0" xfId="0" applyAlignment="1" applyFont="1">
      <alignment horizontal="left" readingOrder="0"/>
    </xf>
    <xf borderId="3" fillId="0" fontId="5" numFmtId="0" xfId="0" applyAlignment="1" applyBorder="1" applyFont="1">
      <alignment readingOrder="0" shrinkToFit="0" vertical="bottom" wrapText="0"/>
    </xf>
    <xf borderId="4" fillId="0" fontId="5" numFmtId="0" xfId="0" applyAlignment="1" applyBorder="1" applyFont="1">
      <alignment readingOrder="0" shrinkToFit="0" vertical="bottom" wrapText="0"/>
    </xf>
    <xf borderId="3" fillId="0" fontId="5" numFmtId="4" xfId="0" applyAlignment="1" applyBorder="1" applyFont="1" applyNumberFormat="1">
      <alignment readingOrder="0" shrinkToFit="0" vertical="bottom" wrapText="0"/>
    </xf>
    <xf borderId="4" fillId="0" fontId="38" numFmtId="3" xfId="0" applyAlignment="1" applyBorder="1" applyFont="1" applyNumberFormat="1">
      <alignment horizontal="right" readingOrder="0" shrinkToFit="0" vertical="bottom" wrapText="0"/>
    </xf>
    <xf borderId="0" fillId="3" fontId="51" numFmtId="0" xfId="0" applyAlignment="1" applyFont="1">
      <alignment horizontal="left" readingOrder="0"/>
    </xf>
    <xf borderId="1" fillId="0" fontId="5" numFmtId="167" xfId="0" applyAlignment="1" applyBorder="1" applyFont="1" applyNumberFormat="1">
      <alignment readingOrder="0"/>
    </xf>
    <xf borderId="0" fillId="8" fontId="54" numFmtId="0" xfId="0" applyAlignment="1" applyFont="1">
      <alignment horizontal="left" readingOrder="0"/>
    </xf>
    <xf borderId="0" fillId="0" fontId="7" numFmtId="0" xfId="0" applyFont="1"/>
    <xf borderId="1" fillId="0" fontId="38" numFmtId="0" xfId="0" applyBorder="1" applyFont="1"/>
    <xf borderId="4" fillId="0" fontId="5" numFmtId="0" xfId="0" applyBorder="1" applyFont="1"/>
    <xf borderId="0" fillId="3" fontId="10" numFmtId="4" xfId="0" applyAlignment="1" applyFont="1" applyNumberFormat="1">
      <alignment horizontal="right" readingOrder="0"/>
    </xf>
    <xf borderId="1" fillId="0" fontId="55" numFmtId="167" xfId="0" applyAlignment="1" applyBorder="1" applyFont="1" applyNumberFormat="1">
      <alignment horizontal="left" readingOrder="0"/>
    </xf>
    <xf borderId="1" fillId="0" fontId="5" numFmtId="0" xfId="0" applyBorder="1" applyFont="1"/>
    <xf borderId="3" fillId="0" fontId="5" numFmtId="0" xfId="0" applyAlignment="1" applyBorder="1" applyFont="1">
      <alignment shrinkToFit="0" vertical="bottom" wrapText="0"/>
    </xf>
    <xf borderId="4" fillId="0" fontId="5" numFmtId="0" xfId="0" applyAlignment="1" applyBorder="1" applyFont="1">
      <alignment shrinkToFit="0" vertical="bottom" wrapText="0"/>
    </xf>
    <xf borderId="1" fillId="0" fontId="5" numFmtId="0" xfId="0" applyAlignment="1" applyBorder="1" applyFont="1">
      <alignment shrinkToFit="0" vertical="bottom" wrapText="0"/>
    </xf>
    <xf borderId="3" fillId="0" fontId="5" numFmtId="4" xfId="0" applyAlignment="1" applyBorder="1" applyFont="1" applyNumberFormat="1">
      <alignment shrinkToFit="0" vertical="bottom" wrapText="0"/>
    </xf>
    <xf borderId="1" fillId="0" fontId="5" numFmtId="0" xfId="0" applyAlignment="1" applyBorder="1" applyFont="1">
      <alignment vertical="top"/>
    </xf>
    <xf borderId="2" fillId="0" fontId="5" numFmtId="0" xfId="0" applyAlignment="1" applyBorder="1" applyFont="1">
      <alignment vertical="top"/>
    </xf>
    <xf borderId="4" fillId="0" fontId="5" numFmtId="0" xfId="0" applyAlignment="1" applyBorder="1" applyFont="1">
      <alignment readingOrder="0" shrinkToFit="0" vertical="bottom" wrapText="0"/>
    </xf>
    <xf borderId="1" fillId="0" fontId="36" numFmtId="0" xfId="0" applyAlignment="1" applyBorder="1" applyFont="1">
      <alignment horizontal="left" readingOrder="0" vertical="top"/>
    </xf>
    <xf borderId="3" fillId="0" fontId="36" numFmtId="0" xfId="0" applyAlignment="1" applyBorder="1" applyFont="1">
      <alignment horizontal="left" readingOrder="0" vertical="top"/>
    </xf>
    <xf borderId="3" fillId="0" fontId="56" numFmtId="167" xfId="0" applyAlignment="1" applyBorder="1" applyFont="1" applyNumberFormat="1">
      <alignment horizontal="left" readingOrder="0" vertical="top"/>
    </xf>
    <xf borderId="3" fillId="0" fontId="5" numFmtId="0" xfId="0" applyAlignment="1" applyBorder="1" applyFont="1">
      <alignment vertical="top"/>
    </xf>
    <xf borderId="4" fillId="0" fontId="5" numFmtId="0" xfId="0" applyAlignment="1" applyBorder="1" applyFont="1">
      <alignment vertical="top"/>
    </xf>
    <xf borderId="1" fillId="0" fontId="57" numFmtId="0" xfId="0" applyAlignment="1" applyBorder="1" applyFont="1">
      <alignment readingOrder="0"/>
    </xf>
    <xf borderId="3" fillId="0" fontId="5" numFmtId="0" xfId="0" applyAlignment="1" applyBorder="1" applyFont="1">
      <alignment vertical="bottom"/>
    </xf>
    <xf borderId="4" fillId="0" fontId="5" numFmtId="0" xfId="0" applyAlignment="1" applyBorder="1" applyFont="1">
      <alignment vertical="bottom"/>
    </xf>
    <xf borderId="0" fillId="8" fontId="58" numFmtId="0" xfId="0" applyAlignment="1" applyFont="1">
      <alignment readingOrder="0"/>
    </xf>
    <xf borderId="4" fillId="0" fontId="59" numFmtId="4" xfId="0" applyAlignment="1" applyBorder="1" applyFont="1" applyNumberFormat="1">
      <alignment horizontal="right" readingOrder="0" shrinkToFit="0" vertical="bottom" wrapText="0"/>
    </xf>
    <xf borderId="4" fillId="0" fontId="38" numFmtId="0" xfId="0" applyAlignment="1" applyBorder="1" applyFont="1">
      <alignment readingOrder="0" shrinkToFit="0" vertical="bottom" wrapText="0"/>
    </xf>
    <xf borderId="4" fillId="7" fontId="60" numFmtId="4" xfId="0" applyAlignment="1" applyBorder="1" applyFont="1" applyNumberFormat="1">
      <alignment horizontal="right" readingOrder="0" shrinkToFit="0" vertical="bottom" wrapText="0"/>
    </xf>
    <xf borderId="0" fillId="3" fontId="61" numFmtId="0" xfId="0" applyAlignment="1" applyFont="1">
      <alignment readingOrder="0"/>
    </xf>
    <xf borderId="0" fillId="3" fontId="61" numFmtId="4" xfId="0" applyAlignment="1" applyFont="1" applyNumberFormat="1">
      <alignment readingOrder="0"/>
    </xf>
    <xf borderId="1" fillId="0" fontId="55" numFmtId="0" xfId="0" applyAlignment="1" applyBorder="1" applyFont="1">
      <alignment readingOrder="0"/>
    </xf>
    <xf borderId="0" fillId="8" fontId="62" numFmtId="0" xfId="0" applyAlignment="1" applyFont="1">
      <alignment readingOrder="0"/>
    </xf>
    <xf borderId="0" fillId="0" fontId="5" numFmtId="0" xfId="0" applyAlignment="1" applyFont="1">
      <alignment readingOrder="0"/>
    </xf>
    <xf borderId="3" fillId="0" fontId="5" numFmtId="0" xfId="0" applyAlignment="1" applyBorder="1" applyFont="1">
      <alignment readingOrder="0" vertical="top"/>
    </xf>
    <xf borderId="4" fillId="0" fontId="5" numFmtId="0" xfId="0" applyAlignment="1" applyBorder="1" applyFont="1">
      <alignment readingOrder="0" vertical="top"/>
    </xf>
    <xf borderId="0" fillId="3" fontId="40" numFmtId="4" xfId="0" applyAlignment="1" applyFont="1" applyNumberFormat="1">
      <alignment readingOrder="0"/>
    </xf>
    <xf borderId="0" fillId="3" fontId="63" numFmtId="0" xfId="0" applyAlignment="1" applyFont="1">
      <alignment readingOrder="0"/>
    </xf>
    <xf borderId="4" fillId="0" fontId="26" numFmtId="0" xfId="0" applyAlignment="1" applyBorder="1" applyFont="1">
      <alignment readingOrder="0" shrinkToFit="0" vertical="bottom" wrapText="0"/>
    </xf>
    <xf borderId="0" fillId="0" fontId="64" numFmtId="0" xfId="0" applyAlignment="1" applyFont="1">
      <alignment horizontal="left" readingOrder="0"/>
    </xf>
    <xf borderId="3" fillId="0" fontId="5" numFmtId="0" xfId="0" applyAlignment="1" applyBorder="1" applyFont="1">
      <alignment vertical="top"/>
    </xf>
    <xf borderId="4" fillId="0" fontId="5" numFmtId="0" xfId="0" applyAlignment="1" applyBorder="1" applyFont="1">
      <alignment vertical="top"/>
    </xf>
    <xf borderId="0" fillId="0" fontId="22" numFmtId="0" xfId="0" applyAlignment="1" applyFont="1">
      <alignment horizontal="left" readingOrder="0"/>
    </xf>
    <xf borderId="0" fillId="0" fontId="65" numFmtId="0" xfId="0" applyAlignment="1" applyFont="1">
      <alignment horizontal="left" readingOrder="0"/>
    </xf>
    <xf borderId="0" fillId="0" fontId="26" numFmtId="0" xfId="0" applyAlignment="1" applyFont="1">
      <alignment horizontal="left" readingOrder="0"/>
    </xf>
    <xf borderId="0" fillId="8" fontId="37" numFmtId="0" xfId="0" applyAlignment="1" applyFont="1">
      <alignment horizontal="left" readingOrder="0"/>
    </xf>
    <xf borderId="0" fillId="0" fontId="31" numFmtId="4" xfId="0" applyAlignment="1" applyFont="1" applyNumberFormat="1">
      <alignment horizontal="right" readingOrder="0"/>
    </xf>
    <xf borderId="1" fillId="0" fontId="37" numFmtId="4" xfId="0" applyAlignment="1" applyBorder="1" applyFont="1" applyNumberFormat="1">
      <alignment horizontal="right" readingOrder="0"/>
    </xf>
    <xf borderId="0" fillId="0" fontId="37" numFmtId="0" xfId="0" applyAlignment="1" applyFont="1">
      <alignment horizontal="left" readingOrder="0"/>
    </xf>
    <xf borderId="0" fillId="0" fontId="31" numFmtId="0" xfId="0" applyAlignment="1" applyFont="1">
      <alignment horizontal="left" readingOrder="0"/>
    </xf>
    <xf borderId="1" fillId="0" fontId="0" numFmtId="0" xfId="0" applyAlignment="1" applyBorder="1" applyFont="1">
      <alignment readingOrder="0"/>
    </xf>
    <xf borderId="3" fillId="0" fontId="36" numFmtId="0" xfId="0" applyAlignment="1" applyBorder="1" applyFont="1">
      <alignment readingOrder="0" shrinkToFit="0" vertical="top" wrapText="0"/>
    </xf>
    <xf borderId="0" fillId="0" fontId="66" numFmtId="0" xfId="0" applyAlignment="1" applyFont="1">
      <alignment horizontal="left" readingOrder="0"/>
    </xf>
    <xf borderId="0" fillId="0" fontId="67" numFmtId="0" xfId="0" applyAlignment="1" applyFont="1">
      <alignment horizontal="left" readingOrder="0"/>
    </xf>
    <xf borderId="0" fillId="0" fontId="1" numFmtId="4" xfId="0" applyAlignment="1" applyFont="1" applyNumberFormat="1">
      <alignment horizontal="right" readingOrder="0"/>
    </xf>
    <xf borderId="1" fillId="0" fontId="68" numFmtId="0" xfId="0" applyAlignment="1" applyBorder="1" applyFont="1">
      <alignment readingOrder="0" shrinkToFit="0" vertical="top" wrapText="1"/>
    </xf>
    <xf borderId="0" fillId="0" fontId="69" numFmtId="0" xfId="0" applyAlignment="1" applyFont="1">
      <alignment horizontal="left" readingOrder="0"/>
    </xf>
    <xf borderId="0" fillId="0" fontId="1" numFmtId="0" xfId="0" applyAlignment="1" applyFont="1">
      <alignment horizontal="left" readingOrder="0"/>
    </xf>
    <xf borderId="0" fillId="0" fontId="10" numFmtId="0" xfId="0" applyAlignment="1" applyFont="1">
      <alignment readingOrder="0"/>
    </xf>
    <xf borderId="0" fillId="0" fontId="70" numFmtId="0" xfId="0" applyAlignment="1" applyFont="1">
      <alignment horizontal="left" readingOrder="0"/>
    </xf>
    <xf borderId="2" fillId="3" fontId="32" numFmtId="0" xfId="0" applyAlignment="1" applyBorder="1" applyFont="1">
      <alignment readingOrder="0" shrinkToFit="0" vertical="bottom" wrapText="0"/>
    </xf>
    <xf borderId="3" fillId="0" fontId="36" numFmtId="0" xfId="0" applyAlignment="1" applyBorder="1" applyFont="1">
      <alignment readingOrder="0" shrinkToFit="0" vertical="top" wrapText="0"/>
    </xf>
    <xf borderId="1" fillId="0" fontId="22" numFmtId="4" xfId="0" applyAlignment="1" applyBorder="1" applyFont="1" applyNumberFormat="1">
      <alignment horizontal="right" vertical="bottom"/>
    </xf>
    <xf borderId="3" fillId="0" fontId="38" numFmtId="0" xfId="0" applyAlignment="1" applyBorder="1" applyFont="1">
      <alignment horizontal="left" readingOrder="0" shrinkToFit="0" vertical="bottom" wrapText="0"/>
    </xf>
    <xf borderId="1" fillId="0" fontId="5" numFmtId="4" xfId="0" applyAlignment="1" applyBorder="1" applyFont="1" applyNumberFormat="1">
      <alignment horizontal="right" readingOrder="0"/>
    </xf>
    <xf borderId="0" fillId="0" fontId="40" numFmtId="4" xfId="0" applyAlignment="1" applyFont="1" applyNumberFormat="1">
      <alignment horizontal="right" readingOrder="0"/>
    </xf>
    <xf borderId="0" fillId="0" fontId="1" numFmtId="0" xfId="0" applyFont="1"/>
    <xf borderId="0" fillId="0" fontId="38" numFmtId="0" xfId="0" applyAlignment="1" applyFont="1">
      <alignment readingOrder="0" shrinkToFit="0" vertical="bottom" wrapText="0"/>
    </xf>
    <xf borderId="4" fillId="0" fontId="5" numFmtId="4" xfId="0" applyAlignment="1" applyBorder="1" applyFont="1" applyNumberFormat="1">
      <alignment vertical="top"/>
    </xf>
    <xf borderId="0" fillId="0" fontId="9" numFmtId="0" xfId="0" applyAlignment="1" applyFont="1">
      <alignment horizontal="left" readingOrder="0"/>
    </xf>
    <xf borderId="3" fillId="0" fontId="18" numFmtId="0" xfId="0" applyAlignment="1" applyBorder="1" applyFont="1">
      <alignment readingOrder="0" vertical="top"/>
    </xf>
    <xf borderId="3" fillId="0" fontId="5" numFmtId="4" xfId="0" applyAlignment="1" applyBorder="1" applyFont="1" applyNumberFormat="1">
      <alignment horizontal="right" readingOrder="0"/>
    </xf>
    <xf borderId="4" fillId="0" fontId="38" numFmtId="4" xfId="0" applyAlignment="1" applyBorder="1" applyFont="1" applyNumberFormat="1">
      <alignment horizontal="right" readingOrder="0" shrinkToFit="0" vertical="bottom" wrapText="0"/>
    </xf>
    <xf borderId="4" fillId="0" fontId="59" numFmtId="4" xfId="0" applyAlignment="1" applyBorder="1" applyFont="1" applyNumberFormat="1">
      <alignment horizontal="right" readingOrder="0" shrinkToFit="0" vertical="bottom" wrapText="0"/>
    </xf>
    <xf borderId="1" fillId="3" fontId="32" numFmtId="0" xfId="0" applyAlignment="1" applyBorder="1" applyFont="1">
      <alignment readingOrder="0" shrinkToFit="0" vertical="bottom" wrapText="0"/>
    </xf>
    <xf borderId="2" fillId="3" fontId="32" numFmtId="4" xfId="0" applyAlignment="1" applyBorder="1" applyFont="1" applyNumberFormat="1">
      <alignment horizontal="right" readingOrder="0" shrinkToFit="0" vertical="bottom" wrapText="0"/>
    </xf>
    <xf borderId="2" fillId="3" fontId="32" numFmtId="4" xfId="0" applyAlignment="1" applyBorder="1" applyFont="1" applyNumberFormat="1">
      <alignment readingOrder="0" shrinkToFit="0" vertical="bottom" wrapText="0"/>
    </xf>
    <xf borderId="3" fillId="3" fontId="38" numFmtId="0" xfId="0" applyAlignment="1" applyBorder="1" applyFont="1">
      <alignment readingOrder="0" shrinkToFit="0" vertical="bottom" wrapText="0"/>
    </xf>
    <xf borderId="4" fillId="0" fontId="5" numFmtId="4" xfId="0" applyAlignment="1" applyBorder="1" applyFont="1" applyNumberFormat="1">
      <alignment readingOrder="0" vertical="top"/>
    </xf>
    <xf borderId="1" fillId="9" fontId="1" numFmtId="0" xfId="0" applyAlignment="1" applyBorder="1" applyFill="1" applyFont="1">
      <alignment readingOrder="0"/>
    </xf>
    <xf borderId="1" fillId="0" fontId="32" numFmtId="0" xfId="0" applyAlignment="1" applyBorder="1" applyFont="1">
      <alignment readingOrder="0" shrinkToFit="0" vertical="top" wrapText="0"/>
    </xf>
    <xf borderId="2" fillId="0" fontId="32" numFmtId="0" xfId="0" applyAlignment="1" applyBorder="1" applyFont="1">
      <alignment readingOrder="0" shrinkToFit="0" vertical="top" wrapText="0"/>
    </xf>
    <xf borderId="2" fillId="0" fontId="32" numFmtId="4" xfId="0" applyAlignment="1" applyBorder="1" applyFont="1" applyNumberFormat="1">
      <alignment horizontal="right" readingOrder="0" shrinkToFit="0" vertical="top" wrapText="0"/>
    </xf>
    <xf borderId="1" fillId="0" fontId="5" numFmtId="0" xfId="0" applyAlignment="1" applyBorder="1" applyFont="1">
      <alignment vertical="top"/>
    </xf>
    <xf borderId="1" fillId="0" fontId="38" numFmtId="0" xfId="0" applyAlignment="1" applyBorder="1" applyFont="1">
      <alignment readingOrder="0" shrinkToFit="0" vertical="top" wrapText="0"/>
    </xf>
    <xf borderId="1" fillId="0" fontId="38" numFmtId="4" xfId="0" applyAlignment="1" applyBorder="1" applyFont="1" applyNumberFormat="1">
      <alignment horizontal="right" readingOrder="0" shrinkToFit="0" vertical="top" wrapText="0"/>
    </xf>
    <xf borderId="1" fillId="0" fontId="1" numFmtId="0" xfId="0" applyAlignment="1" applyBorder="1" applyFont="1">
      <alignment horizontal="left" readingOrder="0"/>
    </xf>
    <xf borderId="1" fillId="0" fontId="38" numFmtId="4" xfId="0" applyAlignment="1" applyBorder="1" applyFont="1" applyNumberFormat="1">
      <alignment readingOrder="0" shrinkToFit="0" vertical="top" wrapText="0"/>
    </xf>
    <xf borderId="0" fillId="0" fontId="5" numFmtId="4" xfId="0" applyFont="1" applyNumberFormat="1"/>
    <xf borderId="1" fillId="0" fontId="3" numFmtId="0" xfId="0" applyBorder="1" applyFont="1"/>
    <xf borderId="1" fillId="0" fontId="3" numFmtId="4" xfId="0" applyAlignment="1" applyBorder="1" applyFont="1" applyNumberFormat="1">
      <alignment horizontal="right"/>
    </xf>
    <xf borderId="1" fillId="0" fontId="3" numFmtId="4" xfId="0" applyBorder="1" applyFont="1" applyNumberFormat="1"/>
    <xf borderId="1" fillId="0" fontId="5" numFmtId="4" xfId="0" applyAlignment="1" applyBorder="1" applyFont="1" applyNumberFormat="1">
      <alignment horizontal="right"/>
    </xf>
    <xf borderId="1" fillId="0" fontId="24" numFmtId="0" xfId="0" applyAlignment="1" applyBorder="1" applyFont="1">
      <alignment horizontal="left" readingOrder="0" vertical="top"/>
    </xf>
    <xf borderId="4" fillId="3" fontId="5" numFmtId="0" xfId="0" applyAlignment="1" applyBorder="1" applyFont="1">
      <alignment vertical="top"/>
    </xf>
    <xf borderId="1" fillId="0" fontId="71" numFmtId="4" xfId="0" applyAlignment="1" applyBorder="1" applyFont="1" applyNumberFormat="1">
      <alignment horizontal="right" readingOrder="0"/>
    </xf>
    <xf borderId="3" fillId="0" fontId="24" numFmtId="0" xfId="0" applyAlignment="1" applyBorder="1" applyFont="1">
      <alignment horizontal="left" readingOrder="0" vertical="top"/>
    </xf>
    <xf borderId="1" fillId="0" fontId="71" numFmtId="0" xfId="0" applyAlignment="1" applyBorder="1" applyFont="1">
      <alignment readingOrder="0"/>
    </xf>
    <xf borderId="4" fillId="0" fontId="24" numFmtId="0" xfId="0" applyAlignment="1" applyBorder="1" applyFont="1">
      <alignment horizontal="left" readingOrder="0" vertical="top"/>
    </xf>
    <xf borderId="1" fillId="0" fontId="30" numFmtId="0" xfId="0" applyAlignment="1" applyBorder="1" applyFont="1">
      <alignment horizontal="left" readingOrder="0" vertical="top"/>
    </xf>
    <xf borderId="2" fillId="0" fontId="36" numFmtId="0" xfId="0" applyAlignment="1" applyBorder="1" applyFont="1">
      <alignment horizontal="left" readingOrder="0" vertical="top"/>
    </xf>
    <xf borderId="3" fillId="0" fontId="30" numFmtId="0" xfId="0" applyAlignment="1" applyBorder="1" applyFont="1">
      <alignment horizontal="left" readingOrder="0" vertical="top"/>
    </xf>
    <xf borderId="4" fillId="0" fontId="36" numFmtId="0" xfId="0" applyAlignment="1" applyBorder="1" applyFont="1">
      <alignment horizontal="left" readingOrder="0" vertical="top"/>
    </xf>
    <xf borderId="3" fillId="0" fontId="44" numFmtId="4" xfId="0" applyAlignment="1" applyBorder="1" applyFont="1" applyNumberFormat="1">
      <alignment horizontal="right" readingOrder="0" vertical="top"/>
    </xf>
    <xf borderId="1" fillId="0" fontId="32" numFmtId="0" xfId="0" applyAlignment="1" applyBorder="1" applyFont="1">
      <alignment readingOrder="0" shrinkToFit="0" vertical="bottom" wrapText="0"/>
    </xf>
    <xf borderId="2" fillId="0" fontId="32" numFmtId="4" xfId="0" applyAlignment="1" applyBorder="1" applyFont="1" applyNumberFormat="1">
      <alignment horizontal="right" readingOrder="0" shrinkToFit="0" vertical="bottom" wrapText="0"/>
    </xf>
    <xf borderId="4" fillId="0" fontId="30" numFmtId="0" xfId="0" applyAlignment="1" applyBorder="1" applyFont="1">
      <alignment horizontal="left" readingOrder="0" vertical="top"/>
    </xf>
    <xf borderId="1" fillId="3" fontId="37" numFmtId="0" xfId="0" applyAlignment="1" applyBorder="1" applyFont="1">
      <alignment horizontal="left" readingOrder="0"/>
    </xf>
    <xf borderId="1" fillId="0" fontId="24" numFmtId="168" xfId="0" applyAlignment="1" applyBorder="1" applyFont="1" applyNumberFormat="1">
      <alignment horizontal="right" readingOrder="1" shrinkToFit="0" vertical="top" wrapText="1"/>
    </xf>
    <xf borderId="2" fillId="0" fontId="30" numFmtId="0" xfId="0" applyAlignment="1" applyBorder="1" applyFont="1">
      <alignment horizontal="left" readingOrder="0" vertical="top"/>
    </xf>
    <xf borderId="1" fillId="0" fontId="45" numFmtId="0" xfId="0" applyAlignment="1" applyBorder="1" applyFont="1">
      <alignment shrinkToFit="0" vertical="top" wrapText="1"/>
    </xf>
    <xf borderId="2" fillId="0" fontId="45" numFmtId="0" xfId="0" applyAlignment="1" applyBorder="1" applyFont="1">
      <alignment shrinkToFit="0" vertical="top" wrapText="1"/>
    </xf>
    <xf borderId="1" fillId="0" fontId="38" numFmtId="0" xfId="0" applyAlignment="1" applyBorder="1" applyFont="1">
      <alignment horizontal="left" readingOrder="0" vertical="top"/>
    </xf>
    <xf borderId="3" fillId="0" fontId="38" numFmtId="0" xfId="0" applyAlignment="1" applyBorder="1" applyFont="1">
      <alignment horizontal="left" readingOrder="0" vertical="top"/>
    </xf>
    <xf borderId="4" fillId="0" fontId="38" numFmtId="0" xfId="0" applyAlignment="1" applyBorder="1" applyFont="1">
      <alignment readingOrder="0" shrinkToFit="0" vertical="bottom" wrapText="0"/>
    </xf>
    <xf borderId="4" fillId="0" fontId="38" numFmtId="0" xfId="0" applyAlignment="1" applyBorder="1" applyFont="1">
      <alignment horizontal="left" readingOrder="0" vertical="top"/>
    </xf>
    <xf borderId="1" fillId="0" fontId="38" numFmtId="168" xfId="0" applyAlignment="1" applyBorder="1" applyFont="1" applyNumberFormat="1">
      <alignment horizontal="right" readingOrder="1" shrinkToFit="0" vertical="top" wrapText="1"/>
    </xf>
    <xf borderId="1" fillId="0" fontId="5" numFmtId="0" xfId="0" applyAlignment="1" applyBorder="1" applyFont="1">
      <alignment shrinkToFit="0" vertical="top" wrapText="1"/>
    </xf>
    <xf borderId="2" fillId="0" fontId="5" numFmtId="0" xfId="0" applyAlignment="1" applyBorder="1" applyFont="1">
      <alignment shrinkToFit="0" vertical="top" wrapText="1"/>
    </xf>
    <xf borderId="2" fillId="0" fontId="38" numFmtId="0" xfId="0" applyAlignment="1" applyBorder="1" applyFont="1">
      <alignment horizontal="left" readingOrder="0" vertical="top"/>
    </xf>
    <xf borderId="1" fillId="0" fontId="5" numFmtId="168" xfId="0" applyAlignment="1" applyBorder="1" applyFont="1" applyNumberFormat="1">
      <alignment horizontal="right" readingOrder="0" shrinkToFit="0" vertical="top" wrapText="1"/>
    </xf>
    <xf borderId="3" fillId="0" fontId="45" numFmtId="0" xfId="0" applyAlignment="1" applyBorder="1" applyFont="1">
      <alignment shrinkToFit="0" vertical="top" wrapText="1"/>
    </xf>
    <xf borderId="4" fillId="0" fontId="45" numFmtId="0" xfId="0" applyAlignment="1" applyBorder="1" applyFont="1">
      <alignment shrinkToFit="0" vertical="top" wrapText="1"/>
    </xf>
    <xf borderId="3" fillId="0" fontId="5" numFmtId="168" xfId="0" applyAlignment="1" applyBorder="1" applyFont="1" applyNumberFormat="1">
      <alignment horizontal="right" readingOrder="0" shrinkToFit="0" vertical="top" wrapText="1"/>
    </xf>
    <xf borderId="2" fillId="0" fontId="72" numFmtId="0" xfId="0" applyAlignment="1" applyBorder="1" applyFont="1">
      <alignment shrinkToFit="0" vertical="top" wrapText="1"/>
    </xf>
    <xf borderId="1" fillId="0" fontId="22" numFmtId="168" xfId="0" applyAlignment="1" applyBorder="1" applyFont="1" applyNumberFormat="1">
      <alignment horizontal="right" readingOrder="0" shrinkToFit="0" vertical="top" wrapText="1"/>
    </xf>
    <xf borderId="4" fillId="0" fontId="72" numFmtId="0" xfId="0" applyAlignment="1" applyBorder="1" applyFont="1">
      <alignment shrinkToFit="0" vertical="top" wrapText="1"/>
    </xf>
    <xf borderId="3" fillId="0" fontId="22" numFmtId="168" xfId="0" applyAlignment="1" applyBorder="1" applyFont="1" applyNumberFormat="1">
      <alignment horizontal="right" readingOrder="0" shrinkToFit="0" vertical="top" wrapText="1"/>
    </xf>
    <xf borderId="1" fillId="0" fontId="36" numFmtId="0" xfId="0" applyAlignment="1" applyBorder="1" applyFont="1">
      <alignment horizontal="left" readingOrder="0" vertical="top"/>
    </xf>
    <xf borderId="2" fillId="0" fontId="36" numFmtId="0" xfId="0" applyAlignment="1" applyBorder="1" applyFont="1">
      <alignment horizontal="left" readingOrder="0" vertical="top"/>
    </xf>
    <xf borderId="3" fillId="0" fontId="72" numFmtId="168" xfId="0" applyAlignment="1" applyBorder="1" applyFont="1" applyNumberFormat="1">
      <alignment horizontal="right" readingOrder="0" shrinkToFit="0" vertical="top" wrapText="1"/>
    </xf>
    <xf borderId="3" fillId="0" fontId="45" numFmtId="0" xfId="0" applyAlignment="1" applyBorder="1" applyFont="1">
      <alignment readingOrder="0" shrinkToFit="0" vertical="top" wrapText="1"/>
    </xf>
    <xf borderId="4" fillId="0" fontId="72" numFmtId="0" xfId="0" applyAlignment="1" applyBorder="1" applyFont="1">
      <alignment readingOrder="0" shrinkToFit="0" vertical="top" wrapText="1"/>
    </xf>
    <xf borderId="3" fillId="0" fontId="36" numFmtId="0" xfId="0" applyAlignment="1" applyBorder="1" applyFont="1">
      <alignment horizontal="left" readingOrder="0" vertical="top"/>
    </xf>
    <xf borderId="4" fillId="0" fontId="36" numFmtId="0" xfId="0" applyAlignment="1" applyBorder="1" applyFont="1">
      <alignment horizontal="left" readingOrder="0" vertical="top"/>
    </xf>
    <xf borderId="2" fillId="0" fontId="24" numFmtId="0" xfId="0" applyAlignment="1" applyBorder="1" applyFont="1">
      <alignment horizontal="left" readingOrder="0" vertical="top"/>
    </xf>
    <xf borderId="1" fillId="0" fontId="44" numFmtId="0" xfId="0" applyAlignment="1" applyBorder="1" applyFont="1">
      <alignment readingOrder="0" shrinkToFit="0" vertical="bottom" wrapText="0"/>
    </xf>
    <xf borderId="2" fillId="0" fontId="44" numFmtId="0" xfId="0" applyAlignment="1" applyBorder="1" applyFont="1">
      <alignment readingOrder="0" shrinkToFit="0" vertical="bottom" wrapText="0"/>
    </xf>
    <xf borderId="2" fillId="0" fontId="44" numFmtId="4" xfId="0" applyAlignment="1" applyBorder="1" applyFont="1" applyNumberFormat="1">
      <alignment horizontal="right" readingOrder="0" shrinkToFit="0" vertical="bottom" wrapText="0"/>
    </xf>
    <xf borderId="1" fillId="0" fontId="72" numFmtId="0" xfId="0" applyAlignment="1" applyBorder="1" applyFont="1">
      <alignment shrinkToFit="0" vertical="top" wrapText="1"/>
    </xf>
    <xf borderId="2" fillId="0" fontId="36" numFmtId="4" xfId="0" applyAlignment="1" applyBorder="1" applyFont="1" applyNumberFormat="1">
      <alignment horizontal="left" readingOrder="0" vertical="top"/>
    </xf>
    <xf borderId="1" fillId="0" fontId="30" numFmtId="4" xfId="0" applyAlignment="1" applyBorder="1" applyFont="1" applyNumberFormat="1">
      <alignment horizontal="right" readingOrder="0" vertical="top"/>
    </xf>
    <xf borderId="4" fillId="0" fontId="36" numFmtId="4" xfId="0" applyAlignment="1" applyBorder="1" applyFont="1" applyNumberFormat="1">
      <alignment horizontal="left" readingOrder="0" vertical="top"/>
    </xf>
    <xf borderId="3" fillId="0" fontId="30" numFmtId="4" xfId="0" applyAlignment="1" applyBorder="1" applyFont="1" applyNumberFormat="1">
      <alignment horizontal="right" readingOrder="0" vertical="top"/>
    </xf>
    <xf borderId="3" fillId="0" fontId="38" numFmtId="168" xfId="0" applyAlignment="1" applyBorder="1" applyFont="1" applyNumberFormat="1">
      <alignment horizontal="right" readingOrder="1" shrinkToFit="0" vertical="top" wrapText="1"/>
    </xf>
    <xf borderId="3" fillId="0" fontId="30" numFmtId="0" xfId="0" applyAlignment="1" applyBorder="1" applyFont="1">
      <alignment horizontal="left" readingOrder="0" vertical="top"/>
    </xf>
    <xf borderId="4" fillId="0" fontId="5" numFmtId="168" xfId="0" applyAlignment="1" applyBorder="1" applyFont="1" applyNumberFormat="1">
      <alignment readingOrder="0" vertical="bottom"/>
    </xf>
    <xf borderId="1" fillId="0" fontId="30" numFmtId="0" xfId="0" applyAlignment="1" applyBorder="1" applyFont="1">
      <alignment horizontal="left" readingOrder="0" vertical="top"/>
    </xf>
    <xf borderId="1" fillId="0" fontId="36" numFmtId="4" xfId="0" applyAlignment="1" applyBorder="1" applyFont="1" applyNumberFormat="1">
      <alignment horizontal="right" readingOrder="0" vertical="top"/>
    </xf>
    <xf borderId="3" fillId="0" fontId="36" numFmtId="4" xfId="0" applyAlignment="1" applyBorder="1" applyFont="1" applyNumberFormat="1">
      <alignment horizontal="right" readingOrder="0" vertical="top"/>
    </xf>
    <xf borderId="2" fillId="0" fontId="30" numFmtId="4" xfId="0" applyAlignment="1" applyBorder="1" applyFont="1" applyNumberFormat="1">
      <alignment horizontal="left" readingOrder="0" vertical="top"/>
    </xf>
    <xf borderId="1" fillId="0" fontId="36" numFmtId="168" xfId="0" applyAlignment="1" applyBorder="1" applyFont="1" applyNumberFormat="1">
      <alignment horizontal="right" readingOrder="1" shrinkToFit="0" vertical="top" wrapText="1"/>
    </xf>
    <xf borderId="1" fillId="0" fontId="30" numFmtId="168" xfId="0" applyAlignment="1" applyBorder="1" applyFont="1" applyNumberFormat="1">
      <alignment horizontal="right" readingOrder="1" shrinkToFit="0" vertical="top" wrapText="1"/>
    </xf>
    <xf borderId="1" fillId="0" fontId="72" numFmtId="168" xfId="0" applyAlignment="1" applyBorder="1" applyFont="1" applyNumberFormat="1">
      <alignment readingOrder="0" shrinkToFit="0" vertical="top" wrapText="1"/>
    </xf>
    <xf borderId="1" fillId="0" fontId="45" numFmtId="168" xfId="0" applyAlignment="1" applyBorder="1" applyFont="1" applyNumberFormat="1">
      <alignment readingOrder="0" shrinkToFit="0" vertical="top" wrapText="1"/>
    </xf>
    <xf borderId="1" fillId="0" fontId="45" numFmtId="168" xfId="0" applyAlignment="1" applyBorder="1" applyFont="1" applyNumberFormat="1">
      <alignment shrinkToFit="0" vertical="top" wrapText="1"/>
    </xf>
    <xf borderId="1" fillId="0" fontId="36" numFmtId="4" xfId="0" applyAlignment="1" applyBorder="1" applyFont="1" applyNumberFormat="1">
      <alignment horizontal="right" readingOrder="0" vertical="top"/>
    </xf>
    <xf borderId="3" fillId="0" fontId="36" numFmtId="4" xfId="0" applyAlignment="1" applyBorder="1" applyFont="1" applyNumberFormat="1">
      <alignment horizontal="right" readingOrder="0" vertical="top"/>
    </xf>
    <xf borderId="1" fillId="0" fontId="72" numFmtId="0" xfId="0" applyAlignment="1" applyBorder="1" applyFont="1">
      <alignment vertical="top"/>
    </xf>
    <xf borderId="2" fillId="0" fontId="72" numFmtId="4" xfId="0" applyAlignment="1" applyBorder="1" applyFont="1" applyNumberFormat="1">
      <alignment vertical="top"/>
    </xf>
    <xf borderId="1" fillId="0" fontId="72" numFmtId="0" xfId="0" applyAlignment="1" applyBorder="1" applyFont="1">
      <alignment shrinkToFit="0" vertical="top" wrapText="1"/>
    </xf>
    <xf borderId="0" fillId="0" fontId="5" numFmtId="166" xfId="0" applyAlignment="1" applyFont="1" applyNumberFormat="1">
      <alignment readingOrder="0"/>
    </xf>
    <xf borderId="0" fillId="0" fontId="5" numFmtId="4" xfId="0" applyAlignment="1" applyFont="1" applyNumberFormat="1">
      <alignment horizontal="right"/>
    </xf>
    <xf borderId="1" fillId="0" fontId="3" numFmtId="164" xfId="0" applyAlignment="1" applyBorder="1" applyFont="1" applyNumberFormat="1">
      <alignment horizontal="right"/>
    </xf>
    <xf borderId="0" fillId="0" fontId="3" numFmtId="0" xfId="0" applyFont="1"/>
    <xf borderId="1" fillId="0" fontId="0" numFmtId="167" xfId="0" applyAlignment="1" applyBorder="1" applyFont="1" applyNumberFormat="1">
      <alignment readingOrder="0"/>
    </xf>
    <xf borderId="9" fillId="0" fontId="5" numFmtId="0" xfId="0" applyAlignment="1" applyBorder="1" applyFont="1">
      <alignment shrinkToFit="0" vertical="bottom" wrapText="0"/>
    </xf>
    <xf borderId="1" fillId="0" fontId="5" numFmtId="164" xfId="0" applyAlignment="1" applyBorder="1" applyFont="1" applyNumberFormat="1">
      <alignment horizontal="right" readingOrder="0"/>
    </xf>
    <xf borderId="1" fillId="7" fontId="37" numFmtId="0" xfId="0" applyAlignment="1" applyBorder="1" applyFont="1">
      <alignment horizontal="left"/>
    </xf>
    <xf borderId="1" fillId="0" fontId="5" numFmtId="164" xfId="0" applyAlignment="1" applyBorder="1" applyFont="1" applyNumberFormat="1">
      <alignment horizontal="right"/>
    </xf>
    <xf borderId="3" fillId="0" fontId="32" numFmtId="4" xfId="0" applyAlignment="1" applyBorder="1" applyFont="1" applyNumberFormat="1">
      <alignment readingOrder="0" shrinkToFit="0" vertical="bottom" wrapText="0"/>
    </xf>
    <xf borderId="4" fillId="0" fontId="32" numFmtId="4" xfId="0" applyAlignment="1" applyBorder="1" applyFont="1" applyNumberFormat="1">
      <alignment horizontal="right" readingOrder="0" shrinkToFit="0" vertical="bottom" wrapText="0"/>
    </xf>
    <xf borderId="2" fillId="0" fontId="5" numFmtId="164" xfId="0" applyAlignment="1" applyBorder="1" applyFont="1" applyNumberFormat="1">
      <alignment horizontal="right" vertical="bottom"/>
    </xf>
    <xf borderId="1" fillId="0" fontId="15" numFmtId="4" xfId="0" applyAlignment="1" applyBorder="1" applyFont="1" applyNumberFormat="1">
      <alignment vertical="bottom"/>
    </xf>
    <xf borderId="3" fillId="0" fontId="15" numFmtId="4" xfId="0" applyAlignment="1" applyBorder="1" applyFont="1" applyNumberFormat="1">
      <alignment vertical="bottom"/>
    </xf>
    <xf borderId="2" fillId="0" fontId="36" numFmtId="4" xfId="0" applyAlignment="1" applyBorder="1" applyFont="1" applyNumberFormat="1">
      <alignment horizontal="right" readingOrder="0" vertical="top"/>
    </xf>
    <xf borderId="4" fillId="0" fontId="36" numFmtId="4" xfId="0" applyAlignment="1" applyBorder="1" applyFont="1" applyNumberFormat="1">
      <alignment horizontal="right" readingOrder="0" vertical="top"/>
    </xf>
    <xf borderId="0" fillId="0" fontId="1" numFmtId="4" xfId="0" applyFont="1" applyNumberFormat="1"/>
    <xf borderId="2" fillId="0" fontId="36" numFmtId="4" xfId="0" applyAlignment="1" applyBorder="1" applyFont="1" applyNumberFormat="1">
      <alignment horizontal="left" readingOrder="0" vertical="top"/>
    </xf>
    <xf borderId="2" fillId="0" fontId="36" numFmtId="0" xfId="0" applyAlignment="1" applyBorder="1" applyFont="1">
      <alignment horizontal="left" vertical="top"/>
    </xf>
    <xf borderId="0" fillId="3" fontId="73" numFmtId="0" xfId="0" applyFont="1"/>
    <xf borderId="0" fillId="3" fontId="10" numFmtId="164" xfId="0" applyAlignment="1" applyFont="1" applyNumberFormat="1">
      <alignment readingOrder="0"/>
    </xf>
    <xf borderId="2" fillId="0" fontId="5" numFmtId="4" xfId="0" applyAlignment="1" applyBorder="1" applyFont="1" applyNumberFormat="1">
      <alignment vertical="bottom"/>
    </xf>
    <xf borderId="1" fillId="0" fontId="15" numFmtId="0" xfId="0" applyAlignment="1" applyBorder="1" applyFont="1">
      <alignment readingOrder="0" vertical="bottom"/>
    </xf>
    <xf borderId="1" fillId="0" fontId="15" numFmtId="4" xfId="0" applyAlignment="1" applyBorder="1" applyFont="1" applyNumberFormat="1">
      <alignment readingOrder="0" vertical="bottom"/>
    </xf>
    <xf borderId="2" fillId="0" fontId="15" numFmtId="4" xfId="0" applyAlignment="1" applyBorder="1" applyFont="1" applyNumberFormat="1">
      <alignment horizontal="right" readingOrder="0" vertical="bottom"/>
    </xf>
    <xf borderId="2" fillId="3" fontId="74" numFmtId="164" xfId="0" applyAlignment="1" applyBorder="1" applyFont="1" applyNumberFormat="1">
      <alignment horizontal="right" vertical="bottom"/>
    </xf>
    <xf borderId="4" fillId="0" fontId="15" numFmtId="4" xfId="0" applyAlignment="1" applyBorder="1" applyFont="1" applyNumberFormat="1">
      <alignment horizontal="right" readingOrder="0" vertical="bottom"/>
    </xf>
    <xf borderId="1" fillId="0" fontId="5" numFmtId="3" xfId="0" applyAlignment="1" applyBorder="1" applyFont="1" applyNumberFormat="1">
      <alignment readingOrder="0"/>
    </xf>
    <xf borderId="1" fillId="0" fontId="5" numFmtId="169" xfId="0" applyAlignment="1" applyBorder="1" applyFont="1" applyNumberFormat="1">
      <alignment readingOrder="0"/>
    </xf>
    <xf borderId="1" fillId="0" fontId="5" numFmtId="169" xfId="0" applyBorder="1" applyFont="1" applyNumberFormat="1"/>
    <xf borderId="1" fillId="0" fontId="5" numFmtId="164" xfId="0" applyAlignment="1" applyBorder="1" applyFont="1" applyNumberFormat="1">
      <alignment readingOrder="0"/>
    </xf>
    <xf borderId="1" fillId="0" fontId="3" numFmtId="164" xfId="0" applyAlignment="1" applyBorder="1" applyFont="1" applyNumberFormat="1">
      <alignment horizontal="right" readingOrder="0"/>
    </xf>
    <xf borderId="1" fillId="0" fontId="5" numFmtId="0" xfId="0" applyAlignment="1" applyBorder="1" applyFont="1">
      <alignment horizontal="right" readingOrder="0"/>
    </xf>
    <xf borderId="1" fillId="0" fontId="5" numFmtId="0" xfId="0" applyAlignment="1" applyBorder="1" applyFont="1">
      <alignment horizontal="left" readingOrder="0"/>
    </xf>
    <xf borderId="1" fillId="0" fontId="5" numFmtId="164" xfId="0" applyAlignment="1" applyBorder="1" applyFont="1" applyNumberFormat="1">
      <alignment horizontal="left" readingOrder="0"/>
    </xf>
    <xf borderId="1" fillId="0" fontId="5" numFmtId="170" xfId="0" applyAlignment="1" applyBorder="1" applyFont="1" applyNumberFormat="1">
      <alignment readingOrder="0"/>
    </xf>
    <xf borderId="1" fillId="0" fontId="5" numFmtId="170" xfId="0" applyBorder="1" applyFont="1" applyNumberFormat="1"/>
    <xf borderId="0" fillId="0" fontId="38" numFmtId="4" xfId="0" applyAlignment="1" applyFont="1" applyNumberFormat="1">
      <alignment horizontal="right" readingOrder="0" shrinkToFit="0" vertical="bottom" wrapText="0"/>
    </xf>
    <xf borderId="1" fillId="0" fontId="5" numFmtId="170" xfId="0" applyAlignment="1" applyBorder="1" applyFont="1" applyNumberFormat="1">
      <alignment horizontal="right" readingOrder="0"/>
    </xf>
    <xf borderId="0" fillId="3" fontId="7" numFmtId="166" xfId="0" applyAlignment="1" applyFont="1" applyNumberFormat="1">
      <alignment readingOrder="0"/>
    </xf>
    <xf borderId="2" fillId="0" fontId="37" numFmtId="0" xfId="0" applyAlignment="1" applyBorder="1" applyFont="1">
      <alignment readingOrder="0" shrinkToFit="0" vertical="bottom" wrapText="0"/>
    </xf>
    <xf borderId="1" fillId="0" fontId="0" numFmtId="166" xfId="0" applyAlignment="1" applyBorder="1" applyFont="1" applyNumberFormat="1">
      <alignment readingOrder="0"/>
    </xf>
    <xf borderId="4" fillId="0" fontId="37" numFmtId="0" xfId="0" applyAlignment="1" applyBorder="1" applyFont="1">
      <alignment readingOrder="0" shrinkToFit="0" vertical="bottom" wrapText="0"/>
    </xf>
    <xf borderId="4" fillId="0" fontId="37" numFmtId="4" xfId="0" applyAlignment="1" applyBorder="1" applyFont="1" applyNumberFormat="1">
      <alignment horizontal="right" readingOrder="0" shrinkToFit="0" vertical="bottom" wrapText="0"/>
    </xf>
    <xf borderId="2" fillId="0" fontId="32" numFmtId="166" xfId="0" applyAlignment="1" applyBorder="1" applyFont="1" applyNumberFormat="1">
      <alignment readingOrder="0" shrinkToFit="0" vertical="bottom" wrapText="0"/>
    </xf>
    <xf borderId="2" fillId="0" fontId="32" numFmtId="166" xfId="0" applyAlignment="1" applyBorder="1" applyFont="1" applyNumberFormat="1">
      <alignment horizontal="right" readingOrder="0" shrinkToFit="0" vertical="bottom" wrapText="0"/>
    </xf>
    <xf borderId="2" fillId="0" fontId="36" numFmtId="164" xfId="0" applyAlignment="1" applyBorder="1" applyFont="1" applyNumberFormat="1">
      <alignment horizontal="left" readingOrder="0" vertical="top"/>
    </xf>
    <xf borderId="2" fillId="0" fontId="36" numFmtId="166" xfId="0" applyAlignment="1" applyBorder="1" applyFont="1" applyNumberFormat="1">
      <alignment horizontal="left" readingOrder="0" vertical="top"/>
    </xf>
    <xf borderId="1" fillId="0" fontId="5" numFmtId="0" xfId="0" applyAlignment="1" applyBorder="1" applyFont="1">
      <alignment horizontal="left" readingOrder="0" vertical="bottom"/>
    </xf>
    <xf borderId="1" fillId="0" fontId="3" numFmtId="166" xfId="0" applyAlignment="1" applyBorder="1" applyFont="1" applyNumberFormat="1">
      <alignment vertical="bottom"/>
    </xf>
    <xf borderId="1" fillId="0" fontId="3" numFmtId="0" xfId="0" applyAlignment="1" applyBorder="1" applyFont="1">
      <alignment vertical="bottom"/>
    </xf>
    <xf borderId="1" fillId="0" fontId="3" numFmtId="164" xfId="0" applyAlignment="1" applyBorder="1" applyFont="1" applyNumberFormat="1">
      <alignment horizontal="right" vertical="bottom"/>
    </xf>
    <xf borderId="1" fillId="0" fontId="3" numFmtId="4" xfId="0" applyAlignment="1" applyBorder="1" applyFont="1" applyNumberFormat="1">
      <alignment vertical="bottom"/>
    </xf>
    <xf borderId="2" fillId="0" fontId="38" numFmtId="0" xfId="0" applyAlignment="1" applyBorder="1" applyFont="1">
      <alignment readingOrder="0" shrinkToFit="0" vertical="bottom" wrapText="0"/>
    </xf>
    <xf borderId="0" fillId="0" fontId="1" numFmtId="3" xfId="0" applyAlignment="1" applyFont="1" applyNumberFormat="1">
      <alignment horizontal="left" readingOrder="0"/>
    </xf>
    <xf borderId="0" fillId="0" fontId="1" numFmtId="164" xfId="0" applyAlignment="1" applyFont="1" applyNumberFormat="1">
      <alignment readingOrder="0"/>
    </xf>
    <xf borderId="0" fillId="0" fontId="9" numFmtId="4" xfId="0" applyAlignment="1" applyFont="1" applyNumberFormat="1">
      <alignment horizontal="left" readingOrder="0"/>
    </xf>
    <xf borderId="4" fillId="0" fontId="19" numFmtId="0" xfId="0" applyAlignment="1" applyBorder="1" applyFont="1">
      <alignment horizontal="left" readingOrder="0" vertical="top"/>
    </xf>
    <xf borderId="4" fillId="0" fontId="19" numFmtId="0" xfId="0" applyAlignment="1" applyBorder="1" applyFont="1">
      <alignment horizontal="right" readingOrder="0" vertical="top"/>
    </xf>
    <xf borderId="10" fillId="0" fontId="19" numFmtId="164" xfId="0" applyAlignment="1" applyBorder="1" applyFont="1" applyNumberFormat="1">
      <alignment horizontal="center" readingOrder="0" vertical="top"/>
    </xf>
    <xf borderId="4" fillId="0" fontId="75" numFmtId="0" xfId="0" applyBorder="1" applyFont="1"/>
    <xf borderId="4" fillId="0" fontId="19" numFmtId="171" xfId="0" applyAlignment="1" applyBorder="1" applyFont="1" applyNumberFormat="1">
      <alignment horizontal="center" readingOrder="0" vertical="top"/>
    </xf>
    <xf borderId="1" fillId="0" fontId="55" numFmtId="164" xfId="0" applyAlignment="1" applyBorder="1" applyFont="1" applyNumberFormat="1">
      <alignment horizontal="right"/>
    </xf>
    <xf borderId="1" fillId="0" fontId="55" numFmtId="4" xfId="0" applyBorder="1" applyFont="1" applyNumberFormat="1"/>
    <xf borderId="3" fillId="0" fontId="72" numFmtId="0" xfId="0" applyAlignment="1" applyBorder="1" applyFont="1">
      <alignment vertical="top"/>
    </xf>
    <xf borderId="4" fillId="0" fontId="72" numFmtId="0" xfId="0" applyAlignment="1" applyBorder="1" applyFont="1">
      <alignment vertical="top"/>
    </xf>
    <xf borderId="1" fillId="7" fontId="72" numFmtId="0" xfId="0" applyAlignment="1" applyBorder="1" applyFont="1">
      <alignment readingOrder="0" vertical="top"/>
    </xf>
    <xf borderId="1" fillId="7" fontId="72" numFmtId="0" xfId="0" applyAlignment="1" applyBorder="1" applyFont="1">
      <alignment vertical="top"/>
    </xf>
    <xf borderId="1" fillId="7" fontId="72" numFmtId="4" xfId="0" applyAlignment="1" applyBorder="1" applyFont="1" applyNumberFormat="1">
      <alignment readingOrder="0" vertical="top"/>
    </xf>
    <xf borderId="1" fillId="0" fontId="5" numFmtId="0" xfId="0" applyAlignment="1" applyBorder="1" applyFont="1">
      <alignment horizontal="right"/>
    </xf>
    <xf borderId="2" fillId="0" fontId="31" numFmtId="0" xfId="0" applyAlignment="1" applyBorder="1" applyFont="1">
      <alignment horizontal="right" shrinkToFit="0" vertical="bottom" wrapText="0"/>
    </xf>
    <xf borderId="2" fillId="0" fontId="31" numFmtId="4" xfId="0" applyAlignment="1" applyBorder="1" applyFont="1" applyNumberFormat="1">
      <alignment horizontal="right" readingOrder="0" shrinkToFit="0" vertical="bottom" wrapText="0"/>
    </xf>
    <xf borderId="1" fillId="0" fontId="3" numFmtId="0" xfId="0" applyAlignment="1" applyBorder="1" applyFont="1">
      <alignment horizontal="right" readingOrder="0"/>
    </xf>
    <xf borderId="1" fillId="0" fontId="12" numFmtId="0" xfId="0" applyAlignment="1" applyBorder="1" applyFont="1">
      <alignment readingOrder="0" shrinkToFit="0" vertical="bottom" wrapText="0"/>
    </xf>
    <xf borderId="2" fillId="0" fontId="12" numFmtId="0" xfId="0" applyAlignment="1" applyBorder="1" applyFont="1">
      <alignment readingOrder="0" shrinkToFit="0" vertical="bottom" wrapText="0"/>
    </xf>
    <xf borderId="2" fillId="0" fontId="12" numFmtId="4" xfId="0" applyAlignment="1" applyBorder="1" applyFont="1" applyNumberFormat="1">
      <alignment readingOrder="0" shrinkToFit="0" vertical="bottom" wrapText="0"/>
    </xf>
    <xf borderId="1" fillId="0" fontId="76" numFmtId="0" xfId="0" applyAlignment="1" applyBorder="1" applyFont="1">
      <alignment readingOrder="0" shrinkToFit="0" vertical="bottom" wrapText="0"/>
    </xf>
    <xf borderId="4" fillId="3" fontId="38" numFmtId="4" xfId="0" applyAlignment="1" applyBorder="1" applyFont="1" applyNumberFormat="1">
      <alignment horizontal="right" readingOrder="0" shrinkToFit="0" vertical="bottom" wrapText="0"/>
    </xf>
    <xf borderId="2" fillId="0" fontId="76" numFmtId="0" xfId="0" applyAlignment="1" applyBorder="1" applyFont="1">
      <alignment readingOrder="0" shrinkToFit="0" vertical="bottom" wrapText="0"/>
    </xf>
    <xf borderId="1" fillId="3" fontId="76" numFmtId="0" xfId="0" applyAlignment="1" applyBorder="1" applyFont="1">
      <alignment readingOrder="0" shrinkToFit="0" vertical="bottom" wrapText="0"/>
    </xf>
    <xf borderId="1" fillId="3" fontId="7" numFmtId="0" xfId="0" applyBorder="1" applyFont="1"/>
    <xf borderId="0" fillId="0" fontId="1" numFmtId="165" xfId="0" applyAlignment="1" applyFont="1" applyNumberFormat="1">
      <alignment readingOrder="0"/>
    </xf>
    <xf borderId="4" fillId="0" fontId="38" numFmtId="4" xfId="0" applyAlignment="1" applyBorder="1" applyFont="1" applyNumberFormat="1">
      <alignment readingOrder="0" shrinkToFit="0" vertical="bottom" wrapText="0"/>
    </xf>
    <xf borderId="0" fillId="8" fontId="77" numFmtId="0" xfId="0" applyAlignment="1" applyFont="1">
      <alignment horizontal="left" readingOrder="0"/>
    </xf>
    <xf borderId="2" fillId="0" fontId="3" numFmtId="0" xfId="0" applyAlignment="1" applyBorder="1" applyFont="1">
      <alignment vertical="bottom"/>
    </xf>
    <xf borderId="2" fillId="0" fontId="3" numFmtId="4" xfId="0" applyAlignment="1" applyBorder="1" applyFont="1" applyNumberFormat="1">
      <alignment vertical="bottom"/>
    </xf>
    <xf borderId="1" fillId="0" fontId="78" numFmtId="0" xfId="0" applyAlignment="1" applyBorder="1" applyFont="1">
      <alignment readingOrder="0" vertical="bottom"/>
    </xf>
    <xf borderId="4" fillId="3" fontId="5" numFmtId="4" xfId="0" applyAlignment="1" applyBorder="1" applyFont="1" applyNumberFormat="1">
      <alignment horizontal="right" readingOrder="0" vertical="bottom"/>
    </xf>
    <xf borderId="1" fillId="0" fontId="5" numFmtId="4" xfId="0" applyAlignment="1" applyBorder="1" applyFont="1" applyNumberFormat="1">
      <alignment vertical="bottom"/>
    </xf>
    <xf borderId="1" fillId="0" fontId="72" numFmtId="0" xfId="0" applyAlignment="1" applyBorder="1" applyFont="1">
      <alignment vertical="top"/>
    </xf>
    <xf borderId="1" fillId="0" fontId="24" numFmtId="0" xfId="0" applyAlignment="1" applyBorder="1" applyFont="1">
      <alignment horizontal="left" readingOrder="0"/>
    </xf>
    <xf borderId="0" fillId="0" fontId="5" numFmtId="4" xfId="0" applyAlignment="1" applyFont="1" applyNumberFormat="1">
      <alignment readingOrder="0"/>
    </xf>
    <xf borderId="0" fillId="0" fontId="5" numFmtId="0" xfId="0" applyAlignment="1" applyFont="1">
      <alignment readingOrder="0"/>
    </xf>
    <xf borderId="1" fillId="3" fontId="5" numFmtId="4" xfId="0" applyAlignment="1" applyBorder="1" applyFont="1" applyNumberFormat="1">
      <alignment horizontal="right" readingOrder="0" vertical="bottom"/>
    </xf>
    <xf borderId="1" fillId="3" fontId="79" numFmtId="0" xfId="0" applyAlignment="1" applyBorder="1" applyFont="1">
      <alignment readingOrder="0" vertical="bottom"/>
    </xf>
    <xf borderId="1" fillId="3" fontId="38" numFmtId="4" xfId="0" applyAlignment="1" applyBorder="1" applyFont="1" applyNumberFormat="1">
      <alignment horizontal="right" readingOrder="0" shrinkToFit="0" vertical="bottom" wrapText="0"/>
    </xf>
    <xf borderId="1" fillId="3" fontId="38" numFmtId="0" xfId="0" applyAlignment="1" applyBorder="1" applyFont="1">
      <alignment horizontal="left" readingOrder="0" shrinkToFit="0" vertical="bottom" wrapText="0"/>
    </xf>
    <xf borderId="1" fillId="3" fontId="38" numFmtId="0" xfId="0" applyAlignment="1" applyBorder="1" applyFont="1">
      <alignment horizontal="left" readingOrder="0" shrinkToFit="0" vertical="top" wrapText="0"/>
    </xf>
    <xf borderId="1" fillId="3" fontId="68" numFmtId="4" xfId="0" applyAlignment="1" applyBorder="1" applyFont="1" applyNumberFormat="1">
      <alignment horizontal="right" readingOrder="0" shrinkToFit="0" vertical="bottom" wrapText="0"/>
    </xf>
    <xf borderId="1" fillId="3" fontId="15" numFmtId="0" xfId="0" applyAlignment="1" applyBorder="1" applyFont="1">
      <alignment vertical="bottom"/>
    </xf>
    <xf borderId="1" fillId="0" fontId="38" numFmtId="4" xfId="0" applyAlignment="1" applyBorder="1" applyFont="1" applyNumberFormat="1">
      <alignment horizontal="right" readingOrder="0" vertical="top"/>
    </xf>
    <xf borderId="1" fillId="0" fontId="23" numFmtId="0" xfId="0" applyAlignment="1" applyBorder="1" applyFont="1">
      <alignment readingOrder="0"/>
    </xf>
    <xf borderId="1" fillId="0" fontId="15" numFmtId="4" xfId="0" applyAlignment="1" applyBorder="1" applyFont="1" applyNumberFormat="1">
      <alignment horizontal="right" vertical="bottom"/>
    </xf>
    <xf borderId="1" fillId="3" fontId="23" numFmtId="0" xfId="0" applyAlignment="1" applyBorder="1" applyFont="1">
      <alignment readingOrder="0"/>
    </xf>
    <xf borderId="1" fillId="3" fontId="15" numFmtId="4" xfId="0" applyAlignment="1" applyBorder="1" applyFont="1" applyNumberFormat="1">
      <alignment horizontal="right" vertical="bottom"/>
    </xf>
    <xf borderId="1" fillId="0" fontId="80" numFmtId="0" xfId="0" applyAlignment="1" applyBorder="1" applyFont="1">
      <alignment readingOrder="0" vertical="bottom"/>
    </xf>
    <xf borderId="1" fillId="0" fontId="80" numFmtId="0" xfId="0" applyAlignment="1" applyBorder="1" applyFont="1">
      <alignment readingOrder="0" shrinkToFit="0" vertical="bottom" wrapText="0"/>
    </xf>
    <xf borderId="1" fillId="0" fontId="38" numFmtId="165" xfId="0" applyAlignment="1" applyBorder="1" applyFont="1" applyNumberFormat="1">
      <alignment readingOrder="0" shrinkToFit="0" vertical="bottom" wrapText="0"/>
    </xf>
    <xf borderId="1" fillId="0" fontId="38" numFmtId="0" xfId="0" applyAlignment="1" applyBorder="1" applyFont="1">
      <alignment readingOrder="0" vertical="top"/>
    </xf>
    <xf borderId="1" fillId="0" fontId="81" numFmtId="4" xfId="0" applyAlignment="1" applyBorder="1" applyFont="1" applyNumberFormat="1">
      <alignment horizontal="right" vertical="bottom"/>
    </xf>
    <xf borderId="1" fillId="3" fontId="81" numFmtId="4" xfId="0" applyAlignment="1" applyBorder="1" applyFont="1" applyNumberFormat="1">
      <alignment horizontal="right" vertical="bottom"/>
    </xf>
    <xf borderId="1" fillId="0" fontId="80" numFmtId="0" xfId="0" applyAlignment="1" applyBorder="1" applyFont="1">
      <alignment readingOrder="0" vertical="top"/>
    </xf>
    <xf borderId="1" fillId="0" fontId="32" numFmtId="4" xfId="0" applyAlignment="1" applyBorder="1" applyFont="1" applyNumberFormat="1">
      <alignment horizontal="right" readingOrder="0" shrinkToFit="0" vertical="bottom" wrapText="0"/>
    </xf>
    <xf borderId="1" fillId="0" fontId="32" numFmtId="4" xfId="0" applyAlignment="1" applyBorder="1" applyFont="1" applyNumberFormat="1">
      <alignment readingOrder="0" shrinkToFit="0" vertical="bottom" wrapText="0"/>
    </xf>
    <xf borderId="1" fillId="3" fontId="32" numFmtId="4" xfId="0" applyAlignment="1" applyBorder="1" applyFont="1" applyNumberFormat="1">
      <alignment horizontal="right" readingOrder="0" shrinkToFit="0" vertical="bottom" wrapText="0"/>
    </xf>
    <xf borderId="1" fillId="3" fontId="15" numFmtId="4" xfId="0" applyAlignment="1" applyBorder="1" applyFont="1" applyNumberFormat="1">
      <alignment vertical="bottom"/>
    </xf>
    <xf borderId="1" fillId="0" fontId="82" numFmtId="166" xfId="0" applyAlignment="1" applyBorder="1" applyFont="1" applyNumberFormat="1">
      <alignment readingOrder="0"/>
    </xf>
    <xf borderId="1" fillId="0" fontId="82" numFmtId="0" xfId="0" applyAlignment="1" applyBorder="1" applyFont="1">
      <alignment readingOrder="0"/>
    </xf>
    <xf borderId="1" fillId="0" fontId="82" numFmtId="4" xfId="0" applyAlignment="1" applyBorder="1" applyFont="1" applyNumberFormat="1">
      <alignment readingOrder="0"/>
    </xf>
    <xf borderId="1" fillId="3" fontId="83" numFmtId="0" xfId="0" applyBorder="1" applyFont="1"/>
    <xf borderId="1" fillId="0" fontId="82" numFmtId="0" xfId="0" applyBorder="1" applyFont="1"/>
    <xf borderId="0" fillId="0" fontId="82" numFmtId="0" xfId="0" applyFont="1"/>
    <xf borderId="1" fillId="0" fontId="15" numFmtId="4" xfId="0" applyAlignment="1" applyBorder="1" applyFont="1" applyNumberFormat="1">
      <alignment horizontal="right" readingOrder="0" vertical="bottom"/>
    </xf>
    <xf borderId="1" fillId="3" fontId="15" numFmtId="4" xfId="0" applyAlignment="1" applyBorder="1" applyFont="1" applyNumberFormat="1">
      <alignment horizontal="right" readingOrder="0" vertical="bottom"/>
    </xf>
    <xf borderId="1" fillId="0" fontId="84" numFmtId="167" xfId="0" applyAlignment="1" applyBorder="1" applyFont="1" applyNumberFormat="1">
      <alignment readingOrder="0"/>
    </xf>
    <xf borderId="1" fillId="0" fontId="84" numFmtId="0" xfId="0" applyAlignment="1" applyBorder="1" applyFont="1">
      <alignment readingOrder="0"/>
    </xf>
    <xf borderId="1" fillId="0" fontId="84" numFmtId="4" xfId="0" applyAlignment="1" applyBorder="1" applyFont="1" applyNumberFormat="1">
      <alignment readingOrder="0"/>
    </xf>
    <xf borderId="1" fillId="3" fontId="85" numFmtId="0" xfId="0" applyBorder="1" applyFont="1"/>
    <xf borderId="1" fillId="0" fontId="84" numFmtId="0" xfId="0" applyBorder="1" applyFont="1"/>
    <xf borderId="0" fillId="0" fontId="84" numFmtId="0" xfId="0" applyFont="1"/>
    <xf borderId="1" fillId="3" fontId="38" numFmtId="4" xfId="0" applyAlignment="1" applyBorder="1" applyFont="1" applyNumberFormat="1">
      <alignment horizontal="left" readingOrder="0" shrinkToFit="0" vertical="bottom" wrapText="0"/>
    </xf>
    <xf borderId="1" fillId="0" fontId="3" numFmtId="4" xfId="0" applyAlignment="1" applyBorder="1" applyFont="1" applyNumberFormat="1">
      <alignment readingOrder="0"/>
    </xf>
    <xf borderId="1" fillId="3" fontId="73" numFmtId="0" xfId="0" applyBorder="1" applyFont="1"/>
    <xf borderId="1" fillId="3" fontId="38" numFmtId="0" xfId="0" applyAlignment="1" applyBorder="1" applyFont="1">
      <alignment readingOrder="0" shrinkToFit="0" vertical="bottom" wrapText="0"/>
    </xf>
    <xf borderId="1" fillId="0" fontId="38" numFmtId="0" xfId="0" applyAlignment="1" applyBorder="1" applyFont="1">
      <alignment readingOrder="0" shrinkToFit="0" vertical="bottom" wrapText="0"/>
    </xf>
    <xf borderId="1" fillId="0" fontId="3" numFmtId="4" xfId="0" applyAlignment="1" applyBorder="1" applyFont="1" applyNumberFormat="1">
      <alignment horizontal="right" readingOrder="0"/>
    </xf>
    <xf borderId="1" fillId="3" fontId="12" numFmtId="4" xfId="0" applyAlignment="1" applyBorder="1" applyFont="1" applyNumberFormat="1">
      <alignment horizontal="right" readingOrder="0" shrinkToFit="0" vertical="bottom" wrapText="0"/>
    </xf>
    <xf borderId="1" fillId="0" fontId="86" numFmtId="4" xfId="0" applyAlignment="1" applyBorder="1" applyFont="1" applyNumberFormat="1">
      <alignment horizontal="right" readingOrder="0" shrinkToFit="0" vertical="bottom" wrapText="0"/>
    </xf>
    <xf borderId="3" fillId="0" fontId="38" numFmtId="4" xfId="0" applyAlignment="1" applyBorder="1" applyFont="1" applyNumberFormat="1">
      <alignment horizontal="right" readingOrder="0" vertical="top"/>
    </xf>
    <xf borderId="4" fillId="3" fontId="32" numFmtId="4" xfId="0" applyAlignment="1" applyBorder="1" applyFont="1" applyNumberFormat="1">
      <alignment horizontal="right" readingOrder="0" shrinkToFit="0" vertical="bottom" wrapText="0"/>
    </xf>
    <xf borderId="2" fillId="0" fontId="31" numFmtId="4" xfId="0" applyAlignment="1" applyBorder="1" applyFont="1" applyNumberFormat="1">
      <alignment readingOrder="0" shrinkToFit="0" vertical="bottom" wrapText="0"/>
    </xf>
    <xf borderId="1" fillId="0" fontId="0" numFmtId="0" xfId="0" applyBorder="1" applyFont="1"/>
    <xf borderId="3" fillId="0" fontId="38" numFmtId="0" xfId="0" applyAlignment="1" applyBorder="1" applyFont="1">
      <alignment readingOrder="0" vertical="top"/>
    </xf>
    <xf borderId="3" fillId="3" fontId="24" numFmtId="0" xfId="0" applyAlignment="1" applyBorder="1" applyFont="1">
      <alignment readingOrder="0" shrinkToFit="0" vertical="bottom" wrapText="0"/>
    </xf>
    <xf borderId="1" fillId="3" fontId="37" numFmtId="0" xfId="0" applyAlignment="1" applyBorder="1" applyFont="1">
      <alignment horizontal="left"/>
    </xf>
    <xf borderId="2" fillId="0" fontId="36" numFmtId="172" xfId="0" applyAlignment="1" applyBorder="1" applyFont="1" applyNumberFormat="1">
      <alignment horizontal="left" readingOrder="0" vertical="top"/>
    </xf>
    <xf borderId="4" fillId="0" fontId="36" numFmtId="172" xfId="0" applyAlignment="1" applyBorder="1" applyFont="1" applyNumberFormat="1">
      <alignment horizontal="left" readingOrder="0" vertical="top"/>
    </xf>
    <xf borderId="2" fillId="0" fontId="30" numFmtId="4" xfId="0" applyAlignment="1" applyBorder="1" applyFont="1" applyNumberFormat="1">
      <alignment readingOrder="0" shrinkToFit="0" vertical="bottom" wrapText="0"/>
    </xf>
    <xf borderId="3" fillId="0" fontId="87" numFmtId="0" xfId="0" applyAlignment="1" applyBorder="1" applyFont="1">
      <alignment vertical="top"/>
    </xf>
    <xf borderId="4" fillId="0" fontId="87" numFmtId="0" xfId="0" applyAlignment="1" applyBorder="1" applyFont="1">
      <alignment vertical="top"/>
    </xf>
    <xf borderId="4" fillId="0" fontId="88" numFmtId="4" xfId="0" applyAlignment="1" applyBorder="1" applyFont="1" applyNumberFormat="1">
      <alignment horizontal="right" readingOrder="0" shrinkToFit="0" vertical="bottom" wrapText="0"/>
    </xf>
    <xf borderId="1" fillId="0" fontId="77" numFmtId="4" xfId="0" applyAlignment="1" applyBorder="1" applyFont="1" applyNumberFormat="1">
      <alignment readingOrder="0"/>
    </xf>
    <xf borderId="1" fillId="0" fontId="88" numFmtId="4" xfId="0" applyAlignment="1" applyBorder="1" applyFont="1" applyNumberFormat="1">
      <alignment horizontal="right" readingOrder="0" shrinkToFit="0" vertical="bottom" wrapText="0"/>
    </xf>
    <xf borderId="1" fillId="0" fontId="77" numFmtId="4" xfId="0" applyBorder="1" applyFont="1" applyNumberFormat="1"/>
    <xf borderId="0" fillId="0" fontId="1" numFmtId="166" xfId="0" applyAlignment="1" applyFont="1" applyNumberFormat="1">
      <alignment readingOrder="0"/>
    </xf>
    <xf borderId="1" fillId="0" fontId="5" numFmtId="4" xfId="0" applyAlignment="1" applyBorder="1" applyFont="1" applyNumberFormat="1">
      <alignment vertical="top"/>
    </xf>
    <xf borderId="1" fillId="0" fontId="5" numFmtId="4" xfId="0" applyAlignment="1" applyBorder="1" applyFont="1" applyNumberFormat="1">
      <alignment horizontal="right" vertical="top"/>
    </xf>
    <xf borderId="1" fillId="0" fontId="89" numFmtId="4" xfId="0" applyAlignment="1" applyBorder="1" applyFont="1" applyNumberFormat="1">
      <alignment readingOrder="0" vertical="top"/>
    </xf>
    <xf borderId="1" fillId="0" fontId="89" numFmtId="4" xfId="0" applyAlignment="1" applyBorder="1" applyFont="1" applyNumberFormat="1">
      <alignment vertical="top"/>
    </xf>
    <xf borderId="3" fillId="0" fontId="36" numFmtId="0" xfId="0" applyAlignment="1" applyBorder="1" applyFont="1">
      <alignment readingOrder="0" vertical="top"/>
    </xf>
    <xf borderId="4" fillId="0" fontId="36" numFmtId="0" xfId="0" applyAlignment="1" applyBorder="1" applyFont="1">
      <alignment readingOrder="0" vertical="top"/>
    </xf>
    <xf borderId="1" fillId="0" fontId="5" numFmtId="173" xfId="0" applyAlignment="1" applyBorder="1" applyFont="1" applyNumberFormat="1">
      <alignment readingOrder="0"/>
    </xf>
    <xf borderId="1" fillId="0" fontId="5" numFmtId="165" xfId="0" applyAlignment="1" applyBorder="1" applyFont="1" applyNumberFormat="1">
      <alignment readingOrder="0"/>
    </xf>
    <xf borderId="1" fillId="0" fontId="5" numFmtId="174" xfId="0" applyAlignment="1" applyBorder="1" applyFont="1" applyNumberFormat="1">
      <alignment readingOrder="0"/>
    </xf>
    <xf borderId="2" fillId="0" fontId="5" numFmtId="0" xfId="0" applyAlignment="1" applyBorder="1" applyFont="1">
      <alignment vertical="top"/>
    </xf>
    <xf borderId="1" fillId="0" fontId="15" numFmtId="3" xfId="0" applyAlignment="1" applyBorder="1" applyFont="1" applyNumberFormat="1">
      <alignment readingOrder="0" vertical="bottom"/>
    </xf>
    <xf borderId="4" fillId="0" fontId="20" numFmtId="4" xfId="0" applyAlignment="1" applyBorder="1" applyFont="1" applyNumberFormat="1">
      <alignment horizontal="right" readingOrder="0" vertical="top"/>
    </xf>
    <xf borderId="4" fillId="0" fontId="19" numFmtId="4" xfId="0" applyAlignment="1" applyBorder="1" applyFont="1" applyNumberFormat="1">
      <alignment horizontal="right" readingOrder="0" vertical="top"/>
    </xf>
    <xf borderId="0" fillId="0" fontId="38" numFmtId="0" xfId="0" applyAlignment="1" applyFont="1">
      <alignment readingOrder="0" shrinkToFit="0" vertical="bottom" wrapText="0"/>
    </xf>
    <xf borderId="1" fillId="0" fontId="32" numFmtId="167" xfId="0" applyAlignment="1" applyBorder="1" applyFont="1" applyNumberFormat="1">
      <alignment horizontal="right" readingOrder="0" vertical="bottom"/>
    </xf>
    <xf borderId="2" fillId="0" fontId="32" numFmtId="0" xfId="0" applyAlignment="1" applyBorder="1" applyFont="1">
      <alignment vertical="bottom"/>
    </xf>
    <xf borderId="2" fillId="0" fontId="32" numFmtId="4" xfId="0" applyAlignment="1" applyBorder="1" applyFont="1" applyNumberFormat="1">
      <alignment horizontal="right" vertical="bottom"/>
    </xf>
    <xf borderId="1" fillId="0" fontId="38" numFmtId="4" xfId="0" applyAlignment="1" applyBorder="1" applyFont="1" applyNumberFormat="1">
      <alignment readingOrder="0"/>
    </xf>
    <xf borderId="1" fillId="0" fontId="38" numFmtId="0" xfId="0" applyAlignment="1" applyBorder="1" applyFont="1">
      <alignment readingOrder="0"/>
    </xf>
    <xf borderId="1" fillId="0" fontId="5" numFmtId="167" xfId="0" applyAlignment="1" applyBorder="1" applyFont="1" applyNumberFormat="1">
      <alignment readingOrder="0" vertical="bottom"/>
    </xf>
    <xf borderId="1" fillId="0" fontId="31" numFmtId="0" xfId="0" applyAlignment="1" applyBorder="1" applyFont="1">
      <alignment readingOrder="0" shrinkToFit="0" vertical="top" wrapText="0"/>
    </xf>
    <xf borderId="2" fillId="0" fontId="31" numFmtId="0" xfId="0" applyAlignment="1" applyBorder="1" applyFont="1">
      <alignment readingOrder="0" shrinkToFit="0" vertical="top" wrapText="0"/>
    </xf>
    <xf borderId="2" fillId="3" fontId="31" numFmtId="0" xfId="0" applyAlignment="1" applyBorder="1" applyFont="1">
      <alignment readingOrder="0" shrinkToFit="0" vertical="bottom" wrapText="0"/>
    </xf>
    <xf borderId="2" fillId="0" fontId="31" numFmtId="4" xfId="0" applyAlignment="1" applyBorder="1" applyFont="1" applyNumberFormat="1">
      <alignment horizontal="right" readingOrder="0" shrinkToFit="0" vertical="top" wrapText="0"/>
    </xf>
    <xf borderId="2" fillId="3" fontId="31" numFmtId="4" xfId="0" applyAlignment="1" applyBorder="1" applyFont="1" applyNumberFormat="1">
      <alignment readingOrder="0" shrinkToFit="0" vertical="bottom" wrapText="0"/>
    </xf>
    <xf borderId="2" fillId="0" fontId="5" numFmtId="166" xfId="0" applyAlignment="1" applyBorder="1" applyFont="1" applyNumberFormat="1">
      <alignment vertical="bottom"/>
    </xf>
    <xf borderId="2" fillId="0" fontId="72" numFmtId="0" xfId="0" applyAlignment="1" applyBorder="1" applyFont="1">
      <alignment vertical="top"/>
    </xf>
    <xf borderId="1" fillId="0" fontId="87" numFmtId="0" xfId="0" applyAlignment="1" applyBorder="1" applyFont="1">
      <alignment horizontal="left" readingOrder="0" vertical="top"/>
    </xf>
    <xf borderId="1" fillId="0" fontId="3" numFmtId="3" xfId="0" applyAlignment="1" applyBorder="1" applyFont="1" applyNumberFormat="1">
      <alignment readingOrder="0"/>
    </xf>
    <xf borderId="11" fillId="0" fontId="5" numFmtId="0" xfId="0" applyAlignment="1" applyBorder="1" applyFont="1">
      <alignment shrinkToFit="0" vertical="bottom" wrapText="0"/>
    </xf>
    <xf borderId="9" fillId="0" fontId="5" numFmtId="0" xfId="0" applyAlignment="1" applyBorder="1" applyFont="1">
      <alignment vertical="bottom"/>
    </xf>
    <xf borderId="11" fillId="0" fontId="5" numFmtId="0" xfId="0" applyAlignment="1" applyBorder="1" applyFont="1">
      <alignment shrinkToFit="0" vertical="bottom" wrapText="0"/>
    </xf>
    <xf borderId="12" fillId="0" fontId="5" numFmtId="0" xfId="0" applyAlignment="1" applyBorder="1" applyFont="1">
      <alignment shrinkToFit="0" vertical="bottom" wrapText="0"/>
    </xf>
    <xf borderId="10" fillId="0" fontId="5" numFmtId="0" xfId="0" applyAlignment="1" applyBorder="1" applyFont="1">
      <alignment vertical="bottom"/>
    </xf>
    <xf borderId="11" fillId="0" fontId="5" numFmtId="0" xfId="0" applyAlignment="1" applyBorder="1" applyFont="1">
      <alignment readingOrder="0" shrinkToFit="0" vertical="bottom" wrapText="0"/>
    </xf>
    <xf borderId="12" fillId="0" fontId="5" numFmtId="0" xfId="0" applyAlignment="1" applyBorder="1" applyFont="1">
      <alignment readingOrder="0" shrinkToFit="0" vertical="bottom" wrapText="0"/>
    </xf>
    <xf borderId="4" fillId="0" fontId="90" numFmtId="4" xfId="0" applyAlignment="1" applyBorder="1" applyFont="1" applyNumberFormat="1">
      <alignment horizontal="right" readingOrder="0" vertical="top"/>
    </xf>
    <xf borderId="4" fillId="0" fontId="76" numFmtId="3" xfId="0" applyAlignment="1" applyBorder="1" applyFont="1" applyNumberFormat="1">
      <alignment horizontal="right" readingOrder="0" vertical="top"/>
    </xf>
    <xf borderId="1" fillId="0" fontId="3" numFmtId="165" xfId="0" applyAlignment="1" applyBorder="1" applyFont="1" applyNumberFormat="1">
      <alignment readingOrder="0"/>
    </xf>
    <xf borderId="1" fillId="0" fontId="3" numFmtId="167" xfId="0" applyAlignment="1" applyBorder="1" applyFont="1" applyNumberFormat="1">
      <alignment readingOrder="0"/>
    </xf>
    <xf borderId="1" fillId="0" fontId="5" numFmtId="175" xfId="0" applyAlignment="1" applyBorder="1" applyFont="1" applyNumberFormat="1">
      <alignment readingOrder="0"/>
    </xf>
    <xf borderId="4" fillId="0" fontId="71" numFmtId="4" xfId="0" applyAlignment="1" applyBorder="1" applyFont="1" applyNumberFormat="1">
      <alignment horizontal="right" readingOrder="0" vertical="top"/>
    </xf>
    <xf borderId="1" fillId="0" fontId="5" numFmtId="176" xfId="0" applyAlignment="1" applyBorder="1" applyFont="1" applyNumberFormat="1">
      <alignment readingOrder="0"/>
    </xf>
    <xf borderId="1" fillId="0" fontId="3" numFmtId="0" xfId="0" applyAlignment="1" applyBorder="1" applyFont="1">
      <alignment horizontal="left" readingOrder="0" shrinkToFit="0" vertical="bottom" wrapText="0"/>
    </xf>
    <xf borderId="2" fillId="0" fontId="3" numFmtId="0" xfId="0" applyAlignment="1" applyBorder="1" applyFont="1">
      <alignment horizontal="left" readingOrder="0" shrinkToFit="0" vertical="bottom" wrapText="0"/>
    </xf>
    <xf borderId="2" fillId="0" fontId="3" numFmtId="4" xfId="0" applyAlignment="1" applyBorder="1" applyFont="1" applyNumberFormat="1">
      <alignment horizontal="left" readingOrder="0" shrinkToFit="0" vertical="bottom" wrapText="0"/>
    </xf>
    <xf borderId="3" fillId="0" fontId="5" numFmtId="0" xfId="0" applyAlignment="1" applyBorder="1" applyFont="1">
      <alignment horizontal="left" readingOrder="0" shrinkToFit="0" vertical="bottom" wrapText="0"/>
    </xf>
    <xf borderId="4" fillId="0" fontId="5" numFmtId="0" xfId="0" applyAlignment="1" applyBorder="1" applyFont="1">
      <alignment horizontal="left" readingOrder="0" shrinkToFit="0" vertical="bottom" wrapText="0"/>
    </xf>
    <xf borderId="4" fillId="0" fontId="5" numFmtId="4" xfId="0" applyAlignment="1" applyBorder="1" applyFont="1" applyNumberFormat="1">
      <alignment horizontal="right" readingOrder="0" shrinkToFit="0" vertical="bottom" wrapText="0"/>
    </xf>
    <xf borderId="4" fillId="0" fontId="5" numFmtId="4" xfId="0" applyAlignment="1" applyBorder="1" applyFont="1" applyNumberFormat="1">
      <alignment horizontal="left" readingOrder="0" shrinkToFit="0" vertical="bottom" wrapText="0"/>
    </xf>
    <xf borderId="1" fillId="0" fontId="12" numFmtId="0" xfId="0" applyAlignment="1" applyBorder="1" applyFont="1">
      <alignment readingOrder="0"/>
    </xf>
    <xf borderId="1" fillId="0" fontId="3" numFmtId="0" xfId="0" applyAlignment="1" applyBorder="1" applyFont="1">
      <alignment horizontal="left"/>
    </xf>
    <xf borderId="1" fillId="0" fontId="44" numFmtId="0" xfId="0" applyAlignment="1" applyBorder="1" applyFont="1">
      <alignment readingOrder="0" vertical="top"/>
    </xf>
    <xf borderId="1" fillId="0" fontId="44" numFmtId="4" xfId="0" applyAlignment="1" applyBorder="1" applyFont="1" applyNumberFormat="1">
      <alignment horizontal="left" readingOrder="0" vertical="top"/>
    </xf>
    <xf borderId="1" fillId="0" fontId="44" numFmtId="4" xfId="0" applyAlignment="1" applyBorder="1" applyFont="1" applyNumberFormat="1">
      <alignment horizontal="right" readingOrder="0" vertical="top"/>
    </xf>
    <xf borderId="1" fillId="3" fontId="91" numFmtId="0" xfId="0" applyBorder="1" applyFont="1"/>
    <xf borderId="1" fillId="0" fontId="44" numFmtId="0" xfId="0" applyAlignment="1" applyBorder="1" applyFont="1">
      <alignment horizontal="left" readingOrder="0" vertical="top"/>
    </xf>
    <xf borderId="1" fillId="0" fontId="5" numFmtId="0" xfId="0" applyAlignment="1" applyBorder="1" applyFont="1">
      <alignment horizontal="left"/>
    </xf>
    <xf borderId="1" fillId="0" fontId="44" numFmtId="0" xfId="0" applyAlignment="1" applyBorder="1" applyFont="1">
      <alignment vertical="bottom"/>
    </xf>
    <xf borderId="1" fillId="0" fontId="81" numFmtId="0" xfId="0" applyAlignment="1" applyBorder="1" applyFont="1">
      <alignment vertical="bottom"/>
    </xf>
    <xf borderId="1" fillId="0" fontId="81" numFmtId="0" xfId="0" applyAlignment="1" applyBorder="1" applyFont="1">
      <alignment horizontal="left" vertical="bottom"/>
    </xf>
    <xf borderId="1" fillId="3" fontId="74" numFmtId="4" xfId="0" applyAlignment="1" applyBorder="1" applyFont="1" applyNumberFormat="1">
      <alignment horizontal="right" vertical="bottom"/>
    </xf>
    <xf borderId="1" fillId="0" fontId="37" numFmtId="4" xfId="0" applyAlignment="1" applyBorder="1" applyFont="1" applyNumberFormat="1">
      <alignment horizontal="right" readingOrder="0" vertical="top"/>
    </xf>
    <xf borderId="1" fillId="10" fontId="44" numFmtId="0" xfId="0" applyAlignment="1" applyBorder="1" applyFill="1" applyFont="1">
      <alignment vertical="bottom"/>
    </xf>
    <xf borderId="1" fillId="3" fontId="81" numFmtId="0" xfId="0" applyAlignment="1" applyBorder="1" applyFont="1">
      <alignment vertical="bottom"/>
    </xf>
    <xf borderId="1" fillId="3" fontId="74" numFmtId="4" xfId="0" applyAlignment="1" applyBorder="1" applyFont="1" applyNumberFormat="1">
      <alignment horizontal="right" vertical="top"/>
    </xf>
    <xf borderId="1" fillId="0" fontId="12" numFmtId="0" xfId="0" applyBorder="1" applyFont="1"/>
    <xf borderId="1" fillId="0" fontId="44" numFmtId="0" xfId="0" applyAlignment="1" applyBorder="1" applyFont="1">
      <alignment readingOrder="0" vertical="top"/>
    </xf>
    <xf borderId="1" fillId="0" fontId="44" numFmtId="4" xfId="0" applyAlignment="1" applyBorder="1" applyFont="1" applyNumberFormat="1">
      <alignment horizontal="left" readingOrder="0" vertical="top"/>
    </xf>
    <xf borderId="1" fillId="0" fontId="81" numFmtId="0" xfId="0" applyAlignment="1" applyBorder="1" applyFont="1">
      <alignment horizontal="left" readingOrder="0"/>
    </xf>
    <xf borderId="1" fillId="0" fontId="44" numFmtId="4" xfId="0" applyAlignment="1" applyBorder="1" applyFont="1" applyNumberFormat="1">
      <alignment horizontal="right" readingOrder="0" vertical="top"/>
    </xf>
    <xf borderId="1" fillId="0" fontId="81" numFmtId="4" xfId="0" applyBorder="1" applyFont="1" applyNumberFormat="1"/>
    <xf borderId="1" fillId="0" fontId="44" numFmtId="0" xfId="0" applyAlignment="1" applyBorder="1" applyFont="1">
      <alignment horizontal="left" readingOrder="0" vertical="top"/>
    </xf>
    <xf borderId="1" fillId="0" fontId="81" numFmtId="4" xfId="0" applyAlignment="1" applyBorder="1" applyFont="1" applyNumberFormat="1">
      <alignment readingOrder="0"/>
    </xf>
    <xf borderId="1" fillId="0" fontId="44" numFmtId="4" xfId="0" applyAlignment="1" applyBorder="1" applyFont="1" applyNumberFormat="1">
      <alignment horizontal="right" readingOrder="0" shrinkToFit="0" vertical="bottom" wrapText="0"/>
    </xf>
    <xf borderId="1" fillId="0" fontId="81" numFmtId="4" xfId="0" applyAlignment="1" applyBorder="1" applyFont="1" applyNumberFormat="1">
      <alignment horizontal="right" readingOrder="0"/>
    </xf>
    <xf borderId="1" fillId="0" fontId="44" numFmtId="0" xfId="0" applyAlignment="1" applyBorder="1" applyFont="1">
      <alignment horizontal="left" readingOrder="0" shrinkToFit="0" vertical="bottom" wrapText="0"/>
    </xf>
    <xf borderId="1" fillId="3" fontId="44" numFmtId="0" xfId="0" applyAlignment="1" applyBorder="1" applyFont="1">
      <alignment vertical="top"/>
    </xf>
    <xf borderId="1" fillId="3" fontId="74" numFmtId="0" xfId="0" applyAlignment="1" applyBorder="1" applyFont="1">
      <alignment vertical="top"/>
    </xf>
    <xf borderId="1" fillId="3" fontId="74" numFmtId="4" xfId="0" applyAlignment="1" applyBorder="1" applyFont="1" applyNumberFormat="1">
      <alignment horizontal="right" readingOrder="0" vertical="top"/>
    </xf>
    <xf borderId="1" fillId="0" fontId="81" numFmtId="4" xfId="0" applyAlignment="1" applyBorder="1" applyFont="1" applyNumberFormat="1">
      <alignment horizontal="right" readingOrder="0" shrinkToFit="0" vertical="bottom" wrapText="0"/>
    </xf>
    <xf borderId="1" fillId="0" fontId="44" numFmtId="0" xfId="0" applyAlignment="1" applyBorder="1" applyFont="1">
      <alignment readingOrder="0" vertical="bottom"/>
    </xf>
    <xf borderId="1" fillId="0" fontId="81" numFmtId="0" xfId="0" applyAlignment="1" applyBorder="1" applyFont="1">
      <alignment readingOrder="0" vertical="bottom"/>
    </xf>
    <xf borderId="1" fillId="0" fontId="81" numFmtId="0" xfId="0" applyAlignment="1" applyBorder="1" applyFont="1">
      <alignment readingOrder="0" vertical="top"/>
    </xf>
    <xf borderId="1" fillId="0" fontId="92" numFmtId="0" xfId="0" applyAlignment="1" applyBorder="1" applyFont="1">
      <alignment readingOrder="0" vertical="top"/>
    </xf>
    <xf borderId="1" fillId="0" fontId="93" numFmtId="0" xfId="0" applyBorder="1" applyFont="1"/>
    <xf borderId="1" fillId="0" fontId="56" numFmtId="0" xfId="0" applyBorder="1" applyFont="1"/>
    <xf borderId="1" fillId="0" fontId="93" numFmtId="0" xfId="0" applyAlignment="1" applyBorder="1" applyFont="1">
      <alignment horizontal="left"/>
    </xf>
    <xf borderId="1" fillId="0" fontId="93" numFmtId="4" xfId="0" applyAlignment="1" applyBorder="1" applyFont="1" applyNumberFormat="1">
      <alignment horizontal="right"/>
    </xf>
    <xf borderId="1" fillId="0" fontId="37" numFmtId="165" xfId="0" applyAlignment="1" applyBorder="1" applyFont="1" applyNumberFormat="1">
      <alignment readingOrder="0" shrinkToFit="0" vertical="bottom" wrapText="0"/>
    </xf>
    <xf borderId="1" fillId="0" fontId="37" numFmtId="0" xfId="0" applyAlignment="1" applyBorder="1" applyFont="1">
      <alignment readingOrder="0"/>
    </xf>
    <xf borderId="1" fillId="0" fontId="37" numFmtId="0" xfId="0" applyAlignment="1" applyBorder="1" applyFont="1">
      <alignment readingOrder="0" vertical="top"/>
    </xf>
    <xf borderId="1" fillId="0" fontId="0" numFmtId="0" xfId="0" applyAlignment="1" applyBorder="1" applyFont="1">
      <alignment horizontal="left" readingOrder="0"/>
    </xf>
    <xf borderId="1" fillId="0" fontId="0" numFmtId="4" xfId="0" applyAlignment="1" applyBorder="1" applyFont="1" applyNumberFormat="1">
      <alignment horizontal="right" readingOrder="0"/>
    </xf>
    <xf borderId="1" fillId="0" fontId="37" numFmtId="4" xfId="0" applyAlignment="1" applyBorder="1" applyFont="1" applyNumberFormat="1">
      <alignment readingOrder="0"/>
    </xf>
    <xf borderId="1" fillId="0" fontId="37" numFmtId="0" xfId="0" applyAlignment="1" applyBorder="1" applyFont="1">
      <alignment horizontal="left" readingOrder="0" vertical="top"/>
    </xf>
    <xf borderId="1" fillId="0" fontId="37" numFmtId="4" xfId="0" applyBorder="1" applyFont="1" applyNumberFormat="1"/>
    <xf borderId="1" fillId="0" fontId="0" numFmtId="0" xfId="0" applyAlignment="1" applyBorder="1" applyFont="1">
      <alignment readingOrder="0" vertical="top"/>
    </xf>
    <xf borderId="1" fillId="11" fontId="37" numFmtId="4" xfId="0" applyAlignment="1" applyBorder="1" applyFill="1" applyFont="1" applyNumberFormat="1">
      <alignment readingOrder="0"/>
    </xf>
    <xf borderId="1" fillId="0" fontId="37" numFmtId="0" xfId="0" applyBorder="1" applyFont="1"/>
    <xf borderId="1" fillId="0" fontId="93" numFmtId="0" xfId="0" applyAlignment="1" applyBorder="1" applyFont="1">
      <alignment readingOrder="0"/>
    </xf>
    <xf borderId="1" fillId="0" fontId="0" numFmtId="0" xfId="0" applyAlignment="1" applyBorder="1" applyFont="1">
      <alignment horizontal="left"/>
    </xf>
    <xf borderId="1" fillId="0" fontId="0" numFmtId="4" xfId="0" applyAlignment="1" applyBorder="1" applyFont="1" applyNumberFormat="1">
      <alignment horizontal="right"/>
    </xf>
    <xf borderId="1" fillId="0" fontId="37" numFmtId="0" xfId="0" applyAlignment="1" applyBorder="1" applyFont="1">
      <alignment vertical="bottom"/>
    </xf>
    <xf borderId="1" fillId="0" fontId="0" numFmtId="0" xfId="0" applyAlignment="1" applyBorder="1" applyFont="1">
      <alignment vertical="bottom"/>
    </xf>
    <xf borderId="1" fillId="0" fontId="37" numFmtId="0" xfId="0" applyAlignment="1" applyBorder="1" applyFont="1">
      <alignment horizontal="left" readingOrder="0"/>
    </xf>
    <xf borderId="1" fillId="3" fontId="94" numFmtId="4" xfId="0" applyAlignment="1" applyBorder="1" applyFont="1" applyNumberFormat="1">
      <alignment horizontal="right" vertical="bottom"/>
    </xf>
    <xf borderId="1" fillId="0" fontId="0" numFmtId="4" xfId="0" applyAlignment="1" applyBorder="1" applyFont="1" applyNumberFormat="1">
      <alignment horizontal="right" vertical="top"/>
    </xf>
    <xf borderId="1" fillId="3" fontId="94" numFmtId="4" xfId="0" applyAlignment="1" applyBorder="1" applyFont="1" applyNumberFormat="1">
      <alignment horizontal="right" vertical="top"/>
    </xf>
    <xf borderId="1" fillId="10" fontId="37" numFmtId="0" xfId="0" applyAlignment="1" applyBorder="1" applyFont="1">
      <alignment vertical="bottom"/>
    </xf>
    <xf borderId="1" fillId="3" fontId="0" numFmtId="0" xfId="0" applyAlignment="1" applyBorder="1" applyFont="1">
      <alignment vertical="bottom"/>
    </xf>
    <xf borderId="1" fillId="3" fontId="0" numFmtId="4" xfId="0" applyAlignment="1" applyBorder="1" applyFont="1" applyNumberFormat="1">
      <alignment horizontal="right" vertical="bottom"/>
    </xf>
    <xf borderId="1" fillId="0" fontId="0" numFmtId="4" xfId="0" applyAlignment="1" applyBorder="1" applyFont="1" applyNumberFormat="1">
      <alignment vertical="bottom"/>
    </xf>
    <xf borderId="1" fillId="3" fontId="37" numFmtId="0" xfId="0" applyAlignment="1" applyBorder="1" applyFont="1">
      <alignment vertical="top"/>
    </xf>
    <xf borderId="1" fillId="3" fontId="94" numFmtId="0" xfId="0" applyAlignment="1" applyBorder="1" applyFont="1">
      <alignment vertical="top"/>
    </xf>
    <xf borderId="1" fillId="3" fontId="94" numFmtId="4" xfId="0" applyAlignment="1" applyBorder="1" applyFont="1" applyNumberFormat="1">
      <alignment vertical="top"/>
    </xf>
    <xf borderId="1" fillId="3" fontId="37" numFmtId="4" xfId="0" applyAlignment="1" applyBorder="1" applyFont="1" applyNumberFormat="1">
      <alignment readingOrder="0"/>
    </xf>
    <xf borderId="1" fillId="0" fontId="0" numFmtId="4" xfId="0" applyAlignment="1" applyBorder="1" applyFont="1" applyNumberFormat="1">
      <alignment horizontal="right" vertical="bottom"/>
    </xf>
    <xf borderId="1" fillId="0" fontId="38" numFmtId="4" xfId="0" applyAlignment="1" applyBorder="1" applyFont="1" applyNumberFormat="1">
      <alignment horizontal="right" vertical="bottom"/>
    </xf>
    <xf borderId="1" fillId="0" fontId="37" numFmtId="0" xfId="0" applyAlignment="1" applyBorder="1" applyFont="1">
      <alignment readingOrder="0" vertical="bottom"/>
    </xf>
    <xf borderId="1" fillId="0" fontId="0" numFmtId="0" xfId="0" applyAlignment="1" applyBorder="1" applyFont="1">
      <alignment readingOrder="0" vertical="bottom"/>
    </xf>
    <xf borderId="1" fillId="0" fontId="38" numFmtId="4" xfId="0" applyBorder="1" applyFont="1" applyNumberFormat="1"/>
    <xf borderId="1" fillId="0" fontId="81" numFmtId="4" xfId="0" applyAlignment="1" applyBorder="1" applyFont="1" applyNumberFormat="1">
      <alignment horizontal="right" vertical="top"/>
    </xf>
    <xf borderId="1" fillId="0" fontId="5" numFmtId="166" xfId="0" applyAlignment="1" applyBorder="1" applyFont="1" applyNumberFormat="1">
      <alignment horizontal="right" readingOrder="0"/>
    </xf>
    <xf borderId="1" fillId="0" fontId="5" numFmtId="166" xfId="0" applyAlignment="1" applyBorder="1" applyFont="1" applyNumberFormat="1">
      <alignment horizontal="right" vertical="bottom"/>
    </xf>
    <xf borderId="1" fillId="0" fontId="44" numFmtId="0" xfId="0" applyAlignment="1" applyBorder="1" applyFont="1">
      <alignment readingOrder="0" shrinkToFit="0" vertical="bottom" wrapText="0"/>
    </xf>
    <xf borderId="1" fillId="0" fontId="44" numFmtId="0" xfId="0" applyAlignment="1" applyBorder="1" applyFont="1">
      <alignment horizontal="left" readingOrder="0" shrinkToFit="0" vertical="bottom" wrapText="0"/>
    </xf>
    <xf borderId="1" fillId="3" fontId="95" numFmtId="4" xfId="0" applyAlignment="1" applyBorder="1" applyFont="1" applyNumberFormat="1">
      <alignment horizontal="right" readingOrder="0" shrinkToFit="0" vertical="bottom" wrapText="0"/>
    </xf>
    <xf borderId="1" fillId="0" fontId="44" numFmtId="4" xfId="0" applyAlignment="1" applyBorder="1" applyFont="1" applyNumberFormat="1">
      <alignment horizontal="right" readingOrder="0" shrinkToFit="0" vertical="top" wrapText="0"/>
    </xf>
    <xf borderId="1" fillId="3" fontId="74" numFmtId="4" xfId="0" applyAlignment="1" applyBorder="1" applyFont="1" applyNumberFormat="1">
      <alignment horizontal="right" readingOrder="0" shrinkToFit="0" vertical="top" wrapText="0"/>
    </xf>
    <xf borderId="1" fillId="3" fontId="44" numFmtId="0" xfId="0" applyAlignment="1" applyBorder="1" applyFont="1">
      <alignment readingOrder="0" shrinkToFit="0" vertical="top" wrapText="0"/>
    </xf>
    <xf borderId="1" fillId="3" fontId="44" numFmtId="4" xfId="0" applyAlignment="1" applyBorder="1" applyFont="1" applyNumberFormat="1">
      <alignment horizontal="right" readingOrder="0" shrinkToFit="0" vertical="bottom" wrapText="0"/>
    </xf>
    <xf borderId="1" fillId="3" fontId="44" numFmtId="0" xfId="0" applyAlignment="1" applyBorder="1" applyFont="1">
      <alignment readingOrder="0" shrinkToFit="0" vertical="bottom" wrapText="0"/>
    </xf>
    <xf borderId="1" fillId="3" fontId="74" numFmtId="0" xfId="0" applyAlignment="1" applyBorder="1" applyFont="1">
      <alignment readingOrder="0" shrinkToFit="0" vertical="top" wrapText="0"/>
    </xf>
    <xf borderId="1" fillId="3" fontId="95" numFmtId="4" xfId="0" applyAlignment="1" applyBorder="1" applyFont="1" applyNumberFormat="1">
      <alignment horizontal="left" readingOrder="0" shrinkToFit="0" vertical="bottom" wrapText="0"/>
    </xf>
    <xf borderId="1" fillId="0" fontId="37" numFmtId="0" xfId="0" applyAlignment="1" applyBorder="1" applyFont="1">
      <alignment readingOrder="0" shrinkToFit="0" vertical="bottom" wrapText="0"/>
    </xf>
    <xf borderId="1" fillId="0" fontId="37" numFmtId="0" xfId="0" applyAlignment="1" applyBorder="1" applyFont="1">
      <alignment horizontal="left" readingOrder="0" shrinkToFit="0" vertical="bottom" wrapText="0"/>
    </xf>
    <xf borderId="1" fillId="3" fontId="94" numFmtId="4" xfId="0" applyAlignment="1" applyBorder="1" applyFont="1" applyNumberFormat="1">
      <alignment horizontal="right" readingOrder="0" shrinkToFit="0" vertical="bottom" wrapText="0"/>
    </xf>
    <xf borderId="1" fillId="0" fontId="44" numFmtId="4" xfId="0" applyAlignment="1" applyBorder="1" applyFont="1" applyNumberFormat="1">
      <alignment readingOrder="0" shrinkToFit="0" vertical="bottom" wrapText="0"/>
    </xf>
    <xf borderId="1" fillId="0" fontId="37" numFmtId="4" xfId="0" applyAlignment="1" applyBorder="1" applyFont="1" applyNumberFormat="1">
      <alignment readingOrder="0" shrinkToFit="0" vertical="bottom" wrapText="0"/>
    </xf>
    <xf borderId="1" fillId="0" fontId="37" numFmtId="4" xfId="0" applyAlignment="1" applyBorder="1" applyFont="1" applyNumberFormat="1">
      <alignment horizontal="right" readingOrder="0" shrinkToFit="0" vertical="top" wrapText="0"/>
    </xf>
    <xf borderId="1" fillId="3" fontId="94" numFmtId="4" xfId="0" applyAlignment="1" applyBorder="1" applyFont="1" applyNumberFormat="1">
      <alignment horizontal="right" readingOrder="0" shrinkToFit="0" vertical="top" wrapText="0"/>
    </xf>
    <xf borderId="1" fillId="3" fontId="37" numFmtId="4" xfId="0" applyAlignment="1" applyBorder="1" applyFont="1" applyNumberFormat="1">
      <alignment horizontal="right" readingOrder="0" shrinkToFit="0" vertical="bottom" wrapText="0"/>
    </xf>
    <xf borderId="1" fillId="0" fontId="37" numFmtId="4" xfId="0" applyAlignment="1" applyBorder="1" applyFont="1" applyNumberFormat="1">
      <alignment horizontal="right" readingOrder="0" shrinkToFit="0" vertical="bottom" wrapText="0"/>
    </xf>
    <xf borderId="1" fillId="0" fontId="38" numFmtId="0" xfId="0" applyAlignment="1" applyBorder="1" applyFont="1">
      <alignment vertical="bottom"/>
    </xf>
    <xf borderId="1" fillId="0" fontId="81" numFmtId="0" xfId="0" applyAlignment="1" applyBorder="1" applyFont="1">
      <alignment vertical="bottom"/>
    </xf>
    <xf borderId="1" fillId="3" fontId="95" numFmtId="4" xfId="0" applyAlignment="1" applyBorder="1" applyFont="1" applyNumberFormat="1">
      <alignment horizontal="right" vertical="bottom"/>
    </xf>
    <xf borderId="1" fillId="0" fontId="44" numFmtId="0" xfId="0" applyAlignment="1" applyBorder="1" applyFont="1">
      <alignment vertical="bottom"/>
    </xf>
    <xf borderId="1" fillId="0" fontId="81" numFmtId="4" xfId="0" applyAlignment="1" applyBorder="1" applyFont="1" applyNumberFormat="1">
      <alignment vertical="bottom"/>
    </xf>
    <xf borderId="1" fillId="0" fontId="38" numFmtId="0" xfId="0" applyAlignment="1" applyBorder="1" applyFont="1">
      <alignment vertical="bottom"/>
    </xf>
    <xf borderId="1" fillId="0" fontId="0" numFmtId="0" xfId="0" applyBorder="1" applyFont="1"/>
    <xf borderId="1" fillId="0" fontId="44" numFmtId="0" xfId="0" applyAlignment="1" applyBorder="1" applyFont="1">
      <alignment vertical="top"/>
    </xf>
    <xf borderId="1" fillId="0" fontId="44" numFmtId="0" xfId="0" applyAlignment="1" applyBorder="1" applyFont="1">
      <alignment horizontal="left" vertical="top"/>
    </xf>
    <xf borderId="1" fillId="0" fontId="38" numFmtId="4" xfId="0" applyAlignment="1" applyBorder="1" applyFont="1" applyNumberFormat="1">
      <alignment horizontal="right" readingOrder="0" shrinkToFit="0" vertical="bottom" wrapText="0"/>
    </xf>
    <xf borderId="1" fillId="0" fontId="81" numFmtId="0" xfId="0" applyAlignment="1" applyBorder="1" applyFont="1">
      <alignment vertical="top"/>
    </xf>
    <xf borderId="1" fillId="3" fontId="81" numFmtId="0" xfId="0" applyAlignment="1" applyBorder="1" applyFont="1">
      <alignment vertical="bottom"/>
    </xf>
    <xf borderId="1" fillId="10" fontId="44" numFmtId="0" xfId="0" applyAlignment="1" applyBorder="1" applyFont="1">
      <alignment vertical="bottom"/>
    </xf>
    <xf borderId="1" fillId="0" fontId="92" numFmtId="0" xfId="0" applyBorder="1" applyFont="1"/>
    <xf borderId="1" fillId="0" fontId="96" numFmtId="0" xfId="0" applyBorder="1" applyFont="1"/>
    <xf borderId="1" fillId="0" fontId="96" numFmtId="0" xfId="0" applyAlignment="1" applyBorder="1" applyFont="1">
      <alignment horizontal="left"/>
    </xf>
    <xf borderId="1" fillId="0" fontId="96" numFmtId="4" xfId="0" applyAlignment="1" applyBorder="1" applyFont="1" applyNumberFormat="1">
      <alignment horizontal="right"/>
    </xf>
    <xf borderId="1" fillId="3" fontId="74" numFmtId="4" xfId="0" applyAlignment="1" applyBorder="1" applyFont="1" applyNumberFormat="1">
      <alignment horizontal="right" readingOrder="0"/>
    </xf>
    <xf borderId="1" fillId="0" fontId="96" numFmtId="0" xfId="0" applyAlignment="1" applyBorder="1" applyFont="1">
      <alignment readingOrder="0"/>
    </xf>
    <xf borderId="1" fillId="0" fontId="81" numFmtId="0" xfId="0" applyAlignment="1" applyBorder="1" applyFont="1">
      <alignment horizontal="left"/>
    </xf>
    <xf borderId="1" fillId="3" fontId="81" numFmtId="4" xfId="0" applyAlignment="1" applyBorder="1" applyFont="1" applyNumberFormat="1">
      <alignment vertical="bottom"/>
    </xf>
    <xf borderId="1" fillId="0" fontId="38" numFmtId="0" xfId="0" applyAlignment="1" applyBorder="1" applyFont="1">
      <alignment vertical="top"/>
    </xf>
    <xf borderId="1" fillId="3" fontId="5" numFmtId="0" xfId="0" applyAlignment="1" applyBorder="1" applyFont="1">
      <alignment vertical="bottom"/>
    </xf>
    <xf borderId="1" fillId="3" fontId="97" numFmtId="4" xfId="0" applyAlignment="1" applyBorder="1" applyFont="1" applyNumberFormat="1">
      <alignment horizontal="right" vertical="bottom"/>
    </xf>
    <xf borderId="1" fillId="3" fontId="5" numFmtId="4" xfId="0" applyAlignment="1" applyBorder="1" applyFont="1" applyNumberFormat="1">
      <alignment horizontal="right" vertical="bottom"/>
    </xf>
    <xf borderId="1" fillId="3" fontId="95" numFmtId="4" xfId="0" applyAlignment="1" applyBorder="1" applyFont="1" applyNumberFormat="1">
      <alignment readingOrder="0"/>
    </xf>
    <xf borderId="1" fillId="3" fontId="81" numFmtId="4" xfId="0" applyAlignment="1" applyBorder="1" applyFont="1" applyNumberFormat="1">
      <alignment readingOrder="0" vertical="bottom"/>
    </xf>
    <xf borderId="1" fillId="0" fontId="44" numFmtId="0" xfId="0" applyAlignment="1" applyBorder="1" applyFont="1">
      <alignment readingOrder="0" shrinkToFit="0" vertical="top" wrapText="0"/>
    </xf>
    <xf borderId="1" fillId="3" fontId="44" numFmtId="4" xfId="0" applyAlignment="1" applyBorder="1" applyFont="1" applyNumberFormat="1">
      <alignment readingOrder="0" shrinkToFit="0" vertical="bottom" wrapText="0"/>
    </xf>
    <xf borderId="1" fillId="12" fontId="5" numFmtId="4" xfId="0" applyAlignment="1" applyBorder="1" applyFill="1" applyFont="1" applyNumberFormat="1">
      <alignment readingOrder="0"/>
    </xf>
    <xf borderId="1" fillId="3" fontId="38" numFmtId="4" xfId="0" applyAlignment="1" applyBorder="1" applyFont="1" applyNumberFormat="1">
      <alignment readingOrder="0"/>
    </xf>
    <xf borderId="1" fillId="3" fontId="5" numFmtId="4" xfId="0" applyBorder="1" applyFont="1" applyNumberFormat="1"/>
    <xf borderId="1" fillId="3" fontId="5" numFmtId="0" xfId="0" applyAlignment="1" applyBorder="1" applyFont="1">
      <alignment readingOrder="0"/>
    </xf>
    <xf borderId="1" fillId="3" fontId="5" numFmtId="4" xfId="0" applyAlignment="1" applyBorder="1" applyFont="1" applyNumberFormat="1">
      <alignment readingOrder="0"/>
    </xf>
    <xf borderId="1" fillId="13" fontId="0" numFmtId="166" xfId="0" applyAlignment="1" applyBorder="1" applyFill="1" applyFont="1" applyNumberFormat="1">
      <alignment readingOrder="0"/>
    </xf>
    <xf borderId="1" fillId="13" fontId="44" numFmtId="0" xfId="0" applyAlignment="1" applyBorder="1" applyFont="1">
      <alignment readingOrder="0" vertical="top"/>
    </xf>
    <xf borderId="1" fillId="13" fontId="44" numFmtId="0" xfId="0" applyAlignment="1" applyBorder="1" applyFont="1">
      <alignment horizontal="left" readingOrder="0" vertical="top"/>
    </xf>
    <xf borderId="1" fillId="13" fontId="5" numFmtId="0" xfId="0" applyAlignment="1" applyBorder="1" applyFont="1">
      <alignment horizontal="left" readingOrder="0"/>
    </xf>
    <xf borderId="1" fillId="13" fontId="44" numFmtId="4" xfId="0" applyAlignment="1" applyBorder="1" applyFont="1" applyNumberFormat="1">
      <alignment horizontal="right" readingOrder="0" vertical="top"/>
    </xf>
    <xf borderId="1" fillId="13" fontId="5" numFmtId="4" xfId="0" applyAlignment="1" applyBorder="1" applyFont="1" applyNumberFormat="1">
      <alignment readingOrder="0"/>
    </xf>
    <xf borderId="1" fillId="13" fontId="5" numFmtId="0" xfId="0" applyAlignment="1" applyBorder="1" applyFont="1">
      <alignment readingOrder="0"/>
    </xf>
    <xf borderId="1" fillId="13" fontId="5" numFmtId="0" xfId="0" applyBorder="1" applyFont="1"/>
    <xf borderId="1" fillId="0" fontId="92" numFmtId="0" xfId="0" applyAlignment="1" applyBorder="1" applyFont="1">
      <alignment vertical="top"/>
    </xf>
    <xf borderId="1" fillId="0" fontId="92" numFmtId="0" xfId="0" applyAlignment="1" applyBorder="1" applyFont="1">
      <alignment horizontal="left" vertical="top"/>
    </xf>
    <xf borderId="1" fillId="0" fontId="92" numFmtId="4" xfId="0" applyAlignment="1" applyBorder="1" applyFont="1" applyNumberFormat="1">
      <alignment horizontal="right" vertical="top"/>
    </xf>
    <xf borderId="4" fillId="0" fontId="36" numFmtId="4" xfId="0" applyAlignment="1" applyBorder="1" applyFont="1" applyNumberFormat="1">
      <alignment horizontal="right" readingOrder="0" vertical="top"/>
    </xf>
    <xf borderId="1" fillId="0" fontId="98" numFmtId="166" xfId="0" applyAlignment="1" applyBorder="1" applyFont="1" applyNumberFormat="1">
      <alignment readingOrder="0"/>
    </xf>
    <xf borderId="1" fillId="0" fontId="30" numFmtId="0" xfId="0" applyAlignment="1" applyBorder="1" applyFont="1">
      <alignment readingOrder="0" shrinkToFit="0" vertical="top" wrapText="0"/>
    </xf>
    <xf borderId="2" fillId="0" fontId="30" numFmtId="0" xfId="0" applyAlignment="1" applyBorder="1" applyFont="1">
      <alignment readingOrder="0" shrinkToFit="0" vertical="top" wrapText="0"/>
    </xf>
    <xf borderId="2" fillId="0" fontId="30" numFmtId="0" xfId="0" applyAlignment="1" applyBorder="1" applyFont="1">
      <alignment readingOrder="0" shrinkToFit="0" vertical="bottom" wrapText="0"/>
    </xf>
    <xf borderId="2" fillId="3" fontId="30" numFmtId="0" xfId="0" applyAlignment="1" applyBorder="1" applyFont="1">
      <alignment readingOrder="0" shrinkToFit="0" vertical="bottom" wrapText="0"/>
    </xf>
    <xf borderId="2" fillId="0" fontId="30" numFmtId="4" xfId="0" applyAlignment="1" applyBorder="1" applyFont="1" applyNumberFormat="1">
      <alignment horizontal="right" readingOrder="0" shrinkToFit="0" vertical="top" wrapText="0"/>
    </xf>
    <xf borderId="4" fillId="0" fontId="30" numFmtId="0" xfId="0" applyAlignment="1" applyBorder="1" applyFont="1">
      <alignment readingOrder="0" shrinkToFit="0" vertical="top" wrapText="0"/>
    </xf>
    <xf borderId="1" fillId="0" fontId="30" numFmtId="0" xfId="0" applyAlignment="1" applyBorder="1" applyFont="1">
      <alignment readingOrder="0" vertical="top"/>
    </xf>
    <xf borderId="1" fillId="0" fontId="78" numFmtId="0" xfId="0" applyAlignment="1" applyBorder="1" applyFont="1">
      <alignment horizontal="left" readingOrder="0"/>
    </xf>
    <xf borderId="1" fillId="0" fontId="30" numFmtId="4" xfId="0" applyAlignment="1" applyBorder="1" applyFont="1" applyNumberFormat="1">
      <alignment horizontal="right" readingOrder="0" vertical="top"/>
    </xf>
    <xf borderId="4" fillId="0" fontId="92" numFmtId="0" xfId="0" applyAlignment="1" applyBorder="1" applyFont="1">
      <alignment vertical="top"/>
    </xf>
    <xf borderId="1" fillId="0" fontId="36" numFmtId="4" xfId="0" applyAlignment="1" applyBorder="1" applyFont="1" applyNumberFormat="1">
      <alignment horizontal="center" readingOrder="0" vertical="top"/>
    </xf>
    <xf borderId="3" fillId="0" fontId="36" numFmtId="4" xfId="0" applyAlignment="1" applyBorder="1" applyFont="1" applyNumberFormat="1">
      <alignment horizontal="center" readingOrder="0" vertical="top"/>
    </xf>
    <xf borderId="4" fillId="0" fontId="36" numFmtId="4" xfId="0" applyAlignment="1" applyBorder="1" applyFont="1" applyNumberFormat="1">
      <alignment horizontal="center" readingOrder="0" vertical="top"/>
    </xf>
    <xf borderId="1" fillId="0" fontId="36" numFmtId="0" xfId="0" applyAlignment="1" applyBorder="1" applyFont="1">
      <alignment readingOrder="0" vertical="top"/>
    </xf>
    <xf borderId="1" fillId="0" fontId="34" numFmtId="0" xfId="0" applyAlignment="1" applyBorder="1" applyFont="1">
      <alignment horizontal="left" readingOrder="0"/>
    </xf>
    <xf borderId="1" fillId="0" fontId="34" numFmtId="4" xfId="0" applyBorder="1" applyFont="1" applyNumberFormat="1"/>
    <xf borderId="1" fillId="0" fontId="24" numFmtId="0" xfId="0" applyAlignment="1" applyBorder="1" applyFont="1">
      <alignment readingOrder="0" vertical="top"/>
    </xf>
    <xf borderId="1" fillId="0" fontId="30" numFmtId="4" xfId="0" applyAlignment="1" applyBorder="1" applyFont="1" applyNumberFormat="1">
      <alignment horizontal="center" readingOrder="0" vertical="top"/>
    </xf>
    <xf borderId="1" fillId="0" fontId="36" numFmtId="4" xfId="0" applyAlignment="1" applyBorder="1" applyFont="1" applyNumberFormat="1">
      <alignment horizontal="center" readingOrder="0" vertical="top"/>
    </xf>
    <xf borderId="1" fillId="0" fontId="24" numFmtId="0" xfId="0" applyAlignment="1" applyBorder="1" applyFont="1">
      <alignment horizontal="left" readingOrder="0" vertical="top"/>
    </xf>
    <xf borderId="1" fillId="0" fontId="24" numFmtId="4" xfId="0" applyAlignment="1" applyBorder="1" applyFont="1" applyNumberFormat="1">
      <alignment horizontal="center" readingOrder="0" vertical="top"/>
    </xf>
    <xf borderId="1" fillId="0" fontId="26" numFmtId="4" xfId="0" applyAlignment="1" applyBorder="1" applyFont="1" applyNumberFormat="1">
      <alignment horizontal="center" readingOrder="0"/>
    </xf>
    <xf borderId="1" fillId="0" fontId="24" numFmtId="4" xfId="0" applyAlignment="1" applyBorder="1" applyFont="1" applyNumberFormat="1">
      <alignment horizontal="center" readingOrder="0" vertical="top"/>
    </xf>
    <xf borderId="3" fillId="0" fontId="24" numFmtId="4" xfId="0" applyAlignment="1" applyBorder="1" applyFont="1" applyNumberFormat="1">
      <alignment horizontal="center" readingOrder="0" vertical="top"/>
    </xf>
    <xf borderId="4" fillId="0" fontId="24" numFmtId="0" xfId="0" applyAlignment="1" applyBorder="1" applyFont="1">
      <alignment readingOrder="0" vertical="top"/>
    </xf>
    <xf borderId="3" fillId="0" fontId="24" numFmtId="0" xfId="0" applyAlignment="1" applyBorder="1" applyFont="1">
      <alignment readingOrder="0" vertical="top"/>
    </xf>
    <xf borderId="4" fillId="0" fontId="24" numFmtId="4" xfId="0" applyAlignment="1" applyBorder="1" applyFont="1" applyNumberFormat="1">
      <alignment horizontal="center" readingOrder="0" vertical="top"/>
    </xf>
    <xf borderId="1" fillId="0" fontId="5" numFmtId="0" xfId="0" applyAlignment="1" applyBorder="1" applyFont="1">
      <alignment readingOrder="0" shrinkToFit="0" vertical="bottom" wrapText="0"/>
    </xf>
    <xf borderId="1" fillId="0" fontId="18" numFmtId="4" xfId="0" applyAlignment="1" applyBorder="1" applyFont="1" applyNumberFormat="1">
      <alignment horizontal="center" readingOrder="0" shrinkToFit="0" vertical="bottom" wrapText="0"/>
    </xf>
    <xf borderId="1" fillId="0" fontId="99" numFmtId="0" xfId="0" applyBorder="1" applyFont="1"/>
    <xf borderId="1" fillId="0" fontId="78" numFmtId="0" xfId="0" applyAlignment="1" applyBorder="1" applyFont="1">
      <alignment readingOrder="0"/>
    </xf>
    <xf borderId="1" fillId="0" fontId="81" numFmtId="0" xfId="0" applyAlignment="1" applyBorder="1" applyFont="1">
      <alignment readingOrder="0"/>
    </xf>
    <xf borderId="1" fillId="0" fontId="78" numFmtId="0" xfId="0" applyBorder="1" applyFont="1"/>
    <xf borderId="1" fillId="0" fontId="0" numFmtId="0" xfId="0" applyAlignment="1" applyBorder="1" applyFont="1">
      <alignment horizontal="left" readingOrder="0" vertical="bottom"/>
    </xf>
    <xf borderId="1" fillId="3" fontId="32" numFmtId="4" xfId="0" applyAlignment="1" applyBorder="1" applyFont="1" applyNumberFormat="1">
      <alignment readingOrder="0" shrinkToFit="0" vertical="bottom" wrapText="0"/>
    </xf>
    <xf borderId="1" fillId="3" fontId="7" numFmtId="0" xfId="0" applyAlignment="1" applyBorder="1" applyFont="1">
      <alignment readingOrder="0"/>
    </xf>
    <xf borderId="1" fillId="10" fontId="50" numFmtId="0" xfId="0" applyAlignment="1" applyBorder="1" applyFont="1">
      <alignment horizontal="left" readingOrder="0"/>
    </xf>
    <xf borderId="1" fillId="0" fontId="45" numFmtId="0" xfId="0" applyAlignment="1" applyBorder="1" applyFont="1">
      <alignment vertical="bottom"/>
    </xf>
    <xf borderId="1" fillId="3" fontId="32" numFmtId="4" xfId="0" applyAlignment="1" applyBorder="1" applyFont="1" applyNumberFormat="1">
      <alignment horizontal="left" readingOrder="0" shrinkToFit="0" vertical="bottom" wrapText="0"/>
    </xf>
    <xf borderId="1" fillId="10" fontId="50" numFmtId="4" xfId="0" applyAlignment="1" applyBorder="1" applyFont="1" applyNumberFormat="1">
      <alignment horizontal="left" readingOrder="0"/>
    </xf>
    <xf borderId="1" fillId="0" fontId="38" numFmtId="0" xfId="0" applyAlignment="1" applyBorder="1" applyFont="1">
      <alignment horizontal="right" readingOrder="0" shrinkToFit="0" vertical="bottom" wrapText="0"/>
    </xf>
    <xf borderId="1" fillId="0" fontId="15" numFmtId="4" xfId="0" applyAlignment="1" applyBorder="1" applyFont="1" applyNumberFormat="1">
      <alignment horizontal="right" readingOrder="0" shrinkToFit="0" vertical="bottom" wrapText="0"/>
    </xf>
    <xf borderId="1" fillId="0" fontId="31" numFmtId="4" xfId="0" applyAlignment="1" applyBorder="1" applyFont="1" applyNumberFormat="1">
      <alignment readingOrder="0" shrinkToFit="0" vertical="bottom" wrapText="0"/>
    </xf>
    <xf borderId="1" fillId="3" fontId="31" numFmtId="0" xfId="0" applyAlignment="1" applyBorder="1" applyFont="1">
      <alignment readingOrder="0" shrinkToFit="0" vertical="bottom" wrapText="0"/>
    </xf>
    <xf borderId="1" fillId="3" fontId="31" numFmtId="4" xfId="0" applyAlignment="1" applyBorder="1" applyFont="1" applyNumberFormat="1">
      <alignment horizontal="right" readingOrder="0" shrinkToFit="0" vertical="bottom" wrapText="0"/>
    </xf>
    <xf borderId="1" fillId="0" fontId="31" numFmtId="4" xfId="0" applyAlignment="1" applyBorder="1" applyFont="1" applyNumberFormat="1">
      <alignment horizontal="right" readingOrder="0" shrinkToFit="0" vertical="bottom" wrapText="0"/>
    </xf>
    <xf borderId="1" fillId="0" fontId="5" numFmtId="165" xfId="0" applyAlignment="1" applyBorder="1" applyFont="1" applyNumberFormat="1">
      <alignment horizontal="right" readingOrder="0"/>
    </xf>
    <xf borderId="1" fillId="0" fontId="45" numFmtId="4" xfId="0" applyAlignment="1" applyBorder="1" applyFont="1" applyNumberFormat="1">
      <alignment vertical="bottom"/>
    </xf>
    <xf borderId="1" fillId="0" fontId="45" numFmtId="4" xfId="0" applyAlignment="1" applyBorder="1" applyFont="1" applyNumberFormat="1">
      <alignment horizontal="right" vertical="bottom"/>
    </xf>
    <xf borderId="1" fillId="0" fontId="59" numFmtId="4" xfId="0" applyAlignment="1" applyBorder="1" applyFont="1" applyNumberFormat="1">
      <alignment horizontal="right" readingOrder="0" shrinkToFit="0" vertical="bottom" wrapText="0"/>
    </xf>
    <xf borderId="1" fillId="3" fontId="31" numFmtId="4" xfId="0" applyAlignment="1" applyBorder="1" applyFont="1" applyNumberFormat="1">
      <alignment readingOrder="0" shrinkToFit="0" vertical="bottom" wrapText="0"/>
    </xf>
    <xf borderId="1" fillId="0" fontId="24" numFmtId="4" xfId="0" applyAlignment="1" applyBorder="1" applyFont="1" applyNumberFormat="1">
      <alignment readingOrder="0" shrinkToFit="0" vertical="bottom" wrapText="0"/>
    </xf>
    <xf borderId="1" fillId="0" fontId="24" numFmtId="4" xfId="0" applyAlignment="1" applyBorder="1" applyFont="1" applyNumberFormat="1">
      <alignment horizontal="right" readingOrder="0" shrinkToFit="0" vertical="bottom" wrapText="0"/>
    </xf>
    <xf borderId="1" fillId="0" fontId="100" numFmtId="0" xfId="0" applyAlignment="1" applyBorder="1" applyFont="1">
      <alignment readingOrder="0" shrinkToFit="0" vertical="bottom" wrapText="0"/>
    </xf>
    <xf borderId="1" fillId="0" fontId="59" numFmtId="4" xfId="0" applyAlignment="1" applyBorder="1" applyFont="1" applyNumberFormat="1">
      <alignment horizontal="right" readingOrder="0" shrinkToFit="0" vertical="bottom" wrapText="0"/>
    </xf>
    <xf borderId="1" fillId="14" fontId="5" numFmtId="167" xfId="0" applyAlignment="1" applyBorder="1" applyFill="1" applyFont="1" applyNumberFormat="1">
      <alignment readingOrder="0"/>
    </xf>
    <xf borderId="1" fillId="14" fontId="5" numFmtId="0" xfId="0" applyAlignment="1" applyBorder="1" applyFont="1">
      <alignment readingOrder="0"/>
    </xf>
    <xf borderId="1" fillId="14" fontId="78" numFmtId="0" xfId="0" applyAlignment="1" applyBorder="1" applyFont="1">
      <alignment readingOrder="0"/>
    </xf>
    <xf borderId="1" fillId="14" fontId="5" numFmtId="4" xfId="0" applyBorder="1" applyFont="1" applyNumberFormat="1"/>
    <xf borderId="1" fillId="14" fontId="5" numFmtId="4" xfId="0" applyAlignment="1" applyBorder="1" applyFont="1" applyNumberFormat="1">
      <alignment readingOrder="0"/>
    </xf>
    <xf borderId="1" fillId="14" fontId="5" numFmtId="0" xfId="0" applyBorder="1" applyFont="1"/>
    <xf borderId="1" fillId="0" fontId="15" numFmtId="0" xfId="0" applyAlignment="1" applyBorder="1" applyFont="1">
      <alignment vertical="bottom"/>
    </xf>
    <xf borderId="1" fillId="0" fontId="32" numFmtId="4" xfId="0" applyAlignment="1" applyBorder="1" applyFont="1" applyNumberFormat="1">
      <alignment horizontal="left" readingOrder="0" shrinkToFit="0" vertical="bottom" wrapText="0"/>
    </xf>
    <xf borderId="1" fillId="3" fontId="22" numFmtId="4" xfId="0" applyAlignment="1" applyBorder="1" applyFont="1" applyNumberFormat="1">
      <alignment horizontal="right" vertical="bottom"/>
    </xf>
    <xf borderId="1" fillId="3" fontId="63" numFmtId="0" xfId="0" applyAlignment="1" applyBorder="1" applyFont="1">
      <alignment vertical="bottom"/>
    </xf>
    <xf borderId="1" fillId="0" fontId="36" numFmtId="4" xfId="0" applyAlignment="1" applyBorder="1" applyFont="1" applyNumberFormat="1">
      <alignment horizontal="left" readingOrder="0" vertical="top"/>
    </xf>
    <xf borderId="1" fillId="15" fontId="36" numFmtId="0" xfId="0" applyAlignment="1" applyBorder="1" applyFill="1" applyFont="1">
      <alignment horizontal="left" readingOrder="0" vertical="top"/>
    </xf>
    <xf borderId="1" fillId="3" fontId="15" numFmtId="0" xfId="0" applyAlignment="1" applyBorder="1" applyFont="1">
      <alignment readingOrder="0" vertical="bottom"/>
    </xf>
    <xf borderId="1" fillId="3" fontId="101" numFmtId="0" xfId="0" applyAlignment="1" applyBorder="1" applyFont="1">
      <alignment vertical="bottom"/>
    </xf>
    <xf borderId="1" fillId="0" fontId="38" numFmtId="4" xfId="0" applyAlignment="1" applyBorder="1" applyFont="1" applyNumberFormat="1">
      <alignment readingOrder="0" shrinkToFit="0" vertical="bottom" wrapText="0"/>
    </xf>
    <xf borderId="11" fillId="0" fontId="5" numFmtId="0" xfId="0" applyAlignment="1" applyBorder="1" applyFont="1">
      <alignment readingOrder="0"/>
    </xf>
    <xf borderId="2" fillId="0" fontId="75" numFmtId="0" xfId="0" applyBorder="1" applyFont="1"/>
    <xf borderId="1" fillId="16" fontId="5" numFmtId="0" xfId="0" applyBorder="1" applyFill="1" applyFont="1"/>
    <xf borderId="1" fillId="16" fontId="78" numFmtId="0" xfId="0" applyBorder="1" applyFont="1"/>
    <xf borderId="1" fillId="16" fontId="5" numFmtId="4" xfId="0" applyBorder="1" applyFont="1" applyNumberFormat="1"/>
    <xf borderId="1" fillId="0" fontId="78" numFmtId="4" xfId="0" applyAlignment="1" applyBorder="1" applyFont="1" applyNumberFormat="1">
      <alignment readingOrder="0"/>
    </xf>
    <xf borderId="1" fillId="0" fontId="78" numFmtId="4" xfId="0" applyBorder="1" applyFont="1" applyNumberFormat="1"/>
    <xf borderId="1" fillId="0" fontId="5" numFmtId="0" xfId="0" applyBorder="1" applyFont="1"/>
    <xf borderId="1" fillId="3" fontId="101" numFmtId="0" xfId="0" applyAlignment="1" applyBorder="1" applyFont="1">
      <alignment readingOrder="0" vertical="bottom"/>
    </xf>
    <xf borderId="1" fillId="3" fontId="32" numFmtId="0" xfId="0" applyAlignment="1" applyBorder="1" applyFont="1">
      <alignment horizontal="left" readingOrder="0" shrinkToFit="0" vertical="bottom" wrapText="0"/>
    </xf>
    <xf borderId="2" fillId="0" fontId="38" numFmtId="4" xfId="0" applyAlignment="1" applyBorder="1" applyFont="1" applyNumberFormat="1">
      <alignment readingOrder="0" shrinkToFit="0" vertical="bottom" wrapText="0"/>
    </xf>
    <xf borderId="3" fillId="10" fontId="32" numFmtId="0" xfId="0" applyAlignment="1" applyBorder="1" applyFont="1">
      <alignment readingOrder="0" shrinkToFit="0" vertical="bottom" wrapText="0"/>
    </xf>
    <xf borderId="4" fillId="10" fontId="32" numFmtId="0" xfId="0" applyAlignment="1" applyBorder="1" applyFont="1">
      <alignment readingOrder="0" shrinkToFit="0" vertical="bottom" wrapText="0"/>
    </xf>
    <xf borderId="0" fillId="10" fontId="50" numFmtId="0" xfId="0" applyAlignment="1" applyFont="1">
      <alignment horizontal="left" readingOrder="0"/>
    </xf>
    <xf borderId="2" fillId="3" fontId="38" numFmtId="0" xfId="0" applyAlignment="1" applyBorder="1" applyFont="1">
      <alignment readingOrder="0" vertical="bottom"/>
    </xf>
    <xf borderId="2" fillId="3" fontId="38" numFmtId="4" xfId="0" applyAlignment="1" applyBorder="1" applyFont="1" applyNumberFormat="1">
      <alignment readingOrder="0" vertical="bottom"/>
    </xf>
    <xf borderId="2" fillId="12" fontId="38" numFmtId="4" xfId="0" applyAlignment="1" applyBorder="1" applyFont="1" applyNumberFormat="1">
      <alignment readingOrder="0" vertical="bottom"/>
    </xf>
    <xf borderId="3" fillId="3" fontId="38" numFmtId="0" xfId="0" applyAlignment="1" applyBorder="1" applyFont="1">
      <alignment readingOrder="0" vertical="bottom"/>
    </xf>
    <xf borderId="4" fillId="3" fontId="38" numFmtId="0" xfId="0" applyAlignment="1" applyBorder="1" applyFont="1">
      <alignment readingOrder="0" vertical="bottom"/>
    </xf>
    <xf borderId="4" fillId="3" fontId="38" numFmtId="0" xfId="0" applyAlignment="1" applyBorder="1" applyFont="1">
      <alignment vertical="bottom"/>
    </xf>
    <xf borderId="4" fillId="3" fontId="38" numFmtId="4" xfId="0" applyAlignment="1" applyBorder="1" applyFont="1" applyNumberFormat="1">
      <alignment readingOrder="0" vertical="bottom"/>
    </xf>
    <xf borderId="4" fillId="12" fontId="38" numFmtId="4" xfId="0" applyAlignment="1" applyBorder="1" applyFont="1" applyNumberFormat="1">
      <alignment readingOrder="0" vertical="bottom"/>
    </xf>
    <xf borderId="1" fillId="12" fontId="5" numFmtId="0" xfId="0" applyBorder="1" applyFont="1"/>
    <xf borderId="1" fillId="12" fontId="5" numFmtId="167" xfId="0" applyAlignment="1" applyBorder="1" applyFont="1" applyNumberFormat="1">
      <alignment readingOrder="0"/>
    </xf>
    <xf borderId="1" fillId="12" fontId="78" numFmtId="0" xfId="0" applyBorder="1" applyFont="1"/>
    <xf borderId="1" fillId="12" fontId="5" numFmtId="4" xfId="0" applyBorder="1" applyFont="1" applyNumberFormat="1"/>
    <xf borderId="4" fillId="0" fontId="38" numFmtId="0" xfId="0" applyAlignment="1" applyBorder="1" applyFont="1">
      <alignment readingOrder="0" shrinkToFit="0" vertical="bottom" wrapText="1"/>
    </xf>
    <xf borderId="0" fillId="0" fontId="1" numFmtId="3" xfId="0" applyAlignment="1" applyFont="1" applyNumberFormat="1">
      <alignment readingOrder="0"/>
    </xf>
    <xf borderId="4" fillId="0" fontId="15" numFmtId="4" xfId="0" applyAlignment="1" applyBorder="1" applyFont="1" applyNumberFormat="1">
      <alignment vertical="bottom"/>
    </xf>
    <xf borderId="4" fillId="3" fontId="15" numFmtId="0" xfId="0" applyAlignment="1" applyBorder="1" applyFont="1">
      <alignment vertical="bottom"/>
    </xf>
    <xf borderId="4" fillId="3" fontId="15" numFmtId="4" xfId="0" applyAlignment="1" applyBorder="1" applyFont="1" applyNumberFormat="1">
      <alignment vertical="bottom"/>
    </xf>
    <xf borderId="4" fillId="3" fontId="15" numFmtId="4" xfId="0" applyAlignment="1" applyBorder="1" applyFont="1" applyNumberFormat="1">
      <alignment horizontal="right" vertical="bottom"/>
    </xf>
    <xf borderId="1" fillId="0" fontId="0" numFmtId="4" xfId="0" applyAlignment="1" applyBorder="1" applyFont="1" applyNumberFormat="1">
      <alignment readingOrder="0"/>
    </xf>
    <xf borderId="1" fillId="3" fontId="37" numFmtId="0" xfId="0" applyAlignment="1" applyBorder="1" applyFont="1">
      <alignment readingOrder="0" shrinkToFit="0" vertical="bottom" wrapText="0"/>
    </xf>
    <xf borderId="2" fillId="3" fontId="37" numFmtId="0" xfId="0" applyAlignment="1" applyBorder="1" applyFont="1">
      <alignment readingOrder="0" shrinkToFit="0" vertical="bottom" wrapText="0"/>
    </xf>
    <xf borderId="2" fillId="3" fontId="37" numFmtId="4" xfId="0" applyAlignment="1" applyBorder="1" applyFont="1" applyNumberFormat="1">
      <alignment horizontal="right" readingOrder="0" shrinkToFit="0" vertical="bottom" wrapText="0"/>
    </xf>
    <xf borderId="1" fillId="0" fontId="59" numFmtId="0" xfId="0" applyAlignment="1" applyBorder="1" applyFont="1">
      <alignment readingOrder="0" shrinkToFit="0" vertical="bottom" wrapText="0"/>
    </xf>
    <xf borderId="1" fillId="3" fontId="23" numFmtId="0" xfId="0" applyAlignment="1" applyBorder="1" applyFont="1">
      <alignment readingOrder="0" shrinkToFit="0" vertical="bottom" wrapText="0"/>
    </xf>
    <xf borderId="2" fillId="3" fontId="23" numFmtId="0" xfId="0" applyAlignment="1" applyBorder="1" applyFont="1">
      <alignment readingOrder="0" shrinkToFit="0" vertical="bottom" wrapText="0"/>
    </xf>
    <xf borderId="2" fillId="0" fontId="23" numFmtId="4" xfId="0" applyAlignment="1" applyBorder="1" applyFont="1" applyNumberFormat="1">
      <alignment readingOrder="0" shrinkToFit="0" vertical="bottom" wrapText="0"/>
    </xf>
    <xf borderId="2" fillId="3" fontId="23" numFmtId="4" xfId="0" applyAlignment="1" applyBorder="1" applyFont="1" applyNumberFormat="1">
      <alignment horizontal="right" readingOrder="0" shrinkToFit="0" vertical="bottom" wrapText="0"/>
    </xf>
    <xf borderId="3" fillId="3" fontId="23" numFmtId="0" xfId="0" applyAlignment="1" applyBorder="1" applyFont="1">
      <alignment readingOrder="0" shrinkToFit="0" vertical="bottom" wrapText="0"/>
    </xf>
    <xf borderId="4" fillId="0" fontId="23" numFmtId="4" xfId="0" applyAlignment="1" applyBorder="1" applyFont="1" applyNumberFormat="1">
      <alignment readingOrder="0" shrinkToFit="0" vertical="bottom" wrapText="0"/>
    </xf>
    <xf borderId="4" fillId="3" fontId="23" numFmtId="4" xfId="0" applyAlignment="1" applyBorder="1" applyFont="1" applyNumberFormat="1">
      <alignment readingOrder="0" shrinkToFit="0" vertical="bottom" wrapText="0"/>
    </xf>
    <xf borderId="1" fillId="12" fontId="7" numFmtId="0" xfId="0" applyBorder="1" applyFont="1"/>
    <xf borderId="4" fillId="12" fontId="32" numFmtId="4" xfId="0" applyAlignment="1" applyBorder="1" applyFont="1" applyNumberFormat="1">
      <alignment horizontal="right" readingOrder="0" shrinkToFit="0" vertical="bottom" wrapText="0"/>
    </xf>
    <xf borderId="4" fillId="0" fontId="38" numFmtId="0" xfId="0" applyAlignment="1" applyBorder="1" applyFont="1">
      <alignment horizontal="right" readingOrder="0" shrinkToFit="0" vertical="bottom" wrapText="0"/>
    </xf>
    <xf borderId="2" fillId="0" fontId="37" numFmtId="4" xfId="0" applyAlignment="1" applyBorder="1" applyFont="1" applyNumberFormat="1">
      <alignment readingOrder="0" shrinkToFit="0" vertical="bottom" wrapText="0"/>
    </xf>
    <xf borderId="0" fillId="0" fontId="32" numFmtId="4" xfId="0" applyAlignment="1" applyFont="1" applyNumberFormat="1">
      <alignment readingOrder="0" shrinkToFit="0" vertical="bottom" wrapText="0"/>
    </xf>
    <xf borderId="4" fillId="0" fontId="37" numFmtId="4" xfId="0" applyAlignment="1" applyBorder="1" applyFont="1" applyNumberFormat="1">
      <alignment readingOrder="0" shrinkToFit="0" vertical="bottom" wrapText="0"/>
    </xf>
    <xf borderId="3" fillId="3" fontId="37" numFmtId="0" xfId="0" applyAlignment="1" applyBorder="1" applyFont="1">
      <alignment readingOrder="0" shrinkToFit="0" vertical="bottom" wrapText="0"/>
    </xf>
    <xf borderId="4" fillId="3" fontId="37" numFmtId="0" xfId="0" applyAlignment="1" applyBorder="1" applyFont="1">
      <alignment readingOrder="0" shrinkToFit="0" vertical="bottom" wrapText="0"/>
    </xf>
    <xf borderId="4" fillId="3" fontId="37" numFmtId="4" xfId="0" applyAlignment="1" applyBorder="1" applyFont="1" applyNumberFormat="1">
      <alignment readingOrder="0" shrinkToFit="0" vertical="bottom" wrapText="0"/>
    </xf>
    <xf borderId="4" fillId="3" fontId="37" numFmtId="4" xfId="0" applyAlignment="1" applyBorder="1" applyFont="1" applyNumberFormat="1">
      <alignment horizontal="right" readingOrder="0" shrinkToFit="0" vertical="bottom" wrapText="0"/>
    </xf>
    <xf borderId="1" fillId="0" fontId="102" numFmtId="167" xfId="0" applyAlignment="1" applyBorder="1" applyFont="1" applyNumberFormat="1">
      <alignment readingOrder="0"/>
    </xf>
    <xf borderId="1" fillId="0" fontId="102" numFmtId="0" xfId="0" applyAlignment="1" applyBorder="1" applyFont="1">
      <alignment readingOrder="0"/>
    </xf>
    <xf borderId="1" fillId="0" fontId="103" numFmtId="0" xfId="0" applyAlignment="1" applyBorder="1" applyFont="1">
      <alignment readingOrder="0"/>
    </xf>
    <xf borderId="1" fillId="0" fontId="102" numFmtId="4" xfId="0" applyAlignment="1" applyBorder="1" applyFont="1" applyNumberFormat="1">
      <alignment readingOrder="0"/>
    </xf>
    <xf borderId="1" fillId="0" fontId="102" numFmtId="4" xfId="0" applyBorder="1" applyFont="1" applyNumberFormat="1"/>
    <xf borderId="1" fillId="0" fontId="102" numFmtId="0" xfId="0" applyBorder="1" applyFont="1"/>
    <xf borderId="4" fillId="0" fontId="59" numFmtId="0" xfId="0" applyAlignment="1" applyBorder="1" applyFont="1">
      <alignment readingOrder="0" shrinkToFit="0" vertical="bottom" wrapText="0"/>
    </xf>
    <xf borderId="4" fillId="0" fontId="31" numFmtId="4" xfId="0" applyAlignment="1" applyBorder="1" applyFont="1" applyNumberFormat="1">
      <alignment readingOrder="0" shrinkToFit="0" vertical="bottom" wrapText="0"/>
    </xf>
    <xf borderId="0" fillId="0" fontId="5" numFmtId="167" xfId="0" applyAlignment="1" applyFont="1" applyNumberFormat="1">
      <alignment readingOrder="0"/>
    </xf>
    <xf borderId="0" fillId="0" fontId="78" numFmtId="0" xfId="0" applyFont="1"/>
    <xf borderId="1" fillId="0" fontId="104" numFmtId="0" xfId="0" applyAlignment="1" applyBorder="1" applyFont="1">
      <alignment readingOrder="0"/>
    </xf>
    <xf borderId="1" fillId="0" fontId="104" numFmtId="4" xfId="0" applyAlignment="1" applyBorder="1" applyFont="1" applyNumberFormat="1">
      <alignment readingOrder="0"/>
    </xf>
    <xf borderId="0" fillId="0" fontId="105" numFmtId="0" xfId="0" applyFont="1"/>
    <xf borderId="1" fillId="0" fontId="105" numFmtId="4" xfId="0" applyAlignment="1" applyBorder="1" applyFont="1" applyNumberFormat="1">
      <alignment readingOrder="0"/>
    </xf>
    <xf borderId="1" fillId="0" fontId="104" numFmtId="4" xfId="0" applyBorder="1" applyFont="1" applyNumberFormat="1"/>
    <xf borderId="1" fillId="0" fontId="105" numFmtId="164" xfId="0" applyBorder="1" applyFont="1" applyNumberFormat="1"/>
    <xf borderId="1" fillId="0" fontId="105" numFmtId="0" xfId="0" applyBorder="1" applyFont="1"/>
    <xf borderId="1" fillId="0" fontId="105" numFmtId="4" xfId="0" applyBorder="1" applyFont="1" applyNumberFormat="1"/>
    <xf borderId="1" fillId="0" fontId="106" numFmtId="4" xfId="0" applyAlignment="1" applyBorder="1" applyFont="1" applyNumberFormat="1">
      <alignment horizontal="right" readingOrder="0" vertical="top"/>
    </xf>
    <xf borderId="4" fillId="0" fontId="107" numFmtId="4" xfId="0" applyAlignment="1" applyBorder="1" applyFont="1" applyNumberFormat="1">
      <alignment horizontal="right" readingOrder="0" vertical="top"/>
    </xf>
    <xf borderId="1" fillId="0" fontId="107" numFmtId="4" xfId="0" applyAlignment="1" applyBorder="1" applyFont="1" applyNumberFormat="1">
      <alignment horizontal="right" readingOrder="0" vertical="top"/>
    </xf>
    <xf borderId="0" fillId="0" fontId="105" numFmtId="4" xfId="0" applyFont="1" applyNumberFormat="1"/>
    <xf borderId="0" fillId="0" fontId="104" numFmtId="0" xfId="0" applyAlignment="1" applyFont="1">
      <alignment readingOrder="0"/>
    </xf>
    <xf borderId="0" fillId="0" fontId="108" numFmtId="4" xfId="0" applyAlignment="1" applyFont="1" applyNumberFormat="1">
      <alignment horizontal="right" readingOrder="0" vertical="top"/>
    </xf>
    <xf borderId="1" fillId="0" fontId="42" numFmtId="4" xfId="0" applyAlignment="1" applyBorder="1" applyFont="1" applyNumberFormat="1">
      <alignment horizontal="right" readingOrder="0" vertical="top"/>
    </xf>
    <xf borderId="4" fillId="0" fontId="108" numFmtId="4" xfId="0" applyAlignment="1" applyBorder="1" applyFont="1" applyNumberFormat="1">
      <alignment horizontal="right" readingOrder="0" vertical="top"/>
    </xf>
    <xf borderId="1" fillId="7" fontId="109" numFmtId="164" xfId="0" applyAlignment="1" applyBorder="1" applyFont="1" applyNumberFormat="1">
      <alignment vertical="bottom"/>
    </xf>
    <xf borderId="1" fillId="14" fontId="104" numFmtId="0" xfId="0" applyAlignment="1" applyBorder="1" applyFont="1">
      <alignment readingOrder="0"/>
    </xf>
    <xf borderId="1" fillId="14" fontId="104" numFmtId="4" xfId="0" applyAlignment="1" applyBorder="1" applyFont="1" applyNumberFormat="1">
      <alignment readingOrder="0"/>
    </xf>
    <xf borderId="1" fillId="0" fontId="105" numFmtId="164" xfId="0" applyAlignment="1" applyBorder="1" applyFont="1" applyNumberFormat="1">
      <alignment readingOrder="0"/>
    </xf>
    <xf borderId="0" fillId="0" fontId="104" numFmtId="4" xfId="0" applyAlignment="1" applyFont="1" applyNumberFormat="1">
      <alignment readingOrder="0"/>
    </xf>
    <xf borderId="3" fillId="7" fontId="110" numFmtId="0" xfId="0" applyAlignment="1" applyBorder="1" applyFont="1">
      <alignment vertical="bottom"/>
    </xf>
    <xf borderId="3" fillId="7" fontId="110" numFmtId="0" xfId="0" applyAlignment="1" applyBorder="1" applyFont="1">
      <alignment readingOrder="0" vertical="bottom"/>
    </xf>
    <xf borderId="1" fillId="3" fontId="111" numFmtId="164" xfId="0" applyAlignment="1" applyBorder="1" applyFont="1" applyNumberFormat="1">
      <alignment readingOrder="0"/>
    </xf>
    <xf borderId="1" fillId="0" fontId="107" numFmtId="164" xfId="0" applyAlignment="1" applyBorder="1" applyFont="1" applyNumberFormat="1">
      <alignment horizontal="right" vertical="top"/>
    </xf>
    <xf borderId="1" fillId="0" fontId="105" numFmtId="0" xfId="0" applyAlignment="1" applyBorder="1" applyFont="1">
      <alignment readingOrder="0"/>
    </xf>
    <xf borderId="1" fillId="7" fontId="104" numFmtId="0" xfId="0" applyAlignment="1" applyBorder="1" applyFont="1">
      <alignment readingOrder="0"/>
    </xf>
    <xf borderId="1" fillId="3" fontId="109" numFmtId="164" xfId="0" applyAlignment="1" applyBorder="1" applyFont="1" applyNumberFormat="1">
      <alignment vertical="bottom"/>
    </xf>
    <xf borderId="4" fillId="0" fontId="71" numFmtId="164" xfId="0" applyAlignment="1" applyBorder="1" applyFont="1" applyNumberFormat="1">
      <alignment horizontal="right" vertical="bottom"/>
    </xf>
    <xf borderId="1" fillId="16" fontId="104" numFmtId="0" xfId="0" applyAlignment="1" applyBorder="1" applyFont="1">
      <alignment readingOrder="0"/>
    </xf>
    <xf borderId="4" fillId="16" fontId="108" numFmtId="164" xfId="0" applyAlignment="1" applyBorder="1" applyFont="1" applyNumberFormat="1">
      <alignment horizontal="right" vertical="bottom"/>
    </xf>
    <xf borderId="1" fillId="16" fontId="105" numFmtId="4" xfId="0" applyAlignment="1" applyBorder="1" applyFont="1" applyNumberFormat="1">
      <alignment readingOrder="0"/>
    </xf>
    <xf borderId="1" fillId="3" fontId="112" numFmtId="0" xfId="0" applyAlignment="1" applyBorder="1" applyFont="1">
      <alignment vertical="bottom"/>
    </xf>
    <xf borderId="11" fillId="0" fontId="105" numFmtId="4" xfId="0" applyAlignment="1" applyBorder="1" applyFont="1" applyNumberFormat="1">
      <alignment readingOrder="0"/>
    </xf>
    <xf borderId="11" fillId="0" fontId="107" numFmtId="4" xfId="0" applyAlignment="1" applyBorder="1" applyFont="1" applyNumberFormat="1">
      <alignment horizontal="right" readingOrder="0" vertical="top"/>
    </xf>
    <xf borderId="1" fillId="4" fontId="112" numFmtId="0" xfId="0" applyAlignment="1" applyBorder="1" applyFont="1">
      <alignment vertical="bottom"/>
    </xf>
    <xf borderId="1" fillId="16" fontId="108" numFmtId="0" xfId="0" applyAlignment="1" applyBorder="1" applyFont="1">
      <alignment vertical="bottom"/>
    </xf>
    <xf borderId="10" fillId="16" fontId="108" numFmtId="164" xfId="0" applyAlignment="1" applyBorder="1" applyFont="1" applyNumberFormat="1">
      <alignment horizontal="right" vertical="bottom"/>
    </xf>
    <xf borderId="10" fillId="0" fontId="71" numFmtId="0" xfId="0" applyAlignment="1" applyBorder="1" applyFont="1">
      <alignment vertical="bottom"/>
    </xf>
    <xf borderId="10" fillId="0" fontId="55" numFmtId="0" xfId="0" applyAlignment="1" applyBorder="1" applyFont="1">
      <alignment readingOrder="0" vertical="bottom"/>
    </xf>
    <xf borderId="10" fillId="0" fontId="71" numFmtId="4" xfId="0" applyAlignment="1" applyBorder="1" applyFont="1" applyNumberFormat="1">
      <alignment vertical="bottom"/>
    </xf>
    <xf borderId="3" fillId="14" fontId="55" numFmtId="0" xfId="0" applyAlignment="1" applyBorder="1" applyFont="1">
      <alignment vertical="bottom"/>
    </xf>
    <xf borderId="4" fillId="14" fontId="55" numFmtId="0" xfId="0" applyAlignment="1" applyBorder="1" applyFont="1">
      <alignment vertical="bottom"/>
    </xf>
    <xf borderId="1" fillId="14" fontId="55" numFmtId="4" xfId="0" applyAlignment="1" applyBorder="1" applyFont="1" applyNumberFormat="1">
      <alignment vertical="bottom"/>
    </xf>
    <xf borderId="1" fillId="14" fontId="55" numFmtId="0" xfId="0" applyAlignment="1" applyBorder="1" applyFont="1">
      <alignment vertical="bottom"/>
    </xf>
    <xf borderId="3" fillId="3" fontId="110" numFmtId="0" xfId="0" applyAlignment="1" applyBorder="1" applyFont="1">
      <alignment vertical="bottom"/>
    </xf>
    <xf borderId="4" fillId="0" fontId="71" numFmtId="4" xfId="0" applyAlignment="1" applyBorder="1" applyFont="1" applyNumberFormat="1">
      <alignment horizontal="right" readingOrder="0" vertical="bottom"/>
    </xf>
    <xf borderId="1" fillId="0" fontId="71" numFmtId="4" xfId="0" applyAlignment="1" applyBorder="1" applyFont="1" applyNumberFormat="1">
      <alignment horizontal="right" readingOrder="0" vertical="bottom"/>
    </xf>
    <xf borderId="1" fillId="0" fontId="71" numFmtId="4" xfId="0" applyAlignment="1" applyBorder="1" applyFont="1" applyNumberFormat="1">
      <alignment horizontal="right" vertical="bottom"/>
    </xf>
    <xf borderId="1" fillId="0" fontId="108" numFmtId="4" xfId="0" applyAlignment="1" applyBorder="1" applyFont="1" applyNumberFormat="1">
      <alignment horizontal="right" readingOrder="0" vertical="top"/>
    </xf>
    <xf borderId="4" fillId="0" fontId="71" numFmtId="164" xfId="0" applyAlignment="1" applyBorder="1" applyFont="1" applyNumberFormat="1">
      <alignment horizontal="right" readingOrder="0" vertical="bottom"/>
    </xf>
    <xf borderId="1" fillId="0" fontId="71" numFmtId="164" xfId="0" applyAlignment="1" applyBorder="1" applyFont="1" applyNumberFormat="1">
      <alignment horizontal="right" readingOrder="0" vertical="bottom"/>
    </xf>
    <xf borderId="1" fillId="0" fontId="71" numFmtId="4" xfId="0" applyAlignment="1" applyBorder="1" applyFont="1" applyNumberFormat="1">
      <alignment horizontal="right" readingOrder="0" vertical="top"/>
    </xf>
    <xf borderId="1" fillId="0" fontId="59" numFmtId="4" xfId="0" applyAlignment="1" applyBorder="1" applyFont="1" applyNumberFormat="1">
      <alignment horizontal="right" readingOrder="0" vertical="top"/>
    </xf>
    <xf borderId="4" fillId="3" fontId="71" numFmtId="164" xfId="0" applyAlignment="1" applyBorder="1" applyFont="1" applyNumberFormat="1">
      <alignment horizontal="right" readingOrder="0" vertical="bottom"/>
    </xf>
    <xf borderId="4" fillId="0" fontId="59" numFmtId="4" xfId="0" applyAlignment="1" applyBorder="1" applyFont="1" applyNumberFormat="1">
      <alignment horizontal="right" readingOrder="0" vertical="top"/>
    </xf>
    <xf borderId="3" fillId="16" fontId="55" numFmtId="0" xfId="0" applyAlignment="1" applyBorder="1" applyFont="1">
      <alignment vertical="bottom"/>
    </xf>
    <xf borderId="4" fillId="16" fontId="108" numFmtId="164" xfId="0" applyAlignment="1" applyBorder="1" applyFont="1" applyNumberFormat="1">
      <alignment horizontal="right" readingOrder="0" vertical="bottom"/>
    </xf>
    <xf borderId="4" fillId="16" fontId="55" numFmtId="164" xfId="0" applyAlignment="1" applyBorder="1" applyFont="1" applyNumberFormat="1">
      <alignment horizontal="right" vertical="bottom"/>
    </xf>
    <xf borderId="1" fillId="16" fontId="55" numFmtId="164" xfId="0" applyAlignment="1" applyBorder="1" applyFont="1" applyNumberFormat="1">
      <alignment horizontal="right" vertical="bottom"/>
    </xf>
    <xf borderId="1" fillId="16" fontId="108" numFmtId="4" xfId="0" applyAlignment="1" applyBorder="1" applyFont="1" applyNumberFormat="1">
      <alignment horizontal="right" vertical="bottom"/>
    </xf>
    <xf borderId="1" fillId="16" fontId="108" numFmtId="164" xfId="0" applyAlignment="1" applyBorder="1" applyFont="1" applyNumberFormat="1">
      <alignment horizontal="right" vertical="bottom"/>
    </xf>
    <xf borderId="0" fillId="0" fontId="71" numFmtId="0" xfId="0" applyAlignment="1" applyFont="1">
      <alignment vertical="bottom"/>
    </xf>
    <xf borderId="0" fillId="0" fontId="71" numFmtId="4" xfId="0" applyAlignment="1" applyFont="1" applyNumberFormat="1">
      <alignment vertical="bottom"/>
    </xf>
    <xf borderId="4" fillId="14" fontId="55" numFmtId="0" xfId="0" applyAlignment="1" applyBorder="1" applyFont="1">
      <alignment readingOrder="0" vertical="bottom"/>
    </xf>
    <xf borderId="3" fillId="3" fontId="113" numFmtId="0" xfId="0" applyAlignment="1" applyBorder="1" applyFont="1">
      <alignment vertical="bottom"/>
    </xf>
    <xf borderId="0" fillId="0" fontId="105" numFmtId="4" xfId="0" applyAlignment="1" applyFont="1" applyNumberFormat="1">
      <alignment readingOrder="0"/>
    </xf>
    <xf borderId="3" fillId="4" fontId="113" numFmtId="0" xfId="0" applyAlignment="1" applyBorder="1" applyFont="1">
      <alignment vertical="bottom"/>
    </xf>
    <xf borderId="1" fillId="3" fontId="55" numFmtId="164" xfId="0" applyAlignment="1" applyBorder="1" applyFont="1" applyNumberFormat="1">
      <alignment horizontal="right" readingOrder="0" vertical="bottom"/>
    </xf>
    <xf borderId="1" fillId="3" fontId="108" numFmtId="164" xfId="0" applyAlignment="1" applyBorder="1" applyFont="1" applyNumberFormat="1">
      <alignment horizontal="right" readingOrder="0" vertical="bottom"/>
    </xf>
    <xf borderId="3" fillId="16" fontId="109" numFmtId="0" xfId="0" applyAlignment="1" applyBorder="1" applyFont="1">
      <alignment vertical="bottom"/>
    </xf>
    <xf borderId="4" fillId="16" fontId="109" numFmtId="164" xfId="0" applyAlignment="1" applyBorder="1" applyFont="1" applyNumberFormat="1">
      <alignment horizontal="right" readingOrder="0" vertical="bottom"/>
    </xf>
    <xf borderId="1" fillId="16" fontId="71" numFmtId="4" xfId="0" applyAlignment="1" applyBorder="1" applyFont="1" applyNumberFormat="1">
      <alignment horizontal="right" readingOrder="0" vertical="bottom"/>
    </xf>
    <xf borderId="0" fillId="0" fontId="105" numFmtId="0" xfId="0" applyAlignment="1" applyFont="1">
      <alignment readingOrder="0"/>
    </xf>
    <xf borderId="1" fillId="0" fontId="71" numFmtId="4" xfId="0" applyAlignment="1" applyBorder="1" applyFont="1" applyNumberFormat="1">
      <alignment readingOrder="0"/>
    </xf>
    <xf borderId="3" fillId="5" fontId="109" numFmtId="0" xfId="0" applyAlignment="1" applyBorder="1" applyFont="1">
      <alignment vertical="bottom"/>
    </xf>
    <xf borderId="4" fillId="5" fontId="109" numFmtId="164" xfId="0" applyAlignment="1" applyBorder="1" applyFont="1" applyNumberFormat="1">
      <alignment horizontal="right" readingOrder="0" vertical="bottom"/>
    </xf>
    <xf borderId="3" fillId="5" fontId="107" numFmtId="0" xfId="0" applyAlignment="1" applyBorder="1" applyFont="1">
      <alignment vertical="bottom"/>
    </xf>
    <xf borderId="4" fillId="5" fontId="107" numFmtId="164" xfId="0" applyAlignment="1" applyBorder="1" applyFont="1" applyNumberFormat="1">
      <alignment horizontal="right" readingOrder="0" vertical="bottom"/>
    </xf>
    <xf borderId="3" fillId="16" fontId="107" numFmtId="0" xfId="0" applyAlignment="1" applyBorder="1" applyFont="1">
      <alignment vertical="bottom"/>
    </xf>
    <xf borderId="4" fillId="16" fontId="107" numFmtId="164" xfId="0" applyAlignment="1" applyBorder="1" applyFont="1" applyNumberFormat="1">
      <alignment horizontal="right" readingOrder="0" vertical="bottom"/>
    </xf>
    <xf borderId="0" fillId="0" fontId="105" numFmtId="177" xfId="0" applyAlignment="1" applyFont="1" applyNumberFormat="1">
      <alignment readingOrder="0"/>
    </xf>
    <xf borderId="3" fillId="16" fontId="108" numFmtId="0" xfId="0" applyAlignment="1" applyBorder="1" applyFont="1">
      <alignment vertical="bottom"/>
    </xf>
    <xf borderId="1" fillId="16" fontId="114" numFmtId="4" xfId="0" applyAlignment="1" applyBorder="1" applyFont="1" applyNumberFormat="1">
      <alignment readingOrder="0"/>
    </xf>
    <xf borderId="1" fillId="16" fontId="104" numFmtId="4" xfId="0" applyAlignment="1" applyBorder="1" applyFont="1" applyNumberFormat="1">
      <alignment readingOrder="0"/>
    </xf>
    <xf borderId="0" fillId="0" fontId="104" numFmtId="4" xfId="0" applyFont="1" applyNumberFormat="1"/>
    <xf borderId="0" fillId="0" fontId="104" numFmtId="0" xfId="0" applyFont="1"/>
    <xf borderId="3" fillId="3" fontId="112" numFmtId="0" xfId="0" applyAlignment="1" applyBorder="1" applyFont="1">
      <alignment vertical="bottom"/>
    </xf>
    <xf borderId="3" fillId="4" fontId="112" numFmtId="0" xfId="0" applyAlignment="1" applyBorder="1" applyFont="1">
      <alignment vertical="bottom"/>
    </xf>
    <xf borderId="1" fillId="0" fontId="42" numFmtId="164" xfId="0" applyAlignment="1" applyBorder="1" applyFont="1" applyNumberFormat="1">
      <alignment horizontal="right" readingOrder="0" vertical="top"/>
    </xf>
    <xf borderId="0" fillId="0" fontId="105" numFmtId="178" xfId="0" applyAlignment="1" applyFont="1" applyNumberFormat="1">
      <alignment readingOrder="0"/>
    </xf>
    <xf borderId="2" fillId="0" fontId="59" numFmtId="4" xfId="0" applyAlignment="1" applyBorder="1" applyFont="1" applyNumberFormat="1">
      <alignment horizontal="right" readingOrder="0" shrinkToFit="0" vertical="bottom" wrapText="0"/>
    </xf>
    <xf borderId="0" fillId="0" fontId="105" numFmtId="0" xfId="0" applyAlignment="1" applyFont="1">
      <alignment horizontal="center"/>
    </xf>
    <xf borderId="4" fillId="0" fontId="107" numFmtId="164" xfId="0" applyAlignment="1" applyBorder="1" applyFont="1" applyNumberFormat="1">
      <alignment horizontal="right" readingOrder="0" vertical="top"/>
    </xf>
    <xf borderId="1" fillId="0" fontId="104" numFmtId="0" xfId="0" applyAlignment="1" applyBorder="1" applyFont="1">
      <alignment horizontal="center" readingOrder="0"/>
    </xf>
    <xf borderId="1" fillId="0" fontId="104" numFmtId="3" xfId="0" applyAlignment="1" applyBorder="1" applyFont="1" applyNumberFormat="1">
      <alignment readingOrder="0"/>
    </xf>
    <xf borderId="1" fillId="0" fontId="104" numFmtId="164" xfId="0" applyBorder="1" applyFont="1" applyNumberFormat="1"/>
    <xf borderId="1" fillId="0" fontId="104" numFmtId="164" xfId="0" applyAlignment="1" applyBorder="1" applyFont="1" applyNumberFormat="1">
      <alignment readingOrder="0"/>
    </xf>
    <xf borderId="4" fillId="0" fontId="107" numFmtId="4" xfId="0" applyAlignment="1" applyBorder="1" applyFont="1" applyNumberFormat="1">
      <alignment horizontal="right" readingOrder="0" vertical="top"/>
    </xf>
    <xf borderId="1" fillId="0" fontId="108" numFmtId="4" xfId="0" applyAlignment="1" applyBorder="1" applyFont="1" applyNumberFormat="1">
      <alignment readingOrder="0" shrinkToFit="0" vertical="bottom" wrapText="0"/>
    </xf>
    <xf borderId="4" fillId="0" fontId="108" numFmtId="4" xfId="0" applyAlignment="1" applyBorder="1" applyFont="1" applyNumberFormat="1">
      <alignment horizontal="right" readingOrder="0" vertical="top"/>
    </xf>
    <xf borderId="0" fillId="0" fontId="105" numFmtId="164" xfId="0" applyFont="1" applyNumberFormat="1"/>
    <xf borderId="0" fillId="0" fontId="105" numFmtId="164" xfId="0" applyAlignment="1" applyFont="1" applyNumberFormat="1">
      <alignment readingOrder="0"/>
    </xf>
    <xf borderId="0" fillId="0" fontId="105" numFmtId="165" xfId="0" applyAlignment="1" applyFont="1" applyNumberFormat="1">
      <alignment readingOrder="0"/>
    </xf>
    <xf borderId="4" fillId="0" fontId="55" numFmtId="164" xfId="0" applyAlignment="1" applyBorder="1" applyFont="1" applyNumberFormat="1">
      <alignment horizontal="right" vertical="bottom"/>
    </xf>
    <xf borderId="4" fillId="0" fontId="55" numFmtId="164" xfId="0" applyAlignment="1" applyBorder="1" applyFont="1" applyNumberFormat="1">
      <alignment horizontal="right" readingOrder="0" vertical="bottom"/>
    </xf>
    <xf borderId="4" fillId="0" fontId="55" numFmtId="4" xfId="0" applyAlignment="1" applyBorder="1" applyFont="1" applyNumberFormat="1">
      <alignment horizontal="right" readingOrder="0" vertical="bottom"/>
    </xf>
    <xf borderId="1" fillId="0" fontId="106" numFmtId="164" xfId="0" applyAlignment="1" applyBorder="1" applyFont="1" applyNumberFormat="1">
      <alignment horizontal="right" readingOrder="0" vertical="top"/>
    </xf>
    <xf borderId="3" fillId="14" fontId="71" numFmtId="0" xfId="0" applyAlignment="1" applyBorder="1" applyFont="1">
      <alignment vertical="bottom"/>
    </xf>
    <xf borderId="4" fillId="14" fontId="71" numFmtId="0" xfId="0" applyAlignment="1" applyBorder="1" applyFont="1">
      <alignment vertical="bottom"/>
    </xf>
    <xf borderId="4" fillId="14" fontId="71" numFmtId="0" xfId="0" applyAlignment="1" applyBorder="1" applyFont="1">
      <alignment readingOrder="0" vertical="bottom"/>
    </xf>
    <xf borderId="1" fillId="14" fontId="71" numFmtId="4" xfId="0" applyAlignment="1" applyBorder="1" applyFont="1" applyNumberFormat="1">
      <alignment vertical="bottom"/>
    </xf>
    <xf borderId="1" fillId="14" fontId="71" numFmtId="0" xfId="0" applyAlignment="1" applyBorder="1" applyFont="1">
      <alignment vertical="bottom"/>
    </xf>
    <xf borderId="1" fillId="0" fontId="107" numFmtId="164" xfId="0" applyAlignment="1" applyBorder="1" applyFont="1" applyNumberFormat="1">
      <alignment shrinkToFit="0" vertical="bottom" wrapText="0"/>
    </xf>
    <xf borderId="1" fillId="0" fontId="107" numFmtId="164" xfId="0" applyAlignment="1" applyBorder="1" applyFont="1" applyNumberFormat="1">
      <alignment readingOrder="0" shrinkToFit="0" vertical="bottom" wrapText="0"/>
    </xf>
    <xf borderId="4" fillId="0" fontId="71" numFmtId="4" xfId="0" applyAlignment="1" applyBorder="1" applyFont="1" applyNumberFormat="1">
      <alignment horizontal="right" vertical="bottom"/>
    </xf>
    <xf borderId="4" fillId="16" fontId="55" numFmtId="164" xfId="0" applyAlignment="1" applyBorder="1" applyFont="1" applyNumberFormat="1">
      <alignment horizontal="right" readingOrder="0" vertical="bottom"/>
    </xf>
    <xf borderId="0" fillId="0" fontId="105" numFmtId="167" xfId="0" applyAlignment="1" applyFont="1" applyNumberFormat="1">
      <alignment readingOrder="0"/>
    </xf>
    <xf borderId="6" fillId="16" fontId="108" numFmtId="0" xfId="0" applyAlignment="1" applyBorder="1" applyFont="1">
      <alignment vertical="bottom"/>
    </xf>
    <xf borderId="7" fillId="16" fontId="108" numFmtId="164" xfId="0" applyAlignment="1" applyBorder="1" applyFont="1" applyNumberFormat="1">
      <alignment horizontal="right" vertical="bottom"/>
    </xf>
    <xf borderId="0" fillId="0" fontId="108" numFmtId="4" xfId="0" applyAlignment="1" applyFont="1" applyNumberFormat="1">
      <alignment horizontal="right" readingOrder="0" vertical="top"/>
    </xf>
    <xf borderId="1" fillId="0" fontId="105" numFmtId="0" xfId="0" applyBorder="1" applyFont="1"/>
    <xf borderId="1" fillId="0" fontId="71" numFmtId="0" xfId="0" applyAlignment="1" applyBorder="1" applyFont="1">
      <alignment horizontal="right" readingOrder="0" vertical="bottom"/>
    </xf>
    <xf borderId="1" fillId="14" fontId="71" numFmtId="0" xfId="0" applyAlignment="1" applyBorder="1" applyFont="1">
      <alignment readingOrder="0" vertical="bottom"/>
    </xf>
    <xf borderId="1" fillId="3" fontId="113" numFmtId="0" xfId="0" applyAlignment="1" applyBorder="1" applyFont="1">
      <alignment vertical="bottom"/>
    </xf>
    <xf borderId="1" fillId="0" fontId="71" numFmtId="164" xfId="0" applyAlignment="1" applyBorder="1" applyFont="1" applyNumberFormat="1">
      <alignment horizontal="right" vertical="bottom"/>
    </xf>
    <xf borderId="1" fillId="0" fontId="107" numFmtId="164" xfId="0" applyAlignment="1" applyBorder="1" applyFont="1" applyNumberFormat="1">
      <alignment horizontal="right" readingOrder="0" vertical="top"/>
    </xf>
    <xf borderId="1" fillId="4" fontId="113" numFmtId="0" xfId="0" applyAlignment="1" applyBorder="1" applyFont="1">
      <alignment vertical="bottom"/>
    </xf>
    <xf borderId="1" fillId="16" fontId="108" numFmtId="0" xfId="0" applyAlignment="1" applyBorder="1" applyFont="1">
      <alignment readingOrder="0" vertical="bottom"/>
    </xf>
    <xf borderId="1" fillId="16" fontId="55" numFmtId="164" xfId="0" applyAlignment="1" applyBorder="1" applyFont="1" applyNumberFormat="1">
      <alignment horizontal="right" readingOrder="0" vertical="bottom"/>
    </xf>
    <xf borderId="1" fillId="16" fontId="108" numFmtId="4" xfId="0" applyAlignment="1" applyBorder="1" applyFont="1" applyNumberFormat="1">
      <alignment horizontal="right" readingOrder="0" vertical="bottom"/>
    </xf>
    <xf borderId="1" fillId="16" fontId="109" numFmtId="0" xfId="0" applyAlignment="1" applyBorder="1" applyFont="1">
      <alignment vertical="bottom"/>
    </xf>
    <xf borderId="1" fillId="16" fontId="108" numFmtId="164" xfId="0" applyAlignment="1" applyBorder="1" applyFont="1" applyNumberFormat="1">
      <alignment horizontal="right" readingOrder="0" vertical="bottom"/>
    </xf>
    <xf borderId="1" fillId="16" fontId="105" numFmtId="0" xfId="0" applyBorder="1" applyFont="1"/>
    <xf borderId="1" fillId="16" fontId="105" numFmtId="4" xfId="0" applyBorder="1" applyFont="1" applyNumberFormat="1"/>
    <xf borderId="4" fillId="3" fontId="71" numFmtId="164" xfId="0" applyAlignment="1" applyBorder="1" applyFont="1" applyNumberFormat="1">
      <alignment horizontal="right" vertical="bottom"/>
    </xf>
    <xf borderId="1" fillId="0" fontId="107" numFmtId="164" xfId="0" applyAlignment="1" applyBorder="1" applyFont="1" applyNumberFormat="1">
      <alignment horizontal="right" readingOrder="0" vertical="bottom"/>
    </xf>
    <xf borderId="1" fillId="0" fontId="55" numFmtId="164" xfId="0" applyAlignment="1" applyBorder="1" applyFont="1" applyNumberFormat="1">
      <alignment horizontal="right" readingOrder="0" vertical="bottom"/>
    </xf>
    <xf borderId="1" fillId="0" fontId="55" numFmtId="164" xfId="0" applyAlignment="1" applyBorder="1" applyFont="1" applyNumberFormat="1">
      <alignment horizontal="right" vertical="bottom"/>
    </xf>
    <xf borderId="4" fillId="0" fontId="108" numFmtId="164" xfId="0" applyAlignment="1" applyBorder="1" applyFont="1" applyNumberFormat="1">
      <alignment horizontal="right" readingOrder="0" vertical="top"/>
    </xf>
    <xf borderId="4" fillId="3" fontId="55" numFmtId="164" xfId="0" applyAlignment="1" applyBorder="1" applyFont="1" applyNumberFormat="1">
      <alignment horizontal="right" vertical="bottom"/>
    </xf>
    <xf borderId="1" fillId="0" fontId="108" numFmtId="164" xfId="0" applyAlignment="1" applyBorder="1" applyFont="1" applyNumberFormat="1">
      <alignment readingOrder="0" shrinkToFit="0" vertical="bottom" wrapText="0"/>
    </xf>
    <xf borderId="1" fillId="0" fontId="55" numFmtId="4" xfId="0" applyAlignment="1" applyBorder="1" applyFont="1" applyNumberFormat="1">
      <alignment horizontal="right" readingOrder="0" vertical="bottom"/>
    </xf>
    <xf borderId="1" fillId="0" fontId="108" numFmtId="164" xfId="0" applyAlignment="1" applyBorder="1" applyFont="1" applyNumberFormat="1">
      <alignment horizontal="right" readingOrder="0" vertical="top"/>
    </xf>
    <xf borderId="1" fillId="14" fontId="55" numFmtId="0" xfId="0" applyAlignment="1" applyBorder="1" applyFont="1">
      <alignment readingOrder="0" vertical="bottom"/>
    </xf>
    <xf borderId="4" fillId="0" fontId="107" numFmtId="4" xfId="0" applyAlignment="1" applyBorder="1" applyFont="1" applyNumberFormat="1">
      <alignment horizontal="right" vertical="top"/>
    </xf>
    <xf borderId="4" fillId="0" fontId="107" numFmtId="164" xfId="0" applyAlignment="1" applyBorder="1" applyFont="1" applyNumberFormat="1">
      <alignment horizontal="right" vertical="top"/>
    </xf>
    <xf borderId="0" fillId="17" fontId="104" numFmtId="164" xfId="0" applyFill="1" applyFont="1" applyNumberFormat="1"/>
    <xf borderId="0" fillId="3" fontId="115" numFmtId="4" xfId="0" applyAlignment="1" applyFont="1" applyNumberFormat="1">
      <alignment readingOrder="0"/>
    </xf>
    <xf borderId="0" fillId="0" fontId="59" numFmtId="4" xfId="0" applyAlignment="1" applyFont="1" applyNumberFormat="1">
      <alignment horizontal="right" vertical="bottom"/>
    </xf>
    <xf borderId="3" fillId="14" fontId="55" numFmtId="4" xfId="0" applyAlignment="1" applyBorder="1" applyFont="1" applyNumberFormat="1">
      <alignment vertical="bottom"/>
    </xf>
    <xf borderId="4" fillId="0" fontId="107" numFmtId="4" xfId="0" applyAlignment="1" applyBorder="1" applyFont="1" applyNumberFormat="1">
      <alignment horizontal="right" vertical="top"/>
    </xf>
    <xf borderId="1" fillId="3" fontId="116" numFmtId="4" xfId="0" applyAlignment="1" applyBorder="1" applyFont="1" applyNumberFormat="1">
      <alignment readingOrder="0"/>
    </xf>
    <xf borderId="1" fillId="3" fontId="117" numFmtId="0" xfId="0" applyBorder="1" applyFont="1"/>
    <xf borderId="1" fillId="3" fontId="117" numFmtId="164" xfId="0" applyBorder="1" applyFont="1" applyNumberFormat="1"/>
    <xf borderId="1" fillId="3" fontId="117" numFmtId="164" xfId="0" applyAlignment="1" applyBorder="1" applyFont="1" applyNumberFormat="1">
      <alignment readingOrder="0"/>
    </xf>
    <xf borderId="1" fillId="17" fontId="104" numFmtId="4" xfId="0" applyAlignment="1" applyBorder="1" applyFont="1" applyNumberFormat="1">
      <alignment readingOrder="0"/>
    </xf>
    <xf borderId="1" fillId="17" fontId="104" numFmtId="4" xfId="0" applyBorder="1" applyFont="1" applyNumberFormat="1"/>
    <xf borderId="1" fillId="17" fontId="55" numFmtId="164" xfId="0" applyAlignment="1" applyBorder="1" applyFont="1" applyNumberFormat="1">
      <alignment horizontal="right" vertical="bottom"/>
    </xf>
    <xf borderId="0" fillId="14" fontId="55" numFmtId="0" xfId="0" applyAlignment="1" applyFont="1">
      <alignment vertical="bottom"/>
    </xf>
    <xf borderId="1" fillId="17" fontId="104" numFmtId="164" xfId="0" applyAlignment="1" applyBorder="1" applyFont="1" applyNumberFormat="1">
      <alignment readingOrder="0"/>
    </xf>
    <xf borderId="1" fillId="3" fontId="116" numFmtId="4" xfId="0" applyBorder="1" applyFont="1" applyNumberFormat="1"/>
    <xf borderId="1" fillId="3" fontId="118" numFmtId="0" xfId="0" applyBorder="1" applyFont="1"/>
    <xf borderId="1" fillId="3" fontId="118" numFmtId="164" xfId="0" applyBorder="1" applyFont="1" applyNumberFormat="1"/>
    <xf borderId="1" fillId="3" fontId="118" numFmtId="164" xfId="0" applyAlignment="1" applyBorder="1" applyFont="1" applyNumberFormat="1">
      <alignment readingOrder="0"/>
    </xf>
    <xf borderId="1" fillId="14" fontId="55" numFmtId="0" xfId="0" applyAlignment="1" applyBorder="1" applyFont="1">
      <alignment vertical="bottom"/>
    </xf>
    <xf borderId="4" fillId="0" fontId="71" numFmtId="164" xfId="0" applyAlignment="1" applyBorder="1" applyFont="1" applyNumberFormat="1">
      <alignment horizontal="right" readingOrder="0" vertical="top"/>
    </xf>
    <xf borderId="4" fillId="0" fontId="119" numFmtId="4" xfId="0" applyAlignment="1" applyBorder="1" applyFont="1" applyNumberFormat="1">
      <alignment horizontal="right" readingOrder="0" vertical="top"/>
    </xf>
    <xf borderId="1" fillId="0" fontId="15" numFmtId="164" xfId="0" applyAlignment="1" applyBorder="1" applyFont="1" applyNumberFormat="1">
      <alignment readingOrder="0" vertical="bottom"/>
    </xf>
    <xf borderId="4" fillId="0" fontId="71" numFmtId="164" xfId="0" applyAlignment="1" applyBorder="1" applyFont="1" applyNumberFormat="1">
      <alignment horizontal="right" vertical="top"/>
    </xf>
    <xf borderId="1" fillId="0" fontId="59" numFmtId="164" xfId="0" applyAlignment="1" applyBorder="1" applyFont="1" applyNumberFormat="1">
      <alignment horizontal="right" vertical="top"/>
    </xf>
    <xf borderId="4" fillId="0" fontId="71" numFmtId="4" xfId="0" applyAlignment="1" applyBorder="1" applyFont="1" applyNumberFormat="1">
      <alignment horizontal="right" vertical="top"/>
    </xf>
    <xf borderId="1" fillId="0" fontId="71" numFmtId="164" xfId="0" applyAlignment="1" applyBorder="1" applyFont="1" applyNumberFormat="1">
      <alignment horizontal="right" readingOrder="0" vertical="top"/>
    </xf>
    <xf borderId="1" fillId="0" fontId="71" numFmtId="0" xfId="0" applyAlignment="1" applyBorder="1" applyFont="1">
      <alignment vertical="bottom"/>
    </xf>
    <xf borderId="1" fillId="3" fontId="116" numFmtId="4" xfId="0" applyAlignment="1" applyBorder="1" applyFont="1" applyNumberFormat="1">
      <alignment horizontal="right" vertical="bottom"/>
    </xf>
    <xf borderId="1" fillId="3" fontId="120" numFmtId="164" xfId="0" applyAlignment="1" applyBorder="1" applyFont="1" applyNumberFormat="1">
      <alignment horizontal="right" vertical="bottom"/>
    </xf>
    <xf borderId="1" fillId="3" fontId="15" numFmtId="164" xfId="0" applyAlignment="1" applyBorder="1" applyFont="1" applyNumberFormat="1">
      <alignment vertical="bottom"/>
    </xf>
    <xf borderId="1" fillId="3" fontId="15" numFmtId="0" xfId="0" applyAlignment="1" applyBorder="1" applyFont="1">
      <alignment vertical="bottom"/>
    </xf>
    <xf borderId="1" fillId="16" fontId="55" numFmtId="0" xfId="0" applyAlignment="1" applyBorder="1" applyFont="1">
      <alignment vertical="bottom"/>
    </xf>
    <xf borderId="4" fillId="0" fontId="107" numFmtId="164" xfId="0" applyAlignment="1" applyBorder="1" applyFont="1" applyNumberFormat="1">
      <alignment horizontal="right" readingOrder="0" vertical="top"/>
    </xf>
    <xf borderId="1" fillId="3" fontId="116" numFmtId="4" xfId="0" applyAlignment="1" applyBorder="1" applyFont="1" applyNumberFormat="1">
      <alignment horizontal="right" readingOrder="0" vertical="bottom"/>
    </xf>
    <xf borderId="1" fillId="16" fontId="71" numFmtId="164" xfId="0" applyAlignment="1" applyBorder="1" applyFont="1" applyNumberFormat="1">
      <alignment horizontal="right" vertical="bottom"/>
    </xf>
    <xf borderId="4" fillId="0" fontId="119" numFmtId="4" xfId="0" applyAlignment="1" applyBorder="1" applyFont="1" applyNumberFormat="1">
      <alignment horizontal="right" readingOrder="0" vertical="top"/>
    </xf>
    <xf borderId="1" fillId="0" fontId="22" numFmtId="164" xfId="0" applyAlignment="1" applyBorder="1" applyFont="1" applyNumberFormat="1">
      <alignment horizontal="right" vertical="top"/>
    </xf>
    <xf borderId="1" fillId="17" fontId="12" numFmtId="164" xfId="0" applyAlignment="1" applyBorder="1" applyFont="1" applyNumberFormat="1">
      <alignment horizontal="right" vertical="bottom"/>
    </xf>
    <xf borderId="1" fillId="17" fontId="55" numFmtId="164" xfId="0" applyAlignment="1" applyBorder="1" applyFont="1" applyNumberFormat="1">
      <alignment horizontal="right" readingOrder="0" vertical="bottom"/>
    </xf>
    <xf borderId="1" fillId="0" fontId="22" numFmtId="164" xfId="0" applyAlignment="1" applyBorder="1" applyFont="1" applyNumberFormat="1">
      <alignment horizontal="right" readingOrder="0" vertical="top"/>
    </xf>
    <xf borderId="1" fillId="16" fontId="12" numFmtId="164" xfId="0" applyAlignment="1" applyBorder="1" applyFont="1" applyNumberFormat="1">
      <alignment horizontal="right" vertical="bottom"/>
    </xf>
    <xf borderId="4" fillId="0" fontId="38" numFmtId="164" xfId="0" applyAlignment="1" applyBorder="1" applyFont="1" applyNumberFormat="1">
      <alignment horizontal="right" readingOrder="0" vertical="top"/>
    </xf>
    <xf borderId="0" fillId="0" fontId="5" numFmtId="4" xfId="0" applyAlignment="1" applyFont="1" applyNumberFormat="1">
      <alignment horizontal="right" readingOrder="0" shrinkToFit="0" vertical="bottom" wrapText="0"/>
    </xf>
    <xf borderId="4" fillId="0" fontId="20" numFmtId="4" xfId="0" applyAlignment="1" applyBorder="1" applyFont="1" applyNumberFormat="1">
      <alignment horizontal="right" readingOrder="0" vertical="top"/>
    </xf>
    <xf borderId="0" fillId="0" fontId="5" numFmtId="0" xfId="0" applyAlignment="1" applyFont="1">
      <alignment horizontal="right" readingOrder="0" shrinkToFit="0" vertical="bottom" wrapText="0"/>
    </xf>
    <xf borderId="1" fillId="0" fontId="12" numFmtId="164" xfId="0" applyAlignment="1" applyBorder="1" applyFont="1" applyNumberFormat="1">
      <alignment shrinkToFit="0" vertical="bottom" wrapText="0"/>
    </xf>
    <xf borderId="1" fillId="0" fontId="38" numFmtId="164" xfId="0" applyAlignment="1" applyBorder="1" applyFont="1" applyNumberFormat="1">
      <alignment readingOrder="0" shrinkToFit="0" vertical="bottom" wrapText="0"/>
    </xf>
    <xf borderId="0" fillId="0" fontId="1" numFmtId="164" xfId="0" applyFont="1" applyNumberFormat="1"/>
    <xf borderId="1" fillId="2" fontId="86" numFmtId="0" xfId="0" applyAlignment="1" applyBorder="1" applyFont="1">
      <alignment readingOrder="0" shrinkToFit="0" vertical="bottom" wrapText="0"/>
    </xf>
    <xf borderId="2" fillId="2" fontId="86" numFmtId="0" xfId="0" applyAlignment="1" applyBorder="1" applyFont="1">
      <alignment readingOrder="0" shrinkToFit="0" vertical="bottom" wrapText="0"/>
    </xf>
    <xf borderId="3" fillId="3" fontId="16" numFmtId="0" xfId="0" applyAlignment="1" applyBorder="1" applyFont="1">
      <alignment horizontal="right" readingOrder="0" shrinkToFit="0" vertical="bottom" wrapText="0"/>
    </xf>
    <xf borderId="4" fillId="0" fontId="16" numFmtId="0" xfId="0" applyAlignment="1" applyBorder="1" applyFont="1">
      <alignment readingOrder="0" shrinkToFit="0" vertical="bottom" wrapText="0"/>
    </xf>
    <xf borderId="4" fillId="0" fontId="16" numFmtId="4" xfId="0" applyAlignment="1" applyBorder="1" applyFont="1" applyNumberFormat="1">
      <alignment horizontal="right" readingOrder="0" shrinkToFit="0" vertical="bottom" wrapText="0"/>
    </xf>
    <xf borderId="4" fillId="0" fontId="16" numFmtId="171" xfId="0" applyAlignment="1" applyBorder="1" applyFont="1" applyNumberFormat="1">
      <alignment horizontal="right" readingOrder="0" shrinkToFit="0" vertical="bottom" wrapText="0"/>
    </xf>
    <xf borderId="0" fillId="0" fontId="121" numFmtId="0" xfId="0" applyFont="1"/>
    <xf borderId="3" fillId="3" fontId="32" numFmtId="0" xfId="0" applyAlignment="1" applyBorder="1" applyFont="1">
      <alignment horizontal="right" readingOrder="0" shrinkToFit="0" vertical="bottom" wrapText="0"/>
    </xf>
    <xf borderId="4" fillId="0" fontId="32" numFmtId="171" xfId="0" applyAlignment="1" applyBorder="1" applyFont="1" applyNumberFormat="1">
      <alignment horizontal="right" readingOrder="0" shrinkToFit="0" vertical="bottom" wrapText="0"/>
    </xf>
    <xf borderId="3" fillId="0" fontId="16" numFmtId="0" xfId="0" applyAlignment="1" applyBorder="1" applyFont="1">
      <alignment horizontal="right" readingOrder="0" shrinkToFit="0" vertical="bottom" wrapText="0"/>
    </xf>
    <xf borderId="3" fillId="0" fontId="32" numFmtId="0" xfId="0" applyAlignment="1" applyBorder="1" applyFont="1">
      <alignment horizontal="right" readingOrder="0" shrinkToFit="0" vertical="bottom" wrapText="0"/>
    </xf>
    <xf borderId="4" fillId="3" fontId="10" numFmtId="4" xfId="0" applyAlignment="1" applyBorder="1" applyFont="1" applyNumberFormat="1">
      <alignment horizontal="right" readingOrder="0" shrinkToFit="0" vertical="top" wrapText="0"/>
    </xf>
    <xf borderId="4" fillId="3" fontId="10" numFmtId="4" xfId="0" applyAlignment="1" applyBorder="1" applyFont="1" applyNumberFormat="1">
      <alignment horizontal="right" readingOrder="0" shrinkToFit="0" vertical="bottom" wrapText="0"/>
    </xf>
    <xf borderId="0" fillId="0" fontId="121" numFmtId="0" xfId="0" applyAlignment="1" applyFont="1">
      <alignmen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paid.to/" TargetMode="External"/><Relationship Id="rId2" Type="http://schemas.openxmlformats.org/officeDocument/2006/relationships/hyperlink" Target="http://sent.to/"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alary.to/" TargetMode="External"/><Relationship Id="rId2" Type="http://schemas.openxmlformats.org/officeDocument/2006/relationships/hyperlink" Target="http://salary.to/" TargetMode="External"/><Relationship Id="rId3" Type="http://schemas.openxmlformats.org/officeDocument/2006/relationships/hyperlink" Target="http://salary.to/"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tatement.to/"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4.pm/" TargetMode="External"/><Relationship Id="rId2" Type="http://schemas.openxmlformats.org/officeDocument/2006/relationships/hyperlink" Target="http://3.pm/" TargetMode="External"/><Relationship Id="rId3" Type="http://schemas.openxmlformats.org/officeDocument/2006/relationships/hyperlink" Target="http://5.pm/" TargetMode="External"/><Relationship Id="rId4" Type="http://schemas.openxmlformats.org/officeDocument/2006/relationships/hyperlink" Target="http://4.pm/" TargetMode="External"/><Relationship Id="rId9" Type="http://schemas.openxmlformats.org/officeDocument/2006/relationships/drawing" Target="../drawings/drawing15.xml"/><Relationship Id="rId5" Type="http://schemas.openxmlformats.org/officeDocument/2006/relationships/hyperlink" Target="http://3.pm/" TargetMode="External"/><Relationship Id="rId6" Type="http://schemas.openxmlformats.org/officeDocument/2006/relationships/hyperlink" Target="http://4.30.pm/" TargetMode="External"/><Relationship Id="rId7" Type="http://schemas.openxmlformats.org/officeDocument/2006/relationships/hyperlink" Target="http://by3.pm/" TargetMode="External"/><Relationship Id="rId8" Type="http://schemas.openxmlformats.org/officeDocument/2006/relationships/hyperlink" Target="http://06.45.p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04.08.24.to/"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43"/>
    <col customWidth="1" min="2" max="2" width="21.14"/>
    <col customWidth="1" min="3" max="3" width="17.86"/>
    <col customWidth="1" min="4" max="4" width="21.0"/>
    <col customWidth="1" min="5" max="5" width="18.71"/>
    <col customWidth="1" min="6" max="6" width="15.29"/>
    <col customWidth="1" min="8" max="8" width="17.71"/>
    <col customWidth="1" min="11" max="11" width="13.29"/>
  </cols>
  <sheetData>
    <row r="1">
      <c r="A1" s="1" t="s">
        <v>0</v>
      </c>
      <c r="B1" s="2"/>
      <c r="C1" s="2"/>
      <c r="D1" s="2"/>
      <c r="E1" s="2"/>
      <c r="F1" s="2"/>
      <c r="G1" s="2"/>
      <c r="H1" s="2"/>
      <c r="I1" s="2"/>
      <c r="J1" s="2"/>
      <c r="K1" s="2"/>
      <c r="L1" s="2"/>
      <c r="M1" s="2"/>
      <c r="N1" s="2"/>
      <c r="O1" s="2"/>
      <c r="P1" s="2"/>
      <c r="Q1" s="2"/>
      <c r="R1" s="2"/>
      <c r="S1" s="2"/>
      <c r="T1" s="2"/>
      <c r="U1" s="2"/>
      <c r="V1" s="2"/>
      <c r="W1" s="2"/>
      <c r="X1" s="2"/>
      <c r="Y1" s="2"/>
      <c r="Z1" s="2"/>
      <c r="AA1" s="2"/>
      <c r="AB1" s="2"/>
    </row>
    <row r="2">
      <c r="A2" s="3" t="s">
        <v>1</v>
      </c>
      <c r="B2" s="4" t="s">
        <v>2</v>
      </c>
      <c r="C2" s="4" t="s">
        <v>3</v>
      </c>
      <c r="D2" s="4" t="s">
        <v>4</v>
      </c>
      <c r="E2" s="5" t="s">
        <v>5</v>
      </c>
      <c r="F2" s="6" t="s">
        <v>6</v>
      </c>
      <c r="G2" s="6" t="s">
        <v>7</v>
      </c>
      <c r="H2" s="6" t="s">
        <v>8</v>
      </c>
      <c r="I2" s="6" t="s">
        <v>9</v>
      </c>
      <c r="J2" s="2"/>
      <c r="K2" s="2"/>
      <c r="L2" s="2"/>
      <c r="M2" s="2"/>
      <c r="N2" s="2"/>
      <c r="O2" s="2"/>
      <c r="P2" s="2"/>
      <c r="Q2" s="2"/>
      <c r="R2" s="2"/>
      <c r="S2" s="2"/>
      <c r="T2" s="2"/>
      <c r="U2" s="2"/>
      <c r="V2" s="2"/>
      <c r="W2" s="2"/>
      <c r="X2" s="2"/>
      <c r="Y2" s="2"/>
      <c r="Z2" s="2"/>
      <c r="AA2" s="2"/>
      <c r="AB2" s="2"/>
    </row>
    <row r="3">
      <c r="A3" s="7" t="s">
        <v>10</v>
      </c>
      <c r="B3" s="8">
        <f>SUMIFS(ECOBANK!F:F,ECOBANK!A:A,"7/22/24")</f>
        <v>8491125.28</v>
      </c>
      <c r="C3" s="9">
        <f>COUNTIFS(ECOBANK!A:A,"7/22/24")</f>
        <v>22</v>
      </c>
      <c r="D3" s="10">
        <f>SUMIFS(ECOBANK!G:G,ECOBANK!A:A,"7/22/24")</f>
        <v>931056</v>
      </c>
      <c r="E3" s="11">
        <f t="shared" ref="E3:E15" si="1">G3+H3</f>
        <v>0</v>
      </c>
      <c r="F3" s="12">
        <f t="shared" ref="F3:F15" si="2">iferror(D3/B3,0)</f>
        <v>0.1096504844</v>
      </c>
      <c r="G3" s="9">
        <f>COUNTIFS(ECOBANK!I:I,#REF!,ECOBANK!A:A,"7/22/24")</f>
        <v>0</v>
      </c>
      <c r="H3" s="11">
        <f>COUNTIFS(ECOBANK!I:I,#REF!,ECOBANK!A:A,"7/22/24")</f>
        <v>0</v>
      </c>
      <c r="I3" s="11">
        <f>COUNTIFS(ECOBANK!I:I,#REF!,ECOBANK!A:A,"7/22/24")</f>
        <v>0</v>
      </c>
      <c r="J3" s="2"/>
      <c r="K3" s="2"/>
      <c r="L3" s="2"/>
      <c r="M3" s="2"/>
      <c r="N3" s="2"/>
      <c r="O3" s="2"/>
      <c r="P3" s="2"/>
      <c r="Q3" s="2"/>
      <c r="R3" s="2"/>
      <c r="S3" s="2"/>
      <c r="T3" s="2"/>
      <c r="U3" s="2"/>
      <c r="V3" s="2"/>
      <c r="W3" s="2"/>
      <c r="X3" s="2"/>
      <c r="Y3" s="2"/>
      <c r="Z3" s="2"/>
      <c r="AA3" s="2"/>
      <c r="AB3" s="2"/>
    </row>
    <row r="4">
      <c r="A4" s="13" t="s">
        <v>11</v>
      </c>
      <c r="B4" s="8">
        <f>SUMIFS('TRADE CENTER'!F:F,'TRADE CENTER'!A:A,"7/22/24")</f>
        <v>10027493.74</v>
      </c>
      <c r="C4" s="11">
        <f>COUNTIFS('TRADE CENTER'!A:A,"7/22/24")</f>
        <v>38</v>
      </c>
      <c r="D4" s="10">
        <f>SUMIFS('TRADE CENTER'!G:G,'TRADE CENTER'!A:A,"7/22/24")</f>
        <v>1527757</v>
      </c>
      <c r="E4" s="11">
        <f t="shared" si="1"/>
        <v>0</v>
      </c>
      <c r="F4" s="12">
        <f t="shared" si="2"/>
        <v>0.1523568141</v>
      </c>
      <c r="G4" s="11">
        <f>COUNTIFS('TRADE CENTER'!I:I,#REF!,'TRADE CENTER'!A:A,"7/22/24")</f>
        <v>0</v>
      </c>
      <c r="H4" s="11">
        <f>COUNTIFS('TRADE CENTER'!I:I,#REF!,'TRADE CENTER'!A:A,"7/22/24")</f>
        <v>0</v>
      </c>
      <c r="I4" s="11">
        <f>COUNTIFS('TRADE CENTER'!I:I,#REF!,'TRADE CENTER'!A:A,"7/22/24")</f>
        <v>0</v>
      </c>
      <c r="J4" s="2"/>
      <c r="K4" s="2"/>
      <c r="L4" s="2"/>
      <c r="M4" s="2"/>
      <c r="N4" s="2"/>
      <c r="O4" s="2"/>
      <c r="P4" s="2"/>
      <c r="Q4" s="2"/>
      <c r="R4" s="2"/>
      <c r="S4" s="2"/>
      <c r="T4" s="2"/>
      <c r="U4" s="2"/>
      <c r="V4" s="2"/>
      <c r="W4" s="2"/>
      <c r="X4" s="2"/>
      <c r="Y4" s="2"/>
      <c r="Z4" s="2"/>
      <c r="AA4" s="2"/>
      <c r="AB4" s="2"/>
    </row>
    <row r="5">
      <c r="A5" s="7" t="s">
        <v>12</v>
      </c>
      <c r="B5" s="8">
        <f>SUMIFS(PENSION!F:F,PENSION!A:A,"7/22/2024")</f>
        <v>11286835.89</v>
      </c>
      <c r="C5" s="11">
        <f>COUNTIFS(PENSION!A:A,"7/22/24")</f>
        <v>31</v>
      </c>
      <c r="D5" s="10">
        <f>SUMIFS(PENSION!G:G,PENSION!A:A,"7/22/2024")</f>
        <v>9661000</v>
      </c>
      <c r="E5" s="11">
        <f t="shared" si="1"/>
        <v>0</v>
      </c>
      <c r="F5" s="12">
        <f t="shared" si="2"/>
        <v>0.8559529078</v>
      </c>
      <c r="G5" s="9">
        <f>COUNTIFS(PENSION!I:I,#REF!,PENSION!A:A,"7/22/24")</f>
        <v>0</v>
      </c>
      <c r="H5" s="11">
        <f>COUNTIFS(PENSION!I:I,#REF!,PENSION!A:A,"7/22/24")</f>
        <v>0</v>
      </c>
      <c r="I5" s="11">
        <f>COUNTIFS(PENSION!I:I,#REF!,PENSION!A:A,"7/22/24")</f>
        <v>0</v>
      </c>
      <c r="J5" s="2"/>
      <c r="K5" s="2"/>
      <c r="L5" s="2"/>
      <c r="M5" s="2"/>
      <c r="N5" s="2"/>
      <c r="O5" s="2"/>
      <c r="P5" s="2"/>
      <c r="Q5" s="2"/>
      <c r="R5" s="2"/>
      <c r="S5" s="2"/>
      <c r="T5" s="2"/>
      <c r="U5" s="2"/>
      <c r="V5" s="2"/>
      <c r="W5" s="2"/>
      <c r="X5" s="2"/>
      <c r="Y5" s="2"/>
      <c r="Z5" s="2"/>
      <c r="AA5" s="2"/>
      <c r="AB5" s="2"/>
    </row>
    <row r="6">
      <c r="A6" s="7" t="s">
        <v>13</v>
      </c>
      <c r="B6" s="8">
        <f>SUMIFS(KITENGELA!F:F,KITENGELA!A:A,"7/22/24")</f>
        <v>3437769.99</v>
      </c>
      <c r="C6" s="11">
        <f>COUNTIFS(KITENGELA!A:A,"7/22/24")</f>
        <v>33</v>
      </c>
      <c r="D6" s="10">
        <f>SUMIFS(KITENGELA!G:G,KITENGELA!A:A,"7/22/24")</f>
        <v>465168</v>
      </c>
      <c r="E6" s="11">
        <f t="shared" si="1"/>
        <v>0</v>
      </c>
      <c r="F6" s="12">
        <f t="shared" si="2"/>
        <v>0.1353109723</v>
      </c>
      <c r="G6" s="11">
        <f>COUNTIFS(KITENGELA!I:I,#REF!,KITENGELA!A:A,"7/22/24")</f>
        <v>0</v>
      </c>
      <c r="H6" s="11">
        <f>COUNTIFS(KITENGELA!I:I,#REF!,KITENGELA!A:A,"7/22/24")</f>
        <v>0</v>
      </c>
      <c r="I6" s="11">
        <f>COUNTIFS(KITENGELA!I:I,#REF!,KITENGELA!A:A,"7/22/24")</f>
        <v>0</v>
      </c>
      <c r="J6" s="2"/>
      <c r="K6" s="2"/>
      <c r="L6" s="2"/>
      <c r="M6" s="2"/>
      <c r="N6" s="2"/>
      <c r="O6" s="2"/>
      <c r="P6" s="2"/>
      <c r="Q6" s="2"/>
      <c r="R6" s="2"/>
      <c r="S6" s="2"/>
      <c r="T6" s="2"/>
      <c r="U6" s="2"/>
      <c r="V6" s="2"/>
      <c r="W6" s="2"/>
      <c r="X6" s="2"/>
      <c r="Y6" s="2"/>
      <c r="Z6" s="2"/>
      <c r="AA6" s="2"/>
      <c r="AB6" s="2"/>
    </row>
    <row r="7">
      <c r="A7" s="7" t="s">
        <v>14</v>
      </c>
      <c r="B7" s="8">
        <f>SUMIFS(ELDORET!F:F,ELDORET!A:A,"7/22/24")</f>
        <v>798423</v>
      </c>
      <c r="C7" s="11">
        <f>COUNTIFS(ELDORET!A:A,"7/22/24")</f>
        <v>13</v>
      </c>
      <c r="D7" s="10">
        <f>SUMIFS(ELDORET!G:G,ELDORET!A:A,"7/22/24")</f>
        <v>41235</v>
      </c>
      <c r="E7" s="11">
        <f t="shared" si="1"/>
        <v>0</v>
      </c>
      <c r="F7" s="12">
        <f t="shared" si="2"/>
        <v>0.0516455563</v>
      </c>
      <c r="G7" s="11">
        <f>COUNTIFS(ELDORET!I:I,#REF!,ELDORET!A:A,"7/22/24")</f>
        <v>0</v>
      </c>
      <c r="H7" s="11">
        <f>COUNTIFS(ELDORET!I:I,#REF!,ELDORET!A:A,"7/22/24")</f>
        <v>0</v>
      </c>
      <c r="I7" s="11">
        <f>COUNTIFS(ELDORET!I:I,#REF!,ELDORET!A:A,"7/22/24")</f>
        <v>0</v>
      </c>
      <c r="J7" s="2"/>
      <c r="K7" s="2"/>
      <c r="L7" s="2"/>
      <c r="M7" s="2"/>
      <c r="N7" s="2"/>
      <c r="O7" s="2"/>
      <c r="P7" s="2"/>
      <c r="Q7" s="2"/>
      <c r="R7" s="2"/>
      <c r="S7" s="2"/>
      <c r="T7" s="2"/>
      <c r="U7" s="2"/>
      <c r="V7" s="2"/>
      <c r="W7" s="2"/>
      <c r="X7" s="2"/>
      <c r="Y7" s="2"/>
      <c r="Z7" s="2"/>
      <c r="AA7" s="2"/>
      <c r="AB7" s="2"/>
    </row>
    <row r="8">
      <c r="A8" s="7" t="s">
        <v>15</v>
      </c>
      <c r="B8" s="8">
        <f>SUMIFS(NAKURU!F:F,NAKURU!A:A,"7/22/24")</f>
        <v>3488642</v>
      </c>
      <c r="C8" s="11">
        <f>COUNTIFS(NAKURU!A:A,"7/22/24")</f>
        <v>5</v>
      </c>
      <c r="D8" s="10">
        <f>SUMIFS(NAKURU!G:G,NAKURU!A:A,"7/22/24")</f>
        <v>37500</v>
      </c>
      <c r="E8" s="11">
        <f t="shared" si="1"/>
        <v>0</v>
      </c>
      <c r="F8" s="12">
        <f t="shared" si="2"/>
        <v>0.0107491683</v>
      </c>
      <c r="G8" s="9">
        <f>COUNTIFS(NAKURU!I:I,#REF!,NAKURU!A:A,"7/22/24")</f>
        <v>0</v>
      </c>
      <c r="H8" s="11">
        <f>COUNTIFS(NAKURU!I:I,#REF!,NAKURU!A:A,"7/22/24")</f>
        <v>0</v>
      </c>
      <c r="I8" s="11">
        <f>COUNTIFS(NAKURU!I:I,#REF!,NAKURU!A:A,"7/22/24")</f>
        <v>0</v>
      </c>
      <c r="J8" s="2"/>
      <c r="K8" s="2"/>
      <c r="L8" s="2"/>
      <c r="M8" s="2"/>
      <c r="N8" s="2"/>
      <c r="O8" s="2"/>
      <c r="P8" s="2"/>
      <c r="Q8" s="2"/>
      <c r="R8" s="2"/>
      <c r="S8" s="2"/>
      <c r="T8" s="2"/>
      <c r="U8" s="2"/>
      <c r="V8" s="2"/>
      <c r="W8" s="2"/>
      <c r="X8" s="2"/>
      <c r="Y8" s="2"/>
      <c r="Z8" s="2"/>
      <c r="AA8" s="2"/>
      <c r="AB8" s="2"/>
    </row>
    <row r="9">
      <c r="A9" s="7" t="s">
        <v>16</v>
      </c>
      <c r="B9" s="8">
        <f>SUMIFS(HOMABAY!F:F,HOMABAY!A:A,"7/22/24")</f>
        <v>308936</v>
      </c>
      <c r="C9" s="11">
        <f>COUNTIFS(HOMABAY!A:A,"7/22/24")</f>
        <v>4</v>
      </c>
      <c r="D9" s="10">
        <f>SUMIFS(HOMABAY!G:G,HOMABAY!A:A,"7/22/24")</f>
        <v>15936</v>
      </c>
      <c r="E9" s="11">
        <f t="shared" si="1"/>
        <v>0</v>
      </c>
      <c r="F9" s="12">
        <f t="shared" si="2"/>
        <v>0.0515834995</v>
      </c>
      <c r="G9" s="9">
        <f>COUNTIFS(HOMABAY!K:K,#REF!,HOMABAY!A:A,"7/22/24")</f>
        <v>0</v>
      </c>
      <c r="H9" s="11">
        <f>COUNTIFS(HOMABAY!K:K,#REF!,HOMABAY!A:A,"7/22/24")</f>
        <v>0</v>
      </c>
      <c r="I9" s="11">
        <f>COUNTIFS(HOMABAY!K:K,#REF!,HOMABAY!A:A,"7/22/24")</f>
        <v>0</v>
      </c>
      <c r="J9" s="2"/>
      <c r="K9" s="2"/>
      <c r="L9" s="2"/>
      <c r="M9" s="2"/>
      <c r="N9" s="2"/>
      <c r="O9" s="2"/>
      <c r="P9" s="2"/>
      <c r="Q9" s="2"/>
      <c r="R9" s="2"/>
      <c r="S9" s="2"/>
      <c r="T9" s="2"/>
      <c r="U9" s="2"/>
      <c r="V9" s="2"/>
      <c r="W9" s="2"/>
      <c r="X9" s="2"/>
      <c r="Y9" s="2"/>
      <c r="Z9" s="2"/>
      <c r="AA9" s="2"/>
      <c r="AB9" s="2"/>
    </row>
    <row r="10">
      <c r="A10" s="7" t="s">
        <v>17</v>
      </c>
      <c r="B10" s="8">
        <f>SUMIFS(MOMBASA!F:F,MOMBASA!A:A,"7/22/24")</f>
        <v>2301265.4</v>
      </c>
      <c r="C10" s="11">
        <f>COUNTIFS(MOMBASA!A:A,"7/22/24")</f>
        <v>14</v>
      </c>
      <c r="D10" s="14">
        <f>SUMIFS(MOMBASA!G:G,MOMBASA!A:A,"7/22/24")</f>
        <v>825200</v>
      </c>
      <c r="E10" s="11">
        <f t="shared" si="1"/>
        <v>0</v>
      </c>
      <c r="F10" s="12">
        <f t="shared" si="2"/>
        <v>0.3585853244</v>
      </c>
      <c r="G10" s="9">
        <f>COUNTIFS(MOMBASA!I:I,#REF!,MOMBASA!A:A,"7/22/24")</f>
        <v>0</v>
      </c>
      <c r="H10" s="11">
        <f>COUNTIFS(MOMBASA!I:I,#REF!,MOMBASA!A:A,"7/22/24")</f>
        <v>0</v>
      </c>
      <c r="I10" s="11">
        <f>COUNTIFS(MOMBASA!I:I,#REF!,MOMBASA!A:A,"7/22/24")</f>
        <v>0</v>
      </c>
      <c r="J10" s="2"/>
      <c r="K10" s="2"/>
      <c r="L10" s="2"/>
      <c r="M10" s="2"/>
      <c r="N10" s="2"/>
      <c r="O10" s="2"/>
      <c r="P10" s="2"/>
      <c r="Q10" s="2"/>
      <c r="R10" s="2"/>
      <c r="S10" s="2"/>
      <c r="T10" s="2"/>
      <c r="U10" s="2"/>
      <c r="V10" s="2"/>
      <c r="W10" s="2"/>
      <c r="X10" s="2"/>
      <c r="Y10" s="2"/>
      <c r="Z10" s="2"/>
      <c r="AA10" s="2"/>
      <c r="AB10" s="2"/>
    </row>
    <row r="11">
      <c r="A11" s="7" t="s">
        <v>18</v>
      </c>
      <c r="B11" s="8">
        <f>SUMIFS(KISUMU!F:F,KISUMU!A:A,"7/22/24")</f>
        <v>834640</v>
      </c>
      <c r="C11" s="11">
        <f>COUNTIFS(KISUMU!A:A,"7/22/24")</f>
        <v>18</v>
      </c>
      <c r="D11" s="10">
        <f>SUMIFS(KISUMU!G:G,KISUMU!A:A,"7/22/24")</f>
        <v>595735</v>
      </c>
      <c r="E11" s="11">
        <f t="shared" si="1"/>
        <v>0</v>
      </c>
      <c r="F11" s="12">
        <f t="shared" si="2"/>
        <v>0.7137628199</v>
      </c>
      <c r="G11" s="9">
        <f>COUNTIFS(KISUMU!I:I,#REF!,KISUMU!A:A,"7/22/24")</f>
        <v>0</v>
      </c>
      <c r="H11" s="11">
        <f>COUNTIFS(KISUMU!I:I,#REF!,KISUMU!A:A,"7/22/24")</f>
        <v>0</v>
      </c>
      <c r="I11" s="11">
        <f>COUNTIFS(KISUMU!I:I,#REF!,KISUMU!A:A,"7/22/24")</f>
        <v>0</v>
      </c>
      <c r="J11" s="2"/>
      <c r="K11" s="2"/>
      <c r="L11" s="2"/>
      <c r="M11" s="2"/>
      <c r="N11" s="2"/>
      <c r="O11" s="2"/>
      <c r="P11" s="2"/>
      <c r="Q11" s="2"/>
      <c r="R11" s="2"/>
      <c r="S11" s="2"/>
      <c r="T11" s="2"/>
      <c r="U11" s="2"/>
      <c r="V11" s="2"/>
      <c r="W11" s="2"/>
      <c r="X11" s="2"/>
      <c r="Y11" s="2"/>
      <c r="Z11" s="2"/>
      <c r="AA11" s="2"/>
      <c r="AB11" s="2"/>
    </row>
    <row r="12">
      <c r="A12" s="7" t="s">
        <v>19</v>
      </c>
      <c r="B12" s="8">
        <f>SUMIFS(VOI!F:F,VOI!A:A,"7/22/24")</f>
        <v>292923</v>
      </c>
      <c r="C12" s="11">
        <f>COUNTIFS(VOI!A:A,"7/22/24")</f>
        <v>11</v>
      </c>
      <c r="D12" s="10">
        <f>SUMIFS(VOI!G:G,VOI!A:A,"7/22/24")</f>
        <v>4000</v>
      </c>
      <c r="E12" s="11">
        <f t="shared" si="1"/>
        <v>0</v>
      </c>
      <c r="F12" s="12">
        <f t="shared" si="2"/>
        <v>0.01365546577</v>
      </c>
      <c r="G12" s="9">
        <f>COUNTIFS(VOI!H:H,#REF!,VOI!A:A,"7/22/24")</f>
        <v>0</v>
      </c>
      <c r="H12" s="11">
        <f>COUNTIFS(VOI!H:H,#REF!,VOI!A:A,"7/22/24")</f>
        <v>0</v>
      </c>
      <c r="I12" s="11">
        <f>COUNTIFS(VOI!H:H,#REF!,VOI!A:A,"7/22/24")</f>
        <v>0</v>
      </c>
      <c r="J12" s="2"/>
      <c r="K12" s="2"/>
      <c r="L12" s="2"/>
      <c r="M12" s="2"/>
      <c r="N12" s="2"/>
      <c r="O12" s="2"/>
      <c r="P12" s="2"/>
      <c r="Q12" s="2"/>
      <c r="R12" s="2"/>
      <c r="S12" s="2"/>
      <c r="T12" s="2"/>
      <c r="U12" s="2"/>
      <c r="V12" s="2"/>
      <c r="W12" s="2"/>
      <c r="X12" s="2"/>
      <c r="Y12" s="2"/>
      <c r="Z12" s="2"/>
      <c r="AA12" s="2"/>
      <c r="AB12" s="2"/>
    </row>
    <row r="13">
      <c r="A13" s="7" t="s">
        <v>20</v>
      </c>
      <c r="B13" s="8">
        <f>SUMIFS(THIKA!F:F,THIKA!A:A,"7/22/24")</f>
        <v>1779935</v>
      </c>
      <c r="C13" s="11">
        <f>COUNTIFS(THIKA!A:A,"7/22/24")</f>
        <v>15</v>
      </c>
      <c r="D13" s="10">
        <f>SUMIFS(THIKA!G:G,THIKA!A:A,"7/22/24")</f>
        <v>771825</v>
      </c>
      <c r="E13" s="11">
        <f t="shared" si="1"/>
        <v>0</v>
      </c>
      <c r="F13" s="12">
        <f t="shared" si="2"/>
        <v>0.4336253852</v>
      </c>
      <c r="G13" s="9">
        <f>COUNTIFS(THIKA!I:I,#REF!,THIKA!A:A,"7/22/24")</f>
        <v>0</v>
      </c>
      <c r="H13" s="11">
        <f>COUNTIFS(THIKA!I:I,#REF!,THIKA!A:A,"7/22/24")</f>
        <v>0</v>
      </c>
      <c r="I13" s="11">
        <f>COUNTIFS(THIKA!I:I,#REF!,THIKA!A:A,"7/22/24")</f>
        <v>0</v>
      </c>
      <c r="J13" s="2"/>
      <c r="K13" s="2"/>
      <c r="L13" s="2"/>
      <c r="M13" s="2"/>
      <c r="N13" s="2"/>
      <c r="O13" s="2"/>
      <c r="P13" s="2"/>
      <c r="Q13" s="2"/>
      <c r="R13" s="2"/>
      <c r="S13" s="2"/>
      <c r="T13" s="2"/>
      <c r="U13" s="2"/>
      <c r="V13" s="2"/>
      <c r="W13" s="2"/>
      <c r="X13" s="2"/>
      <c r="Y13" s="2"/>
      <c r="Z13" s="2"/>
      <c r="AA13" s="2"/>
      <c r="AB13" s="2"/>
    </row>
    <row r="14">
      <c r="A14" s="7" t="s">
        <v>21</v>
      </c>
      <c r="B14" s="8">
        <f>SUMIFS(KITUI!F:F,KITUI!A:A,"7/22/24")</f>
        <v>176476</v>
      </c>
      <c r="C14" s="11">
        <f>COUNTIFS(KITUI!A:A,"7/22/24")</f>
        <v>2</v>
      </c>
      <c r="D14" s="10">
        <f>SUMIFS(KITUI!G:G,KITUI!A:A,"7/22/24")</f>
        <v>50000</v>
      </c>
      <c r="E14" s="11">
        <f t="shared" si="1"/>
        <v>0</v>
      </c>
      <c r="F14" s="12">
        <f t="shared" si="2"/>
        <v>0.2833246447</v>
      </c>
      <c r="G14" s="9">
        <f>COUNTIFS(KITUI!I:I,#REF!,KITUI!A:A,"7/22/24")</f>
        <v>0</v>
      </c>
      <c r="H14" s="11">
        <f>COUNTIFS(KITUI!I:I,#REF!,KITUI!A:A,"7/22/24")</f>
        <v>0</v>
      </c>
      <c r="I14" s="11">
        <f>COUNTIFS(KITUI!I:I,#REF!,KITUI!A:A,"7/22/24")</f>
        <v>0</v>
      </c>
      <c r="J14" s="2"/>
      <c r="K14" s="2"/>
      <c r="L14" s="2"/>
      <c r="M14" s="2"/>
      <c r="N14" s="2"/>
      <c r="O14" s="2"/>
      <c r="P14" s="2"/>
      <c r="Q14" s="2"/>
      <c r="R14" s="2"/>
      <c r="S14" s="2"/>
      <c r="T14" s="2"/>
      <c r="U14" s="2"/>
      <c r="V14" s="2"/>
      <c r="W14" s="2"/>
      <c r="X14" s="2"/>
      <c r="Y14" s="2"/>
      <c r="Z14" s="2"/>
      <c r="AA14" s="2"/>
      <c r="AB14" s="2"/>
    </row>
    <row r="15">
      <c r="A15" s="15" t="s">
        <v>22</v>
      </c>
      <c r="B15" s="8">
        <f>SUMIFS(MACHAKOS!F:F,MACHAKOS!A:A,"7/22/24")</f>
        <v>127487</v>
      </c>
      <c r="C15" s="11">
        <f>COUNTIFS(MACHAKOS!A:A,"7/22/24")</f>
        <v>1</v>
      </c>
      <c r="D15" s="10">
        <f>SUMIFS(MACHAKOS!G:G,MACHAKOS!A:A,"7/22/24")</f>
        <v>0</v>
      </c>
      <c r="E15" s="11">
        <f t="shared" si="1"/>
        <v>0</v>
      </c>
      <c r="F15" s="12">
        <f t="shared" si="2"/>
        <v>0</v>
      </c>
      <c r="G15" s="9">
        <f>COUNTIFS(MACHAKOS!I:I,#REF!,MACHAKOS!A:A,"7/22/24")</f>
        <v>0</v>
      </c>
      <c r="H15" s="11">
        <f>COUNTIFS(MACHAKOS!I:I,#REF!,MACHAKOS!A:A,"7/22/24")</f>
        <v>0</v>
      </c>
      <c r="I15" s="11">
        <f>COUNTIFS(MACHAKOS!I:I,#REF!,MACHAKOS!A:A,"7/22/24")</f>
        <v>0</v>
      </c>
      <c r="J15" s="2"/>
      <c r="K15" s="2"/>
      <c r="L15" s="2"/>
      <c r="M15" s="2"/>
      <c r="N15" s="2"/>
      <c r="O15" s="2"/>
      <c r="P15" s="2"/>
      <c r="Q15" s="2"/>
      <c r="R15" s="2"/>
      <c r="S15" s="2"/>
      <c r="T15" s="2"/>
      <c r="U15" s="2"/>
      <c r="V15" s="2"/>
      <c r="W15" s="2"/>
      <c r="X15" s="2"/>
      <c r="Y15" s="2"/>
      <c r="Z15" s="2"/>
      <c r="AA15" s="2"/>
      <c r="AB15" s="2"/>
    </row>
    <row r="16">
      <c r="A16" s="16" t="s">
        <v>23</v>
      </c>
      <c r="B16" s="17">
        <f t="shared" ref="B16:E16" si="3">SUM(B3:B15)</f>
        <v>43351952.3</v>
      </c>
      <c r="C16" s="18">
        <f t="shared" si="3"/>
        <v>207</v>
      </c>
      <c r="D16" s="19">
        <f t="shared" si="3"/>
        <v>14926412</v>
      </c>
      <c r="E16" s="18">
        <f t="shared" si="3"/>
        <v>0</v>
      </c>
      <c r="F16" s="20">
        <f>D16/B16</f>
        <v>0.3443077234</v>
      </c>
      <c r="G16" s="21">
        <f t="shared" ref="G16:I16" si="4">SUM(G3:G15)</f>
        <v>0</v>
      </c>
      <c r="H16" s="21">
        <f t="shared" si="4"/>
        <v>0</v>
      </c>
      <c r="I16" s="21">
        <f t="shared" si="4"/>
        <v>0</v>
      </c>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3" t="s">
        <v>1</v>
      </c>
      <c r="B18" s="4" t="s">
        <v>2</v>
      </c>
      <c r="C18" s="4" t="s">
        <v>3</v>
      </c>
      <c r="D18" s="4" t="s">
        <v>4</v>
      </c>
      <c r="E18" s="5" t="s">
        <v>5</v>
      </c>
      <c r="F18" s="6" t="s">
        <v>6</v>
      </c>
      <c r="G18" s="6" t="s">
        <v>7</v>
      </c>
      <c r="H18" s="6" t="s">
        <v>8</v>
      </c>
      <c r="I18" s="6" t="s">
        <v>9</v>
      </c>
      <c r="J18" s="2"/>
      <c r="K18" s="2"/>
      <c r="L18" s="2"/>
      <c r="M18" s="2"/>
      <c r="N18" s="2"/>
      <c r="O18" s="2"/>
      <c r="P18" s="2"/>
      <c r="Q18" s="2"/>
      <c r="R18" s="2"/>
      <c r="S18" s="2"/>
      <c r="T18" s="2"/>
      <c r="U18" s="2"/>
      <c r="V18" s="2"/>
      <c r="W18" s="2"/>
      <c r="X18" s="2"/>
      <c r="Y18" s="2"/>
      <c r="Z18" s="2"/>
      <c r="AA18" s="2"/>
      <c r="AB18" s="2"/>
    </row>
    <row r="19">
      <c r="A19" s="7" t="s">
        <v>10</v>
      </c>
      <c r="B19" s="8">
        <f>SUMIFS(ECOBANK!F:F,ECOBANK!A:A,"7/23/24")</f>
        <v>12723509.29</v>
      </c>
      <c r="C19" s="9">
        <f>COUNTIFS(ECOBANK!A:A,"7/23/24")</f>
        <v>15</v>
      </c>
      <c r="D19" s="10">
        <f>SUMIFS(ECOBANK!G:G,ECOBANK!A:A,"7/23/24")</f>
        <v>800000</v>
      </c>
      <c r="E19" s="11">
        <f t="shared" ref="E19:E31" si="5">G19+H19</f>
        <v>15</v>
      </c>
      <c r="F19" s="12">
        <f t="shared" ref="F19:F31" si="6">iferror(D19/B19,0)</f>
        <v>0.06287573513</v>
      </c>
      <c r="G19" s="9">
        <f>COUNTIFS(ECOBANK!I:I,$G$18,ECOBANK!A:A,"7/23/24")</f>
        <v>3</v>
      </c>
      <c r="H19" s="11">
        <f>COUNTIFS(ECOBANK!I:I,$H$18,ECOBANK!A:A,"7/23/24")</f>
        <v>12</v>
      </c>
      <c r="I19" s="11">
        <f>COUNTIFS(ECOBANK!I:I,$I$18,ECOBANK!A:A,"7/23/24")</f>
        <v>0</v>
      </c>
      <c r="J19" s="2"/>
      <c r="K19" s="2"/>
      <c r="L19" s="2"/>
      <c r="M19" s="2"/>
      <c r="N19" s="2"/>
      <c r="O19" s="2"/>
      <c r="P19" s="2"/>
      <c r="Q19" s="2"/>
      <c r="R19" s="2"/>
      <c r="S19" s="2"/>
      <c r="T19" s="2"/>
      <c r="U19" s="2"/>
      <c r="V19" s="2"/>
      <c r="W19" s="2"/>
      <c r="X19" s="2"/>
      <c r="Y19" s="2"/>
      <c r="Z19" s="2"/>
      <c r="AA19" s="2"/>
      <c r="AB19" s="2"/>
    </row>
    <row r="20">
      <c r="A20" s="7" t="s">
        <v>24</v>
      </c>
      <c r="B20" s="8">
        <f>SUMIFS('TRADE CENTER'!F:F,'TRADE CENTER'!A:A,"7/23/24")</f>
        <v>14168889.55</v>
      </c>
      <c r="C20" s="11">
        <f>COUNTIFS('TRADE CENTER'!A:A,"7/23/24")</f>
        <v>43</v>
      </c>
      <c r="D20" s="10">
        <f>SUMIFS('TRADE CENTER'!G:G,'TRADE CENTER'!A:A,"7/23/24")</f>
        <v>575809.16</v>
      </c>
      <c r="E20" s="11">
        <f t="shared" si="5"/>
        <v>7</v>
      </c>
      <c r="F20" s="12">
        <f t="shared" si="6"/>
        <v>0.04063897583</v>
      </c>
      <c r="G20" s="11">
        <f>COUNTIFS('TRADE CENTER'!I:I,$G$18,'TRADE CENTER'!A:A,"7/23/24")</f>
        <v>2</v>
      </c>
      <c r="H20" s="11">
        <f>COUNTIFS('TRADE CENTER'!I:I,$H$18,'TRADE CENTER'!A:A,"7/23/24")</f>
        <v>5</v>
      </c>
      <c r="I20" s="11">
        <f>COUNTIFS('TRADE CENTER'!I:I,$I$18,'TRADE CENTER'!A:A,"7/23/24")</f>
        <v>36</v>
      </c>
      <c r="J20" s="2"/>
      <c r="K20" s="2"/>
      <c r="L20" s="2"/>
      <c r="M20" s="2"/>
      <c r="N20" s="2"/>
      <c r="O20" s="2"/>
      <c r="P20" s="2"/>
      <c r="Q20" s="2"/>
      <c r="R20" s="2"/>
      <c r="S20" s="2"/>
      <c r="T20" s="2"/>
      <c r="U20" s="2"/>
      <c r="V20" s="2"/>
      <c r="W20" s="2"/>
      <c r="X20" s="2"/>
      <c r="Y20" s="2"/>
      <c r="Z20" s="2"/>
      <c r="AA20" s="2"/>
      <c r="AB20" s="2"/>
    </row>
    <row r="21">
      <c r="A21" s="7" t="s">
        <v>12</v>
      </c>
      <c r="B21" s="8">
        <f>SUMIFS(PENSION!F:F,PENSION!A:A,"7/23/2024")</f>
        <v>4316693.31</v>
      </c>
      <c r="C21" s="11">
        <f>COUNTIFS(PENSION!A:A,"7/23/24")</f>
        <v>38</v>
      </c>
      <c r="D21" s="10">
        <f>SUMIFS(PENSION!G:G,PENSION!A:A,"7/23/2024")</f>
        <v>2239247</v>
      </c>
      <c r="E21" s="11">
        <f t="shared" si="5"/>
        <v>5</v>
      </c>
      <c r="F21" s="12">
        <f t="shared" si="6"/>
        <v>0.518741277</v>
      </c>
      <c r="G21" s="9">
        <f>COUNTIFS(PENSION!I:I,$G$18,PENSION!A:A,"7/23/24")</f>
        <v>2</v>
      </c>
      <c r="H21" s="11">
        <f>COUNTIFS(PENSION!I:I,$H$18,PENSION!A:A,"7/23/24")</f>
        <v>3</v>
      </c>
      <c r="I21" s="11">
        <f>COUNTIFS(PENSION!I:I,$I$18,PENSION!A:A,"7/23/24")</f>
        <v>31</v>
      </c>
      <c r="J21" s="2"/>
      <c r="K21" s="2"/>
      <c r="L21" s="2"/>
      <c r="M21" s="2"/>
      <c r="N21" s="2"/>
      <c r="O21" s="2"/>
      <c r="P21" s="2"/>
      <c r="Q21" s="2"/>
      <c r="R21" s="2"/>
      <c r="S21" s="2"/>
      <c r="T21" s="2"/>
      <c r="U21" s="2"/>
      <c r="V21" s="2"/>
      <c r="W21" s="2"/>
      <c r="X21" s="2"/>
      <c r="Y21" s="2"/>
      <c r="Z21" s="2"/>
      <c r="AA21" s="2"/>
      <c r="AB21" s="2"/>
    </row>
    <row r="22">
      <c r="A22" s="7" t="s">
        <v>13</v>
      </c>
      <c r="B22" s="8">
        <f>SUMIFS(KITENGELA!F:F,KITENGELA!A:A,"7/23/24")</f>
        <v>2562270.72</v>
      </c>
      <c r="C22" s="11">
        <f>COUNTIFS(KITENGELA!A:A,"7/23/24")</f>
        <v>30</v>
      </c>
      <c r="D22" s="10">
        <f>SUMIFS(KITENGELA!G:G,KITENGELA!A:A,"7/23/24")</f>
        <v>269901</v>
      </c>
      <c r="E22" s="11">
        <f t="shared" si="5"/>
        <v>3</v>
      </c>
      <c r="F22" s="12">
        <f t="shared" si="6"/>
        <v>0.1053366445</v>
      </c>
      <c r="G22" s="11">
        <f>COUNTIFS(KITENGELA!I:I,$G$18,KITENGELA!A:A,"7/23/24")</f>
        <v>0</v>
      </c>
      <c r="H22" s="11">
        <f>COUNTIFS(KITENGELA!I:I,$H$18,KITENGELA!A:A,"7/23/24")</f>
        <v>3</v>
      </c>
      <c r="I22" s="11">
        <f>COUNTIFS(KITENGELA!I:I,$I$18,KITENGELA!A:A,"7/23/24")</f>
        <v>27</v>
      </c>
      <c r="J22" s="2"/>
      <c r="K22" s="2"/>
      <c r="L22" s="2"/>
      <c r="M22" s="2"/>
      <c r="N22" s="2"/>
      <c r="O22" s="2"/>
      <c r="P22" s="2"/>
      <c r="Q22" s="2"/>
      <c r="R22" s="2"/>
      <c r="S22" s="2"/>
      <c r="T22" s="2"/>
      <c r="U22" s="2"/>
      <c r="V22" s="2"/>
      <c r="W22" s="2"/>
      <c r="X22" s="2"/>
      <c r="Y22" s="2"/>
      <c r="Z22" s="2"/>
      <c r="AA22" s="2"/>
      <c r="AB22" s="2"/>
    </row>
    <row r="23">
      <c r="A23" s="7" t="s">
        <v>14</v>
      </c>
      <c r="B23" s="8">
        <f>SUMIFS(ELDORET!F:F,ELDORET!A:A,"7/23/24")</f>
        <v>1159258</v>
      </c>
      <c r="C23" s="11">
        <f>COUNTIFS(ELDORET!A:A,"7/23/24")</f>
        <v>12</v>
      </c>
      <c r="D23" s="10">
        <f>SUMIFS(ELDORET!G:G,ELDORET!A:A,"7/23/24")</f>
        <v>421000</v>
      </c>
      <c r="E23" s="11">
        <f t="shared" si="5"/>
        <v>3</v>
      </c>
      <c r="F23" s="12">
        <f t="shared" si="6"/>
        <v>0.3631633338</v>
      </c>
      <c r="G23" s="11">
        <f>COUNTIFS(ELDORET!I:I,$G$18,ELDORET!A:A,"7/23/24")</f>
        <v>1</v>
      </c>
      <c r="H23" s="11">
        <f>COUNTIFS(ELDORET!I:I,$H$18,ELDORET!A:A,"7/23/24")</f>
        <v>2</v>
      </c>
      <c r="I23" s="11">
        <f>COUNTIFS(ELDORET!I:I,$I$18,ELDORET!A:A,"7/23/24")</f>
        <v>9</v>
      </c>
      <c r="J23" s="2"/>
      <c r="K23" s="2"/>
      <c r="L23" s="2"/>
      <c r="M23" s="2"/>
      <c r="N23" s="2"/>
      <c r="O23" s="2"/>
      <c r="P23" s="2"/>
      <c r="Q23" s="2"/>
      <c r="R23" s="2"/>
      <c r="S23" s="2"/>
      <c r="T23" s="2"/>
      <c r="U23" s="2"/>
      <c r="V23" s="2"/>
      <c r="W23" s="2"/>
      <c r="X23" s="2"/>
      <c r="Y23" s="2"/>
      <c r="Z23" s="2"/>
      <c r="AA23" s="2"/>
      <c r="AB23" s="2"/>
    </row>
    <row r="24">
      <c r="A24" s="7" t="s">
        <v>15</v>
      </c>
      <c r="B24" s="8">
        <f>SUMIFS(NAKURU!F:F,NAKURU!A:A,"7/23/24")</f>
        <v>290000</v>
      </c>
      <c r="C24" s="11">
        <f>COUNTIFS(NAKURU!A:A,"7/23/24")</f>
        <v>4</v>
      </c>
      <c r="D24" s="10">
        <f>SUMIFS(NAKURU!G:G,NAKURU!A:A,"7/23/24")</f>
        <v>301472</v>
      </c>
      <c r="E24" s="11">
        <f t="shared" si="5"/>
        <v>4</v>
      </c>
      <c r="F24" s="12">
        <f t="shared" si="6"/>
        <v>1.039558621</v>
      </c>
      <c r="G24" s="9">
        <f>COUNTIFS(NAKURU!I:I,$G$18,NAKURU!A:A,"7/23/24")</f>
        <v>0</v>
      </c>
      <c r="H24" s="11">
        <f>COUNTIFS(NAKURU!I:I,$H$18,NAKURU!A:A,"7/23/24")</f>
        <v>4</v>
      </c>
      <c r="I24" s="11">
        <f>COUNTIFS(NAKURU!I:I,$I$18,NAKURU!A:A,"7/23/24")</f>
        <v>0</v>
      </c>
      <c r="J24" s="2"/>
      <c r="K24" s="2"/>
      <c r="L24" s="2"/>
      <c r="M24" s="2"/>
      <c r="N24" s="2"/>
      <c r="O24" s="2"/>
      <c r="P24" s="2"/>
      <c r="Q24" s="2"/>
      <c r="R24" s="2"/>
      <c r="S24" s="2"/>
      <c r="T24" s="2"/>
      <c r="U24" s="2"/>
      <c r="V24" s="2"/>
      <c r="W24" s="2"/>
      <c r="X24" s="2"/>
      <c r="Y24" s="2"/>
      <c r="Z24" s="2"/>
      <c r="AA24" s="2"/>
      <c r="AB24" s="2"/>
    </row>
    <row r="25">
      <c r="A25" s="7" t="s">
        <v>16</v>
      </c>
      <c r="B25" s="8">
        <f>SUMIFS(HOMABAY!F:F,HOMABAY!A:A,"7/23/24")</f>
        <v>232000</v>
      </c>
      <c r="C25" s="11">
        <f>COUNTIFS(HOMABAY!A:A,"7/23/24")</f>
        <v>4</v>
      </c>
      <c r="D25" s="10">
        <f>SUMIFS(HOMABAY!G:G,HOMABAY!A:A,"7/23/24")</f>
        <v>0</v>
      </c>
      <c r="E25" s="11">
        <f t="shared" si="5"/>
        <v>0</v>
      </c>
      <c r="F25" s="12">
        <f t="shared" si="6"/>
        <v>0</v>
      </c>
      <c r="G25" s="9">
        <f>COUNTIFS(HOMABAY!K:K,$G$18,HOMABAY!A:A,"7/23/24")</f>
        <v>0</v>
      </c>
      <c r="H25" s="11">
        <f>COUNTIFS(HOMABAY!K:K,$H$18,HOMABAY!A:A,"7/23/24")</f>
        <v>0</v>
      </c>
      <c r="I25" s="11">
        <f>COUNTIFS(HOMABAY!K:K,$I$18,HOMABAY!A:A,"7/23/24")</f>
        <v>4</v>
      </c>
      <c r="J25" s="2"/>
      <c r="K25" s="2"/>
      <c r="L25" s="2"/>
      <c r="M25" s="2"/>
      <c r="N25" s="2"/>
      <c r="O25" s="2"/>
      <c r="P25" s="2"/>
      <c r="Q25" s="2"/>
      <c r="R25" s="2"/>
      <c r="S25" s="2"/>
      <c r="T25" s="2"/>
      <c r="U25" s="2"/>
      <c r="V25" s="2"/>
      <c r="W25" s="2"/>
      <c r="X25" s="2"/>
      <c r="Y25" s="2"/>
      <c r="Z25" s="2"/>
      <c r="AA25" s="2"/>
      <c r="AB25" s="2"/>
    </row>
    <row r="26">
      <c r="A26" s="7" t="s">
        <v>17</v>
      </c>
      <c r="B26" s="8">
        <f>SUMIFS(MOMBASA!F:F,MOMBASA!A:A,"7/23/24")</f>
        <v>1740248.65</v>
      </c>
      <c r="C26" s="11">
        <f>COUNTIFS(MOMBASA!A:A,"7/23/24")</f>
        <v>20</v>
      </c>
      <c r="D26" s="14">
        <f>SUMIFS(MOMBASA!G:G,MOMBASA!A:A,"7/23/24")</f>
        <v>251000</v>
      </c>
      <c r="E26" s="11">
        <f t="shared" si="5"/>
        <v>5</v>
      </c>
      <c r="F26" s="12">
        <f t="shared" si="6"/>
        <v>0.1442322624</v>
      </c>
      <c r="G26" s="9">
        <f>COUNTIFS(MOMBASA!I:I,$G$18,MOMBASA!A:A,"7/23/24")</f>
        <v>2</v>
      </c>
      <c r="H26" s="11">
        <f>COUNTIFS(MOMBASA!I:I,$H$18,MOMBASA!A:A,"7/23/24")</f>
        <v>3</v>
      </c>
      <c r="I26" s="11">
        <f>COUNTIFS(MOMBASA!I:I,$I$18,MOMBASA!A:A,"7/23/24")</f>
        <v>15</v>
      </c>
      <c r="J26" s="2"/>
      <c r="K26" s="2"/>
      <c r="L26" s="2"/>
      <c r="M26" s="2"/>
      <c r="N26" s="2"/>
      <c r="O26" s="2"/>
      <c r="P26" s="2"/>
      <c r="Q26" s="2"/>
      <c r="R26" s="2"/>
      <c r="S26" s="2"/>
      <c r="T26" s="2"/>
      <c r="U26" s="2"/>
      <c r="V26" s="2"/>
      <c r="W26" s="2"/>
      <c r="X26" s="2"/>
      <c r="Y26" s="2"/>
      <c r="Z26" s="2"/>
      <c r="AA26" s="2"/>
      <c r="AB26" s="2"/>
    </row>
    <row r="27">
      <c r="A27" s="7" t="s">
        <v>18</v>
      </c>
      <c r="B27" s="8">
        <f>SUMIFS(KISUMU!F:F,KISUMU!A:A,"7/23/24")</f>
        <v>950900.1</v>
      </c>
      <c r="C27" s="11">
        <f>COUNTIFS(KISUMU!A:A,"7/23/24")</f>
        <v>22</v>
      </c>
      <c r="D27" s="10">
        <f>SUMIFS(KISUMU!G:G,KISUMU!A:A,"7/23/24")</f>
        <v>98183</v>
      </c>
      <c r="E27" s="11">
        <f t="shared" si="5"/>
        <v>5</v>
      </c>
      <c r="F27" s="12">
        <f t="shared" si="6"/>
        <v>0.1032526971</v>
      </c>
      <c r="G27" s="9">
        <f>COUNTIFS(KISUMU!I:I,$G$18,KISUMU!A:A,"7/23/24")</f>
        <v>1</v>
      </c>
      <c r="H27" s="11">
        <f>COUNTIFS(KISUMU!I:I,$H$18,KISUMU!A:A,"7/23/24")</f>
        <v>4</v>
      </c>
      <c r="I27" s="11">
        <f>COUNTIFS(KISUMU!I:I,$I$18,KISUMU!A:A,"7/23/24")</f>
        <v>17</v>
      </c>
      <c r="J27" s="2"/>
      <c r="K27" s="2"/>
      <c r="L27" s="2"/>
      <c r="M27" s="2"/>
      <c r="N27" s="2"/>
      <c r="O27" s="2"/>
      <c r="P27" s="2"/>
      <c r="Q27" s="2"/>
      <c r="R27" s="2"/>
      <c r="S27" s="2"/>
      <c r="T27" s="2"/>
      <c r="U27" s="2"/>
      <c r="V27" s="2"/>
      <c r="W27" s="2"/>
      <c r="X27" s="2"/>
      <c r="Y27" s="2"/>
      <c r="Z27" s="2"/>
      <c r="AA27" s="2"/>
      <c r="AB27" s="2"/>
    </row>
    <row r="28">
      <c r="A28" s="7" t="s">
        <v>19</v>
      </c>
      <c r="B28" s="8">
        <f>SUMIFS(VOI!F:F,VOI!A:A,"7/23/24")</f>
        <v>364960</v>
      </c>
      <c r="C28" s="11">
        <f>COUNTIFS(VOI!A:A,"7/23/24")</f>
        <v>12</v>
      </c>
      <c r="D28" s="10">
        <f>SUMIFS(VOI!G:G,VOI!A:A,"7/23/24")</f>
        <v>13000</v>
      </c>
      <c r="E28" s="11">
        <f t="shared" si="5"/>
        <v>1</v>
      </c>
      <c r="F28" s="12">
        <f t="shared" si="6"/>
        <v>0.03562034196</v>
      </c>
      <c r="G28" s="9">
        <f>COUNTIFS(VOI!H:H,$G$18,VOI!A:A,"7/23/24")</f>
        <v>1</v>
      </c>
      <c r="H28" s="11">
        <f>COUNTIFS(VOI!H:H,$H$18,VOI!A:A,"7/23/24")</f>
        <v>0</v>
      </c>
      <c r="I28" s="11">
        <f>COUNTIFS(VOI!H:H,$I$18,VOI!A:A,"7/23/24")</f>
        <v>11</v>
      </c>
      <c r="J28" s="2"/>
      <c r="K28" s="2"/>
      <c r="L28" s="2"/>
      <c r="M28" s="2"/>
      <c r="N28" s="2"/>
      <c r="O28" s="2"/>
      <c r="P28" s="2"/>
      <c r="Q28" s="2"/>
      <c r="R28" s="2"/>
      <c r="S28" s="2"/>
      <c r="T28" s="2"/>
      <c r="U28" s="2"/>
      <c r="V28" s="2"/>
      <c r="W28" s="2"/>
      <c r="X28" s="2"/>
      <c r="Y28" s="2"/>
      <c r="Z28" s="2"/>
      <c r="AA28" s="2"/>
      <c r="AB28" s="2"/>
    </row>
    <row r="29">
      <c r="A29" s="7" t="s">
        <v>20</v>
      </c>
      <c r="B29" s="8">
        <f>SUMIFS(THIKA!F:F,THIKA!A:A,"7/23/24")</f>
        <v>1762523.24</v>
      </c>
      <c r="C29" s="11">
        <f>COUNTIFS(THIKA!A:A,"7/23/24")</f>
        <v>16</v>
      </c>
      <c r="D29" s="10">
        <f>SUMIFS(THIKA!G:G,THIKA!A:A,"7/23/24")</f>
        <v>50283</v>
      </c>
      <c r="E29" s="11">
        <f t="shared" si="5"/>
        <v>2</v>
      </c>
      <c r="F29" s="12">
        <f t="shared" si="6"/>
        <v>0.02852898552</v>
      </c>
      <c r="G29" s="9">
        <f>COUNTIFS(THIKA!I:I,$G$18,THIKA!A:A,"7/23/24")</f>
        <v>1</v>
      </c>
      <c r="H29" s="11">
        <f>COUNTIFS(THIKA!I:I,$H$18,THIKA!A:A,"7/23/24")</f>
        <v>1</v>
      </c>
      <c r="I29" s="11">
        <f>COUNTIFS(THIKA!I:I,$I$18,THIKA!A:A,"7/23/24")</f>
        <v>14</v>
      </c>
      <c r="J29" s="2"/>
      <c r="K29" s="2"/>
      <c r="L29" s="2"/>
      <c r="M29" s="2"/>
      <c r="N29" s="2"/>
      <c r="O29" s="2"/>
      <c r="P29" s="2"/>
      <c r="Q29" s="2"/>
      <c r="R29" s="2"/>
      <c r="S29" s="2"/>
      <c r="T29" s="2"/>
      <c r="U29" s="2"/>
      <c r="V29" s="2"/>
      <c r="W29" s="2"/>
      <c r="X29" s="2"/>
      <c r="Y29" s="2"/>
      <c r="Z29" s="2"/>
      <c r="AA29" s="2"/>
      <c r="AB29" s="2"/>
    </row>
    <row r="30">
      <c r="A30" s="7" t="s">
        <v>21</v>
      </c>
      <c r="B30" s="8">
        <f>SUMIFS(KITUI!F:F,KITUI!A:A,"7/23/24")</f>
        <v>136200</v>
      </c>
      <c r="C30" s="11">
        <f>COUNTIFS(KITUI!A:A,"7/23/24")</f>
        <v>2</v>
      </c>
      <c r="D30" s="10">
        <f>SUMIFS(KITUI!G:G,KITUI!A:A,"7/23/24")</f>
        <v>0</v>
      </c>
      <c r="E30" s="11">
        <f t="shared" si="5"/>
        <v>0</v>
      </c>
      <c r="F30" s="12">
        <f t="shared" si="6"/>
        <v>0</v>
      </c>
      <c r="G30" s="9">
        <f>COUNTIFS(KITUI!I:I,$G$18,KITUI!A:A,"7/23/24")</f>
        <v>0</v>
      </c>
      <c r="H30" s="11">
        <f>COUNTIFS(KITUI!I:I,$H$18,KITUI!A:A,"7/23/24")</f>
        <v>0</v>
      </c>
      <c r="I30" s="11">
        <f>COUNTIFS(KITUI!I:I,$I$18,KITUI!A:A,"7/23/24")</f>
        <v>2</v>
      </c>
      <c r="J30" s="2"/>
      <c r="K30" s="2"/>
      <c r="L30" s="2"/>
      <c r="M30" s="2"/>
      <c r="N30" s="2"/>
      <c r="O30" s="2"/>
      <c r="P30" s="2"/>
      <c r="Q30" s="2"/>
      <c r="R30" s="2"/>
      <c r="S30" s="2"/>
      <c r="T30" s="2"/>
      <c r="U30" s="2"/>
      <c r="V30" s="2"/>
      <c r="W30" s="2"/>
      <c r="X30" s="2"/>
      <c r="Y30" s="2"/>
      <c r="Z30" s="2"/>
      <c r="AA30" s="2"/>
      <c r="AB30" s="2"/>
    </row>
    <row r="31">
      <c r="A31" s="15" t="s">
        <v>22</v>
      </c>
      <c r="B31" s="8">
        <f>SUMIFS(MACHAKOS!F:F,MACHAKOS!A:A,"7/23/24")</f>
        <v>166910.39</v>
      </c>
      <c r="C31" s="11">
        <f>COUNTIFS(MACHAKOS!A:A,"7/23/24")</f>
        <v>2</v>
      </c>
      <c r="D31" s="10">
        <f>SUMIFS(MACHAKOS!G:G,MACHAKOS!A:A,"7/23/24")</f>
        <v>0</v>
      </c>
      <c r="E31" s="11">
        <f t="shared" si="5"/>
        <v>0</v>
      </c>
      <c r="F31" s="12">
        <f t="shared" si="6"/>
        <v>0</v>
      </c>
      <c r="G31" s="9">
        <f>COUNTIFS(MACHAKOS!I:I,$G$18,MACHAKOS!A:A,"7/23/24")</f>
        <v>0</v>
      </c>
      <c r="H31" s="11">
        <f>COUNTIFS(MACHAKOS!I:I,$H$18,MACHAKOS!A:A,"7/23/24")</f>
        <v>0</v>
      </c>
      <c r="I31" s="11">
        <f>COUNTIFS(MACHAKOS!I:I,$I$18,MACHAKOS!A:A,"7/23/24")</f>
        <v>2</v>
      </c>
      <c r="J31" s="2"/>
      <c r="K31" s="2"/>
      <c r="L31" s="2"/>
      <c r="M31" s="2"/>
      <c r="N31" s="2"/>
      <c r="O31" s="2"/>
      <c r="P31" s="2"/>
      <c r="Q31" s="2"/>
      <c r="R31" s="2"/>
      <c r="S31" s="2"/>
      <c r="T31" s="2"/>
      <c r="U31" s="2"/>
      <c r="V31" s="2"/>
      <c r="W31" s="2"/>
      <c r="X31" s="2"/>
      <c r="Y31" s="2"/>
      <c r="Z31" s="2"/>
      <c r="AA31" s="2"/>
      <c r="AB31" s="2"/>
    </row>
    <row r="32">
      <c r="A32" s="16" t="s">
        <v>23</v>
      </c>
      <c r="B32" s="17">
        <f t="shared" ref="B32:E32" si="7">SUM(B19:B31)</f>
        <v>40574363.25</v>
      </c>
      <c r="C32" s="18">
        <f t="shared" si="7"/>
        <v>220</v>
      </c>
      <c r="D32" s="19">
        <f t="shared" si="7"/>
        <v>5019895.16</v>
      </c>
      <c r="E32" s="18">
        <f t="shared" si="7"/>
        <v>50</v>
      </c>
      <c r="F32" s="20">
        <f>D32/B32</f>
        <v>0.1237208611</v>
      </c>
      <c r="G32" s="21">
        <f t="shared" ref="G32:I32" si="8">SUM(G19:G31)</f>
        <v>13</v>
      </c>
      <c r="H32" s="21">
        <f t="shared" si="8"/>
        <v>37</v>
      </c>
      <c r="I32" s="21">
        <f t="shared" si="8"/>
        <v>168</v>
      </c>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3" t="s">
        <v>1</v>
      </c>
      <c r="B34" s="4" t="s">
        <v>2</v>
      </c>
      <c r="C34" s="4" t="s">
        <v>3</v>
      </c>
      <c r="D34" s="4" t="s">
        <v>4</v>
      </c>
      <c r="E34" s="5" t="s">
        <v>5</v>
      </c>
      <c r="F34" s="6" t="s">
        <v>6</v>
      </c>
      <c r="G34" s="6" t="s">
        <v>7</v>
      </c>
      <c r="H34" s="6" t="s">
        <v>8</v>
      </c>
      <c r="I34" s="6" t="s">
        <v>9</v>
      </c>
      <c r="J34" s="2"/>
      <c r="K34" s="2"/>
      <c r="L34" s="2"/>
      <c r="M34" s="2"/>
      <c r="N34" s="2"/>
      <c r="O34" s="2"/>
      <c r="P34" s="2"/>
      <c r="Q34" s="2"/>
      <c r="R34" s="2"/>
      <c r="S34" s="2"/>
      <c r="T34" s="2"/>
      <c r="U34" s="2"/>
      <c r="V34" s="2"/>
      <c r="W34" s="2"/>
      <c r="X34" s="2"/>
      <c r="Y34" s="2"/>
      <c r="Z34" s="2"/>
      <c r="AA34" s="2"/>
      <c r="AB34" s="2"/>
    </row>
    <row r="35">
      <c r="A35" s="7" t="s">
        <v>10</v>
      </c>
      <c r="B35" s="8">
        <f>SUMIFS(ECOBANK!F:F,ECOBANK!A:A,"7/24/24")</f>
        <v>10669742</v>
      </c>
      <c r="C35" s="9">
        <f>COUNTIFS(ECOBANK!A:A,"7/24/24")</f>
        <v>11</v>
      </c>
      <c r="D35" s="10">
        <f>SUMIFS(ECOBANK!G:G,ECOBANK!A:A,"7/24/24")</f>
        <v>30868</v>
      </c>
      <c r="E35" s="11">
        <f t="shared" ref="E35:E47" si="9">G35+H35</f>
        <v>2</v>
      </c>
      <c r="F35" s="12">
        <f t="shared" ref="F35:F47" si="10">iferror(D35/B35,0)</f>
        <v>0.0028930409</v>
      </c>
      <c r="G35" s="9">
        <f>COUNTIFS(ECOBANK!I:I,$G$18,ECOBANK!A:A,"7/24/24")</f>
        <v>1</v>
      </c>
      <c r="H35" s="11">
        <f>COUNTIFS(ECOBANK!I:I,$H$18,ECOBANK!A:A,"7/24/24")</f>
        <v>1</v>
      </c>
      <c r="I35" s="11">
        <f>COUNTIFS(ECOBANK!I:I,$I$18,ECOBANK!A:A,"7/24/24")</f>
        <v>9</v>
      </c>
      <c r="J35" s="2"/>
      <c r="K35" s="2"/>
      <c r="L35" s="2"/>
      <c r="M35" s="2"/>
      <c r="N35" s="2"/>
      <c r="O35" s="2"/>
      <c r="P35" s="2"/>
      <c r="Q35" s="2"/>
      <c r="R35" s="2"/>
      <c r="S35" s="2"/>
      <c r="T35" s="2"/>
      <c r="U35" s="2"/>
      <c r="V35" s="2"/>
      <c r="W35" s="2"/>
      <c r="X35" s="2"/>
      <c r="Y35" s="2"/>
      <c r="Z35" s="2"/>
      <c r="AA35" s="2"/>
      <c r="AB35" s="2"/>
    </row>
    <row r="36">
      <c r="A36" s="7" t="s">
        <v>24</v>
      </c>
      <c r="B36" s="8">
        <f>SUMIFS('TRADE CENTER'!F:F,'TRADE CENTER'!A:A,"7/24/24")</f>
        <v>11270062.07</v>
      </c>
      <c r="C36" s="11">
        <f>COUNTIFS('TRADE CENTER'!A:A,"7/24/24")</f>
        <v>31</v>
      </c>
      <c r="D36" s="10">
        <f>SUMIFS('TRADE CENTER'!G:G,'TRADE CENTER'!A:A,"7/24/24")</f>
        <v>256757</v>
      </c>
      <c r="E36" s="11">
        <f t="shared" si="9"/>
        <v>5</v>
      </c>
      <c r="F36" s="12">
        <f t="shared" si="10"/>
        <v>0.02278221703</v>
      </c>
      <c r="G36" s="11">
        <f>COUNTIFS('TRADE CENTER'!I:I,$G$18,'TRADE CENTER'!A:A,"7/24/24")</f>
        <v>3</v>
      </c>
      <c r="H36" s="11">
        <f>COUNTIFS('TRADE CENTER'!I:I,$H$18,'TRADE CENTER'!A:A,"7/24/24")</f>
        <v>2</v>
      </c>
      <c r="I36" s="11">
        <f>COUNTIFS('TRADE CENTER'!I:I,$I$18,'TRADE CENTER'!A:A,"7/24/24")</f>
        <v>26</v>
      </c>
      <c r="J36" s="2"/>
      <c r="K36" s="2"/>
      <c r="L36" s="2"/>
      <c r="M36" s="2"/>
      <c r="N36" s="2"/>
      <c r="O36" s="2"/>
      <c r="P36" s="2"/>
      <c r="Q36" s="2"/>
      <c r="R36" s="2"/>
      <c r="S36" s="2"/>
      <c r="T36" s="2"/>
      <c r="U36" s="2"/>
      <c r="V36" s="2"/>
      <c r="W36" s="2"/>
      <c r="X36" s="2"/>
      <c r="Y36" s="2"/>
      <c r="Z36" s="2"/>
      <c r="AA36" s="2"/>
      <c r="AB36" s="2"/>
    </row>
    <row r="37">
      <c r="A37" s="7" t="s">
        <v>12</v>
      </c>
      <c r="B37" s="8">
        <f>SUMIFS(PENSION!F:F,PENSION!A:A,"7/24/2024")</f>
        <v>5068038.43</v>
      </c>
      <c r="C37" s="11">
        <f>COUNTIFS(PENSION!A:A,"7/24/24")</f>
        <v>44</v>
      </c>
      <c r="D37" s="10">
        <f>SUMIFS(PENSION!G:G,PENSION!A:A,"7/24/2024")</f>
        <v>1130080</v>
      </c>
      <c r="E37" s="11">
        <f t="shared" si="9"/>
        <v>3</v>
      </c>
      <c r="F37" s="12">
        <f t="shared" si="10"/>
        <v>0.2229817346</v>
      </c>
      <c r="G37" s="9">
        <f>COUNTIFS(PENSION!I:I,$G$18,PENSION!A:A,"7/24/24")</f>
        <v>0</v>
      </c>
      <c r="H37" s="11">
        <f>COUNTIFS(PENSION!I:I,$H$18,PENSION!A:A,"7/24/24")</f>
        <v>3</v>
      </c>
      <c r="I37" s="11">
        <f>COUNTIFS(PENSION!I:I,$I$18,PENSION!A:A,"7/24/24")</f>
        <v>41</v>
      </c>
      <c r="J37" s="2"/>
      <c r="K37" s="2"/>
      <c r="L37" s="2"/>
      <c r="M37" s="2"/>
      <c r="N37" s="2"/>
      <c r="O37" s="2"/>
      <c r="P37" s="2"/>
      <c r="Q37" s="2"/>
      <c r="R37" s="2"/>
      <c r="S37" s="2"/>
      <c r="T37" s="2"/>
      <c r="U37" s="2"/>
      <c r="V37" s="2"/>
      <c r="W37" s="2"/>
      <c r="X37" s="2"/>
      <c r="Y37" s="2"/>
      <c r="Z37" s="2"/>
      <c r="AA37" s="2"/>
      <c r="AB37" s="2"/>
    </row>
    <row r="38">
      <c r="A38" s="7" t="s">
        <v>13</v>
      </c>
      <c r="B38" s="8">
        <f>SUMIFS(KITENGELA!F:F,KITENGELA!A:A,"7/24/24")</f>
        <v>2352719.51</v>
      </c>
      <c r="C38" s="11">
        <f>COUNTIFS(KITENGELA!A:A,"7/24/24")</f>
        <v>25</v>
      </c>
      <c r="D38" s="10">
        <f>SUMIFS(KITENGELA!G:G,KITENGELA!A:A,"7/24/24")</f>
        <v>475701</v>
      </c>
      <c r="E38" s="11">
        <f t="shared" si="9"/>
        <v>6</v>
      </c>
      <c r="F38" s="12">
        <f t="shared" si="10"/>
        <v>0.2021919732</v>
      </c>
      <c r="G38" s="11">
        <f>COUNTIFS(KITENGELA!I:I,$G$18,KITENGELA!A:A,"7/24/24")</f>
        <v>2</v>
      </c>
      <c r="H38" s="11">
        <f>COUNTIFS(KITENGELA!I:I,$H$18,KITENGELA!A:A,"7/24/24")</f>
        <v>4</v>
      </c>
      <c r="I38" s="11">
        <f>COUNTIFS(KITENGELA!I:I,$I$18,KITENGELA!A:A,"7/24/24")</f>
        <v>19</v>
      </c>
      <c r="J38" s="2"/>
      <c r="K38" s="2"/>
      <c r="L38" s="2"/>
      <c r="M38" s="2"/>
      <c r="N38" s="2"/>
      <c r="O38" s="2"/>
      <c r="P38" s="2"/>
      <c r="Q38" s="2"/>
      <c r="R38" s="2"/>
      <c r="S38" s="2"/>
      <c r="T38" s="2"/>
      <c r="U38" s="2"/>
      <c r="V38" s="2"/>
      <c r="W38" s="2"/>
      <c r="X38" s="2"/>
      <c r="Y38" s="2"/>
      <c r="Z38" s="2"/>
      <c r="AA38" s="2"/>
      <c r="AB38" s="2"/>
    </row>
    <row r="39">
      <c r="A39" s="7" t="s">
        <v>14</v>
      </c>
      <c r="B39" s="8">
        <f>SUMIFS(ELDORET!F:F,ELDORET!A:A,"7/24/24")</f>
        <v>1074278</v>
      </c>
      <c r="C39" s="11">
        <f>COUNTIFS(ELDORET!A:A,"7/24/24")</f>
        <v>13</v>
      </c>
      <c r="D39" s="10">
        <f>SUMIFS(ELDORET!G:G,ELDORET!A:A,"7/24/24")</f>
        <v>68823</v>
      </c>
      <c r="E39" s="11">
        <f t="shared" si="9"/>
        <v>3</v>
      </c>
      <c r="F39" s="12">
        <f t="shared" si="10"/>
        <v>0.0640644228</v>
      </c>
      <c r="G39" s="11">
        <f>COUNTIFS(ELDORET!I:I,$G$18,ELDORET!A:A,"7/24/24")</f>
        <v>0</v>
      </c>
      <c r="H39" s="11">
        <f>COUNTIFS(ELDORET!I:I,$H$18,ELDORET!A:A,"7/24/24")</f>
        <v>3</v>
      </c>
      <c r="I39" s="11">
        <f>COUNTIFS(ELDORET!I:I,$I$18,ELDORET!A:A,"7/24/24")</f>
        <v>10</v>
      </c>
      <c r="J39" s="2"/>
      <c r="K39" s="2"/>
      <c r="L39" s="2"/>
      <c r="M39" s="2"/>
      <c r="N39" s="2"/>
      <c r="O39" s="2"/>
      <c r="P39" s="2"/>
      <c r="Q39" s="2"/>
      <c r="R39" s="2"/>
      <c r="S39" s="2"/>
      <c r="T39" s="2"/>
      <c r="U39" s="2"/>
      <c r="V39" s="2"/>
      <c r="W39" s="2"/>
      <c r="X39" s="2"/>
      <c r="Y39" s="2"/>
      <c r="Z39" s="2"/>
      <c r="AA39" s="2"/>
      <c r="AB39" s="2"/>
    </row>
    <row r="40">
      <c r="A40" s="7" t="s">
        <v>15</v>
      </c>
      <c r="B40" s="8">
        <f>SUMIFS(NAKURU!F:F,NAKURU!A:A,"7/24/24")</f>
        <v>50500</v>
      </c>
      <c r="C40" s="11">
        <f>COUNTIFS(NAKURU!A:A,"7/24/24")</f>
        <v>2</v>
      </c>
      <c r="D40" s="10">
        <f>SUMIFS(NAKURU!G:G,NAKURU!A:A,"7/24/24")</f>
        <v>11570</v>
      </c>
      <c r="E40" s="11">
        <f t="shared" si="9"/>
        <v>1</v>
      </c>
      <c r="F40" s="12">
        <f t="shared" si="10"/>
        <v>0.2291089109</v>
      </c>
      <c r="G40" s="9">
        <f>COUNTIFS(NAKURU!I:I,$G$18,NAKURU!A:A,"7/24/24")</f>
        <v>0</v>
      </c>
      <c r="H40" s="11">
        <f>COUNTIFS(NAKURU!I:I,$H$18,NAKURU!A:A,"7/24/24")</f>
        <v>1</v>
      </c>
      <c r="I40" s="11">
        <f>COUNTIFS(NAKURU!I:I,$I$18,NAKURU!A:A,"7/24/24")</f>
        <v>1</v>
      </c>
      <c r="J40" s="2"/>
      <c r="K40" s="2"/>
      <c r="L40" s="2"/>
      <c r="M40" s="2"/>
      <c r="N40" s="2"/>
      <c r="O40" s="2"/>
      <c r="P40" s="2"/>
      <c r="Q40" s="2"/>
      <c r="R40" s="2"/>
      <c r="S40" s="2"/>
      <c r="T40" s="2"/>
      <c r="U40" s="2"/>
      <c r="V40" s="2"/>
      <c r="W40" s="2"/>
      <c r="X40" s="2"/>
      <c r="Y40" s="2"/>
      <c r="Z40" s="2"/>
      <c r="AA40" s="2"/>
      <c r="AB40" s="2"/>
    </row>
    <row r="41">
      <c r="A41" s="7" t="s">
        <v>16</v>
      </c>
      <c r="B41" s="8">
        <f>SUMIFS(HOMABAY!F:F,HOMABAY!A:A,"7/24/24")</f>
        <v>119000</v>
      </c>
      <c r="C41" s="11">
        <f>COUNTIFS(HOMABAY!A:A,"7/24/24")</f>
        <v>4</v>
      </c>
      <c r="D41" s="10">
        <f>SUMIFS(HOMABAY!G:G,HOMABAY!A:A,"7/24/24")</f>
        <v>97000</v>
      </c>
      <c r="E41" s="11">
        <f t="shared" si="9"/>
        <v>3</v>
      </c>
      <c r="F41" s="12">
        <f t="shared" si="10"/>
        <v>0.8151260504</v>
      </c>
      <c r="G41" s="9">
        <f>COUNTIFS(HOMABAY!K:K,$G$18,HOMABAY!A:A,"7/24/24")</f>
        <v>1</v>
      </c>
      <c r="H41" s="11">
        <f>COUNTIFS(HOMABAY!K:K,$H$18,HOMABAY!A:A,"7/24/24")</f>
        <v>2</v>
      </c>
      <c r="I41" s="11">
        <f>COUNTIFS(HOMABAY!K:K,$I$18,HOMABAY!A:A,"7/24/24")</f>
        <v>1</v>
      </c>
      <c r="J41" s="2"/>
      <c r="K41" s="2"/>
      <c r="L41" s="2"/>
      <c r="M41" s="2"/>
      <c r="N41" s="2"/>
      <c r="O41" s="2"/>
      <c r="P41" s="2"/>
      <c r="Q41" s="2"/>
      <c r="R41" s="2"/>
      <c r="S41" s="2"/>
      <c r="T41" s="2"/>
      <c r="U41" s="2"/>
      <c r="V41" s="2"/>
      <c r="W41" s="2"/>
      <c r="X41" s="2"/>
      <c r="Y41" s="2"/>
      <c r="Z41" s="2"/>
      <c r="AA41" s="2"/>
      <c r="AB41" s="2"/>
    </row>
    <row r="42">
      <c r="A42" s="7" t="s">
        <v>17</v>
      </c>
      <c r="B42" s="8">
        <f>SUMIFS(MOMBASA!F:F,MOMBASA!A:A,"7/24/24")</f>
        <v>3341485.48</v>
      </c>
      <c r="C42" s="11">
        <f>COUNTIFS(MOMBASA!A:A,"7/24/24")</f>
        <v>19</v>
      </c>
      <c r="D42" s="14">
        <f>SUMIFS(MOMBASA!G:G,MOMBASA!A:A,"7/24/24")</f>
        <v>1524228</v>
      </c>
      <c r="E42" s="11">
        <f t="shared" si="9"/>
        <v>10</v>
      </c>
      <c r="F42" s="12">
        <f t="shared" si="10"/>
        <v>0.4561528126</v>
      </c>
      <c r="G42" s="9">
        <f>COUNTIFS(MOMBASA!I:I,$G$18,MOMBASA!A:A,"7/24/24")</f>
        <v>2</v>
      </c>
      <c r="H42" s="11">
        <f>COUNTIFS(MOMBASA!I:I,$H$18,MOMBASA!A:A,"7/24/24")</f>
        <v>8</v>
      </c>
      <c r="I42" s="11">
        <f>COUNTIFS(MOMBASA!I:I,$I$18,MOMBASA!A:A,"7/24/24")</f>
        <v>9</v>
      </c>
      <c r="J42" s="2"/>
      <c r="K42" s="2"/>
      <c r="L42" s="2"/>
      <c r="M42" s="2"/>
      <c r="N42" s="2"/>
      <c r="O42" s="2"/>
      <c r="P42" s="2"/>
      <c r="Q42" s="2"/>
      <c r="R42" s="2"/>
      <c r="S42" s="2"/>
      <c r="T42" s="2"/>
      <c r="U42" s="2"/>
      <c r="V42" s="2"/>
      <c r="W42" s="2"/>
      <c r="X42" s="2"/>
      <c r="Y42" s="2"/>
      <c r="Z42" s="2"/>
      <c r="AA42" s="2"/>
      <c r="AB42" s="2"/>
    </row>
    <row r="43">
      <c r="A43" s="7" t="s">
        <v>18</v>
      </c>
      <c r="B43" s="8">
        <f>SUMIFS(KISUMU!F:F,KISUMU!A:A,"7/24/24")</f>
        <v>1684357.94</v>
      </c>
      <c r="C43" s="11">
        <f>COUNTIFS(KISUMU!A:A,"7/24/24")</f>
        <v>21</v>
      </c>
      <c r="D43" s="10">
        <f>SUMIFS(KISUMU!G:G,KISUMU!A:A,"7/24/24")</f>
        <v>98773</v>
      </c>
      <c r="E43" s="11">
        <f t="shared" si="9"/>
        <v>2</v>
      </c>
      <c r="F43" s="12">
        <f t="shared" si="10"/>
        <v>0.05864133606</v>
      </c>
      <c r="G43" s="9">
        <f>COUNTIFS(KISUMU!I:I,$G$18,KISUMU!A:A,"7/24/24")</f>
        <v>1</v>
      </c>
      <c r="H43" s="11">
        <f>COUNTIFS(KISUMU!I:I,$H$18,KISUMU!A:A,"7/24/24")</f>
        <v>1</v>
      </c>
      <c r="I43" s="11">
        <f>COUNTIFS(KISUMU!I:I,$I$18,KISUMU!A:A,"7/24/24")</f>
        <v>19</v>
      </c>
      <c r="J43" s="2"/>
      <c r="K43" s="2"/>
      <c r="L43" s="2"/>
      <c r="M43" s="2"/>
      <c r="N43" s="2"/>
      <c r="O43" s="2"/>
      <c r="P43" s="2"/>
      <c r="Q43" s="2"/>
      <c r="R43" s="2"/>
      <c r="S43" s="2"/>
      <c r="T43" s="2"/>
      <c r="U43" s="2"/>
      <c r="V43" s="2"/>
      <c r="W43" s="2"/>
      <c r="X43" s="2"/>
      <c r="Y43" s="2"/>
      <c r="Z43" s="2"/>
      <c r="AA43" s="2"/>
      <c r="AB43" s="2"/>
    </row>
    <row r="44">
      <c r="A44" s="7" t="s">
        <v>19</v>
      </c>
      <c r="B44" s="8">
        <f>SUMIFS(VOI!F:F,VOI!A:A,"7/24/24")</f>
        <v>391960</v>
      </c>
      <c r="C44" s="11">
        <f>COUNTIFS(VOI!A:A,"7/24/24")</f>
        <v>13</v>
      </c>
      <c r="D44" s="10">
        <f>SUMIFS(VOI!G:G,VOI!A:A,"7/24/24")</f>
        <v>103667</v>
      </c>
      <c r="E44" s="11">
        <f t="shared" si="9"/>
        <v>2</v>
      </c>
      <c r="F44" s="12">
        <f t="shared" si="10"/>
        <v>0.2644836208</v>
      </c>
      <c r="G44" s="9">
        <f>COUNTIFS(VOI!H:H,$G$18,VOI!A:A,"7/24/24")</f>
        <v>1</v>
      </c>
      <c r="H44" s="11">
        <f>COUNTIFS(VOI!H:H,$H$18,VOI!A:A,"7/24/24")</f>
        <v>1</v>
      </c>
      <c r="I44" s="11">
        <f>COUNTIFS(VOI!H:H,$I$18,VOI!A:A,"7/24/24")</f>
        <v>11</v>
      </c>
      <c r="J44" s="2"/>
      <c r="K44" s="2"/>
      <c r="L44" s="2"/>
      <c r="M44" s="2"/>
      <c r="N44" s="2"/>
      <c r="O44" s="2"/>
      <c r="P44" s="2"/>
      <c r="Q44" s="2"/>
      <c r="R44" s="2"/>
      <c r="S44" s="2"/>
      <c r="T44" s="2"/>
      <c r="U44" s="2"/>
      <c r="V44" s="2"/>
      <c r="W44" s="2"/>
      <c r="X44" s="2"/>
      <c r="Y44" s="2"/>
      <c r="Z44" s="2"/>
      <c r="AA44" s="2"/>
      <c r="AB44" s="2"/>
    </row>
    <row r="45">
      <c r="A45" s="7" t="s">
        <v>20</v>
      </c>
      <c r="B45" s="8">
        <f>SUMIFS(THIKA!F:F,THIKA!A:A,"7/24/24")</f>
        <v>5245141</v>
      </c>
      <c r="C45" s="11">
        <f>COUNTIFS(THIKA!A:A,"7/24/24")</f>
        <v>15</v>
      </c>
      <c r="D45" s="10">
        <f>SUMIFS(THIKA!G:G,THIKA!A:A,"7/24/24")</f>
        <v>143500</v>
      </c>
      <c r="E45" s="11">
        <f t="shared" si="9"/>
        <v>2</v>
      </c>
      <c r="F45" s="12">
        <f t="shared" si="10"/>
        <v>0.02735865442</v>
      </c>
      <c r="G45" s="9">
        <f>COUNTIFS(THIKA!I:I,$G$18,THIKA!A:A,"7/24/24")</f>
        <v>2</v>
      </c>
      <c r="H45" s="11">
        <f>COUNTIFS(THIKA!I:I,$H$18,THIKA!A:A,"7/24/24")</f>
        <v>0</v>
      </c>
      <c r="I45" s="11">
        <f>COUNTIFS(THIKA!I:I,$I$18,THIKA!A:A,"7/24/24")</f>
        <v>13</v>
      </c>
      <c r="J45" s="2"/>
      <c r="K45" s="2"/>
      <c r="L45" s="2"/>
      <c r="M45" s="2"/>
      <c r="N45" s="2"/>
      <c r="O45" s="2"/>
      <c r="P45" s="2"/>
      <c r="Q45" s="2"/>
      <c r="R45" s="2"/>
      <c r="S45" s="2"/>
      <c r="T45" s="2"/>
      <c r="U45" s="2"/>
      <c r="V45" s="2"/>
      <c r="W45" s="2"/>
      <c r="X45" s="2"/>
      <c r="Y45" s="2"/>
      <c r="Z45" s="2"/>
      <c r="AA45" s="2"/>
      <c r="AB45" s="2"/>
    </row>
    <row r="46">
      <c r="A46" s="7" t="s">
        <v>21</v>
      </c>
      <c r="B46" s="8">
        <f>SUMIFS(KITUI!F:F,KITUI!A:A,"7/24/24")</f>
        <v>136200</v>
      </c>
      <c r="C46" s="11">
        <f>COUNTIFS(KITUI!A:A,"7/24/24")</f>
        <v>2</v>
      </c>
      <c r="D46" s="10">
        <f>SUMIFS(KITUI!G:G,KITUI!A:A,"7/24/24")</f>
        <v>98000</v>
      </c>
      <c r="E46" s="11">
        <f t="shared" si="9"/>
        <v>1</v>
      </c>
      <c r="F46" s="12">
        <f t="shared" si="10"/>
        <v>0.7195301028</v>
      </c>
      <c r="G46" s="9">
        <f>COUNTIFS(KITUI!I:I,$G$18,KITUI!A:A,"7/24/24")</f>
        <v>0</v>
      </c>
      <c r="H46" s="11">
        <f>COUNTIFS(KITUI!I:I,$H$18,KITUI!A:A,"7/24/24")</f>
        <v>1</v>
      </c>
      <c r="I46" s="11">
        <f>COUNTIFS(KITUI!I:I,$I$18,KITUI!A:A,"7/24/24")</f>
        <v>1</v>
      </c>
      <c r="J46" s="2"/>
      <c r="K46" s="2"/>
      <c r="L46" s="2"/>
      <c r="M46" s="2"/>
      <c r="N46" s="2"/>
      <c r="O46" s="2"/>
      <c r="P46" s="2"/>
      <c r="Q46" s="2"/>
      <c r="R46" s="2"/>
      <c r="S46" s="2"/>
      <c r="T46" s="2"/>
      <c r="U46" s="2"/>
      <c r="V46" s="2"/>
      <c r="W46" s="2"/>
      <c r="X46" s="2"/>
      <c r="Y46" s="2"/>
      <c r="Z46" s="2"/>
      <c r="AA46" s="2"/>
      <c r="AB46" s="2"/>
    </row>
    <row r="47">
      <c r="A47" s="15" t="s">
        <v>22</v>
      </c>
      <c r="B47" s="8">
        <f>SUMIFS(MACHAKOS!F:F,MACHAKOS!A:A,"7/24/24")</f>
        <v>166910.39</v>
      </c>
      <c r="C47" s="11">
        <f>COUNTIFS(MACHAKOS!A:A,"7/24/24")</f>
        <v>2</v>
      </c>
      <c r="D47" s="10">
        <f>SUMIFS(MACHAKOS!G:G,MACHAKOS!A:A,"7/24/24")</f>
        <v>20000</v>
      </c>
      <c r="E47" s="11">
        <f t="shared" si="9"/>
        <v>1</v>
      </c>
      <c r="F47" s="12">
        <f t="shared" si="10"/>
        <v>0.1198247754</v>
      </c>
      <c r="G47" s="9">
        <f>COUNTIFS(MACHAKOS!I:I,$G$18,MACHAKOS!A:A,"7/24/24")</f>
        <v>1</v>
      </c>
      <c r="H47" s="11">
        <f>COUNTIFS(MACHAKOS!I:I,$H$18,MACHAKOS!A:A,"7/24/24")</f>
        <v>0</v>
      </c>
      <c r="I47" s="11">
        <f>COUNTIFS(MACHAKOS!I:I,$I$18,MACHAKOS!A:A,"7/24/24")</f>
        <v>1</v>
      </c>
      <c r="J47" s="2"/>
      <c r="K47" s="2"/>
      <c r="L47" s="2"/>
      <c r="M47" s="2"/>
      <c r="N47" s="2"/>
      <c r="O47" s="2"/>
      <c r="P47" s="2"/>
      <c r="Q47" s="2"/>
      <c r="R47" s="2"/>
      <c r="S47" s="2"/>
      <c r="T47" s="2"/>
      <c r="U47" s="2"/>
      <c r="V47" s="2"/>
      <c r="W47" s="2"/>
      <c r="X47" s="2"/>
      <c r="Y47" s="2"/>
      <c r="Z47" s="2"/>
      <c r="AA47" s="2"/>
      <c r="AB47" s="2"/>
    </row>
    <row r="48">
      <c r="A48" s="16" t="s">
        <v>23</v>
      </c>
      <c r="B48" s="17">
        <f t="shared" ref="B48:E48" si="11">SUM(B35:B47)</f>
        <v>41570394.82</v>
      </c>
      <c r="C48" s="18">
        <f t="shared" si="11"/>
        <v>202</v>
      </c>
      <c r="D48" s="19">
        <f t="shared" si="11"/>
        <v>4058967</v>
      </c>
      <c r="E48" s="18">
        <f t="shared" si="11"/>
        <v>41</v>
      </c>
      <c r="F48" s="20">
        <f>D48/B48</f>
        <v>0.09764080946</v>
      </c>
      <c r="G48" s="21">
        <f t="shared" ref="G48:I48" si="12">SUM(G35:G47)</f>
        <v>14</v>
      </c>
      <c r="H48" s="21">
        <f t="shared" si="12"/>
        <v>27</v>
      </c>
      <c r="I48" s="21">
        <f t="shared" si="12"/>
        <v>161</v>
      </c>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3" t="s">
        <v>1</v>
      </c>
      <c r="B50" s="4" t="s">
        <v>2</v>
      </c>
      <c r="C50" s="4" t="s">
        <v>3</v>
      </c>
      <c r="D50" s="4" t="s">
        <v>4</v>
      </c>
      <c r="E50" s="5" t="s">
        <v>5</v>
      </c>
      <c r="F50" s="6" t="s">
        <v>6</v>
      </c>
      <c r="G50" s="6" t="s">
        <v>7</v>
      </c>
      <c r="H50" s="6" t="s">
        <v>8</v>
      </c>
      <c r="I50" s="6" t="s">
        <v>9</v>
      </c>
      <c r="J50" s="2"/>
      <c r="K50" s="2"/>
      <c r="L50" s="2"/>
      <c r="M50" s="2"/>
      <c r="N50" s="2"/>
      <c r="O50" s="2"/>
      <c r="P50" s="2"/>
      <c r="Q50" s="2"/>
      <c r="R50" s="2"/>
      <c r="S50" s="2"/>
      <c r="T50" s="2"/>
      <c r="U50" s="2"/>
      <c r="V50" s="2"/>
      <c r="W50" s="2"/>
      <c r="X50" s="2"/>
      <c r="Y50" s="2"/>
      <c r="Z50" s="2"/>
      <c r="AA50" s="2"/>
      <c r="AB50" s="2"/>
    </row>
    <row r="51">
      <c r="A51" s="7" t="s">
        <v>10</v>
      </c>
      <c r="B51" s="8">
        <f>SUMIFS(ECOBANK!F:F,ECOBANK!A:A,"7/25/24")</f>
        <v>9551518</v>
      </c>
      <c r="C51" s="9">
        <f>COUNTIFS(ECOBANK!A:A,"7/25/24")</f>
        <v>15</v>
      </c>
      <c r="D51" s="10">
        <f>SUMIFS(ECOBANK!G:G,ECOBANK!A:A,"7/25/24")</f>
        <v>644487</v>
      </c>
      <c r="E51" s="11">
        <f t="shared" ref="E51:E63" si="13">G51+H51</f>
        <v>8</v>
      </c>
      <c r="F51" s="12">
        <f t="shared" ref="F51:F63" si="14">iferror(D51/B51,0)</f>
        <v>0.06747482442</v>
      </c>
      <c r="G51" s="9">
        <f>COUNTIFS(ECOBANK!I:I,$G$18,ECOBANK!A:A,"7/25/24")</f>
        <v>5</v>
      </c>
      <c r="H51" s="11">
        <f>COUNTIFS(ECOBANK!I:I,$H$18,ECOBANK!A:A,"7/25/24")</f>
        <v>3</v>
      </c>
      <c r="I51" s="11">
        <f>COUNTIFS(ECOBANK!I:I,$I$18,ECOBANK!A:A,"7/25/24")</f>
        <v>7</v>
      </c>
      <c r="J51" s="2"/>
      <c r="K51" s="2"/>
      <c r="L51" s="2"/>
      <c r="M51" s="2"/>
      <c r="N51" s="2"/>
      <c r="O51" s="2"/>
      <c r="P51" s="2"/>
      <c r="Q51" s="2"/>
      <c r="R51" s="2"/>
      <c r="S51" s="2"/>
      <c r="T51" s="2"/>
      <c r="U51" s="2"/>
      <c r="V51" s="2"/>
      <c r="W51" s="2"/>
      <c r="X51" s="2"/>
      <c r="Y51" s="2"/>
      <c r="Z51" s="2"/>
      <c r="AA51" s="2"/>
      <c r="AB51" s="2"/>
    </row>
    <row r="52">
      <c r="A52" s="7" t="s">
        <v>24</v>
      </c>
      <c r="B52" s="8">
        <f>SUMIFS('TRADE CENTER'!F:F,'TRADE CENTER'!A:A,"7/25/24")</f>
        <v>15459940.33</v>
      </c>
      <c r="C52" s="11">
        <f>COUNTIFS('TRADE CENTER'!A:A,"7/25/24")</f>
        <v>44</v>
      </c>
      <c r="D52" s="10">
        <f>SUMIFS('TRADE CENTER'!G:G,'TRADE CENTER'!A:A,"7/25/24")</f>
        <v>2022256</v>
      </c>
      <c r="E52" s="11">
        <f t="shared" si="13"/>
        <v>10</v>
      </c>
      <c r="F52" s="12">
        <f t="shared" si="14"/>
        <v>0.130806197</v>
      </c>
      <c r="G52" s="11">
        <f>COUNTIFS('TRADE CENTER'!I:I,$G$18,'TRADE CENTER'!A:A,"7/25/24")</f>
        <v>5</v>
      </c>
      <c r="H52" s="11">
        <f>COUNTIFS('TRADE CENTER'!I:I,$H$18,'TRADE CENTER'!A:A,"7/25/24")</f>
        <v>5</v>
      </c>
      <c r="I52" s="11">
        <f>COUNTIFS('TRADE CENTER'!I:I,$I$18,'TRADE CENTER'!A:A,"7/25/24")</f>
        <v>34</v>
      </c>
      <c r="J52" s="2"/>
      <c r="K52" s="2"/>
      <c r="L52" s="2"/>
      <c r="M52" s="2"/>
      <c r="N52" s="2"/>
      <c r="O52" s="2"/>
      <c r="P52" s="2"/>
      <c r="Q52" s="2"/>
      <c r="R52" s="2"/>
      <c r="S52" s="2"/>
      <c r="T52" s="2"/>
      <c r="U52" s="2"/>
      <c r="V52" s="2"/>
      <c r="W52" s="2"/>
      <c r="X52" s="2"/>
      <c r="Y52" s="2"/>
      <c r="Z52" s="2"/>
      <c r="AA52" s="2"/>
      <c r="AB52" s="2"/>
    </row>
    <row r="53">
      <c r="A53" s="7" t="s">
        <v>12</v>
      </c>
      <c r="B53" s="8">
        <f>SUMIFS(PENSION!F:F,PENSION!A:A,"7/25/2024")</f>
        <v>5244013.45</v>
      </c>
      <c r="C53" s="11">
        <f>COUNTIFS(PENSION!A:A,"7/25/24")</f>
        <v>37</v>
      </c>
      <c r="D53" s="10">
        <f>SUMIFS(PENSION!G:G,PENSION!A:A,"7/25/2024")</f>
        <v>3098600</v>
      </c>
      <c r="E53" s="11">
        <f t="shared" si="13"/>
        <v>6</v>
      </c>
      <c r="F53" s="12">
        <f t="shared" si="14"/>
        <v>0.5908833052</v>
      </c>
      <c r="G53" s="9">
        <f>COUNTIFS(PENSION!I:I,$G$18,PENSION!A:A,"7/25/24")</f>
        <v>4</v>
      </c>
      <c r="H53" s="11">
        <f>COUNTIFS(PENSION!I:I,$H$18,PENSION!A:A,"7/25/24")</f>
        <v>2</v>
      </c>
      <c r="I53" s="11">
        <f>COUNTIFS(PENSION!I:I,$I$18,PENSION!A:A,"7/25/24")</f>
        <v>31</v>
      </c>
      <c r="J53" s="2"/>
      <c r="K53" s="2"/>
      <c r="L53" s="2"/>
      <c r="M53" s="2"/>
      <c r="N53" s="2"/>
      <c r="O53" s="2"/>
      <c r="P53" s="2"/>
      <c r="Q53" s="2"/>
      <c r="R53" s="2"/>
      <c r="S53" s="2"/>
      <c r="T53" s="2"/>
      <c r="U53" s="2"/>
      <c r="V53" s="2"/>
      <c r="W53" s="2"/>
      <c r="X53" s="2"/>
      <c r="Y53" s="2"/>
      <c r="Z53" s="2"/>
      <c r="AA53" s="2"/>
      <c r="AB53" s="2"/>
    </row>
    <row r="54">
      <c r="A54" s="7" t="s">
        <v>13</v>
      </c>
      <c r="B54" s="8">
        <f>SUMIFS(KITENGELA!F:F,KITENGELA!A:A,"7/25/24")</f>
        <v>2417849.5</v>
      </c>
      <c r="C54" s="11">
        <f>COUNTIFS(KITENGELA!A:A,"7/25/24")</f>
        <v>33</v>
      </c>
      <c r="D54" s="10">
        <f>SUMIFS(KITENGELA!G:G,KITENGELA!A:A,"7/25/24")</f>
        <v>386818</v>
      </c>
      <c r="E54" s="11">
        <f t="shared" si="13"/>
        <v>7</v>
      </c>
      <c r="F54" s="12">
        <f t="shared" si="14"/>
        <v>0.1599843166</v>
      </c>
      <c r="G54" s="11">
        <f>COUNTIFS(KITENGELA!I:I,$G$18,KITENGELA!A:A,"7/25/24")</f>
        <v>3</v>
      </c>
      <c r="H54" s="11">
        <f>COUNTIFS(KITENGELA!I:I,$H$18,KITENGELA!A:A,"7/25/24")</f>
        <v>4</v>
      </c>
      <c r="I54" s="11">
        <f>COUNTIFS(KITENGELA!I:I,$I$18,KITENGELA!A:A,"7/25/24")</f>
        <v>26</v>
      </c>
      <c r="J54" s="2"/>
      <c r="K54" s="2"/>
      <c r="L54" s="2"/>
      <c r="M54" s="2"/>
      <c r="N54" s="2"/>
      <c r="O54" s="2"/>
      <c r="P54" s="2"/>
      <c r="Q54" s="2"/>
      <c r="R54" s="2"/>
      <c r="S54" s="2"/>
      <c r="T54" s="2"/>
      <c r="U54" s="2"/>
      <c r="V54" s="2"/>
      <c r="W54" s="2"/>
      <c r="X54" s="2"/>
      <c r="Y54" s="2"/>
      <c r="Z54" s="2"/>
      <c r="AA54" s="2"/>
      <c r="AB54" s="2"/>
    </row>
    <row r="55">
      <c r="A55" s="7" t="s">
        <v>14</v>
      </c>
      <c r="B55" s="8">
        <f>SUMIFS(ELDORET!F:F,ELDORET!A:A,"7/25/24")</f>
        <v>408650</v>
      </c>
      <c r="C55" s="11">
        <f>COUNTIFS(ELDORET!A:A,"7/25/24")</f>
        <v>10</v>
      </c>
      <c r="D55" s="10">
        <f>SUMIFS(ELDORET!G:G,ELDORET!A:A,"7/25/24")</f>
        <v>25920</v>
      </c>
      <c r="E55" s="11">
        <f t="shared" si="13"/>
        <v>2</v>
      </c>
      <c r="F55" s="12">
        <f t="shared" si="14"/>
        <v>0.06342836168</v>
      </c>
      <c r="G55" s="11">
        <f>COUNTIFS(ELDORET!I:I,$G$18,ELDORET!A:A,"7/25/24")</f>
        <v>0</v>
      </c>
      <c r="H55" s="11">
        <f>COUNTIFS(ELDORET!I:I,$H$18,ELDORET!A:A,"7/25/24")</f>
        <v>2</v>
      </c>
      <c r="I55" s="11">
        <f>COUNTIFS(ELDORET!I:I,$I$18,ELDORET!A:A,"7/25/24")</f>
        <v>8</v>
      </c>
      <c r="J55" s="2"/>
      <c r="K55" s="2"/>
      <c r="L55" s="2"/>
      <c r="M55" s="2"/>
      <c r="N55" s="2"/>
      <c r="O55" s="2"/>
      <c r="P55" s="2"/>
      <c r="Q55" s="2"/>
      <c r="R55" s="2"/>
      <c r="S55" s="2"/>
      <c r="T55" s="2"/>
      <c r="U55" s="2"/>
      <c r="V55" s="2"/>
      <c r="W55" s="2"/>
      <c r="X55" s="2"/>
      <c r="Y55" s="2"/>
      <c r="Z55" s="2"/>
      <c r="AA55" s="2"/>
      <c r="AB55" s="2"/>
    </row>
    <row r="56">
      <c r="A56" s="7" t="s">
        <v>15</v>
      </c>
      <c r="B56" s="8">
        <f>SUMIFS(NAKURU!F:F,NAKURU!A:A,"7/25/24")</f>
        <v>594000</v>
      </c>
      <c r="C56" s="11">
        <f>COUNTIFS(NAKURU!A:A,"7/25/24")</f>
        <v>3</v>
      </c>
      <c r="D56" s="10">
        <f>SUMIFS(NAKURU!G:G,NAKURU!A:A,"7/25/24")</f>
        <v>0</v>
      </c>
      <c r="E56" s="11">
        <f t="shared" si="13"/>
        <v>0</v>
      </c>
      <c r="F56" s="12">
        <f t="shared" si="14"/>
        <v>0</v>
      </c>
      <c r="G56" s="9">
        <f>COUNTIFS(NAKURU!I:I,$G$18,NAKURU!A:A,"7/25/24")</f>
        <v>0</v>
      </c>
      <c r="H56" s="11">
        <f>COUNTIFS(NAKURU!I:I,$H$18,NAKURU!A:A,"7/25/24")</f>
        <v>0</v>
      </c>
      <c r="I56" s="11">
        <f>COUNTIFS(NAKURU!I:I,$I$18,NAKURU!A:A,"7/25/24")</f>
        <v>3</v>
      </c>
      <c r="J56" s="2"/>
      <c r="K56" s="2"/>
      <c r="L56" s="2"/>
      <c r="M56" s="2"/>
      <c r="N56" s="2"/>
      <c r="O56" s="2"/>
      <c r="P56" s="2"/>
      <c r="Q56" s="2"/>
      <c r="R56" s="2"/>
      <c r="S56" s="2"/>
      <c r="T56" s="2"/>
      <c r="U56" s="2"/>
      <c r="V56" s="2"/>
      <c r="W56" s="2"/>
      <c r="X56" s="2"/>
      <c r="Y56" s="2"/>
      <c r="Z56" s="2"/>
      <c r="AA56" s="2"/>
      <c r="AB56" s="2"/>
    </row>
    <row r="57">
      <c r="A57" s="7" t="s">
        <v>16</v>
      </c>
      <c r="B57" s="8">
        <f>SUMIFS(HOMABAY!F:F,HOMABAY!A:A,"7/25/24")</f>
        <v>105000</v>
      </c>
      <c r="C57" s="11">
        <f>COUNTIFS(HOMABAY!A:A,"7/25/24")</f>
        <v>4</v>
      </c>
      <c r="D57" s="10">
        <f>SUMIFS(HOMABAY!G:G,HOMABAY!A:A,"7/25/24")</f>
        <v>6000</v>
      </c>
      <c r="E57" s="11">
        <f t="shared" si="13"/>
        <v>3</v>
      </c>
      <c r="F57" s="12">
        <f t="shared" si="14"/>
        <v>0.05714285714</v>
      </c>
      <c r="G57" s="9">
        <f>COUNTIFS(HOMABAY!K:K,$G$18,HOMABAY!A:A,"7/25/24")</f>
        <v>1</v>
      </c>
      <c r="H57" s="11">
        <f>COUNTIFS(HOMABAY!K:K,$H$18,HOMABAY!A:A,"7/25/24")</f>
        <v>2</v>
      </c>
      <c r="I57" s="11">
        <f>COUNTIFS(HOMABAY!K:K,$I$18,HOMABAY!A:A,"7/25/24")</f>
        <v>1</v>
      </c>
      <c r="J57" s="2"/>
      <c r="L57" s="2"/>
      <c r="M57" s="2"/>
      <c r="N57" s="2"/>
      <c r="O57" s="2"/>
      <c r="P57" s="2"/>
      <c r="Q57" s="2"/>
      <c r="R57" s="2"/>
      <c r="S57" s="2"/>
      <c r="T57" s="2"/>
      <c r="U57" s="2"/>
      <c r="V57" s="2"/>
      <c r="W57" s="2"/>
      <c r="X57" s="2"/>
      <c r="Y57" s="2"/>
      <c r="Z57" s="2"/>
      <c r="AA57" s="2"/>
      <c r="AB57" s="2"/>
    </row>
    <row r="58">
      <c r="A58" s="7" t="s">
        <v>17</v>
      </c>
      <c r="B58" s="8">
        <f>SUMIFS(MOMBASA!F:F,MOMBASA!A:A,"7/25/24")</f>
        <v>2219034.3</v>
      </c>
      <c r="C58" s="11">
        <f>COUNTIFS(MOMBASA!A:A,"7/25/24")</f>
        <v>17</v>
      </c>
      <c r="D58" s="14">
        <f>SUMIFS(MOMBASA!G:G,MOMBASA!A:A,"7/25/24")</f>
        <v>254174</v>
      </c>
      <c r="E58" s="11">
        <f t="shared" si="13"/>
        <v>3</v>
      </c>
      <c r="F58" s="12">
        <f t="shared" si="14"/>
        <v>0.1145426188</v>
      </c>
      <c r="G58" s="9">
        <f>COUNTIFS(MOMBASA!I:I,$G$18,MOMBASA!A:A,"7/25/24")</f>
        <v>1</v>
      </c>
      <c r="H58" s="11">
        <f>COUNTIFS(MOMBASA!I:I,$H$18,MOMBASA!A:A,"7/25/24")</f>
        <v>2</v>
      </c>
      <c r="I58" s="11">
        <f>COUNTIFS(MOMBASA!I:I,$I$18,MOMBASA!A:A,"7/25/24")</f>
        <v>14</v>
      </c>
      <c r="J58" s="2"/>
      <c r="K58" s="2"/>
      <c r="L58" s="2"/>
      <c r="M58" s="2"/>
      <c r="N58" s="2"/>
      <c r="O58" s="2"/>
      <c r="P58" s="2"/>
      <c r="Q58" s="2"/>
      <c r="R58" s="2"/>
      <c r="S58" s="2"/>
      <c r="T58" s="2"/>
      <c r="U58" s="2"/>
      <c r="V58" s="2"/>
      <c r="W58" s="2"/>
      <c r="X58" s="2"/>
      <c r="Y58" s="2"/>
      <c r="Z58" s="2"/>
      <c r="AA58" s="2"/>
      <c r="AB58" s="2"/>
    </row>
    <row r="59">
      <c r="A59" s="7" t="s">
        <v>18</v>
      </c>
      <c r="B59" s="8">
        <f>SUMIFS(KISUMU!F:F,KISUMU!A:A,"7/25/24")</f>
        <v>1899697.73</v>
      </c>
      <c r="C59" s="11">
        <f>COUNTIFS(KISUMU!A:A,"7/25/24")</f>
        <v>20</v>
      </c>
      <c r="D59" s="10">
        <f>SUMIFS(KISUMU!G:G,KISUMU!A:A,"7/25/24")</f>
        <v>380860</v>
      </c>
      <c r="E59" s="11">
        <f t="shared" si="13"/>
        <v>9</v>
      </c>
      <c r="F59" s="12">
        <f t="shared" si="14"/>
        <v>0.2004845266</v>
      </c>
      <c r="G59" s="9">
        <f>COUNTIFS(KISUMU!I:I,$G$18,KISUMU!A:A,"7/25/24")</f>
        <v>3</v>
      </c>
      <c r="H59" s="11">
        <f>COUNTIFS(KISUMU!I:I,$H$18,KISUMU!A:A,"7/25/24")</f>
        <v>6</v>
      </c>
      <c r="I59" s="11">
        <f>COUNTIFS(KISUMU!I:I,$I$18,KISUMU!A:A,"7/25/24")</f>
        <v>11</v>
      </c>
      <c r="J59" s="2"/>
      <c r="K59" s="2"/>
      <c r="L59" s="2"/>
      <c r="M59" s="2"/>
      <c r="N59" s="2"/>
      <c r="O59" s="2"/>
      <c r="P59" s="2"/>
      <c r="Q59" s="2"/>
      <c r="R59" s="2"/>
      <c r="S59" s="2"/>
      <c r="T59" s="2"/>
      <c r="U59" s="2"/>
      <c r="V59" s="2"/>
      <c r="W59" s="2"/>
      <c r="X59" s="2"/>
      <c r="Y59" s="2"/>
      <c r="Z59" s="2"/>
      <c r="AA59" s="2"/>
      <c r="AB59" s="2"/>
    </row>
    <row r="60">
      <c r="A60" s="7" t="s">
        <v>19</v>
      </c>
      <c r="B60" s="8">
        <f>SUMIFS(VOI!F:F,VOI!A:A,"7/25/24")</f>
        <v>273480</v>
      </c>
      <c r="C60" s="11">
        <f>COUNTIFS(VOI!A:A,"7/25/24")</f>
        <v>10</v>
      </c>
      <c r="D60" s="10">
        <f>SUMIFS(VOI!G:G,VOI!A:A,"7/25/24")</f>
        <v>0</v>
      </c>
      <c r="E60" s="11">
        <f t="shared" si="13"/>
        <v>0</v>
      </c>
      <c r="F60" s="12">
        <f t="shared" si="14"/>
        <v>0</v>
      </c>
      <c r="G60" s="9">
        <f>COUNTIFS(VOI!H:H,$G$18,VOI!A:A,"7/25/24")</f>
        <v>0</v>
      </c>
      <c r="H60" s="11">
        <f>COUNTIFS(VOI!H:H,$H$18,VOI!A:A,"7/25/24")</f>
        <v>0</v>
      </c>
      <c r="I60" s="11">
        <f>COUNTIFS(VOI!H:H,$I$18,VOI!A:A,"7/25/24")</f>
        <v>10</v>
      </c>
      <c r="J60" s="2"/>
      <c r="K60" s="2"/>
      <c r="L60" s="2"/>
      <c r="M60" s="2"/>
      <c r="N60" s="2"/>
      <c r="O60" s="2"/>
      <c r="P60" s="2"/>
      <c r="Q60" s="2"/>
      <c r="R60" s="2"/>
      <c r="S60" s="2"/>
      <c r="T60" s="2"/>
      <c r="U60" s="2"/>
      <c r="V60" s="2"/>
      <c r="W60" s="2"/>
      <c r="X60" s="2"/>
      <c r="Y60" s="2"/>
      <c r="Z60" s="2"/>
      <c r="AA60" s="2"/>
      <c r="AB60" s="2"/>
    </row>
    <row r="61">
      <c r="A61" s="7" t="s">
        <v>20</v>
      </c>
      <c r="B61" s="8">
        <f>SUMIFS(THIKA!F:F,THIKA!A:A,"7/25/24")</f>
        <v>3582506</v>
      </c>
      <c r="C61" s="11">
        <f>COUNTIFS(THIKA!A:A,"7/25/24")</f>
        <v>17</v>
      </c>
      <c r="D61" s="10">
        <f>SUMIFS(THIKA!G:G,THIKA!A:A,"7/25/24")</f>
        <v>819841</v>
      </c>
      <c r="E61" s="11">
        <f t="shared" si="13"/>
        <v>9</v>
      </c>
      <c r="F61" s="12">
        <f t="shared" si="14"/>
        <v>0.228845674</v>
      </c>
      <c r="G61" s="9">
        <f>COUNTIFS(THIKA!I:I,$G$18,THIKA!A:A,"7/25/24")</f>
        <v>0</v>
      </c>
      <c r="H61" s="11">
        <f>COUNTIFS(THIKA!I:I,$H$18,THIKA!A:A,"7/25/24")</f>
        <v>9</v>
      </c>
      <c r="I61" s="11">
        <f>COUNTIFS(THIKA!I:I,$I$18,THIKA!A:A,"7/25/24")</f>
        <v>8</v>
      </c>
      <c r="J61" s="2"/>
      <c r="K61" s="2"/>
      <c r="L61" s="2"/>
      <c r="M61" s="2"/>
      <c r="N61" s="2"/>
      <c r="O61" s="2"/>
      <c r="P61" s="2"/>
      <c r="Q61" s="2"/>
      <c r="R61" s="2"/>
      <c r="S61" s="2"/>
      <c r="T61" s="2"/>
      <c r="U61" s="2"/>
      <c r="V61" s="2"/>
      <c r="W61" s="2"/>
      <c r="X61" s="2"/>
      <c r="Y61" s="2"/>
      <c r="Z61" s="2"/>
      <c r="AA61" s="2"/>
      <c r="AB61" s="2"/>
    </row>
    <row r="62">
      <c r="A62" s="7" t="s">
        <v>21</v>
      </c>
      <c r="B62" s="8">
        <f>SUMIFS(KITUI!F:F,KITUI!A:A,"7/25/24")</f>
        <v>123253</v>
      </c>
      <c r="C62" s="11">
        <f>COUNTIFS(KITUI!A:A,"7/25/24")</f>
        <v>2</v>
      </c>
      <c r="D62" s="10">
        <f>SUMIFS(KITUI!G:G,KITUI!A:A,"7/25/24")</f>
        <v>0</v>
      </c>
      <c r="E62" s="11">
        <f t="shared" si="13"/>
        <v>0</v>
      </c>
      <c r="F62" s="12">
        <f t="shared" si="14"/>
        <v>0</v>
      </c>
      <c r="G62" s="9">
        <f>COUNTIFS(KITUI!I:I,$G$18,KITUI!A:A,"7/25/24")</f>
        <v>0</v>
      </c>
      <c r="H62" s="11">
        <f>COUNTIFS(KITUI!I:I,$H$18,KITUI!A:A,"7/25/24")</f>
        <v>0</v>
      </c>
      <c r="I62" s="11">
        <f>COUNTIFS(KITUI!I:I,$I$18,KITUI!A:A,"7/25/24")</f>
        <v>2</v>
      </c>
      <c r="J62" s="2"/>
      <c r="K62" s="2"/>
      <c r="L62" s="2"/>
      <c r="M62" s="2"/>
      <c r="N62" s="2"/>
      <c r="O62" s="2"/>
      <c r="P62" s="2"/>
      <c r="Q62" s="2"/>
      <c r="R62" s="2"/>
      <c r="S62" s="2"/>
      <c r="T62" s="2"/>
      <c r="U62" s="2"/>
      <c r="V62" s="2"/>
      <c r="W62" s="2"/>
      <c r="X62" s="2"/>
      <c r="Y62" s="2"/>
      <c r="Z62" s="2"/>
      <c r="AA62" s="2"/>
      <c r="AB62" s="2"/>
    </row>
    <row r="63">
      <c r="A63" s="15" t="s">
        <v>22</v>
      </c>
      <c r="B63" s="8">
        <f>SUMIFS(MACHAKOS!F:F,MACHAKOS!A:A,"7/25/24")</f>
        <v>146910.39</v>
      </c>
      <c r="C63" s="11">
        <f>COUNTIFS(MACHAKOS!A:A,"7/25/24")</f>
        <v>2</v>
      </c>
      <c r="D63" s="10">
        <f>SUMIFS(MACHAKOS!G:G,MACHAKOS!A:A,"7/25/24")</f>
        <v>0</v>
      </c>
      <c r="E63" s="11">
        <f t="shared" si="13"/>
        <v>0</v>
      </c>
      <c r="F63" s="12">
        <f t="shared" si="14"/>
        <v>0</v>
      </c>
      <c r="G63" s="9">
        <f>COUNTIFS(MACHAKOS!I:I,$G$18,MACHAKOS!A:A,"7/25/24")</f>
        <v>0</v>
      </c>
      <c r="H63" s="11">
        <f>COUNTIFS(MACHAKOS!I:I,$H$18,MACHAKOS!A:A,"7/25/24")</f>
        <v>0</v>
      </c>
      <c r="I63" s="11">
        <f>COUNTIFS(MACHAKOS!I:I,$I$18,MACHAKOS!A:A,"7/25/24")</f>
        <v>2</v>
      </c>
      <c r="J63" s="2"/>
      <c r="K63" s="2"/>
      <c r="L63" s="2"/>
      <c r="M63" s="2"/>
      <c r="N63" s="2"/>
      <c r="O63" s="2"/>
      <c r="P63" s="2"/>
      <c r="Q63" s="2"/>
      <c r="R63" s="2"/>
      <c r="S63" s="2"/>
      <c r="T63" s="2"/>
      <c r="U63" s="2"/>
      <c r="V63" s="2"/>
      <c r="W63" s="2"/>
      <c r="X63" s="2"/>
      <c r="Y63" s="2"/>
      <c r="Z63" s="2"/>
      <c r="AA63" s="2"/>
      <c r="AB63" s="2"/>
    </row>
    <row r="64">
      <c r="A64" s="16" t="s">
        <v>23</v>
      </c>
      <c r="B64" s="17">
        <f t="shared" ref="B64:E64" si="15">SUM(B51:B63)</f>
        <v>42025852.7</v>
      </c>
      <c r="C64" s="18">
        <f t="shared" si="15"/>
        <v>214</v>
      </c>
      <c r="D64" s="19">
        <f t="shared" si="15"/>
        <v>7638956</v>
      </c>
      <c r="E64" s="18">
        <f t="shared" si="15"/>
        <v>57</v>
      </c>
      <c r="F64" s="20">
        <f>D64/B64</f>
        <v>0.1817680192</v>
      </c>
      <c r="G64" s="21">
        <f t="shared" ref="G64:I64" si="16">SUM(G51:G63)</f>
        <v>22</v>
      </c>
      <c r="H64" s="21">
        <f t="shared" si="16"/>
        <v>35</v>
      </c>
      <c r="I64" s="21">
        <f t="shared" si="16"/>
        <v>157</v>
      </c>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3" t="s">
        <v>1</v>
      </c>
      <c r="B66" s="4" t="s">
        <v>2</v>
      </c>
      <c r="C66" s="4" t="s">
        <v>3</v>
      </c>
      <c r="D66" s="4" t="s">
        <v>4</v>
      </c>
      <c r="E66" s="5" t="s">
        <v>5</v>
      </c>
      <c r="F66" s="6" t="s">
        <v>6</v>
      </c>
      <c r="G66" s="6" t="s">
        <v>7</v>
      </c>
      <c r="H66" s="6" t="s">
        <v>8</v>
      </c>
      <c r="I66" s="6" t="s">
        <v>9</v>
      </c>
      <c r="J66" s="2"/>
      <c r="K66" s="2"/>
      <c r="L66" s="2"/>
      <c r="M66" s="2"/>
      <c r="N66" s="2"/>
      <c r="O66" s="2"/>
      <c r="P66" s="2"/>
      <c r="Q66" s="2"/>
      <c r="R66" s="2"/>
      <c r="S66" s="2"/>
      <c r="T66" s="2"/>
      <c r="U66" s="2"/>
      <c r="V66" s="2"/>
      <c r="W66" s="2"/>
      <c r="X66" s="2"/>
      <c r="Y66" s="2"/>
      <c r="Z66" s="2"/>
      <c r="AA66" s="2"/>
      <c r="AB66" s="2"/>
    </row>
    <row r="67">
      <c r="A67" s="7" t="s">
        <v>10</v>
      </c>
      <c r="B67" s="8">
        <f>SUMIFS(ECOBANK!F:F,ECOBANK!A:A,"7/26/24")</f>
        <v>8502572</v>
      </c>
      <c r="C67" s="9">
        <f>COUNTIFS(ECOBANK!A:A,"7/26/24")</f>
        <v>12</v>
      </c>
      <c r="D67" s="10">
        <f>SUMIFS(ECOBANK!G:G,ECOBANK!A:A,"7/26/24")</f>
        <v>919640</v>
      </c>
      <c r="E67" s="11">
        <f t="shared" ref="E67:E79" si="17">G67+H67</f>
        <v>3</v>
      </c>
      <c r="F67" s="12">
        <f t="shared" ref="F67:F79" si="18">iferror(D67/B67,0)</f>
        <v>0.1081602132</v>
      </c>
      <c r="G67" s="9">
        <f>COUNTIFS(ECOBANK!I:I,$G$18,ECOBANK!A:A,"7/26/24")</f>
        <v>3</v>
      </c>
      <c r="H67" s="11">
        <f>COUNTIFS(ECOBANK!I:I,$H$18,ECOBANK!A:A,"7/26/24")</f>
        <v>0</v>
      </c>
      <c r="I67" s="11">
        <f>COUNTIFS(ECOBANK!I:I,$I$18,ECOBANK!A:A,"7/26/24")</f>
        <v>9</v>
      </c>
      <c r="J67" s="2"/>
      <c r="K67" s="2"/>
      <c r="L67" s="2"/>
      <c r="M67" s="2"/>
      <c r="N67" s="2"/>
      <c r="O67" s="2"/>
      <c r="P67" s="2"/>
      <c r="Q67" s="2"/>
      <c r="R67" s="2"/>
      <c r="S67" s="2"/>
      <c r="T67" s="2"/>
      <c r="U67" s="2"/>
      <c r="V67" s="2"/>
      <c r="W67" s="2"/>
      <c r="X67" s="2"/>
      <c r="Y67" s="2"/>
      <c r="Z67" s="2"/>
      <c r="AA67" s="2"/>
      <c r="AB67" s="2"/>
    </row>
    <row r="68">
      <c r="A68" s="7" t="s">
        <v>24</v>
      </c>
      <c r="B68" s="8">
        <f>SUMIFS('TRADE CENTER'!F:F,'TRADE CENTER'!A:A,"7/26/24")</f>
        <v>10367331.07</v>
      </c>
      <c r="C68" s="11">
        <f>COUNTIFS('TRADE CENTER'!A:A,"7/26/24")</f>
        <v>39</v>
      </c>
      <c r="D68" s="10">
        <f>SUMIFS('TRADE CENTER'!G:G,'TRADE CENTER'!A:A,"7/26/24")</f>
        <v>1554264</v>
      </c>
      <c r="E68" s="11">
        <f t="shared" si="17"/>
        <v>14</v>
      </c>
      <c r="F68" s="12">
        <f t="shared" si="18"/>
        <v>0.1499193948</v>
      </c>
      <c r="G68" s="11">
        <f>COUNTIFS('TRADE CENTER'!I:I,$G$18,'TRADE CENTER'!A:A,"7/26/24")</f>
        <v>7</v>
      </c>
      <c r="H68" s="11">
        <f>COUNTIFS('TRADE CENTER'!I:I,$H$18,'TRADE CENTER'!A:A,"7/26/24")</f>
        <v>7</v>
      </c>
      <c r="I68" s="11">
        <f>COUNTIFS('TRADE CENTER'!I:I,$I$18,'TRADE CENTER'!A:A,"7/26/24")</f>
        <v>25</v>
      </c>
      <c r="J68" s="2"/>
      <c r="K68" s="2"/>
      <c r="L68" s="2"/>
      <c r="M68" s="2"/>
      <c r="N68" s="2"/>
      <c r="O68" s="2"/>
      <c r="P68" s="2"/>
      <c r="Q68" s="2"/>
      <c r="R68" s="2"/>
      <c r="S68" s="2"/>
      <c r="T68" s="2"/>
      <c r="U68" s="2"/>
      <c r="V68" s="2"/>
      <c r="W68" s="2"/>
      <c r="X68" s="2"/>
      <c r="Y68" s="2"/>
      <c r="Z68" s="2"/>
      <c r="AA68" s="2"/>
      <c r="AB68" s="2"/>
    </row>
    <row r="69">
      <c r="A69" s="7" t="s">
        <v>12</v>
      </c>
      <c r="B69" s="8">
        <f>SUMIFS(PENSION!F:F,PENSION!A:A,"7/26/2024")</f>
        <v>3605000.19</v>
      </c>
      <c r="C69" s="11">
        <f>COUNTIFS(PENSION!A:A,"7/26/24")</f>
        <v>26</v>
      </c>
      <c r="D69" s="10">
        <f>SUMIFS(PENSION!G:G,PENSION!A:A,"7/26/2024")</f>
        <v>669978</v>
      </c>
      <c r="E69" s="11">
        <f t="shared" si="17"/>
        <v>10</v>
      </c>
      <c r="F69" s="12">
        <f t="shared" si="18"/>
        <v>0.1858468695</v>
      </c>
      <c r="G69" s="9">
        <f>COUNTIFS(PENSION!I:I,$G$18,PENSION!A:A,"7/26/24")</f>
        <v>2</v>
      </c>
      <c r="H69" s="11">
        <f>COUNTIFS(PENSION!I:I,$H$18,PENSION!A:A,"7/26/24")</f>
        <v>8</v>
      </c>
      <c r="I69" s="11">
        <f>COUNTIFS(PENSION!I:I,$I$18,PENSION!A:A,"7/26/24")</f>
        <v>16</v>
      </c>
      <c r="J69" s="2"/>
      <c r="K69" s="2"/>
      <c r="L69" s="2"/>
      <c r="M69" s="2"/>
      <c r="N69" s="2"/>
      <c r="O69" s="2"/>
      <c r="P69" s="2"/>
      <c r="Q69" s="2"/>
      <c r="R69" s="2"/>
      <c r="S69" s="2"/>
      <c r="T69" s="2"/>
      <c r="U69" s="2"/>
      <c r="V69" s="2"/>
      <c r="W69" s="2"/>
      <c r="X69" s="2"/>
      <c r="Y69" s="2"/>
      <c r="Z69" s="2"/>
      <c r="AA69" s="2"/>
      <c r="AB69" s="2"/>
    </row>
    <row r="70">
      <c r="A70" s="7" t="s">
        <v>13</v>
      </c>
      <c r="B70" s="8">
        <f>SUMIFS(KITENGELA!F:F,KITENGELA!A:A,"7/26/24")</f>
        <v>4357080.53</v>
      </c>
      <c r="C70" s="11">
        <f>COUNTIFS(KITENGELA!A:A,"7/26/24")</f>
        <v>29</v>
      </c>
      <c r="D70" s="10">
        <f>SUMIFS(KITENGELA!G:G,KITENGELA!A:A,"7/26/24")</f>
        <v>2470025</v>
      </c>
      <c r="E70" s="11">
        <f t="shared" si="17"/>
        <v>17</v>
      </c>
      <c r="F70" s="12">
        <f t="shared" si="18"/>
        <v>0.5668990929</v>
      </c>
      <c r="G70" s="11">
        <f>COUNTIFS(KITENGELA!I:I,$G$18,KITENGELA!A:A,"7/26/24")</f>
        <v>6</v>
      </c>
      <c r="H70" s="11">
        <f>COUNTIFS(KITENGELA!I:I,$H$18,KITENGELA!A:A,"7/26/24")</f>
        <v>11</v>
      </c>
      <c r="I70" s="11">
        <f>COUNTIFS(KITENGELA!I:I,$I$18,KITENGELA!A:A,"7/26/24")</f>
        <v>12</v>
      </c>
      <c r="J70" s="2"/>
      <c r="K70" s="2"/>
      <c r="L70" s="2"/>
      <c r="M70" s="2"/>
      <c r="N70" s="2"/>
      <c r="O70" s="2"/>
      <c r="P70" s="2"/>
      <c r="Q70" s="2"/>
      <c r="R70" s="2"/>
      <c r="S70" s="2"/>
      <c r="T70" s="2"/>
      <c r="U70" s="2"/>
      <c r="V70" s="2"/>
      <c r="W70" s="2"/>
      <c r="X70" s="2"/>
      <c r="Y70" s="2"/>
      <c r="Z70" s="2"/>
      <c r="AA70" s="2"/>
      <c r="AB70" s="2"/>
    </row>
    <row r="71">
      <c r="A71" s="7" t="s">
        <v>14</v>
      </c>
      <c r="B71" s="8">
        <f>SUMIFS(ELDORET!F:F,ELDORET!A:A,"7/26/24")</f>
        <v>543082.13</v>
      </c>
      <c r="C71" s="11">
        <f>COUNTIFS(ELDORET!A:A,"7/26/24")</f>
        <v>11</v>
      </c>
      <c r="D71" s="10">
        <f>SUMIFS(ELDORET!G:G,ELDORET!A:A,"7/26/24")</f>
        <v>330260</v>
      </c>
      <c r="E71" s="11">
        <f t="shared" si="17"/>
        <v>4</v>
      </c>
      <c r="F71" s="12">
        <f t="shared" si="18"/>
        <v>0.6081216482</v>
      </c>
      <c r="G71" s="11">
        <f>COUNTIFS(ELDORET!I:I,$G$18,ELDORET!A:A,"7/26/24")</f>
        <v>1</v>
      </c>
      <c r="H71" s="11">
        <f>COUNTIFS(ELDORET!I:I,$H$18,ELDORET!A:A,"7/26/24")</f>
        <v>3</v>
      </c>
      <c r="I71" s="11">
        <f>COUNTIFS(ELDORET!I:I,$I$18,ELDORET!A:A,"7/26/24")</f>
        <v>7</v>
      </c>
      <c r="J71" s="2"/>
      <c r="K71" s="2"/>
      <c r="L71" s="2"/>
      <c r="M71" s="2"/>
      <c r="N71" s="2"/>
      <c r="O71" s="2"/>
      <c r="P71" s="2"/>
      <c r="Q71" s="2"/>
      <c r="R71" s="2"/>
      <c r="S71" s="2"/>
      <c r="T71" s="2"/>
      <c r="U71" s="2"/>
      <c r="V71" s="2"/>
      <c r="W71" s="2"/>
      <c r="X71" s="2"/>
      <c r="Y71" s="2"/>
      <c r="Z71" s="2"/>
      <c r="AA71" s="2"/>
      <c r="AB71" s="2"/>
    </row>
    <row r="72">
      <c r="A72" s="7" t="s">
        <v>15</v>
      </c>
      <c r="B72" s="8">
        <f>SUMIFS(NAKURU!F:F,NAKURU!A:A,"7/26/24")</f>
        <v>2938500</v>
      </c>
      <c r="C72" s="11">
        <f>COUNTIFS(NAKURU!A:A,"7/26/24")</f>
        <v>4</v>
      </c>
      <c r="D72" s="10">
        <f>SUMIFS(NAKURU!G:G,NAKURU!A:A,"7/26/24")</f>
        <v>2657500</v>
      </c>
      <c r="E72" s="11">
        <f t="shared" si="17"/>
        <v>2</v>
      </c>
      <c r="F72" s="12">
        <f t="shared" si="18"/>
        <v>0.9043729794</v>
      </c>
      <c r="G72" s="9">
        <f>COUNTIFS(NAKURU!I:I,$G$18,NAKURU!A:A,"7/26/24")</f>
        <v>1</v>
      </c>
      <c r="H72" s="11">
        <f>COUNTIFS(NAKURU!I:I,$H$18,NAKURU!A:A,"7/26/24")</f>
        <v>1</v>
      </c>
      <c r="I72" s="11">
        <f>COUNTIFS(NAKURU!I:I,$I$18,NAKURU!A:A,"7/26/24")</f>
        <v>2</v>
      </c>
      <c r="J72" s="2"/>
      <c r="K72" s="2"/>
      <c r="L72" s="2"/>
      <c r="M72" s="2"/>
      <c r="N72" s="2"/>
      <c r="O72" s="2"/>
      <c r="P72" s="2"/>
      <c r="Q72" s="2"/>
      <c r="R72" s="2"/>
      <c r="S72" s="2"/>
      <c r="T72" s="2"/>
      <c r="U72" s="2"/>
      <c r="V72" s="2"/>
      <c r="W72" s="2"/>
      <c r="X72" s="2"/>
      <c r="Y72" s="2"/>
      <c r="Z72" s="2"/>
      <c r="AA72" s="2"/>
      <c r="AB72" s="2"/>
    </row>
    <row r="73">
      <c r="A73" s="7" t="s">
        <v>16</v>
      </c>
      <c r="B73" s="8">
        <f>SUMIFS(HOMABAY!F:F,HOMABAY!A:A,"7/26/24")</f>
        <v>91000</v>
      </c>
      <c r="C73" s="11">
        <f>COUNTIFS(HOMABAY!A:A,"7/26/24")</f>
        <v>5</v>
      </c>
      <c r="D73" s="10">
        <f>SUMIFS(HOMABAY!G:G,HOMABAY!A:A,"7/26/24")</f>
        <v>28000</v>
      </c>
      <c r="E73" s="11">
        <f t="shared" si="17"/>
        <v>4</v>
      </c>
      <c r="F73" s="12">
        <f t="shared" si="18"/>
        <v>0.3076923077</v>
      </c>
      <c r="G73" s="9">
        <f>COUNTIFS(HOMABAY!K:K,$G$18,HOMABAY!A:A,"7/26/24")</f>
        <v>4</v>
      </c>
      <c r="H73" s="11">
        <f>COUNTIFS(HOMABAY!K:K,$H$18,HOMABAY!A:A,"7/26/24")</f>
        <v>0</v>
      </c>
      <c r="I73" s="11">
        <f>COUNTIFS(HOMABAY!K:K,$I$18,HOMABAY!A:A,"7/26/24")</f>
        <v>1</v>
      </c>
      <c r="J73" s="2"/>
      <c r="K73" s="2"/>
      <c r="L73" s="2"/>
      <c r="M73" s="2"/>
      <c r="N73" s="2"/>
      <c r="O73" s="2"/>
      <c r="P73" s="2"/>
      <c r="Q73" s="2"/>
      <c r="R73" s="2"/>
      <c r="S73" s="2"/>
      <c r="T73" s="2"/>
      <c r="U73" s="2"/>
      <c r="V73" s="2"/>
      <c r="W73" s="2"/>
      <c r="X73" s="2"/>
      <c r="Y73" s="2"/>
      <c r="Z73" s="2"/>
      <c r="AA73" s="2"/>
      <c r="AB73" s="2"/>
    </row>
    <row r="74">
      <c r="A74" s="7" t="s">
        <v>17</v>
      </c>
      <c r="B74" s="8">
        <f>SUMIFS(MOMBASA!F:F,MOMBASA!A:A,"7/26/24")</f>
        <v>2145437.65</v>
      </c>
      <c r="C74" s="11">
        <f>COUNTIFS(MOMBASA!A:A,"7/26/24")</f>
        <v>19</v>
      </c>
      <c r="D74" s="14">
        <f>SUMIFS(MOMBASA!G:G,MOMBASA!A:A,"7/26/24")</f>
        <v>251284</v>
      </c>
      <c r="E74" s="11">
        <f t="shared" si="17"/>
        <v>4</v>
      </c>
      <c r="F74" s="12">
        <f t="shared" si="18"/>
        <v>0.1171248207</v>
      </c>
      <c r="G74" s="9">
        <f>COUNTIFS(MOMBASA!I:I,$G$18,MOMBASA!A:A,"7/26/24")</f>
        <v>2</v>
      </c>
      <c r="H74" s="11">
        <f>COUNTIFS(MOMBASA!I:I,$H$18,MOMBASA!A:A,"7/26/24")</f>
        <v>2</v>
      </c>
      <c r="I74" s="11">
        <f>COUNTIFS(MOMBASA!I:I,$I$18,MOMBASA!A:A,"7/26/24")</f>
        <v>15</v>
      </c>
      <c r="J74" s="2"/>
      <c r="K74" s="2"/>
      <c r="L74" s="2"/>
      <c r="M74" s="2"/>
      <c r="N74" s="2"/>
      <c r="O74" s="2"/>
      <c r="P74" s="2"/>
      <c r="Q74" s="2"/>
      <c r="R74" s="2"/>
      <c r="S74" s="2"/>
      <c r="T74" s="2"/>
      <c r="U74" s="2"/>
      <c r="V74" s="2"/>
      <c r="W74" s="2"/>
      <c r="X74" s="2"/>
      <c r="Y74" s="2"/>
      <c r="Z74" s="2"/>
      <c r="AA74" s="2"/>
      <c r="AB74" s="2"/>
    </row>
    <row r="75">
      <c r="A75" s="7" t="s">
        <v>18</v>
      </c>
      <c r="B75" s="8">
        <f>SUMIFS(KISUMU!F:F,KISUMU!A:A,"7/26/24")</f>
        <v>873904.53</v>
      </c>
      <c r="C75" s="11">
        <f>COUNTIFS(KISUMU!A:A,"7/26/24")</f>
        <v>16</v>
      </c>
      <c r="D75" s="10">
        <f>SUMIFS(KISUMU!G:G,KISUMU!A:A,"7/26/24")</f>
        <v>16500</v>
      </c>
      <c r="E75" s="11">
        <f t="shared" si="17"/>
        <v>2</v>
      </c>
      <c r="F75" s="12">
        <f t="shared" si="18"/>
        <v>0.01888078095</v>
      </c>
      <c r="G75" s="9">
        <f>COUNTIFS(KISUMU!I:I,$G$18,KISUMU!A:A,"7/26/24")</f>
        <v>0</v>
      </c>
      <c r="H75" s="11">
        <f>COUNTIFS(KISUMU!I:I,$H$18,KISUMU!A:A,"7/26/24")</f>
        <v>2</v>
      </c>
      <c r="I75" s="11">
        <f>COUNTIFS(KISUMU!I:I,$I$18,KISUMU!A:A,"7/26/24")</f>
        <v>14</v>
      </c>
      <c r="J75" s="2"/>
      <c r="K75" s="2"/>
      <c r="L75" s="2"/>
      <c r="M75" s="2"/>
      <c r="N75" s="2"/>
      <c r="O75" s="2"/>
      <c r="P75" s="2"/>
      <c r="Q75" s="2"/>
      <c r="R75" s="2"/>
      <c r="S75" s="2"/>
      <c r="T75" s="2"/>
      <c r="U75" s="2"/>
      <c r="V75" s="2"/>
      <c r="W75" s="2"/>
      <c r="X75" s="2"/>
      <c r="Y75" s="2"/>
      <c r="Z75" s="2"/>
      <c r="AA75" s="2"/>
      <c r="AB75" s="2"/>
    </row>
    <row r="76">
      <c r="A76" s="7" t="s">
        <v>19</v>
      </c>
      <c r="B76" s="8">
        <f>SUMIFS(VOI!F:F,VOI!A:A,"7/26/24")</f>
        <v>271051</v>
      </c>
      <c r="C76" s="11">
        <f>COUNTIFS(VOI!A:A,"7/26/24")</f>
        <v>11</v>
      </c>
      <c r="D76" s="10">
        <f>SUMIFS(VOI!G:G,VOI!A:A,"7/26/24")</f>
        <v>0</v>
      </c>
      <c r="E76" s="11">
        <f t="shared" si="17"/>
        <v>0</v>
      </c>
      <c r="F76" s="12">
        <f t="shared" si="18"/>
        <v>0</v>
      </c>
      <c r="G76" s="9">
        <f>COUNTIFS(VOI!H:H,$G$18,VOI!A:A,"7/26/24")</f>
        <v>0</v>
      </c>
      <c r="H76" s="11">
        <f>COUNTIFS(VOI!H:H,$H$18,VOI!A:A,"7/26/24")</f>
        <v>0</v>
      </c>
      <c r="I76" s="11">
        <f>COUNTIFS(VOI!H:H,$I$18,VOI!A:A,"7/26/24")</f>
        <v>11</v>
      </c>
      <c r="J76" s="2"/>
      <c r="K76" s="2"/>
      <c r="L76" s="2"/>
      <c r="M76" s="2"/>
      <c r="N76" s="2"/>
      <c r="O76" s="2"/>
      <c r="P76" s="2"/>
      <c r="Q76" s="2"/>
      <c r="R76" s="2"/>
      <c r="S76" s="2"/>
      <c r="T76" s="2"/>
      <c r="U76" s="2"/>
      <c r="V76" s="2"/>
      <c r="W76" s="2"/>
      <c r="X76" s="2"/>
      <c r="Y76" s="2"/>
      <c r="Z76" s="2"/>
      <c r="AA76" s="2"/>
      <c r="AB76" s="2"/>
    </row>
    <row r="77">
      <c r="A77" s="7" t="s">
        <v>20</v>
      </c>
      <c r="B77" s="8">
        <f>SUMIFS(THIKA!F:F,THIKA!A:A,"7/26/24")</f>
        <v>3033871</v>
      </c>
      <c r="C77" s="11">
        <f>COUNTIFS(THIKA!A:A,"7/26/24")</f>
        <v>15</v>
      </c>
      <c r="D77" s="10">
        <f>SUMIFS(THIKA!G:G,THIKA!A:A,"7/26/24")</f>
        <v>2082865</v>
      </c>
      <c r="E77" s="11">
        <f t="shared" si="17"/>
        <v>2</v>
      </c>
      <c r="F77" s="12">
        <f t="shared" si="18"/>
        <v>0.6865371006</v>
      </c>
      <c r="G77" s="9">
        <f>COUNTIFS(THIKA!I:I,$G$18,THIKA!A:A,"7/26/24")</f>
        <v>0</v>
      </c>
      <c r="H77" s="11">
        <f>COUNTIFS(THIKA!I:I,$H$18,THIKA!A:A,"7/26/24")</f>
        <v>2</v>
      </c>
      <c r="I77" s="11">
        <f>COUNTIFS(THIKA!I:I,$I$18,THIKA!A:A,"7/26/24")</f>
        <v>13</v>
      </c>
      <c r="J77" s="2"/>
      <c r="K77" s="2"/>
      <c r="L77" s="2"/>
      <c r="M77" s="2"/>
      <c r="N77" s="2"/>
      <c r="O77" s="2"/>
      <c r="P77" s="2"/>
      <c r="Q77" s="2"/>
      <c r="R77" s="2"/>
      <c r="S77" s="2"/>
      <c r="T77" s="2"/>
      <c r="U77" s="2"/>
      <c r="V77" s="2"/>
      <c r="W77" s="2"/>
      <c r="X77" s="2"/>
      <c r="Y77" s="2"/>
      <c r="Z77" s="2"/>
      <c r="AA77" s="2"/>
      <c r="AB77" s="2"/>
    </row>
    <row r="78">
      <c r="A78" s="7" t="s">
        <v>21</v>
      </c>
      <c r="B78" s="8">
        <f>SUMIFS(KITUI!F:F,KITUI!A:A,"7/26/24")</f>
        <v>123253</v>
      </c>
      <c r="C78" s="11">
        <f>COUNTIFS(KITUI!A:A,"7/26/24")</f>
        <v>2</v>
      </c>
      <c r="D78" s="10">
        <f>SUMIFS(KITUI!G:G,KITUI!A:A,"7/26/24")</f>
        <v>0</v>
      </c>
      <c r="E78" s="11">
        <f t="shared" si="17"/>
        <v>0</v>
      </c>
      <c r="F78" s="12">
        <f t="shared" si="18"/>
        <v>0</v>
      </c>
      <c r="G78" s="9">
        <f>COUNTIFS(KITUI!I:I,$G$18,KITUI!A:A,"7/26/24")</f>
        <v>0</v>
      </c>
      <c r="H78" s="11">
        <f>COUNTIFS(KITUI!I:I,$H$18,KITUI!A:A,"7/26/24")</f>
        <v>0</v>
      </c>
      <c r="I78" s="11">
        <f>COUNTIFS(KITUI!I:I,$I$18,KITUI!A:A,"7/26/24")</f>
        <v>2</v>
      </c>
      <c r="J78" s="2"/>
      <c r="K78" s="2"/>
      <c r="L78" s="2"/>
      <c r="M78" s="2"/>
      <c r="N78" s="2"/>
      <c r="O78" s="2"/>
      <c r="P78" s="2"/>
      <c r="Q78" s="2"/>
      <c r="R78" s="2"/>
      <c r="S78" s="2"/>
      <c r="T78" s="2"/>
      <c r="U78" s="2"/>
      <c r="V78" s="2"/>
      <c r="W78" s="2"/>
      <c r="X78" s="2"/>
      <c r="Y78" s="2"/>
      <c r="Z78" s="2"/>
      <c r="AA78" s="2"/>
      <c r="AB78" s="2"/>
    </row>
    <row r="79">
      <c r="A79" s="15" t="s">
        <v>22</v>
      </c>
      <c r="B79" s="8">
        <f>SUMIFS(MACHAKOS!F:F,MACHAKOS!A:A,"7/26/24")</f>
        <v>146910.39</v>
      </c>
      <c r="C79" s="11">
        <f>COUNTIFS(MACHAKOS!A:A,"7/26/24")</f>
        <v>2</v>
      </c>
      <c r="D79" s="10">
        <f>SUMIFS(MACHAKOS!G:G,MACHAKOS!A:A,"7/26/24")</f>
        <v>0</v>
      </c>
      <c r="E79" s="11">
        <f t="shared" si="17"/>
        <v>0</v>
      </c>
      <c r="F79" s="12">
        <f t="shared" si="18"/>
        <v>0</v>
      </c>
      <c r="G79" s="9">
        <f>COUNTIFS(MACHAKOS!I:I,$G$18,MACHAKOS!A:A,"7/26/24")</f>
        <v>0</v>
      </c>
      <c r="H79" s="11">
        <f>COUNTIFS(MACHAKOS!I:I,$H$18,MACHAKOS!A:A,"7/26/24")</f>
        <v>0</v>
      </c>
      <c r="I79" s="11">
        <f>COUNTIFS(MACHAKOS!I:I,$I$18,MACHAKOS!A:A,"7/26/24")</f>
        <v>2</v>
      </c>
      <c r="J79" s="2"/>
      <c r="K79" s="2"/>
      <c r="L79" s="2"/>
      <c r="M79" s="2"/>
      <c r="N79" s="2"/>
      <c r="O79" s="2"/>
      <c r="P79" s="2"/>
      <c r="Q79" s="2"/>
      <c r="R79" s="2"/>
      <c r="S79" s="2"/>
      <c r="T79" s="2"/>
      <c r="U79" s="2"/>
      <c r="V79" s="2"/>
      <c r="W79" s="2"/>
      <c r="X79" s="2"/>
      <c r="Y79" s="2"/>
      <c r="Z79" s="2"/>
      <c r="AA79" s="2"/>
      <c r="AB79" s="2"/>
    </row>
    <row r="80">
      <c r="A80" s="16" t="s">
        <v>23</v>
      </c>
      <c r="B80" s="17">
        <f t="shared" ref="B80:E80" si="19">SUM(B67:B79)</f>
        <v>36998993.49</v>
      </c>
      <c r="C80" s="18">
        <f t="shared" si="19"/>
        <v>191</v>
      </c>
      <c r="D80" s="19">
        <f t="shared" si="19"/>
        <v>10980316</v>
      </c>
      <c r="E80" s="18">
        <f t="shared" si="19"/>
        <v>62</v>
      </c>
      <c r="F80" s="20">
        <f>D80/B80</f>
        <v>0.2967733704</v>
      </c>
      <c r="G80" s="21">
        <f t="shared" ref="G80:I80" si="20">SUM(G67:G79)</f>
        <v>26</v>
      </c>
      <c r="H80" s="21">
        <f t="shared" si="20"/>
        <v>36</v>
      </c>
      <c r="I80" s="21">
        <f t="shared" si="20"/>
        <v>129</v>
      </c>
      <c r="J80" s="2"/>
      <c r="K80" s="2"/>
      <c r="L80" s="2"/>
      <c r="M80" s="2"/>
      <c r="N80" s="2"/>
      <c r="O80" s="2"/>
      <c r="P80" s="2"/>
      <c r="Q80" s="2"/>
      <c r="R80" s="2"/>
      <c r="S80" s="2"/>
      <c r="T80" s="2"/>
      <c r="U80" s="2"/>
      <c r="V80" s="2"/>
      <c r="W80" s="2"/>
      <c r="X80" s="2"/>
      <c r="Y80" s="2"/>
      <c r="Z80" s="2"/>
      <c r="AA80" s="2"/>
      <c r="AB80" s="2"/>
    </row>
    <row r="81">
      <c r="A81" s="22" t="s">
        <v>25</v>
      </c>
      <c r="B81" s="23">
        <v>3200000.0</v>
      </c>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2" t="s">
        <v>26</v>
      </c>
      <c r="B82" s="24">
        <f>B80+B81</f>
        <v>40198993.49</v>
      </c>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3" t="s">
        <v>1</v>
      </c>
      <c r="B84" s="4" t="s">
        <v>2</v>
      </c>
      <c r="C84" s="4" t="s">
        <v>3</v>
      </c>
      <c r="D84" s="4" t="s">
        <v>4</v>
      </c>
      <c r="E84" s="5" t="s">
        <v>5</v>
      </c>
      <c r="F84" s="6" t="s">
        <v>6</v>
      </c>
      <c r="G84" s="6" t="s">
        <v>7</v>
      </c>
      <c r="H84" s="6" t="s">
        <v>8</v>
      </c>
      <c r="I84" s="6" t="s">
        <v>9</v>
      </c>
      <c r="J84" s="2"/>
      <c r="K84" s="2"/>
      <c r="L84" s="2"/>
      <c r="M84" s="2"/>
      <c r="N84" s="2"/>
      <c r="O84" s="2"/>
      <c r="P84" s="2"/>
      <c r="Q84" s="2"/>
      <c r="R84" s="2"/>
      <c r="S84" s="2"/>
      <c r="T84" s="2"/>
      <c r="U84" s="2"/>
      <c r="V84" s="2"/>
      <c r="W84" s="2"/>
      <c r="X84" s="2"/>
      <c r="Y84" s="2"/>
      <c r="Z84" s="2"/>
      <c r="AA84" s="2"/>
      <c r="AB84" s="2"/>
    </row>
    <row r="85">
      <c r="A85" s="7" t="s">
        <v>10</v>
      </c>
      <c r="B85" s="8">
        <f>SUMIFS(ECOBANK!F:F,ECOBANK!A:A,"7/27/24")</f>
        <v>7288246</v>
      </c>
      <c r="C85" s="9">
        <f>COUNTIFS(ECOBANK!A:A,"7/27/24")</f>
        <v>12</v>
      </c>
      <c r="D85" s="10">
        <f>SUMIFS(ECOBANK!G:G,ECOBANK!A:A,"7/27/24")</f>
        <v>188766</v>
      </c>
      <c r="E85" s="11">
        <f t="shared" ref="E85:E97" si="21">G85+H85</f>
        <v>3</v>
      </c>
      <c r="F85" s="12">
        <f t="shared" ref="F85:F97" si="22">iferror(D85/B85,0)</f>
        <v>0.02590005881</v>
      </c>
      <c r="G85" s="9">
        <f>COUNTIFS(ECOBANK!I:I,$G$18,ECOBANK!A:A,"7/27/24")</f>
        <v>1</v>
      </c>
      <c r="H85" s="11">
        <f>COUNTIFS(ECOBANK!I:I,$H$18,ECOBANK!A:A,"7/27/24")</f>
        <v>2</v>
      </c>
      <c r="I85" s="11">
        <f>COUNTIFS(ECOBANK!I:I,$I$18,ECOBANK!A:A,"7/27/24")</f>
        <v>9</v>
      </c>
      <c r="J85" s="2"/>
      <c r="K85" s="2"/>
      <c r="L85" s="2"/>
      <c r="M85" s="2"/>
      <c r="N85" s="2"/>
      <c r="O85" s="2"/>
      <c r="P85" s="2"/>
      <c r="Q85" s="2"/>
      <c r="R85" s="2"/>
      <c r="S85" s="2"/>
      <c r="T85" s="2"/>
      <c r="U85" s="2"/>
      <c r="V85" s="2"/>
      <c r="W85" s="2"/>
      <c r="X85" s="2"/>
      <c r="Y85" s="2"/>
      <c r="Z85" s="2"/>
      <c r="AA85" s="2"/>
      <c r="AB85" s="2"/>
    </row>
    <row r="86">
      <c r="A86" s="7" t="s">
        <v>24</v>
      </c>
      <c r="B86" s="8">
        <f>SUMIFS('TRADE CENTER'!F:F,'TRADE CENTER'!A:A,"7/27/24")</f>
        <v>9477098.84</v>
      </c>
      <c r="C86" s="11">
        <f>COUNTIFS('TRADE CENTER'!A:A,"7/27/24")</f>
        <v>34</v>
      </c>
      <c r="D86" s="10">
        <f>SUMIFS('TRADE CENTER'!G:G,'TRADE CENTER'!A:A,"7/27/24")</f>
        <v>90000</v>
      </c>
      <c r="E86" s="11">
        <f t="shared" si="21"/>
        <v>2</v>
      </c>
      <c r="F86" s="12">
        <f t="shared" si="22"/>
        <v>0.009496577119</v>
      </c>
      <c r="G86" s="11">
        <f>COUNTIFS('TRADE CENTER'!I:I,$G$18,'TRADE CENTER'!A:A,"7/27/24")</f>
        <v>0</v>
      </c>
      <c r="H86" s="11">
        <f>COUNTIFS('TRADE CENTER'!I:I,$H$18,'TRADE CENTER'!A:A,"7/27/24")</f>
        <v>2</v>
      </c>
      <c r="I86" s="11">
        <f>COUNTIFS('TRADE CENTER'!I:I,$I$18,'TRADE CENTER'!A:A,"7/27/24")</f>
        <v>32</v>
      </c>
      <c r="J86" s="2"/>
      <c r="K86" s="2"/>
      <c r="L86" s="2"/>
      <c r="M86" s="2"/>
      <c r="N86" s="2"/>
      <c r="O86" s="2"/>
      <c r="P86" s="2"/>
      <c r="Q86" s="2"/>
      <c r="R86" s="2"/>
      <c r="S86" s="2"/>
      <c r="T86" s="2"/>
      <c r="U86" s="2"/>
      <c r="V86" s="2"/>
      <c r="W86" s="2"/>
      <c r="X86" s="2"/>
      <c r="Y86" s="2"/>
      <c r="Z86" s="2"/>
      <c r="AA86" s="2"/>
      <c r="AB86" s="2"/>
    </row>
    <row r="87">
      <c r="A87" s="7" t="s">
        <v>12</v>
      </c>
      <c r="B87" s="8">
        <f>SUMIFS(PENSION!F:F,PENSION!A:A,"7/27/2024")</f>
        <v>3181676.17</v>
      </c>
      <c r="C87" s="11">
        <f>COUNTIFS(PENSION!A:A,"7/27/24")</f>
        <v>20</v>
      </c>
      <c r="D87" s="10">
        <f>SUMIFS(PENSION!G:G,PENSION!A:A,"7/27/2024")</f>
        <v>1343476</v>
      </c>
      <c r="E87" s="11">
        <f t="shared" si="21"/>
        <v>9</v>
      </c>
      <c r="F87" s="12">
        <f t="shared" si="22"/>
        <v>0.4222541605</v>
      </c>
      <c r="G87" s="9">
        <f>COUNTIFS(PENSION!I:I,$G$18,PENSION!A:A,"7/27/24")</f>
        <v>3</v>
      </c>
      <c r="H87" s="11">
        <f>COUNTIFS(PENSION!I:I,$H$18,PENSION!A:A,"7/27/24")</f>
        <v>6</v>
      </c>
      <c r="I87" s="11">
        <f>COUNTIFS(PENSION!I:I,$I$18,PENSION!A:A,"7/27/24")</f>
        <v>11</v>
      </c>
      <c r="J87" s="2"/>
      <c r="K87" s="2"/>
      <c r="L87" s="2"/>
      <c r="M87" s="2"/>
      <c r="N87" s="2"/>
      <c r="O87" s="2"/>
      <c r="P87" s="2"/>
      <c r="Q87" s="2"/>
      <c r="R87" s="2"/>
      <c r="S87" s="2"/>
      <c r="T87" s="2"/>
      <c r="U87" s="2"/>
      <c r="V87" s="2"/>
      <c r="W87" s="2"/>
      <c r="X87" s="2"/>
      <c r="Y87" s="2"/>
      <c r="Z87" s="2"/>
      <c r="AA87" s="2"/>
      <c r="AB87" s="2"/>
    </row>
    <row r="88">
      <c r="A88" s="7" t="s">
        <v>13</v>
      </c>
      <c r="B88" s="8">
        <f>SUMIFS(KITENGELA!F:F,KITENGELA!A:A,"7/27/24")</f>
        <v>1852050.86</v>
      </c>
      <c r="C88" s="11">
        <f>COUNTIFS(KITENGELA!A:A,"7/27/24")</f>
        <v>23</v>
      </c>
      <c r="D88" s="10">
        <f>SUMIFS(KITENGELA!G:G,KITENGELA!A:A,"7/27/24")</f>
        <v>287500</v>
      </c>
      <c r="E88" s="11">
        <f t="shared" si="21"/>
        <v>1</v>
      </c>
      <c r="F88" s="12">
        <f t="shared" si="22"/>
        <v>0.1552333179</v>
      </c>
      <c r="G88" s="11">
        <f>COUNTIFS(KITENGELA!I:I,$G$18,KITENGELA!A:A,"7/27/24")</f>
        <v>0</v>
      </c>
      <c r="H88" s="11">
        <f>COUNTIFS(KITENGELA!I:I,$H$18,KITENGELA!A:A,"7/27/24")</f>
        <v>1</v>
      </c>
      <c r="I88" s="11">
        <f>COUNTIFS(KITENGELA!I:I,$I$18,KITENGELA!A:A,"7/27/24")</f>
        <v>22</v>
      </c>
      <c r="J88" s="2"/>
      <c r="K88" s="2"/>
      <c r="L88" s="2"/>
      <c r="M88" s="2"/>
      <c r="N88" s="2"/>
      <c r="O88" s="2"/>
      <c r="P88" s="2"/>
      <c r="Q88" s="2"/>
      <c r="R88" s="2"/>
      <c r="S88" s="2"/>
      <c r="T88" s="2"/>
      <c r="U88" s="2"/>
      <c r="V88" s="2"/>
      <c r="W88" s="2"/>
      <c r="X88" s="2"/>
      <c r="Y88" s="2"/>
      <c r="Z88" s="2"/>
      <c r="AA88" s="2"/>
      <c r="AB88" s="2"/>
    </row>
    <row r="89">
      <c r="A89" s="7" t="s">
        <v>14</v>
      </c>
      <c r="B89" s="8">
        <f>SUMIFS(ELDORET!F:F,ELDORET!A:A,"7/27/24")</f>
        <v>498195</v>
      </c>
      <c r="C89" s="11">
        <f>COUNTIFS(ELDORET!A:A,"7/27/24")</f>
        <v>9</v>
      </c>
      <c r="D89" s="10">
        <f>SUMIFS(ELDORET!G:G,ELDORET!A:A,"7/27/24")</f>
        <v>159965</v>
      </c>
      <c r="E89" s="11">
        <f t="shared" si="21"/>
        <v>2</v>
      </c>
      <c r="F89" s="12">
        <f t="shared" si="22"/>
        <v>0.3210891318</v>
      </c>
      <c r="G89" s="11">
        <f>COUNTIFS(ELDORET!I:I,$G$18,ELDORET!A:A,"7/27/24")</f>
        <v>0</v>
      </c>
      <c r="H89" s="11">
        <f>COUNTIFS(ELDORET!I:I,$H$18,ELDORET!A:A,"7/27/24")</f>
        <v>2</v>
      </c>
      <c r="I89" s="11">
        <f>COUNTIFS(ELDORET!I:I,$I$18,ELDORET!A:A,"7/27/24")</f>
        <v>7</v>
      </c>
      <c r="J89" s="2"/>
      <c r="K89" s="2"/>
      <c r="L89" s="2"/>
      <c r="M89" s="2"/>
      <c r="N89" s="2"/>
      <c r="O89" s="2"/>
      <c r="P89" s="2"/>
      <c r="Q89" s="2"/>
      <c r="R89" s="2"/>
      <c r="S89" s="2"/>
      <c r="T89" s="2"/>
      <c r="U89" s="2"/>
      <c r="V89" s="2"/>
      <c r="W89" s="2"/>
      <c r="X89" s="2"/>
      <c r="Y89" s="2"/>
      <c r="Z89" s="2"/>
      <c r="AA89" s="2"/>
      <c r="AB89" s="2"/>
    </row>
    <row r="90">
      <c r="A90" s="7" t="s">
        <v>15</v>
      </c>
      <c r="B90" s="8">
        <f>SUMIFS(NAKURU!F:F,NAKURU!A:A,"7/27/24")</f>
        <v>145000</v>
      </c>
      <c r="C90" s="11">
        <f>COUNTIFS(NAKURU!A:A,"7/27/24")</f>
        <v>3</v>
      </c>
      <c r="D90" s="10">
        <f>SUMIFS(NAKURU!G:G,NAKURU!A:A,"7/27/24")</f>
        <v>13000</v>
      </c>
      <c r="E90" s="11">
        <f t="shared" si="21"/>
        <v>1</v>
      </c>
      <c r="F90" s="12">
        <f t="shared" si="22"/>
        <v>0.08965517241</v>
      </c>
      <c r="G90" s="9">
        <f>COUNTIFS(NAKURU!I:I,$G$18,NAKURU!A:A,"7/27/24")</f>
        <v>0</v>
      </c>
      <c r="H90" s="11">
        <f>COUNTIFS(NAKURU!I:I,$H$18,NAKURU!A:A,"7/27/24")</f>
        <v>1</v>
      </c>
      <c r="I90" s="11">
        <f>COUNTIFS(NAKURU!I:I,$I$18,NAKURU!A:A,"7/27/24")</f>
        <v>2</v>
      </c>
      <c r="J90" s="2"/>
      <c r="K90" s="2"/>
      <c r="L90" s="2"/>
      <c r="M90" s="2"/>
      <c r="N90" s="2"/>
      <c r="O90" s="2"/>
      <c r="P90" s="2"/>
      <c r="Q90" s="2"/>
      <c r="R90" s="2"/>
      <c r="S90" s="2"/>
      <c r="T90" s="2"/>
      <c r="U90" s="2"/>
      <c r="V90" s="2"/>
      <c r="W90" s="2"/>
      <c r="X90" s="2"/>
      <c r="Y90" s="2"/>
      <c r="Z90" s="2"/>
      <c r="AA90" s="2"/>
      <c r="AB90" s="2"/>
    </row>
    <row r="91">
      <c r="A91" s="7" t="s">
        <v>16</v>
      </c>
      <c r="B91" s="8">
        <f>SUMIFS(HOMABAY!F:F,HOMABAY!A:A,"7/27/24")</f>
        <v>40000</v>
      </c>
      <c r="C91" s="11">
        <f>COUNTIFS(HOMABAY!A:A,"7/27/24")</f>
        <v>2</v>
      </c>
      <c r="D91" s="10">
        <f>SUMIFS(HOMABAY!G:G,HOMABAY!A:A,"7/27/24")</f>
        <v>5000</v>
      </c>
      <c r="E91" s="11">
        <f t="shared" si="21"/>
        <v>1</v>
      </c>
      <c r="F91" s="12">
        <f t="shared" si="22"/>
        <v>0.125</v>
      </c>
      <c r="G91" s="9">
        <f>COUNTIFS(HOMABAY!K:K,$G$18,HOMABAY!A:A,"7/27/24")</f>
        <v>1</v>
      </c>
      <c r="H91" s="11">
        <f>COUNTIFS(HOMABAY!K:K,$H$18,HOMABAY!A:A,"7/27/24")</f>
        <v>0</v>
      </c>
      <c r="I91" s="11">
        <f>COUNTIFS(HOMABAY!K:K,$I$18,HOMABAY!A:A,"7/27/24")</f>
        <v>1</v>
      </c>
      <c r="J91" s="2"/>
      <c r="K91" s="2"/>
      <c r="L91" s="2"/>
      <c r="M91" s="2"/>
      <c r="N91" s="2"/>
      <c r="O91" s="2"/>
      <c r="P91" s="2"/>
      <c r="Q91" s="2"/>
      <c r="R91" s="2"/>
      <c r="S91" s="2"/>
      <c r="T91" s="2"/>
      <c r="U91" s="2"/>
      <c r="V91" s="2"/>
      <c r="W91" s="2"/>
      <c r="X91" s="2"/>
      <c r="Y91" s="2"/>
      <c r="Z91" s="2"/>
      <c r="AA91" s="2"/>
      <c r="AB91" s="2"/>
    </row>
    <row r="92">
      <c r="A92" s="7" t="s">
        <v>17</v>
      </c>
      <c r="B92" s="8">
        <f>SUMIFS(MOMBASA!F:F,MOMBASA!A:A,"7/27/24")</f>
        <v>1085011.51</v>
      </c>
      <c r="C92" s="11">
        <f>COUNTIFS(MOMBASA!A:A,"7/27/24")</f>
        <v>10</v>
      </c>
      <c r="D92" s="14">
        <f>SUMIFS(MOMBASA!G:G,MOMBASA!A:A,"7/27/24")</f>
        <v>151000</v>
      </c>
      <c r="E92" s="11">
        <f t="shared" si="21"/>
        <v>2</v>
      </c>
      <c r="F92" s="12">
        <f t="shared" si="22"/>
        <v>0.1391690306</v>
      </c>
      <c r="G92" s="9">
        <f>COUNTIFS(MOMBASA!I:I,$G$18,MOMBASA!A:A,"7/27/24")</f>
        <v>1</v>
      </c>
      <c r="H92" s="11">
        <f>COUNTIFS(MOMBASA!I:I,$H$18,MOMBASA!A:A,"7/27/24")</f>
        <v>1</v>
      </c>
      <c r="I92" s="11">
        <f>COUNTIFS(MOMBASA!I:I,$I$18,MOMBASA!A:A,"7/27/24")</f>
        <v>8</v>
      </c>
      <c r="J92" s="2"/>
      <c r="K92" s="2"/>
      <c r="L92" s="2"/>
      <c r="M92" s="2"/>
      <c r="N92" s="2"/>
      <c r="O92" s="2"/>
      <c r="P92" s="2"/>
      <c r="Q92" s="2"/>
      <c r="R92" s="2"/>
      <c r="S92" s="2"/>
      <c r="T92" s="2"/>
      <c r="U92" s="2"/>
      <c r="V92" s="2"/>
      <c r="W92" s="2"/>
      <c r="X92" s="2"/>
      <c r="Y92" s="2"/>
      <c r="Z92" s="2"/>
      <c r="AA92" s="2"/>
      <c r="AB92" s="2"/>
    </row>
    <row r="93">
      <c r="A93" s="7" t="s">
        <v>18</v>
      </c>
      <c r="B93" s="8">
        <f>SUMIFS(KISUMU!F:F,KISUMU!A:A,"7/27/24")</f>
        <v>854034.53</v>
      </c>
      <c r="C93" s="11">
        <f>COUNTIFS(KISUMU!A:A,"7/27/24")</f>
        <v>13</v>
      </c>
      <c r="D93" s="10">
        <f>SUMIFS(KISUMU!G:G,KISUMU!A:A,"7/27/24")</f>
        <v>0</v>
      </c>
      <c r="E93" s="11">
        <f t="shared" si="21"/>
        <v>0</v>
      </c>
      <c r="F93" s="12">
        <f t="shared" si="22"/>
        <v>0</v>
      </c>
      <c r="G93" s="9">
        <f>COUNTIFS(KISUMU!I:I,$G$18,KISUMU!A:A,"7/27/24")</f>
        <v>0</v>
      </c>
      <c r="H93" s="11">
        <f>COUNTIFS(KISUMU!I:I,$H$18,KISUMU!A:A,"7/27/24")</f>
        <v>0</v>
      </c>
      <c r="I93" s="11">
        <f>COUNTIFS(KISUMU!I:I,$I$18,KISUMU!A:A,"7/27/24")</f>
        <v>13</v>
      </c>
      <c r="J93" s="2"/>
      <c r="K93" s="2"/>
      <c r="L93" s="2"/>
      <c r="M93" s="2"/>
      <c r="N93" s="2"/>
      <c r="O93" s="2"/>
      <c r="P93" s="2"/>
      <c r="Q93" s="2"/>
      <c r="R93" s="2"/>
      <c r="S93" s="2"/>
      <c r="T93" s="2"/>
      <c r="U93" s="2"/>
      <c r="V93" s="2"/>
      <c r="W93" s="2"/>
      <c r="X93" s="2"/>
      <c r="Y93" s="2"/>
      <c r="Z93" s="2"/>
      <c r="AA93" s="2"/>
      <c r="AB93" s="2"/>
    </row>
    <row r="94">
      <c r="A94" s="7" t="s">
        <v>19</v>
      </c>
      <c r="B94" s="8">
        <f>SUMIFS(VOI!F:F,VOI!A:A,"7/27/24")</f>
        <v>271051</v>
      </c>
      <c r="C94" s="11">
        <f>COUNTIFS(VOI!A:A,"7/27/24")</f>
        <v>11</v>
      </c>
      <c r="D94" s="10">
        <f>SUMIFS(VOI!G:G,VOI!A:A,"7/27/24")</f>
        <v>0</v>
      </c>
      <c r="E94" s="11">
        <f t="shared" si="21"/>
        <v>0</v>
      </c>
      <c r="F94" s="12">
        <f t="shared" si="22"/>
        <v>0</v>
      </c>
      <c r="G94" s="9">
        <f>COUNTIFS(VOI!H:H,$G$18,VOI!A:A,"7/27/24")</f>
        <v>0</v>
      </c>
      <c r="H94" s="11">
        <f>COUNTIFS(VOI!H:H,$H$18,VOI!A:A,"7/27/24")</f>
        <v>0</v>
      </c>
      <c r="I94" s="11">
        <f>COUNTIFS(VOI!H:H,$I$18,VOI!A:A,"7/27/24")</f>
        <v>11</v>
      </c>
      <c r="J94" s="2"/>
      <c r="K94" s="2"/>
      <c r="L94" s="2"/>
      <c r="M94" s="2"/>
      <c r="N94" s="2"/>
      <c r="O94" s="2"/>
      <c r="P94" s="2"/>
      <c r="Q94" s="2"/>
      <c r="R94" s="2"/>
      <c r="S94" s="2"/>
      <c r="T94" s="2"/>
      <c r="U94" s="2"/>
      <c r="V94" s="2"/>
      <c r="W94" s="2"/>
      <c r="X94" s="2"/>
      <c r="Y94" s="2"/>
      <c r="Z94" s="2"/>
      <c r="AA94" s="2"/>
      <c r="AB94" s="2"/>
    </row>
    <row r="95">
      <c r="A95" s="7" t="s">
        <v>20</v>
      </c>
      <c r="B95" s="8">
        <f>SUMIFS(THIKA!F:F,THIKA!A:A,"7/27/24")</f>
        <v>446897</v>
      </c>
      <c r="C95" s="11">
        <f>COUNTIFS(THIKA!A:A,"7/27/24")</f>
        <v>10</v>
      </c>
      <c r="D95" s="10">
        <f>SUMIFS(THIKA!G:G,THIKA!A:A,"7/27/24")</f>
        <v>0</v>
      </c>
      <c r="E95" s="11">
        <f t="shared" si="21"/>
        <v>0</v>
      </c>
      <c r="F95" s="12">
        <f t="shared" si="22"/>
        <v>0</v>
      </c>
      <c r="G95" s="9">
        <f>COUNTIFS(THIKA!I:I,$G$18,THIKA!A:A,"7/27/24")</f>
        <v>0</v>
      </c>
      <c r="H95" s="11">
        <f>COUNTIFS(THIKA!I:I,$H$18,THIKA!A:A,"7/27/24")</f>
        <v>0</v>
      </c>
      <c r="I95" s="11">
        <f>COUNTIFS(THIKA!I:I,$I$18,THIKA!A:A,"7/27/24")</f>
        <v>10</v>
      </c>
      <c r="J95" s="2"/>
      <c r="K95" s="2"/>
      <c r="L95" s="2"/>
      <c r="M95" s="2"/>
      <c r="N95" s="2"/>
      <c r="O95" s="2"/>
      <c r="P95" s="2"/>
      <c r="Q95" s="2"/>
      <c r="R95" s="2"/>
      <c r="S95" s="2"/>
      <c r="T95" s="2"/>
      <c r="U95" s="2"/>
      <c r="V95" s="2"/>
      <c r="W95" s="2"/>
      <c r="X95" s="2"/>
      <c r="Y95" s="2"/>
      <c r="Z95" s="2"/>
      <c r="AA95" s="2"/>
      <c r="AB95" s="2"/>
    </row>
    <row r="96">
      <c r="A96" s="7" t="s">
        <v>21</v>
      </c>
      <c r="B96" s="8">
        <f>SUMIFS(KITUI!F:F,KITUI!A:A,"7/27/24")</f>
        <v>43633</v>
      </c>
      <c r="C96" s="11">
        <f>COUNTIFS(KITUI!A:A,"7/27/24")</f>
        <v>1</v>
      </c>
      <c r="D96" s="10">
        <f>SUMIFS(KITUI!G:G,KITUI!A:A,"7/27/24")</f>
        <v>0</v>
      </c>
      <c r="E96" s="11">
        <f t="shared" si="21"/>
        <v>0</v>
      </c>
      <c r="F96" s="12">
        <f t="shared" si="22"/>
        <v>0</v>
      </c>
      <c r="G96" s="9">
        <f>COUNTIFS(KITUI!I:I,$G$18,KITUI!A:A,"7/27/24")</f>
        <v>0</v>
      </c>
      <c r="H96" s="11">
        <f>COUNTIFS(KITUI!I:I,$H$18,KITUI!A:A,"7/27/24")</f>
        <v>0</v>
      </c>
      <c r="I96" s="11">
        <f>COUNTIFS(KITUI!I:I,$I$18,KITUI!A:A,"7/27/24")</f>
        <v>1</v>
      </c>
      <c r="J96" s="2"/>
      <c r="K96" s="2"/>
      <c r="L96" s="2"/>
      <c r="M96" s="2"/>
      <c r="N96" s="2"/>
      <c r="O96" s="2"/>
      <c r="P96" s="2"/>
      <c r="Q96" s="2"/>
      <c r="R96" s="2"/>
      <c r="S96" s="2"/>
      <c r="T96" s="2"/>
      <c r="U96" s="2"/>
      <c r="V96" s="2"/>
      <c r="W96" s="2"/>
      <c r="X96" s="2"/>
      <c r="Y96" s="2"/>
      <c r="Z96" s="2"/>
      <c r="AA96" s="2"/>
      <c r="AB96" s="2"/>
    </row>
    <row r="97">
      <c r="A97" s="15" t="s">
        <v>22</v>
      </c>
      <c r="B97" s="8">
        <f>SUMIFS(MACHAKOS!F:F,MACHAKOS!A:A,"7/27/24")</f>
        <v>146910.39</v>
      </c>
      <c r="C97" s="11">
        <f>COUNTIFS(MACHAKOS!A:A,"7/27/24")</f>
        <v>2</v>
      </c>
      <c r="D97" s="10">
        <f>SUMIFS(MACHAKOS!G:G,MACHAKOS!A:A,"7/27/24")</f>
        <v>0</v>
      </c>
      <c r="E97" s="11">
        <f t="shared" si="21"/>
        <v>0</v>
      </c>
      <c r="F97" s="12">
        <f t="shared" si="22"/>
        <v>0</v>
      </c>
      <c r="G97" s="9">
        <f>COUNTIFS(MACHAKOS!I:I,$G$18,MACHAKOS!A:A,"7/27/24")</f>
        <v>0</v>
      </c>
      <c r="H97" s="11">
        <f>COUNTIFS(MACHAKOS!I:I,$H$18,MACHAKOS!A:A,"7/27/24")</f>
        <v>0</v>
      </c>
      <c r="I97" s="11">
        <f>COUNTIFS(MACHAKOS!I:I,$I$18,MACHAKOS!A:A,"7/27/24")</f>
        <v>2</v>
      </c>
      <c r="J97" s="2"/>
      <c r="K97" s="2"/>
      <c r="L97" s="2"/>
      <c r="M97" s="2"/>
      <c r="N97" s="2"/>
      <c r="O97" s="2"/>
      <c r="P97" s="2"/>
      <c r="Q97" s="2"/>
      <c r="R97" s="2"/>
      <c r="S97" s="2"/>
      <c r="T97" s="2"/>
      <c r="U97" s="2"/>
      <c r="V97" s="2"/>
      <c r="W97" s="2"/>
      <c r="X97" s="2"/>
      <c r="Y97" s="2"/>
      <c r="Z97" s="2"/>
      <c r="AA97" s="2"/>
      <c r="AB97" s="2"/>
    </row>
    <row r="98">
      <c r="A98" s="16" t="s">
        <v>23</v>
      </c>
      <c r="B98" s="17">
        <f t="shared" ref="B98:E98" si="23">SUM(B85:B97)</f>
        <v>25329804.3</v>
      </c>
      <c r="C98" s="18">
        <f t="shared" si="23"/>
        <v>150</v>
      </c>
      <c r="D98" s="19">
        <f t="shared" si="23"/>
        <v>2238707</v>
      </c>
      <c r="E98" s="18">
        <f t="shared" si="23"/>
        <v>21</v>
      </c>
      <c r="F98" s="20">
        <f>D98/B98</f>
        <v>0.08838232516</v>
      </c>
      <c r="G98" s="21">
        <f t="shared" ref="G98:I98" si="24">SUM(G85:G97)</f>
        <v>6</v>
      </c>
      <c r="H98" s="21">
        <f t="shared" si="24"/>
        <v>15</v>
      </c>
      <c r="I98" s="21">
        <f t="shared" si="24"/>
        <v>129</v>
      </c>
      <c r="J98" s="2"/>
      <c r="K98" s="2"/>
      <c r="L98" s="2"/>
      <c r="M98" s="2"/>
      <c r="N98" s="2"/>
      <c r="O98" s="2"/>
      <c r="P98" s="2"/>
      <c r="Q98" s="2"/>
      <c r="R98" s="2"/>
      <c r="S98" s="2"/>
      <c r="T98" s="2"/>
      <c r="U98" s="2"/>
      <c r="V98" s="2"/>
      <c r="W98" s="2"/>
      <c r="X98" s="2"/>
      <c r="Y98" s="2"/>
      <c r="Z98" s="2"/>
      <c r="AA98" s="2"/>
      <c r="AB98" s="2"/>
    </row>
    <row r="99">
      <c r="A99" s="1"/>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3" t="s">
        <v>1</v>
      </c>
      <c r="B100" s="4" t="s">
        <v>2</v>
      </c>
      <c r="C100" s="4" t="s">
        <v>3</v>
      </c>
      <c r="D100" s="4" t="s">
        <v>4</v>
      </c>
      <c r="E100" s="5" t="s">
        <v>5</v>
      </c>
      <c r="F100" s="6" t="s">
        <v>6</v>
      </c>
      <c r="G100" s="6" t="s">
        <v>7</v>
      </c>
      <c r="H100" s="6" t="s">
        <v>8</v>
      </c>
      <c r="I100" s="6" t="s">
        <v>9</v>
      </c>
      <c r="J100" s="2"/>
      <c r="K100" s="2"/>
      <c r="L100" s="2"/>
      <c r="M100" s="2"/>
      <c r="N100" s="2"/>
      <c r="O100" s="2"/>
      <c r="P100" s="2"/>
      <c r="Q100" s="2"/>
      <c r="R100" s="2"/>
      <c r="S100" s="2"/>
      <c r="T100" s="2"/>
      <c r="U100" s="2"/>
      <c r="V100" s="2"/>
      <c r="W100" s="2"/>
      <c r="X100" s="2"/>
      <c r="Y100" s="2"/>
      <c r="Z100" s="2"/>
      <c r="AA100" s="2"/>
      <c r="AB100" s="2"/>
    </row>
    <row r="101">
      <c r="A101" s="7" t="s">
        <v>10</v>
      </c>
      <c r="B101" s="8">
        <f>SUMIFS(ECOBANK!F:F,ECOBANK!A:A,"7/29/24")</f>
        <v>9299838.86</v>
      </c>
      <c r="C101" s="9">
        <f>COUNTIFS(ECOBANK!A:A,"7/29/24")</f>
        <v>16</v>
      </c>
      <c r="D101" s="10">
        <f>SUMIFS(ECOBANK!G:G,ECOBANK!A:A,"7/29/24")</f>
        <v>989833</v>
      </c>
      <c r="E101" s="11">
        <f t="shared" ref="E101:E113" si="25">G101+H101</f>
        <v>4</v>
      </c>
      <c r="F101" s="12">
        <f t="shared" ref="F101:F113" si="26">iferror(D101/B101,0)</f>
        <v>0.1064355001</v>
      </c>
      <c r="G101" s="9">
        <f>COUNTIFS(ECOBANK!I:I,$G$18,ECOBANK!A:A,"7/29/24")</f>
        <v>1</v>
      </c>
      <c r="H101" s="11">
        <f>COUNTIFS(ECOBANK!I:I,$H$18,ECOBANK!A:A,"7/29/24")</f>
        <v>3</v>
      </c>
      <c r="I101" s="11">
        <f>COUNTIFS(ECOBANK!I:I,$I$18,ECOBANK!A:A,"7/29/24")</f>
        <v>12</v>
      </c>
      <c r="J101" s="2"/>
      <c r="K101" s="2"/>
      <c r="L101" s="2"/>
      <c r="M101" s="2"/>
      <c r="N101" s="2"/>
      <c r="O101" s="2"/>
      <c r="P101" s="2"/>
      <c r="Q101" s="2"/>
      <c r="R101" s="2"/>
      <c r="S101" s="2"/>
      <c r="T101" s="2"/>
      <c r="U101" s="2"/>
      <c r="V101" s="2"/>
      <c r="W101" s="2"/>
      <c r="X101" s="2"/>
      <c r="Y101" s="2"/>
      <c r="Z101" s="2"/>
      <c r="AA101" s="2"/>
      <c r="AB101" s="2"/>
    </row>
    <row r="102">
      <c r="A102" s="7" t="s">
        <v>24</v>
      </c>
      <c r="B102" s="8">
        <f>SUMIFS('TRADE CENTER'!F:F,'TRADE CENTER'!A:A,"7/29/24")</f>
        <v>9709449.22</v>
      </c>
      <c r="C102" s="11">
        <f>COUNTIFS('TRADE CENTER'!A:A,"7/29/24")</f>
        <v>42</v>
      </c>
      <c r="D102" s="10">
        <f>SUMIFS('TRADE CENTER'!G:G,'TRADE CENTER'!A:A,"7/29/24")</f>
        <v>4557670</v>
      </c>
      <c r="E102" s="11">
        <f t="shared" si="25"/>
        <v>6</v>
      </c>
      <c r="F102" s="12">
        <f t="shared" si="26"/>
        <v>0.4694056168</v>
      </c>
      <c r="G102" s="11">
        <f>COUNTIFS('TRADE CENTER'!I:I,$G$18,'TRADE CENTER'!A:A,"7/29/24")</f>
        <v>2</v>
      </c>
      <c r="H102" s="11">
        <f>COUNTIFS('TRADE CENTER'!I:I,$H$18,'TRADE CENTER'!A:A,"7/29/24")</f>
        <v>4</v>
      </c>
      <c r="I102" s="11">
        <f>COUNTIFS('TRADE CENTER'!I:I,$I$18,'TRADE CENTER'!A:A,"7/29/24")</f>
        <v>36</v>
      </c>
      <c r="J102" s="2"/>
      <c r="K102" s="2"/>
      <c r="L102" s="2"/>
      <c r="M102" s="2"/>
      <c r="N102" s="2"/>
      <c r="O102" s="2"/>
      <c r="P102" s="2"/>
      <c r="Q102" s="2"/>
      <c r="R102" s="2"/>
      <c r="S102" s="2"/>
      <c r="T102" s="2"/>
      <c r="U102" s="2"/>
      <c r="V102" s="2"/>
      <c r="W102" s="2"/>
      <c r="X102" s="2"/>
      <c r="Y102" s="2"/>
      <c r="Z102" s="2"/>
      <c r="AA102" s="2"/>
      <c r="AB102" s="2"/>
    </row>
    <row r="103">
      <c r="A103" s="7" t="s">
        <v>12</v>
      </c>
      <c r="B103" s="8">
        <f>SUMIFS(PENSION!F:F,PENSION!A:A,"7/29/2024")</f>
        <v>7884899.12</v>
      </c>
      <c r="C103" s="11">
        <f>COUNTIFS(PENSION!A:A,"7/29/24")</f>
        <v>43</v>
      </c>
      <c r="D103" s="10">
        <f>SUMIFS(PENSION!G:G,PENSION!A:A,"7/29/2024")</f>
        <v>5717322</v>
      </c>
      <c r="E103" s="11">
        <f t="shared" si="25"/>
        <v>20</v>
      </c>
      <c r="F103" s="12">
        <f t="shared" si="26"/>
        <v>0.7250976725</v>
      </c>
      <c r="G103" s="9">
        <f>COUNTIFS(PENSION!I:I,$G$18,PENSION!A:A,"7/29/24")</f>
        <v>5</v>
      </c>
      <c r="H103" s="11">
        <f>COUNTIFS(PENSION!I:I,$H$18,PENSION!A:A,"7/29/24")</f>
        <v>15</v>
      </c>
      <c r="I103" s="11">
        <f>COUNTIFS(PENSION!I:I,$I$18,PENSION!A:A,"7/29/24")</f>
        <v>23</v>
      </c>
      <c r="J103" s="2"/>
      <c r="K103" s="2"/>
      <c r="L103" s="2"/>
      <c r="M103" s="2"/>
      <c r="N103" s="2"/>
      <c r="O103" s="2"/>
      <c r="P103" s="2"/>
      <c r="Q103" s="2"/>
      <c r="R103" s="2"/>
      <c r="S103" s="2"/>
      <c r="T103" s="2"/>
      <c r="U103" s="2"/>
      <c r="V103" s="2"/>
      <c r="W103" s="2"/>
      <c r="X103" s="2"/>
      <c r="Y103" s="2"/>
      <c r="Z103" s="2"/>
      <c r="AA103" s="2"/>
      <c r="AB103" s="2"/>
    </row>
    <row r="104">
      <c r="A104" s="7" t="s">
        <v>13</v>
      </c>
      <c r="B104" s="8">
        <f>SUMIFS(KITENGELA!F:F,KITENGELA!A:A,"7/29/24")</f>
        <v>3348752.49</v>
      </c>
      <c r="C104" s="11">
        <f>COUNTIFS(KITENGELA!A:A,"7/29/24")</f>
        <v>30</v>
      </c>
      <c r="D104" s="10">
        <f>SUMIFS(KITENGELA!G:G,KITENGELA!A:A,"7/29/24")</f>
        <v>202045</v>
      </c>
      <c r="E104" s="11">
        <f t="shared" si="25"/>
        <v>7</v>
      </c>
      <c r="F104" s="12">
        <f t="shared" si="26"/>
        <v>0.06033440829</v>
      </c>
      <c r="G104" s="11">
        <f>COUNTIFS(KITENGELA!I:I,$G$18,KITENGELA!A:A,"7/29/24")</f>
        <v>0</v>
      </c>
      <c r="H104" s="11">
        <f>COUNTIFS(KITENGELA!I:I,$H$18,KITENGELA!A:A,"7/29/24")</f>
        <v>7</v>
      </c>
      <c r="I104" s="11">
        <f>COUNTIFS(KITENGELA!I:I,$I$18,KITENGELA!A:A,"7/29/24")</f>
        <v>23</v>
      </c>
      <c r="J104" s="2"/>
      <c r="K104" s="2"/>
      <c r="L104" s="2"/>
      <c r="M104" s="2"/>
      <c r="N104" s="2"/>
      <c r="O104" s="2"/>
      <c r="P104" s="2"/>
      <c r="Q104" s="2"/>
      <c r="R104" s="2"/>
      <c r="S104" s="2"/>
      <c r="T104" s="2"/>
      <c r="U104" s="2"/>
      <c r="V104" s="2"/>
      <c r="W104" s="2"/>
      <c r="X104" s="2"/>
      <c r="Y104" s="2"/>
      <c r="Z104" s="2"/>
      <c r="AA104" s="2"/>
      <c r="AB104" s="2"/>
    </row>
    <row r="105">
      <c r="A105" s="7" t="s">
        <v>14</v>
      </c>
      <c r="B105" s="8">
        <f>SUMIFS(ELDORET!F:F,ELDORET!A:A,"7/29/24")</f>
        <v>667115</v>
      </c>
      <c r="C105" s="11">
        <f>COUNTIFS(ELDORET!A:A,"7/29/24")</f>
        <v>10</v>
      </c>
      <c r="D105" s="10">
        <f>SUMIFS(ELDORET!G:G,ELDORET!A:A,"7/29/24")</f>
        <v>340885</v>
      </c>
      <c r="E105" s="11">
        <f t="shared" si="25"/>
        <v>4</v>
      </c>
      <c r="F105" s="12">
        <f t="shared" si="26"/>
        <v>0.5109838634</v>
      </c>
      <c r="G105" s="11">
        <f>COUNTIFS(ELDORET!I:I,$G$18,ELDORET!A:A,"7/29/24")</f>
        <v>0</v>
      </c>
      <c r="H105" s="11">
        <f>COUNTIFS(ELDORET!I:I,$H$18,ELDORET!A:A,"7/29/24")</f>
        <v>4</v>
      </c>
      <c r="I105" s="11">
        <f>COUNTIFS(ELDORET!I:I,$I$18,ELDORET!A:A,"7/29/24")</f>
        <v>6</v>
      </c>
      <c r="J105" s="2"/>
      <c r="K105" s="2"/>
      <c r="L105" s="2"/>
      <c r="M105" s="2"/>
      <c r="N105" s="2"/>
      <c r="O105" s="2"/>
      <c r="P105" s="2"/>
      <c r="Q105" s="2"/>
      <c r="R105" s="2"/>
      <c r="S105" s="2"/>
      <c r="T105" s="2"/>
      <c r="U105" s="2"/>
      <c r="V105" s="2"/>
      <c r="W105" s="2"/>
      <c r="X105" s="2"/>
      <c r="Y105" s="2"/>
      <c r="Z105" s="2"/>
      <c r="AA105" s="2"/>
      <c r="AB105" s="2"/>
    </row>
    <row r="106">
      <c r="A106" s="7" t="s">
        <v>15</v>
      </c>
      <c r="B106" s="8">
        <f>SUMIFS(NAKURU!F:F,NAKURU!A:A,"7/29/24")</f>
        <v>349000</v>
      </c>
      <c r="C106" s="11">
        <f>COUNTIFS(NAKURU!A:A,"7/29/24")</f>
        <v>4</v>
      </c>
      <c r="D106" s="10">
        <f>SUMIFS(NAKURU!G:G,NAKURU!A:A,"7/29/24")</f>
        <v>0</v>
      </c>
      <c r="E106" s="11">
        <f t="shared" si="25"/>
        <v>0</v>
      </c>
      <c r="F106" s="12">
        <f t="shared" si="26"/>
        <v>0</v>
      </c>
      <c r="G106" s="9">
        <f>COUNTIFS(NAKURU!I:I,$G$18,NAKURU!A:A,"7/29/24")</f>
        <v>0</v>
      </c>
      <c r="H106" s="11">
        <f>COUNTIFS(NAKURU!I:I,$H$18,NAKURU!A:A,"7/29/24")</f>
        <v>0</v>
      </c>
      <c r="I106" s="11">
        <f>COUNTIFS(NAKURU!I:I,$I$18,NAKURU!A:A,"7/29/24")</f>
        <v>4</v>
      </c>
      <c r="J106" s="2"/>
      <c r="K106" s="2"/>
      <c r="L106" s="2"/>
      <c r="M106" s="2"/>
      <c r="N106" s="2"/>
      <c r="O106" s="2"/>
      <c r="P106" s="2"/>
      <c r="Q106" s="2"/>
      <c r="R106" s="2"/>
      <c r="S106" s="2"/>
      <c r="T106" s="2"/>
      <c r="U106" s="2"/>
      <c r="V106" s="2"/>
      <c r="W106" s="2"/>
      <c r="X106" s="2"/>
      <c r="Y106" s="2"/>
      <c r="Z106" s="2"/>
      <c r="AA106" s="2"/>
      <c r="AB106" s="2"/>
    </row>
    <row r="107">
      <c r="A107" s="7" t="s">
        <v>16</v>
      </c>
      <c r="B107" s="8">
        <f>SUMIFS(HOMABAY!F:F,HOMABAY!A:A,"7/29/24")</f>
        <v>197000</v>
      </c>
      <c r="C107" s="11">
        <f>COUNTIFS(HOMABAY!A:A,"7/29/24")</f>
        <v>3</v>
      </c>
      <c r="D107" s="10">
        <f>SUMIFS(HOMABAY!G:G,HOMABAY!A:A,"7/29/24")</f>
        <v>97000</v>
      </c>
      <c r="E107" s="11">
        <f t="shared" si="25"/>
        <v>2</v>
      </c>
      <c r="F107" s="12">
        <f t="shared" si="26"/>
        <v>0.4923857868</v>
      </c>
      <c r="G107" s="9">
        <f>COUNTIFS(HOMABAY!K:K,$G$18,HOMABAY!A:A,"7/29/24")</f>
        <v>0</v>
      </c>
      <c r="H107" s="11">
        <f>COUNTIFS(HOMABAY!K:K,$H$18,HOMABAY!A:A,"7/29/24")</f>
        <v>2</v>
      </c>
      <c r="I107" s="11">
        <f>COUNTIFS(HOMABAY!K:K,$I$18,HOMABAY!A:A,"7/29/24")</f>
        <v>1</v>
      </c>
      <c r="J107" s="2"/>
      <c r="K107" s="2"/>
      <c r="L107" s="2"/>
      <c r="M107" s="2"/>
      <c r="N107" s="2"/>
      <c r="O107" s="2"/>
      <c r="P107" s="2"/>
      <c r="Q107" s="2"/>
      <c r="R107" s="2"/>
      <c r="S107" s="2"/>
      <c r="T107" s="2"/>
      <c r="U107" s="2"/>
      <c r="V107" s="2"/>
      <c r="W107" s="2"/>
      <c r="X107" s="2"/>
      <c r="Y107" s="2"/>
      <c r="Z107" s="2"/>
      <c r="AA107" s="2"/>
      <c r="AB107" s="2"/>
    </row>
    <row r="108">
      <c r="A108" s="7" t="s">
        <v>17</v>
      </c>
      <c r="B108" s="8">
        <f>SUMIFS(MOMBASA!F:F,MOMBASA!A:A,"7/29/24")</f>
        <v>2790929.51</v>
      </c>
      <c r="C108" s="11">
        <f>COUNTIFS(MOMBASA!A:A,"7/29/24")</f>
        <v>20</v>
      </c>
      <c r="D108" s="14">
        <f>SUMIFS(MOMBASA!G:G,MOMBASA!A:A,"7/29/24")</f>
        <v>1195078</v>
      </c>
      <c r="E108" s="11">
        <f t="shared" si="25"/>
        <v>9</v>
      </c>
      <c r="F108" s="12">
        <f t="shared" si="26"/>
        <v>0.4282007108</v>
      </c>
      <c r="G108" s="9">
        <f>COUNTIFS(MOMBASA!I:I,$G$18,MOMBASA!A:A,"7/29/24")</f>
        <v>1</v>
      </c>
      <c r="H108" s="11">
        <f>COUNTIFS(MOMBASA!I:I,$H$18,MOMBASA!A:A,"7/29/24")</f>
        <v>8</v>
      </c>
      <c r="I108" s="11">
        <f>COUNTIFS(MOMBASA!I:I,$I$18,MOMBASA!A:A,"7/29/24")</f>
        <v>11</v>
      </c>
      <c r="J108" s="2"/>
      <c r="K108" s="2"/>
      <c r="L108" s="2"/>
      <c r="M108" s="2"/>
      <c r="N108" s="2"/>
      <c r="O108" s="2"/>
      <c r="P108" s="2"/>
      <c r="Q108" s="2"/>
      <c r="R108" s="2"/>
      <c r="S108" s="2"/>
      <c r="T108" s="2"/>
      <c r="U108" s="2"/>
      <c r="V108" s="2"/>
      <c r="W108" s="2"/>
      <c r="X108" s="2"/>
      <c r="Y108" s="2"/>
      <c r="Z108" s="2"/>
      <c r="AA108" s="2"/>
      <c r="AB108" s="2"/>
    </row>
    <row r="109">
      <c r="A109" s="7" t="s">
        <v>18</v>
      </c>
      <c r="B109" s="8">
        <f>SUMIFS(KISUMU!F:F,KISUMU!A:A,"7/29/24")</f>
        <v>1189601.53</v>
      </c>
      <c r="C109" s="11">
        <f>COUNTIFS(KISUMU!A:A,"7/29/24")</f>
        <v>18</v>
      </c>
      <c r="D109" s="10">
        <f>SUMIFS(KISUMU!G:G,KISUMU!A:A,"7/29/24")</f>
        <v>306750</v>
      </c>
      <c r="E109" s="11">
        <f t="shared" si="25"/>
        <v>7</v>
      </c>
      <c r="F109" s="12">
        <f t="shared" si="26"/>
        <v>0.2578594532</v>
      </c>
      <c r="G109" s="9">
        <f>COUNTIFS(KISUMU!I:I,$G$18,KISUMU!A:A,"7/29/24")</f>
        <v>1</v>
      </c>
      <c r="H109" s="11">
        <f>COUNTIFS(KISUMU!I:I,$H$18,KISUMU!A:A,"7/29/24")</f>
        <v>6</v>
      </c>
      <c r="I109" s="11">
        <f>COUNTIFS(KISUMU!I:I,$I$18,KISUMU!A:A,"7/29/24")</f>
        <v>11</v>
      </c>
      <c r="J109" s="2"/>
      <c r="K109" s="2"/>
      <c r="L109" s="2"/>
      <c r="M109" s="2"/>
      <c r="N109" s="2"/>
      <c r="O109" s="2"/>
      <c r="P109" s="2"/>
      <c r="Q109" s="2"/>
      <c r="R109" s="2"/>
      <c r="S109" s="2"/>
      <c r="T109" s="2"/>
      <c r="U109" s="2"/>
      <c r="V109" s="2"/>
      <c r="W109" s="2"/>
      <c r="X109" s="2"/>
      <c r="Y109" s="2"/>
      <c r="Z109" s="2"/>
      <c r="AA109" s="2"/>
      <c r="AB109" s="2"/>
    </row>
    <row r="110">
      <c r="A110" s="7" t="s">
        <v>19</v>
      </c>
      <c r="B110" s="8">
        <f>SUMIFS(VOI!F:F,VOI!A:A,"7/29/24")</f>
        <v>271051</v>
      </c>
      <c r="C110" s="11">
        <f>COUNTIFS(VOI!A:A,"7/29/24")</f>
        <v>11</v>
      </c>
      <c r="D110" s="10">
        <f>SUMIFS(VOI!G:G,VOI!A:A,"7/29/24")</f>
        <v>19000</v>
      </c>
      <c r="E110" s="11">
        <f t="shared" si="25"/>
        <v>1</v>
      </c>
      <c r="F110" s="12">
        <f t="shared" si="26"/>
        <v>0.07009750932</v>
      </c>
      <c r="G110" s="9">
        <f>COUNTIFS(VOI!H:H,$G$18,VOI!A:A,"7/29/24")</f>
        <v>0</v>
      </c>
      <c r="H110" s="11">
        <f>COUNTIFS(VOI!H:H,$H$18,VOI!A:A,"7/29/24")</f>
        <v>1</v>
      </c>
      <c r="I110" s="11">
        <f>COUNTIFS(VOI!H:H,$I$18,VOI!A:A,"7/29/24")</f>
        <v>9</v>
      </c>
      <c r="J110" s="2"/>
      <c r="K110" s="2"/>
      <c r="L110" s="2"/>
      <c r="M110" s="2"/>
      <c r="N110" s="2"/>
      <c r="O110" s="2"/>
      <c r="P110" s="2"/>
      <c r="Q110" s="2"/>
      <c r="R110" s="2"/>
      <c r="S110" s="2"/>
      <c r="T110" s="2"/>
      <c r="U110" s="2"/>
      <c r="V110" s="2"/>
      <c r="W110" s="2"/>
      <c r="X110" s="2"/>
      <c r="Y110" s="2"/>
      <c r="Z110" s="2"/>
      <c r="AA110" s="2"/>
      <c r="AB110" s="2"/>
    </row>
    <row r="111">
      <c r="A111" s="7" t="s">
        <v>20</v>
      </c>
      <c r="B111" s="8">
        <f>SUMIFS(THIKA!F:F,THIKA!A:A,"7/29/24")</f>
        <v>1493133</v>
      </c>
      <c r="C111" s="11">
        <f>COUNTIFS(THIKA!A:A,"7/29/24")</f>
        <v>18</v>
      </c>
      <c r="D111" s="10">
        <f>SUMIFS(THIKA!G:G,THIKA!A:A,"7/29/24")</f>
        <v>300000</v>
      </c>
      <c r="E111" s="11">
        <f t="shared" si="25"/>
        <v>7</v>
      </c>
      <c r="F111" s="12">
        <f t="shared" si="26"/>
        <v>0.2009198109</v>
      </c>
      <c r="G111" s="9">
        <f>COUNTIFS(THIKA!I:I,$G$18,THIKA!A:A,"7/29/24")</f>
        <v>2</v>
      </c>
      <c r="H111" s="11">
        <f>COUNTIFS(THIKA!I:I,$H$18,THIKA!A:A,"7/29/24")</f>
        <v>5</v>
      </c>
      <c r="I111" s="11">
        <f>COUNTIFS(THIKA!I:I,$I$18,THIKA!A:A,"7/29/24")</f>
        <v>11</v>
      </c>
      <c r="J111" s="2"/>
      <c r="K111" s="2"/>
      <c r="L111" s="2"/>
      <c r="M111" s="2"/>
      <c r="N111" s="2"/>
      <c r="O111" s="2"/>
      <c r="P111" s="2"/>
      <c r="Q111" s="2"/>
      <c r="R111" s="2"/>
      <c r="S111" s="2"/>
      <c r="T111" s="2"/>
      <c r="U111" s="2"/>
      <c r="V111" s="2"/>
      <c r="W111" s="2"/>
      <c r="X111" s="2"/>
      <c r="Y111" s="2"/>
      <c r="Z111" s="2"/>
      <c r="AA111" s="2"/>
      <c r="AB111" s="2"/>
    </row>
    <row r="112">
      <c r="A112" s="7" t="s">
        <v>21</v>
      </c>
      <c r="B112" s="8">
        <f>SUMIFS(KITUI!F:F,KITUI!A:A,"7/29/24")</f>
        <v>175400</v>
      </c>
      <c r="C112" s="11">
        <f>COUNTIFS(KITUI!A:A,"7/29/24")</f>
        <v>4</v>
      </c>
      <c r="D112" s="10">
        <f>SUMIFS(KITUI!G:G,KITUI!A:A,"7/29/24")</f>
        <v>30000</v>
      </c>
      <c r="E112" s="11">
        <f t="shared" si="25"/>
        <v>2</v>
      </c>
      <c r="F112" s="12">
        <f t="shared" si="26"/>
        <v>0.1710376283</v>
      </c>
      <c r="G112" s="9">
        <f>COUNTIFS(KITUI!I:I,$G$18,KITUI!A:A,"7/29/24")</f>
        <v>1</v>
      </c>
      <c r="H112" s="11">
        <f>COUNTIFS(KITUI!I:I,$H$18,KITUI!A:A,"7/29/24")</f>
        <v>1</v>
      </c>
      <c r="I112" s="11">
        <f>COUNTIFS(KITUI!I:I,$I$18,KITUI!A:A,"7/29/24")</f>
        <v>2</v>
      </c>
      <c r="J112" s="2"/>
      <c r="K112" s="2"/>
      <c r="L112" s="2"/>
      <c r="M112" s="2"/>
      <c r="N112" s="2"/>
      <c r="O112" s="2"/>
      <c r="P112" s="2"/>
      <c r="Q112" s="2"/>
      <c r="R112" s="2"/>
      <c r="S112" s="2"/>
      <c r="T112" s="2"/>
      <c r="U112" s="2"/>
      <c r="V112" s="2"/>
      <c r="W112" s="2"/>
      <c r="X112" s="2"/>
      <c r="Y112" s="2"/>
      <c r="Z112" s="2"/>
      <c r="AA112" s="2"/>
      <c r="AB112" s="2"/>
    </row>
    <row r="113">
      <c r="A113" s="15" t="s">
        <v>22</v>
      </c>
      <c r="B113" s="8">
        <f>SUMIFS(MACHAKOS!F:F,MACHAKOS!A:A,"7/29/24")</f>
        <v>161243.39</v>
      </c>
      <c r="C113" s="11">
        <f>COUNTIFS(MACHAKOS!A:A,"7/29/24")</f>
        <v>3</v>
      </c>
      <c r="D113" s="10">
        <f>SUMIFS(MACHAKOS!G:G,MACHAKOS!A:A,"7/29/24")</f>
        <v>33900</v>
      </c>
      <c r="E113" s="11">
        <f t="shared" si="25"/>
        <v>2</v>
      </c>
      <c r="F113" s="12">
        <f t="shared" si="26"/>
        <v>0.2102411764</v>
      </c>
      <c r="G113" s="9">
        <f>COUNTIFS(MACHAKOS!I:I,$G$18,MACHAKOS!A:A,"7/29/24")</f>
        <v>0</v>
      </c>
      <c r="H113" s="11">
        <f>COUNTIFS(MACHAKOS!I:I,$H$18,MACHAKOS!A:A,"7/29/24")</f>
        <v>2</v>
      </c>
      <c r="I113" s="11">
        <f>COUNTIFS(MACHAKOS!I:I,$I$18,MACHAKOS!A:A,"7/29/24")</f>
        <v>1</v>
      </c>
      <c r="J113" s="2"/>
      <c r="K113" s="2"/>
      <c r="L113" s="2"/>
      <c r="M113" s="2"/>
      <c r="N113" s="2"/>
      <c r="O113" s="2"/>
      <c r="P113" s="2"/>
      <c r="Q113" s="2"/>
      <c r="R113" s="2"/>
      <c r="S113" s="2"/>
      <c r="T113" s="2"/>
      <c r="U113" s="2"/>
      <c r="V113" s="2"/>
      <c r="W113" s="2"/>
      <c r="X113" s="2"/>
      <c r="Y113" s="2"/>
      <c r="Z113" s="2"/>
      <c r="AA113" s="2"/>
      <c r="AB113" s="2"/>
    </row>
    <row r="114">
      <c r="A114" s="16" t="s">
        <v>23</v>
      </c>
      <c r="B114" s="17">
        <f t="shared" ref="B114:E114" si="27">SUM(B101:B113)</f>
        <v>37537413.12</v>
      </c>
      <c r="C114" s="18">
        <f t="shared" si="27"/>
        <v>222</v>
      </c>
      <c r="D114" s="19">
        <f t="shared" si="27"/>
        <v>13789483</v>
      </c>
      <c r="E114" s="18">
        <f t="shared" si="27"/>
        <v>71</v>
      </c>
      <c r="F114" s="20">
        <f>D114/B114</f>
        <v>0.3673530447</v>
      </c>
      <c r="G114" s="21">
        <f t="shared" ref="G114:I114" si="28">SUM(G101:G113)</f>
        <v>13</v>
      </c>
      <c r="H114" s="21">
        <f t="shared" si="28"/>
        <v>58</v>
      </c>
      <c r="I114" s="21">
        <f t="shared" si="28"/>
        <v>150</v>
      </c>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1" t="s">
        <v>27</v>
      </c>
      <c r="B116" s="25">
        <v>1150000.0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4">
        <f>B114+B116</f>
        <v>38687413.12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3" t="s">
        <v>1</v>
      </c>
      <c r="B119" s="4" t="s">
        <v>2</v>
      </c>
      <c r="C119" s="4" t="s">
        <v>3</v>
      </c>
      <c r="D119" s="4" t="s">
        <v>4</v>
      </c>
      <c r="E119" s="5" t="s">
        <v>5</v>
      </c>
      <c r="F119" s="6" t="s">
        <v>6</v>
      </c>
      <c r="G119" s="6" t="s">
        <v>7</v>
      </c>
      <c r="H119" s="6" t="s">
        <v>8</v>
      </c>
      <c r="I119" s="6" t="s">
        <v>9</v>
      </c>
      <c r="J119" s="2"/>
      <c r="K119" s="2"/>
      <c r="L119" s="2"/>
      <c r="M119" s="2"/>
      <c r="N119" s="2"/>
      <c r="O119" s="2"/>
      <c r="P119" s="2"/>
      <c r="Q119" s="2"/>
      <c r="R119" s="2"/>
      <c r="S119" s="2"/>
      <c r="T119" s="2"/>
      <c r="U119" s="2"/>
      <c r="V119" s="2"/>
      <c r="W119" s="2"/>
      <c r="X119" s="2"/>
      <c r="Y119" s="2"/>
      <c r="Z119" s="2"/>
      <c r="AA119" s="2"/>
      <c r="AB119" s="2"/>
    </row>
    <row r="120">
      <c r="A120" s="7" t="s">
        <v>10</v>
      </c>
      <c r="B120" s="8">
        <f>SUMIFS(ECOBANK!F:F,ECOBANK!A:A,"7/30/24")</f>
        <v>14160277.07</v>
      </c>
      <c r="C120" s="9">
        <f>COUNTIFS(ECOBANK!A:A,"7/30/24")</f>
        <v>20</v>
      </c>
      <c r="D120" s="10">
        <f>SUMIFS(ECOBANK!G:G,ECOBANK!A:A,"7/30/24")</f>
        <v>651058</v>
      </c>
      <c r="E120" s="11">
        <f t="shared" ref="E120:E132" si="29">G120+H120</f>
        <v>3</v>
      </c>
      <c r="F120" s="12">
        <f t="shared" ref="F120:F132" si="30">iferror(D120/B120,0)</f>
        <v>0.04597777267</v>
      </c>
      <c r="G120" s="9">
        <f>COUNTIFS(ECOBANK!I:I,$G$18,ECOBANK!A:A,"7/30/24")</f>
        <v>1</v>
      </c>
      <c r="H120" s="11">
        <f>COUNTIFS(ECOBANK!I:I,$H$18,ECOBANK!A:A,"7/30/24")</f>
        <v>2</v>
      </c>
      <c r="I120" s="11">
        <f>COUNTIFS(ECOBANK!I:I,$I$18,ECOBANK!A:A,"7/30/24")</f>
        <v>17</v>
      </c>
      <c r="J120" s="2"/>
      <c r="K120" s="2"/>
      <c r="L120" s="2"/>
      <c r="M120" s="2"/>
      <c r="N120" s="2"/>
      <c r="O120" s="2"/>
      <c r="P120" s="2"/>
      <c r="Q120" s="2"/>
      <c r="R120" s="2"/>
      <c r="S120" s="2"/>
      <c r="T120" s="2"/>
      <c r="U120" s="2"/>
      <c r="V120" s="2"/>
      <c r="W120" s="2"/>
      <c r="X120" s="2"/>
      <c r="Y120" s="2"/>
      <c r="Z120" s="2"/>
      <c r="AA120" s="2"/>
      <c r="AB120" s="2"/>
    </row>
    <row r="121">
      <c r="A121" s="7" t="s">
        <v>24</v>
      </c>
      <c r="B121" s="8">
        <f>SUMIFS('TRADE CENTER'!F:F,'TRADE CENTER'!A:A,"7/30/24")</f>
        <v>6619743.54</v>
      </c>
      <c r="C121" s="11">
        <f>COUNTIFS('TRADE CENTER'!A:A,"7/30/24")</f>
        <v>42</v>
      </c>
      <c r="D121" s="10">
        <f>SUMIFS('TRADE CENTER'!G:G,'TRADE CENTER'!A:A,"7/30/24")</f>
        <v>1239086</v>
      </c>
      <c r="E121" s="11">
        <f t="shared" si="29"/>
        <v>10</v>
      </c>
      <c r="F121" s="12">
        <f t="shared" si="30"/>
        <v>0.1871803632</v>
      </c>
      <c r="G121" s="11">
        <f>COUNTIFS('TRADE CENTER'!I:I,$G$18,'TRADE CENTER'!A:A,"7/30/24")</f>
        <v>5</v>
      </c>
      <c r="H121" s="11">
        <f>COUNTIFS('TRADE CENTER'!I:I,$H$18,'TRADE CENTER'!A:A,"7/30/24")</f>
        <v>5</v>
      </c>
      <c r="I121" s="11">
        <f>COUNTIFS('TRADE CENTER'!I:I,$I$18,'TRADE CENTER'!A:A,"7/30/24")</f>
        <v>32</v>
      </c>
      <c r="J121" s="2"/>
      <c r="K121" s="2"/>
      <c r="L121" s="2"/>
      <c r="M121" s="2"/>
      <c r="N121" s="2"/>
      <c r="O121" s="2"/>
      <c r="P121" s="2"/>
      <c r="Q121" s="2"/>
      <c r="R121" s="2"/>
      <c r="S121" s="2"/>
      <c r="T121" s="2"/>
      <c r="U121" s="2"/>
      <c r="V121" s="2"/>
      <c r="W121" s="2"/>
      <c r="X121" s="2"/>
      <c r="Y121" s="2"/>
      <c r="Z121" s="2"/>
      <c r="AA121" s="2"/>
      <c r="AB121" s="2"/>
    </row>
    <row r="122">
      <c r="A122" s="7" t="s">
        <v>12</v>
      </c>
      <c r="B122" s="8">
        <f>SUMIFS(PENSION!F:F,PENSION!A:A,"7/30/2024")</f>
        <v>5285451.44</v>
      </c>
      <c r="C122" s="11">
        <f>COUNTIFS(PENSION!A:A,"7/30/24")</f>
        <v>29</v>
      </c>
      <c r="D122" s="10">
        <f>SUMIFS(PENSION!G:G,PENSION!A:A,"7/30/2024")</f>
        <v>456731</v>
      </c>
      <c r="E122" s="11">
        <f t="shared" si="29"/>
        <v>7</v>
      </c>
      <c r="F122" s="12">
        <f t="shared" si="30"/>
        <v>0.08641286467</v>
      </c>
      <c r="G122" s="9">
        <f>COUNTIFS(PENSION!I:I,$G$18,PENSION!A:A,"7/30/24")</f>
        <v>2</v>
      </c>
      <c r="H122" s="11">
        <f>COUNTIFS(PENSION!I:I,$H$18,PENSION!A:A,"7/30/24")</f>
        <v>5</v>
      </c>
      <c r="I122" s="11">
        <f>COUNTIFS(PENSION!I:I,$I$18,PENSION!A:A,"7/30/24")</f>
        <v>22</v>
      </c>
      <c r="J122" s="2"/>
      <c r="K122" s="2"/>
      <c r="L122" s="2"/>
      <c r="M122" s="2"/>
      <c r="N122" s="2"/>
      <c r="O122" s="2"/>
      <c r="P122" s="2"/>
      <c r="Q122" s="2"/>
      <c r="R122" s="2"/>
      <c r="S122" s="2"/>
      <c r="T122" s="2"/>
      <c r="U122" s="2"/>
      <c r="V122" s="2"/>
      <c r="W122" s="2"/>
      <c r="X122" s="2"/>
      <c r="Y122" s="2"/>
      <c r="Z122" s="2"/>
      <c r="AA122" s="2"/>
      <c r="AB122" s="2"/>
    </row>
    <row r="123">
      <c r="A123" s="7" t="s">
        <v>13</v>
      </c>
      <c r="B123" s="8">
        <f>SUMIFS(KITENGELA!F:F,KITENGELA!A:A,"7/30/2024")</f>
        <v>4077278.33</v>
      </c>
      <c r="C123" s="11">
        <f>COUNTIFS(KITENGELA!A:A,"7/30/24")</f>
        <v>25</v>
      </c>
      <c r="D123" s="10">
        <f>SUMIFS(KITENGELA!G:G,KITENGELA!A:A,"7/30/24")</f>
        <v>174400</v>
      </c>
      <c r="E123" s="11">
        <f t="shared" si="29"/>
        <v>3</v>
      </c>
      <c r="F123" s="12">
        <f t="shared" si="30"/>
        <v>0.0427736313</v>
      </c>
      <c r="G123" s="11">
        <f>COUNTIFS(KITENGELA!I:I,$G$18,KITENGELA!A:A,"7/30/24")</f>
        <v>3</v>
      </c>
      <c r="H123" s="11">
        <f>COUNTIFS(KITENGELA!I:I,$H$18,KITENGELA!A:A,"7/30/24")</f>
        <v>0</v>
      </c>
      <c r="I123" s="11">
        <f>COUNTIFS(KITENGELA!I:I,$I$18,KITENGELA!A:A,"7/30/24")</f>
        <v>22</v>
      </c>
      <c r="J123" s="2"/>
      <c r="K123" s="2"/>
      <c r="L123" s="2"/>
      <c r="M123" s="2"/>
      <c r="N123" s="2"/>
      <c r="O123" s="2"/>
      <c r="P123" s="2"/>
      <c r="Q123" s="2"/>
      <c r="R123" s="2"/>
      <c r="S123" s="2"/>
      <c r="T123" s="2"/>
      <c r="U123" s="2"/>
      <c r="V123" s="2"/>
      <c r="W123" s="2"/>
      <c r="X123" s="2"/>
      <c r="Y123" s="2"/>
      <c r="Z123" s="2"/>
      <c r="AA123" s="2"/>
      <c r="AB123" s="2"/>
    </row>
    <row r="124">
      <c r="A124" s="7" t="s">
        <v>14</v>
      </c>
      <c r="B124" s="8">
        <f>SUMIFS(ELDORET!F:F,ELDORET!A:A,"7/30/24")</f>
        <v>1140008</v>
      </c>
      <c r="C124" s="11">
        <f>COUNTIFS(ELDORET!A:A,"7/30/24")</f>
        <v>14</v>
      </c>
      <c r="D124" s="10">
        <f>SUMIFS(ELDORET!G:G,ELDORET!A:A,"7/30/24")</f>
        <v>225930</v>
      </c>
      <c r="E124" s="11">
        <f t="shared" si="29"/>
        <v>2</v>
      </c>
      <c r="F124" s="12">
        <f t="shared" si="30"/>
        <v>0.1981828198</v>
      </c>
      <c r="G124" s="11">
        <f>COUNTIFS(ELDORET!I:I,$G$18,ELDORET!A:A,"7/30/24")</f>
        <v>1</v>
      </c>
      <c r="H124" s="11">
        <f>COUNTIFS(ELDORET!I:I,$H$18,ELDORET!A:A,"7/30/24")</f>
        <v>1</v>
      </c>
      <c r="I124" s="11">
        <f>COUNTIFS(ELDORET!I:I,$I$18,ELDORET!A:A,"7/30/24")</f>
        <v>12</v>
      </c>
      <c r="J124" s="2"/>
      <c r="K124" s="2"/>
      <c r="L124" s="2"/>
      <c r="M124" s="2"/>
      <c r="N124" s="2"/>
      <c r="O124" s="2"/>
      <c r="P124" s="2"/>
      <c r="Q124" s="2"/>
      <c r="R124" s="2"/>
      <c r="S124" s="2"/>
      <c r="T124" s="2"/>
      <c r="U124" s="2"/>
      <c r="V124" s="2"/>
      <c r="W124" s="2"/>
      <c r="X124" s="2"/>
      <c r="Y124" s="2"/>
      <c r="Z124" s="2"/>
      <c r="AA124" s="2"/>
      <c r="AB124" s="2"/>
    </row>
    <row r="125">
      <c r="A125" s="7" t="s">
        <v>15</v>
      </c>
      <c r="B125" s="8">
        <f>SUMIFS(NAKURU!F:F,NAKURU!A:A,"7/30/24")</f>
        <v>343000</v>
      </c>
      <c r="C125" s="11">
        <f>COUNTIFS(NAKURU!A:A,"7/30/24")</f>
        <v>3</v>
      </c>
      <c r="D125" s="10">
        <f>SUMIFS(NAKURU!G:G,NAKURU!A:A,"7/30/24")</f>
        <v>45670</v>
      </c>
      <c r="E125" s="11">
        <f t="shared" si="29"/>
        <v>1</v>
      </c>
      <c r="F125" s="12">
        <f t="shared" si="30"/>
        <v>0.133148688</v>
      </c>
      <c r="G125" s="9">
        <f>COUNTIFS(NAKURU!I:I,$G$18,NAKURU!A:A,"7/30/24")</f>
        <v>0</v>
      </c>
      <c r="H125" s="11">
        <f>COUNTIFS(NAKURU!I:I,$H$18,NAKURU!A:A,"7/30/24")</f>
        <v>1</v>
      </c>
      <c r="I125" s="11">
        <f>COUNTIFS(NAKURU!I:I,$I$18,NAKURU!A:A,"7/30/24")</f>
        <v>2</v>
      </c>
      <c r="J125" s="2"/>
      <c r="K125" s="2"/>
      <c r="L125" s="2"/>
      <c r="M125" s="2"/>
      <c r="N125" s="2"/>
      <c r="O125" s="2"/>
      <c r="P125" s="2"/>
      <c r="Q125" s="2"/>
      <c r="R125" s="2"/>
      <c r="S125" s="2"/>
      <c r="T125" s="2"/>
      <c r="U125" s="2"/>
      <c r="V125" s="2"/>
      <c r="W125" s="2"/>
      <c r="X125" s="2"/>
      <c r="Y125" s="2"/>
      <c r="Z125" s="2"/>
      <c r="AA125" s="2"/>
      <c r="AB125" s="2"/>
    </row>
    <row r="126">
      <c r="A126" s="7" t="s">
        <v>16</v>
      </c>
      <c r="B126" s="8">
        <f>SUMIFS(HOMABAY!F:F,HOMABAY!A:A,"7/30/24")</f>
        <v>69115</v>
      </c>
      <c r="C126" s="11">
        <f>COUNTIFS(HOMABAY!A:A,"7/30/24")</f>
        <v>5</v>
      </c>
      <c r="D126" s="10">
        <f>SUMIFS(HOMABAY!G:G,HOMABAY!A:A,"7/30/24")</f>
        <v>52200</v>
      </c>
      <c r="E126" s="11">
        <f t="shared" si="29"/>
        <v>4</v>
      </c>
      <c r="F126" s="12">
        <f t="shared" si="30"/>
        <v>0.7552629675</v>
      </c>
      <c r="G126" s="9">
        <f>COUNTIFS(HOMABAY!K:K,$G$18,HOMABAY!A:A,"7/30/24")</f>
        <v>2</v>
      </c>
      <c r="H126" s="11">
        <f>COUNTIFS(HOMABAY!K:K,$H$18,HOMABAY!A:A,"7/30/24")</f>
        <v>2</v>
      </c>
      <c r="I126" s="11">
        <f>COUNTIFS(HOMABAY!K:K,$I$18,HOMABAY!A:A,"7/30/24")</f>
        <v>1</v>
      </c>
      <c r="J126" s="2"/>
      <c r="K126" s="2"/>
      <c r="L126" s="2"/>
      <c r="M126" s="2"/>
      <c r="N126" s="2"/>
      <c r="O126" s="2"/>
      <c r="P126" s="2"/>
      <c r="Q126" s="2"/>
      <c r="R126" s="2"/>
      <c r="S126" s="2"/>
      <c r="T126" s="2"/>
      <c r="U126" s="2"/>
      <c r="V126" s="2"/>
      <c r="W126" s="2"/>
      <c r="X126" s="2"/>
      <c r="Y126" s="2"/>
      <c r="Z126" s="2"/>
      <c r="AA126" s="2"/>
      <c r="AB126" s="2"/>
    </row>
    <row r="127">
      <c r="A127" s="7" t="s">
        <v>17</v>
      </c>
      <c r="B127" s="8">
        <f>SUMIFS(MOMBASA!F:F,MOMBASA!A:A,"7/30/24")</f>
        <v>3126757.51</v>
      </c>
      <c r="C127" s="11">
        <f>COUNTIFS(MOMBASA!A:A,"7/30/24")</f>
        <v>21</v>
      </c>
      <c r="D127" s="14">
        <f>SUMIFS(MOMBASA!G:G,MOMBASA!A:A,"7/30/24")</f>
        <v>500190</v>
      </c>
      <c r="E127" s="11">
        <f t="shared" si="29"/>
        <v>10</v>
      </c>
      <c r="F127" s="12">
        <f t="shared" si="30"/>
        <v>0.1599708319</v>
      </c>
      <c r="G127" s="9">
        <f>COUNTIFS(MOMBASA!I:I,$G$18,MOMBASA!A:A,"7/30/24")</f>
        <v>6</v>
      </c>
      <c r="H127" s="11">
        <f>COUNTIFS(MOMBASA!I:I,$H$18,MOMBASA!A:A,"7/30/24")</f>
        <v>4</v>
      </c>
      <c r="I127" s="11">
        <f>COUNTIFS(MOMBASA!I:I,$I$18,MOMBASA!A:A,"7/30/24")</f>
        <v>11</v>
      </c>
      <c r="J127" s="2"/>
      <c r="K127" s="2"/>
      <c r="L127" s="2"/>
      <c r="M127" s="2"/>
      <c r="N127" s="2"/>
      <c r="O127" s="2"/>
      <c r="P127" s="2"/>
      <c r="Q127" s="2"/>
      <c r="R127" s="2"/>
      <c r="S127" s="2"/>
      <c r="T127" s="2"/>
      <c r="U127" s="2"/>
      <c r="V127" s="2"/>
      <c r="W127" s="2"/>
      <c r="X127" s="2"/>
      <c r="Y127" s="2"/>
      <c r="Z127" s="2"/>
      <c r="AA127" s="2"/>
      <c r="AB127" s="2"/>
    </row>
    <row r="128">
      <c r="A128" s="7" t="s">
        <v>18</v>
      </c>
      <c r="B128" s="8">
        <f>SUMIFS(KISUMU!F:F,KISUMU!A:A,"7/30/24")</f>
        <v>1079872.53</v>
      </c>
      <c r="C128" s="11">
        <f>COUNTIFS(KISUMU!A:A,"7/30/24")</f>
        <v>20</v>
      </c>
      <c r="D128" s="10">
        <f>SUMIFS(KISUMU!G:G,KISUMU!A:A,"7/30/24")</f>
        <v>68200</v>
      </c>
      <c r="E128" s="11">
        <f t="shared" si="29"/>
        <v>5</v>
      </c>
      <c r="F128" s="12">
        <f t="shared" si="30"/>
        <v>0.06315560226</v>
      </c>
      <c r="G128" s="9">
        <f>COUNTIFS(KISUMU!I:I,$G$18,KISUMU!A:A,"7/30/24")</f>
        <v>1</v>
      </c>
      <c r="H128" s="11">
        <f>COUNTIFS(KISUMU!I:I,$H$18,KISUMU!A:A,"7/30/24")</f>
        <v>4</v>
      </c>
      <c r="I128" s="11">
        <f>COUNTIFS(KISUMU!I:I,$I$18,KISUMU!A:A,"7/30/24")</f>
        <v>15</v>
      </c>
      <c r="J128" s="2"/>
      <c r="K128" s="2"/>
      <c r="L128" s="2"/>
      <c r="M128" s="2"/>
      <c r="N128" s="2"/>
      <c r="O128" s="2"/>
      <c r="P128" s="2"/>
      <c r="Q128" s="2"/>
      <c r="R128" s="2"/>
      <c r="S128" s="2"/>
      <c r="T128" s="2"/>
      <c r="U128" s="2"/>
      <c r="V128" s="2"/>
      <c r="W128" s="2"/>
      <c r="X128" s="2"/>
      <c r="Y128" s="2"/>
      <c r="Z128" s="2"/>
      <c r="AA128" s="2"/>
      <c r="AB128" s="2"/>
    </row>
    <row r="129">
      <c r="A129" s="7" t="s">
        <v>19</v>
      </c>
      <c r="B129" s="8">
        <f>SUMIFS(VOI!F:F,VOI!A:A,"7/30/24")</f>
        <v>330294</v>
      </c>
      <c r="C129" s="11">
        <f>COUNTIFS(VOI!A:A,"7/30/24")</f>
        <v>10</v>
      </c>
      <c r="D129" s="10">
        <f>SUMIFS(VOI!G:G,VOI!A:A,"7/30/24")</f>
        <v>0</v>
      </c>
      <c r="E129" s="11">
        <f t="shared" si="29"/>
        <v>0</v>
      </c>
      <c r="F129" s="12">
        <f t="shared" si="30"/>
        <v>0</v>
      </c>
      <c r="G129" s="9">
        <f>COUNTIFS(VOI!H:H,$G$18,VOI!A:A,"7/30/24")</f>
        <v>0</v>
      </c>
      <c r="H129" s="11">
        <f>COUNTIFS(VOI!H:H,$H$18,VOI!A:A,"7/30/24")</f>
        <v>0</v>
      </c>
      <c r="I129" s="11">
        <f>COUNTIFS(VOI!H:H,$I$18,VOI!A:A,"7/30/24")</f>
        <v>10</v>
      </c>
      <c r="J129" s="2"/>
      <c r="K129" s="2"/>
      <c r="L129" s="2"/>
      <c r="M129" s="2"/>
      <c r="N129" s="2"/>
      <c r="O129" s="2"/>
      <c r="P129" s="2"/>
      <c r="Q129" s="2"/>
      <c r="R129" s="2"/>
      <c r="S129" s="2"/>
      <c r="T129" s="2"/>
      <c r="U129" s="2"/>
      <c r="V129" s="2"/>
      <c r="W129" s="2"/>
      <c r="X129" s="2"/>
      <c r="Y129" s="2"/>
      <c r="Z129" s="2"/>
      <c r="AA129" s="2"/>
      <c r="AB129" s="2"/>
    </row>
    <row r="130">
      <c r="A130" s="7" t="s">
        <v>20</v>
      </c>
      <c r="B130" s="8">
        <f>SUMIFS(THIKA!F:F,THIKA!A:A,"7/30/24")</f>
        <v>2186760</v>
      </c>
      <c r="C130" s="11">
        <f>COUNTIFS(THIKA!A:A,"7/30/24")</f>
        <v>21</v>
      </c>
      <c r="D130" s="10">
        <f>SUMIFS(THIKA!G:G,THIKA!A:A,"7/30/24")</f>
        <v>426558</v>
      </c>
      <c r="E130" s="11">
        <f t="shared" si="29"/>
        <v>7</v>
      </c>
      <c r="F130" s="12">
        <f t="shared" si="30"/>
        <v>0.1950639302</v>
      </c>
      <c r="G130" s="9">
        <f>COUNTIFS(THIKA!I:I,$G$18,THIKA!A:A,"7/30/24")</f>
        <v>2</v>
      </c>
      <c r="H130" s="11">
        <f>COUNTIFS(THIKA!I:I,$H$18,THIKA!A:A,"7/30/24")</f>
        <v>5</v>
      </c>
      <c r="I130" s="11">
        <f>COUNTIFS(THIKA!I:I,$I$18,THIKA!A:A,"7/30/24")</f>
        <v>14</v>
      </c>
      <c r="J130" s="2"/>
      <c r="K130" s="2"/>
      <c r="L130" s="2"/>
      <c r="M130" s="2"/>
      <c r="N130" s="2"/>
      <c r="O130" s="2"/>
      <c r="P130" s="2"/>
      <c r="Q130" s="2"/>
      <c r="R130" s="2"/>
      <c r="S130" s="2"/>
      <c r="T130" s="2"/>
      <c r="U130" s="2"/>
      <c r="V130" s="2"/>
      <c r="W130" s="2"/>
      <c r="X130" s="2"/>
      <c r="Y130" s="2"/>
      <c r="Z130" s="2"/>
      <c r="AA130" s="2"/>
      <c r="AB130" s="2"/>
    </row>
    <row r="131">
      <c r="A131" s="7" t="s">
        <v>21</v>
      </c>
      <c r="B131" s="8">
        <f>SUMIFS(KITUI!F:F,KITUI!A:A,"7/30/24")</f>
        <v>199142</v>
      </c>
      <c r="C131" s="11">
        <f>COUNTIFS(KITUI!A:A,"7/30/24")</f>
        <v>3</v>
      </c>
      <c r="D131" s="10">
        <f>SUMIFS(KITUI!G:G,KITUI!A:A,"7/30/24")</f>
        <v>10000</v>
      </c>
      <c r="E131" s="11">
        <f t="shared" si="29"/>
        <v>1</v>
      </c>
      <c r="F131" s="12">
        <f t="shared" si="30"/>
        <v>0.05021542417</v>
      </c>
      <c r="G131" s="9">
        <f>COUNTIFS(KITUI!I:I,$G$18,KITUI!A:A,"7/30/24")</f>
        <v>1</v>
      </c>
      <c r="H131" s="11">
        <f>COUNTIFS(KITUI!I:I,$H$18,KITUI!A:A,"7/30/24")</f>
        <v>0</v>
      </c>
      <c r="I131" s="11">
        <f>COUNTIFS(KITUI!I:I,$I$18,KITUI!A:A,"7/30/24")</f>
        <v>2</v>
      </c>
      <c r="J131" s="2"/>
      <c r="K131" s="2"/>
      <c r="L131" s="2"/>
      <c r="M131" s="2"/>
      <c r="N131" s="2"/>
      <c r="O131" s="2"/>
      <c r="P131" s="2"/>
      <c r="Q131" s="2"/>
      <c r="R131" s="2"/>
      <c r="S131" s="2"/>
      <c r="T131" s="2"/>
      <c r="U131" s="2"/>
      <c r="V131" s="2"/>
      <c r="W131" s="2"/>
      <c r="X131" s="2"/>
      <c r="Y131" s="2"/>
      <c r="Z131" s="2"/>
      <c r="AA131" s="2"/>
      <c r="AB131" s="2"/>
    </row>
    <row r="132">
      <c r="A132" s="15" t="s">
        <v>22</v>
      </c>
      <c r="B132" s="8">
        <f>SUMIFS(MACHAKOS!F:F,MACHAKOS!A:A,"7/30/24")</f>
        <v>127487</v>
      </c>
      <c r="C132" s="11">
        <f>COUNTIFS(MACHAKOS!A:A,"7/30/24")</f>
        <v>1</v>
      </c>
      <c r="D132" s="10">
        <f>SUMIFS(MACHAKOS!G:G,MACHAKOS!A:A,"7/30/24")</f>
        <v>0</v>
      </c>
      <c r="E132" s="11">
        <f t="shared" si="29"/>
        <v>0</v>
      </c>
      <c r="F132" s="12">
        <f t="shared" si="30"/>
        <v>0</v>
      </c>
      <c r="G132" s="9">
        <f>COUNTIFS(MACHAKOS!I:I,$G$18,MACHAKOS!A:A,"7/30/24")</f>
        <v>0</v>
      </c>
      <c r="H132" s="11">
        <f>COUNTIFS(MACHAKOS!I:I,$H$18,MACHAKOS!A:A,"7/30/24")</f>
        <v>0</v>
      </c>
      <c r="I132" s="11">
        <f>COUNTIFS(MACHAKOS!I:I,$I$18,MACHAKOS!A:A,"7/30/24")</f>
        <v>1</v>
      </c>
      <c r="J132" s="2"/>
      <c r="K132" s="2"/>
      <c r="L132" s="2"/>
      <c r="M132" s="2"/>
      <c r="N132" s="2"/>
      <c r="O132" s="2"/>
      <c r="P132" s="2"/>
      <c r="Q132" s="2"/>
      <c r="R132" s="2"/>
      <c r="S132" s="2"/>
      <c r="T132" s="2"/>
      <c r="U132" s="2"/>
      <c r="V132" s="2"/>
      <c r="W132" s="2"/>
      <c r="X132" s="2"/>
      <c r="Y132" s="2"/>
      <c r="Z132" s="2"/>
      <c r="AA132" s="2"/>
      <c r="AB132" s="2"/>
    </row>
    <row r="133">
      <c r="A133" s="16" t="s">
        <v>23</v>
      </c>
      <c r="B133" s="17">
        <f t="shared" ref="B133:E133" si="31">SUM(B120:B132)</f>
        <v>38745186.42</v>
      </c>
      <c r="C133" s="18">
        <f t="shared" si="31"/>
        <v>214</v>
      </c>
      <c r="D133" s="19">
        <f t="shared" si="31"/>
        <v>3850023</v>
      </c>
      <c r="E133" s="18">
        <f t="shared" si="31"/>
        <v>53</v>
      </c>
      <c r="F133" s="20">
        <f>D133/B133</f>
        <v>0.09936777586</v>
      </c>
      <c r="G133" s="21">
        <f t="shared" ref="G133:I133" si="32">SUM(G120:G132)</f>
        <v>24</v>
      </c>
      <c r="H133" s="21">
        <f t="shared" si="32"/>
        <v>29</v>
      </c>
      <c r="I133" s="21">
        <f t="shared" si="32"/>
        <v>161</v>
      </c>
      <c r="J133" s="2"/>
      <c r="K133" s="2"/>
      <c r="L133" s="2"/>
      <c r="M133" s="2"/>
      <c r="N133" s="2"/>
      <c r="O133" s="2"/>
      <c r="P133" s="2"/>
      <c r="Q133" s="2"/>
      <c r="R133" s="2"/>
      <c r="S133" s="2"/>
      <c r="T133" s="2"/>
      <c r="U133" s="2"/>
      <c r="V133" s="2"/>
      <c r="W133" s="2"/>
      <c r="X133" s="2"/>
      <c r="Y133" s="2"/>
      <c r="Z133" s="2"/>
      <c r="AA133" s="2"/>
      <c r="AB133" s="2"/>
    </row>
    <row r="134">
      <c r="A134" s="1" t="s">
        <v>28</v>
      </c>
      <c r="B134" s="25">
        <v>1750000.0</v>
      </c>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3" t="s">
        <v>1</v>
      </c>
      <c r="B136" s="5" t="s">
        <v>2</v>
      </c>
      <c r="C136" s="5" t="s">
        <v>3</v>
      </c>
      <c r="D136" s="5" t="s">
        <v>4</v>
      </c>
      <c r="E136" s="5" t="s">
        <v>5</v>
      </c>
      <c r="F136" s="26" t="s">
        <v>6</v>
      </c>
      <c r="G136" s="26" t="s">
        <v>7</v>
      </c>
      <c r="H136" s="26" t="s">
        <v>8</v>
      </c>
      <c r="I136" s="26" t="s">
        <v>9</v>
      </c>
      <c r="J136" s="2"/>
      <c r="K136" s="2"/>
      <c r="L136" s="2"/>
      <c r="M136" s="2"/>
      <c r="N136" s="2"/>
      <c r="O136" s="2"/>
      <c r="P136" s="2"/>
      <c r="Q136" s="2"/>
      <c r="R136" s="2"/>
      <c r="S136" s="2"/>
      <c r="T136" s="2"/>
      <c r="U136" s="2"/>
      <c r="V136" s="2"/>
      <c r="W136" s="2"/>
      <c r="X136" s="2"/>
      <c r="Y136" s="2"/>
      <c r="Z136" s="2"/>
      <c r="AA136" s="2"/>
      <c r="AB136" s="2"/>
    </row>
    <row r="137">
      <c r="A137" s="7" t="s">
        <v>10</v>
      </c>
      <c r="B137" s="8">
        <f>SUMIFS(ECOBANK!F:F,ECOBANK!A:A,"7/31/24")</f>
        <v>14013590.5</v>
      </c>
      <c r="C137" s="9">
        <f>COUNTIFS(ECOBANK!A:A,"7/31/24")</f>
        <v>15</v>
      </c>
      <c r="D137" s="10">
        <f>SUMIFS(ECOBANK!G:G,ECOBANK!A:A,"7/31/24")</f>
        <v>5695000</v>
      </c>
      <c r="E137" s="11">
        <f t="shared" ref="E137:E149" si="33">G137+H137</f>
        <v>3</v>
      </c>
      <c r="F137" s="12">
        <f t="shared" ref="F137:F149" si="34">iferror(D137/B137,0)</f>
        <v>0.40639121</v>
      </c>
      <c r="G137" s="9">
        <f>COUNTIFS(ECOBANK!I:I,$G$18,ECOBANK!A:A,"7/31/24")</f>
        <v>2</v>
      </c>
      <c r="H137" s="11">
        <f>COUNTIFS(ECOBANK!I:I,$H$18,ECOBANK!A:A,"7/31/24")</f>
        <v>1</v>
      </c>
      <c r="I137" s="11">
        <f>COUNTIFS(ECOBANK!I:I,$I$18,ECOBANK!A:A,"7/31/24")</f>
        <v>12</v>
      </c>
      <c r="J137" s="2"/>
      <c r="K137" s="2"/>
      <c r="L137" s="2"/>
      <c r="M137" s="2"/>
      <c r="N137" s="2"/>
      <c r="O137" s="2"/>
      <c r="P137" s="2"/>
      <c r="Q137" s="2"/>
      <c r="R137" s="2"/>
      <c r="S137" s="2"/>
      <c r="T137" s="2"/>
      <c r="U137" s="2"/>
      <c r="V137" s="2"/>
      <c r="W137" s="2"/>
      <c r="X137" s="2"/>
      <c r="Y137" s="2"/>
      <c r="Z137" s="2"/>
      <c r="AA137" s="2"/>
      <c r="AB137" s="2"/>
    </row>
    <row r="138">
      <c r="A138" s="7" t="s">
        <v>24</v>
      </c>
      <c r="B138" s="8">
        <f>SUMIFS('TRADE CENTER'!F:F,'TRADE CENTER'!A:A,"7/31/24")</f>
        <v>8168281</v>
      </c>
      <c r="C138" s="11">
        <f>COUNTIFS('TRADE CENTER'!A:A,"7/31/24")</f>
        <v>40</v>
      </c>
      <c r="D138" s="10">
        <f>SUMIFS('TRADE CENTER'!G:G,'TRADE CENTER'!A:A,"7/31/24")</f>
        <v>2979203</v>
      </c>
      <c r="E138" s="11">
        <f t="shared" si="33"/>
        <v>8</v>
      </c>
      <c r="F138" s="12">
        <f t="shared" si="34"/>
        <v>0.3647282702</v>
      </c>
      <c r="G138" s="11">
        <f>COUNTIFS('TRADE CENTER'!I:I,$G$18,'TRADE CENTER'!A:A,"7/31/24")</f>
        <v>4</v>
      </c>
      <c r="H138" s="11">
        <f>COUNTIFS('TRADE CENTER'!I:I,$H$18,'TRADE CENTER'!A:A,"7/31/24")</f>
        <v>4</v>
      </c>
      <c r="I138" s="11">
        <f>COUNTIFS('TRADE CENTER'!I:I,$I$18,'TRADE CENTER'!A:A,"7/31/24")</f>
        <v>32</v>
      </c>
      <c r="J138" s="2"/>
      <c r="K138" s="2"/>
      <c r="L138" s="2"/>
      <c r="M138" s="2"/>
      <c r="N138" s="2"/>
      <c r="O138" s="2"/>
      <c r="P138" s="2"/>
      <c r="Q138" s="2"/>
      <c r="R138" s="2"/>
      <c r="S138" s="2"/>
      <c r="T138" s="2"/>
      <c r="U138" s="2"/>
      <c r="V138" s="2"/>
      <c r="W138" s="2"/>
      <c r="X138" s="2"/>
      <c r="Y138" s="2"/>
      <c r="Z138" s="2"/>
      <c r="AA138" s="2"/>
      <c r="AB138" s="2"/>
    </row>
    <row r="139">
      <c r="A139" s="7" t="s">
        <v>12</v>
      </c>
      <c r="B139" s="8">
        <f>SUMIFS(PENSION!F:F,PENSION!A:A,"7/31/2024")</f>
        <v>5613532.7</v>
      </c>
      <c r="C139" s="11">
        <f>COUNTIFS(PENSION!A:A,"7/31/24")</f>
        <v>31</v>
      </c>
      <c r="D139" s="10">
        <f>SUMIFS(PENSION!G:G,PENSION!A:A,"7/31/2024")</f>
        <v>1236688</v>
      </c>
      <c r="E139" s="11">
        <f t="shared" si="33"/>
        <v>6</v>
      </c>
      <c r="F139" s="12">
        <f t="shared" si="34"/>
        <v>0.2203047646</v>
      </c>
      <c r="G139" s="9">
        <f>COUNTIFS(PENSION!I:I,$G$18,PENSION!A:A,"7/31/24")</f>
        <v>1</v>
      </c>
      <c r="H139" s="11">
        <f>COUNTIFS(PENSION!I:I,$H$18,PENSION!A:A,"7/31/24")</f>
        <v>5</v>
      </c>
      <c r="I139" s="11">
        <f>COUNTIFS(PENSION!I:I,$I$18,PENSION!A:A,"7/31/24")</f>
        <v>25</v>
      </c>
      <c r="J139" s="2"/>
      <c r="K139" s="2"/>
      <c r="L139" s="2"/>
      <c r="M139" s="2"/>
      <c r="N139" s="2"/>
      <c r="O139" s="2"/>
      <c r="P139" s="2"/>
      <c r="Q139" s="2"/>
      <c r="R139" s="2"/>
      <c r="S139" s="2"/>
      <c r="T139" s="2"/>
      <c r="U139" s="2"/>
      <c r="V139" s="2"/>
      <c r="W139" s="2"/>
      <c r="X139" s="2"/>
      <c r="Y139" s="2"/>
      <c r="Z139" s="2"/>
      <c r="AA139" s="2"/>
      <c r="AB139" s="2"/>
    </row>
    <row r="140">
      <c r="A140" s="7" t="s">
        <v>13</v>
      </c>
      <c r="B140" s="8">
        <f>SUMIFS(KITENGELA!F:F,KITENGELA!A:A,"7/30/2024")</f>
        <v>4077278.33</v>
      </c>
      <c r="C140" s="11">
        <f>COUNTIFS(KITENGELA!A:A,"7/31/24")</f>
        <v>23</v>
      </c>
      <c r="D140" s="10">
        <f>SUMIFS(KITENGELA!G:G,KITENGELA!A:A,"7/31/24")</f>
        <v>192856</v>
      </c>
      <c r="E140" s="11">
        <f t="shared" si="33"/>
        <v>6</v>
      </c>
      <c r="F140" s="12">
        <f t="shared" si="34"/>
        <v>0.04730018027</v>
      </c>
      <c r="G140" s="11">
        <f>COUNTIFS(KITENGELA!I:I,$G$18,KITENGELA!A:A,"7/31/24")</f>
        <v>2</v>
      </c>
      <c r="H140" s="11">
        <f>COUNTIFS(KITENGELA!I:I,$H$18,KITENGELA!A:A,"7/31/24")</f>
        <v>4</v>
      </c>
      <c r="I140" s="11">
        <f>COUNTIFS(KITENGELA!I:I,$I$18,KITENGELA!A:A,"7/31/24")</f>
        <v>17</v>
      </c>
      <c r="J140" s="2"/>
      <c r="K140" s="2"/>
      <c r="L140" s="2"/>
      <c r="M140" s="2"/>
      <c r="N140" s="2"/>
      <c r="O140" s="2"/>
      <c r="P140" s="2"/>
      <c r="Q140" s="2"/>
      <c r="R140" s="2"/>
      <c r="S140" s="2"/>
      <c r="T140" s="2"/>
      <c r="U140" s="2"/>
      <c r="V140" s="2"/>
      <c r="W140" s="2"/>
      <c r="X140" s="2"/>
      <c r="Y140" s="2"/>
      <c r="Z140" s="2"/>
      <c r="AA140" s="2"/>
      <c r="AB140" s="2"/>
    </row>
    <row r="141">
      <c r="A141" s="7" t="s">
        <v>14</v>
      </c>
      <c r="B141" s="8">
        <f>SUMIFS(ELDORET!F:F,ELDORET!A:A,"7/31/24")</f>
        <v>354548</v>
      </c>
      <c r="C141" s="11">
        <f>COUNTIFS(ELDORET!A:A,"7/31/24")</f>
        <v>11</v>
      </c>
      <c r="D141" s="10">
        <f>SUMIFS(ELDORET!G:G,ELDORET!A:A,"7/31/24")</f>
        <v>26700</v>
      </c>
      <c r="E141" s="11">
        <f t="shared" si="33"/>
        <v>2</v>
      </c>
      <c r="F141" s="12">
        <f t="shared" si="34"/>
        <v>0.07530715164</v>
      </c>
      <c r="G141" s="11">
        <f>COUNTIFS(ELDORET!I:I,$G$18,ELDORET!A:A,"7/31/24")</f>
        <v>0</v>
      </c>
      <c r="H141" s="11">
        <f>COUNTIFS(ELDORET!I:I,$H$18,ELDORET!A:A,"7/31/24")</f>
        <v>2</v>
      </c>
      <c r="I141" s="11">
        <f>COUNTIFS(ELDORET!I:I,$I$18,ELDORET!A:A,"7/31/24")</f>
        <v>9</v>
      </c>
      <c r="J141" s="2"/>
      <c r="K141" s="2"/>
      <c r="L141" s="2"/>
      <c r="M141" s="2"/>
      <c r="N141" s="2"/>
      <c r="O141" s="2"/>
      <c r="P141" s="2"/>
      <c r="Q141" s="2"/>
      <c r="R141" s="2"/>
      <c r="S141" s="2"/>
      <c r="T141" s="2"/>
      <c r="U141" s="2"/>
      <c r="V141" s="2"/>
      <c r="W141" s="2"/>
      <c r="X141" s="2"/>
      <c r="Y141" s="2"/>
      <c r="Z141" s="2"/>
      <c r="AA141" s="2"/>
      <c r="AB141" s="2"/>
    </row>
    <row r="142">
      <c r="A142" s="7" t="s">
        <v>15</v>
      </c>
      <c r="B142" s="8">
        <f>SUMIFS(NAKURU!F:F,NAKURU!A:A,"7/31/24")</f>
        <v>418500</v>
      </c>
      <c r="C142" s="11">
        <f>COUNTIFS(NAKURU!A:A,"7/31/24")</f>
        <v>4</v>
      </c>
      <c r="D142" s="10">
        <f>SUMIFS(NAKURU!G:G,NAKURU!A:A,"7/31/24")</f>
        <v>199335</v>
      </c>
      <c r="E142" s="11">
        <f t="shared" si="33"/>
        <v>3</v>
      </c>
      <c r="F142" s="12">
        <f t="shared" si="34"/>
        <v>0.4763082437</v>
      </c>
      <c r="G142" s="9">
        <f>COUNTIFS(NAKURU!I:I,$G$18,NAKURU!A:A,"7/31/24")</f>
        <v>1</v>
      </c>
      <c r="H142" s="11">
        <f>COUNTIFS(NAKURU!I:I,$H$18,NAKURU!A:A,"7/31/24")</f>
        <v>2</v>
      </c>
      <c r="I142" s="11">
        <f>COUNTIFS(NAKURU!I:I,$I$18,NAKURU!A:A,"7/31/24")</f>
        <v>1</v>
      </c>
      <c r="J142" s="2"/>
      <c r="K142" s="2"/>
      <c r="L142" s="2"/>
      <c r="M142" s="2"/>
      <c r="N142" s="2"/>
      <c r="O142" s="2"/>
      <c r="P142" s="2"/>
      <c r="Q142" s="2"/>
      <c r="R142" s="2"/>
      <c r="S142" s="2"/>
      <c r="T142" s="2"/>
      <c r="U142" s="2"/>
      <c r="V142" s="2"/>
      <c r="W142" s="2"/>
      <c r="X142" s="2"/>
      <c r="Y142" s="2"/>
      <c r="Z142" s="2"/>
      <c r="AA142" s="2"/>
      <c r="AB142" s="2"/>
    </row>
    <row r="143">
      <c r="A143" s="7" t="s">
        <v>16</v>
      </c>
      <c r="B143" s="8">
        <f>SUMIFS(HOMABAY!F:F,HOMABAY!A:A,"7/31/24")</f>
        <v>65000</v>
      </c>
      <c r="C143" s="11">
        <f>COUNTIFS(HOMABAY!A:A,"7/31/24")</f>
        <v>3</v>
      </c>
      <c r="D143" s="10">
        <f>SUMIFS(HOMABAY!G:G,HOMABAY!A:A,"7/31/24")</f>
        <v>11000</v>
      </c>
      <c r="E143" s="11">
        <f t="shared" si="33"/>
        <v>1</v>
      </c>
      <c r="F143" s="12">
        <f t="shared" si="34"/>
        <v>0.1692307692</v>
      </c>
      <c r="G143" s="9">
        <f>COUNTIFS(HOMABAY!K:K,$G$18,HOMABAY!A:A,"7/31/24")</f>
        <v>1</v>
      </c>
      <c r="H143" s="11">
        <f>COUNTIFS(HOMABAY!K:K,$H$18,HOMABAY!A:A,"7/31/24")</f>
        <v>0</v>
      </c>
      <c r="I143" s="11">
        <f>COUNTIFS(HOMABAY!K:K,$I$18,HOMABAY!A:A,"7/31/24")</f>
        <v>2</v>
      </c>
      <c r="J143" s="2"/>
      <c r="K143" s="2"/>
      <c r="L143" s="2"/>
      <c r="M143" s="2"/>
      <c r="N143" s="2"/>
      <c r="O143" s="2"/>
      <c r="P143" s="2"/>
      <c r="Q143" s="2"/>
      <c r="R143" s="2"/>
      <c r="S143" s="2"/>
      <c r="T143" s="2"/>
      <c r="U143" s="2"/>
      <c r="V143" s="2"/>
      <c r="W143" s="2"/>
      <c r="X143" s="2"/>
      <c r="Y143" s="2"/>
      <c r="Z143" s="2"/>
      <c r="AA143" s="2"/>
      <c r="AB143" s="2"/>
    </row>
    <row r="144">
      <c r="A144" s="7" t="s">
        <v>17</v>
      </c>
      <c r="B144" s="8">
        <f>SUMIFS(MOMBASA!F:F,MOMBASA!A:A,"7/31/24")</f>
        <v>2561914.61</v>
      </c>
      <c r="C144" s="11">
        <f>COUNTIFS(MOMBASA!A:A,"7/31/24")</f>
        <v>18</v>
      </c>
      <c r="D144" s="27">
        <f>SUMIFS(MOMBASA!G:G,MOMBASA!A:A,"7/31/24")</f>
        <v>207476</v>
      </c>
      <c r="E144" s="11">
        <f t="shared" si="33"/>
        <v>5</v>
      </c>
      <c r="F144" s="12">
        <f t="shared" si="34"/>
        <v>0.08098474445</v>
      </c>
      <c r="G144" s="9">
        <f>COUNTIFS(MOMBASA!I:I,$G$18,MOMBASA!A:A,"7/31/24")</f>
        <v>1</v>
      </c>
      <c r="H144" s="11">
        <f>COUNTIFS(MOMBASA!I:I,$H$18,MOMBASA!A:A,"7/31/24")</f>
        <v>4</v>
      </c>
      <c r="I144" s="11">
        <f>COUNTIFS(MOMBASA!I:I,$I$18,MOMBASA!A:A,"7/31/24")</f>
        <v>13</v>
      </c>
      <c r="J144" s="2"/>
      <c r="K144" s="2"/>
      <c r="L144" s="2"/>
      <c r="M144" s="2"/>
      <c r="N144" s="2"/>
      <c r="O144" s="2"/>
      <c r="P144" s="2"/>
      <c r="Q144" s="2"/>
      <c r="R144" s="2"/>
      <c r="S144" s="2"/>
      <c r="T144" s="2"/>
      <c r="U144" s="2"/>
      <c r="V144" s="2"/>
      <c r="W144" s="2"/>
      <c r="X144" s="2"/>
      <c r="Y144" s="2"/>
      <c r="Z144" s="2"/>
      <c r="AA144" s="2"/>
      <c r="AB144" s="2"/>
    </row>
    <row r="145">
      <c r="A145" s="7" t="s">
        <v>18</v>
      </c>
      <c r="B145" s="8">
        <f>SUMIFS(KISUMU!F:F,KISUMU!A:A,"7/31/24")</f>
        <v>1355468.61</v>
      </c>
      <c r="C145" s="11">
        <f>COUNTIFS(KISUMU!A:A,"7/31/24")</f>
        <v>18</v>
      </c>
      <c r="D145" s="10">
        <f>SUMIFS(KISUMU!G:G,KISUMU!A:A,"7/31/24")</f>
        <v>73201</v>
      </c>
      <c r="E145" s="11">
        <f t="shared" si="33"/>
        <v>2</v>
      </c>
      <c r="F145" s="12">
        <f t="shared" si="34"/>
        <v>0.05400420154</v>
      </c>
      <c r="G145" s="9">
        <f>COUNTIFS(KISUMU!I:I,$G$18,KISUMU!A:A,"7/31/24")</f>
        <v>0</v>
      </c>
      <c r="H145" s="11">
        <f>COUNTIFS(KISUMU!I:I,$H$18,KISUMU!A:A,"7/31/24")</f>
        <v>2</v>
      </c>
      <c r="I145" s="11">
        <f>COUNTIFS(KISUMU!I:I,$I$18,KISUMU!A:A,"7/31/24")</f>
        <v>16</v>
      </c>
      <c r="J145" s="2"/>
      <c r="K145" s="2"/>
      <c r="L145" s="2"/>
      <c r="M145" s="2"/>
      <c r="N145" s="2"/>
      <c r="O145" s="2"/>
      <c r="P145" s="2"/>
      <c r="Q145" s="2"/>
      <c r="R145" s="2"/>
      <c r="S145" s="2"/>
      <c r="T145" s="2"/>
      <c r="U145" s="2"/>
      <c r="V145" s="2"/>
      <c r="W145" s="2"/>
      <c r="X145" s="2"/>
      <c r="Y145" s="2"/>
      <c r="Z145" s="2"/>
      <c r="AA145" s="2"/>
      <c r="AB145" s="2"/>
    </row>
    <row r="146">
      <c r="A146" s="7" t="s">
        <v>19</v>
      </c>
      <c r="B146" s="8">
        <f>SUMIFS(VOI!F:F,VOI!A:A,"7/31/24")</f>
        <v>279244</v>
      </c>
      <c r="C146" s="11">
        <f>COUNTIFS(VOI!A:A,"7/31/24")</f>
        <v>10</v>
      </c>
      <c r="D146" s="10">
        <f>SUMIFS(VOI!G:G,VOI!A:A,"7/31/24")</f>
        <v>30000</v>
      </c>
      <c r="E146" s="11">
        <f t="shared" si="33"/>
        <v>2</v>
      </c>
      <c r="F146" s="12">
        <f t="shared" si="34"/>
        <v>0.107432926</v>
      </c>
      <c r="G146" s="9">
        <f>COUNTIFS(VOI!H:H,$G$18,VOI!A:A,"7/31/24")</f>
        <v>1</v>
      </c>
      <c r="H146" s="11">
        <f>COUNTIFS(VOI!H:H,$H$18,VOI!A:A,"7/31/24")</f>
        <v>1</v>
      </c>
      <c r="I146" s="11">
        <f>COUNTIFS(VOI!H:H,$I$18,VOI!A:A,"7/31/24")</f>
        <v>8</v>
      </c>
      <c r="J146" s="2"/>
      <c r="K146" s="2"/>
      <c r="L146" s="2"/>
      <c r="M146" s="2"/>
      <c r="N146" s="2"/>
      <c r="O146" s="2"/>
      <c r="P146" s="2"/>
      <c r="Q146" s="2"/>
      <c r="R146" s="2"/>
      <c r="S146" s="2"/>
      <c r="T146" s="2"/>
      <c r="U146" s="2"/>
      <c r="V146" s="2"/>
      <c r="W146" s="2"/>
      <c r="X146" s="2"/>
      <c r="Y146" s="2"/>
      <c r="Z146" s="2"/>
      <c r="AA146" s="2"/>
      <c r="AB146" s="2"/>
    </row>
    <row r="147">
      <c r="A147" s="7" t="s">
        <v>20</v>
      </c>
      <c r="B147" s="8">
        <f>SUMIFS(THIKA!F:F,THIKA!A:A,"7/31/24")</f>
        <v>1485619</v>
      </c>
      <c r="C147" s="11">
        <f>COUNTIFS(THIKA!A:A,"7/31/24")</f>
        <v>18</v>
      </c>
      <c r="D147" s="10">
        <f>SUMIFS(THIKA!G:G,THIKA!A:A,"7/31/24")</f>
        <v>278631</v>
      </c>
      <c r="E147" s="11">
        <f t="shared" si="33"/>
        <v>4</v>
      </c>
      <c r="F147" s="12">
        <f t="shared" si="34"/>
        <v>0.1875521247</v>
      </c>
      <c r="G147" s="9">
        <f>COUNTIFS(THIKA!I:I,$G$18,THIKA!A:A,"7/31/24")</f>
        <v>1</v>
      </c>
      <c r="H147" s="11">
        <f>COUNTIFS(THIKA!I:I,$H$18,THIKA!A:A,"7/31/24")</f>
        <v>3</v>
      </c>
      <c r="I147" s="11">
        <f>COUNTIFS(THIKA!I:I,$I$18,THIKA!A:A,"7/31/24")</f>
        <v>14</v>
      </c>
      <c r="J147" s="2"/>
      <c r="K147" s="2"/>
      <c r="L147" s="2"/>
      <c r="M147" s="2"/>
      <c r="N147" s="2"/>
      <c r="O147" s="2"/>
      <c r="P147" s="2"/>
      <c r="Q147" s="2"/>
      <c r="R147" s="2"/>
      <c r="S147" s="2"/>
      <c r="T147" s="2"/>
      <c r="U147" s="2"/>
      <c r="V147" s="2"/>
      <c r="W147" s="2"/>
      <c r="X147" s="2"/>
      <c r="Y147" s="2"/>
      <c r="Z147" s="2"/>
      <c r="AA147" s="2"/>
      <c r="AB147" s="2"/>
    </row>
    <row r="148">
      <c r="A148" s="7" t="s">
        <v>21</v>
      </c>
      <c r="B148" s="8">
        <f>SUMIFS(KITUI!F:F,KITUI!A:A,"7/31/24")</f>
        <v>189142</v>
      </c>
      <c r="C148" s="11">
        <f>COUNTIFS(KITUI!A:A,"7/31/24")</f>
        <v>3</v>
      </c>
      <c r="D148" s="10">
        <f>SUMIFS(KITUI!G:G,KITUI!A:A,"7/31/24")</f>
        <v>50000</v>
      </c>
      <c r="E148" s="11">
        <f t="shared" si="33"/>
        <v>2</v>
      </c>
      <c r="F148" s="12">
        <f t="shared" si="34"/>
        <v>0.2643516511</v>
      </c>
      <c r="G148" s="9">
        <f>COUNTIFS(KITUI!I:I,$G$18,KITUI!A:A,"7/31/24")</f>
        <v>1</v>
      </c>
      <c r="H148" s="11">
        <f>COUNTIFS(KITUI!I:I,$H$18,KITUI!A:A,"7/31/24")</f>
        <v>1</v>
      </c>
      <c r="I148" s="11">
        <f>COUNTIFS(KITUI!I:I,$I$18,KITUI!A:A,"7/31/24")</f>
        <v>1</v>
      </c>
      <c r="J148" s="2"/>
      <c r="K148" s="2"/>
      <c r="L148" s="2"/>
      <c r="M148" s="2"/>
      <c r="N148" s="2"/>
      <c r="O148" s="2"/>
      <c r="P148" s="2"/>
      <c r="Q148" s="2"/>
      <c r="R148" s="2"/>
      <c r="S148" s="2"/>
      <c r="T148" s="2"/>
      <c r="U148" s="2"/>
      <c r="V148" s="2"/>
      <c r="W148" s="2"/>
      <c r="X148" s="2"/>
      <c r="Y148" s="2"/>
      <c r="Z148" s="2"/>
      <c r="AA148" s="2"/>
      <c r="AB148" s="2"/>
    </row>
    <row r="149">
      <c r="A149" s="15" t="s">
        <v>22</v>
      </c>
      <c r="B149" s="8">
        <f>SUMIFS(MACHAKOS!F:F,MACHAKOS!A:A,"7/31/24")</f>
        <v>127487</v>
      </c>
      <c r="C149" s="11">
        <f>COUNTIFS(MACHAKOS!A:A,"7/31/24")</f>
        <v>1</v>
      </c>
      <c r="D149" s="10">
        <f>SUMIFS(MACHAKOS!G:G,MACHAKOS!A:A,"7/31/24")</f>
        <v>0</v>
      </c>
      <c r="E149" s="11">
        <f t="shared" si="33"/>
        <v>0</v>
      </c>
      <c r="F149" s="12">
        <f t="shared" si="34"/>
        <v>0</v>
      </c>
      <c r="G149" s="9">
        <f>COUNTIFS(MACHAKOS!I:I,$G$18,MACHAKOS!A:A,"7/31/24")</f>
        <v>0</v>
      </c>
      <c r="H149" s="11">
        <f>COUNTIFS(MACHAKOS!I:I,$H$18,MACHAKOS!A:A,"7/31/24")</f>
        <v>0</v>
      </c>
      <c r="I149" s="11">
        <f>COUNTIFS(MACHAKOS!I:I,$I$18,MACHAKOS!A:A,"7/31/24")</f>
        <v>1</v>
      </c>
      <c r="J149" s="2"/>
      <c r="K149" s="2"/>
      <c r="L149" s="2"/>
      <c r="M149" s="2"/>
      <c r="N149" s="2"/>
      <c r="O149" s="2"/>
      <c r="P149" s="2"/>
      <c r="Q149" s="2"/>
      <c r="R149" s="2"/>
      <c r="S149" s="2"/>
      <c r="T149" s="2"/>
      <c r="U149" s="2"/>
      <c r="V149" s="2"/>
      <c r="W149" s="2"/>
      <c r="X149" s="2"/>
      <c r="Y149" s="2"/>
      <c r="Z149" s="2"/>
      <c r="AA149" s="2"/>
      <c r="AB149" s="2"/>
    </row>
    <row r="150">
      <c r="A150" s="16" t="s">
        <v>23</v>
      </c>
      <c r="B150" s="19">
        <f t="shared" ref="B150:E150" si="35">SUM(B137:B149)</f>
        <v>38709605.75</v>
      </c>
      <c r="C150" s="18">
        <f t="shared" si="35"/>
        <v>195</v>
      </c>
      <c r="D150" s="19">
        <f t="shared" si="35"/>
        <v>10980090</v>
      </c>
      <c r="E150" s="18">
        <f t="shared" si="35"/>
        <v>44</v>
      </c>
      <c r="F150" s="20">
        <f>D150/B150</f>
        <v>0.2836528502</v>
      </c>
      <c r="G150" s="21">
        <f t="shared" ref="G150:I150" si="36">SUM(G137:G149)</f>
        <v>15</v>
      </c>
      <c r="H150" s="21">
        <f t="shared" si="36"/>
        <v>29</v>
      </c>
      <c r="I150" s="21">
        <f t="shared" si="36"/>
        <v>151</v>
      </c>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3" t="s">
        <v>1</v>
      </c>
      <c r="B152" s="5" t="s">
        <v>2</v>
      </c>
      <c r="C152" s="5" t="s">
        <v>3</v>
      </c>
      <c r="D152" s="5" t="s">
        <v>4</v>
      </c>
      <c r="E152" s="5" t="s">
        <v>5</v>
      </c>
      <c r="F152" s="26" t="s">
        <v>6</v>
      </c>
      <c r="G152" s="26" t="s">
        <v>7</v>
      </c>
      <c r="H152" s="26" t="s">
        <v>8</v>
      </c>
      <c r="I152" s="26" t="s">
        <v>9</v>
      </c>
      <c r="J152" s="2"/>
      <c r="K152" s="2"/>
      <c r="L152" s="2"/>
      <c r="M152" s="2"/>
      <c r="N152" s="2"/>
      <c r="O152" s="2"/>
      <c r="P152" s="2"/>
      <c r="Q152" s="2"/>
      <c r="R152" s="2"/>
      <c r="S152" s="2"/>
      <c r="T152" s="2"/>
      <c r="U152" s="2"/>
      <c r="V152" s="2"/>
      <c r="W152" s="2"/>
      <c r="X152" s="2"/>
      <c r="Y152" s="2"/>
      <c r="Z152" s="2"/>
      <c r="AA152" s="2"/>
      <c r="AB152" s="2"/>
    </row>
    <row r="153">
      <c r="A153" s="7" t="s">
        <v>10</v>
      </c>
      <c r="B153" s="8">
        <f>SUMIFS(ECOBANK!F:F,ECOBANK!A:A,"8/1/24")</f>
        <v>14559991.5</v>
      </c>
      <c r="C153" s="9">
        <f>COUNTIFS(ECOBANK!A:A,"8/1/24")</f>
        <v>19</v>
      </c>
      <c r="D153" s="10">
        <f>SUMIFS(ECOBANK!G:G,ECOBANK!A:A,"8/1/24")</f>
        <v>823325</v>
      </c>
      <c r="E153" s="11">
        <f t="shared" ref="E153:E165" si="37">G153+H153</f>
        <v>5</v>
      </c>
      <c r="F153" s="12">
        <f t="shared" ref="F153:F165" si="38">iferror(D153/B153,0)</f>
        <v>0.05654707971</v>
      </c>
      <c r="G153" s="9">
        <f>COUNTIFS(ECOBANK!I:I,$G$18,ECOBANK!A:A,"8/1/24")</f>
        <v>2</v>
      </c>
      <c r="H153" s="11">
        <f>COUNTIFS(ECOBANK!I:I,$H$18,ECOBANK!A:A,"8/1/24")</f>
        <v>3</v>
      </c>
      <c r="I153" s="11">
        <f>COUNTIFS(ECOBANK!I:I,$I$18,ECOBANK!A:A,"8/1/24")</f>
        <v>14</v>
      </c>
      <c r="J153" s="2"/>
      <c r="K153" s="2"/>
      <c r="L153" s="2"/>
      <c r="M153" s="2"/>
      <c r="N153" s="2"/>
      <c r="O153" s="2"/>
      <c r="P153" s="2"/>
      <c r="Q153" s="2"/>
      <c r="R153" s="2"/>
      <c r="S153" s="2"/>
      <c r="T153" s="2"/>
      <c r="U153" s="2"/>
      <c r="V153" s="2"/>
      <c r="W153" s="2"/>
      <c r="X153" s="2"/>
      <c r="Y153" s="2"/>
      <c r="Z153" s="2"/>
      <c r="AA153" s="2"/>
      <c r="AB153" s="2"/>
    </row>
    <row r="154">
      <c r="A154" s="7" t="s">
        <v>24</v>
      </c>
      <c r="B154" s="8">
        <f>SUMIFS('TRADE CENTER'!F:F,'TRADE CENTER'!A:A,"8/1/24")</f>
        <v>8058368.91</v>
      </c>
      <c r="C154" s="11">
        <f>COUNTIFS('TRADE CENTER'!A:A,"8/1/24")</f>
        <v>60</v>
      </c>
      <c r="D154" s="10">
        <f>SUMIFS('TRADE CENTER'!G:G,'TRADE CENTER'!A:A,"8/1/24")</f>
        <v>1905938</v>
      </c>
      <c r="E154" s="11">
        <f t="shared" si="37"/>
        <v>16</v>
      </c>
      <c r="F154" s="12">
        <f t="shared" si="38"/>
        <v>0.236516598</v>
      </c>
      <c r="G154" s="11">
        <f>COUNTIFS('TRADE CENTER'!I:I,$G$18,'TRADE CENTER'!A:A,"8/1/24")</f>
        <v>6</v>
      </c>
      <c r="H154" s="11">
        <f>COUNTIFS('TRADE CENTER'!I:I,$H$18,'TRADE CENTER'!A:A,"8/1/24")</f>
        <v>10</v>
      </c>
      <c r="I154" s="11">
        <f>COUNTIFS('TRADE CENTER'!I:I,$I$18,'TRADE CENTER'!A:A,"8/1/24")</f>
        <v>44</v>
      </c>
      <c r="J154" s="2"/>
      <c r="K154" s="2"/>
      <c r="L154" s="2"/>
      <c r="M154" s="2"/>
      <c r="N154" s="2"/>
      <c r="O154" s="2"/>
      <c r="P154" s="2"/>
      <c r="Q154" s="2"/>
      <c r="R154" s="2"/>
      <c r="S154" s="2"/>
      <c r="T154" s="2"/>
      <c r="U154" s="2"/>
      <c r="V154" s="2"/>
      <c r="W154" s="2"/>
      <c r="X154" s="2"/>
      <c r="Y154" s="2"/>
      <c r="Z154" s="2"/>
      <c r="AA154" s="2"/>
      <c r="AB154" s="2"/>
    </row>
    <row r="155">
      <c r="A155" s="7" t="s">
        <v>12</v>
      </c>
      <c r="B155" s="8">
        <f>SUMIFS(PENSION!F:F,PENSION!A:A,"8/1/2024")</f>
        <v>5234257.55</v>
      </c>
      <c r="C155" s="11">
        <f>COUNTIFS(PENSION!A:A,"8/1/24")</f>
        <v>32</v>
      </c>
      <c r="D155" s="10">
        <f>SUMIFS(PENSION!G:G,PENSION!A:A,"8/1/2024")</f>
        <v>2354141</v>
      </c>
      <c r="E155" s="11">
        <f t="shared" si="37"/>
        <v>9</v>
      </c>
      <c r="F155" s="12">
        <f t="shared" si="38"/>
        <v>0.449756432</v>
      </c>
      <c r="G155" s="9">
        <f>COUNTIFS(PENSION!I:I,$G$18,PENSION!A:A,"8/1/24")</f>
        <v>2</v>
      </c>
      <c r="H155" s="11">
        <f>COUNTIFS(PENSION!I:I,$H$18,PENSION!A:A,"8/1/24")</f>
        <v>7</v>
      </c>
      <c r="I155" s="11">
        <f>COUNTIFS(PENSION!I:I,$I$18,PENSION!A:A,"8/1/24")</f>
        <v>23</v>
      </c>
      <c r="J155" s="2"/>
      <c r="K155" s="2"/>
      <c r="L155" s="2"/>
      <c r="M155" s="2"/>
      <c r="N155" s="2"/>
      <c r="O155" s="2"/>
      <c r="P155" s="2"/>
      <c r="Q155" s="2"/>
      <c r="R155" s="2"/>
      <c r="S155" s="2"/>
      <c r="T155" s="2"/>
      <c r="U155" s="2"/>
      <c r="V155" s="2"/>
      <c r="W155" s="2"/>
      <c r="X155" s="2"/>
      <c r="Y155" s="2"/>
      <c r="Z155" s="2"/>
      <c r="AA155" s="2"/>
      <c r="AB155" s="2"/>
    </row>
    <row r="156">
      <c r="A156" s="7" t="s">
        <v>13</v>
      </c>
      <c r="B156" s="8">
        <f>SUMIFS(KITENGELA!F:F,KITENGELA!A:A,"8/1/2024")</f>
        <v>4904468.36</v>
      </c>
      <c r="C156" s="11">
        <f>COUNTIFS(KITENGELA!A:A,"8/1/24")</f>
        <v>34</v>
      </c>
      <c r="D156" s="10">
        <f>SUMIFS(KITENGELA!G:G,KITENGELA!A:A,"8/1/24")</f>
        <v>457533</v>
      </c>
      <c r="E156" s="11">
        <f t="shared" si="37"/>
        <v>9</v>
      </c>
      <c r="F156" s="12">
        <f t="shared" si="38"/>
        <v>0.09328901043</v>
      </c>
      <c r="G156" s="11">
        <f>COUNTIFS(KITENGELA!I:I,$G$18,KITENGELA!A:A,"8/1/24")</f>
        <v>3</v>
      </c>
      <c r="H156" s="11">
        <f>COUNTIFS(KITENGELA!I:I,$H$18,KITENGELA!A:A,"8/1/24")</f>
        <v>6</v>
      </c>
      <c r="I156" s="11">
        <f>COUNTIFS(KITENGELA!I:I,$I$18,KITENGELA!A:A,"8/1/24")</f>
        <v>25</v>
      </c>
      <c r="J156" s="2"/>
      <c r="K156" s="2"/>
      <c r="L156" s="2"/>
      <c r="M156" s="2"/>
      <c r="N156" s="2"/>
      <c r="O156" s="2"/>
      <c r="P156" s="2"/>
      <c r="Q156" s="2"/>
      <c r="R156" s="2"/>
      <c r="S156" s="2"/>
      <c r="T156" s="2"/>
      <c r="U156" s="2"/>
      <c r="V156" s="2"/>
      <c r="W156" s="2"/>
      <c r="X156" s="2"/>
      <c r="Y156" s="2"/>
      <c r="Z156" s="2"/>
      <c r="AA156" s="2"/>
      <c r="AB156" s="2"/>
    </row>
    <row r="157">
      <c r="A157" s="7" t="s">
        <v>14</v>
      </c>
      <c r="B157" s="8">
        <f>SUMIFS(ELDORET!F:F,ELDORET!A:A,"8/1/24")</f>
        <v>409978</v>
      </c>
      <c r="C157" s="11">
        <f>COUNTIFS(ELDORET!A:A,"8/1/24")</f>
        <v>13</v>
      </c>
      <c r="D157" s="10">
        <f>SUMIFS(ELDORET!G:G,ELDORET!A:A,"8/1/24")</f>
        <v>6000</v>
      </c>
      <c r="E157" s="11">
        <f t="shared" si="37"/>
        <v>1</v>
      </c>
      <c r="F157" s="12">
        <f t="shared" si="38"/>
        <v>0.01463493163</v>
      </c>
      <c r="G157" s="11">
        <f>COUNTIFS(ELDORET!I:I,$G$18,ELDORET!A:A,"8/1/24")</f>
        <v>0</v>
      </c>
      <c r="H157" s="11">
        <f>COUNTIFS(ELDORET!I:I,$H$18,ELDORET!A:A,"8/1/24")</f>
        <v>1</v>
      </c>
      <c r="I157" s="11">
        <f>COUNTIFS(ELDORET!I:I,$I$18,ELDORET!A:A,"8/1/24")</f>
        <v>12</v>
      </c>
      <c r="J157" s="2"/>
      <c r="K157" s="2"/>
      <c r="L157" s="2"/>
      <c r="M157" s="2"/>
      <c r="N157" s="2"/>
      <c r="O157" s="2"/>
      <c r="P157" s="2"/>
      <c r="Q157" s="2"/>
      <c r="R157" s="2"/>
      <c r="S157" s="2"/>
      <c r="T157" s="2"/>
      <c r="U157" s="2"/>
      <c r="V157" s="2"/>
      <c r="W157" s="2"/>
      <c r="X157" s="2"/>
      <c r="Y157" s="2"/>
      <c r="Z157" s="2"/>
      <c r="AA157" s="2"/>
      <c r="AB157" s="2"/>
    </row>
    <row r="158">
      <c r="A158" s="7" t="s">
        <v>15</v>
      </c>
      <c r="B158" s="8">
        <f>SUMIFS(NAKURU!F:F,NAKURU!A:A,"8/1/24")</f>
        <v>120000</v>
      </c>
      <c r="C158" s="11">
        <f>COUNTIFS(NAKURU!A:A,"8/1/24")</f>
        <v>3</v>
      </c>
      <c r="D158" s="10">
        <f>SUMIFS(NAKURU!G:G,NAKURU!A:A,"8/1/24")</f>
        <v>0</v>
      </c>
      <c r="E158" s="11">
        <f t="shared" si="37"/>
        <v>1</v>
      </c>
      <c r="F158" s="12">
        <f t="shared" si="38"/>
        <v>0</v>
      </c>
      <c r="G158" s="9">
        <f>COUNTIFS(NAKURU!I:I,$G$18,NAKURU!A:A,"8/1/24")</f>
        <v>0</v>
      </c>
      <c r="H158" s="11">
        <f>COUNTIFS(NAKURU!I:I,$H$18,NAKURU!A:A,"8/1/24")</f>
        <v>1</v>
      </c>
      <c r="I158" s="11">
        <f>COUNTIFS(NAKURU!I:I,$I$18,NAKURU!A:A,"8/1/24")</f>
        <v>2</v>
      </c>
      <c r="J158" s="2"/>
      <c r="K158" s="2"/>
      <c r="L158" s="2"/>
      <c r="M158" s="2"/>
      <c r="N158" s="2"/>
      <c r="O158" s="2"/>
      <c r="P158" s="2"/>
      <c r="Q158" s="2"/>
      <c r="R158" s="2"/>
      <c r="S158" s="2"/>
      <c r="T158" s="2"/>
      <c r="U158" s="2"/>
      <c r="V158" s="2"/>
      <c r="W158" s="2"/>
      <c r="X158" s="2"/>
      <c r="Y158" s="2"/>
      <c r="Z158" s="2"/>
      <c r="AA158" s="2"/>
      <c r="AB158" s="2"/>
    </row>
    <row r="159">
      <c r="A159" s="7" t="s">
        <v>16</v>
      </c>
      <c r="B159" s="8">
        <f>SUMIFS(HOMABAY!F:F,HOMABAY!A:A,"8/1/24")</f>
        <v>55000</v>
      </c>
      <c r="C159" s="11">
        <f>COUNTIFS(HOMABAY!A:A,"8/1/24")</f>
        <v>3</v>
      </c>
      <c r="D159" s="10">
        <f>SUMIFS(HOMABAY!G:G,HOMABAY!A:A,"8/1/24")</f>
        <v>25000</v>
      </c>
      <c r="E159" s="11">
        <f t="shared" si="37"/>
        <v>2</v>
      </c>
      <c r="F159" s="12">
        <f t="shared" si="38"/>
        <v>0.4545454545</v>
      </c>
      <c r="G159" s="9">
        <f>COUNTIFS(HOMABAY!K:K,$G$18,HOMABAY!A:A,"8/1/24")</f>
        <v>1</v>
      </c>
      <c r="H159" s="11">
        <f>COUNTIFS(HOMABAY!K:K,$H$18,HOMABAY!A:A,"8/1/24")</f>
        <v>1</v>
      </c>
      <c r="I159" s="11">
        <f>COUNTIFS(HOMABAY!K:K,$I$18,HOMABAY!A:A,"8/1/24")</f>
        <v>1</v>
      </c>
      <c r="J159" s="2"/>
      <c r="K159" s="2"/>
      <c r="L159" s="2"/>
      <c r="M159" s="2"/>
      <c r="N159" s="2"/>
      <c r="O159" s="2"/>
      <c r="P159" s="2"/>
      <c r="Q159" s="2"/>
      <c r="R159" s="2"/>
      <c r="S159" s="2"/>
      <c r="T159" s="2"/>
      <c r="U159" s="2"/>
      <c r="V159" s="2"/>
      <c r="W159" s="2"/>
      <c r="X159" s="2"/>
      <c r="Y159" s="2"/>
      <c r="Z159" s="2"/>
      <c r="AA159" s="2"/>
      <c r="AB159" s="2"/>
    </row>
    <row r="160">
      <c r="A160" s="7" t="s">
        <v>17</v>
      </c>
      <c r="B160" s="8">
        <f>SUMIFS(MOMBASA!F:F,MOMBASA!A:A,"8/1/24")</f>
        <v>3002551.94</v>
      </c>
      <c r="C160" s="11">
        <f>COUNTIFS(MOMBASA!A:A,"8/1/24")</f>
        <v>18</v>
      </c>
      <c r="D160" s="27">
        <f>SUMIFS(MOMBASA!G:G,MOMBASA!A:A,"8/1/24")</f>
        <v>306500</v>
      </c>
      <c r="E160" s="11">
        <f t="shared" si="37"/>
        <v>5</v>
      </c>
      <c r="F160" s="12">
        <f t="shared" si="38"/>
        <v>0.1020798328</v>
      </c>
      <c r="G160" s="9">
        <f>COUNTIFS(MOMBASA!I:I,$G$18,MOMBASA!A:A,"8/1/24")</f>
        <v>2</v>
      </c>
      <c r="H160" s="11">
        <f>COUNTIFS(MOMBASA!I:I,$H$18,MOMBASA!A:A,"8/1/24")</f>
        <v>3</v>
      </c>
      <c r="I160" s="11">
        <f>COUNTIFS(MOMBASA!I:I,$I$18,MOMBASA!A:A,"8/1/24")</f>
        <v>13</v>
      </c>
      <c r="J160" s="2"/>
      <c r="K160" s="2"/>
      <c r="L160" s="2"/>
      <c r="M160" s="2"/>
      <c r="N160" s="2"/>
      <c r="O160" s="2"/>
      <c r="P160" s="2"/>
      <c r="Q160" s="2"/>
      <c r="R160" s="2"/>
      <c r="S160" s="2"/>
      <c r="T160" s="2"/>
      <c r="U160" s="2"/>
      <c r="V160" s="2"/>
      <c r="W160" s="2"/>
      <c r="X160" s="2"/>
      <c r="Y160" s="2"/>
      <c r="Z160" s="2"/>
      <c r="AA160" s="2"/>
      <c r="AB160" s="2"/>
    </row>
    <row r="161">
      <c r="A161" s="7" t="s">
        <v>18</v>
      </c>
      <c r="B161" s="8">
        <f>SUMIFS(KISUMU!F:F,KISUMU!A:A,"8/1/24")</f>
        <v>1570816.08</v>
      </c>
      <c r="C161" s="11">
        <f>COUNTIFS(KISUMU!A:A,"8/1/24")</f>
        <v>20</v>
      </c>
      <c r="D161" s="10">
        <f>SUMIFS(KISUMU!G:G,KISUMU!A:A,"8/1/24")</f>
        <v>157900</v>
      </c>
      <c r="E161" s="11">
        <f t="shared" si="37"/>
        <v>4</v>
      </c>
      <c r="F161" s="12">
        <f t="shared" si="38"/>
        <v>0.100520998</v>
      </c>
      <c r="G161" s="9">
        <f>COUNTIFS(KISUMU!I:I,$G$18,KISUMU!A:A,"8/1/24")</f>
        <v>3</v>
      </c>
      <c r="H161" s="11">
        <f>COUNTIFS(KISUMU!I:I,$H$18,KISUMU!A:A,"8/1/24")</f>
        <v>1</v>
      </c>
      <c r="I161" s="11">
        <f>COUNTIFS(KISUMU!I:I,$I$18,KISUMU!A:A,"8/1/24")</f>
        <v>16</v>
      </c>
      <c r="J161" s="2"/>
      <c r="K161" s="2"/>
      <c r="L161" s="2"/>
      <c r="M161" s="2"/>
      <c r="N161" s="2"/>
      <c r="O161" s="2"/>
      <c r="P161" s="2"/>
      <c r="Q161" s="2"/>
      <c r="R161" s="2"/>
      <c r="S161" s="2"/>
      <c r="T161" s="2"/>
      <c r="U161" s="2"/>
      <c r="V161" s="2"/>
      <c r="W161" s="2"/>
      <c r="X161" s="2"/>
      <c r="Y161" s="2"/>
      <c r="Z161" s="2"/>
      <c r="AA161" s="2"/>
      <c r="AB161" s="2"/>
    </row>
    <row r="162">
      <c r="A162" s="7" t="s">
        <v>19</v>
      </c>
      <c r="B162" s="8">
        <f>SUMIFS(VOI!F:F,VOI!A:A,"8/1/24")</f>
        <v>261756</v>
      </c>
      <c r="C162" s="11">
        <f>COUNTIFS(VOI!A:A,"8/1/24")</f>
        <v>9</v>
      </c>
      <c r="D162" s="10">
        <f>SUMIFS(VOI!G:G,VOI!A:A,"8/1/24")</f>
        <v>0</v>
      </c>
      <c r="E162" s="11">
        <f t="shared" si="37"/>
        <v>0</v>
      </c>
      <c r="F162" s="12">
        <f t="shared" si="38"/>
        <v>0</v>
      </c>
      <c r="G162" s="9">
        <f>COUNTIFS(VOI!H:H,$G$18,VOI!A:A,"8/1/24")</f>
        <v>0</v>
      </c>
      <c r="H162" s="11">
        <f>COUNTIFS(VOI!H:H,$H$18,VOI!A:A,"8/1/24")</f>
        <v>0</v>
      </c>
      <c r="I162" s="11">
        <f>COUNTIFS(VOI!H:H,$I$18,VOI!A:A,"8/1/24")</f>
        <v>9</v>
      </c>
      <c r="J162" s="2"/>
      <c r="K162" s="2"/>
      <c r="L162" s="2"/>
      <c r="M162" s="2"/>
      <c r="N162" s="2"/>
      <c r="O162" s="2"/>
      <c r="P162" s="2"/>
      <c r="Q162" s="2"/>
      <c r="R162" s="2"/>
      <c r="S162" s="2"/>
      <c r="T162" s="2"/>
      <c r="U162" s="2"/>
      <c r="V162" s="2"/>
      <c r="W162" s="2"/>
      <c r="X162" s="2"/>
      <c r="Y162" s="2"/>
      <c r="Z162" s="2"/>
      <c r="AA162" s="2"/>
      <c r="AB162" s="2"/>
    </row>
    <row r="163">
      <c r="A163" s="7" t="s">
        <v>20</v>
      </c>
      <c r="B163" s="8">
        <f>SUMIFS(THIKA!F:F,THIKA!A:A,"8/1/24")</f>
        <v>1793630.24</v>
      </c>
      <c r="C163" s="11">
        <f>COUNTIFS(THIKA!A:A,"8/1/24")</f>
        <v>19</v>
      </c>
      <c r="D163" s="10">
        <f>SUMIFS(THIKA!G:G,THIKA!A:A,"8/1/24")</f>
        <v>27107</v>
      </c>
      <c r="E163" s="11">
        <f t="shared" si="37"/>
        <v>1</v>
      </c>
      <c r="F163" s="12">
        <f t="shared" si="38"/>
        <v>0.01511292539</v>
      </c>
      <c r="G163" s="9">
        <f>COUNTIFS(THIKA!I:I,$G$18,THIKA!A:A,"8/1/24")</f>
        <v>0</v>
      </c>
      <c r="H163" s="11">
        <f>COUNTIFS(THIKA!I:I,$H$18,THIKA!A:A,"8/1/24")</f>
        <v>1</v>
      </c>
      <c r="I163" s="11">
        <f>COUNTIFS(THIKA!I:I,$I$18,THIKA!A:A,"8/1/24")</f>
        <v>18</v>
      </c>
      <c r="J163" s="2"/>
      <c r="K163" s="2"/>
      <c r="L163" s="2"/>
      <c r="M163" s="2"/>
      <c r="N163" s="2"/>
      <c r="O163" s="2"/>
      <c r="P163" s="2"/>
      <c r="Q163" s="2"/>
      <c r="R163" s="2"/>
      <c r="S163" s="2"/>
      <c r="T163" s="2"/>
      <c r="U163" s="2"/>
      <c r="V163" s="2"/>
      <c r="W163" s="2"/>
      <c r="X163" s="2"/>
      <c r="Y163" s="2"/>
      <c r="Z163" s="2"/>
      <c r="AA163" s="2"/>
      <c r="AB163" s="2"/>
    </row>
    <row r="164">
      <c r="A164" s="7" t="s">
        <v>21</v>
      </c>
      <c r="B164" s="8">
        <f>SUMIFS(KITUI!F:F,KITUI!A:A,"8/1/24")</f>
        <v>136960</v>
      </c>
      <c r="C164" s="11">
        <f>COUNTIFS(KITUI!A:A,"8/1/24")</f>
        <v>2</v>
      </c>
      <c r="D164" s="10">
        <f>SUMIFS(KITUI!G:G,KITUI!A:A,"8/1/24")</f>
        <v>27127</v>
      </c>
      <c r="E164" s="11">
        <f t="shared" si="37"/>
        <v>1</v>
      </c>
      <c r="F164" s="12">
        <f t="shared" si="38"/>
        <v>0.1980651285</v>
      </c>
      <c r="G164" s="9">
        <f>COUNTIFS(KITUI!I:I,$G$18,KITUI!A:A,"8/1/24")</f>
        <v>0</v>
      </c>
      <c r="H164" s="11">
        <f>COUNTIFS(KITUI!I:I,$H$18,KITUI!A:A,"8/1/24")</f>
        <v>1</v>
      </c>
      <c r="I164" s="11">
        <f>COUNTIFS(KITUI!I:I,$I$18,KITUI!A:A,"8/1/24")</f>
        <v>1</v>
      </c>
      <c r="J164" s="2"/>
      <c r="K164" s="2"/>
      <c r="L164" s="2"/>
      <c r="M164" s="2"/>
      <c r="N164" s="2"/>
      <c r="O164" s="2"/>
      <c r="P164" s="2"/>
      <c r="Q164" s="2"/>
      <c r="R164" s="2"/>
      <c r="S164" s="2"/>
      <c r="T164" s="2"/>
      <c r="U164" s="2"/>
      <c r="V164" s="2"/>
      <c r="W164" s="2"/>
      <c r="X164" s="2"/>
      <c r="Y164" s="2"/>
      <c r="Z164" s="2"/>
      <c r="AA164" s="2"/>
      <c r="AB164" s="2"/>
    </row>
    <row r="165">
      <c r="A165" s="15" t="s">
        <v>22</v>
      </c>
      <c r="B165" s="8">
        <f>SUMIFS(MACHAKOS!F:F,MACHAKOS!A:A,"8/1/24")</f>
        <v>127487</v>
      </c>
      <c r="C165" s="11">
        <f>COUNTIFS(MACHAKOS!A:A,"8/1/24")</f>
        <v>1</v>
      </c>
      <c r="D165" s="10">
        <f>SUMIFS(MACHAKOS!G:G,MACHAKOS!A:A,"8/1/24")</f>
        <v>0</v>
      </c>
      <c r="E165" s="11">
        <f t="shared" si="37"/>
        <v>0</v>
      </c>
      <c r="F165" s="12">
        <f t="shared" si="38"/>
        <v>0</v>
      </c>
      <c r="G165" s="9">
        <f>COUNTIFS(MACHAKOS!I:I,$G$18,MACHAKOS!A:A,"8/1/24")</f>
        <v>0</v>
      </c>
      <c r="H165" s="11">
        <f>COUNTIFS(MACHAKOS!I:I,$H$18,MACHAKOS!A:A,"8/1/24")</f>
        <v>0</v>
      </c>
      <c r="I165" s="11">
        <f>COUNTIFS(MACHAKOS!I:I,$I$18,MACHAKOS!A:A,"8/1/24")</f>
        <v>1</v>
      </c>
      <c r="J165" s="2"/>
      <c r="K165" s="2"/>
      <c r="L165" s="2"/>
      <c r="M165" s="2"/>
      <c r="N165" s="2"/>
      <c r="O165" s="2"/>
      <c r="P165" s="2"/>
      <c r="Q165" s="2"/>
      <c r="R165" s="2"/>
      <c r="S165" s="2"/>
      <c r="T165" s="2"/>
      <c r="U165" s="2"/>
      <c r="V165" s="2"/>
      <c r="W165" s="2"/>
      <c r="X165" s="2"/>
      <c r="Y165" s="2"/>
      <c r="Z165" s="2"/>
      <c r="AA165" s="2"/>
      <c r="AB165" s="2"/>
    </row>
    <row r="166">
      <c r="A166" s="16" t="s">
        <v>23</v>
      </c>
      <c r="B166" s="19">
        <f t="shared" ref="B166:E166" si="39">SUM(B153:B165)</f>
        <v>40235265.58</v>
      </c>
      <c r="C166" s="18">
        <f t="shared" si="39"/>
        <v>233</v>
      </c>
      <c r="D166" s="19">
        <f t="shared" si="39"/>
        <v>6090571</v>
      </c>
      <c r="E166" s="18">
        <f t="shared" si="39"/>
        <v>54</v>
      </c>
      <c r="F166" s="20">
        <f>D166/B166</f>
        <v>0.151373948</v>
      </c>
      <c r="G166" s="21">
        <f t="shared" ref="G166:I166" si="40">SUM(G153:G165)</f>
        <v>19</v>
      </c>
      <c r="H166" s="21">
        <f t="shared" si="40"/>
        <v>35</v>
      </c>
      <c r="I166" s="21">
        <f t="shared" si="40"/>
        <v>179</v>
      </c>
      <c r="J166" s="2"/>
      <c r="K166" s="2"/>
      <c r="L166" s="2"/>
      <c r="M166" s="2"/>
      <c r="N166" s="2"/>
      <c r="O166" s="2"/>
      <c r="P166" s="2"/>
      <c r="Q166" s="2"/>
      <c r="R166" s="2"/>
      <c r="S166" s="2"/>
      <c r="T166" s="2"/>
      <c r="U166" s="2"/>
      <c r="V166" s="2"/>
      <c r="W166" s="2"/>
      <c r="X166" s="2"/>
      <c r="Y166" s="2"/>
      <c r="Z166" s="2"/>
      <c r="AA166" s="2"/>
      <c r="AB166" s="2"/>
    </row>
    <row r="167">
      <c r="A167" s="1" t="s">
        <v>27</v>
      </c>
      <c r="B167" s="23">
        <v>1250000.0</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3" t="s">
        <v>1</v>
      </c>
      <c r="B169" s="5" t="s">
        <v>2</v>
      </c>
      <c r="C169" s="5" t="s">
        <v>3</v>
      </c>
      <c r="D169" s="5" t="s">
        <v>4</v>
      </c>
      <c r="E169" s="5" t="s">
        <v>5</v>
      </c>
      <c r="F169" s="26" t="s">
        <v>6</v>
      </c>
      <c r="G169" s="26" t="s">
        <v>7</v>
      </c>
      <c r="H169" s="26" t="s">
        <v>8</v>
      </c>
      <c r="I169" s="26" t="s">
        <v>9</v>
      </c>
      <c r="J169" s="2"/>
      <c r="K169" s="2"/>
      <c r="L169" s="2"/>
      <c r="M169" s="2"/>
      <c r="N169" s="2"/>
      <c r="O169" s="2"/>
      <c r="P169" s="2"/>
      <c r="Q169" s="2"/>
      <c r="R169" s="2"/>
      <c r="S169" s="2"/>
      <c r="T169" s="2"/>
      <c r="U169" s="2"/>
      <c r="V169" s="2"/>
      <c r="W169" s="2"/>
      <c r="X169" s="2"/>
      <c r="Y169" s="2"/>
      <c r="Z169" s="2"/>
      <c r="AA169" s="2"/>
      <c r="AB169" s="2"/>
    </row>
    <row r="170">
      <c r="A170" s="7" t="s">
        <v>10</v>
      </c>
      <c r="B170" s="8">
        <f>SUMIFS(ECOBANK!F:F,ECOBANK!A:A,"8/2/24")</f>
        <v>9566298.5</v>
      </c>
      <c r="C170" s="9">
        <f>COUNTIFS(ECOBANK!A:A,"8/2/24")</f>
        <v>17</v>
      </c>
      <c r="D170" s="10">
        <f>SUMIFS(ECOBANK!G:G,ECOBANK!A:A,"8/2/24")</f>
        <v>5203403</v>
      </c>
      <c r="E170" s="11">
        <f t="shared" ref="E170:E182" si="41">G170+H170</f>
        <v>4</v>
      </c>
      <c r="F170" s="12">
        <f t="shared" ref="F170:F182" si="42">iferror(D170/B170,0)</f>
        <v>0.5439306541</v>
      </c>
      <c r="G170" s="9">
        <f>COUNTIFS(ECOBANK!I:I,$G$18,ECOBANK!A:A,"8/2/24")</f>
        <v>1</v>
      </c>
      <c r="H170" s="11">
        <f>COUNTIFS(ECOBANK!I:I,$H$18,ECOBANK!A:A,"8/2/24")</f>
        <v>3</v>
      </c>
      <c r="I170" s="11">
        <f>COUNTIFS(ECOBANK!I:I,$I$18,ECOBANK!A:A,"8/2/24")</f>
        <v>13</v>
      </c>
      <c r="J170" s="2"/>
      <c r="K170" s="1"/>
      <c r="L170" s="25"/>
      <c r="M170" s="1"/>
      <c r="N170" s="2"/>
      <c r="O170" s="2"/>
      <c r="P170" s="2"/>
      <c r="Q170" s="2"/>
      <c r="R170" s="2"/>
      <c r="S170" s="2"/>
      <c r="T170" s="2"/>
      <c r="U170" s="2"/>
      <c r="V170" s="2"/>
      <c r="W170" s="2"/>
      <c r="X170" s="2"/>
      <c r="Y170" s="2"/>
      <c r="Z170" s="2"/>
      <c r="AA170" s="2"/>
      <c r="AB170" s="2"/>
    </row>
    <row r="171">
      <c r="A171" s="7" t="s">
        <v>24</v>
      </c>
      <c r="B171" s="8">
        <f>SUMIFS('TRADE CENTER'!F:F,'TRADE CENTER'!A:A,"8/2/24")</f>
        <v>8215750.66</v>
      </c>
      <c r="C171" s="11">
        <f>COUNTIFS('TRADE CENTER'!A:A,"8/2/24")</f>
        <v>53</v>
      </c>
      <c r="D171" s="10">
        <f>SUMIFS('TRADE CENTER'!G:G,'TRADE CENTER'!A:A,"8/2/24")</f>
        <v>252723</v>
      </c>
      <c r="E171" s="11">
        <f t="shared" si="41"/>
        <v>12</v>
      </c>
      <c r="F171" s="12">
        <f t="shared" si="42"/>
        <v>0.03076079234</v>
      </c>
      <c r="G171" s="11">
        <f>COUNTIFS('TRADE CENTER'!I:I,$G$18,'TRADE CENTER'!A:A,"8/2/24")</f>
        <v>3</v>
      </c>
      <c r="H171" s="11">
        <f>COUNTIFS('TRADE CENTER'!I:I,$H$18,'TRADE CENTER'!A:A,"8/2/24")</f>
        <v>9</v>
      </c>
      <c r="I171" s="11">
        <f>COUNTIFS('TRADE CENTER'!I:I,$I$18,'TRADE CENTER'!A:A,"8/2/24")</f>
        <v>40</v>
      </c>
      <c r="J171" s="2"/>
      <c r="K171" s="1"/>
      <c r="L171" s="25"/>
      <c r="M171" s="1"/>
      <c r="N171" s="2"/>
      <c r="O171" s="2"/>
      <c r="P171" s="2"/>
      <c r="Q171" s="2"/>
      <c r="R171" s="2"/>
      <c r="S171" s="2"/>
      <c r="T171" s="2"/>
      <c r="U171" s="2"/>
      <c r="V171" s="2"/>
      <c r="W171" s="2"/>
      <c r="X171" s="2"/>
      <c r="Y171" s="2"/>
      <c r="Z171" s="2"/>
      <c r="AA171" s="2"/>
      <c r="AB171" s="2"/>
    </row>
    <row r="172">
      <c r="A172" s="7" t="s">
        <v>12</v>
      </c>
      <c r="B172" s="8">
        <f>SUMIFS(PENSION!F:F,PENSION!A:A,"8/2/2024")</f>
        <v>8430881.45</v>
      </c>
      <c r="C172" s="11">
        <f>COUNTIFS(PENSION!A:A,"8/2/24")</f>
        <v>40</v>
      </c>
      <c r="D172" s="10">
        <f>SUMIFS(PENSION!G:G,PENSION!A:A,"8/2/2024")</f>
        <v>1317333</v>
      </c>
      <c r="E172" s="11">
        <f t="shared" si="41"/>
        <v>5</v>
      </c>
      <c r="F172" s="12">
        <f t="shared" si="42"/>
        <v>0.156250922</v>
      </c>
      <c r="G172" s="9">
        <f>COUNTIFS(PENSION!I:I,$G$18,PENSION!A:A,"8/2/24")</f>
        <v>2</v>
      </c>
      <c r="H172" s="11">
        <f>COUNTIFS(PENSION!I:I,$H$18,PENSION!A:A,"8/2/24")</f>
        <v>3</v>
      </c>
      <c r="I172" s="11">
        <f>COUNTIFS(PENSION!I:I,$I$18,PENSION!A:A,"8/2/24")</f>
        <v>35</v>
      </c>
      <c r="J172" s="2"/>
      <c r="K172" s="1"/>
      <c r="L172" s="25"/>
      <c r="M172" s="1"/>
      <c r="N172" s="2"/>
      <c r="O172" s="2"/>
      <c r="P172" s="2"/>
      <c r="Q172" s="2"/>
      <c r="R172" s="2"/>
      <c r="S172" s="2"/>
      <c r="T172" s="2"/>
      <c r="U172" s="2"/>
      <c r="V172" s="2"/>
      <c r="W172" s="2"/>
      <c r="X172" s="2"/>
      <c r="Y172" s="2"/>
      <c r="Z172" s="2"/>
      <c r="AA172" s="2"/>
      <c r="AB172" s="2"/>
    </row>
    <row r="173">
      <c r="A173" s="7" t="s">
        <v>13</v>
      </c>
      <c r="B173" s="8">
        <f>SUMIFS(KITENGELA!F:F,KITENGELA!A:A,"8/2/2024")</f>
        <v>4765743.18</v>
      </c>
      <c r="C173" s="11">
        <f>COUNTIFS(KITENGELA!A:A,"8/2/24")</f>
        <v>31</v>
      </c>
      <c r="D173" s="10">
        <f>SUMIFS(KITENGELA!G:G,KITENGELA!A:A,"8/2/24")</f>
        <v>337725</v>
      </c>
      <c r="E173" s="11">
        <f t="shared" si="41"/>
        <v>5</v>
      </c>
      <c r="F173" s="12">
        <f t="shared" si="42"/>
        <v>0.0708651279</v>
      </c>
      <c r="G173" s="11">
        <f>COUNTIFS(KITENGELA!I:I,$G$18,KITENGELA!A:A,"8/2/24")</f>
        <v>1</v>
      </c>
      <c r="H173" s="11">
        <f>COUNTIFS(KITENGELA!I:I,$H$18,KITENGELA!A:A,"8/2/24")</f>
        <v>4</v>
      </c>
      <c r="I173" s="11">
        <f>COUNTIFS(KITENGELA!I:I,$I$18,KITENGELA!A:A,"8/2/24")</f>
        <v>26</v>
      </c>
      <c r="J173" s="2"/>
      <c r="K173" s="1"/>
      <c r="L173" s="25"/>
      <c r="M173" s="1"/>
      <c r="N173" s="2"/>
      <c r="O173" s="2"/>
      <c r="P173" s="2"/>
      <c r="Q173" s="2"/>
      <c r="R173" s="2"/>
      <c r="S173" s="2"/>
      <c r="T173" s="2"/>
      <c r="U173" s="2"/>
      <c r="V173" s="2"/>
      <c r="W173" s="2"/>
      <c r="X173" s="2"/>
      <c r="Y173" s="2"/>
      <c r="Z173" s="2"/>
      <c r="AA173" s="2"/>
      <c r="AB173" s="2"/>
    </row>
    <row r="174">
      <c r="A174" s="7" t="s">
        <v>14</v>
      </c>
      <c r="B174" s="8">
        <f>SUMIFS(ELDORET!F:F,ELDORET!A:A,"8/2/24")</f>
        <v>765233</v>
      </c>
      <c r="C174" s="11">
        <f>COUNTIFS(ELDORET!A:A,"8/2/24")</f>
        <v>16</v>
      </c>
      <c r="D174" s="10">
        <f>SUMIFS(ELDORET!G:G,ELDORET!A:A,"8/2/24")</f>
        <v>588896</v>
      </c>
      <c r="E174" s="11">
        <f t="shared" si="41"/>
        <v>4</v>
      </c>
      <c r="F174" s="12">
        <f t="shared" si="42"/>
        <v>0.7695643026</v>
      </c>
      <c r="G174" s="11">
        <f>COUNTIFS(ELDORET!I:I,$G$18,ELDORET!A:A,"8/2/24")</f>
        <v>2</v>
      </c>
      <c r="H174" s="11">
        <f>COUNTIFS(ELDORET!I:I,$H$18,ELDORET!A:A,"8/2/24")</f>
        <v>2</v>
      </c>
      <c r="I174" s="11">
        <f>COUNTIFS(ELDORET!I:I,$I$18,ELDORET!A:A,"8/2/24")</f>
        <v>12</v>
      </c>
      <c r="J174" s="2"/>
      <c r="K174" s="1"/>
      <c r="L174" s="25"/>
      <c r="M174" s="1"/>
      <c r="N174" s="2"/>
      <c r="O174" s="2"/>
      <c r="P174" s="2"/>
      <c r="Q174" s="2"/>
      <c r="R174" s="2"/>
      <c r="S174" s="2"/>
      <c r="T174" s="2"/>
      <c r="U174" s="2"/>
      <c r="V174" s="2"/>
      <c r="W174" s="2"/>
      <c r="X174" s="2"/>
      <c r="Y174" s="2"/>
      <c r="Z174" s="2"/>
      <c r="AA174" s="2"/>
      <c r="AB174" s="2"/>
    </row>
    <row r="175">
      <c r="A175" s="7" t="s">
        <v>15</v>
      </c>
      <c r="B175" s="8">
        <f>SUMIFS(NAKURU!F:F,NAKURU!A:A,"8/2/24")</f>
        <v>663000</v>
      </c>
      <c r="C175" s="11">
        <f>COUNTIFS(NAKURU!A:A,"8/2/24")</f>
        <v>6</v>
      </c>
      <c r="D175" s="10">
        <f>SUMIFS(NAKURU!G:G,NAKURU!A:A,"8/2/24")</f>
        <v>48200</v>
      </c>
      <c r="E175" s="11">
        <f t="shared" si="41"/>
        <v>1</v>
      </c>
      <c r="F175" s="12">
        <f t="shared" si="42"/>
        <v>0.07269984917</v>
      </c>
      <c r="G175" s="9">
        <f>COUNTIFS(NAKURU!I:I,$G$18,NAKURU!A:A,"8/2/24")</f>
        <v>0</v>
      </c>
      <c r="H175" s="11">
        <f>COUNTIFS(NAKURU!I:I,$H$18,NAKURU!A:A,"8/2/24")</f>
        <v>1</v>
      </c>
      <c r="I175" s="11">
        <f>COUNTIFS(NAKURU!I:I,$I$18,NAKURU!A:A,"8/2/24")</f>
        <v>5</v>
      </c>
      <c r="J175" s="2"/>
      <c r="K175" s="1"/>
      <c r="L175" s="25"/>
      <c r="M175" s="1"/>
      <c r="N175" s="2"/>
      <c r="O175" s="2"/>
      <c r="P175" s="2"/>
      <c r="Q175" s="2"/>
      <c r="R175" s="2"/>
      <c r="S175" s="2"/>
      <c r="T175" s="2"/>
      <c r="U175" s="2"/>
      <c r="V175" s="2"/>
      <c r="W175" s="2"/>
      <c r="X175" s="2"/>
      <c r="Y175" s="2"/>
      <c r="Z175" s="2"/>
      <c r="AA175" s="2"/>
      <c r="AB175" s="2"/>
    </row>
    <row r="176">
      <c r="A176" s="7" t="s">
        <v>16</v>
      </c>
      <c r="B176" s="8">
        <f>SUMIFS(HOMABAY!F:F,HOMABAY!A:A,"8/2/24")</f>
        <v>113000</v>
      </c>
      <c r="C176" s="11">
        <f>COUNTIFS(HOMABAY!A:A,"8/2/24")</f>
        <v>3</v>
      </c>
      <c r="D176" s="10">
        <f>SUMIFS(HOMABAY!G:G,HOMABAY!A:A,"8/2/24")</f>
        <v>0</v>
      </c>
      <c r="E176" s="11">
        <f t="shared" si="41"/>
        <v>0</v>
      </c>
      <c r="F176" s="12">
        <f t="shared" si="42"/>
        <v>0</v>
      </c>
      <c r="G176" s="9">
        <f>COUNTIFS(HOMABAY!K:K,$G$18,HOMABAY!A:A,"8/2/24")</f>
        <v>0</v>
      </c>
      <c r="H176" s="11">
        <f>COUNTIFS(HOMABAY!K:K,$H$18,HOMABAY!A:A,"8/2/24")</f>
        <v>0</v>
      </c>
      <c r="I176" s="11">
        <f>COUNTIFS(HOMABAY!K:K,$I$18,HOMABAY!A:A,"8/2/24")</f>
        <v>3</v>
      </c>
      <c r="J176" s="2"/>
      <c r="K176" s="1"/>
      <c r="L176" s="25"/>
      <c r="M176" s="1"/>
      <c r="N176" s="2"/>
      <c r="O176" s="2"/>
      <c r="P176" s="2"/>
      <c r="Q176" s="2"/>
      <c r="R176" s="2"/>
      <c r="S176" s="2"/>
      <c r="T176" s="2"/>
      <c r="U176" s="2"/>
      <c r="V176" s="2"/>
      <c r="W176" s="2"/>
      <c r="X176" s="2"/>
      <c r="Y176" s="2"/>
      <c r="Z176" s="2"/>
      <c r="AA176" s="2"/>
      <c r="AB176" s="2"/>
    </row>
    <row r="177">
      <c r="A177" s="7" t="s">
        <v>17</v>
      </c>
      <c r="B177" s="8">
        <f>SUMIFS(MOMBASA!F:F,MOMBASA!A:A,"8/2/24")</f>
        <v>2639957.15</v>
      </c>
      <c r="C177" s="11">
        <f>COUNTIFS(MOMBASA!A:A,"8/2/24")</f>
        <v>22</v>
      </c>
      <c r="D177" s="27">
        <f>SUMIFS(MOMBASA!G:G,MOMBASA!A:A,"8/2/24")</f>
        <v>337702</v>
      </c>
      <c r="E177" s="11">
        <f t="shared" si="41"/>
        <v>10</v>
      </c>
      <c r="F177" s="12">
        <f t="shared" si="42"/>
        <v>0.1279195005</v>
      </c>
      <c r="G177" s="9">
        <f>COUNTIFS(MOMBASA!I:I,$G$18,MOMBASA!A:A,"8/2/24")</f>
        <v>3</v>
      </c>
      <c r="H177" s="11">
        <f>COUNTIFS(MOMBASA!I:I,$H$18,MOMBASA!A:A,"8/2/24")</f>
        <v>7</v>
      </c>
      <c r="I177" s="11">
        <f>COUNTIFS(MOMBASA!I:I,$I$18,MOMBASA!A:A,"8/2/24")</f>
        <v>12</v>
      </c>
      <c r="J177" s="2"/>
      <c r="K177" s="1"/>
      <c r="L177" s="25"/>
      <c r="M177" s="1"/>
      <c r="N177" s="2"/>
      <c r="O177" s="2"/>
      <c r="P177" s="2"/>
      <c r="Q177" s="2"/>
      <c r="R177" s="2"/>
      <c r="S177" s="2"/>
      <c r="T177" s="2"/>
      <c r="U177" s="2"/>
      <c r="V177" s="2"/>
      <c r="W177" s="2"/>
      <c r="X177" s="2"/>
      <c r="Y177" s="2"/>
      <c r="Z177" s="2"/>
      <c r="AA177" s="2"/>
      <c r="AB177" s="2"/>
    </row>
    <row r="178">
      <c r="A178" s="7" t="s">
        <v>18</v>
      </c>
      <c r="B178" s="8">
        <f>SUMIFS(KISUMU!F:F,KISUMU!A:A,"8/2/24")</f>
        <v>1460043.08</v>
      </c>
      <c r="C178" s="11">
        <f>COUNTIFS(KISUMU!A:A,"8/2/24")</f>
        <v>19</v>
      </c>
      <c r="D178" s="10">
        <f>SUMIFS(KISUMU!G:G,KISUMU!A:A,"8/2/24")</f>
        <v>232000</v>
      </c>
      <c r="E178" s="11">
        <f t="shared" si="41"/>
        <v>3</v>
      </c>
      <c r="F178" s="12">
        <f t="shared" si="42"/>
        <v>0.158899421</v>
      </c>
      <c r="G178" s="9">
        <f>COUNTIFS(KISUMU!I:I,$G$18,KISUMU!A:A,"8/2/24")</f>
        <v>0</v>
      </c>
      <c r="H178" s="11">
        <f>COUNTIFS(KISUMU!I:I,$H$18,KISUMU!A:A,"8/2/24")</f>
        <v>3</v>
      </c>
      <c r="I178" s="11">
        <f>COUNTIFS(KISUMU!I:I,$I$18,KISUMU!A:A,"8/2/24")</f>
        <v>16</v>
      </c>
      <c r="J178" s="2"/>
      <c r="K178" s="1"/>
      <c r="L178" s="25"/>
      <c r="M178" s="1"/>
      <c r="N178" s="2"/>
      <c r="O178" s="2"/>
      <c r="P178" s="2"/>
      <c r="Q178" s="2"/>
      <c r="R178" s="2"/>
      <c r="S178" s="2"/>
      <c r="T178" s="2"/>
      <c r="U178" s="2"/>
      <c r="V178" s="2"/>
      <c r="W178" s="2"/>
      <c r="X178" s="2"/>
      <c r="Y178" s="2"/>
      <c r="Z178" s="2"/>
      <c r="AA178" s="2"/>
      <c r="AB178" s="2"/>
    </row>
    <row r="179">
      <c r="A179" s="7" t="s">
        <v>19</v>
      </c>
      <c r="B179" s="8">
        <f>SUMIFS(VOI!F:F,VOI!A:A,"8/2/24")</f>
        <v>269717.97</v>
      </c>
      <c r="C179" s="11">
        <f>COUNTIFS(VOI!A:A,"8/2/24")</f>
        <v>10</v>
      </c>
      <c r="D179" s="10">
        <f>SUMIFS(VOI!G:G,VOI!A:A,"8/2/24")</f>
        <v>10000</v>
      </c>
      <c r="E179" s="11">
        <f t="shared" si="41"/>
        <v>1</v>
      </c>
      <c r="F179" s="12">
        <f t="shared" si="42"/>
        <v>0.03707576473</v>
      </c>
      <c r="G179" s="9">
        <f>COUNTIFS(VOI!H:H,$G$18,VOI!A:A,"8/2/24")</f>
        <v>1</v>
      </c>
      <c r="H179" s="11">
        <f>COUNTIFS(VOI!H:H,$H$18,VOI!A:A,"8/2/24")</f>
        <v>0</v>
      </c>
      <c r="I179" s="11">
        <f>COUNTIFS(VOI!H:H,$I$18,VOI!A:A,"8/2/24")</f>
        <v>9</v>
      </c>
      <c r="J179" s="2"/>
      <c r="K179" s="1"/>
      <c r="L179" s="25"/>
      <c r="M179" s="1"/>
      <c r="N179" s="2"/>
      <c r="O179" s="2"/>
      <c r="P179" s="2"/>
      <c r="Q179" s="2"/>
      <c r="R179" s="2"/>
      <c r="S179" s="2"/>
      <c r="T179" s="2"/>
      <c r="U179" s="2"/>
      <c r="V179" s="2"/>
      <c r="W179" s="2"/>
      <c r="X179" s="2"/>
      <c r="Y179" s="2"/>
      <c r="Z179" s="2"/>
      <c r="AA179" s="2"/>
      <c r="AB179" s="2"/>
    </row>
    <row r="180">
      <c r="A180" s="7" t="s">
        <v>20</v>
      </c>
      <c r="B180" s="8">
        <f>SUMIFS(THIKA!F:F,THIKA!A:A,"8/2/24")</f>
        <v>1303259.61</v>
      </c>
      <c r="C180" s="11">
        <f>COUNTIFS(THIKA!A:A,"8/2/24")</f>
        <v>20</v>
      </c>
      <c r="D180" s="10">
        <f>SUMIFS(THIKA!G:G,THIKA!A:A,"8/2/24")</f>
        <v>308474</v>
      </c>
      <c r="E180" s="11">
        <f t="shared" si="41"/>
        <v>7</v>
      </c>
      <c r="F180" s="12">
        <f t="shared" si="42"/>
        <v>0.2366942071</v>
      </c>
      <c r="G180" s="9">
        <f>COUNTIFS(THIKA!I:I,$G$18,THIKA!A:A,"8/2/24")</f>
        <v>1</v>
      </c>
      <c r="H180" s="11">
        <f>COUNTIFS(THIKA!I:I,$H$18,THIKA!A:A,"8/2/24")</f>
        <v>6</v>
      </c>
      <c r="I180" s="11">
        <f>COUNTIFS(THIKA!I:I,$I$18,THIKA!A:A,"8/2/24")</f>
        <v>13</v>
      </c>
      <c r="J180" s="2"/>
      <c r="K180" s="1"/>
      <c r="L180" s="25"/>
      <c r="M180" s="1"/>
      <c r="N180" s="2"/>
      <c r="O180" s="2"/>
      <c r="P180" s="2"/>
      <c r="Q180" s="2"/>
      <c r="R180" s="2"/>
      <c r="S180" s="2"/>
      <c r="T180" s="2"/>
      <c r="U180" s="2"/>
      <c r="V180" s="2"/>
      <c r="W180" s="2"/>
      <c r="X180" s="2"/>
      <c r="Y180" s="2"/>
      <c r="Z180" s="2"/>
      <c r="AA180" s="2"/>
      <c r="AB180" s="2"/>
    </row>
    <row r="181">
      <c r="A181" s="7" t="s">
        <v>21</v>
      </c>
      <c r="B181" s="8">
        <f>SUMIFS(KITUI!F:F,KITUI!A:A,"8/2/24")</f>
        <v>115630</v>
      </c>
      <c r="C181" s="11">
        <f>COUNTIFS(KITUI!A:A,"8/2/24")</f>
        <v>1</v>
      </c>
      <c r="D181" s="10">
        <f>SUMIFS(KITUI!G:G,KITUI!A:A,"8/2/24")</f>
        <v>0</v>
      </c>
      <c r="E181" s="11">
        <f t="shared" si="41"/>
        <v>0</v>
      </c>
      <c r="F181" s="12">
        <f t="shared" si="42"/>
        <v>0</v>
      </c>
      <c r="G181" s="9">
        <f>COUNTIFS(KITUI!I:I,$G$18,KITUI!A:A,"8/2/24")</f>
        <v>0</v>
      </c>
      <c r="H181" s="11">
        <f>COUNTIFS(KITUI!I:I,$H$18,KITUI!A:A,"8/2/24")</f>
        <v>0</v>
      </c>
      <c r="I181" s="11">
        <f>COUNTIFS(KITUI!I:I,$I$18,KITUI!A:A,"8/2/24")</f>
        <v>1</v>
      </c>
      <c r="J181" s="2"/>
      <c r="K181" s="1"/>
      <c r="L181" s="25"/>
      <c r="M181" s="1"/>
      <c r="N181" s="2"/>
      <c r="O181" s="2"/>
      <c r="P181" s="2"/>
      <c r="Q181" s="2"/>
      <c r="R181" s="2"/>
      <c r="S181" s="2"/>
      <c r="T181" s="2"/>
      <c r="U181" s="2"/>
      <c r="V181" s="2"/>
      <c r="W181" s="2"/>
      <c r="X181" s="2"/>
      <c r="Y181" s="2"/>
      <c r="Z181" s="2"/>
      <c r="AA181" s="2"/>
      <c r="AB181" s="2"/>
    </row>
    <row r="182">
      <c r="A182" s="15" t="s">
        <v>22</v>
      </c>
      <c r="B182" s="8">
        <f>SUMIFS(MACHAKOS!F:F,MACHAKOS!A:A,"8/2/24")</f>
        <v>178960</v>
      </c>
      <c r="C182" s="11">
        <f>COUNTIFS(MACHAKOS!A:A,"8/2/24")</f>
        <v>2</v>
      </c>
      <c r="D182" s="10">
        <f>SUMIFS(MACHAKOS!G:G,MACHAKOS!A:A,"8/2/24")</f>
        <v>0</v>
      </c>
      <c r="E182" s="11">
        <f t="shared" si="41"/>
        <v>0</v>
      </c>
      <c r="F182" s="12">
        <f t="shared" si="42"/>
        <v>0</v>
      </c>
      <c r="G182" s="9">
        <f>COUNTIFS(MACHAKOS!I:I,$G$18,MACHAKOS!A:A,"8/2/24")</f>
        <v>0</v>
      </c>
      <c r="H182" s="11">
        <f>COUNTIFS(MACHAKOS!I:I,$H$18,MACHAKOS!A:A,"8/2/24")</f>
        <v>0</v>
      </c>
      <c r="I182" s="11">
        <f>COUNTIFS(MACHAKOS!I:I,$I$18,MACHAKOS!A:A,"8/2/24")</f>
        <v>2</v>
      </c>
      <c r="J182" s="2"/>
      <c r="K182" s="1"/>
      <c r="L182" s="25"/>
      <c r="M182" s="1"/>
      <c r="N182" s="2"/>
      <c r="O182" s="2"/>
      <c r="P182" s="2"/>
      <c r="Q182" s="2"/>
      <c r="R182" s="2"/>
      <c r="S182" s="2"/>
      <c r="T182" s="2"/>
      <c r="U182" s="2"/>
      <c r="V182" s="2"/>
      <c r="W182" s="2"/>
      <c r="X182" s="2"/>
      <c r="Y182" s="2"/>
      <c r="Z182" s="2"/>
      <c r="AA182" s="2"/>
      <c r="AB182" s="2"/>
    </row>
    <row r="183">
      <c r="A183" s="16" t="s">
        <v>23</v>
      </c>
      <c r="B183" s="19">
        <f t="shared" ref="B183:E183" si="43">SUM(B170:B182)</f>
        <v>38487474.6</v>
      </c>
      <c r="C183" s="18">
        <f t="shared" si="43"/>
        <v>240</v>
      </c>
      <c r="D183" s="19">
        <f t="shared" si="43"/>
        <v>8636456</v>
      </c>
      <c r="E183" s="18">
        <f t="shared" si="43"/>
        <v>52</v>
      </c>
      <c r="F183" s="20">
        <f>D183/B183</f>
        <v>0.2243965365</v>
      </c>
      <c r="G183" s="21">
        <f t="shared" ref="G183:I183" si="44">SUM(G170:G182)</f>
        <v>14</v>
      </c>
      <c r="H183" s="21">
        <f t="shared" si="44"/>
        <v>38</v>
      </c>
      <c r="I183" s="21">
        <f t="shared" si="44"/>
        <v>187</v>
      </c>
      <c r="J183" s="2"/>
      <c r="K183" s="1"/>
      <c r="L183" s="23"/>
      <c r="M183" s="2"/>
      <c r="N183" s="2"/>
      <c r="O183" s="2"/>
      <c r="P183" s="2"/>
      <c r="Q183" s="2"/>
      <c r="R183" s="2"/>
      <c r="S183" s="2"/>
      <c r="T183" s="2"/>
      <c r="U183" s="2"/>
      <c r="V183" s="2"/>
      <c r="W183" s="2"/>
      <c r="X183" s="2"/>
      <c r="Y183" s="2"/>
      <c r="Z183" s="2"/>
      <c r="AA183" s="2"/>
      <c r="AB183" s="2"/>
    </row>
    <row r="184">
      <c r="A184" s="1" t="s">
        <v>27</v>
      </c>
      <c r="B184" s="23">
        <v>1700000.0</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3" t="s">
        <v>1</v>
      </c>
      <c r="B186" s="5" t="s">
        <v>2</v>
      </c>
      <c r="C186" s="5" t="s">
        <v>3</v>
      </c>
      <c r="D186" s="5" t="s">
        <v>4</v>
      </c>
      <c r="E186" s="5" t="s">
        <v>5</v>
      </c>
      <c r="F186" s="26" t="s">
        <v>6</v>
      </c>
      <c r="G186" s="26" t="s">
        <v>7</v>
      </c>
      <c r="H186" s="26" t="s">
        <v>8</v>
      </c>
      <c r="I186" s="26" t="s">
        <v>9</v>
      </c>
      <c r="J186" s="2"/>
      <c r="K186" s="2"/>
      <c r="L186" s="2"/>
      <c r="M186" s="2"/>
      <c r="N186" s="2"/>
      <c r="O186" s="2"/>
      <c r="P186" s="2"/>
      <c r="Q186" s="2"/>
      <c r="R186" s="2"/>
      <c r="S186" s="2"/>
      <c r="T186" s="2"/>
      <c r="U186" s="2"/>
      <c r="V186" s="2"/>
      <c r="W186" s="2"/>
      <c r="X186" s="2"/>
      <c r="Y186" s="2"/>
      <c r="Z186" s="2"/>
      <c r="AA186" s="2"/>
      <c r="AB186" s="2"/>
    </row>
    <row r="187">
      <c r="A187" s="7" t="s">
        <v>10</v>
      </c>
      <c r="B187" s="8">
        <f>SUMIFS(ECOBANK!F:F,ECOBANK!A:A,"8/3/24")</f>
        <v>9743433.86</v>
      </c>
      <c r="C187" s="9">
        <f>COUNTIFS(ECOBANK!A:A,"8/3/24")</f>
        <v>15</v>
      </c>
      <c r="D187" s="10">
        <f>SUMIFS(ECOBANK!G:G,ECOBANK!A:A,"8/3/24")</f>
        <v>0</v>
      </c>
      <c r="E187" s="11">
        <f t="shared" ref="E187:E199" si="45">G187+H187</f>
        <v>0</v>
      </c>
      <c r="F187" s="12">
        <f t="shared" ref="F187:F199" si="46">iferror(D187/B187,0)</f>
        <v>0</v>
      </c>
      <c r="G187" s="9">
        <f>COUNTIFS(ECOBANK!I:I,$G$18,ECOBANK!A:A,"8/3/24")</f>
        <v>0</v>
      </c>
      <c r="H187" s="11">
        <f>COUNTIFS(ECOBANK!I:I,$H$18,ECOBANK!A:A,"8/3/24")</f>
        <v>0</v>
      </c>
      <c r="I187" s="11">
        <f>COUNTIFS(ECOBANK!I:I,$I$18,ECOBANK!A:A,"8/3/24")</f>
        <v>15</v>
      </c>
      <c r="J187" s="2"/>
      <c r="K187" s="2"/>
      <c r="L187" s="24"/>
      <c r="M187" s="24"/>
      <c r="N187" s="2"/>
      <c r="O187" s="2"/>
      <c r="P187" s="2"/>
      <c r="Q187" s="2"/>
      <c r="R187" s="2"/>
      <c r="S187" s="2"/>
      <c r="T187" s="2"/>
      <c r="U187" s="2"/>
      <c r="V187" s="2"/>
      <c r="W187" s="2"/>
      <c r="X187" s="2"/>
      <c r="Y187" s="2"/>
      <c r="Z187" s="2"/>
      <c r="AA187" s="2"/>
      <c r="AB187" s="2"/>
    </row>
    <row r="188">
      <c r="A188" s="7" t="s">
        <v>24</v>
      </c>
      <c r="B188" s="8">
        <f>SUMIFS('TRADE CENTER'!F:F,'TRADE CENTER'!A:A,"8/3/24")</f>
        <v>7666806.86</v>
      </c>
      <c r="C188" s="11">
        <f>COUNTIFS('TRADE CENTER'!A:A,"8/3/24")</f>
        <v>43</v>
      </c>
      <c r="D188" s="10">
        <f>SUMIFS('TRADE CENTER'!G:G,'TRADE CENTER'!A:A,"8/3/24")</f>
        <v>1170786</v>
      </c>
      <c r="E188" s="11">
        <f t="shared" si="45"/>
        <v>6</v>
      </c>
      <c r="F188" s="12">
        <f t="shared" si="46"/>
        <v>0.152708425</v>
      </c>
      <c r="G188" s="11">
        <f>COUNTIFS('TRADE CENTER'!I:I,$G$18,'TRADE CENTER'!A:A,"8/3/24")</f>
        <v>2</v>
      </c>
      <c r="H188" s="11">
        <f>COUNTIFS('TRADE CENTER'!I:I,$H$18,'TRADE CENTER'!A:A,"8/3/24")</f>
        <v>4</v>
      </c>
      <c r="I188" s="11">
        <f>COUNTIFS('TRADE CENTER'!I:I,$I$18,'TRADE CENTER'!A:A,"8/3/24")</f>
        <v>37</v>
      </c>
      <c r="J188" s="2"/>
      <c r="K188" s="2"/>
      <c r="L188" s="24"/>
      <c r="M188" s="24"/>
      <c r="N188" s="2"/>
      <c r="O188" s="2"/>
      <c r="P188" s="2"/>
      <c r="Q188" s="2"/>
      <c r="R188" s="2"/>
      <c r="S188" s="2"/>
      <c r="T188" s="2"/>
      <c r="U188" s="2"/>
      <c r="V188" s="2"/>
      <c r="W188" s="2"/>
      <c r="X188" s="2"/>
      <c r="Y188" s="2"/>
      <c r="Z188" s="2"/>
      <c r="AA188" s="2"/>
      <c r="AB188" s="2"/>
    </row>
    <row r="189">
      <c r="A189" s="7" t="s">
        <v>12</v>
      </c>
      <c r="B189" s="8">
        <f>SUMIFS(PENSION!F:F,PENSION!A:A,"8/3/2024")</f>
        <v>3932773.76</v>
      </c>
      <c r="C189" s="11">
        <f>COUNTIFS(PENSION!A:A,"8/3/24")</f>
        <v>30</v>
      </c>
      <c r="D189" s="10">
        <f>SUMIFS(PENSION!G:G,PENSION!A:A,"8/3/2024")</f>
        <v>1722709</v>
      </c>
      <c r="E189" s="11">
        <f t="shared" si="45"/>
        <v>4</v>
      </c>
      <c r="F189" s="12">
        <f t="shared" si="46"/>
        <v>0.4380391818</v>
      </c>
      <c r="G189" s="9">
        <f>COUNTIFS(PENSION!I:I,$G$18,PENSION!A:A,"8/3/24")</f>
        <v>0</v>
      </c>
      <c r="H189" s="11">
        <f>COUNTIFS(PENSION!I:I,$H$18,PENSION!A:A,"8/3/24")</f>
        <v>4</v>
      </c>
      <c r="I189" s="11">
        <f>COUNTIFS(PENSION!I:I,$I$18,PENSION!A:A,"8/3/24")</f>
        <v>26</v>
      </c>
      <c r="J189" s="2"/>
      <c r="K189" s="2"/>
      <c r="L189" s="24"/>
      <c r="M189" s="24"/>
      <c r="N189" s="2"/>
      <c r="O189" s="2"/>
      <c r="P189" s="2"/>
      <c r="Q189" s="2"/>
      <c r="R189" s="2"/>
      <c r="S189" s="2"/>
      <c r="T189" s="2"/>
      <c r="U189" s="2"/>
      <c r="V189" s="2"/>
      <c r="W189" s="2"/>
      <c r="X189" s="2"/>
      <c r="Y189" s="2"/>
      <c r="Z189" s="2"/>
      <c r="AA189" s="2"/>
      <c r="AB189" s="2"/>
    </row>
    <row r="190">
      <c r="A190" s="7" t="s">
        <v>13</v>
      </c>
      <c r="B190" s="8">
        <f>SUMIFS(KITENGELA!F:F,KITENGELA!A:A,"8/3/2024")</f>
        <v>2690594.71</v>
      </c>
      <c r="C190" s="11">
        <f>COUNTIFS(KITENGELA!A:A,"8/3/24")</f>
        <v>24</v>
      </c>
      <c r="D190" s="10">
        <f>SUMIFS(KITENGELA!G:G,KITENGELA!A:A,"8/3/24")</f>
        <v>429500</v>
      </c>
      <c r="E190" s="11">
        <f t="shared" si="45"/>
        <v>7</v>
      </c>
      <c r="F190" s="12">
        <f t="shared" si="46"/>
        <v>0.1596301362</v>
      </c>
      <c r="G190" s="11">
        <f>COUNTIFS(KITENGELA!I:I,$G$18,KITENGELA!A:A,"8/3/24")</f>
        <v>2</v>
      </c>
      <c r="H190" s="11">
        <f>COUNTIFS(KITENGELA!I:I,$H$18,KITENGELA!A:A,"8/3/24")</f>
        <v>5</v>
      </c>
      <c r="I190" s="11">
        <f>COUNTIFS(KITENGELA!I:I,$I$18,KITENGELA!A:A,"8/3/24")</f>
        <v>17</v>
      </c>
      <c r="J190" s="2"/>
      <c r="K190" s="2"/>
      <c r="L190" s="24"/>
      <c r="M190" s="24"/>
      <c r="N190" s="2"/>
      <c r="O190" s="2"/>
      <c r="P190" s="2"/>
      <c r="Q190" s="2"/>
      <c r="R190" s="2"/>
      <c r="S190" s="2"/>
      <c r="T190" s="2"/>
      <c r="U190" s="2"/>
      <c r="V190" s="2"/>
      <c r="W190" s="2"/>
      <c r="X190" s="2"/>
      <c r="Y190" s="2"/>
      <c r="Z190" s="2"/>
      <c r="AA190" s="2"/>
      <c r="AB190" s="2"/>
    </row>
    <row r="191">
      <c r="A191" s="7" t="s">
        <v>14</v>
      </c>
      <c r="B191" s="8">
        <f>SUMIFS(ELDORET!F:F,ELDORET!A:A,"8/3/24")</f>
        <v>458167</v>
      </c>
      <c r="C191" s="11">
        <f>COUNTIFS(ELDORET!A:A,"8/3/24")</f>
        <v>13</v>
      </c>
      <c r="D191" s="10">
        <f>SUMIFS(ELDORET!G:G,ELDORET!A:A,"8/3/24")</f>
        <v>6000</v>
      </c>
      <c r="E191" s="11">
        <f t="shared" si="45"/>
        <v>1</v>
      </c>
      <c r="F191" s="12">
        <f t="shared" si="46"/>
        <v>0.01309566163</v>
      </c>
      <c r="G191" s="11">
        <f>COUNTIFS(ELDORET!I:I,$G$18,ELDORET!A:A,"8/3/24")</f>
        <v>0</v>
      </c>
      <c r="H191" s="11">
        <f>COUNTIFS(ELDORET!I:I,$H$18,ELDORET!A:A,"8/3/24")</f>
        <v>1</v>
      </c>
      <c r="I191" s="11">
        <f>COUNTIFS(ELDORET!I:I,$I$18,ELDORET!A:A,"8/3/24")</f>
        <v>12</v>
      </c>
      <c r="J191" s="2"/>
      <c r="K191" s="2"/>
      <c r="L191" s="24"/>
      <c r="M191" s="24"/>
      <c r="N191" s="2"/>
      <c r="O191" s="2"/>
      <c r="P191" s="2"/>
      <c r="Q191" s="2"/>
      <c r="R191" s="2"/>
      <c r="S191" s="2"/>
      <c r="T191" s="2"/>
      <c r="U191" s="2"/>
      <c r="V191" s="2"/>
      <c r="W191" s="2"/>
      <c r="X191" s="2"/>
      <c r="Y191" s="2"/>
      <c r="Z191" s="2"/>
      <c r="AA191" s="2"/>
      <c r="AB191" s="2"/>
    </row>
    <row r="192">
      <c r="A192" s="7" t="s">
        <v>15</v>
      </c>
      <c r="B192" s="8">
        <f>SUMIFS(NAKURU!F:F,NAKURU!A:A,"8/3/24")</f>
        <v>612000</v>
      </c>
      <c r="C192" s="11">
        <f>COUNTIFS(NAKURU!A:A,"8/3/24")</f>
        <v>7</v>
      </c>
      <c r="D192" s="10">
        <f>SUMIFS(NAKURU!G:G,NAKURU!A:A,"8/3/24")</f>
        <v>25500</v>
      </c>
      <c r="E192" s="11">
        <f t="shared" si="45"/>
        <v>2</v>
      </c>
      <c r="F192" s="12">
        <f t="shared" si="46"/>
        <v>0.04166666667</v>
      </c>
      <c r="G192" s="9">
        <f>COUNTIFS(NAKURU!I:I,$G$18,NAKURU!A:A,"8/3/24")</f>
        <v>0</v>
      </c>
      <c r="H192" s="11">
        <f>COUNTIFS(NAKURU!I:I,$H$18,NAKURU!A:A,"8/3/24")</f>
        <v>2</v>
      </c>
      <c r="I192" s="11">
        <f>COUNTIFS(NAKURU!I:I,$I$18,NAKURU!A:A,"8/3/24")</f>
        <v>5</v>
      </c>
      <c r="J192" s="2"/>
      <c r="K192" s="2"/>
      <c r="L192" s="24"/>
      <c r="M192" s="24"/>
      <c r="N192" s="2"/>
      <c r="O192" s="2"/>
      <c r="P192" s="2"/>
      <c r="Q192" s="2"/>
      <c r="R192" s="2"/>
      <c r="S192" s="2"/>
      <c r="T192" s="2"/>
      <c r="U192" s="2"/>
      <c r="V192" s="2"/>
      <c r="W192" s="2"/>
      <c r="X192" s="2"/>
      <c r="Y192" s="2"/>
      <c r="Z192" s="2"/>
      <c r="AA192" s="2"/>
      <c r="AB192" s="2"/>
    </row>
    <row r="193">
      <c r="A193" s="7" t="s">
        <v>16</v>
      </c>
      <c r="B193" s="8">
        <f>SUMIFS(HOMABAY!F:F,HOMABAY!A:A,"8/3/24")</f>
        <v>75000</v>
      </c>
      <c r="C193" s="11">
        <f>COUNTIFS(HOMABAY!A:A,"8/3/24")</f>
        <v>3</v>
      </c>
      <c r="D193" s="10">
        <f>SUMIFS(HOMABAY!G:G,HOMABAY!A:A,"8/3/24")</f>
        <v>3000</v>
      </c>
      <c r="E193" s="11">
        <f t="shared" si="45"/>
        <v>1</v>
      </c>
      <c r="F193" s="12">
        <f t="shared" si="46"/>
        <v>0.04</v>
      </c>
      <c r="G193" s="9">
        <f>COUNTIFS(HOMABAY!K:K,$G$18,HOMABAY!A:A,"8/3/24")</f>
        <v>1</v>
      </c>
      <c r="H193" s="11">
        <f>COUNTIFS(HOMABAY!K:K,$H$18,HOMABAY!A:A,"8/3/24")</f>
        <v>0</v>
      </c>
      <c r="I193" s="11">
        <f>COUNTIFS(HOMABAY!K:K,$I$18,HOMABAY!A:A,"8/3/24")</f>
        <v>2</v>
      </c>
      <c r="J193" s="2"/>
      <c r="K193" s="2"/>
      <c r="L193" s="24"/>
      <c r="M193" s="24"/>
      <c r="N193" s="2"/>
      <c r="O193" s="2"/>
      <c r="P193" s="2"/>
      <c r="Q193" s="2"/>
      <c r="R193" s="2"/>
      <c r="S193" s="2"/>
      <c r="T193" s="2"/>
      <c r="U193" s="2"/>
      <c r="V193" s="2"/>
      <c r="W193" s="2"/>
      <c r="X193" s="2"/>
      <c r="Y193" s="2"/>
      <c r="Z193" s="2"/>
      <c r="AA193" s="2"/>
      <c r="AB193" s="2"/>
    </row>
    <row r="194">
      <c r="A194" s="7" t="s">
        <v>17</v>
      </c>
      <c r="B194" s="8">
        <f>SUMIFS(MOMBASA!F:F,MOMBASA!A:A,"8/3/24")</f>
        <v>1103628.64</v>
      </c>
      <c r="C194" s="11">
        <f>COUNTIFS(MOMBASA!A:A,"8/3/24")</f>
        <v>16</v>
      </c>
      <c r="D194" s="27">
        <f>SUMIFS(MOMBASA!G:G,MOMBASA!A:A,"8/3/24")</f>
        <v>157961</v>
      </c>
      <c r="E194" s="11">
        <f t="shared" si="45"/>
        <v>6</v>
      </c>
      <c r="F194" s="12">
        <f t="shared" si="46"/>
        <v>0.1431287611</v>
      </c>
      <c r="G194" s="9">
        <f>COUNTIFS(MOMBASA!I:I,$G$18,MOMBASA!A:A,"8/3/24")</f>
        <v>2</v>
      </c>
      <c r="H194" s="11">
        <f>COUNTIFS(MOMBASA!I:I,$H$18,MOMBASA!A:A,"8/3/24")</f>
        <v>4</v>
      </c>
      <c r="I194" s="11">
        <f>COUNTIFS(MOMBASA!I:I,$I$18,MOMBASA!A:A,"8/3/24")</f>
        <v>10</v>
      </c>
      <c r="J194" s="2"/>
      <c r="K194" s="2"/>
      <c r="L194" s="24"/>
      <c r="M194" s="24"/>
      <c r="N194" s="2"/>
      <c r="O194" s="2"/>
      <c r="P194" s="2"/>
      <c r="Q194" s="2"/>
      <c r="R194" s="2"/>
      <c r="S194" s="2"/>
      <c r="T194" s="2"/>
      <c r="U194" s="2"/>
      <c r="V194" s="2"/>
      <c r="W194" s="2"/>
      <c r="X194" s="2"/>
      <c r="Y194" s="2"/>
      <c r="Z194" s="2"/>
      <c r="AA194" s="2"/>
      <c r="AB194" s="2"/>
    </row>
    <row r="195">
      <c r="A195" s="7" t="s">
        <v>18</v>
      </c>
      <c r="B195" s="8">
        <f>SUMIFS(KISUMU!F:F,KISUMU!A:A,"8/3/24")</f>
        <v>1495260.08</v>
      </c>
      <c r="C195" s="11">
        <f>COUNTIFS(KISUMU!A:A,"8/3/24")</f>
        <v>19</v>
      </c>
      <c r="D195" s="10">
        <f>SUMIFS(KISUMU!G:G,KISUMU!A:A,"8/3/24")</f>
        <v>126500</v>
      </c>
      <c r="E195" s="11">
        <f t="shared" si="45"/>
        <v>1</v>
      </c>
      <c r="F195" s="12">
        <f t="shared" si="46"/>
        <v>0.08460066693</v>
      </c>
      <c r="G195" s="9">
        <f>COUNTIFS(KISUMU!I:I,$G$18,KISUMU!A:A,"8/3/24")</f>
        <v>0</v>
      </c>
      <c r="H195" s="11">
        <f>COUNTIFS(KISUMU!I:I,$H$18,KISUMU!A:A,"8/3/24")</f>
        <v>1</v>
      </c>
      <c r="I195" s="11">
        <f>COUNTIFS(KISUMU!I:I,$I$18,KISUMU!A:A,"8/3/24")</f>
        <v>18</v>
      </c>
      <c r="J195" s="2"/>
      <c r="K195" s="2"/>
      <c r="L195" s="24"/>
      <c r="M195" s="24"/>
      <c r="N195" s="2"/>
      <c r="O195" s="2"/>
      <c r="P195" s="2"/>
      <c r="Q195" s="2"/>
      <c r="R195" s="2"/>
      <c r="S195" s="2"/>
      <c r="T195" s="2"/>
      <c r="U195" s="2"/>
      <c r="V195" s="2"/>
      <c r="W195" s="2"/>
      <c r="X195" s="2"/>
      <c r="Y195" s="2"/>
      <c r="Z195" s="2"/>
      <c r="AA195" s="2"/>
      <c r="AB195" s="2"/>
    </row>
    <row r="196">
      <c r="A196" s="7" t="s">
        <v>19</v>
      </c>
      <c r="B196" s="8">
        <f>SUMIFS(VOI!F:F,VOI!A:A,"8/3/24")</f>
        <v>259717.97</v>
      </c>
      <c r="C196" s="11">
        <f>COUNTIFS(VOI!A:A,"8/3/24")</f>
        <v>10</v>
      </c>
      <c r="D196" s="10">
        <f>SUMIFS(VOI!G:G,VOI!A:A,"8/3/24")</f>
        <v>8000</v>
      </c>
      <c r="E196" s="11">
        <f t="shared" si="45"/>
        <v>2</v>
      </c>
      <c r="F196" s="12">
        <f t="shared" si="46"/>
        <v>0.03080264334</v>
      </c>
      <c r="G196" s="9">
        <f>COUNTIFS(VOI!H:H,$G$18,VOI!A:A,"8/3/24")</f>
        <v>2</v>
      </c>
      <c r="H196" s="11">
        <f>COUNTIFS(VOI!H:H,$H$18,VOI!A:A,"8/3/24")</f>
        <v>0</v>
      </c>
      <c r="I196" s="11">
        <f>COUNTIFS(VOI!H:H,$I$18,VOI!A:A,"8/3/24")</f>
        <v>8</v>
      </c>
      <c r="J196" s="2"/>
      <c r="K196" s="2"/>
      <c r="L196" s="24"/>
      <c r="M196" s="24"/>
      <c r="N196" s="2"/>
      <c r="O196" s="2"/>
      <c r="P196" s="2"/>
      <c r="Q196" s="2"/>
      <c r="R196" s="2"/>
      <c r="S196" s="2"/>
      <c r="T196" s="2"/>
      <c r="U196" s="2"/>
      <c r="V196" s="2"/>
      <c r="W196" s="2"/>
      <c r="X196" s="2"/>
      <c r="Y196" s="2"/>
      <c r="Z196" s="2"/>
      <c r="AA196" s="2"/>
      <c r="AB196" s="2"/>
    </row>
    <row r="197">
      <c r="A197" s="7" t="s">
        <v>20</v>
      </c>
      <c r="B197" s="8">
        <f>SUMIFS(THIKA!F:F,THIKA!A:A,"8/3/24")</f>
        <v>1017609.75</v>
      </c>
      <c r="C197" s="11">
        <f>COUNTIFS(THIKA!A:A,"8/3/24")</f>
        <v>12</v>
      </c>
      <c r="D197" s="10">
        <f>SUMIFS(THIKA!G:G,THIKA!A:A,"8/3/24")</f>
        <v>194425</v>
      </c>
      <c r="E197" s="11">
        <f t="shared" si="45"/>
        <v>2</v>
      </c>
      <c r="F197" s="12">
        <f t="shared" si="46"/>
        <v>0.1910604728</v>
      </c>
      <c r="G197" s="9">
        <f>COUNTIFS(THIKA!I:I,$G$18,THIKA!A:A,"8/3/24")</f>
        <v>1</v>
      </c>
      <c r="H197" s="11">
        <f>COUNTIFS(THIKA!I:I,$H$18,THIKA!A:A,"8/3/24")</f>
        <v>1</v>
      </c>
      <c r="I197" s="11">
        <f>COUNTIFS(THIKA!I:I,$I$18,THIKA!A:A,"8/3/24")</f>
        <v>10</v>
      </c>
      <c r="J197" s="2"/>
      <c r="K197" s="2"/>
      <c r="L197" s="24"/>
      <c r="M197" s="24"/>
      <c r="N197" s="2"/>
      <c r="O197" s="2"/>
      <c r="P197" s="2"/>
      <c r="Q197" s="2"/>
      <c r="R197" s="2"/>
      <c r="S197" s="2"/>
      <c r="T197" s="2"/>
      <c r="U197" s="2"/>
      <c r="V197" s="2"/>
      <c r="W197" s="2"/>
      <c r="X197" s="2"/>
      <c r="Y197" s="2"/>
      <c r="Z197" s="2"/>
      <c r="AA197" s="2"/>
      <c r="AB197" s="2"/>
    </row>
    <row r="198">
      <c r="A198" s="7" t="s">
        <v>21</v>
      </c>
      <c r="B198" s="8">
        <f>SUMIFS(KITUI!F:F,KITUI!A:A,"8/3/24")</f>
        <v>63000</v>
      </c>
      <c r="C198" s="11">
        <f>COUNTIFS(KITUI!A:A,"8/3/24")</f>
        <v>1</v>
      </c>
      <c r="D198" s="10">
        <f>SUMIFS(KITUI!G:G,KITUI!A:A,"8/3/24")</f>
        <v>0</v>
      </c>
      <c r="E198" s="11">
        <f t="shared" si="45"/>
        <v>0</v>
      </c>
      <c r="F198" s="12">
        <f t="shared" si="46"/>
        <v>0</v>
      </c>
      <c r="G198" s="9">
        <f>COUNTIFS(KITUI!I:I,$G$18,KITUI!A:A,"8/3/24")</f>
        <v>0</v>
      </c>
      <c r="H198" s="11">
        <f>COUNTIFS(KITUI!I:I,$H$18,KITUI!A:A,"8/3/24")</f>
        <v>0</v>
      </c>
      <c r="I198" s="11">
        <f>COUNTIFS(KITUI!I:I,$I$18,KITUI!A:A,"8/3/24")</f>
        <v>1</v>
      </c>
      <c r="J198" s="2"/>
      <c r="K198" s="2"/>
      <c r="L198" s="24"/>
      <c r="M198" s="24"/>
      <c r="N198" s="2"/>
      <c r="O198" s="2"/>
      <c r="P198" s="2"/>
      <c r="Q198" s="2"/>
      <c r="R198" s="2"/>
      <c r="S198" s="2"/>
      <c r="T198" s="2"/>
      <c r="U198" s="2"/>
      <c r="V198" s="2"/>
      <c r="W198" s="2"/>
      <c r="X198" s="2"/>
      <c r="Y198" s="2"/>
      <c r="Z198" s="2"/>
      <c r="AA198" s="2"/>
      <c r="AB198" s="2"/>
    </row>
    <row r="199">
      <c r="A199" s="15" t="s">
        <v>22</v>
      </c>
      <c r="B199" s="8">
        <f>SUMIFS(MACHAKOS!F:F,MACHAKOS!A:A,"8/3/24")</f>
        <v>178960</v>
      </c>
      <c r="C199" s="11">
        <f>COUNTIFS(MACHAKOS!A:A,"8/3/24")</f>
        <v>2</v>
      </c>
      <c r="D199" s="10">
        <f>SUMIFS(MACHAKOS!G:G,MACHAKOS!A:A,"8/3/24")</f>
        <v>0</v>
      </c>
      <c r="E199" s="11">
        <f t="shared" si="45"/>
        <v>0</v>
      </c>
      <c r="F199" s="12">
        <f t="shared" si="46"/>
        <v>0</v>
      </c>
      <c r="G199" s="9">
        <f>COUNTIFS(MACHAKOS!I:I,$G$18,MACHAKOS!A:A,"8/3/24")</f>
        <v>0</v>
      </c>
      <c r="H199" s="11">
        <f>COUNTIFS(MACHAKOS!I:I,$H$18,MACHAKOS!A:A,"8/3/24")</f>
        <v>0</v>
      </c>
      <c r="I199" s="11">
        <f>COUNTIFS(MACHAKOS!I:I,$I$18,MACHAKOS!A:A,"8/3/24")</f>
        <v>2</v>
      </c>
      <c r="J199" s="2"/>
      <c r="K199" s="2"/>
      <c r="L199" s="24"/>
      <c r="M199" s="24"/>
      <c r="N199" s="2"/>
      <c r="O199" s="2"/>
      <c r="P199" s="2"/>
      <c r="Q199" s="2"/>
      <c r="R199" s="2"/>
      <c r="S199" s="2"/>
      <c r="T199" s="2"/>
      <c r="U199" s="2"/>
      <c r="V199" s="2"/>
      <c r="W199" s="2"/>
      <c r="X199" s="2"/>
      <c r="Y199" s="2"/>
      <c r="Z199" s="2"/>
      <c r="AA199" s="2"/>
      <c r="AB199" s="2"/>
    </row>
    <row r="200">
      <c r="A200" s="16" t="s">
        <v>23</v>
      </c>
      <c r="B200" s="19">
        <f t="shared" ref="B200:E200" si="47">SUM(B187:B199)</f>
        <v>29296952.63</v>
      </c>
      <c r="C200" s="18">
        <f t="shared" si="47"/>
        <v>195</v>
      </c>
      <c r="D200" s="19">
        <f t="shared" si="47"/>
        <v>3844381</v>
      </c>
      <c r="E200" s="18">
        <f t="shared" si="47"/>
        <v>32</v>
      </c>
      <c r="F200" s="20">
        <f>D200/B200</f>
        <v>0.1312211904</v>
      </c>
      <c r="G200" s="21">
        <f t="shared" ref="G200:I200" si="48">SUM(G187:G199)</f>
        <v>10</v>
      </c>
      <c r="H200" s="21">
        <f t="shared" si="48"/>
        <v>22</v>
      </c>
      <c r="I200" s="21">
        <f t="shared" si="48"/>
        <v>163</v>
      </c>
      <c r="J200" s="2"/>
      <c r="K200" s="2"/>
      <c r="L200" s="2"/>
      <c r="M200" s="2"/>
      <c r="N200" s="2"/>
      <c r="O200" s="2"/>
      <c r="P200" s="2"/>
      <c r="Q200" s="2"/>
      <c r="R200" s="2"/>
      <c r="S200" s="2"/>
      <c r="T200" s="2"/>
      <c r="U200" s="2"/>
      <c r="V200" s="2"/>
      <c r="W200" s="2"/>
      <c r="X200" s="2"/>
      <c r="Y200" s="2"/>
      <c r="Z200" s="2"/>
      <c r="AA200" s="2"/>
      <c r="AB200" s="2"/>
    </row>
    <row r="201">
      <c r="A201" s="1" t="s">
        <v>27</v>
      </c>
      <c r="B201" s="23">
        <v>1700000.0</v>
      </c>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3" t="s">
        <v>1</v>
      </c>
      <c r="B203" s="5" t="s">
        <v>2</v>
      </c>
      <c r="C203" s="5" t="s">
        <v>3</v>
      </c>
      <c r="D203" s="5" t="s">
        <v>4</v>
      </c>
      <c r="E203" s="5" t="s">
        <v>5</v>
      </c>
      <c r="F203" s="26" t="s">
        <v>6</v>
      </c>
      <c r="G203" s="26" t="s">
        <v>7</v>
      </c>
      <c r="H203" s="26" t="s">
        <v>8</v>
      </c>
      <c r="I203" s="26" t="s">
        <v>9</v>
      </c>
      <c r="J203" s="2"/>
      <c r="K203" s="2"/>
      <c r="L203" s="2"/>
      <c r="M203" s="2"/>
      <c r="N203" s="2"/>
      <c r="O203" s="2"/>
      <c r="P203" s="2"/>
      <c r="Q203" s="2"/>
      <c r="R203" s="2"/>
      <c r="S203" s="2"/>
      <c r="T203" s="2"/>
      <c r="U203" s="2"/>
      <c r="V203" s="2"/>
      <c r="W203" s="2"/>
      <c r="X203" s="2"/>
      <c r="Y203" s="2"/>
      <c r="Z203" s="2"/>
      <c r="AA203" s="2"/>
      <c r="AB203" s="2"/>
    </row>
    <row r="204">
      <c r="A204" s="7" t="s">
        <v>10</v>
      </c>
      <c r="B204" s="8">
        <f>SUMIFS(ECOBANK!F:F,ECOBANK!A:A,"8/5/24")</f>
        <v>7339677.57</v>
      </c>
      <c r="C204" s="9">
        <f>COUNTIFS(ECOBANK!A:A,"8/5/24")</f>
        <v>22</v>
      </c>
      <c r="D204" s="10">
        <f>SUMIFS(ECOBANK!G:G,ECOBANK!A:A,"8/5/24")</f>
        <v>762425</v>
      </c>
      <c r="E204" s="11">
        <f t="shared" ref="E204:E216" si="49">G204+H204</f>
        <v>5</v>
      </c>
      <c r="F204" s="12">
        <f t="shared" ref="F204:F216" si="50">iferror(D204/B204,0)</f>
        <v>0.1038771789</v>
      </c>
      <c r="G204" s="9">
        <f>COUNTIFS(ECOBANK!I:I,$G$18,ECOBANK!A:A,"8/5/24")</f>
        <v>2</v>
      </c>
      <c r="H204" s="11">
        <f>COUNTIFS(ECOBANK!I:I,$H$18,ECOBANK!A:A,"8/5/24")</f>
        <v>3</v>
      </c>
      <c r="I204" s="11">
        <f>COUNTIFS(ECOBANK!I:I,$I$18,ECOBANK!A:A,"8/5/24")</f>
        <v>17</v>
      </c>
      <c r="J204" s="2"/>
      <c r="K204" s="2"/>
      <c r="L204" s="2"/>
      <c r="M204" s="2"/>
      <c r="N204" s="2"/>
      <c r="O204" s="2"/>
      <c r="P204" s="2"/>
      <c r="Q204" s="2"/>
      <c r="R204" s="2"/>
      <c r="S204" s="2"/>
      <c r="T204" s="2"/>
      <c r="U204" s="2"/>
      <c r="V204" s="2"/>
      <c r="W204" s="2"/>
      <c r="X204" s="2"/>
      <c r="Y204" s="2"/>
      <c r="Z204" s="2"/>
      <c r="AA204" s="2"/>
      <c r="AB204" s="2"/>
    </row>
    <row r="205">
      <c r="A205" s="7" t="s">
        <v>24</v>
      </c>
      <c r="B205" s="8">
        <f>SUMIFS('TRADE CENTER'!F:F,'TRADE CENTER'!A:A,"8/5/24")</f>
        <v>7212491.1</v>
      </c>
      <c r="C205" s="11">
        <f>COUNTIFS('TRADE CENTER'!A:A,"8/5/24")</f>
        <v>43</v>
      </c>
      <c r="D205" s="10">
        <f>SUMIFS('TRADE CENTER'!G:G,'TRADE CENTER'!A:A,"8/5/24")</f>
        <v>1125235</v>
      </c>
      <c r="E205" s="11">
        <f t="shared" si="49"/>
        <v>9</v>
      </c>
      <c r="F205" s="12">
        <f t="shared" si="50"/>
        <v>0.1560119776</v>
      </c>
      <c r="G205" s="11">
        <f>COUNTIFS('TRADE CENTER'!I:I,$G$18,'TRADE CENTER'!A:A,"8/5/24")</f>
        <v>3</v>
      </c>
      <c r="H205" s="11">
        <f>COUNTIFS('TRADE CENTER'!I:I,$H$18,'TRADE CENTER'!A:A,"8/5/24")</f>
        <v>6</v>
      </c>
      <c r="I205" s="11">
        <f>COUNTIFS('TRADE CENTER'!I:I,$I$18,'TRADE CENTER'!A:A,"8/5/24")</f>
        <v>34</v>
      </c>
      <c r="J205" s="2"/>
      <c r="K205" s="2"/>
      <c r="L205" s="2"/>
      <c r="M205" s="2"/>
      <c r="N205" s="2"/>
      <c r="O205" s="2"/>
      <c r="P205" s="2"/>
      <c r="Q205" s="2"/>
      <c r="R205" s="2"/>
      <c r="S205" s="2"/>
      <c r="T205" s="2"/>
      <c r="U205" s="2"/>
      <c r="V205" s="2"/>
      <c r="W205" s="2"/>
      <c r="X205" s="2"/>
      <c r="Y205" s="2"/>
      <c r="Z205" s="2"/>
      <c r="AA205" s="2"/>
      <c r="AB205" s="2"/>
    </row>
    <row r="206">
      <c r="A206" s="7" t="s">
        <v>12</v>
      </c>
      <c r="B206" s="8">
        <f>SUMIFS(PENSION!F:F,PENSION!A:A,"8/5/2024")</f>
        <v>8983803.08</v>
      </c>
      <c r="C206" s="11">
        <f>COUNTIFS(PENSION!A:A,"8/5/24")</f>
        <v>54</v>
      </c>
      <c r="D206" s="10">
        <f>SUMIFS(PENSION!G:G,PENSION!A:A,"8/5/2024")</f>
        <v>1668297</v>
      </c>
      <c r="E206" s="11">
        <f t="shared" si="49"/>
        <v>13</v>
      </c>
      <c r="F206" s="12">
        <f t="shared" si="50"/>
        <v>0.1857005307</v>
      </c>
      <c r="G206" s="9">
        <f>COUNTIFS(PENSION!I:I,$G$18,PENSION!A:A,"8/5/24")</f>
        <v>1</v>
      </c>
      <c r="H206" s="11">
        <f>COUNTIFS(PENSION!I:I,$H$18,PENSION!A:A,"8/5/24")</f>
        <v>12</v>
      </c>
      <c r="I206" s="11">
        <f>COUNTIFS(PENSION!I:I,$I$18,PENSION!A:A,"8/5/24")</f>
        <v>41</v>
      </c>
      <c r="J206" s="2"/>
      <c r="K206" s="24">
        <f>B206-D206</f>
        <v>7315506.08</v>
      </c>
      <c r="L206" s="2"/>
      <c r="M206" s="2"/>
      <c r="N206" s="2"/>
      <c r="O206" s="2"/>
      <c r="P206" s="2"/>
      <c r="Q206" s="2"/>
      <c r="R206" s="2"/>
      <c r="S206" s="2"/>
      <c r="T206" s="2"/>
      <c r="U206" s="2"/>
      <c r="V206" s="2"/>
      <c r="W206" s="2"/>
      <c r="X206" s="2"/>
      <c r="Y206" s="2"/>
      <c r="Z206" s="2"/>
      <c r="AA206" s="2"/>
      <c r="AB206" s="2"/>
    </row>
    <row r="207">
      <c r="A207" s="7" t="s">
        <v>13</v>
      </c>
      <c r="B207" s="8">
        <f>SUMIFS(KITENGELA!F:F,KITENGELA!A:A,"8/5/2024")</f>
        <v>5274444.42</v>
      </c>
      <c r="C207" s="11">
        <f>COUNTIFS(KITENGELA!A:A,"8/5/24")</f>
        <v>44</v>
      </c>
      <c r="D207" s="10">
        <f>SUMIFS(KITENGELA!G:G,KITENGELA!A:A,"8/5/24")</f>
        <v>1798683</v>
      </c>
      <c r="E207" s="11">
        <f t="shared" si="49"/>
        <v>8</v>
      </c>
      <c r="F207" s="12">
        <f t="shared" si="50"/>
        <v>0.3410184764</v>
      </c>
      <c r="G207" s="11">
        <f>COUNTIFS(KITENGELA!I:I,$G$18,KITENGELA!A:A,"8/5/24")</f>
        <v>4</v>
      </c>
      <c r="H207" s="11">
        <f>COUNTIFS(KITENGELA!I:I,$H$18,KITENGELA!A:A,"8/5/24")</f>
        <v>4</v>
      </c>
      <c r="I207" s="11">
        <f>COUNTIFS(KITENGELA!I:I,$I$18,KITENGELA!A:A,"8/5/24")</f>
        <v>36</v>
      </c>
      <c r="J207" s="2"/>
      <c r="K207" s="2"/>
      <c r="L207" s="2"/>
      <c r="M207" s="2"/>
      <c r="N207" s="2"/>
      <c r="O207" s="2"/>
      <c r="P207" s="2"/>
      <c r="Q207" s="2"/>
      <c r="R207" s="2"/>
      <c r="S207" s="2"/>
      <c r="T207" s="2"/>
      <c r="U207" s="2"/>
      <c r="V207" s="2"/>
      <c r="W207" s="2"/>
      <c r="X207" s="2"/>
      <c r="Y207" s="2"/>
      <c r="Z207" s="2"/>
      <c r="AA207" s="2"/>
      <c r="AB207" s="2"/>
    </row>
    <row r="208">
      <c r="A208" s="7" t="s">
        <v>14</v>
      </c>
      <c r="B208" s="8">
        <f>SUMIFS(ELDORET!F:F,ELDORET!A:A,"8/5/24")</f>
        <v>1057026</v>
      </c>
      <c r="C208" s="11">
        <f>COUNTIFS(ELDORET!A:A,"8/5/24")</f>
        <v>19</v>
      </c>
      <c r="D208" s="10">
        <f>SUMIFS(ELDORET!G:G,ELDORET!A:A,"8/5/24")</f>
        <v>67200</v>
      </c>
      <c r="E208" s="11">
        <f t="shared" si="49"/>
        <v>3</v>
      </c>
      <c r="F208" s="12">
        <f t="shared" si="50"/>
        <v>0.06357459514</v>
      </c>
      <c r="G208" s="11">
        <f>COUNTIFS(ELDORET!I:I,$G$18,ELDORET!A:A,"8/5/24")</f>
        <v>1</v>
      </c>
      <c r="H208" s="11">
        <f>COUNTIFS(ELDORET!I:I,$H$18,ELDORET!A:A,"8/5/24")</f>
        <v>2</v>
      </c>
      <c r="I208" s="11">
        <f>COUNTIFS(ELDORET!I:I,$I$18,ELDORET!A:A,"8/5/24")</f>
        <v>16</v>
      </c>
      <c r="J208" s="2"/>
      <c r="K208" s="2"/>
      <c r="L208" s="2"/>
      <c r="M208" s="2"/>
      <c r="N208" s="2"/>
      <c r="O208" s="2"/>
      <c r="P208" s="2"/>
      <c r="Q208" s="2"/>
      <c r="R208" s="2"/>
      <c r="S208" s="2"/>
      <c r="T208" s="2"/>
      <c r="U208" s="2"/>
      <c r="V208" s="2"/>
      <c r="W208" s="2"/>
      <c r="X208" s="2"/>
      <c r="Y208" s="2"/>
      <c r="Z208" s="2"/>
      <c r="AA208" s="2"/>
      <c r="AB208" s="2"/>
    </row>
    <row r="209">
      <c r="A209" s="7" t="s">
        <v>15</v>
      </c>
      <c r="B209" s="8">
        <f>SUMIFS(NAKURU!F:F,NAKURU!A:A,"8/5/24")</f>
        <v>632000</v>
      </c>
      <c r="C209" s="11">
        <f>COUNTIFS(NAKURU!A:A,"8/5/24")</f>
        <v>7</v>
      </c>
      <c r="D209" s="10">
        <f>SUMIFS(NAKURU!G:G,NAKURU!A:A,"8/5/24")</f>
        <v>130000</v>
      </c>
      <c r="E209" s="11">
        <f t="shared" si="49"/>
        <v>2</v>
      </c>
      <c r="F209" s="12">
        <f t="shared" si="50"/>
        <v>0.2056962025</v>
      </c>
      <c r="G209" s="9">
        <f>COUNTIFS(NAKURU!I:I,$G$18,NAKURU!A:A,"8/5/24")</f>
        <v>1</v>
      </c>
      <c r="H209" s="11">
        <f>COUNTIFS(NAKURU!I:I,$H$18,NAKURU!A:A,"8/5/24")</f>
        <v>1</v>
      </c>
      <c r="I209" s="11">
        <f>COUNTIFS(NAKURU!I:I,$I$18,NAKURU!A:A,"8/5/24")</f>
        <v>5</v>
      </c>
      <c r="J209" s="2"/>
      <c r="K209" s="2"/>
      <c r="L209" s="2"/>
      <c r="M209" s="2"/>
      <c r="N209" s="2"/>
      <c r="O209" s="2"/>
      <c r="P209" s="2"/>
      <c r="Q209" s="2"/>
      <c r="R209" s="2"/>
      <c r="S209" s="2"/>
      <c r="T209" s="2"/>
      <c r="U209" s="2"/>
      <c r="V209" s="2"/>
      <c r="W209" s="2"/>
      <c r="X209" s="2"/>
      <c r="Y209" s="2"/>
      <c r="Z209" s="2"/>
      <c r="AA209" s="2"/>
      <c r="AB209" s="2"/>
    </row>
    <row r="210">
      <c r="A210" s="7" t="s">
        <v>16</v>
      </c>
      <c r="B210" s="8">
        <f>SUMIFS(HOMABAY!F:F,HOMABAY!A:A,"8/5/24")</f>
        <v>163734</v>
      </c>
      <c r="C210" s="11">
        <f>COUNTIFS(HOMABAY!A:A,"8/5/24")</f>
        <v>3</v>
      </c>
      <c r="D210" s="10">
        <f>SUMIFS(HOMABAY!G:G,HOMABAY!A:A,"8/5/24")</f>
        <v>57700</v>
      </c>
      <c r="E210" s="11">
        <f t="shared" si="49"/>
        <v>1</v>
      </c>
      <c r="F210" s="12">
        <f t="shared" si="50"/>
        <v>0.3524008453</v>
      </c>
      <c r="G210" s="9">
        <f>COUNTIFS(HOMABAY!K:K,$G$18,HOMABAY!A:A,"8/5/24")</f>
        <v>0</v>
      </c>
      <c r="H210" s="11">
        <f>COUNTIFS(HOMABAY!K:K,$H$18,HOMABAY!A:A,"8/5/24")</f>
        <v>1</v>
      </c>
      <c r="I210" s="11">
        <f>COUNTIFS(HOMABAY!K:K,$I$18,HOMABAY!A:A,"8/5/24")</f>
        <v>2</v>
      </c>
      <c r="J210" s="2"/>
      <c r="K210" s="2"/>
      <c r="L210" s="2"/>
      <c r="M210" s="2"/>
      <c r="N210" s="2"/>
      <c r="O210" s="2"/>
      <c r="P210" s="2"/>
      <c r="Q210" s="2"/>
      <c r="R210" s="2"/>
      <c r="S210" s="2"/>
      <c r="T210" s="2"/>
      <c r="U210" s="2"/>
      <c r="V210" s="2"/>
      <c r="W210" s="2"/>
      <c r="X210" s="2"/>
      <c r="Y210" s="2"/>
      <c r="Z210" s="2"/>
      <c r="AA210" s="2"/>
      <c r="AB210" s="2"/>
    </row>
    <row r="211">
      <c r="A211" s="7" t="s">
        <v>17</v>
      </c>
      <c r="B211" s="8">
        <f>SUMIFS(MOMBASA!F:F,MOMBASA!A:A,"8/5/24")</f>
        <v>1761821.37</v>
      </c>
      <c r="C211" s="11">
        <f>COUNTIFS(MOMBASA!A:A,"8/5/24")</f>
        <v>20</v>
      </c>
      <c r="D211" s="27">
        <f>SUMIFS(MOMBASA!G:G,MOMBASA!A:A,"8/5/24")</f>
        <v>427040</v>
      </c>
      <c r="E211" s="11">
        <f t="shared" si="49"/>
        <v>6</v>
      </c>
      <c r="F211" s="12">
        <f t="shared" si="50"/>
        <v>0.2423855263</v>
      </c>
      <c r="G211" s="9">
        <f>COUNTIFS(MOMBASA!I:I,$G$18,MOMBASA!A:A,"8/5/24")</f>
        <v>2</v>
      </c>
      <c r="H211" s="11">
        <f>COUNTIFS(MOMBASA!I:I,$H$18,MOMBASA!A:A,"8/5/24")</f>
        <v>4</v>
      </c>
      <c r="I211" s="11">
        <f>COUNTIFS(MOMBASA!I:I,$I$18,MOMBASA!A:A,"8/5/24")</f>
        <v>14</v>
      </c>
      <c r="J211" s="2"/>
      <c r="K211" s="24">
        <f>B211-D211</f>
        <v>1334781.37</v>
      </c>
      <c r="L211" s="2"/>
      <c r="M211" s="2"/>
      <c r="N211" s="2"/>
      <c r="O211" s="2"/>
      <c r="P211" s="2"/>
      <c r="Q211" s="2"/>
      <c r="R211" s="2"/>
      <c r="S211" s="2"/>
      <c r="T211" s="2"/>
      <c r="U211" s="2"/>
      <c r="V211" s="2"/>
      <c r="W211" s="2"/>
      <c r="X211" s="2"/>
      <c r="Y211" s="2"/>
      <c r="Z211" s="2"/>
      <c r="AA211" s="2"/>
      <c r="AB211" s="2"/>
    </row>
    <row r="212">
      <c r="A212" s="7" t="s">
        <v>18</v>
      </c>
      <c r="B212" s="8">
        <f>SUMIFS(KISUMU!F:F,KISUMU!A:A,"8/5/24")</f>
        <v>1916677.05</v>
      </c>
      <c r="C212" s="11">
        <f>COUNTIFS(KISUMU!A:A,"8/5/24")</f>
        <v>27</v>
      </c>
      <c r="D212" s="10">
        <f>SUMIFS(KISUMU!G:G,KISUMU!A:A,"8/5/24")</f>
        <v>419882</v>
      </c>
      <c r="E212" s="11">
        <f t="shared" si="49"/>
        <v>10</v>
      </c>
      <c r="F212" s="12">
        <f t="shared" si="50"/>
        <v>0.2190676828</v>
      </c>
      <c r="G212" s="9">
        <f>COUNTIFS(KISUMU!I:I,$G$18,KISUMU!A:A,"8/5/24")</f>
        <v>7</v>
      </c>
      <c r="H212" s="11">
        <f>COUNTIFS(KISUMU!I:I,$H$18,KISUMU!A:A,"8/5/24")</f>
        <v>3</v>
      </c>
      <c r="I212" s="11">
        <f>COUNTIFS(KISUMU!I:I,$I$18,KISUMU!A:A,"8/5/24")</f>
        <v>17</v>
      </c>
      <c r="J212" s="2"/>
      <c r="K212" s="2"/>
      <c r="L212" s="2"/>
      <c r="M212" s="2"/>
      <c r="N212" s="2"/>
      <c r="O212" s="2"/>
      <c r="P212" s="2"/>
      <c r="Q212" s="2"/>
      <c r="R212" s="2"/>
      <c r="S212" s="2"/>
      <c r="T212" s="2"/>
      <c r="U212" s="2"/>
      <c r="V212" s="2"/>
      <c r="W212" s="2"/>
      <c r="X212" s="2"/>
      <c r="Y212" s="2"/>
      <c r="Z212" s="2"/>
      <c r="AA212" s="2"/>
      <c r="AB212" s="2"/>
    </row>
    <row r="213">
      <c r="A213" s="7" t="s">
        <v>19</v>
      </c>
      <c r="B213" s="8">
        <f>SUMIFS(VOI!F:F,VOI!A:A,"8/5/24")</f>
        <v>272340.97</v>
      </c>
      <c r="C213" s="11">
        <f>COUNTIFS(VOI!A:A,"8/5/24")</f>
        <v>11</v>
      </c>
      <c r="D213" s="10">
        <f>SUMIFS(VOI!G:G,VOI!A:A,"8/5/24")</f>
        <v>18000</v>
      </c>
      <c r="E213" s="11">
        <f t="shared" si="49"/>
        <v>1</v>
      </c>
      <c r="F213" s="12">
        <f t="shared" si="50"/>
        <v>0.06609361786</v>
      </c>
      <c r="G213" s="9">
        <f>COUNTIFS(VOI!H:H,$G$18,VOI!A:A,"8/5/24")</f>
        <v>0</v>
      </c>
      <c r="H213" s="11">
        <f>COUNTIFS(VOI!H:H,$H$18,VOI!A:A,"8/5/24")</f>
        <v>1</v>
      </c>
      <c r="I213" s="11">
        <f>COUNTIFS(VOI!H:H,$I$18,VOI!A:A,"8/5/24")</f>
        <v>10</v>
      </c>
      <c r="J213" s="2"/>
      <c r="K213" s="2"/>
      <c r="L213" s="2"/>
      <c r="M213" s="2"/>
      <c r="N213" s="2"/>
      <c r="O213" s="2"/>
      <c r="P213" s="2"/>
      <c r="Q213" s="2"/>
      <c r="R213" s="2"/>
      <c r="S213" s="2"/>
      <c r="T213" s="2"/>
      <c r="U213" s="2"/>
      <c r="V213" s="2"/>
      <c r="W213" s="2"/>
      <c r="X213" s="2"/>
      <c r="Y213" s="2"/>
      <c r="Z213" s="2"/>
      <c r="AA213" s="2"/>
      <c r="AB213" s="2"/>
    </row>
    <row r="214">
      <c r="A214" s="7" t="s">
        <v>20</v>
      </c>
      <c r="B214" s="8">
        <f>SUMIFS(THIKA!F:F,THIKA!A:A,"8/5/24")</f>
        <v>1308146</v>
      </c>
      <c r="C214" s="11">
        <f>COUNTIFS(THIKA!A:A,"8/5/24")</f>
        <v>22</v>
      </c>
      <c r="D214" s="10">
        <f>SUMIFS(THIKA!G:G,THIKA!A:A,"8/5/24")</f>
        <v>74879</v>
      </c>
      <c r="E214" s="11">
        <f t="shared" si="49"/>
        <v>5</v>
      </c>
      <c r="F214" s="12">
        <f t="shared" si="50"/>
        <v>0.05724055266</v>
      </c>
      <c r="G214" s="9">
        <f>COUNTIFS(THIKA!I:I,$G$18,THIKA!A:A,"8/5/24")</f>
        <v>0</v>
      </c>
      <c r="H214" s="11">
        <f>COUNTIFS(THIKA!I:I,$H$18,THIKA!A:A,"8/5/24")</f>
        <v>5</v>
      </c>
      <c r="I214" s="11">
        <f>COUNTIFS(THIKA!I:I,$I$18,THIKA!A:A,"8/5/24")</f>
        <v>17</v>
      </c>
      <c r="J214" s="2"/>
      <c r="K214" s="24">
        <f>B214-D214</f>
        <v>1233267</v>
      </c>
      <c r="L214" s="2"/>
      <c r="M214" s="2"/>
      <c r="N214" s="2"/>
      <c r="O214" s="2"/>
      <c r="P214" s="2"/>
      <c r="Q214" s="2"/>
      <c r="R214" s="2"/>
      <c r="S214" s="2"/>
      <c r="T214" s="2"/>
      <c r="U214" s="2"/>
      <c r="V214" s="2"/>
      <c r="W214" s="2"/>
      <c r="X214" s="2"/>
      <c r="Y214" s="2"/>
      <c r="Z214" s="2"/>
      <c r="AA214" s="2"/>
      <c r="AB214" s="2"/>
    </row>
    <row r="215">
      <c r="A215" s="7" t="s">
        <v>21</v>
      </c>
      <c r="B215" s="8">
        <f>SUMIFS(KITUI!F:F,KITUI!A:A,"8/5/24")</f>
        <v>63000</v>
      </c>
      <c r="C215" s="11">
        <f>COUNTIFS(KITUI!A:A,"8/5/24")</f>
        <v>1</v>
      </c>
      <c r="D215" s="10">
        <f>SUMIFS(KITUI!G:G,KITUI!A:A,"8/5/24")</f>
        <v>67000</v>
      </c>
      <c r="E215" s="11">
        <f t="shared" si="49"/>
        <v>1</v>
      </c>
      <c r="F215" s="12">
        <f t="shared" si="50"/>
        <v>1.063492063</v>
      </c>
      <c r="G215" s="9">
        <f>COUNTIFS(KITUI!I:I,$G$18,KITUI!A:A,"8/5/24")</f>
        <v>0</v>
      </c>
      <c r="H215" s="11">
        <f>COUNTIFS(KITUI!I:I,$H$18,KITUI!A:A,"8/5/24")</f>
        <v>1</v>
      </c>
      <c r="I215" s="11">
        <f>COUNTIFS(KITUI!I:I,$I$18,KITUI!A:A,"8/5/24")</f>
        <v>0</v>
      </c>
      <c r="J215" s="2"/>
      <c r="K215" s="2"/>
      <c r="L215" s="2"/>
      <c r="M215" s="2"/>
      <c r="N215" s="2"/>
      <c r="O215" s="2"/>
      <c r="P215" s="2"/>
      <c r="Q215" s="2"/>
      <c r="R215" s="2"/>
      <c r="S215" s="2"/>
      <c r="T215" s="2"/>
      <c r="U215" s="2"/>
      <c r="V215" s="2"/>
      <c r="W215" s="2"/>
      <c r="X215" s="2"/>
      <c r="Y215" s="2"/>
      <c r="Z215" s="2"/>
      <c r="AA215" s="2"/>
      <c r="AB215" s="2"/>
    </row>
    <row r="216">
      <c r="A216" s="15" t="s">
        <v>22</v>
      </c>
      <c r="B216" s="8">
        <f>SUMIFS(MACHAKOS!F:F,MACHAKOS!A:A,"8/5/24")</f>
        <v>178960</v>
      </c>
      <c r="C216" s="11">
        <f>COUNTIFS(MACHAKOS!A:A,"8/5/24")</f>
        <v>2</v>
      </c>
      <c r="D216" s="10">
        <f>SUMIFS(MACHAKOS!G:G,MACHAKOS!A:A,"8/5/24")</f>
        <v>0</v>
      </c>
      <c r="E216" s="11">
        <f t="shared" si="49"/>
        <v>0</v>
      </c>
      <c r="F216" s="12">
        <f t="shared" si="50"/>
        <v>0</v>
      </c>
      <c r="G216" s="9">
        <f>COUNTIFS(MACHAKOS!I:I,$G$18,MACHAKOS!A:A,"8/5/24")</f>
        <v>0</v>
      </c>
      <c r="H216" s="11">
        <f>COUNTIFS(MACHAKOS!I:I,$H$18,MACHAKOS!A:A,"8/5/24")</f>
        <v>0</v>
      </c>
      <c r="I216" s="11">
        <f>COUNTIFS(MACHAKOS!I:I,$I$18,MACHAKOS!A:A,"8/5/24")</f>
        <v>2</v>
      </c>
      <c r="J216" s="2"/>
      <c r="K216" s="2"/>
      <c r="L216" s="2"/>
      <c r="M216" s="2"/>
      <c r="N216" s="2"/>
      <c r="O216" s="2"/>
      <c r="P216" s="2"/>
      <c r="Q216" s="2"/>
      <c r="R216" s="2"/>
      <c r="S216" s="2"/>
      <c r="T216" s="2"/>
      <c r="U216" s="2"/>
      <c r="V216" s="2"/>
      <c r="W216" s="2"/>
      <c r="X216" s="2"/>
      <c r="Y216" s="2"/>
      <c r="Z216" s="2"/>
      <c r="AA216" s="2"/>
      <c r="AB216" s="2"/>
    </row>
    <row r="217">
      <c r="A217" s="16" t="s">
        <v>23</v>
      </c>
      <c r="B217" s="19">
        <f t="shared" ref="B217:E217" si="51">SUM(B204:B216)</f>
        <v>36164121.56</v>
      </c>
      <c r="C217" s="18">
        <f t="shared" si="51"/>
        <v>275</v>
      </c>
      <c r="D217" s="19">
        <f t="shared" si="51"/>
        <v>6616341</v>
      </c>
      <c r="E217" s="18">
        <f t="shared" si="51"/>
        <v>64</v>
      </c>
      <c r="F217" s="20">
        <f>D217/B217</f>
        <v>0.1829531789</v>
      </c>
      <c r="G217" s="21">
        <f t="shared" ref="G217:I217" si="52">SUM(G204:G216)</f>
        <v>21</v>
      </c>
      <c r="H217" s="21">
        <f t="shared" si="52"/>
        <v>43</v>
      </c>
      <c r="I217" s="21">
        <f t="shared" si="52"/>
        <v>211</v>
      </c>
      <c r="J217" s="2"/>
      <c r="K217" s="2"/>
      <c r="L217" s="2"/>
      <c r="M217" s="2"/>
      <c r="N217" s="2"/>
      <c r="O217" s="2"/>
      <c r="P217" s="2"/>
      <c r="Q217" s="2"/>
      <c r="R217" s="2"/>
      <c r="S217" s="2"/>
      <c r="T217" s="2"/>
      <c r="U217" s="2"/>
      <c r="V217" s="2"/>
      <c r="W217" s="2"/>
      <c r="X217" s="2"/>
      <c r="Y217" s="2"/>
      <c r="Z217" s="2"/>
      <c r="AA217" s="2"/>
      <c r="AB217" s="2"/>
    </row>
    <row r="218">
      <c r="A218" s="1" t="s">
        <v>27</v>
      </c>
      <c r="B218" s="23">
        <v>2100000.0</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1" t="s">
        <v>29</v>
      </c>
      <c r="B219" s="23">
        <v>2685000.0</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3" t="s">
        <v>1</v>
      </c>
      <c r="B221" s="5" t="s">
        <v>2</v>
      </c>
      <c r="C221" s="5" t="s">
        <v>3</v>
      </c>
      <c r="D221" s="5" t="s">
        <v>4</v>
      </c>
      <c r="E221" s="5" t="s">
        <v>5</v>
      </c>
      <c r="F221" s="26" t="s">
        <v>6</v>
      </c>
      <c r="G221" s="26" t="s">
        <v>7</v>
      </c>
      <c r="H221" s="26" t="s">
        <v>8</v>
      </c>
      <c r="I221" s="26" t="s">
        <v>9</v>
      </c>
      <c r="J221" s="2"/>
      <c r="K221" s="2"/>
      <c r="L221" s="2"/>
      <c r="M221" s="2"/>
      <c r="N221" s="2"/>
      <c r="O221" s="2"/>
      <c r="P221" s="2"/>
      <c r="Q221" s="2"/>
      <c r="R221" s="2"/>
      <c r="S221" s="2"/>
      <c r="T221" s="2"/>
      <c r="U221" s="2"/>
      <c r="V221" s="2"/>
      <c r="W221" s="2"/>
      <c r="X221" s="2"/>
      <c r="Y221" s="2"/>
      <c r="Z221" s="2"/>
      <c r="AA221" s="2"/>
      <c r="AB221" s="2"/>
    </row>
    <row r="222">
      <c r="A222" s="7" t="s">
        <v>10</v>
      </c>
      <c r="B222" s="8">
        <f>SUMIFS(ECOBANK!F:F,ECOBANK!A:A,"8/6/24")</f>
        <v>7714710.07</v>
      </c>
      <c r="C222" s="9">
        <f>COUNTIFS(ECOBANK!A:A,"8/6/24")</f>
        <v>20</v>
      </c>
      <c r="D222" s="10">
        <f>SUMIFS(ECOBANK!G:G,ECOBANK!A:A,"8/6/24")</f>
        <v>706000</v>
      </c>
      <c r="E222" s="11">
        <f t="shared" ref="E222:E234" si="53">G222+H222</f>
        <v>4</v>
      </c>
      <c r="F222" s="12">
        <f t="shared" ref="F222:F234" si="54">iferror(D222/B222,0)</f>
        <v>0.09151348445</v>
      </c>
      <c r="G222" s="9">
        <f>COUNTIFS(ECOBANK!I:I,$G$18,ECOBANK!A:A,"8/6/24")</f>
        <v>3</v>
      </c>
      <c r="H222" s="11">
        <f>COUNTIFS(ECOBANK!I:I,$H$18,ECOBANK!A:A,"8/6/24")</f>
        <v>1</v>
      </c>
      <c r="I222" s="11">
        <f>COUNTIFS(ECOBANK!I:I,$I$18,ECOBANK!A:A,"8/6/24")</f>
        <v>16</v>
      </c>
      <c r="J222" s="2"/>
      <c r="K222" s="2"/>
      <c r="L222" s="2"/>
      <c r="M222" s="2"/>
      <c r="N222" s="2"/>
      <c r="O222" s="2"/>
      <c r="P222" s="2"/>
      <c r="Q222" s="2"/>
      <c r="R222" s="2"/>
      <c r="S222" s="2"/>
      <c r="T222" s="2"/>
      <c r="U222" s="2"/>
      <c r="V222" s="2"/>
      <c r="W222" s="2"/>
      <c r="X222" s="2"/>
      <c r="Y222" s="2"/>
      <c r="Z222" s="2"/>
      <c r="AA222" s="2"/>
      <c r="AB222" s="2"/>
    </row>
    <row r="223">
      <c r="A223" s="7" t="s">
        <v>24</v>
      </c>
      <c r="B223" s="8">
        <f>SUMIFS('TRADE CENTER'!F:F,'TRADE CENTER'!A:A,"8/6/24")</f>
        <v>6192642.5</v>
      </c>
      <c r="C223" s="11">
        <f>COUNTIFS('TRADE CENTER'!A:A,"8/6/24")</f>
        <v>34</v>
      </c>
      <c r="D223" s="10">
        <f>SUMIFS('TRADE CENTER'!G:G,'TRADE CENTER'!A:A,"8/6/24")</f>
        <v>785597</v>
      </c>
      <c r="E223" s="11">
        <f t="shared" si="53"/>
        <v>5</v>
      </c>
      <c r="F223" s="12">
        <f t="shared" si="54"/>
        <v>0.1268597372</v>
      </c>
      <c r="G223" s="11">
        <f>COUNTIFS('TRADE CENTER'!I:I,$G$18,'TRADE CENTER'!A:A,"8/6/24")</f>
        <v>2</v>
      </c>
      <c r="H223" s="11">
        <f>COUNTIFS('TRADE CENTER'!I:I,$H$18,'TRADE CENTER'!A:A,"8/6/24")</f>
        <v>3</v>
      </c>
      <c r="I223" s="11">
        <f>COUNTIFS('TRADE CENTER'!I:I,$I$18,'TRADE CENTER'!A:A,"8/6/24")</f>
        <v>29</v>
      </c>
      <c r="J223" s="2"/>
      <c r="K223" s="2"/>
      <c r="L223" s="2"/>
      <c r="M223" s="2"/>
      <c r="N223" s="2"/>
      <c r="O223" s="2"/>
      <c r="P223" s="2"/>
      <c r="Q223" s="2"/>
      <c r="R223" s="2"/>
      <c r="S223" s="2"/>
      <c r="T223" s="2"/>
      <c r="U223" s="2"/>
      <c r="V223" s="2"/>
      <c r="W223" s="2"/>
      <c r="X223" s="2"/>
      <c r="Y223" s="2"/>
      <c r="Z223" s="2"/>
      <c r="AA223" s="2"/>
      <c r="AB223" s="2"/>
    </row>
    <row r="224">
      <c r="A224" s="7" t="s">
        <v>12</v>
      </c>
      <c r="B224" s="8">
        <f>SUMIFS(PENSION!F:F,PENSION!A:A,"8/6/2024")</f>
        <v>10329347.49</v>
      </c>
      <c r="C224" s="11">
        <f>COUNTIFS(PENSION!A:A,"8/6/24")</f>
        <v>58</v>
      </c>
      <c r="D224" s="10">
        <f>SUMIFS(PENSION!G:G,PENSION!A:A,"8/6/2024")</f>
        <v>1612904</v>
      </c>
      <c r="E224" s="11">
        <f t="shared" si="53"/>
        <v>15</v>
      </c>
      <c r="F224" s="12">
        <f t="shared" si="54"/>
        <v>0.1561477142</v>
      </c>
      <c r="G224" s="9">
        <f>COUNTIFS(PENSION!I:I,$G$18,PENSION!A:A,"8/6/24")</f>
        <v>4</v>
      </c>
      <c r="H224" s="11">
        <f>COUNTIFS(PENSION!I:I,$H$18,PENSION!A:A,"8/6/24")</f>
        <v>11</v>
      </c>
      <c r="I224" s="11">
        <f>COUNTIFS(PENSION!I:I,$I$18,PENSION!A:A,"8/6/24")</f>
        <v>43</v>
      </c>
      <c r="J224" s="2"/>
      <c r="K224" s="2"/>
      <c r="L224" s="2"/>
      <c r="M224" s="2"/>
      <c r="N224" s="2"/>
      <c r="O224" s="2"/>
      <c r="P224" s="2"/>
      <c r="Q224" s="2"/>
      <c r="R224" s="2"/>
      <c r="S224" s="2"/>
      <c r="T224" s="2"/>
      <c r="U224" s="2"/>
      <c r="V224" s="2"/>
      <c r="W224" s="2"/>
      <c r="X224" s="2"/>
      <c r="Y224" s="2"/>
      <c r="Z224" s="2"/>
      <c r="AA224" s="2"/>
      <c r="AB224" s="2"/>
    </row>
    <row r="225">
      <c r="A225" s="7" t="s">
        <v>13</v>
      </c>
      <c r="B225" s="8">
        <f>SUMIFS(KITENGELA!F:F,KITENGELA!A:A,"8/5/2024")</f>
        <v>5274444.42</v>
      </c>
      <c r="C225" s="11">
        <f>COUNTIFS(KITENGELA!A:A,"8/6/24")</f>
        <v>47</v>
      </c>
      <c r="D225" s="10">
        <f>SUMIFS(KITENGELA!G:G,KITENGELA!A:A,"8/6/24")</f>
        <v>579821</v>
      </c>
      <c r="E225" s="11">
        <f t="shared" si="53"/>
        <v>10</v>
      </c>
      <c r="F225" s="12">
        <f t="shared" si="54"/>
        <v>0.1099302512</v>
      </c>
      <c r="G225" s="11">
        <f>COUNTIFS(KITENGELA!I:I,$G$18,KITENGELA!A:A,"8/6/24")</f>
        <v>7</v>
      </c>
      <c r="H225" s="11">
        <f>COUNTIFS(KITENGELA!I:I,$H$18,KITENGELA!A:A,"8/6/24")</f>
        <v>3</v>
      </c>
      <c r="I225" s="11">
        <f>COUNTIFS(KITENGELA!I:I,$I$18,KITENGELA!A:A,"8/6/24")</f>
        <v>37</v>
      </c>
      <c r="J225" s="2"/>
      <c r="K225" s="2"/>
      <c r="L225" s="2"/>
      <c r="M225" s="2"/>
      <c r="N225" s="2"/>
      <c r="O225" s="2"/>
      <c r="P225" s="2"/>
      <c r="Q225" s="2"/>
      <c r="R225" s="2"/>
      <c r="S225" s="2"/>
      <c r="T225" s="2"/>
      <c r="U225" s="2"/>
      <c r="V225" s="2"/>
      <c r="W225" s="2"/>
      <c r="X225" s="2"/>
      <c r="Y225" s="2"/>
      <c r="Z225" s="2"/>
      <c r="AA225" s="2"/>
      <c r="AB225" s="2"/>
    </row>
    <row r="226">
      <c r="A226" s="7" t="s">
        <v>14</v>
      </c>
      <c r="B226" s="8">
        <f>SUMIFS(ELDORET!F:F,ELDORET!A:A,"8/6/24")</f>
        <v>1247084.26</v>
      </c>
      <c r="C226" s="11">
        <f>COUNTIFS(ELDORET!A:A,"8/6/24")</f>
        <v>19</v>
      </c>
      <c r="D226" s="10">
        <f>SUMIFS(ELDORET!G:G,ELDORET!A:A,"8/6/24")</f>
        <v>237015</v>
      </c>
      <c r="E226" s="11">
        <f t="shared" si="53"/>
        <v>5</v>
      </c>
      <c r="F226" s="12">
        <f t="shared" si="54"/>
        <v>0.1900553215</v>
      </c>
      <c r="G226" s="11">
        <f>COUNTIFS(ELDORET!I:I,$G$18,ELDORET!A:A,"8/6/24")</f>
        <v>2</v>
      </c>
      <c r="H226" s="11">
        <f>COUNTIFS(ELDORET!I:I,$H$18,ELDORET!A:A,"8/6/24")</f>
        <v>3</v>
      </c>
      <c r="I226" s="11">
        <f>COUNTIFS(ELDORET!I:I,$I$18,ELDORET!A:A,"8/6/24")</f>
        <v>14</v>
      </c>
      <c r="J226" s="2"/>
      <c r="K226" s="2"/>
      <c r="L226" s="1"/>
      <c r="M226" s="2"/>
      <c r="N226" s="2"/>
      <c r="O226" s="2"/>
      <c r="P226" s="2"/>
      <c r="Q226" s="2"/>
      <c r="R226" s="2"/>
      <c r="S226" s="2"/>
      <c r="T226" s="2"/>
      <c r="U226" s="2"/>
      <c r="V226" s="2"/>
      <c r="W226" s="2"/>
      <c r="X226" s="2"/>
      <c r="Y226" s="2"/>
      <c r="Z226" s="2"/>
      <c r="AA226" s="2"/>
      <c r="AB226" s="2"/>
    </row>
    <row r="227">
      <c r="A227" s="7" t="s">
        <v>15</v>
      </c>
      <c r="B227" s="8">
        <f>SUMIFS(NAKURU!F:F,NAKURU!A:A,"8/6/24")</f>
        <v>587436</v>
      </c>
      <c r="C227" s="11">
        <f>COUNTIFS(NAKURU!A:A,"8/6/24")</f>
        <v>7</v>
      </c>
      <c r="D227" s="10">
        <f>SUMIFS(NAKURU!G:G,NAKURU!A:A,"8/6/24")</f>
        <v>123156</v>
      </c>
      <c r="E227" s="11">
        <f t="shared" si="53"/>
        <v>1</v>
      </c>
      <c r="F227" s="12">
        <f t="shared" si="54"/>
        <v>0.2096500725</v>
      </c>
      <c r="G227" s="9">
        <f>COUNTIFS(NAKURU!I:I,$G$18,NAKURU!A:A,"8/6/24")</f>
        <v>0</v>
      </c>
      <c r="H227" s="11">
        <f>COUNTIFS(NAKURU!I:I,$H$18,NAKURU!A:A,"8/6/24")</f>
        <v>1</v>
      </c>
      <c r="I227" s="11">
        <f>COUNTIFS(NAKURU!I:I,$I$18,NAKURU!A:A,"8/6/24")</f>
        <v>6</v>
      </c>
      <c r="J227" s="2"/>
      <c r="K227" s="2"/>
      <c r="L227" s="2"/>
      <c r="M227" s="2"/>
      <c r="N227" s="2"/>
      <c r="O227" s="2"/>
      <c r="P227" s="2"/>
      <c r="Q227" s="2"/>
      <c r="R227" s="2"/>
      <c r="S227" s="2"/>
      <c r="T227" s="2"/>
      <c r="U227" s="2"/>
      <c r="V227" s="2"/>
      <c r="W227" s="2"/>
      <c r="X227" s="2"/>
      <c r="Y227" s="2"/>
      <c r="Z227" s="2"/>
      <c r="AA227" s="2"/>
      <c r="AB227" s="2"/>
    </row>
    <row r="228">
      <c r="A228" s="7" t="s">
        <v>16</v>
      </c>
      <c r="B228" s="8">
        <f>SUMIFS(HOMABAY!F:F,HOMABAY!A:A,"8/6/24")</f>
        <v>72000</v>
      </c>
      <c r="C228" s="11">
        <f>COUNTIFS(HOMABAY!A:A,"8/6/24")</f>
        <v>2</v>
      </c>
      <c r="D228" s="10">
        <f>SUMIFS(HOMABAY!G:G,HOMABAY!A:A,"8/6/24")</f>
        <v>62000</v>
      </c>
      <c r="E228" s="11">
        <f t="shared" si="53"/>
        <v>1</v>
      </c>
      <c r="F228" s="12">
        <f t="shared" si="54"/>
        <v>0.8611111111</v>
      </c>
      <c r="G228" s="9">
        <f>COUNTIFS(HOMABAY!K:K,$G$18,HOMABAY!A:A,"8/6/24")</f>
        <v>0</v>
      </c>
      <c r="H228" s="11">
        <f>COUNTIFS(HOMABAY!K:K,$H$18,HOMABAY!A:A,"8/6/24")</f>
        <v>1</v>
      </c>
      <c r="I228" s="11">
        <f>COUNTIFS(HOMABAY!K:K,$I$18,HOMABAY!A:A,"8/6/24")</f>
        <v>1</v>
      </c>
      <c r="J228" s="2"/>
      <c r="K228" s="2"/>
      <c r="L228" s="2"/>
      <c r="M228" s="2"/>
      <c r="N228" s="2"/>
      <c r="O228" s="2"/>
      <c r="P228" s="2"/>
      <c r="Q228" s="2"/>
      <c r="R228" s="2"/>
      <c r="S228" s="2"/>
      <c r="T228" s="2"/>
      <c r="U228" s="2"/>
      <c r="V228" s="2"/>
      <c r="W228" s="2"/>
      <c r="X228" s="2"/>
      <c r="Y228" s="2"/>
      <c r="Z228" s="2"/>
      <c r="AA228" s="2"/>
      <c r="AB228" s="2"/>
    </row>
    <row r="229">
      <c r="A229" s="7" t="s">
        <v>17</v>
      </c>
      <c r="B229" s="8">
        <f>SUMIFS(MOMBASA!F:F,MOMBASA!A:A,"8/6/24")</f>
        <v>1270388.86</v>
      </c>
      <c r="C229" s="11">
        <f>COUNTIFS(MOMBASA!A:A,"8/6/24")</f>
        <v>24</v>
      </c>
      <c r="D229" s="27">
        <f>SUMIFS(MOMBASA!G:G,MOMBASA!A:A,"8/6/24")</f>
        <v>327286</v>
      </c>
      <c r="E229" s="11">
        <f t="shared" si="53"/>
        <v>6</v>
      </c>
      <c r="F229" s="12">
        <f t="shared" si="54"/>
        <v>0.2576266294</v>
      </c>
      <c r="G229" s="9">
        <f>COUNTIFS(MOMBASA!I:I,$G$18,MOMBASA!A:A,"8/6/24")</f>
        <v>3</v>
      </c>
      <c r="H229" s="11">
        <f>COUNTIFS(MOMBASA!I:I,$H$18,MOMBASA!A:A,"8/6/24")</f>
        <v>3</v>
      </c>
      <c r="I229" s="11">
        <f>COUNTIFS(MOMBASA!I:I,$I$18,MOMBASA!A:A,"8/6/24")</f>
        <v>18</v>
      </c>
      <c r="J229" s="2"/>
      <c r="K229" s="2"/>
      <c r="L229" s="2"/>
      <c r="M229" s="2"/>
      <c r="N229" s="2"/>
      <c r="O229" s="2"/>
      <c r="P229" s="2"/>
      <c r="Q229" s="2"/>
      <c r="R229" s="2"/>
      <c r="S229" s="2"/>
      <c r="T229" s="2"/>
      <c r="U229" s="2"/>
      <c r="V229" s="2"/>
      <c r="W229" s="2"/>
      <c r="X229" s="2"/>
      <c r="Y229" s="2"/>
      <c r="Z229" s="2"/>
      <c r="AA229" s="2"/>
      <c r="AB229" s="2"/>
    </row>
    <row r="230">
      <c r="A230" s="7" t="s">
        <v>18</v>
      </c>
      <c r="B230" s="8">
        <f>SUMIFS(KISUMU!F:F,KISUMU!A:A,"8/6/24")</f>
        <v>1588877.2</v>
      </c>
      <c r="C230" s="11">
        <f>COUNTIFS(KISUMU!A:A,"8/6/24")</f>
        <v>23</v>
      </c>
      <c r="D230" s="10">
        <f>SUMIFS(KISUMU!G:G,KISUMU!A:A,"8/6/24")</f>
        <v>104550</v>
      </c>
      <c r="E230" s="11">
        <f t="shared" si="53"/>
        <v>3</v>
      </c>
      <c r="F230" s="12">
        <f t="shared" si="54"/>
        <v>0.06580118338</v>
      </c>
      <c r="G230" s="9">
        <f>COUNTIFS(KISUMU!I:I,$G$18,KISUMU!A:A,"8/6/24")</f>
        <v>0</v>
      </c>
      <c r="H230" s="11">
        <f>COUNTIFS(KISUMU!I:I,$H$18,KISUMU!A:A,"8/6/24")</f>
        <v>3</v>
      </c>
      <c r="I230" s="11">
        <f>COUNTIFS(KISUMU!I:I,$I$18,KISUMU!A:A,"8/6/24")</f>
        <v>20</v>
      </c>
      <c r="J230" s="2"/>
      <c r="K230" s="2"/>
      <c r="L230" s="2"/>
      <c r="M230" s="2"/>
      <c r="N230" s="2"/>
      <c r="O230" s="2"/>
      <c r="P230" s="2"/>
      <c r="Q230" s="2"/>
      <c r="R230" s="2"/>
      <c r="S230" s="2"/>
      <c r="T230" s="2"/>
      <c r="U230" s="2"/>
      <c r="V230" s="2"/>
      <c r="W230" s="2"/>
      <c r="X230" s="2"/>
      <c r="Y230" s="2"/>
      <c r="Z230" s="2"/>
      <c r="AA230" s="2"/>
      <c r="AB230" s="2"/>
    </row>
    <row r="231">
      <c r="A231" s="7" t="s">
        <v>19</v>
      </c>
      <c r="B231" s="8">
        <f>SUMIFS(VOI!F:F,VOI!A:A,"8/6/24")</f>
        <v>222681</v>
      </c>
      <c r="C231" s="11">
        <f>COUNTIFS(VOI!A:A,"8/6/24")</f>
        <v>10</v>
      </c>
      <c r="D231" s="10">
        <f>SUMIFS(VOI!G:G,VOI!A:A,"8/6/24")</f>
        <v>4000</v>
      </c>
      <c r="E231" s="11">
        <f t="shared" si="53"/>
        <v>1</v>
      </c>
      <c r="F231" s="12">
        <f t="shared" si="54"/>
        <v>0.01796291556</v>
      </c>
      <c r="G231" s="9">
        <f>COUNTIFS(VOI!H:H,$G$18,VOI!A:A,"8/6/24")</f>
        <v>1</v>
      </c>
      <c r="H231" s="11">
        <f>COUNTIFS(VOI!H:H,$H$18,VOI!A:A,"8/6/24")</f>
        <v>0</v>
      </c>
      <c r="I231" s="11">
        <f>COUNTIFS(VOI!H:H,$I$18,VOI!A:A,"8/6/24")</f>
        <v>9</v>
      </c>
      <c r="J231" s="2"/>
      <c r="K231" s="2"/>
      <c r="L231" s="2"/>
      <c r="M231" s="2"/>
      <c r="N231" s="2"/>
      <c r="O231" s="2"/>
      <c r="P231" s="2"/>
      <c r="Q231" s="2"/>
      <c r="R231" s="2"/>
      <c r="S231" s="2"/>
      <c r="T231" s="2"/>
      <c r="U231" s="2"/>
      <c r="V231" s="2"/>
      <c r="W231" s="2"/>
      <c r="X231" s="2"/>
      <c r="Y231" s="2"/>
      <c r="Z231" s="2"/>
      <c r="AA231" s="2"/>
      <c r="AB231" s="2"/>
    </row>
    <row r="232">
      <c r="A232" s="7" t="s">
        <v>20</v>
      </c>
      <c r="B232" s="8">
        <f>SUMIFS(THIKA!F:F,THIKA!A:A,"8/6/24")</f>
        <v>1798309</v>
      </c>
      <c r="C232" s="11">
        <f>COUNTIFS(THIKA!A:A,"8/6/24")</f>
        <v>15</v>
      </c>
      <c r="D232" s="10">
        <f>SUMIFS(THIKA!G:G,THIKA!A:A,"8/6/24")</f>
        <v>39167</v>
      </c>
      <c r="E232" s="11">
        <f t="shared" si="53"/>
        <v>3</v>
      </c>
      <c r="F232" s="12">
        <f t="shared" si="54"/>
        <v>0.02177990546</v>
      </c>
      <c r="G232" s="9">
        <f>COUNTIFS(THIKA!I:I,$G$18,THIKA!A:A,"8/6/24")</f>
        <v>2</v>
      </c>
      <c r="H232" s="11">
        <f>COUNTIFS(THIKA!I:I,$H$18,THIKA!A:A,"8/6/24")</f>
        <v>1</v>
      </c>
      <c r="I232" s="11">
        <f>COUNTIFS(THIKA!I:I,$I$18,THIKA!A:A,"8/6/24")</f>
        <v>12</v>
      </c>
      <c r="J232" s="2"/>
      <c r="K232" s="2"/>
      <c r="L232" s="2"/>
      <c r="M232" s="2"/>
      <c r="N232" s="2"/>
      <c r="O232" s="2"/>
      <c r="P232" s="2"/>
      <c r="Q232" s="2"/>
      <c r="R232" s="2"/>
      <c r="S232" s="2"/>
      <c r="T232" s="2"/>
      <c r="U232" s="2"/>
      <c r="V232" s="2"/>
      <c r="W232" s="2"/>
      <c r="X232" s="2"/>
      <c r="Y232" s="2"/>
      <c r="Z232" s="2"/>
      <c r="AA232" s="2"/>
      <c r="AB232" s="2"/>
    </row>
    <row r="233">
      <c r="A233" s="7" t="s">
        <v>21</v>
      </c>
      <c r="B233" s="8">
        <f>SUMIFS(KITUI!F:F,KITUI!A:A,"8/6/24")</f>
        <v>0</v>
      </c>
      <c r="C233" s="11">
        <f>COUNTIFS(KITUI!A:A,"8/6/24")</f>
        <v>0</v>
      </c>
      <c r="D233" s="10">
        <f>SUMIFS(KITUI!G:G,KITUI!A:A,"8/6/24")</f>
        <v>0</v>
      </c>
      <c r="E233" s="11">
        <f t="shared" si="53"/>
        <v>0</v>
      </c>
      <c r="F233" s="12">
        <f t="shared" si="54"/>
        <v>0</v>
      </c>
      <c r="G233" s="9">
        <f>COUNTIFS(KITUI!I:I,$G$18,KITUI!A:A,"8/6/24")</f>
        <v>0</v>
      </c>
      <c r="H233" s="11">
        <f>COUNTIFS(KITUI!I:I,$H$18,KITUI!A:A,"8/6/24")</f>
        <v>0</v>
      </c>
      <c r="I233" s="11">
        <f>COUNTIFS(KITUI!I:I,$I$18,KITUI!A:A,"8/6/24")</f>
        <v>0</v>
      </c>
      <c r="J233" s="2"/>
      <c r="K233" s="2"/>
      <c r="L233" s="2"/>
      <c r="M233" s="2"/>
      <c r="N233" s="2"/>
      <c r="O233" s="2"/>
      <c r="P233" s="2"/>
      <c r="Q233" s="2"/>
      <c r="R233" s="2"/>
      <c r="S233" s="2"/>
      <c r="T233" s="2"/>
      <c r="U233" s="2"/>
      <c r="V233" s="2"/>
      <c r="W233" s="2"/>
      <c r="X233" s="2"/>
      <c r="Y233" s="2"/>
      <c r="Z233" s="2"/>
      <c r="AA233" s="2"/>
      <c r="AB233" s="2"/>
    </row>
    <row r="234">
      <c r="A234" s="15" t="s">
        <v>22</v>
      </c>
      <c r="B234" s="8">
        <f>SUMIFS(MACHAKOS!F:F,MACHAKOS!A:A,"8/6/24")</f>
        <v>198427.08</v>
      </c>
      <c r="C234" s="11">
        <f>COUNTIFS(MACHAKOS!A:A,"8/6/24")</f>
        <v>2</v>
      </c>
      <c r="D234" s="10">
        <f>SUMIFS(MACHAKOS!G:G,MACHAKOS!A:A,"8/6/24")</f>
        <v>0</v>
      </c>
      <c r="E234" s="11">
        <f t="shared" si="53"/>
        <v>0</v>
      </c>
      <c r="F234" s="12">
        <f t="shared" si="54"/>
        <v>0</v>
      </c>
      <c r="G234" s="9">
        <f>COUNTIFS(MACHAKOS!I:I,$G$18,MACHAKOS!A:A,"8/6/24")</f>
        <v>0</v>
      </c>
      <c r="H234" s="11">
        <f>COUNTIFS(MACHAKOS!I:I,$H$18,MACHAKOS!A:A,"8/6/24")</f>
        <v>0</v>
      </c>
      <c r="I234" s="11">
        <f>COUNTIFS(MACHAKOS!I:I,$I$18,MACHAKOS!A:A,"8/6/24")</f>
        <v>2</v>
      </c>
      <c r="J234" s="2"/>
      <c r="K234" s="2"/>
      <c r="L234" s="2"/>
      <c r="M234" s="2"/>
      <c r="N234" s="2"/>
      <c r="O234" s="2"/>
      <c r="P234" s="2"/>
      <c r="Q234" s="2"/>
      <c r="R234" s="2"/>
      <c r="S234" s="2"/>
      <c r="T234" s="2"/>
      <c r="U234" s="2"/>
      <c r="V234" s="2"/>
      <c r="W234" s="2"/>
      <c r="X234" s="2"/>
      <c r="Y234" s="2"/>
      <c r="Z234" s="2"/>
      <c r="AA234" s="2"/>
      <c r="AB234" s="2"/>
    </row>
    <row r="235">
      <c r="A235" s="16" t="s">
        <v>23</v>
      </c>
      <c r="B235" s="19">
        <f t="shared" ref="B235:E235" si="55">SUM(B222:B234)</f>
        <v>36496347.88</v>
      </c>
      <c r="C235" s="18">
        <f t="shared" si="55"/>
        <v>261</v>
      </c>
      <c r="D235" s="19">
        <f t="shared" si="55"/>
        <v>4581496</v>
      </c>
      <c r="E235" s="18">
        <f t="shared" si="55"/>
        <v>54</v>
      </c>
      <c r="F235" s="20">
        <f>D235/B235</f>
        <v>0.1255329989</v>
      </c>
      <c r="G235" s="21">
        <f t="shared" ref="G235:I235" si="56">SUM(G222:G234)</f>
        <v>24</v>
      </c>
      <c r="H235" s="21">
        <f t="shared" si="56"/>
        <v>30</v>
      </c>
      <c r="I235" s="21">
        <f t="shared" si="56"/>
        <v>207</v>
      </c>
      <c r="J235" s="2"/>
      <c r="K235" s="2"/>
      <c r="L235" s="2"/>
      <c r="M235" s="2"/>
      <c r="N235" s="2"/>
      <c r="O235" s="2"/>
      <c r="P235" s="2"/>
      <c r="Q235" s="2"/>
      <c r="R235" s="2"/>
      <c r="S235" s="2"/>
      <c r="T235" s="2"/>
      <c r="U235" s="2"/>
      <c r="V235" s="2"/>
      <c r="W235" s="2"/>
      <c r="X235" s="2"/>
      <c r="Y235" s="2"/>
      <c r="Z235" s="2"/>
      <c r="AA235" s="2"/>
      <c r="AB235" s="2"/>
    </row>
    <row r="236">
      <c r="A236" s="1" t="s">
        <v>27</v>
      </c>
      <c r="B236" s="23">
        <v>2750000.0</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1" t="s">
        <v>30</v>
      </c>
      <c r="B237" s="25">
        <v>300000.0</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3" t="s">
        <v>1</v>
      </c>
      <c r="B239" s="5" t="s">
        <v>2</v>
      </c>
      <c r="C239" s="5" t="s">
        <v>3</v>
      </c>
      <c r="D239" s="5" t="s">
        <v>4</v>
      </c>
      <c r="E239" s="5" t="s">
        <v>5</v>
      </c>
      <c r="F239" s="26" t="s">
        <v>6</v>
      </c>
      <c r="G239" s="26" t="s">
        <v>7</v>
      </c>
      <c r="H239" s="26" t="s">
        <v>8</v>
      </c>
      <c r="I239" s="26" t="s">
        <v>9</v>
      </c>
      <c r="J239" s="2"/>
      <c r="K239" s="2"/>
      <c r="L239" s="2"/>
      <c r="M239" s="2"/>
      <c r="N239" s="2"/>
      <c r="O239" s="2"/>
      <c r="P239" s="2"/>
      <c r="Q239" s="2"/>
      <c r="R239" s="2"/>
      <c r="S239" s="2"/>
      <c r="T239" s="2"/>
      <c r="U239" s="2"/>
      <c r="V239" s="2"/>
      <c r="W239" s="2"/>
      <c r="X239" s="2"/>
      <c r="Y239" s="2"/>
      <c r="Z239" s="2"/>
      <c r="AA239" s="2"/>
      <c r="AB239" s="2"/>
    </row>
    <row r="240">
      <c r="A240" s="7" t="s">
        <v>10</v>
      </c>
      <c r="B240" s="8">
        <f>SUMIFS(ECOBANK!F:F,ECOBANK!A:A,"8/7/24")</f>
        <v>9358282.07</v>
      </c>
      <c r="C240" s="9">
        <f>COUNTIFS(ECOBANK!A:A,"8/7/24")</f>
        <v>20</v>
      </c>
      <c r="D240" s="10">
        <f>SUMIFS(ECOBANK!G:G,ECOBANK!A:A,"8/7/24")</f>
        <v>1723963</v>
      </c>
      <c r="E240" s="11">
        <f t="shared" ref="E240:E252" si="57">G240+H240</f>
        <v>7</v>
      </c>
      <c r="F240" s="12">
        <f t="shared" ref="F240:F252" si="58">iferror(D240/B240,0)</f>
        <v>0.1842178925</v>
      </c>
      <c r="G240" s="9">
        <f>COUNTIFS(ECOBANK!I:I,$G$18,ECOBANK!A:A,"8/7/24")</f>
        <v>3</v>
      </c>
      <c r="H240" s="11">
        <f>COUNTIFS(ECOBANK!I:I,$H$18,ECOBANK!A:A,"8/7/24")</f>
        <v>4</v>
      </c>
      <c r="I240" s="11">
        <f>COUNTIFS(ECOBANK!I:I,$I$18,ECOBANK!A:A,"8/7/24")</f>
        <v>13</v>
      </c>
      <c r="J240" s="2"/>
      <c r="K240" s="2"/>
      <c r="L240" s="2"/>
      <c r="M240" s="2"/>
      <c r="N240" s="2"/>
      <c r="O240" s="2"/>
      <c r="P240" s="2"/>
      <c r="Q240" s="2"/>
      <c r="R240" s="2"/>
      <c r="S240" s="2"/>
      <c r="T240" s="2"/>
      <c r="U240" s="2"/>
      <c r="V240" s="2"/>
      <c r="W240" s="2"/>
      <c r="X240" s="2"/>
      <c r="Y240" s="2"/>
      <c r="Z240" s="2"/>
      <c r="AA240" s="2"/>
      <c r="AB240" s="2"/>
    </row>
    <row r="241">
      <c r="A241" s="7" t="s">
        <v>24</v>
      </c>
      <c r="B241" s="8">
        <f>SUMIFS('TRADE CENTER'!F:F,'TRADE CENTER'!A:A,"8/7/24")</f>
        <v>3910059.83</v>
      </c>
      <c r="C241" s="11">
        <f>COUNTIFS('TRADE CENTER'!A:A,"8/7/24")</f>
        <v>38</v>
      </c>
      <c r="D241" s="10">
        <f>SUMIFS('TRADE CENTER'!G:G,'TRADE CENTER'!A:A,"8/7/24")</f>
        <v>995790</v>
      </c>
      <c r="E241" s="11">
        <f t="shared" si="57"/>
        <v>11</v>
      </c>
      <c r="F241" s="12">
        <f t="shared" si="58"/>
        <v>0.2546738524</v>
      </c>
      <c r="G241" s="11">
        <f>COUNTIFS('TRADE CENTER'!I:I,$G$18,'TRADE CENTER'!A:A,"8/7/24")</f>
        <v>4</v>
      </c>
      <c r="H241" s="11">
        <f>COUNTIFS('TRADE CENTER'!I:I,$H$18,'TRADE CENTER'!A:A,"8/7/24")</f>
        <v>7</v>
      </c>
      <c r="I241" s="11">
        <f>COUNTIFS('TRADE CENTER'!I:I,$I$18,'TRADE CENTER'!A:A,"8/7/24")</f>
        <v>27</v>
      </c>
      <c r="J241" s="2"/>
      <c r="K241" s="2"/>
      <c r="L241" s="2"/>
      <c r="M241" s="2"/>
      <c r="N241" s="2"/>
      <c r="O241" s="2"/>
      <c r="P241" s="2"/>
      <c r="Q241" s="2"/>
      <c r="R241" s="2"/>
      <c r="S241" s="2"/>
      <c r="T241" s="2"/>
      <c r="U241" s="2"/>
      <c r="V241" s="2"/>
      <c r="W241" s="2"/>
      <c r="X241" s="2"/>
      <c r="Y241" s="2"/>
      <c r="Z241" s="2"/>
      <c r="AA241" s="2"/>
      <c r="AB241" s="2"/>
    </row>
    <row r="242">
      <c r="A242" s="7" t="s">
        <v>12</v>
      </c>
      <c r="B242" s="8">
        <f>SUMIFS(PENSION!F:F,PENSION!A:A,"8/7/2024")</f>
        <v>6689819.2</v>
      </c>
      <c r="C242" s="11">
        <f>COUNTIFS(PENSION!A:A,"8/7/24")</f>
        <v>24</v>
      </c>
      <c r="D242" s="10">
        <f>SUMIFS(PENSION!G:G,PENSION!A:A,"8/7/2024")</f>
        <v>34620</v>
      </c>
      <c r="E242" s="11">
        <f t="shared" si="57"/>
        <v>2</v>
      </c>
      <c r="F242" s="12">
        <f t="shared" si="58"/>
        <v>0.00517502775</v>
      </c>
      <c r="G242" s="9">
        <f>COUNTIFS(PENSION!I:I,$G$18,PENSION!A:A,"8/7/24")</f>
        <v>0</v>
      </c>
      <c r="H242" s="11">
        <f>COUNTIFS(PENSION!I:I,$H$18,PENSION!A:A,"8/7/24")</f>
        <v>2</v>
      </c>
      <c r="I242" s="11">
        <f>COUNTIFS(PENSION!I:I,$I$18,PENSION!A:A,"8/7/24")</f>
        <v>22</v>
      </c>
      <c r="J242" s="2"/>
      <c r="K242" s="2"/>
      <c r="L242" s="2"/>
      <c r="M242" s="2"/>
      <c r="N242" s="2"/>
      <c r="O242" s="2"/>
      <c r="P242" s="2"/>
      <c r="Q242" s="2"/>
      <c r="R242" s="2"/>
      <c r="S242" s="2"/>
      <c r="T242" s="2"/>
      <c r="U242" s="2"/>
      <c r="V242" s="2"/>
      <c r="W242" s="2"/>
      <c r="X242" s="2"/>
      <c r="Y242" s="2"/>
      <c r="Z242" s="2"/>
      <c r="AA242" s="2"/>
      <c r="AB242" s="2"/>
    </row>
    <row r="243">
      <c r="A243" s="7" t="s">
        <v>13</v>
      </c>
      <c r="B243" s="8">
        <f>SUMIFS(KITENGELA!F:F,KITENGELA!A:A,"8/5/2024")</f>
        <v>5274444.42</v>
      </c>
      <c r="C243" s="11">
        <f>COUNTIFS(KITENGELA!A:A,"8/7/24")</f>
        <v>46</v>
      </c>
      <c r="D243" s="10">
        <f>SUMIFS(KITENGELA!G:G,KITENGELA!A:A,"8/7/24")</f>
        <v>2497624</v>
      </c>
      <c r="E243" s="11">
        <f t="shared" si="57"/>
        <v>8</v>
      </c>
      <c r="F243" s="12">
        <f t="shared" si="58"/>
        <v>0.4735330968</v>
      </c>
      <c r="G243" s="11">
        <f>COUNTIFS(KITENGELA!I:I,$G$18,KITENGELA!A:A,"8/7/24")</f>
        <v>5</v>
      </c>
      <c r="H243" s="11">
        <f>COUNTIFS(KITENGELA!I:I,$H$18,KITENGELA!A:A,"8/7/24")</f>
        <v>3</v>
      </c>
      <c r="I243" s="11">
        <f>COUNTIFS(KITENGELA!I:I,$I$18,KITENGELA!A:A,"8/7/24")</f>
        <v>38</v>
      </c>
      <c r="J243" s="2"/>
      <c r="K243" s="2"/>
      <c r="L243" s="2"/>
      <c r="M243" s="2"/>
      <c r="N243" s="2"/>
      <c r="O243" s="2"/>
      <c r="P243" s="2"/>
      <c r="Q243" s="2"/>
      <c r="R243" s="2"/>
      <c r="S243" s="2"/>
      <c r="T243" s="2"/>
      <c r="U243" s="2"/>
      <c r="V243" s="2"/>
      <c r="W243" s="2"/>
      <c r="X243" s="2"/>
      <c r="Y243" s="2"/>
      <c r="Z243" s="2"/>
      <c r="AA243" s="2"/>
      <c r="AB243" s="2"/>
    </row>
    <row r="244">
      <c r="A244" s="7" t="s">
        <v>14</v>
      </c>
      <c r="B244" s="8">
        <f>SUMIFS(ELDORET!F:F,ELDORET!A:A,"8/7/24")</f>
        <v>1297026.26</v>
      </c>
      <c r="C244" s="11">
        <f>COUNTIFS(ELDORET!A:A,"8/7/24")</f>
        <v>23</v>
      </c>
      <c r="D244" s="10">
        <f>SUMIFS(ELDORET!G:G,ELDORET!A:A,"8/7/24")</f>
        <v>287335</v>
      </c>
      <c r="E244" s="11">
        <f t="shared" si="57"/>
        <v>9</v>
      </c>
      <c r="F244" s="12">
        <f t="shared" si="58"/>
        <v>0.2215336797</v>
      </c>
      <c r="G244" s="11">
        <f>COUNTIFS(ELDORET!I:I,$G$18,ELDORET!A:A,"8/7/24")</f>
        <v>4</v>
      </c>
      <c r="H244" s="11">
        <f>COUNTIFS(ELDORET!I:I,$H$18,ELDORET!A:A,"8/7/24")</f>
        <v>5</v>
      </c>
      <c r="I244" s="11">
        <f>COUNTIFS(ELDORET!I:I,$I$18,ELDORET!A:A,"8/7/24")</f>
        <v>14</v>
      </c>
      <c r="J244" s="2"/>
      <c r="K244" s="2"/>
      <c r="L244" s="2"/>
      <c r="M244" s="2"/>
      <c r="N244" s="2"/>
      <c r="O244" s="2"/>
      <c r="P244" s="2"/>
      <c r="Q244" s="2"/>
      <c r="R244" s="2"/>
      <c r="S244" s="2"/>
      <c r="T244" s="2"/>
      <c r="U244" s="2"/>
      <c r="V244" s="2"/>
      <c r="W244" s="2"/>
      <c r="X244" s="2"/>
      <c r="Y244" s="2"/>
      <c r="Z244" s="2"/>
      <c r="AA244" s="2"/>
      <c r="AB244" s="2"/>
    </row>
    <row r="245">
      <c r="A245" s="7" t="s">
        <v>15</v>
      </c>
      <c r="B245" s="8">
        <f>SUMIFS(NAKURU!F:F,NAKURU!A:A,"8/7/24")</f>
        <v>241936</v>
      </c>
      <c r="C245" s="11">
        <f>COUNTIFS(NAKURU!A:A,"8/7/24")</f>
        <v>5</v>
      </c>
      <c r="D245" s="10">
        <f>SUMIFS(NAKURU!G:G,NAKURU!A:A,"8/7/24")</f>
        <v>0</v>
      </c>
      <c r="E245" s="11">
        <f t="shared" si="57"/>
        <v>0</v>
      </c>
      <c r="F245" s="12">
        <f t="shared" si="58"/>
        <v>0</v>
      </c>
      <c r="G245" s="9">
        <f>COUNTIFS(NAKURU!I:I,$G$18,NAKURU!A:A,"8/7/24")</f>
        <v>0</v>
      </c>
      <c r="H245" s="11">
        <f>COUNTIFS(NAKURU!I:I,$H$18,NAKURU!A:A,"8/7/24")</f>
        <v>0</v>
      </c>
      <c r="I245" s="11">
        <f>COUNTIFS(NAKURU!I:I,$I$18,NAKURU!A:A,"8/7/24")</f>
        <v>5</v>
      </c>
      <c r="J245" s="2"/>
      <c r="K245" s="2"/>
      <c r="L245" s="2"/>
      <c r="M245" s="2"/>
      <c r="N245" s="2"/>
      <c r="O245" s="2"/>
      <c r="P245" s="2"/>
      <c r="Q245" s="2"/>
      <c r="R245" s="2"/>
      <c r="S245" s="2"/>
      <c r="T245" s="2"/>
      <c r="U245" s="2"/>
      <c r="V245" s="2"/>
      <c r="W245" s="2"/>
      <c r="X245" s="2"/>
      <c r="Y245" s="2"/>
      <c r="Z245" s="2"/>
      <c r="AA245" s="2"/>
      <c r="AB245" s="2"/>
    </row>
    <row r="246">
      <c r="A246" s="7" t="s">
        <v>16</v>
      </c>
      <c r="B246" s="8">
        <f>SUMIFS(HOMABAY!F:F,HOMABAY!A:A,"8/7/24")</f>
        <v>141000</v>
      </c>
      <c r="C246" s="11">
        <f>COUNTIFS(HOMABAY!A:A,"8/7/24")</f>
        <v>3</v>
      </c>
      <c r="D246" s="10">
        <f>SUMIFS(HOMABAY!G:G,HOMABAY!A:A,"8/7/24")</f>
        <v>0</v>
      </c>
      <c r="E246" s="11">
        <f t="shared" si="57"/>
        <v>0</v>
      </c>
      <c r="F246" s="12">
        <f t="shared" si="58"/>
        <v>0</v>
      </c>
      <c r="G246" s="9">
        <f>COUNTIFS(HOMABAY!K:K,$G$18,HOMABAY!A:A,"8/7/24")</f>
        <v>0</v>
      </c>
      <c r="H246" s="11">
        <f>COUNTIFS(HOMABAY!K:K,$H$18,HOMABAY!A:A,"8/7/24")</f>
        <v>0</v>
      </c>
      <c r="I246" s="11">
        <f>COUNTIFS(HOMABAY!K:K,$I$18,HOMABAY!A:A,"8/7/24")</f>
        <v>3</v>
      </c>
      <c r="J246" s="2"/>
      <c r="K246" s="2"/>
      <c r="L246" s="2"/>
      <c r="M246" s="2"/>
      <c r="N246" s="2"/>
      <c r="O246" s="2"/>
      <c r="P246" s="2"/>
      <c r="Q246" s="2"/>
      <c r="R246" s="2"/>
      <c r="S246" s="2"/>
      <c r="T246" s="2"/>
      <c r="U246" s="2"/>
      <c r="V246" s="2"/>
      <c r="W246" s="2"/>
      <c r="X246" s="2"/>
      <c r="Y246" s="2"/>
      <c r="Z246" s="2"/>
      <c r="AA246" s="2"/>
      <c r="AB246" s="2"/>
    </row>
    <row r="247">
      <c r="A247" s="7" t="s">
        <v>17</v>
      </c>
      <c r="B247" s="8">
        <f>SUMIFS(MOMBASA!F:F,MOMBASA!A:A,"8/7/24")</f>
        <v>1482083.67</v>
      </c>
      <c r="C247" s="11">
        <f>COUNTIFS(MOMBASA!A:A,"8/7/24")</f>
        <v>23</v>
      </c>
      <c r="D247" s="27">
        <f>SUMIFS(MOMBASA!G:G,MOMBASA!A:A,"8/7/24")</f>
        <v>718906</v>
      </c>
      <c r="E247" s="11">
        <f t="shared" si="57"/>
        <v>6</v>
      </c>
      <c r="F247" s="12">
        <f t="shared" si="58"/>
        <v>0.4850643824</v>
      </c>
      <c r="G247" s="9">
        <f>COUNTIFS(MOMBASA!I:I,$G$18,MOMBASA!A:A,"8/7/24")</f>
        <v>2</v>
      </c>
      <c r="H247" s="11">
        <f>COUNTIFS(MOMBASA!I:I,$H$18,MOMBASA!A:A,"8/7/24")</f>
        <v>4</v>
      </c>
      <c r="I247" s="11">
        <f>COUNTIFS(MOMBASA!I:I,$I$18,MOMBASA!A:A,"8/7/24")</f>
        <v>17</v>
      </c>
      <c r="J247" s="2"/>
      <c r="K247" s="2"/>
      <c r="L247" s="2"/>
      <c r="M247" s="2"/>
      <c r="N247" s="2"/>
      <c r="O247" s="2"/>
      <c r="P247" s="2"/>
      <c r="Q247" s="2"/>
      <c r="R247" s="2"/>
      <c r="S247" s="2"/>
      <c r="T247" s="2"/>
      <c r="U247" s="2"/>
      <c r="V247" s="2"/>
      <c r="W247" s="2"/>
      <c r="X247" s="2"/>
      <c r="Y247" s="2"/>
      <c r="Z247" s="2"/>
      <c r="AA247" s="2"/>
      <c r="AB247" s="2"/>
    </row>
    <row r="248">
      <c r="A248" s="7" t="s">
        <v>18</v>
      </c>
      <c r="B248" s="8">
        <f>SUMIFS(KISUMU!F:F,KISUMU!A:A,"8/7/24")</f>
        <v>1479167.2</v>
      </c>
      <c r="C248" s="11">
        <f>COUNTIFS(KISUMU!A:A,"8/7/24")</f>
        <v>22</v>
      </c>
      <c r="D248" s="10">
        <f>SUMIFS(KISUMU!G:G,KISUMU!A:A,"8/7/24")</f>
        <v>103047</v>
      </c>
      <c r="E248" s="11">
        <f t="shared" si="57"/>
        <v>7</v>
      </c>
      <c r="F248" s="12">
        <f t="shared" si="58"/>
        <v>0.06966555235</v>
      </c>
      <c r="G248" s="9">
        <f>COUNTIFS(KISUMU!I:I,$G$18,KISUMU!A:A,"8/7/24")</f>
        <v>6</v>
      </c>
      <c r="H248" s="11">
        <f>COUNTIFS(KISUMU!I:I,$H$18,KISUMU!A:A,"8/7/24")</f>
        <v>1</v>
      </c>
      <c r="I248" s="11">
        <f>COUNTIFS(KISUMU!I:I,$I$18,KISUMU!A:A,"8/7/24")</f>
        <v>15</v>
      </c>
      <c r="J248" s="2"/>
      <c r="K248" s="2"/>
      <c r="L248" s="2"/>
      <c r="M248" s="2"/>
      <c r="N248" s="2"/>
      <c r="O248" s="2"/>
      <c r="P248" s="2"/>
      <c r="Q248" s="2"/>
      <c r="R248" s="2"/>
      <c r="S248" s="2"/>
      <c r="T248" s="2"/>
      <c r="U248" s="2"/>
      <c r="V248" s="2"/>
      <c r="W248" s="2"/>
      <c r="X248" s="2"/>
      <c r="Y248" s="2"/>
      <c r="Z248" s="2"/>
      <c r="AA248" s="2"/>
      <c r="AB248" s="2"/>
    </row>
    <row r="249">
      <c r="A249" s="7" t="s">
        <v>19</v>
      </c>
      <c r="B249" s="8">
        <f>SUMIFS(VOI!F:F,VOI!A:A,"8/7/24")</f>
        <v>249681</v>
      </c>
      <c r="C249" s="11">
        <f>COUNTIFS(VOI!A:A,"8/7/24")</f>
        <v>10</v>
      </c>
      <c r="D249" s="10">
        <f>SUMIFS(VOI!G:G,VOI!A:A,"8/7/24")</f>
        <v>97400</v>
      </c>
      <c r="E249" s="11">
        <f t="shared" si="57"/>
        <v>5</v>
      </c>
      <c r="F249" s="12">
        <f t="shared" si="58"/>
        <v>0.3900977647</v>
      </c>
      <c r="G249" s="9">
        <f>COUNTIFS(VOI!H:H,$G$18,VOI!A:A,"8/7/24")</f>
        <v>3</v>
      </c>
      <c r="H249" s="11">
        <f>COUNTIFS(VOI!H:H,$H$18,VOI!A:A,"8/7/24")</f>
        <v>2</v>
      </c>
      <c r="I249" s="11">
        <f>COUNTIFS(VOI!H:H,$I$18,VOI!A:A,"8/7/24")</f>
        <v>5</v>
      </c>
      <c r="J249" s="2"/>
      <c r="K249" s="2"/>
      <c r="L249" s="2"/>
      <c r="M249" s="2"/>
      <c r="N249" s="2"/>
      <c r="O249" s="2"/>
      <c r="P249" s="2"/>
      <c r="Q249" s="2"/>
      <c r="R249" s="2"/>
      <c r="S249" s="2"/>
      <c r="T249" s="2"/>
      <c r="U249" s="2"/>
      <c r="V249" s="2"/>
      <c r="W249" s="2"/>
      <c r="X249" s="2"/>
      <c r="Y249" s="2"/>
      <c r="Z249" s="2"/>
      <c r="AA249" s="2"/>
      <c r="AB249" s="2"/>
    </row>
    <row r="250">
      <c r="A250" s="7" t="s">
        <v>20</v>
      </c>
      <c r="B250" s="8">
        <f>SUMIFS(THIKA!F:F,THIKA!A:A,"8/7/24")</f>
        <v>1793912</v>
      </c>
      <c r="C250" s="11">
        <f>COUNTIFS(THIKA!A:A,"8/7/24")</f>
        <v>23</v>
      </c>
      <c r="D250" s="10">
        <f>SUMIFS(THIKA!G:G,THIKA!A:A,"8/7/24")</f>
        <v>1061296</v>
      </c>
      <c r="E250" s="11">
        <f t="shared" si="57"/>
        <v>6</v>
      </c>
      <c r="F250" s="12">
        <f t="shared" si="58"/>
        <v>0.5916098449</v>
      </c>
      <c r="G250" s="9">
        <f>COUNTIFS(THIKA!I:I,$G$18,THIKA!A:A,"8/7/24")</f>
        <v>2</v>
      </c>
      <c r="H250" s="11">
        <f>COUNTIFS(THIKA!I:I,$H$18,THIKA!A:A,"8/7/24")</f>
        <v>4</v>
      </c>
      <c r="I250" s="11">
        <f>COUNTIFS(THIKA!I:I,$I$18,THIKA!A:A,"8/7/24")</f>
        <v>17</v>
      </c>
      <c r="J250" s="2"/>
      <c r="K250" s="2"/>
      <c r="L250" s="2"/>
      <c r="M250" s="2"/>
      <c r="N250" s="2"/>
      <c r="O250" s="2"/>
      <c r="P250" s="2"/>
      <c r="Q250" s="2"/>
      <c r="R250" s="2"/>
      <c r="S250" s="2"/>
      <c r="T250" s="2"/>
      <c r="U250" s="2"/>
      <c r="V250" s="2"/>
      <c r="W250" s="2"/>
      <c r="X250" s="2"/>
      <c r="Y250" s="2"/>
      <c r="Z250" s="2"/>
      <c r="AA250" s="2"/>
      <c r="AB250" s="2"/>
    </row>
    <row r="251">
      <c r="A251" s="7" t="s">
        <v>21</v>
      </c>
      <c r="B251" s="8">
        <f>SUMIFS(KITUI!F:F,KITUI!A:A,"8/7/24")</f>
        <v>133607</v>
      </c>
      <c r="C251" s="11">
        <f>COUNTIFS(KITUI!A:A,"8/7/24")</f>
        <v>2</v>
      </c>
      <c r="D251" s="10">
        <f>SUMIFS(KITUI!G:G,KITUI!A:A,"8/7/24")</f>
        <v>14060</v>
      </c>
      <c r="E251" s="11">
        <f t="shared" si="57"/>
        <v>1</v>
      </c>
      <c r="F251" s="12">
        <f t="shared" si="58"/>
        <v>0.1052340072</v>
      </c>
      <c r="G251" s="9">
        <f>COUNTIFS(KITUI!I:I,$G$18,KITUI!A:A,"8/7/24")</f>
        <v>0</v>
      </c>
      <c r="H251" s="11">
        <f>COUNTIFS(KITUI!I:I,$H$18,KITUI!A:A,"8/7/24")</f>
        <v>1</v>
      </c>
      <c r="I251" s="11">
        <f>COUNTIFS(KITUI!I:I,$I$18,KITUI!A:A,"8/7/24")</f>
        <v>1</v>
      </c>
      <c r="J251" s="2"/>
      <c r="K251" s="2"/>
      <c r="L251" s="2"/>
      <c r="M251" s="2"/>
      <c r="N251" s="2"/>
      <c r="O251" s="2"/>
      <c r="P251" s="2"/>
      <c r="Q251" s="2"/>
      <c r="R251" s="2"/>
      <c r="S251" s="2"/>
      <c r="T251" s="2"/>
      <c r="U251" s="2"/>
      <c r="V251" s="2"/>
      <c r="W251" s="2"/>
      <c r="X251" s="2"/>
      <c r="Y251" s="2"/>
      <c r="Z251" s="2"/>
      <c r="AA251" s="2"/>
      <c r="AB251" s="2"/>
    </row>
    <row r="252">
      <c r="A252" s="15" t="s">
        <v>22</v>
      </c>
      <c r="B252" s="8">
        <f>SUMIFS(MACHAKOS!F:F,MACHAKOS!A:A,"8/7/24")</f>
        <v>140608</v>
      </c>
      <c r="C252" s="11">
        <f>COUNTIFS(MACHAKOS!A:A,"8/7/24")</f>
        <v>1</v>
      </c>
      <c r="D252" s="10">
        <f>SUMIFS(MACHAKOS!G:G,MACHAKOS!A:A,"8/7/24")</f>
        <v>0</v>
      </c>
      <c r="E252" s="11">
        <f t="shared" si="57"/>
        <v>0</v>
      </c>
      <c r="F252" s="12">
        <f t="shared" si="58"/>
        <v>0</v>
      </c>
      <c r="G252" s="9">
        <f>COUNTIFS(MACHAKOS!I:I,$G$18,MACHAKOS!A:A,"8/7/24")</f>
        <v>0</v>
      </c>
      <c r="H252" s="11">
        <f>COUNTIFS(MACHAKOS!I:I,$H$18,MACHAKOS!A:A,"8/7/24")</f>
        <v>0</v>
      </c>
      <c r="I252" s="11">
        <f>COUNTIFS(MACHAKOS!I:I,$I$18,MACHAKOS!A:A,"8/7/24")</f>
        <v>1</v>
      </c>
      <c r="J252" s="2"/>
      <c r="K252" s="2"/>
      <c r="L252" s="2"/>
      <c r="M252" s="2"/>
      <c r="N252" s="2"/>
      <c r="O252" s="2"/>
      <c r="P252" s="2"/>
      <c r="Q252" s="2"/>
      <c r="R252" s="2"/>
      <c r="S252" s="2"/>
      <c r="T252" s="2"/>
      <c r="U252" s="2"/>
      <c r="V252" s="2"/>
      <c r="W252" s="2"/>
      <c r="X252" s="2"/>
      <c r="Y252" s="2"/>
      <c r="Z252" s="2"/>
      <c r="AA252" s="2"/>
      <c r="AB252" s="2"/>
    </row>
    <row r="253">
      <c r="A253" s="16" t="s">
        <v>23</v>
      </c>
      <c r="B253" s="19">
        <f t="shared" ref="B253:E253" si="59">SUM(B240:B252)</f>
        <v>32191626.65</v>
      </c>
      <c r="C253" s="18">
        <f t="shared" si="59"/>
        <v>240</v>
      </c>
      <c r="D253" s="19">
        <f t="shared" si="59"/>
        <v>7534041</v>
      </c>
      <c r="E253" s="18">
        <f t="shared" si="59"/>
        <v>62</v>
      </c>
      <c r="F253" s="20">
        <f>D253/B253</f>
        <v>0.2340372881</v>
      </c>
      <c r="G253" s="21">
        <f t="shared" ref="G253:I253" si="60">SUM(G240:G252)</f>
        <v>29</v>
      </c>
      <c r="H253" s="21">
        <f t="shared" si="60"/>
        <v>33</v>
      </c>
      <c r="I253" s="21">
        <f t="shared" si="60"/>
        <v>178</v>
      </c>
      <c r="J253" s="2"/>
      <c r="K253" s="2"/>
      <c r="L253" s="2"/>
      <c r="M253" s="2"/>
      <c r="N253" s="2"/>
      <c r="O253" s="2"/>
      <c r="P253" s="2"/>
      <c r="Q253" s="2"/>
      <c r="R253" s="2"/>
      <c r="S253" s="2"/>
      <c r="T253" s="2"/>
      <c r="U253" s="2"/>
      <c r="V253" s="2"/>
      <c r="W253" s="2"/>
      <c r="X253" s="2"/>
      <c r="Y253" s="2"/>
      <c r="Z253" s="2"/>
      <c r="AA253" s="2"/>
      <c r="AB253" s="2"/>
    </row>
    <row r="254">
      <c r="A254" s="1" t="s">
        <v>28</v>
      </c>
      <c r="B254" s="25">
        <v>3450000.0</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1" t="s">
        <v>31</v>
      </c>
      <c r="B255" s="23">
        <v>1520000.0</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3" t="s">
        <v>1</v>
      </c>
      <c r="B257" s="5" t="s">
        <v>2</v>
      </c>
      <c r="C257" s="5" t="s">
        <v>3</v>
      </c>
      <c r="D257" s="5" t="s">
        <v>4</v>
      </c>
      <c r="E257" s="5" t="s">
        <v>5</v>
      </c>
      <c r="F257" s="26" t="s">
        <v>6</v>
      </c>
      <c r="G257" s="26" t="s">
        <v>7</v>
      </c>
      <c r="H257" s="26" t="s">
        <v>8</v>
      </c>
      <c r="I257" s="26" t="s">
        <v>9</v>
      </c>
      <c r="J257" s="2"/>
      <c r="K257" s="2"/>
      <c r="L257" s="2"/>
      <c r="M257" s="2"/>
      <c r="N257" s="2"/>
      <c r="O257" s="2"/>
      <c r="P257" s="2"/>
      <c r="Q257" s="2"/>
      <c r="R257" s="2"/>
      <c r="S257" s="2"/>
      <c r="T257" s="2"/>
      <c r="U257" s="2"/>
      <c r="V257" s="2"/>
      <c r="W257" s="2"/>
      <c r="X257" s="2"/>
      <c r="Y257" s="2"/>
      <c r="Z257" s="2"/>
      <c r="AA257" s="2"/>
      <c r="AB257" s="2"/>
    </row>
    <row r="258">
      <c r="A258" s="7" t="s">
        <v>10</v>
      </c>
      <c r="B258" s="8">
        <f>SUMIFS(ECOBANK!F:F,ECOBANK!A:A,"8/8/24")</f>
        <v>6168941.57</v>
      </c>
      <c r="C258" s="9">
        <f>COUNTIFS(ECOBANK!A:A,"8/8/24")</f>
        <v>15</v>
      </c>
      <c r="D258" s="10">
        <f>SUMIFS(ECOBANK!G:G,ECOBANK!A:A,"8/8/24")</f>
        <v>0</v>
      </c>
      <c r="E258" s="11">
        <f t="shared" ref="E258:E270" si="61">G258+H258</f>
        <v>0</v>
      </c>
      <c r="F258" s="12">
        <f t="shared" ref="F258:F270" si="62">iferror(D258/B258,0)</f>
        <v>0</v>
      </c>
      <c r="G258" s="9">
        <f>COUNTIFS(ECOBANK!I:I,$G$18,ECOBANK!A:A,"8/8/24")</f>
        <v>0</v>
      </c>
      <c r="H258" s="11">
        <f>COUNTIFS(ECOBANK!I:I,$H$18,ECOBANK!A:A,"8/8/24")</f>
        <v>0</v>
      </c>
      <c r="I258" s="11">
        <f>COUNTIFS(ECOBANK!I:I,$I$18,ECOBANK!A:A,"8/8/24")</f>
        <v>15</v>
      </c>
      <c r="J258" s="2"/>
      <c r="K258" s="2"/>
      <c r="L258" s="2"/>
      <c r="M258" s="2"/>
      <c r="N258" s="2"/>
      <c r="O258" s="2"/>
      <c r="P258" s="2"/>
      <c r="Q258" s="2"/>
      <c r="R258" s="2"/>
      <c r="S258" s="2"/>
      <c r="T258" s="2"/>
      <c r="U258" s="2"/>
      <c r="V258" s="2"/>
      <c r="W258" s="2"/>
      <c r="X258" s="2"/>
      <c r="Y258" s="2"/>
      <c r="Z258" s="2"/>
      <c r="AA258" s="2"/>
      <c r="AB258" s="2"/>
    </row>
    <row r="259">
      <c r="A259" s="7" t="s">
        <v>24</v>
      </c>
      <c r="B259" s="8">
        <f>SUMIFS('TRADE CENTER'!F:F,'TRADE CENTER'!A:A,"8/8/24")</f>
        <v>3311157.74</v>
      </c>
      <c r="C259" s="11">
        <f>COUNTIFS('TRADE CENTER'!A:A,"8/8/24")</f>
        <v>32</v>
      </c>
      <c r="D259" s="10">
        <f>SUMIFS('TRADE CENTER'!G:G,'TRADE CENTER'!A:A,"8/8/24")</f>
        <v>7200</v>
      </c>
      <c r="E259" s="11">
        <f t="shared" si="61"/>
        <v>3</v>
      </c>
      <c r="F259" s="12">
        <f t="shared" si="62"/>
        <v>0.002174466022</v>
      </c>
      <c r="G259" s="11">
        <f>COUNTIFS('TRADE CENTER'!I:I,$G$18,'TRADE CENTER'!A:A,"8/8/24")</f>
        <v>0</v>
      </c>
      <c r="H259" s="11">
        <f>COUNTIFS('TRADE CENTER'!I:I,$H$18,'TRADE CENTER'!A:A,"8/8/24")</f>
        <v>3</v>
      </c>
      <c r="I259" s="11">
        <f>COUNTIFS('TRADE CENTER'!I:I,$I$18,'TRADE CENTER'!A:A,"8/8/24")</f>
        <v>28</v>
      </c>
      <c r="J259" s="2"/>
      <c r="K259" s="2"/>
      <c r="L259" s="2"/>
      <c r="M259" s="2"/>
      <c r="N259" s="2"/>
      <c r="O259" s="2"/>
      <c r="P259" s="2"/>
      <c r="Q259" s="2"/>
      <c r="R259" s="2"/>
      <c r="S259" s="2"/>
      <c r="T259" s="2"/>
      <c r="U259" s="2"/>
      <c r="V259" s="2"/>
      <c r="W259" s="2"/>
      <c r="X259" s="2"/>
      <c r="Y259" s="2"/>
      <c r="Z259" s="2"/>
      <c r="AA259" s="2"/>
      <c r="AB259" s="2"/>
    </row>
    <row r="260">
      <c r="A260" s="7" t="s">
        <v>12</v>
      </c>
      <c r="B260" s="8">
        <f>SUMIFS(PENSION!F:F,PENSION!A:A,"8/8/2024")</f>
        <v>9099436.12</v>
      </c>
      <c r="C260" s="11">
        <f>COUNTIFS(PENSION!A:A,"8/8/24")</f>
        <v>47</v>
      </c>
      <c r="D260" s="10">
        <f>SUMIFS(PENSION!G:G,PENSION!A:A,"8/8/2024")</f>
        <v>415991</v>
      </c>
      <c r="E260" s="11">
        <f t="shared" si="61"/>
        <v>13</v>
      </c>
      <c r="F260" s="12">
        <f t="shared" si="62"/>
        <v>0.0457161295</v>
      </c>
      <c r="G260" s="9">
        <f>COUNTIFS(PENSION!I:I,$G$18,PENSION!A:A,"8/8/24")</f>
        <v>3</v>
      </c>
      <c r="H260" s="11">
        <f>COUNTIFS(PENSION!I:I,$H$18,PENSION!A:A,"8/8/24")</f>
        <v>10</v>
      </c>
      <c r="I260" s="11">
        <f>COUNTIFS(PENSION!I:I,$I$18,PENSION!A:A,"8/8/24")</f>
        <v>34</v>
      </c>
      <c r="J260" s="2"/>
      <c r="K260" s="2"/>
      <c r="L260" s="2"/>
      <c r="M260" s="2"/>
      <c r="N260" s="2"/>
      <c r="O260" s="2"/>
      <c r="P260" s="2"/>
      <c r="Q260" s="2"/>
      <c r="R260" s="2"/>
      <c r="S260" s="2"/>
      <c r="T260" s="2"/>
      <c r="U260" s="2"/>
      <c r="V260" s="2"/>
      <c r="W260" s="2"/>
      <c r="X260" s="2"/>
      <c r="Y260" s="2"/>
      <c r="Z260" s="2"/>
      <c r="AA260" s="2"/>
      <c r="AB260" s="2"/>
    </row>
    <row r="261">
      <c r="A261" s="7" t="s">
        <v>13</v>
      </c>
      <c r="B261" s="8">
        <f>SUMIFS(KITENGELA!F:F,KITENGELA!A:A,"8/5/2024")</f>
        <v>5274444.42</v>
      </c>
      <c r="C261" s="11">
        <f>COUNTIFS(KITENGELA!A:A,"8/8/24")</f>
        <v>45</v>
      </c>
      <c r="D261" s="10">
        <f>SUMIFS(KITENGELA!G:G,KITENGELA!A:A,"8/8/24")</f>
        <v>7000</v>
      </c>
      <c r="E261" s="11">
        <f t="shared" si="61"/>
        <v>2</v>
      </c>
      <c r="F261" s="12">
        <f t="shared" si="62"/>
        <v>0.001327153998</v>
      </c>
      <c r="G261" s="11">
        <f>COUNTIFS(KITENGELA!I:I,$G$18,KITENGELA!A:A,"8/8/24")</f>
        <v>2</v>
      </c>
      <c r="H261" s="11">
        <f>COUNTIFS(KITENGELA!I:I,$H$18,KITENGELA!A:A,"8/8/24")</f>
        <v>0</v>
      </c>
      <c r="I261" s="11">
        <f>COUNTIFS(KITENGELA!I:I,$I$18,KITENGELA!A:A,"8/8/24")</f>
        <v>43</v>
      </c>
      <c r="J261" s="2"/>
      <c r="K261" s="2"/>
      <c r="L261" s="2"/>
      <c r="M261" s="2"/>
      <c r="N261" s="2"/>
      <c r="O261" s="2"/>
      <c r="P261" s="2"/>
      <c r="Q261" s="2"/>
      <c r="R261" s="2"/>
      <c r="S261" s="2"/>
      <c r="T261" s="2"/>
      <c r="U261" s="2"/>
      <c r="V261" s="2"/>
      <c r="W261" s="2"/>
      <c r="X261" s="2"/>
      <c r="Y261" s="2"/>
      <c r="Z261" s="2"/>
      <c r="AA261" s="2"/>
      <c r="AB261" s="2"/>
    </row>
    <row r="262">
      <c r="A262" s="7" t="s">
        <v>14</v>
      </c>
      <c r="B262" s="8">
        <f>SUMIFS(ELDORET!F:F,ELDORET!A:A,"8/8/24")</f>
        <v>1000797.26</v>
      </c>
      <c r="C262" s="11">
        <f>COUNTIFS(ELDORET!A:A,"8/8/24")</f>
        <v>18</v>
      </c>
      <c r="D262" s="10">
        <f>SUMIFS(ELDORET!G:G,ELDORET!A:A,"8/8/24")</f>
        <v>8000</v>
      </c>
      <c r="E262" s="11">
        <f t="shared" si="61"/>
        <v>2</v>
      </c>
      <c r="F262" s="12">
        <f t="shared" si="62"/>
        <v>0.007993627001</v>
      </c>
      <c r="G262" s="11">
        <f>COUNTIFS(ELDORET!I:I,$G$18,ELDORET!A:A,"8/8/24")</f>
        <v>1</v>
      </c>
      <c r="H262" s="11">
        <f>COUNTIFS(ELDORET!I:I,$H$18,ELDORET!A:A,"8/8/24")</f>
        <v>1</v>
      </c>
      <c r="I262" s="11">
        <f>COUNTIFS(ELDORET!I:I,$I$18,ELDORET!A:A,"8/8/24")</f>
        <v>16</v>
      </c>
      <c r="J262" s="2"/>
      <c r="K262" s="2"/>
      <c r="L262" s="2"/>
      <c r="M262" s="2"/>
      <c r="N262" s="2"/>
      <c r="O262" s="2"/>
      <c r="P262" s="2"/>
      <c r="Q262" s="2"/>
      <c r="R262" s="2"/>
      <c r="S262" s="2"/>
      <c r="T262" s="2"/>
      <c r="U262" s="2"/>
      <c r="V262" s="2"/>
      <c r="W262" s="2"/>
      <c r="X262" s="2"/>
      <c r="Y262" s="2"/>
      <c r="Z262" s="2"/>
      <c r="AA262" s="2"/>
      <c r="AB262" s="2"/>
    </row>
    <row r="263">
      <c r="A263" s="7" t="s">
        <v>15</v>
      </c>
      <c r="B263" s="8">
        <f>SUMIFS(NAKURU!F:F,NAKURU!A:A,"8/8/24")</f>
        <v>490936</v>
      </c>
      <c r="C263" s="11">
        <f>COUNTIFS(NAKURU!A:A,"8/8/24")</f>
        <v>7</v>
      </c>
      <c r="D263" s="10">
        <f>SUMIFS(NAKURU!G:G,NAKURU!A:A,"8/8/24")</f>
        <v>0</v>
      </c>
      <c r="E263" s="11">
        <f t="shared" si="61"/>
        <v>0</v>
      </c>
      <c r="F263" s="12">
        <f t="shared" si="62"/>
        <v>0</v>
      </c>
      <c r="G263" s="9">
        <f>COUNTIFS(NAKURU!I:I,$G$18,NAKURU!A:A,"8/8/24")</f>
        <v>0</v>
      </c>
      <c r="H263" s="11">
        <f>COUNTIFS(NAKURU!I:I,$H$18,NAKURU!A:A,"8/8/24")</f>
        <v>0</v>
      </c>
      <c r="I263" s="11">
        <f>COUNTIFS(NAKURU!I:I,$I$18,NAKURU!A:A,"8/8/24")</f>
        <v>7</v>
      </c>
      <c r="J263" s="2"/>
      <c r="K263" s="2"/>
      <c r="L263" s="2"/>
      <c r="M263" s="2"/>
      <c r="N263" s="2"/>
      <c r="O263" s="2"/>
      <c r="P263" s="2"/>
      <c r="Q263" s="2"/>
      <c r="R263" s="2"/>
      <c r="S263" s="2"/>
      <c r="T263" s="2"/>
      <c r="U263" s="2"/>
      <c r="V263" s="2"/>
      <c r="W263" s="2"/>
      <c r="X263" s="2"/>
      <c r="Y263" s="2"/>
      <c r="Z263" s="2"/>
      <c r="AA263" s="2"/>
      <c r="AB263" s="2"/>
    </row>
    <row r="264">
      <c r="A264" s="7" t="s">
        <v>16</v>
      </c>
      <c r="B264" s="8">
        <f>SUMIFS(HOMABAY!F:F,HOMABAY!A:A,"8/8/24")</f>
        <v>64000</v>
      </c>
      <c r="C264" s="11">
        <f>COUNTIFS(HOMABAY!A:A,"8/8/24")</f>
        <v>2</v>
      </c>
      <c r="D264" s="10">
        <f>SUMIFS(HOMABAY!G:G,HOMABAY!A:A,"8/8/24")</f>
        <v>6000</v>
      </c>
      <c r="E264" s="11">
        <f t="shared" si="61"/>
        <v>1</v>
      </c>
      <c r="F264" s="12">
        <f t="shared" si="62"/>
        <v>0.09375</v>
      </c>
      <c r="G264" s="9">
        <f>COUNTIFS(HOMABAY!K:K,$G$18,HOMABAY!A:A,"8/8/24")</f>
        <v>1</v>
      </c>
      <c r="H264" s="11">
        <f>COUNTIFS(HOMABAY!K:K,$H$18,HOMABAY!A:A,"8/8/24")</f>
        <v>0</v>
      </c>
      <c r="I264" s="11">
        <f>COUNTIFS(HOMABAY!K:K,$I$18,HOMABAY!A:A,"8/8/24")</f>
        <v>1</v>
      </c>
      <c r="J264" s="2"/>
      <c r="K264" s="2"/>
      <c r="L264" s="2"/>
      <c r="M264" s="2"/>
      <c r="N264" s="2"/>
      <c r="O264" s="2"/>
      <c r="P264" s="2"/>
      <c r="Q264" s="2"/>
      <c r="R264" s="2"/>
      <c r="S264" s="2"/>
      <c r="T264" s="2"/>
      <c r="U264" s="2"/>
      <c r="V264" s="2"/>
      <c r="W264" s="2"/>
      <c r="X264" s="2"/>
      <c r="Y264" s="2"/>
      <c r="Z264" s="2"/>
      <c r="AA264" s="2"/>
      <c r="AB264" s="2"/>
    </row>
    <row r="265">
      <c r="A265" s="7" t="s">
        <v>17</v>
      </c>
      <c r="B265" s="8">
        <f>SUMIFS(MOMBASA!F:F,MOMBASA!A:A,"8/8/24")</f>
        <v>3402701.1</v>
      </c>
      <c r="C265" s="11">
        <f>COUNTIFS(MOMBASA!A:A,"8/8/24")</f>
        <v>20</v>
      </c>
      <c r="D265" s="27">
        <f>SUMIFS(MOMBASA!G:G,MOMBASA!A:A,"8/8/24")</f>
        <v>712747</v>
      </c>
      <c r="E265" s="11">
        <f t="shared" si="61"/>
        <v>8</v>
      </c>
      <c r="F265" s="12">
        <f t="shared" si="62"/>
        <v>0.2094650629</v>
      </c>
      <c r="G265" s="9">
        <f>COUNTIFS(MOMBASA!I:I,$G$18,MOMBASA!A:A,"8/8/24")</f>
        <v>0</v>
      </c>
      <c r="H265" s="11">
        <f>COUNTIFS(MOMBASA!I:I,$H$18,MOMBASA!A:A,"8/8/24")</f>
        <v>8</v>
      </c>
      <c r="I265" s="11">
        <f>COUNTIFS(MOMBASA!I:I,$I$18,MOMBASA!A:A,"8/8/24")</f>
        <v>12</v>
      </c>
      <c r="J265" s="2"/>
      <c r="K265" s="2"/>
      <c r="L265" s="2"/>
      <c r="M265" s="2"/>
      <c r="N265" s="2"/>
      <c r="O265" s="2"/>
      <c r="P265" s="2"/>
      <c r="Q265" s="2"/>
      <c r="R265" s="2"/>
      <c r="S265" s="2"/>
      <c r="T265" s="2"/>
      <c r="U265" s="2"/>
      <c r="V265" s="2"/>
      <c r="W265" s="2"/>
      <c r="X265" s="2"/>
      <c r="Y265" s="2"/>
      <c r="Z265" s="2"/>
      <c r="AA265" s="2"/>
      <c r="AB265" s="2"/>
    </row>
    <row r="266">
      <c r="A266" s="7" t="s">
        <v>18</v>
      </c>
      <c r="B266" s="8">
        <f>SUMIFS(KISUMU!F:F,KISUMU!A:A,"8/8/24")</f>
        <v>1590738.53</v>
      </c>
      <c r="C266" s="11">
        <f>COUNTIFS(KISUMU!A:A,"8/8/24")</f>
        <v>25</v>
      </c>
      <c r="D266" s="10">
        <f>SUMIFS(KISUMU!G:G,KISUMU!A:A,"8/8/24")</f>
        <v>28900</v>
      </c>
      <c r="E266" s="11">
        <f t="shared" si="61"/>
        <v>5</v>
      </c>
      <c r="F266" s="12">
        <f t="shared" si="62"/>
        <v>0.01816766204</v>
      </c>
      <c r="G266" s="9">
        <f>COUNTIFS(KISUMU!I:I,$G$18,KISUMU!A:A,"8/8/24")</f>
        <v>3</v>
      </c>
      <c r="H266" s="11">
        <f>COUNTIFS(KISUMU!I:I,$H$18,KISUMU!A:A,"8/8/24")</f>
        <v>2</v>
      </c>
      <c r="I266" s="11">
        <f>COUNTIFS(KISUMU!I:I,$I$18,KISUMU!A:A,"8/8/24")</f>
        <v>20</v>
      </c>
      <c r="J266" s="2"/>
      <c r="K266" s="2"/>
      <c r="L266" s="2"/>
      <c r="M266" s="2"/>
      <c r="N266" s="2"/>
      <c r="O266" s="2"/>
      <c r="P266" s="2"/>
      <c r="Q266" s="2"/>
      <c r="R266" s="2"/>
      <c r="S266" s="2"/>
      <c r="T266" s="2"/>
      <c r="U266" s="2"/>
      <c r="V266" s="2"/>
      <c r="W266" s="2"/>
      <c r="X266" s="2"/>
      <c r="Y266" s="2"/>
      <c r="Z266" s="2"/>
      <c r="AA266" s="2"/>
      <c r="AB266" s="2"/>
    </row>
    <row r="267">
      <c r="A267" s="7" t="s">
        <v>19</v>
      </c>
      <c r="B267" s="8">
        <f>SUMIFS(VOI!F:F,VOI!A:A,"8/8/24")</f>
        <v>150522</v>
      </c>
      <c r="C267" s="11">
        <f>COUNTIFS(VOI!A:A,"8/8/24")</f>
        <v>8</v>
      </c>
      <c r="D267" s="10">
        <f>SUMIFS(VOI!G:G,VOI!A:A,"8/8/24")</f>
        <v>19536</v>
      </c>
      <c r="E267" s="11">
        <f t="shared" si="61"/>
        <v>2</v>
      </c>
      <c r="F267" s="12">
        <f t="shared" si="62"/>
        <v>0.1297883366</v>
      </c>
      <c r="G267" s="9">
        <f>COUNTIFS(VOI!H:H,$G$18,VOI!A:A,"8/8/24")</f>
        <v>1</v>
      </c>
      <c r="H267" s="11">
        <f>COUNTIFS(VOI!H:H,$H$18,VOI!A:A,"8/8/24")</f>
        <v>1</v>
      </c>
      <c r="I267" s="11">
        <f>COUNTIFS(VOI!H:H,$I$18,VOI!A:A,"8/8/24")</f>
        <v>6</v>
      </c>
      <c r="J267" s="2"/>
      <c r="K267" s="2"/>
      <c r="L267" s="2"/>
      <c r="M267" s="2"/>
      <c r="N267" s="2"/>
      <c r="O267" s="2"/>
      <c r="P267" s="2"/>
      <c r="Q267" s="2"/>
      <c r="R267" s="2"/>
      <c r="S267" s="2"/>
      <c r="T267" s="2"/>
      <c r="U267" s="2"/>
      <c r="V267" s="2"/>
      <c r="W267" s="2"/>
      <c r="X267" s="2"/>
      <c r="Y267" s="2"/>
      <c r="Z267" s="2"/>
      <c r="AA267" s="2"/>
      <c r="AB267" s="2"/>
    </row>
    <row r="268">
      <c r="A268" s="7" t="s">
        <v>20</v>
      </c>
      <c r="B268" s="8">
        <f>SUMIFS(THIKA!F:F,THIKA!A:A,"8/8/24")</f>
        <v>1661583.64</v>
      </c>
      <c r="C268" s="11">
        <f>COUNTIFS(THIKA!A:A,"8/8/24")</f>
        <v>19</v>
      </c>
      <c r="D268" s="10">
        <f>SUMIFS(THIKA!G:G,THIKA!A:A,"8/8/24")</f>
        <v>72000</v>
      </c>
      <c r="E268" s="11">
        <f t="shared" si="61"/>
        <v>5</v>
      </c>
      <c r="F268" s="12">
        <f t="shared" si="62"/>
        <v>0.0433321551</v>
      </c>
      <c r="G268" s="9">
        <f>COUNTIFS(THIKA!I:I,$G$18,THIKA!A:A,"8/8/24")</f>
        <v>3</v>
      </c>
      <c r="H268" s="11">
        <f>COUNTIFS(THIKA!I:I,$H$18,THIKA!A:A,"8/8/24")</f>
        <v>2</v>
      </c>
      <c r="I268" s="11">
        <f>COUNTIFS(THIKA!I:I,$I$18,THIKA!A:A,"8/8/24")</f>
        <v>14</v>
      </c>
      <c r="J268" s="2"/>
      <c r="K268" s="1" t="s">
        <v>0</v>
      </c>
      <c r="L268" s="2"/>
      <c r="M268" s="2"/>
      <c r="N268" s="2"/>
      <c r="O268" s="2"/>
      <c r="P268" s="2"/>
      <c r="Q268" s="2"/>
      <c r="R268" s="2"/>
      <c r="S268" s="2"/>
      <c r="T268" s="2"/>
      <c r="U268" s="2"/>
      <c r="V268" s="2"/>
      <c r="W268" s="2"/>
      <c r="X268" s="2"/>
      <c r="Y268" s="2"/>
      <c r="Z268" s="2"/>
      <c r="AA268" s="2"/>
      <c r="AB268" s="2"/>
    </row>
    <row r="269">
      <c r="A269" s="7" t="s">
        <v>21</v>
      </c>
      <c r="B269" s="8">
        <f>SUMIFS(KITUI!F:F,KITUI!A:A,"8/8/24")</f>
        <v>147395</v>
      </c>
      <c r="C269" s="11">
        <f>COUNTIFS(KITUI!A:A,"8/8/24")</f>
        <v>3</v>
      </c>
      <c r="D269" s="10">
        <f>SUMIFS(KITUI!G:G,KITUI!A:A,"8/8/24")</f>
        <v>0</v>
      </c>
      <c r="E269" s="11">
        <f t="shared" si="61"/>
        <v>0</v>
      </c>
      <c r="F269" s="12">
        <f t="shared" si="62"/>
        <v>0</v>
      </c>
      <c r="G269" s="9">
        <f>COUNTIFS(KITUI!I:I,$G$18,KITUI!A:A,"8/8/24")</f>
        <v>0</v>
      </c>
      <c r="H269" s="11">
        <f>COUNTIFS(KITUI!I:I,$H$18,KITUI!A:A,"8/8/24")</f>
        <v>0</v>
      </c>
      <c r="I269" s="11">
        <f>COUNTIFS(KITUI!I:I,$I$18,KITUI!A:A,"8/8/24")</f>
        <v>3</v>
      </c>
      <c r="J269" s="2"/>
      <c r="K269" s="2"/>
      <c r="L269" s="2"/>
      <c r="M269" s="2"/>
      <c r="N269" s="2"/>
      <c r="O269" s="2"/>
      <c r="P269" s="2"/>
      <c r="Q269" s="2"/>
      <c r="R269" s="2"/>
      <c r="S269" s="2"/>
      <c r="T269" s="2"/>
      <c r="U269" s="2"/>
      <c r="V269" s="2"/>
      <c r="W269" s="2"/>
      <c r="X269" s="2"/>
      <c r="Y269" s="2"/>
      <c r="Z269" s="2"/>
      <c r="AA269" s="2"/>
      <c r="AB269" s="2"/>
    </row>
    <row r="270">
      <c r="A270" s="15" t="s">
        <v>22</v>
      </c>
      <c r="B270" s="8">
        <f>SUMIFS(MACHAKOS!F:F,MACHAKOS!A:A,"8/8/24")</f>
        <v>215953.97</v>
      </c>
      <c r="C270" s="11">
        <f>COUNTIFS(MACHAKOS!A:A,"8/8/24")</f>
        <v>2</v>
      </c>
      <c r="D270" s="10">
        <f>SUMIFS(MACHAKOS!G:G,MACHAKOS!A:A,"8/8/24")</f>
        <v>0</v>
      </c>
      <c r="E270" s="11">
        <f t="shared" si="61"/>
        <v>0</v>
      </c>
      <c r="F270" s="12">
        <f t="shared" si="62"/>
        <v>0</v>
      </c>
      <c r="G270" s="9">
        <f>COUNTIFS(MACHAKOS!I:I,$G$18,MACHAKOS!A:A,"8/8/24")</f>
        <v>0</v>
      </c>
      <c r="H270" s="11">
        <f>COUNTIFS(MACHAKOS!I:I,$H$18,MACHAKOS!A:A,"8/8/24")</f>
        <v>0</v>
      </c>
      <c r="I270" s="11">
        <f>COUNTIFS(MACHAKOS!I:I,$I$18,MACHAKOS!A:A,"8/8/24")</f>
        <v>2</v>
      </c>
      <c r="J270" s="2"/>
      <c r="K270" s="2"/>
      <c r="L270" s="2"/>
      <c r="M270" s="2"/>
      <c r="N270" s="2"/>
      <c r="O270" s="2"/>
      <c r="P270" s="2"/>
      <c r="Q270" s="2"/>
      <c r="R270" s="2"/>
      <c r="S270" s="2"/>
      <c r="T270" s="2"/>
      <c r="U270" s="2"/>
      <c r="V270" s="2"/>
      <c r="W270" s="2"/>
      <c r="X270" s="2"/>
      <c r="Y270" s="2"/>
      <c r="Z270" s="2"/>
      <c r="AA270" s="2"/>
      <c r="AB270" s="2"/>
    </row>
    <row r="271">
      <c r="A271" s="16" t="s">
        <v>23</v>
      </c>
      <c r="B271" s="19">
        <f t="shared" ref="B271:E271" si="63">SUM(B258:B270)</f>
        <v>32578607.35</v>
      </c>
      <c r="C271" s="18">
        <f t="shared" si="63"/>
        <v>243</v>
      </c>
      <c r="D271" s="19">
        <f t="shared" si="63"/>
        <v>1277374</v>
      </c>
      <c r="E271" s="18">
        <f t="shared" si="63"/>
        <v>41</v>
      </c>
      <c r="F271" s="20">
        <f>D271/B271</f>
        <v>0.0392089811</v>
      </c>
      <c r="G271" s="21">
        <f t="shared" ref="G271:I271" si="64">SUM(G258:G270)</f>
        <v>14</v>
      </c>
      <c r="H271" s="21">
        <f t="shared" si="64"/>
        <v>27</v>
      </c>
      <c r="I271" s="21">
        <f t="shared" si="64"/>
        <v>201</v>
      </c>
      <c r="J271" s="2"/>
      <c r="K271" s="2"/>
      <c r="L271" s="2"/>
      <c r="M271" s="2"/>
      <c r="N271" s="2"/>
      <c r="O271" s="2"/>
      <c r="P271" s="2"/>
      <c r="Q271" s="2"/>
      <c r="R271" s="2"/>
      <c r="S271" s="2"/>
      <c r="T271" s="2"/>
      <c r="U271" s="2"/>
      <c r="V271" s="2"/>
      <c r="W271" s="2"/>
      <c r="X271" s="2"/>
      <c r="Y271" s="2"/>
      <c r="Z271" s="2"/>
      <c r="AA271" s="2"/>
      <c r="AB271" s="2"/>
    </row>
    <row r="272">
      <c r="A272" s="1" t="s">
        <v>32</v>
      </c>
      <c r="B272" s="25">
        <v>4850000.0</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1" t="s">
        <v>31</v>
      </c>
      <c r="B273" s="25">
        <v>2600000.0</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3" t="s">
        <v>1</v>
      </c>
      <c r="B275" s="5" t="s">
        <v>2</v>
      </c>
      <c r="C275" s="5" t="s">
        <v>3</v>
      </c>
      <c r="D275" s="5" t="s">
        <v>4</v>
      </c>
      <c r="E275" s="5" t="s">
        <v>5</v>
      </c>
      <c r="F275" s="26" t="s">
        <v>6</v>
      </c>
      <c r="G275" s="26" t="s">
        <v>7</v>
      </c>
      <c r="H275" s="26" t="s">
        <v>8</v>
      </c>
      <c r="I275" s="26" t="s">
        <v>9</v>
      </c>
      <c r="J275" s="2"/>
      <c r="K275" s="2"/>
      <c r="L275" s="2"/>
      <c r="M275" s="2"/>
      <c r="N275" s="2"/>
      <c r="O275" s="2"/>
      <c r="P275" s="2"/>
      <c r="Q275" s="2"/>
      <c r="R275" s="2"/>
      <c r="S275" s="2"/>
      <c r="T275" s="2"/>
      <c r="U275" s="2"/>
      <c r="V275" s="2"/>
      <c r="W275" s="2"/>
      <c r="X275" s="2"/>
      <c r="Y275" s="2"/>
      <c r="Z275" s="2"/>
      <c r="AA275" s="2"/>
      <c r="AB275" s="2"/>
    </row>
    <row r="276">
      <c r="A276" s="7" t="s">
        <v>10</v>
      </c>
      <c r="B276" s="8">
        <f>SUMIFS(ECOBANK!F:F,ECOBANK!A:A,"8/9/24")</f>
        <v>7340482.57</v>
      </c>
      <c r="C276" s="9">
        <f>COUNTIFS(ECOBANK!A:A,"8/9/24")</f>
        <v>19</v>
      </c>
      <c r="D276" s="10">
        <f>SUMIFS(ECOBANK!G:G,ECOBANK!A:A,"8/9/24")</f>
        <v>372274</v>
      </c>
      <c r="E276" s="11">
        <f t="shared" ref="E276:E288" si="65">G276+H276</f>
        <v>3</v>
      </c>
      <c r="F276" s="12">
        <f t="shared" ref="F276:F289" si="66">iferror(D276/B276,0)</f>
        <v>0.05071519433</v>
      </c>
      <c r="G276" s="9">
        <f>COUNTIFS(ECOBANK!I:I,$G$18,ECOBANK!A:A,"8/9/24")</f>
        <v>2</v>
      </c>
      <c r="H276" s="11">
        <f>COUNTIFS(ECOBANK!I:I,$H$18,ECOBANK!A:A,"8/9/24")</f>
        <v>1</v>
      </c>
      <c r="I276" s="11">
        <f>COUNTIFS(ECOBANK!I:I,$I$18,ECOBANK!A:A,"8/9/24")</f>
        <v>16</v>
      </c>
      <c r="J276" s="2"/>
      <c r="K276" s="2"/>
      <c r="L276" s="2"/>
      <c r="M276" s="2"/>
      <c r="N276" s="2"/>
      <c r="O276" s="2"/>
      <c r="P276" s="2"/>
      <c r="Q276" s="2"/>
      <c r="R276" s="2"/>
      <c r="S276" s="2"/>
      <c r="T276" s="2"/>
      <c r="U276" s="2"/>
      <c r="V276" s="2"/>
      <c r="W276" s="2"/>
      <c r="X276" s="2"/>
      <c r="Y276" s="2"/>
      <c r="Z276" s="2"/>
      <c r="AA276" s="2"/>
      <c r="AB276" s="2"/>
    </row>
    <row r="277">
      <c r="A277" s="7" t="s">
        <v>24</v>
      </c>
      <c r="B277" s="8">
        <f>SUMIFS('TRADE CENTER'!F:F,'TRADE CENTER'!A:A,"8/9/24")</f>
        <v>5760510.93</v>
      </c>
      <c r="C277" s="11">
        <f>COUNTIFS('TRADE CENTER'!A:A,"8/9/24")</f>
        <v>35</v>
      </c>
      <c r="D277" s="10">
        <f>SUMIFS('TRADE CENTER'!G:G,'TRADE CENTER'!A:A,"8/9/24")</f>
        <v>373611</v>
      </c>
      <c r="E277" s="11">
        <f t="shared" si="65"/>
        <v>5</v>
      </c>
      <c r="F277" s="12">
        <f t="shared" si="66"/>
        <v>0.06485726779</v>
      </c>
      <c r="G277" s="11">
        <f>COUNTIFS('TRADE CENTER'!I:I,$G$18,'TRADE CENTER'!A:A,"8/9/24")</f>
        <v>3</v>
      </c>
      <c r="H277" s="11">
        <f>COUNTIFS('TRADE CENTER'!I:I,$H$18,'TRADE CENTER'!A:A,"8/9/24")</f>
        <v>2</v>
      </c>
      <c r="I277" s="11">
        <f>COUNTIFS('TRADE CENTER'!I:I,$I$18,'TRADE CENTER'!A:A,"8/9/24")</f>
        <v>30</v>
      </c>
      <c r="J277" s="2"/>
      <c r="K277" s="2"/>
      <c r="L277" s="2"/>
      <c r="M277" s="2"/>
      <c r="N277" s="2"/>
      <c r="O277" s="2"/>
      <c r="P277" s="2"/>
      <c r="Q277" s="2"/>
      <c r="R277" s="2"/>
      <c r="S277" s="2"/>
      <c r="T277" s="2"/>
      <c r="U277" s="2"/>
      <c r="V277" s="2"/>
      <c r="W277" s="2"/>
      <c r="X277" s="2"/>
      <c r="Y277" s="2"/>
      <c r="Z277" s="2"/>
      <c r="AA277" s="2"/>
      <c r="AB277" s="2"/>
    </row>
    <row r="278">
      <c r="A278" s="7" t="s">
        <v>12</v>
      </c>
      <c r="B278" s="8">
        <f>SUMIFS(PENSION!F:F,PENSION!A:A,"8/9/2024")</f>
        <v>7440347.92</v>
      </c>
      <c r="C278" s="11">
        <f>COUNTIFS(PENSION!A:A,"8/9/24")</f>
        <v>47</v>
      </c>
      <c r="D278" s="10">
        <f>SUMIFS(PENSION!G:G,PENSION!A:A,"8/9/2024")</f>
        <v>1265825</v>
      </c>
      <c r="E278" s="11">
        <f t="shared" si="65"/>
        <v>13</v>
      </c>
      <c r="F278" s="12">
        <f t="shared" si="66"/>
        <v>0.170129813</v>
      </c>
      <c r="G278" s="9">
        <f>COUNTIFS(PENSION!I:I,$G$18,PENSION!A:A,"8/9/24")</f>
        <v>5</v>
      </c>
      <c r="H278" s="11">
        <f>COUNTIFS(PENSION!I:I,$H$18,PENSION!A:A,"8/9/24")</f>
        <v>8</v>
      </c>
      <c r="I278" s="11">
        <f>COUNTIFS(PENSION!I:I,$I$18,PENSION!A:A,"8/9/24")</f>
        <v>34</v>
      </c>
      <c r="J278" s="2"/>
      <c r="K278" s="2"/>
      <c r="L278" s="2"/>
      <c r="M278" s="2"/>
      <c r="N278" s="2"/>
      <c r="O278" s="2"/>
      <c r="P278" s="2"/>
      <c r="Q278" s="2"/>
      <c r="R278" s="2"/>
      <c r="S278" s="2"/>
      <c r="T278" s="2"/>
      <c r="U278" s="2"/>
      <c r="V278" s="2"/>
      <c r="W278" s="2"/>
      <c r="X278" s="2"/>
      <c r="Y278" s="2"/>
      <c r="Z278" s="2"/>
      <c r="AA278" s="2"/>
      <c r="AB278" s="2"/>
    </row>
    <row r="279">
      <c r="A279" s="7" t="s">
        <v>13</v>
      </c>
      <c r="B279" s="8">
        <f>SUMIFS(KITENGELA!F:F,KITENGELA!A:A,"8/5/2024")</f>
        <v>5274444.42</v>
      </c>
      <c r="C279" s="11">
        <f>COUNTIFS(KITENGELA!A:A,"8/9/24")</f>
        <v>38</v>
      </c>
      <c r="D279" s="10">
        <f>SUMIFS(KITENGELA!G:G,KITENGELA!A:A,"8/9/24")</f>
        <v>1421080</v>
      </c>
      <c r="E279" s="11">
        <f t="shared" si="65"/>
        <v>11</v>
      </c>
      <c r="F279" s="12">
        <f t="shared" si="66"/>
        <v>0.2694274291</v>
      </c>
      <c r="G279" s="11">
        <f>COUNTIFS(KITENGELA!I:I,$G$18,KITENGELA!A:A,"8/9/24")</f>
        <v>6</v>
      </c>
      <c r="H279" s="11">
        <f>COUNTIFS(KITENGELA!I:I,$H$18,KITENGELA!A:A,"8/9/24")</f>
        <v>5</v>
      </c>
      <c r="I279" s="11">
        <f>COUNTIFS(KITENGELA!I:I,$I$18,KITENGELA!A:A,"8/9/24")</f>
        <v>27</v>
      </c>
      <c r="J279" s="2"/>
      <c r="K279" s="2"/>
      <c r="L279" s="2"/>
      <c r="M279" s="2"/>
      <c r="N279" s="2"/>
      <c r="O279" s="2"/>
      <c r="P279" s="2"/>
      <c r="Q279" s="2"/>
      <c r="R279" s="2"/>
      <c r="S279" s="2"/>
      <c r="T279" s="2"/>
      <c r="U279" s="2"/>
      <c r="V279" s="2"/>
      <c r="W279" s="2"/>
      <c r="X279" s="2"/>
      <c r="Y279" s="2"/>
      <c r="Z279" s="2"/>
      <c r="AA279" s="2"/>
      <c r="AB279" s="2"/>
    </row>
    <row r="280">
      <c r="A280" s="7" t="s">
        <v>14</v>
      </c>
      <c r="B280" s="8">
        <f>SUMIFS(ELDORET!F:F,ELDORET!A:A,"8/9/24")</f>
        <v>1093585.26</v>
      </c>
      <c r="C280" s="11">
        <f>COUNTIFS(ELDORET!A:A,"8/9/24")</f>
        <v>21</v>
      </c>
      <c r="D280" s="10">
        <f>SUMIFS(ELDORET!G:G,ELDORET!A:A,"8/9/24")</f>
        <v>19500</v>
      </c>
      <c r="E280" s="11">
        <f t="shared" si="65"/>
        <v>3</v>
      </c>
      <c r="F280" s="12">
        <f t="shared" si="66"/>
        <v>0.01783125716</v>
      </c>
      <c r="G280" s="11">
        <f>COUNTIFS(ELDORET!I:I,$G$18,ELDORET!A:A,"8/9/24")</f>
        <v>1</v>
      </c>
      <c r="H280" s="11">
        <f>COUNTIFS(ELDORET!I:I,$H$18,ELDORET!A:A,"8/9/24")</f>
        <v>2</v>
      </c>
      <c r="I280" s="11">
        <f>COUNTIFS(ELDORET!I:I,$I$18,ELDORET!A:A,"8/9/24")</f>
        <v>18</v>
      </c>
      <c r="J280" s="2"/>
      <c r="K280" s="2"/>
      <c r="L280" s="2"/>
      <c r="M280" s="2"/>
      <c r="N280" s="2"/>
      <c r="O280" s="2"/>
      <c r="P280" s="2"/>
      <c r="Q280" s="2"/>
      <c r="R280" s="2"/>
      <c r="S280" s="2"/>
      <c r="T280" s="2"/>
      <c r="U280" s="2"/>
      <c r="V280" s="2"/>
      <c r="W280" s="2"/>
      <c r="X280" s="2"/>
      <c r="Y280" s="2"/>
      <c r="Z280" s="2"/>
      <c r="AA280" s="2"/>
      <c r="AB280" s="2"/>
    </row>
    <row r="281">
      <c r="A281" s="7" t="s">
        <v>15</v>
      </c>
      <c r="B281" s="8">
        <f>SUMIFS(NAKURU!F:F,NAKURU!A:A,"8/9/24")</f>
        <v>297640</v>
      </c>
      <c r="C281" s="11">
        <f>COUNTIFS(NAKURU!A:A,"8/9/24")</f>
        <v>7</v>
      </c>
      <c r="D281" s="10">
        <f>SUMIFS(NAKURU!G:G,NAKURU!A:A,"8/9/24")</f>
        <v>48500</v>
      </c>
      <c r="E281" s="11">
        <f t="shared" si="65"/>
        <v>1</v>
      </c>
      <c r="F281" s="12">
        <f t="shared" si="66"/>
        <v>0.1629485284</v>
      </c>
      <c r="G281" s="9">
        <f>COUNTIFS(NAKURU!I:I,$G$18,NAKURU!A:A,"8/9/24")</f>
        <v>0</v>
      </c>
      <c r="H281" s="11">
        <f>COUNTIFS(NAKURU!I:I,$H$18,NAKURU!A:A,"8/9/24")</f>
        <v>1</v>
      </c>
      <c r="I281" s="11">
        <f>COUNTIFS(NAKURU!I:I,$I$18,NAKURU!A:A,"8/9/24")</f>
        <v>6</v>
      </c>
      <c r="J281" s="2"/>
      <c r="K281" s="2"/>
      <c r="L281" s="2"/>
      <c r="M281" s="2"/>
      <c r="N281" s="2"/>
      <c r="O281" s="2"/>
      <c r="P281" s="2"/>
      <c r="Q281" s="2"/>
      <c r="R281" s="2"/>
      <c r="S281" s="2"/>
      <c r="T281" s="2"/>
      <c r="U281" s="2"/>
      <c r="V281" s="2"/>
      <c r="W281" s="2"/>
      <c r="X281" s="2"/>
      <c r="Y281" s="2"/>
      <c r="Z281" s="2"/>
      <c r="AA281" s="2"/>
      <c r="AB281" s="2"/>
    </row>
    <row r="282">
      <c r="A282" s="7" t="s">
        <v>16</v>
      </c>
      <c r="B282" s="8">
        <f>SUMIFS(HOMABAY!F:F,HOMABAY!A:A,"8/9/24")</f>
        <v>165000</v>
      </c>
      <c r="C282" s="11">
        <f>COUNTIFS(HOMABAY!A:A,"8/9/24")</f>
        <v>3</v>
      </c>
      <c r="D282" s="10">
        <f>SUMIFS(HOMABAY!G:G,HOMABAY!A:A,"8/9/24")</f>
        <v>95000</v>
      </c>
      <c r="E282" s="11">
        <f t="shared" si="65"/>
        <v>1</v>
      </c>
      <c r="F282" s="12">
        <f t="shared" si="66"/>
        <v>0.5757575758</v>
      </c>
      <c r="G282" s="9">
        <f>COUNTIFS(HOMABAY!K:K,$G$18,HOMABAY!A:A,"8/9/24")</f>
        <v>0</v>
      </c>
      <c r="H282" s="11">
        <f>COUNTIFS(HOMABAY!K:K,$H$18,HOMABAY!A:A,"8/9/24")</f>
        <v>1</v>
      </c>
      <c r="I282" s="11">
        <f>COUNTIFS(HOMABAY!K:K,$I$18,HOMABAY!A:A,"8/9/24")</f>
        <v>2</v>
      </c>
      <c r="J282" s="2"/>
      <c r="K282" s="2"/>
      <c r="L282" s="2"/>
      <c r="M282" s="2"/>
      <c r="N282" s="2"/>
      <c r="O282" s="2"/>
      <c r="P282" s="2"/>
      <c r="Q282" s="2"/>
      <c r="R282" s="2"/>
      <c r="S282" s="2"/>
      <c r="T282" s="2"/>
      <c r="U282" s="2"/>
      <c r="V282" s="2"/>
      <c r="W282" s="2"/>
      <c r="X282" s="2"/>
      <c r="Y282" s="2"/>
      <c r="Z282" s="2"/>
      <c r="AA282" s="2"/>
      <c r="AB282" s="2"/>
    </row>
    <row r="283">
      <c r="A283" s="7" t="s">
        <v>17</v>
      </c>
      <c r="B283" s="8">
        <f>SUMIFS(MOMBASA!F:F,MOMBASA!A:A,"8/9/24")</f>
        <v>1156983.41</v>
      </c>
      <c r="C283" s="11">
        <f>COUNTIFS(MOMBASA!A:A,"8/9/24")</f>
        <v>21</v>
      </c>
      <c r="D283" s="27">
        <f>SUMIFS(MOMBASA!G:G,MOMBASA!A:A,"8/9/24")</f>
        <v>244760</v>
      </c>
      <c r="E283" s="11">
        <f t="shared" si="65"/>
        <v>5</v>
      </c>
      <c r="F283" s="12">
        <f t="shared" si="66"/>
        <v>0.211550138</v>
      </c>
      <c r="G283" s="9">
        <f>COUNTIFS(MOMBASA!I:I,$G$18,MOMBASA!A:A,"8/9/24")</f>
        <v>0</v>
      </c>
      <c r="H283" s="11">
        <f>COUNTIFS(MOMBASA!I:I,$H$18,MOMBASA!A:A,"8/9/24")</f>
        <v>5</v>
      </c>
      <c r="I283" s="11">
        <f>COUNTIFS(MOMBASA!I:I,$I$18,MOMBASA!A:A,"8/9/24")</f>
        <v>16</v>
      </c>
      <c r="J283" s="2"/>
      <c r="K283" s="2"/>
      <c r="L283" s="2"/>
      <c r="M283" s="2"/>
      <c r="N283" s="2"/>
      <c r="O283" s="2"/>
      <c r="P283" s="2"/>
      <c r="Q283" s="2"/>
      <c r="R283" s="2"/>
      <c r="S283" s="2"/>
      <c r="T283" s="2"/>
      <c r="U283" s="2"/>
      <c r="V283" s="2"/>
      <c r="W283" s="2"/>
      <c r="X283" s="2"/>
      <c r="Y283" s="2"/>
      <c r="Z283" s="2"/>
      <c r="AA283" s="2"/>
      <c r="AB283" s="2"/>
    </row>
    <row r="284">
      <c r="A284" s="7" t="s">
        <v>18</v>
      </c>
      <c r="B284" s="8">
        <f>SUMIFS(KISUMU!F:F,KISUMU!A:A,"8/9/24")</f>
        <v>1511170.2</v>
      </c>
      <c r="C284" s="11">
        <f>COUNTIFS(KISUMU!A:A,"8/9/24")</f>
        <v>25</v>
      </c>
      <c r="D284" s="10">
        <f>SUMIFS(KISUMU!G:G,KISUMU!A:A,"8/9/24")</f>
        <v>12800</v>
      </c>
      <c r="E284" s="11">
        <f t="shared" si="65"/>
        <v>2</v>
      </c>
      <c r="F284" s="12">
        <f t="shared" si="66"/>
        <v>0.008470257023</v>
      </c>
      <c r="G284" s="9">
        <f>COUNTIFS(KISUMU!I:I,$G$18,KISUMU!A:A,"8/9/24")</f>
        <v>1</v>
      </c>
      <c r="H284" s="11">
        <f>COUNTIFS(KISUMU!I:I,$H$18,KISUMU!A:A,"8/9/24")</f>
        <v>1</v>
      </c>
      <c r="I284" s="11">
        <f>COUNTIFS(KISUMU!I:I,$I$18,KISUMU!A:A,"8/9/24")</f>
        <v>23</v>
      </c>
      <c r="J284" s="2"/>
      <c r="K284" s="2"/>
      <c r="L284" s="2"/>
      <c r="M284" s="2"/>
      <c r="N284" s="2"/>
      <c r="O284" s="2"/>
      <c r="P284" s="2"/>
      <c r="Q284" s="2"/>
      <c r="R284" s="2"/>
      <c r="S284" s="2"/>
      <c r="T284" s="2"/>
      <c r="U284" s="2"/>
      <c r="V284" s="2"/>
      <c r="W284" s="2"/>
      <c r="X284" s="2"/>
      <c r="Y284" s="2"/>
      <c r="Z284" s="2"/>
      <c r="AA284" s="2"/>
      <c r="AB284" s="2"/>
    </row>
    <row r="285">
      <c r="A285" s="7" t="s">
        <v>19</v>
      </c>
      <c r="B285" s="8">
        <f>SUMIFS(VOI!F:F,VOI!A:A,"8/9/24")</f>
        <v>145842</v>
      </c>
      <c r="C285" s="11">
        <f>COUNTIFS(VOI!A:A,"8/9/24")</f>
        <v>8</v>
      </c>
      <c r="D285" s="10">
        <f>SUMIFS(VOI!G:G,VOI!A:A,"8/9/24")</f>
        <v>10500</v>
      </c>
      <c r="E285" s="11">
        <f t="shared" si="65"/>
        <v>2</v>
      </c>
      <c r="F285" s="12">
        <f t="shared" si="66"/>
        <v>0.0719957214</v>
      </c>
      <c r="G285" s="9">
        <f>COUNTIFS(VOI!H:H,$G$18,VOI!A:A,"8/9/24")</f>
        <v>1</v>
      </c>
      <c r="H285" s="11">
        <f>COUNTIFS(VOI!H:H,$H$18,VOI!A:A,"8/9/24")</f>
        <v>1</v>
      </c>
      <c r="I285" s="11">
        <f>COUNTIFS(VOI!H:H,$I$18,VOI!A:A,"8/9/24")</f>
        <v>6</v>
      </c>
      <c r="J285" s="2"/>
      <c r="K285" s="2"/>
      <c r="L285" s="2"/>
      <c r="M285" s="2"/>
      <c r="N285" s="2"/>
      <c r="O285" s="2"/>
      <c r="P285" s="2"/>
      <c r="Q285" s="2"/>
      <c r="R285" s="2"/>
      <c r="S285" s="2"/>
      <c r="T285" s="2"/>
      <c r="U285" s="2"/>
      <c r="V285" s="2"/>
      <c r="W285" s="2"/>
      <c r="X285" s="2"/>
      <c r="Y285" s="2"/>
      <c r="Z285" s="2"/>
      <c r="AA285" s="2"/>
      <c r="AB285" s="2"/>
    </row>
    <row r="286">
      <c r="A286" s="7" t="s">
        <v>20</v>
      </c>
      <c r="B286" s="8">
        <f>SUMIFS(THIKA!F:F,THIKA!A:A,"8/9/24")</f>
        <v>1153544</v>
      </c>
      <c r="C286" s="11">
        <f>COUNTIFS(THIKA!A:A,"8/9/24")</f>
        <v>16</v>
      </c>
      <c r="D286" s="10">
        <f>SUMIFS(THIKA!G:G,THIKA!A:A,"8/9/24")</f>
        <v>84869</v>
      </c>
      <c r="E286" s="11">
        <f t="shared" si="65"/>
        <v>3</v>
      </c>
      <c r="F286" s="12">
        <f t="shared" si="66"/>
        <v>0.07357239949</v>
      </c>
      <c r="G286" s="9">
        <f>COUNTIFS(THIKA!I:I,$G$18,THIKA!A:A,"8/9/24")</f>
        <v>1</v>
      </c>
      <c r="H286" s="11">
        <f>COUNTIFS(THIKA!I:I,$H$18,THIKA!A:A,"8/9/24")</f>
        <v>2</v>
      </c>
      <c r="I286" s="11">
        <f>COUNTIFS(THIKA!I:I,$I$18,THIKA!A:A,"8/9/24")</f>
        <v>13</v>
      </c>
      <c r="J286" s="2"/>
      <c r="K286" s="2"/>
      <c r="L286" s="2"/>
      <c r="M286" s="2"/>
      <c r="N286" s="2"/>
      <c r="O286" s="2"/>
      <c r="P286" s="2"/>
      <c r="Q286" s="2"/>
      <c r="R286" s="2"/>
      <c r="S286" s="2"/>
      <c r="T286" s="2"/>
      <c r="U286" s="2"/>
      <c r="V286" s="2"/>
      <c r="W286" s="2"/>
      <c r="X286" s="2"/>
      <c r="Y286" s="2"/>
      <c r="Z286" s="2"/>
      <c r="AA286" s="2"/>
      <c r="AB286" s="2"/>
    </row>
    <row r="287">
      <c r="A287" s="7" t="s">
        <v>21</v>
      </c>
      <c r="B287" s="8">
        <f>SUMIFS(KITUI!F:F,KITUI!A:A,"8/9/24")</f>
        <v>775</v>
      </c>
      <c r="C287" s="11">
        <f>COUNTIFS(KITUI!A:A,"8/9/24")</f>
        <v>1</v>
      </c>
      <c r="D287" s="10">
        <f>SUMIFS(KITUI!G:G,KITUI!A:A,"8/9/24")</f>
        <v>0</v>
      </c>
      <c r="E287" s="11">
        <f t="shared" si="65"/>
        <v>0</v>
      </c>
      <c r="F287" s="12">
        <f t="shared" si="66"/>
        <v>0</v>
      </c>
      <c r="G287" s="9">
        <f>COUNTIFS(KITUI!I:I,$G$18,KITUI!A:A,"8/9/24")</f>
        <v>0</v>
      </c>
      <c r="H287" s="11">
        <f>COUNTIFS(KITUI!I:I,$H$18,KITUI!A:A,"8/9/24")</f>
        <v>0</v>
      </c>
      <c r="I287" s="11">
        <f>COUNTIFS(KITUI!I:I,$I$18,KITUI!A:A,"8/9/24")</f>
        <v>1</v>
      </c>
      <c r="J287" s="2"/>
      <c r="K287" s="2"/>
      <c r="L287" s="2"/>
      <c r="M287" s="2"/>
      <c r="N287" s="2"/>
      <c r="O287" s="2"/>
      <c r="P287" s="2"/>
      <c r="Q287" s="2"/>
      <c r="R287" s="2"/>
      <c r="S287" s="2"/>
      <c r="T287" s="2"/>
      <c r="U287" s="2"/>
      <c r="V287" s="2"/>
      <c r="W287" s="2"/>
      <c r="X287" s="2"/>
      <c r="Y287" s="2"/>
      <c r="Z287" s="2"/>
      <c r="AA287" s="2"/>
      <c r="AB287" s="2"/>
    </row>
    <row r="288">
      <c r="A288" s="15" t="s">
        <v>22</v>
      </c>
      <c r="B288" s="8">
        <f>SUMIFS(MACHAKOS!F:F,MACHAKOS!A:A,"8/9/24")</f>
        <v>237461.97</v>
      </c>
      <c r="C288" s="11">
        <f>COUNTIFS(MACHAKOS!A:A,"8/9/24")</f>
        <v>3</v>
      </c>
      <c r="D288" s="10">
        <f>SUMIFS(MACHAKOS!G:G,MACHAKOS!A:A,"8/9/24")</f>
        <v>0</v>
      </c>
      <c r="E288" s="11">
        <f t="shared" si="65"/>
        <v>0</v>
      </c>
      <c r="F288" s="12">
        <f t="shared" si="66"/>
        <v>0</v>
      </c>
      <c r="G288" s="9">
        <f>COUNTIFS(MACHAKOS!I:I,$G$18,MACHAKOS!A:A,"8/9/24")</f>
        <v>0</v>
      </c>
      <c r="H288" s="11">
        <f>COUNTIFS(MACHAKOS!I:I,$H$18,MACHAKOS!A:A,"8/9/24")</f>
        <v>0</v>
      </c>
      <c r="I288" s="11">
        <f>COUNTIFS(MACHAKOS!I:I,$I$18,MACHAKOS!A:A,"8/9/24")</f>
        <v>3</v>
      </c>
      <c r="J288" s="2"/>
      <c r="K288" s="2"/>
      <c r="L288" s="2"/>
      <c r="M288" s="2"/>
      <c r="N288" s="2"/>
      <c r="O288" s="2"/>
      <c r="P288" s="2"/>
      <c r="Q288" s="2"/>
      <c r="R288" s="2"/>
      <c r="S288" s="2"/>
      <c r="T288" s="2"/>
      <c r="U288" s="2"/>
      <c r="V288" s="2"/>
      <c r="W288" s="2"/>
      <c r="X288" s="2"/>
      <c r="Y288" s="2"/>
      <c r="Z288" s="2"/>
      <c r="AA288" s="2"/>
      <c r="AB288" s="2"/>
    </row>
    <row r="289">
      <c r="A289" s="1" t="s">
        <v>32</v>
      </c>
      <c r="B289" s="25">
        <v>3000000.0</v>
      </c>
      <c r="C289" s="28">
        <v>3.0</v>
      </c>
      <c r="D289" s="10"/>
      <c r="E289" s="28">
        <v>0.0</v>
      </c>
      <c r="F289" s="12">
        <f t="shared" si="66"/>
        <v>0</v>
      </c>
      <c r="G289" s="9">
        <f>COUNTIFS(MACHAKOS!I:I,$G$18,MACHAKOS!A:A,"8/9/24")</f>
        <v>0</v>
      </c>
      <c r="H289" s="11">
        <f>COUNTIFS(MACHAKOS!I:I,$H$18,MACHAKOS!A:A,"8/9/24")</f>
        <v>0</v>
      </c>
      <c r="I289" s="11">
        <f>COUNTIFS(MACHAKOS!I:I,$I$18,MACHAKOS!A:A,"8/9/24")</f>
        <v>3</v>
      </c>
      <c r="J289" s="2"/>
      <c r="K289" s="2"/>
      <c r="L289" s="2"/>
      <c r="M289" s="2"/>
      <c r="N289" s="2"/>
      <c r="O289" s="2"/>
      <c r="P289" s="2"/>
      <c r="Q289" s="2"/>
      <c r="R289" s="2"/>
      <c r="S289" s="2"/>
      <c r="T289" s="2"/>
      <c r="U289" s="2"/>
      <c r="V289" s="2"/>
      <c r="W289" s="2"/>
      <c r="X289" s="2"/>
      <c r="Y289" s="2"/>
      <c r="Z289" s="2"/>
      <c r="AA289" s="2"/>
      <c r="AB289" s="2"/>
    </row>
    <row r="290">
      <c r="A290" s="1" t="s">
        <v>31</v>
      </c>
      <c r="B290" s="25">
        <v>1.1E7</v>
      </c>
      <c r="C290" s="11"/>
      <c r="D290" s="29">
        <v>9273572.0</v>
      </c>
      <c r="E290" s="11"/>
      <c r="F290" s="12"/>
      <c r="G290" s="9"/>
      <c r="H290" s="11"/>
      <c r="I290" s="11"/>
      <c r="J290" s="2"/>
      <c r="K290" s="2"/>
      <c r="L290" s="2"/>
      <c r="M290" s="2"/>
      <c r="N290" s="2"/>
      <c r="O290" s="2"/>
      <c r="P290" s="2"/>
      <c r="Q290" s="2"/>
      <c r="R290" s="2"/>
      <c r="S290" s="2"/>
      <c r="T290" s="2"/>
      <c r="U290" s="2"/>
      <c r="V290" s="2"/>
      <c r="W290" s="2"/>
      <c r="X290" s="2"/>
      <c r="Y290" s="2"/>
      <c r="Z290" s="2"/>
      <c r="AA290" s="2"/>
      <c r="AB290" s="2"/>
    </row>
    <row r="291">
      <c r="A291" s="16" t="s">
        <v>23</v>
      </c>
      <c r="B291" s="17">
        <f t="shared" ref="B291:D291" si="67">SUM(B276:B290)</f>
        <v>45577787.68</v>
      </c>
      <c r="C291" s="18">
        <f t="shared" si="67"/>
        <v>247</v>
      </c>
      <c r="D291" s="19">
        <f t="shared" si="67"/>
        <v>13222291</v>
      </c>
      <c r="E291" s="18">
        <f>SUM(E276:E288)</f>
        <v>49</v>
      </c>
      <c r="F291" s="20">
        <f>D291/B291</f>
        <v>0.2901038351</v>
      </c>
      <c r="G291" s="21">
        <f t="shared" ref="G291:I291" si="68">SUM(G276:G290)</f>
        <v>20</v>
      </c>
      <c r="H291" s="21">
        <f t="shared" si="68"/>
        <v>29</v>
      </c>
      <c r="I291" s="21">
        <f t="shared" si="68"/>
        <v>198</v>
      </c>
      <c r="J291" s="2"/>
      <c r="K291" s="2"/>
      <c r="L291" s="2"/>
      <c r="M291" s="2"/>
      <c r="N291" s="2"/>
      <c r="O291" s="2"/>
      <c r="P291" s="2"/>
      <c r="Q291" s="2"/>
      <c r="R291" s="2"/>
      <c r="S291" s="2"/>
      <c r="T291" s="2"/>
      <c r="U291" s="2"/>
      <c r="V291" s="2"/>
      <c r="W291" s="2"/>
      <c r="X291" s="2"/>
      <c r="Y291" s="2"/>
      <c r="Z291" s="2"/>
      <c r="AA291" s="2"/>
      <c r="AB291" s="2"/>
    </row>
    <row r="292">
      <c r="A292" s="1"/>
      <c r="B292" s="25"/>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3" t="s">
        <v>1</v>
      </c>
      <c r="B293" s="5" t="s">
        <v>2</v>
      </c>
      <c r="C293" s="5" t="s">
        <v>3</v>
      </c>
      <c r="D293" s="5" t="s">
        <v>4</v>
      </c>
      <c r="E293" s="5" t="s">
        <v>5</v>
      </c>
      <c r="F293" s="26" t="s">
        <v>6</v>
      </c>
      <c r="G293" s="26" t="s">
        <v>7</v>
      </c>
      <c r="H293" s="26" t="s">
        <v>8</v>
      </c>
      <c r="I293" s="26" t="s">
        <v>9</v>
      </c>
      <c r="J293" s="2"/>
      <c r="K293" s="2"/>
      <c r="L293" s="2"/>
      <c r="M293" s="2"/>
      <c r="N293" s="2"/>
      <c r="O293" s="2"/>
      <c r="P293" s="2"/>
      <c r="Q293" s="2"/>
      <c r="R293" s="2"/>
      <c r="S293" s="2"/>
      <c r="T293" s="2"/>
      <c r="U293" s="2"/>
      <c r="V293" s="2"/>
      <c r="W293" s="2"/>
      <c r="X293" s="2"/>
      <c r="Y293" s="2"/>
      <c r="Z293" s="2"/>
      <c r="AA293" s="2"/>
      <c r="AB293" s="2"/>
    </row>
    <row r="294">
      <c r="A294" s="7" t="s">
        <v>10</v>
      </c>
      <c r="B294" s="8">
        <f>SUMIFS(ECOBANK!F:F,ECOBANK!A:A,"8/10/24")</f>
        <v>5897921.86</v>
      </c>
      <c r="C294" s="9">
        <f>COUNTIFS(ECOBANK!A:A,"8/10/24")</f>
        <v>15</v>
      </c>
      <c r="D294" s="10">
        <f>SUMIFS(ECOBANK!G:G,ECOBANK!A:A,"8/10/24")</f>
        <v>59456</v>
      </c>
      <c r="E294" s="11">
        <f t="shared" ref="E294:E306" si="69">G294+H294</f>
        <v>2</v>
      </c>
      <c r="F294" s="12">
        <f t="shared" ref="F294:F307" si="70">iferror(D294/B294,0)</f>
        <v>0.01008083888</v>
      </c>
      <c r="G294" s="9">
        <f>COUNTIFS(ECOBANK!I:I,$G$18,ECOBANK!A:A,"8/10/24")</f>
        <v>0</v>
      </c>
      <c r="H294" s="11">
        <f>COUNTIFS(ECOBANK!I:I,$H$18,ECOBANK!A:A,"8/10/24")</f>
        <v>2</v>
      </c>
      <c r="I294" s="11">
        <f>COUNTIFS(ECOBANK!I:I,$I$18,ECOBANK!A:A,"8/10/24")</f>
        <v>13</v>
      </c>
      <c r="J294" s="2"/>
      <c r="K294" s="2"/>
      <c r="L294" s="2"/>
      <c r="M294" s="2"/>
      <c r="N294" s="2"/>
      <c r="O294" s="2"/>
      <c r="P294" s="2"/>
      <c r="Q294" s="2"/>
      <c r="R294" s="2"/>
      <c r="S294" s="2"/>
      <c r="T294" s="2"/>
      <c r="U294" s="2"/>
      <c r="V294" s="2"/>
      <c r="W294" s="2"/>
      <c r="X294" s="2"/>
      <c r="Y294" s="2"/>
      <c r="Z294" s="2"/>
      <c r="AA294" s="2"/>
      <c r="AB294" s="2"/>
    </row>
    <row r="295">
      <c r="A295" s="7" t="s">
        <v>24</v>
      </c>
      <c r="B295" s="8">
        <f>SUMIFS('TRADE CENTER'!F:F,'TRADE CENTER'!A:A,"8/10/24")</f>
        <v>5823181.91</v>
      </c>
      <c r="C295" s="11">
        <f>COUNTIFS('TRADE CENTER'!A:A,"8/10/24")</f>
        <v>35</v>
      </c>
      <c r="D295" s="10">
        <f>SUMIFS('TRADE CENTER'!G:G,'TRADE CENTER'!A:A,"8/10/24")</f>
        <v>664235</v>
      </c>
      <c r="E295" s="11">
        <f t="shared" si="69"/>
        <v>7</v>
      </c>
      <c r="F295" s="12">
        <f t="shared" si="70"/>
        <v>0.1140673622</v>
      </c>
      <c r="G295" s="11">
        <f>COUNTIFS('TRADE CENTER'!I:I,$G$18,'TRADE CENTER'!A:A,"8/10/24")</f>
        <v>2</v>
      </c>
      <c r="H295" s="11">
        <f>COUNTIFS('TRADE CENTER'!I:I,$H$18,'TRADE CENTER'!A:A,"8/10/24")</f>
        <v>5</v>
      </c>
      <c r="I295" s="11">
        <f>COUNTIFS('TRADE CENTER'!I:I,$I$18,'TRADE CENTER'!A:A,"8/10/24")</f>
        <v>28</v>
      </c>
      <c r="J295" s="2"/>
      <c r="K295" s="2"/>
      <c r="L295" s="2"/>
      <c r="M295" s="2"/>
      <c r="N295" s="2"/>
      <c r="O295" s="2"/>
      <c r="P295" s="2"/>
      <c r="Q295" s="2"/>
      <c r="R295" s="2"/>
      <c r="S295" s="2"/>
      <c r="T295" s="2"/>
      <c r="U295" s="2"/>
      <c r="V295" s="2"/>
      <c r="W295" s="2"/>
      <c r="X295" s="2"/>
      <c r="Y295" s="2"/>
      <c r="Z295" s="2"/>
      <c r="AA295" s="2"/>
      <c r="AB295" s="2"/>
    </row>
    <row r="296">
      <c r="A296" s="7" t="s">
        <v>12</v>
      </c>
      <c r="B296" s="8">
        <f>SUMIFS(PENSION!F:F,PENSION!A:A,"8/10/2024")</f>
        <v>2075764.51</v>
      </c>
      <c r="C296" s="11">
        <f>COUNTIFS(PENSION!A:A,"8/10/24")</f>
        <v>15</v>
      </c>
      <c r="D296" s="10">
        <f>SUMIFS(PENSION!G:G,PENSION!A:A,"8/10/2024")</f>
        <v>290000</v>
      </c>
      <c r="E296" s="11">
        <f t="shared" si="69"/>
        <v>2</v>
      </c>
      <c r="F296" s="12">
        <f t="shared" si="70"/>
        <v>0.1397075625</v>
      </c>
      <c r="G296" s="9">
        <f>COUNTIFS(PENSION!I:I,$G$18,PENSION!A:A,"8/10/24")</f>
        <v>0</v>
      </c>
      <c r="H296" s="11">
        <f>COUNTIFS(PENSION!I:I,$H$18,PENSION!A:A,"8/10/24")</f>
        <v>2</v>
      </c>
      <c r="I296" s="11">
        <f>COUNTIFS(PENSION!I:I,$I$18,PENSION!A:A,"8/10/24")</f>
        <v>13</v>
      </c>
      <c r="J296" s="2"/>
      <c r="K296" s="2"/>
      <c r="L296" s="2"/>
      <c r="M296" s="2"/>
      <c r="N296" s="2"/>
      <c r="O296" s="2"/>
      <c r="P296" s="2"/>
      <c r="Q296" s="2"/>
      <c r="R296" s="2"/>
      <c r="S296" s="2"/>
      <c r="T296" s="2"/>
      <c r="U296" s="2"/>
      <c r="V296" s="2"/>
      <c r="W296" s="2"/>
      <c r="X296" s="2"/>
      <c r="Y296" s="2"/>
      <c r="Z296" s="2"/>
      <c r="AA296" s="2"/>
      <c r="AB296" s="2"/>
    </row>
    <row r="297">
      <c r="A297" s="7" t="s">
        <v>13</v>
      </c>
      <c r="B297" s="8">
        <f>SUMIFS(KITENGELA!F:F,KITENGELA!A:A,"8/5/2024")</f>
        <v>5274444.42</v>
      </c>
      <c r="C297" s="11">
        <f>COUNTIFS(KITENGELA!A:A,"8/10/24")</f>
        <v>21</v>
      </c>
      <c r="D297" s="10">
        <f>SUMIFS(KITENGELA!G:G,KITENGELA!A:A,"8/10/24")</f>
        <v>205113</v>
      </c>
      <c r="E297" s="11">
        <f t="shared" si="69"/>
        <v>7</v>
      </c>
      <c r="F297" s="12">
        <f t="shared" si="70"/>
        <v>0.03888807686</v>
      </c>
      <c r="G297" s="11">
        <f>COUNTIFS(KITENGELA!I:I,$G$18,KITENGELA!A:A,"8/10/24")</f>
        <v>3</v>
      </c>
      <c r="H297" s="11">
        <f>COUNTIFS(KITENGELA!I:I,$H$18,KITENGELA!A:A,"8/10/24")</f>
        <v>4</v>
      </c>
      <c r="I297" s="11">
        <f>COUNTIFS(KITENGELA!I:I,$I$18,KITENGELA!A:A,"8/10/24")</f>
        <v>14</v>
      </c>
      <c r="J297" s="2"/>
      <c r="K297" s="2"/>
      <c r="L297" s="2"/>
      <c r="M297" s="2"/>
      <c r="N297" s="2"/>
      <c r="O297" s="2"/>
      <c r="P297" s="2"/>
      <c r="Q297" s="2"/>
      <c r="R297" s="2"/>
      <c r="S297" s="2"/>
      <c r="T297" s="2"/>
      <c r="U297" s="2"/>
      <c r="V297" s="2"/>
      <c r="W297" s="2"/>
      <c r="X297" s="2"/>
      <c r="Y297" s="2"/>
      <c r="Z297" s="2"/>
      <c r="AA297" s="2"/>
      <c r="AB297" s="2"/>
    </row>
    <row r="298">
      <c r="A298" s="7" t="s">
        <v>14</v>
      </c>
      <c r="B298" s="8">
        <f>SUMIFS(ELDORET!F:F,ELDORET!A:A,"8/10/24")</f>
        <v>1070125.26</v>
      </c>
      <c r="C298" s="11">
        <f>COUNTIFS(ELDORET!A:A,"8/10/24")</f>
        <v>20</v>
      </c>
      <c r="D298" s="10">
        <f>SUMIFS(ELDORET!G:G,ELDORET!A:A,"8/10/24")</f>
        <v>14000</v>
      </c>
      <c r="E298" s="11">
        <f t="shared" si="69"/>
        <v>2</v>
      </c>
      <c r="F298" s="12">
        <f t="shared" si="70"/>
        <v>0.01308258063</v>
      </c>
      <c r="G298" s="11">
        <f>COUNTIFS(ELDORET!I:I,$G$18,ELDORET!A:A,"8/10/24")</f>
        <v>1</v>
      </c>
      <c r="H298" s="11">
        <f>COUNTIFS(ELDORET!I:I,$H$18,ELDORET!A:A,"8/10/24")</f>
        <v>1</v>
      </c>
      <c r="I298" s="11">
        <f>COUNTIFS(ELDORET!I:I,$I$18,ELDORET!A:A,"8/10/24")</f>
        <v>18</v>
      </c>
      <c r="J298" s="2"/>
      <c r="K298" s="2"/>
      <c r="L298" s="2"/>
      <c r="M298" s="2"/>
      <c r="N298" s="2"/>
      <c r="O298" s="2"/>
      <c r="P298" s="2"/>
      <c r="Q298" s="2"/>
      <c r="R298" s="2"/>
      <c r="S298" s="2"/>
      <c r="T298" s="2"/>
      <c r="U298" s="2"/>
      <c r="V298" s="2"/>
      <c r="W298" s="2"/>
      <c r="X298" s="2"/>
      <c r="Y298" s="2"/>
      <c r="Z298" s="2"/>
      <c r="AA298" s="2"/>
      <c r="AB298" s="2"/>
    </row>
    <row r="299">
      <c r="A299" s="7" t="s">
        <v>15</v>
      </c>
      <c r="B299" s="8">
        <f>SUMIFS(NAKURU!F:F,NAKURU!A:A,"8/10/24")</f>
        <v>264000</v>
      </c>
      <c r="C299" s="11">
        <f>COUNTIFS(NAKURU!A:A,"8/10/24")</f>
        <v>5</v>
      </c>
      <c r="D299" s="10">
        <f>SUMIFS(NAKURU!G:G,NAKURU!A:A,"8/10/24")</f>
        <v>0</v>
      </c>
      <c r="E299" s="11">
        <f t="shared" si="69"/>
        <v>0</v>
      </c>
      <c r="F299" s="12">
        <f t="shared" si="70"/>
        <v>0</v>
      </c>
      <c r="G299" s="9">
        <f>COUNTIFS(NAKURU!I:I,$G$18,NAKURU!A:A,"8/10/24")</f>
        <v>0</v>
      </c>
      <c r="H299" s="11">
        <f>COUNTIFS(NAKURU!I:I,$H$18,NAKURU!A:A,"8/10/24")</f>
        <v>0</v>
      </c>
      <c r="I299" s="11">
        <f>COUNTIFS(NAKURU!I:I,$I$18,NAKURU!A:A,"8/10/24")</f>
        <v>5</v>
      </c>
      <c r="J299" s="2"/>
      <c r="K299" s="2"/>
      <c r="L299" s="2"/>
      <c r="M299" s="2"/>
      <c r="N299" s="2"/>
      <c r="O299" s="2"/>
      <c r="P299" s="2"/>
      <c r="Q299" s="2"/>
      <c r="R299" s="2"/>
      <c r="S299" s="2"/>
      <c r="T299" s="2"/>
      <c r="U299" s="2"/>
      <c r="V299" s="2"/>
      <c r="W299" s="2"/>
      <c r="X299" s="2"/>
      <c r="Y299" s="2"/>
      <c r="Z299" s="2"/>
      <c r="AA299" s="2"/>
      <c r="AB299" s="2"/>
    </row>
    <row r="300">
      <c r="A300" s="7" t="s">
        <v>16</v>
      </c>
      <c r="B300" s="8">
        <f>SUMIFS(HOMABAY!F:F,HOMABAY!A:A,"8/10/24")</f>
        <v>131200</v>
      </c>
      <c r="C300" s="11">
        <f>COUNTIFS(HOMABAY!A:A,"8/10/24")</f>
        <v>3</v>
      </c>
      <c r="D300" s="10">
        <f>SUMIFS(HOMABAY!G:G,HOMABAY!A:A,"8/10/24")</f>
        <v>0</v>
      </c>
      <c r="E300" s="11">
        <f t="shared" si="69"/>
        <v>0</v>
      </c>
      <c r="F300" s="12">
        <f t="shared" si="70"/>
        <v>0</v>
      </c>
      <c r="G300" s="9">
        <f>COUNTIFS(HOMABAY!K:K,$G$18,HOMABAY!A:A,"8/10/24")</f>
        <v>0</v>
      </c>
      <c r="H300" s="11">
        <f>COUNTIFS(HOMABAY!K:K,$H$18,HOMABAY!A:A,"8/10/24")</f>
        <v>0</v>
      </c>
      <c r="I300" s="11">
        <f>COUNTIFS(HOMABAY!K:K,$I$18,HOMABAY!A:A,"8/10/24")</f>
        <v>3</v>
      </c>
      <c r="J300" s="2"/>
      <c r="K300" s="2"/>
      <c r="L300" s="2"/>
      <c r="M300" s="2"/>
      <c r="N300" s="2"/>
      <c r="O300" s="2"/>
      <c r="P300" s="2"/>
      <c r="Q300" s="2"/>
      <c r="R300" s="2"/>
      <c r="S300" s="2"/>
      <c r="T300" s="2"/>
      <c r="U300" s="2"/>
      <c r="V300" s="2"/>
      <c r="W300" s="2"/>
      <c r="X300" s="2"/>
      <c r="Y300" s="2"/>
      <c r="Z300" s="2"/>
      <c r="AA300" s="2"/>
      <c r="AB300" s="2"/>
    </row>
    <row r="301">
      <c r="A301" s="7" t="s">
        <v>17</v>
      </c>
      <c r="B301" s="8">
        <f>SUMIFS(MOMBASA!F:F,MOMBASA!A:A,"8/10/24")</f>
        <v>1011823.26</v>
      </c>
      <c r="C301" s="11">
        <f>COUNTIFS(MOMBASA!A:A,"8/10/24")</f>
        <v>16</v>
      </c>
      <c r="D301" s="27">
        <f>SUMIFS(MOMBASA!G:G,MOMBASA!A:A,"8/10/24")</f>
        <v>0</v>
      </c>
      <c r="E301" s="11">
        <f t="shared" si="69"/>
        <v>1</v>
      </c>
      <c r="F301" s="12">
        <f t="shared" si="70"/>
        <v>0</v>
      </c>
      <c r="G301" s="9">
        <f>COUNTIFS(MOMBASA!I:I,$G$18,MOMBASA!A:A,"8/10/24")</f>
        <v>0</v>
      </c>
      <c r="H301" s="11">
        <f>COUNTIFS(MOMBASA!I:I,$H$18,MOMBASA!A:A,"8/10/24")</f>
        <v>1</v>
      </c>
      <c r="I301" s="11">
        <f>COUNTIFS(MOMBASA!I:I,$I$18,MOMBASA!A:A,"8/10/24")</f>
        <v>15</v>
      </c>
      <c r="J301" s="2"/>
      <c r="K301" s="2"/>
      <c r="L301" s="2"/>
      <c r="M301" s="2"/>
      <c r="N301" s="2"/>
      <c r="O301" s="2"/>
      <c r="P301" s="2"/>
      <c r="Q301" s="2"/>
      <c r="R301" s="2"/>
      <c r="S301" s="2"/>
      <c r="T301" s="2"/>
      <c r="U301" s="2"/>
      <c r="V301" s="2"/>
      <c r="W301" s="2"/>
      <c r="X301" s="2"/>
      <c r="Y301" s="2"/>
      <c r="Z301" s="2"/>
      <c r="AA301" s="2"/>
      <c r="AB301" s="2"/>
    </row>
    <row r="302">
      <c r="A302" s="7" t="s">
        <v>18</v>
      </c>
      <c r="B302" s="8">
        <f>SUMIFS(KISUMU!F:F,KISUMU!A:A,"8/10/24")</f>
        <v>0</v>
      </c>
      <c r="C302" s="11">
        <f>COUNTIFS(KISUMU!A:A,"8/10/24")</f>
        <v>0</v>
      </c>
      <c r="D302" s="10">
        <f>SUMIFS(KISUMU!G:G,KISUMU!A:A,"8/10/24")</f>
        <v>0</v>
      </c>
      <c r="E302" s="11">
        <f t="shared" si="69"/>
        <v>0</v>
      </c>
      <c r="F302" s="12">
        <f t="shared" si="70"/>
        <v>0</v>
      </c>
      <c r="G302" s="9">
        <f>COUNTIFS(KISUMU!I:I,$G$18,KISUMU!A:A,"8/10/24")</f>
        <v>0</v>
      </c>
      <c r="H302" s="11">
        <f>COUNTIFS(KISUMU!I:I,$H$18,KISUMU!A:A,"8/10/24")</f>
        <v>0</v>
      </c>
      <c r="I302" s="11">
        <f>COUNTIFS(KISUMU!I:I,$I$18,KISUMU!A:A,"8/10/24")</f>
        <v>0</v>
      </c>
      <c r="J302" s="2"/>
      <c r="K302" s="2"/>
      <c r="L302" s="2"/>
      <c r="M302" s="2"/>
      <c r="N302" s="2"/>
      <c r="O302" s="2"/>
      <c r="P302" s="2"/>
      <c r="Q302" s="2"/>
      <c r="R302" s="2"/>
      <c r="S302" s="2"/>
      <c r="T302" s="2"/>
      <c r="U302" s="2"/>
      <c r="V302" s="2"/>
      <c r="W302" s="2"/>
      <c r="X302" s="2"/>
      <c r="Y302" s="2"/>
      <c r="Z302" s="2"/>
      <c r="AA302" s="2"/>
      <c r="AB302" s="2"/>
    </row>
    <row r="303">
      <c r="A303" s="7" t="s">
        <v>19</v>
      </c>
      <c r="B303" s="8">
        <f>SUMIFS(VOI!F:F,VOI!A:A,"8/10/24")</f>
        <v>269669</v>
      </c>
      <c r="C303" s="11">
        <f>COUNTIFS(VOI!A:A,"8/10/24")</f>
        <v>7</v>
      </c>
      <c r="D303" s="10">
        <f>SUMIFS(VOI!G:G,VOI!A:A,"8/10/24")</f>
        <v>106050</v>
      </c>
      <c r="E303" s="11">
        <f t="shared" si="69"/>
        <v>2</v>
      </c>
      <c r="F303" s="12">
        <f t="shared" si="70"/>
        <v>0.3932598853</v>
      </c>
      <c r="G303" s="9">
        <f>COUNTIFS(VOI!H:H,$G$18,VOI!A:A,"8/10/24")</f>
        <v>1</v>
      </c>
      <c r="H303" s="11">
        <f>COUNTIFS(VOI!H:H,$H$18,VOI!A:A,"8/10/24")</f>
        <v>1</v>
      </c>
      <c r="I303" s="11">
        <f>COUNTIFS(VOI!H:H,$I$18,VOI!A:A,"8/10/24")</f>
        <v>5</v>
      </c>
      <c r="J303" s="2"/>
      <c r="K303" s="2"/>
      <c r="L303" s="2"/>
      <c r="M303" s="2"/>
      <c r="N303" s="2"/>
      <c r="O303" s="2"/>
      <c r="P303" s="2"/>
      <c r="Q303" s="2"/>
      <c r="R303" s="2"/>
      <c r="S303" s="2"/>
      <c r="T303" s="2"/>
      <c r="U303" s="2"/>
      <c r="V303" s="2"/>
      <c r="W303" s="2"/>
      <c r="X303" s="2"/>
      <c r="Y303" s="2"/>
      <c r="Z303" s="2"/>
      <c r="AA303" s="2"/>
      <c r="AB303" s="2"/>
    </row>
    <row r="304">
      <c r="A304" s="7" t="s">
        <v>20</v>
      </c>
      <c r="B304" s="8">
        <f>SUMIFS(THIKA!F:F,THIKA!A:A,"8/10/24")</f>
        <v>478098.79</v>
      </c>
      <c r="C304" s="11">
        <f>COUNTIFS(THIKA!A:A,"8/10/24")</f>
        <v>10</v>
      </c>
      <c r="D304" s="10">
        <f>SUMIFS(THIKA!G:G,THIKA!A:A,"8/10/24")</f>
        <v>86200</v>
      </c>
      <c r="E304" s="11">
        <f t="shared" si="69"/>
        <v>2</v>
      </c>
      <c r="F304" s="12">
        <f t="shared" si="70"/>
        <v>0.1802974653</v>
      </c>
      <c r="G304" s="9">
        <f>COUNTIFS(THIKA!I:I,$G$18,THIKA!A:A,"8/10/24")</f>
        <v>1</v>
      </c>
      <c r="H304" s="11">
        <f>COUNTIFS(THIKA!I:I,$H$18,THIKA!A:A,"8/10/24")</f>
        <v>1</v>
      </c>
      <c r="I304" s="11">
        <f>COUNTIFS(THIKA!I:I,$I$18,THIKA!A:A,"8/10/24")</f>
        <v>8</v>
      </c>
      <c r="J304" s="2"/>
      <c r="K304" s="2"/>
      <c r="L304" s="2"/>
      <c r="M304" s="2"/>
      <c r="N304" s="2"/>
      <c r="O304" s="2"/>
      <c r="P304" s="2"/>
      <c r="Q304" s="2"/>
      <c r="R304" s="2"/>
      <c r="S304" s="2"/>
      <c r="T304" s="2"/>
      <c r="U304" s="2"/>
      <c r="V304" s="2"/>
      <c r="W304" s="2"/>
      <c r="X304" s="2"/>
      <c r="Y304" s="2"/>
      <c r="Z304" s="2"/>
      <c r="AA304" s="2"/>
      <c r="AB304" s="2"/>
    </row>
    <row r="305">
      <c r="A305" s="7" t="s">
        <v>21</v>
      </c>
      <c r="B305" s="8">
        <f>SUMIFS(KITUI!F:F,KITUI!A:A,"8/10/24")</f>
        <v>0</v>
      </c>
      <c r="C305" s="11">
        <f>COUNTIFS(KITUI!A:A,"8/10/24")</f>
        <v>0</v>
      </c>
      <c r="D305" s="10">
        <f>SUMIFS(KITUI!G:G,KITUI!A:A,"8/10/24")</f>
        <v>0</v>
      </c>
      <c r="E305" s="11">
        <f t="shared" si="69"/>
        <v>0</v>
      </c>
      <c r="F305" s="12">
        <f t="shared" si="70"/>
        <v>0</v>
      </c>
      <c r="G305" s="9">
        <f>COUNTIFS(KITUI!I:I,$G$18,KITUI!A:A,"8/10/24")</f>
        <v>0</v>
      </c>
      <c r="H305" s="11">
        <f>COUNTIFS(KITUI!I:I,$H$18,KITUI!A:A,"8/10/24")</f>
        <v>0</v>
      </c>
      <c r="I305" s="11">
        <f>COUNTIFS(KITUI!I:I,$I$18,KITUI!A:A,"8/10/24")</f>
        <v>0</v>
      </c>
      <c r="J305" s="2"/>
      <c r="K305" s="2"/>
      <c r="L305" s="2"/>
      <c r="M305" s="2"/>
      <c r="N305" s="2"/>
      <c r="O305" s="2"/>
      <c r="P305" s="2"/>
      <c r="Q305" s="2"/>
      <c r="R305" s="2"/>
      <c r="S305" s="2"/>
      <c r="T305" s="2"/>
      <c r="U305" s="2"/>
      <c r="V305" s="2"/>
      <c r="W305" s="2"/>
      <c r="X305" s="2"/>
      <c r="Y305" s="2"/>
      <c r="Z305" s="2"/>
      <c r="AA305" s="2"/>
      <c r="AB305" s="2"/>
    </row>
    <row r="306">
      <c r="A306" s="15" t="s">
        <v>22</v>
      </c>
      <c r="B306" s="8">
        <f>SUMIFS(MACHAKOS!F:F,MACHAKOS!A:A,"8/10/24")</f>
        <v>229931.43</v>
      </c>
      <c r="C306" s="11">
        <f>COUNTIFS(MACHAKOS!A:A,"8/10/24")</f>
        <v>3</v>
      </c>
      <c r="D306" s="10">
        <f>SUMIFS(MACHAKOS!G:G,MACHAKOS!A:A,"8/10/24")</f>
        <v>29000</v>
      </c>
      <c r="E306" s="11">
        <f t="shared" si="69"/>
        <v>2</v>
      </c>
      <c r="F306" s="12">
        <f t="shared" si="70"/>
        <v>0.1261245581</v>
      </c>
      <c r="G306" s="9">
        <f>COUNTIFS(MACHAKOS!I:I,$G$18,MACHAKOS!A:A,"8/10/24")</f>
        <v>1</v>
      </c>
      <c r="H306" s="11">
        <f>COUNTIFS(MACHAKOS!I:I,$H$18,MACHAKOS!A:A,"8/10/24")</f>
        <v>1</v>
      </c>
      <c r="I306" s="11">
        <f>COUNTIFS(MACHAKOS!I:I,$I$18,MACHAKOS!A:A,"8/10/24")</f>
        <v>1</v>
      </c>
      <c r="J306" s="2"/>
      <c r="K306" s="2"/>
      <c r="L306" s="2"/>
      <c r="M306" s="2"/>
      <c r="N306" s="2"/>
      <c r="O306" s="2"/>
      <c r="P306" s="2"/>
      <c r="Q306" s="2"/>
      <c r="R306" s="2"/>
      <c r="S306" s="2"/>
      <c r="T306" s="2"/>
      <c r="U306" s="2"/>
      <c r="V306" s="2"/>
      <c r="W306" s="2"/>
      <c r="X306" s="2"/>
      <c r="Y306" s="2"/>
      <c r="Z306" s="2"/>
      <c r="AA306" s="2"/>
      <c r="AB306" s="2"/>
    </row>
    <row r="307">
      <c r="A307" s="1" t="s">
        <v>32</v>
      </c>
      <c r="B307" s="25">
        <v>1700000.0</v>
      </c>
      <c r="C307" s="28"/>
      <c r="D307" s="10"/>
      <c r="E307" s="28">
        <v>0.0</v>
      </c>
      <c r="F307" s="12">
        <f t="shared" si="70"/>
        <v>0</v>
      </c>
      <c r="G307" s="9">
        <f>COUNTIFS(MACHAKOS!I:I,$G$18,MACHAKOS!A:A,"8/10/24")</f>
        <v>1</v>
      </c>
      <c r="H307" s="11">
        <f>COUNTIFS(MACHAKOS!I:I,$H$18,MACHAKOS!A:A,"8/10/24")</f>
        <v>1</v>
      </c>
      <c r="I307" s="11">
        <f>COUNTIFS(MACHAKOS!I:I,$I$18,MACHAKOS!A:A,"8/10/24")</f>
        <v>1</v>
      </c>
      <c r="J307" s="2"/>
      <c r="K307" s="2"/>
      <c r="L307" s="2"/>
      <c r="M307" s="2"/>
      <c r="N307" s="2"/>
      <c r="O307" s="2"/>
      <c r="P307" s="2"/>
      <c r="Q307" s="2"/>
      <c r="R307" s="2"/>
      <c r="S307" s="2"/>
      <c r="T307" s="2"/>
      <c r="U307" s="2"/>
      <c r="V307" s="2"/>
      <c r="W307" s="2"/>
      <c r="X307" s="2"/>
      <c r="Y307" s="2"/>
      <c r="Z307" s="2"/>
      <c r="AA307" s="2"/>
      <c r="AB307" s="2"/>
    </row>
    <row r="308">
      <c r="A308" s="1" t="s">
        <v>31</v>
      </c>
      <c r="B308" s="25"/>
      <c r="C308" s="11"/>
      <c r="D308" s="29"/>
      <c r="E308" s="11"/>
      <c r="F308" s="12"/>
      <c r="G308" s="9"/>
      <c r="H308" s="11"/>
      <c r="I308" s="11"/>
      <c r="J308" s="2"/>
      <c r="K308" s="2"/>
      <c r="L308" s="2"/>
      <c r="M308" s="2"/>
      <c r="N308" s="2"/>
      <c r="O308" s="2"/>
      <c r="P308" s="2"/>
      <c r="Q308" s="2"/>
      <c r="R308" s="2"/>
      <c r="S308" s="2"/>
      <c r="T308" s="2"/>
      <c r="U308" s="2"/>
      <c r="V308" s="2"/>
      <c r="W308" s="2"/>
      <c r="X308" s="2"/>
      <c r="Y308" s="2"/>
      <c r="Z308" s="2"/>
      <c r="AA308" s="2"/>
      <c r="AB308" s="2"/>
    </row>
    <row r="309">
      <c r="A309" s="16" t="s">
        <v>23</v>
      </c>
      <c r="B309" s="17">
        <f t="shared" ref="B309:D309" si="71">SUM(B294:B308)</f>
        <v>24226160.44</v>
      </c>
      <c r="C309" s="18">
        <f t="shared" si="71"/>
        <v>150</v>
      </c>
      <c r="D309" s="19">
        <f t="shared" si="71"/>
        <v>1454054</v>
      </c>
      <c r="E309" s="18">
        <f>SUM(E294:E306)</f>
        <v>27</v>
      </c>
      <c r="F309" s="20">
        <f>D309/B309</f>
        <v>0.06001999382</v>
      </c>
      <c r="G309" s="21">
        <f t="shared" ref="G309:I309" si="72">SUM(G294:G308)</f>
        <v>10</v>
      </c>
      <c r="H309" s="21">
        <f t="shared" si="72"/>
        <v>19</v>
      </c>
      <c r="I309" s="21">
        <f t="shared" si="72"/>
        <v>124</v>
      </c>
      <c r="J309" s="2"/>
      <c r="K309" s="2"/>
      <c r="L309" s="2"/>
      <c r="M309" s="2"/>
      <c r="N309" s="2"/>
      <c r="O309" s="2"/>
      <c r="P309" s="2"/>
      <c r="Q309" s="2"/>
      <c r="R309" s="2"/>
      <c r="S309" s="2"/>
      <c r="T309" s="2"/>
      <c r="U309" s="2"/>
      <c r="V309" s="2"/>
      <c r="W309" s="2"/>
      <c r="X309" s="2"/>
      <c r="Y309" s="2"/>
      <c r="Z309" s="2"/>
      <c r="AA309" s="2"/>
      <c r="AB309" s="2"/>
    </row>
    <row r="310">
      <c r="A310" s="1"/>
      <c r="B310" s="23"/>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3" t="s">
        <v>1</v>
      </c>
      <c r="B311" s="5" t="s">
        <v>2</v>
      </c>
      <c r="C311" s="5" t="s">
        <v>3</v>
      </c>
      <c r="D311" s="5" t="s">
        <v>4</v>
      </c>
      <c r="E311" s="5" t="s">
        <v>5</v>
      </c>
      <c r="F311" s="26" t="s">
        <v>6</v>
      </c>
      <c r="G311" s="26" t="s">
        <v>7</v>
      </c>
      <c r="H311" s="26" t="s">
        <v>8</v>
      </c>
      <c r="I311" s="26" t="s">
        <v>9</v>
      </c>
      <c r="J311" s="2"/>
      <c r="K311" s="2"/>
      <c r="L311" s="2"/>
      <c r="M311" s="2"/>
      <c r="N311" s="2"/>
      <c r="O311" s="2"/>
      <c r="P311" s="2"/>
      <c r="Q311" s="2"/>
      <c r="R311" s="2"/>
      <c r="S311" s="2"/>
      <c r="T311" s="2"/>
      <c r="U311" s="2"/>
      <c r="V311" s="2"/>
      <c r="W311" s="2"/>
      <c r="X311" s="2"/>
      <c r="Y311" s="2"/>
      <c r="Z311" s="2"/>
      <c r="AA311" s="2"/>
      <c r="AB311" s="2"/>
    </row>
    <row r="312">
      <c r="A312" s="7" t="s">
        <v>10</v>
      </c>
      <c r="B312" s="8">
        <f>SUMIFS(ECOBANK!F:F,ECOBANK!A:A,"8/12/24")</f>
        <v>7623904.57</v>
      </c>
      <c r="C312" s="9">
        <f>COUNTIFS(ECOBANK!A:A,"8/12/24")</f>
        <v>18</v>
      </c>
      <c r="D312" s="10">
        <f>SUMIFS(ECOBANK!G:G,ECOBANK!A:A,"8/12/24")</f>
        <v>1186116.02</v>
      </c>
      <c r="E312" s="11">
        <f t="shared" ref="E312:E324" si="73">G312+H312</f>
        <v>5</v>
      </c>
      <c r="F312" s="12">
        <f t="shared" ref="F312:F325" si="74">iferror(D312/B312,0)</f>
        <v>0.1555785502</v>
      </c>
      <c r="G312" s="9">
        <f>COUNTIFS(ECOBANK!I:I,$G$18,ECOBANK!A:A,"8/12/24")</f>
        <v>0</v>
      </c>
      <c r="H312" s="11">
        <f>COUNTIFS(ECOBANK!I:I,$H$18,ECOBANK!A:A,"8/12/24")</f>
        <v>5</v>
      </c>
      <c r="I312" s="11">
        <f>COUNTIFS(ECOBANK!I:I,$I$18,ECOBANK!A:A,"8/12/24")</f>
        <v>13</v>
      </c>
      <c r="J312" s="2"/>
      <c r="K312" s="2"/>
      <c r="L312" s="2"/>
      <c r="M312" s="2"/>
      <c r="N312" s="2"/>
      <c r="O312" s="2"/>
      <c r="P312" s="2"/>
      <c r="Q312" s="2"/>
      <c r="R312" s="2"/>
      <c r="S312" s="2"/>
      <c r="T312" s="2"/>
      <c r="U312" s="2"/>
      <c r="V312" s="2"/>
      <c r="W312" s="2"/>
      <c r="X312" s="2"/>
      <c r="Y312" s="2"/>
      <c r="Z312" s="2"/>
      <c r="AA312" s="2"/>
      <c r="AB312" s="2"/>
    </row>
    <row r="313">
      <c r="A313" s="7" t="s">
        <v>24</v>
      </c>
      <c r="B313" s="8">
        <f>SUMIFS('TRADE CENTER'!F:F,'TRADE CENTER'!A:A,"8/12/24")</f>
        <v>7201867.76</v>
      </c>
      <c r="C313" s="11">
        <f>COUNTIFS('TRADE CENTER'!A:A,"8/12/24")</f>
        <v>44</v>
      </c>
      <c r="D313" s="10">
        <f>SUMIFS('TRADE CENTER'!G:G,'TRADE CENTER'!A:A,"8/12/24")</f>
        <v>688981</v>
      </c>
      <c r="E313" s="11">
        <f t="shared" si="73"/>
        <v>14</v>
      </c>
      <c r="F313" s="12">
        <f t="shared" si="74"/>
        <v>0.09566698848</v>
      </c>
      <c r="G313" s="11">
        <f>COUNTIFS('TRADE CENTER'!I:I,$G$18,'TRADE CENTER'!A:A,"8/12/24")</f>
        <v>4</v>
      </c>
      <c r="H313" s="11">
        <f>COUNTIFS('TRADE CENTER'!I:I,$H$18,'TRADE CENTER'!A:A,"8/12/24")</f>
        <v>10</v>
      </c>
      <c r="I313" s="11">
        <f>COUNTIFS('TRADE CENTER'!I:I,$I$18,'TRADE CENTER'!A:A,"8/12/24")</f>
        <v>30</v>
      </c>
      <c r="J313" s="2"/>
      <c r="K313" s="2"/>
      <c r="L313" s="2"/>
      <c r="M313" s="2"/>
      <c r="N313" s="2"/>
      <c r="O313" s="2"/>
      <c r="P313" s="2"/>
      <c r="Q313" s="2"/>
      <c r="R313" s="2"/>
      <c r="S313" s="2"/>
      <c r="T313" s="2"/>
      <c r="U313" s="2"/>
      <c r="V313" s="2"/>
      <c r="W313" s="2"/>
      <c r="X313" s="2"/>
      <c r="Y313" s="2"/>
      <c r="Z313" s="2"/>
      <c r="AA313" s="2"/>
      <c r="AB313" s="2"/>
    </row>
    <row r="314">
      <c r="A314" s="7" t="s">
        <v>12</v>
      </c>
      <c r="B314" s="8">
        <f>SUMIFS(PENSION!F:F,PENSION!A:A,"8/12/2024")</f>
        <v>4493460.61</v>
      </c>
      <c r="C314" s="11">
        <f>COUNTIFS(PENSION!A:A,"8/12/24")</f>
        <v>36</v>
      </c>
      <c r="D314" s="10">
        <f>SUMIFS(PENSION!G:G,PENSION!A:A,"8/12/2024")</f>
        <v>646953</v>
      </c>
      <c r="E314" s="11">
        <f t="shared" si="73"/>
        <v>8</v>
      </c>
      <c r="F314" s="12">
        <f t="shared" si="74"/>
        <v>0.1439765598</v>
      </c>
      <c r="G314" s="9">
        <f>COUNTIFS(PENSION!I:I,$G$18,PENSION!A:A,"8/12/24")</f>
        <v>0</v>
      </c>
      <c r="H314" s="11">
        <f>COUNTIFS(PENSION!I:I,$H$18,PENSION!A:A,"8/12/24")</f>
        <v>8</v>
      </c>
      <c r="I314" s="11">
        <f>COUNTIFS(PENSION!I:I,$I$18,PENSION!A:A,"8/12/24")</f>
        <v>28</v>
      </c>
      <c r="J314" s="2"/>
      <c r="K314" s="2"/>
      <c r="L314" s="2"/>
      <c r="M314" s="2"/>
      <c r="N314" s="2"/>
      <c r="O314" s="2"/>
      <c r="P314" s="2"/>
      <c r="Q314" s="2"/>
      <c r="R314" s="2"/>
      <c r="S314" s="2"/>
      <c r="T314" s="2"/>
      <c r="U314" s="2"/>
      <c r="V314" s="2"/>
      <c r="W314" s="2"/>
      <c r="X314" s="2"/>
      <c r="Y314" s="2"/>
      <c r="Z314" s="2"/>
      <c r="AA314" s="2"/>
      <c r="AB314" s="2"/>
    </row>
    <row r="315">
      <c r="A315" s="7" t="s">
        <v>13</v>
      </c>
      <c r="B315" s="8">
        <f>SUMIFS(KITENGELA!F:F,KITENGELA!A:A,"8/5/2024")</f>
        <v>5274444.42</v>
      </c>
      <c r="C315" s="11">
        <f>COUNTIFS(KITENGELA!A:A,"8/12/24")</f>
        <v>42</v>
      </c>
      <c r="D315" s="10">
        <f>SUMIFS(KITENGELA!G:G,KITENGELA!A:A,"8/12/24")</f>
        <v>1172661</v>
      </c>
      <c r="E315" s="11">
        <f t="shared" si="73"/>
        <v>7</v>
      </c>
      <c r="F315" s="12">
        <f t="shared" si="74"/>
        <v>0.2223288192</v>
      </c>
      <c r="G315" s="11">
        <f>COUNTIFS(KITENGELA!I:I,$G$18,KITENGELA!A:A,"8/12/24")</f>
        <v>3</v>
      </c>
      <c r="H315" s="11">
        <f>COUNTIFS(KITENGELA!I:I,$H$18,KITENGELA!A:A,"8/12/24")</f>
        <v>4</v>
      </c>
      <c r="I315" s="11">
        <f>COUNTIFS(KITENGELA!I:I,$I$18,KITENGELA!A:A,"8/12/24")</f>
        <v>35</v>
      </c>
      <c r="J315" s="2"/>
      <c r="K315" s="2"/>
      <c r="L315" s="2"/>
      <c r="M315" s="2"/>
      <c r="N315" s="2"/>
      <c r="O315" s="2"/>
      <c r="P315" s="2"/>
      <c r="Q315" s="2"/>
      <c r="R315" s="2"/>
      <c r="S315" s="2"/>
      <c r="T315" s="2"/>
      <c r="U315" s="2"/>
      <c r="V315" s="2"/>
      <c r="W315" s="2"/>
      <c r="X315" s="2"/>
      <c r="Y315" s="2"/>
      <c r="Z315" s="2"/>
      <c r="AA315" s="2"/>
      <c r="AB315" s="2"/>
    </row>
    <row r="316">
      <c r="A316" s="7" t="s">
        <v>14</v>
      </c>
      <c r="B316" s="8">
        <f>SUMIFS(ELDORET!F:F,ELDORET!A:A,"8/12/24")</f>
        <v>1246069.15</v>
      </c>
      <c r="C316" s="11">
        <f>COUNTIFS(ELDORET!A:A,"8/12/24")</f>
        <v>22</v>
      </c>
      <c r="D316" s="10">
        <f>SUMIFS(ELDORET!G:G,ELDORET!A:A,"8/12/24")</f>
        <v>394818</v>
      </c>
      <c r="E316" s="11">
        <f t="shared" si="73"/>
        <v>5</v>
      </c>
      <c r="F316" s="12">
        <f t="shared" si="74"/>
        <v>0.3168507944</v>
      </c>
      <c r="G316" s="11">
        <f>COUNTIFS(ELDORET!I:I,$G$18,ELDORET!A:A,"8/12/24")</f>
        <v>1</v>
      </c>
      <c r="H316" s="11">
        <f>COUNTIFS(ELDORET!I:I,$H$18,ELDORET!A:A,"8/12/24")</f>
        <v>4</v>
      </c>
      <c r="I316" s="11">
        <f>COUNTIFS(ELDORET!I:I,$I$18,ELDORET!A:A,"8/12/24")</f>
        <v>17</v>
      </c>
      <c r="J316" s="2"/>
      <c r="K316" s="2"/>
      <c r="L316" s="2"/>
      <c r="M316" s="2"/>
      <c r="N316" s="2"/>
      <c r="O316" s="2"/>
      <c r="P316" s="2"/>
      <c r="Q316" s="2"/>
      <c r="R316" s="2"/>
      <c r="S316" s="2"/>
      <c r="T316" s="2"/>
      <c r="U316" s="2"/>
      <c r="V316" s="2"/>
      <c r="W316" s="2"/>
      <c r="X316" s="2"/>
      <c r="Y316" s="2"/>
      <c r="Z316" s="2"/>
      <c r="AA316" s="2"/>
      <c r="AB316" s="2"/>
    </row>
    <row r="317">
      <c r="A317" s="7" t="s">
        <v>15</v>
      </c>
      <c r="B317" s="8">
        <f>SUMIFS(NAKURU!F:F,NAKURU!A:A,"8/12/24")</f>
        <v>622356.58</v>
      </c>
      <c r="C317" s="11">
        <f>COUNTIFS(NAKURU!A:A,"8/12/24")</f>
        <v>11</v>
      </c>
      <c r="D317" s="10">
        <f>SUMIFS(NAKURU!G:G,NAKURU!A:A,"8/12/24")</f>
        <v>195000</v>
      </c>
      <c r="E317" s="11">
        <f t="shared" si="73"/>
        <v>4</v>
      </c>
      <c r="F317" s="12">
        <f t="shared" si="74"/>
        <v>0.3133252002</v>
      </c>
      <c r="G317" s="9">
        <f>COUNTIFS(NAKURU!I:I,$G$18,NAKURU!A:A,"8/12/24")</f>
        <v>2</v>
      </c>
      <c r="H317" s="11">
        <f>COUNTIFS(NAKURU!I:I,$H$18,NAKURU!A:A,"8/12/24")</f>
        <v>2</v>
      </c>
      <c r="I317" s="11">
        <f>COUNTIFS(NAKURU!I:I,$I$18,NAKURU!A:A,"8/12/24")</f>
        <v>7</v>
      </c>
      <c r="J317" s="2"/>
      <c r="K317" s="2"/>
      <c r="L317" s="2"/>
      <c r="M317" s="2"/>
      <c r="N317" s="2"/>
      <c r="O317" s="2"/>
      <c r="P317" s="2"/>
      <c r="Q317" s="2"/>
      <c r="R317" s="2"/>
      <c r="S317" s="2"/>
      <c r="T317" s="2"/>
      <c r="U317" s="2"/>
      <c r="V317" s="2"/>
      <c r="W317" s="2"/>
      <c r="X317" s="2"/>
      <c r="Y317" s="2"/>
      <c r="Z317" s="2"/>
      <c r="AA317" s="2"/>
      <c r="AB317" s="2"/>
    </row>
    <row r="318">
      <c r="A318" s="7" t="s">
        <v>16</v>
      </c>
      <c r="B318" s="8">
        <f>SUMIFS(HOMABAY!F:F,HOMABAY!A:A,"8/12/24")</f>
        <v>254470</v>
      </c>
      <c r="C318" s="11">
        <f>COUNTIFS(HOMABAY!A:A,"8/12/24")</f>
        <v>4</v>
      </c>
      <c r="D318" s="10">
        <f>SUMIFS(HOMABAY!G:G,HOMABAY!A:A,"8/12/24")</f>
        <v>148470</v>
      </c>
      <c r="E318" s="11">
        <f t="shared" si="73"/>
        <v>3</v>
      </c>
      <c r="F318" s="12">
        <f t="shared" si="74"/>
        <v>0.5834479506</v>
      </c>
      <c r="G318" s="9">
        <f>COUNTIFS(HOMABAY!K:K,$G$18,HOMABAY!A:A,"8/12/24")</f>
        <v>0</v>
      </c>
      <c r="H318" s="11">
        <f>COUNTIFS(HOMABAY!K:K,$H$18,HOMABAY!A:A,"8/12/24")</f>
        <v>3</v>
      </c>
      <c r="I318" s="11">
        <f>COUNTIFS(HOMABAY!K:K,$I$18,HOMABAY!A:A,"8/12/24")</f>
        <v>1</v>
      </c>
      <c r="J318" s="2"/>
      <c r="K318" s="2"/>
      <c r="L318" s="2"/>
      <c r="M318" s="2"/>
      <c r="N318" s="2"/>
      <c r="O318" s="2"/>
      <c r="P318" s="2"/>
      <c r="Q318" s="2"/>
      <c r="R318" s="2"/>
      <c r="S318" s="2"/>
      <c r="T318" s="2"/>
      <c r="U318" s="2"/>
      <c r="V318" s="2"/>
      <c r="W318" s="2"/>
      <c r="X318" s="2"/>
      <c r="Y318" s="2"/>
      <c r="Z318" s="2"/>
      <c r="AA318" s="2"/>
      <c r="AB318" s="2"/>
    </row>
    <row r="319">
      <c r="A319" s="7" t="s">
        <v>17</v>
      </c>
      <c r="B319" s="8">
        <f>SUMIFS(MOMBASA!F:F,MOMBASA!A:A,"8/12/24")</f>
        <v>1577877.75</v>
      </c>
      <c r="C319" s="11">
        <f>COUNTIFS(MOMBASA!A:A,"8/12/24")</f>
        <v>23</v>
      </c>
      <c r="D319" s="27">
        <f>SUMIFS(MOMBASA!G:G,MOMBASA!A:A,"8/12/24")</f>
        <v>379458</v>
      </c>
      <c r="E319" s="11">
        <f t="shared" si="73"/>
        <v>4</v>
      </c>
      <c r="F319" s="12">
        <f t="shared" si="74"/>
        <v>0.2404863114</v>
      </c>
      <c r="G319" s="9">
        <f>COUNTIFS(MOMBASA!I:I,$G$18,MOMBASA!A:A,"8/12/24")</f>
        <v>1</v>
      </c>
      <c r="H319" s="11">
        <f>COUNTIFS(MOMBASA!I:I,$H$18,MOMBASA!A:A,"8/12/24")</f>
        <v>3</v>
      </c>
      <c r="I319" s="11">
        <f>COUNTIFS(MOMBASA!I:I,$I$18,MOMBASA!A:A,"8/12/24")</f>
        <v>19</v>
      </c>
      <c r="J319" s="2"/>
      <c r="K319" s="2"/>
      <c r="L319" s="2"/>
      <c r="M319" s="2"/>
      <c r="N319" s="2"/>
      <c r="O319" s="2"/>
      <c r="P319" s="2"/>
      <c r="Q319" s="2"/>
      <c r="R319" s="2"/>
      <c r="S319" s="2"/>
      <c r="T319" s="2"/>
      <c r="U319" s="2"/>
      <c r="V319" s="2"/>
      <c r="W319" s="2"/>
      <c r="X319" s="2"/>
      <c r="Y319" s="2"/>
      <c r="Z319" s="2"/>
      <c r="AA319" s="2"/>
      <c r="AB319" s="2"/>
    </row>
    <row r="320">
      <c r="A320" s="7" t="s">
        <v>18</v>
      </c>
      <c r="B320" s="8">
        <f>SUMIFS(KISUMU!F:F,KISUMU!A:A,"8/12/24")</f>
        <v>1615399.2</v>
      </c>
      <c r="C320" s="11">
        <f>COUNTIFS(KISUMU!A:A,"8/12/24")</f>
        <v>25</v>
      </c>
      <c r="D320" s="10">
        <f>SUMIFS(KISUMU!G:G,KISUMU!A:A,"8/12/24")</f>
        <v>153089</v>
      </c>
      <c r="E320" s="11">
        <f t="shared" si="73"/>
        <v>7</v>
      </c>
      <c r="F320" s="12">
        <f t="shared" si="74"/>
        <v>0.09476852533</v>
      </c>
      <c r="G320" s="9">
        <f>COUNTIFS(KISUMU!I:I,$G$18,KISUMU!A:A,"8/12/24")</f>
        <v>5</v>
      </c>
      <c r="H320" s="11">
        <f>COUNTIFS(KISUMU!I:I,$H$18,KISUMU!A:A,"8/12/24")</f>
        <v>2</v>
      </c>
      <c r="I320" s="11">
        <f>COUNTIFS(KISUMU!I:I,$I$18,KISUMU!A:A,"8/12/24")</f>
        <v>18</v>
      </c>
      <c r="J320" s="2"/>
      <c r="K320" s="2"/>
      <c r="L320" s="2"/>
      <c r="M320" s="2"/>
      <c r="N320" s="2"/>
      <c r="O320" s="2"/>
      <c r="P320" s="2"/>
      <c r="Q320" s="2"/>
      <c r="R320" s="2"/>
      <c r="S320" s="2"/>
      <c r="T320" s="2"/>
      <c r="U320" s="2"/>
      <c r="V320" s="2"/>
      <c r="W320" s="2"/>
      <c r="X320" s="2"/>
      <c r="Y320" s="2"/>
      <c r="Z320" s="2"/>
      <c r="AA320" s="2"/>
      <c r="AB320" s="2"/>
    </row>
    <row r="321">
      <c r="A321" s="7" t="s">
        <v>19</v>
      </c>
      <c r="B321" s="8">
        <f>SUMIFS(VOI!F:F,VOI!A:A,"8/12/24")</f>
        <v>193617</v>
      </c>
      <c r="C321" s="11">
        <f>COUNTIFS(VOI!A:A,"8/12/24")</f>
        <v>7</v>
      </c>
      <c r="D321" s="10">
        <f>SUMIFS(VOI!G:G,VOI!A:A,"8/12/24")</f>
        <v>15000</v>
      </c>
      <c r="E321" s="11">
        <f t="shared" si="73"/>
        <v>1</v>
      </c>
      <c r="F321" s="12">
        <f t="shared" si="74"/>
        <v>0.07747253599</v>
      </c>
      <c r="G321" s="9">
        <f>COUNTIFS(VOI!H:H,$G$18,VOI!A:A,"8/12/24")</f>
        <v>0</v>
      </c>
      <c r="H321" s="11">
        <f>COUNTIFS(VOI!H:H,$H$18,VOI!A:A,"8/12/24")</f>
        <v>1</v>
      </c>
      <c r="I321" s="11">
        <f>COUNTIFS(VOI!H:H,$I$18,VOI!A:A,"8/12/24")</f>
        <v>6</v>
      </c>
      <c r="J321" s="2"/>
      <c r="K321" s="2"/>
      <c r="L321" s="2"/>
      <c r="M321" s="2"/>
      <c r="N321" s="2"/>
      <c r="O321" s="2"/>
      <c r="P321" s="2"/>
      <c r="Q321" s="2"/>
      <c r="R321" s="2"/>
      <c r="S321" s="2"/>
      <c r="T321" s="2"/>
      <c r="U321" s="2"/>
      <c r="V321" s="2"/>
      <c r="W321" s="2"/>
      <c r="X321" s="2"/>
      <c r="Y321" s="2"/>
      <c r="Z321" s="2"/>
      <c r="AA321" s="2"/>
      <c r="AB321" s="2"/>
    </row>
    <row r="322">
      <c r="A322" s="7" t="s">
        <v>20</v>
      </c>
      <c r="B322" s="8">
        <f>SUMIFS(THIKA!F:F,THIKA!A:A,"8/12/24")</f>
        <v>888202.78</v>
      </c>
      <c r="C322" s="11">
        <f>COUNTIFS(THIKA!A:A,"8/12/24")</f>
        <v>18</v>
      </c>
      <c r="D322" s="10">
        <f>SUMIFS(THIKA!G:G,THIKA!A:A,"8/12/24")</f>
        <v>31000</v>
      </c>
      <c r="E322" s="11">
        <f t="shared" si="73"/>
        <v>2</v>
      </c>
      <c r="F322" s="12">
        <f t="shared" si="74"/>
        <v>0.03490193985</v>
      </c>
      <c r="G322" s="9">
        <f>COUNTIFS(THIKA!I:I,$G$18,THIKA!A:A,"8/12/24")</f>
        <v>0</v>
      </c>
      <c r="H322" s="11">
        <f>COUNTIFS(THIKA!I:I,$H$18,THIKA!A:A,"8/12/24")</f>
        <v>2</v>
      </c>
      <c r="I322" s="11">
        <f>COUNTIFS(THIKA!I:I,$I$18,THIKA!A:A,"8/12/24")</f>
        <v>16</v>
      </c>
      <c r="J322" s="2"/>
      <c r="K322" s="2"/>
      <c r="L322" s="2"/>
      <c r="M322" s="2"/>
      <c r="N322" s="2"/>
      <c r="O322" s="2"/>
      <c r="P322" s="2"/>
      <c r="Q322" s="2"/>
      <c r="R322" s="2"/>
      <c r="S322" s="2"/>
      <c r="T322" s="2"/>
      <c r="U322" s="2"/>
      <c r="V322" s="2"/>
      <c r="W322" s="2"/>
      <c r="X322" s="2"/>
      <c r="Y322" s="2"/>
      <c r="Z322" s="2"/>
      <c r="AA322" s="2"/>
      <c r="AB322" s="2"/>
    </row>
    <row r="323">
      <c r="A323" s="7" t="s">
        <v>21</v>
      </c>
      <c r="B323" s="8">
        <f>SUMIFS(KITUI!F:F,KITUI!A:A,"8/12/24")</f>
        <v>55775</v>
      </c>
      <c r="C323" s="11">
        <f>COUNTIFS(KITUI!A:A,"8/12/24")</f>
        <v>2</v>
      </c>
      <c r="D323" s="10">
        <f>SUMIFS(KITUI!G:G,KITUI!A:A,"8/12/24")</f>
        <v>1000</v>
      </c>
      <c r="E323" s="11">
        <f t="shared" si="73"/>
        <v>1</v>
      </c>
      <c r="F323" s="12">
        <f t="shared" si="74"/>
        <v>0.01792917974</v>
      </c>
      <c r="G323" s="9">
        <f>COUNTIFS(KITUI!I:I,$G$18,KITUI!A:A,"8/12/24")</f>
        <v>0</v>
      </c>
      <c r="H323" s="11">
        <f>COUNTIFS(KITUI!I:I,$H$18,KITUI!A:A,"8/12/24")</f>
        <v>1</v>
      </c>
      <c r="I323" s="11">
        <f>COUNTIFS(KITUI!I:I,$I$18,KITUI!A:A,"8/12/24")</f>
        <v>1</v>
      </c>
      <c r="J323" s="2"/>
      <c r="K323" s="2"/>
      <c r="L323" s="2"/>
      <c r="M323" s="2"/>
      <c r="N323" s="2"/>
      <c r="O323" s="2"/>
      <c r="P323" s="2"/>
      <c r="Q323" s="2"/>
      <c r="R323" s="2"/>
      <c r="S323" s="2"/>
      <c r="T323" s="2"/>
      <c r="U323" s="2"/>
      <c r="V323" s="2"/>
      <c r="W323" s="2"/>
      <c r="X323" s="2"/>
      <c r="Y323" s="2"/>
      <c r="Z323" s="2"/>
      <c r="AA323" s="2"/>
      <c r="AB323" s="2"/>
    </row>
    <row r="324">
      <c r="A324" s="15" t="s">
        <v>22</v>
      </c>
      <c r="B324" s="8">
        <f>SUMIFS(MACHAKOS!F:F,MACHAKOS!A:A,"8/12/24")</f>
        <v>273354</v>
      </c>
      <c r="C324" s="11">
        <f>COUNTIFS(MACHAKOS!A:A,"8/12/24")</f>
        <v>4</v>
      </c>
      <c r="D324" s="10">
        <f>SUMIFS(MACHAKOS!G:G,MACHAKOS!A:A,"8/12/24")</f>
        <v>46368</v>
      </c>
      <c r="E324" s="11">
        <f t="shared" si="73"/>
        <v>1</v>
      </c>
      <c r="F324" s="12">
        <f t="shared" si="74"/>
        <v>0.169626199</v>
      </c>
      <c r="G324" s="9">
        <f>COUNTIFS(MACHAKOS!I:I,$G$18,MACHAKOS!A:A,"8/12/24")</f>
        <v>0</v>
      </c>
      <c r="H324" s="11">
        <f>COUNTIFS(MACHAKOS!I:I,$H$18,MACHAKOS!A:A,"8/12/24")</f>
        <v>1</v>
      </c>
      <c r="I324" s="11">
        <f>COUNTIFS(MACHAKOS!I:I,$I$18,MACHAKOS!A:A,"8/12/24")</f>
        <v>3</v>
      </c>
      <c r="J324" s="2"/>
      <c r="K324" s="2"/>
      <c r="L324" s="2"/>
      <c r="M324" s="2"/>
      <c r="N324" s="2"/>
      <c r="O324" s="2"/>
      <c r="P324" s="2"/>
      <c r="Q324" s="2"/>
      <c r="R324" s="2"/>
      <c r="S324" s="2"/>
      <c r="T324" s="2"/>
      <c r="U324" s="2"/>
      <c r="V324" s="2"/>
      <c r="W324" s="2"/>
      <c r="X324" s="2"/>
      <c r="Y324" s="2"/>
      <c r="Z324" s="2"/>
      <c r="AA324" s="2"/>
      <c r="AB324" s="2"/>
    </row>
    <row r="325">
      <c r="A325" s="1" t="s">
        <v>32</v>
      </c>
      <c r="B325" s="30">
        <v>3000000.0</v>
      </c>
      <c r="C325" s="28"/>
      <c r="D325" s="10"/>
      <c r="E325" s="28">
        <v>0.0</v>
      </c>
      <c r="F325" s="12">
        <f t="shared" si="74"/>
        <v>0</v>
      </c>
      <c r="G325" s="9">
        <f>COUNTIFS(MACHAKOS!I:I,$G$18,MACHAKOS!A:A,"8/12/24")</f>
        <v>0</v>
      </c>
      <c r="H325" s="11">
        <f>COUNTIFS(MACHAKOS!I:I,$H$18,MACHAKOS!A:A,"8/12/24")</f>
        <v>1</v>
      </c>
      <c r="I325" s="11">
        <f>COUNTIFS(MACHAKOS!I:I,$I$18,MACHAKOS!A:A,"8/12/24")</f>
        <v>3</v>
      </c>
      <c r="J325" s="2"/>
      <c r="K325" s="2"/>
      <c r="L325" s="2"/>
      <c r="M325" s="2"/>
      <c r="N325" s="2"/>
      <c r="O325" s="2"/>
      <c r="P325" s="2"/>
      <c r="Q325" s="2"/>
      <c r="R325" s="2"/>
      <c r="S325" s="2"/>
      <c r="T325" s="2"/>
      <c r="U325" s="2"/>
      <c r="V325" s="2"/>
      <c r="W325" s="2"/>
      <c r="X325" s="2"/>
      <c r="Y325" s="2"/>
      <c r="Z325" s="2"/>
      <c r="AA325" s="2"/>
      <c r="AB325" s="2"/>
    </row>
    <row r="326">
      <c r="A326" s="1" t="s">
        <v>31</v>
      </c>
      <c r="B326" s="25">
        <v>6300000.0</v>
      </c>
      <c r="C326" s="11"/>
      <c r="D326" s="29"/>
      <c r="E326" s="11"/>
      <c r="F326" s="12"/>
      <c r="G326" s="9"/>
      <c r="H326" s="11"/>
      <c r="I326" s="11"/>
      <c r="J326" s="2"/>
      <c r="K326" s="2"/>
      <c r="L326" s="2"/>
      <c r="M326" s="2"/>
      <c r="N326" s="2"/>
      <c r="O326" s="2"/>
      <c r="P326" s="2"/>
      <c r="Q326" s="2"/>
      <c r="R326" s="2"/>
      <c r="S326" s="2"/>
      <c r="T326" s="2"/>
      <c r="U326" s="2"/>
      <c r="V326" s="2"/>
      <c r="W326" s="2"/>
      <c r="X326" s="2"/>
      <c r="Y326" s="2"/>
      <c r="Z326" s="2"/>
      <c r="AA326" s="2"/>
      <c r="AB326" s="2"/>
    </row>
    <row r="327">
      <c r="A327" s="16" t="s">
        <v>23</v>
      </c>
      <c r="B327" s="17">
        <f t="shared" ref="B327:D327" si="75">SUM(B312:B326)</f>
        <v>40620798.82</v>
      </c>
      <c r="C327" s="18">
        <f t="shared" si="75"/>
        <v>256</v>
      </c>
      <c r="D327" s="19">
        <f t="shared" si="75"/>
        <v>5058914.02</v>
      </c>
      <c r="E327" s="18">
        <f>SUM(E312:E324)</f>
        <v>62</v>
      </c>
      <c r="F327" s="20">
        <f>D327/B327</f>
        <v>0.1245399935</v>
      </c>
      <c r="G327" s="21">
        <f t="shared" ref="G327:I327" si="76">SUM(G312:G326)</f>
        <v>16</v>
      </c>
      <c r="H327" s="21">
        <f t="shared" si="76"/>
        <v>47</v>
      </c>
      <c r="I327" s="21">
        <f t="shared" si="76"/>
        <v>197</v>
      </c>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3" t="s">
        <v>1</v>
      </c>
      <c r="B329" s="4" t="s">
        <v>33</v>
      </c>
      <c r="C329" s="4" t="s">
        <v>34</v>
      </c>
      <c r="D329" s="5" t="s">
        <v>2</v>
      </c>
      <c r="E329" s="5" t="s">
        <v>3</v>
      </c>
      <c r="F329" s="5" t="s">
        <v>4</v>
      </c>
      <c r="G329" s="5" t="s">
        <v>5</v>
      </c>
      <c r="H329" s="26" t="s">
        <v>6</v>
      </c>
      <c r="I329" s="26" t="s">
        <v>7</v>
      </c>
      <c r="J329" s="26" t="s">
        <v>8</v>
      </c>
      <c r="K329" s="26" t="s">
        <v>9</v>
      </c>
      <c r="L329" s="2"/>
      <c r="M329" s="2"/>
      <c r="N329" s="2"/>
      <c r="O329" s="2"/>
      <c r="P329" s="2"/>
      <c r="Q329" s="2"/>
      <c r="R329" s="2"/>
      <c r="S329" s="2"/>
      <c r="T329" s="2"/>
      <c r="U329" s="2"/>
      <c r="V329" s="2"/>
      <c r="W329" s="2"/>
      <c r="X329" s="2"/>
      <c r="Y329" s="2"/>
      <c r="Z329" s="2"/>
      <c r="AA329" s="2"/>
      <c r="AB329" s="2"/>
      <c r="AC329" s="2"/>
      <c r="AD329" s="2"/>
    </row>
    <row r="330">
      <c r="A330" s="7" t="s">
        <v>10</v>
      </c>
      <c r="B330" s="8">
        <v>8.579016727E8</v>
      </c>
      <c r="C330" s="31">
        <v>397.0</v>
      </c>
      <c r="D330" s="8">
        <f>SUMIFS(ECOBANK!F:F,ECOBANK!A:A,"8/13")</f>
        <v>6526106.07</v>
      </c>
      <c r="E330" s="9">
        <f>COUNTIFS(ECOBANK!A:A,"8/13")</f>
        <v>13</v>
      </c>
      <c r="F330" s="10">
        <f>SUMIFS(ECOBANK!G:G,ECOBANK!A:A,"8/13")</f>
        <v>172512</v>
      </c>
      <c r="G330" s="11">
        <f t="shared" ref="G330:G342" si="77">I330+J330</f>
        <v>3</v>
      </c>
      <c r="H330" s="12">
        <f t="shared" ref="H330:H343" si="78">iferror(F330/D330,0)</f>
        <v>0.02643413977</v>
      </c>
      <c r="I330" s="9">
        <f>COUNTIFS(ECOBANK!I:I,$G$18,ECOBANK!A:A,"8/13")</f>
        <v>1</v>
      </c>
      <c r="J330" s="11">
        <f>COUNTIFS(ECOBANK!I:I,$H$18,ECOBANK!A:A,"8/13")</f>
        <v>2</v>
      </c>
      <c r="K330" s="11">
        <f>COUNTIFS(ECOBANK!I:I,$I$18,ECOBANK!A:A,"8/13")</f>
        <v>10</v>
      </c>
      <c r="L330" s="2"/>
      <c r="M330" s="2"/>
      <c r="N330" s="2"/>
      <c r="O330" s="2"/>
      <c r="P330" s="2"/>
      <c r="Q330" s="2"/>
      <c r="R330" s="2"/>
      <c r="S330" s="2"/>
      <c r="T330" s="2"/>
      <c r="U330" s="2"/>
      <c r="V330" s="2"/>
      <c r="W330" s="2"/>
      <c r="X330" s="2"/>
      <c r="Y330" s="2"/>
      <c r="Z330" s="2"/>
      <c r="AA330" s="2"/>
      <c r="AB330" s="2"/>
      <c r="AC330" s="2"/>
      <c r="AD330" s="2"/>
    </row>
    <row r="331">
      <c r="A331" s="7" t="s">
        <v>24</v>
      </c>
      <c r="B331" s="8">
        <v>6.1565659248E8</v>
      </c>
      <c r="C331" s="31">
        <v>251.0</v>
      </c>
      <c r="D331" s="8">
        <f>SUMIFS('TRADE CENTER'!F:F,'TRADE CENTER'!A:A,"8/13")</f>
        <v>9285990.59</v>
      </c>
      <c r="E331" s="11">
        <f>COUNTIFS('TRADE CENTER'!A:A,"8/13")</f>
        <v>40</v>
      </c>
      <c r="F331" s="10">
        <f>SUMIFS('TRADE CENTER'!G:G,'TRADE CENTER'!A:A,"8/13")</f>
        <v>1269924.48</v>
      </c>
      <c r="G331" s="11">
        <f t="shared" si="77"/>
        <v>11</v>
      </c>
      <c r="H331" s="12">
        <f t="shared" si="78"/>
        <v>0.1367570285</v>
      </c>
      <c r="I331" s="11">
        <f>COUNTIFS('TRADE CENTER'!I:I,$G$18,'TRADE CENTER'!A:A,"8/13")</f>
        <v>7</v>
      </c>
      <c r="J331" s="11">
        <f>COUNTIFS('TRADE CENTER'!I:I,$H$18,'TRADE CENTER'!A:A,"8/13")</f>
        <v>4</v>
      </c>
      <c r="K331" s="11">
        <f>COUNTIFS('TRADE CENTER'!I:I,$I$18,'TRADE CENTER'!A:A,"8/13")</f>
        <v>28</v>
      </c>
      <c r="L331" s="2"/>
      <c r="M331" s="2"/>
      <c r="N331" s="2"/>
      <c r="O331" s="2"/>
      <c r="P331" s="2"/>
      <c r="Q331" s="2"/>
      <c r="R331" s="2"/>
      <c r="S331" s="2"/>
      <c r="T331" s="2"/>
      <c r="U331" s="2"/>
      <c r="V331" s="2"/>
      <c r="W331" s="2"/>
      <c r="X331" s="2"/>
      <c r="Y331" s="2"/>
      <c r="Z331" s="2"/>
      <c r="AA331" s="2"/>
      <c r="AB331" s="2"/>
      <c r="AC331" s="2"/>
      <c r="AD331" s="2"/>
    </row>
    <row r="332">
      <c r="A332" s="7" t="s">
        <v>12</v>
      </c>
      <c r="B332" s="8">
        <v>2.645619689E8</v>
      </c>
      <c r="C332" s="31">
        <v>395.0</v>
      </c>
      <c r="D332" s="8">
        <f>SUMIFS(PENSION!F:F,PENSION!A:A,"8/13/2024")</f>
        <v>10143121.62</v>
      </c>
      <c r="E332" s="11">
        <f>COUNTIFS(PENSION!A:A,"8/13")</f>
        <v>40</v>
      </c>
      <c r="F332" s="10">
        <f>SUMIFS(PENSION!G:G,PENSION!A:A,"8/13/2024")</f>
        <v>978013</v>
      </c>
      <c r="G332" s="11">
        <f t="shared" si="77"/>
        <v>13</v>
      </c>
      <c r="H332" s="12">
        <f t="shared" si="78"/>
        <v>0.09642130266</v>
      </c>
      <c r="I332" s="9">
        <f>COUNTIFS(PENSION!I:I,$G$18,PENSION!A:A,"8/13")</f>
        <v>3</v>
      </c>
      <c r="J332" s="11">
        <f>COUNTIFS(PENSION!I:I,$H$18,PENSION!A:A,"8/13")</f>
        <v>10</v>
      </c>
      <c r="K332" s="11">
        <f>COUNTIFS(PENSION!I:I,$I$18,PENSION!A:A,"8/13")</f>
        <v>27</v>
      </c>
      <c r="L332" s="2"/>
      <c r="M332" s="2"/>
      <c r="N332" s="2"/>
      <c r="O332" s="2"/>
      <c r="P332" s="2"/>
      <c r="Q332" s="2"/>
      <c r="R332" s="2"/>
      <c r="S332" s="2"/>
      <c r="T332" s="2"/>
      <c r="U332" s="2"/>
      <c r="V332" s="2"/>
      <c r="W332" s="2"/>
      <c r="X332" s="2"/>
      <c r="Y332" s="2"/>
      <c r="Z332" s="2"/>
      <c r="AA332" s="2"/>
      <c r="AB332" s="2"/>
      <c r="AC332" s="2"/>
      <c r="AD332" s="2"/>
    </row>
    <row r="333">
      <c r="A333" s="7" t="s">
        <v>13</v>
      </c>
      <c r="B333" s="8">
        <v>1.1070409073E8</v>
      </c>
      <c r="C333" s="31">
        <v>309.0</v>
      </c>
      <c r="D333" s="8">
        <f>SUMIFS(KITENGELA!F:F,KITENGELA!A:A,"8/13/2024")</f>
        <v>6176611.96</v>
      </c>
      <c r="E333" s="11">
        <f>COUNTIFS(KITENGELA!A:A,"8/13")</f>
        <v>45</v>
      </c>
      <c r="F333" s="10">
        <f>SUMIFS(KITENGELA!G:G,KITENGELA!A:A,"8/13")</f>
        <v>189937</v>
      </c>
      <c r="G333" s="11">
        <f t="shared" si="77"/>
        <v>6</v>
      </c>
      <c r="H333" s="12">
        <f t="shared" si="78"/>
        <v>0.03075100091</v>
      </c>
      <c r="I333" s="11">
        <f>COUNTIFS(KITENGELA!I:I,$G$18,KITENGELA!A:A,"8/13")</f>
        <v>2</v>
      </c>
      <c r="J333" s="11">
        <f>COUNTIFS(KITENGELA!I:I,$H$18,KITENGELA!A:A,"8/13")</f>
        <v>4</v>
      </c>
      <c r="K333" s="11">
        <f>COUNTIFS(KITENGELA!I:I,$I$18,KITENGELA!A:A,"8/13")</f>
        <v>39</v>
      </c>
      <c r="L333" s="2"/>
      <c r="M333" s="2"/>
      <c r="N333" s="2"/>
      <c r="O333" s="2"/>
      <c r="P333" s="2"/>
      <c r="Q333" s="2"/>
      <c r="R333" s="2"/>
      <c r="S333" s="2"/>
      <c r="T333" s="2"/>
      <c r="U333" s="2"/>
      <c r="V333" s="2"/>
      <c r="W333" s="2"/>
      <c r="X333" s="2"/>
      <c r="Y333" s="2"/>
      <c r="Z333" s="2"/>
      <c r="AA333" s="2"/>
      <c r="AB333" s="2"/>
      <c r="AC333" s="2"/>
      <c r="AD333" s="2"/>
    </row>
    <row r="334">
      <c r="A334" s="7" t="s">
        <v>14</v>
      </c>
      <c r="B334" s="8">
        <v>1.5912077152E8</v>
      </c>
      <c r="C334" s="31">
        <v>167.0</v>
      </c>
      <c r="D334" s="8">
        <f>SUMIFS(ELDORET!F:F,ELDORET!A:A,"8/13")</f>
        <v>853601.15</v>
      </c>
      <c r="E334" s="11">
        <f>COUNTIFS(ELDORET!A:A,"8/13")</f>
        <v>19</v>
      </c>
      <c r="F334" s="10">
        <f>SUMIFS(ELDORET!G:G,ELDORET!A:A,"8/13")</f>
        <v>41000</v>
      </c>
      <c r="G334" s="11">
        <f t="shared" si="77"/>
        <v>4</v>
      </c>
      <c r="H334" s="12">
        <f t="shared" si="78"/>
        <v>0.04803180033</v>
      </c>
      <c r="I334" s="11">
        <f>COUNTIFS(ELDORET!I:I,$G$18,ELDORET!A:A,"8/13")</f>
        <v>2</v>
      </c>
      <c r="J334" s="11">
        <f>COUNTIFS(ELDORET!I:I,$H$18,ELDORET!A:A,"8/13")</f>
        <v>2</v>
      </c>
      <c r="K334" s="11">
        <f>COUNTIFS(ELDORET!I:I,$I$18,ELDORET!A:A,"8/13")</f>
        <v>15</v>
      </c>
      <c r="L334" s="2"/>
      <c r="M334" s="2"/>
      <c r="N334" s="2"/>
      <c r="O334" s="2"/>
      <c r="P334" s="2"/>
      <c r="Q334" s="2"/>
      <c r="R334" s="2"/>
      <c r="S334" s="2"/>
      <c r="T334" s="2"/>
      <c r="U334" s="2"/>
      <c r="V334" s="2"/>
      <c r="W334" s="2"/>
      <c r="X334" s="2"/>
      <c r="Y334" s="2"/>
      <c r="Z334" s="2"/>
      <c r="AA334" s="2"/>
      <c r="AB334" s="2"/>
      <c r="AC334" s="2"/>
      <c r="AD334" s="2"/>
    </row>
    <row r="335">
      <c r="A335" s="7" t="s">
        <v>15</v>
      </c>
      <c r="B335" s="8">
        <v>1.632384223E7</v>
      </c>
      <c r="C335" s="31">
        <v>26.0</v>
      </c>
      <c r="D335" s="8">
        <f>SUMIFS(NAKURU!F:F,NAKURU!A:A,"8/13")</f>
        <v>392830</v>
      </c>
      <c r="E335" s="11">
        <f>COUNTIFS(NAKURU!A:A,"8/13")</f>
        <v>7</v>
      </c>
      <c r="F335" s="10">
        <f>SUMIFS(NAKURU!G:G,NAKURU!A:A,"8/13")</f>
        <v>24500</v>
      </c>
      <c r="G335" s="11">
        <f t="shared" si="77"/>
        <v>1</v>
      </c>
      <c r="H335" s="12">
        <f t="shared" si="78"/>
        <v>0.06236794542</v>
      </c>
      <c r="I335" s="9">
        <f>COUNTIFS(NAKURU!I:I,$G$18,NAKURU!A:A,"8/13")</f>
        <v>0</v>
      </c>
      <c r="J335" s="11">
        <f>COUNTIFS(NAKURU!I:I,$H$18,NAKURU!A:A,"8/13")</f>
        <v>1</v>
      </c>
      <c r="K335" s="11">
        <f>COUNTIFS(NAKURU!I:I,$I$18,NAKURU!A:A,"8/13")</f>
        <v>6</v>
      </c>
      <c r="L335" s="2"/>
      <c r="M335" s="2"/>
      <c r="N335" s="2"/>
      <c r="O335" s="2"/>
      <c r="P335" s="2"/>
      <c r="Q335" s="2"/>
      <c r="R335" s="2"/>
      <c r="S335" s="2"/>
      <c r="T335" s="2"/>
      <c r="U335" s="2"/>
      <c r="V335" s="2"/>
      <c r="W335" s="2"/>
      <c r="X335" s="2"/>
      <c r="Y335" s="2"/>
      <c r="Z335" s="2"/>
      <c r="AA335" s="2"/>
      <c r="AB335" s="2"/>
      <c r="AC335" s="2"/>
      <c r="AD335" s="2"/>
    </row>
    <row r="336">
      <c r="A336" s="7" t="s">
        <v>16</v>
      </c>
      <c r="B336" s="8">
        <v>1.230119691E7</v>
      </c>
      <c r="C336" s="31">
        <v>23.0</v>
      </c>
      <c r="D336" s="8">
        <f>SUMIFS(HOMABAY!F:F,HOMABAY!A:A,"8/13")</f>
        <v>255000</v>
      </c>
      <c r="E336" s="11">
        <f>COUNTIFS(HOMABAY!A:A,"8/13")</f>
        <v>3</v>
      </c>
      <c r="F336" s="10">
        <f>SUMIFS(HOMABAY!G:G,HOMABAY!A:A,"8/13")</f>
        <v>106200</v>
      </c>
      <c r="G336" s="11">
        <f t="shared" si="77"/>
        <v>1</v>
      </c>
      <c r="H336" s="12">
        <f t="shared" si="78"/>
        <v>0.4164705882</v>
      </c>
      <c r="I336" s="9">
        <f>COUNTIFS(HOMABAY!K:K,$G$18,HOMABAY!A:A,"8/13")</f>
        <v>0</v>
      </c>
      <c r="J336" s="11">
        <f>COUNTIFS(HOMABAY!K:K,$H$18,HOMABAY!A:A,"8/13")</f>
        <v>1</v>
      </c>
      <c r="K336" s="11">
        <f>COUNTIFS(HOMABAY!K:K,$I$18,HOMABAY!A:A,"8/13")</f>
        <v>2</v>
      </c>
      <c r="L336" s="2"/>
      <c r="M336" s="2"/>
      <c r="N336" s="2"/>
      <c r="O336" s="2"/>
      <c r="P336" s="2"/>
      <c r="Q336" s="2"/>
      <c r="R336" s="2"/>
      <c r="S336" s="2"/>
      <c r="T336" s="2"/>
      <c r="U336" s="2"/>
      <c r="V336" s="2"/>
      <c r="W336" s="2"/>
      <c r="X336" s="2"/>
      <c r="Y336" s="2"/>
      <c r="Z336" s="2"/>
      <c r="AA336" s="2"/>
      <c r="AB336" s="2"/>
      <c r="AC336" s="2"/>
      <c r="AD336" s="2"/>
    </row>
    <row r="337">
      <c r="A337" s="7" t="s">
        <v>17</v>
      </c>
      <c r="B337" s="8">
        <v>1.9878820434E8</v>
      </c>
      <c r="C337" s="31">
        <v>188.0</v>
      </c>
      <c r="D337" s="8">
        <f>SUMIFS(MOMBASA!F:F,MOMBASA!A:A,"8/13")</f>
        <v>1423673.95</v>
      </c>
      <c r="E337" s="11">
        <f>COUNTIFS(MOMBASA!A:A,"8/13")</f>
        <v>23</v>
      </c>
      <c r="F337" s="27">
        <f>SUMIFS(MOMBASA!G:G,MOMBASA!A:A,"8/13")</f>
        <v>565750</v>
      </c>
      <c r="G337" s="11">
        <f t="shared" si="77"/>
        <v>9</v>
      </c>
      <c r="H337" s="12">
        <f t="shared" si="78"/>
        <v>0.3973873372</v>
      </c>
      <c r="I337" s="9">
        <f>COUNTIFS(MOMBASA!I:I,$G$18,MOMBASA!A:A,"8/13")</f>
        <v>2</v>
      </c>
      <c r="J337" s="11">
        <f>COUNTIFS(MOMBASA!I:I,$H$18,MOMBASA!A:A,"8/13")</f>
        <v>7</v>
      </c>
      <c r="K337" s="11">
        <f>COUNTIFS(MOMBASA!I:I,$I$18,MOMBASA!A:A,"8/13")</f>
        <v>14</v>
      </c>
      <c r="L337" s="2"/>
      <c r="M337" s="2"/>
      <c r="N337" s="2"/>
      <c r="O337" s="2"/>
      <c r="P337" s="2"/>
      <c r="Q337" s="2"/>
      <c r="R337" s="2"/>
      <c r="S337" s="2"/>
      <c r="T337" s="2"/>
      <c r="U337" s="2"/>
      <c r="V337" s="2"/>
      <c r="W337" s="2"/>
      <c r="X337" s="2"/>
      <c r="Y337" s="2"/>
      <c r="Z337" s="2"/>
      <c r="AA337" s="2"/>
      <c r="AB337" s="2"/>
      <c r="AC337" s="2"/>
      <c r="AD337" s="2"/>
    </row>
    <row r="338">
      <c r="A338" s="7" t="s">
        <v>18</v>
      </c>
      <c r="B338" s="8">
        <v>8.558526265E7</v>
      </c>
      <c r="C338" s="31">
        <v>88.0</v>
      </c>
      <c r="D338" s="8">
        <f>SUMIFS(KISUMU!F:F,KISUMU!A:A,"8/13")</f>
        <v>2311434.93</v>
      </c>
      <c r="E338" s="11">
        <f>COUNTIFS(KISUMU!A:A,"8/13")</f>
        <v>30</v>
      </c>
      <c r="F338" s="10">
        <f>SUMIFS(KISUMU!G:G,KISUMU!A:A,"8/13")</f>
        <v>248000</v>
      </c>
      <c r="G338" s="11">
        <f t="shared" si="77"/>
        <v>4</v>
      </c>
      <c r="H338" s="12">
        <f t="shared" si="78"/>
        <v>0.1072926591</v>
      </c>
      <c r="I338" s="9">
        <f>COUNTIFS(KISUMU!I:I,$G$18,KISUMU!A:A,"8/13")</f>
        <v>1</v>
      </c>
      <c r="J338" s="11">
        <f>COUNTIFS(KISUMU!I:I,$H$18,KISUMU!A:A,"8/13")</f>
        <v>3</v>
      </c>
      <c r="K338" s="11">
        <f>COUNTIFS(KISUMU!I:I,$I$18,KISUMU!A:A,"8/13")</f>
        <v>26</v>
      </c>
      <c r="L338" s="2"/>
      <c r="M338" s="2"/>
      <c r="N338" s="2"/>
      <c r="O338" s="2"/>
      <c r="P338" s="2"/>
      <c r="Q338" s="2"/>
      <c r="R338" s="2"/>
      <c r="S338" s="2"/>
      <c r="T338" s="2"/>
      <c r="U338" s="2"/>
      <c r="V338" s="2"/>
      <c r="W338" s="2"/>
      <c r="X338" s="2"/>
      <c r="Y338" s="2"/>
      <c r="Z338" s="2"/>
      <c r="AA338" s="2"/>
      <c r="AB338" s="2"/>
      <c r="AC338" s="2"/>
      <c r="AD338" s="2"/>
    </row>
    <row r="339">
      <c r="A339" s="7" t="s">
        <v>19</v>
      </c>
      <c r="B339" s="8">
        <v>7284301.97</v>
      </c>
      <c r="C339" s="31">
        <v>19.0</v>
      </c>
      <c r="D339" s="8">
        <f>SUMIFS(VOI!F:F,VOI!A:A,"8/13")</f>
        <v>173459</v>
      </c>
      <c r="E339" s="11">
        <f>COUNTIFS(VOI!A:A,"8/13")</f>
        <v>5</v>
      </c>
      <c r="F339" s="10">
        <f>SUMIFS(VOI!G:G,VOI!A:A,"8/13")</f>
        <v>64000</v>
      </c>
      <c r="G339" s="11">
        <f t="shared" si="77"/>
        <v>1</v>
      </c>
      <c r="H339" s="12">
        <f t="shared" si="78"/>
        <v>0.3689632709</v>
      </c>
      <c r="I339" s="9">
        <f>COUNTIFS(VOI!H:H,$G$18,VOI!A:A,"8/13")</f>
        <v>0</v>
      </c>
      <c r="J339" s="11">
        <f>COUNTIFS(VOI!H:H,$H$18,VOI!A:A,"8/13")</f>
        <v>1</v>
      </c>
      <c r="K339" s="11">
        <f>COUNTIFS(VOI!H:H,$I$18,VOI!A:A,"8/13")</f>
        <v>4</v>
      </c>
      <c r="L339" s="2"/>
      <c r="M339" s="2"/>
      <c r="N339" s="2"/>
      <c r="O339" s="2"/>
      <c r="P339" s="2"/>
      <c r="Q339" s="2"/>
      <c r="R339" s="2"/>
      <c r="S339" s="2"/>
      <c r="T339" s="2"/>
      <c r="U339" s="2"/>
      <c r="V339" s="2"/>
      <c r="W339" s="2"/>
      <c r="X339" s="2"/>
      <c r="Y339" s="2"/>
      <c r="Z339" s="2"/>
      <c r="AA339" s="2"/>
      <c r="AB339" s="2"/>
      <c r="AC339" s="2"/>
      <c r="AD339" s="2"/>
    </row>
    <row r="340">
      <c r="A340" s="7" t="s">
        <v>20</v>
      </c>
      <c r="B340" s="8">
        <v>5.46684411E7</v>
      </c>
      <c r="C340" s="31">
        <v>91.0</v>
      </c>
      <c r="D340" s="8">
        <f>SUMIFS(THIKA!F:F,THIKA!A:A,"8/13")</f>
        <v>983152.46</v>
      </c>
      <c r="E340" s="11">
        <f>COUNTIFS(THIKA!A:A,"8/13")</f>
        <v>17</v>
      </c>
      <c r="F340" s="10">
        <f>SUMIFS(THIKA!G:G,THIKA!A:A,"8/13")</f>
        <v>94274</v>
      </c>
      <c r="G340" s="11">
        <f t="shared" si="77"/>
        <v>3</v>
      </c>
      <c r="H340" s="12">
        <f t="shared" si="78"/>
        <v>0.09588950222</v>
      </c>
      <c r="I340" s="9">
        <f>COUNTIFS(THIKA!I:I,$G$18,THIKA!A:A,"8/13")</f>
        <v>1</v>
      </c>
      <c r="J340" s="11">
        <f>COUNTIFS(THIKA!I:I,$H$18,THIKA!A:A,"8/13")</f>
        <v>2</v>
      </c>
      <c r="K340" s="11">
        <f>COUNTIFS(THIKA!I:I,$I$18,THIKA!A:A,"8/13")</f>
        <v>14</v>
      </c>
      <c r="L340" s="2"/>
      <c r="M340" s="2"/>
      <c r="N340" s="2"/>
      <c r="O340" s="2"/>
      <c r="P340" s="2"/>
      <c r="Q340" s="2"/>
      <c r="R340" s="2"/>
      <c r="S340" s="2"/>
      <c r="T340" s="2"/>
      <c r="U340" s="2"/>
      <c r="V340" s="2"/>
      <c r="W340" s="2"/>
      <c r="X340" s="2"/>
      <c r="Y340" s="2"/>
      <c r="Z340" s="2"/>
      <c r="AA340" s="2"/>
      <c r="AB340" s="2"/>
      <c r="AC340" s="2"/>
      <c r="AD340" s="2"/>
    </row>
    <row r="341">
      <c r="A341" s="7" t="s">
        <v>21</v>
      </c>
      <c r="B341" s="8">
        <v>1093422.81</v>
      </c>
      <c r="C341" s="31">
        <v>4.0</v>
      </c>
      <c r="D341" s="8">
        <f>SUMIFS(KITUI!F:F,KITUI!A:A,"8/13")</f>
        <v>120000</v>
      </c>
      <c r="E341" s="11">
        <f>COUNTIFS(KITUI!A:A,"8/13")</f>
        <v>1</v>
      </c>
      <c r="F341" s="10">
        <f>SUMIFS(KITUI!G:G,KITUI!A:A,"8/13")</f>
        <v>0</v>
      </c>
      <c r="G341" s="11">
        <f t="shared" si="77"/>
        <v>0</v>
      </c>
      <c r="H341" s="12">
        <f t="shared" si="78"/>
        <v>0</v>
      </c>
      <c r="I341" s="9">
        <f>COUNTIFS(KITUI!I:I,$G$18,KITUI!A:A,"8/13")</f>
        <v>0</v>
      </c>
      <c r="J341" s="11">
        <f>COUNTIFS(KITUI!I:I,$H$18,KITUI!A:A,"8/13")</f>
        <v>0</v>
      </c>
      <c r="K341" s="11">
        <f>COUNTIFS(KITUI!I:I,$I$18,KITUI!A:A,"8/13")</f>
        <v>1</v>
      </c>
      <c r="L341" s="2"/>
      <c r="M341" s="2"/>
      <c r="N341" s="2"/>
      <c r="O341" s="2"/>
      <c r="P341" s="2"/>
      <c r="Q341" s="2"/>
      <c r="R341" s="2"/>
      <c r="S341" s="2"/>
      <c r="T341" s="2"/>
      <c r="U341" s="2"/>
      <c r="V341" s="2"/>
      <c r="W341" s="2"/>
      <c r="X341" s="2"/>
      <c r="Y341" s="2"/>
      <c r="Z341" s="2"/>
      <c r="AA341" s="2"/>
      <c r="AB341" s="2"/>
      <c r="AC341" s="2"/>
      <c r="AD341" s="2"/>
    </row>
    <row r="342">
      <c r="A342" s="15" t="s">
        <v>22</v>
      </c>
      <c r="B342" s="8">
        <v>244058.47</v>
      </c>
      <c r="C342" s="31">
        <v>4.0</v>
      </c>
      <c r="D342" s="8">
        <f>SUMIFS(MACHAKOS!F:F,MACHAKOS!A:A,"8/13")</f>
        <v>233514</v>
      </c>
      <c r="E342" s="11">
        <f>COUNTIFS(MACHAKOS!A:A,"8/13")</f>
        <v>3</v>
      </c>
      <c r="F342" s="10">
        <f>SUMIFS(MACHAKOS!G:G,MACHAKOS!A:A,"8/13")</f>
        <v>0</v>
      </c>
      <c r="G342" s="11">
        <f t="shared" si="77"/>
        <v>0</v>
      </c>
      <c r="H342" s="12">
        <f t="shared" si="78"/>
        <v>0</v>
      </c>
      <c r="I342" s="9">
        <f>COUNTIFS(MACHAKOS!I:I,$G$18,MACHAKOS!A:A,"8/13")</f>
        <v>0</v>
      </c>
      <c r="J342" s="11">
        <f>COUNTIFS(MACHAKOS!I:I,$H$18,MACHAKOS!A:A,"8/13")</f>
        <v>0</v>
      </c>
      <c r="K342" s="11">
        <f>COUNTIFS(MACHAKOS!I:I,$I$18,MACHAKOS!A:A,"8/13")</f>
        <v>3</v>
      </c>
      <c r="L342" s="2"/>
      <c r="M342" s="2"/>
      <c r="N342" s="2"/>
      <c r="O342" s="2"/>
      <c r="P342" s="2"/>
      <c r="Q342" s="2"/>
      <c r="R342" s="2"/>
      <c r="S342" s="2"/>
      <c r="T342" s="2"/>
      <c r="U342" s="2"/>
      <c r="V342" s="2"/>
      <c r="W342" s="2"/>
      <c r="X342" s="2"/>
      <c r="Y342" s="2"/>
      <c r="Z342" s="2"/>
      <c r="AA342" s="2"/>
      <c r="AB342" s="2"/>
      <c r="AC342" s="2"/>
      <c r="AD342" s="2"/>
    </row>
    <row r="343">
      <c r="A343" s="1" t="s">
        <v>32</v>
      </c>
      <c r="B343" s="8"/>
      <c r="C343" s="30"/>
      <c r="D343" s="30">
        <v>1450000.0</v>
      </c>
      <c r="E343" s="28"/>
      <c r="F343" s="10"/>
      <c r="G343" s="28">
        <v>0.0</v>
      </c>
      <c r="H343" s="12">
        <f t="shared" si="78"/>
        <v>0</v>
      </c>
      <c r="I343" s="9">
        <f>COUNTIFS(MACHAKOS!I:I,$G$18,MACHAKOS!A:A,"8/13")</f>
        <v>0</v>
      </c>
      <c r="J343" s="11">
        <f>COUNTIFS(MACHAKOS!I:I,$H$18,MACHAKOS!A:A,"8/13")</f>
        <v>0</v>
      </c>
      <c r="K343" s="11">
        <f>COUNTIFS(MACHAKOS!I:I,$I$18,MACHAKOS!A:A,"8/13")</f>
        <v>3</v>
      </c>
      <c r="L343" s="2"/>
      <c r="M343" s="2"/>
      <c r="N343" s="2"/>
      <c r="O343" s="2"/>
      <c r="P343" s="2"/>
      <c r="Q343" s="2"/>
      <c r="R343" s="2"/>
      <c r="S343" s="2"/>
      <c r="T343" s="2"/>
      <c r="U343" s="2"/>
      <c r="V343" s="2"/>
      <c r="W343" s="2"/>
      <c r="X343" s="2"/>
      <c r="Y343" s="2"/>
      <c r="Z343" s="2"/>
      <c r="AA343" s="2"/>
      <c r="AB343" s="2"/>
      <c r="AC343" s="2"/>
      <c r="AD343" s="2"/>
    </row>
    <row r="344">
      <c r="A344" s="1" t="s">
        <v>31</v>
      </c>
      <c r="B344" s="8"/>
      <c r="C344" s="25"/>
      <c r="D344" s="25">
        <v>1000000.0</v>
      </c>
      <c r="E344" s="11"/>
      <c r="F344" s="29"/>
      <c r="G344" s="11"/>
      <c r="H344" s="12"/>
      <c r="I344" s="9"/>
      <c r="J344" s="11"/>
      <c r="K344" s="11"/>
      <c r="L344" s="2"/>
      <c r="M344" s="2"/>
      <c r="N344" s="2"/>
      <c r="O344" s="2"/>
      <c r="P344" s="2"/>
      <c r="Q344" s="2"/>
      <c r="R344" s="2"/>
      <c r="S344" s="2"/>
      <c r="T344" s="2"/>
      <c r="U344" s="2"/>
      <c r="V344" s="2"/>
      <c r="W344" s="2"/>
      <c r="X344" s="2"/>
      <c r="Y344" s="2"/>
      <c r="Z344" s="2"/>
      <c r="AA344" s="2"/>
      <c r="AB344" s="2"/>
      <c r="AC344" s="2"/>
      <c r="AD344" s="2"/>
    </row>
    <row r="345">
      <c r="A345" s="16" t="s">
        <v>23</v>
      </c>
      <c r="B345" s="17">
        <f t="shared" ref="B345:C345" si="79">SUM(B330:B342)</f>
        <v>2384233827</v>
      </c>
      <c r="C345" s="17">
        <f t="shared" si="79"/>
        <v>1962</v>
      </c>
      <c r="D345" s="17">
        <f t="shared" ref="D345:F345" si="80">SUM(D330:D344)</f>
        <v>41328495.73</v>
      </c>
      <c r="E345" s="18">
        <f t="shared" si="80"/>
        <v>246</v>
      </c>
      <c r="F345" s="19">
        <f t="shared" si="80"/>
        <v>3754110.48</v>
      </c>
      <c r="G345" s="18">
        <f>SUM(G330:G342)</f>
        <v>56</v>
      </c>
      <c r="H345" s="20">
        <f>F345/D345</f>
        <v>0.09083588486</v>
      </c>
      <c r="I345" s="21">
        <f t="shared" ref="I345:K345" si="81">SUM(I330:I344)</f>
        <v>19</v>
      </c>
      <c r="J345" s="21">
        <f t="shared" si="81"/>
        <v>37</v>
      </c>
      <c r="K345" s="21">
        <f t="shared" si="81"/>
        <v>192</v>
      </c>
      <c r="L345" s="2"/>
      <c r="M345" s="2"/>
      <c r="N345" s="2"/>
      <c r="O345" s="2"/>
      <c r="P345" s="2"/>
      <c r="Q345" s="2"/>
      <c r="R345" s="2"/>
      <c r="S345" s="2"/>
      <c r="T345" s="2"/>
      <c r="U345" s="2"/>
      <c r="V345" s="2"/>
      <c r="W345" s="2"/>
      <c r="X345" s="2"/>
      <c r="Y345" s="2"/>
      <c r="Z345" s="2"/>
      <c r="AA345" s="2"/>
      <c r="AB345" s="2"/>
      <c r="AC345" s="2"/>
      <c r="AD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3" t="s">
        <v>1</v>
      </c>
      <c r="B347" s="4" t="s">
        <v>33</v>
      </c>
      <c r="C347" s="4" t="s">
        <v>34</v>
      </c>
      <c r="D347" s="5" t="s">
        <v>2</v>
      </c>
      <c r="E347" s="5" t="s">
        <v>3</v>
      </c>
      <c r="F347" s="5" t="s">
        <v>4</v>
      </c>
      <c r="G347" s="5" t="s">
        <v>5</v>
      </c>
      <c r="H347" s="26" t="s">
        <v>6</v>
      </c>
      <c r="I347" s="26" t="s">
        <v>7</v>
      </c>
      <c r="J347" s="26" t="s">
        <v>8</v>
      </c>
      <c r="K347" s="26" t="s">
        <v>9</v>
      </c>
      <c r="L347" s="2"/>
      <c r="M347" s="2"/>
      <c r="N347" s="2"/>
      <c r="O347" s="2"/>
      <c r="P347" s="2"/>
      <c r="Q347" s="2"/>
      <c r="R347" s="2"/>
      <c r="S347" s="2"/>
      <c r="T347" s="2"/>
      <c r="U347" s="2"/>
      <c r="V347" s="2"/>
      <c r="W347" s="2"/>
      <c r="X347" s="2"/>
      <c r="Y347" s="2"/>
      <c r="Z347" s="2"/>
      <c r="AA347" s="2"/>
      <c r="AB347" s="2"/>
    </row>
    <row r="348">
      <c r="A348" s="7" t="s">
        <v>10</v>
      </c>
      <c r="B348" s="8">
        <v>8.579016727E8</v>
      </c>
      <c r="C348" s="31">
        <v>397.0</v>
      </c>
      <c r="D348" s="8">
        <f>SUMIFS(ECOBANK!F:F,ECOBANK!A:A,"8/14")</f>
        <v>4338142.07</v>
      </c>
      <c r="E348" s="9">
        <f>COUNTIFS(ECOBANK!A:A,"8/14")</f>
        <v>12</v>
      </c>
      <c r="F348" s="10">
        <f>SUMIFS(ECOBANK!G:G,ECOBANK!A:A,"8/14")</f>
        <v>607963</v>
      </c>
      <c r="G348" s="11">
        <f t="shared" ref="G348:G360" si="82">I348+J348</f>
        <v>2</v>
      </c>
      <c r="H348" s="12">
        <f t="shared" ref="H348:H361" si="83">iferror(F348/D348,0)</f>
        <v>0.1401436353</v>
      </c>
      <c r="I348" s="9">
        <f>COUNTIFS(ECOBANK!I:I,$G$18,ECOBANK!A:A,"8/14")</f>
        <v>0</v>
      </c>
      <c r="J348" s="11">
        <f>COUNTIFS(ECOBANK!I:I,$H$18,ECOBANK!A:A,"8/14")</f>
        <v>2</v>
      </c>
      <c r="K348" s="11">
        <f>COUNTIFS(ECOBANK!I:I,$I$18,ECOBANK!A:A,"8/14")</f>
        <v>10</v>
      </c>
      <c r="L348" s="2"/>
      <c r="M348" s="2"/>
      <c r="N348" s="2"/>
      <c r="O348" s="2"/>
      <c r="P348" s="2"/>
      <c r="Q348" s="2"/>
      <c r="R348" s="2"/>
      <c r="S348" s="2"/>
      <c r="T348" s="2"/>
      <c r="U348" s="2"/>
      <c r="V348" s="2"/>
      <c r="W348" s="2"/>
      <c r="X348" s="2"/>
      <c r="Y348" s="2"/>
      <c r="Z348" s="2"/>
      <c r="AA348" s="2"/>
      <c r="AB348" s="2"/>
    </row>
    <row r="349">
      <c r="A349" s="7" t="s">
        <v>24</v>
      </c>
      <c r="B349" s="8">
        <v>6.1565659248E8</v>
      </c>
      <c r="C349" s="31">
        <v>251.0</v>
      </c>
      <c r="D349" s="8">
        <f>SUMIFS('TRADE CENTER'!F:F,'TRADE CENTER'!A:A,"8/14")</f>
        <v>13939847.86</v>
      </c>
      <c r="E349" s="11">
        <f>COUNTIFS('TRADE CENTER'!A:A,"8/14")</f>
        <v>38</v>
      </c>
      <c r="F349" s="10">
        <f>SUMIFS('TRADE CENTER'!G:G,'TRADE CENTER'!A:A,"8/14")</f>
        <v>1063172.5</v>
      </c>
      <c r="G349" s="11">
        <f t="shared" si="82"/>
        <v>5</v>
      </c>
      <c r="H349" s="12">
        <f t="shared" si="83"/>
        <v>0.07626858705</v>
      </c>
      <c r="I349" s="11">
        <f>COUNTIFS('TRADE CENTER'!I:I,$G$18,'TRADE CENTER'!A:A,"8/14")</f>
        <v>1</v>
      </c>
      <c r="J349" s="11">
        <f>COUNTIFS('TRADE CENTER'!I:I,$H$18,'TRADE CENTER'!A:A,"8/14")</f>
        <v>4</v>
      </c>
      <c r="K349" s="11">
        <f>COUNTIFS('TRADE CENTER'!I:I,$I$18,'TRADE CENTER'!A:A,"8/14")</f>
        <v>33</v>
      </c>
      <c r="L349" s="2"/>
      <c r="M349" s="2"/>
      <c r="N349" s="2"/>
      <c r="O349" s="2"/>
      <c r="P349" s="2"/>
      <c r="Q349" s="2"/>
      <c r="R349" s="2"/>
      <c r="S349" s="2"/>
      <c r="T349" s="2"/>
      <c r="U349" s="2"/>
      <c r="V349" s="2"/>
      <c r="W349" s="2"/>
      <c r="X349" s="2"/>
      <c r="Y349" s="2"/>
      <c r="Z349" s="2"/>
      <c r="AA349" s="2"/>
      <c r="AB349" s="2"/>
    </row>
    <row r="350">
      <c r="A350" s="7" t="s">
        <v>12</v>
      </c>
      <c r="B350" s="8">
        <v>2.645619689E8</v>
      </c>
      <c r="C350" s="31">
        <v>395.0</v>
      </c>
      <c r="D350" s="8">
        <f>SUMIFS(PENSION!F:F,PENSION!A:A,"8/14/2024")</f>
        <v>5826707.2</v>
      </c>
      <c r="E350" s="11">
        <f>COUNTIFS(PENSION!A:A,"8/14")</f>
        <v>47</v>
      </c>
      <c r="F350" s="10">
        <f>SUMIFS(PENSION!G:G,PENSION!A:A,"8/14/2024")</f>
        <v>1112247.92</v>
      </c>
      <c r="G350" s="11">
        <f t="shared" si="82"/>
        <v>14</v>
      </c>
      <c r="H350" s="12">
        <f t="shared" si="83"/>
        <v>0.1908879032</v>
      </c>
      <c r="I350" s="9">
        <f>COUNTIFS(PENSION!I:I,$G$18,PENSION!A:A,"8/14")</f>
        <v>6</v>
      </c>
      <c r="J350" s="11">
        <f>COUNTIFS(PENSION!I:I,$H$18,PENSION!A:A,"8/14")</f>
        <v>8</v>
      </c>
      <c r="K350" s="11">
        <f>COUNTIFS(PENSION!I:I,$I$18,PENSION!A:A,"8/14")</f>
        <v>33</v>
      </c>
      <c r="L350" s="2"/>
      <c r="M350" s="2"/>
      <c r="N350" s="2"/>
      <c r="O350" s="2"/>
      <c r="P350" s="2"/>
      <c r="Q350" s="2"/>
      <c r="R350" s="2"/>
      <c r="S350" s="2"/>
      <c r="T350" s="2"/>
      <c r="U350" s="2"/>
      <c r="V350" s="2"/>
      <c r="W350" s="2"/>
      <c r="X350" s="2"/>
      <c r="Y350" s="2"/>
      <c r="Z350" s="2"/>
      <c r="AA350" s="2"/>
      <c r="AB350" s="2"/>
    </row>
    <row r="351">
      <c r="A351" s="7" t="s">
        <v>13</v>
      </c>
      <c r="B351" s="8">
        <v>1.1070409073E8</v>
      </c>
      <c r="C351" s="31">
        <v>309.0</v>
      </c>
      <c r="D351" s="8">
        <f>SUMIFS(KITENGELA!F:F,KITENGELA!A:A,"8/14/2024")</f>
        <v>4713393.21</v>
      </c>
      <c r="E351" s="11">
        <f>COUNTIFS(KITENGELA!A:A,"8/14")</f>
        <v>29</v>
      </c>
      <c r="F351" s="10">
        <f>SUMIFS(KITENGELA!G:G,KITENGELA!A:A,"8/14")</f>
        <v>591945</v>
      </c>
      <c r="G351" s="11">
        <f t="shared" si="82"/>
        <v>3</v>
      </c>
      <c r="H351" s="12">
        <f t="shared" si="83"/>
        <v>0.1255878671</v>
      </c>
      <c r="I351" s="11">
        <f>COUNTIFS(KITENGELA!I:I,$G$18,KITENGELA!A:A,"8/14")</f>
        <v>1</v>
      </c>
      <c r="J351" s="11">
        <f>COUNTIFS(KITENGELA!I:I,$H$18,KITENGELA!A:A,"8/14")</f>
        <v>2</v>
      </c>
      <c r="K351" s="11">
        <f>COUNTIFS(KITENGELA!I:I,$I$18,KITENGELA!A:A,"8/14")</f>
        <v>26</v>
      </c>
      <c r="L351" s="2"/>
      <c r="M351" s="2"/>
      <c r="N351" s="2"/>
      <c r="O351" s="2"/>
      <c r="P351" s="2"/>
      <c r="Q351" s="2"/>
      <c r="R351" s="2"/>
      <c r="S351" s="2"/>
      <c r="T351" s="2"/>
      <c r="U351" s="2"/>
      <c r="V351" s="2"/>
      <c r="W351" s="2"/>
      <c r="X351" s="2"/>
      <c r="Y351" s="2"/>
      <c r="Z351" s="2"/>
      <c r="AA351" s="2"/>
      <c r="AB351" s="2"/>
    </row>
    <row r="352">
      <c r="A352" s="7" t="s">
        <v>14</v>
      </c>
      <c r="B352" s="8">
        <v>1.5912077152E8</v>
      </c>
      <c r="C352" s="31">
        <v>167.0</v>
      </c>
      <c r="D352" s="8">
        <f>SUMIFS(ELDORET!F:F,ELDORET!A:A,"8/14")</f>
        <v>1369274.15</v>
      </c>
      <c r="E352" s="11">
        <f>COUNTIFS(ELDORET!A:A,"8/14")</f>
        <v>22</v>
      </c>
      <c r="F352" s="10">
        <f>SUMIFS(ELDORET!G:G,ELDORET!A:A,"8/14")</f>
        <v>32000</v>
      </c>
      <c r="G352" s="11">
        <f t="shared" si="82"/>
        <v>3</v>
      </c>
      <c r="H352" s="12">
        <f t="shared" si="83"/>
        <v>0.02337004609</v>
      </c>
      <c r="I352" s="11">
        <f>COUNTIFS(ELDORET!I:I,$G$18,ELDORET!A:A,"8/14")</f>
        <v>1</v>
      </c>
      <c r="J352" s="11">
        <f>COUNTIFS(ELDORET!I:I,$H$18,ELDORET!A:A,"8/14")</f>
        <v>2</v>
      </c>
      <c r="K352" s="11">
        <f>COUNTIFS(ELDORET!I:I,$I$18,ELDORET!A:A,"8/14")</f>
        <v>16</v>
      </c>
      <c r="L352" s="2"/>
      <c r="M352" s="2"/>
      <c r="N352" s="2"/>
      <c r="O352" s="2"/>
      <c r="P352" s="2"/>
      <c r="Q352" s="2"/>
      <c r="R352" s="2"/>
      <c r="S352" s="2"/>
      <c r="T352" s="2"/>
      <c r="U352" s="2"/>
      <c r="V352" s="2"/>
      <c r="W352" s="2"/>
      <c r="X352" s="2"/>
      <c r="Y352" s="2"/>
      <c r="Z352" s="2"/>
      <c r="AA352" s="2"/>
      <c r="AB352" s="2"/>
    </row>
    <row r="353">
      <c r="A353" s="7" t="s">
        <v>15</v>
      </c>
      <c r="B353" s="8">
        <v>1.632384223E7</v>
      </c>
      <c r="C353" s="31">
        <v>26.0</v>
      </c>
      <c r="D353" s="8">
        <f>SUMIFS(NAKURU!F:F,NAKURU!A:A,"8/14")</f>
        <v>210600</v>
      </c>
      <c r="E353" s="11">
        <f>COUNTIFS(NAKURU!A:A,"8/14")</f>
        <v>6</v>
      </c>
      <c r="F353" s="10">
        <f>SUMIFS(NAKURU!G:G,NAKURU!A:A,"8/14")</f>
        <v>25000</v>
      </c>
      <c r="G353" s="11">
        <f t="shared" si="82"/>
        <v>1</v>
      </c>
      <c r="H353" s="12">
        <f t="shared" si="83"/>
        <v>0.118708452</v>
      </c>
      <c r="I353" s="9">
        <f>COUNTIFS(NAKURU!I:I,$G$18,NAKURU!A:A,"8/14")</f>
        <v>1</v>
      </c>
      <c r="J353" s="11">
        <f>COUNTIFS(NAKURU!I:I,$H$18,NAKURU!A:A,"8/14")</f>
        <v>0</v>
      </c>
      <c r="K353" s="11">
        <f>COUNTIFS(NAKURU!I:I,$I$18,NAKURU!A:A,"8/14")</f>
        <v>5</v>
      </c>
      <c r="L353" s="2"/>
      <c r="M353" s="2"/>
      <c r="N353" s="2"/>
      <c r="O353" s="2"/>
      <c r="P353" s="2"/>
      <c r="Q353" s="2"/>
      <c r="R353" s="2"/>
      <c r="S353" s="2"/>
      <c r="T353" s="2"/>
      <c r="U353" s="2"/>
      <c r="V353" s="2"/>
      <c r="W353" s="2"/>
      <c r="X353" s="2"/>
      <c r="Y353" s="2"/>
      <c r="Z353" s="2"/>
      <c r="AA353" s="2"/>
      <c r="AB353" s="2"/>
    </row>
    <row r="354">
      <c r="A354" s="7" t="s">
        <v>16</v>
      </c>
      <c r="B354" s="8">
        <v>1.230119691E7</v>
      </c>
      <c r="C354" s="31">
        <v>23.0</v>
      </c>
      <c r="D354" s="8">
        <f>SUMIFS(HOMABAY!F:F,HOMABAY!A:A,"8/14")</f>
        <v>356000</v>
      </c>
      <c r="E354" s="11">
        <f>COUNTIFS(HOMABAY!A:A,"8/14")</f>
        <v>5</v>
      </c>
      <c r="F354" s="10">
        <f>SUMIFS(HOMABAY!G:G,HOMABAY!A:A,"8/14")</f>
        <v>4000</v>
      </c>
      <c r="G354" s="11">
        <f t="shared" si="82"/>
        <v>1</v>
      </c>
      <c r="H354" s="12">
        <f t="shared" si="83"/>
        <v>0.01123595506</v>
      </c>
      <c r="I354" s="9">
        <f>COUNTIFS(HOMABAY!K:K,$G$18,HOMABAY!A:A,"8/14")</f>
        <v>1</v>
      </c>
      <c r="J354" s="11">
        <f>COUNTIFS(HOMABAY!K:K,$H$18,HOMABAY!A:A,"8/14")</f>
        <v>0</v>
      </c>
      <c r="K354" s="11">
        <f>COUNTIFS(HOMABAY!K:K,$I$18,HOMABAY!A:A,"8/14")</f>
        <v>4</v>
      </c>
      <c r="L354" s="2"/>
      <c r="M354" s="2"/>
      <c r="N354" s="2"/>
      <c r="O354" s="2"/>
      <c r="P354" s="2"/>
      <c r="Q354" s="2"/>
      <c r="R354" s="2"/>
      <c r="S354" s="2"/>
      <c r="T354" s="2"/>
      <c r="U354" s="2"/>
      <c r="V354" s="2"/>
      <c r="W354" s="2"/>
      <c r="X354" s="2"/>
      <c r="Y354" s="2"/>
      <c r="Z354" s="2"/>
      <c r="AA354" s="2"/>
      <c r="AB354" s="2"/>
    </row>
    <row r="355">
      <c r="A355" s="7" t="s">
        <v>17</v>
      </c>
      <c r="B355" s="8">
        <v>1.9878820434E8</v>
      </c>
      <c r="C355" s="31">
        <v>188.0</v>
      </c>
      <c r="D355" s="8">
        <f>SUMIFS(MOMBASA!F:F,MOMBASA!A:A,"8/14")</f>
        <v>1525135.01</v>
      </c>
      <c r="E355" s="11">
        <f>COUNTIFS(MOMBASA!A:A,"8/14")</f>
        <v>19</v>
      </c>
      <c r="F355" s="27">
        <f>SUMIFS(MOMBASA!G:G,MOMBASA!A:A,"8/14")</f>
        <v>1910932</v>
      </c>
      <c r="G355" s="11">
        <f t="shared" si="82"/>
        <v>10</v>
      </c>
      <c r="H355" s="12">
        <f t="shared" si="83"/>
        <v>1.252959238</v>
      </c>
      <c r="I355" s="9">
        <f>COUNTIFS(MOMBASA!I:I,$G$18,MOMBASA!A:A,"8/14")</f>
        <v>0</v>
      </c>
      <c r="J355" s="11">
        <f>COUNTIFS(MOMBASA!I:I,$H$18,MOMBASA!A:A,"8/14")</f>
        <v>10</v>
      </c>
      <c r="K355" s="11">
        <f>COUNTIFS(MOMBASA!I:I,$I$18,MOMBASA!A:A,"8/14")</f>
        <v>9</v>
      </c>
      <c r="L355" s="2"/>
      <c r="M355" s="2"/>
      <c r="N355" s="2"/>
      <c r="O355" s="2"/>
      <c r="P355" s="2"/>
      <c r="Q355" s="2"/>
      <c r="R355" s="2"/>
      <c r="S355" s="2"/>
      <c r="T355" s="2"/>
      <c r="U355" s="2"/>
      <c r="V355" s="2"/>
      <c r="W355" s="2"/>
      <c r="X355" s="2"/>
      <c r="Y355" s="2"/>
      <c r="Z355" s="2"/>
      <c r="AA355" s="2"/>
      <c r="AB355" s="2"/>
    </row>
    <row r="356">
      <c r="A356" s="7" t="s">
        <v>18</v>
      </c>
      <c r="B356" s="8">
        <v>8.558526265E7</v>
      </c>
      <c r="C356" s="31">
        <v>88.0</v>
      </c>
      <c r="D356" s="8">
        <f>SUMIFS(KISUMU!F:F,KISUMU!A:A,"8/14")</f>
        <v>1863202.87</v>
      </c>
      <c r="E356" s="11">
        <f>COUNTIFS(KISUMU!A:A,"8/14")</f>
        <v>28</v>
      </c>
      <c r="F356" s="10">
        <f>SUMIFS(KISUMU!G:G,KISUMU!A:A,"8/14")</f>
        <v>111100</v>
      </c>
      <c r="G356" s="11">
        <f t="shared" si="82"/>
        <v>4</v>
      </c>
      <c r="H356" s="12">
        <f t="shared" si="83"/>
        <v>0.05962850411</v>
      </c>
      <c r="I356" s="9">
        <f>COUNTIFS(KISUMU!I:I,$G$18,KISUMU!A:A,"8/14")</f>
        <v>2</v>
      </c>
      <c r="J356" s="11">
        <f>COUNTIFS(KISUMU!I:I,$H$18,KISUMU!A:A,"8/14")</f>
        <v>2</v>
      </c>
      <c r="K356" s="11">
        <f>COUNTIFS(KISUMU!I:I,$I$18,KISUMU!A:A,"8/14")</f>
        <v>24</v>
      </c>
      <c r="L356" s="2"/>
      <c r="M356" s="2"/>
      <c r="N356" s="2"/>
      <c r="O356" s="2"/>
      <c r="P356" s="2"/>
      <c r="Q356" s="2"/>
      <c r="R356" s="2"/>
      <c r="S356" s="2"/>
      <c r="T356" s="2"/>
      <c r="U356" s="2"/>
      <c r="V356" s="2"/>
      <c r="W356" s="2"/>
      <c r="X356" s="2"/>
      <c r="Y356" s="2"/>
      <c r="Z356" s="2"/>
      <c r="AA356" s="2"/>
      <c r="AB356" s="2"/>
    </row>
    <row r="357">
      <c r="A357" s="7" t="s">
        <v>19</v>
      </c>
      <c r="B357" s="8">
        <v>7284301.97</v>
      </c>
      <c r="C357" s="31">
        <v>19.0</v>
      </c>
      <c r="D357" s="8">
        <f>SUMIFS(VOI!F:F,VOI!A:A,"8/14")</f>
        <v>275037</v>
      </c>
      <c r="E357" s="11">
        <f>COUNTIFS(VOI!A:A,"8/14")</f>
        <v>9</v>
      </c>
      <c r="F357" s="10">
        <f>SUMIFS(VOI!G:G,VOI!A:A,"8/14")</f>
        <v>0</v>
      </c>
      <c r="G357" s="11">
        <f t="shared" si="82"/>
        <v>0</v>
      </c>
      <c r="H357" s="12">
        <f t="shared" si="83"/>
        <v>0</v>
      </c>
      <c r="I357" s="9">
        <f>COUNTIFS(VOI!H:H,$G$18,VOI!A:A,"8/14")</f>
        <v>0</v>
      </c>
      <c r="J357" s="11">
        <f>COUNTIFS(VOI!H:H,$H$18,VOI!A:A,"8/14")</f>
        <v>0</v>
      </c>
      <c r="K357" s="11">
        <f>COUNTIFS(VOI!H:H,$I$18,VOI!A:A,"8/14")</f>
        <v>9</v>
      </c>
      <c r="L357" s="2"/>
      <c r="M357" s="2"/>
      <c r="N357" s="2"/>
      <c r="O357" s="2"/>
      <c r="P357" s="2"/>
      <c r="Q357" s="2"/>
      <c r="R357" s="2"/>
      <c r="S357" s="2"/>
      <c r="T357" s="2"/>
      <c r="U357" s="2"/>
      <c r="V357" s="2"/>
      <c r="W357" s="2"/>
      <c r="X357" s="2"/>
      <c r="Y357" s="2"/>
      <c r="Z357" s="2"/>
      <c r="AA357" s="2"/>
      <c r="AB357" s="2"/>
    </row>
    <row r="358">
      <c r="A358" s="7" t="s">
        <v>20</v>
      </c>
      <c r="B358" s="8">
        <v>5.46684411E7</v>
      </c>
      <c r="C358" s="31">
        <v>91.0</v>
      </c>
      <c r="D358" s="8">
        <f>SUMIFS(THIKA!F:F,THIKA!A:A,"8/14")</f>
        <v>870084.46</v>
      </c>
      <c r="E358" s="11">
        <f>COUNTIFS(THIKA!A:A,"8/14")</f>
        <v>20</v>
      </c>
      <c r="F358" s="10">
        <f>SUMIFS(THIKA!G:G,THIKA!A:A,"8/14")</f>
        <v>252597</v>
      </c>
      <c r="G358" s="11">
        <f t="shared" si="82"/>
        <v>6</v>
      </c>
      <c r="H358" s="12">
        <f t="shared" si="83"/>
        <v>0.2903131956</v>
      </c>
      <c r="I358" s="9">
        <f>COUNTIFS(THIKA!I:I,$G$18,THIKA!A:A,"8/14")</f>
        <v>4</v>
      </c>
      <c r="J358" s="11">
        <f>COUNTIFS(THIKA!I:I,$H$18,THIKA!A:A,"8/14")</f>
        <v>2</v>
      </c>
      <c r="K358" s="11">
        <f>COUNTIFS(THIKA!I:I,$I$18,THIKA!A:A,"8/14")</f>
        <v>14</v>
      </c>
      <c r="L358" s="2"/>
      <c r="M358" s="2"/>
      <c r="N358" s="2"/>
      <c r="O358" s="2"/>
      <c r="P358" s="2"/>
      <c r="Q358" s="2"/>
      <c r="R358" s="2"/>
      <c r="S358" s="2"/>
      <c r="T358" s="2"/>
      <c r="U358" s="2"/>
      <c r="V358" s="2"/>
      <c r="W358" s="2"/>
      <c r="X358" s="2"/>
      <c r="Y358" s="2"/>
      <c r="Z358" s="2"/>
      <c r="AA358" s="2"/>
      <c r="AB358" s="2"/>
    </row>
    <row r="359">
      <c r="A359" s="7" t="s">
        <v>21</v>
      </c>
      <c r="B359" s="8">
        <v>1093422.81</v>
      </c>
      <c r="C359" s="31">
        <v>4.0</v>
      </c>
      <c r="D359" s="8">
        <f>SUMIFS(KITUI!F:F,KITUI!A:A,"8/14")</f>
        <v>47808</v>
      </c>
      <c r="E359" s="11">
        <f>COUNTIFS(KITUI!A:A,"8/14")</f>
        <v>1</v>
      </c>
      <c r="F359" s="10">
        <f>SUMIFS(KITUI!G:G,KITUI!A:A,"8/14")</f>
        <v>48000</v>
      </c>
      <c r="G359" s="11">
        <f t="shared" si="82"/>
        <v>1</v>
      </c>
      <c r="H359" s="12">
        <f t="shared" si="83"/>
        <v>1.004016064</v>
      </c>
      <c r="I359" s="9">
        <f>COUNTIFS(KITUI!I:I,$G$18,KITUI!A:A,"8/14")</f>
        <v>0</v>
      </c>
      <c r="J359" s="11">
        <f>COUNTIFS(KITUI!I:I,$H$18,KITUI!A:A,"8/14")</f>
        <v>1</v>
      </c>
      <c r="K359" s="11">
        <f>COUNTIFS(KITUI!I:I,$I$18,KITUI!A:A,"8/14")</f>
        <v>0</v>
      </c>
      <c r="L359" s="2"/>
      <c r="M359" s="2"/>
      <c r="N359" s="2"/>
      <c r="O359" s="2"/>
      <c r="P359" s="2"/>
      <c r="Q359" s="2"/>
      <c r="R359" s="2"/>
      <c r="S359" s="2"/>
      <c r="T359" s="2"/>
      <c r="U359" s="2"/>
      <c r="V359" s="2"/>
      <c r="W359" s="2"/>
      <c r="X359" s="2"/>
      <c r="Y359" s="2"/>
      <c r="Z359" s="2"/>
      <c r="AA359" s="2"/>
      <c r="AB359" s="2"/>
    </row>
    <row r="360">
      <c r="A360" s="15" t="s">
        <v>22</v>
      </c>
      <c r="B360" s="8">
        <v>244058.47</v>
      </c>
      <c r="C360" s="31">
        <v>4.0</v>
      </c>
      <c r="D360" s="8">
        <f>SUMIFS(MACHAKOS!F:F,MACHAKOS!A:A,"8/14")</f>
        <v>237514</v>
      </c>
      <c r="E360" s="11">
        <f>COUNTIFS(MACHAKOS!A:A,"8/14")</f>
        <v>4</v>
      </c>
      <c r="F360" s="10">
        <f>SUMIFS(MACHAKOS!G:G,MACHAKOS!A:A,"8/14")</f>
        <v>0</v>
      </c>
      <c r="G360" s="11">
        <f t="shared" si="82"/>
        <v>0</v>
      </c>
      <c r="H360" s="12">
        <f t="shared" si="83"/>
        <v>0</v>
      </c>
      <c r="I360" s="9">
        <f>COUNTIFS(MACHAKOS!I:I,$G$18,MACHAKOS!A:A,"8/14")</f>
        <v>0</v>
      </c>
      <c r="J360" s="11">
        <f>COUNTIFS(MACHAKOS!I:I,$H$18,MACHAKOS!A:A,"8/14")</f>
        <v>0</v>
      </c>
      <c r="K360" s="11">
        <f>COUNTIFS(MACHAKOS!I:I,$I$18,MACHAKOS!A:A,"8/14")</f>
        <v>4</v>
      </c>
      <c r="L360" s="2"/>
      <c r="M360" s="2"/>
      <c r="N360" s="2"/>
      <c r="O360" s="2"/>
      <c r="P360" s="2"/>
      <c r="Q360" s="2"/>
      <c r="R360" s="2"/>
      <c r="S360" s="2"/>
      <c r="T360" s="2"/>
      <c r="U360" s="2"/>
      <c r="V360" s="2"/>
      <c r="W360" s="2"/>
      <c r="X360" s="2"/>
      <c r="Y360" s="2"/>
      <c r="Z360" s="2"/>
      <c r="AA360" s="2"/>
      <c r="AB360" s="2"/>
    </row>
    <row r="361">
      <c r="A361" s="1" t="s">
        <v>32</v>
      </c>
      <c r="B361" s="8"/>
      <c r="C361" s="30"/>
      <c r="D361" s="30">
        <v>2900000.0</v>
      </c>
      <c r="E361" s="28"/>
      <c r="F361" s="10"/>
      <c r="G361" s="28">
        <v>0.0</v>
      </c>
      <c r="H361" s="12">
        <f t="shared" si="83"/>
        <v>0</v>
      </c>
      <c r="I361" s="9">
        <f>COUNTIFS(MACHAKOS!I:I,$G$18,MACHAKOS!A:A,"8/14")</f>
        <v>0</v>
      </c>
      <c r="J361" s="11">
        <f>COUNTIFS(MACHAKOS!I:I,$H$18,MACHAKOS!A:A,"8/14")</f>
        <v>0</v>
      </c>
      <c r="K361" s="11">
        <f>COUNTIFS(MACHAKOS!I:I,$I$18,MACHAKOS!A:A,"8/14")</f>
        <v>4</v>
      </c>
      <c r="L361" s="2"/>
      <c r="M361" s="2"/>
      <c r="N361" s="2"/>
      <c r="O361" s="2"/>
      <c r="P361" s="2"/>
      <c r="Q361" s="2"/>
      <c r="R361" s="2"/>
      <c r="S361" s="2"/>
      <c r="T361" s="2"/>
      <c r="U361" s="2"/>
      <c r="V361" s="2"/>
      <c r="W361" s="2"/>
      <c r="X361" s="2"/>
      <c r="Y361" s="2"/>
      <c r="Z361" s="2"/>
      <c r="AA361" s="2"/>
      <c r="AB361" s="2"/>
    </row>
    <row r="362">
      <c r="A362" s="1" t="s">
        <v>31</v>
      </c>
      <c r="B362" s="8"/>
      <c r="C362" s="25"/>
      <c r="D362" s="25">
        <v>1000000.0</v>
      </c>
      <c r="E362" s="11"/>
      <c r="F362" s="29"/>
      <c r="G362" s="11"/>
      <c r="H362" s="12"/>
      <c r="I362" s="9"/>
      <c r="J362" s="11"/>
      <c r="K362" s="11"/>
      <c r="L362" s="2"/>
      <c r="M362" s="2"/>
      <c r="N362" s="2"/>
      <c r="O362" s="2"/>
      <c r="P362" s="2"/>
      <c r="Q362" s="2"/>
      <c r="R362" s="2"/>
      <c r="S362" s="2"/>
      <c r="T362" s="2"/>
      <c r="U362" s="2"/>
      <c r="V362" s="2"/>
      <c r="W362" s="2"/>
      <c r="X362" s="2"/>
      <c r="Y362" s="2"/>
      <c r="Z362" s="2"/>
      <c r="AA362" s="2"/>
      <c r="AB362" s="2"/>
    </row>
    <row r="363">
      <c r="A363" s="16" t="s">
        <v>23</v>
      </c>
      <c r="B363" s="17">
        <f t="shared" ref="B363:C363" si="84">SUM(B348:B360)</f>
        <v>2384233827</v>
      </c>
      <c r="C363" s="17">
        <f t="shared" si="84"/>
        <v>1962</v>
      </c>
      <c r="D363" s="17">
        <f t="shared" ref="D363:F363" si="85">SUM(D348:D362)</f>
        <v>39472745.83</v>
      </c>
      <c r="E363" s="18">
        <f t="shared" si="85"/>
        <v>240</v>
      </c>
      <c r="F363" s="19">
        <f t="shared" si="85"/>
        <v>5758957.42</v>
      </c>
      <c r="G363" s="18">
        <f>SUM(G348:G360)</f>
        <v>50</v>
      </c>
      <c r="H363" s="20">
        <f>F363/D363</f>
        <v>0.1458970563</v>
      </c>
      <c r="I363" s="21">
        <f t="shared" ref="I363:K363" si="86">SUM(I348:I362)</f>
        <v>17</v>
      </c>
      <c r="J363" s="21">
        <f t="shared" si="86"/>
        <v>33</v>
      </c>
      <c r="K363" s="21">
        <f t="shared" si="86"/>
        <v>191</v>
      </c>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3" t="s">
        <v>1</v>
      </c>
      <c r="B365" s="4" t="s">
        <v>33</v>
      </c>
      <c r="C365" s="4" t="s">
        <v>34</v>
      </c>
      <c r="D365" s="5" t="s">
        <v>2</v>
      </c>
      <c r="E365" s="5" t="s">
        <v>3</v>
      </c>
      <c r="F365" s="5" t="s">
        <v>4</v>
      </c>
      <c r="G365" s="5" t="s">
        <v>5</v>
      </c>
      <c r="H365" s="26" t="s">
        <v>6</v>
      </c>
      <c r="I365" s="26" t="s">
        <v>7</v>
      </c>
      <c r="J365" s="26" t="s">
        <v>8</v>
      </c>
      <c r="K365" s="26" t="s">
        <v>9</v>
      </c>
      <c r="L365" s="2"/>
      <c r="M365" s="2"/>
      <c r="N365" s="2"/>
      <c r="O365" s="2"/>
      <c r="P365" s="2"/>
      <c r="Q365" s="2"/>
      <c r="R365" s="2"/>
      <c r="S365" s="2"/>
      <c r="T365" s="2"/>
      <c r="U365" s="2"/>
      <c r="V365" s="2"/>
      <c r="W365" s="2"/>
      <c r="X365" s="2"/>
      <c r="Y365" s="2"/>
      <c r="Z365" s="2"/>
      <c r="AA365" s="2"/>
      <c r="AB365" s="2"/>
    </row>
    <row r="366">
      <c r="A366" s="7" t="s">
        <v>10</v>
      </c>
      <c r="B366" s="32">
        <v>8.5299062019E8</v>
      </c>
      <c r="C366" s="33">
        <v>393.0</v>
      </c>
      <c r="D366" s="8">
        <f>SUMIFS(ECOBANK!F:F,ECOBANK!A:A,"8/15")</f>
        <v>6899584.07</v>
      </c>
      <c r="E366" s="9">
        <f>COUNTIFS(ECOBANK!A:A,"8/15")</f>
        <v>21</v>
      </c>
      <c r="F366" s="10">
        <f>SUMIFS(ECOBANK!G:G,ECOBANK!A:A,"8/15")</f>
        <v>1714500</v>
      </c>
      <c r="G366" s="11">
        <f t="shared" ref="G366:G378" si="87">I366+J366</f>
        <v>5</v>
      </c>
      <c r="H366" s="12">
        <f t="shared" ref="H366:H379" si="88">iferror(F366/D366,0)</f>
        <v>0.24849324</v>
      </c>
      <c r="I366" s="9">
        <f>COUNTIFS(ECOBANK!I:I,$G$18,ECOBANK!A:A,"8/15")</f>
        <v>2</v>
      </c>
      <c r="J366" s="11">
        <f>COUNTIFS(ECOBANK!I:I,$H$18,ECOBANK!A:A,"8/15")</f>
        <v>3</v>
      </c>
      <c r="K366" s="11">
        <f>COUNTIFS(ECOBANK!I:I,$I$18,ECOBANK!A:A,"8/15")</f>
        <v>16</v>
      </c>
      <c r="L366" s="2"/>
      <c r="M366" s="2"/>
      <c r="N366" s="2"/>
      <c r="O366" s="2"/>
      <c r="P366" s="2"/>
      <c r="Q366" s="2"/>
      <c r="R366" s="2"/>
      <c r="S366" s="2"/>
      <c r="T366" s="2"/>
      <c r="U366" s="2"/>
      <c r="V366" s="2"/>
      <c r="W366" s="2"/>
      <c r="X366" s="2"/>
      <c r="Y366" s="2"/>
      <c r="Z366" s="2"/>
      <c r="AA366" s="2"/>
      <c r="AB366" s="2"/>
    </row>
    <row r="367">
      <c r="A367" s="7" t="s">
        <v>24</v>
      </c>
      <c r="B367" s="32">
        <v>6.1744411126E8</v>
      </c>
      <c r="C367" s="33">
        <v>250.0</v>
      </c>
      <c r="D367" s="8">
        <f>SUMIFS('TRADE CENTER'!F:F,'TRADE CENTER'!A:A,"8/15")</f>
        <v>14109596.99</v>
      </c>
      <c r="E367" s="11">
        <f>COUNTIFS('TRADE CENTER'!A:A,"8/15")</f>
        <v>39</v>
      </c>
      <c r="F367" s="10">
        <f>SUMIFS('TRADE CENTER'!G:G,'TRADE CENTER'!A:A,"8/15")</f>
        <v>4248954.31</v>
      </c>
      <c r="G367" s="11">
        <f t="shared" si="87"/>
        <v>8</v>
      </c>
      <c r="H367" s="12">
        <f t="shared" si="88"/>
        <v>0.3011393106</v>
      </c>
      <c r="I367" s="11">
        <f>COUNTIFS('TRADE CENTER'!I:I,$G$18,'TRADE CENTER'!A:A,"8/15")</f>
        <v>3</v>
      </c>
      <c r="J367" s="11">
        <f>COUNTIFS('TRADE CENTER'!I:I,$H$18,'TRADE CENTER'!A:A,"8/15")</f>
        <v>5</v>
      </c>
      <c r="K367" s="11">
        <f>COUNTIFS('TRADE CENTER'!I:I,$I$18,'TRADE CENTER'!A:A,"8/15")</f>
        <v>31</v>
      </c>
      <c r="L367" s="2"/>
      <c r="M367" s="2"/>
      <c r="N367" s="2"/>
      <c r="O367" s="2"/>
      <c r="P367" s="2"/>
      <c r="Q367" s="2"/>
      <c r="R367" s="2"/>
      <c r="S367" s="2"/>
      <c r="T367" s="2"/>
      <c r="U367" s="2"/>
      <c r="V367" s="2"/>
      <c r="W367" s="2"/>
      <c r="X367" s="2"/>
      <c r="Y367" s="2"/>
      <c r="Z367" s="2"/>
      <c r="AA367" s="2"/>
      <c r="AB367" s="2"/>
    </row>
    <row r="368">
      <c r="A368" s="7" t="s">
        <v>12</v>
      </c>
      <c r="B368" s="32">
        <v>2.6058543158E8</v>
      </c>
      <c r="C368" s="33">
        <v>380.0</v>
      </c>
      <c r="D368" s="8">
        <f>SUMIFS(PENSION!F:F,PENSION!A:A,"8/15/2024")</f>
        <v>9261227.8</v>
      </c>
      <c r="E368" s="11">
        <f>COUNTIFS(PENSION!A:A,"8/15")</f>
        <v>48</v>
      </c>
      <c r="F368" s="10">
        <f>SUMIFS(PENSION!G:G,PENSION!A:A,"8/15/2024")</f>
        <v>843496</v>
      </c>
      <c r="G368" s="11">
        <f t="shared" si="87"/>
        <v>6</v>
      </c>
      <c r="H368" s="12">
        <f t="shared" si="88"/>
        <v>0.09107820456</v>
      </c>
      <c r="I368" s="9">
        <f>COUNTIFS(PENSION!I:I,$G$18,PENSION!A:A,"8/15")</f>
        <v>2</v>
      </c>
      <c r="J368" s="11">
        <f>COUNTIFS(PENSION!I:I,$H$18,PENSION!A:A,"8/15")</f>
        <v>4</v>
      </c>
      <c r="K368" s="11">
        <f>COUNTIFS(PENSION!I:I,$I$18,PENSION!A:A,"8/15")</f>
        <v>42</v>
      </c>
      <c r="L368" s="2"/>
      <c r="M368" s="2"/>
      <c r="N368" s="2"/>
      <c r="O368" s="2"/>
      <c r="P368" s="2"/>
      <c r="Q368" s="2"/>
      <c r="R368" s="2"/>
      <c r="S368" s="2"/>
      <c r="T368" s="2"/>
      <c r="U368" s="2"/>
      <c r="V368" s="2"/>
      <c r="W368" s="2"/>
      <c r="X368" s="2"/>
      <c r="Y368" s="2"/>
      <c r="Z368" s="2"/>
      <c r="AA368" s="2"/>
      <c r="AB368" s="2"/>
    </row>
    <row r="369">
      <c r="A369" s="7" t="s">
        <v>13</v>
      </c>
      <c r="B369" s="32">
        <v>1.1089480504E8</v>
      </c>
      <c r="C369" s="33">
        <v>303.0</v>
      </c>
      <c r="D369" s="8">
        <f>SUMIFS(KITENGELA!F:F,KITENGELA!A:A,"8/15/2024")</f>
        <v>4949305.93</v>
      </c>
      <c r="E369" s="11">
        <f>COUNTIFS(KITENGELA!A:A,"8/15")</f>
        <v>27</v>
      </c>
      <c r="F369" s="10">
        <f>SUMIFS(KITENGELA!G:G,KITENGELA!A:A,"8/15")</f>
        <v>541430</v>
      </c>
      <c r="G369" s="11">
        <f t="shared" si="87"/>
        <v>4</v>
      </c>
      <c r="H369" s="12">
        <f t="shared" si="88"/>
        <v>0.1093951369</v>
      </c>
      <c r="I369" s="11">
        <f>COUNTIFS(KITENGELA!I:I,$G$18,KITENGELA!A:A,"8/15")</f>
        <v>2</v>
      </c>
      <c r="J369" s="11">
        <f>COUNTIFS(KITENGELA!I:I,$H$18,KITENGELA!A:A,"8/15")</f>
        <v>2</v>
      </c>
      <c r="K369" s="11">
        <f>COUNTIFS(KITENGELA!I:I,$I$18,KITENGELA!A:A,"8/15")</f>
        <v>23</v>
      </c>
      <c r="L369" s="2"/>
      <c r="M369" s="2"/>
      <c r="N369" s="2"/>
      <c r="O369" s="2"/>
      <c r="P369" s="2"/>
      <c r="Q369" s="2"/>
      <c r="R369" s="2"/>
      <c r="S369" s="2"/>
      <c r="T369" s="2"/>
      <c r="U369" s="2"/>
      <c r="V369" s="2"/>
      <c r="W369" s="2"/>
      <c r="X369" s="2"/>
      <c r="Y369" s="2"/>
      <c r="Z369" s="2"/>
      <c r="AA369" s="2"/>
      <c r="AB369" s="2"/>
    </row>
    <row r="370">
      <c r="A370" s="7" t="s">
        <v>14</v>
      </c>
      <c r="B370" s="32">
        <v>1.5964680159E8</v>
      </c>
      <c r="C370" s="33">
        <v>167.0</v>
      </c>
      <c r="D370" s="8">
        <f>SUMIFS(ELDORET!F:F,ELDORET!A:A,"8/15")</f>
        <v>1350461.15</v>
      </c>
      <c r="E370" s="11">
        <f>COUNTIFS(ELDORET!A:A,"8/15")</f>
        <v>21</v>
      </c>
      <c r="F370" s="10">
        <f>SUMIFS(ELDORET!G:G,ELDORET!A:A,"8/15")</f>
        <v>249818</v>
      </c>
      <c r="G370" s="11">
        <f t="shared" si="87"/>
        <v>2</v>
      </c>
      <c r="H370" s="12">
        <f t="shared" si="88"/>
        <v>0.1849871801</v>
      </c>
      <c r="I370" s="11">
        <f>COUNTIFS(ELDORET!I:I,$G$18,ELDORET!A:A,"8/15")</f>
        <v>0</v>
      </c>
      <c r="J370" s="11">
        <f>COUNTIFS(ELDORET!I:I,$H$18,ELDORET!A:A,"8/15")</f>
        <v>2</v>
      </c>
      <c r="K370" s="11">
        <f>COUNTIFS(ELDORET!I:I,$I$18,ELDORET!A:A,"8/15")</f>
        <v>19</v>
      </c>
      <c r="L370" s="2"/>
      <c r="M370" s="2"/>
      <c r="N370" s="2"/>
      <c r="O370" s="2"/>
      <c r="P370" s="2"/>
      <c r="Q370" s="2"/>
      <c r="R370" s="2"/>
      <c r="S370" s="2"/>
      <c r="T370" s="2"/>
      <c r="U370" s="2"/>
      <c r="V370" s="2"/>
      <c r="W370" s="2"/>
      <c r="X370" s="2"/>
      <c r="Y370" s="2"/>
      <c r="Z370" s="2"/>
      <c r="AA370" s="2"/>
      <c r="AB370" s="2"/>
    </row>
    <row r="371">
      <c r="A371" s="7" t="s">
        <v>15</v>
      </c>
      <c r="B371" s="32">
        <v>1.619061519E7</v>
      </c>
      <c r="C371" s="33">
        <v>21.0</v>
      </c>
      <c r="D371" s="8">
        <f>SUMIFS(NAKURU!F:F,NAKURU!A:A,"8/15")</f>
        <v>211925</v>
      </c>
      <c r="E371" s="11">
        <f>COUNTIFS(NAKURU!A:A,"8/15")</f>
        <v>5</v>
      </c>
      <c r="F371" s="10">
        <f>SUMIFS(NAKURU!G:G,NAKURU!A:A,"8/15")</f>
        <v>0</v>
      </c>
      <c r="G371" s="11">
        <f t="shared" si="87"/>
        <v>0</v>
      </c>
      <c r="H371" s="12">
        <f t="shared" si="88"/>
        <v>0</v>
      </c>
      <c r="I371" s="9">
        <f>COUNTIFS(NAKURU!I:I,$G$18,NAKURU!A:A,"8/15")</f>
        <v>0</v>
      </c>
      <c r="J371" s="11">
        <f>COUNTIFS(NAKURU!I:I,$H$18,NAKURU!A:A,"8/15")</f>
        <v>0</v>
      </c>
      <c r="K371" s="11">
        <f>COUNTIFS(NAKURU!I:I,$I$18,NAKURU!A:A,"8/15")</f>
        <v>5</v>
      </c>
      <c r="L371" s="2"/>
      <c r="M371" s="2"/>
      <c r="N371" s="2"/>
      <c r="O371" s="2"/>
      <c r="P371" s="2"/>
      <c r="Q371" s="2"/>
      <c r="R371" s="2"/>
      <c r="S371" s="2"/>
      <c r="T371" s="2"/>
      <c r="U371" s="2"/>
      <c r="V371" s="2"/>
      <c r="W371" s="2"/>
      <c r="X371" s="2"/>
      <c r="Y371" s="2"/>
      <c r="Z371" s="2"/>
      <c r="AA371" s="2"/>
      <c r="AB371" s="2"/>
    </row>
    <row r="372">
      <c r="A372" s="7" t="s">
        <v>16</v>
      </c>
      <c r="B372" s="32">
        <v>1.217522431E7</v>
      </c>
      <c r="C372" s="33">
        <v>19.0</v>
      </c>
      <c r="D372" s="8">
        <f>SUMIFS(HOMABAY!F:F,HOMABAY!A:A,"8/15")</f>
        <v>180000</v>
      </c>
      <c r="E372" s="11">
        <f>COUNTIFS(HOMABAY!A:A,"8/15")</f>
        <v>1</v>
      </c>
      <c r="F372" s="10">
        <f>SUMIFS(HOMABAY!G:G,HOMABAY!A:A,"8/15")</f>
        <v>0</v>
      </c>
      <c r="G372" s="11">
        <f t="shared" si="87"/>
        <v>0</v>
      </c>
      <c r="H372" s="12">
        <f t="shared" si="88"/>
        <v>0</v>
      </c>
      <c r="I372" s="9">
        <f>COUNTIFS(HOMABAY!K:K,$G$18,HOMABAY!A:A,"8/15")</f>
        <v>0</v>
      </c>
      <c r="J372" s="11">
        <f>COUNTIFS(HOMABAY!K:K,$H$18,HOMABAY!A:A,"8/15")</f>
        <v>0</v>
      </c>
      <c r="K372" s="11">
        <f>COUNTIFS(HOMABAY!K:K,$I$18,HOMABAY!A:A,"8/15")</f>
        <v>1</v>
      </c>
      <c r="L372" s="2"/>
      <c r="M372" s="2"/>
      <c r="N372" s="2"/>
      <c r="O372" s="2"/>
      <c r="P372" s="2"/>
      <c r="Q372" s="2"/>
      <c r="R372" s="2"/>
      <c r="S372" s="2"/>
      <c r="T372" s="2"/>
      <c r="U372" s="2"/>
      <c r="V372" s="2"/>
      <c r="W372" s="2"/>
      <c r="X372" s="2"/>
      <c r="Y372" s="2"/>
      <c r="Z372" s="2"/>
      <c r="AA372" s="2"/>
      <c r="AB372" s="2"/>
    </row>
    <row r="373">
      <c r="A373" s="7" t="s">
        <v>17</v>
      </c>
      <c r="B373" s="32">
        <v>1.9916782635E8</v>
      </c>
      <c r="C373" s="33">
        <v>180.0</v>
      </c>
      <c r="D373" s="8">
        <f>SUMIFS(MOMBASA!F:F,MOMBASA!A:A,"8/15")</f>
        <v>1964047.33</v>
      </c>
      <c r="E373" s="11">
        <f>COUNTIFS(MOMBASA!A:A,"8/15")</f>
        <v>19</v>
      </c>
      <c r="F373" s="27">
        <f>SUMIFS(MOMBASA!G:G,MOMBASA!A:A,"8/15")</f>
        <v>1379619</v>
      </c>
      <c r="G373" s="11">
        <f t="shared" si="87"/>
        <v>8</v>
      </c>
      <c r="H373" s="12">
        <f t="shared" si="88"/>
        <v>0.7024367381</v>
      </c>
      <c r="I373" s="9">
        <f>COUNTIFS(MOMBASA!I:I,$G$18,MOMBASA!A:A,"8/15")</f>
        <v>2</v>
      </c>
      <c r="J373" s="11">
        <f>COUNTIFS(MOMBASA!I:I,$H$18,MOMBASA!A:A,"8/15")</f>
        <v>6</v>
      </c>
      <c r="K373" s="11">
        <f>COUNTIFS(MOMBASA!I:I,$I$18,MOMBASA!A:A,"8/15")</f>
        <v>11</v>
      </c>
      <c r="L373" s="2"/>
      <c r="M373" s="2"/>
      <c r="N373" s="2"/>
      <c r="O373" s="2"/>
      <c r="P373" s="2"/>
      <c r="Q373" s="2"/>
      <c r="R373" s="2"/>
      <c r="S373" s="2"/>
      <c r="T373" s="2"/>
      <c r="U373" s="2"/>
      <c r="V373" s="2"/>
      <c r="W373" s="2"/>
      <c r="X373" s="2"/>
      <c r="Y373" s="2"/>
      <c r="Z373" s="2"/>
      <c r="AA373" s="2"/>
      <c r="AB373" s="2"/>
    </row>
    <row r="374">
      <c r="A374" s="7" t="s">
        <v>18</v>
      </c>
      <c r="B374" s="32">
        <v>8.559933701E7</v>
      </c>
      <c r="C374" s="33">
        <v>84.0</v>
      </c>
      <c r="D374" s="8">
        <f>SUMIFS(KISUMU!F:F,KISUMU!A:A,"8/15")</f>
        <v>1522622.95</v>
      </c>
      <c r="E374" s="11">
        <f>COUNTIFS(KISUMU!A:A,"8/15")</f>
        <v>25</v>
      </c>
      <c r="F374" s="10">
        <f>SUMIFS(KISUMU!G:G,KISUMU!A:A,"8/15")</f>
        <v>168620</v>
      </c>
      <c r="G374" s="11">
        <f t="shared" si="87"/>
        <v>4</v>
      </c>
      <c r="H374" s="12">
        <f t="shared" si="88"/>
        <v>0.1107431094</v>
      </c>
      <c r="I374" s="9">
        <f>COUNTIFS(KISUMU!I:I,$G$18,KISUMU!A:A,"8/15")</f>
        <v>2</v>
      </c>
      <c r="J374" s="11">
        <f>COUNTIFS(KISUMU!I:I,$H$18,KISUMU!A:A,"8/15")</f>
        <v>2</v>
      </c>
      <c r="K374" s="11">
        <f>COUNTIFS(KISUMU!I:I,$I$18,KISUMU!A:A,"8/15")</f>
        <v>21</v>
      </c>
      <c r="L374" s="2"/>
      <c r="M374" s="2"/>
      <c r="N374" s="2"/>
      <c r="O374" s="2"/>
      <c r="P374" s="2"/>
      <c r="Q374" s="2"/>
      <c r="R374" s="2"/>
      <c r="S374" s="2"/>
      <c r="T374" s="2"/>
      <c r="U374" s="2"/>
      <c r="V374" s="2"/>
      <c r="W374" s="2"/>
      <c r="X374" s="2"/>
      <c r="Y374" s="2"/>
      <c r="Z374" s="2"/>
      <c r="AA374" s="2"/>
      <c r="AB374" s="2"/>
    </row>
    <row r="375">
      <c r="A375" s="7" t="s">
        <v>19</v>
      </c>
      <c r="B375" s="32">
        <v>7395966.84</v>
      </c>
      <c r="C375" s="33">
        <v>20.0</v>
      </c>
      <c r="D375" s="8">
        <f>SUMIFS(VOI!F:F,VOI!A:A,"8/15")</f>
        <v>198037</v>
      </c>
      <c r="E375" s="11">
        <f>COUNTIFS(VOI!A:A,"8/15")</f>
        <v>8</v>
      </c>
      <c r="F375" s="10">
        <f>SUMIFS(VOI!G:G,VOI!A:A,"8/15")</f>
        <v>31879</v>
      </c>
      <c r="G375" s="11">
        <f t="shared" si="87"/>
        <v>2</v>
      </c>
      <c r="H375" s="12">
        <f t="shared" si="88"/>
        <v>0.1609749693</v>
      </c>
      <c r="I375" s="9">
        <f>COUNTIFS(VOI!H:H,$G$18,VOI!A:A,"8/15")</f>
        <v>1</v>
      </c>
      <c r="J375" s="11">
        <f>COUNTIFS(VOI!H:H,$H$18,VOI!A:A,"8/15")</f>
        <v>1</v>
      </c>
      <c r="K375" s="11">
        <f>COUNTIFS(VOI!H:H,$I$18,VOI!A:A,"8/15")</f>
        <v>6</v>
      </c>
      <c r="L375" s="2"/>
      <c r="M375" s="2"/>
      <c r="N375" s="2"/>
      <c r="O375" s="2"/>
      <c r="P375" s="2"/>
      <c r="Q375" s="2"/>
      <c r="R375" s="2"/>
      <c r="S375" s="2"/>
      <c r="T375" s="2"/>
      <c r="U375" s="2"/>
      <c r="V375" s="2"/>
      <c r="W375" s="2"/>
      <c r="X375" s="2"/>
      <c r="Y375" s="2"/>
      <c r="Z375" s="2"/>
      <c r="AA375" s="2"/>
      <c r="AB375" s="2"/>
    </row>
    <row r="376">
      <c r="A376" s="7" t="s">
        <v>20</v>
      </c>
      <c r="B376" s="32">
        <v>5.436394825E7</v>
      </c>
      <c r="C376" s="33">
        <v>89.0</v>
      </c>
      <c r="D376" s="8">
        <f>SUMIFS(THIKA!F:F,THIKA!A:A,"8/15")</f>
        <v>1004346.46</v>
      </c>
      <c r="E376" s="11">
        <f>COUNTIFS(THIKA!A:A,"8/15")</f>
        <v>20</v>
      </c>
      <c r="F376" s="10">
        <f>SUMIFS(THIKA!G:G,THIKA!A:A,"8/15")</f>
        <v>6500</v>
      </c>
      <c r="G376" s="11">
        <f t="shared" si="87"/>
        <v>4</v>
      </c>
      <c r="H376" s="12">
        <f t="shared" si="88"/>
        <v>0.006471870275</v>
      </c>
      <c r="I376" s="9">
        <f>COUNTIFS(THIKA!I:I,$G$18,THIKA!A:A,"8/15")</f>
        <v>2</v>
      </c>
      <c r="J376" s="11">
        <f>COUNTIFS(THIKA!I:I,$H$18,THIKA!A:A,"8/15")</f>
        <v>2</v>
      </c>
      <c r="K376" s="11">
        <f>COUNTIFS(THIKA!I:I,$I$18,THIKA!A:A,"8/15")</f>
        <v>16</v>
      </c>
      <c r="L376" s="2"/>
      <c r="M376" s="2"/>
      <c r="N376" s="2"/>
      <c r="O376" s="2"/>
      <c r="P376" s="2"/>
      <c r="Q376" s="2"/>
      <c r="R376" s="2"/>
      <c r="S376" s="2"/>
      <c r="T376" s="2"/>
      <c r="U376" s="2"/>
      <c r="V376" s="2"/>
      <c r="W376" s="2"/>
      <c r="X376" s="2"/>
      <c r="Y376" s="2"/>
      <c r="Z376" s="2"/>
      <c r="AA376" s="2"/>
      <c r="AB376" s="2"/>
    </row>
    <row r="377">
      <c r="A377" s="7" t="s">
        <v>21</v>
      </c>
      <c r="B377" s="32">
        <v>1099471.6</v>
      </c>
      <c r="C377" s="33">
        <v>4.0</v>
      </c>
      <c r="D377" s="8">
        <f>SUMIFS(KITUI!F:F,KITUI!A:A,"8/15")</f>
        <v>32939</v>
      </c>
      <c r="E377" s="11">
        <f>COUNTIFS(KITUI!A:A,"8/15")</f>
        <v>1</v>
      </c>
      <c r="F377" s="10">
        <f>SUMIFS(KITUI!G:G,KITUI!A:A,"8/15")</f>
        <v>0</v>
      </c>
      <c r="G377" s="11">
        <f t="shared" si="87"/>
        <v>0</v>
      </c>
      <c r="H377" s="12">
        <f t="shared" si="88"/>
        <v>0</v>
      </c>
      <c r="I377" s="9">
        <f>COUNTIFS(KITUI!I:I,$G$18,KITUI!A:A,"8/15")</f>
        <v>0</v>
      </c>
      <c r="J377" s="11">
        <f>COUNTIFS(KITUI!I:I,$H$18,KITUI!A:A,"8/15")</f>
        <v>0</v>
      </c>
      <c r="K377" s="11">
        <f>COUNTIFS(KITUI!I:I,$I$18,KITUI!A:A,"8/15")</f>
        <v>1</v>
      </c>
      <c r="L377" s="2"/>
      <c r="M377" s="2"/>
      <c r="N377" s="2"/>
      <c r="O377" s="2"/>
      <c r="P377" s="2"/>
      <c r="Q377" s="2"/>
      <c r="R377" s="2"/>
      <c r="S377" s="2"/>
      <c r="T377" s="2"/>
      <c r="U377" s="2"/>
      <c r="V377" s="2"/>
      <c r="W377" s="2"/>
      <c r="X377" s="2"/>
      <c r="Y377" s="2"/>
      <c r="Z377" s="2"/>
      <c r="AA377" s="2"/>
      <c r="AB377" s="2"/>
    </row>
    <row r="378">
      <c r="A378" s="15" t="s">
        <v>22</v>
      </c>
      <c r="B378" s="32">
        <v>244480.07</v>
      </c>
      <c r="C378" s="33">
        <v>4.0</v>
      </c>
      <c r="D378" s="8">
        <f>SUMIFS(MACHAKOS!F:F,MACHAKOS!A:A,"8/15")</f>
        <v>233514</v>
      </c>
      <c r="E378" s="11">
        <f>COUNTIFS(MACHAKOS!A:A,"8/15")</f>
        <v>3</v>
      </c>
      <c r="F378" s="10">
        <f>SUMIFS(MACHAKOS!G:G,MACHAKOS!A:A,"8/15")</f>
        <v>10000</v>
      </c>
      <c r="G378" s="11">
        <f t="shared" si="87"/>
        <v>0</v>
      </c>
      <c r="H378" s="12">
        <f t="shared" si="88"/>
        <v>0.04282398486</v>
      </c>
      <c r="I378" s="9">
        <f>COUNTIFS(MACHAKOS!I:I,$G$18,MACHAKOS!A:A,"8/15")</f>
        <v>0</v>
      </c>
      <c r="J378" s="11">
        <f>COUNTIFS(MACHAKOS!I:I,$H$18,MACHAKOS!A:A,"8/15")</f>
        <v>0</v>
      </c>
      <c r="K378" s="11">
        <f>COUNTIFS(MACHAKOS!I:I,$I$18,MACHAKOS!A:A,"8/15")</f>
        <v>3</v>
      </c>
      <c r="L378" s="2"/>
      <c r="M378" s="2"/>
      <c r="N378" s="2"/>
      <c r="O378" s="2"/>
      <c r="P378" s="2"/>
      <c r="Q378" s="2"/>
      <c r="R378" s="2"/>
      <c r="S378" s="2"/>
      <c r="T378" s="2"/>
      <c r="U378" s="2"/>
      <c r="V378" s="2"/>
      <c r="W378" s="2"/>
      <c r="X378" s="2"/>
      <c r="Y378" s="2"/>
      <c r="Z378" s="2"/>
      <c r="AA378" s="2"/>
      <c r="AB378" s="2"/>
    </row>
    <row r="379">
      <c r="A379" s="1" t="s">
        <v>32</v>
      </c>
      <c r="B379" s="8"/>
      <c r="C379" s="30"/>
      <c r="D379" s="30">
        <v>3800000.0</v>
      </c>
      <c r="E379" s="34">
        <v>4.0</v>
      </c>
      <c r="F379" s="34">
        <v>400000.0</v>
      </c>
      <c r="G379" s="28">
        <v>0.0</v>
      </c>
      <c r="H379" s="12">
        <f t="shared" si="88"/>
        <v>0.1052631579</v>
      </c>
      <c r="I379" s="9">
        <f>COUNTIFS(MACHAKOS!I:I,$G$18,MACHAKOS!A:A,"8/15")</f>
        <v>0</v>
      </c>
      <c r="J379" s="28">
        <v>1.0</v>
      </c>
      <c r="K379" s="28">
        <v>3.0</v>
      </c>
      <c r="L379" s="2"/>
      <c r="M379" s="2"/>
      <c r="N379" s="2"/>
      <c r="O379" s="2"/>
      <c r="P379" s="2"/>
      <c r="Q379" s="2"/>
      <c r="R379" s="2"/>
      <c r="S379" s="2"/>
      <c r="T379" s="2"/>
      <c r="U379" s="2"/>
      <c r="V379" s="2"/>
      <c r="W379" s="2"/>
      <c r="X379" s="2"/>
      <c r="Y379" s="2"/>
      <c r="Z379" s="2"/>
      <c r="AA379" s="2"/>
      <c r="AB379" s="2"/>
    </row>
    <row r="380">
      <c r="A380" s="1" t="s">
        <v>31</v>
      </c>
      <c r="B380" s="8"/>
      <c r="C380" s="25"/>
      <c r="D380" s="25">
        <v>1.2E7</v>
      </c>
      <c r="E380" s="35"/>
      <c r="F380" s="29">
        <v>333614.0</v>
      </c>
      <c r="G380" s="11"/>
      <c r="H380" s="12"/>
      <c r="I380" s="9"/>
      <c r="J380" s="11"/>
      <c r="K380" s="11"/>
      <c r="L380" s="2"/>
      <c r="M380" s="2"/>
      <c r="N380" s="2"/>
      <c r="O380" s="2"/>
      <c r="P380" s="2"/>
      <c r="Q380" s="2"/>
      <c r="R380" s="2"/>
      <c r="S380" s="2"/>
      <c r="T380" s="2"/>
      <c r="U380" s="2"/>
      <c r="V380" s="2"/>
      <c r="W380" s="2"/>
      <c r="X380" s="2"/>
      <c r="Y380" s="2"/>
      <c r="Z380" s="2"/>
      <c r="AA380" s="2"/>
      <c r="AB380" s="2"/>
    </row>
    <row r="381">
      <c r="A381" s="16" t="s">
        <v>23</v>
      </c>
      <c r="B381" s="17">
        <f>SUM(B366:B378)</f>
        <v>2377798639</v>
      </c>
      <c r="C381" s="36" t="s">
        <v>35</v>
      </c>
      <c r="D381" s="17">
        <f>SUM(D366:D380)</f>
        <v>57717607.68</v>
      </c>
      <c r="E381" s="37" t="s">
        <v>36</v>
      </c>
      <c r="F381" s="19">
        <f>SUM(F366:F380)</f>
        <v>9928430.31</v>
      </c>
      <c r="G381" s="18">
        <f>SUM(G366:G378)</f>
        <v>43</v>
      </c>
      <c r="H381" s="20">
        <f>F381/D381</f>
        <v>0.1720173567</v>
      </c>
      <c r="I381" s="21">
        <f t="shared" ref="I381:K381" si="89">SUM(I366:I380)</f>
        <v>16</v>
      </c>
      <c r="J381" s="21">
        <f t="shared" si="89"/>
        <v>28</v>
      </c>
      <c r="K381" s="21">
        <f t="shared" si="89"/>
        <v>198</v>
      </c>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3" t="s">
        <v>1</v>
      </c>
      <c r="B383" s="4" t="s">
        <v>33</v>
      </c>
      <c r="C383" s="4" t="s">
        <v>34</v>
      </c>
      <c r="D383" s="5" t="s">
        <v>2</v>
      </c>
      <c r="E383" s="5" t="s">
        <v>3</v>
      </c>
      <c r="F383" s="5" t="s">
        <v>4</v>
      </c>
      <c r="G383" s="5" t="s">
        <v>5</v>
      </c>
      <c r="H383" s="26" t="s">
        <v>6</v>
      </c>
      <c r="I383" s="26" t="s">
        <v>7</v>
      </c>
      <c r="J383" s="26" t="s">
        <v>8</v>
      </c>
      <c r="K383" s="26" t="s">
        <v>9</v>
      </c>
      <c r="L383" s="2"/>
      <c r="M383" s="2"/>
      <c r="N383" s="2"/>
      <c r="O383" s="2"/>
      <c r="P383" s="2"/>
      <c r="Q383" s="2"/>
      <c r="R383" s="2"/>
      <c r="S383" s="2"/>
      <c r="T383" s="2"/>
      <c r="U383" s="2"/>
      <c r="V383" s="2"/>
      <c r="W383" s="2"/>
      <c r="X383" s="2"/>
      <c r="Y383" s="2"/>
      <c r="Z383" s="2"/>
      <c r="AA383" s="2"/>
      <c r="AB383" s="2"/>
    </row>
    <row r="384">
      <c r="A384" s="7" t="s">
        <v>10</v>
      </c>
      <c r="B384" s="32">
        <v>8.5231992764E8</v>
      </c>
      <c r="C384" s="33">
        <v>392.0</v>
      </c>
      <c r="D384" s="8">
        <f>SUMIFS(ECOBANK!F:F,ECOBANK!A:A,"8/16")</f>
        <v>5177375.07</v>
      </c>
      <c r="E384" s="9">
        <f>COUNTIFS(ECOBANK!A:A,"8/16")</f>
        <v>14</v>
      </c>
      <c r="F384" s="10">
        <f>SUMIFS(ECOBANK!G:G,ECOBANK!A:A,"8/16")</f>
        <v>2000138</v>
      </c>
      <c r="G384" s="11">
        <f t="shared" ref="G384:G396" si="90">I384+J384</f>
        <v>5</v>
      </c>
      <c r="H384" s="12">
        <f t="shared" ref="H384:H397" si="91">iferror(F384/D384,0)</f>
        <v>0.3863227935</v>
      </c>
      <c r="I384" s="9">
        <f>COUNTIFS(ECOBANK!I:I,$G$18,ECOBANK!A:A,"8/16")</f>
        <v>1</v>
      </c>
      <c r="J384" s="11">
        <f>COUNTIFS(ECOBANK!I:I,$H$18,ECOBANK!A:A,"8/16")</f>
        <v>4</v>
      </c>
      <c r="K384" s="11">
        <f>COUNTIFS(ECOBANK!I:I,$I$18,ECOBANK!A:A,"8/16")</f>
        <v>9</v>
      </c>
      <c r="L384" s="2"/>
      <c r="M384" s="2"/>
      <c r="N384" s="2"/>
      <c r="O384" s="2"/>
      <c r="P384" s="2"/>
      <c r="Q384" s="2"/>
      <c r="R384" s="2"/>
      <c r="S384" s="2"/>
      <c r="T384" s="2"/>
      <c r="U384" s="2"/>
      <c r="V384" s="2"/>
      <c r="W384" s="2"/>
      <c r="X384" s="2"/>
      <c r="Y384" s="2"/>
      <c r="Z384" s="2"/>
      <c r="AA384" s="2"/>
      <c r="AB384" s="2"/>
    </row>
    <row r="385">
      <c r="A385" s="7" t="s">
        <v>24</v>
      </c>
      <c r="B385" s="32">
        <v>6.1472024684E8</v>
      </c>
      <c r="C385" s="33">
        <v>248.0</v>
      </c>
      <c r="D385" s="8">
        <f>SUMIFS('TRADE CENTER'!F:F,'TRADE CENTER'!A:A,"8/16")</f>
        <v>8584408.27</v>
      </c>
      <c r="E385" s="11">
        <f>COUNTIFS('TRADE CENTER'!A:A,"8/16")</f>
        <v>34</v>
      </c>
      <c r="F385" s="10">
        <f>SUMIFS('TRADE CENTER'!G:G,'TRADE CENTER'!A:A,"8/16")</f>
        <v>1103735</v>
      </c>
      <c r="G385" s="11">
        <f t="shared" si="90"/>
        <v>3</v>
      </c>
      <c r="H385" s="12">
        <f t="shared" si="91"/>
        <v>0.1285743834</v>
      </c>
      <c r="I385" s="11">
        <f>COUNTIFS('TRADE CENTER'!I:I,$G$18,'TRADE CENTER'!A:A,"8/16")</f>
        <v>2</v>
      </c>
      <c r="J385" s="11">
        <f>COUNTIFS('TRADE CENTER'!I:I,$H$18,'TRADE CENTER'!A:A,"8/16")</f>
        <v>1</v>
      </c>
      <c r="K385" s="11">
        <f>COUNTIFS('TRADE CENTER'!I:I,$I$18,'TRADE CENTER'!A:A,"8/16")</f>
        <v>31</v>
      </c>
      <c r="L385" s="2"/>
      <c r="M385" s="2"/>
      <c r="N385" s="2"/>
      <c r="O385" s="2"/>
      <c r="P385" s="2"/>
      <c r="Q385" s="2"/>
      <c r="R385" s="2"/>
      <c r="S385" s="2"/>
      <c r="T385" s="2"/>
      <c r="U385" s="2"/>
      <c r="V385" s="2"/>
      <c r="W385" s="2"/>
      <c r="X385" s="2"/>
      <c r="Y385" s="2"/>
      <c r="Z385" s="2"/>
      <c r="AA385" s="2"/>
      <c r="AB385" s="2"/>
    </row>
    <row r="386">
      <c r="A386" s="7" t="s">
        <v>12</v>
      </c>
      <c r="B386" s="32">
        <v>2.5413966375E8</v>
      </c>
      <c r="C386" s="33">
        <v>378.0</v>
      </c>
      <c r="D386" s="8">
        <f>SUMIFS(PENSION!F:F,PENSION!A:A,"8/16/2024")</f>
        <v>7995089.03</v>
      </c>
      <c r="E386" s="11">
        <f>COUNTIFS(PENSION!A:A,"8/16")</f>
        <v>49</v>
      </c>
      <c r="F386" s="10">
        <f>SUMIFS(PENSION!G:G,PENSION!A:A,"8/16/2024")</f>
        <v>197444</v>
      </c>
      <c r="G386" s="11">
        <f t="shared" si="90"/>
        <v>2</v>
      </c>
      <c r="H386" s="12">
        <f t="shared" si="91"/>
        <v>0.02469565996</v>
      </c>
      <c r="I386" s="9">
        <f>COUNTIFS(PENSION!I:I,$G$18,PENSION!A:A,"8/16")</f>
        <v>0</v>
      </c>
      <c r="J386" s="11">
        <f>COUNTIFS(PENSION!I:I,$H$18,PENSION!A:A,"8/16")</f>
        <v>2</v>
      </c>
      <c r="K386" s="11">
        <f>COUNTIFS(PENSION!I:I,$I$18,PENSION!A:A,"8/16")</f>
        <v>47</v>
      </c>
      <c r="L386" s="2"/>
      <c r="M386" s="2"/>
      <c r="N386" s="2"/>
      <c r="O386" s="2"/>
      <c r="P386" s="2"/>
      <c r="Q386" s="2"/>
      <c r="R386" s="2"/>
      <c r="S386" s="2"/>
      <c r="T386" s="2"/>
      <c r="U386" s="2"/>
      <c r="V386" s="2"/>
      <c r="W386" s="2"/>
      <c r="X386" s="2"/>
      <c r="Y386" s="2"/>
      <c r="Z386" s="2"/>
      <c r="AA386" s="2"/>
      <c r="AB386" s="2"/>
    </row>
    <row r="387">
      <c r="A387" s="7" t="s">
        <v>13</v>
      </c>
      <c r="B387" s="32">
        <v>1.1120469883E8</v>
      </c>
      <c r="C387" s="33">
        <v>303.0</v>
      </c>
      <c r="D387" s="8">
        <f>SUMIFS(KITENGELA!F:F,KITENGELA!A:A,"8/16/2024")</f>
        <v>5872383.72</v>
      </c>
      <c r="E387" s="11">
        <f>COUNTIFS(KITENGELA!A:A,"8/16")</f>
        <v>35</v>
      </c>
      <c r="F387" s="10">
        <f>SUMIFS(KITENGELA!G:G,KITENGELA!A:A,"8/16")</f>
        <v>314563</v>
      </c>
      <c r="G387" s="11">
        <f t="shared" si="90"/>
        <v>8</v>
      </c>
      <c r="H387" s="12">
        <f t="shared" si="91"/>
        <v>0.05356649276</v>
      </c>
      <c r="I387" s="11">
        <f>COUNTIFS(KITENGELA!I:I,$G$18,KITENGELA!A:A,"8/16")</f>
        <v>2</v>
      </c>
      <c r="J387" s="11">
        <f>COUNTIFS(KITENGELA!I:I,$H$18,KITENGELA!A:A,"8/16")</f>
        <v>6</v>
      </c>
      <c r="K387" s="11">
        <f>COUNTIFS(KITENGELA!I:I,$I$18,KITENGELA!A:A,"8/16")</f>
        <v>27</v>
      </c>
      <c r="L387" s="2"/>
      <c r="M387" s="2"/>
      <c r="N387" s="2"/>
      <c r="O387" s="2"/>
      <c r="P387" s="2"/>
      <c r="Q387" s="2"/>
      <c r="R387" s="2"/>
      <c r="S387" s="2"/>
      <c r="T387" s="2"/>
      <c r="U387" s="2"/>
      <c r="V387" s="2"/>
      <c r="W387" s="2"/>
      <c r="X387" s="2"/>
      <c r="Y387" s="2"/>
      <c r="Z387" s="2"/>
      <c r="AA387" s="2"/>
      <c r="AB387" s="2"/>
    </row>
    <row r="388">
      <c r="A388" s="7" t="s">
        <v>14</v>
      </c>
      <c r="B388" s="32">
        <v>1.5961307914E8</v>
      </c>
      <c r="C388" s="33">
        <v>166.0</v>
      </c>
      <c r="D388" s="8">
        <f>SUMIFS(ELDORET!F:F,ELDORET!A:A,"8/16")</f>
        <v>1208658.15</v>
      </c>
      <c r="E388" s="11">
        <f>COUNTIFS(ELDORET!A:A,"8/16")</f>
        <v>23</v>
      </c>
      <c r="F388" s="10">
        <f>SUMIFS(ELDORET!G:G,ELDORET!A:A,"8/16")</f>
        <v>51333</v>
      </c>
      <c r="G388" s="11">
        <f t="shared" si="90"/>
        <v>2</v>
      </c>
      <c r="H388" s="12">
        <f t="shared" si="91"/>
        <v>0.04247106595</v>
      </c>
      <c r="I388" s="11">
        <f>COUNTIFS(ELDORET!I:I,$G$18,ELDORET!A:A,"8/16")</f>
        <v>1</v>
      </c>
      <c r="J388" s="11">
        <f>COUNTIFS(ELDORET!I:I,$H$18,ELDORET!A:A,"8/16")</f>
        <v>1</v>
      </c>
      <c r="K388" s="11">
        <f>COUNTIFS(ELDORET!I:I,$I$18,ELDORET!A:A,"8/16")</f>
        <v>21</v>
      </c>
      <c r="L388" s="2"/>
      <c r="M388" s="2"/>
      <c r="N388" s="2"/>
      <c r="O388" s="2"/>
      <c r="P388" s="2"/>
      <c r="Q388" s="2"/>
      <c r="R388" s="2"/>
      <c r="S388" s="2"/>
      <c r="T388" s="2"/>
      <c r="U388" s="2"/>
      <c r="V388" s="2"/>
      <c r="W388" s="2"/>
      <c r="X388" s="2"/>
      <c r="Y388" s="2"/>
      <c r="Z388" s="2"/>
      <c r="AA388" s="2"/>
      <c r="AB388" s="2"/>
    </row>
    <row r="389">
      <c r="A389" s="7" t="s">
        <v>15</v>
      </c>
      <c r="B389" s="32">
        <v>1.618607981E7</v>
      </c>
      <c r="C389" s="33">
        <v>22.0</v>
      </c>
      <c r="D389" s="8">
        <f>SUMIFS(NAKURU!F:F,NAKURU!A:A,"8/16")</f>
        <v>162925</v>
      </c>
      <c r="E389" s="11">
        <f>COUNTIFS(NAKURU!A:A,"8/16")</f>
        <v>5</v>
      </c>
      <c r="F389" s="10">
        <f>SUMIFS(NAKURU!G:G,NAKURU!A:A,"8/16")</f>
        <v>0</v>
      </c>
      <c r="G389" s="11">
        <f t="shared" si="90"/>
        <v>0</v>
      </c>
      <c r="H389" s="12">
        <f t="shared" si="91"/>
        <v>0</v>
      </c>
      <c r="I389" s="9">
        <f>COUNTIFS(NAKURU!I:I,$G$18,NAKURU!A:A,"8/16")</f>
        <v>0</v>
      </c>
      <c r="J389" s="11">
        <f>COUNTIFS(NAKURU!I:I,$H$18,NAKURU!A:A,"8/16")</f>
        <v>0</v>
      </c>
      <c r="K389" s="11">
        <f>COUNTIFS(NAKURU!I:I,$I$18,NAKURU!A:A,"8/16")</f>
        <v>5</v>
      </c>
      <c r="L389" s="2"/>
      <c r="M389" s="2"/>
      <c r="N389" s="2"/>
      <c r="O389" s="2"/>
      <c r="P389" s="2"/>
      <c r="Q389" s="2"/>
      <c r="R389" s="2"/>
      <c r="S389" s="2"/>
      <c r="T389" s="2"/>
      <c r="U389" s="2"/>
      <c r="V389" s="2"/>
      <c r="W389" s="2"/>
      <c r="X389" s="2"/>
      <c r="Y389" s="2"/>
      <c r="Z389" s="2"/>
      <c r="AA389" s="2"/>
      <c r="AB389" s="2"/>
    </row>
    <row r="390">
      <c r="A390" s="7" t="s">
        <v>16</v>
      </c>
      <c r="B390" s="32">
        <v>1.214590604E7</v>
      </c>
      <c r="C390" s="33">
        <v>18.0</v>
      </c>
      <c r="D390" s="8">
        <f>SUMIFS(HOMABAY!F:F,HOMABAY!A:A,"8/16")</f>
        <v>332050</v>
      </c>
      <c r="E390" s="11">
        <f>COUNTIFS(HOMABAY!A:A,"8/16")</f>
        <v>5</v>
      </c>
      <c r="F390" s="10">
        <f>SUMIFS(HOMABAY!G:G,HOMABAY!A:A,"8/16")</f>
        <v>272995</v>
      </c>
      <c r="G390" s="11">
        <f t="shared" si="90"/>
        <v>2</v>
      </c>
      <c r="H390" s="12">
        <f t="shared" si="91"/>
        <v>0.8221502786</v>
      </c>
      <c r="I390" s="9">
        <f>COUNTIFS(HOMABAY!K:K,$G$18,HOMABAY!A:A,"8/16")</f>
        <v>0</v>
      </c>
      <c r="J390" s="11">
        <f>COUNTIFS(HOMABAY!K:K,$H$18,HOMABAY!A:A,"8/16")</f>
        <v>2</v>
      </c>
      <c r="K390" s="11">
        <f>COUNTIFS(HOMABAY!K:K,$I$18,HOMABAY!A:A,"8/16")</f>
        <v>3</v>
      </c>
      <c r="L390" s="2"/>
      <c r="M390" s="2"/>
      <c r="N390" s="2"/>
      <c r="O390" s="2"/>
      <c r="P390" s="2"/>
      <c r="Q390" s="2"/>
      <c r="R390" s="2"/>
      <c r="S390" s="2"/>
      <c r="T390" s="2"/>
      <c r="U390" s="2"/>
      <c r="V390" s="2"/>
      <c r="W390" s="2"/>
      <c r="X390" s="2"/>
      <c r="Y390" s="2"/>
      <c r="Z390" s="2"/>
      <c r="AA390" s="2"/>
      <c r="AB390" s="2"/>
    </row>
    <row r="391">
      <c r="A391" s="7" t="s">
        <v>17</v>
      </c>
      <c r="B391" s="32">
        <v>1.9849966825E8</v>
      </c>
      <c r="C391" s="33">
        <v>177.0</v>
      </c>
      <c r="D391" s="8">
        <f>SUMIFS(MOMBASA!F:F,MOMBASA!A:A,"8/16")</f>
        <v>1805659.75</v>
      </c>
      <c r="E391" s="11">
        <f>COUNTIFS(MOMBASA!A:A,"8/16")</f>
        <v>21</v>
      </c>
      <c r="F391" s="27">
        <f>SUMIFS(MOMBASA!G:G,MOMBASA!A:A,"8/16")</f>
        <v>1970684</v>
      </c>
      <c r="G391" s="11">
        <f t="shared" si="90"/>
        <v>6</v>
      </c>
      <c r="H391" s="12">
        <f t="shared" si="91"/>
        <v>1.091392772</v>
      </c>
      <c r="I391" s="9">
        <f>COUNTIFS(MOMBASA!I:I,$G$18,MOMBASA!A:A,"8/16")</f>
        <v>3</v>
      </c>
      <c r="J391" s="11">
        <f>COUNTIFS(MOMBASA!I:I,$H$18,MOMBASA!A:A,"8/16")</f>
        <v>3</v>
      </c>
      <c r="K391" s="11">
        <f>COUNTIFS(MOMBASA!I:I,$I$18,MOMBASA!A:A,"8/16")</f>
        <v>15</v>
      </c>
      <c r="L391" s="2"/>
      <c r="M391" s="2"/>
      <c r="N391" s="2"/>
      <c r="O391" s="2"/>
      <c r="P391" s="2"/>
      <c r="Q391" s="2"/>
      <c r="R391" s="2"/>
      <c r="S391" s="2"/>
      <c r="T391" s="2"/>
      <c r="U391" s="2"/>
      <c r="V391" s="2"/>
      <c r="W391" s="2"/>
      <c r="X391" s="2"/>
      <c r="Y391" s="2"/>
      <c r="Z391" s="2"/>
      <c r="AA391" s="2"/>
      <c r="AB391" s="2"/>
    </row>
    <row r="392">
      <c r="A392" s="7" t="s">
        <v>18</v>
      </c>
      <c r="B392" s="32">
        <v>8.540354123E7</v>
      </c>
      <c r="C392" s="33">
        <v>86.0</v>
      </c>
      <c r="D392" s="8">
        <f>SUMIFS(KISUMU!F:F,KISUMU!A:A,"8/16")</f>
        <v>1509912.95</v>
      </c>
      <c r="E392" s="11">
        <f>COUNTIFS(KISUMU!A:A,"8/16")</f>
        <v>26</v>
      </c>
      <c r="F392" s="10">
        <f>SUMIFS(KISUMU!G:G,KISUMU!A:A,"8/16")</f>
        <v>74615</v>
      </c>
      <c r="G392" s="11">
        <f t="shared" si="90"/>
        <v>6</v>
      </c>
      <c r="H392" s="12">
        <f t="shared" si="91"/>
        <v>0.04941675611</v>
      </c>
      <c r="I392" s="9">
        <f>COUNTIFS(KISUMU!I:I,$G$18,KISUMU!A:A,"8/16")</f>
        <v>3</v>
      </c>
      <c r="J392" s="11">
        <f>COUNTIFS(KISUMU!I:I,$H$18,KISUMU!A:A,"8/16")</f>
        <v>3</v>
      </c>
      <c r="K392" s="11">
        <f>COUNTIFS(KISUMU!I:I,$I$18,KISUMU!A:A,"8/16")</f>
        <v>20</v>
      </c>
      <c r="L392" s="2"/>
      <c r="M392" s="2"/>
      <c r="N392" s="2"/>
      <c r="O392" s="2"/>
      <c r="P392" s="2"/>
      <c r="Q392" s="2"/>
      <c r="R392" s="2"/>
      <c r="S392" s="2"/>
      <c r="T392" s="2"/>
      <c r="U392" s="2"/>
      <c r="V392" s="2"/>
      <c r="W392" s="2"/>
      <c r="X392" s="2"/>
      <c r="Y392" s="2"/>
      <c r="Z392" s="2"/>
      <c r="AA392" s="2"/>
      <c r="AB392" s="2"/>
    </row>
    <row r="393">
      <c r="A393" s="7" t="s">
        <v>19</v>
      </c>
      <c r="B393" s="32">
        <v>7389021.14</v>
      </c>
      <c r="C393" s="33">
        <v>20.0</v>
      </c>
      <c r="D393" s="8">
        <f>SUMIFS(VOI!F:F,VOI!A:A,"8/16")</f>
        <v>165071</v>
      </c>
      <c r="E393" s="11">
        <f>COUNTIFS(VOI!A:A,"8/16")</f>
        <v>6</v>
      </c>
      <c r="F393" s="10">
        <f>SUMIFS(VOI!G:G,VOI!A:A,"8/16")</f>
        <v>16000</v>
      </c>
      <c r="G393" s="11">
        <f t="shared" si="90"/>
        <v>1</v>
      </c>
      <c r="H393" s="12">
        <f t="shared" si="91"/>
        <v>0.09692798856</v>
      </c>
      <c r="I393" s="9">
        <f>COUNTIFS(VOI!H:H,$G$18,VOI!A:A,"8/16")</f>
        <v>1</v>
      </c>
      <c r="J393" s="11">
        <f>COUNTIFS(VOI!H:H,$H$18,VOI!A:A,"8/16")</f>
        <v>0</v>
      </c>
      <c r="K393" s="11">
        <f>COUNTIFS(VOI!H:H,$I$18,VOI!A:A,"8/16")</f>
        <v>5</v>
      </c>
      <c r="L393" s="2"/>
      <c r="M393" s="2"/>
      <c r="N393" s="2"/>
      <c r="O393" s="2"/>
      <c r="P393" s="2"/>
      <c r="Q393" s="2"/>
      <c r="R393" s="2"/>
      <c r="S393" s="2"/>
      <c r="T393" s="2"/>
      <c r="U393" s="2"/>
      <c r="V393" s="2"/>
      <c r="W393" s="2"/>
      <c r="X393" s="2"/>
      <c r="Y393" s="2"/>
      <c r="Z393" s="2"/>
      <c r="AA393" s="2"/>
      <c r="AB393" s="2"/>
    </row>
    <row r="394">
      <c r="A394" s="7" t="s">
        <v>20</v>
      </c>
      <c r="B394" s="32">
        <v>5.463381891E7</v>
      </c>
      <c r="C394" s="33">
        <v>92.0</v>
      </c>
      <c r="D394" s="8">
        <f>SUMIFS(THIKA!F:F,THIKA!A:A,"8/16")</f>
        <v>2691280.67</v>
      </c>
      <c r="E394" s="11">
        <f>COUNTIFS(THIKA!A:A,"8/16")</f>
        <v>15</v>
      </c>
      <c r="F394" s="10">
        <f>SUMIFS(THIKA!G:G,THIKA!A:A,"8/16")</f>
        <v>1395810</v>
      </c>
      <c r="G394" s="11">
        <f t="shared" si="90"/>
        <v>3</v>
      </c>
      <c r="H394" s="12">
        <f t="shared" si="91"/>
        <v>0.5186415581</v>
      </c>
      <c r="I394" s="9">
        <f>COUNTIFS(THIKA!I:I,$G$18,THIKA!A:A,"8/16")</f>
        <v>3</v>
      </c>
      <c r="J394" s="11">
        <f>COUNTIFS(THIKA!I:I,$H$18,THIKA!A:A,"8/16")</f>
        <v>0</v>
      </c>
      <c r="K394" s="11">
        <f>COUNTIFS(THIKA!I:I,$I$18,THIKA!A:A,"8/16")</f>
        <v>12</v>
      </c>
      <c r="L394" s="2"/>
      <c r="M394" s="2"/>
      <c r="N394" s="2"/>
      <c r="O394" s="2"/>
      <c r="P394" s="2"/>
      <c r="Q394" s="2"/>
      <c r="R394" s="2"/>
      <c r="S394" s="2"/>
      <c r="T394" s="2"/>
      <c r="U394" s="2"/>
      <c r="V394" s="2"/>
      <c r="W394" s="2"/>
      <c r="X394" s="2"/>
      <c r="Y394" s="2"/>
      <c r="Z394" s="2"/>
      <c r="AA394" s="2"/>
      <c r="AB394" s="2"/>
    </row>
    <row r="395">
      <c r="A395" s="7" t="s">
        <v>21</v>
      </c>
      <c r="B395" s="32">
        <v>1127078.27</v>
      </c>
      <c r="C395" s="33">
        <v>5.0</v>
      </c>
      <c r="D395" s="8">
        <f>SUMIFS(KITUI!F:F,KITUI!A:A,"8/16")</f>
        <v>159064</v>
      </c>
      <c r="E395" s="11">
        <f>COUNTIFS(KITUI!A:A,"8/16")</f>
        <v>2</v>
      </c>
      <c r="F395" s="10">
        <f>SUMIFS(KITUI!G:G,KITUI!A:A,"8/16")</f>
        <v>86860</v>
      </c>
      <c r="G395" s="11">
        <f t="shared" si="90"/>
        <v>2</v>
      </c>
      <c r="H395" s="12">
        <f t="shared" si="91"/>
        <v>0.5460695066</v>
      </c>
      <c r="I395" s="9">
        <f>COUNTIFS(KITUI!I:I,$G$18,KITUI!A:A,"8/16")</f>
        <v>1</v>
      </c>
      <c r="J395" s="11">
        <f>COUNTIFS(KITUI!I:I,$H$18,KITUI!A:A,"8/16")</f>
        <v>1</v>
      </c>
      <c r="K395" s="11">
        <f>COUNTIFS(KITUI!I:I,$I$18,KITUI!A:A,"8/16")</f>
        <v>0</v>
      </c>
      <c r="L395" s="2"/>
      <c r="M395" s="2"/>
      <c r="N395" s="2"/>
      <c r="O395" s="2"/>
      <c r="P395" s="2"/>
      <c r="Q395" s="2"/>
      <c r="R395" s="2"/>
      <c r="S395" s="2"/>
      <c r="T395" s="2"/>
      <c r="U395" s="2"/>
      <c r="V395" s="2"/>
      <c r="W395" s="2"/>
      <c r="X395" s="2"/>
      <c r="Y395" s="2"/>
      <c r="Z395" s="2"/>
      <c r="AA395" s="2"/>
      <c r="AB395" s="2"/>
    </row>
    <row r="396">
      <c r="A396" s="15" t="s">
        <v>22</v>
      </c>
      <c r="B396" s="32">
        <v>244480.07</v>
      </c>
      <c r="C396" s="33">
        <v>4.0</v>
      </c>
      <c r="D396" s="8">
        <f>SUMIFS(MACHAKOS!F:F,MACHAKOS!A:A,"8/16")</f>
        <v>245057</v>
      </c>
      <c r="E396" s="11">
        <f>COUNTIFS(MACHAKOS!A:A,"8/16")</f>
        <v>4</v>
      </c>
      <c r="F396" s="10">
        <f>SUMIFS(MACHAKOS!G:G,MACHAKOS!A:A,"8/16")</f>
        <v>0</v>
      </c>
      <c r="G396" s="11">
        <f t="shared" si="90"/>
        <v>0</v>
      </c>
      <c r="H396" s="12">
        <f t="shared" si="91"/>
        <v>0</v>
      </c>
      <c r="I396" s="9">
        <f>COUNTIFS(MACHAKOS!I:I,$G$18,MACHAKOS!A:A,"8/16")</f>
        <v>0</v>
      </c>
      <c r="J396" s="11">
        <f>COUNTIFS(MACHAKOS!I:I,$H$18,MACHAKOS!A:A,"8/16")</f>
        <v>0</v>
      </c>
      <c r="K396" s="11">
        <f>COUNTIFS(MACHAKOS!I:I,$I$18,MACHAKOS!A:A,"8/16")</f>
        <v>4</v>
      </c>
      <c r="L396" s="2"/>
      <c r="M396" s="2"/>
      <c r="N396" s="2"/>
      <c r="O396" s="2"/>
      <c r="P396" s="2"/>
      <c r="Q396" s="2"/>
      <c r="R396" s="2"/>
      <c r="S396" s="2"/>
      <c r="T396" s="2"/>
      <c r="U396" s="2"/>
      <c r="V396" s="2"/>
      <c r="W396" s="2"/>
      <c r="X396" s="2"/>
      <c r="Y396" s="2"/>
      <c r="Z396" s="2"/>
      <c r="AA396" s="2"/>
      <c r="AB396" s="2"/>
    </row>
    <row r="397">
      <c r="A397" s="1" t="s">
        <v>32</v>
      </c>
      <c r="B397" s="8"/>
      <c r="C397" s="30"/>
      <c r="D397" s="30">
        <v>2250000.0</v>
      </c>
      <c r="E397" s="34"/>
      <c r="F397" s="38">
        <v>2972231.0</v>
      </c>
      <c r="G397" s="28">
        <v>0.0</v>
      </c>
      <c r="H397" s="12">
        <f t="shared" si="91"/>
        <v>1.320991556</v>
      </c>
      <c r="I397" s="9">
        <f>COUNTIFS(MACHAKOS!I:I,$G$18,MACHAKOS!A:A,"8/16")</f>
        <v>0</v>
      </c>
      <c r="J397" s="28">
        <v>0.0</v>
      </c>
      <c r="K397" s="28">
        <v>0.0</v>
      </c>
      <c r="L397" s="2"/>
      <c r="M397" s="2"/>
      <c r="N397" s="2"/>
      <c r="O397" s="2"/>
      <c r="P397" s="2"/>
      <c r="Q397" s="2"/>
      <c r="R397" s="2"/>
      <c r="S397" s="2"/>
      <c r="T397" s="2"/>
      <c r="U397" s="2"/>
      <c r="V397" s="2"/>
      <c r="W397" s="2"/>
      <c r="X397" s="2"/>
      <c r="Y397" s="2"/>
      <c r="Z397" s="2"/>
      <c r="AA397" s="2"/>
      <c r="AB397" s="2"/>
    </row>
    <row r="398">
      <c r="A398" s="1" t="s">
        <v>31</v>
      </c>
      <c r="B398" s="39">
        <v>1.5364534831E8</v>
      </c>
      <c r="C398" s="40">
        <v>2607.0</v>
      </c>
      <c r="D398" s="25">
        <v>2200000.0</v>
      </c>
      <c r="E398" s="35"/>
      <c r="F398" s="29"/>
      <c r="G398" s="11"/>
      <c r="H398" s="12"/>
      <c r="I398" s="9"/>
      <c r="J398" s="11"/>
      <c r="K398" s="11"/>
      <c r="L398" s="2"/>
      <c r="M398" s="2"/>
      <c r="N398" s="2"/>
      <c r="O398" s="2"/>
      <c r="P398" s="2"/>
      <c r="Q398" s="2"/>
      <c r="R398" s="2"/>
      <c r="S398" s="2"/>
      <c r="T398" s="2"/>
      <c r="U398" s="2"/>
      <c r="V398" s="2"/>
      <c r="W398" s="2"/>
      <c r="X398" s="2"/>
      <c r="Y398" s="2"/>
      <c r="Z398" s="2"/>
      <c r="AA398" s="2"/>
      <c r="AB398" s="2"/>
    </row>
    <row r="399">
      <c r="A399" s="16" t="s">
        <v>23</v>
      </c>
      <c r="B399" s="17">
        <f t="shared" ref="B399:F399" si="92">SUM(B384:B398)</f>
        <v>2521272558</v>
      </c>
      <c r="C399" s="36">
        <f t="shared" si="92"/>
        <v>4518</v>
      </c>
      <c r="D399" s="17">
        <f t="shared" si="92"/>
        <v>40358934.61</v>
      </c>
      <c r="E399" s="37">
        <f t="shared" si="92"/>
        <v>239</v>
      </c>
      <c r="F399" s="19">
        <f t="shared" si="92"/>
        <v>10456408</v>
      </c>
      <c r="G399" s="18">
        <f>SUM(G384:G396)</f>
        <v>40</v>
      </c>
      <c r="H399" s="20">
        <f>F399/D399</f>
        <v>0.2590853327</v>
      </c>
      <c r="I399" s="21">
        <f t="shared" ref="I399:K399" si="93">SUM(I384:I398)</f>
        <v>17</v>
      </c>
      <c r="J399" s="21">
        <f t="shared" si="93"/>
        <v>23</v>
      </c>
      <c r="K399" s="21">
        <f t="shared" si="93"/>
        <v>199</v>
      </c>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3" t="s">
        <v>1</v>
      </c>
      <c r="B401" s="4" t="s">
        <v>33</v>
      </c>
      <c r="C401" s="4" t="s">
        <v>34</v>
      </c>
      <c r="D401" s="5" t="s">
        <v>2</v>
      </c>
      <c r="E401" s="5" t="s">
        <v>3</v>
      </c>
      <c r="F401" s="5" t="s">
        <v>4</v>
      </c>
      <c r="G401" s="5" t="s">
        <v>5</v>
      </c>
      <c r="H401" s="26" t="s">
        <v>6</v>
      </c>
      <c r="I401" s="26" t="s">
        <v>7</v>
      </c>
      <c r="J401" s="26" t="s">
        <v>8</v>
      </c>
      <c r="K401" s="26" t="s">
        <v>9</v>
      </c>
      <c r="L401" s="2"/>
      <c r="M401" s="2"/>
      <c r="N401" s="2"/>
      <c r="O401" s="2"/>
      <c r="P401" s="2"/>
      <c r="Q401" s="2"/>
      <c r="R401" s="2"/>
      <c r="S401" s="2"/>
      <c r="T401" s="2"/>
      <c r="U401" s="2"/>
      <c r="V401" s="2"/>
      <c r="W401" s="2"/>
      <c r="X401" s="2"/>
      <c r="Y401" s="2"/>
      <c r="Z401" s="2"/>
      <c r="AA401" s="2"/>
      <c r="AB401" s="2"/>
    </row>
    <row r="402">
      <c r="A402" s="7" t="s">
        <v>10</v>
      </c>
      <c r="B402" s="32">
        <v>8.5231992764E8</v>
      </c>
      <c r="C402" s="33">
        <v>392.0</v>
      </c>
      <c r="D402" s="8">
        <f>SUMIFS(ECOBANK!F:F,ECOBANK!A:A,"8/17")</f>
        <v>4402874.62</v>
      </c>
      <c r="E402" s="9">
        <f>COUNTIFS(ECOBANK!A:A,"8/17")</f>
        <v>14</v>
      </c>
      <c r="F402" s="10">
        <f>SUMIFS(ECOBANK!G:G,ECOBANK!A:A,"8/17")</f>
        <v>915000</v>
      </c>
      <c r="G402" s="11">
        <f t="shared" ref="G402:G414" si="94">I402+J402</f>
        <v>2</v>
      </c>
      <c r="H402" s="12">
        <f t="shared" ref="H402:H415" si="95">iferror(F402/D402,0)</f>
        <v>0.2078187727</v>
      </c>
      <c r="I402" s="9">
        <f>COUNTIFS(ECOBANK!I:I,$G$18,ECOBANK!A:A,"8/17")</f>
        <v>1</v>
      </c>
      <c r="J402" s="11">
        <f>COUNTIFS(ECOBANK!I:I,$H$18,ECOBANK!A:A,"8/17")</f>
        <v>1</v>
      </c>
      <c r="K402" s="11">
        <f>COUNTIFS(ECOBANK!I:I,$I$18,ECOBANK!A:A,"8/17")</f>
        <v>12</v>
      </c>
      <c r="L402" s="2"/>
      <c r="M402" s="2"/>
      <c r="N402" s="2"/>
      <c r="O402" s="2"/>
      <c r="P402" s="2"/>
      <c r="Q402" s="2"/>
      <c r="R402" s="2"/>
      <c r="S402" s="2"/>
      <c r="T402" s="2"/>
      <c r="U402" s="2"/>
      <c r="V402" s="2"/>
      <c r="W402" s="2"/>
      <c r="X402" s="2"/>
      <c r="Y402" s="2"/>
      <c r="Z402" s="2"/>
      <c r="AA402" s="2"/>
      <c r="AB402" s="2"/>
    </row>
    <row r="403">
      <c r="A403" s="7" t="s">
        <v>24</v>
      </c>
      <c r="B403" s="32">
        <v>6.1472024684E8</v>
      </c>
      <c r="C403" s="33">
        <v>248.0</v>
      </c>
      <c r="D403" s="8">
        <f>SUMIFS('TRADE CENTER'!F:F,'TRADE CENTER'!A:A,"8/17")</f>
        <v>7206453.27</v>
      </c>
      <c r="E403" s="11">
        <f>COUNTIFS('TRADE CENTER'!A:A,"8/17")</f>
        <v>32</v>
      </c>
      <c r="F403" s="10">
        <f>SUMIFS('TRADE CENTER'!G:G,'TRADE CENTER'!A:A,"8/17")</f>
        <v>0</v>
      </c>
      <c r="G403" s="11">
        <f t="shared" si="94"/>
        <v>0</v>
      </c>
      <c r="H403" s="12">
        <f t="shared" si="95"/>
        <v>0</v>
      </c>
      <c r="I403" s="11">
        <f>COUNTIFS('TRADE CENTER'!I:I,$G$18,'TRADE CENTER'!A:A,"8/17")</f>
        <v>0</v>
      </c>
      <c r="J403" s="11">
        <f>COUNTIFS('TRADE CENTER'!I:I,$H$18,'TRADE CENTER'!A:A,"8/17")</f>
        <v>0</v>
      </c>
      <c r="K403" s="11">
        <f>COUNTIFS('TRADE CENTER'!I:I,$I$18,'TRADE CENTER'!A:A,"8/17")</f>
        <v>32</v>
      </c>
      <c r="L403" s="2"/>
      <c r="M403" s="2"/>
      <c r="N403" s="2"/>
      <c r="O403" s="2"/>
      <c r="P403" s="2"/>
      <c r="Q403" s="2"/>
      <c r="R403" s="2"/>
      <c r="S403" s="2"/>
      <c r="T403" s="2"/>
      <c r="U403" s="2"/>
      <c r="V403" s="2"/>
      <c r="W403" s="2"/>
      <c r="X403" s="2"/>
      <c r="Y403" s="2"/>
      <c r="Z403" s="2"/>
      <c r="AA403" s="2"/>
      <c r="AB403" s="2"/>
    </row>
    <row r="404">
      <c r="A404" s="7" t="s">
        <v>12</v>
      </c>
      <c r="B404" s="32">
        <v>2.5413966375E8</v>
      </c>
      <c r="C404" s="33">
        <v>378.0</v>
      </c>
      <c r="D404" s="8">
        <f>SUMIFS(PENSION!F:F,PENSION!A:A,"8/17/2024")</f>
        <v>2592566.43</v>
      </c>
      <c r="E404" s="11">
        <f>COUNTIFS(PENSION!A:A,"8/17")</f>
        <v>21</v>
      </c>
      <c r="F404" s="10">
        <f>SUMIFS(PENSION!G:G,PENSION!A:A,"8/17/2024")</f>
        <v>286500</v>
      </c>
      <c r="G404" s="11">
        <f t="shared" si="94"/>
        <v>3</v>
      </c>
      <c r="H404" s="12">
        <f t="shared" si="95"/>
        <v>0.110508258</v>
      </c>
      <c r="I404" s="9">
        <f>COUNTIFS(PENSION!I:I,$G$18,PENSION!A:A,"8/17")</f>
        <v>2</v>
      </c>
      <c r="J404" s="11">
        <f>COUNTIFS(PENSION!I:I,$H$18,PENSION!A:A,"8/17")</f>
        <v>1</v>
      </c>
      <c r="K404" s="11">
        <f>COUNTIFS(PENSION!I:I,$I$18,PENSION!A:A,"8/17")</f>
        <v>18</v>
      </c>
      <c r="L404" s="2"/>
      <c r="M404" s="2"/>
      <c r="N404" s="2"/>
      <c r="O404" s="2"/>
      <c r="P404" s="2"/>
      <c r="Q404" s="2"/>
      <c r="R404" s="2"/>
      <c r="S404" s="2"/>
      <c r="T404" s="2"/>
      <c r="U404" s="2"/>
      <c r="V404" s="2"/>
      <c r="W404" s="2"/>
      <c r="X404" s="2"/>
      <c r="Y404" s="2"/>
      <c r="Z404" s="2"/>
      <c r="AA404" s="2"/>
      <c r="AB404" s="2"/>
    </row>
    <row r="405">
      <c r="A405" s="7" t="s">
        <v>13</v>
      </c>
      <c r="B405" s="32">
        <v>1.1120469883E8</v>
      </c>
      <c r="C405" s="33">
        <v>303.0</v>
      </c>
      <c r="D405" s="8">
        <f>SUMIFS(KITENGELA!F:F,KITENGELA!A:A,"8/17/2024")</f>
        <v>4780977.35</v>
      </c>
      <c r="E405" s="11">
        <f>COUNTIFS(KITENGELA!A:A,"8/17")</f>
        <v>29</v>
      </c>
      <c r="F405" s="10">
        <f>SUMIFS(KITENGELA!G:G,KITENGELA!A:A,"8/17")</f>
        <v>115250</v>
      </c>
      <c r="G405" s="11">
        <f t="shared" si="94"/>
        <v>2</v>
      </c>
      <c r="H405" s="12">
        <f t="shared" si="95"/>
        <v>0.0241059498</v>
      </c>
      <c r="I405" s="11">
        <f>COUNTIFS(KITENGELA!I:I,$G$18,KITENGELA!A:A,"8/17")</f>
        <v>1</v>
      </c>
      <c r="J405" s="11">
        <f>COUNTIFS(KITENGELA!I:I,$H$18,KITENGELA!A:A,"8/17")</f>
        <v>1</v>
      </c>
      <c r="K405" s="11">
        <f>COUNTIFS(KITENGELA!I:I,$I$18,KITENGELA!A:A,"8/17")</f>
        <v>27</v>
      </c>
      <c r="L405" s="2"/>
      <c r="M405" s="2"/>
      <c r="N405" s="2"/>
      <c r="O405" s="2"/>
      <c r="P405" s="2"/>
      <c r="Q405" s="2"/>
      <c r="R405" s="2"/>
      <c r="S405" s="2"/>
      <c r="T405" s="2"/>
      <c r="U405" s="2"/>
      <c r="V405" s="2"/>
      <c r="W405" s="2"/>
      <c r="X405" s="2"/>
      <c r="Y405" s="2"/>
      <c r="Z405" s="2"/>
      <c r="AA405" s="2"/>
      <c r="AB405" s="2"/>
    </row>
    <row r="406">
      <c r="A406" s="7" t="s">
        <v>14</v>
      </c>
      <c r="B406" s="32">
        <v>1.5961307914E8</v>
      </c>
      <c r="C406" s="33">
        <v>166.0</v>
      </c>
      <c r="D406" s="8">
        <f>SUMIFS(ELDORET!F:F,ELDORET!A:A,"8/17")</f>
        <v>1256004.14</v>
      </c>
      <c r="E406" s="11">
        <f>COUNTIFS(ELDORET!A:A,"8/17")</f>
        <v>24</v>
      </c>
      <c r="F406" s="10">
        <f>SUMIFS(ELDORET!G:G,ELDORET!A:A,"8/17")</f>
        <v>77360</v>
      </c>
      <c r="G406" s="11">
        <f t="shared" si="94"/>
        <v>3</v>
      </c>
      <c r="H406" s="12">
        <f t="shared" si="95"/>
        <v>0.06159215367</v>
      </c>
      <c r="I406" s="11">
        <f>COUNTIFS(ELDORET!I:I,$G$18,ELDORET!A:A,"8/17")</f>
        <v>1</v>
      </c>
      <c r="J406" s="11">
        <f>COUNTIFS(ELDORET!I:I,$H$18,ELDORET!A:A,"8/17")</f>
        <v>2</v>
      </c>
      <c r="K406" s="11">
        <f>COUNTIFS(ELDORET!I:I,$I$18,ELDORET!A:A,"8/17")</f>
        <v>21</v>
      </c>
      <c r="L406" s="2"/>
      <c r="M406" s="2"/>
      <c r="N406" s="2"/>
      <c r="O406" s="2"/>
      <c r="P406" s="2"/>
      <c r="Q406" s="2"/>
      <c r="R406" s="2"/>
      <c r="S406" s="2"/>
      <c r="T406" s="2"/>
      <c r="U406" s="2"/>
      <c r="V406" s="2"/>
      <c r="W406" s="2"/>
      <c r="X406" s="2"/>
      <c r="Y406" s="2"/>
      <c r="Z406" s="2"/>
      <c r="AA406" s="2"/>
      <c r="AB406" s="2"/>
    </row>
    <row r="407">
      <c r="A407" s="7" t="s">
        <v>15</v>
      </c>
      <c r="B407" s="32">
        <v>1.618607981E7</v>
      </c>
      <c r="C407" s="33">
        <v>22.0</v>
      </c>
      <c r="D407" s="8">
        <f>SUMIFS(NAKURU!F:F,NAKURU!A:A,"8/17")</f>
        <v>163750</v>
      </c>
      <c r="E407" s="11">
        <f>COUNTIFS(NAKURU!A:A,"8/17")</f>
        <v>5</v>
      </c>
      <c r="F407" s="10">
        <f>SUMIFS(NAKURU!G:G,NAKURU!A:A,"8/17")</f>
        <v>20000</v>
      </c>
      <c r="G407" s="11">
        <f t="shared" si="94"/>
        <v>1</v>
      </c>
      <c r="H407" s="12">
        <f t="shared" si="95"/>
        <v>0.1221374046</v>
      </c>
      <c r="I407" s="9">
        <f>COUNTIFS(NAKURU!I:I,$G$18,NAKURU!A:A,"8/17")</f>
        <v>0</v>
      </c>
      <c r="J407" s="11">
        <f>COUNTIFS(NAKURU!I:I,$H$18,NAKURU!A:A,"8/17")</f>
        <v>1</v>
      </c>
      <c r="K407" s="11">
        <f>COUNTIFS(NAKURU!I:I,$I$18,NAKURU!A:A,"8/17")</f>
        <v>4</v>
      </c>
      <c r="L407" s="2"/>
      <c r="M407" s="2"/>
      <c r="N407" s="2"/>
      <c r="O407" s="2"/>
      <c r="P407" s="2"/>
      <c r="Q407" s="2"/>
      <c r="R407" s="2"/>
      <c r="S407" s="2"/>
      <c r="T407" s="2"/>
      <c r="U407" s="2"/>
      <c r="V407" s="2"/>
      <c r="W407" s="2"/>
      <c r="X407" s="2"/>
      <c r="Y407" s="2"/>
      <c r="Z407" s="2"/>
      <c r="AA407" s="2"/>
      <c r="AB407" s="2"/>
    </row>
    <row r="408">
      <c r="A408" s="7" t="s">
        <v>16</v>
      </c>
      <c r="B408" s="32">
        <v>1.214590604E7</v>
      </c>
      <c r="C408" s="33">
        <v>18.0</v>
      </c>
      <c r="D408" s="8">
        <f>SUMIFS(HOMABAY!F:F,HOMABAY!A:A,"8/17")</f>
        <v>193500</v>
      </c>
      <c r="E408" s="11">
        <f>COUNTIFS(HOMABAY!A:A,"8/17")</f>
        <v>3</v>
      </c>
      <c r="F408" s="10">
        <f>SUMIFS(HOMABAY!G:G,HOMABAY!A:A,"8/17")</f>
        <v>0</v>
      </c>
      <c r="G408" s="11">
        <f t="shared" si="94"/>
        <v>0</v>
      </c>
      <c r="H408" s="12">
        <f t="shared" si="95"/>
        <v>0</v>
      </c>
      <c r="I408" s="9">
        <f>COUNTIFS(HOMABAY!K:K,$G$18,HOMABAY!A:A,"8/17")</f>
        <v>0</v>
      </c>
      <c r="J408" s="11">
        <f>COUNTIFS(HOMABAY!K:K,$H$18,HOMABAY!A:A,"8/17")</f>
        <v>0</v>
      </c>
      <c r="K408" s="11">
        <f>COUNTIFS(HOMABAY!K:K,$I$18,HOMABAY!A:A,"8/17")</f>
        <v>3</v>
      </c>
      <c r="L408" s="2"/>
      <c r="M408" s="2"/>
      <c r="N408" s="2"/>
      <c r="O408" s="2"/>
      <c r="P408" s="2"/>
      <c r="Q408" s="2"/>
      <c r="R408" s="2"/>
      <c r="S408" s="2"/>
      <c r="T408" s="2"/>
      <c r="U408" s="2"/>
      <c r="V408" s="2"/>
      <c r="W408" s="2"/>
      <c r="X408" s="2"/>
      <c r="Y408" s="2"/>
      <c r="Z408" s="2"/>
      <c r="AA408" s="2"/>
      <c r="AB408" s="2"/>
    </row>
    <row r="409">
      <c r="A409" s="7" t="s">
        <v>17</v>
      </c>
      <c r="B409" s="32">
        <v>1.9849966825E8</v>
      </c>
      <c r="C409" s="33">
        <v>177.0</v>
      </c>
      <c r="D409" s="8">
        <f>SUMIFS(MOMBASA!F:F,MOMBASA!A:A,"8/17")</f>
        <v>1003561.8</v>
      </c>
      <c r="E409" s="11">
        <f>COUNTIFS(MOMBASA!A:A,"8/17")</f>
        <v>16</v>
      </c>
      <c r="F409" s="27">
        <f>SUMIFS(MOMBASA!G:G,MOMBASA!A:A,"8/17")</f>
        <v>316121</v>
      </c>
      <c r="G409" s="11">
        <f t="shared" si="94"/>
        <v>2</v>
      </c>
      <c r="H409" s="12">
        <f t="shared" si="95"/>
        <v>0.3149990364</v>
      </c>
      <c r="I409" s="9">
        <f>COUNTIFS(MOMBASA!I:I,$G$18,MOMBASA!A:A,"8/17")</f>
        <v>1</v>
      </c>
      <c r="J409" s="11">
        <f>COUNTIFS(MOMBASA!I:I,$H$18,MOMBASA!A:A,"8/17")</f>
        <v>1</v>
      </c>
      <c r="K409" s="11">
        <f>COUNTIFS(MOMBASA!I:I,$I$18,MOMBASA!A:A,"8/17")</f>
        <v>14</v>
      </c>
      <c r="L409" s="2"/>
      <c r="M409" s="2"/>
      <c r="N409" s="2"/>
      <c r="O409" s="2"/>
      <c r="P409" s="2"/>
      <c r="Q409" s="2"/>
      <c r="R409" s="2"/>
      <c r="S409" s="2"/>
      <c r="T409" s="2"/>
      <c r="U409" s="2"/>
      <c r="V409" s="2"/>
      <c r="W409" s="2"/>
      <c r="X409" s="2"/>
      <c r="Y409" s="2"/>
      <c r="Z409" s="2"/>
      <c r="AA409" s="2"/>
      <c r="AB409" s="2"/>
    </row>
    <row r="410">
      <c r="A410" s="7" t="s">
        <v>18</v>
      </c>
      <c r="B410" s="32">
        <v>8.540354123E7</v>
      </c>
      <c r="C410" s="33">
        <v>86.0</v>
      </c>
      <c r="D410" s="8">
        <f>SUMIFS(KISUMU!F:F,KISUMU!A:A,"8/17")</f>
        <v>1529111</v>
      </c>
      <c r="E410" s="11">
        <f>COUNTIFS(KISUMU!A:A,"8/17")</f>
        <v>22</v>
      </c>
      <c r="F410" s="10">
        <f>SUMIFS(KISUMU!G:G,KISUMU!A:A,"8/17")</f>
        <v>66863</v>
      </c>
      <c r="G410" s="11">
        <f t="shared" si="94"/>
        <v>1</v>
      </c>
      <c r="H410" s="12">
        <f t="shared" si="95"/>
        <v>0.04372671441</v>
      </c>
      <c r="I410" s="9">
        <f>COUNTIFS(KISUMU!I:I,$G$18,KISUMU!A:A,"8/17")</f>
        <v>0</v>
      </c>
      <c r="J410" s="11">
        <f>COUNTIFS(KISUMU!I:I,$H$18,KISUMU!A:A,"8/17")</f>
        <v>1</v>
      </c>
      <c r="K410" s="11">
        <f>COUNTIFS(KISUMU!I:I,$I$18,KISUMU!A:A,"8/17")</f>
        <v>20</v>
      </c>
      <c r="L410" s="2"/>
      <c r="M410" s="2"/>
      <c r="N410" s="2"/>
      <c r="O410" s="2"/>
      <c r="P410" s="2"/>
      <c r="Q410" s="2"/>
      <c r="R410" s="2"/>
      <c r="S410" s="2"/>
      <c r="T410" s="2"/>
      <c r="U410" s="2"/>
      <c r="V410" s="2"/>
      <c r="W410" s="2"/>
      <c r="X410" s="2"/>
      <c r="Y410" s="2"/>
      <c r="Z410" s="2"/>
      <c r="AA410" s="2"/>
      <c r="AB410" s="2"/>
    </row>
    <row r="411">
      <c r="A411" s="7" t="s">
        <v>19</v>
      </c>
      <c r="B411" s="32">
        <v>7389021.14</v>
      </c>
      <c r="C411" s="33">
        <v>20.0</v>
      </c>
      <c r="D411" s="8">
        <f>SUMIFS(VOI!F:F,VOI!A:A,"8/17")</f>
        <v>166073</v>
      </c>
      <c r="E411" s="11">
        <f>COUNTIFS(VOI!A:A,"8/17")</f>
        <v>6</v>
      </c>
      <c r="F411" s="10">
        <f>SUMIFS(VOI!G:G,VOI!A:A,"8/17")</f>
        <v>0</v>
      </c>
      <c r="G411" s="11">
        <f t="shared" si="94"/>
        <v>0</v>
      </c>
      <c r="H411" s="12">
        <f t="shared" si="95"/>
        <v>0</v>
      </c>
      <c r="I411" s="9">
        <f>COUNTIFS(VOI!H:H,$G$18,VOI!A:A,"8/17")</f>
        <v>0</v>
      </c>
      <c r="J411" s="11">
        <f>COUNTIFS(VOI!H:H,$H$18,VOI!A:A,"8/17")</f>
        <v>0</v>
      </c>
      <c r="K411" s="11">
        <f>COUNTIFS(VOI!H:H,$I$18,VOI!A:A,"8/17")</f>
        <v>6</v>
      </c>
      <c r="L411" s="2"/>
      <c r="M411" s="2"/>
      <c r="N411" s="2"/>
      <c r="O411" s="2"/>
      <c r="P411" s="2"/>
      <c r="Q411" s="2"/>
      <c r="R411" s="2"/>
      <c r="S411" s="2"/>
      <c r="T411" s="2"/>
      <c r="U411" s="2"/>
      <c r="V411" s="2"/>
      <c r="W411" s="2"/>
      <c r="X411" s="2"/>
      <c r="Y411" s="2"/>
      <c r="Z411" s="2"/>
      <c r="AA411" s="2"/>
      <c r="AB411" s="2"/>
    </row>
    <row r="412">
      <c r="A412" s="7" t="s">
        <v>20</v>
      </c>
      <c r="B412" s="32">
        <v>5.463381891E7</v>
      </c>
      <c r="C412" s="33">
        <v>92.0</v>
      </c>
      <c r="D412" s="8">
        <f>SUMIFS(THIKA!F:F,THIKA!A:A,"8/17")</f>
        <v>965289.67</v>
      </c>
      <c r="E412" s="11">
        <f>COUNTIFS(THIKA!A:A,"8/17")</f>
        <v>11</v>
      </c>
      <c r="F412" s="10">
        <f>SUMIFS(THIKA!G:G,THIKA!A:A,"8/17")</f>
        <v>50000</v>
      </c>
      <c r="G412" s="11">
        <f t="shared" si="94"/>
        <v>1</v>
      </c>
      <c r="H412" s="12">
        <f t="shared" si="95"/>
        <v>0.051797923</v>
      </c>
      <c r="I412" s="9">
        <f>COUNTIFS(THIKA!I:I,$G$18,THIKA!A:A,"8/17")</f>
        <v>0</v>
      </c>
      <c r="J412" s="11">
        <f>COUNTIFS(THIKA!I:I,$H$18,THIKA!A:A,"8/17")</f>
        <v>1</v>
      </c>
      <c r="K412" s="11">
        <f>COUNTIFS(THIKA!I:I,$I$18,THIKA!A:A,"8/17")</f>
        <v>10</v>
      </c>
      <c r="L412" s="2"/>
      <c r="M412" s="2"/>
      <c r="N412" s="2"/>
      <c r="O412" s="2"/>
      <c r="P412" s="2"/>
      <c r="Q412" s="2"/>
      <c r="R412" s="2"/>
      <c r="S412" s="2"/>
      <c r="T412" s="2"/>
      <c r="U412" s="2"/>
      <c r="V412" s="2"/>
      <c r="W412" s="2"/>
      <c r="X412" s="2"/>
      <c r="Y412" s="2"/>
      <c r="Z412" s="2"/>
      <c r="AA412" s="2"/>
      <c r="AB412" s="2"/>
    </row>
    <row r="413">
      <c r="A413" s="7" t="s">
        <v>21</v>
      </c>
      <c r="B413" s="32">
        <v>1127078.27</v>
      </c>
      <c r="C413" s="33">
        <v>5.0</v>
      </c>
      <c r="D413" s="8">
        <f>SUMIFS(KITUI!F:F,KITUI!A:A,"8/17")</f>
        <v>0</v>
      </c>
      <c r="E413" s="11">
        <f>COUNTIFS(KITUI!A:A,"8/17")</f>
        <v>0</v>
      </c>
      <c r="F413" s="10">
        <f>SUMIFS(KITUI!G:G,KITUI!A:A,"8/17")</f>
        <v>0</v>
      </c>
      <c r="G413" s="11">
        <f t="shared" si="94"/>
        <v>0</v>
      </c>
      <c r="H413" s="12">
        <f t="shared" si="95"/>
        <v>0</v>
      </c>
      <c r="I413" s="9">
        <f>COUNTIFS(KITUI!I:I,$G$18,KITUI!A:A,"8/17")</f>
        <v>0</v>
      </c>
      <c r="J413" s="11">
        <f>COUNTIFS(KITUI!I:I,$H$18,KITUI!A:A,"8/17")</f>
        <v>0</v>
      </c>
      <c r="K413" s="11">
        <f>COUNTIFS(KITUI!I:I,$I$18,KITUI!A:A,"8/17")</f>
        <v>0</v>
      </c>
      <c r="L413" s="2"/>
      <c r="M413" s="2"/>
      <c r="N413" s="2"/>
      <c r="O413" s="2"/>
      <c r="P413" s="2"/>
      <c r="Q413" s="2"/>
      <c r="R413" s="2"/>
      <c r="S413" s="2"/>
      <c r="T413" s="2"/>
      <c r="U413" s="2"/>
      <c r="V413" s="2"/>
      <c r="W413" s="2"/>
      <c r="X413" s="2"/>
      <c r="Y413" s="2"/>
      <c r="Z413" s="2"/>
      <c r="AA413" s="2"/>
      <c r="AB413" s="2"/>
    </row>
    <row r="414">
      <c r="A414" s="15" t="s">
        <v>22</v>
      </c>
      <c r="B414" s="32">
        <v>244480.07</v>
      </c>
      <c r="C414" s="33">
        <v>4.0</v>
      </c>
      <c r="D414" s="8">
        <f>SUMIFS(MACHAKOS!F:F,MACHAKOS!A:A,"8/17")</f>
        <v>245057</v>
      </c>
      <c r="E414" s="11">
        <f>COUNTIFS(MACHAKOS!A:A,"8/17")</f>
        <v>4</v>
      </c>
      <c r="F414" s="10">
        <f>SUMIFS(MACHAKOS!G:G,MACHAKOS!A:A,"8/17")</f>
        <v>25626</v>
      </c>
      <c r="G414" s="11">
        <f t="shared" si="94"/>
        <v>0</v>
      </c>
      <c r="H414" s="12">
        <f t="shared" si="95"/>
        <v>0.1045715895</v>
      </c>
      <c r="I414" s="9">
        <f>COUNTIFS(MACHAKOS!I:I,$G$18,MACHAKOS!A:A,"8/17")</f>
        <v>0</v>
      </c>
      <c r="J414" s="11">
        <f>COUNTIFS(MACHAKOS!I:I,$H$18,MACHAKOS!A:A,"8/17")</f>
        <v>0</v>
      </c>
      <c r="K414" s="11">
        <f>COUNTIFS(MACHAKOS!I:I,$I$18,MACHAKOS!A:A,"8/17")</f>
        <v>4</v>
      </c>
      <c r="L414" s="2"/>
      <c r="M414" s="2"/>
      <c r="N414" s="2"/>
      <c r="O414" s="2"/>
      <c r="P414" s="2"/>
      <c r="Q414" s="2"/>
      <c r="R414" s="2"/>
      <c r="S414" s="2"/>
      <c r="T414" s="2"/>
      <c r="U414" s="2"/>
      <c r="V414" s="2"/>
      <c r="W414" s="2"/>
      <c r="X414" s="2"/>
      <c r="Y414" s="2"/>
      <c r="Z414" s="2"/>
      <c r="AA414" s="2"/>
      <c r="AB414" s="2"/>
    </row>
    <row r="415">
      <c r="A415" s="1" t="s">
        <v>32</v>
      </c>
      <c r="B415" s="8"/>
      <c r="C415" s="30"/>
      <c r="D415" s="30">
        <v>2250000.0</v>
      </c>
      <c r="E415" s="34"/>
      <c r="F415" s="38">
        <v>2972231.0</v>
      </c>
      <c r="G415" s="28">
        <v>0.0</v>
      </c>
      <c r="H415" s="12">
        <f t="shared" si="95"/>
        <v>1.320991556</v>
      </c>
      <c r="I415" s="9">
        <f>COUNTIFS(MACHAKOS!I:I,$G$18,MACHAKOS!A:A,"8/17")</f>
        <v>0</v>
      </c>
      <c r="J415" s="28">
        <v>0.0</v>
      </c>
      <c r="K415" s="28">
        <v>0.0</v>
      </c>
      <c r="L415" s="2"/>
      <c r="M415" s="2"/>
      <c r="N415" s="2"/>
      <c r="O415" s="2"/>
      <c r="P415" s="2"/>
      <c r="Q415" s="2"/>
      <c r="R415" s="2"/>
      <c r="S415" s="2"/>
      <c r="T415" s="2"/>
      <c r="U415" s="2"/>
      <c r="V415" s="2"/>
      <c r="W415" s="2"/>
      <c r="X415" s="2"/>
      <c r="Y415" s="2"/>
      <c r="Z415" s="2"/>
      <c r="AA415" s="2"/>
      <c r="AB415" s="2"/>
    </row>
    <row r="416">
      <c r="A416" s="1" t="s">
        <v>31</v>
      </c>
      <c r="B416" s="39">
        <v>1.5364534831E8</v>
      </c>
      <c r="C416" s="40">
        <v>2607.0</v>
      </c>
      <c r="D416" s="25">
        <v>2200000.0</v>
      </c>
      <c r="E416" s="35"/>
      <c r="F416" s="29"/>
      <c r="G416" s="11"/>
      <c r="H416" s="12"/>
      <c r="I416" s="9"/>
      <c r="J416" s="11"/>
      <c r="K416" s="11"/>
      <c r="L416" s="2"/>
      <c r="M416" s="2"/>
      <c r="N416" s="2"/>
      <c r="O416" s="2"/>
      <c r="P416" s="2"/>
      <c r="Q416" s="2"/>
      <c r="R416" s="2"/>
      <c r="S416" s="2"/>
      <c r="T416" s="2"/>
      <c r="U416" s="2"/>
      <c r="V416" s="2"/>
      <c r="W416" s="2"/>
      <c r="X416" s="2"/>
      <c r="Y416" s="2"/>
      <c r="Z416" s="2"/>
      <c r="AA416" s="2"/>
      <c r="AB416" s="2"/>
    </row>
    <row r="417">
      <c r="A417" s="16" t="s">
        <v>23</v>
      </c>
      <c r="B417" s="17">
        <f t="shared" ref="B417:F417" si="96">SUM(B402:B416)</f>
        <v>2521272558</v>
      </c>
      <c r="C417" s="36">
        <f t="shared" si="96"/>
        <v>4518</v>
      </c>
      <c r="D417" s="17">
        <f t="shared" si="96"/>
        <v>28955218.28</v>
      </c>
      <c r="E417" s="37">
        <f t="shared" si="96"/>
        <v>187</v>
      </c>
      <c r="F417" s="19">
        <f t="shared" si="96"/>
        <v>4844951</v>
      </c>
      <c r="G417" s="18">
        <f>SUM(G402:G414)</f>
        <v>15</v>
      </c>
      <c r="H417" s="20">
        <f>F417/D417</f>
        <v>0.1673256597</v>
      </c>
      <c r="I417" s="21">
        <f t="shared" ref="I417:K417" si="97">SUM(I402:I416)</f>
        <v>6</v>
      </c>
      <c r="J417" s="21">
        <f t="shared" si="97"/>
        <v>9</v>
      </c>
      <c r="K417" s="21">
        <f t="shared" si="97"/>
        <v>171</v>
      </c>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3" t="s">
        <v>1</v>
      </c>
      <c r="B419" s="4" t="s">
        <v>33</v>
      </c>
      <c r="C419" s="4" t="s">
        <v>34</v>
      </c>
      <c r="D419" s="5" t="s">
        <v>2</v>
      </c>
      <c r="E419" s="5" t="s">
        <v>3</v>
      </c>
      <c r="F419" s="5" t="s">
        <v>4</v>
      </c>
      <c r="G419" s="5" t="s">
        <v>5</v>
      </c>
      <c r="H419" s="26" t="s">
        <v>6</v>
      </c>
      <c r="I419" s="26" t="s">
        <v>7</v>
      </c>
      <c r="J419" s="26" t="s">
        <v>8</v>
      </c>
      <c r="K419" s="26" t="s">
        <v>9</v>
      </c>
      <c r="L419" s="2"/>
      <c r="M419" s="2"/>
      <c r="N419" s="2"/>
      <c r="O419" s="2"/>
      <c r="P419" s="2"/>
      <c r="Q419" s="2"/>
      <c r="R419" s="2"/>
      <c r="S419" s="2"/>
      <c r="T419" s="2"/>
      <c r="U419" s="2"/>
      <c r="V419" s="2"/>
      <c r="W419" s="2"/>
      <c r="X419" s="2"/>
      <c r="Y419" s="2"/>
      <c r="Z419" s="2"/>
      <c r="AA419" s="2"/>
      <c r="AB419" s="2"/>
    </row>
    <row r="420">
      <c r="A420" s="7" t="s">
        <v>10</v>
      </c>
      <c r="B420" s="32">
        <v>8.5231992764E8</v>
      </c>
      <c r="C420" s="33">
        <v>392.0</v>
      </c>
      <c r="D420" s="8">
        <f>SUMIFS(ECOBANK!F:F,ECOBANK!A:A,"8/19")</f>
        <v>4887984.97</v>
      </c>
      <c r="E420" s="9">
        <f>COUNTIFS(ECOBANK!A:A,"8/19")</f>
        <v>19</v>
      </c>
      <c r="F420" s="10">
        <f>SUMIFS(ECOBANK!G:G,ECOBANK!A:A,"8/19")</f>
        <v>440000</v>
      </c>
      <c r="G420" s="11">
        <f t="shared" ref="G420:G432" si="98">I420+J420</f>
        <v>1</v>
      </c>
      <c r="H420" s="12">
        <f t="shared" ref="H420:H433" si="99">iferror(F420/D420,0)</f>
        <v>0.0900166434</v>
      </c>
      <c r="I420" s="9">
        <f>COUNTIFS(ECOBANK!I:I,$G$18,ECOBANK!A:A,"8/19")</f>
        <v>1</v>
      </c>
      <c r="J420" s="11">
        <f>COUNTIFS(ECOBANK!I:I,$H$18,ECOBANK!A:A,"8/19)")</f>
        <v>0</v>
      </c>
      <c r="K420" s="11">
        <f>COUNTIFS(ECOBANK!I:I,$I$18,ECOBANK!A:A,"8/19")</f>
        <v>17</v>
      </c>
      <c r="L420" s="2"/>
      <c r="M420" s="2"/>
      <c r="N420" s="2"/>
      <c r="O420" s="2"/>
      <c r="P420" s="2"/>
      <c r="Q420" s="2"/>
      <c r="R420" s="2"/>
      <c r="S420" s="2"/>
      <c r="T420" s="2"/>
      <c r="U420" s="2"/>
      <c r="V420" s="2"/>
      <c r="W420" s="2"/>
      <c r="X420" s="2"/>
      <c r="Y420" s="2"/>
      <c r="Z420" s="2"/>
      <c r="AA420" s="2"/>
      <c r="AB420" s="2"/>
    </row>
    <row r="421">
      <c r="A421" s="7" t="s">
        <v>24</v>
      </c>
      <c r="B421" s="32">
        <v>6.1472024684E8</v>
      </c>
      <c r="C421" s="33">
        <v>248.0</v>
      </c>
      <c r="D421" s="8">
        <f>SUMIFS('TRADE CENTER'!F:F,'TRADE CENTER'!A:A,"8/19")</f>
        <v>9771294.99</v>
      </c>
      <c r="E421" s="11">
        <f>COUNTIFS('TRADE CENTER'!A:A,"8/19")</f>
        <v>45</v>
      </c>
      <c r="F421" s="10">
        <f>SUMIFS('TRADE CENTER'!G:G,'TRADE CENTER'!A:A,"8/19")</f>
        <v>958545</v>
      </c>
      <c r="G421" s="11">
        <f t="shared" si="98"/>
        <v>10</v>
      </c>
      <c r="H421" s="12">
        <f t="shared" si="99"/>
        <v>0.09809805159</v>
      </c>
      <c r="I421" s="11">
        <f>COUNTIFS('TRADE CENTER'!I:I,$G$18,'TRADE CENTER'!A:A,"8/19")</f>
        <v>2</v>
      </c>
      <c r="J421" s="11">
        <f>COUNTIFS('TRADE CENTER'!I:I,$H$18,'TRADE CENTER'!A:A,"8/19")</f>
        <v>8</v>
      </c>
      <c r="K421" s="11">
        <f>COUNTIFS('TRADE CENTER'!I:I,$I$18,'TRADE CENTER'!A:A,"8/19")</f>
        <v>35</v>
      </c>
      <c r="L421" s="2"/>
      <c r="M421" s="2"/>
      <c r="N421" s="2"/>
      <c r="O421" s="2"/>
      <c r="P421" s="2"/>
      <c r="Q421" s="2"/>
      <c r="R421" s="2"/>
      <c r="S421" s="2"/>
      <c r="T421" s="2"/>
      <c r="U421" s="2"/>
      <c r="V421" s="2"/>
      <c r="W421" s="2"/>
      <c r="X421" s="2"/>
      <c r="Y421" s="2"/>
      <c r="Z421" s="2"/>
      <c r="AA421" s="2"/>
      <c r="AB421" s="2"/>
    </row>
    <row r="422">
      <c r="A422" s="7" t="s">
        <v>12</v>
      </c>
      <c r="B422" s="32">
        <v>2.5413966375E8</v>
      </c>
      <c r="C422" s="33">
        <v>378.0</v>
      </c>
      <c r="D422" s="8">
        <f>SUMIFS(PENSION!F:F,PENSION!A:A,"8/19/2024")</f>
        <v>6867431.66</v>
      </c>
      <c r="E422" s="11">
        <f>COUNTIFS(PENSION!A:A,"8/19")</f>
        <v>32</v>
      </c>
      <c r="F422" s="10">
        <f>SUMIFS(PENSION!G:G,PENSION!A:A,"8/19/2024")</f>
        <v>858658</v>
      </c>
      <c r="G422" s="11">
        <f t="shared" si="98"/>
        <v>7</v>
      </c>
      <c r="H422" s="12">
        <f t="shared" si="99"/>
        <v>0.125033352</v>
      </c>
      <c r="I422" s="9">
        <f>COUNTIFS(PENSION!I:I,$G$18,PENSION!A:A,"8/19")</f>
        <v>2</v>
      </c>
      <c r="J422" s="11">
        <f>COUNTIFS(PENSION!I:I,$H$18,PENSION!A:A,"8/19")</f>
        <v>5</v>
      </c>
      <c r="K422" s="11">
        <f>COUNTIFS(PENSION!I:I,$I$18,PENSION!A:A,"8/19")</f>
        <v>25</v>
      </c>
      <c r="L422" s="2"/>
      <c r="M422" s="2"/>
      <c r="N422" s="2"/>
      <c r="O422" s="2"/>
      <c r="P422" s="2"/>
      <c r="Q422" s="2"/>
      <c r="R422" s="2"/>
      <c r="S422" s="2"/>
      <c r="T422" s="2"/>
      <c r="U422" s="2"/>
      <c r="V422" s="2"/>
      <c r="W422" s="2"/>
      <c r="X422" s="2"/>
      <c r="Y422" s="2"/>
      <c r="Z422" s="2"/>
      <c r="AA422" s="2"/>
      <c r="AB422" s="2"/>
    </row>
    <row r="423">
      <c r="A423" s="7" t="s">
        <v>13</v>
      </c>
      <c r="B423" s="32">
        <v>1.1120469883E8</v>
      </c>
      <c r="C423" s="33">
        <v>303.0</v>
      </c>
      <c r="D423" s="8">
        <f>SUMIFS(KITENGELA!F:F,KITENGELA!A:A,"8/19/2024")</f>
        <v>5303572.3</v>
      </c>
      <c r="E423" s="11">
        <f>COUNTIFS(KITENGELA!A:A,"8/19")</f>
        <v>39</v>
      </c>
      <c r="F423" s="10">
        <f>SUMIFS(KITENGELA!G:G,KITENGELA!A:A,"8/19")</f>
        <v>925721</v>
      </c>
      <c r="G423" s="11">
        <f t="shared" si="98"/>
        <v>11</v>
      </c>
      <c r="H423" s="12">
        <f t="shared" si="99"/>
        <v>0.1745466919</v>
      </c>
      <c r="I423" s="11">
        <f>COUNTIFS(KITENGELA!I:I,$G$18,KITENGELA!A:A,"8/19")</f>
        <v>3</v>
      </c>
      <c r="J423" s="11">
        <f>COUNTIFS(KITENGELA!I:I,$H$18,KITENGELA!A:A,"8/19")</f>
        <v>8</v>
      </c>
      <c r="K423" s="11">
        <f>COUNTIFS(KITENGELA!I:I,$I$18,KITENGELA!A:A,"8/19")</f>
        <v>28</v>
      </c>
      <c r="L423" s="2"/>
      <c r="M423" s="2"/>
      <c r="N423" s="2"/>
      <c r="O423" s="2"/>
      <c r="P423" s="2"/>
      <c r="Q423" s="2"/>
      <c r="R423" s="2"/>
      <c r="S423" s="2"/>
      <c r="T423" s="2"/>
      <c r="U423" s="2"/>
      <c r="V423" s="2"/>
      <c r="W423" s="2"/>
      <c r="X423" s="2"/>
      <c r="Y423" s="2"/>
      <c r="Z423" s="2"/>
      <c r="AA423" s="2"/>
      <c r="AB423" s="2"/>
    </row>
    <row r="424">
      <c r="A424" s="7" t="s">
        <v>14</v>
      </c>
      <c r="B424" s="32">
        <v>1.5961307914E8</v>
      </c>
      <c r="C424" s="33">
        <v>166.0</v>
      </c>
      <c r="D424" s="8">
        <f>SUMIFS(ELDORET!F:F,ELDORET!A:A,"8/19")</f>
        <v>1167343.72</v>
      </c>
      <c r="E424" s="11">
        <f>COUNTIFS(ELDORET!A:A,"8/19")</f>
        <v>26</v>
      </c>
      <c r="F424" s="10">
        <f>SUMIFS(ELDORET!G:G,ELDORET!A:A,"8/19")</f>
        <v>56455</v>
      </c>
      <c r="G424" s="11">
        <f t="shared" si="98"/>
        <v>4</v>
      </c>
      <c r="H424" s="12">
        <f t="shared" si="99"/>
        <v>0.04836193405</v>
      </c>
      <c r="I424" s="11">
        <f>COUNTIFS(ELDORET!I:I,$G$18,ELDORET!A:A,"8/19")</f>
        <v>1</v>
      </c>
      <c r="J424" s="11">
        <f>COUNTIFS(ELDORET!I:I,$H$18,ELDORET!A:A,"8/19")</f>
        <v>3</v>
      </c>
      <c r="K424" s="11">
        <f>COUNTIFS(ELDORET!I:I,$I$18,ELDORET!A:A,"8/19")</f>
        <v>22</v>
      </c>
      <c r="L424" s="2"/>
      <c r="M424" s="2"/>
      <c r="N424" s="2"/>
      <c r="O424" s="2"/>
      <c r="P424" s="2"/>
      <c r="Q424" s="2"/>
      <c r="R424" s="2"/>
      <c r="S424" s="2"/>
      <c r="T424" s="2"/>
      <c r="U424" s="2"/>
      <c r="V424" s="2"/>
      <c r="W424" s="2"/>
      <c r="X424" s="2"/>
      <c r="Y424" s="2"/>
      <c r="Z424" s="2"/>
      <c r="AA424" s="2"/>
      <c r="AB424" s="2"/>
    </row>
    <row r="425">
      <c r="A425" s="7" t="s">
        <v>15</v>
      </c>
      <c r="B425" s="32">
        <v>1.618607981E7</v>
      </c>
      <c r="C425" s="33">
        <v>22.0</v>
      </c>
      <c r="D425" s="8">
        <f>SUMIFS(NAKURU!F:F,NAKURU!A:A,"8/19")</f>
        <v>197000</v>
      </c>
      <c r="E425" s="11">
        <f>COUNTIFS(NAKURU!A:A,"8/19")</f>
        <v>5</v>
      </c>
      <c r="F425" s="10">
        <f>SUMIFS(NAKURU!G:G,NAKURU!A:A,"8/19")</f>
        <v>108118</v>
      </c>
      <c r="G425" s="11">
        <f t="shared" si="98"/>
        <v>2</v>
      </c>
      <c r="H425" s="12">
        <f t="shared" si="99"/>
        <v>0.548822335</v>
      </c>
      <c r="I425" s="9">
        <f>COUNTIFS(NAKURU!I:I,$G$18,NAKURU!A:A,"8/19")</f>
        <v>2</v>
      </c>
      <c r="J425" s="11">
        <f>COUNTIFS(NAKURU!I:I,$H$18,NAKURU!A:A,"8/19")</f>
        <v>0</v>
      </c>
      <c r="K425" s="11">
        <f>COUNTIFS(NAKURU!I:I,$I$18,NAKURU!A:A,"8/19")</f>
        <v>3</v>
      </c>
      <c r="L425" s="2"/>
      <c r="M425" s="2"/>
      <c r="N425" s="2"/>
      <c r="O425" s="2"/>
      <c r="P425" s="2"/>
      <c r="Q425" s="2"/>
      <c r="R425" s="2"/>
      <c r="S425" s="2"/>
      <c r="T425" s="2"/>
      <c r="U425" s="2"/>
      <c r="V425" s="2"/>
      <c r="W425" s="2"/>
      <c r="X425" s="2"/>
      <c r="Y425" s="2"/>
      <c r="Z425" s="2"/>
      <c r="AA425" s="2"/>
      <c r="AB425" s="2"/>
    </row>
    <row r="426">
      <c r="A426" s="7" t="s">
        <v>16</v>
      </c>
      <c r="B426" s="32">
        <v>1.214590604E7</v>
      </c>
      <c r="C426" s="33">
        <v>18.0</v>
      </c>
      <c r="D426" s="8">
        <f>SUMIFS(HOMABAY!F:F,HOMABAY!A:A,"8/19")</f>
        <v>200000</v>
      </c>
      <c r="E426" s="11">
        <f>COUNTIFS(HOMABAY!A:A,"8/19")</f>
        <v>3</v>
      </c>
      <c r="F426" s="10">
        <f>SUMIFS(HOMABAY!G:G,HOMABAY!A:A,"8/19")</f>
        <v>0</v>
      </c>
      <c r="G426" s="11">
        <f t="shared" si="98"/>
        <v>0</v>
      </c>
      <c r="H426" s="12">
        <f t="shared" si="99"/>
        <v>0</v>
      </c>
      <c r="I426" s="9">
        <f>COUNTIFS(HOMABAY!K:K,$G$18,HOMABAY!A:A,"8/19")</f>
        <v>0</v>
      </c>
      <c r="J426" s="11">
        <f>COUNTIFS(HOMABAY!K:K,$H$18,HOMABAY!A:A,"8/19")</f>
        <v>0</v>
      </c>
      <c r="K426" s="11">
        <f>COUNTIFS(HOMABAY!K:K,$I$18,HOMABAY!A:A,"8/19")</f>
        <v>3</v>
      </c>
      <c r="L426" s="2"/>
      <c r="M426" s="2"/>
      <c r="N426" s="2"/>
      <c r="O426" s="2"/>
      <c r="P426" s="2"/>
      <c r="Q426" s="2"/>
      <c r="R426" s="2"/>
      <c r="S426" s="2"/>
      <c r="T426" s="2"/>
      <c r="U426" s="2"/>
      <c r="V426" s="2"/>
      <c r="W426" s="2"/>
      <c r="X426" s="2"/>
      <c r="Y426" s="2"/>
      <c r="Z426" s="2"/>
      <c r="AA426" s="2"/>
      <c r="AB426" s="2"/>
    </row>
    <row r="427">
      <c r="A427" s="7" t="s">
        <v>17</v>
      </c>
      <c r="B427" s="32">
        <v>1.9849966825E8</v>
      </c>
      <c r="C427" s="33">
        <v>177.0</v>
      </c>
      <c r="D427" s="8">
        <f>SUMIFS(MOMBASA!F:F,MOMBASA!A:A,"8/19")</f>
        <v>1939908.6</v>
      </c>
      <c r="E427" s="11">
        <f>COUNTIFS(MOMBASA!A:A,"8/19")</f>
        <v>25</v>
      </c>
      <c r="F427" s="27">
        <f>SUMIFS(MOMBASA!G:G,MOMBASA!A:A,"8/19")</f>
        <v>480298</v>
      </c>
      <c r="G427" s="11">
        <f t="shared" si="98"/>
        <v>11</v>
      </c>
      <c r="H427" s="12">
        <f t="shared" si="99"/>
        <v>0.2475879534</v>
      </c>
      <c r="I427" s="9">
        <f>COUNTIFS(MOMBASA!I:I,$G$18,MOMBASA!A:A,"8/19")</f>
        <v>3</v>
      </c>
      <c r="J427" s="11">
        <f>COUNTIFS(MOMBASA!I:I,$H$18,MOMBASA!A:A,"8/19")</f>
        <v>8</v>
      </c>
      <c r="K427" s="11">
        <f>COUNTIFS(MOMBASA!I:I,$I$18,MOMBASA!A:A,"8/19")</f>
        <v>14</v>
      </c>
      <c r="L427" s="2"/>
      <c r="M427" s="2"/>
      <c r="N427" s="2"/>
      <c r="O427" s="2"/>
      <c r="P427" s="2"/>
      <c r="Q427" s="2"/>
      <c r="R427" s="2"/>
      <c r="S427" s="2"/>
      <c r="T427" s="2"/>
      <c r="U427" s="2"/>
      <c r="V427" s="2"/>
      <c r="W427" s="2"/>
      <c r="X427" s="2"/>
      <c r="Y427" s="2"/>
      <c r="Z427" s="2"/>
      <c r="AA427" s="2"/>
      <c r="AB427" s="2"/>
    </row>
    <row r="428">
      <c r="A428" s="7" t="s">
        <v>18</v>
      </c>
      <c r="B428" s="32">
        <v>8.540354123E7</v>
      </c>
      <c r="C428" s="33">
        <v>86.0</v>
      </c>
      <c r="D428" s="8">
        <f>SUMIFS(KISUMU!F:F,KISUMU!A:A,"8/19")</f>
        <v>2617656.68</v>
      </c>
      <c r="E428" s="11">
        <f>COUNTIFS(KISUMU!A:A,"8/19")</f>
        <v>29</v>
      </c>
      <c r="F428" s="10">
        <f>SUMIFS(KISUMU!G:G,KISUMU!A:A,"8/19")</f>
        <v>1402095</v>
      </c>
      <c r="G428" s="11">
        <f t="shared" si="98"/>
        <v>9</v>
      </c>
      <c r="H428" s="12">
        <f t="shared" si="99"/>
        <v>0.535629829</v>
      </c>
      <c r="I428" s="9">
        <f>COUNTIFS(KISUMU!I:I,$G$18,KISUMU!A:A,"8/19")</f>
        <v>3</v>
      </c>
      <c r="J428" s="11">
        <f>COUNTIFS(KISUMU!I:I,$H$18,KISUMU!A:A,"8/19")</f>
        <v>6</v>
      </c>
      <c r="K428" s="11">
        <f>COUNTIFS(KISUMU!I:I,$I$18,KISUMU!A:A,"8/19")</f>
        <v>20</v>
      </c>
      <c r="L428" s="2"/>
      <c r="M428" s="2"/>
      <c r="N428" s="2"/>
      <c r="O428" s="2"/>
      <c r="P428" s="2"/>
      <c r="Q428" s="2"/>
      <c r="R428" s="2"/>
      <c r="S428" s="2"/>
      <c r="T428" s="2"/>
      <c r="U428" s="2"/>
      <c r="V428" s="2"/>
      <c r="W428" s="2"/>
      <c r="X428" s="2"/>
      <c r="Y428" s="2"/>
      <c r="Z428" s="2"/>
      <c r="AA428" s="2"/>
      <c r="AB428" s="2"/>
    </row>
    <row r="429">
      <c r="A429" s="7" t="s">
        <v>19</v>
      </c>
      <c r="B429" s="32">
        <v>7389021.14</v>
      </c>
      <c r="C429" s="33">
        <v>20.0</v>
      </c>
      <c r="D429" s="8">
        <f>SUMIFS(VOI!F:F,VOI!A:A,"8/19")</f>
        <v>166073</v>
      </c>
      <c r="E429" s="11">
        <f>COUNTIFS(VOI!A:A,"8/19")</f>
        <v>6</v>
      </c>
      <c r="F429" s="10">
        <f>SUMIFS(VOI!G:G,VOI!A:A,"8/19")</f>
        <v>0</v>
      </c>
      <c r="G429" s="11">
        <f t="shared" si="98"/>
        <v>0</v>
      </c>
      <c r="H429" s="12">
        <f t="shared" si="99"/>
        <v>0</v>
      </c>
      <c r="I429" s="9">
        <f>COUNTIFS(VOI!H:H,$G$18,VOI!A:A,"8/19")</f>
        <v>0</v>
      </c>
      <c r="J429" s="11">
        <f>COUNTIFS(VOI!H:H,$H$18,VOI!A:A,"8/19")</f>
        <v>0</v>
      </c>
      <c r="K429" s="11">
        <f>COUNTIFS(VOI!H:H,$I$18,VOI!A:A,"8/19")</f>
        <v>6</v>
      </c>
      <c r="L429" s="2"/>
      <c r="M429" s="2"/>
      <c r="N429" s="2"/>
      <c r="O429" s="2"/>
      <c r="P429" s="2"/>
      <c r="Q429" s="2"/>
      <c r="R429" s="2"/>
      <c r="S429" s="2"/>
      <c r="T429" s="2"/>
      <c r="U429" s="2"/>
      <c r="V429" s="2"/>
      <c r="W429" s="2"/>
      <c r="X429" s="2"/>
      <c r="Y429" s="2"/>
      <c r="Z429" s="2"/>
      <c r="AA429" s="2"/>
      <c r="AB429" s="2"/>
    </row>
    <row r="430">
      <c r="A430" s="7" t="s">
        <v>20</v>
      </c>
      <c r="B430" s="32">
        <v>5.463381891E7</v>
      </c>
      <c r="C430" s="33">
        <v>92.0</v>
      </c>
      <c r="D430" s="8">
        <f>SUMIFS(THIKA!F:F,THIKA!A:A,"8/19")</f>
        <v>1000760</v>
      </c>
      <c r="E430" s="11">
        <f>COUNTIFS(THIKA!A:A,"8/19")</f>
        <v>16</v>
      </c>
      <c r="F430" s="10">
        <f>SUMIFS(THIKA!G:G,THIKA!A:A,"8/19")</f>
        <v>311000</v>
      </c>
      <c r="G430" s="11">
        <f t="shared" si="98"/>
        <v>6</v>
      </c>
      <c r="H430" s="12">
        <f t="shared" si="99"/>
        <v>0.3107638195</v>
      </c>
      <c r="I430" s="9">
        <f>COUNTIFS(THIKA!I:I,$G$18,THIKA!A:A,"8/19")</f>
        <v>3</v>
      </c>
      <c r="J430" s="11">
        <f>COUNTIFS(THIKA!I:I,$H$18,THIKA!A:A,"8/19")</f>
        <v>3</v>
      </c>
      <c r="K430" s="11">
        <f>COUNTIFS(THIKA!I:I,$I$18,THIKA!A:A,"8/19")</f>
        <v>10</v>
      </c>
      <c r="L430" s="2"/>
      <c r="M430" s="2"/>
      <c r="N430" s="2"/>
      <c r="O430" s="2"/>
      <c r="P430" s="2"/>
      <c r="Q430" s="2"/>
      <c r="R430" s="2"/>
      <c r="S430" s="2"/>
      <c r="T430" s="2"/>
      <c r="U430" s="2"/>
      <c r="V430" s="2"/>
      <c r="W430" s="2"/>
      <c r="X430" s="2"/>
      <c r="Y430" s="2"/>
      <c r="Z430" s="2"/>
      <c r="AA430" s="2"/>
      <c r="AB430" s="2"/>
    </row>
    <row r="431">
      <c r="A431" s="7" t="s">
        <v>21</v>
      </c>
      <c r="B431" s="32">
        <v>1127078.27</v>
      </c>
      <c r="C431" s="33">
        <v>5.0</v>
      </c>
      <c r="D431" s="8">
        <f>SUMIFS(KITUI!F:F,KITUI!A:A,"8/19")</f>
        <v>76125</v>
      </c>
      <c r="E431" s="11">
        <f>COUNTIFS(KITUI!A:A,"8/19")</f>
        <v>1</v>
      </c>
      <c r="F431" s="10">
        <f>SUMIFS(KITUI!G:G,KITUI!A:A,"8/19")</f>
        <v>0</v>
      </c>
      <c r="G431" s="11">
        <f t="shared" si="98"/>
        <v>0</v>
      </c>
      <c r="H431" s="12">
        <f t="shared" si="99"/>
        <v>0</v>
      </c>
      <c r="I431" s="9">
        <f>COUNTIFS(KITUI!I:I,$G$18,KITUI!A:A,"8/19")</f>
        <v>0</v>
      </c>
      <c r="J431" s="11">
        <f>COUNTIFS(KITUI!I:I,$H$18,KITUI!A:A,"8/19")</f>
        <v>0</v>
      </c>
      <c r="K431" s="11">
        <f>COUNTIFS(KITUI!I:I,$I$18,KITUI!A:A,"8/19")</f>
        <v>1</v>
      </c>
      <c r="L431" s="2"/>
      <c r="M431" s="2"/>
      <c r="N431" s="2"/>
      <c r="O431" s="2"/>
      <c r="P431" s="2"/>
      <c r="Q431" s="2"/>
      <c r="R431" s="2"/>
      <c r="S431" s="2"/>
      <c r="T431" s="2"/>
      <c r="U431" s="2"/>
      <c r="V431" s="2"/>
      <c r="W431" s="2"/>
      <c r="X431" s="2"/>
      <c r="Y431" s="2"/>
      <c r="Z431" s="2"/>
      <c r="AA431" s="2"/>
      <c r="AB431" s="2"/>
    </row>
    <row r="432">
      <c r="A432" s="15" t="s">
        <v>22</v>
      </c>
      <c r="B432" s="32">
        <v>244480.07</v>
      </c>
      <c r="C432" s="33">
        <v>4.0</v>
      </c>
      <c r="D432" s="8">
        <f>SUMIFS(MACHAKOS!F:F,MACHAKOS!A:A,"8/19")</f>
        <v>842288</v>
      </c>
      <c r="E432" s="11">
        <f>COUNTIFS(MACHAKOS!A:A,"8/19")</f>
        <v>5</v>
      </c>
      <c r="F432" s="10">
        <f>SUMIFS(MACHAKOS!G:G,MACHAKOS!A:A,"8/19")</f>
        <v>26517</v>
      </c>
      <c r="G432" s="11">
        <f t="shared" si="98"/>
        <v>0</v>
      </c>
      <c r="H432" s="12">
        <f t="shared" si="99"/>
        <v>0.03148210588</v>
      </c>
      <c r="I432" s="9">
        <f>COUNTIFS(MACHAKOS!I:I,$G$18,MACHAKOS!A:A,"8/19")</f>
        <v>0</v>
      </c>
      <c r="J432" s="11">
        <f>COUNTIFS(MACHAKOS!I:I,$H$18,MACHAKOS!A:A,"8/19")</f>
        <v>0</v>
      </c>
      <c r="K432" s="11">
        <f>COUNTIFS(MACHAKOS!I:I,$I$18,MACHAKOS!A:A,"8/19")</f>
        <v>5</v>
      </c>
      <c r="L432" s="2"/>
      <c r="M432" s="2"/>
      <c r="N432" s="2"/>
      <c r="O432" s="2"/>
      <c r="P432" s="2"/>
      <c r="Q432" s="2"/>
      <c r="R432" s="2"/>
      <c r="S432" s="2"/>
      <c r="T432" s="2"/>
      <c r="U432" s="2"/>
      <c r="V432" s="2"/>
      <c r="W432" s="2"/>
      <c r="X432" s="2"/>
      <c r="Y432" s="2"/>
      <c r="Z432" s="2"/>
      <c r="AA432" s="2"/>
      <c r="AB432" s="2"/>
    </row>
    <row r="433">
      <c r="A433" s="1" t="s">
        <v>32</v>
      </c>
      <c r="B433" s="8"/>
      <c r="C433" s="30"/>
      <c r="D433" s="30">
        <v>2000000.0</v>
      </c>
      <c r="E433" s="34"/>
      <c r="F433" s="38"/>
      <c r="G433" s="28"/>
      <c r="H433" s="12">
        <f t="shared" si="99"/>
        <v>0</v>
      </c>
      <c r="I433" s="9">
        <f>COUNTIFS(MACHAKOS!I:I,$G$18,MACHAKOS!A:A,"8/19")</f>
        <v>0</v>
      </c>
      <c r="J433" s="28">
        <v>0.0</v>
      </c>
      <c r="K433" s="28">
        <v>0.0</v>
      </c>
      <c r="L433" s="2"/>
      <c r="M433" s="2"/>
      <c r="N433" s="2"/>
      <c r="O433" s="2"/>
      <c r="P433" s="2"/>
      <c r="Q433" s="2"/>
      <c r="R433" s="2"/>
      <c r="S433" s="2"/>
      <c r="T433" s="2"/>
      <c r="U433" s="2"/>
      <c r="V433" s="2"/>
      <c r="W433" s="2"/>
      <c r="X433" s="2"/>
      <c r="Y433" s="2"/>
      <c r="Z433" s="2"/>
      <c r="AA433" s="2"/>
      <c r="AB433" s="2"/>
    </row>
    <row r="434">
      <c r="A434" s="1" t="s">
        <v>31</v>
      </c>
      <c r="B434" s="39">
        <v>1.5364534831E8</v>
      </c>
      <c r="C434" s="40">
        <v>2607.0</v>
      </c>
      <c r="D434" s="25">
        <v>1.2E7</v>
      </c>
      <c r="E434" s="28">
        <v>2017.0</v>
      </c>
      <c r="F434" s="39">
        <v>1.2705373E7</v>
      </c>
      <c r="G434" s="11"/>
      <c r="H434" s="12"/>
      <c r="I434" s="33">
        <v>1107.0</v>
      </c>
      <c r="J434" s="28">
        <v>910.0</v>
      </c>
      <c r="K434" s="11"/>
      <c r="L434" s="2"/>
      <c r="M434" s="2"/>
      <c r="N434" s="2"/>
      <c r="O434" s="2"/>
      <c r="P434" s="2"/>
      <c r="Q434" s="2"/>
      <c r="R434" s="2"/>
      <c r="S434" s="2"/>
      <c r="T434" s="2"/>
      <c r="U434" s="2"/>
      <c r="V434" s="2"/>
      <c r="W434" s="2"/>
      <c r="X434" s="2"/>
      <c r="Y434" s="2"/>
      <c r="Z434" s="2"/>
      <c r="AA434" s="2"/>
      <c r="AB434" s="2"/>
    </row>
    <row r="435">
      <c r="A435" s="16" t="s">
        <v>23</v>
      </c>
      <c r="B435" s="17">
        <f t="shared" ref="B435:F435" si="100">SUM(B420:B434)</f>
        <v>2521272558</v>
      </c>
      <c r="C435" s="36">
        <f t="shared" si="100"/>
        <v>4518</v>
      </c>
      <c r="D435" s="17">
        <f t="shared" si="100"/>
        <v>49037438.92</v>
      </c>
      <c r="E435" s="37">
        <f t="shared" si="100"/>
        <v>2268</v>
      </c>
      <c r="F435" s="19">
        <f t="shared" si="100"/>
        <v>18272780</v>
      </c>
      <c r="G435" s="18">
        <f>SUM(G420:G432)</f>
        <v>61</v>
      </c>
      <c r="H435" s="20">
        <f>F435/D435</f>
        <v>0.3726291667</v>
      </c>
      <c r="I435" s="21">
        <f t="shared" ref="I435:K435" si="101">SUM(I420:I434)</f>
        <v>1127</v>
      </c>
      <c r="J435" s="21">
        <f t="shared" si="101"/>
        <v>951</v>
      </c>
      <c r="K435" s="21">
        <f t="shared" si="101"/>
        <v>189</v>
      </c>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3" t="s">
        <v>1</v>
      </c>
      <c r="B438" s="4" t="s">
        <v>33</v>
      </c>
      <c r="C438" s="4" t="s">
        <v>34</v>
      </c>
      <c r="D438" s="5" t="s">
        <v>2</v>
      </c>
      <c r="E438" s="5" t="s">
        <v>3</v>
      </c>
      <c r="F438" s="5" t="s">
        <v>4</v>
      </c>
      <c r="G438" s="5" t="s">
        <v>5</v>
      </c>
      <c r="H438" s="26" t="s">
        <v>6</v>
      </c>
      <c r="I438" s="26" t="s">
        <v>7</v>
      </c>
      <c r="J438" s="26" t="s">
        <v>8</v>
      </c>
      <c r="K438" s="26" t="s">
        <v>9</v>
      </c>
      <c r="L438" s="2"/>
      <c r="M438" s="2"/>
      <c r="N438" s="2"/>
      <c r="O438" s="2"/>
      <c r="P438" s="2"/>
      <c r="Q438" s="2"/>
      <c r="R438" s="2"/>
      <c r="S438" s="2"/>
      <c r="T438" s="2"/>
      <c r="U438" s="2"/>
      <c r="V438" s="2"/>
      <c r="W438" s="2"/>
      <c r="X438" s="2"/>
      <c r="Y438" s="2"/>
      <c r="Z438" s="2"/>
      <c r="AA438" s="2"/>
      <c r="AB438" s="2"/>
    </row>
    <row r="439">
      <c r="A439" s="7" t="s">
        <v>10</v>
      </c>
      <c r="B439" s="39">
        <v>8.5396718559E8</v>
      </c>
      <c r="C439" s="40">
        <v>396.0</v>
      </c>
      <c r="D439" s="8">
        <f>SUMIFS(ECOBANK!F:F,ECOBANK!A:A,"8/20")</f>
        <v>13346083.92</v>
      </c>
      <c r="E439" s="9">
        <f>COUNTIFS(ECOBANK!A:A,"8/20")</f>
        <v>23</v>
      </c>
      <c r="F439" s="10">
        <f>SUMIFS(ECOBANK!G:G,ECOBANK!A:A,"8/20")</f>
        <v>595238</v>
      </c>
      <c r="G439" s="11">
        <f t="shared" ref="G439:G451" si="102">I439+J439</f>
        <v>0</v>
      </c>
      <c r="H439" s="12">
        <f t="shared" ref="H439:H452" si="103">iferror(F439/D439,0)</f>
        <v>0.0446001991</v>
      </c>
      <c r="I439" s="9">
        <f>COUNTIFS(ECOBANK!I:I,$G$18,ECOBANK!A:A,"8/20")</f>
        <v>0</v>
      </c>
      <c r="J439" s="11">
        <f>COUNTIFS(ECOBANK!I:I,$H$18,ECOBANK!A:A,"8/20)")</f>
        <v>0</v>
      </c>
      <c r="K439" s="11">
        <f>COUNTIFS(ECOBANK!I:I,$I$18,ECOBANK!A:A,"8/20")</f>
        <v>5</v>
      </c>
      <c r="L439" s="2"/>
      <c r="M439" s="2"/>
      <c r="N439" s="2"/>
      <c r="O439" s="2"/>
      <c r="P439" s="2"/>
      <c r="Q439" s="2"/>
      <c r="R439" s="2"/>
      <c r="S439" s="2"/>
      <c r="T439" s="2"/>
      <c r="U439" s="2"/>
      <c r="V439" s="2"/>
      <c r="W439" s="2"/>
      <c r="X439" s="2"/>
      <c r="Y439" s="2"/>
      <c r="Z439" s="2"/>
      <c r="AA439" s="2"/>
      <c r="AB439" s="2"/>
    </row>
    <row r="440">
      <c r="A440" s="7" t="s">
        <v>24</v>
      </c>
      <c r="B440" s="41">
        <v>6.1280880184E8</v>
      </c>
      <c r="C440" s="42">
        <v>253.0</v>
      </c>
      <c r="D440" s="8">
        <f>SUMIFS('TRADE CENTER'!F:F,'TRADE CENTER'!A:A,"8/20")</f>
        <v>7146852.77</v>
      </c>
      <c r="E440" s="11">
        <f>COUNTIFS('TRADE CENTER'!A:A,"8/20")</f>
        <v>41</v>
      </c>
      <c r="F440" s="10">
        <f>SUMIFS('TRADE CENTER'!G:G,'TRADE CENTER'!A:A,"8/20")</f>
        <v>1009859</v>
      </c>
      <c r="G440" s="11">
        <f t="shared" si="102"/>
        <v>0</v>
      </c>
      <c r="H440" s="12">
        <f t="shared" si="103"/>
        <v>0.1413012178</v>
      </c>
      <c r="I440" s="11">
        <f>COUNTIFS('TRADE CENTER'!I:I,$G$18,'TRADE CENTER'!A:A,"8/20")</f>
        <v>0</v>
      </c>
      <c r="J440" s="11">
        <f>COUNTIFS('TRADE CENTER'!I:I,$H$18,'TRADE CENTER'!A:A,"8/20")</f>
        <v>0</v>
      </c>
      <c r="K440" s="11">
        <f>COUNTIFS('TRADE CENTER'!I:I,$I$18,'TRADE CENTER'!A:A,"8/20")</f>
        <v>10</v>
      </c>
      <c r="L440" s="2"/>
      <c r="M440" s="2"/>
      <c r="N440" s="2"/>
      <c r="O440" s="2"/>
      <c r="P440" s="2"/>
      <c r="Q440" s="2"/>
      <c r="R440" s="2"/>
      <c r="S440" s="2"/>
      <c r="T440" s="2"/>
      <c r="U440" s="2"/>
      <c r="V440" s="2"/>
      <c r="W440" s="2"/>
      <c r="X440" s="2"/>
      <c r="Y440" s="2"/>
      <c r="Z440" s="2"/>
      <c r="AA440" s="2"/>
      <c r="AB440" s="2"/>
    </row>
    <row r="441">
      <c r="A441" s="7" t="s">
        <v>12</v>
      </c>
      <c r="B441" s="41">
        <v>2.521937564E8</v>
      </c>
      <c r="C441" s="42">
        <v>387.0</v>
      </c>
      <c r="D441" s="8">
        <f>SUMIFS(PENSION!F:F,PENSION!A:A,"8/20/2024")</f>
        <v>1710930.47</v>
      </c>
      <c r="E441" s="11">
        <f>COUNTIFS(PENSION!A:A,"8/20")</f>
        <v>24</v>
      </c>
      <c r="F441" s="10">
        <f>SUMIFS(PENSION!G:G,PENSION!A:A,"8/20/2024")</f>
        <v>631917</v>
      </c>
      <c r="G441" s="11">
        <f t="shared" si="102"/>
        <v>0</v>
      </c>
      <c r="H441" s="12">
        <f t="shared" si="103"/>
        <v>0.369341134</v>
      </c>
      <c r="I441" s="9">
        <f>COUNTIFS(PENSION!I:I,$G$18,PENSION!A:A,"8/20")</f>
        <v>0</v>
      </c>
      <c r="J441" s="11">
        <f>COUNTIFS(PENSION!I:I,$H$18,PENSION!A:A,"8/20")</f>
        <v>0</v>
      </c>
      <c r="K441" s="11">
        <f>COUNTIFS(PENSION!I:I,$I$18,PENSION!A:A,"8/20")</f>
        <v>0</v>
      </c>
      <c r="L441" s="2"/>
      <c r="M441" s="2"/>
      <c r="N441" s="2"/>
      <c r="O441" s="2"/>
      <c r="P441" s="2"/>
      <c r="Q441" s="2"/>
      <c r="R441" s="2"/>
      <c r="S441" s="2"/>
      <c r="T441" s="2"/>
      <c r="U441" s="2"/>
      <c r="V441" s="2"/>
      <c r="W441" s="2"/>
      <c r="X441" s="2"/>
      <c r="Y441" s="2"/>
      <c r="Z441" s="2"/>
      <c r="AA441" s="2"/>
      <c r="AB441" s="2"/>
    </row>
    <row r="442">
      <c r="A442" s="7" t="s">
        <v>13</v>
      </c>
      <c r="B442" s="41">
        <v>1.1122149749E8</v>
      </c>
      <c r="C442" s="42">
        <v>303.0</v>
      </c>
      <c r="D442" s="8">
        <f>SUMIFS(KITENGELA!F:F,KITENGELA!A:A,"8/20/2024")</f>
        <v>5404525.83</v>
      </c>
      <c r="E442" s="11">
        <f>COUNTIFS(KITENGELA!A:A,"8/20")</f>
        <v>44</v>
      </c>
      <c r="F442" s="10">
        <f>SUMIFS(KITENGELA!G:G,KITENGELA!A:A,"8/20")</f>
        <v>764958</v>
      </c>
      <c r="G442" s="11">
        <f t="shared" si="102"/>
        <v>0</v>
      </c>
      <c r="H442" s="12">
        <f t="shared" si="103"/>
        <v>0.1415402616</v>
      </c>
      <c r="I442" s="11">
        <f>COUNTIFS(KITENGELA!I:I,$G$18,KITENGELA!A:A,"8/20")</f>
        <v>0</v>
      </c>
      <c r="J442" s="11">
        <f>COUNTIFS(KITENGELA!I:I,$H$18,KITENGELA!A:A,"8/20")</f>
        <v>0</v>
      </c>
      <c r="K442" s="11">
        <f>COUNTIFS(KITENGELA!I:I,$I$18,KITENGELA!A:A,"8/20")</f>
        <v>0</v>
      </c>
      <c r="L442" s="2"/>
      <c r="M442" s="2"/>
      <c r="N442" s="2"/>
      <c r="O442" s="2"/>
      <c r="P442" s="2"/>
      <c r="Q442" s="2"/>
      <c r="R442" s="2"/>
      <c r="S442" s="2"/>
      <c r="T442" s="2"/>
      <c r="U442" s="2"/>
      <c r="V442" s="2"/>
      <c r="W442" s="2"/>
      <c r="X442" s="2"/>
      <c r="Y442" s="2"/>
      <c r="Z442" s="2"/>
      <c r="AA442" s="2"/>
      <c r="AB442" s="2"/>
    </row>
    <row r="443">
      <c r="A443" s="7" t="s">
        <v>14</v>
      </c>
      <c r="B443" s="41">
        <v>1.5969574425E8</v>
      </c>
      <c r="C443" s="42">
        <v>170.0</v>
      </c>
      <c r="D443" s="8">
        <f>SUMIFS(ELDORET!F:F,ELDORET!A:A,"8/20")</f>
        <v>1194289.55</v>
      </c>
      <c r="E443" s="11">
        <f>COUNTIFS(ELDORET!A:A,"8/20")</f>
        <v>24</v>
      </c>
      <c r="F443" s="10">
        <f>SUMIFS(ELDORET!G:G,ELDORET!A:A,"8/20")</f>
        <v>157500</v>
      </c>
      <c r="G443" s="11">
        <f t="shared" si="102"/>
        <v>0</v>
      </c>
      <c r="H443" s="12">
        <f t="shared" si="103"/>
        <v>0.1318775669</v>
      </c>
      <c r="I443" s="11">
        <f>COUNTIFS(ELDORET!I:I,$G$18,ELDORET!A:A,"8/20")</f>
        <v>0</v>
      </c>
      <c r="J443" s="11">
        <f>COUNTIFS(ELDORET!I:I,$H$18,ELDORET!A:A,"8/20")</f>
        <v>0</v>
      </c>
      <c r="K443" s="11">
        <f>COUNTIFS(ELDORET!I:I,$I$18,ELDORET!A:A,"8/20")</f>
        <v>6</v>
      </c>
      <c r="L443" s="2"/>
      <c r="M443" s="2"/>
      <c r="N443" s="2"/>
      <c r="O443" s="2"/>
      <c r="P443" s="2"/>
      <c r="Q443" s="2"/>
      <c r="R443" s="2"/>
      <c r="S443" s="2"/>
      <c r="T443" s="2"/>
      <c r="U443" s="2"/>
      <c r="V443" s="2"/>
      <c r="W443" s="2"/>
      <c r="X443" s="2"/>
      <c r="Y443" s="2"/>
      <c r="Z443" s="2"/>
      <c r="AA443" s="2"/>
      <c r="AB443" s="2"/>
    </row>
    <row r="444">
      <c r="A444" s="7" t="s">
        <v>15</v>
      </c>
      <c r="B444" s="41">
        <v>1.632576659E7</v>
      </c>
      <c r="C444" s="42">
        <v>22.0</v>
      </c>
      <c r="D444" s="8">
        <f>SUMIFS(NAKURU!F:F,NAKURU!A:A,"8/20")</f>
        <v>519000</v>
      </c>
      <c r="E444" s="11">
        <f>COUNTIFS(NAKURU!A:A,"8/20")</f>
        <v>6</v>
      </c>
      <c r="F444" s="10">
        <f>SUMIFS(NAKURU!G:G,NAKURU!A:A,"8/20")</f>
        <v>253758</v>
      </c>
      <c r="G444" s="11">
        <f t="shared" si="102"/>
        <v>6</v>
      </c>
      <c r="H444" s="12">
        <f t="shared" si="103"/>
        <v>0.4889364162</v>
      </c>
      <c r="I444" s="9">
        <f>COUNTIFS(NAKURU!I:I,$G$18,NAKURU!A:A,"8/20")</f>
        <v>0</v>
      </c>
      <c r="J444" s="11">
        <f>COUNTIFS(NAKURU!I:I,$H$18,NAKURU!A:A,"8/20")</f>
        <v>6</v>
      </c>
      <c r="K444" s="11">
        <f>COUNTIFS(NAKURU!I:I,$I$18,NAKURU!A:A,"8/20")</f>
        <v>0</v>
      </c>
      <c r="L444" s="2"/>
      <c r="M444" s="2"/>
      <c r="N444" s="2"/>
      <c r="O444" s="2"/>
      <c r="P444" s="2"/>
      <c r="Q444" s="2"/>
      <c r="R444" s="2"/>
      <c r="S444" s="2"/>
      <c r="T444" s="2"/>
      <c r="U444" s="2"/>
      <c r="V444" s="2"/>
      <c r="W444" s="2"/>
      <c r="X444" s="2"/>
      <c r="Y444" s="2"/>
      <c r="Z444" s="2"/>
      <c r="AA444" s="2"/>
      <c r="AB444" s="2"/>
    </row>
    <row r="445">
      <c r="A445" s="7" t="s">
        <v>16</v>
      </c>
      <c r="B445" s="41">
        <v>1.245690062E7</v>
      </c>
      <c r="C445" s="42">
        <v>18.0</v>
      </c>
      <c r="D445" s="8">
        <f>SUMIFS(HOMABAY!F:F,HOMABAY!A:A,"8/20")</f>
        <v>131000</v>
      </c>
      <c r="E445" s="11">
        <f>COUNTIFS(HOMABAY!A:A,"8/20")</f>
        <v>2</v>
      </c>
      <c r="F445" s="10">
        <f>SUMIFS(HOMABAY!G:G,HOMABAY!A:A,"8/20")</f>
        <v>2000</v>
      </c>
      <c r="G445" s="11">
        <f t="shared" si="102"/>
        <v>0</v>
      </c>
      <c r="H445" s="12">
        <f t="shared" si="103"/>
        <v>0.01526717557</v>
      </c>
      <c r="I445" s="9">
        <f>COUNTIFS(HOMABAY!K:K,$G$18,HOMABAY!A:A,"8/20")</f>
        <v>0</v>
      </c>
      <c r="J445" s="11">
        <f>COUNTIFS(HOMABAY!K:K,$H$18,HOMABAY!A:A,"8/20")</f>
        <v>0</v>
      </c>
      <c r="K445" s="11">
        <f>COUNTIFS(HOMABAY!K:K,$I$18,HOMABAY!A:A,"8/20")</f>
        <v>0</v>
      </c>
      <c r="L445" s="2"/>
      <c r="M445" s="2"/>
      <c r="N445" s="2"/>
      <c r="O445" s="2"/>
      <c r="P445" s="2"/>
      <c r="Q445" s="2"/>
      <c r="R445" s="2"/>
      <c r="S445" s="2"/>
      <c r="T445" s="2"/>
      <c r="U445" s="2"/>
      <c r="V445" s="2"/>
      <c r="W445" s="2"/>
      <c r="X445" s="2"/>
      <c r="Y445" s="2"/>
      <c r="Z445" s="2"/>
      <c r="AA445" s="2"/>
      <c r="AB445" s="2"/>
    </row>
    <row r="446">
      <c r="A446" s="7" t="s">
        <v>17</v>
      </c>
      <c r="B446" s="41">
        <v>1.9797073488E8</v>
      </c>
      <c r="C446" s="42">
        <v>187.0</v>
      </c>
      <c r="D446" s="8">
        <f>SUMIFS(MOMBASA!F:F,MOMBASA!A:A,"8/20")</f>
        <v>1406968.26</v>
      </c>
      <c r="E446" s="11">
        <f>COUNTIFS(MOMBASA!A:A,"8/20")</f>
        <v>21</v>
      </c>
      <c r="F446" s="27">
        <f>SUMIFS(MOMBASA!G:G,MOMBASA!A:A,"8/20")</f>
        <v>2469573</v>
      </c>
      <c r="G446" s="11">
        <f t="shared" si="102"/>
        <v>8</v>
      </c>
      <c r="H446" s="12">
        <f t="shared" si="103"/>
        <v>1.755244287</v>
      </c>
      <c r="I446" s="9">
        <f>COUNTIFS(MOMBASA!I:I,$G$18,MOMBASA!A:A,"8/20")</f>
        <v>3</v>
      </c>
      <c r="J446" s="11">
        <f>COUNTIFS(MOMBASA!I:I,$H$18,MOMBASA!A:A,"8/20")</f>
        <v>5</v>
      </c>
      <c r="K446" s="11">
        <f>COUNTIFS(MOMBASA!I:I,$I$18,MOMBASA!A:A,"8/20")</f>
        <v>13</v>
      </c>
      <c r="L446" s="2"/>
      <c r="M446" s="2"/>
      <c r="N446" s="2"/>
      <c r="O446" s="2"/>
      <c r="P446" s="2"/>
      <c r="Q446" s="2"/>
      <c r="R446" s="2"/>
      <c r="S446" s="2"/>
      <c r="T446" s="2"/>
      <c r="U446" s="2"/>
      <c r="V446" s="2"/>
      <c r="W446" s="2"/>
      <c r="X446" s="2"/>
      <c r="Y446" s="2"/>
      <c r="Z446" s="2"/>
      <c r="AA446" s="2"/>
      <c r="AB446" s="2"/>
    </row>
    <row r="447">
      <c r="A447" s="7" t="s">
        <v>18</v>
      </c>
      <c r="B447" s="41">
        <v>8.499581514E7</v>
      </c>
      <c r="C447" s="42">
        <v>87.0</v>
      </c>
      <c r="D447" s="8">
        <f>SUMIFS(KISUMU!F:F,KISUMU!A:A,"8/20")</f>
        <v>1229611.68</v>
      </c>
      <c r="E447" s="11">
        <f>COUNTIFS(KISUMU!A:A,"8/20")</f>
        <v>24</v>
      </c>
      <c r="F447" s="10">
        <f>SUMIFS(KISUMU!G:G,KISUMU!A:A,"8/20")</f>
        <v>40950</v>
      </c>
      <c r="G447" s="11">
        <f t="shared" si="102"/>
        <v>4</v>
      </c>
      <c r="H447" s="12">
        <f t="shared" si="103"/>
        <v>0.03330319699</v>
      </c>
      <c r="I447" s="9">
        <f>COUNTIFS(KISUMU!I:I,$G$18,KISUMU!A:A,"8/20")</f>
        <v>2</v>
      </c>
      <c r="J447" s="11">
        <f>COUNTIFS(KISUMU!I:I,$H$18,KISUMU!A:A,"8/20")</f>
        <v>2</v>
      </c>
      <c r="K447" s="11">
        <f>COUNTIFS(KISUMU!I:I,$I$18,KISUMU!A:A,"8/20")</f>
        <v>20</v>
      </c>
      <c r="L447" s="2"/>
      <c r="M447" s="2"/>
      <c r="N447" s="2"/>
      <c r="O447" s="2"/>
      <c r="P447" s="2"/>
      <c r="Q447" s="2"/>
      <c r="R447" s="2"/>
      <c r="S447" s="2"/>
      <c r="T447" s="2"/>
      <c r="U447" s="2"/>
      <c r="V447" s="2"/>
      <c r="W447" s="2"/>
      <c r="X447" s="2"/>
      <c r="Y447" s="2"/>
      <c r="Z447" s="2"/>
      <c r="AA447" s="2"/>
      <c r="AB447" s="2"/>
    </row>
    <row r="448">
      <c r="A448" s="7" t="s">
        <v>19</v>
      </c>
      <c r="B448" s="41">
        <v>7440293.18</v>
      </c>
      <c r="C448" s="42">
        <v>21.0</v>
      </c>
      <c r="D448" s="8">
        <f>SUMIFS(VOI!F:F,VOI!A:A,"8/20")</f>
        <v>377161.5</v>
      </c>
      <c r="E448" s="11">
        <f>COUNTIFS(VOI!A:A,"8/20")</f>
        <v>10</v>
      </c>
      <c r="F448" s="10">
        <f>SUMIFS(VOI!G:G,VOI!A:A,"8/20")</f>
        <v>4000</v>
      </c>
      <c r="G448" s="11">
        <f t="shared" si="102"/>
        <v>1</v>
      </c>
      <c r="H448" s="12">
        <f t="shared" si="103"/>
        <v>0.01060553636</v>
      </c>
      <c r="I448" s="9">
        <f>COUNTIFS(VOI!H:H,$G$18,VOI!A:A,"8/20")</f>
        <v>1</v>
      </c>
      <c r="J448" s="11">
        <f>COUNTIFS(VOI!H:H,$H$18,VOI!A:A,"8/20")</f>
        <v>0</v>
      </c>
      <c r="K448" s="11">
        <f>COUNTIFS(VOI!H:H,$I$18,VOI!A:A,"8/20")</f>
        <v>9</v>
      </c>
      <c r="L448" s="2"/>
      <c r="M448" s="2"/>
      <c r="N448" s="2"/>
      <c r="O448" s="2"/>
      <c r="P448" s="2"/>
      <c r="Q448" s="2"/>
      <c r="R448" s="2"/>
      <c r="S448" s="2"/>
      <c r="T448" s="2"/>
      <c r="U448" s="2"/>
      <c r="V448" s="2"/>
      <c r="W448" s="2"/>
      <c r="X448" s="2"/>
      <c r="Y448" s="2"/>
      <c r="Z448" s="2"/>
      <c r="AA448" s="2"/>
      <c r="AB448" s="2"/>
    </row>
    <row r="449">
      <c r="A449" s="7" t="s">
        <v>20</v>
      </c>
      <c r="B449" s="41">
        <v>5.514842476E7</v>
      </c>
      <c r="C449" s="42">
        <v>97.0</v>
      </c>
      <c r="D449" s="8">
        <f>SUMIFS(THIKA!F:F,THIKA!A:A,"8/20")</f>
        <v>785570</v>
      </c>
      <c r="E449" s="11">
        <f>COUNTIFS(THIKA!A:A,"8/20")</f>
        <v>18</v>
      </c>
      <c r="F449" s="10">
        <f>SUMIFS(THIKA!G:G,THIKA!A:A,"8/20")</f>
        <v>103250</v>
      </c>
      <c r="G449" s="11">
        <f t="shared" si="102"/>
        <v>2</v>
      </c>
      <c r="H449" s="12">
        <f t="shared" si="103"/>
        <v>0.1314332268</v>
      </c>
      <c r="I449" s="9">
        <f>COUNTIFS(THIKA!I:I,$G$18,THIKA!A:A,"8/20")</f>
        <v>1</v>
      </c>
      <c r="J449" s="11">
        <f>COUNTIFS(THIKA!I:I,$H$18,THIKA!A:A,"8/20")</f>
        <v>1</v>
      </c>
      <c r="K449" s="11">
        <f>COUNTIFS(THIKA!I:I,$I$18,THIKA!A:A,"8/20")</f>
        <v>13</v>
      </c>
      <c r="L449" s="2"/>
      <c r="M449" s="2"/>
      <c r="N449" s="2"/>
      <c r="O449" s="2"/>
      <c r="P449" s="2"/>
      <c r="Q449" s="2"/>
      <c r="R449" s="2"/>
      <c r="S449" s="2"/>
      <c r="T449" s="2"/>
      <c r="U449" s="2"/>
      <c r="V449" s="2"/>
      <c r="W449" s="2"/>
      <c r="X449" s="2"/>
      <c r="Y449" s="2"/>
      <c r="Z449" s="2"/>
      <c r="AA449" s="2"/>
      <c r="AB449" s="2"/>
    </row>
    <row r="450">
      <c r="A450" s="43" t="s">
        <v>21</v>
      </c>
      <c r="B450" s="39">
        <v>1059776.24</v>
      </c>
      <c r="C450" s="40">
        <v>5.0</v>
      </c>
      <c r="D450" s="44">
        <f>SUMIFS(KITUI!F:F,KITUI!A:A,"8/20")</f>
        <v>121941</v>
      </c>
      <c r="E450" s="45">
        <f>COUNTIFS(KITUI!A:A,"8/20")</f>
        <v>2</v>
      </c>
      <c r="F450" s="46">
        <f>SUMIFS(KITUI!G:G,KITUI!A:A,"8/20")</f>
        <v>0</v>
      </c>
      <c r="G450" s="45">
        <f t="shared" si="102"/>
        <v>0</v>
      </c>
      <c r="H450" s="47">
        <f t="shared" si="103"/>
        <v>0</v>
      </c>
      <c r="I450" s="48">
        <f>COUNTIFS(KITUI!I:I,$G$18,KITUI!A:A,"8/20")</f>
        <v>0</v>
      </c>
      <c r="J450" s="45">
        <f>COUNTIFS(KITUI!I:I,$H$18,KITUI!A:A,"8/20")</f>
        <v>0</v>
      </c>
      <c r="K450" s="45">
        <f>COUNTIFS(KITUI!I:I,$I$18,KITUI!A:A,"8/20")</f>
        <v>2</v>
      </c>
      <c r="L450" s="2"/>
      <c r="M450" s="2"/>
      <c r="N450" s="2"/>
      <c r="O450" s="2"/>
      <c r="P450" s="2"/>
      <c r="Q450" s="2"/>
      <c r="R450" s="2"/>
      <c r="S450" s="2"/>
      <c r="T450" s="2"/>
      <c r="U450" s="2"/>
      <c r="V450" s="2"/>
      <c r="W450" s="2"/>
      <c r="X450" s="2"/>
      <c r="Y450" s="2"/>
      <c r="Z450" s="2"/>
      <c r="AA450" s="2"/>
      <c r="AB450" s="2"/>
      <c r="AC450" s="2"/>
      <c r="AD450" s="2"/>
    </row>
    <row r="451">
      <c r="A451" s="49" t="s">
        <v>22</v>
      </c>
      <c r="B451" s="39">
        <v>827658.05</v>
      </c>
      <c r="C451" s="40">
        <v>6.0</v>
      </c>
      <c r="D451" s="44">
        <f>SUMIFS(MACHAKOS!F:F,MACHAKOS!A:A,"8/20")</f>
        <v>880649.37</v>
      </c>
      <c r="E451" s="45">
        <f>COUNTIFS(MACHAKOS!A:A,"8/20")</f>
        <v>6</v>
      </c>
      <c r="F451" s="46">
        <f>SUMIFS(MACHAKOS!G:G,MACHAKOS!A:A,"8/20")</f>
        <v>18000</v>
      </c>
      <c r="G451" s="45">
        <f t="shared" si="102"/>
        <v>0</v>
      </c>
      <c r="H451" s="47">
        <f t="shared" si="103"/>
        <v>0.02043946276</v>
      </c>
      <c r="I451" s="48">
        <f>COUNTIFS(MACHAKOS!I:I,$G$18,MACHAKOS!A:A,"8/20")</f>
        <v>0</v>
      </c>
      <c r="J451" s="45">
        <f>COUNTIFS(MACHAKOS!I:I,$H$18,MACHAKOS!A:A,"8/20")</f>
        <v>0</v>
      </c>
      <c r="K451" s="45">
        <f>COUNTIFS(MACHAKOS!I:I,$I$18,MACHAKOS!A:A,"8/20")</f>
        <v>6</v>
      </c>
      <c r="L451" s="2"/>
      <c r="M451" s="2"/>
      <c r="N451" s="2"/>
      <c r="O451" s="2"/>
      <c r="P451" s="2"/>
      <c r="Q451" s="2"/>
      <c r="R451" s="2"/>
      <c r="S451" s="2"/>
      <c r="T451" s="2"/>
      <c r="U451" s="2"/>
      <c r="V451" s="2"/>
      <c r="W451" s="2"/>
      <c r="X451" s="2"/>
      <c r="Y451" s="2"/>
      <c r="Z451" s="2"/>
      <c r="AA451" s="2"/>
      <c r="AB451" s="2"/>
      <c r="AC451" s="2"/>
      <c r="AD451" s="2"/>
    </row>
    <row r="452">
      <c r="A452" s="1" t="s">
        <v>32</v>
      </c>
      <c r="B452" s="44"/>
      <c r="C452" s="50"/>
      <c r="D452" s="51">
        <f>400000+2000000+700000</f>
        <v>3100000</v>
      </c>
      <c r="E452" s="52">
        <v>3.0</v>
      </c>
      <c r="F452" s="38"/>
      <c r="G452" s="53"/>
      <c r="H452" s="47">
        <f t="shared" si="103"/>
        <v>0</v>
      </c>
      <c r="I452" s="48">
        <f>COUNTIFS(MACHAKOS!I:I,$G$18,MACHAKOS!A:A,"8/20")</f>
        <v>0</v>
      </c>
      <c r="J452" s="53">
        <v>0.0</v>
      </c>
      <c r="K452" s="53">
        <v>0.0</v>
      </c>
      <c r="L452" s="2"/>
      <c r="M452" s="2"/>
      <c r="N452" s="2"/>
      <c r="O452" s="2"/>
      <c r="P452" s="2"/>
      <c r="Q452" s="2"/>
      <c r="R452" s="2"/>
      <c r="S452" s="2"/>
      <c r="T452" s="2"/>
      <c r="U452" s="2"/>
      <c r="V452" s="2"/>
      <c r="W452" s="2"/>
      <c r="X452" s="2"/>
      <c r="Y452" s="2"/>
      <c r="Z452" s="2"/>
      <c r="AA452" s="2"/>
      <c r="AB452" s="2"/>
      <c r="AC452" s="2"/>
      <c r="AD452" s="2"/>
    </row>
    <row r="453">
      <c r="A453" s="1" t="s">
        <v>31</v>
      </c>
      <c r="B453" s="39">
        <v>1.5196966511E8</v>
      </c>
      <c r="C453" s="40">
        <v>4203.0</v>
      </c>
      <c r="D453" s="25">
        <v>1000000.0</v>
      </c>
      <c r="E453" s="53">
        <v>84.0</v>
      </c>
      <c r="F453" s="39"/>
      <c r="G453" s="45"/>
      <c r="H453" s="47"/>
      <c r="I453" s="54"/>
      <c r="J453" s="53"/>
      <c r="K453" s="45"/>
      <c r="L453" s="2"/>
      <c r="M453" s="2"/>
      <c r="N453" s="2"/>
      <c r="O453" s="2"/>
      <c r="P453" s="2"/>
      <c r="Q453" s="2"/>
      <c r="R453" s="2"/>
      <c r="S453" s="2"/>
      <c r="T453" s="2"/>
      <c r="U453" s="2"/>
      <c r="V453" s="2"/>
      <c r="W453" s="2"/>
      <c r="X453" s="2"/>
      <c r="Y453" s="2"/>
      <c r="Z453" s="2"/>
      <c r="AA453" s="2"/>
      <c r="AB453" s="2"/>
      <c r="AC453" s="2"/>
      <c r="AD453" s="2"/>
    </row>
    <row r="454">
      <c r="A454" s="55" t="s">
        <v>23</v>
      </c>
      <c r="B454" s="56">
        <f t="shared" ref="B454:F454" si="104">SUM(B439:B453)</f>
        <v>2518082020</v>
      </c>
      <c r="C454" s="57">
        <f t="shared" si="104"/>
        <v>6155</v>
      </c>
      <c r="D454" s="56">
        <f t="shared" si="104"/>
        <v>38354584.35</v>
      </c>
      <c r="E454" s="58">
        <f t="shared" si="104"/>
        <v>332</v>
      </c>
      <c r="F454" s="59">
        <f t="shared" si="104"/>
        <v>6051003</v>
      </c>
      <c r="G454" s="60">
        <f>SUM(G439:G451)</f>
        <v>21</v>
      </c>
      <c r="H454" s="61">
        <f>F454/D454</f>
        <v>0.1577647914</v>
      </c>
      <c r="I454" s="62">
        <f t="shared" ref="I454:K454" si="105">SUM(I439:I453)</f>
        <v>7</v>
      </c>
      <c r="J454" s="62">
        <f t="shared" si="105"/>
        <v>14</v>
      </c>
      <c r="K454" s="62">
        <f t="shared" si="105"/>
        <v>84</v>
      </c>
      <c r="L454" s="2"/>
      <c r="M454" s="2"/>
      <c r="N454" s="2"/>
      <c r="O454" s="2"/>
      <c r="P454" s="2"/>
      <c r="Q454" s="2"/>
      <c r="R454" s="2"/>
      <c r="S454" s="2"/>
      <c r="T454" s="2"/>
      <c r="U454" s="2"/>
      <c r="V454" s="2"/>
      <c r="W454" s="2"/>
      <c r="X454" s="2"/>
      <c r="Y454" s="2"/>
      <c r="Z454" s="2"/>
      <c r="AA454" s="2"/>
      <c r="AB454" s="2"/>
      <c r="AC454" s="2"/>
      <c r="AD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row>
    <row r="456">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row>
    <row r="457">
      <c r="A457" s="3" t="s">
        <v>1</v>
      </c>
      <c r="B457" s="5" t="s">
        <v>33</v>
      </c>
      <c r="C457" s="5" t="s">
        <v>34</v>
      </c>
      <c r="D457" s="5" t="s">
        <v>2</v>
      </c>
      <c r="E457" s="5" t="s">
        <v>3</v>
      </c>
      <c r="F457" s="5" t="s">
        <v>4</v>
      </c>
      <c r="G457" s="5" t="s">
        <v>5</v>
      </c>
      <c r="H457" s="26" t="s">
        <v>6</v>
      </c>
      <c r="I457" s="26" t="s">
        <v>7</v>
      </c>
      <c r="J457" s="26" t="s">
        <v>8</v>
      </c>
      <c r="K457" s="26" t="s">
        <v>9</v>
      </c>
      <c r="L457" s="2"/>
      <c r="M457" s="2"/>
      <c r="N457" s="2"/>
      <c r="O457" s="2"/>
      <c r="P457" s="2"/>
      <c r="Q457" s="2"/>
      <c r="R457" s="2"/>
      <c r="S457" s="2"/>
      <c r="T457" s="2"/>
      <c r="U457" s="2"/>
      <c r="V457" s="2"/>
      <c r="W457" s="2"/>
      <c r="X457" s="2"/>
      <c r="Y457" s="2"/>
      <c r="Z457" s="2"/>
      <c r="AA457" s="2"/>
      <c r="AB457" s="2"/>
      <c r="AC457" s="2"/>
      <c r="AD457" s="2"/>
    </row>
    <row r="458">
      <c r="A458" s="7" t="s">
        <v>10</v>
      </c>
      <c r="B458" s="44">
        <v>8.5396718559E8</v>
      </c>
      <c r="C458" s="48">
        <v>396.0</v>
      </c>
      <c r="D458" s="8">
        <f>SUMIFS(ECOBANK!F:F,ECOBANK!A:A,"8/21")</f>
        <v>12358121.35</v>
      </c>
      <c r="E458" s="9">
        <f>COUNTIFS(ECOBANK!A:A,"8/21")</f>
        <v>22</v>
      </c>
      <c r="F458" s="10">
        <f>SUMIFS(ECOBANK!G:G,ECOBANK!A:A,"8/21")</f>
        <v>9079920</v>
      </c>
      <c r="G458" s="11">
        <f t="shared" ref="G458:G470" si="106">I458+J458</f>
        <v>0</v>
      </c>
      <c r="H458" s="12">
        <f t="shared" ref="H458:H471" si="107">iferror(F458/D458,0)</f>
        <v>0.7347330345</v>
      </c>
      <c r="I458" s="9">
        <f>COUNTIFS(ECOBANK!I:I,$G$18,ECOBANK!A:A,"8/21")</f>
        <v>0</v>
      </c>
      <c r="J458" s="11">
        <f>COUNTIFS(ECOBANK!I:I,$H$18,ECOBANK!A:A,"8/21)")</f>
        <v>0</v>
      </c>
      <c r="K458" s="11">
        <f>COUNTIFS(ECOBANK!I:I,$I$18,ECOBANK!A:A,"8/21")</f>
        <v>0</v>
      </c>
      <c r="L458" s="2"/>
      <c r="M458" s="2"/>
      <c r="N458" s="2"/>
      <c r="O458" s="2"/>
      <c r="P458" s="2"/>
      <c r="Q458" s="2"/>
      <c r="R458" s="2"/>
      <c r="S458" s="2"/>
      <c r="T458" s="2"/>
      <c r="U458" s="2"/>
      <c r="V458" s="2"/>
      <c r="W458" s="2"/>
      <c r="X458" s="2"/>
      <c r="Y458" s="2"/>
      <c r="Z458" s="2"/>
      <c r="AA458" s="2"/>
      <c r="AB458" s="2"/>
    </row>
    <row r="459">
      <c r="A459" s="7" t="s">
        <v>24</v>
      </c>
      <c r="B459" s="63">
        <v>6.1280880184E8</v>
      </c>
      <c r="C459" s="64">
        <v>253.0</v>
      </c>
      <c r="D459" s="8">
        <f>SUMIFS('TRADE CENTER'!F:F,'TRADE CENTER'!A:A,"8/21")</f>
        <v>6783692.43</v>
      </c>
      <c r="E459" s="11">
        <f>COUNTIFS('TRADE CENTER'!A:A,"8/21")</f>
        <v>40</v>
      </c>
      <c r="F459" s="10">
        <f>SUMIFS('TRADE CENTER'!G:G,'TRADE CENTER'!A:A,"8/21")</f>
        <v>170000</v>
      </c>
      <c r="G459" s="11">
        <f t="shared" si="106"/>
        <v>0</v>
      </c>
      <c r="H459" s="12">
        <f t="shared" si="107"/>
        <v>0.02506009843</v>
      </c>
      <c r="I459" s="11">
        <f>COUNTIFS('TRADE CENTER'!I:I,$G$18,'TRADE CENTER'!A:A,"8/21")</f>
        <v>0</v>
      </c>
      <c r="J459" s="11">
        <f>COUNTIFS('TRADE CENTER'!I:I,$H$18,'TRADE CENTER'!A:A,"8/21")</f>
        <v>0</v>
      </c>
      <c r="K459" s="11">
        <f>COUNTIFS('TRADE CENTER'!I:I,$I$18,'TRADE CENTER'!A:A,"8/21")</f>
        <v>0</v>
      </c>
      <c r="L459" s="2"/>
      <c r="M459" s="2"/>
      <c r="N459" s="2"/>
      <c r="O459" s="2"/>
      <c r="P459" s="2"/>
      <c r="Q459" s="2"/>
      <c r="R459" s="2"/>
      <c r="S459" s="2"/>
      <c r="T459" s="2"/>
      <c r="U459" s="2"/>
      <c r="V459" s="2"/>
      <c r="W459" s="2"/>
      <c r="X459" s="2"/>
      <c r="Y459" s="2"/>
      <c r="Z459" s="2"/>
      <c r="AA459" s="2"/>
      <c r="AB459" s="2"/>
    </row>
    <row r="460">
      <c r="A460" s="7" t="s">
        <v>12</v>
      </c>
      <c r="B460" s="63">
        <v>2.521937564E8</v>
      </c>
      <c r="C460" s="64">
        <v>387.0</v>
      </c>
      <c r="D460" s="8">
        <f>SUMIFS(PENSION!F:F,PENSION!A:A,"8/21/2024")</f>
        <v>4197731.87</v>
      </c>
      <c r="E460" s="11">
        <f>COUNTIFS(PENSION!A:A,"8/21")</f>
        <v>47</v>
      </c>
      <c r="F460" s="10">
        <f>SUMIFS(PENSION!G:G,PENSION!A:A,"8/21/2024")</f>
        <v>1076500</v>
      </c>
      <c r="G460" s="11">
        <f t="shared" si="106"/>
        <v>0</v>
      </c>
      <c r="H460" s="12">
        <f t="shared" si="107"/>
        <v>0.2564480137</v>
      </c>
      <c r="I460" s="9">
        <f>COUNTIFS(PENSION!I:I,$G$18,PENSION!A:A,"8/21")</f>
        <v>0</v>
      </c>
      <c r="J460" s="11">
        <f>COUNTIFS(PENSION!I:I,$H$18,PENSION!A:A,"8/21")</f>
        <v>0</v>
      </c>
      <c r="K460" s="11">
        <f>COUNTIFS(PENSION!I:I,$I$18,PENSION!A:A,"8/21")</f>
        <v>0</v>
      </c>
      <c r="L460" s="2"/>
      <c r="M460" s="2"/>
      <c r="N460" s="2"/>
      <c r="O460" s="2"/>
      <c r="P460" s="2"/>
      <c r="Q460" s="2"/>
      <c r="R460" s="2"/>
      <c r="S460" s="2"/>
      <c r="T460" s="2"/>
      <c r="U460" s="2"/>
      <c r="V460" s="2"/>
      <c r="W460" s="2"/>
      <c r="X460" s="2"/>
      <c r="Y460" s="2"/>
      <c r="Z460" s="2"/>
      <c r="AA460" s="2"/>
      <c r="AB460" s="2"/>
    </row>
    <row r="461">
      <c r="A461" s="7" t="s">
        <v>13</v>
      </c>
      <c r="B461" s="63">
        <v>1.1122149749E8</v>
      </c>
      <c r="C461" s="64">
        <v>303.0</v>
      </c>
      <c r="D461" s="8">
        <f>SUMIFS(KITENGELA!F:F,KITENGELA!A:A,"8/21/2024")</f>
        <v>5766100.29</v>
      </c>
      <c r="E461" s="11">
        <f>COUNTIFS(KITENGELA!A:A,"8/21")</f>
        <v>38</v>
      </c>
      <c r="F461" s="10">
        <f>SUMIFS(KITENGELA!G:G,KITENGELA!A:A,"8/21")</f>
        <v>230827</v>
      </c>
      <c r="G461" s="11">
        <f t="shared" si="106"/>
        <v>0</v>
      </c>
      <c r="H461" s="12">
        <f t="shared" si="107"/>
        <v>0.04003173521</v>
      </c>
      <c r="I461" s="11">
        <f>COUNTIFS(KITENGELA!I:I,$G$18,KITENGELA!A:A,"8/21")</f>
        <v>0</v>
      </c>
      <c r="J461" s="11">
        <f>COUNTIFS(KITENGELA!I:I,$H$18,KITENGELA!A:A,"8/21")</f>
        <v>0</v>
      </c>
      <c r="K461" s="11">
        <f>COUNTIFS(KITENGELA!I:I,$I$18,KITENGELA!A:A,"8/21")</f>
        <v>0</v>
      </c>
      <c r="L461" s="2"/>
      <c r="M461" s="2"/>
      <c r="N461" s="2"/>
      <c r="O461" s="2"/>
      <c r="P461" s="2"/>
      <c r="Q461" s="2"/>
      <c r="R461" s="2"/>
      <c r="S461" s="2"/>
      <c r="T461" s="2"/>
      <c r="U461" s="2"/>
      <c r="V461" s="2"/>
      <c r="W461" s="2"/>
      <c r="X461" s="2"/>
      <c r="Y461" s="2"/>
      <c r="Z461" s="2"/>
      <c r="AA461" s="2"/>
      <c r="AB461" s="2"/>
    </row>
    <row r="462">
      <c r="A462" s="13" t="s">
        <v>14</v>
      </c>
      <c r="B462" s="63">
        <v>1.5969574425E8</v>
      </c>
      <c r="C462" s="64">
        <v>170.0</v>
      </c>
      <c r="D462" s="8">
        <f>SUMIFS(ELDORET!F:F,ELDORET!A:A,"8/21")</f>
        <v>1095214.44</v>
      </c>
      <c r="E462" s="11">
        <f>COUNTIFS(ELDORET!A:A,"8/21")</f>
        <v>22</v>
      </c>
      <c r="F462" s="10">
        <f>SUMIFS(ELDORET!G:G,ELDORET!A:A,"8/21")</f>
        <v>35459</v>
      </c>
      <c r="G462" s="11">
        <f t="shared" si="106"/>
        <v>0</v>
      </c>
      <c r="H462" s="12">
        <f t="shared" si="107"/>
        <v>0.03237630797</v>
      </c>
      <c r="I462" s="11">
        <f>COUNTIFS(ELDORET!I:I,$G$18,ELDORET!A:A,"8/21")</f>
        <v>0</v>
      </c>
      <c r="J462" s="11">
        <f>COUNTIFS(ELDORET!I:I,$H$18,ELDORET!A:A,"8/21")</f>
        <v>0</v>
      </c>
      <c r="K462" s="11">
        <f>COUNTIFS(ELDORET!I:I,$I$18,ELDORET!A:A,"8/21")</f>
        <v>0</v>
      </c>
      <c r="L462" s="2"/>
      <c r="M462" s="2"/>
      <c r="N462" s="2"/>
      <c r="O462" s="2"/>
      <c r="P462" s="2"/>
      <c r="Q462" s="2"/>
      <c r="R462" s="2"/>
      <c r="S462" s="2"/>
      <c r="T462" s="2"/>
      <c r="U462" s="2"/>
      <c r="V462" s="2"/>
      <c r="W462" s="2"/>
      <c r="X462" s="2"/>
      <c r="Y462" s="2"/>
      <c r="Z462" s="2"/>
      <c r="AA462" s="2"/>
      <c r="AB462" s="2"/>
      <c r="AD462" s="65" t="s">
        <v>37</v>
      </c>
    </row>
    <row r="463">
      <c r="A463" s="7" t="s">
        <v>15</v>
      </c>
      <c r="B463" s="63">
        <v>1.632576659E7</v>
      </c>
      <c r="C463" s="64">
        <v>22.0</v>
      </c>
      <c r="D463" s="8">
        <f>SUMIFS(NAKURU!F:F,NAKURU!A:A,"8/21")</f>
        <v>279000</v>
      </c>
      <c r="E463" s="11">
        <f>COUNTIFS(NAKURU!A:A,"8/21")</f>
        <v>5</v>
      </c>
      <c r="F463" s="10">
        <f>SUMIFS(NAKURU!G:G,NAKURU!A:A,"8/21")</f>
        <v>152871</v>
      </c>
      <c r="G463" s="11">
        <f t="shared" si="106"/>
        <v>1</v>
      </c>
      <c r="H463" s="12">
        <f t="shared" si="107"/>
        <v>0.5479247312</v>
      </c>
      <c r="I463" s="9">
        <f>COUNTIFS(NAKURU!I:I,$G$18,NAKURU!A:A,"8/21")</f>
        <v>0</v>
      </c>
      <c r="J463" s="11">
        <f>COUNTIFS(NAKURU!I:I,$H$18,NAKURU!A:A,"8/21")</f>
        <v>1</v>
      </c>
      <c r="K463" s="11">
        <f>COUNTIFS(NAKURU!I:I,$I$18,NAKURU!A:A,"8/21")</f>
        <v>1</v>
      </c>
      <c r="L463" s="2"/>
      <c r="M463" s="2"/>
      <c r="N463" s="2"/>
      <c r="O463" s="2"/>
      <c r="P463" s="2"/>
      <c r="Q463" s="2"/>
      <c r="R463" s="2"/>
      <c r="S463" s="2"/>
      <c r="T463" s="2"/>
      <c r="U463" s="2"/>
      <c r="V463" s="2"/>
      <c r="W463" s="2"/>
      <c r="X463" s="2"/>
      <c r="Y463" s="2"/>
      <c r="Z463" s="2"/>
      <c r="AA463" s="2"/>
      <c r="AB463" s="2"/>
    </row>
    <row r="464">
      <c r="A464" s="7" t="s">
        <v>16</v>
      </c>
      <c r="B464" s="63">
        <v>1.245690062E7</v>
      </c>
      <c r="C464" s="64">
        <v>18.0</v>
      </c>
      <c r="D464" s="8">
        <f>SUMIFS(HOMABAY!F:F,HOMABAY!A:A,"8/21")</f>
        <v>336515</v>
      </c>
      <c r="E464" s="11">
        <f>COUNTIFS(HOMABAY!A:A,"8/21")</f>
        <v>5</v>
      </c>
      <c r="F464" s="10">
        <f>SUMIFS(HOMABAY!G:G,HOMABAY!A:A,"8/21")</f>
        <v>0</v>
      </c>
      <c r="G464" s="11">
        <f t="shared" si="106"/>
        <v>0</v>
      </c>
      <c r="H464" s="12">
        <f t="shared" si="107"/>
        <v>0</v>
      </c>
      <c r="I464" s="9">
        <f>COUNTIFS(HOMABAY!K:K,$G$18,HOMABAY!A:A,"8/21")</f>
        <v>0</v>
      </c>
      <c r="J464" s="11">
        <f>COUNTIFS(HOMABAY!K:K,$H$18,HOMABAY!A:A,"8/21")</f>
        <v>0</v>
      </c>
      <c r="K464" s="11">
        <f>COUNTIFS(HOMABAY!K:K,$I$18,HOMABAY!A:A,"8/21")</f>
        <v>0</v>
      </c>
      <c r="L464" s="2"/>
      <c r="M464" s="2"/>
      <c r="N464" s="2"/>
      <c r="O464" s="2"/>
      <c r="P464" s="2"/>
      <c r="Q464" s="2"/>
      <c r="R464" s="2"/>
      <c r="S464" s="2"/>
      <c r="T464" s="2"/>
      <c r="U464" s="2"/>
      <c r="V464" s="2"/>
      <c r="W464" s="2"/>
      <c r="X464" s="2"/>
      <c r="Y464" s="2"/>
      <c r="Z464" s="2"/>
      <c r="AA464" s="2"/>
      <c r="AB464" s="2"/>
    </row>
    <row r="465">
      <c r="A465" s="7" t="s">
        <v>17</v>
      </c>
      <c r="B465" s="63">
        <v>1.9797073488E8</v>
      </c>
      <c r="C465" s="64">
        <v>187.0</v>
      </c>
      <c r="D465" s="8">
        <f>SUMIFS(MOMBASA!F:F,MOMBASA!A:A,"8/21")</f>
        <v>1447255.91</v>
      </c>
      <c r="E465" s="11">
        <f>COUNTIFS(MOMBASA!A:A,"8/21")</f>
        <v>20</v>
      </c>
      <c r="F465" s="27">
        <f>SUMIFS(MOMBASA!G:G,MOMBASA!A:A,"8/21")</f>
        <v>64688</v>
      </c>
      <c r="G465" s="11">
        <f t="shared" si="106"/>
        <v>2</v>
      </c>
      <c r="H465" s="12">
        <f t="shared" si="107"/>
        <v>0.04469700179</v>
      </c>
      <c r="I465" s="9">
        <f>COUNTIFS(MOMBASA!I:I,$G$18,MOMBASA!A:A,"8/21")</f>
        <v>1</v>
      </c>
      <c r="J465" s="11">
        <f>COUNTIFS(MOMBASA!I:I,$H$18,MOMBASA!A:A,"8/21")</f>
        <v>1</v>
      </c>
      <c r="K465" s="11">
        <f>COUNTIFS(MOMBASA!I:I,$I$18,MOMBASA!A:A,"8/21")</f>
        <v>18</v>
      </c>
      <c r="L465" s="2"/>
      <c r="M465" s="2"/>
      <c r="N465" s="2"/>
      <c r="O465" s="2"/>
      <c r="P465" s="2"/>
      <c r="Q465" s="2"/>
      <c r="R465" s="2"/>
      <c r="S465" s="2"/>
      <c r="T465" s="2"/>
      <c r="U465" s="2"/>
      <c r="V465" s="2"/>
      <c r="W465" s="2"/>
      <c r="X465" s="2"/>
      <c r="Y465" s="2"/>
      <c r="Z465" s="2"/>
      <c r="AA465" s="2"/>
      <c r="AB465" s="2"/>
    </row>
    <row r="466">
      <c r="A466" s="7" t="s">
        <v>18</v>
      </c>
      <c r="B466" s="63">
        <v>8.499581514E7</v>
      </c>
      <c r="C466" s="64">
        <v>87.0</v>
      </c>
      <c r="D466" s="8">
        <f>SUMIFS(KISUMU!F:F,KISUMU!A:A,"8/21")</f>
        <v>1521706.68</v>
      </c>
      <c r="E466" s="11">
        <f>COUNTIFS(KISUMU!A:A,"8/21")</f>
        <v>24</v>
      </c>
      <c r="F466" s="10">
        <f>SUMIFS(KISUMU!G:G,KISUMU!A:A,"8/21")</f>
        <v>52000</v>
      </c>
      <c r="G466" s="11">
        <f t="shared" si="106"/>
        <v>0</v>
      </c>
      <c r="H466" s="12">
        <f t="shared" si="107"/>
        <v>0.03417215728</v>
      </c>
      <c r="I466" s="9">
        <f>COUNTIFS(KISUMU!I:I,$G$18,KISUMU!A:A,"8/21")</f>
        <v>0</v>
      </c>
      <c r="J466" s="11">
        <f>COUNTIFS(KISUMU!I:I,$H$18,KISUMU!A:A,"8/21")</f>
        <v>0</v>
      </c>
      <c r="K466" s="11">
        <f>COUNTIFS(KISUMU!I:I,$I$18,KISUMU!A:A,"8/21")</f>
        <v>0</v>
      </c>
      <c r="L466" s="2"/>
      <c r="M466" s="2"/>
      <c r="N466" s="2"/>
      <c r="O466" s="2"/>
      <c r="P466" s="2"/>
      <c r="Q466" s="2"/>
      <c r="R466" s="2"/>
      <c r="S466" s="2"/>
      <c r="T466" s="2"/>
      <c r="U466" s="2"/>
      <c r="V466" s="2"/>
      <c r="W466" s="2"/>
      <c r="X466" s="2"/>
      <c r="Y466" s="2"/>
      <c r="Z466" s="2"/>
      <c r="AA466" s="2"/>
      <c r="AB466" s="2"/>
    </row>
    <row r="467">
      <c r="A467" s="7" t="s">
        <v>19</v>
      </c>
      <c r="B467" s="63">
        <v>7440293.18</v>
      </c>
      <c r="C467" s="64">
        <v>21.0</v>
      </c>
      <c r="D467" s="8">
        <f>SUMIFS(VOI!F:F,VOI!A:A,"8/21")</f>
        <v>373161.5</v>
      </c>
      <c r="E467" s="11">
        <f>COUNTIFS(VOI!A:A,"8/21")</f>
        <v>10</v>
      </c>
      <c r="F467" s="10">
        <f>SUMIFS(VOI!G:G,VOI!A:A,"8/21")</f>
        <v>40000</v>
      </c>
      <c r="G467" s="11">
        <f t="shared" si="106"/>
        <v>1</v>
      </c>
      <c r="H467" s="12">
        <f t="shared" si="107"/>
        <v>0.1071921943</v>
      </c>
      <c r="I467" s="9">
        <f>COUNTIFS(VOI!H:H,$G$18,VOI!A:A,"8/21")</f>
        <v>1</v>
      </c>
      <c r="J467" s="11">
        <f>COUNTIFS(VOI!H:H,$H$18,VOI!A:A,"8/21")</f>
        <v>0</v>
      </c>
      <c r="K467" s="11">
        <f>COUNTIFS(VOI!H:H,$I$18,VOI!A:A,"8/21")</f>
        <v>0</v>
      </c>
      <c r="L467" s="2"/>
      <c r="M467" s="2"/>
      <c r="N467" s="2"/>
      <c r="O467" s="2"/>
      <c r="P467" s="2"/>
      <c r="Q467" s="2"/>
      <c r="R467" s="2"/>
      <c r="S467" s="2"/>
      <c r="T467" s="2"/>
      <c r="U467" s="2"/>
      <c r="V467" s="2"/>
      <c r="W467" s="2"/>
      <c r="X467" s="2"/>
      <c r="Y467" s="2"/>
      <c r="Z467" s="2"/>
      <c r="AA467" s="2"/>
      <c r="AB467" s="2"/>
    </row>
    <row r="468">
      <c r="A468" s="7" t="s">
        <v>20</v>
      </c>
      <c r="B468" s="63">
        <v>5.514842476E7</v>
      </c>
      <c r="C468" s="64">
        <v>97.0</v>
      </c>
      <c r="D468" s="8">
        <f>SUMIFS(THIKA!F:F,THIKA!A:A,"8/21")</f>
        <v>1118128.79</v>
      </c>
      <c r="E468" s="11">
        <f>COUNTIFS(THIKA!A:A,"8/21")</f>
        <v>18</v>
      </c>
      <c r="F468" s="10">
        <f>SUMIFS(THIKA!G:G,THIKA!A:A,"8/21")</f>
        <v>462199</v>
      </c>
      <c r="G468" s="11">
        <f t="shared" si="106"/>
        <v>2</v>
      </c>
      <c r="H468" s="12">
        <f t="shared" si="107"/>
        <v>0.4133683026</v>
      </c>
      <c r="I468" s="9">
        <f>COUNTIFS(THIKA!I:I,$G$18,THIKA!A:A,"8/21")</f>
        <v>0</v>
      </c>
      <c r="J468" s="11">
        <f>COUNTIFS(THIKA!I:I,$H$18,THIKA!A:A,"8/21")</f>
        <v>2</v>
      </c>
      <c r="K468" s="11">
        <f>COUNTIFS(THIKA!I:I,$I$18,THIKA!A:A,"8/21")</f>
        <v>3</v>
      </c>
      <c r="L468" s="2"/>
      <c r="M468" s="2"/>
      <c r="N468" s="2"/>
      <c r="O468" s="2"/>
      <c r="P468" s="2"/>
      <c r="Q468" s="2"/>
      <c r="R468" s="2"/>
      <c r="S468" s="2"/>
      <c r="T468" s="2"/>
      <c r="U468" s="2"/>
      <c r="V468" s="2"/>
      <c r="W468" s="2"/>
      <c r="X468" s="2"/>
      <c r="Y468" s="2"/>
      <c r="Z468" s="2"/>
      <c r="AA468" s="2"/>
      <c r="AB468" s="2"/>
    </row>
    <row r="469">
      <c r="A469" s="43" t="s">
        <v>21</v>
      </c>
      <c r="B469" s="44">
        <v>1059776.24</v>
      </c>
      <c r="C469" s="48">
        <v>5.0</v>
      </c>
      <c r="D469" s="44">
        <f>SUMIFS(KITUI!F:F,KITUI!A:A,"8/21")</f>
        <v>121941</v>
      </c>
      <c r="E469" s="45">
        <f>COUNTIFS(KITUI!A:A,"8/21")</f>
        <v>2</v>
      </c>
      <c r="F469" s="46">
        <f>SUMIFS(KITUI!G:G,KITUI!A:A,"8/21")</f>
        <v>0</v>
      </c>
      <c r="G469" s="45">
        <f t="shared" si="106"/>
        <v>0</v>
      </c>
      <c r="H469" s="47">
        <f t="shared" si="107"/>
        <v>0</v>
      </c>
      <c r="I469" s="48">
        <f>COUNTIFS(KITUI!I:I,$G$18,KITUI!A:A,"8/21")</f>
        <v>0</v>
      </c>
      <c r="J469" s="45">
        <f>COUNTIFS(KITUI!I:I,$H$18,KITUI!A:A,"8/21")</f>
        <v>0</v>
      </c>
      <c r="K469" s="45">
        <f>COUNTIFS(KITUI!I:I,$I$18,KITUI!A:A,"8/21")</f>
        <v>0</v>
      </c>
      <c r="L469" s="2"/>
      <c r="M469" s="2"/>
      <c r="N469" s="2"/>
      <c r="O469" s="2"/>
      <c r="P469" s="2"/>
      <c r="Q469" s="2"/>
      <c r="R469" s="2"/>
      <c r="S469" s="2"/>
      <c r="T469" s="2"/>
      <c r="U469" s="2"/>
      <c r="V469" s="2"/>
      <c r="W469" s="2"/>
      <c r="X469" s="2"/>
      <c r="Y469" s="2"/>
      <c r="Z469" s="2"/>
      <c r="AA469" s="2"/>
      <c r="AB469" s="2"/>
    </row>
    <row r="470">
      <c r="A470" s="49" t="s">
        <v>22</v>
      </c>
      <c r="B470" s="44">
        <v>827658.05</v>
      </c>
      <c r="C470" s="48">
        <v>6.0</v>
      </c>
      <c r="D470" s="44">
        <f>SUMIFS(MACHAKOS!F:F,MACHAKOS!A:A,"8/21")</f>
        <v>1001049.33</v>
      </c>
      <c r="E470" s="45">
        <f>COUNTIFS(MACHAKOS!A:A,"8/21")</f>
        <v>5</v>
      </c>
      <c r="F470" s="46">
        <f>SUMIFS(MACHAKOS!G:G,MACHAKOS!A:A,"8/21")</f>
        <v>171500</v>
      </c>
      <c r="G470" s="45">
        <f t="shared" si="106"/>
        <v>0</v>
      </c>
      <c r="H470" s="47">
        <f t="shared" si="107"/>
        <v>0.1713202285</v>
      </c>
      <c r="I470" s="48">
        <f>COUNTIFS(MACHAKOS!I:I,$G$18,MACHAKOS!A:A,"8/21")</f>
        <v>0</v>
      </c>
      <c r="J470" s="45">
        <f>COUNTIFS(MACHAKOS!I:I,$H$18,MACHAKOS!A:A,"8/21")</f>
        <v>0</v>
      </c>
      <c r="K470" s="45">
        <f>COUNTIFS(MACHAKOS!I:I,$I$18,MACHAKOS!A:A,"8/21")</f>
        <v>0</v>
      </c>
      <c r="L470" s="2"/>
      <c r="M470" s="2"/>
      <c r="N470" s="2"/>
      <c r="O470" s="2"/>
      <c r="P470" s="2"/>
      <c r="Q470" s="2"/>
      <c r="R470" s="2"/>
      <c r="S470" s="2"/>
      <c r="T470" s="2"/>
      <c r="U470" s="2"/>
      <c r="V470" s="2"/>
      <c r="W470" s="2"/>
      <c r="X470" s="2"/>
      <c r="Y470" s="2"/>
      <c r="Z470" s="2"/>
      <c r="AA470" s="2"/>
      <c r="AB470" s="2"/>
    </row>
    <row r="471">
      <c r="A471" s="66" t="s">
        <v>32</v>
      </c>
      <c r="B471" s="67"/>
      <c r="C471" s="68"/>
      <c r="D471" s="69">
        <f>400000+2000000+700000</f>
        <v>3100000</v>
      </c>
      <c r="E471" s="70">
        <v>3.0</v>
      </c>
      <c r="F471" s="71">
        <v>250000.0</v>
      </c>
      <c r="G471" s="72">
        <v>1.0</v>
      </c>
      <c r="H471" s="47">
        <f t="shared" si="107"/>
        <v>0.08064516129</v>
      </c>
      <c r="I471" s="48">
        <f>COUNTIFS(MACHAKOS!I:I,$G$18,MACHAKOS!A:A,"8/21")</f>
        <v>0</v>
      </c>
      <c r="J471" s="45">
        <v>0.0</v>
      </c>
      <c r="K471" s="53">
        <v>2.0</v>
      </c>
      <c r="L471" s="2"/>
      <c r="M471" s="2"/>
      <c r="N471" s="2"/>
      <c r="O471" s="2"/>
      <c r="P471" s="2"/>
      <c r="Q471" s="2"/>
      <c r="R471" s="2"/>
      <c r="S471" s="2"/>
      <c r="T471" s="2"/>
      <c r="U471" s="2"/>
      <c r="V471" s="2"/>
      <c r="W471" s="2"/>
      <c r="X471" s="2"/>
      <c r="Y471" s="2"/>
      <c r="Z471" s="2"/>
      <c r="AA471" s="2"/>
      <c r="AB471" s="2"/>
    </row>
    <row r="472">
      <c r="A472" s="66" t="s">
        <v>31</v>
      </c>
      <c r="B472" s="44">
        <v>1.5196966511E8</v>
      </c>
      <c r="C472" s="48">
        <v>4203.0</v>
      </c>
      <c r="D472" s="73">
        <v>1200000.0</v>
      </c>
      <c r="E472" s="45">
        <v>84.0</v>
      </c>
      <c r="F472" s="71">
        <v>681313.0</v>
      </c>
      <c r="G472" s="72">
        <v>83.0</v>
      </c>
      <c r="H472" s="74"/>
      <c r="I472" s="66"/>
      <c r="J472" s="75"/>
      <c r="K472" s="75"/>
      <c r="L472" s="2"/>
      <c r="M472" s="2"/>
      <c r="N472" s="2"/>
      <c r="O472" s="2"/>
      <c r="P472" s="2"/>
      <c r="Q472" s="2"/>
      <c r="R472" s="2"/>
      <c r="S472" s="2"/>
      <c r="T472" s="2"/>
      <c r="U472" s="2"/>
      <c r="V472" s="2"/>
      <c r="W472" s="2"/>
      <c r="X472" s="2"/>
      <c r="Y472" s="2"/>
      <c r="Z472" s="2"/>
      <c r="AA472" s="2"/>
      <c r="AB472" s="2"/>
    </row>
    <row r="473">
      <c r="A473" s="55" t="s">
        <v>23</v>
      </c>
      <c r="B473" s="59">
        <f t="shared" ref="B473:G473" si="108">SUM(B458:B472)</f>
        <v>2518082020</v>
      </c>
      <c r="C473" s="76">
        <f t="shared" si="108"/>
        <v>6155</v>
      </c>
      <c r="D473" s="59">
        <f t="shared" si="108"/>
        <v>40699618.59</v>
      </c>
      <c r="E473" s="60">
        <f t="shared" si="108"/>
        <v>345</v>
      </c>
      <c r="F473" s="59">
        <f t="shared" si="108"/>
        <v>12467277</v>
      </c>
      <c r="G473" s="60">
        <f t="shared" si="108"/>
        <v>90</v>
      </c>
      <c r="H473" s="61">
        <f>F473/D473</f>
        <v>0.3063241729</v>
      </c>
      <c r="I473" s="62">
        <f t="shared" ref="I473:K473" si="109">SUM(I458:I472)</f>
        <v>2</v>
      </c>
      <c r="J473" s="62">
        <f t="shared" si="109"/>
        <v>4</v>
      </c>
      <c r="K473" s="62">
        <f t="shared" si="109"/>
        <v>24</v>
      </c>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3" t="s">
        <v>1</v>
      </c>
      <c r="B476" s="5" t="s">
        <v>33</v>
      </c>
      <c r="C476" s="5" t="s">
        <v>34</v>
      </c>
      <c r="D476" s="5" t="s">
        <v>2</v>
      </c>
      <c r="E476" s="5" t="s">
        <v>3</v>
      </c>
      <c r="F476" s="5" t="s">
        <v>4</v>
      </c>
      <c r="G476" s="5" t="s">
        <v>5</v>
      </c>
      <c r="H476" s="26" t="s">
        <v>6</v>
      </c>
      <c r="I476" s="26" t="s">
        <v>7</v>
      </c>
      <c r="J476" s="26" t="s">
        <v>8</v>
      </c>
      <c r="K476" s="26" t="s">
        <v>9</v>
      </c>
      <c r="L476" s="2"/>
      <c r="M476" s="2"/>
      <c r="N476" s="2"/>
      <c r="O476" s="2"/>
      <c r="P476" s="2"/>
      <c r="Q476" s="2"/>
      <c r="R476" s="2"/>
      <c r="S476" s="2"/>
      <c r="T476" s="2"/>
      <c r="U476" s="2"/>
      <c r="V476" s="2"/>
      <c r="W476" s="2"/>
      <c r="X476" s="2"/>
      <c r="Y476" s="2"/>
      <c r="Z476" s="2"/>
      <c r="AA476" s="2"/>
      <c r="AB476" s="2"/>
    </row>
    <row r="477">
      <c r="A477" s="7" t="s">
        <v>10</v>
      </c>
      <c r="B477" s="44">
        <v>8.5396718559E8</v>
      </c>
      <c r="C477" s="48">
        <v>396.0</v>
      </c>
      <c r="D477" s="8">
        <f>SUMIFS(ECOBANK!F:F,ECOBANK!A:A,"8/22")</f>
        <v>4590271.11</v>
      </c>
      <c r="E477" s="9">
        <f>COUNTIFS(ECOBANK!A:A,"8/22")</f>
        <v>23</v>
      </c>
      <c r="F477" s="10">
        <f>SUMIFS(ECOBANK!G:G,ECOBANK!A:A,"8/22")</f>
        <v>70106</v>
      </c>
      <c r="G477" s="11">
        <f t="shared" ref="G477:G489" si="110">I477+J477</f>
        <v>0</v>
      </c>
      <c r="H477" s="12">
        <f t="shared" ref="H477:H490" si="111">iferror(F477/D477,0)</f>
        <v>0.01527273625</v>
      </c>
      <c r="I477" s="9">
        <f>COUNTIFS(ECOBANK!I:I,$G$18,ECOBANK!A:A,"8/22")</f>
        <v>0</v>
      </c>
      <c r="J477" s="11">
        <f>COUNTIFS(ECOBANK!I:I,$H$18,ECOBANK!A:A,"8/22)")</f>
        <v>0</v>
      </c>
      <c r="K477" s="11">
        <f>COUNTIFS(ECOBANK!I:I,$I$18,ECOBANK!A:A,"8/22")</f>
        <v>0</v>
      </c>
      <c r="L477" s="2"/>
      <c r="M477" s="2"/>
      <c r="N477" s="2"/>
      <c r="O477" s="2"/>
      <c r="P477" s="2"/>
      <c r="Q477" s="2"/>
      <c r="R477" s="2"/>
      <c r="S477" s="2"/>
      <c r="T477" s="2"/>
      <c r="U477" s="2"/>
      <c r="V477" s="2"/>
      <c r="W477" s="2"/>
      <c r="X477" s="2"/>
      <c r="Y477" s="2"/>
      <c r="Z477" s="2"/>
      <c r="AA477" s="2"/>
      <c r="AB477" s="2"/>
    </row>
    <row r="478">
      <c r="A478" s="7" t="s">
        <v>24</v>
      </c>
      <c r="B478" s="63">
        <v>6.1280880184E8</v>
      </c>
      <c r="C478" s="64">
        <v>253.0</v>
      </c>
      <c r="D478" s="8">
        <f>SUMIFS('TRADE CENTER'!F:F,'TRADE CENTER'!A:A,"8/22")</f>
        <v>25763791.65</v>
      </c>
      <c r="E478" s="11">
        <f>COUNTIFS('TRADE CENTER'!A:A,"8/22")</f>
        <v>55</v>
      </c>
      <c r="F478" s="10">
        <f>SUMIFS('TRADE CENTER'!G:G,'TRADE CENTER'!A:A,"8/22")</f>
        <v>60450</v>
      </c>
      <c r="G478" s="11">
        <f t="shared" si="110"/>
        <v>0</v>
      </c>
      <c r="H478" s="12">
        <f t="shared" si="111"/>
        <v>0.002346316133</v>
      </c>
      <c r="I478" s="11">
        <f>COUNTIFS('TRADE CENTER'!I:I,$G$18,'TRADE CENTER'!A:A,"8/22")</f>
        <v>0</v>
      </c>
      <c r="J478" s="11">
        <f>COUNTIFS('TRADE CENTER'!I:I,$H$18,'TRADE CENTER'!A:A,"8/22")</f>
        <v>0</v>
      </c>
      <c r="K478" s="11">
        <f>COUNTIFS('TRADE CENTER'!I:I,$I$18,'TRADE CENTER'!A:A,"8/22")</f>
        <v>0</v>
      </c>
      <c r="L478" s="2"/>
      <c r="M478" s="2"/>
      <c r="N478" s="2"/>
      <c r="O478" s="2"/>
      <c r="P478" s="2"/>
      <c r="Q478" s="2"/>
      <c r="R478" s="2"/>
      <c r="S478" s="2"/>
      <c r="T478" s="2"/>
      <c r="U478" s="2"/>
      <c r="V478" s="2"/>
      <c r="W478" s="2"/>
      <c r="X478" s="2"/>
      <c r="Y478" s="2"/>
      <c r="Z478" s="2"/>
      <c r="AA478" s="2"/>
      <c r="AB478" s="2"/>
    </row>
    <row r="479">
      <c r="A479" s="7" t="s">
        <v>12</v>
      </c>
      <c r="B479" s="63">
        <v>2.521937564E8</v>
      </c>
      <c r="C479" s="64">
        <v>387.0</v>
      </c>
      <c r="D479" s="8">
        <f>SUMIFS(PENSION!F:F,PENSION!A:A,"8/22/2024")</f>
        <v>6883651.36</v>
      </c>
      <c r="E479" s="11">
        <f>COUNTIFS(PENSION!A:A,"8/22")</f>
        <v>57</v>
      </c>
      <c r="F479" s="10">
        <f>SUMIFS(PENSION!G:G,PENSION!A:A,"8/22/2024")</f>
        <v>960962</v>
      </c>
      <c r="G479" s="11">
        <f t="shared" si="110"/>
        <v>0</v>
      </c>
      <c r="H479" s="12">
        <f t="shared" si="111"/>
        <v>0.1396006203</v>
      </c>
      <c r="I479" s="9">
        <f>COUNTIFS(PENSION!I:I,$G$18,PENSION!A:A,"8/22")</f>
        <v>0</v>
      </c>
      <c r="J479" s="11">
        <f>COUNTIFS(PENSION!I:I,$H$18,PENSION!A:A,"8/22")</f>
        <v>0</v>
      </c>
      <c r="K479" s="11">
        <f>COUNTIFS(PENSION!I:I,$I$18,PENSION!A:A,"8/22")</f>
        <v>0</v>
      </c>
      <c r="L479" s="2"/>
      <c r="M479" s="2"/>
      <c r="N479" s="2"/>
      <c r="O479" s="2"/>
      <c r="P479" s="2"/>
      <c r="Q479" s="2"/>
      <c r="R479" s="2"/>
      <c r="S479" s="2"/>
      <c r="T479" s="2"/>
      <c r="U479" s="2"/>
      <c r="V479" s="2"/>
      <c r="W479" s="2"/>
      <c r="X479" s="2"/>
      <c r="Y479" s="2"/>
      <c r="Z479" s="2"/>
      <c r="AA479" s="2"/>
      <c r="AB479" s="2"/>
    </row>
    <row r="480">
      <c r="A480" s="7" t="s">
        <v>13</v>
      </c>
      <c r="B480" s="63">
        <v>1.1122149749E8</v>
      </c>
      <c r="C480" s="64">
        <v>303.0</v>
      </c>
      <c r="D480" s="8">
        <f>SUMIFS(KITENGELA!F:F,KITENGELA!A:A,"8/22/2024")</f>
        <v>6436461.15</v>
      </c>
      <c r="E480" s="11">
        <f>COUNTIFS(KITENGELA!A:A,"8/22")</f>
        <v>36</v>
      </c>
      <c r="F480" s="10">
        <f>SUMIFS(KITENGELA!G:G,KITENGELA!A:A,"8/22")</f>
        <v>598187</v>
      </c>
      <c r="G480" s="11">
        <f t="shared" si="110"/>
        <v>0</v>
      </c>
      <c r="H480" s="12">
        <f t="shared" si="111"/>
        <v>0.09293725015</v>
      </c>
      <c r="I480" s="11">
        <f>COUNTIFS(KITENGELA!I:I,$G$18,KITENGELA!A:A,"8/22")</f>
        <v>0</v>
      </c>
      <c r="J480" s="11">
        <f>COUNTIFS(KITENGELA!I:I,$H$18,KITENGELA!A:A,"8/22")</f>
        <v>0</v>
      </c>
      <c r="K480" s="11">
        <f>COUNTIFS(KITENGELA!I:I,$I$18,KITENGELA!A:A,"8/22")</f>
        <v>0</v>
      </c>
      <c r="L480" s="2"/>
      <c r="M480" s="2"/>
      <c r="N480" s="2"/>
      <c r="O480" s="2"/>
      <c r="P480" s="2"/>
      <c r="Q480" s="2"/>
      <c r="R480" s="2"/>
      <c r="S480" s="2"/>
      <c r="T480" s="2"/>
      <c r="U480" s="2"/>
      <c r="V480" s="2"/>
      <c r="W480" s="2"/>
      <c r="X480" s="2"/>
      <c r="Y480" s="2"/>
      <c r="Z480" s="2"/>
      <c r="AA480" s="2"/>
      <c r="AB480" s="2"/>
    </row>
    <row r="481">
      <c r="A481" s="13" t="s">
        <v>14</v>
      </c>
      <c r="B481" s="63">
        <v>1.5969574425E8</v>
      </c>
      <c r="C481" s="64">
        <v>170.0</v>
      </c>
      <c r="D481" s="8">
        <f>SUMIFS(ELDORET!F:F,ELDORET!A:A,"8/22")</f>
        <v>1166468.67</v>
      </c>
      <c r="E481" s="11">
        <f>COUNTIFS(ELDORET!A:A,"8/22")</f>
        <v>25</v>
      </c>
      <c r="F481" s="10">
        <f>SUMIFS(ELDORET!G:G,ELDORET!A:A,"8/22")</f>
        <v>41000</v>
      </c>
      <c r="G481" s="11">
        <f t="shared" si="110"/>
        <v>0</v>
      </c>
      <c r="H481" s="12">
        <f t="shared" si="111"/>
        <v>0.0351488223</v>
      </c>
      <c r="I481" s="11">
        <f>COUNTIFS(ELDORET!I:I,$G$18,ELDORET!A:A,"8/22")</f>
        <v>0</v>
      </c>
      <c r="J481" s="11">
        <f>COUNTIFS(ELDORET!I:I,$H$18,ELDORET!A:A,"8/22")</f>
        <v>0</v>
      </c>
      <c r="K481" s="11">
        <f>COUNTIFS(ELDORET!I:I,$I$18,ELDORET!A:A,"8/22")</f>
        <v>0</v>
      </c>
      <c r="L481" s="2"/>
      <c r="M481" s="2"/>
      <c r="N481" s="2"/>
      <c r="O481" s="2"/>
      <c r="P481" s="2"/>
      <c r="Q481" s="2"/>
      <c r="R481" s="2"/>
      <c r="S481" s="2"/>
      <c r="T481" s="2"/>
      <c r="U481" s="2"/>
      <c r="V481" s="2"/>
      <c r="W481" s="2"/>
      <c r="X481" s="2"/>
      <c r="Y481" s="2"/>
      <c r="Z481" s="2"/>
      <c r="AA481" s="2"/>
      <c r="AB481" s="2"/>
    </row>
    <row r="482">
      <c r="A482" s="7" t="s">
        <v>15</v>
      </c>
      <c r="B482" s="63">
        <v>1.632576659E7</v>
      </c>
      <c r="C482" s="64">
        <v>22.0</v>
      </c>
      <c r="D482" s="8">
        <f>SUMIFS(NAKURU!F:F,NAKURU!A:A,"8/22")</f>
        <v>162580</v>
      </c>
      <c r="E482" s="11">
        <f>COUNTIFS(NAKURU!A:A,"8/22")</f>
        <v>4</v>
      </c>
      <c r="F482" s="10">
        <f>SUMIFS(NAKURU!G:G,NAKURU!A:A,"8/22")</f>
        <v>59500</v>
      </c>
      <c r="G482" s="11">
        <f t="shared" si="110"/>
        <v>0</v>
      </c>
      <c r="H482" s="12">
        <f t="shared" si="111"/>
        <v>0.3659736745</v>
      </c>
      <c r="I482" s="9">
        <f>COUNTIFS(NAKURU!I:I,$G$18,NAKURU!A:A,"8/22")</f>
        <v>0</v>
      </c>
      <c r="J482" s="11">
        <f>COUNTIFS(NAKURU!I:I,$H$18,NAKURU!A:A,"8/22")</f>
        <v>0</v>
      </c>
      <c r="K482" s="11">
        <f>COUNTIFS(NAKURU!I:I,$I$18,NAKURU!A:A,"8/22")</f>
        <v>0</v>
      </c>
      <c r="L482" s="2"/>
      <c r="M482" s="2"/>
      <c r="N482" s="2"/>
      <c r="O482" s="2"/>
      <c r="P482" s="2"/>
      <c r="Q482" s="2"/>
      <c r="R482" s="2"/>
      <c r="S482" s="2"/>
      <c r="T482" s="2"/>
      <c r="U482" s="2"/>
      <c r="V482" s="2"/>
      <c r="W482" s="2"/>
      <c r="X482" s="2"/>
      <c r="Y482" s="2"/>
      <c r="Z482" s="2"/>
      <c r="AA482" s="2"/>
      <c r="AB482" s="2"/>
    </row>
    <row r="483">
      <c r="A483" s="7" t="s">
        <v>16</v>
      </c>
      <c r="B483" s="63">
        <v>1.245690062E7</v>
      </c>
      <c r="C483" s="64">
        <v>18.0</v>
      </c>
      <c r="D483" s="8">
        <f>SUMIFS(HOMABAY!F:F,HOMABAY!A:A,"8/22")</f>
        <v>289494</v>
      </c>
      <c r="E483" s="11">
        <f>COUNTIFS(HOMABAY!A:A,"8/22")</f>
        <v>5</v>
      </c>
      <c r="F483" s="10">
        <f>SUMIFS(HOMABAY!G:G,HOMABAY!A:A,"8/22")</f>
        <v>0</v>
      </c>
      <c r="G483" s="11">
        <f t="shared" si="110"/>
        <v>0</v>
      </c>
      <c r="H483" s="12">
        <f t="shared" si="111"/>
        <v>0</v>
      </c>
      <c r="I483" s="9">
        <f>COUNTIFS(HOMABAY!K:K,$G$18,HOMABAY!A:A,"8/22")</f>
        <v>0</v>
      </c>
      <c r="J483" s="11">
        <f>COUNTIFS(HOMABAY!K:K,$H$18,HOMABAY!A:A,"8/22")</f>
        <v>0</v>
      </c>
      <c r="K483" s="11">
        <f>COUNTIFS(HOMABAY!K:K,$I$18,HOMABAY!A:A,"8/22")</f>
        <v>0</v>
      </c>
      <c r="L483" s="2"/>
      <c r="M483" s="2"/>
      <c r="N483" s="2"/>
      <c r="O483" s="2"/>
      <c r="P483" s="2"/>
      <c r="Q483" s="2"/>
      <c r="R483" s="2"/>
      <c r="S483" s="2"/>
      <c r="T483" s="2"/>
      <c r="U483" s="2"/>
      <c r="V483" s="2"/>
      <c r="W483" s="2"/>
      <c r="X483" s="2"/>
      <c r="Y483" s="2"/>
      <c r="Z483" s="2"/>
      <c r="AA483" s="2"/>
      <c r="AB483" s="2"/>
    </row>
    <row r="484">
      <c r="A484" s="7" t="s">
        <v>17</v>
      </c>
      <c r="B484" s="63">
        <v>1.9797073488E8</v>
      </c>
      <c r="C484" s="64">
        <v>187.0</v>
      </c>
      <c r="D484" s="8">
        <f>SUMIFS(MOMBASA!F:F,MOMBASA!A:A,"8/22")</f>
        <v>1857485.65</v>
      </c>
      <c r="E484" s="11">
        <f>COUNTIFS(MOMBASA!A:A,"8/22")</f>
        <v>21</v>
      </c>
      <c r="F484" s="27">
        <f>SUMIFS(MOMBASA!G:G,MOMBASA!A:A,"8/22")</f>
        <v>1178747</v>
      </c>
      <c r="G484" s="11">
        <f t="shared" si="110"/>
        <v>5</v>
      </c>
      <c r="H484" s="12">
        <f t="shared" si="111"/>
        <v>0.6345927895</v>
      </c>
      <c r="I484" s="9">
        <f>COUNTIFS(MOMBASA!I:I,$G$18,MOMBASA!A:A,"8/22")</f>
        <v>0</v>
      </c>
      <c r="J484" s="11">
        <f>COUNTIFS(MOMBASA!I:I,$H$18,MOMBASA!A:A,"8/22")</f>
        <v>5</v>
      </c>
      <c r="K484" s="11">
        <f>COUNTIFS(MOMBASA!I:I,$I$18,MOMBASA!A:A,"8/22")</f>
        <v>16</v>
      </c>
      <c r="L484" s="2"/>
      <c r="M484" s="2"/>
      <c r="N484" s="2"/>
      <c r="O484" s="2"/>
      <c r="P484" s="2"/>
      <c r="Q484" s="2"/>
      <c r="R484" s="2"/>
      <c r="S484" s="2"/>
      <c r="T484" s="2"/>
      <c r="U484" s="2"/>
      <c r="V484" s="2"/>
      <c r="W484" s="2"/>
      <c r="X484" s="2"/>
      <c r="Y484" s="2"/>
      <c r="Z484" s="2"/>
      <c r="AA484" s="2"/>
      <c r="AB484" s="2"/>
    </row>
    <row r="485">
      <c r="A485" s="7" t="s">
        <v>18</v>
      </c>
      <c r="B485" s="63">
        <v>8.499581514E7</v>
      </c>
      <c r="C485" s="64">
        <v>87.0</v>
      </c>
      <c r="D485" s="8">
        <f>SUMIFS(KISUMU!F:F,KISUMU!A:A,"8/22")</f>
        <v>1428926.68</v>
      </c>
      <c r="E485" s="11">
        <f>COUNTIFS(KISUMU!A:A,"8/22")</f>
        <v>27</v>
      </c>
      <c r="F485" s="10">
        <f>SUMIFS(KISUMU!G:G,KISUMU!A:A,"8/22")</f>
        <v>42000</v>
      </c>
      <c r="G485" s="11">
        <f t="shared" si="110"/>
        <v>0</v>
      </c>
      <c r="H485" s="12">
        <f t="shared" si="111"/>
        <v>0.02939269074</v>
      </c>
      <c r="I485" s="9">
        <f>COUNTIFS(KISUMU!I:I,$G$18,KISUMU!A:A,"8/22")</f>
        <v>0</v>
      </c>
      <c r="J485" s="11">
        <f>COUNTIFS(KISUMU!I:I,$H$18,KISUMU!A:A,"8/22")</f>
        <v>0</v>
      </c>
      <c r="K485" s="11">
        <f>COUNTIFS(KISUMU!I:I,$I$18,KISUMU!A:A,"8/22")</f>
        <v>0</v>
      </c>
      <c r="L485" s="2"/>
      <c r="M485" s="2"/>
      <c r="N485" s="2"/>
      <c r="O485" s="2"/>
      <c r="P485" s="2"/>
      <c r="Q485" s="2"/>
      <c r="R485" s="2"/>
      <c r="S485" s="2"/>
      <c r="T485" s="2"/>
      <c r="U485" s="2"/>
      <c r="V485" s="2"/>
      <c r="W485" s="2"/>
      <c r="X485" s="2"/>
      <c r="Y485" s="2"/>
      <c r="Z485" s="2"/>
      <c r="AA485" s="2"/>
      <c r="AB485" s="2"/>
    </row>
    <row r="486">
      <c r="A486" s="7" t="s">
        <v>19</v>
      </c>
      <c r="B486" s="63">
        <v>7440293.18</v>
      </c>
      <c r="C486" s="64">
        <v>21.0</v>
      </c>
      <c r="D486" s="8">
        <f>SUMIFS(VOI!F:F,VOI!A:A,"8/22")</f>
        <v>338161.5</v>
      </c>
      <c r="E486" s="11">
        <f>COUNTIFS(VOI!A:A,"8/22")</f>
        <v>10</v>
      </c>
      <c r="F486" s="10">
        <f>SUMIFS(VOI!G:G,VOI!A:A,"8/22")</f>
        <v>0</v>
      </c>
      <c r="G486" s="11">
        <f t="shared" si="110"/>
        <v>0</v>
      </c>
      <c r="H486" s="12">
        <f t="shared" si="111"/>
        <v>0</v>
      </c>
      <c r="I486" s="9">
        <f>COUNTIFS(VOI!H:H,$G$18,VOI!A:A,"8/22")</f>
        <v>0</v>
      </c>
      <c r="J486" s="11">
        <f>COUNTIFS(VOI!H:H,$H$18,VOI!A:A,"8/22")</f>
        <v>0</v>
      </c>
      <c r="K486" s="11">
        <f>COUNTIFS(VOI!H:H,$I$18,VOI!A:A,"8/22")</f>
        <v>0</v>
      </c>
      <c r="L486" s="2"/>
      <c r="M486" s="2"/>
      <c r="N486" s="2"/>
      <c r="O486" s="2"/>
      <c r="P486" s="2"/>
      <c r="Q486" s="2"/>
      <c r="R486" s="2"/>
      <c r="S486" s="2"/>
      <c r="T486" s="2"/>
      <c r="U486" s="2"/>
      <c r="V486" s="2"/>
      <c r="W486" s="2"/>
      <c r="X486" s="2"/>
      <c r="Y486" s="2"/>
      <c r="Z486" s="2"/>
      <c r="AA486" s="2"/>
      <c r="AB486" s="2"/>
    </row>
    <row r="487">
      <c r="A487" s="7" t="s">
        <v>20</v>
      </c>
      <c r="B487" s="63">
        <v>5.514842476E7</v>
      </c>
      <c r="C487" s="64">
        <v>97.0</v>
      </c>
      <c r="D487" s="8">
        <f>SUMIFS(THIKA!F:F,THIKA!A:A,"8/22")</f>
        <v>680822.79</v>
      </c>
      <c r="E487" s="11">
        <f>COUNTIFS(THIKA!A:A,"8/22")</f>
        <v>10</v>
      </c>
      <c r="F487" s="10">
        <f>SUMIFS(THIKA!G:G,THIKA!A:A,"8/22")</f>
        <v>372777</v>
      </c>
      <c r="G487" s="11">
        <f t="shared" si="110"/>
        <v>0</v>
      </c>
      <c r="H487" s="12">
        <f t="shared" si="111"/>
        <v>0.5475389565</v>
      </c>
      <c r="I487" s="9">
        <f>COUNTIFS(THIKA!I:I,$G$18,THIKA!A:A,"8/22")</f>
        <v>0</v>
      </c>
      <c r="J487" s="11">
        <f>COUNTIFS(THIKA!I:I,$H$18,THIKA!A:A,"8/22")</f>
        <v>0</v>
      </c>
      <c r="K487" s="11">
        <f>COUNTIFS(THIKA!I:I,$I$18,THIKA!A:A,"8/22")</f>
        <v>0</v>
      </c>
      <c r="L487" s="2"/>
      <c r="M487" s="2"/>
      <c r="N487" s="2"/>
      <c r="O487" s="2"/>
      <c r="P487" s="2"/>
      <c r="Q487" s="2"/>
      <c r="R487" s="2"/>
      <c r="S487" s="2"/>
      <c r="T487" s="2"/>
      <c r="U487" s="2"/>
      <c r="V487" s="2"/>
      <c r="W487" s="2"/>
      <c r="X487" s="2"/>
      <c r="Y487" s="2"/>
      <c r="Z487" s="2"/>
      <c r="AA487" s="2"/>
      <c r="AB487" s="2"/>
    </row>
    <row r="488">
      <c r="A488" s="43" t="s">
        <v>21</v>
      </c>
      <c r="B488" s="44">
        <v>1059776.24</v>
      </c>
      <c r="C488" s="48">
        <v>5.0</v>
      </c>
      <c r="D488" s="44">
        <f>SUMIFS(KITUI!F:F,KITUI!A:A,"8/22")</f>
        <v>79309</v>
      </c>
      <c r="E488" s="45">
        <f>COUNTIFS(KITUI!A:A,"8/22")</f>
        <v>1</v>
      </c>
      <c r="F488" s="46">
        <f>SUMIFS(KITUI!G:G,KITUI!A:A,"8/22")</f>
        <v>0</v>
      </c>
      <c r="G488" s="45">
        <f t="shared" si="110"/>
        <v>0</v>
      </c>
      <c r="H488" s="47">
        <f t="shared" si="111"/>
        <v>0</v>
      </c>
      <c r="I488" s="48">
        <f>COUNTIFS(KITUI!I:I,$G$18,KITUI!A:A,"8/22")</f>
        <v>0</v>
      </c>
      <c r="J488" s="45">
        <f>COUNTIFS(KITUI!I:I,$H$18,KITUI!A:A,"8/22")</f>
        <v>0</v>
      </c>
      <c r="K488" s="45">
        <f>COUNTIFS(KITUI!I:I,$I$18,KITUI!A:A,"8/22")</f>
        <v>0</v>
      </c>
      <c r="L488" s="2"/>
      <c r="M488" s="2"/>
      <c r="N488" s="2"/>
      <c r="O488" s="2"/>
      <c r="P488" s="2"/>
      <c r="Q488" s="2"/>
      <c r="R488" s="2"/>
      <c r="S488" s="2"/>
      <c r="T488" s="2"/>
      <c r="U488" s="2"/>
      <c r="V488" s="2"/>
      <c r="W488" s="2"/>
      <c r="X488" s="2"/>
      <c r="Y488" s="2"/>
      <c r="Z488" s="2"/>
      <c r="AA488" s="2"/>
      <c r="AB488" s="2"/>
    </row>
    <row r="489">
      <c r="A489" s="49" t="s">
        <v>22</v>
      </c>
      <c r="B489" s="44">
        <v>827658.05</v>
      </c>
      <c r="C489" s="48">
        <v>6.0</v>
      </c>
      <c r="D489" s="44">
        <f>SUMIFS(MACHAKOS!F:F,MACHAKOS!A:A,"8/22")</f>
        <v>793927.91</v>
      </c>
      <c r="E489" s="45">
        <f>COUNTIFS(MACHAKOS!A:A,"8/22")</f>
        <v>4</v>
      </c>
      <c r="F489" s="46">
        <f>SUMIFS(MACHAKOS!G:G,MACHAKOS!A:A,"8/22")</f>
        <v>3000</v>
      </c>
      <c r="G489" s="45">
        <f t="shared" si="110"/>
        <v>0</v>
      </c>
      <c r="H489" s="47">
        <f t="shared" si="111"/>
        <v>0.003778680611</v>
      </c>
      <c r="I489" s="48">
        <f>COUNTIFS(MACHAKOS!I:I,$G$18,MACHAKOS!A:A,"8/22")</f>
        <v>0</v>
      </c>
      <c r="J489" s="45">
        <f>COUNTIFS(MACHAKOS!I:I,$H$18,MACHAKOS!A:A,"8/22")</f>
        <v>0</v>
      </c>
      <c r="K489" s="45">
        <f>COUNTIFS(MACHAKOS!I:I,$I$18,MACHAKOS!A:A,"8/22")</f>
        <v>0</v>
      </c>
      <c r="L489" s="2"/>
      <c r="M489" s="2"/>
      <c r="N489" s="2"/>
      <c r="O489" s="2"/>
      <c r="P489" s="2"/>
      <c r="Q489" s="2"/>
      <c r="R489" s="2"/>
      <c r="S489" s="2"/>
      <c r="T489" s="2"/>
      <c r="U489" s="2"/>
      <c r="V489" s="2"/>
      <c r="W489" s="2"/>
      <c r="X489" s="2"/>
      <c r="Y489" s="2"/>
      <c r="Z489" s="2"/>
      <c r="AA489" s="2"/>
      <c r="AB489" s="2"/>
    </row>
    <row r="490">
      <c r="A490" s="66" t="s">
        <v>32</v>
      </c>
      <c r="B490" s="67"/>
      <c r="C490" s="68"/>
      <c r="D490" s="73">
        <v>1800000.0</v>
      </c>
      <c r="E490" s="70">
        <v>3.0</v>
      </c>
      <c r="F490" s="71">
        <v>250000.0</v>
      </c>
      <c r="G490" s="72">
        <v>1.0</v>
      </c>
      <c r="H490" s="47">
        <f t="shared" si="111"/>
        <v>0.1388888889</v>
      </c>
      <c r="I490" s="48">
        <f>COUNTIFS(MACHAKOS!I:I,$G$18,MACHAKOS!A:A,"8/22")</f>
        <v>0</v>
      </c>
      <c r="J490" s="45">
        <v>0.0</v>
      </c>
      <c r="K490" s="53">
        <v>2.0</v>
      </c>
      <c r="L490" s="2"/>
      <c r="M490" s="2"/>
      <c r="N490" s="2"/>
      <c r="O490" s="2"/>
      <c r="P490" s="2"/>
      <c r="Q490" s="2"/>
      <c r="R490" s="2"/>
      <c r="S490" s="2"/>
      <c r="T490" s="2"/>
      <c r="U490" s="2"/>
      <c r="V490" s="2"/>
      <c r="W490" s="2"/>
      <c r="X490" s="2"/>
      <c r="Y490" s="2"/>
      <c r="Z490" s="2"/>
      <c r="AA490" s="2"/>
      <c r="AB490" s="2"/>
    </row>
    <row r="491">
      <c r="A491" s="66" t="s">
        <v>31</v>
      </c>
      <c r="B491" s="44">
        <v>1.5196966511E8</v>
      </c>
      <c r="C491" s="48">
        <v>4203.0</v>
      </c>
      <c r="D491" s="73">
        <v>1000000.0</v>
      </c>
      <c r="E491" s="45">
        <v>84.0</v>
      </c>
      <c r="F491" s="71">
        <v>681313.0</v>
      </c>
      <c r="G491" s="72">
        <v>83.0</v>
      </c>
      <c r="H491" s="74"/>
      <c r="I491" s="66"/>
      <c r="J491" s="75"/>
      <c r="K491" s="75"/>
      <c r="L491" s="2"/>
      <c r="M491" s="2"/>
      <c r="N491" s="2"/>
      <c r="O491" s="2"/>
      <c r="P491" s="2"/>
      <c r="Q491" s="2"/>
      <c r="R491" s="2"/>
      <c r="S491" s="2"/>
      <c r="T491" s="2"/>
      <c r="U491" s="2"/>
      <c r="V491" s="2"/>
      <c r="W491" s="2"/>
      <c r="X491" s="2"/>
      <c r="Y491" s="2"/>
      <c r="Z491" s="2"/>
      <c r="AA491" s="2"/>
      <c r="AB491" s="2"/>
    </row>
    <row r="492">
      <c r="A492" s="55" t="s">
        <v>23</v>
      </c>
      <c r="B492" s="59">
        <f t="shared" ref="B492:G492" si="112">SUM(B477:B491)</f>
        <v>2518082020</v>
      </c>
      <c r="C492" s="76">
        <f t="shared" si="112"/>
        <v>6155</v>
      </c>
      <c r="D492" s="59">
        <f t="shared" si="112"/>
        <v>53271351.47</v>
      </c>
      <c r="E492" s="60">
        <f t="shared" si="112"/>
        <v>365</v>
      </c>
      <c r="F492" s="59">
        <f t="shared" si="112"/>
        <v>4318042</v>
      </c>
      <c r="G492" s="60">
        <f t="shared" si="112"/>
        <v>89</v>
      </c>
      <c r="H492" s="61">
        <f>F492/D492</f>
        <v>0.08105748927</v>
      </c>
      <c r="I492" s="62">
        <f t="shared" ref="I492:K492" si="113">SUM(I477:I491)</f>
        <v>0</v>
      </c>
      <c r="J492" s="62">
        <f t="shared" si="113"/>
        <v>5</v>
      </c>
      <c r="K492" s="62">
        <f t="shared" si="113"/>
        <v>18</v>
      </c>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3" t="s">
        <v>1</v>
      </c>
      <c r="B494" s="5" t="s">
        <v>33</v>
      </c>
      <c r="C494" s="5" t="s">
        <v>34</v>
      </c>
      <c r="D494" s="5" t="s">
        <v>2</v>
      </c>
      <c r="E494" s="5" t="s">
        <v>3</v>
      </c>
      <c r="F494" s="5" t="s">
        <v>4</v>
      </c>
      <c r="G494" s="5" t="s">
        <v>5</v>
      </c>
      <c r="H494" s="26" t="s">
        <v>6</v>
      </c>
      <c r="I494" s="26" t="s">
        <v>7</v>
      </c>
      <c r="J494" s="26" t="s">
        <v>8</v>
      </c>
      <c r="K494" s="26" t="s">
        <v>9</v>
      </c>
      <c r="L494" s="2"/>
      <c r="M494" s="2"/>
      <c r="N494" s="2"/>
      <c r="O494" s="2"/>
      <c r="P494" s="2"/>
      <c r="Q494" s="2"/>
      <c r="R494" s="2"/>
      <c r="S494" s="2"/>
      <c r="T494" s="2"/>
      <c r="U494" s="2"/>
      <c r="V494" s="2"/>
      <c r="W494" s="2"/>
      <c r="X494" s="2"/>
      <c r="Y494" s="2"/>
      <c r="Z494" s="2"/>
      <c r="AA494" s="2"/>
      <c r="AB494" s="2"/>
    </row>
    <row r="495">
      <c r="A495" s="7" t="s">
        <v>10</v>
      </c>
      <c r="B495" s="77">
        <v>8.4613592266E8</v>
      </c>
      <c r="C495" s="54">
        <v>391.0</v>
      </c>
      <c r="D495" s="8">
        <f>SUMIFS(ECOBANK!F:F,ECOBANK!A:A,"8/23")</f>
        <v>5163783.25</v>
      </c>
      <c r="E495" s="9">
        <f>COUNTIFS(ECOBANK!A:A,"8/23")</f>
        <v>21</v>
      </c>
      <c r="F495" s="10">
        <f>SUMIFS(ECOBANK!G:G,ECOBANK!A:A,"8/23")</f>
        <v>1225257</v>
      </c>
      <c r="G495" s="11">
        <f t="shared" ref="G495:G507" si="114">I495+J495</f>
        <v>0</v>
      </c>
      <c r="H495" s="12">
        <f t="shared" ref="H495:H508" si="115">iferror(F495/D495,0)</f>
        <v>0.2372789369</v>
      </c>
      <c r="I495" s="9">
        <f>COUNTIFS(ECOBANK!I:I,$G$18,ECOBANK!A:A,"8/23")</f>
        <v>0</v>
      </c>
      <c r="J495" s="11">
        <f>COUNTIFS(ECOBANK!I:I,$H$18,ECOBANK!A:A,"8/23)")</f>
        <v>0</v>
      </c>
      <c r="K495" s="11">
        <f>COUNTIFS(ECOBANK!I:I,$I$18,ECOBANK!A:A,"8/23")</f>
        <v>0</v>
      </c>
      <c r="L495" s="2"/>
      <c r="M495" s="2"/>
      <c r="N495" s="2"/>
      <c r="O495" s="2"/>
      <c r="P495" s="2"/>
      <c r="Q495" s="2"/>
      <c r="R495" s="2"/>
      <c r="S495" s="2"/>
      <c r="T495" s="2"/>
      <c r="U495" s="2"/>
      <c r="V495" s="2"/>
      <c r="W495" s="2"/>
      <c r="X495" s="2"/>
      <c r="Y495" s="2"/>
      <c r="Z495" s="2"/>
      <c r="AA495" s="2"/>
      <c r="AB495" s="2"/>
    </row>
    <row r="496">
      <c r="A496" s="7" t="s">
        <v>24</v>
      </c>
      <c r="B496" s="78">
        <v>6.0333938635E8</v>
      </c>
      <c r="C496" s="79">
        <v>252.0</v>
      </c>
      <c r="D496" s="8">
        <f>SUMIFS('TRADE CENTER'!F:F,'TRADE CENTER'!A:A,"8/23")</f>
        <v>16185847.2</v>
      </c>
      <c r="E496" s="11">
        <f>COUNTIFS('TRADE CENTER'!A:A,"8/23")</f>
        <v>45</v>
      </c>
      <c r="F496" s="10">
        <f>SUMIFS('TRADE CENTER'!G:G,'TRADE CENTER'!A:A,"8/23")</f>
        <v>306440</v>
      </c>
      <c r="G496" s="11">
        <f t="shared" si="114"/>
        <v>0</v>
      </c>
      <c r="H496" s="12">
        <f t="shared" si="115"/>
        <v>0.01893258945</v>
      </c>
      <c r="I496" s="11">
        <f>COUNTIFS('TRADE CENTER'!I:I,$G$18,'TRADE CENTER'!A:A,"8/23")</f>
        <v>0</v>
      </c>
      <c r="J496" s="11">
        <f>COUNTIFS('TRADE CENTER'!I:I,$H$18,'TRADE CENTER'!A:A,"8/23")</f>
        <v>0</v>
      </c>
      <c r="K496" s="11">
        <f>COUNTIFS('TRADE CENTER'!I:I,$I$18,'TRADE CENTER'!A:A,"8/23")</f>
        <v>0</v>
      </c>
      <c r="L496" s="2"/>
      <c r="M496" s="2"/>
      <c r="N496" s="2"/>
      <c r="O496" s="2"/>
      <c r="P496" s="2"/>
      <c r="Q496" s="2"/>
      <c r="R496" s="2"/>
      <c r="S496" s="2"/>
      <c r="T496" s="2"/>
      <c r="U496" s="2"/>
      <c r="V496" s="2"/>
      <c r="W496" s="2"/>
      <c r="X496" s="2"/>
      <c r="Y496" s="2"/>
      <c r="Z496" s="2"/>
      <c r="AA496" s="2"/>
      <c r="AB496" s="2"/>
    </row>
    <row r="497">
      <c r="A497" s="7" t="s">
        <v>12</v>
      </c>
      <c r="B497" s="78">
        <v>2.5310774507E8</v>
      </c>
      <c r="C497" s="79">
        <v>378.0</v>
      </c>
      <c r="D497" s="8">
        <f>SUMIFS(PENSION!F:F,PENSION!A:A,"8/23/2024")</f>
        <v>6130133.71</v>
      </c>
      <c r="E497" s="11">
        <f>COUNTIFS(PENSION!A:A,"8/23")</f>
        <v>61</v>
      </c>
      <c r="F497" s="10">
        <f>SUMIFS(PENSION!G:G,PENSION!A:A,"8/23/2024")</f>
        <v>1203568</v>
      </c>
      <c r="G497" s="11">
        <f t="shared" si="114"/>
        <v>0</v>
      </c>
      <c r="H497" s="12">
        <f t="shared" si="115"/>
        <v>0.1963363373</v>
      </c>
      <c r="I497" s="9">
        <f>COUNTIFS(PENSION!I:I,$G$18,PENSION!A:A,"8/23")</f>
        <v>0</v>
      </c>
      <c r="J497" s="11">
        <f>COUNTIFS(PENSION!I:I,$H$18,PENSION!A:A,"8/23")</f>
        <v>0</v>
      </c>
      <c r="K497" s="11">
        <f>COUNTIFS(PENSION!I:I,$I$18,PENSION!A:A,"8/23")</f>
        <v>0</v>
      </c>
      <c r="L497" s="2"/>
      <c r="M497" s="2"/>
      <c r="N497" s="2"/>
      <c r="O497" s="2"/>
      <c r="P497" s="2"/>
      <c r="Q497" s="2"/>
      <c r="R497" s="2"/>
      <c r="S497" s="2"/>
      <c r="T497" s="2"/>
      <c r="U497" s="2"/>
      <c r="V497" s="2"/>
      <c r="W497" s="2"/>
      <c r="X497" s="2"/>
      <c r="Y497" s="2"/>
      <c r="Z497" s="2"/>
      <c r="AA497" s="2"/>
      <c r="AB497" s="2"/>
    </row>
    <row r="498">
      <c r="A498" s="7" t="s">
        <v>13</v>
      </c>
      <c r="B498" s="78">
        <v>1.1130976822E8</v>
      </c>
      <c r="C498" s="79">
        <v>294.0</v>
      </c>
      <c r="D498" s="8">
        <f>SUMIFS(KITENGELA!F:F,KITENGELA!A:A,"8/23/2024")</f>
        <v>4750956.84</v>
      </c>
      <c r="E498" s="11">
        <f>COUNTIFS(KITENGELA!A:A,"8/23")</f>
        <v>31</v>
      </c>
      <c r="F498" s="10">
        <f>SUMIFS(KITENGELA!G:G,KITENGELA!A:A,"8/23")</f>
        <v>354528</v>
      </c>
      <c r="G498" s="11">
        <f t="shared" si="114"/>
        <v>0</v>
      </c>
      <c r="H498" s="12">
        <f t="shared" si="115"/>
        <v>0.07462244174</v>
      </c>
      <c r="I498" s="11">
        <f>COUNTIFS(KITENGELA!I:I,$G$18,KITENGELA!A:A,"8/23")</f>
        <v>0</v>
      </c>
      <c r="J498" s="11">
        <f>COUNTIFS(KITENGELA!I:I,$H$18,KITENGELA!A:A,"8/23")</f>
        <v>0</v>
      </c>
      <c r="K498" s="11">
        <f>COUNTIFS(KITENGELA!I:I,$I$18,KITENGELA!A:A,"8/23")</f>
        <v>0</v>
      </c>
      <c r="L498" s="2"/>
      <c r="M498" s="2"/>
      <c r="N498" s="2"/>
      <c r="O498" s="2"/>
      <c r="P498" s="2"/>
      <c r="Q498" s="2"/>
      <c r="R498" s="2"/>
      <c r="S498" s="2"/>
      <c r="T498" s="2"/>
      <c r="U498" s="2"/>
      <c r="V498" s="2"/>
      <c r="W498" s="2"/>
      <c r="X498" s="2"/>
      <c r="Y498" s="2"/>
      <c r="Z498" s="2"/>
      <c r="AA498" s="2"/>
      <c r="AB498" s="2"/>
    </row>
    <row r="499">
      <c r="A499" s="13" t="s">
        <v>14</v>
      </c>
      <c r="B499" s="78">
        <v>1.5997687913E8</v>
      </c>
      <c r="C499" s="79">
        <v>168.0</v>
      </c>
      <c r="D499" s="8">
        <f>SUMIFS(ELDORET!F:F,ELDORET!A:A,"8/23")</f>
        <v>1085105.41</v>
      </c>
      <c r="E499" s="11">
        <f>COUNTIFS(ELDORET!A:A,"8/23")</f>
        <v>24</v>
      </c>
      <c r="F499" s="10">
        <f>SUMIFS(ELDORET!G:G,ELDORET!A:A,"8/23")</f>
        <v>40800</v>
      </c>
      <c r="G499" s="11">
        <f t="shared" si="114"/>
        <v>0</v>
      </c>
      <c r="H499" s="12">
        <f t="shared" si="115"/>
        <v>0.03760003371</v>
      </c>
      <c r="I499" s="11">
        <f>COUNTIFS(ELDORET!I:I,$G$18,ELDORET!A:A,"8/23")</f>
        <v>0</v>
      </c>
      <c r="J499" s="11">
        <f>COUNTIFS(ELDORET!I:I,$H$18,ELDORET!A:A,"8/23")</f>
        <v>0</v>
      </c>
      <c r="K499" s="11">
        <f>COUNTIFS(ELDORET!I:I,$I$18,ELDORET!A:A,"8/23")</f>
        <v>0</v>
      </c>
      <c r="L499" s="2"/>
      <c r="M499" s="2"/>
      <c r="N499" s="2"/>
      <c r="O499" s="2"/>
      <c r="P499" s="2"/>
      <c r="Q499" s="2"/>
      <c r="R499" s="2"/>
      <c r="S499" s="2"/>
      <c r="T499" s="2"/>
      <c r="U499" s="2"/>
      <c r="V499" s="2"/>
      <c r="W499" s="2"/>
      <c r="X499" s="2"/>
      <c r="Y499" s="2"/>
      <c r="Z499" s="2"/>
      <c r="AA499" s="2"/>
      <c r="AB499" s="2"/>
    </row>
    <row r="500">
      <c r="A500" s="7" t="s">
        <v>15</v>
      </c>
      <c r="B500" s="78">
        <v>1.639239948E7</v>
      </c>
      <c r="C500" s="79">
        <v>19.0</v>
      </c>
      <c r="D500" s="8">
        <f>SUMIFS(NAKURU!F:F,NAKURU!A:A,"8/23")</f>
        <v>126080</v>
      </c>
      <c r="E500" s="11">
        <f>COUNTIFS(NAKURU!A:A,"8/23")</f>
        <v>4</v>
      </c>
      <c r="F500" s="10">
        <f>SUMIFS(NAKURU!G:G,NAKURU!A:A,"8/23")</f>
        <v>0</v>
      </c>
      <c r="G500" s="11">
        <f t="shared" si="114"/>
        <v>0</v>
      </c>
      <c r="H500" s="12">
        <f t="shared" si="115"/>
        <v>0</v>
      </c>
      <c r="I500" s="9">
        <f>COUNTIFS(NAKURU!I:I,$G$18,NAKURU!A:A,"8/23")</f>
        <v>0</v>
      </c>
      <c r="J500" s="11">
        <f>COUNTIFS(NAKURU!I:I,$H$18,NAKURU!A:A,"8/23")</f>
        <v>0</v>
      </c>
      <c r="K500" s="11">
        <f>COUNTIFS(NAKURU!I:I,$I$18,NAKURU!A:A,"8/23")</f>
        <v>0</v>
      </c>
      <c r="L500" s="2"/>
      <c r="M500" s="2"/>
      <c r="N500" s="2"/>
      <c r="O500" s="2"/>
      <c r="P500" s="2"/>
      <c r="Q500" s="2"/>
      <c r="R500" s="2"/>
      <c r="S500" s="2"/>
      <c r="T500" s="2"/>
      <c r="U500" s="2"/>
      <c r="V500" s="2"/>
      <c r="W500" s="2"/>
      <c r="X500" s="2"/>
      <c r="Y500" s="2"/>
      <c r="Z500" s="2"/>
      <c r="AA500" s="2"/>
      <c r="AB500" s="2"/>
    </row>
    <row r="501">
      <c r="A501" s="7" t="s">
        <v>16</v>
      </c>
      <c r="B501" s="78">
        <v>1.198031398E7</v>
      </c>
      <c r="C501" s="79">
        <v>16.0</v>
      </c>
      <c r="D501" s="8">
        <f>SUMIFS(HOMABAY!F:F,HOMABAY!A:A,"8/23")</f>
        <v>266495</v>
      </c>
      <c r="E501" s="11">
        <f>COUNTIFS(HOMABAY!A:A,"8/23")</f>
        <v>6</v>
      </c>
      <c r="F501" s="10">
        <f>SUMIFS(HOMABAY!G:G,HOMABAY!A:A,"8/23")</f>
        <v>0</v>
      </c>
      <c r="G501" s="11">
        <f t="shared" si="114"/>
        <v>0</v>
      </c>
      <c r="H501" s="12">
        <f t="shared" si="115"/>
        <v>0</v>
      </c>
      <c r="I501" s="9">
        <f>COUNTIFS(HOMABAY!K:K,$G$18,HOMABAY!A:A,"8/23")</f>
        <v>0</v>
      </c>
      <c r="J501" s="11">
        <f>COUNTIFS(HOMABAY!K:K,$H$18,HOMABAY!A:A,"8/23")</f>
        <v>0</v>
      </c>
      <c r="K501" s="11">
        <f>COUNTIFS(HOMABAY!K:K,$I$18,HOMABAY!A:A,"8/23")</f>
        <v>0</v>
      </c>
      <c r="L501" s="2"/>
      <c r="M501" s="2"/>
      <c r="N501" s="2"/>
      <c r="O501" s="2"/>
      <c r="P501" s="2"/>
      <c r="Q501" s="2"/>
      <c r="R501" s="2"/>
      <c r="S501" s="2"/>
      <c r="T501" s="2"/>
      <c r="U501" s="2"/>
      <c r="V501" s="2"/>
      <c r="W501" s="2"/>
      <c r="X501" s="2"/>
      <c r="Y501" s="2"/>
      <c r="Z501" s="2"/>
      <c r="AA501" s="2"/>
      <c r="AB501" s="2"/>
    </row>
    <row r="502">
      <c r="A502" s="7" t="s">
        <v>17</v>
      </c>
      <c r="B502" s="78">
        <v>1.982130446E8</v>
      </c>
      <c r="C502" s="79">
        <v>180.0</v>
      </c>
      <c r="D502" s="8">
        <f>SUMIFS(MOMBASA!F:F,MOMBASA!A:A,"8/23")</f>
        <v>1762673</v>
      </c>
      <c r="E502" s="11">
        <f>COUNTIFS(MOMBASA!A:A,"8/23")</f>
        <v>21</v>
      </c>
      <c r="F502" s="27">
        <f>SUMIFS(MOMBASA!G:G,MOMBASA!A:A,"8/23")</f>
        <v>697818</v>
      </c>
      <c r="G502" s="11">
        <f t="shared" si="114"/>
        <v>4</v>
      </c>
      <c r="H502" s="12">
        <f t="shared" si="115"/>
        <v>0.3958862478</v>
      </c>
      <c r="I502" s="9">
        <f>COUNTIFS(MOMBASA!I:I,$G$18,MOMBASA!A:A,"8/23")</f>
        <v>0</v>
      </c>
      <c r="J502" s="11">
        <f>COUNTIFS(MOMBASA!I:I,$H$18,MOMBASA!A:A,"8/23")</f>
        <v>4</v>
      </c>
      <c r="K502" s="11">
        <f>COUNTIFS(MOMBASA!I:I,$I$18,MOMBASA!A:A,"8/23")</f>
        <v>17</v>
      </c>
      <c r="L502" s="2"/>
      <c r="M502" s="2"/>
      <c r="N502" s="2"/>
      <c r="O502" s="2"/>
      <c r="P502" s="2"/>
      <c r="Q502" s="2"/>
      <c r="R502" s="2"/>
      <c r="S502" s="2"/>
      <c r="T502" s="2"/>
      <c r="U502" s="2"/>
      <c r="V502" s="2"/>
      <c r="W502" s="2"/>
      <c r="X502" s="2"/>
      <c r="Y502" s="2"/>
      <c r="Z502" s="2"/>
      <c r="AA502" s="2"/>
      <c r="AB502" s="2"/>
    </row>
    <row r="503">
      <c r="A503" s="7" t="s">
        <v>18</v>
      </c>
      <c r="B503" s="78">
        <v>8.476405245E7</v>
      </c>
      <c r="C503" s="79">
        <v>88.0</v>
      </c>
      <c r="D503" s="8">
        <f>SUMIFS(KISUMU!F:F,KISUMU!A:A,"8/23")</f>
        <v>2053751.68</v>
      </c>
      <c r="E503" s="11">
        <f>COUNTIFS(KISUMU!A:A,"8/23")</f>
        <v>30</v>
      </c>
      <c r="F503" s="10">
        <f>SUMIFS(KISUMU!G:G,KISUMU!A:A,"8/23")</f>
        <v>51833</v>
      </c>
      <c r="G503" s="11">
        <f t="shared" si="114"/>
        <v>0</v>
      </c>
      <c r="H503" s="12">
        <f t="shared" si="115"/>
        <v>0.02523820212</v>
      </c>
      <c r="I503" s="9">
        <f>COUNTIFS(KISUMU!I:I,$G$18,KISUMU!A:A,"8/23")</f>
        <v>0</v>
      </c>
      <c r="J503" s="11">
        <f>COUNTIFS(KISUMU!I:I,$H$18,KISUMU!A:A,"8/23")</f>
        <v>0</v>
      </c>
      <c r="K503" s="11">
        <f>COUNTIFS(KISUMU!I:I,$I$18,KISUMU!A:A,"8/23")</f>
        <v>0</v>
      </c>
      <c r="L503" s="2"/>
      <c r="M503" s="2"/>
      <c r="N503" s="2"/>
      <c r="O503" s="2"/>
      <c r="P503" s="2"/>
      <c r="Q503" s="2"/>
      <c r="R503" s="2"/>
      <c r="S503" s="2"/>
      <c r="T503" s="2"/>
      <c r="U503" s="2"/>
      <c r="V503" s="2"/>
      <c r="W503" s="2"/>
      <c r="X503" s="2"/>
      <c r="Y503" s="2"/>
      <c r="Z503" s="2"/>
      <c r="AA503" s="2"/>
      <c r="AB503" s="2"/>
    </row>
    <row r="504">
      <c r="A504" s="7" t="s">
        <v>19</v>
      </c>
      <c r="B504" s="78">
        <v>7505319.14</v>
      </c>
      <c r="C504" s="79">
        <v>21.0</v>
      </c>
      <c r="D504" s="8">
        <f>SUMIFS(VOI!F:F,VOI!A:A,"8/23")</f>
        <v>395971</v>
      </c>
      <c r="E504" s="11">
        <f>COUNTIFS(VOI!A:A,"8/23")</f>
        <v>11</v>
      </c>
      <c r="F504" s="10">
        <f>SUMIFS(VOI!G:G,VOI!A:A,"8/23")</f>
        <v>24995</v>
      </c>
      <c r="G504" s="11">
        <f t="shared" si="114"/>
        <v>1</v>
      </c>
      <c r="H504" s="12">
        <f t="shared" si="115"/>
        <v>0.06312330954</v>
      </c>
      <c r="I504" s="9">
        <f>COUNTIFS(VOI!H:H,$G$18,VOI!A:A,"8/23")</f>
        <v>0</v>
      </c>
      <c r="J504" s="11">
        <f>COUNTIFS(VOI!H:H,$H$18,VOI!A:A,"8/23")</f>
        <v>1</v>
      </c>
      <c r="K504" s="11">
        <f>COUNTIFS(VOI!H:H,$I$18,VOI!A:A,"8/23")</f>
        <v>10</v>
      </c>
      <c r="L504" s="2"/>
      <c r="M504" s="2"/>
      <c r="N504" s="2"/>
      <c r="O504" s="2"/>
      <c r="P504" s="2"/>
      <c r="Q504" s="2"/>
      <c r="R504" s="2"/>
      <c r="S504" s="2"/>
      <c r="T504" s="2"/>
      <c r="U504" s="2"/>
      <c r="V504" s="2"/>
      <c r="W504" s="2"/>
      <c r="X504" s="2"/>
      <c r="Y504" s="2"/>
      <c r="Z504" s="2"/>
      <c r="AA504" s="2"/>
      <c r="AB504" s="2"/>
    </row>
    <row r="505">
      <c r="A505" s="7" t="s">
        <v>20</v>
      </c>
      <c r="B505" s="78">
        <v>5.614812819E7</v>
      </c>
      <c r="C505" s="79">
        <v>92.0</v>
      </c>
      <c r="D505" s="8">
        <f>SUMIFS(THIKA!F:F,THIKA!A:A,"8/23")</f>
        <v>551207.79</v>
      </c>
      <c r="E505" s="11">
        <f>COUNTIFS(THIKA!A:A,"8/23")</f>
        <v>14</v>
      </c>
      <c r="F505" s="10">
        <f>SUMIFS(THIKA!G:G,THIKA!A:A,"8/23")</f>
        <v>32550</v>
      </c>
      <c r="G505" s="11">
        <f t="shared" si="114"/>
        <v>0</v>
      </c>
      <c r="H505" s="12">
        <f t="shared" si="115"/>
        <v>0.05905214075</v>
      </c>
      <c r="I505" s="9">
        <f>COUNTIFS(THIKA!I:I,$G$18,THIKA!A:A,"8/23")</f>
        <v>0</v>
      </c>
      <c r="J505" s="11">
        <f>COUNTIFS(THIKA!I:I,$H$18,THIKA!A:A,"8/23")</f>
        <v>0</v>
      </c>
      <c r="K505" s="11">
        <f>COUNTIFS(THIKA!I:I,$I$18,THIKA!A:A,"8/23")</f>
        <v>0</v>
      </c>
      <c r="L505" s="2"/>
      <c r="M505" s="2"/>
      <c r="N505" s="2"/>
      <c r="O505" s="2"/>
      <c r="P505" s="2"/>
      <c r="Q505" s="2"/>
      <c r="R505" s="2"/>
      <c r="S505" s="2"/>
      <c r="T505" s="2"/>
      <c r="U505" s="2"/>
      <c r="V505" s="2"/>
      <c r="W505" s="2"/>
      <c r="X505" s="2"/>
      <c r="Y505" s="2"/>
      <c r="Z505" s="2"/>
      <c r="AA505" s="2"/>
      <c r="AB505" s="2"/>
    </row>
    <row r="506">
      <c r="A506" s="43" t="s">
        <v>21</v>
      </c>
      <c r="B506" s="77">
        <v>1070436.72</v>
      </c>
      <c r="C506" s="54">
        <v>6.0</v>
      </c>
      <c r="D506" s="44">
        <f>SUMIFS(KITUI!F:F,KITUI!A:A,"8/23")</f>
        <v>79309</v>
      </c>
      <c r="E506" s="45">
        <f>COUNTIFS(KITUI!A:A,"8/23")</f>
        <v>1</v>
      </c>
      <c r="F506" s="46">
        <f>SUMIFS(KITUI!G:G,KITUI!A:A,"8/23")</f>
        <v>0</v>
      </c>
      <c r="G506" s="45">
        <f t="shared" si="114"/>
        <v>0</v>
      </c>
      <c r="H506" s="47">
        <f t="shared" si="115"/>
        <v>0</v>
      </c>
      <c r="I506" s="48">
        <f>COUNTIFS(KITUI!I:I,$G$18,KITUI!A:A,"8/23")</f>
        <v>0</v>
      </c>
      <c r="J506" s="45">
        <f>COUNTIFS(KITUI!I:I,$H$18,KITUI!A:A,"8/23")</f>
        <v>0</v>
      </c>
      <c r="K506" s="45">
        <f>COUNTIFS(KITUI!I:I,$I$18,KITUI!A:A,"8/23")</f>
        <v>0</v>
      </c>
      <c r="L506" s="2"/>
      <c r="M506" s="2"/>
      <c r="N506" s="2"/>
      <c r="O506" s="2"/>
      <c r="P506" s="2"/>
      <c r="Q506" s="2"/>
      <c r="R506" s="2"/>
      <c r="S506" s="2"/>
      <c r="T506" s="2"/>
      <c r="U506" s="2"/>
      <c r="V506" s="2"/>
      <c r="W506" s="2"/>
      <c r="X506" s="2"/>
      <c r="Y506" s="2"/>
      <c r="Z506" s="2"/>
      <c r="AA506" s="2"/>
      <c r="AB506" s="2"/>
    </row>
    <row r="507">
      <c r="A507" s="49" t="s">
        <v>22</v>
      </c>
      <c r="B507" s="77">
        <v>796033.59</v>
      </c>
      <c r="C507" s="54">
        <v>6.0</v>
      </c>
      <c r="D507" s="44">
        <f>SUMIFS(MACHAKOS!F:F,MACHAKOS!A:A,"8/23")</f>
        <v>793927.97</v>
      </c>
      <c r="E507" s="45">
        <f>COUNTIFS(MACHAKOS!A:A,"8/23")</f>
        <v>4</v>
      </c>
      <c r="F507" s="46">
        <f>SUMIFS(MACHAKOS!G:G,MACHAKOS!A:A,"8/23")</f>
        <v>50000</v>
      </c>
      <c r="G507" s="45">
        <f t="shared" si="114"/>
        <v>0</v>
      </c>
      <c r="H507" s="47">
        <f t="shared" si="115"/>
        <v>0.06297800542</v>
      </c>
      <c r="I507" s="48">
        <f>COUNTIFS(MACHAKOS!I:I,$G$18,MACHAKOS!A:A,"8/23")</f>
        <v>0</v>
      </c>
      <c r="J507" s="45">
        <f>COUNTIFS(MACHAKOS!I:I,$H$18,MACHAKOS!A:A,"8/23")</f>
        <v>0</v>
      </c>
      <c r="K507" s="45">
        <f>COUNTIFS(MACHAKOS!I:I,$I$18,MACHAKOS!A:A,"8/23")</f>
        <v>0</v>
      </c>
      <c r="L507" s="2"/>
      <c r="M507" s="2"/>
      <c r="N507" s="2"/>
      <c r="O507" s="2"/>
      <c r="P507" s="2"/>
      <c r="Q507" s="2"/>
      <c r="R507" s="2"/>
      <c r="S507" s="2"/>
      <c r="T507" s="2"/>
      <c r="U507" s="2"/>
      <c r="V507" s="2"/>
      <c r="W507" s="2"/>
      <c r="X507" s="2"/>
      <c r="Y507" s="2"/>
      <c r="Z507" s="2"/>
      <c r="AA507" s="2"/>
      <c r="AB507" s="2"/>
    </row>
    <row r="508">
      <c r="A508" s="66" t="s">
        <v>32</v>
      </c>
      <c r="B508" s="67"/>
      <c r="C508" s="68"/>
      <c r="D508" s="73">
        <v>1800000.0</v>
      </c>
      <c r="E508" s="70">
        <v>3.0</v>
      </c>
      <c r="F508" s="71"/>
      <c r="G508" s="72">
        <v>1.0</v>
      </c>
      <c r="H508" s="47">
        <f t="shared" si="115"/>
        <v>0</v>
      </c>
      <c r="I508" s="48">
        <f>COUNTIFS(MACHAKOS!I:I,$G$18,MACHAKOS!A:A,"8/23")</f>
        <v>0</v>
      </c>
      <c r="J508" s="45">
        <v>0.0</v>
      </c>
      <c r="K508" s="53">
        <v>2.0</v>
      </c>
      <c r="L508" s="2"/>
      <c r="M508" s="2"/>
      <c r="N508" s="2"/>
      <c r="O508" s="2"/>
      <c r="P508" s="2"/>
      <c r="Q508" s="2"/>
      <c r="R508" s="2"/>
      <c r="S508" s="2"/>
      <c r="T508" s="2"/>
      <c r="U508" s="2"/>
      <c r="V508" s="2"/>
      <c r="W508" s="2"/>
      <c r="X508" s="2"/>
      <c r="Y508" s="2"/>
      <c r="Z508" s="2"/>
      <c r="AA508" s="2"/>
      <c r="AB508" s="2"/>
    </row>
    <row r="509">
      <c r="A509" s="66" t="s">
        <v>31</v>
      </c>
      <c r="B509" s="77">
        <v>1.5221625787E8</v>
      </c>
      <c r="C509" s="54">
        <v>2257.0</v>
      </c>
      <c r="D509" s="73">
        <v>1200000.0</v>
      </c>
      <c r="E509" s="45">
        <v>84.0</v>
      </c>
      <c r="F509" s="71"/>
      <c r="G509" s="72"/>
      <c r="H509" s="74"/>
      <c r="I509" s="66"/>
      <c r="J509" s="75"/>
      <c r="K509" s="75"/>
      <c r="L509" s="2"/>
      <c r="M509" s="2"/>
      <c r="N509" s="2"/>
      <c r="O509" s="2"/>
      <c r="P509" s="2"/>
      <c r="Q509" s="2"/>
      <c r="R509" s="2"/>
      <c r="S509" s="2"/>
      <c r="T509" s="2"/>
      <c r="U509" s="2"/>
      <c r="V509" s="2"/>
      <c r="W509" s="2"/>
      <c r="X509" s="2"/>
      <c r="Y509" s="2"/>
      <c r="Z509" s="2"/>
      <c r="AA509" s="2"/>
      <c r="AB509" s="2"/>
    </row>
    <row r="510">
      <c r="A510" s="55" t="s">
        <v>23</v>
      </c>
      <c r="B510" s="59">
        <f t="shared" ref="B510:G510" si="116">SUM(B495:B509)</f>
        <v>2502955687</v>
      </c>
      <c r="C510" s="76">
        <f t="shared" si="116"/>
        <v>4168</v>
      </c>
      <c r="D510" s="59">
        <f t="shared" si="116"/>
        <v>42345241.85</v>
      </c>
      <c r="E510" s="60">
        <f t="shared" si="116"/>
        <v>360</v>
      </c>
      <c r="F510" s="59">
        <f t="shared" si="116"/>
        <v>3987789</v>
      </c>
      <c r="G510" s="60">
        <f t="shared" si="116"/>
        <v>6</v>
      </c>
      <c r="H510" s="61">
        <f>F510/D510</f>
        <v>0.09417324889</v>
      </c>
      <c r="I510" s="62">
        <f t="shared" ref="I510:K510" si="117">SUM(I495:I509)</f>
        <v>0</v>
      </c>
      <c r="J510" s="62">
        <f t="shared" si="117"/>
        <v>5</v>
      </c>
      <c r="K510" s="62">
        <f t="shared" si="117"/>
        <v>29</v>
      </c>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3" t="s">
        <v>1</v>
      </c>
      <c r="B512" s="5" t="s">
        <v>33</v>
      </c>
      <c r="C512" s="5" t="s">
        <v>34</v>
      </c>
      <c r="D512" s="5" t="s">
        <v>2</v>
      </c>
      <c r="E512" s="5" t="s">
        <v>3</v>
      </c>
      <c r="F512" s="5" t="s">
        <v>4</v>
      </c>
      <c r="G512" s="5" t="s">
        <v>5</v>
      </c>
      <c r="H512" s="26" t="s">
        <v>6</v>
      </c>
      <c r="I512" s="26" t="s">
        <v>7</v>
      </c>
      <c r="J512" s="26" t="s">
        <v>8</v>
      </c>
      <c r="K512" s="26" t="s">
        <v>9</v>
      </c>
      <c r="L512" s="2"/>
      <c r="M512" s="2"/>
      <c r="N512" s="2"/>
      <c r="O512" s="2"/>
      <c r="P512" s="2"/>
      <c r="Q512" s="2"/>
      <c r="R512" s="2"/>
      <c r="S512" s="2"/>
      <c r="T512" s="2"/>
      <c r="U512" s="2"/>
      <c r="V512" s="2"/>
      <c r="W512" s="2"/>
      <c r="X512" s="2"/>
      <c r="Y512" s="2"/>
      <c r="Z512" s="2"/>
      <c r="AA512" s="2"/>
      <c r="AB512" s="2"/>
    </row>
    <row r="513">
      <c r="A513" s="7" t="s">
        <v>10</v>
      </c>
      <c r="B513" s="77">
        <v>8.4613592266E8</v>
      </c>
      <c r="C513" s="54">
        <v>391.0</v>
      </c>
      <c r="D513" s="8">
        <f>SUMIFS(ECOBANK!F:F,ECOBANK!A:A,"8/24")</f>
        <v>3129566.5</v>
      </c>
      <c r="E513" s="9">
        <f>COUNTIFS(ECOBANK!A:A,"8/24")</f>
        <v>15</v>
      </c>
      <c r="F513" s="10">
        <f>SUMIFS(ECOBANK!G:G,ECOBANK!A:A,"8/24")</f>
        <v>10000</v>
      </c>
      <c r="G513" s="11">
        <f t="shared" ref="G513:G525" si="118">I513+J513</f>
        <v>0</v>
      </c>
      <c r="H513" s="12">
        <f t="shared" ref="H513:H526" si="119">iferror(F513/D513,0)</f>
        <v>0.003195330727</v>
      </c>
      <c r="I513" s="9">
        <f>COUNTIFS(ECOBANK!I:I,$G$18,ECOBANK!A:A,"8/24")</f>
        <v>0</v>
      </c>
      <c r="J513" s="11">
        <f>COUNTIFS(ECOBANK!I:I,$H$18,ECOBANK!A:A,"8/24)")</f>
        <v>0</v>
      </c>
      <c r="K513" s="11">
        <f>COUNTIFS(ECOBANK!I:I,$I$18,ECOBANK!A:A,"8/24")</f>
        <v>0</v>
      </c>
      <c r="L513" s="2"/>
      <c r="M513" s="2"/>
      <c r="N513" s="2"/>
      <c r="O513" s="2"/>
      <c r="P513" s="2"/>
      <c r="Q513" s="2"/>
      <c r="R513" s="2"/>
      <c r="S513" s="2"/>
      <c r="T513" s="2"/>
      <c r="U513" s="2"/>
      <c r="V513" s="2"/>
      <c r="W513" s="2"/>
      <c r="X513" s="2"/>
      <c r="Y513" s="2"/>
      <c r="Z513" s="2"/>
      <c r="AA513" s="2"/>
      <c r="AB513" s="2"/>
    </row>
    <row r="514">
      <c r="A514" s="7" t="s">
        <v>24</v>
      </c>
      <c r="B514" s="78">
        <v>6.0333938635E8</v>
      </c>
      <c r="C514" s="79">
        <v>252.0</v>
      </c>
      <c r="D514" s="8">
        <f>SUMIFS('TRADE CENTER'!F:F,'TRADE CENTER'!A:A,"8/24")</f>
        <v>4384224.19</v>
      </c>
      <c r="E514" s="11">
        <f>COUNTIFS('TRADE CENTER'!A:A,"8/24")</f>
        <v>29</v>
      </c>
      <c r="F514" s="10">
        <f>SUMIFS('TRADE CENTER'!G:G,'TRADE CENTER'!A:A,"8/24")</f>
        <v>600870</v>
      </c>
      <c r="G514" s="11">
        <f t="shared" si="118"/>
        <v>0</v>
      </c>
      <c r="H514" s="12">
        <f t="shared" si="119"/>
        <v>0.1370527541</v>
      </c>
      <c r="I514" s="11">
        <f>COUNTIFS('TRADE CENTER'!I:I,$G$18,'TRADE CENTER'!A:A,"8/24")</f>
        <v>0</v>
      </c>
      <c r="J514" s="11">
        <f>COUNTIFS('TRADE CENTER'!I:I,$H$18,'TRADE CENTER'!A:A,"8/24")</f>
        <v>0</v>
      </c>
      <c r="K514" s="11">
        <f>COUNTIFS('TRADE CENTER'!I:I,$I$18,'TRADE CENTER'!A:A,"8/24")</f>
        <v>0</v>
      </c>
      <c r="L514" s="2"/>
      <c r="M514" s="2"/>
      <c r="N514" s="2"/>
      <c r="O514" s="2"/>
      <c r="P514" s="2"/>
      <c r="Q514" s="2"/>
      <c r="R514" s="2"/>
      <c r="S514" s="2"/>
      <c r="T514" s="2"/>
      <c r="U514" s="2"/>
      <c r="V514" s="2"/>
      <c r="W514" s="2"/>
      <c r="X514" s="2"/>
      <c r="Y514" s="2"/>
      <c r="Z514" s="2"/>
      <c r="AA514" s="2"/>
      <c r="AB514" s="2"/>
    </row>
    <row r="515">
      <c r="A515" s="7" t="s">
        <v>12</v>
      </c>
      <c r="B515" s="78">
        <v>2.5310774507E8</v>
      </c>
      <c r="C515" s="79">
        <v>378.0</v>
      </c>
      <c r="D515" s="8">
        <f>SUMIFS(PENSION!F:F,PENSION!A:A,"8/24/2024")</f>
        <v>4875941.12</v>
      </c>
      <c r="E515" s="11">
        <f>COUNTIFS(PENSION!A:A,"8/24")</f>
        <v>54</v>
      </c>
      <c r="F515" s="10">
        <f>SUMIFS(PENSION!G:G,PENSION!A:A,"8/24/2024")</f>
        <v>19500</v>
      </c>
      <c r="G515" s="11">
        <f t="shared" si="118"/>
        <v>0</v>
      </c>
      <c r="H515" s="12">
        <f t="shared" si="119"/>
        <v>0.003999227948</v>
      </c>
      <c r="I515" s="9">
        <f>COUNTIFS(PENSION!I:I,$G$18,PENSION!A:A,"8/24")</f>
        <v>0</v>
      </c>
      <c r="J515" s="11">
        <f>COUNTIFS(PENSION!I:I,$H$18,PENSION!A:A,"8/24")</f>
        <v>0</v>
      </c>
      <c r="K515" s="11">
        <f>COUNTIFS(PENSION!I:I,$I$18,PENSION!A:A,"8/24")</f>
        <v>0</v>
      </c>
      <c r="L515" s="2"/>
      <c r="M515" s="2"/>
      <c r="N515" s="2"/>
      <c r="O515" s="2"/>
      <c r="P515" s="2"/>
      <c r="Q515" s="2"/>
      <c r="R515" s="2"/>
      <c r="S515" s="2"/>
      <c r="T515" s="2"/>
      <c r="U515" s="2"/>
      <c r="V515" s="2"/>
      <c r="W515" s="2"/>
      <c r="X515" s="2"/>
      <c r="Y515" s="2"/>
      <c r="Z515" s="2"/>
      <c r="AA515" s="2"/>
      <c r="AB515" s="2"/>
    </row>
    <row r="516">
      <c r="A516" s="7" t="s">
        <v>13</v>
      </c>
      <c r="B516" s="78">
        <v>1.1130976822E8</v>
      </c>
      <c r="C516" s="79">
        <v>294.0</v>
      </c>
      <c r="D516" s="8">
        <f>SUMIFS(KITENGELA!F:F,KITENGELA!A:A,"8/24/2024")</f>
        <v>4062066.89</v>
      </c>
      <c r="E516" s="11">
        <f>COUNTIFS(KITENGELA!A:A,"8/24")</f>
        <v>24</v>
      </c>
      <c r="F516" s="10">
        <f>SUMIFS(KITENGELA!G:G,KITENGELA!A:A,"8/24")</f>
        <v>11500</v>
      </c>
      <c r="G516" s="11">
        <f t="shared" si="118"/>
        <v>0</v>
      </c>
      <c r="H516" s="12">
        <f t="shared" si="119"/>
        <v>0.002831071056</v>
      </c>
      <c r="I516" s="11">
        <f>COUNTIFS(KITENGELA!I:I,$G$18,KITENGELA!A:A,"8/24")</f>
        <v>0</v>
      </c>
      <c r="J516" s="11">
        <f>COUNTIFS(KITENGELA!I:I,$H$18,KITENGELA!A:A,"8/24")</f>
        <v>0</v>
      </c>
      <c r="K516" s="11">
        <f>COUNTIFS(KITENGELA!I:I,$I$18,KITENGELA!A:A,"8/24")</f>
        <v>0</v>
      </c>
      <c r="L516" s="2"/>
      <c r="M516" s="2"/>
      <c r="N516" s="2"/>
      <c r="O516" s="2"/>
      <c r="P516" s="2"/>
      <c r="Q516" s="2"/>
      <c r="R516" s="2"/>
      <c r="S516" s="2"/>
      <c r="T516" s="2"/>
      <c r="U516" s="2"/>
      <c r="V516" s="2"/>
      <c r="W516" s="2"/>
      <c r="X516" s="2"/>
      <c r="Y516" s="2"/>
      <c r="Z516" s="2"/>
      <c r="AA516" s="2"/>
      <c r="AB516" s="2"/>
    </row>
    <row r="517">
      <c r="A517" s="13" t="s">
        <v>14</v>
      </c>
      <c r="B517" s="78">
        <v>1.5997687913E8</v>
      </c>
      <c r="C517" s="79">
        <v>168.0</v>
      </c>
      <c r="D517" s="8">
        <f>SUMIFS(ELDORET!F:F,ELDORET!A:A,"8/24")</f>
        <v>1294022.41</v>
      </c>
      <c r="E517" s="11">
        <f>COUNTIFS(ELDORET!A:A,"8/24")</f>
        <v>24</v>
      </c>
      <c r="F517" s="10">
        <f>SUMIFS(ELDORET!G:G,ELDORET!A:A,"8/24")</f>
        <v>6000</v>
      </c>
      <c r="G517" s="11">
        <f t="shared" si="118"/>
        <v>0</v>
      </c>
      <c r="H517" s="12">
        <f t="shared" si="119"/>
        <v>0.004636704862</v>
      </c>
      <c r="I517" s="11">
        <f>COUNTIFS(ELDORET!I:I,$G$18,ELDORET!A:A,"8/24")</f>
        <v>0</v>
      </c>
      <c r="J517" s="11">
        <f>COUNTIFS(ELDORET!I:I,$H$18,ELDORET!A:A,"8/24")</f>
        <v>0</v>
      </c>
      <c r="K517" s="11">
        <f>COUNTIFS(ELDORET!I:I,$I$18,ELDORET!A:A,"8/24")</f>
        <v>0</v>
      </c>
      <c r="L517" s="2"/>
      <c r="M517" s="2"/>
      <c r="N517" s="2"/>
      <c r="O517" s="2"/>
      <c r="P517" s="2"/>
      <c r="Q517" s="2"/>
      <c r="R517" s="2"/>
      <c r="S517" s="2"/>
      <c r="T517" s="2"/>
      <c r="U517" s="2"/>
      <c r="V517" s="2"/>
      <c r="W517" s="2"/>
      <c r="X517" s="2"/>
      <c r="Y517" s="2"/>
      <c r="Z517" s="2"/>
      <c r="AA517" s="2"/>
      <c r="AB517" s="2"/>
    </row>
    <row r="518">
      <c r="A518" s="7" t="s">
        <v>15</v>
      </c>
      <c r="B518" s="78">
        <v>1.639239948E7</v>
      </c>
      <c r="C518" s="79">
        <v>19.0</v>
      </c>
      <c r="D518" s="8">
        <f>SUMIFS(NAKURU!F:F,NAKURU!A:A,"8/24")</f>
        <v>113080</v>
      </c>
      <c r="E518" s="11">
        <f>COUNTIFS(NAKURU!A:A,"8/24")</f>
        <v>4</v>
      </c>
      <c r="F518" s="10">
        <f>SUMIFS(NAKURU!G:G,NAKURU!A:A,"8/24")</f>
        <v>43870</v>
      </c>
      <c r="G518" s="11">
        <f t="shared" si="118"/>
        <v>0</v>
      </c>
      <c r="H518" s="12">
        <f t="shared" si="119"/>
        <v>0.3879554298</v>
      </c>
      <c r="I518" s="9">
        <f>COUNTIFS(NAKURU!I:I,$G$18,NAKURU!A:A,"8/24")</f>
        <v>0</v>
      </c>
      <c r="J518" s="11">
        <f>COUNTIFS(NAKURU!I:I,$H$18,NAKURU!A:A,"8/24")</f>
        <v>0</v>
      </c>
      <c r="K518" s="11">
        <f>COUNTIFS(NAKURU!I:I,$I$18,NAKURU!A:A,"8/24")</f>
        <v>0</v>
      </c>
      <c r="L518" s="2"/>
      <c r="M518" s="2"/>
      <c r="N518" s="2"/>
      <c r="O518" s="2"/>
      <c r="P518" s="2"/>
      <c r="Q518" s="2"/>
      <c r="R518" s="2"/>
      <c r="S518" s="2"/>
      <c r="T518" s="2"/>
      <c r="U518" s="2"/>
      <c r="V518" s="2"/>
      <c r="W518" s="2"/>
      <c r="X518" s="2"/>
      <c r="Y518" s="2"/>
      <c r="Z518" s="2"/>
      <c r="AA518" s="2"/>
      <c r="AB518" s="2"/>
    </row>
    <row r="519">
      <c r="A519" s="7" t="s">
        <v>16</v>
      </c>
      <c r="B519" s="78">
        <v>1.198031398E7</v>
      </c>
      <c r="C519" s="79">
        <v>16.0</v>
      </c>
      <c r="D519" s="8">
        <f>SUMIFS(HOMABAY!F:F,HOMABAY!A:A,"8/24")</f>
        <v>299908</v>
      </c>
      <c r="E519" s="11">
        <f>COUNTIFS(HOMABAY!A:A,"8/24")</f>
        <v>5</v>
      </c>
      <c r="F519" s="10">
        <f>SUMIFS(HOMABAY!G:G,HOMABAY!A:A,"8/24")</f>
        <v>0</v>
      </c>
      <c r="G519" s="11">
        <f t="shared" si="118"/>
        <v>0</v>
      </c>
      <c r="H519" s="12">
        <f t="shared" si="119"/>
        <v>0</v>
      </c>
      <c r="I519" s="9">
        <f>COUNTIFS(HOMABAY!K:K,$G$18,HOMABAY!A:A,"8/24")</f>
        <v>0</v>
      </c>
      <c r="J519" s="11">
        <f>COUNTIFS(HOMABAY!K:K,$H$18,HOMABAY!A:A,"8/24")</f>
        <v>0</v>
      </c>
      <c r="K519" s="11">
        <f>COUNTIFS(HOMABAY!K:K,$I$18,HOMABAY!A:A,"8/24")</f>
        <v>0</v>
      </c>
      <c r="L519" s="2"/>
      <c r="M519" s="2"/>
      <c r="N519" s="2"/>
      <c r="O519" s="2"/>
      <c r="P519" s="2"/>
      <c r="Q519" s="2"/>
      <c r="R519" s="2"/>
      <c r="S519" s="2"/>
      <c r="T519" s="2"/>
      <c r="U519" s="2"/>
      <c r="V519" s="2"/>
      <c r="W519" s="2"/>
      <c r="X519" s="2"/>
      <c r="Y519" s="2"/>
      <c r="Z519" s="2"/>
      <c r="AA519" s="2"/>
      <c r="AB519" s="2"/>
    </row>
    <row r="520">
      <c r="A520" s="7" t="s">
        <v>17</v>
      </c>
      <c r="B520" s="78">
        <v>1.982130446E8</v>
      </c>
      <c r="C520" s="79">
        <v>180.0</v>
      </c>
      <c r="D520" s="8">
        <f>SUMIFS(MOMBASA!F:F,MOMBASA!A:A,"8/24")</f>
        <v>1136400.27</v>
      </c>
      <c r="E520" s="11">
        <f>COUNTIFS(MOMBASA!A:A,"8/24")</f>
        <v>16</v>
      </c>
      <c r="F520" s="27">
        <f>SUMIFS(MOMBASA!G:G,MOMBASA!A:A,"8/24")</f>
        <v>626551</v>
      </c>
      <c r="G520" s="11">
        <f t="shared" si="118"/>
        <v>5</v>
      </c>
      <c r="H520" s="12">
        <f t="shared" si="119"/>
        <v>0.5513471059</v>
      </c>
      <c r="I520" s="9">
        <f>COUNTIFS(MOMBASA!I:I,$G$18,MOMBASA!A:A,"8/24")</f>
        <v>1</v>
      </c>
      <c r="J520" s="11">
        <f>COUNTIFS(MOMBASA!I:I,$H$18,MOMBASA!A:A,"8/24")</f>
        <v>4</v>
      </c>
      <c r="K520" s="11">
        <f>COUNTIFS(MOMBASA!I:I,$I$18,MOMBASA!A:A,"8/24")</f>
        <v>11</v>
      </c>
      <c r="L520" s="2"/>
      <c r="M520" s="2"/>
      <c r="N520" s="2"/>
      <c r="O520" s="2"/>
      <c r="P520" s="2"/>
      <c r="Q520" s="2"/>
      <c r="R520" s="2"/>
      <c r="S520" s="2"/>
      <c r="T520" s="2"/>
      <c r="U520" s="2"/>
      <c r="V520" s="2"/>
      <c r="W520" s="2"/>
      <c r="X520" s="2"/>
      <c r="Y520" s="2"/>
      <c r="Z520" s="2"/>
      <c r="AA520" s="2"/>
      <c r="AB520" s="2"/>
    </row>
    <row r="521">
      <c r="A521" s="7" t="s">
        <v>18</v>
      </c>
      <c r="B521" s="78">
        <v>8.476405245E7</v>
      </c>
      <c r="C521" s="79">
        <v>88.0</v>
      </c>
      <c r="D521" s="8">
        <f>SUMIFS(KISUMU!F:F,KISUMU!A:A,"8/24")</f>
        <v>1332701.68</v>
      </c>
      <c r="E521" s="11">
        <f>COUNTIFS(KISUMU!A:A,"8/24")</f>
        <v>25</v>
      </c>
      <c r="F521" s="10">
        <f>SUMIFS(KISUMU!G:G,KISUMU!A:A,"8/24")</f>
        <v>0</v>
      </c>
      <c r="G521" s="11">
        <f t="shared" si="118"/>
        <v>0</v>
      </c>
      <c r="H521" s="12">
        <f t="shared" si="119"/>
        <v>0</v>
      </c>
      <c r="I521" s="9">
        <f>COUNTIFS(KISUMU!I:I,$G$18,KISUMU!A:A,"8/24")</f>
        <v>0</v>
      </c>
      <c r="J521" s="11">
        <f>COUNTIFS(KISUMU!I:I,$H$18,KISUMU!A:A,"8/24")</f>
        <v>0</v>
      </c>
      <c r="K521" s="11">
        <f>COUNTIFS(KISUMU!I:I,$I$18,KISUMU!A:A,"8/24")</f>
        <v>0</v>
      </c>
      <c r="L521" s="2"/>
      <c r="M521" s="2"/>
      <c r="N521" s="2"/>
      <c r="O521" s="2"/>
      <c r="P521" s="2"/>
      <c r="Q521" s="2"/>
      <c r="R521" s="2"/>
      <c r="S521" s="2"/>
      <c r="T521" s="2"/>
      <c r="U521" s="2"/>
      <c r="V521" s="2"/>
      <c r="W521" s="2"/>
      <c r="X521" s="2"/>
      <c r="Y521" s="2"/>
      <c r="Z521" s="2"/>
      <c r="AA521" s="2"/>
      <c r="AB521" s="2"/>
    </row>
    <row r="522">
      <c r="A522" s="7" t="s">
        <v>19</v>
      </c>
      <c r="B522" s="78">
        <v>7505319.14</v>
      </c>
      <c r="C522" s="79">
        <v>21.0</v>
      </c>
      <c r="D522" s="8">
        <f>SUMIFS(VOI!F:F,VOI!A:A,"8/24")</f>
        <v>416976</v>
      </c>
      <c r="E522" s="11">
        <f>COUNTIFS(VOI!A:A,"8/24")</f>
        <v>11</v>
      </c>
      <c r="F522" s="10">
        <f>SUMIFS(VOI!G:G,VOI!A:A,"8/24")</f>
        <v>42000</v>
      </c>
      <c r="G522" s="11">
        <f t="shared" si="118"/>
        <v>1</v>
      </c>
      <c r="H522" s="12">
        <f t="shared" si="119"/>
        <v>0.1007252216</v>
      </c>
      <c r="I522" s="9">
        <f>COUNTIFS(VOI!H:H,$G$18,VOI!A:A,"8/24")</f>
        <v>0</v>
      </c>
      <c r="J522" s="11">
        <f>COUNTIFS(VOI!H:H,$H$18,VOI!A:A,"8/24")</f>
        <v>1</v>
      </c>
      <c r="K522" s="11">
        <f>COUNTIFS(VOI!H:H,$I$18,VOI!A:A,"8/24")</f>
        <v>10</v>
      </c>
      <c r="L522" s="2"/>
      <c r="M522" s="2"/>
      <c r="N522" s="2"/>
      <c r="O522" s="2"/>
      <c r="P522" s="2"/>
      <c r="Q522" s="2"/>
      <c r="R522" s="2"/>
      <c r="S522" s="2"/>
      <c r="T522" s="2"/>
      <c r="U522" s="2"/>
      <c r="V522" s="2"/>
      <c r="W522" s="2"/>
      <c r="X522" s="2"/>
      <c r="Y522" s="2"/>
      <c r="Z522" s="2"/>
      <c r="AA522" s="2"/>
      <c r="AB522" s="2"/>
    </row>
    <row r="523">
      <c r="A523" s="7" t="s">
        <v>20</v>
      </c>
      <c r="B523" s="78">
        <v>5.614812819E7</v>
      </c>
      <c r="C523" s="79">
        <v>92.0</v>
      </c>
      <c r="D523" s="8">
        <f>SUMIFS(THIKA!F:F,THIKA!A:A,"8/24")</f>
        <v>463412.79</v>
      </c>
      <c r="E523" s="11">
        <f>COUNTIFS(THIKA!A:A,"8/24")</f>
        <v>11</v>
      </c>
      <c r="F523" s="10">
        <f>SUMIFS(THIKA!G:G,THIKA!A:A,"8/24")</f>
        <v>0</v>
      </c>
      <c r="G523" s="11">
        <f t="shared" si="118"/>
        <v>0</v>
      </c>
      <c r="H523" s="12">
        <f t="shared" si="119"/>
        <v>0</v>
      </c>
      <c r="I523" s="9">
        <f>COUNTIFS(THIKA!I:I,$G$18,THIKA!A:A,"8/24")</f>
        <v>0</v>
      </c>
      <c r="J523" s="11">
        <f>COUNTIFS(THIKA!I:I,$H$18,THIKA!A:A,"8/24")</f>
        <v>0</v>
      </c>
      <c r="K523" s="11">
        <f>COUNTIFS(THIKA!I:I,$I$18,THIKA!A:A,"8/24")</f>
        <v>0</v>
      </c>
      <c r="L523" s="2"/>
      <c r="M523" s="2"/>
      <c r="N523" s="2"/>
      <c r="O523" s="2"/>
      <c r="P523" s="2"/>
      <c r="Q523" s="2"/>
      <c r="R523" s="2"/>
      <c r="S523" s="2"/>
      <c r="T523" s="2"/>
      <c r="U523" s="2"/>
      <c r="V523" s="2"/>
      <c r="W523" s="2"/>
      <c r="X523" s="2"/>
      <c r="Y523" s="2"/>
      <c r="Z523" s="2"/>
      <c r="AA523" s="2"/>
      <c r="AB523" s="2"/>
    </row>
    <row r="524">
      <c r="A524" s="43" t="s">
        <v>21</v>
      </c>
      <c r="B524" s="77">
        <v>1070436.72</v>
      </c>
      <c r="C524" s="54">
        <v>6.0</v>
      </c>
      <c r="D524" s="44">
        <f>SUMIFS(KITUI!F:F,KITUI!A:A,"8/24")</f>
        <v>0</v>
      </c>
      <c r="E524" s="45">
        <f>COUNTIFS(KITUI!A:A,"8/24")</f>
        <v>0</v>
      </c>
      <c r="F524" s="46">
        <f>SUMIFS(KITUI!G:G,KITUI!A:A,"8/24")</f>
        <v>0</v>
      </c>
      <c r="G524" s="45">
        <f t="shared" si="118"/>
        <v>0</v>
      </c>
      <c r="H524" s="47">
        <f t="shared" si="119"/>
        <v>0</v>
      </c>
      <c r="I524" s="48">
        <f>COUNTIFS(KITUI!I:I,$G$18,KITUI!A:A,"8/24")</f>
        <v>0</v>
      </c>
      <c r="J524" s="45">
        <f>COUNTIFS(KITUI!I:I,$H$18,KITUI!A:A,"8/24")</f>
        <v>0</v>
      </c>
      <c r="K524" s="45">
        <f>COUNTIFS(KITUI!I:I,$I$18,KITUI!A:A,"8/24")</f>
        <v>0</v>
      </c>
      <c r="L524" s="2"/>
      <c r="M524" s="2"/>
      <c r="N524" s="2"/>
      <c r="O524" s="2"/>
      <c r="P524" s="2"/>
      <c r="Q524" s="2"/>
      <c r="R524" s="2"/>
      <c r="S524" s="2"/>
      <c r="T524" s="2"/>
      <c r="U524" s="2"/>
      <c r="V524" s="2"/>
      <c r="W524" s="2"/>
      <c r="X524" s="2"/>
      <c r="Y524" s="2"/>
      <c r="Z524" s="2"/>
      <c r="AA524" s="2"/>
      <c r="AB524" s="2"/>
    </row>
    <row r="525">
      <c r="A525" s="49" t="s">
        <v>22</v>
      </c>
      <c r="B525" s="77">
        <v>796033.59</v>
      </c>
      <c r="C525" s="54">
        <v>6.0</v>
      </c>
      <c r="D525" s="44">
        <f>SUMIFS(MACHAKOS!F:F,MACHAKOS!A:A,"8/24")</f>
        <v>743927.32</v>
      </c>
      <c r="E525" s="45">
        <f>COUNTIFS(MACHAKOS!A:A,"8/24")</f>
        <v>4</v>
      </c>
      <c r="F525" s="46">
        <f>SUMIFS(MACHAKOS!G:G,MACHAKOS!A:A,"8/24")</f>
        <v>8600</v>
      </c>
      <c r="G525" s="45">
        <f t="shared" si="118"/>
        <v>0</v>
      </c>
      <c r="H525" s="47">
        <f t="shared" si="119"/>
        <v>0.01156026909</v>
      </c>
      <c r="I525" s="48">
        <f>COUNTIFS(MACHAKOS!I:I,$G$18,MACHAKOS!A:A,"8/24")</f>
        <v>0</v>
      </c>
      <c r="J525" s="45">
        <f>COUNTIFS(MACHAKOS!I:I,$H$18,MACHAKOS!A:A,"8/24")</f>
        <v>0</v>
      </c>
      <c r="K525" s="45">
        <f>COUNTIFS(MACHAKOS!I:I,$I$18,MACHAKOS!A:A,"8/24")</f>
        <v>0</v>
      </c>
      <c r="L525" s="2"/>
      <c r="M525" s="2"/>
      <c r="N525" s="2"/>
      <c r="O525" s="2"/>
      <c r="P525" s="2"/>
      <c r="Q525" s="2"/>
      <c r="R525" s="2"/>
      <c r="S525" s="2"/>
      <c r="T525" s="2"/>
      <c r="U525" s="2"/>
      <c r="V525" s="2"/>
      <c r="W525" s="2"/>
      <c r="X525" s="2"/>
      <c r="Y525" s="2"/>
      <c r="Z525" s="2"/>
      <c r="AA525" s="2"/>
      <c r="AB525" s="2"/>
    </row>
    <row r="526">
      <c r="A526" s="66" t="s">
        <v>32</v>
      </c>
      <c r="B526" s="67"/>
      <c r="C526" s="68"/>
      <c r="D526" s="73">
        <v>1150000.0</v>
      </c>
      <c r="E526" s="70"/>
      <c r="F526" s="71"/>
      <c r="G526" s="72">
        <v>1.0</v>
      </c>
      <c r="H526" s="47">
        <f t="shared" si="119"/>
        <v>0</v>
      </c>
      <c r="I526" s="48">
        <f>COUNTIFS(MACHAKOS!I:I,$G$18,MACHAKOS!A:A,"8/24")</f>
        <v>0</v>
      </c>
      <c r="J526" s="45">
        <v>0.0</v>
      </c>
      <c r="K526" s="53">
        <v>2.0</v>
      </c>
      <c r="L526" s="2"/>
      <c r="M526" s="2"/>
      <c r="N526" s="2"/>
      <c r="O526" s="2"/>
      <c r="P526" s="2"/>
      <c r="Q526" s="2"/>
      <c r="R526" s="2"/>
      <c r="S526" s="2"/>
      <c r="T526" s="2"/>
      <c r="U526" s="2"/>
      <c r="V526" s="2"/>
      <c r="W526" s="2"/>
      <c r="X526" s="2"/>
      <c r="Y526" s="2"/>
      <c r="Z526" s="2"/>
      <c r="AA526" s="2"/>
      <c r="AB526" s="2"/>
    </row>
    <row r="527">
      <c r="A527" s="66" t="s">
        <v>31</v>
      </c>
      <c r="B527" s="77">
        <v>1.5221625787E8</v>
      </c>
      <c r="C527" s="54">
        <v>2257.0</v>
      </c>
      <c r="D527" s="73">
        <v>0.0</v>
      </c>
      <c r="E527" s="45"/>
      <c r="F527" s="71"/>
      <c r="G527" s="72"/>
      <c r="H527" s="74"/>
      <c r="I527" s="66"/>
      <c r="J527" s="75"/>
      <c r="K527" s="75"/>
      <c r="L527" s="2"/>
      <c r="M527" s="2"/>
      <c r="N527" s="2"/>
      <c r="O527" s="2"/>
      <c r="P527" s="2"/>
      <c r="Q527" s="2"/>
      <c r="R527" s="2"/>
      <c r="S527" s="2"/>
      <c r="T527" s="2"/>
      <c r="U527" s="2"/>
      <c r="V527" s="2"/>
      <c r="W527" s="2"/>
      <c r="X527" s="2"/>
      <c r="Y527" s="2"/>
      <c r="Z527" s="2"/>
      <c r="AA527" s="2"/>
      <c r="AB527" s="2"/>
    </row>
    <row r="528">
      <c r="A528" s="55" t="s">
        <v>23</v>
      </c>
      <c r="B528" s="59">
        <f t="shared" ref="B528:G528" si="120">SUM(B513:B527)</f>
        <v>2502955687</v>
      </c>
      <c r="C528" s="76">
        <f t="shared" si="120"/>
        <v>4168</v>
      </c>
      <c r="D528" s="59">
        <f t="shared" si="120"/>
        <v>23402227.17</v>
      </c>
      <c r="E528" s="60">
        <f t="shared" si="120"/>
        <v>222</v>
      </c>
      <c r="F528" s="59">
        <f t="shared" si="120"/>
        <v>1368891</v>
      </c>
      <c r="G528" s="60">
        <f t="shared" si="120"/>
        <v>7</v>
      </c>
      <c r="H528" s="61">
        <f>F528/D528</f>
        <v>0.05849404803</v>
      </c>
      <c r="I528" s="62">
        <f t="shared" ref="I528:K528" si="121">SUM(I513:I527)</f>
        <v>1</v>
      </c>
      <c r="J528" s="62">
        <f t="shared" si="121"/>
        <v>5</v>
      </c>
      <c r="K528" s="62">
        <f t="shared" si="121"/>
        <v>23</v>
      </c>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3" t="s">
        <v>1</v>
      </c>
      <c r="B531" s="5" t="s">
        <v>33</v>
      </c>
      <c r="C531" s="5" t="s">
        <v>34</v>
      </c>
      <c r="D531" s="5" t="s">
        <v>2</v>
      </c>
      <c r="E531" s="5" t="s">
        <v>3</v>
      </c>
      <c r="F531" s="5" t="s">
        <v>4</v>
      </c>
      <c r="G531" s="5" t="s">
        <v>5</v>
      </c>
      <c r="H531" s="26" t="s">
        <v>6</v>
      </c>
      <c r="I531" s="26" t="s">
        <v>7</v>
      </c>
      <c r="J531" s="26" t="s">
        <v>8</v>
      </c>
      <c r="K531" s="26" t="s">
        <v>9</v>
      </c>
      <c r="L531" s="2"/>
      <c r="M531" s="2"/>
      <c r="N531" s="2"/>
      <c r="O531" s="2"/>
      <c r="P531" s="2"/>
      <c r="Q531" s="2"/>
      <c r="R531" s="2"/>
      <c r="S531" s="2"/>
      <c r="T531" s="2"/>
      <c r="U531" s="2"/>
      <c r="V531" s="2"/>
      <c r="W531" s="2"/>
      <c r="X531" s="2"/>
      <c r="Y531" s="2"/>
      <c r="Z531" s="2"/>
      <c r="AA531" s="2"/>
      <c r="AB531" s="2"/>
    </row>
    <row r="532">
      <c r="A532" s="7" t="s">
        <v>10</v>
      </c>
      <c r="B532" s="77">
        <v>8.4613592266E8</v>
      </c>
      <c r="C532" s="54">
        <v>391.0</v>
      </c>
      <c r="D532" s="8">
        <f>SUMIFS(ECOBANK!F:F,ECOBANK!A:A,"8/26")</f>
        <v>7758698.75</v>
      </c>
      <c r="E532" s="9">
        <f>COUNTIFS(ECOBANK!A:A,"8/26")</f>
        <v>18</v>
      </c>
      <c r="F532" s="10">
        <f>SUMIFS(ECOBANK!G:G,ECOBANK!A:A,"8/26")</f>
        <v>1940544</v>
      </c>
      <c r="G532" s="11">
        <f t="shared" ref="G532:G544" si="122">I532+J532</f>
        <v>0</v>
      </c>
      <c r="H532" s="12">
        <f t="shared" ref="H532:H545" si="123">iferror(F532/D532,0)</f>
        <v>0.2501120436</v>
      </c>
      <c r="I532" s="9">
        <f>COUNTIFS(ECOBANK!I:I,$G$18,ECOBANK!A:A,"8/26")</f>
        <v>0</v>
      </c>
      <c r="J532" s="11">
        <f>COUNTIFS(ECOBANK!I:I,$H$18,ECOBANK!A:A,"8/26)")</f>
        <v>0</v>
      </c>
      <c r="K532" s="11">
        <f>COUNTIFS(ECOBANK!I:I,$I$18,ECOBANK!A:A,"8/26")</f>
        <v>0</v>
      </c>
      <c r="L532" s="2"/>
      <c r="M532" s="2"/>
      <c r="N532" s="2"/>
      <c r="O532" s="2"/>
      <c r="P532" s="2"/>
      <c r="Q532" s="2"/>
      <c r="R532" s="2"/>
      <c r="S532" s="2"/>
      <c r="T532" s="2"/>
      <c r="U532" s="2"/>
      <c r="V532" s="2"/>
      <c r="W532" s="2"/>
      <c r="X532" s="2"/>
      <c r="Y532" s="2"/>
      <c r="Z532" s="2"/>
      <c r="AA532" s="2"/>
      <c r="AB532" s="2"/>
    </row>
    <row r="533">
      <c r="A533" s="7" t="s">
        <v>24</v>
      </c>
      <c r="B533" s="78">
        <v>6.0333938635E8</v>
      </c>
      <c r="C533" s="79">
        <v>252.0</v>
      </c>
      <c r="D533" s="8">
        <f>SUMIFS('TRADE CENTER'!F:F,'TRADE CENTER'!A:A,"8/26")</f>
        <v>11534550.64</v>
      </c>
      <c r="E533" s="11">
        <f>COUNTIFS('TRADE CENTER'!A:A,"8/26")</f>
        <v>42</v>
      </c>
      <c r="F533" s="10">
        <f>SUMIFS('TRADE CENTER'!G:G,'TRADE CENTER'!A:A,"8/26")</f>
        <v>1061659.16</v>
      </c>
      <c r="G533" s="11">
        <f t="shared" si="122"/>
        <v>0</v>
      </c>
      <c r="H533" s="12">
        <f t="shared" si="123"/>
        <v>0.09204165755</v>
      </c>
      <c r="I533" s="11">
        <f>COUNTIFS('TRADE CENTER'!I:I,$G$18,'TRADE CENTER'!A:A,"8/26")</f>
        <v>0</v>
      </c>
      <c r="J533" s="11">
        <f>COUNTIFS('TRADE CENTER'!I:I,$H$18,'TRADE CENTER'!A:A,"8/26")</f>
        <v>0</v>
      </c>
      <c r="K533" s="11">
        <f>COUNTIFS('TRADE CENTER'!I:I,$I$18,'TRADE CENTER'!A:A,"8/26")</f>
        <v>0</v>
      </c>
      <c r="L533" s="2"/>
      <c r="M533" s="2"/>
      <c r="N533" s="2"/>
      <c r="O533" s="2"/>
      <c r="P533" s="2"/>
      <c r="Q533" s="2"/>
      <c r="R533" s="2"/>
      <c r="S533" s="2"/>
      <c r="T533" s="2"/>
      <c r="U533" s="2"/>
      <c r="V533" s="2"/>
      <c r="W533" s="2"/>
      <c r="X533" s="2"/>
      <c r="Y533" s="2"/>
      <c r="Z533" s="2"/>
      <c r="AA533" s="2"/>
      <c r="AB533" s="2"/>
    </row>
    <row r="534">
      <c r="A534" s="7" t="s">
        <v>12</v>
      </c>
      <c r="B534" s="78">
        <v>2.5310774507E8</v>
      </c>
      <c r="C534" s="79">
        <v>378.0</v>
      </c>
      <c r="D534" s="8">
        <f>SUMIFS(PENSION!F:F,PENSION!A:A,"8/26/2024")</f>
        <v>5181013.58</v>
      </c>
      <c r="E534" s="11">
        <f>COUNTIFS(PENSION!A:A,"8/26")</f>
        <v>44</v>
      </c>
      <c r="F534" s="10">
        <f>SUMIFS(PENSION!G:G,PENSION!A:A,"8/26/2024")</f>
        <v>814175</v>
      </c>
      <c r="G534" s="11">
        <f t="shared" si="122"/>
        <v>0</v>
      </c>
      <c r="H534" s="12">
        <f t="shared" si="123"/>
        <v>0.1571458919</v>
      </c>
      <c r="I534" s="9">
        <f>COUNTIFS(PENSION!I:I,$G$18,PENSION!A:A,"8/26")</f>
        <v>0</v>
      </c>
      <c r="J534" s="11">
        <f>COUNTIFS(PENSION!I:I,$H$18,PENSION!A:A,"8/26")</f>
        <v>0</v>
      </c>
      <c r="K534" s="11">
        <f>COUNTIFS(PENSION!I:I,$I$18,PENSION!A:A,"8/26")</f>
        <v>0</v>
      </c>
      <c r="L534" s="2"/>
      <c r="M534" s="2"/>
      <c r="N534" s="2"/>
      <c r="O534" s="2"/>
      <c r="P534" s="2"/>
      <c r="Q534" s="2"/>
      <c r="R534" s="2"/>
      <c r="S534" s="2"/>
      <c r="T534" s="2"/>
      <c r="U534" s="2"/>
      <c r="V534" s="2"/>
      <c r="W534" s="2"/>
      <c r="X534" s="2"/>
      <c r="Y534" s="2"/>
      <c r="Z534" s="2"/>
      <c r="AA534" s="2"/>
      <c r="AB534" s="2"/>
    </row>
    <row r="535">
      <c r="A535" s="7" t="s">
        <v>13</v>
      </c>
      <c r="B535" s="78">
        <v>1.1130976822E8</v>
      </c>
      <c r="C535" s="79">
        <v>294.0</v>
      </c>
      <c r="D535" s="8">
        <f>SUMIFS(KITENGELA!F:F,KITENGELA!A:A,"8/26/2024")</f>
        <v>4512822.8</v>
      </c>
      <c r="E535" s="11">
        <f>COUNTIFS(KITENGELA!A:A,"8/26")</f>
        <v>17</v>
      </c>
      <c r="F535" s="10">
        <f>SUMIFS(KITENGELA!G:G,KITENGELA!A:A,"8/26")</f>
        <v>128500</v>
      </c>
      <c r="G535" s="11">
        <f t="shared" si="122"/>
        <v>0</v>
      </c>
      <c r="H535" s="12">
        <f t="shared" si="123"/>
        <v>0.02847441739</v>
      </c>
      <c r="I535" s="11">
        <f>COUNTIFS(KITENGELA!I:I,$G$18,KITENGELA!A:A,"8/26")</f>
        <v>0</v>
      </c>
      <c r="J535" s="11">
        <f>COUNTIFS(KITENGELA!I:I,$H$18,KITENGELA!A:A,"8/26")</f>
        <v>0</v>
      </c>
      <c r="K535" s="11">
        <f>COUNTIFS(KITENGELA!I:I,$I$18,KITENGELA!A:A,"8/26")</f>
        <v>0</v>
      </c>
      <c r="L535" s="2"/>
      <c r="M535" s="2"/>
      <c r="N535" s="2"/>
      <c r="O535" s="2"/>
      <c r="P535" s="2"/>
      <c r="Q535" s="2"/>
      <c r="R535" s="2"/>
      <c r="S535" s="2"/>
      <c r="T535" s="2"/>
      <c r="U535" s="2"/>
      <c r="V535" s="2"/>
      <c r="W535" s="2"/>
      <c r="X535" s="2"/>
      <c r="Y535" s="2"/>
      <c r="Z535" s="2"/>
      <c r="AA535" s="2"/>
      <c r="AB535" s="2"/>
    </row>
    <row r="536">
      <c r="A536" s="13" t="s">
        <v>14</v>
      </c>
      <c r="B536" s="78">
        <v>1.5997687913E8</v>
      </c>
      <c r="C536" s="79">
        <v>168.0</v>
      </c>
      <c r="D536" s="8">
        <f>SUMIFS(ELDORET!F:F,ELDORET!A:A,"8/26")</f>
        <v>2153876.41</v>
      </c>
      <c r="E536" s="11">
        <f>COUNTIFS(ELDORET!A:A,"8/26")</f>
        <v>28</v>
      </c>
      <c r="F536" s="10">
        <f>SUMIFS(ELDORET!G:G,ELDORET!A:A,"8/26")</f>
        <v>39924</v>
      </c>
      <c r="G536" s="11">
        <f t="shared" si="122"/>
        <v>0</v>
      </c>
      <c r="H536" s="12">
        <f t="shared" si="123"/>
        <v>0.01853588247</v>
      </c>
      <c r="I536" s="11">
        <f>COUNTIFS(ELDORET!I:I,$G$18,ELDORET!A:A,"8/26")</f>
        <v>0</v>
      </c>
      <c r="J536" s="11">
        <f>COUNTIFS(ELDORET!I:I,$H$18,ELDORET!A:A,"8/26")</f>
        <v>0</v>
      </c>
      <c r="K536" s="11">
        <f>COUNTIFS(ELDORET!I:I,$I$18,ELDORET!A:A,"8/26")</f>
        <v>0</v>
      </c>
      <c r="L536" s="2"/>
      <c r="M536" s="2"/>
      <c r="N536" s="2"/>
      <c r="O536" s="2"/>
      <c r="P536" s="2"/>
      <c r="Q536" s="2"/>
      <c r="R536" s="2"/>
      <c r="S536" s="2"/>
      <c r="T536" s="2"/>
      <c r="U536" s="2"/>
      <c r="V536" s="2"/>
      <c r="W536" s="2"/>
      <c r="X536" s="2"/>
      <c r="Y536" s="2"/>
      <c r="Z536" s="2"/>
      <c r="AA536" s="2"/>
      <c r="AB536" s="2"/>
    </row>
    <row r="537">
      <c r="A537" s="7" t="s">
        <v>15</v>
      </c>
      <c r="B537" s="78">
        <v>1.639239948E7</v>
      </c>
      <c r="C537" s="79">
        <v>19.0</v>
      </c>
      <c r="D537" s="8">
        <f>SUMIFS(NAKURU!F:F,NAKURU!A:A,"8/26")</f>
        <v>118400</v>
      </c>
      <c r="E537" s="11">
        <f>COUNTIFS(NAKURU!A:A,"8/26")</f>
        <v>5</v>
      </c>
      <c r="F537" s="10">
        <f>SUMIFS(NAKURU!G:G,NAKURU!A:A,"8/26")</f>
        <v>13800</v>
      </c>
      <c r="G537" s="11">
        <f t="shared" si="122"/>
        <v>0</v>
      </c>
      <c r="H537" s="12">
        <f t="shared" si="123"/>
        <v>0.1165540541</v>
      </c>
      <c r="I537" s="9">
        <f>COUNTIFS(NAKURU!I:I,$G$18,NAKURU!A:A,"8/26")</f>
        <v>0</v>
      </c>
      <c r="J537" s="11">
        <f>COUNTIFS(NAKURU!I:I,$H$18,NAKURU!A:A,"8/26")</f>
        <v>0</v>
      </c>
      <c r="K537" s="11">
        <f>COUNTIFS(NAKURU!I:I,$I$18,NAKURU!A:A,"8/26")</f>
        <v>0</v>
      </c>
      <c r="L537" s="2"/>
      <c r="M537" s="2"/>
      <c r="N537" s="2"/>
      <c r="O537" s="2"/>
      <c r="P537" s="2"/>
      <c r="Q537" s="2"/>
      <c r="R537" s="2"/>
      <c r="S537" s="2"/>
      <c r="T537" s="2"/>
      <c r="U537" s="2"/>
      <c r="V537" s="2"/>
      <c r="W537" s="2"/>
      <c r="X537" s="2"/>
      <c r="Y537" s="2"/>
      <c r="Z537" s="2"/>
      <c r="AA537" s="2"/>
      <c r="AB537" s="2"/>
    </row>
    <row r="538">
      <c r="A538" s="7" t="s">
        <v>16</v>
      </c>
      <c r="B538" s="78">
        <v>1.198031398E7</v>
      </c>
      <c r="C538" s="79">
        <v>16.0</v>
      </c>
      <c r="D538" s="8">
        <f>SUMIFS(HOMABAY!F:F,HOMABAY!A:A,"8/26")</f>
        <v>356048.8</v>
      </c>
      <c r="E538" s="11">
        <f>COUNTIFS(HOMABAY!A:A,"8/26")</f>
        <v>5</v>
      </c>
      <c r="F538" s="10">
        <f>SUMIFS(HOMABAY!G:G,HOMABAY!A:A,"8/26")</f>
        <v>31500</v>
      </c>
      <c r="G538" s="11">
        <f t="shared" si="122"/>
        <v>0</v>
      </c>
      <c r="H538" s="12">
        <f t="shared" si="123"/>
        <v>0.08847101858</v>
      </c>
      <c r="I538" s="9">
        <f>COUNTIFS(HOMABAY!K:K,$G$18,HOMABAY!A:A,"8/26")</f>
        <v>0</v>
      </c>
      <c r="J538" s="11">
        <f>COUNTIFS(HOMABAY!K:K,$H$18,HOMABAY!A:A,"8/26")</f>
        <v>0</v>
      </c>
      <c r="K538" s="11">
        <f>COUNTIFS(HOMABAY!K:K,$I$18,HOMABAY!A:A,"8/26")</f>
        <v>0</v>
      </c>
      <c r="L538" s="2"/>
      <c r="M538" s="2"/>
      <c r="N538" s="2"/>
      <c r="O538" s="2"/>
      <c r="P538" s="2"/>
      <c r="Q538" s="2"/>
      <c r="R538" s="2"/>
      <c r="S538" s="2"/>
      <c r="T538" s="2"/>
      <c r="U538" s="2"/>
      <c r="V538" s="2"/>
      <c r="W538" s="2"/>
      <c r="X538" s="2"/>
      <c r="Y538" s="2"/>
      <c r="Z538" s="2"/>
      <c r="AA538" s="2"/>
      <c r="AB538" s="2"/>
    </row>
    <row r="539">
      <c r="A539" s="7" t="s">
        <v>17</v>
      </c>
      <c r="B539" s="78">
        <v>1.982130446E8</v>
      </c>
      <c r="C539" s="79">
        <v>180.0</v>
      </c>
      <c r="D539" s="8">
        <f>SUMIFS(MOMBASA!F:F,MOMBASA!A:A,"8/26")</f>
        <v>1405256.72</v>
      </c>
      <c r="E539" s="11">
        <f>COUNTIFS(MOMBASA!A:A,"8/26")</f>
        <v>22</v>
      </c>
      <c r="F539" s="27">
        <f>SUMIFS(MOMBASA!G:G,MOMBASA!A:A,"8/26")</f>
        <v>232244</v>
      </c>
      <c r="G539" s="11">
        <f t="shared" si="122"/>
        <v>9</v>
      </c>
      <c r="H539" s="12">
        <f t="shared" si="123"/>
        <v>0.1652680231</v>
      </c>
      <c r="I539" s="9">
        <f>COUNTIFS(MOMBASA!I:I,$G$18,MOMBASA!A:A,"8/26")</f>
        <v>4</v>
      </c>
      <c r="J539" s="11">
        <f>COUNTIFS(MOMBASA!I:I,$H$18,MOMBASA!A:A,"8/26")</f>
        <v>5</v>
      </c>
      <c r="K539" s="11">
        <f>COUNTIFS(MOMBASA!I:I,$I$18,MOMBASA!A:A,"8/26")</f>
        <v>13</v>
      </c>
      <c r="L539" s="2"/>
      <c r="M539" s="2"/>
      <c r="N539" s="2"/>
      <c r="O539" s="2"/>
      <c r="P539" s="2"/>
      <c r="Q539" s="2"/>
      <c r="R539" s="2"/>
      <c r="S539" s="2"/>
      <c r="T539" s="2"/>
      <c r="U539" s="2"/>
      <c r="V539" s="2"/>
      <c r="W539" s="2"/>
      <c r="X539" s="2"/>
      <c r="Y539" s="2"/>
      <c r="Z539" s="2"/>
      <c r="AA539" s="2"/>
      <c r="AB539" s="2"/>
    </row>
    <row r="540">
      <c r="A540" s="7" t="s">
        <v>18</v>
      </c>
      <c r="B540" s="78">
        <v>8.476405245E7</v>
      </c>
      <c r="C540" s="79">
        <v>88.0</v>
      </c>
      <c r="D540" s="8">
        <f>SUMIFS(KISUMU!F:F,KISUMU!A:A,"8/26")</f>
        <v>1316401.68</v>
      </c>
      <c r="E540" s="11">
        <f>COUNTIFS(KISUMU!A:A,"8/26")</f>
        <v>25</v>
      </c>
      <c r="F540" s="10">
        <f>SUMIFS(KISUMU!G:G,KISUMU!A:A,"8/26")</f>
        <v>25000</v>
      </c>
      <c r="G540" s="11">
        <f t="shared" si="122"/>
        <v>0</v>
      </c>
      <c r="H540" s="12">
        <f t="shared" si="123"/>
        <v>0.01899116385</v>
      </c>
      <c r="I540" s="9">
        <f>COUNTIFS(KISUMU!I:I,$G$18,KISUMU!A:A,"8/26")</f>
        <v>0</v>
      </c>
      <c r="J540" s="11">
        <f>COUNTIFS(KISUMU!I:I,$H$18,KISUMU!A:A,"8/26")</f>
        <v>0</v>
      </c>
      <c r="K540" s="11">
        <f>COUNTIFS(KISUMU!I:I,$I$18,KISUMU!A:A,"8/26")</f>
        <v>0</v>
      </c>
      <c r="L540" s="2"/>
      <c r="M540" s="2"/>
      <c r="N540" s="2"/>
      <c r="O540" s="2"/>
      <c r="P540" s="2"/>
      <c r="Q540" s="2"/>
      <c r="R540" s="2"/>
      <c r="S540" s="2"/>
      <c r="T540" s="2"/>
      <c r="U540" s="2"/>
      <c r="V540" s="2"/>
      <c r="W540" s="2"/>
      <c r="X540" s="2"/>
      <c r="Y540" s="2"/>
      <c r="Z540" s="2"/>
      <c r="AA540" s="2"/>
      <c r="AB540" s="2"/>
    </row>
    <row r="541">
      <c r="A541" s="7" t="s">
        <v>19</v>
      </c>
      <c r="B541" s="78">
        <v>7505319.14</v>
      </c>
      <c r="C541" s="79">
        <v>21.0</v>
      </c>
      <c r="D541" s="8">
        <f>SUMIFS(VOI!F:F,VOI!A:A,"8/26")</f>
        <v>396473</v>
      </c>
      <c r="E541" s="11">
        <f>COUNTIFS(VOI!A:A,"8/26")</f>
        <v>11</v>
      </c>
      <c r="F541" s="10">
        <f>SUMIFS(VOI!G:G,VOI!A:A,"8/26")</f>
        <v>10000</v>
      </c>
      <c r="G541" s="11">
        <f t="shared" si="122"/>
        <v>0</v>
      </c>
      <c r="H541" s="12">
        <f t="shared" si="123"/>
        <v>0.0252223985</v>
      </c>
      <c r="I541" s="9">
        <f>COUNTIFS(VOI!H:H,$G$18,VOI!A:A,"8/26")</f>
        <v>0</v>
      </c>
      <c r="J541" s="11">
        <f>COUNTIFS(VOI!H:H,$H$18,VOI!A:A,"8/26")</f>
        <v>0</v>
      </c>
      <c r="K541" s="11">
        <f>COUNTIFS(VOI!H:H,$I$18,VOI!A:A,"8/26")</f>
        <v>11</v>
      </c>
      <c r="L541" s="2"/>
      <c r="M541" s="2"/>
      <c r="N541" s="2"/>
      <c r="O541" s="2"/>
      <c r="P541" s="2"/>
      <c r="Q541" s="2"/>
      <c r="R541" s="2"/>
      <c r="S541" s="2"/>
      <c r="T541" s="2"/>
      <c r="U541" s="2"/>
      <c r="V541" s="2"/>
      <c r="W541" s="2"/>
      <c r="X541" s="2"/>
      <c r="Y541" s="2"/>
      <c r="Z541" s="2"/>
      <c r="AA541" s="2"/>
      <c r="AB541" s="2"/>
    </row>
    <row r="542">
      <c r="A542" s="7" t="s">
        <v>20</v>
      </c>
      <c r="B542" s="78">
        <v>5.614812819E7</v>
      </c>
      <c r="C542" s="79">
        <v>92.0</v>
      </c>
      <c r="D542" s="8">
        <f>SUMIFS(THIKA!F:F,THIKA!A:A,"8/26")</f>
        <v>1426074.79</v>
      </c>
      <c r="E542" s="11">
        <f>COUNTIFS(THIKA!A:A,"8/26")</f>
        <v>14</v>
      </c>
      <c r="F542" s="10">
        <f>SUMIFS(THIKA!G:G,THIKA!A:A,"8/26")</f>
        <v>1179010</v>
      </c>
      <c r="G542" s="11">
        <f t="shared" si="122"/>
        <v>0</v>
      </c>
      <c r="H542" s="12">
        <f t="shared" si="123"/>
        <v>0.8267518704</v>
      </c>
      <c r="I542" s="9">
        <f>COUNTIFS(THIKA!I:I,$G$18,THIKA!A:A,"8/26")</f>
        <v>0</v>
      </c>
      <c r="J542" s="11">
        <f>COUNTIFS(THIKA!I:I,$H$18,THIKA!A:A,"8/26")</f>
        <v>0</v>
      </c>
      <c r="K542" s="11">
        <f>COUNTIFS(THIKA!I:I,$I$18,THIKA!A:A,"8/26")</f>
        <v>0</v>
      </c>
      <c r="L542" s="2"/>
      <c r="M542" s="2"/>
      <c r="N542" s="2"/>
      <c r="O542" s="2"/>
      <c r="P542" s="2"/>
      <c r="Q542" s="2"/>
      <c r="R542" s="2"/>
      <c r="S542" s="2"/>
      <c r="T542" s="2"/>
      <c r="U542" s="2"/>
      <c r="V542" s="2"/>
      <c r="W542" s="2"/>
      <c r="X542" s="2"/>
      <c r="Y542" s="2"/>
      <c r="Z542" s="2"/>
      <c r="AA542" s="2"/>
      <c r="AB542" s="2"/>
    </row>
    <row r="543">
      <c r="A543" s="43" t="s">
        <v>21</v>
      </c>
      <c r="B543" s="77">
        <v>1070436.72</v>
      </c>
      <c r="C543" s="54">
        <v>6.0</v>
      </c>
      <c r="D543" s="44">
        <f>SUMIFS(KITUI!F:F,KITUI!A:A,"8/26")</f>
        <v>79309</v>
      </c>
      <c r="E543" s="45">
        <f>COUNTIFS(KITUI!A:A,"8/26")</f>
        <v>1</v>
      </c>
      <c r="F543" s="46">
        <f>SUMIFS(KITUI!G:G,KITUI!A:A,"8/26")</f>
        <v>0</v>
      </c>
      <c r="G543" s="45">
        <f t="shared" si="122"/>
        <v>0</v>
      </c>
      <c r="H543" s="47">
        <f t="shared" si="123"/>
        <v>0</v>
      </c>
      <c r="I543" s="48">
        <f>COUNTIFS(KITUI!I:I,$G$18,KITUI!A:A,"8/26")</f>
        <v>0</v>
      </c>
      <c r="J543" s="45">
        <f>COUNTIFS(KITUI!I:I,$H$18,KITUI!A:A,"8/26")</f>
        <v>0</v>
      </c>
      <c r="K543" s="45">
        <f>COUNTIFS(KITUI!I:I,$I$18,KITUI!A:A,"8/26")</f>
        <v>0</v>
      </c>
      <c r="L543" s="2"/>
      <c r="M543" s="2"/>
      <c r="N543" s="2"/>
      <c r="O543" s="2"/>
      <c r="P543" s="2"/>
      <c r="Q543" s="2"/>
      <c r="R543" s="2"/>
      <c r="S543" s="2"/>
      <c r="T543" s="2"/>
      <c r="U543" s="2"/>
      <c r="V543" s="2"/>
      <c r="W543" s="2"/>
      <c r="X543" s="2"/>
      <c r="Y543" s="2"/>
      <c r="Z543" s="2"/>
      <c r="AA543" s="2"/>
      <c r="AB543" s="2"/>
    </row>
    <row r="544">
      <c r="A544" s="49" t="s">
        <v>22</v>
      </c>
      <c r="B544" s="77">
        <v>796033.59</v>
      </c>
      <c r="C544" s="54">
        <v>6.0</v>
      </c>
      <c r="D544" s="44">
        <f>SUMIFS(MACHAKOS!F:F,MACHAKOS!A:A,"8/26")</f>
        <v>805784.47</v>
      </c>
      <c r="E544" s="45">
        <f>COUNTIFS(MACHAKOS!A:A,"8/26")</f>
        <v>4</v>
      </c>
      <c r="F544" s="46">
        <f>SUMIFS(MACHAKOS!G:G,MACHAKOS!A:A,"8/26")</f>
        <v>122700</v>
      </c>
      <c r="G544" s="45">
        <f t="shared" si="122"/>
        <v>0</v>
      </c>
      <c r="H544" s="47">
        <f t="shared" si="123"/>
        <v>0.1522739697</v>
      </c>
      <c r="I544" s="48">
        <f>COUNTIFS(MACHAKOS!I:I,$G$18,MACHAKOS!A:A,"8/26")</f>
        <v>0</v>
      </c>
      <c r="J544" s="45">
        <f>COUNTIFS(MACHAKOS!I:I,$H$18,MACHAKOS!A:A,"8/26")</f>
        <v>0</v>
      </c>
      <c r="K544" s="45">
        <f>COUNTIFS(MACHAKOS!I:I,$I$18,MACHAKOS!A:A,"8/26")</f>
        <v>0</v>
      </c>
      <c r="L544" s="2"/>
      <c r="M544" s="2"/>
      <c r="N544" s="2"/>
      <c r="O544" s="2"/>
      <c r="P544" s="2"/>
      <c r="Q544" s="2"/>
      <c r="R544" s="2"/>
      <c r="S544" s="2"/>
      <c r="T544" s="2"/>
      <c r="U544" s="2"/>
      <c r="V544" s="2"/>
      <c r="W544" s="2"/>
      <c r="X544" s="2"/>
      <c r="Y544" s="2"/>
      <c r="Z544" s="2"/>
      <c r="AA544" s="2"/>
      <c r="AB544" s="2"/>
    </row>
    <row r="545">
      <c r="A545" s="66" t="s">
        <v>32</v>
      </c>
      <c r="B545" s="67"/>
      <c r="C545" s="68"/>
      <c r="D545" s="73">
        <v>4150000.0</v>
      </c>
      <c r="E545" s="70"/>
      <c r="F545" s="71"/>
      <c r="G545" s="72">
        <v>1.0</v>
      </c>
      <c r="H545" s="47">
        <f t="shared" si="123"/>
        <v>0</v>
      </c>
      <c r="I545" s="48">
        <f>COUNTIFS(MACHAKOS!I:I,$G$18,MACHAKOS!A:A,"8/26")</f>
        <v>0</v>
      </c>
      <c r="J545" s="45">
        <v>0.0</v>
      </c>
      <c r="K545" s="53">
        <v>2.0</v>
      </c>
      <c r="L545" s="2"/>
      <c r="M545" s="2"/>
      <c r="N545" s="2"/>
      <c r="O545" s="2"/>
      <c r="P545" s="2"/>
      <c r="Q545" s="2"/>
      <c r="R545" s="2"/>
      <c r="S545" s="2"/>
      <c r="T545" s="2"/>
      <c r="U545" s="2"/>
      <c r="V545" s="2"/>
      <c r="W545" s="2"/>
      <c r="X545" s="2"/>
      <c r="Y545" s="2"/>
      <c r="Z545" s="2"/>
      <c r="AA545" s="2"/>
      <c r="AB545" s="2"/>
    </row>
    <row r="546">
      <c r="A546" s="66" t="s">
        <v>31</v>
      </c>
      <c r="B546" s="77">
        <v>1.5221625787E8</v>
      </c>
      <c r="C546" s="54">
        <v>2257.0</v>
      </c>
      <c r="D546" s="73">
        <v>1000000.0</v>
      </c>
      <c r="E546" s="45"/>
      <c r="F546" s="71"/>
      <c r="G546" s="72"/>
      <c r="H546" s="74"/>
      <c r="I546" s="66"/>
      <c r="J546" s="75"/>
      <c r="K546" s="75"/>
      <c r="L546" s="2"/>
      <c r="M546" s="2"/>
      <c r="N546" s="2"/>
      <c r="O546" s="2"/>
      <c r="P546" s="2"/>
      <c r="Q546" s="2"/>
      <c r="R546" s="2"/>
      <c r="S546" s="2"/>
      <c r="T546" s="2"/>
      <c r="U546" s="2"/>
      <c r="V546" s="2"/>
      <c r="W546" s="2"/>
      <c r="X546" s="2"/>
      <c r="Y546" s="2"/>
      <c r="Z546" s="2"/>
      <c r="AA546" s="2"/>
      <c r="AB546" s="2"/>
    </row>
    <row r="547">
      <c r="A547" s="55" t="s">
        <v>23</v>
      </c>
      <c r="B547" s="59">
        <f t="shared" ref="B547:G547" si="124">SUM(B532:B546)</f>
        <v>2502955687</v>
      </c>
      <c r="C547" s="76">
        <f t="shared" si="124"/>
        <v>4168</v>
      </c>
      <c r="D547" s="59">
        <f t="shared" si="124"/>
        <v>42194710.64</v>
      </c>
      <c r="E547" s="60">
        <f t="shared" si="124"/>
        <v>236</v>
      </c>
      <c r="F547" s="59">
        <f t="shared" si="124"/>
        <v>5599056.16</v>
      </c>
      <c r="G547" s="60">
        <f t="shared" si="124"/>
        <v>10</v>
      </c>
      <c r="H547" s="61">
        <f>F547/D547</f>
        <v>0.132695688</v>
      </c>
      <c r="I547" s="62">
        <f t="shared" ref="I547:K547" si="125">SUM(I532:I546)</f>
        <v>4</v>
      </c>
      <c r="J547" s="62">
        <f t="shared" si="125"/>
        <v>5</v>
      </c>
      <c r="K547" s="62">
        <f t="shared" si="125"/>
        <v>26</v>
      </c>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3" t="s">
        <v>1</v>
      </c>
      <c r="B550" s="5" t="s">
        <v>33</v>
      </c>
      <c r="C550" s="5" t="s">
        <v>34</v>
      </c>
      <c r="D550" s="5" t="s">
        <v>2</v>
      </c>
      <c r="E550" s="5" t="s">
        <v>3</v>
      </c>
      <c r="F550" s="5" t="s">
        <v>4</v>
      </c>
      <c r="G550" s="5" t="s">
        <v>5</v>
      </c>
      <c r="H550" s="26" t="s">
        <v>6</v>
      </c>
      <c r="I550" s="26" t="s">
        <v>7</v>
      </c>
      <c r="J550" s="26" t="s">
        <v>8</v>
      </c>
      <c r="K550" s="26" t="s">
        <v>9</v>
      </c>
      <c r="L550" s="2"/>
      <c r="M550" s="2"/>
      <c r="N550" s="2"/>
      <c r="O550" s="2"/>
      <c r="P550" s="2"/>
      <c r="Q550" s="2"/>
      <c r="R550" s="2"/>
      <c r="S550" s="2"/>
      <c r="T550" s="2"/>
      <c r="U550" s="2"/>
      <c r="V550" s="2"/>
      <c r="W550" s="2"/>
      <c r="X550" s="2"/>
      <c r="Y550" s="2"/>
      <c r="Z550" s="2"/>
      <c r="AA550" s="2"/>
      <c r="AB550" s="2"/>
    </row>
    <row r="551">
      <c r="A551" s="7" t="s">
        <v>10</v>
      </c>
      <c r="B551" s="77">
        <v>8.4613592266E8</v>
      </c>
      <c r="C551" s="54">
        <v>391.0</v>
      </c>
      <c r="D551" s="8">
        <f>SUMIFS(ECOBANK!F:F,ECOBANK!A:A,"8/27")</f>
        <v>8181928.88</v>
      </c>
      <c r="E551" s="9">
        <f>COUNTIFS(ECOBANK!A:A,"8/27")</f>
        <v>22</v>
      </c>
      <c r="F551" s="10">
        <f>SUMIFS(ECOBANK!G:G,ECOBANK!A:A,"8/27")</f>
        <v>2202843</v>
      </c>
      <c r="G551" s="11">
        <f t="shared" ref="G551:G563" si="126">I551+J551</f>
        <v>0</v>
      </c>
      <c r="H551" s="12">
        <f t="shared" ref="H551:H564" si="127">iferror(F551/D551,0)</f>
        <v>0.269232724</v>
      </c>
      <c r="I551" s="9">
        <f>COUNTIFS(ECOBANK!I:I,$G$18,ECOBANK!A:A,"8/27")</f>
        <v>0</v>
      </c>
      <c r="J551" s="11">
        <f>COUNTIFS(ECOBANK!I:I,$H$18,ECOBANK!A:A,"8/27)")</f>
        <v>0</v>
      </c>
      <c r="K551" s="11">
        <f>COUNTIFS(ECOBANK!I:I,$I$18,ECOBANK!A:A,"8/27")</f>
        <v>0</v>
      </c>
      <c r="L551" s="2"/>
      <c r="M551" s="2"/>
      <c r="N551" s="2"/>
      <c r="O551" s="2"/>
      <c r="P551" s="2"/>
      <c r="Q551" s="2"/>
      <c r="R551" s="2"/>
      <c r="S551" s="2"/>
      <c r="T551" s="2"/>
      <c r="U551" s="2"/>
      <c r="V551" s="2"/>
      <c r="W551" s="2"/>
      <c r="X551" s="2"/>
      <c r="Y551" s="2"/>
      <c r="Z551" s="2"/>
      <c r="AA551" s="2"/>
      <c r="AB551" s="2"/>
    </row>
    <row r="552">
      <c r="A552" s="7" t="s">
        <v>24</v>
      </c>
      <c r="B552" s="78">
        <v>6.0333938635E8</v>
      </c>
      <c r="C552" s="79">
        <v>252.0</v>
      </c>
      <c r="D552" s="8">
        <f>SUMIFS('TRADE CENTER'!F:F,'TRADE CENTER'!A:A,"8/27")</f>
        <v>10441979.47</v>
      </c>
      <c r="E552" s="11">
        <f>COUNTIFS('TRADE CENTER'!A:A,"8/27")</f>
        <v>43</v>
      </c>
      <c r="F552" s="10">
        <f>SUMIFS('TRADE CENTER'!G:G,'TRADE CENTER'!A:A,"8/27")</f>
        <v>1798362</v>
      </c>
      <c r="G552" s="11">
        <f t="shared" si="126"/>
        <v>0</v>
      </c>
      <c r="H552" s="12">
        <f t="shared" si="127"/>
        <v>0.1722242421</v>
      </c>
      <c r="I552" s="11">
        <f>COUNTIFS('TRADE CENTER'!I:I,$G$18,'TRADE CENTER'!A:A,"8/27")</f>
        <v>0</v>
      </c>
      <c r="J552" s="11">
        <f>COUNTIFS('TRADE CENTER'!I:I,$H$18,'TRADE CENTER'!A:A,"8/27")</f>
        <v>0</v>
      </c>
      <c r="K552" s="11">
        <f>COUNTIFS('TRADE CENTER'!I:I,$I$18,'TRADE CENTER'!A:A,"8/27")</f>
        <v>0</v>
      </c>
      <c r="L552" s="2"/>
      <c r="M552" s="2"/>
      <c r="N552" s="2"/>
      <c r="O552" s="2"/>
      <c r="P552" s="2"/>
      <c r="Q552" s="2"/>
      <c r="R552" s="2"/>
      <c r="S552" s="2"/>
      <c r="T552" s="2"/>
      <c r="U552" s="2"/>
      <c r="V552" s="2"/>
      <c r="W552" s="2"/>
      <c r="X552" s="2"/>
      <c r="Y552" s="2"/>
      <c r="Z552" s="2"/>
      <c r="AA552" s="2"/>
      <c r="AB552" s="2"/>
    </row>
    <row r="553">
      <c r="A553" s="7" t="s">
        <v>12</v>
      </c>
      <c r="B553" s="78">
        <v>2.5310774507E8</v>
      </c>
      <c r="C553" s="79">
        <v>378.0</v>
      </c>
      <c r="D553" s="8">
        <f>SUMIFS(PENSION!F:F,PENSION!A:A,"8/27/2024")</f>
        <v>4068787.14</v>
      </c>
      <c r="E553" s="11">
        <f>COUNTIFS(PENSION!A:A,"8/27")</f>
        <v>42</v>
      </c>
      <c r="F553" s="10">
        <f>SUMIFS(PENSION!G:G,PENSION!A:A,"8/27/2024")</f>
        <v>105000</v>
      </c>
      <c r="G553" s="11">
        <f t="shared" si="126"/>
        <v>0</v>
      </c>
      <c r="H553" s="12">
        <f t="shared" si="127"/>
        <v>0.02580621605</v>
      </c>
      <c r="I553" s="9">
        <f>COUNTIFS(PENSION!I:I,$G$18,PENSION!A:A,"8/27")</f>
        <v>0</v>
      </c>
      <c r="J553" s="11">
        <f>COUNTIFS(PENSION!I:I,$H$18,PENSION!A:A,"8/27")</f>
        <v>0</v>
      </c>
      <c r="K553" s="11">
        <f>COUNTIFS(PENSION!I:I,$I$18,PENSION!A:A,"8/27")</f>
        <v>0</v>
      </c>
      <c r="L553" s="2"/>
      <c r="M553" s="2"/>
      <c r="N553" s="2"/>
      <c r="O553" s="2"/>
      <c r="P553" s="2"/>
      <c r="Q553" s="2"/>
      <c r="R553" s="2"/>
      <c r="S553" s="2"/>
      <c r="T553" s="2"/>
      <c r="U553" s="2"/>
      <c r="V553" s="2"/>
      <c r="W553" s="2"/>
      <c r="X553" s="2"/>
      <c r="Y553" s="2"/>
      <c r="Z553" s="2"/>
      <c r="AA553" s="2"/>
      <c r="AB553" s="2"/>
    </row>
    <row r="554">
      <c r="A554" s="7" t="s">
        <v>13</v>
      </c>
      <c r="B554" s="78">
        <v>1.1130976822E8</v>
      </c>
      <c r="C554" s="79">
        <v>294.0</v>
      </c>
      <c r="D554" s="8">
        <f>SUMIFS(KITENGELA!F:F,KITENGELA!A:A,"8/27/2024")</f>
        <v>7581443.84</v>
      </c>
      <c r="E554" s="11">
        <f>COUNTIFS(KITENGELA!A:A,"8/27")</f>
        <v>25</v>
      </c>
      <c r="F554" s="10">
        <f>SUMIFS(KITENGELA!G:G,KITENGELA!A:A,"8/27")</f>
        <v>838654</v>
      </c>
      <c r="G554" s="11">
        <f t="shared" si="126"/>
        <v>0</v>
      </c>
      <c r="H554" s="12">
        <f t="shared" si="127"/>
        <v>0.1106192986</v>
      </c>
      <c r="I554" s="11">
        <f>COUNTIFS(KITENGELA!I:I,$G$18,KITENGELA!A:A,"8/27")</f>
        <v>0</v>
      </c>
      <c r="J554" s="11">
        <f>COUNTIFS(KITENGELA!I:I,$H$18,KITENGELA!A:A,"8/27")</f>
        <v>0</v>
      </c>
      <c r="K554" s="11">
        <f>COUNTIFS(KITENGELA!I:I,$I$18,KITENGELA!A:A,"8/27")</f>
        <v>0</v>
      </c>
      <c r="L554" s="2"/>
      <c r="M554" s="2"/>
      <c r="N554" s="2"/>
      <c r="O554" s="2"/>
      <c r="P554" s="2"/>
      <c r="Q554" s="2"/>
      <c r="R554" s="2"/>
      <c r="S554" s="2"/>
      <c r="T554" s="2"/>
      <c r="U554" s="2"/>
      <c r="V554" s="2"/>
      <c r="W554" s="2"/>
      <c r="X554" s="2"/>
      <c r="Y554" s="2"/>
      <c r="Z554" s="2"/>
      <c r="AA554" s="2"/>
      <c r="AB554" s="2"/>
    </row>
    <row r="555">
      <c r="A555" s="13" t="s">
        <v>14</v>
      </c>
      <c r="B555" s="78">
        <v>1.5997687913E8</v>
      </c>
      <c r="C555" s="79">
        <v>168.0</v>
      </c>
      <c r="D555" s="8">
        <f>SUMIFS(ELDORET!F:F,ELDORET!A:A,"8/27")</f>
        <v>1997345</v>
      </c>
      <c r="E555" s="11">
        <f>COUNTIFS(ELDORET!A:A,"8/27")</f>
        <v>25</v>
      </c>
      <c r="F555" s="10">
        <f>SUMIFS(ELDORET!G:G,ELDORET!A:A,"8/27")</f>
        <v>170892</v>
      </c>
      <c r="G555" s="11">
        <f t="shared" si="126"/>
        <v>0</v>
      </c>
      <c r="H555" s="12">
        <f t="shared" si="127"/>
        <v>0.08555958034</v>
      </c>
      <c r="I555" s="11">
        <f>COUNTIFS(ELDORET!I:I,$G$18,ELDORET!A:A,"8/27")</f>
        <v>0</v>
      </c>
      <c r="J555" s="11">
        <f>COUNTIFS(ELDORET!I:I,$H$18,ELDORET!A:A,"8/27")</f>
        <v>0</v>
      </c>
      <c r="K555" s="11">
        <f>COUNTIFS(ELDORET!I:I,$I$18,ELDORET!A:A,"8/27")</f>
        <v>0</v>
      </c>
      <c r="L555" s="2"/>
      <c r="M555" s="2"/>
      <c r="N555" s="2"/>
      <c r="O555" s="2"/>
      <c r="P555" s="2"/>
      <c r="Q555" s="2"/>
      <c r="R555" s="2"/>
      <c r="S555" s="2"/>
      <c r="T555" s="2"/>
      <c r="U555" s="2"/>
      <c r="V555" s="2"/>
      <c r="W555" s="2"/>
      <c r="X555" s="2"/>
      <c r="Y555" s="2"/>
      <c r="Z555" s="2"/>
      <c r="AA555" s="2"/>
      <c r="AB555" s="2"/>
    </row>
    <row r="556">
      <c r="A556" s="7" t="s">
        <v>15</v>
      </c>
      <c r="B556" s="78">
        <v>1.639239948E7</v>
      </c>
      <c r="C556" s="79">
        <v>19.0</v>
      </c>
      <c r="D556" s="8">
        <f>SUMIFS(NAKURU!F:F,NAKURU!A:A,"8/27")</f>
        <v>145800</v>
      </c>
      <c r="E556" s="11">
        <f>COUNTIFS(NAKURU!A:A,"8/27")</f>
        <v>5</v>
      </c>
      <c r="F556" s="10">
        <f>SUMIFS(NAKURU!G:G,NAKURU!A:A,"8/27")</f>
        <v>63067</v>
      </c>
      <c r="G556" s="11">
        <f t="shared" si="126"/>
        <v>0</v>
      </c>
      <c r="H556" s="12">
        <f t="shared" si="127"/>
        <v>0.432558299</v>
      </c>
      <c r="I556" s="9">
        <f>COUNTIFS(NAKURU!I:I,$G$18,NAKURU!A:A,"8/27")</f>
        <v>0</v>
      </c>
      <c r="J556" s="11">
        <f>COUNTIFS(NAKURU!I:I,$H$18,NAKURU!A:A,"8/27")</f>
        <v>0</v>
      </c>
      <c r="K556" s="11">
        <f>COUNTIFS(NAKURU!I:I,$I$18,NAKURU!A:A,"8/27")</f>
        <v>0</v>
      </c>
      <c r="L556" s="2"/>
      <c r="M556" s="2"/>
      <c r="N556" s="2"/>
      <c r="O556" s="2"/>
      <c r="P556" s="2"/>
      <c r="Q556" s="2"/>
      <c r="R556" s="2"/>
      <c r="S556" s="2"/>
      <c r="T556" s="2"/>
      <c r="U556" s="2"/>
      <c r="V556" s="2"/>
      <c r="W556" s="2"/>
      <c r="X556" s="2"/>
      <c r="Y556" s="2"/>
      <c r="Z556" s="2"/>
      <c r="AA556" s="2"/>
      <c r="AB556" s="2"/>
    </row>
    <row r="557">
      <c r="A557" s="7" t="s">
        <v>16</v>
      </c>
      <c r="B557" s="78">
        <v>1.198031398E7</v>
      </c>
      <c r="C557" s="79">
        <v>16.0</v>
      </c>
      <c r="D557" s="8">
        <f>SUMIFS(HOMABAY!F:F,HOMABAY!A:A,"8/27")</f>
        <v>208395</v>
      </c>
      <c r="E557" s="11">
        <f>COUNTIFS(HOMABAY!A:A,"8/27")</f>
        <v>5</v>
      </c>
      <c r="F557" s="10">
        <f>SUMIFS(HOMABAY!G:G,HOMABAY!A:A,"8/27")</f>
        <v>44000</v>
      </c>
      <c r="G557" s="11">
        <f t="shared" si="126"/>
        <v>0</v>
      </c>
      <c r="H557" s="12">
        <f t="shared" si="127"/>
        <v>0.2111375033</v>
      </c>
      <c r="I557" s="9">
        <f>COUNTIFS(HOMABAY!K:K,$G$18,HOMABAY!A:A,"8/27")</f>
        <v>0</v>
      </c>
      <c r="J557" s="11">
        <f>COUNTIFS(HOMABAY!K:K,$H$18,HOMABAY!A:A,"8/27")</f>
        <v>0</v>
      </c>
      <c r="K557" s="11">
        <f>COUNTIFS(HOMABAY!K:K,$I$18,HOMABAY!A:A,"8/27")</f>
        <v>0</v>
      </c>
      <c r="L557" s="2"/>
      <c r="M557" s="2"/>
      <c r="N557" s="2"/>
      <c r="O557" s="2"/>
      <c r="P557" s="2"/>
      <c r="Q557" s="2"/>
      <c r="R557" s="2"/>
      <c r="S557" s="2"/>
      <c r="T557" s="2"/>
      <c r="U557" s="2"/>
      <c r="V557" s="2"/>
      <c r="W557" s="2"/>
      <c r="X557" s="2"/>
      <c r="Y557" s="2"/>
      <c r="Z557" s="2"/>
      <c r="AA557" s="2"/>
      <c r="AB557" s="2"/>
    </row>
    <row r="558">
      <c r="A558" s="7" t="s">
        <v>17</v>
      </c>
      <c r="B558" s="78">
        <v>1.982130446E8</v>
      </c>
      <c r="C558" s="79">
        <v>180.0</v>
      </c>
      <c r="D558" s="8">
        <f>SUMIFS(MOMBASA!F:F,MOMBASA!A:A,"8/27")</f>
        <v>1369024.27</v>
      </c>
      <c r="E558" s="11">
        <f>COUNTIFS(MOMBASA!A:A,"8/27")</f>
        <v>21</v>
      </c>
      <c r="F558" s="27">
        <f>SUMIFS(MOMBASA!G:G,MOMBASA!A:A,"8/27")</f>
        <v>146859</v>
      </c>
      <c r="G558" s="11">
        <f t="shared" si="126"/>
        <v>5</v>
      </c>
      <c r="H558" s="12">
        <f t="shared" si="127"/>
        <v>0.1072727513</v>
      </c>
      <c r="I558" s="9">
        <f>COUNTIFS(MOMBASA!I:I,$G$18,MOMBASA!A:A,"8/27")</f>
        <v>2</v>
      </c>
      <c r="J558" s="11">
        <f>COUNTIFS(MOMBASA!I:I,$H$18,MOMBASA!A:A,"8/27")</f>
        <v>3</v>
      </c>
      <c r="K558" s="11">
        <f>COUNTIFS(MOMBASA!I:I,$I$18,MOMBASA!A:A,"8/27")</f>
        <v>16</v>
      </c>
      <c r="L558" s="2"/>
      <c r="M558" s="2"/>
      <c r="N558" s="2"/>
      <c r="O558" s="2"/>
      <c r="P558" s="2"/>
      <c r="Q558" s="2"/>
      <c r="R558" s="2"/>
      <c r="S558" s="2"/>
      <c r="T558" s="2"/>
      <c r="U558" s="2"/>
      <c r="V558" s="2"/>
      <c r="W558" s="2"/>
      <c r="X558" s="2"/>
      <c r="Y558" s="2"/>
      <c r="Z558" s="2"/>
      <c r="AA558" s="2"/>
      <c r="AB558" s="2"/>
    </row>
    <row r="559">
      <c r="A559" s="7" t="s">
        <v>18</v>
      </c>
      <c r="B559" s="78">
        <v>8.476405245E7</v>
      </c>
      <c r="C559" s="79">
        <v>88.0</v>
      </c>
      <c r="D559" s="8">
        <f>SUMIFS(KISUMU!F:F,KISUMU!A:A,"8/27")</f>
        <v>1415106.68</v>
      </c>
      <c r="E559" s="11">
        <f>COUNTIFS(KISUMU!A:A,"8/27")</f>
        <v>25</v>
      </c>
      <c r="F559" s="10">
        <f>SUMIFS(KISUMU!G:G,KISUMU!A:A,"8/27")</f>
        <v>150900</v>
      </c>
      <c r="G559" s="11">
        <f t="shared" si="126"/>
        <v>0</v>
      </c>
      <c r="H559" s="12">
        <f t="shared" si="127"/>
        <v>0.1066350701</v>
      </c>
      <c r="I559" s="9">
        <f>COUNTIFS(KISUMU!I:I,$G$18,KISUMU!A:A,"8/27")</f>
        <v>0</v>
      </c>
      <c r="J559" s="11">
        <f>COUNTIFS(KISUMU!I:I,$H$18,KISUMU!A:A,"8/27")</f>
        <v>0</v>
      </c>
      <c r="K559" s="11">
        <f>COUNTIFS(KISUMU!I:I,$I$18,KISUMU!A:A,"8/27")</f>
        <v>0</v>
      </c>
      <c r="L559" s="2"/>
      <c r="M559" s="2"/>
      <c r="N559" s="2"/>
      <c r="O559" s="2"/>
      <c r="P559" s="2"/>
      <c r="Q559" s="2"/>
      <c r="R559" s="2"/>
      <c r="S559" s="2"/>
      <c r="T559" s="2"/>
      <c r="U559" s="2"/>
      <c r="V559" s="2"/>
      <c r="W559" s="2"/>
      <c r="X559" s="2"/>
      <c r="Y559" s="2"/>
      <c r="Z559" s="2"/>
      <c r="AA559" s="2"/>
      <c r="AB559" s="2"/>
    </row>
    <row r="560">
      <c r="A560" s="7" t="s">
        <v>19</v>
      </c>
      <c r="B560" s="78">
        <v>7505319.14</v>
      </c>
      <c r="C560" s="79">
        <v>21.0</v>
      </c>
      <c r="D560" s="8">
        <f>SUMIFS(VOI!F:F,VOI!A:A,"8/27")</f>
        <v>386473</v>
      </c>
      <c r="E560" s="11">
        <f>COUNTIFS(VOI!A:A,"8/27")</f>
        <v>11</v>
      </c>
      <c r="F560" s="10">
        <f>SUMIFS(VOI!G:G,VOI!A:A,"8/27")</f>
        <v>10000</v>
      </c>
      <c r="G560" s="11">
        <f t="shared" si="126"/>
        <v>0</v>
      </c>
      <c r="H560" s="12">
        <f t="shared" si="127"/>
        <v>0.02587502879</v>
      </c>
      <c r="I560" s="9">
        <f>COUNTIFS(VOI!H:H,$G$18,VOI!A:A,"8/27")</f>
        <v>0</v>
      </c>
      <c r="J560" s="11">
        <f>COUNTIFS(VOI!H:H,$H$18,VOI!A:A,"8/27")</f>
        <v>0</v>
      </c>
      <c r="K560" s="11">
        <f>COUNTIFS(VOI!H:H,$I$18,VOI!A:A,"8/27")</f>
        <v>11</v>
      </c>
      <c r="L560" s="2"/>
      <c r="M560" s="2"/>
      <c r="N560" s="2"/>
      <c r="O560" s="2"/>
      <c r="P560" s="2"/>
      <c r="Q560" s="2"/>
      <c r="R560" s="2"/>
      <c r="S560" s="2"/>
      <c r="T560" s="2"/>
      <c r="U560" s="2"/>
      <c r="V560" s="2"/>
      <c r="W560" s="2"/>
      <c r="X560" s="2"/>
      <c r="Y560" s="2"/>
      <c r="Z560" s="2"/>
      <c r="AA560" s="2"/>
      <c r="AB560" s="2"/>
    </row>
    <row r="561">
      <c r="A561" s="7" t="s">
        <v>20</v>
      </c>
      <c r="B561" s="78">
        <v>5.614812819E7</v>
      </c>
      <c r="C561" s="79">
        <v>92.0</v>
      </c>
      <c r="D561" s="8">
        <f>SUMIFS(THIKA!F:F,THIKA!A:A,"8/27")</f>
        <v>2476392</v>
      </c>
      <c r="E561" s="11">
        <f>COUNTIFS(THIKA!A:A,"8/27")</f>
        <v>13</v>
      </c>
      <c r="F561" s="10">
        <f>SUMIFS(THIKA!G:G,THIKA!A:A,"8/27")</f>
        <v>2150072</v>
      </c>
      <c r="G561" s="11">
        <f t="shared" si="126"/>
        <v>0</v>
      </c>
      <c r="H561" s="12">
        <f t="shared" si="127"/>
        <v>0.8682276473</v>
      </c>
      <c r="I561" s="9">
        <f>COUNTIFS(THIKA!I:I,$G$18,THIKA!A:A,"8/27")</f>
        <v>0</v>
      </c>
      <c r="J561" s="11">
        <f>COUNTIFS(THIKA!I:I,$H$18,THIKA!A:A,"8/27")</f>
        <v>0</v>
      </c>
      <c r="K561" s="11">
        <f>COUNTIFS(THIKA!I:I,$I$18,THIKA!A:A,"8/27")</f>
        <v>0</v>
      </c>
      <c r="L561" s="2"/>
      <c r="M561" s="2"/>
      <c r="N561" s="2"/>
      <c r="O561" s="2"/>
      <c r="P561" s="2"/>
      <c r="Q561" s="2"/>
      <c r="R561" s="2"/>
      <c r="S561" s="2"/>
      <c r="T561" s="2"/>
      <c r="U561" s="2"/>
      <c r="V561" s="2"/>
      <c r="W561" s="2"/>
      <c r="X561" s="2"/>
      <c r="Y561" s="2"/>
      <c r="Z561" s="2"/>
      <c r="AA561" s="2"/>
      <c r="AB561" s="2"/>
    </row>
    <row r="562">
      <c r="A562" s="43" t="s">
        <v>21</v>
      </c>
      <c r="B562" s="77">
        <v>1070436.72</v>
      </c>
      <c r="C562" s="54">
        <v>6.0</v>
      </c>
      <c r="D562" s="44">
        <f>SUMIFS(KITUI!F:F,KITUI!A:A,"8/27")</f>
        <v>128783</v>
      </c>
      <c r="E562" s="45">
        <f>COUNTIFS(KITUI!A:A,"8/27")</f>
        <v>2</v>
      </c>
      <c r="F562" s="46">
        <f>SUMIFS(KITUI!G:G,KITUI!A:A,"8/27")</f>
        <v>0</v>
      </c>
      <c r="G562" s="45">
        <f t="shared" si="126"/>
        <v>0</v>
      </c>
      <c r="H562" s="47">
        <f t="shared" si="127"/>
        <v>0</v>
      </c>
      <c r="I562" s="48">
        <f>COUNTIFS(KITUI!I:I,$G$18,KITUI!A:A,"8/27")</f>
        <v>0</v>
      </c>
      <c r="J562" s="45">
        <f>COUNTIFS(KITUI!I:I,$H$18,KITUI!A:A,"8/27")</f>
        <v>0</v>
      </c>
      <c r="K562" s="45">
        <f>COUNTIFS(KITUI!I:I,$I$18,KITUI!A:A,"8/27")</f>
        <v>0</v>
      </c>
      <c r="L562" s="2"/>
      <c r="M562" s="2"/>
      <c r="N562" s="2"/>
      <c r="O562" s="2"/>
      <c r="P562" s="2"/>
      <c r="Q562" s="2"/>
      <c r="R562" s="2"/>
      <c r="S562" s="2"/>
      <c r="T562" s="2"/>
      <c r="U562" s="2"/>
      <c r="V562" s="2"/>
      <c r="W562" s="2"/>
      <c r="X562" s="2"/>
      <c r="Y562" s="2"/>
      <c r="Z562" s="2"/>
      <c r="AA562" s="2"/>
      <c r="AB562" s="2"/>
    </row>
    <row r="563">
      <c r="A563" s="49" t="s">
        <v>22</v>
      </c>
      <c r="B563" s="77">
        <v>796033.59</v>
      </c>
      <c r="C563" s="54">
        <v>6.0</v>
      </c>
      <c r="D563" s="44">
        <f>SUMIFS(MACHAKOS!F:F,MACHAKOS!A:A,"8/27")</f>
        <v>385313.4</v>
      </c>
      <c r="E563" s="45">
        <f>COUNTIFS(MACHAKOS!A:A,"8/27")</f>
        <v>3</v>
      </c>
      <c r="F563" s="46">
        <f>SUMIFS(MACHAKOS!G:G,MACHAKOS!A:A,"8/27")</f>
        <v>21100</v>
      </c>
      <c r="G563" s="45">
        <f t="shared" si="126"/>
        <v>0</v>
      </c>
      <c r="H563" s="47">
        <f t="shared" si="127"/>
        <v>0.05476061824</v>
      </c>
      <c r="I563" s="48">
        <f>COUNTIFS(MACHAKOS!I:I,$G$18,MACHAKOS!A:A,"8/27")</f>
        <v>0</v>
      </c>
      <c r="J563" s="45">
        <f>COUNTIFS(MACHAKOS!I:I,$H$18,MACHAKOS!A:A,"8/27")</f>
        <v>0</v>
      </c>
      <c r="K563" s="45">
        <f>COUNTIFS(MACHAKOS!I:I,$I$18,MACHAKOS!A:A,"8/27")</f>
        <v>0</v>
      </c>
      <c r="L563" s="2"/>
      <c r="M563" s="2"/>
      <c r="N563" s="2"/>
      <c r="O563" s="2"/>
      <c r="P563" s="2"/>
      <c r="Q563" s="2"/>
      <c r="R563" s="2"/>
      <c r="S563" s="2"/>
      <c r="T563" s="2"/>
      <c r="U563" s="2"/>
      <c r="V563" s="2"/>
      <c r="W563" s="2"/>
      <c r="X563" s="2"/>
      <c r="Y563" s="2"/>
      <c r="Z563" s="2"/>
      <c r="AA563" s="2"/>
      <c r="AB563" s="2"/>
    </row>
    <row r="564">
      <c r="A564" s="66" t="s">
        <v>32</v>
      </c>
      <c r="B564" s="67"/>
      <c r="C564" s="68"/>
      <c r="D564" s="73">
        <v>4150000.0</v>
      </c>
      <c r="E564" s="80">
        <v>4.0</v>
      </c>
      <c r="F564" s="71"/>
      <c r="G564" s="72">
        <v>1.0</v>
      </c>
      <c r="H564" s="47">
        <f t="shared" si="127"/>
        <v>0</v>
      </c>
      <c r="I564" s="48">
        <f>COUNTIFS(MACHAKOS!I:I,$G$18,MACHAKOS!A:A,"8/27")</f>
        <v>0</v>
      </c>
      <c r="J564" s="45">
        <v>0.0</v>
      </c>
      <c r="K564" s="53">
        <v>2.0</v>
      </c>
      <c r="L564" s="2"/>
      <c r="M564" s="2"/>
      <c r="N564" s="2"/>
      <c r="O564" s="2"/>
      <c r="P564" s="2"/>
      <c r="Q564" s="2"/>
      <c r="R564" s="2"/>
      <c r="S564" s="2"/>
      <c r="T564" s="2"/>
      <c r="U564" s="2"/>
      <c r="V564" s="2"/>
      <c r="W564" s="2"/>
      <c r="X564" s="2"/>
      <c r="Y564" s="2"/>
      <c r="Z564" s="2"/>
      <c r="AA564" s="2"/>
      <c r="AB564" s="2"/>
    </row>
    <row r="565">
      <c r="A565" s="66" t="s">
        <v>31</v>
      </c>
      <c r="B565" s="77">
        <v>1.5221625787E8</v>
      </c>
      <c r="C565" s="54">
        <v>2257.0</v>
      </c>
      <c r="D565" s="73">
        <v>1000000.0</v>
      </c>
      <c r="E565" s="45"/>
      <c r="F565" s="71"/>
      <c r="G565" s="72"/>
      <c r="H565" s="74"/>
      <c r="I565" s="66"/>
      <c r="J565" s="75"/>
      <c r="K565" s="75"/>
      <c r="L565" s="2"/>
      <c r="M565" s="2"/>
      <c r="N565" s="2"/>
      <c r="O565" s="2"/>
      <c r="P565" s="2"/>
      <c r="Q565" s="2"/>
      <c r="R565" s="2"/>
      <c r="S565" s="2"/>
      <c r="T565" s="2"/>
      <c r="U565" s="2"/>
      <c r="V565" s="2"/>
      <c r="W565" s="2"/>
      <c r="X565" s="2"/>
      <c r="Y565" s="2"/>
      <c r="Z565" s="2"/>
      <c r="AA565" s="2"/>
      <c r="AB565" s="2"/>
    </row>
    <row r="566">
      <c r="A566" s="55" t="s">
        <v>23</v>
      </c>
      <c r="B566" s="59">
        <f t="shared" ref="B566:G566" si="128">SUM(B551:B565)</f>
        <v>2502955687</v>
      </c>
      <c r="C566" s="76">
        <f t="shared" si="128"/>
        <v>4168</v>
      </c>
      <c r="D566" s="59">
        <f t="shared" si="128"/>
        <v>43936771.68</v>
      </c>
      <c r="E566" s="60">
        <f t="shared" si="128"/>
        <v>246</v>
      </c>
      <c r="F566" s="59">
        <f t="shared" si="128"/>
        <v>7701749</v>
      </c>
      <c r="G566" s="60">
        <f t="shared" si="128"/>
        <v>6</v>
      </c>
      <c r="H566" s="61">
        <f>F566/D566</f>
        <v>0.1752916454</v>
      </c>
      <c r="I566" s="62">
        <f t="shared" ref="I566:K566" si="129">SUM(I551:I565)</f>
        <v>2</v>
      </c>
      <c r="J566" s="62">
        <f t="shared" si="129"/>
        <v>3</v>
      </c>
      <c r="K566" s="62">
        <f t="shared" si="129"/>
        <v>29</v>
      </c>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3" t="s">
        <v>1</v>
      </c>
      <c r="B569" s="5" t="s">
        <v>33</v>
      </c>
      <c r="C569" s="5" t="s">
        <v>34</v>
      </c>
      <c r="D569" s="5" t="s">
        <v>2</v>
      </c>
      <c r="E569" s="5" t="s">
        <v>3</v>
      </c>
      <c r="F569" s="5" t="s">
        <v>4</v>
      </c>
      <c r="G569" s="5" t="s">
        <v>5</v>
      </c>
      <c r="H569" s="26" t="s">
        <v>6</v>
      </c>
      <c r="I569" s="26" t="s">
        <v>7</v>
      </c>
      <c r="J569" s="26" t="s">
        <v>8</v>
      </c>
      <c r="K569" s="26" t="s">
        <v>9</v>
      </c>
      <c r="L569" s="2"/>
      <c r="M569" s="2"/>
      <c r="N569" s="2"/>
      <c r="O569" s="2"/>
      <c r="P569" s="2"/>
      <c r="Q569" s="2"/>
      <c r="R569" s="2"/>
      <c r="S569" s="2"/>
      <c r="T569" s="2"/>
      <c r="U569" s="2"/>
      <c r="V569" s="2"/>
      <c r="W569" s="2"/>
      <c r="X569" s="2"/>
      <c r="Y569" s="2"/>
      <c r="Z569" s="2"/>
      <c r="AA569" s="2"/>
      <c r="AB569" s="2"/>
    </row>
    <row r="570">
      <c r="A570" s="7" t="s">
        <v>10</v>
      </c>
      <c r="B570" s="77">
        <v>8.4613592266E8</v>
      </c>
      <c r="C570" s="54">
        <v>391.0</v>
      </c>
      <c r="D570" s="8">
        <f>SUMIFS(ECOBANK!F:F,ECOBANK!A:A,"8/28")</f>
        <v>6346800.42</v>
      </c>
      <c r="E570" s="9">
        <f>COUNTIFS(ECOBANK!A:A,"8/28")</f>
        <v>21</v>
      </c>
      <c r="F570" s="10">
        <f>SUMIFS(ECOBANK!G:G,ECOBANK!A:A,"8/28")</f>
        <v>1920380</v>
      </c>
      <c r="G570" s="11">
        <f t="shared" ref="G570:G582" si="130">I570+J570</f>
        <v>0</v>
      </c>
      <c r="H570" s="12">
        <f t="shared" ref="H570:H583" si="131">iferror(F570/D570,0)</f>
        <v>0.3025745057</v>
      </c>
      <c r="I570" s="9">
        <f>COUNTIFS(ECOBANK!I:I,$G$18,ECOBANK!A:A,"8/28")</f>
        <v>0</v>
      </c>
      <c r="J570" s="11">
        <f>COUNTIFS(ECOBANK!I:I,$H$18,ECOBANK!A:A,"8/28)")</f>
        <v>0</v>
      </c>
      <c r="K570" s="11">
        <f>COUNTIFS(ECOBANK!I:I,$I$18,ECOBANK!A:A,"8/28")</f>
        <v>0</v>
      </c>
      <c r="L570" s="2"/>
      <c r="M570" s="2"/>
      <c r="N570" s="2"/>
      <c r="O570" s="2"/>
      <c r="P570" s="2"/>
      <c r="Q570" s="2"/>
      <c r="R570" s="2"/>
      <c r="S570" s="2"/>
      <c r="T570" s="2"/>
      <c r="U570" s="2"/>
      <c r="V570" s="2"/>
      <c r="W570" s="2"/>
      <c r="X570" s="2"/>
      <c r="Y570" s="2"/>
      <c r="Z570" s="2"/>
      <c r="AA570" s="2"/>
      <c r="AB570" s="2"/>
    </row>
    <row r="571">
      <c r="A571" s="81" t="s">
        <v>24</v>
      </c>
      <c r="B571" s="82">
        <v>6.0333938635E8</v>
      </c>
      <c r="C571" s="83">
        <v>252.0</v>
      </c>
      <c r="D571" s="84">
        <f>SUMIFS('TRADE CENTER'!F:F,'TRADE CENTER'!A:A,"8/28")</f>
        <v>9624146.5</v>
      </c>
      <c r="E571" s="85">
        <f>COUNTIFS('TRADE CENTER'!A:A,"8/28")</f>
        <v>40</v>
      </c>
      <c r="F571" s="86">
        <f>SUMIFS('TRADE CENTER'!G:G,'TRADE CENTER'!A:A,"8/28")</f>
        <v>795188</v>
      </c>
      <c r="G571" s="85">
        <f t="shared" si="130"/>
        <v>0</v>
      </c>
      <c r="H571" s="87">
        <f t="shared" si="131"/>
        <v>0.0826242618</v>
      </c>
      <c r="I571" s="85">
        <f>COUNTIFS('TRADE CENTER'!I:I,$G$18,'TRADE CENTER'!A:A,"8/28")</f>
        <v>0</v>
      </c>
      <c r="J571" s="85">
        <f>COUNTIFS('TRADE CENTER'!I:I,$H$18,'TRADE CENTER'!A:A,"8/28")</f>
        <v>0</v>
      </c>
      <c r="K571" s="85">
        <f>COUNTIFS('TRADE CENTER'!I:I,$I$18,'TRADE CENTER'!A:A,"8/28")</f>
        <v>0</v>
      </c>
      <c r="L571" s="88"/>
      <c r="M571" s="88"/>
      <c r="N571" s="88"/>
      <c r="O571" s="88"/>
      <c r="P571" s="88"/>
      <c r="Q571" s="88"/>
      <c r="R571" s="88"/>
      <c r="S571" s="88"/>
      <c r="T571" s="88"/>
      <c r="U571" s="88"/>
      <c r="V571" s="88"/>
      <c r="W571" s="88"/>
      <c r="X571" s="88"/>
      <c r="Y571" s="88"/>
      <c r="Z571" s="88"/>
      <c r="AA571" s="88"/>
      <c r="AB571" s="88"/>
      <c r="AC571" s="89"/>
      <c r="AD571" s="89"/>
    </row>
    <row r="572">
      <c r="A572" s="7" t="s">
        <v>12</v>
      </c>
      <c r="B572" s="78">
        <v>2.5310774507E8</v>
      </c>
      <c r="C572" s="79">
        <v>378.0</v>
      </c>
      <c r="D572" s="8">
        <f>SUMIFS(PENSION!F:F,PENSION!A:A,"8/28/2024")</f>
        <v>5670706.96</v>
      </c>
      <c r="E572" s="11">
        <f>COUNTIFS(PENSION!A:A,"8/28")</f>
        <v>37</v>
      </c>
      <c r="F572" s="10">
        <f>SUMIFS(PENSION!G:G,PENSION!A:A,"8/28/2024")</f>
        <v>2070000</v>
      </c>
      <c r="G572" s="11">
        <f t="shared" si="130"/>
        <v>0</v>
      </c>
      <c r="H572" s="12">
        <f t="shared" si="131"/>
        <v>0.3650338511</v>
      </c>
      <c r="I572" s="9">
        <f>COUNTIFS(PENSION!I:I,$G$18,PENSION!A:A,"8/28")</f>
        <v>0</v>
      </c>
      <c r="J572" s="11">
        <f>COUNTIFS(PENSION!I:I,$H$18,PENSION!A:A,"8/28")</f>
        <v>0</v>
      </c>
      <c r="K572" s="11">
        <f>COUNTIFS(PENSION!I:I,$I$18,PENSION!A:A,"8/28")</f>
        <v>0</v>
      </c>
      <c r="L572" s="2"/>
      <c r="M572" s="2"/>
      <c r="N572" s="2"/>
      <c r="O572" s="2"/>
      <c r="P572" s="2"/>
      <c r="Q572" s="2"/>
      <c r="R572" s="2"/>
      <c r="S572" s="2"/>
      <c r="T572" s="2"/>
      <c r="U572" s="2"/>
      <c r="V572" s="2"/>
      <c r="W572" s="2"/>
      <c r="X572" s="2"/>
      <c r="Y572" s="2"/>
      <c r="Z572" s="2"/>
      <c r="AA572" s="2"/>
      <c r="AB572" s="2"/>
    </row>
    <row r="573">
      <c r="A573" s="7" t="s">
        <v>13</v>
      </c>
      <c r="B573" s="78">
        <v>1.1130976822E8</v>
      </c>
      <c r="C573" s="79">
        <v>294.0</v>
      </c>
      <c r="D573" s="8">
        <f>SUMIFS(KITENGELA!F:F,KITENGELA!A:A,"8/28/2024")</f>
        <v>4480160.25</v>
      </c>
      <c r="E573" s="11">
        <f>COUNTIFS(KITENGELA!A:A,"8/28")</f>
        <v>20</v>
      </c>
      <c r="F573" s="10">
        <f>SUMIFS(KITENGELA!G:G,KITENGELA!A:A,"8/28")</f>
        <v>378631</v>
      </c>
      <c r="G573" s="11">
        <f t="shared" si="130"/>
        <v>0</v>
      </c>
      <c r="H573" s="12">
        <f t="shared" si="131"/>
        <v>0.08451282518</v>
      </c>
      <c r="I573" s="11">
        <f>COUNTIFS(KITENGELA!I:I,$G$18,KITENGELA!A:A,"8/28")</f>
        <v>0</v>
      </c>
      <c r="J573" s="11">
        <f>COUNTIFS(KITENGELA!I:I,$H$18,KITENGELA!A:A,"8/28")</f>
        <v>0</v>
      </c>
      <c r="K573" s="11">
        <f>COUNTIFS(KITENGELA!I:I,$I$18,KITENGELA!A:A,"8/28")</f>
        <v>0</v>
      </c>
      <c r="L573" s="2"/>
      <c r="M573" s="2"/>
      <c r="N573" s="2"/>
      <c r="O573" s="2"/>
      <c r="P573" s="2"/>
      <c r="Q573" s="2"/>
      <c r="R573" s="2"/>
      <c r="S573" s="2"/>
      <c r="T573" s="2"/>
      <c r="U573" s="2"/>
      <c r="V573" s="2"/>
      <c r="W573" s="2"/>
      <c r="X573" s="2"/>
      <c r="Y573" s="2"/>
      <c r="Z573" s="2"/>
      <c r="AA573" s="2"/>
      <c r="AB573" s="2"/>
    </row>
    <row r="574">
      <c r="A574" s="13" t="s">
        <v>14</v>
      </c>
      <c r="B574" s="78">
        <v>1.5997687913E8</v>
      </c>
      <c r="C574" s="79">
        <v>168.0</v>
      </c>
      <c r="D574" s="8">
        <f>SUMIFS(ELDORET!F:F,ELDORET!A:A,"8/28")</f>
        <v>1800080</v>
      </c>
      <c r="E574" s="11">
        <f>COUNTIFS(ELDORET!A:A,"8/28")</f>
        <v>21</v>
      </c>
      <c r="F574" s="10">
        <f>SUMIFS(ELDORET!G:G,ELDORET!A:A,"8/28")</f>
        <v>301700</v>
      </c>
      <c r="G574" s="11">
        <f t="shared" si="130"/>
        <v>0</v>
      </c>
      <c r="H574" s="12">
        <f t="shared" si="131"/>
        <v>0.1676036621</v>
      </c>
      <c r="I574" s="11">
        <f>COUNTIFS(ELDORET!I:I,$G$18,ELDORET!A:A,"8/28")</f>
        <v>0</v>
      </c>
      <c r="J574" s="11">
        <f>COUNTIFS(ELDORET!I:I,$H$18,ELDORET!A:A,"8/28")</f>
        <v>0</v>
      </c>
      <c r="K574" s="11">
        <f>COUNTIFS(ELDORET!I:I,$I$18,ELDORET!A:A,"8/28")</f>
        <v>0</v>
      </c>
      <c r="L574" s="2"/>
      <c r="M574" s="2"/>
      <c r="N574" s="2"/>
      <c r="O574" s="2"/>
      <c r="P574" s="2"/>
      <c r="Q574" s="2"/>
      <c r="R574" s="2"/>
      <c r="S574" s="2"/>
      <c r="T574" s="2"/>
      <c r="U574" s="2"/>
      <c r="V574" s="2"/>
      <c r="W574" s="2"/>
      <c r="X574" s="2"/>
      <c r="Y574" s="2"/>
      <c r="Z574" s="2"/>
      <c r="AA574" s="2"/>
      <c r="AB574" s="2"/>
    </row>
    <row r="575">
      <c r="A575" s="7" t="s">
        <v>15</v>
      </c>
      <c r="B575" s="78">
        <v>1.639239948E7</v>
      </c>
      <c r="C575" s="79">
        <v>19.0</v>
      </c>
      <c r="D575" s="8">
        <f>SUMIFS(NAKURU!F:F,NAKURU!A:A,"8/28")</f>
        <v>109500</v>
      </c>
      <c r="E575" s="11">
        <f>COUNTIFS(NAKURU!A:A,"8/28")</f>
        <v>4</v>
      </c>
      <c r="F575" s="10">
        <f>SUMIFS(NAKURU!G:G,NAKURU!A:A,"8/28")</f>
        <v>27000</v>
      </c>
      <c r="G575" s="11">
        <f t="shared" si="130"/>
        <v>0</v>
      </c>
      <c r="H575" s="12">
        <f t="shared" si="131"/>
        <v>0.2465753425</v>
      </c>
      <c r="I575" s="9">
        <f>COUNTIFS(NAKURU!I:I,$G$18,NAKURU!A:A,"8/28")</f>
        <v>0</v>
      </c>
      <c r="J575" s="11">
        <f>COUNTIFS(NAKURU!I:I,$H$18,NAKURU!A:A,"8/28")</f>
        <v>0</v>
      </c>
      <c r="K575" s="11">
        <f>COUNTIFS(NAKURU!I:I,$I$18,NAKURU!A:A,"8/28")</f>
        <v>0</v>
      </c>
      <c r="L575" s="2"/>
      <c r="M575" s="2"/>
      <c r="N575" s="2"/>
      <c r="O575" s="2"/>
      <c r="P575" s="2"/>
      <c r="Q575" s="2"/>
      <c r="R575" s="2"/>
      <c r="S575" s="2"/>
      <c r="T575" s="2"/>
      <c r="U575" s="2"/>
      <c r="V575" s="2"/>
      <c r="W575" s="2"/>
      <c r="X575" s="2"/>
      <c r="Y575" s="2"/>
      <c r="Z575" s="2"/>
      <c r="AA575" s="2"/>
      <c r="AB575" s="2"/>
    </row>
    <row r="576">
      <c r="A576" s="7" t="s">
        <v>16</v>
      </c>
      <c r="B576" s="78">
        <v>1.198031398E7</v>
      </c>
      <c r="C576" s="79">
        <v>16.0</v>
      </c>
      <c r="D576" s="8">
        <f>SUMIFS(HOMABAY!F:F,HOMABAY!A:A,"8/28")</f>
        <v>326787</v>
      </c>
      <c r="E576" s="11">
        <f>COUNTIFS(HOMABAY!A:A,"8/28")</f>
        <v>5</v>
      </c>
      <c r="F576" s="10">
        <f>SUMIFS(HOMABAY!G:G,HOMABAY!A:A,"8/28")</f>
        <v>157535</v>
      </c>
      <c r="G576" s="11">
        <f t="shared" si="130"/>
        <v>0</v>
      </c>
      <c r="H576" s="12">
        <f t="shared" si="131"/>
        <v>0.4820724203</v>
      </c>
      <c r="I576" s="9">
        <f>COUNTIFS(HOMABAY!K:K,$G$18,HOMABAY!A:A,"8/28")</f>
        <v>0</v>
      </c>
      <c r="J576" s="11">
        <f>COUNTIFS(HOMABAY!K:K,$H$18,HOMABAY!A:A,"8/28")</f>
        <v>0</v>
      </c>
      <c r="K576" s="11">
        <f>COUNTIFS(HOMABAY!K:K,$I$18,HOMABAY!A:A,"8/28")</f>
        <v>0</v>
      </c>
      <c r="L576" s="2"/>
      <c r="M576" s="2"/>
      <c r="N576" s="2"/>
      <c r="O576" s="2"/>
      <c r="P576" s="2"/>
      <c r="Q576" s="2"/>
      <c r="R576" s="2"/>
      <c r="S576" s="2"/>
      <c r="T576" s="2"/>
      <c r="U576" s="2"/>
      <c r="V576" s="2"/>
      <c r="W576" s="2"/>
      <c r="X576" s="2"/>
      <c r="Y576" s="2"/>
      <c r="Z576" s="2"/>
      <c r="AA576" s="2"/>
      <c r="AB576" s="2"/>
    </row>
    <row r="577">
      <c r="A577" s="7" t="s">
        <v>17</v>
      </c>
      <c r="B577" s="78">
        <v>1.982130446E8</v>
      </c>
      <c r="C577" s="79">
        <v>180.0</v>
      </c>
      <c r="D577" s="8">
        <f>SUMIFS(MOMBASA!F:F,MOMBASA!A:A,"8/28")</f>
        <v>1818770.57</v>
      </c>
      <c r="E577" s="11">
        <f>COUNTIFS(MOMBASA!A:A,"8/28")</f>
        <v>22</v>
      </c>
      <c r="F577" s="27">
        <f>SUMIFS(MOMBASA!G:G,MOMBASA!A:A,"8/28")</f>
        <v>41467</v>
      </c>
      <c r="G577" s="11">
        <f t="shared" si="130"/>
        <v>3</v>
      </c>
      <c r="H577" s="12">
        <f t="shared" si="131"/>
        <v>0.02279946722</v>
      </c>
      <c r="I577" s="9">
        <f>COUNTIFS(MOMBASA!I:I,$G$18,MOMBASA!A:A,"8/28")</f>
        <v>2</v>
      </c>
      <c r="J577" s="11">
        <f>COUNTIFS(MOMBASA!I:I,$H$18,MOMBASA!A:A,"8/28")</f>
        <v>1</v>
      </c>
      <c r="K577" s="11">
        <f>COUNTIFS(MOMBASA!I:I,$I$18,MOMBASA!A:A,"8/28")</f>
        <v>19</v>
      </c>
      <c r="L577" s="2"/>
      <c r="M577" s="2"/>
      <c r="N577" s="2"/>
      <c r="O577" s="2"/>
      <c r="P577" s="2"/>
      <c r="Q577" s="2"/>
      <c r="R577" s="2"/>
      <c r="S577" s="2"/>
      <c r="T577" s="2"/>
      <c r="U577" s="2"/>
      <c r="V577" s="2"/>
      <c r="W577" s="2"/>
      <c r="X577" s="2"/>
      <c r="Y577" s="2"/>
      <c r="Z577" s="2"/>
      <c r="AA577" s="2"/>
      <c r="AB577" s="2"/>
    </row>
    <row r="578">
      <c r="A578" s="7" t="s">
        <v>18</v>
      </c>
      <c r="B578" s="78">
        <v>8.476405245E7</v>
      </c>
      <c r="C578" s="79">
        <v>88.0</v>
      </c>
      <c r="D578" s="8">
        <f>SUMIFS(KISUMU!F:F,KISUMU!A:A,"8/28")</f>
        <v>1266022.6</v>
      </c>
      <c r="E578" s="11">
        <f>COUNTIFS(KISUMU!A:A,"8/28")</f>
        <v>22</v>
      </c>
      <c r="F578" s="10">
        <f>SUMIFS(KISUMU!G:G,KISUMU!A:A,"8/28")</f>
        <v>0</v>
      </c>
      <c r="G578" s="11">
        <f t="shared" si="130"/>
        <v>0</v>
      </c>
      <c r="H578" s="12">
        <f t="shared" si="131"/>
        <v>0</v>
      </c>
      <c r="I578" s="9">
        <f>COUNTIFS(KISUMU!I:I,$G$18,KISUMU!A:A,"8/28")</f>
        <v>0</v>
      </c>
      <c r="J578" s="11">
        <f>COUNTIFS(KISUMU!I:I,$H$18,KISUMU!A:A,"8/28")</f>
        <v>0</v>
      </c>
      <c r="K578" s="11">
        <f>COUNTIFS(KISUMU!I:I,$I$18,KISUMU!A:A,"8/28")</f>
        <v>0</v>
      </c>
      <c r="L578" s="2"/>
      <c r="M578" s="2"/>
      <c r="N578" s="2"/>
      <c r="O578" s="2"/>
      <c r="P578" s="2"/>
      <c r="Q578" s="2"/>
      <c r="R578" s="2"/>
      <c r="S578" s="2"/>
      <c r="T578" s="2"/>
      <c r="U578" s="2"/>
      <c r="V578" s="2"/>
      <c r="W578" s="2"/>
      <c r="X578" s="2"/>
      <c r="Y578" s="2"/>
      <c r="Z578" s="2"/>
      <c r="AA578" s="2"/>
      <c r="AB578" s="2"/>
    </row>
    <row r="579">
      <c r="A579" s="7" t="s">
        <v>19</v>
      </c>
      <c r="B579" s="78">
        <v>7505319.14</v>
      </c>
      <c r="C579" s="79">
        <v>21.0</v>
      </c>
      <c r="D579" s="8">
        <f>SUMIFS(VOI!F:F,VOI!A:A,"8/28")</f>
        <v>553187</v>
      </c>
      <c r="E579" s="11">
        <f>COUNTIFS(VOI!A:A,"8/28")</f>
        <v>12</v>
      </c>
      <c r="F579" s="10">
        <f>SUMIFS(VOI!G:G,VOI!A:A,"8/28")</f>
        <v>0</v>
      </c>
      <c r="G579" s="11">
        <f t="shared" si="130"/>
        <v>0</v>
      </c>
      <c r="H579" s="12">
        <f t="shared" si="131"/>
        <v>0</v>
      </c>
      <c r="I579" s="9">
        <f>COUNTIFS(VOI!H:H,$G$18,VOI!A:A,"8/28")</f>
        <v>0</v>
      </c>
      <c r="J579" s="11">
        <f>COUNTIFS(VOI!H:H,$H$18,VOI!A:A,"8/28")</f>
        <v>0</v>
      </c>
      <c r="K579" s="11">
        <f>COUNTIFS(VOI!H:H,$I$18,VOI!A:A,"8/28")</f>
        <v>0</v>
      </c>
      <c r="L579" s="2"/>
      <c r="M579" s="2"/>
      <c r="N579" s="2"/>
      <c r="O579" s="2"/>
      <c r="P579" s="2"/>
      <c r="Q579" s="2"/>
      <c r="R579" s="2"/>
      <c r="S579" s="2"/>
      <c r="T579" s="2"/>
      <c r="U579" s="2"/>
      <c r="V579" s="2"/>
      <c r="W579" s="2"/>
      <c r="X579" s="2"/>
      <c r="Y579" s="2"/>
      <c r="Z579" s="2"/>
      <c r="AA579" s="2"/>
      <c r="AB579" s="2"/>
    </row>
    <row r="580">
      <c r="A580" s="7" t="s">
        <v>20</v>
      </c>
      <c r="B580" s="78">
        <v>5.614812819E7</v>
      </c>
      <c r="C580" s="79">
        <v>92.0</v>
      </c>
      <c r="D580" s="8">
        <f>SUMIFS(THIKA!F:F,THIKA!A:A,"8/28")</f>
        <v>662939</v>
      </c>
      <c r="E580" s="11">
        <f>COUNTIFS(THIKA!A:A,"8/28")</f>
        <v>13</v>
      </c>
      <c r="F580" s="10">
        <f>SUMIFS(THIKA!G:G,THIKA!A:A,"8/28")</f>
        <v>236917</v>
      </c>
      <c r="G580" s="11">
        <f t="shared" si="130"/>
        <v>0</v>
      </c>
      <c r="H580" s="12">
        <f t="shared" si="131"/>
        <v>0.3573737554</v>
      </c>
      <c r="I580" s="9">
        <f>COUNTIFS(THIKA!I:I,$G$18,THIKA!A:A,"8/28")</f>
        <v>0</v>
      </c>
      <c r="J580" s="11">
        <f>COUNTIFS(THIKA!I:I,$H$18,THIKA!A:A,"8/28")</f>
        <v>0</v>
      </c>
      <c r="K580" s="11">
        <f>COUNTIFS(THIKA!I:I,$I$18,THIKA!A:A,"8/28")</f>
        <v>0</v>
      </c>
      <c r="L580" s="2"/>
      <c r="M580" s="2"/>
      <c r="N580" s="2"/>
      <c r="O580" s="2"/>
      <c r="P580" s="2"/>
      <c r="Q580" s="2"/>
      <c r="R580" s="2"/>
      <c r="S580" s="2"/>
      <c r="T580" s="2"/>
      <c r="U580" s="2"/>
      <c r="V580" s="2"/>
      <c r="W580" s="2"/>
      <c r="X580" s="2"/>
      <c r="Y580" s="2"/>
      <c r="Z580" s="2"/>
      <c r="AA580" s="2"/>
      <c r="AB580" s="2"/>
    </row>
    <row r="581">
      <c r="A581" s="43" t="s">
        <v>21</v>
      </c>
      <c r="B581" s="77">
        <v>1070436.72</v>
      </c>
      <c r="C581" s="54">
        <v>6.0</v>
      </c>
      <c r="D581" s="44">
        <f>SUMIFS(KITUI!F:F,KITUI!A:A,"8/28")</f>
        <v>79309</v>
      </c>
      <c r="E581" s="45">
        <f>COUNTIFS(KITUI!A:A,"8/28")</f>
        <v>1</v>
      </c>
      <c r="F581" s="46">
        <f>SUMIFS(KITUI!G:G,KITUI!A:A,"8/28")</f>
        <v>0</v>
      </c>
      <c r="G581" s="45">
        <f t="shared" si="130"/>
        <v>0</v>
      </c>
      <c r="H581" s="47">
        <f t="shared" si="131"/>
        <v>0</v>
      </c>
      <c r="I581" s="48">
        <f>COUNTIFS(KITUI!I:I,$G$18,KITUI!A:A,"8/28")</f>
        <v>0</v>
      </c>
      <c r="J581" s="45">
        <f>COUNTIFS(KITUI!I:I,$H$18,KITUI!A:A,"8/28")</f>
        <v>0</v>
      </c>
      <c r="K581" s="45">
        <f>COUNTIFS(KITUI!I:I,$I$18,KITUI!A:A,"8/28")</f>
        <v>0</v>
      </c>
      <c r="L581" s="2"/>
      <c r="M581" s="2"/>
      <c r="N581" s="2"/>
      <c r="O581" s="2"/>
      <c r="P581" s="2"/>
      <c r="Q581" s="2"/>
      <c r="R581" s="2"/>
      <c r="S581" s="2"/>
      <c r="T581" s="2"/>
      <c r="U581" s="2"/>
      <c r="V581" s="2"/>
      <c r="W581" s="2"/>
      <c r="X581" s="2"/>
      <c r="Y581" s="2"/>
      <c r="Z581" s="2"/>
      <c r="AA581" s="2"/>
      <c r="AB581" s="2"/>
    </row>
    <row r="582">
      <c r="A582" s="49" t="s">
        <v>22</v>
      </c>
      <c r="B582" s="77">
        <v>796033.59</v>
      </c>
      <c r="C582" s="54">
        <v>6.0</v>
      </c>
      <c r="D582" s="44">
        <f>SUMIFS(MACHAKOS!F:F,MACHAKOS!A:A,"8/28")</f>
        <v>683117.47</v>
      </c>
      <c r="E582" s="45">
        <f>COUNTIFS(MACHAKOS!A:A,"8/28")</f>
        <v>3</v>
      </c>
      <c r="F582" s="46">
        <f>SUMIFS(MACHAKOS!G:G,MACHAKOS!A:A,"8/28")</f>
        <v>50000</v>
      </c>
      <c r="G582" s="45">
        <f t="shared" si="130"/>
        <v>0</v>
      </c>
      <c r="H582" s="47">
        <f t="shared" si="131"/>
        <v>0.07319385347</v>
      </c>
      <c r="I582" s="48">
        <f>COUNTIFS(MACHAKOS!I:I,$G$18,MACHAKOS!A:A,"8/28")</f>
        <v>0</v>
      </c>
      <c r="J582" s="45">
        <f>COUNTIFS(MACHAKOS!I:I,$H$18,MACHAKOS!A:A,"8/28")</f>
        <v>0</v>
      </c>
      <c r="K582" s="45">
        <f>COUNTIFS(MACHAKOS!I:I,$I$18,MACHAKOS!A:A,"8/28")</f>
        <v>0</v>
      </c>
      <c r="L582" s="2"/>
      <c r="M582" s="2"/>
      <c r="N582" s="2"/>
      <c r="O582" s="2"/>
      <c r="P582" s="2"/>
      <c r="Q582" s="2"/>
      <c r="R582" s="2"/>
      <c r="S582" s="2"/>
      <c r="T582" s="2"/>
      <c r="U582" s="2"/>
      <c r="V582" s="2"/>
      <c r="W582" s="2"/>
      <c r="X582" s="2"/>
      <c r="Y582" s="2"/>
      <c r="Z582" s="2"/>
      <c r="AA582" s="2"/>
      <c r="AB582" s="2"/>
    </row>
    <row r="583">
      <c r="A583" s="66" t="s">
        <v>32</v>
      </c>
      <c r="B583" s="67"/>
      <c r="C583" s="68"/>
      <c r="D583" s="73">
        <v>4150000.0</v>
      </c>
      <c r="E583" s="80">
        <v>4.0</v>
      </c>
      <c r="F583" s="71"/>
      <c r="G583" s="72">
        <v>1.0</v>
      </c>
      <c r="H583" s="47">
        <f t="shared" si="131"/>
        <v>0</v>
      </c>
      <c r="I583" s="48">
        <f>COUNTIFS(MACHAKOS!I:I,$G$18,MACHAKOS!A:A,"8/28")</f>
        <v>0</v>
      </c>
      <c r="J583" s="45">
        <v>0.0</v>
      </c>
      <c r="K583" s="53">
        <v>2.0</v>
      </c>
      <c r="L583" s="2"/>
      <c r="M583" s="2"/>
      <c r="N583" s="2"/>
      <c r="O583" s="2"/>
      <c r="P583" s="2"/>
      <c r="Q583" s="2"/>
      <c r="R583" s="2"/>
      <c r="S583" s="2"/>
      <c r="T583" s="2"/>
      <c r="U583" s="2"/>
      <c r="V583" s="2"/>
      <c r="W583" s="2"/>
      <c r="X583" s="2"/>
      <c r="Y583" s="2"/>
      <c r="Z583" s="2"/>
      <c r="AA583" s="2"/>
      <c r="AB583" s="2"/>
    </row>
    <row r="584">
      <c r="A584" s="66" t="s">
        <v>31</v>
      </c>
      <c r="B584" s="77">
        <v>1.5221625787E8</v>
      </c>
      <c r="C584" s="54">
        <v>2257.0</v>
      </c>
      <c r="D584" s="73">
        <v>1107000.0</v>
      </c>
      <c r="E584" s="45"/>
      <c r="F584" s="71"/>
      <c r="G584" s="72"/>
      <c r="H584" s="74"/>
      <c r="I584" s="66"/>
      <c r="J584" s="75"/>
      <c r="K584" s="75"/>
      <c r="L584" s="2"/>
      <c r="M584" s="2"/>
      <c r="N584" s="2"/>
      <c r="O584" s="2"/>
      <c r="P584" s="2"/>
      <c r="Q584" s="2"/>
      <c r="R584" s="2"/>
      <c r="S584" s="2"/>
      <c r="T584" s="2"/>
      <c r="U584" s="2"/>
      <c r="V584" s="2"/>
      <c r="W584" s="2"/>
      <c r="X584" s="2"/>
      <c r="Y584" s="2"/>
      <c r="Z584" s="2"/>
      <c r="AA584" s="2"/>
      <c r="AB584" s="2"/>
    </row>
    <row r="585">
      <c r="A585" s="55" t="s">
        <v>23</v>
      </c>
      <c r="B585" s="59">
        <f t="shared" ref="B585:G585" si="132">SUM(B570:B584)</f>
        <v>2502955687</v>
      </c>
      <c r="C585" s="76">
        <f t="shared" si="132"/>
        <v>4168</v>
      </c>
      <c r="D585" s="59">
        <f t="shared" si="132"/>
        <v>38678526.77</v>
      </c>
      <c r="E585" s="60">
        <f t="shared" si="132"/>
        <v>225</v>
      </c>
      <c r="F585" s="59">
        <f t="shared" si="132"/>
        <v>5978818</v>
      </c>
      <c r="G585" s="60">
        <f t="shared" si="132"/>
        <v>4</v>
      </c>
      <c r="H585" s="61">
        <f>F585/D585</f>
        <v>0.1545771905</v>
      </c>
      <c r="I585" s="62">
        <f t="shared" ref="I585:K585" si="133">SUM(I570:I584)</f>
        <v>2</v>
      </c>
      <c r="J585" s="62">
        <f t="shared" si="133"/>
        <v>1</v>
      </c>
      <c r="K585" s="62">
        <f t="shared" si="133"/>
        <v>21</v>
      </c>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3" t="s">
        <v>1</v>
      </c>
      <c r="B588" s="5" t="s">
        <v>33</v>
      </c>
      <c r="C588" s="5" t="s">
        <v>34</v>
      </c>
      <c r="D588" s="5" t="s">
        <v>2</v>
      </c>
      <c r="E588" s="5" t="s">
        <v>3</v>
      </c>
      <c r="F588" s="5" t="s">
        <v>4</v>
      </c>
      <c r="G588" s="5" t="s">
        <v>5</v>
      </c>
      <c r="H588" s="26" t="s">
        <v>6</v>
      </c>
      <c r="I588" s="26" t="s">
        <v>7</v>
      </c>
      <c r="J588" s="26" t="s">
        <v>8</v>
      </c>
      <c r="K588" s="26" t="s">
        <v>9</v>
      </c>
      <c r="L588" s="2"/>
      <c r="M588" s="2"/>
      <c r="N588" s="2"/>
      <c r="O588" s="2"/>
      <c r="P588" s="2"/>
      <c r="Q588" s="2"/>
      <c r="R588" s="2"/>
      <c r="S588" s="2"/>
      <c r="T588" s="2"/>
      <c r="U588" s="2"/>
      <c r="V588" s="2"/>
      <c r="W588" s="2"/>
      <c r="X588" s="2"/>
      <c r="Y588" s="2"/>
      <c r="Z588" s="2"/>
      <c r="AA588" s="2"/>
      <c r="AB588" s="2"/>
    </row>
    <row r="589">
      <c r="A589" s="7" t="s">
        <v>10</v>
      </c>
      <c r="B589" s="77">
        <v>8.4613592266E8</v>
      </c>
      <c r="C589" s="54">
        <v>391.0</v>
      </c>
      <c r="D589" s="8">
        <f>SUMIFS(ECOBANK!F:F,ECOBANK!A:A,"8/29")</f>
        <v>5991440.43</v>
      </c>
      <c r="E589" s="9">
        <f>COUNTIFS(ECOBANK!A:A,"8/29")</f>
        <v>16</v>
      </c>
      <c r="F589" s="10">
        <f>SUMIFS(ECOBANK!G:G,ECOBANK!A:A,"8/29")</f>
        <v>2075000</v>
      </c>
      <c r="G589" s="11">
        <f t="shared" ref="G589:G601" si="134">I589+J589</f>
        <v>0</v>
      </c>
      <c r="H589" s="12">
        <f t="shared" ref="H589:H602" si="135">iferror(F589/D589,0)</f>
        <v>0.3463274023</v>
      </c>
      <c r="I589" s="9">
        <f>COUNTIFS(ECOBANK!I:I,$G$18,ECOBANK!A:A,"8/29")</f>
        <v>0</v>
      </c>
      <c r="J589" s="11">
        <f>COUNTIFS(ECOBANK!I:I,$H$18,ECOBANK!A:A,"8/29)")</f>
        <v>0</v>
      </c>
      <c r="K589" s="11">
        <f>COUNTIFS(ECOBANK!I:I,$I$18,ECOBANK!A:A,"8/29")</f>
        <v>0</v>
      </c>
      <c r="L589" s="2"/>
      <c r="M589" s="2"/>
      <c r="N589" s="2"/>
      <c r="O589" s="2"/>
      <c r="P589" s="2"/>
      <c r="Q589" s="2"/>
      <c r="R589" s="2"/>
      <c r="S589" s="2"/>
      <c r="T589" s="2"/>
      <c r="U589" s="2"/>
      <c r="V589" s="2"/>
      <c r="W589" s="2"/>
      <c r="X589" s="2"/>
      <c r="Y589" s="2"/>
      <c r="Z589" s="2"/>
      <c r="AA589" s="2"/>
      <c r="AB589" s="2"/>
    </row>
    <row r="590">
      <c r="A590" s="81" t="s">
        <v>24</v>
      </c>
      <c r="B590" s="82">
        <v>6.0333938635E8</v>
      </c>
      <c r="C590" s="83">
        <v>252.0</v>
      </c>
      <c r="D590" s="84">
        <f>SUMIFS('TRADE CENTER'!F:F,'TRADE CENTER'!A:A,"8/29")</f>
        <v>10863013.96</v>
      </c>
      <c r="E590" s="85">
        <f>COUNTIFS('TRADE CENTER'!A:A,"8/29")</f>
        <v>39</v>
      </c>
      <c r="F590" s="86">
        <f>SUMIFS('TRADE CENTER'!G:G,'TRADE CENTER'!A:A,"8/29")</f>
        <v>63496</v>
      </c>
      <c r="G590" s="85">
        <f t="shared" si="134"/>
        <v>0</v>
      </c>
      <c r="H590" s="87">
        <f t="shared" si="135"/>
        <v>0.005845154967</v>
      </c>
      <c r="I590" s="85">
        <f>COUNTIFS('TRADE CENTER'!I:I,$G$18,'TRADE CENTER'!A:A,"8/29")</f>
        <v>0</v>
      </c>
      <c r="J590" s="85">
        <f>COUNTIFS('TRADE CENTER'!I:I,$H$18,'TRADE CENTER'!A:A,"8/29")</f>
        <v>0</v>
      </c>
      <c r="K590" s="85">
        <f>COUNTIFS('TRADE CENTER'!I:I,$I$18,'TRADE CENTER'!A:A,"8/29")</f>
        <v>0</v>
      </c>
      <c r="L590" s="2"/>
      <c r="M590" s="2"/>
      <c r="N590" s="2"/>
      <c r="O590" s="2"/>
      <c r="P590" s="2"/>
      <c r="Q590" s="2"/>
      <c r="R590" s="2"/>
      <c r="S590" s="2"/>
      <c r="T590" s="2"/>
      <c r="U590" s="2"/>
      <c r="V590" s="2"/>
      <c r="W590" s="2"/>
      <c r="X590" s="2"/>
      <c r="Y590" s="2"/>
      <c r="Z590" s="2"/>
      <c r="AA590" s="2"/>
      <c r="AB590" s="2"/>
    </row>
    <row r="591">
      <c r="A591" s="7" t="s">
        <v>12</v>
      </c>
      <c r="B591" s="78">
        <v>2.5310774507E8</v>
      </c>
      <c r="C591" s="79">
        <v>378.0</v>
      </c>
      <c r="D591" s="8">
        <f>SUMIFS(PENSION!F:F,PENSION!A:A,"8/29/2024")</f>
        <v>3750467.24</v>
      </c>
      <c r="E591" s="11">
        <f>COUNTIFS(PENSION!A:A,"8/29")</f>
        <v>28</v>
      </c>
      <c r="F591" s="10">
        <f>SUMIFS(PENSION!G:G,PENSION!A:A,"8/29/2024")</f>
        <v>300030</v>
      </c>
      <c r="G591" s="11">
        <f t="shared" si="134"/>
        <v>0</v>
      </c>
      <c r="H591" s="12">
        <f t="shared" si="135"/>
        <v>0.07999803246</v>
      </c>
      <c r="I591" s="9">
        <f>COUNTIFS(PENSION!I:I,$G$18,PENSION!A:A,"8/29")</f>
        <v>0</v>
      </c>
      <c r="J591" s="11">
        <f>COUNTIFS(PENSION!I:I,$H$18,PENSION!A:A,"8/29")</f>
        <v>0</v>
      </c>
      <c r="K591" s="11">
        <f>COUNTIFS(PENSION!I:I,$I$18,PENSION!A:A,"8/29")</f>
        <v>0</v>
      </c>
      <c r="L591" s="2"/>
      <c r="M591" s="2"/>
      <c r="N591" s="2"/>
      <c r="O591" s="2"/>
      <c r="P591" s="2"/>
      <c r="Q591" s="2"/>
      <c r="R591" s="2"/>
      <c r="S591" s="2"/>
      <c r="T591" s="2"/>
      <c r="U591" s="2"/>
      <c r="V591" s="2"/>
      <c r="W591" s="2"/>
      <c r="X591" s="2"/>
      <c r="Y591" s="2"/>
      <c r="Z591" s="2"/>
      <c r="AA591" s="2"/>
      <c r="AB591" s="2"/>
    </row>
    <row r="592">
      <c r="A592" s="7" t="s">
        <v>13</v>
      </c>
      <c r="B592" s="78">
        <v>1.1130976822E8</v>
      </c>
      <c r="C592" s="79">
        <v>294.0</v>
      </c>
      <c r="D592" s="8">
        <f>SUMIFS(KITENGELA!F:F,KITENGELA!A:A,"8/29/2024")</f>
        <v>7451484.67</v>
      </c>
      <c r="E592" s="11">
        <f>COUNTIFS(KITENGELA!A:A,"8/29")</f>
        <v>21</v>
      </c>
      <c r="F592" s="10">
        <f>SUMIFS(KITENGELA!G:G,KITENGELA!A:A,"8/29")</f>
        <v>660000</v>
      </c>
      <c r="G592" s="11">
        <f t="shared" si="134"/>
        <v>0</v>
      </c>
      <c r="H592" s="12">
        <f t="shared" si="135"/>
        <v>0.0885729528</v>
      </c>
      <c r="I592" s="11">
        <f>COUNTIFS(KITENGELA!I:I,$G$18,KITENGELA!A:A,"8/29")</f>
        <v>0</v>
      </c>
      <c r="J592" s="11">
        <f>COUNTIFS(KITENGELA!I:I,$H$18,KITENGELA!A:A,"8/29")</f>
        <v>0</v>
      </c>
      <c r="K592" s="11">
        <f>COUNTIFS(KITENGELA!I:I,$I$18,KITENGELA!A:A,"8/29")</f>
        <v>0</v>
      </c>
      <c r="L592" s="2"/>
      <c r="M592" s="2"/>
      <c r="N592" s="2"/>
      <c r="O592" s="2"/>
      <c r="P592" s="2"/>
      <c r="Q592" s="2"/>
      <c r="R592" s="2"/>
      <c r="S592" s="2"/>
      <c r="T592" s="2"/>
      <c r="U592" s="2"/>
      <c r="V592" s="2"/>
      <c r="W592" s="2"/>
      <c r="X592" s="2"/>
      <c r="Y592" s="2"/>
      <c r="Z592" s="2"/>
      <c r="AA592" s="2"/>
      <c r="AB592" s="2"/>
    </row>
    <row r="593">
      <c r="A593" s="13" t="s">
        <v>14</v>
      </c>
      <c r="B593" s="78">
        <v>1.5997687913E8</v>
      </c>
      <c r="C593" s="79">
        <v>168.0</v>
      </c>
      <c r="D593" s="8">
        <f>SUMIFS(ELDORET!F:F,ELDORET!A:A,"8/29")</f>
        <v>1544804</v>
      </c>
      <c r="E593" s="11">
        <f>COUNTIFS(ELDORET!A:A,"8/29")</f>
        <v>21</v>
      </c>
      <c r="F593" s="10">
        <f>SUMIFS(ELDORET!G:G,ELDORET!A:A,"8/29")</f>
        <v>6000</v>
      </c>
      <c r="G593" s="11">
        <f t="shared" si="134"/>
        <v>0</v>
      </c>
      <c r="H593" s="12">
        <f t="shared" si="135"/>
        <v>0.003883987872</v>
      </c>
      <c r="I593" s="11">
        <f>COUNTIFS(ELDORET!I:I,$G$18,ELDORET!A:A,"8/29")</f>
        <v>0</v>
      </c>
      <c r="J593" s="11">
        <f>COUNTIFS(ELDORET!I:I,$H$18,ELDORET!A:A,"8/29")</f>
        <v>0</v>
      </c>
      <c r="K593" s="11">
        <f>COUNTIFS(ELDORET!I:I,$I$18,ELDORET!A:A,"8/29")</f>
        <v>0</v>
      </c>
      <c r="L593" s="2"/>
      <c r="M593" s="2"/>
      <c r="N593" s="2"/>
      <c r="O593" s="2"/>
      <c r="P593" s="2"/>
      <c r="Q593" s="2"/>
      <c r="R593" s="2"/>
      <c r="S593" s="2"/>
      <c r="T593" s="2"/>
      <c r="U593" s="2"/>
      <c r="V593" s="2"/>
      <c r="W593" s="2"/>
      <c r="X593" s="2"/>
      <c r="Y593" s="2"/>
      <c r="Z593" s="2"/>
      <c r="AA593" s="2"/>
      <c r="AB593" s="2"/>
    </row>
    <row r="594">
      <c r="A594" s="7" t="s">
        <v>15</v>
      </c>
      <c r="B594" s="78">
        <v>1.639239948E7</v>
      </c>
      <c r="C594" s="79">
        <v>19.0</v>
      </c>
      <c r="D594" s="8">
        <f>SUMIFS(NAKURU!F:F,NAKURU!A:A,"8/29")</f>
        <v>81000</v>
      </c>
      <c r="E594" s="11">
        <f>COUNTIFS(NAKURU!A:A,"8/29")</f>
        <v>3</v>
      </c>
      <c r="F594" s="10">
        <f>SUMIFS(NAKURU!G:G,NAKURU!A:A,"8/29")</f>
        <v>16000</v>
      </c>
      <c r="G594" s="11">
        <f t="shared" si="134"/>
        <v>0</v>
      </c>
      <c r="H594" s="12">
        <f t="shared" si="135"/>
        <v>0.1975308642</v>
      </c>
      <c r="I594" s="9">
        <f>COUNTIFS(NAKURU!I:I,$G$18,NAKURU!A:A,"8/29")</f>
        <v>0</v>
      </c>
      <c r="J594" s="11">
        <f>COUNTIFS(NAKURU!I:I,$H$18,NAKURU!A:A,"8/29")</f>
        <v>0</v>
      </c>
      <c r="K594" s="11">
        <f>COUNTIFS(NAKURU!I:I,$I$18,NAKURU!A:A,"8/29")</f>
        <v>0</v>
      </c>
      <c r="L594" s="2"/>
      <c r="M594" s="2"/>
      <c r="N594" s="2"/>
      <c r="O594" s="2"/>
      <c r="P594" s="2"/>
      <c r="Q594" s="2"/>
      <c r="R594" s="2"/>
      <c r="S594" s="2"/>
      <c r="T594" s="2"/>
      <c r="U594" s="2"/>
      <c r="V594" s="2"/>
      <c r="W594" s="2"/>
      <c r="X594" s="2"/>
      <c r="Y594" s="2"/>
      <c r="Z594" s="2"/>
      <c r="AA594" s="2"/>
      <c r="AB594" s="2"/>
    </row>
    <row r="595">
      <c r="A595" s="7" t="s">
        <v>16</v>
      </c>
      <c r="B595" s="78">
        <v>1.198031398E7</v>
      </c>
      <c r="C595" s="79">
        <v>16.0</v>
      </c>
      <c r="D595" s="8">
        <f>SUMIFS(HOMABAY!F:F,HOMABAY!A:A,"8/29")</f>
        <v>287000</v>
      </c>
      <c r="E595" s="11">
        <f>COUNTIFS(HOMABAY!A:A,"8/29")</f>
        <v>3</v>
      </c>
      <c r="F595" s="10">
        <f>SUMIFS(HOMABAY!G:G,HOMABAY!A:A,"8/29")</f>
        <v>4000</v>
      </c>
      <c r="G595" s="11">
        <f t="shared" si="134"/>
        <v>0</v>
      </c>
      <c r="H595" s="12">
        <f t="shared" si="135"/>
        <v>0.01393728223</v>
      </c>
      <c r="I595" s="9">
        <f>COUNTIFS(HOMABAY!K:K,$G$18,HOMABAY!A:A,"8/29")</f>
        <v>0</v>
      </c>
      <c r="J595" s="11">
        <f>COUNTIFS(HOMABAY!K:K,$H$18,HOMABAY!A:A,"8/29")</f>
        <v>0</v>
      </c>
      <c r="K595" s="11">
        <f>COUNTIFS(HOMABAY!K:K,$I$18,HOMABAY!A:A,"8/29")</f>
        <v>0</v>
      </c>
      <c r="L595" s="2"/>
      <c r="M595" s="2"/>
      <c r="N595" s="2"/>
      <c r="O595" s="2"/>
      <c r="P595" s="2"/>
      <c r="Q595" s="2"/>
      <c r="R595" s="2"/>
      <c r="S595" s="2"/>
      <c r="T595" s="2"/>
      <c r="U595" s="2"/>
      <c r="V595" s="2"/>
      <c r="W595" s="2"/>
      <c r="X595" s="2"/>
      <c r="Y595" s="2"/>
      <c r="Z595" s="2"/>
      <c r="AA595" s="2"/>
      <c r="AB595" s="2"/>
    </row>
    <row r="596">
      <c r="A596" s="7" t="s">
        <v>17</v>
      </c>
      <c r="B596" s="78">
        <v>1.982130446E8</v>
      </c>
      <c r="C596" s="79">
        <v>180.0</v>
      </c>
      <c r="D596" s="8">
        <f>SUMIFS(MOMBASA!F:F,MOMBASA!A:A,"8/29")</f>
        <v>1858859.48</v>
      </c>
      <c r="E596" s="11">
        <f>COUNTIFS(MOMBASA!A:A,"8/29")</f>
        <v>25</v>
      </c>
      <c r="F596" s="27">
        <f>SUMIFS(MOMBASA!G:G,MOMBASA!A:A,"8/29")</f>
        <v>202292</v>
      </c>
      <c r="G596" s="11">
        <f t="shared" si="134"/>
        <v>5</v>
      </c>
      <c r="H596" s="12">
        <f t="shared" si="135"/>
        <v>0.1088258699</v>
      </c>
      <c r="I596" s="9">
        <f>COUNTIFS(MOMBASA!I:I,$G$18,MOMBASA!A:A,"8/29")</f>
        <v>2</v>
      </c>
      <c r="J596" s="11">
        <f>COUNTIFS(MOMBASA!I:I,$H$18,MOMBASA!A:A,"8/29")</f>
        <v>3</v>
      </c>
      <c r="K596" s="11">
        <f>COUNTIFS(MOMBASA!I:I,$I$18,MOMBASA!A:A,"8/29")</f>
        <v>20</v>
      </c>
      <c r="L596" s="2"/>
      <c r="M596" s="2"/>
      <c r="N596" s="2"/>
      <c r="O596" s="2"/>
      <c r="P596" s="2"/>
      <c r="Q596" s="2"/>
      <c r="R596" s="2"/>
      <c r="S596" s="2"/>
      <c r="T596" s="2"/>
      <c r="U596" s="2"/>
      <c r="V596" s="2"/>
      <c r="W596" s="2"/>
      <c r="X596" s="2"/>
      <c r="Y596" s="2"/>
      <c r="Z596" s="2"/>
      <c r="AA596" s="2"/>
      <c r="AB596" s="2"/>
    </row>
    <row r="597">
      <c r="A597" s="7" t="s">
        <v>18</v>
      </c>
      <c r="B597" s="78">
        <v>8.476405245E7</v>
      </c>
      <c r="C597" s="79">
        <v>88.0</v>
      </c>
      <c r="D597" s="8">
        <f>SUMIFS(KISUMU!F:F,KISUMU!A:A,"8/29")</f>
        <v>1485515.6</v>
      </c>
      <c r="E597" s="11">
        <f>COUNTIFS(KISUMU!A:A,"8/29")</f>
        <v>27</v>
      </c>
      <c r="F597" s="10">
        <f>SUMIFS(KISUMU!G:G,KISUMU!A:A,"8/29")</f>
        <v>4300</v>
      </c>
      <c r="G597" s="11">
        <f t="shared" si="134"/>
        <v>0</v>
      </c>
      <c r="H597" s="12">
        <f t="shared" si="135"/>
        <v>0.002894617869</v>
      </c>
      <c r="I597" s="9">
        <f>COUNTIFS(KISUMU!I:I,$G$18,KISUMU!A:A,"8/29")</f>
        <v>0</v>
      </c>
      <c r="J597" s="11">
        <f>COUNTIFS(KISUMU!I:I,$H$18,KISUMU!A:A,"8/29")</f>
        <v>0</v>
      </c>
      <c r="K597" s="11">
        <f>COUNTIFS(KISUMU!I:I,$I$18,KISUMU!A:A,"8/29")</f>
        <v>0</v>
      </c>
      <c r="L597" s="2"/>
      <c r="M597" s="2"/>
      <c r="N597" s="2"/>
      <c r="O597" s="2"/>
      <c r="P597" s="2"/>
      <c r="Q597" s="2"/>
      <c r="R597" s="2"/>
      <c r="S597" s="2"/>
      <c r="T597" s="2"/>
      <c r="U597" s="2"/>
      <c r="V597" s="2"/>
      <c r="W597" s="2"/>
      <c r="X597" s="2"/>
      <c r="Y597" s="2"/>
      <c r="Z597" s="2"/>
      <c r="AA597" s="2"/>
      <c r="AB597" s="2"/>
    </row>
    <row r="598">
      <c r="A598" s="7" t="s">
        <v>19</v>
      </c>
      <c r="B598" s="78">
        <v>7505319.14</v>
      </c>
      <c r="C598" s="79">
        <v>21.0</v>
      </c>
      <c r="D598" s="8">
        <f>SUMIFS(VOI!F:F,VOI!A:A,"8/29")</f>
        <v>539556</v>
      </c>
      <c r="E598" s="11">
        <f>COUNTIFS(VOI!A:A,"8/29")</f>
        <v>11</v>
      </c>
      <c r="F598" s="10">
        <f>SUMIFS(VOI!G:G,VOI!A:A,"8/29")</f>
        <v>0</v>
      </c>
      <c r="G598" s="11">
        <f t="shared" si="134"/>
        <v>0</v>
      </c>
      <c r="H598" s="12">
        <f t="shared" si="135"/>
        <v>0</v>
      </c>
      <c r="I598" s="9">
        <f>COUNTIFS(VOI!H:H,$G$18,VOI!A:A,"8/29")</f>
        <v>0</v>
      </c>
      <c r="J598" s="11">
        <f>COUNTIFS(VOI!H:H,$H$18,VOI!A:A,"8/29")</f>
        <v>0</v>
      </c>
      <c r="K598" s="11">
        <f>COUNTIFS(VOI!H:H,$I$18,VOI!A:A,"8/29")</f>
        <v>0</v>
      </c>
      <c r="L598" s="2"/>
      <c r="M598" s="2"/>
      <c r="N598" s="2"/>
      <c r="O598" s="2"/>
      <c r="P598" s="2"/>
      <c r="Q598" s="2"/>
      <c r="R598" s="2"/>
      <c r="S598" s="2"/>
      <c r="T598" s="2"/>
      <c r="U598" s="2"/>
      <c r="V598" s="2"/>
      <c r="W598" s="2"/>
      <c r="X598" s="2"/>
      <c r="Y598" s="2"/>
      <c r="Z598" s="2"/>
      <c r="AA598" s="2"/>
      <c r="AB598" s="2"/>
    </row>
    <row r="599">
      <c r="A599" s="7" t="s">
        <v>20</v>
      </c>
      <c r="B599" s="78">
        <v>5.614812819E7</v>
      </c>
      <c r="C599" s="79">
        <v>92.0</v>
      </c>
      <c r="D599" s="8">
        <f>SUMIFS(THIKA!F:F,THIKA!A:A,"8/29")</f>
        <v>1092582</v>
      </c>
      <c r="E599" s="11">
        <f>COUNTIFS(THIKA!A:A,"8/29")</f>
        <v>17</v>
      </c>
      <c r="F599" s="10">
        <f>SUMIFS(THIKA!G:G,THIKA!A:A,"8/29")</f>
        <v>698992</v>
      </c>
      <c r="G599" s="11">
        <f t="shared" si="134"/>
        <v>0</v>
      </c>
      <c r="H599" s="12">
        <f t="shared" si="135"/>
        <v>0.6397615923</v>
      </c>
      <c r="I599" s="9">
        <f>COUNTIFS(THIKA!I:I,$G$18,THIKA!A:A,"8/29")</f>
        <v>0</v>
      </c>
      <c r="J599" s="11">
        <f>COUNTIFS(THIKA!I:I,$H$18,THIKA!A:A,"8/29")</f>
        <v>0</v>
      </c>
      <c r="K599" s="11">
        <f>COUNTIFS(THIKA!I:I,$I$18,THIKA!A:A,"8/29")</f>
        <v>0</v>
      </c>
      <c r="L599" s="2"/>
      <c r="M599" s="2"/>
      <c r="N599" s="2"/>
      <c r="O599" s="2"/>
      <c r="P599" s="2"/>
      <c r="Q599" s="2"/>
      <c r="R599" s="2"/>
      <c r="S599" s="2"/>
      <c r="T599" s="2"/>
      <c r="U599" s="2"/>
      <c r="V599" s="2"/>
      <c r="W599" s="2"/>
      <c r="X599" s="2"/>
      <c r="Y599" s="2"/>
      <c r="Z599" s="2"/>
      <c r="AA599" s="2"/>
      <c r="AB599" s="2"/>
    </row>
    <row r="600">
      <c r="A600" s="43" t="s">
        <v>21</v>
      </c>
      <c r="B600" s="77">
        <v>1070436.72</v>
      </c>
      <c r="C600" s="54">
        <v>6.0</v>
      </c>
      <c r="D600" s="44">
        <f>SUMIFS(KITUI!F:F,KITUI!A:A,"8/29")</f>
        <v>57988</v>
      </c>
      <c r="E600" s="45">
        <f>COUNTIFS(KITUI!A:A,"8/29")</f>
        <v>2</v>
      </c>
      <c r="F600" s="46">
        <f>SUMIFS(KITUI!G:G,KITUI!A:A,"8/29")</f>
        <v>0</v>
      </c>
      <c r="G600" s="45">
        <f t="shared" si="134"/>
        <v>0</v>
      </c>
      <c r="H600" s="47">
        <f t="shared" si="135"/>
        <v>0</v>
      </c>
      <c r="I600" s="48">
        <f>COUNTIFS(KITUI!I:I,$G$18,KITUI!A:A,"8/29")</f>
        <v>0</v>
      </c>
      <c r="J600" s="45">
        <f>COUNTIFS(KITUI!I:I,$H$18,KITUI!A:A,"8/29")</f>
        <v>0</v>
      </c>
      <c r="K600" s="45">
        <f>COUNTIFS(KITUI!I:I,$I$18,KITUI!A:A,"8/29")</f>
        <v>0</v>
      </c>
      <c r="L600" s="2"/>
      <c r="M600" s="2"/>
      <c r="N600" s="2"/>
      <c r="O600" s="2"/>
      <c r="P600" s="2"/>
      <c r="Q600" s="2"/>
      <c r="R600" s="2"/>
      <c r="S600" s="2"/>
      <c r="T600" s="2"/>
      <c r="U600" s="2"/>
      <c r="V600" s="2"/>
      <c r="W600" s="2"/>
      <c r="X600" s="2"/>
      <c r="Y600" s="2"/>
      <c r="Z600" s="2"/>
      <c r="AA600" s="2"/>
      <c r="AB600" s="2"/>
    </row>
    <row r="601">
      <c r="A601" s="49" t="s">
        <v>22</v>
      </c>
      <c r="B601" s="77">
        <v>796033.59</v>
      </c>
      <c r="C601" s="54">
        <v>6.0</v>
      </c>
      <c r="D601" s="44">
        <f>SUMIFS(MACHAKOS!F:F,MACHAKOS!A:A,"8/29")</f>
        <v>640816.54</v>
      </c>
      <c r="E601" s="45">
        <f>COUNTIFS(MACHAKOS!A:A,"8/29")</f>
        <v>4</v>
      </c>
      <c r="F601" s="46">
        <f>SUMIFS(MACHAKOS!G:G,MACHAKOS!A:A,"8/29")</f>
        <v>14400</v>
      </c>
      <c r="G601" s="45">
        <f t="shared" si="134"/>
        <v>0</v>
      </c>
      <c r="H601" s="47">
        <f t="shared" si="135"/>
        <v>0.02247133009</v>
      </c>
      <c r="I601" s="48">
        <f>COUNTIFS(MACHAKOS!I:I,$G$18,MACHAKOS!A:A,"8/29")</f>
        <v>0</v>
      </c>
      <c r="J601" s="45">
        <f>COUNTIFS(MACHAKOS!I:I,$H$18,MACHAKOS!A:A,"8/29")</f>
        <v>0</v>
      </c>
      <c r="K601" s="45">
        <f>COUNTIFS(MACHAKOS!I:I,$I$18,MACHAKOS!A:A,"8/29")</f>
        <v>0</v>
      </c>
      <c r="L601" s="2"/>
      <c r="M601" s="2"/>
      <c r="N601" s="2"/>
      <c r="O601" s="2"/>
      <c r="P601" s="2"/>
      <c r="Q601" s="2"/>
      <c r="R601" s="2"/>
      <c r="S601" s="2"/>
      <c r="T601" s="2"/>
      <c r="U601" s="2"/>
      <c r="V601" s="2"/>
      <c r="W601" s="2"/>
      <c r="X601" s="2"/>
      <c r="Y601" s="2"/>
      <c r="Z601" s="2"/>
      <c r="AA601" s="2"/>
      <c r="AB601" s="2"/>
    </row>
    <row r="602">
      <c r="A602" s="66" t="s">
        <v>32</v>
      </c>
      <c r="B602" s="67"/>
      <c r="C602" s="68"/>
      <c r="D602" s="73">
        <v>3050000.0</v>
      </c>
      <c r="E602" s="80">
        <v>4.0</v>
      </c>
      <c r="F602" s="71"/>
      <c r="G602" s="72">
        <v>1.0</v>
      </c>
      <c r="H602" s="47">
        <f t="shared" si="135"/>
        <v>0</v>
      </c>
      <c r="I602" s="48">
        <f>COUNTIFS(MACHAKOS!I:I,$G$18,MACHAKOS!A:A,"8/29")</f>
        <v>0</v>
      </c>
      <c r="J602" s="45">
        <v>0.0</v>
      </c>
      <c r="K602" s="53">
        <v>2.0</v>
      </c>
      <c r="L602" s="2"/>
      <c r="M602" s="2"/>
      <c r="N602" s="2"/>
      <c r="O602" s="2"/>
      <c r="P602" s="2"/>
      <c r="Q602" s="2"/>
      <c r="R602" s="2"/>
      <c r="S602" s="2"/>
      <c r="T602" s="2"/>
      <c r="U602" s="2"/>
      <c r="V602" s="2"/>
      <c r="W602" s="2"/>
      <c r="X602" s="2"/>
      <c r="Y602" s="2"/>
      <c r="Z602" s="2"/>
      <c r="AA602" s="2"/>
      <c r="AB602" s="2"/>
    </row>
    <row r="603">
      <c r="A603" s="66" t="s">
        <v>31</v>
      </c>
      <c r="B603" s="77">
        <v>1.5221625787E8</v>
      </c>
      <c r="C603" s="54">
        <v>2257.0</v>
      </c>
      <c r="D603" s="73">
        <v>1500000.0</v>
      </c>
      <c r="E603" s="45"/>
      <c r="F603" s="71"/>
      <c r="G603" s="72"/>
      <c r="H603" s="74"/>
      <c r="I603" s="66"/>
      <c r="J603" s="75"/>
      <c r="K603" s="75"/>
      <c r="L603" s="2"/>
      <c r="M603" s="2"/>
      <c r="N603" s="2"/>
      <c r="O603" s="2"/>
      <c r="P603" s="2"/>
      <c r="Q603" s="2"/>
      <c r="R603" s="2"/>
      <c r="S603" s="2"/>
      <c r="T603" s="2"/>
      <c r="U603" s="2"/>
      <c r="V603" s="2"/>
      <c r="W603" s="2"/>
      <c r="X603" s="2"/>
      <c r="Y603" s="2"/>
      <c r="Z603" s="2"/>
      <c r="AA603" s="2"/>
      <c r="AB603" s="2"/>
    </row>
    <row r="604">
      <c r="A604" s="55" t="s">
        <v>23</v>
      </c>
      <c r="B604" s="59">
        <f t="shared" ref="B604:G604" si="136">SUM(B589:B603)</f>
        <v>2502955687</v>
      </c>
      <c r="C604" s="76">
        <f t="shared" si="136"/>
        <v>4168</v>
      </c>
      <c r="D604" s="59">
        <f t="shared" si="136"/>
        <v>40194527.92</v>
      </c>
      <c r="E604" s="60">
        <f t="shared" si="136"/>
        <v>221</v>
      </c>
      <c r="F604" s="59">
        <f t="shared" si="136"/>
        <v>4044510</v>
      </c>
      <c r="G604" s="60">
        <f t="shared" si="136"/>
        <v>6</v>
      </c>
      <c r="H604" s="61">
        <f>F604/D604</f>
        <v>0.1006233985</v>
      </c>
      <c r="I604" s="62">
        <f t="shared" ref="I604:K604" si="137">SUM(I589:I603)</f>
        <v>2</v>
      </c>
      <c r="J604" s="62">
        <f t="shared" si="137"/>
        <v>3</v>
      </c>
      <c r="K604" s="62">
        <f t="shared" si="137"/>
        <v>22</v>
      </c>
      <c r="L604" s="2"/>
      <c r="M604" s="2"/>
      <c r="N604" s="2"/>
      <c r="O604" s="2"/>
      <c r="P604" s="2"/>
      <c r="Q604" s="2"/>
      <c r="R604" s="2"/>
      <c r="S604" s="2"/>
      <c r="T604" s="2"/>
      <c r="U604" s="2"/>
      <c r="V604" s="2"/>
      <c r="W604" s="2"/>
      <c r="X604" s="2"/>
      <c r="Y604" s="2"/>
      <c r="Z604" s="2"/>
      <c r="AA604" s="2"/>
      <c r="AB604" s="2"/>
    </row>
    <row r="605">
      <c r="A605" s="2"/>
      <c r="B605" s="2"/>
      <c r="C605" s="2"/>
      <c r="D605" s="2"/>
      <c r="E605" s="2"/>
      <c r="F605" s="1">
        <v>1.249593E7</v>
      </c>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90">
        <f>F605/D604</f>
        <v>0.3108863481</v>
      </c>
      <c r="G606" s="2"/>
      <c r="H606" s="2"/>
      <c r="I606" s="2"/>
      <c r="J606" s="2"/>
      <c r="K606" s="2"/>
      <c r="L606" s="2"/>
      <c r="M606" s="2"/>
      <c r="N606" s="2"/>
      <c r="O606" s="2"/>
      <c r="P606" s="2"/>
      <c r="Q606" s="2"/>
      <c r="R606" s="2"/>
      <c r="S606" s="2"/>
      <c r="T606" s="2"/>
      <c r="U606" s="2"/>
      <c r="V606" s="2"/>
      <c r="W606" s="2"/>
      <c r="X606" s="2"/>
      <c r="Y606" s="2"/>
      <c r="Z606" s="2"/>
      <c r="AA606" s="2"/>
      <c r="AB606" s="2"/>
    </row>
    <row r="607">
      <c r="A607" s="3" t="s">
        <v>1</v>
      </c>
      <c r="B607" s="5" t="s">
        <v>33</v>
      </c>
      <c r="C607" s="5" t="s">
        <v>34</v>
      </c>
      <c r="D607" s="5" t="s">
        <v>2</v>
      </c>
      <c r="E607" s="5" t="s">
        <v>3</v>
      </c>
      <c r="F607" s="5" t="s">
        <v>4</v>
      </c>
      <c r="G607" s="5" t="s">
        <v>5</v>
      </c>
      <c r="H607" s="26" t="s">
        <v>6</v>
      </c>
      <c r="I607" s="26" t="s">
        <v>7</v>
      </c>
      <c r="J607" s="26" t="s">
        <v>8</v>
      </c>
      <c r="K607" s="26" t="s">
        <v>9</v>
      </c>
      <c r="L607" s="2"/>
      <c r="M607" s="2"/>
      <c r="N607" s="2"/>
      <c r="O607" s="2"/>
      <c r="P607" s="2"/>
      <c r="Q607" s="2"/>
      <c r="R607" s="2"/>
      <c r="S607" s="2"/>
      <c r="T607" s="2"/>
      <c r="U607" s="2"/>
      <c r="V607" s="2"/>
      <c r="W607" s="2"/>
      <c r="X607" s="2"/>
      <c r="Y607" s="2"/>
      <c r="Z607" s="2"/>
      <c r="AA607" s="2"/>
      <c r="AB607" s="2"/>
    </row>
    <row r="608">
      <c r="A608" s="7" t="s">
        <v>10</v>
      </c>
      <c r="B608" s="77">
        <v>8.4613592266E8</v>
      </c>
      <c r="C608" s="54">
        <v>391.0</v>
      </c>
      <c r="D608" s="8">
        <f>SUMIFS(ECOBANK!F:F,ECOBANK!A:A,"8/30")</f>
        <v>4031712.85</v>
      </c>
      <c r="E608" s="9">
        <f>COUNTIFS(ECOBANK!A:A,"8/30")</f>
        <v>17</v>
      </c>
      <c r="F608" s="10">
        <f>SUMIFS(ECOBANK!G:G,ECOBANK!A:A,"8/30")</f>
        <v>208060</v>
      </c>
      <c r="G608" s="11">
        <f t="shared" ref="G608:G620" si="138">I608+J608</f>
        <v>0</v>
      </c>
      <c r="H608" s="12">
        <f t="shared" ref="H608:H621" si="139">iferror(F608/D608,0)</f>
        <v>0.05160585779</v>
      </c>
      <c r="I608" s="9">
        <f>COUNTIFS(ECOBANK!I:I,$G$18,ECOBANK!A:A,"8/30")</f>
        <v>0</v>
      </c>
      <c r="J608" s="11">
        <f>COUNTIFS(ECOBANK!I:I,$H$18,ECOBANK!A:A,"8/30)")</f>
        <v>0</v>
      </c>
      <c r="K608" s="11">
        <f>COUNTIFS(ECOBANK!I:I,$I$18,ECOBANK!A:A,"8/30")</f>
        <v>0</v>
      </c>
      <c r="L608" s="2"/>
      <c r="M608" s="2"/>
      <c r="N608" s="2"/>
      <c r="O608" s="2"/>
      <c r="P608" s="2"/>
      <c r="Q608" s="2"/>
      <c r="R608" s="2"/>
      <c r="S608" s="2"/>
      <c r="T608" s="2"/>
      <c r="U608" s="2"/>
      <c r="V608" s="2"/>
      <c r="W608" s="2"/>
      <c r="X608" s="2"/>
      <c r="Y608" s="2"/>
      <c r="Z608" s="2"/>
      <c r="AA608" s="2"/>
      <c r="AB608" s="2"/>
    </row>
    <row r="609">
      <c r="A609" s="81" t="s">
        <v>24</v>
      </c>
      <c r="B609" s="82">
        <v>6.0333938635E8</v>
      </c>
      <c r="C609" s="83">
        <v>252.0</v>
      </c>
      <c r="D609" s="84">
        <f>SUMIFS('TRADE CENTER'!F:F,'TRADE CENTER'!A:A,"8/30")</f>
        <v>14080565.26</v>
      </c>
      <c r="E609" s="85">
        <f>COUNTIFS('TRADE CENTER'!A:A,"8/30")</f>
        <v>44</v>
      </c>
      <c r="F609" s="86">
        <f>SUMIFS('TRADE CENTER'!G:G,'TRADE CENTER'!A:A,"8/30")</f>
        <v>5476664</v>
      </c>
      <c r="G609" s="85">
        <f t="shared" si="138"/>
        <v>0</v>
      </c>
      <c r="H609" s="87">
        <f t="shared" si="139"/>
        <v>0.3889519987</v>
      </c>
      <c r="I609" s="85">
        <f>COUNTIFS('TRADE CENTER'!I:I,$G$18,'TRADE CENTER'!A:A,"8/30")</f>
        <v>0</v>
      </c>
      <c r="J609" s="85">
        <f>COUNTIFS('TRADE CENTER'!I:I,$H$18,'TRADE CENTER'!A:A,"8/30")</f>
        <v>0</v>
      </c>
      <c r="K609" s="85">
        <f>COUNTIFS('TRADE CENTER'!I:I,$I$18,'TRADE CENTER'!A:A,"8/30")</f>
        <v>0</v>
      </c>
      <c r="L609" s="2"/>
      <c r="M609" s="2"/>
      <c r="N609" s="2"/>
      <c r="O609" s="2"/>
      <c r="P609" s="2"/>
      <c r="Q609" s="2"/>
      <c r="R609" s="2"/>
      <c r="S609" s="2"/>
      <c r="T609" s="2"/>
      <c r="U609" s="2"/>
      <c r="V609" s="2"/>
      <c r="W609" s="2"/>
      <c r="X609" s="2"/>
      <c r="Y609" s="2"/>
      <c r="Z609" s="2"/>
      <c r="AA609" s="2"/>
      <c r="AB609" s="2"/>
    </row>
    <row r="610">
      <c r="A610" s="7" t="s">
        <v>12</v>
      </c>
      <c r="B610" s="78">
        <v>2.5310774507E8</v>
      </c>
      <c r="C610" s="79">
        <v>378.0</v>
      </c>
      <c r="D610" s="8">
        <f>SUMIFS(PENSION!F:F,PENSION!A:A,"8/30/2024")</f>
        <v>4417310.89</v>
      </c>
      <c r="E610" s="11">
        <f>COUNTIFS(PENSION!A:A,"8/30")</f>
        <v>34</v>
      </c>
      <c r="F610" s="10">
        <f>SUMIFS(PENSION!G:G,PENSION!A:A,"8/30/2024")</f>
        <v>364419</v>
      </c>
      <c r="G610" s="11">
        <f t="shared" si="138"/>
        <v>0</v>
      </c>
      <c r="H610" s="12">
        <f t="shared" si="139"/>
        <v>0.08249792896</v>
      </c>
      <c r="I610" s="9">
        <f>COUNTIFS(PENSION!I:I,$G$18,PENSION!A:A,"8/30")</f>
        <v>0</v>
      </c>
      <c r="J610" s="11">
        <f>COUNTIFS(PENSION!I:I,$H$18,PENSION!A:A,"8/30")</f>
        <v>0</v>
      </c>
      <c r="K610" s="11">
        <f>COUNTIFS(PENSION!I:I,$I$18,PENSION!A:A,"8/30")</f>
        <v>0</v>
      </c>
      <c r="L610" s="2"/>
      <c r="M610" s="2"/>
      <c r="N610" s="2"/>
      <c r="O610" s="2"/>
      <c r="P610" s="2"/>
      <c r="Q610" s="2"/>
      <c r="R610" s="2"/>
      <c r="S610" s="2"/>
      <c r="T610" s="2"/>
      <c r="U610" s="2"/>
      <c r="V610" s="2"/>
      <c r="W610" s="2"/>
      <c r="X610" s="2"/>
      <c r="Y610" s="2"/>
      <c r="Z610" s="2"/>
      <c r="AA610" s="2"/>
      <c r="AB610" s="2"/>
    </row>
    <row r="611">
      <c r="A611" s="7" t="s">
        <v>13</v>
      </c>
      <c r="B611" s="78">
        <v>1.1130976822E8</v>
      </c>
      <c r="C611" s="79">
        <v>294.0</v>
      </c>
      <c r="D611" s="8">
        <f>SUMIFS(KITENGELA!F:F,KITENGELA!A:A,"8/30/2024")</f>
        <v>7165114.15</v>
      </c>
      <c r="E611" s="11">
        <f>COUNTIFS(KITENGELA!A:A,"8/30")</f>
        <v>25</v>
      </c>
      <c r="F611" s="10">
        <f>SUMIFS(KITENGELA!G:G,KITENGELA!A:A,"8/30")</f>
        <v>488000</v>
      </c>
      <c r="G611" s="11">
        <f t="shared" si="138"/>
        <v>0</v>
      </c>
      <c r="H611" s="12">
        <f t="shared" si="139"/>
        <v>0.06810777746</v>
      </c>
      <c r="I611" s="11">
        <f>COUNTIFS(KITENGELA!I:I,$G$18,KITENGELA!A:A,"8/30")</f>
        <v>0</v>
      </c>
      <c r="J611" s="11">
        <f>COUNTIFS(KITENGELA!I:I,$H$18,KITENGELA!A:A,"8/30")</f>
        <v>0</v>
      </c>
      <c r="K611" s="11">
        <f>COUNTIFS(KITENGELA!I:I,$I$18,KITENGELA!A:A,"8/30")</f>
        <v>0</v>
      </c>
      <c r="L611" s="2"/>
      <c r="M611" s="2"/>
      <c r="N611" s="2"/>
      <c r="O611" s="2"/>
      <c r="P611" s="2"/>
      <c r="Q611" s="2"/>
      <c r="R611" s="2"/>
      <c r="S611" s="2"/>
      <c r="T611" s="2"/>
      <c r="U611" s="2"/>
      <c r="V611" s="2"/>
      <c r="W611" s="2"/>
      <c r="X611" s="2"/>
      <c r="Y611" s="2"/>
      <c r="Z611" s="2"/>
      <c r="AA611" s="2"/>
      <c r="AB611" s="2"/>
    </row>
    <row r="612">
      <c r="A612" s="13" t="s">
        <v>14</v>
      </c>
      <c r="B612" s="78">
        <v>1.5997687913E8</v>
      </c>
      <c r="C612" s="79">
        <v>168.0</v>
      </c>
      <c r="D612" s="8">
        <f>SUMIFS(ELDORET!F:F,ELDORET!A:A,"8/30")</f>
        <v>1441424</v>
      </c>
      <c r="E612" s="11">
        <f>COUNTIFS(ELDORET!A:A,"8/30")</f>
        <v>24</v>
      </c>
      <c r="F612" s="10">
        <f>SUMIFS(ELDORET!G:G,ELDORET!A:A,"8/30")</f>
        <v>133405</v>
      </c>
      <c r="G612" s="11">
        <f t="shared" si="138"/>
        <v>0</v>
      </c>
      <c r="H612" s="12">
        <f t="shared" si="139"/>
        <v>0.09255083862</v>
      </c>
      <c r="I612" s="11">
        <f>COUNTIFS(ELDORET!I:I,$G$18,ELDORET!A:A,"8/30")</f>
        <v>0</v>
      </c>
      <c r="J612" s="11">
        <f>COUNTIFS(ELDORET!I:I,$H$18,ELDORET!A:A,"8/30")</f>
        <v>0</v>
      </c>
      <c r="K612" s="11">
        <f>COUNTIFS(ELDORET!I:I,$I$18,ELDORET!A:A,"8/30")</f>
        <v>0</v>
      </c>
      <c r="L612" s="2"/>
      <c r="M612" s="2"/>
      <c r="N612" s="2"/>
      <c r="O612" s="2"/>
      <c r="P612" s="2"/>
      <c r="Q612" s="2"/>
      <c r="R612" s="2"/>
      <c r="S612" s="2"/>
      <c r="T612" s="2"/>
      <c r="U612" s="2"/>
      <c r="V612" s="2"/>
      <c r="W612" s="2"/>
      <c r="X612" s="2"/>
      <c r="Y612" s="2"/>
      <c r="Z612" s="2"/>
      <c r="AA612" s="2"/>
      <c r="AB612" s="2"/>
    </row>
    <row r="613">
      <c r="A613" s="7" t="s">
        <v>15</v>
      </c>
      <c r="B613" s="78">
        <v>1.639239948E7</v>
      </c>
      <c r="C613" s="79">
        <v>19.0</v>
      </c>
      <c r="D613" s="8">
        <f>SUMIFS(NAKURU!F:F,NAKURU!A:A,"8/30")</f>
        <v>100000</v>
      </c>
      <c r="E613" s="11">
        <f>COUNTIFS(NAKURU!A:A,"8/30")</f>
        <v>4</v>
      </c>
      <c r="F613" s="10">
        <f>SUMIFS(NAKURU!G:G,NAKURU!A:A,"8/30")</f>
        <v>22000</v>
      </c>
      <c r="G613" s="11">
        <f t="shared" si="138"/>
        <v>0</v>
      </c>
      <c r="H613" s="12">
        <f t="shared" si="139"/>
        <v>0.22</v>
      </c>
      <c r="I613" s="9">
        <f>COUNTIFS(NAKURU!I:I,$G$18,NAKURU!A:A,"8/30")</f>
        <v>0</v>
      </c>
      <c r="J613" s="11">
        <f>COUNTIFS(NAKURU!I:I,$H$18,NAKURU!A:A,"8/30")</f>
        <v>0</v>
      </c>
      <c r="K613" s="11">
        <f>COUNTIFS(NAKURU!I:I,$I$18,NAKURU!A:A,"8/30")</f>
        <v>0</v>
      </c>
      <c r="L613" s="2"/>
      <c r="M613" s="2"/>
      <c r="N613" s="2"/>
      <c r="O613" s="2"/>
      <c r="P613" s="2"/>
      <c r="Q613" s="2"/>
      <c r="R613" s="2"/>
      <c r="S613" s="2"/>
      <c r="T613" s="2"/>
      <c r="U613" s="2"/>
      <c r="V613" s="2"/>
      <c r="W613" s="2"/>
      <c r="X613" s="2"/>
      <c r="Y613" s="2"/>
      <c r="Z613" s="2"/>
      <c r="AA613" s="2"/>
      <c r="AB613" s="2"/>
    </row>
    <row r="614">
      <c r="A614" s="7" t="s">
        <v>16</v>
      </c>
      <c r="B614" s="78">
        <v>1.198031398E7</v>
      </c>
      <c r="C614" s="79">
        <v>16.0</v>
      </c>
      <c r="D614" s="8">
        <f>SUMIFS(HOMABAY!F:F,HOMABAY!A:A,"8/30")</f>
        <v>247845</v>
      </c>
      <c r="E614" s="11">
        <f>COUNTIFS(HOMABAY!A:A,"8/30")</f>
        <v>3</v>
      </c>
      <c r="F614" s="10">
        <f>SUMIFS(HOMABAY!G:G,HOMABAY!A:A,"8/30")</f>
        <v>92000</v>
      </c>
      <c r="G614" s="11">
        <f t="shared" si="138"/>
        <v>0</v>
      </c>
      <c r="H614" s="12">
        <f t="shared" si="139"/>
        <v>0.3711997418</v>
      </c>
      <c r="I614" s="9">
        <f>COUNTIFS(HOMABAY!K:K,$G$18,HOMABAY!A:A,"8/30")</f>
        <v>0</v>
      </c>
      <c r="J614" s="11">
        <f>COUNTIFS(HOMABAY!K:K,$H$18,HOMABAY!A:A,"8/30")</f>
        <v>0</v>
      </c>
      <c r="K614" s="11">
        <f>COUNTIFS(HOMABAY!K:K,$I$18,HOMABAY!A:A,"8/30")</f>
        <v>0</v>
      </c>
      <c r="L614" s="2"/>
      <c r="M614" s="2"/>
      <c r="N614" s="2"/>
      <c r="O614" s="2"/>
      <c r="P614" s="2"/>
      <c r="Q614" s="2"/>
      <c r="R614" s="2"/>
      <c r="S614" s="2"/>
      <c r="T614" s="2"/>
      <c r="U614" s="2"/>
      <c r="V614" s="2"/>
      <c r="W614" s="2"/>
      <c r="X614" s="2"/>
      <c r="Y614" s="2"/>
      <c r="Z614" s="2"/>
      <c r="AA614" s="2"/>
      <c r="AB614" s="2"/>
    </row>
    <row r="615">
      <c r="A615" s="7" t="s">
        <v>17</v>
      </c>
      <c r="B615" s="78">
        <v>1.982130446E8</v>
      </c>
      <c r="C615" s="79">
        <v>180.0</v>
      </c>
      <c r="D615" s="8">
        <f>SUMIFS(MOMBASA!F:F,MOMBASA!A:A,"8/30")</f>
        <v>2721618.76</v>
      </c>
      <c r="E615" s="11">
        <f>COUNTIFS(MOMBASA!A:A,"8/30")</f>
        <v>24</v>
      </c>
      <c r="F615" s="27">
        <f>SUMIFS(MOMBASA!G:G,MOMBASA!A:A,"8/30")</f>
        <v>2001321</v>
      </c>
      <c r="G615" s="11">
        <f t="shared" si="138"/>
        <v>8</v>
      </c>
      <c r="H615" s="12">
        <f t="shared" si="139"/>
        <v>0.7353421535</v>
      </c>
      <c r="I615" s="9">
        <f>COUNTIFS(MOMBASA!I:I,$G$18,MOMBASA!A:A,"8/30")</f>
        <v>1</v>
      </c>
      <c r="J615" s="11">
        <f>COUNTIFS(MOMBASA!I:I,$H$18,MOMBASA!A:A,"8/30")</f>
        <v>7</v>
      </c>
      <c r="K615" s="11">
        <f>COUNTIFS(MOMBASA!I:I,$I$18,MOMBASA!A:A,"8/30")</f>
        <v>16</v>
      </c>
      <c r="L615" s="2"/>
      <c r="M615" s="2"/>
      <c r="N615" s="2"/>
      <c r="O615" s="2"/>
      <c r="P615" s="2"/>
      <c r="Q615" s="2"/>
      <c r="R615" s="2"/>
      <c r="S615" s="2"/>
      <c r="T615" s="2"/>
      <c r="U615" s="2"/>
      <c r="V615" s="2"/>
      <c r="W615" s="2"/>
      <c r="X615" s="2"/>
      <c r="Y615" s="2"/>
      <c r="Z615" s="2"/>
      <c r="AA615" s="2"/>
      <c r="AB615" s="2"/>
    </row>
    <row r="616">
      <c r="A616" s="7" t="s">
        <v>18</v>
      </c>
      <c r="B616" s="78">
        <v>8.476405245E7</v>
      </c>
      <c r="C616" s="79">
        <v>88.0</v>
      </c>
      <c r="D616" s="8">
        <f>SUMIFS(KISUMU!F:F,KISUMU!A:A,"8/30")</f>
        <v>1566736</v>
      </c>
      <c r="E616" s="11">
        <f>COUNTIFS(KISUMU!A:A,"8/30")</f>
        <v>32</v>
      </c>
      <c r="F616" s="10">
        <f>SUMIFS(KISUMU!G:G,KISUMU!A:A,"8/30")</f>
        <v>89700</v>
      </c>
      <c r="G616" s="11">
        <f t="shared" si="138"/>
        <v>0</v>
      </c>
      <c r="H616" s="12">
        <f t="shared" si="139"/>
        <v>0.05725278541</v>
      </c>
      <c r="I616" s="9">
        <f>COUNTIFS(KISUMU!I:I,$G$18,KISUMU!A:A,"8/30")</f>
        <v>0</v>
      </c>
      <c r="J616" s="11">
        <f>COUNTIFS(KISUMU!I:I,$H$18,KISUMU!A:A,"8/30")</f>
        <v>0</v>
      </c>
      <c r="K616" s="11">
        <f>COUNTIFS(KISUMU!I:I,$I$18,KISUMU!A:A,"8/30")</f>
        <v>0</v>
      </c>
      <c r="L616" s="2"/>
      <c r="M616" s="2"/>
      <c r="N616" s="2"/>
      <c r="O616" s="2"/>
      <c r="P616" s="2"/>
      <c r="Q616" s="2"/>
      <c r="R616" s="2"/>
      <c r="S616" s="2"/>
      <c r="T616" s="2"/>
      <c r="U616" s="2"/>
      <c r="V616" s="2"/>
      <c r="W616" s="2"/>
      <c r="X616" s="2"/>
      <c r="Y616" s="2"/>
      <c r="Z616" s="2"/>
      <c r="AA616" s="2"/>
      <c r="AB616" s="2"/>
    </row>
    <row r="617">
      <c r="A617" s="7" t="s">
        <v>19</v>
      </c>
      <c r="B617" s="78">
        <v>7505319.14</v>
      </c>
      <c r="C617" s="79">
        <v>21.0</v>
      </c>
      <c r="D617" s="8">
        <f>SUMIFS(VOI!F:F,VOI!A:A,"8/30")</f>
        <v>611237</v>
      </c>
      <c r="E617" s="11">
        <f>COUNTIFS(VOI!A:A,"8/30")</f>
        <v>13</v>
      </c>
      <c r="F617" s="10">
        <f>SUMIFS(VOI!G:G,VOI!A:A,"8/30")</f>
        <v>144050</v>
      </c>
      <c r="G617" s="11">
        <f t="shared" si="138"/>
        <v>3</v>
      </c>
      <c r="H617" s="12">
        <f t="shared" si="139"/>
        <v>0.2356696339</v>
      </c>
      <c r="I617" s="9">
        <f>COUNTIFS(VOI!H:H,$G$18,VOI!A:A,"8/30")</f>
        <v>2</v>
      </c>
      <c r="J617" s="11">
        <f>COUNTIFS(VOI!H:H,$H$18,VOI!A:A,"8/30")</f>
        <v>1</v>
      </c>
      <c r="K617" s="11">
        <f>COUNTIFS(VOI!H:H,$I$18,VOI!A:A,"8/30")</f>
        <v>0</v>
      </c>
      <c r="L617" s="2"/>
      <c r="M617" s="2"/>
      <c r="N617" s="2"/>
      <c r="O617" s="2"/>
      <c r="P617" s="2"/>
      <c r="Q617" s="2"/>
      <c r="R617" s="2"/>
      <c r="S617" s="2"/>
      <c r="T617" s="2"/>
      <c r="U617" s="2"/>
      <c r="V617" s="2"/>
      <c r="W617" s="2"/>
      <c r="X617" s="2"/>
      <c r="Y617" s="2"/>
      <c r="Z617" s="2"/>
      <c r="AA617" s="2"/>
      <c r="AB617" s="2"/>
    </row>
    <row r="618">
      <c r="A618" s="7" t="s">
        <v>20</v>
      </c>
      <c r="B618" s="78">
        <v>5.614812819E7</v>
      </c>
      <c r="C618" s="79">
        <v>92.0</v>
      </c>
      <c r="D618" s="8">
        <f>SUMIFS(THIKA!F:F,THIKA!A:A,"8/30")</f>
        <v>1304212</v>
      </c>
      <c r="E618" s="11">
        <f>COUNTIFS(THIKA!A:A,"8/30")</f>
        <v>13</v>
      </c>
      <c r="F618" s="10">
        <f>SUMIFS(THIKA!G:G,THIKA!A:A,"8/30")</f>
        <v>662474</v>
      </c>
      <c r="G618" s="11">
        <f t="shared" si="138"/>
        <v>0</v>
      </c>
      <c r="H618" s="12">
        <f t="shared" si="139"/>
        <v>0.5079496278</v>
      </c>
      <c r="I618" s="9">
        <f>COUNTIFS(THIKA!I:I,$G$18,THIKA!A:A,"8/30")</f>
        <v>0</v>
      </c>
      <c r="J618" s="11">
        <f>COUNTIFS(THIKA!I:I,$H$18,THIKA!A:A,"8/30")</f>
        <v>0</v>
      </c>
      <c r="K618" s="11">
        <f>COUNTIFS(THIKA!I:I,$I$18,THIKA!A:A,"8/30")</f>
        <v>0</v>
      </c>
      <c r="L618" s="2"/>
      <c r="M618" s="2"/>
      <c r="N618" s="2"/>
      <c r="O618" s="2"/>
      <c r="P618" s="2"/>
      <c r="Q618" s="2"/>
      <c r="R618" s="2"/>
      <c r="S618" s="2"/>
      <c r="T618" s="2"/>
      <c r="U618" s="2"/>
      <c r="V618" s="2"/>
      <c r="W618" s="2"/>
      <c r="X618" s="2"/>
      <c r="Y618" s="2"/>
      <c r="Z618" s="2"/>
      <c r="AA618" s="2"/>
      <c r="AB618" s="2"/>
    </row>
    <row r="619">
      <c r="A619" s="43" t="s">
        <v>21</v>
      </c>
      <c r="B619" s="77">
        <v>1070436.72</v>
      </c>
      <c r="C619" s="54">
        <v>6.0</v>
      </c>
      <c r="D619" s="44">
        <f>SUMIFS(KITUI!F:F,KITUI!A:A,"8/30")</f>
        <v>247059</v>
      </c>
      <c r="E619" s="45">
        <f>COUNTIFS(KITUI!A:A,"8/30")</f>
        <v>4</v>
      </c>
      <c r="F619" s="46">
        <f>SUMIFS(KITUI!G:G,KITUI!A:A,"8/30")</f>
        <v>0</v>
      </c>
      <c r="G619" s="45">
        <f t="shared" si="138"/>
        <v>0</v>
      </c>
      <c r="H619" s="47">
        <f t="shared" si="139"/>
        <v>0</v>
      </c>
      <c r="I619" s="48">
        <f>COUNTIFS(KITUI!I:I,$G$18,KITUI!A:A,"8/30")</f>
        <v>0</v>
      </c>
      <c r="J619" s="45">
        <f>COUNTIFS(KITUI!I:I,$H$18,KITUI!A:A,"8/30")</f>
        <v>0</v>
      </c>
      <c r="K619" s="45">
        <f>COUNTIFS(KITUI!I:I,$I$18,KITUI!A:A,"8/30")</f>
        <v>0</v>
      </c>
      <c r="L619" s="2"/>
      <c r="M619" s="2"/>
      <c r="N619" s="2"/>
      <c r="O619" s="2"/>
      <c r="P619" s="2"/>
      <c r="Q619" s="2"/>
      <c r="R619" s="2"/>
      <c r="S619" s="2"/>
      <c r="T619" s="2"/>
      <c r="U619" s="2"/>
      <c r="V619" s="2"/>
      <c r="W619" s="2"/>
      <c r="X619" s="2"/>
      <c r="Y619" s="2"/>
      <c r="Z619" s="2"/>
      <c r="AA619" s="2"/>
      <c r="AB619" s="2"/>
    </row>
    <row r="620">
      <c r="A620" s="49" t="s">
        <v>22</v>
      </c>
      <c r="B620" s="77">
        <v>796033.59</v>
      </c>
      <c r="C620" s="54">
        <v>6.0</v>
      </c>
      <c r="D620" s="44">
        <f>SUMIFS(MACHAKOS!F:F,MACHAKOS!A:A,"8/30")</f>
        <v>626483.54</v>
      </c>
      <c r="E620" s="45">
        <f>COUNTIFS(MACHAKOS!A:A,"8/30")</f>
        <v>3</v>
      </c>
      <c r="F620" s="46">
        <f>SUMIFS(MACHAKOS!G:G,MACHAKOS!A:A,"8/30")</f>
        <v>70000</v>
      </c>
      <c r="G620" s="45">
        <f t="shared" si="138"/>
        <v>0</v>
      </c>
      <c r="H620" s="47">
        <f t="shared" si="139"/>
        <v>0.1117347792</v>
      </c>
      <c r="I620" s="48">
        <f>COUNTIFS(MACHAKOS!I:I,$G$18,MACHAKOS!A:A,"8/30")</f>
        <v>0</v>
      </c>
      <c r="J620" s="45">
        <f>COUNTIFS(MACHAKOS!I:I,$H$18,MACHAKOS!A:A,"8/30")</f>
        <v>0</v>
      </c>
      <c r="K620" s="45">
        <f>COUNTIFS(MACHAKOS!I:I,$I$18,MACHAKOS!A:A,"8/30")</f>
        <v>0</v>
      </c>
      <c r="L620" s="2"/>
      <c r="M620" s="2"/>
      <c r="N620" s="2"/>
      <c r="O620" s="2"/>
      <c r="P620" s="2"/>
      <c r="Q620" s="2"/>
      <c r="R620" s="2"/>
      <c r="S620" s="2"/>
      <c r="T620" s="2"/>
      <c r="U620" s="2"/>
      <c r="V620" s="2"/>
      <c r="W620" s="2"/>
      <c r="X620" s="2"/>
      <c r="Y620" s="2"/>
      <c r="Z620" s="2"/>
      <c r="AA620" s="2"/>
      <c r="AB620" s="2"/>
    </row>
    <row r="621">
      <c r="A621" s="66" t="s">
        <v>32</v>
      </c>
      <c r="B621" s="67"/>
      <c r="C621" s="68"/>
      <c r="D621" s="73">
        <v>2750000.0</v>
      </c>
      <c r="E621" s="80">
        <v>4.0</v>
      </c>
      <c r="F621" s="71"/>
      <c r="G621" s="72">
        <v>1.0</v>
      </c>
      <c r="H621" s="47">
        <f t="shared" si="139"/>
        <v>0</v>
      </c>
      <c r="I621" s="48">
        <f>COUNTIFS(MACHAKOS!I:I,$G$18,MACHAKOS!A:A,"8/30")</f>
        <v>0</v>
      </c>
      <c r="J621" s="45">
        <v>0.0</v>
      </c>
      <c r="K621" s="53">
        <v>2.0</v>
      </c>
      <c r="L621" s="2"/>
      <c r="M621" s="2"/>
      <c r="N621" s="2"/>
      <c r="O621" s="2"/>
      <c r="P621" s="2"/>
      <c r="Q621" s="2"/>
      <c r="R621" s="2"/>
      <c r="S621" s="2"/>
      <c r="T621" s="2"/>
      <c r="U621" s="2"/>
      <c r="V621" s="2"/>
      <c r="W621" s="2"/>
      <c r="X621" s="2"/>
      <c r="Y621" s="2"/>
      <c r="Z621" s="2"/>
      <c r="AA621" s="2"/>
      <c r="AB621" s="2"/>
    </row>
    <row r="622">
      <c r="A622" s="66" t="s">
        <v>31</v>
      </c>
      <c r="B622" s="77">
        <v>1.5221625787E8</v>
      </c>
      <c r="C622" s="54">
        <v>2257.0</v>
      </c>
      <c r="D622" s="73">
        <v>1500000.0</v>
      </c>
      <c r="E622" s="45"/>
      <c r="F622" s="71"/>
      <c r="G622" s="72"/>
      <c r="H622" s="74"/>
      <c r="I622" s="66"/>
      <c r="J622" s="75"/>
      <c r="K622" s="75"/>
      <c r="L622" s="2"/>
      <c r="M622" s="2"/>
      <c r="N622" s="2"/>
      <c r="O622" s="2"/>
      <c r="P622" s="2"/>
      <c r="Q622" s="2"/>
      <c r="R622" s="2"/>
      <c r="S622" s="2"/>
      <c r="T622" s="2"/>
      <c r="U622" s="2"/>
      <c r="V622" s="2"/>
      <c r="W622" s="2"/>
      <c r="X622" s="2"/>
      <c r="Y622" s="2"/>
      <c r="Z622" s="2"/>
      <c r="AA622" s="2"/>
      <c r="AB622" s="2"/>
    </row>
    <row r="623">
      <c r="A623" s="55" t="s">
        <v>23</v>
      </c>
      <c r="B623" s="59">
        <f t="shared" ref="B623:G623" si="140">SUM(B608:B622)</f>
        <v>2502955687</v>
      </c>
      <c r="C623" s="76">
        <f t="shared" si="140"/>
        <v>4168</v>
      </c>
      <c r="D623" s="59">
        <f t="shared" si="140"/>
        <v>42811318.45</v>
      </c>
      <c r="E623" s="60">
        <f t="shared" si="140"/>
        <v>244</v>
      </c>
      <c r="F623" s="59">
        <f t="shared" si="140"/>
        <v>9752093</v>
      </c>
      <c r="G623" s="60">
        <f t="shared" si="140"/>
        <v>12</v>
      </c>
      <c r="H623" s="61">
        <f>F623/D623</f>
        <v>0.2277924005</v>
      </c>
      <c r="I623" s="62">
        <f t="shared" ref="I623:K623" si="141">SUM(I608:I622)</f>
        <v>3</v>
      </c>
      <c r="J623" s="62">
        <f t="shared" si="141"/>
        <v>8</v>
      </c>
      <c r="K623" s="62">
        <f t="shared" si="141"/>
        <v>18</v>
      </c>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3" t="s">
        <v>1</v>
      </c>
      <c r="B626" s="5" t="s">
        <v>33</v>
      </c>
      <c r="C626" s="5" t="s">
        <v>34</v>
      </c>
      <c r="D626" s="5" t="s">
        <v>2</v>
      </c>
      <c r="E626" s="5" t="s">
        <v>3</v>
      </c>
      <c r="F626" s="5" t="s">
        <v>4</v>
      </c>
      <c r="G626" s="5" t="s">
        <v>5</v>
      </c>
      <c r="H626" s="26" t="s">
        <v>6</v>
      </c>
      <c r="I626" s="26" t="s">
        <v>7</v>
      </c>
      <c r="J626" s="26" t="s">
        <v>8</v>
      </c>
      <c r="K626" s="26" t="s">
        <v>9</v>
      </c>
      <c r="L626" s="2"/>
      <c r="M626" s="2"/>
      <c r="N626" s="2"/>
      <c r="O626" s="2"/>
      <c r="P626" s="2"/>
      <c r="Q626" s="2"/>
      <c r="R626" s="2"/>
      <c r="S626" s="2"/>
      <c r="T626" s="2"/>
      <c r="U626" s="2"/>
      <c r="V626" s="2"/>
      <c r="W626" s="2"/>
      <c r="X626" s="2"/>
      <c r="Y626" s="2"/>
      <c r="Z626" s="2"/>
      <c r="AA626" s="2"/>
      <c r="AB626" s="2"/>
    </row>
    <row r="627">
      <c r="A627" s="7" t="s">
        <v>10</v>
      </c>
      <c r="B627" s="77">
        <v>8.4613592266E8</v>
      </c>
      <c r="C627" s="54">
        <v>391.0</v>
      </c>
      <c r="D627" s="8">
        <f>SUMIFS(ECOBANK!F:F,ECOBANK!A:A,"8/31")</f>
        <v>3061815.18</v>
      </c>
      <c r="E627" s="9">
        <f>COUNTIFS(ECOBANK!A:A,"8/31")</f>
        <v>14</v>
      </c>
      <c r="F627" s="10">
        <f>SUMIFS(ECOBANK!G:G,ECOBANK!A:A,"8/31")</f>
        <v>120000</v>
      </c>
      <c r="G627" s="11">
        <f t="shared" ref="G627:G639" si="142">I627+J627</f>
        <v>0</v>
      </c>
      <c r="H627" s="12">
        <f t="shared" ref="H627:H640" si="143">iferror(F627/D627,0)</f>
        <v>0.03919243747</v>
      </c>
      <c r="I627" s="9">
        <f>COUNTIFS(ECOBANK!I:I,$G$18,ECOBANK!A:A,"8/31")</f>
        <v>0</v>
      </c>
      <c r="J627" s="11">
        <f>COUNTIFS(ECOBANK!I:I,$H$18,ECOBANK!A:A,"8/31)")</f>
        <v>0</v>
      </c>
      <c r="K627" s="11">
        <f>COUNTIFS(ECOBANK!I:I,$I$18,ECOBANK!A:A,"8/31")</f>
        <v>0</v>
      </c>
      <c r="L627" s="2"/>
      <c r="M627" s="2"/>
      <c r="N627" s="2"/>
      <c r="O627" s="2"/>
      <c r="P627" s="2"/>
      <c r="Q627" s="2"/>
      <c r="R627" s="2"/>
      <c r="S627" s="2"/>
      <c r="T627" s="2"/>
      <c r="U627" s="2"/>
      <c r="V627" s="2"/>
      <c r="W627" s="2"/>
      <c r="X627" s="2"/>
      <c r="Y627" s="2"/>
      <c r="Z627" s="2"/>
      <c r="AA627" s="2"/>
      <c r="AB627" s="2"/>
    </row>
    <row r="628">
      <c r="A628" s="81" t="s">
        <v>24</v>
      </c>
      <c r="B628" s="82">
        <v>6.0333938635E8</v>
      </c>
      <c r="C628" s="83">
        <v>252.0</v>
      </c>
      <c r="D628" s="84">
        <f>SUMIFS('TRADE CENTER'!F:F,'TRADE CENTER'!A:A,"8/31")</f>
        <v>5573930.73</v>
      </c>
      <c r="E628" s="85">
        <f>COUNTIFS('TRADE CENTER'!A:A,"8/31")</f>
        <v>33</v>
      </c>
      <c r="F628" s="86">
        <f>SUMIFS('TRADE CENTER'!G:G,'TRADE CENTER'!A:A,"8/31")</f>
        <v>1901549</v>
      </c>
      <c r="G628" s="85">
        <f t="shared" si="142"/>
        <v>0</v>
      </c>
      <c r="H628" s="87">
        <f t="shared" si="143"/>
        <v>0.3411504542</v>
      </c>
      <c r="I628" s="85">
        <f>COUNTIFS('TRADE CENTER'!I:I,$G$18,'TRADE CENTER'!A:A,"8/31")</f>
        <v>0</v>
      </c>
      <c r="J628" s="85">
        <f>COUNTIFS('TRADE CENTER'!I:I,$H$18,'TRADE CENTER'!A:A,"8/31")</f>
        <v>0</v>
      </c>
      <c r="K628" s="85">
        <f>COUNTIFS('TRADE CENTER'!I:I,$I$18,'TRADE CENTER'!A:A,"8/31")</f>
        <v>0</v>
      </c>
      <c r="L628" s="2"/>
      <c r="M628" s="2"/>
      <c r="N628" s="2"/>
      <c r="O628" s="2"/>
      <c r="P628" s="2"/>
      <c r="Q628" s="2"/>
      <c r="R628" s="2"/>
      <c r="S628" s="2"/>
      <c r="T628" s="2"/>
      <c r="U628" s="2"/>
      <c r="V628" s="2"/>
      <c r="W628" s="2"/>
      <c r="X628" s="2"/>
      <c r="Y628" s="2"/>
      <c r="Z628" s="2"/>
      <c r="AA628" s="2"/>
      <c r="AB628" s="2"/>
    </row>
    <row r="629">
      <c r="A629" s="7" t="s">
        <v>12</v>
      </c>
      <c r="B629" s="78">
        <v>2.5310774507E8</v>
      </c>
      <c r="C629" s="79">
        <v>378.0</v>
      </c>
      <c r="D629" s="8">
        <f>SUMIFS(PENSION!F:F,PENSION!A:A,"8/31/2024")</f>
        <v>3473272.89</v>
      </c>
      <c r="E629" s="11">
        <f>COUNTIFS(PENSION!A:A,"8/31")</f>
        <v>28</v>
      </c>
      <c r="F629" s="10">
        <f>SUMIFS(PENSION!G:G,PENSION!A:A,"8/31/2024")</f>
        <v>1169900</v>
      </c>
      <c r="G629" s="11">
        <f t="shared" si="142"/>
        <v>0</v>
      </c>
      <c r="H629" s="12">
        <f t="shared" si="143"/>
        <v>0.336829278</v>
      </c>
      <c r="I629" s="9">
        <f>COUNTIFS(PENSION!I:I,$G$18,PENSION!A:A,"8/31")</f>
        <v>0</v>
      </c>
      <c r="J629" s="11">
        <f>COUNTIFS(PENSION!I:I,$H$18,PENSION!A:A,"8/31")</f>
        <v>0</v>
      </c>
      <c r="K629" s="11">
        <f>COUNTIFS(PENSION!I:I,$I$18,PENSION!A:A,"8/31")</f>
        <v>0</v>
      </c>
      <c r="L629" s="2"/>
      <c r="M629" s="2"/>
      <c r="N629" s="2"/>
      <c r="O629" s="2"/>
      <c r="P629" s="2"/>
      <c r="Q629" s="2"/>
      <c r="R629" s="2"/>
      <c r="S629" s="2"/>
      <c r="T629" s="2"/>
      <c r="U629" s="2"/>
      <c r="V629" s="2"/>
      <c r="W629" s="2"/>
      <c r="X629" s="2"/>
      <c r="Y629" s="2"/>
      <c r="Z629" s="2"/>
      <c r="AA629" s="2"/>
      <c r="AB629" s="2"/>
    </row>
    <row r="630">
      <c r="A630" s="7" t="s">
        <v>13</v>
      </c>
      <c r="B630" s="78">
        <v>1.1130976822E8</v>
      </c>
      <c r="C630" s="79">
        <v>294.0</v>
      </c>
      <c r="D630" s="8">
        <f>SUMIFS(KITENGELA!F:F,KITENGELA!A:A,"8/31/2024")</f>
        <v>305681.47</v>
      </c>
      <c r="E630" s="11">
        <f>COUNTIFS(KITENGELA!A:A,"8/31")</f>
        <v>11</v>
      </c>
      <c r="F630" s="10">
        <f>SUMIFS(KITENGELA!G:G,KITENGELA!A:A,"8/31")</f>
        <v>0</v>
      </c>
      <c r="G630" s="11">
        <f t="shared" si="142"/>
        <v>0</v>
      </c>
      <c r="H630" s="12">
        <f t="shared" si="143"/>
        <v>0</v>
      </c>
      <c r="I630" s="11">
        <f>COUNTIFS(KITENGELA!I:I,$G$18,KITENGELA!A:A,"8/31")</f>
        <v>0</v>
      </c>
      <c r="J630" s="11">
        <f>COUNTIFS(KITENGELA!I:I,$H$18,KITENGELA!A:A,"8/31")</f>
        <v>0</v>
      </c>
      <c r="K630" s="11">
        <f>COUNTIFS(KITENGELA!I:I,$I$18,KITENGELA!A:A,"8/31")</f>
        <v>0</v>
      </c>
      <c r="L630" s="2"/>
      <c r="M630" s="2"/>
      <c r="N630" s="2"/>
      <c r="O630" s="2"/>
      <c r="P630" s="2"/>
      <c r="Q630" s="2"/>
      <c r="R630" s="2"/>
      <c r="S630" s="2"/>
      <c r="T630" s="2"/>
      <c r="U630" s="2"/>
      <c r="V630" s="2"/>
      <c r="W630" s="2"/>
      <c r="X630" s="2"/>
      <c r="Y630" s="2"/>
      <c r="Z630" s="2"/>
      <c r="AA630" s="2"/>
      <c r="AB630" s="2"/>
    </row>
    <row r="631">
      <c r="A631" s="13" t="s">
        <v>14</v>
      </c>
      <c r="B631" s="78">
        <v>1.5997687913E8</v>
      </c>
      <c r="C631" s="79">
        <v>168.0</v>
      </c>
      <c r="D631" s="8">
        <f>SUMIFS(ELDORET!F:F,ELDORET!A:A,"8/31")</f>
        <v>1441424</v>
      </c>
      <c r="E631" s="11">
        <f>COUNTIFS(ELDORET!A:A,"8/31")</f>
        <v>24</v>
      </c>
      <c r="F631" s="10">
        <f>SUMIFS(ELDORET!G:G,ELDORET!A:A,"8/31")</f>
        <v>163333</v>
      </c>
      <c r="G631" s="11">
        <f t="shared" si="142"/>
        <v>0</v>
      </c>
      <c r="H631" s="12">
        <f t="shared" si="143"/>
        <v>0.1133136398</v>
      </c>
      <c r="I631" s="11">
        <f>COUNTIFS(ELDORET!I:I,$G$18,ELDORET!A:A,"8/31")</f>
        <v>0</v>
      </c>
      <c r="J631" s="11">
        <f>COUNTIFS(ELDORET!I:I,$H$18,ELDORET!A:A,"8/31")</f>
        <v>0</v>
      </c>
      <c r="K631" s="11">
        <f>COUNTIFS(ELDORET!I:I,$I$18,ELDORET!A:A,"8/31")</f>
        <v>0</v>
      </c>
      <c r="L631" s="2"/>
      <c r="M631" s="2"/>
      <c r="N631" s="2"/>
      <c r="O631" s="2"/>
      <c r="P631" s="2"/>
      <c r="Q631" s="2"/>
      <c r="R631" s="2"/>
      <c r="S631" s="2"/>
      <c r="T631" s="2"/>
      <c r="U631" s="2"/>
      <c r="V631" s="2"/>
      <c r="W631" s="2"/>
      <c r="X631" s="2"/>
      <c r="Y631" s="2"/>
      <c r="Z631" s="2"/>
      <c r="AA631" s="2"/>
      <c r="AB631" s="2"/>
    </row>
    <row r="632">
      <c r="A632" s="7" t="s">
        <v>15</v>
      </c>
      <c r="B632" s="78">
        <v>1.639239948E7</v>
      </c>
      <c r="C632" s="79">
        <v>19.0</v>
      </c>
      <c r="D632" s="8">
        <f>SUMIFS(NAKURU!F:F,NAKURU!A:A,"8/31")</f>
        <v>141000</v>
      </c>
      <c r="E632" s="11">
        <f>COUNTIFS(NAKURU!A:A,"8/31")</f>
        <v>5</v>
      </c>
      <c r="F632" s="10">
        <f>SUMIFS(NAKURU!G:G,NAKURU!A:A,"8/31")</f>
        <v>48670</v>
      </c>
      <c r="G632" s="11">
        <f t="shared" si="142"/>
        <v>0</v>
      </c>
      <c r="H632" s="12">
        <f t="shared" si="143"/>
        <v>0.345177305</v>
      </c>
      <c r="I632" s="9">
        <f>COUNTIFS(NAKURU!I:I,$G$18,NAKURU!A:A,"8/31")</f>
        <v>0</v>
      </c>
      <c r="J632" s="11">
        <f>COUNTIFS(NAKURU!I:I,$H$18,NAKURU!A:A,"8/31")</f>
        <v>0</v>
      </c>
      <c r="K632" s="11">
        <f>COUNTIFS(NAKURU!I:I,$I$18,NAKURU!A:A,"8/31")</f>
        <v>0</v>
      </c>
      <c r="L632" s="2"/>
      <c r="M632" s="2"/>
      <c r="N632" s="2"/>
      <c r="O632" s="2"/>
      <c r="P632" s="2"/>
      <c r="Q632" s="2"/>
      <c r="R632" s="2"/>
      <c r="S632" s="2"/>
      <c r="T632" s="2"/>
      <c r="U632" s="2"/>
      <c r="V632" s="2"/>
      <c r="W632" s="2"/>
      <c r="X632" s="2"/>
      <c r="Y632" s="2"/>
      <c r="Z632" s="2"/>
      <c r="AA632" s="2"/>
      <c r="AB632" s="2"/>
    </row>
    <row r="633">
      <c r="A633" s="7" t="s">
        <v>16</v>
      </c>
      <c r="B633" s="78">
        <v>1.198031398E7</v>
      </c>
      <c r="C633" s="79">
        <v>16.0</v>
      </c>
      <c r="D633" s="8">
        <f>SUMIFS(HOMABAY!F:F,HOMABAY!A:A,"8/31")</f>
        <v>297000</v>
      </c>
      <c r="E633" s="11">
        <f>COUNTIFS(HOMABAY!A:A,"8/31")</f>
        <v>3</v>
      </c>
      <c r="F633" s="10">
        <f>SUMIFS(HOMABAY!G:G,HOMABAY!A:A,"8/31")</f>
        <v>0</v>
      </c>
      <c r="G633" s="11">
        <f t="shared" si="142"/>
        <v>0</v>
      </c>
      <c r="H633" s="12">
        <f t="shared" si="143"/>
        <v>0</v>
      </c>
      <c r="I633" s="9">
        <f>COUNTIFS(HOMABAY!K:K,$G$18,HOMABAY!A:A,"8/31")</f>
        <v>0</v>
      </c>
      <c r="J633" s="11">
        <f>COUNTIFS(HOMABAY!K:K,$H$18,HOMABAY!A:A,"8/31")</f>
        <v>0</v>
      </c>
      <c r="K633" s="11">
        <f>COUNTIFS(HOMABAY!K:K,$I$18,HOMABAY!A:A,"8/31")</f>
        <v>0</v>
      </c>
      <c r="L633" s="2"/>
      <c r="M633" s="2"/>
      <c r="N633" s="2"/>
      <c r="O633" s="2"/>
      <c r="P633" s="2"/>
      <c r="Q633" s="2"/>
      <c r="R633" s="2"/>
      <c r="S633" s="2"/>
      <c r="T633" s="2"/>
      <c r="U633" s="2"/>
      <c r="V633" s="2"/>
      <c r="W633" s="2"/>
      <c r="X633" s="2"/>
      <c r="Y633" s="2"/>
      <c r="Z633" s="2"/>
      <c r="AA633" s="2"/>
      <c r="AB633" s="2"/>
    </row>
    <row r="634">
      <c r="A634" s="7" t="s">
        <v>17</v>
      </c>
      <c r="B634" s="78">
        <v>1.982130446E8</v>
      </c>
      <c r="C634" s="79">
        <v>180.0</v>
      </c>
      <c r="D634" s="8">
        <f>SUMIFS(MOMBASA!F:F,MOMBASA!A:A,"8/31")</f>
        <v>1011973.4</v>
      </c>
      <c r="E634" s="11">
        <f>COUNTIFS(MOMBASA!A:A,"8/31")</f>
        <v>15</v>
      </c>
      <c r="F634" s="27">
        <f>SUMIFS(MOMBASA!G:G,MOMBASA!A:A,"8/31")</f>
        <v>10000</v>
      </c>
      <c r="G634" s="11">
        <f t="shared" si="142"/>
        <v>1</v>
      </c>
      <c r="H634" s="12">
        <f t="shared" si="143"/>
        <v>0.009881682661</v>
      </c>
      <c r="I634" s="9">
        <f>COUNTIFS(MOMBASA!I:I,$G$18,MOMBASA!A:A,"8/31")</f>
        <v>0</v>
      </c>
      <c r="J634" s="11">
        <f>COUNTIFS(MOMBASA!I:I,$H$18,MOMBASA!A:A,"8/31")</f>
        <v>1</v>
      </c>
      <c r="K634" s="11">
        <f>COUNTIFS(MOMBASA!I:I,$I$18,MOMBASA!A:A,"8/31")</f>
        <v>14</v>
      </c>
      <c r="L634" s="2"/>
      <c r="M634" s="2"/>
      <c r="N634" s="2"/>
      <c r="O634" s="2"/>
      <c r="P634" s="2"/>
      <c r="Q634" s="2"/>
      <c r="R634" s="2"/>
      <c r="S634" s="2"/>
      <c r="T634" s="2"/>
      <c r="U634" s="2"/>
      <c r="V634" s="2"/>
      <c r="W634" s="2"/>
      <c r="X634" s="2"/>
      <c r="Y634" s="2"/>
      <c r="Z634" s="2"/>
      <c r="AA634" s="2"/>
      <c r="AB634" s="2"/>
    </row>
    <row r="635">
      <c r="A635" s="7" t="s">
        <v>18</v>
      </c>
      <c r="B635" s="78">
        <v>8.476405245E7</v>
      </c>
      <c r="C635" s="79">
        <v>88.0</v>
      </c>
      <c r="D635" s="8">
        <f>SUMIFS(KISUMU!F:F,KISUMU!A:A,"8/31")</f>
        <v>1459876</v>
      </c>
      <c r="E635" s="11">
        <f>COUNTIFS(KISUMU!A:A,"8/31")</f>
        <v>27</v>
      </c>
      <c r="F635" s="10">
        <f>SUMIFS(KISUMU!G:G,KISUMU!A:A,"8/31")</f>
        <v>815</v>
      </c>
      <c r="G635" s="11">
        <f t="shared" si="142"/>
        <v>0</v>
      </c>
      <c r="H635" s="12">
        <f t="shared" si="143"/>
        <v>0.0005582665925</v>
      </c>
      <c r="I635" s="9">
        <f>COUNTIFS(KISUMU!I:I,$G$18,KISUMU!A:A,"8/31")</f>
        <v>0</v>
      </c>
      <c r="J635" s="11">
        <f>COUNTIFS(KISUMU!I:I,$H$18,KISUMU!A:A,"8/31")</f>
        <v>0</v>
      </c>
      <c r="K635" s="11">
        <f>COUNTIFS(KISUMU!I:I,$I$18,KISUMU!A:A,"8/31")</f>
        <v>0</v>
      </c>
      <c r="L635" s="2"/>
      <c r="M635" s="2"/>
      <c r="N635" s="2"/>
      <c r="O635" s="2"/>
      <c r="P635" s="2"/>
      <c r="Q635" s="2"/>
      <c r="R635" s="2"/>
      <c r="S635" s="2"/>
      <c r="T635" s="2"/>
      <c r="U635" s="2"/>
      <c r="V635" s="2"/>
      <c r="W635" s="2"/>
      <c r="X635" s="2"/>
      <c r="Y635" s="2"/>
      <c r="Z635" s="2"/>
      <c r="AA635" s="2"/>
      <c r="AB635" s="2"/>
    </row>
    <row r="636">
      <c r="A636" s="7" t="s">
        <v>19</v>
      </c>
      <c r="B636" s="78">
        <v>7505319.14</v>
      </c>
      <c r="C636" s="79">
        <v>21.0</v>
      </c>
      <c r="D636" s="8">
        <f>SUMIFS(VOI!F:F,VOI!A:A,"8/31")</f>
        <v>473187</v>
      </c>
      <c r="E636" s="11">
        <f>COUNTIFS(VOI!A:A,"8/31")</f>
        <v>12</v>
      </c>
      <c r="F636" s="10">
        <f>SUMIFS(VOI!G:G,VOI!A:A,"8/31")</f>
        <v>0</v>
      </c>
      <c r="G636" s="11">
        <f t="shared" si="142"/>
        <v>0</v>
      </c>
      <c r="H636" s="12">
        <f t="shared" si="143"/>
        <v>0</v>
      </c>
      <c r="I636" s="9">
        <f>COUNTIFS(VOI!H:H,$G$18,VOI!A:A,"8/31")</f>
        <v>0</v>
      </c>
      <c r="J636" s="11">
        <f>COUNTIFS(VOI!H:H,$H$18,VOI!A:A,"8/31")</f>
        <v>0</v>
      </c>
      <c r="K636" s="11">
        <f>COUNTIFS(VOI!H:H,$I$18,VOI!A:A,"8/31")</f>
        <v>0</v>
      </c>
      <c r="L636" s="2"/>
      <c r="M636" s="2"/>
      <c r="N636" s="2"/>
      <c r="O636" s="2"/>
      <c r="P636" s="2"/>
      <c r="Q636" s="2"/>
      <c r="R636" s="2"/>
      <c r="S636" s="2"/>
      <c r="T636" s="2"/>
      <c r="U636" s="2"/>
      <c r="V636" s="2"/>
      <c r="W636" s="2"/>
      <c r="X636" s="2"/>
      <c r="Y636" s="2"/>
      <c r="Z636" s="2"/>
      <c r="AA636" s="2"/>
      <c r="AB636" s="2"/>
    </row>
    <row r="637">
      <c r="A637" s="7" t="s">
        <v>20</v>
      </c>
      <c r="B637" s="78">
        <v>5.614812819E7</v>
      </c>
      <c r="C637" s="79">
        <v>92.0</v>
      </c>
      <c r="D637" s="8">
        <f>SUMIFS(THIKA!F:F,THIKA!A:A,"8/31")</f>
        <v>604939.6</v>
      </c>
      <c r="E637" s="11">
        <f>COUNTIFS(THIKA!A:A,"8/31")</f>
        <v>8</v>
      </c>
      <c r="F637" s="10">
        <f>SUMIFS(THIKA!G:G,THIKA!A:A,"8/31")</f>
        <v>73481</v>
      </c>
      <c r="G637" s="11">
        <f t="shared" si="142"/>
        <v>0</v>
      </c>
      <c r="H637" s="12">
        <f t="shared" si="143"/>
        <v>0.1214683251</v>
      </c>
      <c r="I637" s="9">
        <f>COUNTIFS(THIKA!I:I,$G$18,THIKA!A:A,"8/31")</f>
        <v>0</v>
      </c>
      <c r="J637" s="11">
        <f>COUNTIFS(THIKA!I:I,$H$18,THIKA!A:A,"8/31")</f>
        <v>0</v>
      </c>
      <c r="K637" s="11">
        <f>COUNTIFS(THIKA!I:I,$I$18,THIKA!A:A,"8/31")</f>
        <v>0</v>
      </c>
      <c r="L637" s="2"/>
      <c r="M637" s="2"/>
      <c r="N637" s="2"/>
      <c r="O637" s="2"/>
      <c r="P637" s="2"/>
      <c r="Q637" s="2"/>
      <c r="R637" s="2"/>
      <c r="S637" s="2"/>
      <c r="T637" s="2"/>
      <c r="U637" s="2"/>
      <c r="V637" s="2"/>
      <c r="W637" s="2"/>
      <c r="X637" s="2"/>
      <c r="Y637" s="2"/>
      <c r="Z637" s="2"/>
      <c r="AA637" s="2"/>
      <c r="AB637" s="2"/>
    </row>
    <row r="638">
      <c r="A638" s="43" t="s">
        <v>21</v>
      </c>
      <c r="B638" s="77">
        <v>1070436.72</v>
      </c>
      <c r="C638" s="54">
        <v>6.0</v>
      </c>
      <c r="D638" s="44">
        <f>SUMIFS(KITUI!F:F,KITUI!A:A,"8/31")</f>
        <v>107500</v>
      </c>
      <c r="E638" s="45">
        <f>COUNTIFS(KITUI!A:A,"8/31")</f>
        <v>3</v>
      </c>
      <c r="F638" s="46">
        <f>SUMIFS(KITUI!G:G,KITUI!A:A,"8/31")</f>
        <v>52000</v>
      </c>
      <c r="G638" s="45">
        <f t="shared" si="142"/>
        <v>0</v>
      </c>
      <c r="H638" s="47">
        <f t="shared" si="143"/>
        <v>0.4837209302</v>
      </c>
      <c r="I638" s="48">
        <f>COUNTIFS(KITUI!I:I,$G$18,KITUI!A:A,"8/31")</f>
        <v>0</v>
      </c>
      <c r="J638" s="45">
        <f>COUNTIFS(KITUI!I:I,$H$18,KITUI!A:A,"8/31")</f>
        <v>0</v>
      </c>
      <c r="K638" s="45">
        <f>COUNTIFS(KITUI!I:I,$I$18,KITUI!A:A,"8/31")</f>
        <v>0</v>
      </c>
      <c r="L638" s="2"/>
      <c r="M638" s="2"/>
      <c r="N638" s="2"/>
      <c r="O638" s="2"/>
      <c r="P638" s="2"/>
      <c r="Q638" s="2"/>
      <c r="R638" s="2"/>
      <c r="S638" s="2"/>
      <c r="T638" s="2"/>
      <c r="U638" s="2"/>
      <c r="V638" s="2"/>
      <c r="W638" s="2"/>
      <c r="X638" s="2"/>
      <c r="Y638" s="2"/>
      <c r="Z638" s="2"/>
      <c r="AA638" s="2"/>
      <c r="AB638" s="2"/>
    </row>
    <row r="639">
      <c r="A639" s="49" t="s">
        <v>22</v>
      </c>
      <c r="B639" s="77">
        <v>796033.59</v>
      </c>
      <c r="C639" s="54">
        <v>6.0</v>
      </c>
      <c r="D639" s="44">
        <f>SUMIFS(MACHAKOS!F:F,MACHAKOS!A:A,"8/31")</f>
        <v>627607.9</v>
      </c>
      <c r="E639" s="45">
        <f>COUNTIFS(MACHAKOS!A:A,"8/31")</f>
        <v>4</v>
      </c>
      <c r="F639" s="46">
        <f>SUMIFS(MACHAKOS!G:G,MACHAKOS!A:A,"8/31")</f>
        <v>0</v>
      </c>
      <c r="G639" s="45">
        <f t="shared" si="142"/>
        <v>0</v>
      </c>
      <c r="H639" s="47">
        <f t="shared" si="143"/>
        <v>0</v>
      </c>
      <c r="I639" s="48">
        <f>COUNTIFS(MACHAKOS!I:I,$G$18,MACHAKOS!A:A,"8/31")</f>
        <v>0</v>
      </c>
      <c r="J639" s="45">
        <f>COUNTIFS(MACHAKOS!I:I,$H$18,MACHAKOS!A:A,"8/31")</f>
        <v>0</v>
      </c>
      <c r="K639" s="45">
        <f>COUNTIFS(MACHAKOS!I:I,$I$18,MACHAKOS!A:A,"8/31")</f>
        <v>0</v>
      </c>
      <c r="L639" s="2"/>
      <c r="M639" s="2"/>
      <c r="N639" s="2"/>
      <c r="O639" s="2"/>
      <c r="P639" s="2"/>
      <c r="Q639" s="2"/>
      <c r="R639" s="2"/>
      <c r="S639" s="2"/>
      <c r="T639" s="2"/>
      <c r="U639" s="2"/>
      <c r="V639" s="2"/>
      <c r="W639" s="2"/>
      <c r="X639" s="2"/>
      <c r="Y639" s="2"/>
      <c r="Z639" s="2"/>
      <c r="AA639" s="2"/>
      <c r="AB639" s="2"/>
    </row>
    <row r="640">
      <c r="A640" s="66" t="s">
        <v>32</v>
      </c>
      <c r="B640" s="67"/>
      <c r="C640" s="68"/>
      <c r="D640" s="73">
        <v>2750000.0</v>
      </c>
      <c r="E640" s="80">
        <v>4.0</v>
      </c>
      <c r="F640" s="71"/>
      <c r="G640" s="72">
        <v>1.0</v>
      </c>
      <c r="H640" s="47">
        <f t="shared" si="143"/>
        <v>0</v>
      </c>
      <c r="I640" s="48">
        <f>COUNTIFS(MACHAKOS!I:I,$G$18,MACHAKOS!A:A,"8/31")</f>
        <v>0</v>
      </c>
      <c r="J640" s="45">
        <v>0.0</v>
      </c>
      <c r="K640" s="53">
        <v>2.0</v>
      </c>
      <c r="L640" s="2"/>
      <c r="M640" s="2"/>
      <c r="N640" s="2"/>
      <c r="O640" s="2"/>
      <c r="P640" s="2"/>
      <c r="Q640" s="2"/>
      <c r="R640" s="2"/>
      <c r="S640" s="2"/>
      <c r="T640" s="2"/>
      <c r="U640" s="2"/>
      <c r="V640" s="2"/>
      <c r="W640" s="2"/>
      <c r="X640" s="2"/>
      <c r="Y640" s="2"/>
      <c r="Z640" s="2"/>
      <c r="AA640" s="2"/>
      <c r="AB640" s="2"/>
    </row>
    <row r="641">
      <c r="A641" s="66" t="s">
        <v>31</v>
      </c>
      <c r="B641" s="77">
        <v>1.5221625787E8</v>
      </c>
      <c r="C641" s="54">
        <v>2257.0</v>
      </c>
      <c r="D641" s="73">
        <v>0.0</v>
      </c>
      <c r="E641" s="45"/>
      <c r="F641" s="71"/>
      <c r="G641" s="72"/>
      <c r="H641" s="74"/>
      <c r="I641" s="66"/>
      <c r="J641" s="75"/>
      <c r="K641" s="75"/>
      <c r="L641" s="2"/>
      <c r="M641" s="2"/>
      <c r="N641" s="2"/>
      <c r="O641" s="2"/>
      <c r="P641" s="2"/>
      <c r="Q641" s="2"/>
      <c r="R641" s="2"/>
      <c r="S641" s="2"/>
      <c r="T641" s="2"/>
      <c r="U641" s="2"/>
      <c r="V641" s="2"/>
      <c r="W641" s="2"/>
      <c r="X641" s="2"/>
      <c r="Y641" s="2"/>
      <c r="Z641" s="2"/>
      <c r="AA641" s="2"/>
      <c r="AB641" s="2"/>
    </row>
    <row r="642">
      <c r="A642" s="55" t="s">
        <v>23</v>
      </c>
      <c r="B642" s="59">
        <f t="shared" ref="B642:G642" si="144">SUM(B627:B641)</f>
        <v>2502955687</v>
      </c>
      <c r="C642" s="76">
        <f t="shared" si="144"/>
        <v>4168</v>
      </c>
      <c r="D642" s="59">
        <f t="shared" si="144"/>
        <v>21329208.17</v>
      </c>
      <c r="E642" s="60">
        <f t="shared" si="144"/>
        <v>191</v>
      </c>
      <c r="F642" s="59">
        <f t="shared" si="144"/>
        <v>3539748</v>
      </c>
      <c r="G642" s="60">
        <f t="shared" si="144"/>
        <v>2</v>
      </c>
      <c r="H642" s="61">
        <f>F642/D642</f>
        <v>0.1659577783</v>
      </c>
      <c r="I642" s="62">
        <f t="shared" ref="I642:K642" si="145">SUM(I627:I641)</f>
        <v>0</v>
      </c>
      <c r="J642" s="62">
        <f t="shared" si="145"/>
        <v>1</v>
      </c>
      <c r="K642" s="62">
        <f t="shared" si="145"/>
        <v>16</v>
      </c>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3" t="s">
        <v>1</v>
      </c>
      <c r="B645" s="5" t="s">
        <v>33</v>
      </c>
      <c r="C645" s="5" t="s">
        <v>34</v>
      </c>
      <c r="D645" s="5" t="s">
        <v>2</v>
      </c>
      <c r="E645" s="5" t="s">
        <v>3</v>
      </c>
      <c r="F645" s="5" t="s">
        <v>4</v>
      </c>
      <c r="G645" s="5" t="s">
        <v>5</v>
      </c>
      <c r="H645" s="26" t="s">
        <v>6</v>
      </c>
      <c r="I645" s="26" t="s">
        <v>7</v>
      </c>
      <c r="J645" s="26" t="s">
        <v>8</v>
      </c>
      <c r="K645" s="26" t="s">
        <v>9</v>
      </c>
      <c r="L645" s="2"/>
      <c r="M645" s="2"/>
      <c r="N645" s="2"/>
      <c r="O645" s="2"/>
      <c r="P645" s="2"/>
      <c r="Q645" s="2"/>
      <c r="R645" s="2"/>
      <c r="S645" s="2"/>
      <c r="T645" s="2"/>
      <c r="U645" s="2"/>
      <c r="V645" s="2"/>
      <c r="W645" s="2"/>
      <c r="X645" s="2"/>
      <c r="Y645" s="2"/>
      <c r="Z645" s="2"/>
      <c r="AA645" s="2"/>
      <c r="AB645" s="2"/>
    </row>
    <row r="646">
      <c r="A646" s="7" t="s">
        <v>10</v>
      </c>
      <c r="B646" s="77">
        <v>8.4613592266E8</v>
      </c>
      <c r="C646" s="54">
        <v>391.0</v>
      </c>
      <c r="D646" s="8">
        <f>SUMIFS(ECOBANK!F:F,ECOBANK!A:A,"9/2")</f>
        <v>7932658.81</v>
      </c>
      <c r="E646" s="9">
        <f>COUNTIFS(ECOBANK!A:A,"9/2")</f>
        <v>23</v>
      </c>
      <c r="F646" s="10">
        <f>SUMIFS(ECOBANK!G:G,ECOBANK!A:A,"9/2")</f>
        <v>12658263</v>
      </c>
      <c r="G646" s="11">
        <f t="shared" ref="G646:G658" si="146">I646+J646</f>
        <v>0</v>
      </c>
      <c r="H646" s="12">
        <f t="shared" ref="H646:H659" si="147">iferror(F646/D646,0)</f>
        <v>1.595715044</v>
      </c>
      <c r="I646" s="9">
        <f>COUNTIFS(ECOBANK!I:I,$G$18,ECOBANK!A:A,"9/2")</f>
        <v>0</v>
      </c>
      <c r="J646" s="11">
        <f>COUNTIFS(ECOBANK!I:I,$H$18,ECOBANK!A:A,"9/2)")</f>
        <v>0</v>
      </c>
      <c r="K646" s="11">
        <f>COUNTIFS(ECOBANK!I:I,$I$18,ECOBANK!A:A,"9/2")</f>
        <v>0</v>
      </c>
      <c r="L646" s="2"/>
      <c r="M646" s="2"/>
      <c r="N646" s="2"/>
      <c r="O646" s="2"/>
      <c r="P646" s="2"/>
      <c r="Q646" s="2"/>
      <c r="R646" s="2"/>
      <c r="S646" s="2"/>
      <c r="T646" s="2"/>
      <c r="U646" s="2"/>
      <c r="V646" s="2"/>
      <c r="W646" s="2"/>
      <c r="X646" s="2"/>
      <c r="Y646" s="2"/>
      <c r="Z646" s="2"/>
      <c r="AA646" s="2"/>
      <c r="AB646" s="2"/>
    </row>
    <row r="647">
      <c r="A647" s="81" t="s">
        <v>24</v>
      </c>
      <c r="B647" s="82">
        <v>6.0333938635E8</v>
      </c>
      <c r="C647" s="83">
        <v>252.0</v>
      </c>
      <c r="D647" s="84">
        <f>SUMIFS('TRADE CENTER'!F:F,'TRADE CENTER'!A:A,"9/2")</f>
        <v>4926239.57</v>
      </c>
      <c r="E647" s="85">
        <f>COUNTIFS('TRADE CENTER'!A:A,"9/2")</f>
        <v>38</v>
      </c>
      <c r="F647" s="86">
        <f>SUMIFS('TRADE CENTER'!G:G,'TRADE CENTER'!A:A,"9/2")</f>
        <v>639951</v>
      </c>
      <c r="G647" s="85">
        <f t="shared" si="146"/>
        <v>0</v>
      </c>
      <c r="H647" s="87">
        <f t="shared" si="147"/>
        <v>0.1299065932</v>
      </c>
      <c r="I647" s="85">
        <f>COUNTIFS('TRADE CENTER'!I:I,$G$18,'TRADE CENTER'!A:A,"9/2")</f>
        <v>0</v>
      </c>
      <c r="J647" s="85">
        <f>COUNTIFS('TRADE CENTER'!I:I,$H$18,'TRADE CENTER'!A:A,"9/2")</f>
        <v>0</v>
      </c>
      <c r="K647" s="85">
        <f>COUNTIFS('TRADE CENTER'!I:I,$I$18,'TRADE CENTER'!A:A,"9/2")</f>
        <v>0</v>
      </c>
      <c r="L647" s="2"/>
      <c r="M647" s="2"/>
      <c r="N647" s="2"/>
      <c r="O647" s="2"/>
      <c r="P647" s="2"/>
      <c r="Q647" s="2"/>
      <c r="R647" s="2"/>
      <c r="S647" s="2"/>
      <c r="T647" s="2"/>
      <c r="U647" s="2"/>
      <c r="V647" s="2"/>
      <c r="W647" s="2"/>
      <c r="X647" s="2"/>
      <c r="Y647" s="2"/>
      <c r="Z647" s="2"/>
      <c r="AA647" s="2"/>
      <c r="AB647" s="2"/>
    </row>
    <row r="648">
      <c r="A648" s="7" t="s">
        <v>12</v>
      </c>
      <c r="B648" s="78">
        <v>2.5310774507E8</v>
      </c>
      <c r="C648" s="79">
        <v>378.0</v>
      </c>
      <c r="D648" s="8">
        <f>SUMIFS(PENSION!F:F,PENSION!A:A,"9/2/2024")</f>
        <v>8176045.74</v>
      </c>
      <c r="E648" s="11">
        <f>COUNTIFS(PENSION!A:A,"9/2")</f>
        <v>37</v>
      </c>
      <c r="F648" s="10">
        <f>SUMIFS(PENSION!G:G,PENSION!A:A,"9/2/2024")</f>
        <v>0</v>
      </c>
      <c r="G648" s="11">
        <f t="shared" si="146"/>
        <v>0</v>
      </c>
      <c r="H648" s="12">
        <f t="shared" si="147"/>
        <v>0</v>
      </c>
      <c r="I648" s="9">
        <f>COUNTIFS(PENSION!I:I,$G$18,PENSION!A:A,"9/2")</f>
        <v>0</v>
      </c>
      <c r="J648" s="11">
        <f>COUNTIFS(PENSION!I:I,$H$18,PENSION!A:A,"9/2")</f>
        <v>0</v>
      </c>
      <c r="K648" s="11">
        <f>COUNTIFS(PENSION!I:I,$I$18,PENSION!A:A,"9/2")</f>
        <v>0</v>
      </c>
      <c r="L648" s="2"/>
      <c r="M648" s="2"/>
      <c r="N648" s="2"/>
      <c r="O648" s="2"/>
      <c r="P648" s="2"/>
      <c r="Q648" s="2"/>
      <c r="R648" s="2"/>
      <c r="S648" s="2"/>
      <c r="T648" s="2"/>
      <c r="U648" s="2"/>
      <c r="V648" s="2"/>
      <c r="W648" s="2"/>
      <c r="X648" s="2"/>
      <c r="Y648" s="2"/>
      <c r="Z648" s="2"/>
      <c r="AA648" s="2"/>
      <c r="AB648" s="2"/>
    </row>
    <row r="649">
      <c r="A649" s="7" t="s">
        <v>13</v>
      </c>
      <c r="B649" s="78">
        <v>1.1130976822E8</v>
      </c>
      <c r="C649" s="79">
        <v>294.0</v>
      </c>
      <c r="D649" s="8">
        <f>SUMIFS(KITENGELA!F:F,KITENGELA!A:A,"9/2/2024")</f>
        <v>4151479.65</v>
      </c>
      <c r="E649" s="11">
        <f>COUNTIFS(KITENGELA!A:A,"9/2")</f>
        <v>40</v>
      </c>
      <c r="F649" s="10">
        <f>SUMIFS(KITENGELA!G:G,KITENGELA!A:A,"9/2")</f>
        <v>282191</v>
      </c>
      <c r="G649" s="11">
        <f t="shared" si="146"/>
        <v>0</v>
      </c>
      <c r="H649" s="12">
        <f t="shared" si="147"/>
        <v>0.06797359587</v>
      </c>
      <c r="I649" s="11">
        <f>COUNTIFS(KITENGELA!I:I,$G$18,KITENGELA!A:A,"9/2")</f>
        <v>0</v>
      </c>
      <c r="J649" s="11">
        <f>COUNTIFS(KITENGELA!I:I,$H$18,KITENGELA!A:A,"9/2")</f>
        <v>0</v>
      </c>
      <c r="K649" s="11">
        <f>COUNTIFS(KITENGELA!I:I,$I$18,KITENGELA!A:A,"9/2")</f>
        <v>0</v>
      </c>
      <c r="L649" s="2"/>
      <c r="M649" s="2"/>
      <c r="N649" s="2"/>
      <c r="O649" s="2"/>
      <c r="P649" s="2"/>
      <c r="Q649" s="2"/>
      <c r="R649" s="2"/>
      <c r="S649" s="2"/>
      <c r="T649" s="2"/>
      <c r="U649" s="2"/>
      <c r="V649" s="2"/>
      <c r="W649" s="2"/>
      <c r="X649" s="2"/>
      <c r="Y649" s="2"/>
      <c r="Z649" s="2"/>
      <c r="AA649" s="2"/>
      <c r="AB649" s="2"/>
    </row>
    <row r="650">
      <c r="A650" s="13" t="s">
        <v>14</v>
      </c>
      <c r="B650" s="78">
        <v>1.5997687913E8</v>
      </c>
      <c r="C650" s="79">
        <v>168.0</v>
      </c>
      <c r="D650" s="8">
        <f>SUMIFS(ELDORET!F:F,ELDORET!A:A,"9/2")</f>
        <v>1283254</v>
      </c>
      <c r="E650" s="11">
        <f>COUNTIFS(ELDORET!A:A,"9/2")</f>
        <v>23</v>
      </c>
      <c r="F650" s="10">
        <f>SUMIFS(ELDORET!G:G,ELDORET!A:A,"9/2")</f>
        <v>398049</v>
      </c>
      <c r="G650" s="11">
        <f t="shared" si="146"/>
        <v>0</v>
      </c>
      <c r="H650" s="12">
        <f t="shared" si="147"/>
        <v>0.3101872272</v>
      </c>
      <c r="I650" s="11">
        <f>COUNTIFS(ELDORET!I:I,$G$18,ELDORET!A:A,"9/2")</f>
        <v>0</v>
      </c>
      <c r="J650" s="11">
        <f>COUNTIFS(ELDORET!I:I,$H$18,ELDORET!A:A,"9/2")</f>
        <v>0</v>
      </c>
      <c r="K650" s="11">
        <f>COUNTIFS(ELDORET!I:I,$I$18,ELDORET!A:A,"9/2")</f>
        <v>0</v>
      </c>
      <c r="L650" s="2"/>
      <c r="M650" s="2"/>
      <c r="N650" s="2"/>
      <c r="O650" s="2"/>
      <c r="P650" s="2"/>
      <c r="Q650" s="2"/>
      <c r="R650" s="2"/>
      <c r="S650" s="2"/>
      <c r="T650" s="2"/>
      <c r="U650" s="2"/>
      <c r="V650" s="2"/>
      <c r="W650" s="2"/>
      <c r="X650" s="2"/>
      <c r="Y650" s="2"/>
      <c r="Z650" s="2"/>
      <c r="AA650" s="2"/>
      <c r="AB650" s="2"/>
    </row>
    <row r="651">
      <c r="A651" s="7" t="s">
        <v>15</v>
      </c>
      <c r="B651" s="78">
        <v>1.639239948E7</v>
      </c>
      <c r="C651" s="79">
        <v>19.0</v>
      </c>
      <c r="D651" s="8">
        <f>SUMIFS(NAKURU!F:F,NAKURU!A:A,"9/2")</f>
        <v>323262</v>
      </c>
      <c r="E651" s="11">
        <f>COUNTIFS(NAKURU!A:A,"9/2")</f>
        <v>7</v>
      </c>
      <c r="F651" s="10">
        <f>SUMIFS(NAKURU!G:G,NAKURU!A:A,"9/2")</f>
        <v>35000</v>
      </c>
      <c r="G651" s="11">
        <f t="shared" si="146"/>
        <v>0</v>
      </c>
      <c r="H651" s="12">
        <f t="shared" si="147"/>
        <v>0.1082713093</v>
      </c>
      <c r="I651" s="9">
        <f>COUNTIFS(NAKURU!I:I,$G$18,NAKURU!A:A,"9/2")</f>
        <v>0</v>
      </c>
      <c r="J651" s="11">
        <f>COUNTIFS(NAKURU!I:I,$H$18,NAKURU!A:A,"9/2")</f>
        <v>0</v>
      </c>
      <c r="K651" s="11">
        <f>COUNTIFS(NAKURU!I:I,$I$18,NAKURU!A:A,"9/2")</f>
        <v>0</v>
      </c>
      <c r="L651" s="2"/>
      <c r="M651" s="2"/>
      <c r="N651" s="2"/>
      <c r="O651" s="2"/>
      <c r="P651" s="2"/>
      <c r="Q651" s="2"/>
      <c r="R651" s="2"/>
      <c r="S651" s="2"/>
      <c r="T651" s="2"/>
      <c r="U651" s="2"/>
      <c r="V651" s="2"/>
      <c r="W651" s="2"/>
      <c r="X651" s="2"/>
      <c r="Y651" s="2"/>
      <c r="Z651" s="2"/>
      <c r="AA651" s="2"/>
      <c r="AB651" s="2"/>
    </row>
    <row r="652">
      <c r="A652" s="7" t="s">
        <v>16</v>
      </c>
      <c r="B652" s="78">
        <v>1.198031398E7</v>
      </c>
      <c r="C652" s="79">
        <v>16.0</v>
      </c>
      <c r="D652" s="8">
        <f>SUMIFS(HOMABAY!F:F,HOMABAY!A:A,"9/2")</f>
        <v>297000</v>
      </c>
      <c r="E652" s="11">
        <f>COUNTIFS(HOMABAY!A:A,"9/2")</f>
        <v>3</v>
      </c>
      <c r="F652" s="10">
        <f>SUMIFS(HOMABAY!G:G,HOMABAY!A:A,"9/2")</f>
        <v>30000</v>
      </c>
      <c r="G652" s="11">
        <f t="shared" si="146"/>
        <v>0</v>
      </c>
      <c r="H652" s="12">
        <f t="shared" si="147"/>
        <v>0.101010101</v>
      </c>
      <c r="I652" s="9">
        <f>COUNTIFS(HOMABAY!K:K,$G$18,HOMABAY!A:A,"9/2")</f>
        <v>0</v>
      </c>
      <c r="J652" s="11">
        <f>COUNTIFS(HOMABAY!K:K,$H$18,HOMABAY!A:A,"9/2")</f>
        <v>0</v>
      </c>
      <c r="K652" s="11">
        <f>COUNTIFS(HOMABAY!K:K,$I$18,HOMABAY!A:A,"9/2")</f>
        <v>0</v>
      </c>
      <c r="L652" s="2"/>
      <c r="M652" s="2"/>
      <c r="N652" s="2"/>
      <c r="O652" s="2"/>
      <c r="P652" s="2"/>
      <c r="Q652" s="2"/>
      <c r="R652" s="2"/>
      <c r="S652" s="2"/>
      <c r="T652" s="2"/>
      <c r="U652" s="2"/>
      <c r="V652" s="2"/>
      <c r="W652" s="2"/>
      <c r="X652" s="2"/>
      <c r="Y652" s="2"/>
      <c r="Z652" s="2"/>
      <c r="AA652" s="2"/>
      <c r="AB652" s="2"/>
    </row>
    <row r="653">
      <c r="A653" s="7" t="s">
        <v>17</v>
      </c>
      <c r="B653" s="78">
        <v>1.982130446E8</v>
      </c>
      <c r="C653" s="79">
        <v>180.0</v>
      </c>
      <c r="D653" s="8">
        <f>SUMIFS(MOMBASA!F:F,MOMBASA!A:A,"9/2")</f>
        <v>1969242.82</v>
      </c>
      <c r="E653" s="11">
        <f>COUNTIFS(MOMBASA!A:A,"9/2")</f>
        <v>22</v>
      </c>
      <c r="F653" s="27">
        <f>SUMIFS(MOMBASA!G:G,MOMBASA!A:A,"9/2")</f>
        <v>146188</v>
      </c>
      <c r="G653" s="11">
        <f t="shared" si="146"/>
        <v>0</v>
      </c>
      <c r="H653" s="12">
        <f t="shared" si="147"/>
        <v>0.07423563946</v>
      </c>
      <c r="I653" s="9">
        <f>COUNTIFS(MOMBASA!I:I,$G$18,MOMBASA!A:A,"9/2")</f>
        <v>0</v>
      </c>
      <c r="J653" s="11">
        <f>COUNTIFS(MOMBASA!I:I,$H$18,MOMBASA!A:A,"9/2")</f>
        <v>0</v>
      </c>
      <c r="K653" s="11">
        <f>COUNTIFS(MOMBASA!I:I,$I$18,MOMBASA!A:A,"9/2")</f>
        <v>0</v>
      </c>
      <c r="L653" s="2"/>
      <c r="M653" s="2"/>
      <c r="N653" s="2"/>
      <c r="O653" s="2"/>
      <c r="P653" s="2"/>
      <c r="Q653" s="2"/>
      <c r="R653" s="2"/>
      <c r="S653" s="2"/>
      <c r="T653" s="2"/>
      <c r="U653" s="2"/>
      <c r="V653" s="2"/>
      <c r="W653" s="2"/>
      <c r="X653" s="2"/>
      <c r="Y653" s="2"/>
      <c r="Z653" s="2"/>
      <c r="AA653" s="2"/>
      <c r="AB653" s="2"/>
    </row>
    <row r="654">
      <c r="A654" s="7" t="s">
        <v>18</v>
      </c>
      <c r="B654" s="78">
        <v>8.476405245E7</v>
      </c>
      <c r="C654" s="79">
        <v>88.0</v>
      </c>
      <c r="D654" s="8">
        <f>SUMIFS(KISUMU!F:F,KISUMU!A:A,"9/2")</f>
        <v>1666276</v>
      </c>
      <c r="E654" s="11">
        <f>COUNTIFS(KISUMU!A:A,"9/2")</f>
        <v>26</v>
      </c>
      <c r="F654" s="10">
        <f>SUMIFS(KISUMU!G:G,KISUMU!A:A,"9/2")</f>
        <v>354000</v>
      </c>
      <c r="G654" s="11">
        <f t="shared" si="146"/>
        <v>0</v>
      </c>
      <c r="H654" s="12">
        <f t="shared" si="147"/>
        <v>0.2124497982</v>
      </c>
      <c r="I654" s="9">
        <f>COUNTIFS(KISUMU!I:I,$G$18,KISUMU!A:A,"9/2")</f>
        <v>0</v>
      </c>
      <c r="J654" s="11">
        <f>COUNTIFS(KISUMU!I:I,$H$18,KISUMU!A:A,"9/2")</f>
        <v>0</v>
      </c>
      <c r="K654" s="11">
        <f>COUNTIFS(KISUMU!I:I,$I$18,KISUMU!A:A,"9/2")</f>
        <v>0</v>
      </c>
      <c r="L654" s="2"/>
      <c r="M654" s="2"/>
      <c r="N654" s="2"/>
      <c r="O654" s="2"/>
      <c r="P654" s="2"/>
      <c r="Q654" s="2"/>
      <c r="R654" s="2"/>
      <c r="S654" s="2"/>
      <c r="T654" s="2"/>
      <c r="U654" s="2"/>
      <c r="V654" s="2"/>
      <c r="W654" s="2"/>
      <c r="X654" s="2"/>
      <c r="Y654" s="2"/>
      <c r="Z654" s="2"/>
      <c r="AA654" s="2"/>
      <c r="AB654" s="2"/>
    </row>
    <row r="655">
      <c r="A655" s="7" t="s">
        <v>19</v>
      </c>
      <c r="B655" s="78">
        <v>7505319.14</v>
      </c>
      <c r="C655" s="79">
        <v>21.0</v>
      </c>
      <c r="D655" s="8">
        <f>SUMIFS(VOI!F:F,VOI!A:A,"9/2")</f>
        <v>459300</v>
      </c>
      <c r="E655" s="11">
        <f>COUNTIFS(VOI!A:A,"9/2")</f>
        <v>12</v>
      </c>
      <c r="F655" s="10">
        <f>SUMIFS(VOI!G:G,VOI!A:A,"9/2")</f>
        <v>0</v>
      </c>
      <c r="G655" s="11">
        <f t="shared" si="146"/>
        <v>0</v>
      </c>
      <c r="H655" s="12">
        <f t="shared" si="147"/>
        <v>0</v>
      </c>
      <c r="I655" s="9">
        <f>COUNTIFS(VOI!H:H,$G$18,VOI!A:A,"9/2")</f>
        <v>0</v>
      </c>
      <c r="J655" s="11">
        <f>COUNTIFS(VOI!H:H,$H$18,VOI!A:A,"9/2")</f>
        <v>0</v>
      </c>
      <c r="K655" s="11">
        <f>COUNTIFS(VOI!H:H,$I$18,VOI!A:A,"9/2")</f>
        <v>0</v>
      </c>
      <c r="L655" s="2"/>
      <c r="M655" s="2"/>
      <c r="N655" s="2"/>
      <c r="O655" s="2"/>
      <c r="P655" s="2"/>
      <c r="Q655" s="2"/>
      <c r="R655" s="2"/>
      <c r="S655" s="2"/>
      <c r="T655" s="2"/>
      <c r="U655" s="2"/>
      <c r="V655" s="2"/>
      <c r="W655" s="2"/>
      <c r="X655" s="2"/>
      <c r="Y655" s="2"/>
      <c r="Z655" s="2"/>
      <c r="AA655" s="2"/>
      <c r="AB655" s="2"/>
    </row>
    <row r="656">
      <c r="A656" s="7" t="s">
        <v>20</v>
      </c>
      <c r="B656" s="78">
        <v>5.614812819E7</v>
      </c>
      <c r="C656" s="79">
        <v>92.0</v>
      </c>
      <c r="D656" s="8">
        <f>SUMIFS(THIKA!F:F,THIKA!A:A,"9/2")</f>
        <v>622110</v>
      </c>
      <c r="E656" s="11">
        <f>COUNTIFS(THIKA!A:A,"9/2")</f>
        <v>14</v>
      </c>
      <c r="F656" s="10">
        <f>SUMIFS(THIKA!G:G,THIKA!A:A,"9/2")</f>
        <v>202170</v>
      </c>
      <c r="G656" s="11">
        <f t="shared" si="146"/>
        <v>0</v>
      </c>
      <c r="H656" s="12">
        <f t="shared" si="147"/>
        <v>0.3249746829</v>
      </c>
      <c r="I656" s="9">
        <f>COUNTIFS(THIKA!I:I,$G$18,THIKA!A:A,"9/2")</f>
        <v>0</v>
      </c>
      <c r="J656" s="11">
        <f>COUNTIFS(THIKA!I:I,$H$18,THIKA!A:A,"9/2")</f>
        <v>0</v>
      </c>
      <c r="K656" s="11">
        <f>COUNTIFS(THIKA!I:I,$I$18,THIKA!A:A,"9/2")</f>
        <v>0</v>
      </c>
      <c r="L656" s="2"/>
      <c r="M656" s="2"/>
      <c r="N656" s="2"/>
      <c r="O656" s="2"/>
      <c r="P656" s="2"/>
      <c r="Q656" s="2"/>
      <c r="R656" s="2"/>
      <c r="S656" s="2"/>
      <c r="T656" s="2"/>
      <c r="U656" s="2"/>
      <c r="V656" s="2"/>
      <c r="W656" s="2"/>
      <c r="X656" s="2"/>
      <c r="Y656" s="2"/>
      <c r="Z656" s="2"/>
      <c r="AA656" s="2"/>
      <c r="AB656" s="2"/>
    </row>
    <row r="657">
      <c r="A657" s="43" t="s">
        <v>21</v>
      </c>
      <c r="B657" s="77">
        <v>1070436.72</v>
      </c>
      <c r="C657" s="54">
        <v>6.0</v>
      </c>
      <c r="D657" s="44">
        <f>SUMIFS(KITUI!F:F,KITUI!A:A,"9/2")</f>
        <v>2650501.97</v>
      </c>
      <c r="E657" s="45">
        <f>COUNTIFS(KITUI!A:A,"9/2")</f>
        <v>5</v>
      </c>
      <c r="F657" s="46">
        <f>SUMIFS(KITUI!G:G,KITUI!A:A,"9/2")</f>
        <v>9684</v>
      </c>
      <c r="G657" s="45">
        <f t="shared" si="146"/>
        <v>0</v>
      </c>
      <c r="H657" s="47">
        <f t="shared" si="147"/>
        <v>0.003653647539</v>
      </c>
      <c r="I657" s="48">
        <f>COUNTIFS(KITUI!I:I,$G$18,KITUI!A:A,"9/2")</f>
        <v>0</v>
      </c>
      <c r="J657" s="45">
        <f>COUNTIFS(KITUI!I:I,$H$18,KITUI!A:A,"9/2")</f>
        <v>0</v>
      </c>
      <c r="K657" s="45">
        <f>COUNTIFS(KITUI!I:I,$I$18,KITUI!A:A,"9/2")</f>
        <v>0</v>
      </c>
      <c r="L657" s="2"/>
      <c r="M657" s="2"/>
      <c r="N657" s="2"/>
      <c r="O657" s="2"/>
      <c r="P657" s="2"/>
      <c r="Q657" s="2"/>
      <c r="R657" s="2"/>
      <c r="S657" s="2"/>
      <c r="T657" s="2"/>
      <c r="U657" s="2"/>
      <c r="V657" s="2"/>
      <c r="W657" s="2"/>
      <c r="X657" s="2"/>
      <c r="Y657" s="2"/>
      <c r="Z657" s="2"/>
      <c r="AA657" s="2"/>
      <c r="AB657" s="2"/>
    </row>
    <row r="658">
      <c r="A658" s="49" t="s">
        <v>22</v>
      </c>
      <c r="B658" s="77">
        <v>796033.59</v>
      </c>
      <c r="C658" s="54">
        <v>6.0</v>
      </c>
      <c r="D658" s="44">
        <f>SUMIFS(MACHAKOS!F:F,MACHAKOS!A:A,"9/2")</f>
        <v>298071.49</v>
      </c>
      <c r="E658" s="45">
        <f>COUNTIFS(MACHAKOS!A:A,"9/2")</f>
        <v>3</v>
      </c>
      <c r="F658" s="46">
        <f>SUMIFS(MACHAKOS!G:G,MACHAKOS!A:A,"9/2")</f>
        <v>0</v>
      </c>
      <c r="G658" s="45">
        <f t="shared" si="146"/>
        <v>0</v>
      </c>
      <c r="H658" s="47">
        <f t="shared" si="147"/>
        <v>0</v>
      </c>
      <c r="I658" s="48">
        <f>COUNTIFS(MACHAKOS!I:I,$G$18,MACHAKOS!A:A,"9/2")</f>
        <v>0</v>
      </c>
      <c r="J658" s="45">
        <f>COUNTIFS(MACHAKOS!I:I,$H$18,MACHAKOS!A:A,"9/2")</f>
        <v>0</v>
      </c>
      <c r="K658" s="45">
        <f>COUNTIFS(MACHAKOS!I:I,$I$18,MACHAKOS!A:A,"9/2")</f>
        <v>0</v>
      </c>
      <c r="L658" s="2"/>
      <c r="M658" s="2"/>
      <c r="N658" s="2"/>
      <c r="O658" s="2"/>
      <c r="P658" s="2"/>
      <c r="Q658" s="2"/>
      <c r="R658" s="2"/>
      <c r="S658" s="2"/>
      <c r="T658" s="2"/>
      <c r="U658" s="2"/>
      <c r="V658" s="2"/>
      <c r="W658" s="2"/>
      <c r="X658" s="2"/>
      <c r="Y658" s="2"/>
      <c r="Z658" s="2"/>
      <c r="AA658" s="2"/>
      <c r="AB658" s="2"/>
    </row>
    <row r="659">
      <c r="A659" s="66" t="s">
        <v>32</v>
      </c>
      <c r="B659" s="67"/>
      <c r="C659" s="68"/>
      <c r="D659" s="73">
        <v>4050000.0</v>
      </c>
      <c r="E659" s="80">
        <v>4.0</v>
      </c>
      <c r="F659" s="71"/>
      <c r="G659" s="72">
        <v>1.0</v>
      </c>
      <c r="H659" s="47">
        <f t="shared" si="147"/>
        <v>0</v>
      </c>
      <c r="I659" s="48">
        <f>COUNTIFS(MACHAKOS!I:I,$G$18,MACHAKOS!A:A,"9/2")</f>
        <v>0</v>
      </c>
      <c r="J659" s="45">
        <v>0.0</v>
      </c>
      <c r="K659" s="53">
        <v>2.0</v>
      </c>
      <c r="L659" s="2"/>
      <c r="M659" s="2"/>
      <c r="N659" s="2"/>
      <c r="O659" s="2"/>
      <c r="P659" s="2"/>
      <c r="Q659" s="2"/>
      <c r="R659" s="2"/>
      <c r="S659" s="2"/>
      <c r="T659" s="2"/>
      <c r="U659" s="2"/>
      <c r="V659" s="2"/>
      <c r="W659" s="2"/>
      <c r="X659" s="2"/>
      <c r="Y659" s="2"/>
      <c r="Z659" s="2"/>
      <c r="AA659" s="2"/>
      <c r="AB659" s="2"/>
    </row>
    <row r="660">
      <c r="A660" s="66" t="s">
        <v>31</v>
      </c>
      <c r="B660" s="77">
        <v>1.5221625787E8</v>
      </c>
      <c r="C660" s="54">
        <v>2257.0</v>
      </c>
      <c r="D660" s="73">
        <v>1500000.0</v>
      </c>
      <c r="E660" s="45"/>
      <c r="F660" s="71"/>
      <c r="G660" s="72"/>
      <c r="H660" s="74"/>
      <c r="I660" s="66"/>
      <c r="J660" s="75"/>
      <c r="K660" s="75"/>
      <c r="L660" s="2"/>
      <c r="M660" s="2"/>
      <c r="N660" s="2"/>
      <c r="O660" s="2"/>
      <c r="P660" s="2"/>
      <c r="Q660" s="2"/>
      <c r="R660" s="2"/>
      <c r="S660" s="2"/>
      <c r="T660" s="2"/>
      <c r="U660" s="2"/>
      <c r="V660" s="2"/>
      <c r="W660" s="2"/>
      <c r="X660" s="2"/>
      <c r="Y660" s="2"/>
      <c r="Z660" s="2"/>
      <c r="AA660" s="2"/>
      <c r="AB660" s="2"/>
    </row>
    <row r="661">
      <c r="A661" s="55" t="s">
        <v>23</v>
      </c>
      <c r="B661" s="59">
        <f t="shared" ref="B661:G661" si="148">SUM(B646:B660)</f>
        <v>2502955687</v>
      </c>
      <c r="C661" s="76">
        <f t="shared" si="148"/>
        <v>4168</v>
      </c>
      <c r="D661" s="59">
        <f t="shared" si="148"/>
        <v>40305442.05</v>
      </c>
      <c r="E661" s="60">
        <f t="shared" si="148"/>
        <v>257</v>
      </c>
      <c r="F661" s="59">
        <f t="shared" si="148"/>
        <v>14755496</v>
      </c>
      <c r="G661" s="60">
        <f t="shared" si="148"/>
        <v>1</v>
      </c>
      <c r="H661" s="61">
        <f>F661/D661</f>
        <v>0.3660919035</v>
      </c>
      <c r="I661" s="62">
        <f t="shared" ref="I661:K661" si="149">SUM(I646:I660)</f>
        <v>0</v>
      </c>
      <c r="J661" s="62">
        <f t="shared" si="149"/>
        <v>0</v>
      </c>
      <c r="K661" s="62">
        <f t="shared" si="149"/>
        <v>2</v>
      </c>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3" t="s">
        <v>1</v>
      </c>
      <c r="B664" s="5" t="s">
        <v>33</v>
      </c>
      <c r="C664" s="5" t="s">
        <v>34</v>
      </c>
      <c r="D664" s="5" t="s">
        <v>2</v>
      </c>
      <c r="E664" s="5" t="s">
        <v>3</v>
      </c>
      <c r="F664" s="5" t="s">
        <v>4</v>
      </c>
      <c r="G664" s="5" t="s">
        <v>5</v>
      </c>
      <c r="H664" s="26" t="s">
        <v>6</v>
      </c>
      <c r="I664" s="26" t="s">
        <v>7</v>
      </c>
      <c r="J664" s="26" t="s">
        <v>8</v>
      </c>
      <c r="K664" s="26" t="s">
        <v>9</v>
      </c>
      <c r="L664" s="2"/>
      <c r="M664" s="2"/>
      <c r="N664" s="2"/>
      <c r="O664" s="2"/>
      <c r="P664" s="2"/>
      <c r="Q664" s="2"/>
      <c r="R664" s="2"/>
      <c r="S664" s="2"/>
      <c r="T664" s="2"/>
      <c r="U664" s="2"/>
      <c r="V664" s="2"/>
      <c r="W664" s="2"/>
      <c r="X664" s="2"/>
      <c r="Y664" s="2"/>
      <c r="Z664" s="2"/>
      <c r="AA664" s="2"/>
      <c r="AB664" s="2"/>
    </row>
    <row r="665">
      <c r="A665" s="7" t="s">
        <v>10</v>
      </c>
      <c r="B665" s="77">
        <v>8.4613592266E8</v>
      </c>
      <c r="C665" s="54">
        <v>391.0</v>
      </c>
      <c r="D665" s="8">
        <f>SUMIFS(ECOBANK!F:F,ECOBANK!A:A,"9/3")</f>
        <v>0</v>
      </c>
      <c r="E665" s="9">
        <f>COUNTIFS(ECOBANK!A:A,"9/3")</f>
        <v>0</v>
      </c>
      <c r="F665" s="10">
        <f>SUMIFS(ECOBANK!G:G,ECOBANK!A:A,"9/3")</f>
        <v>0</v>
      </c>
      <c r="G665" s="11">
        <f t="shared" ref="G665:G677" si="150">I665+J665</f>
        <v>0</v>
      </c>
      <c r="H665" s="12">
        <f t="shared" ref="H665:H678" si="151">iferror(F665/D665,0)</f>
        <v>0</v>
      </c>
      <c r="I665" s="9">
        <f>COUNTIFS(ECOBANK!I:I,$G$18,ECOBANK!A:A,"9/3")</f>
        <v>0</v>
      </c>
      <c r="J665" s="11">
        <f>COUNTIFS(ECOBANK!I:I,$H$18,ECOBANK!A:A,"9/3)")</f>
        <v>0</v>
      </c>
      <c r="K665" s="11">
        <f>COUNTIFS(ECOBANK!I:I,$I$18,ECOBANK!A:A,"9/3")</f>
        <v>0</v>
      </c>
      <c r="L665" s="2"/>
      <c r="M665" s="2"/>
      <c r="N665" s="2"/>
      <c r="O665" s="2"/>
      <c r="P665" s="2"/>
      <c r="Q665" s="2"/>
      <c r="R665" s="2"/>
      <c r="S665" s="2"/>
      <c r="T665" s="2"/>
      <c r="U665" s="2"/>
      <c r="V665" s="2"/>
      <c r="W665" s="2"/>
      <c r="X665" s="2"/>
      <c r="Y665" s="2"/>
      <c r="Z665" s="2"/>
      <c r="AA665" s="2"/>
      <c r="AB665" s="2"/>
    </row>
    <row r="666">
      <c r="A666" s="81" t="s">
        <v>24</v>
      </c>
      <c r="B666" s="82">
        <v>6.0333938635E8</v>
      </c>
      <c r="C666" s="83">
        <v>252.0</v>
      </c>
      <c r="D666" s="84">
        <f>SUMIFS('TRADE CENTER'!F:F,'TRADE CENTER'!A:A,"9/3")</f>
        <v>0</v>
      </c>
      <c r="E666" s="85">
        <f>COUNTIFS('TRADE CENTER'!A:A,"9/3")</f>
        <v>62</v>
      </c>
      <c r="F666" s="86">
        <f>SUMIFS('TRADE CENTER'!G:G,'TRADE CENTER'!A:A,"9/3")</f>
        <v>0</v>
      </c>
      <c r="G666" s="85">
        <f t="shared" si="150"/>
        <v>0</v>
      </c>
      <c r="H666" s="87">
        <f t="shared" si="151"/>
        <v>0</v>
      </c>
      <c r="I666" s="85">
        <f>COUNTIFS('TRADE CENTER'!I:I,$G$18,'TRADE CENTER'!A:A,"9/3")</f>
        <v>0</v>
      </c>
      <c r="J666" s="85">
        <f>COUNTIFS('TRADE CENTER'!I:I,$H$18,'TRADE CENTER'!A:A,"9/3")</f>
        <v>0</v>
      </c>
      <c r="K666" s="85">
        <f>COUNTIFS('TRADE CENTER'!I:I,$I$18,'TRADE CENTER'!A:A,"9/3")</f>
        <v>0</v>
      </c>
      <c r="L666" s="2"/>
      <c r="M666" s="2"/>
      <c r="N666" s="2"/>
      <c r="O666" s="2"/>
      <c r="P666" s="2"/>
      <c r="Q666" s="2"/>
      <c r="R666" s="2"/>
      <c r="S666" s="2"/>
      <c r="T666" s="2"/>
      <c r="U666" s="2"/>
      <c r="V666" s="2"/>
      <c r="W666" s="2"/>
      <c r="X666" s="2"/>
      <c r="Y666" s="2"/>
      <c r="Z666" s="2"/>
      <c r="AA666" s="2"/>
      <c r="AB666" s="2"/>
    </row>
    <row r="667">
      <c r="A667" s="7" t="s">
        <v>12</v>
      </c>
      <c r="B667" s="78">
        <v>2.5310774507E8</v>
      </c>
      <c r="C667" s="79">
        <v>378.0</v>
      </c>
      <c r="D667" s="8">
        <f>SUMIFS(PENSION!F:F,PENSION!A:A,"9/3/2024")</f>
        <v>2977329.62</v>
      </c>
      <c r="E667" s="11">
        <f>COUNTIFS(PENSION!A:A,"9/3")</f>
        <v>30</v>
      </c>
      <c r="F667" s="10">
        <f>SUMIFS(PENSION!G:G,PENSION!A:A,"9/3/2024")</f>
        <v>0</v>
      </c>
      <c r="G667" s="11">
        <f t="shared" si="150"/>
        <v>0</v>
      </c>
      <c r="H667" s="12">
        <f t="shared" si="151"/>
        <v>0</v>
      </c>
      <c r="I667" s="9">
        <f>COUNTIFS(PENSION!I:I,$G$18,PENSION!A:A,"9/3")</f>
        <v>0</v>
      </c>
      <c r="J667" s="11">
        <f>COUNTIFS(PENSION!I:I,$H$18,PENSION!A:A,"9/3")</f>
        <v>0</v>
      </c>
      <c r="K667" s="11">
        <f>COUNTIFS(PENSION!I:I,$I$18,PENSION!A:A,"9/3")</f>
        <v>0</v>
      </c>
      <c r="L667" s="2"/>
      <c r="M667" s="2"/>
      <c r="N667" s="2"/>
      <c r="O667" s="2"/>
      <c r="P667" s="2"/>
      <c r="Q667" s="2"/>
      <c r="R667" s="2"/>
      <c r="S667" s="2"/>
      <c r="T667" s="2"/>
      <c r="U667" s="2"/>
      <c r="V667" s="2"/>
      <c r="W667" s="2"/>
      <c r="X667" s="2"/>
      <c r="Y667" s="2"/>
      <c r="Z667" s="2"/>
      <c r="AA667" s="2"/>
      <c r="AB667" s="2"/>
    </row>
    <row r="668">
      <c r="A668" s="7" t="s">
        <v>13</v>
      </c>
      <c r="B668" s="78">
        <v>1.1130976822E8</v>
      </c>
      <c r="C668" s="79">
        <v>294.0</v>
      </c>
      <c r="D668" s="8">
        <f>SUMIFS(KITENGELA!F:F,KITENGELA!A:A,"9/3/2024")</f>
        <v>37603.32</v>
      </c>
      <c r="E668" s="11">
        <f>COUNTIFS(KITENGELA!A:A,"9/3")</f>
        <v>1</v>
      </c>
      <c r="F668" s="10">
        <f>SUMIFS(KITENGELA!G:G,KITENGELA!A:A,"9/3")</f>
        <v>0</v>
      </c>
      <c r="G668" s="11">
        <f t="shared" si="150"/>
        <v>0</v>
      </c>
      <c r="H668" s="12">
        <f t="shared" si="151"/>
        <v>0</v>
      </c>
      <c r="I668" s="11">
        <f>COUNTIFS(KITENGELA!I:I,$G$18,KITENGELA!A:A,"9/3")</f>
        <v>0</v>
      </c>
      <c r="J668" s="11">
        <f>COUNTIFS(KITENGELA!I:I,$H$18,KITENGELA!A:A,"9/3")</f>
        <v>0</v>
      </c>
      <c r="K668" s="11">
        <f>COUNTIFS(KITENGELA!I:I,$I$18,KITENGELA!A:A,"9/3")</f>
        <v>0</v>
      </c>
      <c r="L668" s="2"/>
      <c r="M668" s="2"/>
      <c r="N668" s="2"/>
      <c r="O668" s="2"/>
      <c r="P668" s="2"/>
      <c r="Q668" s="2"/>
      <c r="R668" s="2"/>
      <c r="S668" s="2"/>
      <c r="T668" s="2"/>
      <c r="U668" s="2"/>
      <c r="V668" s="2"/>
      <c r="W668" s="2"/>
      <c r="X668" s="2"/>
      <c r="Y668" s="2"/>
      <c r="Z668" s="2"/>
      <c r="AA668" s="2"/>
      <c r="AB668" s="2"/>
    </row>
    <row r="669">
      <c r="A669" s="13" t="s">
        <v>14</v>
      </c>
      <c r="B669" s="78">
        <v>1.5997687913E8</v>
      </c>
      <c r="C669" s="79">
        <v>168.0</v>
      </c>
      <c r="D669" s="8">
        <f>SUMIFS(ELDORET!F:F,ELDORET!A:A,"9/3")</f>
        <v>0</v>
      </c>
      <c r="E669" s="11">
        <f>COUNTIFS(ELDORET!A:A,"9/3")</f>
        <v>0</v>
      </c>
      <c r="F669" s="10">
        <f>SUMIFS(ELDORET!G:G,ELDORET!A:A,"9/3")</f>
        <v>0</v>
      </c>
      <c r="G669" s="11">
        <f t="shared" si="150"/>
        <v>0</v>
      </c>
      <c r="H669" s="12">
        <f t="shared" si="151"/>
        <v>0</v>
      </c>
      <c r="I669" s="11">
        <f>COUNTIFS(ELDORET!I:I,$G$18,ELDORET!A:A,"9/3")</f>
        <v>0</v>
      </c>
      <c r="J669" s="11">
        <f>COUNTIFS(ELDORET!I:I,$H$18,ELDORET!A:A,"9/3")</f>
        <v>0</v>
      </c>
      <c r="K669" s="11">
        <f>COUNTIFS(ELDORET!I:I,$I$18,ELDORET!A:A,"9/3")</f>
        <v>0</v>
      </c>
      <c r="L669" s="2"/>
      <c r="M669" s="2"/>
      <c r="N669" s="2"/>
      <c r="O669" s="2"/>
      <c r="P669" s="2"/>
      <c r="Q669" s="2"/>
      <c r="R669" s="2"/>
      <c r="S669" s="2"/>
      <c r="T669" s="2"/>
      <c r="U669" s="2"/>
      <c r="V669" s="2"/>
      <c r="W669" s="2"/>
      <c r="X669" s="2"/>
      <c r="Y669" s="2"/>
      <c r="Z669" s="2"/>
      <c r="AA669" s="2"/>
      <c r="AB669" s="2"/>
    </row>
    <row r="670">
      <c r="A670" s="7" t="s">
        <v>15</v>
      </c>
      <c r="B670" s="78">
        <v>1.639239948E7</v>
      </c>
      <c r="C670" s="79">
        <v>19.0</v>
      </c>
      <c r="D670" s="8">
        <f>SUMIFS(NAKURU!F:F,NAKURU!A:A,"9/3")</f>
        <v>0</v>
      </c>
      <c r="E670" s="11">
        <f>COUNTIFS(NAKURU!A:A,"9/3")</f>
        <v>0</v>
      </c>
      <c r="F670" s="10">
        <f>SUMIFS(NAKURU!G:G,NAKURU!A:A,"9/3")</f>
        <v>0</v>
      </c>
      <c r="G670" s="11">
        <f t="shared" si="150"/>
        <v>0</v>
      </c>
      <c r="H670" s="12">
        <f t="shared" si="151"/>
        <v>0</v>
      </c>
      <c r="I670" s="9">
        <f>COUNTIFS(NAKURU!I:I,$G$18,NAKURU!A:A,"9/3")</f>
        <v>0</v>
      </c>
      <c r="J670" s="11">
        <f>COUNTIFS(NAKURU!I:I,$H$18,NAKURU!A:A,"9/3")</f>
        <v>0</v>
      </c>
      <c r="K670" s="11">
        <f>COUNTIFS(NAKURU!I:I,$I$18,NAKURU!A:A,"9/3")</f>
        <v>0</v>
      </c>
      <c r="L670" s="2"/>
      <c r="M670" s="2"/>
      <c r="N670" s="2"/>
      <c r="O670" s="2"/>
      <c r="P670" s="2"/>
      <c r="Q670" s="2"/>
      <c r="R670" s="2"/>
      <c r="S670" s="2"/>
      <c r="T670" s="2"/>
      <c r="U670" s="2"/>
      <c r="V670" s="2"/>
      <c r="W670" s="2"/>
      <c r="X670" s="2"/>
      <c r="Y670" s="2"/>
      <c r="Z670" s="2"/>
      <c r="AA670" s="2"/>
      <c r="AB670" s="2"/>
    </row>
    <row r="671">
      <c r="A671" s="7" t="s">
        <v>16</v>
      </c>
      <c r="B671" s="78">
        <v>1.198031398E7</v>
      </c>
      <c r="C671" s="79">
        <v>16.0</v>
      </c>
      <c r="D671" s="8">
        <f>SUMIFS(HOMABAY!F:F,HOMABAY!A:A,"9/3")</f>
        <v>200000</v>
      </c>
      <c r="E671" s="11">
        <f>COUNTIFS(HOMABAY!A:A,"9/3")</f>
        <v>3</v>
      </c>
      <c r="F671" s="10">
        <f>SUMIFS(HOMABAY!G:G,HOMABAY!A:A,"9/3")</f>
        <v>0</v>
      </c>
      <c r="G671" s="11">
        <f t="shared" si="150"/>
        <v>0</v>
      </c>
      <c r="H671" s="12">
        <f t="shared" si="151"/>
        <v>0</v>
      </c>
      <c r="I671" s="9">
        <f>COUNTIFS(HOMABAY!K:K,$G$18,HOMABAY!A:A,"9/3")</f>
        <v>0</v>
      </c>
      <c r="J671" s="11">
        <f>COUNTIFS(HOMABAY!K:K,$H$18,HOMABAY!A:A,"9/3")</f>
        <v>0</v>
      </c>
      <c r="K671" s="11">
        <f>COUNTIFS(HOMABAY!K:K,$I$18,HOMABAY!A:A,"9/3")</f>
        <v>0</v>
      </c>
      <c r="L671" s="2"/>
      <c r="M671" s="2"/>
      <c r="N671" s="2"/>
      <c r="O671" s="2"/>
      <c r="P671" s="2"/>
      <c r="Q671" s="2"/>
      <c r="R671" s="2"/>
      <c r="S671" s="2"/>
      <c r="T671" s="2"/>
      <c r="U671" s="2"/>
      <c r="V671" s="2"/>
      <c r="W671" s="2"/>
      <c r="X671" s="2"/>
      <c r="Y671" s="2"/>
      <c r="Z671" s="2"/>
      <c r="AA671" s="2"/>
      <c r="AB671" s="2"/>
    </row>
    <row r="672">
      <c r="A672" s="7" t="s">
        <v>17</v>
      </c>
      <c r="B672" s="78">
        <v>1.982130446E8</v>
      </c>
      <c r="C672" s="79">
        <v>180.0</v>
      </c>
      <c r="D672" s="8">
        <f>SUMIFS(MOMBASA!F:F,MOMBASA!A:A,"9/3")</f>
        <v>2344385.43</v>
      </c>
      <c r="E672" s="11">
        <f>COUNTIFS(MOMBASA!A:A,"9/3")</f>
        <v>35</v>
      </c>
      <c r="F672" s="27">
        <f>SUMIFS(MOMBASA!G:G,MOMBASA!A:A,"9/3")</f>
        <v>0</v>
      </c>
      <c r="G672" s="11">
        <f t="shared" si="150"/>
        <v>0</v>
      </c>
      <c r="H672" s="12">
        <f t="shared" si="151"/>
        <v>0</v>
      </c>
      <c r="I672" s="9">
        <f>COUNTIFS(MOMBASA!I:I,$G$18,MOMBASA!A:A,"9/3")</f>
        <v>0</v>
      </c>
      <c r="J672" s="11">
        <f>COUNTIFS(MOMBASA!I:I,$H$18,MOMBASA!A:A,"9/3")</f>
        <v>0</v>
      </c>
      <c r="K672" s="11">
        <f>COUNTIFS(MOMBASA!I:I,$I$18,MOMBASA!A:A,"9/3")</f>
        <v>0</v>
      </c>
      <c r="L672" s="2"/>
      <c r="M672" s="2"/>
      <c r="N672" s="2"/>
      <c r="O672" s="2"/>
      <c r="P672" s="2"/>
      <c r="Q672" s="2"/>
      <c r="R672" s="2"/>
      <c r="S672" s="2"/>
      <c r="T672" s="2"/>
      <c r="U672" s="2"/>
      <c r="V672" s="2"/>
      <c r="W672" s="2"/>
      <c r="X672" s="2"/>
      <c r="Y672" s="2"/>
      <c r="Z672" s="2"/>
      <c r="AA672" s="2"/>
      <c r="AB672" s="2"/>
    </row>
    <row r="673">
      <c r="A673" s="7" t="s">
        <v>18</v>
      </c>
      <c r="B673" s="78">
        <v>8.476405245E7</v>
      </c>
      <c r="C673" s="79">
        <v>88.0</v>
      </c>
      <c r="D673" s="8">
        <f>SUMIFS(KISUMU!F:F,KISUMU!A:A,"9/3")</f>
        <v>1366420</v>
      </c>
      <c r="E673" s="11">
        <f>COUNTIFS(KISUMU!A:A,"9/3")</f>
        <v>25</v>
      </c>
      <c r="F673" s="10">
        <f>SUMIFS(KISUMU!G:G,KISUMU!A:A,"9/3")</f>
        <v>0</v>
      </c>
      <c r="G673" s="11">
        <f t="shared" si="150"/>
        <v>0</v>
      </c>
      <c r="H673" s="12">
        <f t="shared" si="151"/>
        <v>0</v>
      </c>
      <c r="I673" s="9">
        <f>COUNTIFS(KISUMU!I:I,$G$18,KISUMU!A:A,"9/3")</f>
        <v>0</v>
      </c>
      <c r="J673" s="11">
        <f>COUNTIFS(KISUMU!I:I,$H$18,KISUMU!A:A,"9/3")</f>
        <v>0</v>
      </c>
      <c r="K673" s="11">
        <f>COUNTIFS(KISUMU!I:I,$I$18,KISUMU!A:A,"9/3")</f>
        <v>0</v>
      </c>
      <c r="L673" s="2"/>
      <c r="M673" s="2"/>
      <c r="N673" s="2"/>
      <c r="O673" s="2"/>
      <c r="P673" s="2"/>
      <c r="Q673" s="2"/>
      <c r="R673" s="2"/>
      <c r="S673" s="2"/>
      <c r="T673" s="2"/>
      <c r="U673" s="2"/>
      <c r="V673" s="2"/>
      <c r="W673" s="2"/>
      <c r="X673" s="2"/>
      <c r="Y673" s="2"/>
      <c r="Z673" s="2"/>
      <c r="AA673" s="2"/>
      <c r="AB673" s="2"/>
    </row>
    <row r="674">
      <c r="A674" s="7" t="s">
        <v>19</v>
      </c>
      <c r="B674" s="78">
        <v>7505319.14</v>
      </c>
      <c r="C674" s="79">
        <v>21.0</v>
      </c>
      <c r="D674" s="8">
        <f>SUMIFS(VOI!F:F,VOI!A:A,"9/3")</f>
        <v>0</v>
      </c>
      <c r="E674" s="11">
        <f>COUNTIFS(VOI!A:A,"9/3")</f>
        <v>0</v>
      </c>
      <c r="F674" s="10">
        <f>SUMIFS(VOI!G:G,VOI!A:A,"9/3")</f>
        <v>0</v>
      </c>
      <c r="G674" s="11">
        <f t="shared" si="150"/>
        <v>0</v>
      </c>
      <c r="H674" s="12">
        <f t="shared" si="151"/>
        <v>0</v>
      </c>
      <c r="I674" s="9">
        <f>COUNTIFS(VOI!H:H,$G$18,VOI!A:A,"9/3")</f>
        <v>0</v>
      </c>
      <c r="J674" s="11">
        <f>COUNTIFS(VOI!H:H,$H$18,VOI!A:A,"9/3")</f>
        <v>0</v>
      </c>
      <c r="K674" s="11">
        <f>COUNTIFS(VOI!H:H,$I$18,VOI!A:A,"9/3")</f>
        <v>0</v>
      </c>
      <c r="L674" s="2"/>
      <c r="M674" s="2"/>
      <c r="N674" s="2"/>
      <c r="O674" s="2"/>
      <c r="P674" s="2"/>
      <c r="Q674" s="2"/>
      <c r="R674" s="2"/>
      <c r="S674" s="2"/>
      <c r="T674" s="2"/>
      <c r="U674" s="2"/>
      <c r="V674" s="2"/>
      <c r="W674" s="2"/>
      <c r="X674" s="2"/>
      <c r="Y674" s="2"/>
      <c r="Z674" s="2"/>
      <c r="AA674" s="2"/>
      <c r="AB674" s="2"/>
    </row>
    <row r="675">
      <c r="A675" s="7" t="s">
        <v>20</v>
      </c>
      <c r="B675" s="78">
        <v>5.614812819E7</v>
      </c>
      <c r="C675" s="79">
        <v>92.0</v>
      </c>
      <c r="D675" s="8">
        <f>SUMIFS(THIKA!F:F,THIKA!A:A,"9/3")</f>
        <v>0</v>
      </c>
      <c r="E675" s="11">
        <f>COUNTIFS(THIKA!A:A,"9/3")</f>
        <v>0</v>
      </c>
      <c r="F675" s="10">
        <f>SUMIFS(THIKA!G:G,THIKA!A:A,"9/3")</f>
        <v>0</v>
      </c>
      <c r="G675" s="11">
        <f t="shared" si="150"/>
        <v>0</v>
      </c>
      <c r="H675" s="12">
        <f t="shared" si="151"/>
        <v>0</v>
      </c>
      <c r="I675" s="9">
        <f>COUNTIFS(THIKA!I:I,$G$18,THIKA!A:A,"9/3")</f>
        <v>0</v>
      </c>
      <c r="J675" s="11">
        <f>COUNTIFS(THIKA!I:I,$H$18,THIKA!A:A,"9/3")</f>
        <v>0</v>
      </c>
      <c r="K675" s="11">
        <f>COUNTIFS(THIKA!I:I,$I$18,THIKA!A:A,"9/3")</f>
        <v>0</v>
      </c>
      <c r="L675" s="2"/>
      <c r="M675" s="2"/>
      <c r="N675" s="2"/>
      <c r="O675" s="2"/>
      <c r="P675" s="2"/>
      <c r="Q675" s="2"/>
      <c r="R675" s="2"/>
      <c r="S675" s="2"/>
      <c r="T675" s="2"/>
      <c r="U675" s="2"/>
      <c r="V675" s="2"/>
      <c r="W675" s="2"/>
      <c r="X675" s="2"/>
      <c r="Y675" s="2"/>
      <c r="Z675" s="2"/>
      <c r="AA675" s="2"/>
      <c r="AB675" s="2"/>
    </row>
    <row r="676">
      <c r="A676" s="43" t="s">
        <v>21</v>
      </c>
      <c r="B676" s="77">
        <v>1070436.72</v>
      </c>
      <c r="C676" s="54">
        <v>6.0</v>
      </c>
      <c r="D676" s="44">
        <f>SUMIFS(KITUI!F:F,KITUI!A:A,"9/3")</f>
        <v>0</v>
      </c>
      <c r="E676" s="45">
        <f>COUNTIFS(KITUI!A:A,"9/3")</f>
        <v>0</v>
      </c>
      <c r="F676" s="46">
        <f>SUMIFS(KITUI!G:G,KITUI!A:A,"9/3")</f>
        <v>0</v>
      </c>
      <c r="G676" s="45">
        <f t="shared" si="150"/>
        <v>0</v>
      </c>
      <c r="H676" s="47">
        <f t="shared" si="151"/>
        <v>0</v>
      </c>
      <c r="I676" s="48">
        <f>COUNTIFS(KITUI!I:I,$G$18,KITUI!A:A,"9/3")</f>
        <v>0</v>
      </c>
      <c r="J676" s="45">
        <f>COUNTIFS(KITUI!I:I,$H$18,KITUI!A:A,"9/3")</f>
        <v>0</v>
      </c>
      <c r="K676" s="45">
        <f>COUNTIFS(KITUI!I:I,$I$18,KITUI!A:A,"9/3")</f>
        <v>0</v>
      </c>
      <c r="L676" s="2"/>
      <c r="M676" s="2"/>
      <c r="N676" s="2"/>
      <c r="O676" s="2"/>
      <c r="P676" s="2"/>
      <c r="Q676" s="2"/>
      <c r="R676" s="2"/>
      <c r="S676" s="2"/>
      <c r="T676" s="2"/>
      <c r="U676" s="2"/>
      <c r="V676" s="2"/>
      <c r="W676" s="2"/>
      <c r="X676" s="2"/>
      <c r="Y676" s="2"/>
      <c r="Z676" s="2"/>
      <c r="AA676" s="2"/>
      <c r="AB676" s="2"/>
    </row>
    <row r="677">
      <c r="A677" s="49" t="s">
        <v>22</v>
      </c>
      <c r="B677" s="77">
        <v>796033.59</v>
      </c>
      <c r="C677" s="54">
        <v>6.0</v>
      </c>
      <c r="D677" s="44">
        <f>SUMIFS(MACHAKOS!F:F,MACHAKOS!A:A,"9/3")</f>
        <v>0</v>
      </c>
      <c r="E677" s="45">
        <f>COUNTIFS(MACHAKOS!A:A,"9/3")</f>
        <v>0</v>
      </c>
      <c r="F677" s="46">
        <f>SUMIFS(MACHAKOS!G:G,MACHAKOS!A:A,"9/2")</f>
        <v>0</v>
      </c>
      <c r="G677" s="45">
        <f t="shared" si="150"/>
        <v>0</v>
      </c>
      <c r="H677" s="47">
        <f t="shared" si="151"/>
        <v>0</v>
      </c>
      <c r="I677" s="48">
        <f>COUNTIFS(MACHAKOS!I:I,$G$18,MACHAKOS!A:A,"9/3")</f>
        <v>0</v>
      </c>
      <c r="J677" s="45">
        <f>COUNTIFS(MACHAKOS!I:I,$H$18,MACHAKOS!A:A,"9/3")</f>
        <v>0</v>
      </c>
      <c r="K677" s="45">
        <f>COUNTIFS(MACHAKOS!I:I,$I$18,MACHAKOS!A:A,"9/3")</f>
        <v>0</v>
      </c>
      <c r="L677" s="2"/>
      <c r="M677" s="2"/>
      <c r="N677" s="2"/>
      <c r="O677" s="2"/>
      <c r="P677" s="2"/>
      <c r="Q677" s="2"/>
      <c r="R677" s="2"/>
      <c r="S677" s="2"/>
      <c r="T677" s="2"/>
      <c r="U677" s="2"/>
      <c r="V677" s="2"/>
      <c r="W677" s="2"/>
      <c r="X677" s="2"/>
      <c r="Y677" s="2"/>
      <c r="Z677" s="2"/>
      <c r="AA677" s="2"/>
      <c r="AB677" s="2"/>
    </row>
    <row r="678">
      <c r="A678" s="66" t="s">
        <v>32</v>
      </c>
      <c r="B678" s="67"/>
      <c r="C678" s="68"/>
      <c r="D678" s="73">
        <v>4050000.0</v>
      </c>
      <c r="E678" s="80">
        <v>4.0</v>
      </c>
      <c r="F678" s="71"/>
      <c r="G678" s="72">
        <v>1.0</v>
      </c>
      <c r="H678" s="47">
        <f t="shared" si="151"/>
        <v>0</v>
      </c>
      <c r="I678" s="48">
        <f>COUNTIFS(MACHAKOS!I:I,$G$18,MACHAKOS!A:A,"9/3")</f>
        <v>0</v>
      </c>
      <c r="J678" s="45">
        <v>0.0</v>
      </c>
      <c r="K678" s="53">
        <v>2.0</v>
      </c>
      <c r="L678" s="2"/>
      <c r="M678" s="2"/>
      <c r="N678" s="2"/>
      <c r="O678" s="2"/>
      <c r="P678" s="2"/>
      <c r="Q678" s="2"/>
      <c r="R678" s="2"/>
      <c r="S678" s="2"/>
      <c r="T678" s="2"/>
      <c r="U678" s="2"/>
      <c r="V678" s="2"/>
      <c r="W678" s="2"/>
      <c r="X678" s="2"/>
      <c r="Y678" s="2"/>
      <c r="Z678" s="2"/>
      <c r="AA678" s="2"/>
      <c r="AB678" s="2"/>
    </row>
    <row r="679">
      <c r="A679" s="66" t="s">
        <v>31</v>
      </c>
      <c r="B679" s="77">
        <v>1.5221625787E8</v>
      </c>
      <c r="C679" s="54">
        <v>2257.0</v>
      </c>
      <c r="D679" s="73">
        <v>1500000.0</v>
      </c>
      <c r="E679" s="45"/>
      <c r="F679" s="71"/>
      <c r="G679" s="72"/>
      <c r="H679" s="74"/>
      <c r="I679" s="66"/>
      <c r="J679" s="75"/>
      <c r="K679" s="75"/>
      <c r="L679" s="2"/>
      <c r="M679" s="2"/>
      <c r="N679" s="2"/>
      <c r="O679" s="2"/>
      <c r="P679" s="2"/>
      <c r="Q679" s="2"/>
      <c r="R679" s="2"/>
      <c r="S679" s="2"/>
      <c r="T679" s="2"/>
      <c r="U679" s="2"/>
      <c r="V679" s="2"/>
      <c r="W679" s="2"/>
      <c r="X679" s="2"/>
      <c r="Y679" s="2"/>
      <c r="Z679" s="2"/>
      <c r="AA679" s="2"/>
      <c r="AB679" s="2"/>
    </row>
    <row r="680">
      <c r="A680" s="55" t="s">
        <v>23</v>
      </c>
      <c r="B680" s="59">
        <f t="shared" ref="B680:G680" si="152">SUM(B665:B679)</f>
        <v>2502955687</v>
      </c>
      <c r="C680" s="76">
        <f t="shared" si="152"/>
        <v>4168</v>
      </c>
      <c r="D680" s="59">
        <f t="shared" si="152"/>
        <v>12475738.37</v>
      </c>
      <c r="E680" s="60">
        <f t="shared" si="152"/>
        <v>160</v>
      </c>
      <c r="F680" s="59">
        <f t="shared" si="152"/>
        <v>0</v>
      </c>
      <c r="G680" s="60">
        <f t="shared" si="152"/>
        <v>1</v>
      </c>
      <c r="H680" s="61">
        <f>F680/D680</f>
        <v>0</v>
      </c>
      <c r="I680" s="62">
        <f t="shared" ref="I680:K680" si="153">SUM(I665:I679)</f>
        <v>0</v>
      </c>
      <c r="J680" s="62">
        <f t="shared" si="153"/>
        <v>0</v>
      </c>
      <c r="K680" s="62">
        <f t="shared" si="153"/>
        <v>2</v>
      </c>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43"/>
    <col customWidth="1" min="2" max="2" width="21.14"/>
    <col customWidth="1" min="3" max="3" width="17.86"/>
    <col customWidth="1" min="4" max="4" width="21.0"/>
    <col customWidth="1" min="5" max="5" width="18.71"/>
    <col customWidth="1" min="6" max="6" width="15.29"/>
    <col customWidth="1" min="8" max="8" width="17.71"/>
    <col customWidth="1" min="11" max="11" width="13.29"/>
  </cols>
  <sheetData>
    <row r="1">
      <c r="A1" s="1" t="s">
        <v>0</v>
      </c>
      <c r="B1" s="2"/>
      <c r="C1" s="2"/>
      <c r="D1" s="2"/>
      <c r="E1" s="2"/>
      <c r="F1" s="2"/>
      <c r="G1" s="2"/>
      <c r="H1" s="2"/>
      <c r="I1" s="2"/>
      <c r="J1" s="2"/>
      <c r="K1" s="2"/>
      <c r="L1" s="2"/>
      <c r="M1" s="2"/>
      <c r="N1" s="2"/>
      <c r="O1" s="2"/>
      <c r="P1" s="2"/>
      <c r="Q1" s="2"/>
      <c r="R1" s="2"/>
      <c r="S1" s="2"/>
      <c r="T1" s="2"/>
      <c r="U1" s="2"/>
      <c r="V1" s="2"/>
      <c r="W1" s="2"/>
      <c r="X1" s="2"/>
      <c r="Y1" s="2"/>
      <c r="Z1" s="2"/>
      <c r="AA1" s="2"/>
      <c r="AB1" s="2"/>
    </row>
    <row r="2">
      <c r="A2" s="3" t="s">
        <v>1</v>
      </c>
      <c r="B2" s="4" t="s">
        <v>2</v>
      </c>
      <c r="C2" s="4" t="s">
        <v>3</v>
      </c>
      <c r="D2" s="4" t="s">
        <v>4</v>
      </c>
      <c r="E2" s="5" t="s">
        <v>5</v>
      </c>
      <c r="F2" s="6" t="s">
        <v>6</v>
      </c>
      <c r="G2" s="6" t="s">
        <v>7</v>
      </c>
      <c r="H2" s="6" t="s">
        <v>8</v>
      </c>
      <c r="I2" s="6" t="s">
        <v>9</v>
      </c>
      <c r="J2" s="2"/>
      <c r="K2" s="2"/>
      <c r="L2" s="2"/>
      <c r="M2" s="2"/>
      <c r="N2" s="2"/>
      <c r="O2" s="2"/>
      <c r="P2" s="2"/>
      <c r="Q2" s="2"/>
      <c r="R2" s="2"/>
      <c r="S2" s="2"/>
      <c r="T2" s="2"/>
      <c r="U2" s="2"/>
      <c r="V2" s="2"/>
      <c r="W2" s="2"/>
      <c r="X2" s="2"/>
      <c r="Y2" s="2"/>
      <c r="Z2" s="2"/>
      <c r="AA2" s="2"/>
      <c r="AB2" s="2"/>
    </row>
    <row r="3">
      <c r="A3" s="7" t="s">
        <v>10</v>
      </c>
      <c r="B3" s="8">
        <f>SUMIFS(ECOBANK!F:F,ECOBANK!A:A,"7/22/24")</f>
        <v>8491125.28</v>
      </c>
      <c r="C3" s="9">
        <f>COUNTIFS(ECOBANK!A:A,"7/22/24")</f>
        <v>22</v>
      </c>
      <c r="D3" s="10">
        <f>SUMIFS(ECOBANK!G:G,ECOBANK!A:A,"7/22/24")</f>
        <v>931056</v>
      </c>
      <c r="E3" s="11">
        <f t="shared" ref="E3:E15" si="1">G3+H3</f>
        <v>0</v>
      </c>
      <c r="F3" s="12">
        <f t="shared" ref="F3:F15" si="2">iferror(D3/B3,0)</f>
        <v>0.1096504844</v>
      </c>
      <c r="G3" s="9">
        <f>COUNTIFS(ECOBANK!I:I,#REF!,ECOBANK!A:A,"7/22/24")</f>
        <v>0</v>
      </c>
      <c r="H3" s="11">
        <f>COUNTIFS(ECOBANK!I:I,#REF!,ECOBANK!A:A,"7/22/24")</f>
        <v>0</v>
      </c>
      <c r="I3" s="11">
        <f>COUNTIFS(ECOBANK!I:I,#REF!,ECOBANK!A:A,"7/22/24")</f>
        <v>0</v>
      </c>
      <c r="J3" s="2"/>
      <c r="K3" s="2"/>
      <c r="L3" s="2"/>
      <c r="M3" s="2"/>
      <c r="N3" s="2"/>
      <c r="O3" s="2"/>
      <c r="P3" s="2"/>
      <c r="Q3" s="2"/>
      <c r="R3" s="2"/>
      <c r="S3" s="2"/>
      <c r="T3" s="2"/>
      <c r="U3" s="2"/>
      <c r="V3" s="2"/>
      <c r="W3" s="2"/>
      <c r="X3" s="2"/>
      <c r="Y3" s="2"/>
      <c r="Z3" s="2"/>
      <c r="AA3" s="2"/>
      <c r="AB3" s="2"/>
    </row>
    <row r="4">
      <c r="A4" s="13" t="s">
        <v>11</v>
      </c>
      <c r="B4" s="8">
        <f>SUMIFS('TRADE CENTER'!F:F,'TRADE CENTER'!A:A,"7/22/24")</f>
        <v>10027493.74</v>
      </c>
      <c r="C4" s="11">
        <f>COUNTIFS('TRADE CENTER'!A:A,"7/22/24")</f>
        <v>38</v>
      </c>
      <c r="D4" s="10">
        <f>SUMIFS('TRADE CENTER'!G:G,'TRADE CENTER'!A:A,"7/22/24")</f>
        <v>1527757</v>
      </c>
      <c r="E4" s="11">
        <f t="shared" si="1"/>
        <v>0</v>
      </c>
      <c r="F4" s="12">
        <f t="shared" si="2"/>
        <v>0.1523568141</v>
      </c>
      <c r="G4" s="11">
        <f>COUNTIFS('TRADE CENTER'!I:I,#REF!,'TRADE CENTER'!A:A,"7/22/24")</f>
        <v>0</v>
      </c>
      <c r="H4" s="11">
        <f>COUNTIFS('TRADE CENTER'!I:I,#REF!,'TRADE CENTER'!A:A,"7/22/24")</f>
        <v>0</v>
      </c>
      <c r="I4" s="11">
        <f>COUNTIFS('TRADE CENTER'!I:I,#REF!,'TRADE CENTER'!A:A,"7/22/24")</f>
        <v>0</v>
      </c>
      <c r="J4" s="2"/>
      <c r="K4" s="2"/>
      <c r="L4" s="2"/>
      <c r="M4" s="2"/>
      <c r="N4" s="2"/>
      <c r="O4" s="2"/>
      <c r="P4" s="2"/>
      <c r="Q4" s="2"/>
      <c r="R4" s="2"/>
      <c r="S4" s="2"/>
      <c r="T4" s="2"/>
      <c r="U4" s="2"/>
      <c r="V4" s="2"/>
      <c r="W4" s="2"/>
      <c r="X4" s="2"/>
      <c r="Y4" s="2"/>
      <c r="Z4" s="2"/>
      <c r="AA4" s="2"/>
      <c r="AB4" s="2"/>
    </row>
    <row r="5">
      <c r="A5" s="7" t="s">
        <v>12</v>
      </c>
      <c r="B5" s="8">
        <f>SUMIFS(PENSION!F:F,PENSION!A:A,"7/22/2024")</f>
        <v>11286835.89</v>
      </c>
      <c r="C5" s="11">
        <f>COUNTIFS(PENSION!A:A,"7/22/24")</f>
        <v>31</v>
      </c>
      <c r="D5" s="10">
        <f>SUMIFS(PENSION!G:G,PENSION!A:A,"7/22/2024")</f>
        <v>9661000</v>
      </c>
      <c r="E5" s="11">
        <f t="shared" si="1"/>
        <v>0</v>
      </c>
      <c r="F5" s="12">
        <f t="shared" si="2"/>
        <v>0.8559529078</v>
      </c>
      <c r="G5" s="9">
        <f>COUNTIFS(PENSION!I:I,#REF!,PENSION!A:A,"7/22/24")</f>
        <v>0</v>
      </c>
      <c r="H5" s="11">
        <f>COUNTIFS(PENSION!I:I,#REF!,PENSION!A:A,"7/22/24")</f>
        <v>0</v>
      </c>
      <c r="I5" s="11">
        <f>COUNTIFS(PENSION!I:I,#REF!,PENSION!A:A,"7/22/24")</f>
        <v>0</v>
      </c>
      <c r="J5" s="2"/>
      <c r="K5" s="2"/>
      <c r="L5" s="2"/>
      <c r="M5" s="2"/>
      <c r="N5" s="2"/>
      <c r="O5" s="2"/>
      <c r="P5" s="2"/>
      <c r="Q5" s="2"/>
      <c r="R5" s="2"/>
      <c r="S5" s="2"/>
      <c r="T5" s="2"/>
      <c r="U5" s="2"/>
      <c r="V5" s="2"/>
      <c r="W5" s="2"/>
      <c r="X5" s="2"/>
      <c r="Y5" s="2"/>
      <c r="Z5" s="2"/>
      <c r="AA5" s="2"/>
      <c r="AB5" s="2"/>
    </row>
    <row r="6">
      <c r="A6" s="7" t="s">
        <v>13</v>
      </c>
      <c r="B6" s="8">
        <f>SUMIFS(KITENGELA!F:F,KITENGELA!A:A,"7/22/24")</f>
        <v>3437769.99</v>
      </c>
      <c r="C6" s="11">
        <f>COUNTIFS(KITENGELA!A:A,"7/22/24")</f>
        <v>33</v>
      </c>
      <c r="D6" s="10">
        <f>SUMIFS(KITENGELA!G:G,KITENGELA!A:A,"7/22/24")</f>
        <v>465168</v>
      </c>
      <c r="E6" s="11">
        <f t="shared" si="1"/>
        <v>0</v>
      </c>
      <c r="F6" s="12">
        <f t="shared" si="2"/>
        <v>0.1353109723</v>
      </c>
      <c r="G6" s="11">
        <f>COUNTIFS(KITENGELA!I:I,#REF!,KITENGELA!A:A,"7/22/24")</f>
        <v>0</v>
      </c>
      <c r="H6" s="11">
        <f>COUNTIFS(KITENGELA!I:I,#REF!,KITENGELA!A:A,"7/22/24")</f>
        <v>0</v>
      </c>
      <c r="I6" s="11">
        <f>COUNTIFS(KITENGELA!I:I,#REF!,KITENGELA!A:A,"7/22/24")</f>
        <v>0</v>
      </c>
      <c r="J6" s="2"/>
      <c r="K6" s="2"/>
      <c r="L6" s="2"/>
      <c r="M6" s="2"/>
      <c r="N6" s="2"/>
      <c r="O6" s="2"/>
      <c r="P6" s="2"/>
      <c r="Q6" s="2"/>
      <c r="R6" s="2"/>
      <c r="S6" s="2"/>
      <c r="T6" s="2"/>
      <c r="U6" s="2"/>
      <c r="V6" s="2"/>
      <c r="W6" s="2"/>
      <c r="X6" s="2"/>
      <c r="Y6" s="2"/>
      <c r="Z6" s="2"/>
      <c r="AA6" s="2"/>
      <c r="AB6" s="2"/>
    </row>
    <row r="7">
      <c r="A7" s="7" t="s">
        <v>14</v>
      </c>
      <c r="B7" s="8">
        <f>SUMIFS(ELDORET!F:F,ELDORET!A:A,"7/22/24")</f>
        <v>798423</v>
      </c>
      <c r="C7" s="11">
        <f>COUNTIFS(ELDORET!A:A,"7/22/24")</f>
        <v>13</v>
      </c>
      <c r="D7" s="10">
        <f>SUMIFS(ELDORET!G:G,ELDORET!A:A,"7/22/24")</f>
        <v>41235</v>
      </c>
      <c r="E7" s="11">
        <f t="shared" si="1"/>
        <v>0</v>
      </c>
      <c r="F7" s="12">
        <f t="shared" si="2"/>
        <v>0.0516455563</v>
      </c>
      <c r="G7" s="11">
        <f>COUNTIFS(ELDORET!I:I,#REF!,ELDORET!A:A,"7/22/24")</f>
        <v>0</v>
      </c>
      <c r="H7" s="11">
        <f>COUNTIFS(ELDORET!I:I,#REF!,ELDORET!A:A,"7/22/24")</f>
        <v>0</v>
      </c>
      <c r="I7" s="11">
        <f>COUNTIFS(ELDORET!I:I,#REF!,ELDORET!A:A,"7/22/24")</f>
        <v>0</v>
      </c>
      <c r="J7" s="2"/>
      <c r="K7" s="2"/>
      <c r="L7" s="2"/>
      <c r="M7" s="2"/>
      <c r="N7" s="2"/>
      <c r="O7" s="2"/>
      <c r="P7" s="2"/>
      <c r="Q7" s="2"/>
      <c r="R7" s="2"/>
      <c r="S7" s="2"/>
      <c r="T7" s="2"/>
      <c r="U7" s="2"/>
      <c r="V7" s="2"/>
      <c r="W7" s="2"/>
      <c r="X7" s="2"/>
      <c r="Y7" s="2"/>
      <c r="Z7" s="2"/>
      <c r="AA7" s="2"/>
      <c r="AB7" s="2"/>
    </row>
    <row r="8">
      <c r="A8" s="7" t="s">
        <v>15</v>
      </c>
      <c r="B8" s="8">
        <f>SUMIFS(NAKURU!F:F,NAKURU!A:A,"7/22/24")</f>
        <v>3488642</v>
      </c>
      <c r="C8" s="11">
        <f>COUNTIFS(NAKURU!A:A,"7/22/24")</f>
        <v>5</v>
      </c>
      <c r="D8" s="10">
        <f>SUMIFS(NAKURU!G:G,NAKURU!A:A,"7/22/24")</f>
        <v>37500</v>
      </c>
      <c r="E8" s="11">
        <f t="shared" si="1"/>
        <v>0</v>
      </c>
      <c r="F8" s="12">
        <f t="shared" si="2"/>
        <v>0.0107491683</v>
      </c>
      <c r="G8" s="9">
        <f>COUNTIFS(NAKURU!I:I,#REF!,NAKURU!A:A,"7/22/24")</f>
        <v>0</v>
      </c>
      <c r="H8" s="11">
        <f>COUNTIFS(NAKURU!I:I,#REF!,NAKURU!A:A,"7/22/24")</f>
        <v>0</v>
      </c>
      <c r="I8" s="11">
        <f>COUNTIFS(NAKURU!I:I,#REF!,NAKURU!A:A,"7/22/24")</f>
        <v>0</v>
      </c>
      <c r="J8" s="2"/>
      <c r="K8" s="2"/>
      <c r="L8" s="2"/>
      <c r="M8" s="2"/>
      <c r="N8" s="2"/>
      <c r="O8" s="2"/>
      <c r="P8" s="2"/>
      <c r="Q8" s="2"/>
      <c r="R8" s="2"/>
      <c r="S8" s="2"/>
      <c r="T8" s="2"/>
      <c r="U8" s="2"/>
      <c r="V8" s="2"/>
      <c r="W8" s="2"/>
      <c r="X8" s="2"/>
      <c r="Y8" s="2"/>
      <c r="Z8" s="2"/>
      <c r="AA8" s="2"/>
      <c r="AB8" s="2"/>
    </row>
    <row r="9">
      <c r="A9" s="7" t="s">
        <v>16</v>
      </c>
      <c r="B9" s="8">
        <f>SUMIFS(HOMABAY!F:F,HOMABAY!A:A,"7/22/24")</f>
        <v>308936</v>
      </c>
      <c r="C9" s="11">
        <f>COUNTIFS(HOMABAY!A:A,"7/22/24")</f>
        <v>4</v>
      </c>
      <c r="D9" s="10">
        <f>SUMIFS(HOMABAY!G:G,HOMABAY!A:A,"7/22/24")</f>
        <v>15936</v>
      </c>
      <c r="E9" s="11">
        <f t="shared" si="1"/>
        <v>0</v>
      </c>
      <c r="F9" s="12">
        <f t="shared" si="2"/>
        <v>0.0515834995</v>
      </c>
      <c r="G9" s="9">
        <f>COUNTIFS(HOMABAY!K:K,#REF!,HOMABAY!A:A,"7/22/24")</f>
        <v>0</v>
      </c>
      <c r="H9" s="11">
        <f>COUNTIFS(HOMABAY!K:K,#REF!,HOMABAY!A:A,"7/22/24")</f>
        <v>0</v>
      </c>
      <c r="I9" s="11">
        <f>COUNTIFS(HOMABAY!K:K,#REF!,HOMABAY!A:A,"7/22/24")</f>
        <v>0</v>
      </c>
      <c r="J9" s="2"/>
      <c r="K9" s="2"/>
      <c r="L9" s="2"/>
      <c r="M9" s="2"/>
      <c r="N9" s="2"/>
      <c r="O9" s="2"/>
      <c r="P9" s="2"/>
      <c r="Q9" s="2"/>
      <c r="R9" s="2"/>
      <c r="S9" s="2"/>
      <c r="T9" s="2"/>
      <c r="U9" s="2"/>
      <c r="V9" s="2"/>
      <c r="W9" s="2"/>
      <c r="X9" s="2"/>
      <c r="Y9" s="2"/>
      <c r="Z9" s="2"/>
      <c r="AA9" s="2"/>
      <c r="AB9" s="2"/>
    </row>
    <row r="10">
      <c r="A10" s="7" t="s">
        <v>17</v>
      </c>
      <c r="B10" s="8">
        <f>SUMIFS(MOMBASA!F:F,MOMBASA!A:A,"7/22/24")</f>
        <v>2301265.4</v>
      </c>
      <c r="C10" s="11">
        <f>COUNTIFS(MOMBASA!A:A,"7/22/24")</f>
        <v>14</v>
      </c>
      <c r="D10" s="14">
        <f>SUMIFS(MOMBASA!G:G,MOMBASA!A:A,"7/22/24")</f>
        <v>825200</v>
      </c>
      <c r="E10" s="11">
        <f t="shared" si="1"/>
        <v>0</v>
      </c>
      <c r="F10" s="12">
        <f t="shared" si="2"/>
        <v>0.3585853244</v>
      </c>
      <c r="G10" s="9">
        <f>COUNTIFS(MOMBASA!I:I,#REF!,MOMBASA!A:A,"7/22/24")</f>
        <v>0</v>
      </c>
      <c r="H10" s="11">
        <f>COUNTIFS(MOMBASA!I:I,#REF!,MOMBASA!A:A,"7/22/24")</f>
        <v>0</v>
      </c>
      <c r="I10" s="11">
        <f>COUNTIFS(MOMBASA!I:I,#REF!,MOMBASA!A:A,"7/22/24")</f>
        <v>0</v>
      </c>
      <c r="J10" s="2"/>
      <c r="K10" s="2"/>
      <c r="L10" s="2"/>
      <c r="M10" s="2"/>
      <c r="N10" s="2"/>
      <c r="O10" s="2"/>
      <c r="P10" s="2"/>
      <c r="Q10" s="2"/>
      <c r="R10" s="2"/>
      <c r="S10" s="2"/>
      <c r="T10" s="2"/>
      <c r="U10" s="2"/>
      <c r="V10" s="2"/>
      <c r="W10" s="2"/>
      <c r="X10" s="2"/>
      <c r="Y10" s="2"/>
      <c r="Z10" s="2"/>
      <c r="AA10" s="2"/>
      <c r="AB10" s="2"/>
    </row>
    <row r="11">
      <c r="A11" s="7" t="s">
        <v>18</v>
      </c>
      <c r="B11" s="8">
        <f>SUMIFS(KISUMU!F:F,KISUMU!A:A,"7/22/24")</f>
        <v>834640</v>
      </c>
      <c r="C11" s="11">
        <f>COUNTIFS(KISUMU!A:A,"7/22/24")</f>
        <v>18</v>
      </c>
      <c r="D11" s="10">
        <f>SUMIFS(KISUMU!G:G,KISUMU!A:A,"7/22/24")</f>
        <v>595735</v>
      </c>
      <c r="E11" s="11">
        <f t="shared" si="1"/>
        <v>0</v>
      </c>
      <c r="F11" s="12">
        <f t="shared" si="2"/>
        <v>0.7137628199</v>
      </c>
      <c r="G11" s="9">
        <f>COUNTIFS(KISUMU!I:I,#REF!,KISUMU!A:A,"7/22/24")</f>
        <v>0</v>
      </c>
      <c r="H11" s="11">
        <f>COUNTIFS(KISUMU!I:I,#REF!,KISUMU!A:A,"7/22/24")</f>
        <v>0</v>
      </c>
      <c r="I11" s="11">
        <f>COUNTIFS(KISUMU!I:I,#REF!,KISUMU!A:A,"7/22/24")</f>
        <v>0</v>
      </c>
      <c r="J11" s="2"/>
      <c r="K11" s="2"/>
      <c r="L11" s="2"/>
      <c r="M11" s="2"/>
      <c r="N11" s="2"/>
      <c r="O11" s="2"/>
      <c r="P11" s="2"/>
      <c r="Q11" s="2"/>
      <c r="R11" s="2"/>
      <c r="S11" s="2"/>
      <c r="T11" s="2"/>
      <c r="U11" s="2"/>
      <c r="V11" s="2"/>
      <c r="W11" s="2"/>
      <c r="X11" s="2"/>
      <c r="Y11" s="2"/>
      <c r="Z11" s="2"/>
      <c r="AA11" s="2"/>
      <c r="AB11" s="2"/>
    </row>
    <row r="12">
      <c r="A12" s="7" t="s">
        <v>19</v>
      </c>
      <c r="B12" s="8">
        <f>SUMIFS(VOI!F:F,VOI!A:A,"7/22/24")</f>
        <v>292923</v>
      </c>
      <c r="C12" s="11">
        <f>COUNTIFS(VOI!A:A,"7/22/24")</f>
        <v>11</v>
      </c>
      <c r="D12" s="10">
        <f>SUMIFS(VOI!G:G,VOI!A:A,"7/22/24")</f>
        <v>4000</v>
      </c>
      <c r="E12" s="11">
        <f t="shared" si="1"/>
        <v>0</v>
      </c>
      <c r="F12" s="12">
        <f t="shared" si="2"/>
        <v>0.01365546577</v>
      </c>
      <c r="G12" s="9">
        <f>COUNTIFS(VOI!H:H,#REF!,VOI!A:A,"7/22/24")</f>
        <v>0</v>
      </c>
      <c r="H12" s="11">
        <f>COUNTIFS(VOI!H:H,#REF!,VOI!A:A,"7/22/24")</f>
        <v>0</v>
      </c>
      <c r="I12" s="11">
        <f>COUNTIFS(VOI!H:H,#REF!,VOI!A:A,"7/22/24")</f>
        <v>0</v>
      </c>
      <c r="J12" s="2"/>
      <c r="K12" s="2"/>
      <c r="L12" s="2"/>
      <c r="M12" s="2"/>
      <c r="N12" s="2"/>
      <c r="O12" s="2"/>
      <c r="P12" s="2"/>
      <c r="Q12" s="2"/>
      <c r="R12" s="2"/>
      <c r="S12" s="2"/>
      <c r="T12" s="2"/>
      <c r="U12" s="2"/>
      <c r="V12" s="2"/>
      <c r="W12" s="2"/>
      <c r="X12" s="2"/>
      <c r="Y12" s="2"/>
      <c r="Z12" s="2"/>
      <c r="AA12" s="2"/>
      <c r="AB12" s="2"/>
    </row>
    <row r="13">
      <c r="A13" s="7" t="s">
        <v>20</v>
      </c>
      <c r="B13" s="8">
        <f>SUMIFS(THIKA!F:F,THIKA!A:A,"7/22/24")</f>
        <v>1779935</v>
      </c>
      <c r="C13" s="11">
        <f>COUNTIFS(THIKA!A:A,"7/22/24")</f>
        <v>15</v>
      </c>
      <c r="D13" s="10">
        <f>SUMIFS(THIKA!G:G,THIKA!A:A,"7/22/24")</f>
        <v>771825</v>
      </c>
      <c r="E13" s="11">
        <f t="shared" si="1"/>
        <v>0</v>
      </c>
      <c r="F13" s="12">
        <f t="shared" si="2"/>
        <v>0.4336253852</v>
      </c>
      <c r="G13" s="9">
        <f>COUNTIFS(THIKA!I:I,#REF!,THIKA!A:A,"7/22/24")</f>
        <v>0</v>
      </c>
      <c r="H13" s="11">
        <f>COUNTIFS(THIKA!I:I,#REF!,THIKA!A:A,"7/22/24")</f>
        <v>0</v>
      </c>
      <c r="I13" s="11">
        <f>COUNTIFS(THIKA!I:I,#REF!,THIKA!A:A,"7/22/24")</f>
        <v>0</v>
      </c>
      <c r="J13" s="2"/>
      <c r="K13" s="2"/>
      <c r="L13" s="2"/>
      <c r="M13" s="2"/>
      <c r="N13" s="2"/>
      <c r="O13" s="2"/>
      <c r="P13" s="2"/>
      <c r="Q13" s="2"/>
      <c r="R13" s="2"/>
      <c r="S13" s="2"/>
      <c r="T13" s="2"/>
      <c r="U13" s="2"/>
      <c r="V13" s="2"/>
      <c r="W13" s="2"/>
      <c r="X13" s="2"/>
      <c r="Y13" s="2"/>
      <c r="Z13" s="2"/>
      <c r="AA13" s="2"/>
      <c r="AB13" s="2"/>
    </row>
    <row r="14">
      <c r="A14" s="7" t="s">
        <v>21</v>
      </c>
      <c r="B14" s="8">
        <f>SUMIFS(KITUI!F:F,KITUI!A:A,"7/22/24")</f>
        <v>176476</v>
      </c>
      <c r="C14" s="11">
        <f>COUNTIFS(KITUI!A:A,"7/22/24")</f>
        <v>2</v>
      </c>
      <c r="D14" s="10">
        <f>SUMIFS(KITUI!G:G,KITUI!A:A,"7/22/24")</f>
        <v>50000</v>
      </c>
      <c r="E14" s="11">
        <f t="shared" si="1"/>
        <v>0</v>
      </c>
      <c r="F14" s="12">
        <f t="shared" si="2"/>
        <v>0.2833246447</v>
      </c>
      <c r="G14" s="9">
        <f>COUNTIFS(KITUI!I:I,#REF!,KITUI!A:A,"7/22/24")</f>
        <v>0</v>
      </c>
      <c r="H14" s="11">
        <f>COUNTIFS(KITUI!I:I,#REF!,KITUI!A:A,"7/22/24")</f>
        <v>0</v>
      </c>
      <c r="I14" s="11">
        <f>COUNTIFS(KITUI!I:I,#REF!,KITUI!A:A,"7/22/24")</f>
        <v>0</v>
      </c>
      <c r="J14" s="2"/>
      <c r="K14" s="2"/>
      <c r="L14" s="2"/>
      <c r="M14" s="2"/>
      <c r="N14" s="2"/>
      <c r="O14" s="2"/>
      <c r="P14" s="2"/>
      <c r="Q14" s="2"/>
      <c r="R14" s="2"/>
      <c r="S14" s="2"/>
      <c r="T14" s="2"/>
      <c r="U14" s="2"/>
      <c r="V14" s="2"/>
      <c r="W14" s="2"/>
      <c r="X14" s="2"/>
      <c r="Y14" s="2"/>
      <c r="Z14" s="2"/>
      <c r="AA14" s="2"/>
      <c r="AB14" s="2"/>
    </row>
    <row r="15">
      <c r="A15" s="15" t="s">
        <v>22</v>
      </c>
      <c r="B15" s="8">
        <f>SUMIFS(MACHAKOS!F:F,MACHAKOS!A:A,"7/22/24")</f>
        <v>127487</v>
      </c>
      <c r="C15" s="11">
        <f>COUNTIFS(MACHAKOS!A:A,"7/22/24")</f>
        <v>1</v>
      </c>
      <c r="D15" s="10">
        <f>SUMIFS(MACHAKOS!G:G,MACHAKOS!A:A,"7/22/24")</f>
        <v>0</v>
      </c>
      <c r="E15" s="11">
        <f t="shared" si="1"/>
        <v>0</v>
      </c>
      <c r="F15" s="12">
        <f t="shared" si="2"/>
        <v>0</v>
      </c>
      <c r="G15" s="9">
        <f>COUNTIFS(MACHAKOS!I:I,#REF!,MACHAKOS!A:A,"7/22/24")</f>
        <v>0</v>
      </c>
      <c r="H15" s="11">
        <f>COUNTIFS(MACHAKOS!I:I,#REF!,MACHAKOS!A:A,"7/22/24")</f>
        <v>0</v>
      </c>
      <c r="I15" s="11">
        <f>COUNTIFS(MACHAKOS!I:I,#REF!,MACHAKOS!A:A,"7/22/24")</f>
        <v>0</v>
      </c>
      <c r="J15" s="2"/>
      <c r="K15" s="2"/>
      <c r="L15" s="2"/>
      <c r="M15" s="2"/>
      <c r="N15" s="2"/>
      <c r="O15" s="2"/>
      <c r="P15" s="2"/>
      <c r="Q15" s="2"/>
      <c r="R15" s="2"/>
      <c r="S15" s="2"/>
      <c r="T15" s="2"/>
      <c r="U15" s="2"/>
      <c r="V15" s="2"/>
      <c r="W15" s="2"/>
      <c r="X15" s="2"/>
      <c r="Y15" s="2"/>
      <c r="Z15" s="2"/>
      <c r="AA15" s="2"/>
      <c r="AB15" s="2"/>
    </row>
    <row r="16">
      <c r="A16" s="16" t="s">
        <v>23</v>
      </c>
      <c r="B16" s="17">
        <f t="shared" ref="B16:E16" si="3">SUM(B3:B15)</f>
        <v>43351952.3</v>
      </c>
      <c r="C16" s="18">
        <f t="shared" si="3"/>
        <v>207</v>
      </c>
      <c r="D16" s="19">
        <f t="shared" si="3"/>
        <v>14926412</v>
      </c>
      <c r="E16" s="18">
        <f t="shared" si="3"/>
        <v>0</v>
      </c>
      <c r="F16" s="20">
        <f>D16/B16</f>
        <v>0.3443077234</v>
      </c>
      <c r="G16" s="21">
        <f t="shared" ref="G16:I16" si="4">SUM(G3:G15)</f>
        <v>0</v>
      </c>
      <c r="H16" s="21">
        <f t="shared" si="4"/>
        <v>0</v>
      </c>
      <c r="I16" s="21">
        <f t="shared" si="4"/>
        <v>0</v>
      </c>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3" t="s">
        <v>1</v>
      </c>
      <c r="B18" s="4" t="s">
        <v>2</v>
      </c>
      <c r="C18" s="4" t="s">
        <v>3</v>
      </c>
      <c r="D18" s="4" t="s">
        <v>4</v>
      </c>
      <c r="E18" s="5" t="s">
        <v>5</v>
      </c>
      <c r="F18" s="6" t="s">
        <v>6</v>
      </c>
      <c r="G18" s="6" t="s">
        <v>7</v>
      </c>
      <c r="H18" s="6" t="s">
        <v>8</v>
      </c>
      <c r="I18" s="6" t="s">
        <v>9</v>
      </c>
      <c r="J18" s="2"/>
      <c r="K18" s="2"/>
      <c r="L18" s="2"/>
      <c r="M18" s="2"/>
      <c r="N18" s="2"/>
      <c r="O18" s="2"/>
      <c r="P18" s="2"/>
      <c r="Q18" s="2"/>
      <c r="R18" s="2"/>
      <c r="S18" s="2"/>
      <c r="T18" s="2"/>
      <c r="U18" s="2"/>
      <c r="V18" s="2"/>
      <c r="W18" s="2"/>
      <c r="X18" s="2"/>
      <c r="Y18" s="2"/>
      <c r="Z18" s="2"/>
      <c r="AA18" s="2"/>
      <c r="AB18" s="2"/>
    </row>
    <row r="19">
      <c r="A19" s="7" t="s">
        <v>10</v>
      </c>
      <c r="B19" s="8">
        <f>SUMIFS(ECOBANK!F:F,ECOBANK!A:A,"7/23/24")</f>
        <v>12723509.29</v>
      </c>
      <c r="C19" s="9">
        <f>COUNTIFS(ECOBANK!A:A,"7/23/24")</f>
        <v>15</v>
      </c>
      <c r="D19" s="10">
        <f>SUMIFS(ECOBANK!G:G,ECOBANK!A:A,"7/23/24")</f>
        <v>800000</v>
      </c>
      <c r="E19" s="11">
        <f t="shared" ref="E19:E31" si="5">G19+H19</f>
        <v>15</v>
      </c>
      <c r="F19" s="12">
        <f t="shared" ref="F19:F31" si="6">iferror(D19/B19,0)</f>
        <v>0.06287573513</v>
      </c>
      <c r="G19" s="9">
        <f>COUNTIFS(ECOBANK!I:I,$G$18,ECOBANK!A:A,"7/23/24")</f>
        <v>3</v>
      </c>
      <c r="H19" s="11">
        <f>COUNTIFS(ECOBANK!I:I,$H$18,ECOBANK!A:A,"7/23/24")</f>
        <v>12</v>
      </c>
      <c r="I19" s="11">
        <f>COUNTIFS(ECOBANK!I:I,$I$18,ECOBANK!A:A,"7/23/24")</f>
        <v>0</v>
      </c>
      <c r="J19" s="2"/>
      <c r="K19" s="2"/>
      <c r="L19" s="2"/>
      <c r="M19" s="2"/>
      <c r="N19" s="2"/>
      <c r="O19" s="2"/>
      <c r="P19" s="2"/>
      <c r="Q19" s="2"/>
      <c r="R19" s="2"/>
      <c r="S19" s="2"/>
      <c r="T19" s="2"/>
      <c r="U19" s="2"/>
      <c r="V19" s="2"/>
      <c r="W19" s="2"/>
      <c r="X19" s="2"/>
      <c r="Y19" s="2"/>
      <c r="Z19" s="2"/>
      <c r="AA19" s="2"/>
      <c r="AB19" s="2"/>
    </row>
    <row r="20">
      <c r="A20" s="7" t="s">
        <v>24</v>
      </c>
      <c r="B20" s="8">
        <f>SUMIFS('TRADE CENTER'!F:F,'TRADE CENTER'!A:A,"7/23/24")</f>
        <v>14168889.55</v>
      </c>
      <c r="C20" s="11">
        <f>COUNTIFS('TRADE CENTER'!A:A,"7/23/24")</f>
        <v>43</v>
      </c>
      <c r="D20" s="10">
        <f>SUMIFS('TRADE CENTER'!G:G,'TRADE CENTER'!A:A,"7/23/24")</f>
        <v>575809.16</v>
      </c>
      <c r="E20" s="11">
        <f t="shared" si="5"/>
        <v>7</v>
      </c>
      <c r="F20" s="12">
        <f t="shared" si="6"/>
        <v>0.04063897583</v>
      </c>
      <c r="G20" s="11">
        <f>COUNTIFS('TRADE CENTER'!I:I,$G$18,'TRADE CENTER'!A:A,"7/23/24")</f>
        <v>2</v>
      </c>
      <c r="H20" s="11">
        <f>COUNTIFS('TRADE CENTER'!I:I,$H$18,'TRADE CENTER'!A:A,"7/23/24")</f>
        <v>5</v>
      </c>
      <c r="I20" s="11">
        <f>COUNTIFS('TRADE CENTER'!I:I,$I$18,'TRADE CENTER'!A:A,"7/23/24")</f>
        <v>36</v>
      </c>
      <c r="J20" s="2"/>
      <c r="K20" s="2"/>
      <c r="L20" s="2"/>
      <c r="M20" s="2"/>
      <c r="N20" s="2"/>
      <c r="O20" s="2"/>
      <c r="P20" s="2"/>
      <c r="Q20" s="2"/>
      <c r="R20" s="2"/>
      <c r="S20" s="2"/>
      <c r="T20" s="2"/>
      <c r="U20" s="2"/>
      <c r="V20" s="2"/>
      <c r="W20" s="2"/>
      <c r="X20" s="2"/>
      <c r="Y20" s="2"/>
      <c r="Z20" s="2"/>
      <c r="AA20" s="2"/>
      <c r="AB20" s="2"/>
    </row>
    <row r="21">
      <c r="A21" s="7" t="s">
        <v>12</v>
      </c>
      <c r="B21" s="8">
        <f>SUMIFS(PENSION!F:F,PENSION!A:A,"7/23/2024")</f>
        <v>4316693.31</v>
      </c>
      <c r="C21" s="11">
        <f>COUNTIFS(PENSION!A:A,"7/23/24")</f>
        <v>38</v>
      </c>
      <c r="D21" s="10">
        <f>SUMIFS(PENSION!G:G,PENSION!A:A,"7/23/2024")</f>
        <v>2239247</v>
      </c>
      <c r="E21" s="11">
        <f t="shared" si="5"/>
        <v>5</v>
      </c>
      <c r="F21" s="12">
        <f t="shared" si="6"/>
        <v>0.518741277</v>
      </c>
      <c r="G21" s="9">
        <f>COUNTIFS(PENSION!I:I,$G$18,PENSION!A:A,"7/23/24")</f>
        <v>2</v>
      </c>
      <c r="H21" s="11">
        <f>COUNTIFS(PENSION!I:I,$H$18,PENSION!A:A,"7/23/24")</f>
        <v>3</v>
      </c>
      <c r="I21" s="11">
        <f>COUNTIFS(PENSION!I:I,$I$18,PENSION!A:A,"7/23/24")</f>
        <v>31</v>
      </c>
      <c r="J21" s="2"/>
      <c r="K21" s="2"/>
      <c r="L21" s="2"/>
      <c r="M21" s="2"/>
      <c r="N21" s="2"/>
      <c r="O21" s="2"/>
      <c r="P21" s="2"/>
      <c r="Q21" s="2"/>
      <c r="R21" s="2"/>
      <c r="S21" s="2"/>
      <c r="T21" s="2"/>
      <c r="U21" s="2"/>
      <c r="V21" s="2"/>
      <c r="W21" s="2"/>
      <c r="X21" s="2"/>
      <c r="Y21" s="2"/>
      <c r="Z21" s="2"/>
      <c r="AA21" s="2"/>
      <c r="AB21" s="2"/>
    </row>
    <row r="22">
      <c r="A22" s="7" t="s">
        <v>13</v>
      </c>
      <c r="B22" s="8">
        <f>SUMIFS(KITENGELA!F:F,KITENGELA!A:A,"7/23/24")</f>
        <v>2562270.72</v>
      </c>
      <c r="C22" s="11">
        <f>COUNTIFS(KITENGELA!A:A,"7/23/24")</f>
        <v>30</v>
      </c>
      <c r="D22" s="10">
        <f>SUMIFS(KITENGELA!G:G,KITENGELA!A:A,"7/23/24")</f>
        <v>269901</v>
      </c>
      <c r="E22" s="11">
        <f t="shared" si="5"/>
        <v>3</v>
      </c>
      <c r="F22" s="12">
        <f t="shared" si="6"/>
        <v>0.1053366445</v>
      </c>
      <c r="G22" s="11">
        <f>COUNTIFS(KITENGELA!I:I,$G$18,KITENGELA!A:A,"7/23/24")</f>
        <v>0</v>
      </c>
      <c r="H22" s="11">
        <f>COUNTIFS(KITENGELA!I:I,$H$18,KITENGELA!A:A,"7/23/24")</f>
        <v>3</v>
      </c>
      <c r="I22" s="11">
        <f>COUNTIFS(KITENGELA!I:I,$I$18,KITENGELA!A:A,"7/23/24")</f>
        <v>27</v>
      </c>
      <c r="J22" s="2"/>
      <c r="K22" s="2"/>
      <c r="L22" s="2"/>
      <c r="M22" s="2"/>
      <c r="N22" s="2"/>
      <c r="O22" s="2"/>
      <c r="P22" s="2"/>
      <c r="Q22" s="2"/>
      <c r="R22" s="2"/>
      <c r="S22" s="2"/>
      <c r="T22" s="2"/>
      <c r="U22" s="2"/>
      <c r="V22" s="2"/>
      <c r="W22" s="2"/>
      <c r="X22" s="2"/>
      <c r="Y22" s="2"/>
      <c r="Z22" s="2"/>
      <c r="AA22" s="2"/>
      <c r="AB22" s="2"/>
    </row>
    <row r="23">
      <c r="A23" s="7" t="s">
        <v>14</v>
      </c>
      <c r="B23" s="8">
        <f>SUMIFS(ELDORET!F:F,ELDORET!A:A,"7/23/24")</f>
        <v>1159258</v>
      </c>
      <c r="C23" s="11">
        <f>COUNTIFS(ELDORET!A:A,"7/23/24")</f>
        <v>12</v>
      </c>
      <c r="D23" s="10">
        <f>SUMIFS(ELDORET!G:G,ELDORET!A:A,"7/23/24")</f>
        <v>421000</v>
      </c>
      <c r="E23" s="11">
        <f t="shared" si="5"/>
        <v>3</v>
      </c>
      <c r="F23" s="12">
        <f t="shared" si="6"/>
        <v>0.3631633338</v>
      </c>
      <c r="G23" s="11">
        <f>COUNTIFS(ELDORET!I:I,$G$18,ELDORET!A:A,"7/23/24")</f>
        <v>1</v>
      </c>
      <c r="H23" s="11">
        <f>COUNTIFS(ELDORET!I:I,$H$18,ELDORET!A:A,"7/23/24")</f>
        <v>2</v>
      </c>
      <c r="I23" s="11">
        <f>COUNTIFS(ELDORET!I:I,$I$18,ELDORET!A:A,"7/23/24")</f>
        <v>9</v>
      </c>
      <c r="J23" s="2"/>
      <c r="K23" s="2"/>
      <c r="L23" s="2"/>
      <c r="M23" s="2"/>
      <c r="N23" s="2"/>
      <c r="O23" s="2"/>
      <c r="P23" s="2"/>
      <c r="Q23" s="2"/>
      <c r="R23" s="2"/>
      <c r="S23" s="2"/>
      <c r="T23" s="2"/>
      <c r="U23" s="2"/>
      <c r="V23" s="2"/>
      <c r="W23" s="2"/>
      <c r="X23" s="2"/>
      <c r="Y23" s="2"/>
      <c r="Z23" s="2"/>
      <c r="AA23" s="2"/>
      <c r="AB23" s="2"/>
    </row>
    <row r="24">
      <c r="A24" s="7" t="s">
        <v>15</v>
      </c>
      <c r="B24" s="8">
        <f>SUMIFS(NAKURU!F:F,NAKURU!A:A,"7/23/24")</f>
        <v>290000</v>
      </c>
      <c r="C24" s="11">
        <f>COUNTIFS(NAKURU!A:A,"7/23/24")</f>
        <v>4</v>
      </c>
      <c r="D24" s="10">
        <f>SUMIFS(NAKURU!G:G,NAKURU!A:A,"7/23/24")</f>
        <v>301472</v>
      </c>
      <c r="E24" s="11">
        <f t="shared" si="5"/>
        <v>4</v>
      </c>
      <c r="F24" s="12">
        <f t="shared" si="6"/>
        <v>1.039558621</v>
      </c>
      <c r="G24" s="9">
        <f>COUNTIFS(NAKURU!I:I,$G$18,NAKURU!A:A,"7/23/24")</f>
        <v>0</v>
      </c>
      <c r="H24" s="11">
        <f>COUNTIFS(NAKURU!I:I,$H$18,NAKURU!A:A,"7/23/24")</f>
        <v>4</v>
      </c>
      <c r="I24" s="11">
        <f>COUNTIFS(NAKURU!I:I,$I$18,NAKURU!A:A,"7/23/24")</f>
        <v>0</v>
      </c>
      <c r="J24" s="2"/>
      <c r="K24" s="2"/>
      <c r="L24" s="2"/>
      <c r="M24" s="2"/>
      <c r="N24" s="2"/>
      <c r="O24" s="2"/>
      <c r="P24" s="2"/>
      <c r="Q24" s="2"/>
      <c r="R24" s="2"/>
      <c r="S24" s="2"/>
      <c r="T24" s="2"/>
      <c r="U24" s="2"/>
      <c r="V24" s="2"/>
      <c r="W24" s="2"/>
      <c r="X24" s="2"/>
      <c r="Y24" s="2"/>
      <c r="Z24" s="2"/>
      <c r="AA24" s="2"/>
      <c r="AB24" s="2"/>
    </row>
    <row r="25">
      <c r="A25" s="7" t="s">
        <v>16</v>
      </c>
      <c r="B25" s="8">
        <f>SUMIFS(HOMABAY!F:F,HOMABAY!A:A,"7/23/24")</f>
        <v>232000</v>
      </c>
      <c r="C25" s="11">
        <f>COUNTIFS(HOMABAY!A:A,"7/23/24")</f>
        <v>4</v>
      </c>
      <c r="D25" s="10">
        <f>SUMIFS(HOMABAY!G:G,HOMABAY!A:A,"7/23/24")</f>
        <v>0</v>
      </c>
      <c r="E25" s="11">
        <f t="shared" si="5"/>
        <v>0</v>
      </c>
      <c r="F25" s="12">
        <f t="shared" si="6"/>
        <v>0</v>
      </c>
      <c r="G25" s="9">
        <f>COUNTIFS(HOMABAY!K:K,$G$18,HOMABAY!A:A,"7/23/24")</f>
        <v>0</v>
      </c>
      <c r="H25" s="11">
        <f>COUNTIFS(HOMABAY!K:K,$H$18,HOMABAY!A:A,"7/23/24")</f>
        <v>0</v>
      </c>
      <c r="I25" s="11">
        <f>COUNTIFS(HOMABAY!K:K,$I$18,HOMABAY!A:A,"7/23/24")</f>
        <v>4</v>
      </c>
      <c r="J25" s="2"/>
      <c r="K25" s="2"/>
      <c r="L25" s="2"/>
      <c r="M25" s="2"/>
      <c r="N25" s="2"/>
      <c r="O25" s="2"/>
      <c r="P25" s="2"/>
      <c r="Q25" s="2"/>
      <c r="R25" s="2"/>
      <c r="S25" s="2"/>
      <c r="T25" s="2"/>
      <c r="U25" s="2"/>
      <c r="V25" s="2"/>
      <c r="W25" s="2"/>
      <c r="X25" s="2"/>
      <c r="Y25" s="2"/>
      <c r="Z25" s="2"/>
      <c r="AA25" s="2"/>
      <c r="AB25" s="2"/>
    </row>
    <row r="26">
      <c r="A26" s="7" t="s">
        <v>17</v>
      </c>
      <c r="B26" s="8">
        <f>SUMIFS(MOMBASA!F:F,MOMBASA!A:A,"7/23/24")</f>
        <v>1740248.65</v>
      </c>
      <c r="C26" s="11">
        <f>COUNTIFS(MOMBASA!A:A,"7/23/24")</f>
        <v>20</v>
      </c>
      <c r="D26" s="14">
        <f>SUMIFS(MOMBASA!G:G,MOMBASA!A:A,"7/23/24")</f>
        <v>251000</v>
      </c>
      <c r="E26" s="11">
        <f t="shared" si="5"/>
        <v>5</v>
      </c>
      <c r="F26" s="12">
        <f t="shared" si="6"/>
        <v>0.1442322624</v>
      </c>
      <c r="G26" s="9">
        <f>COUNTIFS(MOMBASA!I:I,$G$18,MOMBASA!A:A,"7/23/24")</f>
        <v>2</v>
      </c>
      <c r="H26" s="11">
        <f>COUNTIFS(MOMBASA!I:I,$H$18,MOMBASA!A:A,"7/23/24")</f>
        <v>3</v>
      </c>
      <c r="I26" s="11">
        <f>COUNTIFS(MOMBASA!I:I,$I$18,MOMBASA!A:A,"7/23/24")</f>
        <v>15</v>
      </c>
      <c r="J26" s="2"/>
      <c r="K26" s="2"/>
      <c r="L26" s="2"/>
      <c r="M26" s="2"/>
      <c r="N26" s="2"/>
      <c r="O26" s="2"/>
      <c r="P26" s="2"/>
      <c r="Q26" s="2"/>
      <c r="R26" s="2"/>
      <c r="S26" s="2"/>
      <c r="T26" s="2"/>
      <c r="U26" s="2"/>
      <c r="V26" s="2"/>
      <c r="W26" s="2"/>
      <c r="X26" s="2"/>
      <c r="Y26" s="2"/>
      <c r="Z26" s="2"/>
      <c r="AA26" s="2"/>
      <c r="AB26" s="2"/>
    </row>
    <row r="27">
      <c r="A27" s="7" t="s">
        <v>18</v>
      </c>
      <c r="B27" s="8">
        <f>SUMIFS(KISUMU!F:F,KISUMU!A:A,"7/23/24")</f>
        <v>950900.1</v>
      </c>
      <c r="C27" s="11">
        <f>COUNTIFS(KISUMU!A:A,"7/23/24")</f>
        <v>22</v>
      </c>
      <c r="D27" s="10">
        <f>SUMIFS(KISUMU!G:G,KISUMU!A:A,"7/23/24")</f>
        <v>98183</v>
      </c>
      <c r="E27" s="11">
        <f t="shared" si="5"/>
        <v>5</v>
      </c>
      <c r="F27" s="12">
        <f t="shared" si="6"/>
        <v>0.1032526971</v>
      </c>
      <c r="G27" s="9">
        <f>COUNTIFS(KISUMU!I:I,$G$18,KISUMU!A:A,"7/23/24")</f>
        <v>1</v>
      </c>
      <c r="H27" s="11">
        <f>COUNTIFS(KISUMU!I:I,$H$18,KISUMU!A:A,"7/23/24")</f>
        <v>4</v>
      </c>
      <c r="I27" s="11">
        <f>COUNTIFS(KISUMU!I:I,$I$18,KISUMU!A:A,"7/23/24")</f>
        <v>17</v>
      </c>
      <c r="J27" s="2"/>
      <c r="K27" s="2"/>
      <c r="L27" s="2"/>
      <c r="M27" s="2"/>
      <c r="N27" s="2"/>
      <c r="O27" s="2"/>
      <c r="P27" s="2"/>
      <c r="Q27" s="2"/>
      <c r="R27" s="2"/>
      <c r="S27" s="2"/>
      <c r="T27" s="2"/>
      <c r="U27" s="2"/>
      <c r="V27" s="2"/>
      <c r="W27" s="2"/>
      <c r="X27" s="2"/>
      <c r="Y27" s="2"/>
      <c r="Z27" s="2"/>
      <c r="AA27" s="2"/>
      <c r="AB27" s="2"/>
    </row>
    <row r="28">
      <c r="A28" s="7" t="s">
        <v>19</v>
      </c>
      <c r="B28" s="8">
        <f>SUMIFS(VOI!F:F,VOI!A:A,"7/23/24")</f>
        <v>364960</v>
      </c>
      <c r="C28" s="11">
        <f>COUNTIFS(VOI!A:A,"7/23/24")</f>
        <v>12</v>
      </c>
      <c r="D28" s="10">
        <f>SUMIFS(VOI!G:G,VOI!A:A,"7/23/24")</f>
        <v>13000</v>
      </c>
      <c r="E28" s="11">
        <f t="shared" si="5"/>
        <v>1</v>
      </c>
      <c r="F28" s="12">
        <f t="shared" si="6"/>
        <v>0.03562034196</v>
      </c>
      <c r="G28" s="9">
        <f>COUNTIFS(VOI!H:H,$G$18,VOI!A:A,"7/23/24")</f>
        <v>1</v>
      </c>
      <c r="H28" s="11">
        <f>COUNTIFS(VOI!H:H,$H$18,VOI!A:A,"7/23/24")</f>
        <v>0</v>
      </c>
      <c r="I28" s="11">
        <f>COUNTIFS(VOI!H:H,$I$18,VOI!A:A,"7/23/24")</f>
        <v>11</v>
      </c>
      <c r="J28" s="2"/>
      <c r="K28" s="2"/>
      <c r="L28" s="2"/>
      <c r="M28" s="2"/>
      <c r="N28" s="2"/>
      <c r="O28" s="2"/>
      <c r="P28" s="2"/>
      <c r="Q28" s="2"/>
      <c r="R28" s="2"/>
      <c r="S28" s="2"/>
      <c r="T28" s="2"/>
      <c r="U28" s="2"/>
      <c r="V28" s="2"/>
      <c r="W28" s="2"/>
      <c r="X28" s="2"/>
      <c r="Y28" s="2"/>
      <c r="Z28" s="2"/>
      <c r="AA28" s="2"/>
      <c r="AB28" s="2"/>
    </row>
    <row r="29">
      <c r="A29" s="7" t="s">
        <v>20</v>
      </c>
      <c r="B29" s="8">
        <f>SUMIFS(THIKA!F:F,THIKA!A:A,"7/23/24")</f>
        <v>1762523.24</v>
      </c>
      <c r="C29" s="11">
        <f>COUNTIFS(THIKA!A:A,"7/23/24")</f>
        <v>16</v>
      </c>
      <c r="D29" s="10">
        <f>SUMIFS(THIKA!G:G,THIKA!A:A,"7/23/24")</f>
        <v>50283</v>
      </c>
      <c r="E29" s="11">
        <f t="shared" si="5"/>
        <v>2</v>
      </c>
      <c r="F29" s="12">
        <f t="shared" si="6"/>
        <v>0.02852898552</v>
      </c>
      <c r="G29" s="9">
        <f>COUNTIFS(THIKA!I:I,$G$18,THIKA!A:A,"7/23/24")</f>
        <v>1</v>
      </c>
      <c r="H29" s="11">
        <f>COUNTIFS(THIKA!I:I,$H$18,THIKA!A:A,"7/23/24")</f>
        <v>1</v>
      </c>
      <c r="I29" s="11">
        <f>COUNTIFS(THIKA!I:I,$I$18,THIKA!A:A,"7/23/24")</f>
        <v>14</v>
      </c>
      <c r="J29" s="2"/>
      <c r="K29" s="2"/>
      <c r="L29" s="2"/>
      <c r="M29" s="2"/>
      <c r="N29" s="2"/>
      <c r="O29" s="2"/>
      <c r="P29" s="2"/>
      <c r="Q29" s="2"/>
      <c r="R29" s="2"/>
      <c r="S29" s="2"/>
      <c r="T29" s="2"/>
      <c r="U29" s="2"/>
      <c r="V29" s="2"/>
      <c r="W29" s="2"/>
      <c r="X29" s="2"/>
      <c r="Y29" s="2"/>
      <c r="Z29" s="2"/>
      <c r="AA29" s="2"/>
      <c r="AB29" s="2"/>
    </row>
    <row r="30">
      <c r="A30" s="7" t="s">
        <v>21</v>
      </c>
      <c r="B30" s="8">
        <f>SUMIFS(KITUI!F:F,KITUI!A:A,"7/23/24")</f>
        <v>136200</v>
      </c>
      <c r="C30" s="11">
        <f>COUNTIFS(KITUI!A:A,"7/23/24")</f>
        <v>2</v>
      </c>
      <c r="D30" s="10">
        <f>SUMIFS(KITUI!G:G,KITUI!A:A,"7/23/24")</f>
        <v>0</v>
      </c>
      <c r="E30" s="11">
        <f t="shared" si="5"/>
        <v>0</v>
      </c>
      <c r="F30" s="12">
        <f t="shared" si="6"/>
        <v>0</v>
      </c>
      <c r="G30" s="9">
        <f>COUNTIFS(KITUI!I:I,$G$18,KITUI!A:A,"7/23/24")</f>
        <v>0</v>
      </c>
      <c r="H30" s="11">
        <f>COUNTIFS(KITUI!I:I,$H$18,KITUI!A:A,"7/23/24")</f>
        <v>0</v>
      </c>
      <c r="I30" s="11">
        <f>COUNTIFS(KITUI!I:I,$I$18,KITUI!A:A,"7/23/24")</f>
        <v>2</v>
      </c>
      <c r="J30" s="2"/>
      <c r="K30" s="2"/>
      <c r="L30" s="2"/>
      <c r="M30" s="2"/>
      <c r="N30" s="2"/>
      <c r="O30" s="2"/>
      <c r="P30" s="2"/>
      <c r="Q30" s="2"/>
      <c r="R30" s="2"/>
      <c r="S30" s="2"/>
      <c r="T30" s="2"/>
      <c r="U30" s="2"/>
      <c r="V30" s="2"/>
      <c r="W30" s="2"/>
      <c r="X30" s="2"/>
      <c r="Y30" s="2"/>
      <c r="Z30" s="2"/>
      <c r="AA30" s="2"/>
      <c r="AB30" s="2"/>
    </row>
    <row r="31">
      <c r="A31" s="15" t="s">
        <v>22</v>
      </c>
      <c r="B31" s="8">
        <f>SUMIFS(MACHAKOS!F:F,MACHAKOS!A:A,"7/23/24")</f>
        <v>166910.39</v>
      </c>
      <c r="C31" s="11">
        <f>COUNTIFS(MACHAKOS!A:A,"7/23/24")</f>
        <v>2</v>
      </c>
      <c r="D31" s="10">
        <f>SUMIFS(MACHAKOS!G:G,MACHAKOS!A:A,"7/23/24")</f>
        <v>0</v>
      </c>
      <c r="E31" s="11">
        <f t="shared" si="5"/>
        <v>0</v>
      </c>
      <c r="F31" s="12">
        <f t="shared" si="6"/>
        <v>0</v>
      </c>
      <c r="G31" s="9">
        <f>COUNTIFS(MACHAKOS!I:I,$G$18,MACHAKOS!A:A,"7/23/24")</f>
        <v>0</v>
      </c>
      <c r="H31" s="11">
        <f>COUNTIFS(MACHAKOS!I:I,$H$18,MACHAKOS!A:A,"7/23/24")</f>
        <v>0</v>
      </c>
      <c r="I31" s="11">
        <f>COUNTIFS(MACHAKOS!I:I,$I$18,MACHAKOS!A:A,"7/23/24")</f>
        <v>2</v>
      </c>
      <c r="J31" s="2"/>
      <c r="K31" s="2"/>
      <c r="L31" s="2"/>
      <c r="M31" s="2"/>
      <c r="N31" s="2"/>
      <c r="O31" s="2"/>
      <c r="P31" s="2"/>
      <c r="Q31" s="2"/>
      <c r="R31" s="2"/>
      <c r="S31" s="2"/>
      <c r="T31" s="2"/>
      <c r="U31" s="2"/>
      <c r="V31" s="2"/>
      <c r="W31" s="2"/>
      <c r="X31" s="2"/>
      <c r="Y31" s="2"/>
      <c r="Z31" s="2"/>
      <c r="AA31" s="2"/>
      <c r="AB31" s="2"/>
    </row>
    <row r="32">
      <c r="A32" s="16" t="s">
        <v>23</v>
      </c>
      <c r="B32" s="17">
        <f t="shared" ref="B32:E32" si="7">SUM(B19:B31)</f>
        <v>40574363.25</v>
      </c>
      <c r="C32" s="18">
        <f t="shared" si="7"/>
        <v>220</v>
      </c>
      <c r="D32" s="19">
        <f t="shared" si="7"/>
        <v>5019895.16</v>
      </c>
      <c r="E32" s="18">
        <f t="shared" si="7"/>
        <v>50</v>
      </c>
      <c r="F32" s="20">
        <f>D32/B32</f>
        <v>0.1237208611</v>
      </c>
      <c r="G32" s="21">
        <f t="shared" ref="G32:I32" si="8">SUM(G19:G31)</f>
        <v>13</v>
      </c>
      <c r="H32" s="21">
        <f t="shared" si="8"/>
        <v>37</v>
      </c>
      <c r="I32" s="21">
        <f t="shared" si="8"/>
        <v>168</v>
      </c>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3" t="s">
        <v>1</v>
      </c>
      <c r="B34" s="4" t="s">
        <v>2</v>
      </c>
      <c r="C34" s="4" t="s">
        <v>3</v>
      </c>
      <c r="D34" s="4" t="s">
        <v>4</v>
      </c>
      <c r="E34" s="5" t="s">
        <v>5</v>
      </c>
      <c r="F34" s="6" t="s">
        <v>6</v>
      </c>
      <c r="G34" s="6" t="s">
        <v>7</v>
      </c>
      <c r="H34" s="6" t="s">
        <v>8</v>
      </c>
      <c r="I34" s="6" t="s">
        <v>9</v>
      </c>
      <c r="J34" s="2"/>
      <c r="K34" s="2"/>
      <c r="L34" s="2"/>
      <c r="M34" s="2"/>
      <c r="N34" s="2"/>
      <c r="O34" s="2"/>
      <c r="P34" s="2"/>
      <c r="Q34" s="2"/>
      <c r="R34" s="2"/>
      <c r="S34" s="2"/>
      <c r="T34" s="2"/>
      <c r="U34" s="2"/>
      <c r="V34" s="2"/>
      <c r="W34" s="2"/>
      <c r="X34" s="2"/>
      <c r="Y34" s="2"/>
      <c r="Z34" s="2"/>
      <c r="AA34" s="2"/>
      <c r="AB34" s="2"/>
    </row>
    <row r="35">
      <c r="A35" s="7" t="s">
        <v>10</v>
      </c>
      <c r="B35" s="8">
        <f>SUMIFS(ECOBANK!F:F,ECOBANK!A:A,"7/24/24")</f>
        <v>10669742</v>
      </c>
      <c r="C35" s="9">
        <f>COUNTIFS(ECOBANK!A:A,"7/24/24")</f>
        <v>11</v>
      </c>
      <c r="D35" s="10">
        <f>SUMIFS(ECOBANK!G:G,ECOBANK!A:A,"7/24/24")</f>
        <v>30868</v>
      </c>
      <c r="E35" s="11">
        <f t="shared" ref="E35:E47" si="9">G35+H35</f>
        <v>2</v>
      </c>
      <c r="F35" s="12">
        <f t="shared" ref="F35:F47" si="10">iferror(D35/B35,0)</f>
        <v>0.0028930409</v>
      </c>
      <c r="G35" s="9">
        <f>COUNTIFS(ECOBANK!I:I,$G$18,ECOBANK!A:A,"7/24/24")</f>
        <v>1</v>
      </c>
      <c r="H35" s="11">
        <f>COUNTIFS(ECOBANK!I:I,$H$18,ECOBANK!A:A,"7/24/24")</f>
        <v>1</v>
      </c>
      <c r="I35" s="11">
        <f>COUNTIFS(ECOBANK!I:I,$I$18,ECOBANK!A:A,"7/24/24")</f>
        <v>9</v>
      </c>
      <c r="J35" s="2"/>
      <c r="K35" s="2"/>
      <c r="L35" s="2"/>
      <c r="M35" s="2"/>
      <c r="N35" s="2"/>
      <c r="O35" s="2"/>
      <c r="P35" s="2"/>
      <c r="Q35" s="2"/>
      <c r="R35" s="2"/>
      <c r="S35" s="2"/>
      <c r="T35" s="2"/>
      <c r="U35" s="2"/>
      <c r="V35" s="2"/>
      <c r="W35" s="2"/>
      <c r="X35" s="2"/>
      <c r="Y35" s="2"/>
      <c r="Z35" s="2"/>
      <c r="AA35" s="2"/>
      <c r="AB35" s="2"/>
    </row>
    <row r="36">
      <c r="A36" s="7" t="s">
        <v>24</v>
      </c>
      <c r="B36" s="8">
        <f>SUMIFS('TRADE CENTER'!F:F,'TRADE CENTER'!A:A,"7/24/24")</f>
        <v>11270062.07</v>
      </c>
      <c r="C36" s="11">
        <f>COUNTIFS('TRADE CENTER'!A:A,"7/24/24")</f>
        <v>31</v>
      </c>
      <c r="D36" s="10">
        <f>SUMIFS('TRADE CENTER'!G:G,'TRADE CENTER'!A:A,"7/24/24")</f>
        <v>256757</v>
      </c>
      <c r="E36" s="11">
        <f t="shared" si="9"/>
        <v>5</v>
      </c>
      <c r="F36" s="12">
        <f t="shared" si="10"/>
        <v>0.02278221703</v>
      </c>
      <c r="G36" s="11">
        <f>COUNTIFS('TRADE CENTER'!I:I,$G$18,'TRADE CENTER'!A:A,"7/24/24")</f>
        <v>3</v>
      </c>
      <c r="H36" s="11">
        <f>COUNTIFS('TRADE CENTER'!I:I,$H$18,'TRADE CENTER'!A:A,"7/24/24")</f>
        <v>2</v>
      </c>
      <c r="I36" s="11">
        <f>COUNTIFS('TRADE CENTER'!I:I,$I$18,'TRADE CENTER'!A:A,"7/24/24")</f>
        <v>26</v>
      </c>
      <c r="J36" s="2"/>
      <c r="K36" s="2"/>
      <c r="L36" s="2"/>
      <c r="M36" s="2"/>
      <c r="N36" s="2"/>
      <c r="O36" s="2"/>
      <c r="P36" s="2"/>
      <c r="Q36" s="2"/>
      <c r="R36" s="2"/>
      <c r="S36" s="2"/>
      <c r="T36" s="2"/>
      <c r="U36" s="2"/>
      <c r="V36" s="2"/>
      <c r="W36" s="2"/>
      <c r="X36" s="2"/>
      <c r="Y36" s="2"/>
      <c r="Z36" s="2"/>
      <c r="AA36" s="2"/>
      <c r="AB36" s="2"/>
    </row>
    <row r="37">
      <c r="A37" s="7" t="s">
        <v>12</v>
      </c>
      <c r="B37" s="8">
        <f>SUMIFS(PENSION!F:F,PENSION!A:A,"7/24/2024")</f>
        <v>5068038.43</v>
      </c>
      <c r="C37" s="11">
        <f>COUNTIFS(PENSION!A:A,"7/24/24")</f>
        <v>44</v>
      </c>
      <c r="D37" s="10">
        <f>SUMIFS(PENSION!G:G,PENSION!A:A,"7/24/2024")</f>
        <v>1130080</v>
      </c>
      <c r="E37" s="11">
        <f t="shared" si="9"/>
        <v>3</v>
      </c>
      <c r="F37" s="12">
        <f t="shared" si="10"/>
        <v>0.2229817346</v>
      </c>
      <c r="G37" s="9">
        <f>COUNTIFS(PENSION!I:I,$G$18,PENSION!A:A,"7/24/24")</f>
        <v>0</v>
      </c>
      <c r="H37" s="11">
        <f>COUNTIFS(PENSION!I:I,$H$18,PENSION!A:A,"7/24/24")</f>
        <v>3</v>
      </c>
      <c r="I37" s="11">
        <f>COUNTIFS(PENSION!I:I,$I$18,PENSION!A:A,"7/24/24")</f>
        <v>41</v>
      </c>
      <c r="J37" s="2"/>
      <c r="K37" s="2"/>
      <c r="L37" s="2"/>
      <c r="M37" s="2"/>
      <c r="N37" s="2"/>
      <c r="O37" s="2"/>
      <c r="P37" s="2"/>
      <c r="Q37" s="2"/>
      <c r="R37" s="2"/>
      <c r="S37" s="2"/>
      <c r="T37" s="2"/>
      <c r="U37" s="2"/>
      <c r="V37" s="2"/>
      <c r="W37" s="2"/>
      <c r="X37" s="2"/>
      <c r="Y37" s="2"/>
      <c r="Z37" s="2"/>
      <c r="AA37" s="2"/>
      <c r="AB37" s="2"/>
    </row>
    <row r="38">
      <c r="A38" s="7" t="s">
        <v>13</v>
      </c>
      <c r="B38" s="8">
        <f>SUMIFS(KITENGELA!F:F,KITENGELA!A:A,"7/24/24")</f>
        <v>2352719.51</v>
      </c>
      <c r="C38" s="11">
        <f>COUNTIFS(KITENGELA!A:A,"7/24/24")</f>
        <v>25</v>
      </c>
      <c r="D38" s="10">
        <f>SUMIFS(KITENGELA!G:G,KITENGELA!A:A,"7/24/24")</f>
        <v>475701</v>
      </c>
      <c r="E38" s="11">
        <f t="shared" si="9"/>
        <v>6</v>
      </c>
      <c r="F38" s="12">
        <f t="shared" si="10"/>
        <v>0.2021919732</v>
      </c>
      <c r="G38" s="11">
        <f>COUNTIFS(KITENGELA!I:I,$G$18,KITENGELA!A:A,"7/24/24")</f>
        <v>2</v>
      </c>
      <c r="H38" s="11">
        <f>COUNTIFS(KITENGELA!I:I,$H$18,KITENGELA!A:A,"7/24/24")</f>
        <v>4</v>
      </c>
      <c r="I38" s="11">
        <f>COUNTIFS(KITENGELA!I:I,$I$18,KITENGELA!A:A,"7/24/24")</f>
        <v>19</v>
      </c>
      <c r="J38" s="2"/>
      <c r="K38" s="2"/>
      <c r="L38" s="2"/>
      <c r="M38" s="2"/>
      <c r="N38" s="2"/>
      <c r="O38" s="2"/>
      <c r="P38" s="2"/>
      <c r="Q38" s="2"/>
      <c r="R38" s="2"/>
      <c r="S38" s="2"/>
      <c r="T38" s="2"/>
      <c r="U38" s="2"/>
      <c r="V38" s="2"/>
      <c r="W38" s="2"/>
      <c r="X38" s="2"/>
      <c r="Y38" s="2"/>
      <c r="Z38" s="2"/>
      <c r="AA38" s="2"/>
      <c r="AB38" s="2"/>
    </row>
    <row r="39">
      <c r="A39" s="7" t="s">
        <v>14</v>
      </c>
      <c r="B39" s="8">
        <f>SUMIFS(ELDORET!F:F,ELDORET!A:A,"7/24/24")</f>
        <v>1074278</v>
      </c>
      <c r="C39" s="11">
        <f>COUNTIFS(ELDORET!A:A,"7/24/24")</f>
        <v>13</v>
      </c>
      <c r="D39" s="10">
        <f>SUMIFS(ELDORET!G:G,ELDORET!A:A,"7/24/24")</f>
        <v>68823</v>
      </c>
      <c r="E39" s="11">
        <f t="shared" si="9"/>
        <v>3</v>
      </c>
      <c r="F39" s="12">
        <f t="shared" si="10"/>
        <v>0.0640644228</v>
      </c>
      <c r="G39" s="11">
        <f>COUNTIFS(ELDORET!I:I,$G$18,ELDORET!A:A,"7/24/24")</f>
        <v>0</v>
      </c>
      <c r="H39" s="11">
        <f>COUNTIFS(ELDORET!I:I,$H$18,ELDORET!A:A,"7/24/24")</f>
        <v>3</v>
      </c>
      <c r="I39" s="11">
        <f>COUNTIFS(ELDORET!I:I,$I$18,ELDORET!A:A,"7/24/24")</f>
        <v>10</v>
      </c>
      <c r="J39" s="2"/>
      <c r="K39" s="2"/>
      <c r="L39" s="2"/>
      <c r="M39" s="2"/>
      <c r="N39" s="2"/>
      <c r="O39" s="2"/>
      <c r="P39" s="2"/>
      <c r="Q39" s="2"/>
      <c r="R39" s="2"/>
      <c r="S39" s="2"/>
      <c r="T39" s="2"/>
      <c r="U39" s="2"/>
      <c r="V39" s="2"/>
      <c r="W39" s="2"/>
      <c r="X39" s="2"/>
      <c r="Y39" s="2"/>
      <c r="Z39" s="2"/>
      <c r="AA39" s="2"/>
      <c r="AB39" s="2"/>
    </row>
    <row r="40">
      <c r="A40" s="7" t="s">
        <v>15</v>
      </c>
      <c r="B40" s="8">
        <f>SUMIFS(NAKURU!F:F,NAKURU!A:A,"7/24/24")</f>
        <v>50500</v>
      </c>
      <c r="C40" s="11">
        <f>COUNTIFS(NAKURU!A:A,"7/24/24")</f>
        <v>2</v>
      </c>
      <c r="D40" s="10">
        <f>SUMIFS(NAKURU!G:G,NAKURU!A:A,"7/24/24")</f>
        <v>11570</v>
      </c>
      <c r="E40" s="11">
        <f t="shared" si="9"/>
        <v>1</v>
      </c>
      <c r="F40" s="12">
        <f t="shared" si="10"/>
        <v>0.2291089109</v>
      </c>
      <c r="G40" s="9">
        <f>COUNTIFS(NAKURU!I:I,$G$18,NAKURU!A:A,"7/24/24")</f>
        <v>0</v>
      </c>
      <c r="H40" s="11">
        <f>COUNTIFS(NAKURU!I:I,$H$18,NAKURU!A:A,"7/24/24")</f>
        <v>1</v>
      </c>
      <c r="I40" s="11">
        <f>COUNTIFS(NAKURU!I:I,$I$18,NAKURU!A:A,"7/24/24")</f>
        <v>1</v>
      </c>
      <c r="J40" s="2"/>
      <c r="K40" s="2"/>
      <c r="L40" s="2"/>
      <c r="M40" s="2"/>
      <c r="N40" s="2"/>
      <c r="O40" s="2"/>
      <c r="P40" s="2"/>
      <c r="Q40" s="2"/>
      <c r="R40" s="2"/>
      <c r="S40" s="2"/>
      <c r="T40" s="2"/>
      <c r="U40" s="2"/>
      <c r="V40" s="2"/>
      <c r="W40" s="2"/>
      <c r="X40" s="2"/>
      <c r="Y40" s="2"/>
      <c r="Z40" s="2"/>
      <c r="AA40" s="2"/>
      <c r="AB40" s="2"/>
    </row>
    <row r="41">
      <c r="A41" s="7" t="s">
        <v>16</v>
      </c>
      <c r="B41" s="8">
        <f>SUMIFS(HOMABAY!F:F,HOMABAY!A:A,"7/24/24")</f>
        <v>119000</v>
      </c>
      <c r="C41" s="11">
        <f>COUNTIFS(HOMABAY!A:A,"7/24/24")</f>
        <v>4</v>
      </c>
      <c r="D41" s="10">
        <f>SUMIFS(HOMABAY!G:G,HOMABAY!A:A,"7/24/24")</f>
        <v>97000</v>
      </c>
      <c r="E41" s="11">
        <f t="shared" si="9"/>
        <v>3</v>
      </c>
      <c r="F41" s="12">
        <f t="shared" si="10"/>
        <v>0.8151260504</v>
      </c>
      <c r="G41" s="9">
        <f>COUNTIFS(HOMABAY!K:K,$G$18,HOMABAY!A:A,"7/24/24")</f>
        <v>1</v>
      </c>
      <c r="H41" s="11">
        <f>COUNTIFS(HOMABAY!K:K,$H$18,HOMABAY!A:A,"7/24/24")</f>
        <v>2</v>
      </c>
      <c r="I41" s="11">
        <f>COUNTIFS(HOMABAY!K:K,$I$18,HOMABAY!A:A,"7/24/24")</f>
        <v>1</v>
      </c>
      <c r="J41" s="2"/>
      <c r="K41" s="2"/>
      <c r="L41" s="2"/>
      <c r="M41" s="2"/>
      <c r="N41" s="2"/>
      <c r="O41" s="2"/>
      <c r="P41" s="2"/>
      <c r="Q41" s="2"/>
      <c r="R41" s="2"/>
      <c r="S41" s="2"/>
      <c r="T41" s="2"/>
      <c r="U41" s="2"/>
      <c r="V41" s="2"/>
      <c r="W41" s="2"/>
      <c r="X41" s="2"/>
      <c r="Y41" s="2"/>
      <c r="Z41" s="2"/>
      <c r="AA41" s="2"/>
      <c r="AB41" s="2"/>
    </row>
    <row r="42">
      <c r="A42" s="7" t="s">
        <v>17</v>
      </c>
      <c r="B42" s="8">
        <f>SUMIFS(MOMBASA!F:F,MOMBASA!A:A,"7/24/24")</f>
        <v>3341485.48</v>
      </c>
      <c r="C42" s="11">
        <f>COUNTIFS(MOMBASA!A:A,"7/24/24")</f>
        <v>19</v>
      </c>
      <c r="D42" s="14">
        <f>SUMIFS(MOMBASA!G:G,MOMBASA!A:A,"7/24/24")</f>
        <v>1524228</v>
      </c>
      <c r="E42" s="11">
        <f t="shared" si="9"/>
        <v>10</v>
      </c>
      <c r="F42" s="12">
        <f t="shared" si="10"/>
        <v>0.4561528126</v>
      </c>
      <c r="G42" s="9">
        <f>COUNTIFS(MOMBASA!I:I,$G$18,MOMBASA!A:A,"7/24/24")</f>
        <v>2</v>
      </c>
      <c r="H42" s="11">
        <f>COUNTIFS(MOMBASA!I:I,$H$18,MOMBASA!A:A,"7/24/24")</f>
        <v>8</v>
      </c>
      <c r="I42" s="11">
        <f>COUNTIFS(MOMBASA!I:I,$I$18,MOMBASA!A:A,"7/24/24")</f>
        <v>9</v>
      </c>
      <c r="J42" s="2"/>
      <c r="K42" s="2"/>
      <c r="L42" s="2"/>
      <c r="M42" s="2"/>
      <c r="N42" s="2"/>
      <c r="O42" s="2"/>
      <c r="P42" s="2"/>
      <c r="Q42" s="2"/>
      <c r="R42" s="2"/>
      <c r="S42" s="2"/>
      <c r="T42" s="2"/>
      <c r="U42" s="2"/>
      <c r="V42" s="2"/>
      <c r="W42" s="2"/>
      <c r="X42" s="2"/>
      <c r="Y42" s="2"/>
      <c r="Z42" s="2"/>
      <c r="AA42" s="2"/>
      <c r="AB42" s="2"/>
    </row>
    <row r="43">
      <c r="A43" s="7" t="s">
        <v>18</v>
      </c>
      <c r="B43" s="8">
        <f>SUMIFS(KISUMU!F:F,KISUMU!A:A,"7/24/24")</f>
        <v>1684357.94</v>
      </c>
      <c r="C43" s="11">
        <f>COUNTIFS(KISUMU!A:A,"7/24/24")</f>
        <v>21</v>
      </c>
      <c r="D43" s="10">
        <f>SUMIFS(KISUMU!G:G,KISUMU!A:A,"7/24/24")</f>
        <v>98773</v>
      </c>
      <c r="E43" s="11">
        <f t="shared" si="9"/>
        <v>2</v>
      </c>
      <c r="F43" s="12">
        <f t="shared" si="10"/>
        <v>0.05864133606</v>
      </c>
      <c r="G43" s="9">
        <f>COUNTIFS(KISUMU!I:I,$G$18,KISUMU!A:A,"7/24/24")</f>
        <v>1</v>
      </c>
      <c r="H43" s="11">
        <f>COUNTIFS(KISUMU!I:I,$H$18,KISUMU!A:A,"7/24/24")</f>
        <v>1</v>
      </c>
      <c r="I43" s="11">
        <f>COUNTIFS(KISUMU!I:I,$I$18,KISUMU!A:A,"7/24/24")</f>
        <v>19</v>
      </c>
      <c r="J43" s="2"/>
      <c r="K43" s="2"/>
      <c r="L43" s="2"/>
      <c r="M43" s="2"/>
      <c r="N43" s="2"/>
      <c r="O43" s="2"/>
      <c r="P43" s="2"/>
      <c r="Q43" s="2"/>
      <c r="R43" s="2"/>
      <c r="S43" s="2"/>
      <c r="T43" s="2"/>
      <c r="U43" s="2"/>
      <c r="V43" s="2"/>
      <c r="W43" s="2"/>
      <c r="X43" s="2"/>
      <c r="Y43" s="2"/>
      <c r="Z43" s="2"/>
      <c r="AA43" s="2"/>
      <c r="AB43" s="2"/>
    </row>
    <row r="44">
      <c r="A44" s="7" t="s">
        <v>19</v>
      </c>
      <c r="B44" s="8">
        <f>SUMIFS(VOI!F:F,VOI!A:A,"7/24/24")</f>
        <v>391960</v>
      </c>
      <c r="C44" s="11">
        <f>COUNTIFS(VOI!A:A,"7/24/24")</f>
        <v>13</v>
      </c>
      <c r="D44" s="10">
        <f>SUMIFS(VOI!G:G,VOI!A:A,"7/24/24")</f>
        <v>103667</v>
      </c>
      <c r="E44" s="11">
        <f t="shared" si="9"/>
        <v>2</v>
      </c>
      <c r="F44" s="12">
        <f t="shared" si="10"/>
        <v>0.2644836208</v>
      </c>
      <c r="G44" s="9">
        <f>COUNTIFS(VOI!H:H,$G$18,VOI!A:A,"7/24/24")</f>
        <v>1</v>
      </c>
      <c r="H44" s="11">
        <f>COUNTIFS(VOI!H:H,$H$18,VOI!A:A,"7/24/24")</f>
        <v>1</v>
      </c>
      <c r="I44" s="11">
        <f>COUNTIFS(VOI!H:H,$I$18,VOI!A:A,"7/24/24")</f>
        <v>11</v>
      </c>
      <c r="J44" s="2"/>
      <c r="K44" s="2"/>
      <c r="L44" s="2"/>
      <c r="M44" s="2"/>
      <c r="N44" s="2"/>
      <c r="O44" s="2"/>
      <c r="P44" s="2"/>
      <c r="Q44" s="2"/>
      <c r="R44" s="2"/>
      <c r="S44" s="2"/>
      <c r="T44" s="2"/>
      <c r="U44" s="2"/>
      <c r="V44" s="2"/>
      <c r="W44" s="2"/>
      <c r="X44" s="2"/>
      <c r="Y44" s="2"/>
      <c r="Z44" s="2"/>
      <c r="AA44" s="2"/>
      <c r="AB44" s="2"/>
    </row>
    <row r="45">
      <c r="A45" s="7" t="s">
        <v>20</v>
      </c>
      <c r="B45" s="8">
        <f>SUMIFS(THIKA!F:F,THIKA!A:A,"7/24/24")</f>
        <v>5245141</v>
      </c>
      <c r="C45" s="11">
        <f>COUNTIFS(THIKA!A:A,"7/24/24")</f>
        <v>15</v>
      </c>
      <c r="D45" s="10">
        <f>SUMIFS(THIKA!G:G,THIKA!A:A,"7/24/24")</f>
        <v>143500</v>
      </c>
      <c r="E45" s="11">
        <f t="shared" si="9"/>
        <v>2</v>
      </c>
      <c r="F45" s="12">
        <f t="shared" si="10"/>
        <v>0.02735865442</v>
      </c>
      <c r="G45" s="9">
        <f>COUNTIFS(THIKA!I:I,$G$18,THIKA!A:A,"7/24/24")</f>
        <v>2</v>
      </c>
      <c r="H45" s="11">
        <f>COUNTIFS(THIKA!I:I,$H$18,THIKA!A:A,"7/24/24")</f>
        <v>0</v>
      </c>
      <c r="I45" s="11">
        <f>COUNTIFS(THIKA!I:I,$I$18,THIKA!A:A,"7/24/24")</f>
        <v>13</v>
      </c>
      <c r="J45" s="2"/>
      <c r="K45" s="2"/>
      <c r="L45" s="2"/>
      <c r="M45" s="2"/>
      <c r="N45" s="2"/>
      <c r="O45" s="2"/>
      <c r="P45" s="2"/>
      <c r="Q45" s="2"/>
      <c r="R45" s="2"/>
      <c r="S45" s="2"/>
      <c r="T45" s="2"/>
      <c r="U45" s="2"/>
      <c r="V45" s="2"/>
      <c r="W45" s="2"/>
      <c r="X45" s="2"/>
      <c r="Y45" s="2"/>
      <c r="Z45" s="2"/>
      <c r="AA45" s="2"/>
      <c r="AB45" s="2"/>
    </row>
    <row r="46">
      <c r="A46" s="7" t="s">
        <v>21</v>
      </c>
      <c r="B46" s="8">
        <f>SUMIFS(KITUI!F:F,KITUI!A:A,"7/24/24")</f>
        <v>136200</v>
      </c>
      <c r="C46" s="11">
        <f>COUNTIFS(KITUI!A:A,"7/24/24")</f>
        <v>2</v>
      </c>
      <c r="D46" s="10">
        <f>SUMIFS(KITUI!G:G,KITUI!A:A,"7/24/24")</f>
        <v>98000</v>
      </c>
      <c r="E46" s="11">
        <f t="shared" si="9"/>
        <v>1</v>
      </c>
      <c r="F46" s="12">
        <f t="shared" si="10"/>
        <v>0.7195301028</v>
      </c>
      <c r="G46" s="9">
        <f>COUNTIFS(KITUI!I:I,$G$18,KITUI!A:A,"7/24/24")</f>
        <v>0</v>
      </c>
      <c r="H46" s="11">
        <f>COUNTIFS(KITUI!I:I,$H$18,KITUI!A:A,"7/24/24")</f>
        <v>1</v>
      </c>
      <c r="I46" s="11">
        <f>COUNTIFS(KITUI!I:I,$I$18,KITUI!A:A,"7/24/24")</f>
        <v>1</v>
      </c>
      <c r="J46" s="2"/>
      <c r="K46" s="2"/>
      <c r="L46" s="2"/>
      <c r="M46" s="2"/>
      <c r="N46" s="2"/>
      <c r="O46" s="2"/>
      <c r="P46" s="2"/>
      <c r="Q46" s="2"/>
      <c r="R46" s="2"/>
      <c r="S46" s="2"/>
      <c r="T46" s="2"/>
      <c r="U46" s="2"/>
      <c r="V46" s="2"/>
      <c r="W46" s="2"/>
      <c r="X46" s="2"/>
      <c r="Y46" s="2"/>
      <c r="Z46" s="2"/>
      <c r="AA46" s="2"/>
      <c r="AB46" s="2"/>
    </row>
    <row r="47">
      <c r="A47" s="15" t="s">
        <v>22</v>
      </c>
      <c r="B47" s="8">
        <f>SUMIFS(MACHAKOS!F:F,MACHAKOS!A:A,"7/24/24")</f>
        <v>166910.39</v>
      </c>
      <c r="C47" s="11">
        <f>COUNTIFS(MACHAKOS!A:A,"7/24/24")</f>
        <v>2</v>
      </c>
      <c r="D47" s="10">
        <f>SUMIFS(MACHAKOS!G:G,MACHAKOS!A:A,"7/24/24")</f>
        <v>20000</v>
      </c>
      <c r="E47" s="11">
        <f t="shared" si="9"/>
        <v>1</v>
      </c>
      <c r="F47" s="12">
        <f t="shared" si="10"/>
        <v>0.1198247754</v>
      </c>
      <c r="G47" s="9">
        <f>COUNTIFS(MACHAKOS!I:I,$G$18,MACHAKOS!A:A,"7/24/24")</f>
        <v>1</v>
      </c>
      <c r="H47" s="11">
        <f>COUNTIFS(MACHAKOS!I:I,$H$18,MACHAKOS!A:A,"7/24/24")</f>
        <v>0</v>
      </c>
      <c r="I47" s="11">
        <f>COUNTIFS(MACHAKOS!I:I,$I$18,MACHAKOS!A:A,"7/24/24")</f>
        <v>1</v>
      </c>
      <c r="J47" s="2"/>
      <c r="K47" s="2"/>
      <c r="L47" s="2"/>
      <c r="M47" s="2"/>
      <c r="N47" s="2"/>
      <c r="O47" s="2"/>
      <c r="P47" s="2"/>
      <c r="Q47" s="2"/>
      <c r="R47" s="2"/>
      <c r="S47" s="2"/>
      <c r="T47" s="2"/>
      <c r="U47" s="2"/>
      <c r="V47" s="2"/>
      <c r="W47" s="2"/>
      <c r="X47" s="2"/>
      <c r="Y47" s="2"/>
      <c r="Z47" s="2"/>
      <c r="AA47" s="2"/>
      <c r="AB47" s="2"/>
    </row>
    <row r="48">
      <c r="A48" s="16" t="s">
        <v>23</v>
      </c>
      <c r="B48" s="17">
        <f t="shared" ref="B48:E48" si="11">SUM(B35:B47)</f>
        <v>41570394.82</v>
      </c>
      <c r="C48" s="18">
        <f t="shared" si="11"/>
        <v>202</v>
      </c>
      <c r="D48" s="19">
        <f t="shared" si="11"/>
        <v>4058967</v>
      </c>
      <c r="E48" s="18">
        <f t="shared" si="11"/>
        <v>41</v>
      </c>
      <c r="F48" s="20">
        <f>D48/B48</f>
        <v>0.09764080946</v>
      </c>
      <c r="G48" s="21">
        <f t="shared" ref="G48:I48" si="12">SUM(G35:G47)</f>
        <v>14</v>
      </c>
      <c r="H48" s="21">
        <f t="shared" si="12"/>
        <v>27</v>
      </c>
      <c r="I48" s="21">
        <f t="shared" si="12"/>
        <v>161</v>
      </c>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3" t="s">
        <v>1</v>
      </c>
      <c r="B50" s="4" t="s">
        <v>2</v>
      </c>
      <c r="C50" s="4" t="s">
        <v>3</v>
      </c>
      <c r="D50" s="4" t="s">
        <v>4</v>
      </c>
      <c r="E50" s="5" t="s">
        <v>5</v>
      </c>
      <c r="F50" s="6" t="s">
        <v>6</v>
      </c>
      <c r="G50" s="6" t="s">
        <v>7</v>
      </c>
      <c r="H50" s="6" t="s">
        <v>8</v>
      </c>
      <c r="I50" s="6" t="s">
        <v>9</v>
      </c>
      <c r="J50" s="2"/>
      <c r="K50" s="2"/>
      <c r="L50" s="2"/>
      <c r="M50" s="2"/>
      <c r="N50" s="2"/>
      <c r="O50" s="2"/>
      <c r="P50" s="2"/>
      <c r="Q50" s="2"/>
      <c r="R50" s="2"/>
      <c r="S50" s="2"/>
      <c r="T50" s="2"/>
      <c r="U50" s="2"/>
      <c r="V50" s="2"/>
      <c r="W50" s="2"/>
      <c r="X50" s="2"/>
      <c r="Y50" s="2"/>
      <c r="Z50" s="2"/>
      <c r="AA50" s="2"/>
      <c r="AB50" s="2"/>
    </row>
    <row r="51">
      <c r="A51" s="7" t="s">
        <v>10</v>
      </c>
      <c r="B51" s="8">
        <f>SUMIFS(ECOBANK!F:F,ECOBANK!A:A,"7/25/24")</f>
        <v>9551518</v>
      </c>
      <c r="C51" s="9">
        <f>COUNTIFS(ECOBANK!A:A,"7/25/24")</f>
        <v>15</v>
      </c>
      <c r="D51" s="10">
        <f>SUMIFS(ECOBANK!G:G,ECOBANK!A:A,"7/25/24")</f>
        <v>644487</v>
      </c>
      <c r="E51" s="11">
        <f t="shared" ref="E51:E63" si="13">G51+H51</f>
        <v>8</v>
      </c>
      <c r="F51" s="12">
        <f t="shared" ref="F51:F63" si="14">iferror(D51/B51,0)</f>
        <v>0.06747482442</v>
      </c>
      <c r="G51" s="9">
        <f>COUNTIFS(ECOBANK!I:I,$G$18,ECOBANK!A:A,"7/25/24")</f>
        <v>5</v>
      </c>
      <c r="H51" s="11">
        <f>COUNTIFS(ECOBANK!I:I,$H$18,ECOBANK!A:A,"7/25/24")</f>
        <v>3</v>
      </c>
      <c r="I51" s="11">
        <f>COUNTIFS(ECOBANK!I:I,$I$18,ECOBANK!A:A,"7/25/24")</f>
        <v>7</v>
      </c>
      <c r="J51" s="2"/>
      <c r="K51" s="2"/>
      <c r="L51" s="2"/>
      <c r="M51" s="2"/>
      <c r="N51" s="2"/>
      <c r="O51" s="2"/>
      <c r="P51" s="2"/>
      <c r="Q51" s="2"/>
      <c r="R51" s="2"/>
      <c r="S51" s="2"/>
      <c r="T51" s="2"/>
      <c r="U51" s="2"/>
      <c r="V51" s="2"/>
      <c r="W51" s="2"/>
      <c r="X51" s="2"/>
      <c r="Y51" s="2"/>
      <c r="Z51" s="2"/>
      <c r="AA51" s="2"/>
      <c r="AB51" s="2"/>
    </row>
    <row r="52">
      <c r="A52" s="7" t="s">
        <v>24</v>
      </c>
      <c r="B52" s="8">
        <f>SUMIFS('TRADE CENTER'!F:F,'TRADE CENTER'!A:A,"7/25/24")</f>
        <v>15459940.33</v>
      </c>
      <c r="C52" s="11">
        <f>COUNTIFS('TRADE CENTER'!A:A,"7/25/24")</f>
        <v>44</v>
      </c>
      <c r="D52" s="10">
        <f>SUMIFS('TRADE CENTER'!G:G,'TRADE CENTER'!A:A,"7/25/24")</f>
        <v>2022256</v>
      </c>
      <c r="E52" s="11">
        <f t="shared" si="13"/>
        <v>10</v>
      </c>
      <c r="F52" s="12">
        <f t="shared" si="14"/>
        <v>0.130806197</v>
      </c>
      <c r="G52" s="11">
        <f>COUNTIFS('TRADE CENTER'!I:I,$G$18,'TRADE CENTER'!A:A,"7/25/24")</f>
        <v>5</v>
      </c>
      <c r="H52" s="11">
        <f>COUNTIFS('TRADE CENTER'!I:I,$H$18,'TRADE CENTER'!A:A,"7/25/24")</f>
        <v>5</v>
      </c>
      <c r="I52" s="11">
        <f>COUNTIFS('TRADE CENTER'!I:I,$I$18,'TRADE CENTER'!A:A,"7/25/24")</f>
        <v>34</v>
      </c>
      <c r="J52" s="2"/>
      <c r="K52" s="2"/>
      <c r="L52" s="2"/>
      <c r="M52" s="2"/>
      <c r="N52" s="2"/>
      <c r="O52" s="2"/>
      <c r="P52" s="2"/>
      <c r="Q52" s="2"/>
      <c r="R52" s="2"/>
      <c r="S52" s="2"/>
      <c r="T52" s="2"/>
      <c r="U52" s="2"/>
      <c r="V52" s="2"/>
      <c r="W52" s="2"/>
      <c r="X52" s="2"/>
      <c r="Y52" s="2"/>
      <c r="Z52" s="2"/>
      <c r="AA52" s="2"/>
      <c r="AB52" s="2"/>
    </row>
    <row r="53">
      <c r="A53" s="7" t="s">
        <v>12</v>
      </c>
      <c r="B53" s="8">
        <f>SUMIFS(PENSION!F:F,PENSION!A:A,"7/25/2024")</f>
        <v>5244013.45</v>
      </c>
      <c r="C53" s="11">
        <f>COUNTIFS(PENSION!A:A,"7/25/24")</f>
        <v>37</v>
      </c>
      <c r="D53" s="10">
        <f>SUMIFS(PENSION!G:G,PENSION!A:A,"7/25/2024")</f>
        <v>3098600</v>
      </c>
      <c r="E53" s="11">
        <f t="shared" si="13"/>
        <v>6</v>
      </c>
      <c r="F53" s="12">
        <f t="shared" si="14"/>
        <v>0.5908833052</v>
      </c>
      <c r="G53" s="9">
        <f>COUNTIFS(PENSION!I:I,$G$18,PENSION!A:A,"7/25/24")</f>
        <v>4</v>
      </c>
      <c r="H53" s="11">
        <f>COUNTIFS(PENSION!I:I,$H$18,PENSION!A:A,"7/25/24")</f>
        <v>2</v>
      </c>
      <c r="I53" s="11">
        <f>COUNTIFS(PENSION!I:I,$I$18,PENSION!A:A,"7/25/24")</f>
        <v>31</v>
      </c>
      <c r="J53" s="2"/>
      <c r="K53" s="2"/>
      <c r="L53" s="2"/>
      <c r="M53" s="2"/>
      <c r="N53" s="2"/>
      <c r="O53" s="2"/>
      <c r="P53" s="2"/>
      <c r="Q53" s="2"/>
      <c r="R53" s="2"/>
      <c r="S53" s="2"/>
      <c r="T53" s="2"/>
      <c r="U53" s="2"/>
      <c r="V53" s="2"/>
      <c r="W53" s="2"/>
      <c r="X53" s="2"/>
      <c r="Y53" s="2"/>
      <c r="Z53" s="2"/>
      <c r="AA53" s="2"/>
      <c r="AB53" s="2"/>
    </row>
    <row r="54">
      <c r="A54" s="7" t="s">
        <v>13</v>
      </c>
      <c r="B54" s="8">
        <f>SUMIFS(KITENGELA!F:F,KITENGELA!A:A,"7/25/24")</f>
        <v>2417849.5</v>
      </c>
      <c r="C54" s="11">
        <f>COUNTIFS(KITENGELA!A:A,"7/25/24")</f>
        <v>33</v>
      </c>
      <c r="D54" s="10">
        <f>SUMIFS(KITENGELA!G:G,KITENGELA!A:A,"7/25/24")</f>
        <v>386818</v>
      </c>
      <c r="E54" s="11">
        <f t="shared" si="13"/>
        <v>7</v>
      </c>
      <c r="F54" s="12">
        <f t="shared" si="14"/>
        <v>0.1599843166</v>
      </c>
      <c r="G54" s="11">
        <f>COUNTIFS(KITENGELA!I:I,$G$18,KITENGELA!A:A,"7/25/24")</f>
        <v>3</v>
      </c>
      <c r="H54" s="11">
        <f>COUNTIFS(KITENGELA!I:I,$H$18,KITENGELA!A:A,"7/25/24")</f>
        <v>4</v>
      </c>
      <c r="I54" s="11">
        <f>COUNTIFS(KITENGELA!I:I,$I$18,KITENGELA!A:A,"7/25/24")</f>
        <v>26</v>
      </c>
      <c r="J54" s="2"/>
      <c r="K54" s="2"/>
      <c r="L54" s="2"/>
      <c r="M54" s="2"/>
      <c r="N54" s="2"/>
      <c r="O54" s="2"/>
      <c r="P54" s="2"/>
      <c r="Q54" s="2"/>
      <c r="R54" s="2"/>
      <c r="S54" s="2"/>
      <c r="T54" s="2"/>
      <c r="U54" s="2"/>
      <c r="V54" s="2"/>
      <c r="W54" s="2"/>
      <c r="X54" s="2"/>
      <c r="Y54" s="2"/>
      <c r="Z54" s="2"/>
      <c r="AA54" s="2"/>
      <c r="AB54" s="2"/>
    </row>
    <row r="55">
      <c r="A55" s="7" t="s">
        <v>14</v>
      </c>
      <c r="B55" s="8">
        <f>SUMIFS(ELDORET!F:F,ELDORET!A:A,"7/25/24")</f>
        <v>408650</v>
      </c>
      <c r="C55" s="11">
        <f>COUNTIFS(ELDORET!A:A,"7/25/24")</f>
        <v>10</v>
      </c>
      <c r="D55" s="10">
        <f>SUMIFS(ELDORET!G:G,ELDORET!A:A,"7/25/24")</f>
        <v>25920</v>
      </c>
      <c r="E55" s="11">
        <f t="shared" si="13"/>
        <v>2</v>
      </c>
      <c r="F55" s="12">
        <f t="shared" si="14"/>
        <v>0.06342836168</v>
      </c>
      <c r="G55" s="11">
        <f>COUNTIFS(ELDORET!I:I,$G$18,ELDORET!A:A,"7/25/24")</f>
        <v>0</v>
      </c>
      <c r="H55" s="11">
        <f>COUNTIFS(ELDORET!I:I,$H$18,ELDORET!A:A,"7/25/24")</f>
        <v>2</v>
      </c>
      <c r="I55" s="11">
        <f>COUNTIFS(ELDORET!I:I,$I$18,ELDORET!A:A,"7/25/24")</f>
        <v>8</v>
      </c>
      <c r="J55" s="2"/>
      <c r="K55" s="2"/>
      <c r="L55" s="2"/>
      <c r="M55" s="2"/>
      <c r="N55" s="2"/>
      <c r="O55" s="2"/>
      <c r="P55" s="2"/>
      <c r="Q55" s="2"/>
      <c r="R55" s="2"/>
      <c r="S55" s="2"/>
      <c r="T55" s="2"/>
      <c r="U55" s="2"/>
      <c r="V55" s="2"/>
      <c r="W55" s="2"/>
      <c r="X55" s="2"/>
      <c r="Y55" s="2"/>
      <c r="Z55" s="2"/>
      <c r="AA55" s="2"/>
      <c r="AB55" s="2"/>
    </row>
    <row r="56">
      <c r="A56" s="7" t="s">
        <v>15</v>
      </c>
      <c r="B56" s="8">
        <f>SUMIFS(NAKURU!F:F,NAKURU!A:A,"7/25/24")</f>
        <v>594000</v>
      </c>
      <c r="C56" s="11">
        <f>COUNTIFS(NAKURU!A:A,"7/25/24")</f>
        <v>3</v>
      </c>
      <c r="D56" s="10">
        <f>SUMIFS(NAKURU!G:G,NAKURU!A:A,"7/25/24")</f>
        <v>0</v>
      </c>
      <c r="E56" s="11">
        <f t="shared" si="13"/>
        <v>0</v>
      </c>
      <c r="F56" s="12">
        <f t="shared" si="14"/>
        <v>0</v>
      </c>
      <c r="G56" s="9">
        <f>COUNTIFS(NAKURU!I:I,$G$18,NAKURU!A:A,"7/25/24")</f>
        <v>0</v>
      </c>
      <c r="H56" s="11">
        <f>COUNTIFS(NAKURU!I:I,$H$18,NAKURU!A:A,"7/25/24")</f>
        <v>0</v>
      </c>
      <c r="I56" s="11">
        <f>COUNTIFS(NAKURU!I:I,$I$18,NAKURU!A:A,"7/25/24")</f>
        <v>3</v>
      </c>
      <c r="J56" s="2"/>
      <c r="K56" s="2"/>
      <c r="L56" s="2"/>
      <c r="M56" s="2"/>
      <c r="N56" s="2"/>
      <c r="O56" s="2"/>
      <c r="P56" s="2"/>
      <c r="Q56" s="2"/>
      <c r="R56" s="2"/>
      <c r="S56" s="2"/>
      <c r="T56" s="2"/>
      <c r="U56" s="2"/>
      <c r="V56" s="2"/>
      <c r="W56" s="2"/>
      <c r="X56" s="2"/>
      <c r="Y56" s="2"/>
      <c r="Z56" s="2"/>
      <c r="AA56" s="2"/>
      <c r="AB56" s="2"/>
    </row>
    <row r="57">
      <c r="A57" s="7" t="s">
        <v>16</v>
      </c>
      <c r="B57" s="8">
        <f>SUMIFS(HOMABAY!F:F,HOMABAY!A:A,"7/25/24")</f>
        <v>105000</v>
      </c>
      <c r="C57" s="11">
        <f>COUNTIFS(HOMABAY!A:A,"7/25/24")</f>
        <v>4</v>
      </c>
      <c r="D57" s="10">
        <f>SUMIFS(HOMABAY!G:G,HOMABAY!A:A,"7/25/24")</f>
        <v>6000</v>
      </c>
      <c r="E57" s="11">
        <f t="shared" si="13"/>
        <v>3</v>
      </c>
      <c r="F57" s="12">
        <f t="shared" si="14"/>
        <v>0.05714285714</v>
      </c>
      <c r="G57" s="9">
        <f>COUNTIFS(HOMABAY!K:K,$G$18,HOMABAY!A:A,"7/25/24")</f>
        <v>1</v>
      </c>
      <c r="H57" s="11">
        <f>COUNTIFS(HOMABAY!K:K,$H$18,HOMABAY!A:A,"7/25/24")</f>
        <v>2</v>
      </c>
      <c r="I57" s="11">
        <f>COUNTIFS(HOMABAY!K:K,$I$18,HOMABAY!A:A,"7/25/24")</f>
        <v>1</v>
      </c>
      <c r="J57" s="2"/>
      <c r="L57" s="2"/>
      <c r="M57" s="2"/>
      <c r="N57" s="2"/>
      <c r="O57" s="2"/>
      <c r="P57" s="2"/>
      <c r="Q57" s="2"/>
      <c r="R57" s="2"/>
      <c r="S57" s="2"/>
      <c r="T57" s="2"/>
      <c r="U57" s="2"/>
      <c r="V57" s="2"/>
      <c r="W57" s="2"/>
      <c r="X57" s="2"/>
      <c r="Y57" s="2"/>
      <c r="Z57" s="2"/>
      <c r="AA57" s="2"/>
      <c r="AB57" s="2"/>
    </row>
    <row r="58">
      <c r="A58" s="7" t="s">
        <v>17</v>
      </c>
      <c r="B58" s="8">
        <f>SUMIFS(MOMBASA!F:F,MOMBASA!A:A,"7/25/24")</f>
        <v>2219034.3</v>
      </c>
      <c r="C58" s="11">
        <f>COUNTIFS(MOMBASA!A:A,"7/25/24")</f>
        <v>17</v>
      </c>
      <c r="D58" s="14">
        <f>SUMIFS(MOMBASA!G:G,MOMBASA!A:A,"7/25/24")</f>
        <v>254174</v>
      </c>
      <c r="E58" s="11">
        <f t="shared" si="13"/>
        <v>3</v>
      </c>
      <c r="F58" s="12">
        <f t="shared" si="14"/>
        <v>0.1145426188</v>
      </c>
      <c r="G58" s="9">
        <f>COUNTIFS(MOMBASA!I:I,$G$18,MOMBASA!A:A,"7/25/24")</f>
        <v>1</v>
      </c>
      <c r="H58" s="11">
        <f>COUNTIFS(MOMBASA!I:I,$H$18,MOMBASA!A:A,"7/25/24")</f>
        <v>2</v>
      </c>
      <c r="I58" s="11">
        <f>COUNTIFS(MOMBASA!I:I,$I$18,MOMBASA!A:A,"7/25/24")</f>
        <v>14</v>
      </c>
      <c r="J58" s="2"/>
      <c r="K58" s="2"/>
      <c r="L58" s="2"/>
      <c r="M58" s="2"/>
      <c r="N58" s="2"/>
      <c r="O58" s="2"/>
      <c r="P58" s="2"/>
      <c r="Q58" s="2"/>
      <c r="R58" s="2"/>
      <c r="S58" s="2"/>
      <c r="T58" s="2"/>
      <c r="U58" s="2"/>
      <c r="V58" s="2"/>
      <c r="W58" s="2"/>
      <c r="X58" s="2"/>
      <c r="Y58" s="2"/>
      <c r="Z58" s="2"/>
      <c r="AA58" s="2"/>
      <c r="AB58" s="2"/>
    </row>
    <row r="59">
      <c r="A59" s="7" t="s">
        <v>18</v>
      </c>
      <c r="B59" s="8">
        <f>SUMIFS(KISUMU!F:F,KISUMU!A:A,"7/25/24")</f>
        <v>1899697.73</v>
      </c>
      <c r="C59" s="11">
        <f>COUNTIFS(KISUMU!A:A,"7/25/24")</f>
        <v>20</v>
      </c>
      <c r="D59" s="10">
        <f>SUMIFS(KISUMU!G:G,KISUMU!A:A,"7/25/24")</f>
        <v>380860</v>
      </c>
      <c r="E59" s="11">
        <f t="shared" si="13"/>
        <v>9</v>
      </c>
      <c r="F59" s="12">
        <f t="shared" si="14"/>
        <v>0.2004845266</v>
      </c>
      <c r="G59" s="9">
        <f>COUNTIFS(KISUMU!I:I,$G$18,KISUMU!A:A,"7/25/24")</f>
        <v>3</v>
      </c>
      <c r="H59" s="11">
        <f>COUNTIFS(KISUMU!I:I,$H$18,KISUMU!A:A,"7/25/24")</f>
        <v>6</v>
      </c>
      <c r="I59" s="11">
        <f>COUNTIFS(KISUMU!I:I,$I$18,KISUMU!A:A,"7/25/24")</f>
        <v>11</v>
      </c>
      <c r="J59" s="2"/>
      <c r="K59" s="2"/>
      <c r="L59" s="2"/>
      <c r="M59" s="2"/>
      <c r="N59" s="2"/>
      <c r="O59" s="2"/>
      <c r="P59" s="2"/>
      <c r="Q59" s="2"/>
      <c r="R59" s="2"/>
      <c r="S59" s="2"/>
      <c r="T59" s="2"/>
      <c r="U59" s="2"/>
      <c r="V59" s="2"/>
      <c r="W59" s="2"/>
      <c r="X59" s="2"/>
      <c r="Y59" s="2"/>
      <c r="Z59" s="2"/>
      <c r="AA59" s="2"/>
      <c r="AB59" s="2"/>
    </row>
    <row r="60">
      <c r="A60" s="7" t="s">
        <v>19</v>
      </c>
      <c r="B60" s="8">
        <f>SUMIFS(VOI!F:F,VOI!A:A,"7/25/24")</f>
        <v>273480</v>
      </c>
      <c r="C60" s="11">
        <f>COUNTIFS(VOI!A:A,"7/25/24")</f>
        <v>10</v>
      </c>
      <c r="D60" s="10">
        <f>SUMIFS(VOI!G:G,VOI!A:A,"7/25/24")</f>
        <v>0</v>
      </c>
      <c r="E60" s="11">
        <f t="shared" si="13"/>
        <v>0</v>
      </c>
      <c r="F60" s="12">
        <f t="shared" si="14"/>
        <v>0</v>
      </c>
      <c r="G60" s="9">
        <f>COUNTIFS(VOI!H:H,$G$18,VOI!A:A,"7/25/24")</f>
        <v>0</v>
      </c>
      <c r="H60" s="11">
        <f>COUNTIFS(VOI!H:H,$H$18,VOI!A:A,"7/25/24")</f>
        <v>0</v>
      </c>
      <c r="I60" s="11">
        <f>COUNTIFS(VOI!H:H,$I$18,VOI!A:A,"7/25/24")</f>
        <v>10</v>
      </c>
      <c r="J60" s="2"/>
      <c r="K60" s="2"/>
      <c r="L60" s="2"/>
      <c r="M60" s="2"/>
      <c r="N60" s="2"/>
      <c r="O60" s="2"/>
      <c r="P60" s="2"/>
      <c r="Q60" s="2"/>
      <c r="R60" s="2"/>
      <c r="S60" s="2"/>
      <c r="T60" s="2"/>
      <c r="U60" s="2"/>
      <c r="V60" s="2"/>
      <c r="W60" s="2"/>
      <c r="X60" s="2"/>
      <c r="Y60" s="2"/>
      <c r="Z60" s="2"/>
      <c r="AA60" s="2"/>
      <c r="AB60" s="2"/>
    </row>
    <row r="61">
      <c r="A61" s="7" t="s">
        <v>20</v>
      </c>
      <c r="B61" s="8">
        <f>SUMIFS(THIKA!F:F,THIKA!A:A,"7/25/24")</f>
        <v>3582506</v>
      </c>
      <c r="C61" s="11">
        <f>COUNTIFS(THIKA!A:A,"7/25/24")</f>
        <v>17</v>
      </c>
      <c r="D61" s="10">
        <f>SUMIFS(THIKA!G:G,THIKA!A:A,"7/25/24")</f>
        <v>819841</v>
      </c>
      <c r="E61" s="11">
        <f t="shared" si="13"/>
        <v>9</v>
      </c>
      <c r="F61" s="12">
        <f t="shared" si="14"/>
        <v>0.228845674</v>
      </c>
      <c r="G61" s="9">
        <f>COUNTIFS(THIKA!I:I,$G$18,THIKA!A:A,"7/25/24")</f>
        <v>0</v>
      </c>
      <c r="H61" s="11">
        <f>COUNTIFS(THIKA!I:I,$H$18,THIKA!A:A,"7/25/24")</f>
        <v>9</v>
      </c>
      <c r="I61" s="11">
        <f>COUNTIFS(THIKA!I:I,$I$18,THIKA!A:A,"7/25/24")</f>
        <v>8</v>
      </c>
      <c r="J61" s="2"/>
      <c r="K61" s="2"/>
      <c r="L61" s="2"/>
      <c r="M61" s="2"/>
      <c r="N61" s="2"/>
      <c r="O61" s="2"/>
      <c r="P61" s="2"/>
      <c r="Q61" s="2"/>
      <c r="R61" s="2"/>
      <c r="S61" s="2"/>
      <c r="T61" s="2"/>
      <c r="U61" s="2"/>
      <c r="V61" s="2"/>
      <c r="W61" s="2"/>
      <c r="X61" s="2"/>
      <c r="Y61" s="2"/>
      <c r="Z61" s="2"/>
      <c r="AA61" s="2"/>
      <c r="AB61" s="2"/>
    </row>
    <row r="62">
      <c r="A62" s="7" t="s">
        <v>21</v>
      </c>
      <c r="B62" s="8">
        <f>SUMIFS(KITUI!F:F,KITUI!A:A,"7/25/24")</f>
        <v>123253</v>
      </c>
      <c r="C62" s="11">
        <f>COUNTIFS(KITUI!A:A,"7/25/24")</f>
        <v>2</v>
      </c>
      <c r="D62" s="10">
        <f>SUMIFS(KITUI!G:G,KITUI!A:A,"7/25/24")</f>
        <v>0</v>
      </c>
      <c r="E62" s="11">
        <f t="shared" si="13"/>
        <v>0</v>
      </c>
      <c r="F62" s="12">
        <f t="shared" si="14"/>
        <v>0</v>
      </c>
      <c r="G62" s="9">
        <f>COUNTIFS(KITUI!I:I,$G$18,KITUI!A:A,"7/25/24")</f>
        <v>0</v>
      </c>
      <c r="H62" s="11">
        <f>COUNTIFS(KITUI!I:I,$H$18,KITUI!A:A,"7/25/24")</f>
        <v>0</v>
      </c>
      <c r="I62" s="11">
        <f>COUNTIFS(KITUI!I:I,$I$18,KITUI!A:A,"7/25/24")</f>
        <v>2</v>
      </c>
      <c r="J62" s="2"/>
      <c r="K62" s="2"/>
      <c r="L62" s="2"/>
      <c r="M62" s="2"/>
      <c r="N62" s="2"/>
      <c r="O62" s="2"/>
      <c r="P62" s="2"/>
      <c r="Q62" s="2"/>
      <c r="R62" s="2"/>
      <c r="S62" s="2"/>
      <c r="T62" s="2"/>
      <c r="U62" s="2"/>
      <c r="V62" s="2"/>
      <c r="W62" s="2"/>
      <c r="X62" s="2"/>
      <c r="Y62" s="2"/>
      <c r="Z62" s="2"/>
      <c r="AA62" s="2"/>
      <c r="AB62" s="2"/>
    </row>
    <row r="63">
      <c r="A63" s="15" t="s">
        <v>22</v>
      </c>
      <c r="B63" s="8">
        <f>SUMIFS(MACHAKOS!F:F,MACHAKOS!A:A,"7/25/24")</f>
        <v>146910.39</v>
      </c>
      <c r="C63" s="11">
        <f>COUNTIFS(MACHAKOS!A:A,"7/25/24")</f>
        <v>2</v>
      </c>
      <c r="D63" s="10">
        <f>SUMIFS(MACHAKOS!G:G,MACHAKOS!A:A,"7/25/24")</f>
        <v>0</v>
      </c>
      <c r="E63" s="11">
        <f t="shared" si="13"/>
        <v>0</v>
      </c>
      <c r="F63" s="12">
        <f t="shared" si="14"/>
        <v>0</v>
      </c>
      <c r="G63" s="9">
        <f>COUNTIFS(MACHAKOS!I:I,$G$18,MACHAKOS!A:A,"7/25/24")</f>
        <v>0</v>
      </c>
      <c r="H63" s="11">
        <f>COUNTIFS(MACHAKOS!I:I,$H$18,MACHAKOS!A:A,"7/25/24")</f>
        <v>0</v>
      </c>
      <c r="I63" s="11">
        <f>COUNTIFS(MACHAKOS!I:I,$I$18,MACHAKOS!A:A,"7/25/24")</f>
        <v>2</v>
      </c>
      <c r="J63" s="2"/>
      <c r="K63" s="2"/>
      <c r="L63" s="2"/>
      <c r="M63" s="2"/>
      <c r="N63" s="2"/>
      <c r="O63" s="2"/>
      <c r="P63" s="2"/>
      <c r="Q63" s="2"/>
      <c r="R63" s="2"/>
      <c r="S63" s="2"/>
      <c r="T63" s="2"/>
      <c r="U63" s="2"/>
      <c r="V63" s="2"/>
      <c r="W63" s="2"/>
      <c r="X63" s="2"/>
      <c r="Y63" s="2"/>
      <c r="Z63" s="2"/>
      <c r="AA63" s="2"/>
      <c r="AB63" s="2"/>
    </row>
    <row r="64">
      <c r="A64" s="16" t="s">
        <v>23</v>
      </c>
      <c r="B64" s="17">
        <f t="shared" ref="B64:E64" si="15">SUM(B51:B63)</f>
        <v>42025852.7</v>
      </c>
      <c r="C64" s="18">
        <f t="shared" si="15"/>
        <v>214</v>
      </c>
      <c r="D64" s="19">
        <f t="shared" si="15"/>
        <v>7638956</v>
      </c>
      <c r="E64" s="18">
        <f t="shared" si="15"/>
        <v>57</v>
      </c>
      <c r="F64" s="20">
        <f>D64/B64</f>
        <v>0.1817680192</v>
      </c>
      <c r="G64" s="21">
        <f t="shared" ref="G64:I64" si="16">SUM(G51:G63)</f>
        <v>22</v>
      </c>
      <c r="H64" s="21">
        <f t="shared" si="16"/>
        <v>35</v>
      </c>
      <c r="I64" s="21">
        <f t="shared" si="16"/>
        <v>157</v>
      </c>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3" t="s">
        <v>1</v>
      </c>
      <c r="B66" s="4" t="s">
        <v>2</v>
      </c>
      <c r="C66" s="4" t="s">
        <v>3</v>
      </c>
      <c r="D66" s="4" t="s">
        <v>4</v>
      </c>
      <c r="E66" s="5" t="s">
        <v>5</v>
      </c>
      <c r="F66" s="6" t="s">
        <v>6</v>
      </c>
      <c r="G66" s="6" t="s">
        <v>7</v>
      </c>
      <c r="H66" s="6" t="s">
        <v>8</v>
      </c>
      <c r="I66" s="6" t="s">
        <v>9</v>
      </c>
      <c r="J66" s="2"/>
      <c r="K66" s="2"/>
      <c r="L66" s="2"/>
      <c r="M66" s="2"/>
      <c r="N66" s="2"/>
      <c r="O66" s="2"/>
      <c r="P66" s="2"/>
      <c r="Q66" s="2"/>
      <c r="R66" s="2"/>
      <c r="S66" s="2"/>
      <c r="T66" s="2"/>
      <c r="U66" s="2"/>
      <c r="V66" s="2"/>
      <c r="W66" s="2"/>
      <c r="X66" s="2"/>
      <c r="Y66" s="2"/>
      <c r="Z66" s="2"/>
      <c r="AA66" s="2"/>
      <c r="AB66" s="2"/>
    </row>
    <row r="67">
      <c r="A67" s="7" t="s">
        <v>10</v>
      </c>
      <c r="B67" s="8">
        <f>SUMIFS(ECOBANK!F:F,ECOBANK!A:A,"7/26/24")</f>
        <v>8502572</v>
      </c>
      <c r="C67" s="9">
        <f>COUNTIFS(ECOBANK!A:A,"7/26/24")</f>
        <v>12</v>
      </c>
      <c r="D67" s="10">
        <f>SUMIFS(ECOBANK!G:G,ECOBANK!A:A,"7/26/24")</f>
        <v>919640</v>
      </c>
      <c r="E67" s="11">
        <f t="shared" ref="E67:E79" si="17">G67+H67</f>
        <v>3</v>
      </c>
      <c r="F67" s="12">
        <f t="shared" ref="F67:F79" si="18">iferror(D67/B67,0)</f>
        <v>0.1081602132</v>
      </c>
      <c r="G67" s="9">
        <f>COUNTIFS(ECOBANK!I:I,$G$18,ECOBANK!A:A,"7/26/24")</f>
        <v>3</v>
      </c>
      <c r="H67" s="11">
        <f>COUNTIFS(ECOBANK!I:I,$H$18,ECOBANK!A:A,"7/26/24")</f>
        <v>0</v>
      </c>
      <c r="I67" s="11">
        <f>COUNTIFS(ECOBANK!I:I,$I$18,ECOBANK!A:A,"7/26/24")</f>
        <v>9</v>
      </c>
      <c r="J67" s="2"/>
      <c r="K67" s="2"/>
      <c r="L67" s="2"/>
      <c r="M67" s="2"/>
      <c r="N67" s="2"/>
      <c r="O67" s="2"/>
      <c r="P67" s="2"/>
      <c r="Q67" s="2"/>
      <c r="R67" s="2"/>
      <c r="S67" s="2"/>
      <c r="T67" s="2"/>
      <c r="U67" s="2"/>
      <c r="V67" s="2"/>
      <c r="W67" s="2"/>
      <c r="X67" s="2"/>
      <c r="Y67" s="2"/>
      <c r="Z67" s="2"/>
      <c r="AA67" s="2"/>
      <c r="AB67" s="2"/>
    </row>
    <row r="68">
      <c r="A68" s="7" t="s">
        <v>24</v>
      </c>
      <c r="B68" s="8">
        <f>SUMIFS('TRADE CENTER'!F:F,'TRADE CENTER'!A:A,"7/26/24")</f>
        <v>10367331.07</v>
      </c>
      <c r="C68" s="11">
        <f>COUNTIFS('TRADE CENTER'!A:A,"7/26/24")</f>
        <v>39</v>
      </c>
      <c r="D68" s="10">
        <f>SUMIFS('TRADE CENTER'!G:G,'TRADE CENTER'!A:A,"7/26/24")</f>
        <v>1554264</v>
      </c>
      <c r="E68" s="11">
        <f t="shared" si="17"/>
        <v>14</v>
      </c>
      <c r="F68" s="12">
        <f t="shared" si="18"/>
        <v>0.1499193948</v>
      </c>
      <c r="G68" s="11">
        <f>COUNTIFS('TRADE CENTER'!I:I,$G$18,'TRADE CENTER'!A:A,"7/26/24")</f>
        <v>7</v>
      </c>
      <c r="H68" s="11">
        <f>COUNTIFS('TRADE CENTER'!I:I,$H$18,'TRADE CENTER'!A:A,"7/26/24")</f>
        <v>7</v>
      </c>
      <c r="I68" s="11">
        <f>COUNTIFS('TRADE CENTER'!I:I,$I$18,'TRADE CENTER'!A:A,"7/26/24")</f>
        <v>25</v>
      </c>
      <c r="J68" s="2"/>
      <c r="K68" s="2"/>
      <c r="L68" s="2"/>
      <c r="M68" s="2"/>
      <c r="N68" s="2"/>
      <c r="O68" s="2"/>
      <c r="P68" s="2"/>
      <c r="Q68" s="2"/>
      <c r="R68" s="2"/>
      <c r="S68" s="2"/>
      <c r="T68" s="2"/>
      <c r="U68" s="2"/>
      <c r="V68" s="2"/>
      <c r="W68" s="2"/>
      <c r="X68" s="2"/>
      <c r="Y68" s="2"/>
      <c r="Z68" s="2"/>
      <c r="AA68" s="2"/>
      <c r="AB68" s="2"/>
    </row>
    <row r="69">
      <c r="A69" s="7" t="s">
        <v>12</v>
      </c>
      <c r="B69" s="8">
        <f>SUMIFS(PENSION!F:F,PENSION!A:A,"7/26/2024")</f>
        <v>3605000.19</v>
      </c>
      <c r="C69" s="11">
        <f>COUNTIFS(PENSION!A:A,"7/26/24")</f>
        <v>26</v>
      </c>
      <c r="D69" s="10">
        <f>SUMIFS(PENSION!G:G,PENSION!A:A,"7/26/2024")</f>
        <v>669978</v>
      </c>
      <c r="E69" s="11">
        <f t="shared" si="17"/>
        <v>10</v>
      </c>
      <c r="F69" s="12">
        <f t="shared" si="18"/>
        <v>0.1858468695</v>
      </c>
      <c r="G69" s="9">
        <f>COUNTIFS(PENSION!I:I,$G$18,PENSION!A:A,"7/26/24")</f>
        <v>2</v>
      </c>
      <c r="H69" s="11">
        <f>COUNTIFS(PENSION!I:I,$H$18,PENSION!A:A,"7/26/24")</f>
        <v>8</v>
      </c>
      <c r="I69" s="11">
        <f>COUNTIFS(PENSION!I:I,$I$18,PENSION!A:A,"7/26/24")</f>
        <v>16</v>
      </c>
      <c r="J69" s="2"/>
      <c r="K69" s="2"/>
      <c r="L69" s="2"/>
      <c r="M69" s="2"/>
      <c r="N69" s="2"/>
      <c r="O69" s="2"/>
      <c r="P69" s="2"/>
      <c r="Q69" s="2"/>
      <c r="R69" s="2"/>
      <c r="S69" s="2"/>
      <c r="T69" s="2"/>
      <c r="U69" s="2"/>
      <c r="V69" s="2"/>
      <c r="W69" s="2"/>
      <c r="X69" s="2"/>
      <c r="Y69" s="2"/>
      <c r="Z69" s="2"/>
      <c r="AA69" s="2"/>
      <c r="AB69" s="2"/>
    </row>
    <row r="70">
      <c r="A70" s="7" t="s">
        <v>13</v>
      </c>
      <c r="B70" s="8">
        <f>SUMIFS(KITENGELA!F:F,KITENGELA!A:A,"7/26/24")</f>
        <v>4357080.53</v>
      </c>
      <c r="C70" s="11">
        <f>COUNTIFS(KITENGELA!A:A,"7/26/24")</f>
        <v>29</v>
      </c>
      <c r="D70" s="10">
        <f>SUMIFS(KITENGELA!G:G,KITENGELA!A:A,"7/26/24")</f>
        <v>2470025</v>
      </c>
      <c r="E70" s="11">
        <f t="shared" si="17"/>
        <v>17</v>
      </c>
      <c r="F70" s="12">
        <f t="shared" si="18"/>
        <v>0.5668990929</v>
      </c>
      <c r="G70" s="11">
        <f>COUNTIFS(KITENGELA!I:I,$G$18,KITENGELA!A:A,"7/26/24")</f>
        <v>6</v>
      </c>
      <c r="H70" s="11">
        <f>COUNTIFS(KITENGELA!I:I,$H$18,KITENGELA!A:A,"7/26/24")</f>
        <v>11</v>
      </c>
      <c r="I70" s="11">
        <f>COUNTIFS(KITENGELA!I:I,$I$18,KITENGELA!A:A,"7/26/24")</f>
        <v>12</v>
      </c>
      <c r="J70" s="2"/>
      <c r="K70" s="2"/>
      <c r="L70" s="2"/>
      <c r="M70" s="2"/>
      <c r="N70" s="2"/>
      <c r="O70" s="2"/>
      <c r="P70" s="2"/>
      <c r="Q70" s="2"/>
      <c r="R70" s="2"/>
      <c r="S70" s="2"/>
      <c r="T70" s="2"/>
      <c r="U70" s="2"/>
      <c r="V70" s="2"/>
      <c r="W70" s="2"/>
      <c r="X70" s="2"/>
      <c r="Y70" s="2"/>
      <c r="Z70" s="2"/>
      <c r="AA70" s="2"/>
      <c r="AB70" s="2"/>
    </row>
    <row r="71">
      <c r="A71" s="7" t="s">
        <v>14</v>
      </c>
      <c r="B71" s="8">
        <f>SUMIFS(ELDORET!F:F,ELDORET!A:A,"7/26/24")</f>
        <v>543082.13</v>
      </c>
      <c r="C71" s="11">
        <f>COUNTIFS(ELDORET!A:A,"7/26/24")</f>
        <v>11</v>
      </c>
      <c r="D71" s="10">
        <f>SUMIFS(ELDORET!G:G,ELDORET!A:A,"7/26/24")</f>
        <v>330260</v>
      </c>
      <c r="E71" s="11">
        <f t="shared" si="17"/>
        <v>4</v>
      </c>
      <c r="F71" s="12">
        <f t="shared" si="18"/>
        <v>0.6081216482</v>
      </c>
      <c r="G71" s="11">
        <f>COUNTIFS(ELDORET!I:I,$G$18,ELDORET!A:A,"7/26/24")</f>
        <v>1</v>
      </c>
      <c r="H71" s="11">
        <f>COUNTIFS(ELDORET!I:I,$H$18,ELDORET!A:A,"7/26/24")</f>
        <v>3</v>
      </c>
      <c r="I71" s="11">
        <f>COUNTIFS(ELDORET!I:I,$I$18,ELDORET!A:A,"7/26/24")</f>
        <v>7</v>
      </c>
      <c r="J71" s="2"/>
      <c r="K71" s="2"/>
      <c r="L71" s="2"/>
      <c r="M71" s="2"/>
      <c r="N71" s="2"/>
      <c r="O71" s="2"/>
      <c r="P71" s="2"/>
      <c r="Q71" s="2"/>
      <c r="R71" s="2"/>
      <c r="S71" s="2"/>
      <c r="T71" s="2"/>
      <c r="U71" s="2"/>
      <c r="V71" s="2"/>
      <c r="W71" s="2"/>
      <c r="X71" s="2"/>
      <c r="Y71" s="2"/>
      <c r="Z71" s="2"/>
      <c r="AA71" s="2"/>
      <c r="AB71" s="2"/>
    </row>
    <row r="72">
      <c r="A72" s="7" t="s">
        <v>15</v>
      </c>
      <c r="B72" s="8">
        <f>SUMIFS(NAKURU!F:F,NAKURU!A:A,"7/26/24")</f>
        <v>2938500</v>
      </c>
      <c r="C72" s="11">
        <f>COUNTIFS(NAKURU!A:A,"7/26/24")</f>
        <v>4</v>
      </c>
      <c r="D72" s="10">
        <f>SUMIFS(NAKURU!G:G,NAKURU!A:A,"7/26/24")</f>
        <v>2657500</v>
      </c>
      <c r="E72" s="11">
        <f t="shared" si="17"/>
        <v>2</v>
      </c>
      <c r="F72" s="12">
        <f t="shared" si="18"/>
        <v>0.9043729794</v>
      </c>
      <c r="G72" s="9">
        <f>COUNTIFS(NAKURU!I:I,$G$18,NAKURU!A:A,"7/26/24")</f>
        <v>1</v>
      </c>
      <c r="H72" s="11">
        <f>COUNTIFS(NAKURU!I:I,$H$18,NAKURU!A:A,"7/26/24")</f>
        <v>1</v>
      </c>
      <c r="I72" s="11">
        <f>COUNTIFS(NAKURU!I:I,$I$18,NAKURU!A:A,"7/26/24")</f>
        <v>2</v>
      </c>
      <c r="J72" s="2"/>
      <c r="K72" s="2"/>
      <c r="L72" s="2"/>
      <c r="M72" s="2"/>
      <c r="N72" s="2"/>
      <c r="O72" s="2"/>
      <c r="P72" s="2"/>
      <c r="Q72" s="2"/>
      <c r="R72" s="2"/>
      <c r="S72" s="2"/>
      <c r="T72" s="2"/>
      <c r="U72" s="2"/>
      <c r="V72" s="2"/>
      <c r="W72" s="2"/>
      <c r="X72" s="2"/>
      <c r="Y72" s="2"/>
      <c r="Z72" s="2"/>
      <c r="AA72" s="2"/>
      <c r="AB72" s="2"/>
    </row>
    <row r="73">
      <c r="A73" s="7" t="s">
        <v>16</v>
      </c>
      <c r="B73" s="8">
        <f>SUMIFS(HOMABAY!F:F,HOMABAY!A:A,"7/26/24")</f>
        <v>91000</v>
      </c>
      <c r="C73" s="11">
        <f>COUNTIFS(HOMABAY!A:A,"7/26/24")</f>
        <v>5</v>
      </c>
      <c r="D73" s="10">
        <f>SUMIFS(HOMABAY!G:G,HOMABAY!A:A,"7/26/24")</f>
        <v>28000</v>
      </c>
      <c r="E73" s="11">
        <f t="shared" si="17"/>
        <v>4</v>
      </c>
      <c r="F73" s="12">
        <f t="shared" si="18"/>
        <v>0.3076923077</v>
      </c>
      <c r="G73" s="9">
        <f>COUNTIFS(HOMABAY!K:K,$G$18,HOMABAY!A:A,"7/26/24")</f>
        <v>4</v>
      </c>
      <c r="H73" s="11">
        <f>COUNTIFS(HOMABAY!K:K,$H$18,HOMABAY!A:A,"7/26/24")</f>
        <v>0</v>
      </c>
      <c r="I73" s="11">
        <f>COUNTIFS(HOMABAY!K:K,$I$18,HOMABAY!A:A,"7/26/24")</f>
        <v>1</v>
      </c>
      <c r="J73" s="2"/>
      <c r="K73" s="2"/>
      <c r="L73" s="2"/>
      <c r="M73" s="2"/>
      <c r="N73" s="2"/>
      <c r="O73" s="2"/>
      <c r="P73" s="2"/>
      <c r="Q73" s="2"/>
      <c r="R73" s="2"/>
      <c r="S73" s="2"/>
      <c r="T73" s="2"/>
      <c r="U73" s="2"/>
      <c r="V73" s="2"/>
      <c r="W73" s="2"/>
      <c r="X73" s="2"/>
      <c r="Y73" s="2"/>
      <c r="Z73" s="2"/>
      <c r="AA73" s="2"/>
      <c r="AB73" s="2"/>
    </row>
    <row r="74">
      <c r="A74" s="7" t="s">
        <v>17</v>
      </c>
      <c r="B74" s="8">
        <f>SUMIFS(MOMBASA!F:F,MOMBASA!A:A,"7/26/24")</f>
        <v>2145437.65</v>
      </c>
      <c r="C74" s="11">
        <f>COUNTIFS(MOMBASA!A:A,"7/26/24")</f>
        <v>19</v>
      </c>
      <c r="D74" s="14">
        <f>SUMIFS(MOMBASA!G:G,MOMBASA!A:A,"7/26/24")</f>
        <v>251284</v>
      </c>
      <c r="E74" s="11">
        <f t="shared" si="17"/>
        <v>4</v>
      </c>
      <c r="F74" s="12">
        <f t="shared" si="18"/>
        <v>0.1171248207</v>
      </c>
      <c r="G74" s="9">
        <f>COUNTIFS(MOMBASA!I:I,$G$18,MOMBASA!A:A,"7/26/24")</f>
        <v>2</v>
      </c>
      <c r="H74" s="11">
        <f>COUNTIFS(MOMBASA!I:I,$H$18,MOMBASA!A:A,"7/26/24")</f>
        <v>2</v>
      </c>
      <c r="I74" s="11">
        <f>COUNTIFS(MOMBASA!I:I,$I$18,MOMBASA!A:A,"7/26/24")</f>
        <v>15</v>
      </c>
      <c r="J74" s="2"/>
      <c r="K74" s="2"/>
      <c r="L74" s="2"/>
      <c r="M74" s="2"/>
      <c r="N74" s="2"/>
      <c r="O74" s="2"/>
      <c r="P74" s="2"/>
      <c r="Q74" s="2"/>
      <c r="R74" s="2"/>
      <c r="S74" s="2"/>
      <c r="T74" s="2"/>
      <c r="U74" s="2"/>
      <c r="V74" s="2"/>
      <c r="W74" s="2"/>
      <c r="X74" s="2"/>
      <c r="Y74" s="2"/>
      <c r="Z74" s="2"/>
      <c r="AA74" s="2"/>
      <c r="AB74" s="2"/>
    </row>
    <row r="75">
      <c r="A75" s="7" t="s">
        <v>18</v>
      </c>
      <c r="B75" s="8">
        <f>SUMIFS(KISUMU!F:F,KISUMU!A:A,"7/26/24")</f>
        <v>873904.53</v>
      </c>
      <c r="C75" s="11">
        <f>COUNTIFS(KISUMU!A:A,"7/26/24")</f>
        <v>16</v>
      </c>
      <c r="D75" s="10">
        <f>SUMIFS(KISUMU!G:G,KISUMU!A:A,"7/26/24")</f>
        <v>16500</v>
      </c>
      <c r="E75" s="11">
        <f t="shared" si="17"/>
        <v>2</v>
      </c>
      <c r="F75" s="12">
        <f t="shared" si="18"/>
        <v>0.01888078095</v>
      </c>
      <c r="G75" s="9">
        <f>COUNTIFS(KISUMU!I:I,$G$18,KISUMU!A:A,"7/26/24")</f>
        <v>0</v>
      </c>
      <c r="H75" s="11">
        <f>COUNTIFS(KISUMU!I:I,$H$18,KISUMU!A:A,"7/26/24")</f>
        <v>2</v>
      </c>
      <c r="I75" s="11">
        <f>COUNTIFS(KISUMU!I:I,$I$18,KISUMU!A:A,"7/26/24")</f>
        <v>14</v>
      </c>
      <c r="J75" s="2"/>
      <c r="K75" s="2"/>
      <c r="L75" s="2"/>
      <c r="M75" s="2"/>
      <c r="N75" s="2"/>
      <c r="O75" s="2"/>
      <c r="P75" s="2"/>
      <c r="Q75" s="2"/>
      <c r="R75" s="2"/>
      <c r="S75" s="2"/>
      <c r="T75" s="2"/>
      <c r="U75" s="2"/>
      <c r="V75" s="2"/>
      <c r="W75" s="2"/>
      <c r="X75" s="2"/>
      <c r="Y75" s="2"/>
      <c r="Z75" s="2"/>
      <c r="AA75" s="2"/>
      <c r="AB75" s="2"/>
    </row>
    <row r="76">
      <c r="A76" s="7" t="s">
        <v>19</v>
      </c>
      <c r="B76" s="8">
        <f>SUMIFS(VOI!F:F,VOI!A:A,"7/26/24")</f>
        <v>271051</v>
      </c>
      <c r="C76" s="11">
        <f>COUNTIFS(VOI!A:A,"7/26/24")</f>
        <v>11</v>
      </c>
      <c r="D76" s="10">
        <f>SUMIFS(VOI!G:G,VOI!A:A,"7/26/24")</f>
        <v>0</v>
      </c>
      <c r="E76" s="11">
        <f t="shared" si="17"/>
        <v>0</v>
      </c>
      <c r="F76" s="12">
        <f t="shared" si="18"/>
        <v>0</v>
      </c>
      <c r="G76" s="9">
        <f>COUNTIFS(VOI!H:H,$G$18,VOI!A:A,"7/26/24")</f>
        <v>0</v>
      </c>
      <c r="H76" s="11">
        <f>COUNTIFS(VOI!H:H,$H$18,VOI!A:A,"7/26/24")</f>
        <v>0</v>
      </c>
      <c r="I76" s="11">
        <f>COUNTIFS(VOI!H:H,$I$18,VOI!A:A,"7/26/24")</f>
        <v>11</v>
      </c>
      <c r="J76" s="2"/>
      <c r="K76" s="2"/>
      <c r="L76" s="2"/>
      <c r="M76" s="2"/>
      <c r="N76" s="2"/>
      <c r="O76" s="2"/>
      <c r="P76" s="2"/>
      <c r="Q76" s="2"/>
      <c r="R76" s="2"/>
      <c r="S76" s="2"/>
      <c r="T76" s="2"/>
      <c r="U76" s="2"/>
      <c r="V76" s="2"/>
      <c r="W76" s="2"/>
      <c r="X76" s="2"/>
      <c r="Y76" s="2"/>
      <c r="Z76" s="2"/>
      <c r="AA76" s="2"/>
      <c r="AB76" s="2"/>
    </row>
    <row r="77">
      <c r="A77" s="7" t="s">
        <v>20</v>
      </c>
      <c r="B77" s="8">
        <f>SUMIFS(THIKA!F:F,THIKA!A:A,"7/26/24")</f>
        <v>3033871</v>
      </c>
      <c r="C77" s="11">
        <f>COUNTIFS(THIKA!A:A,"7/26/24")</f>
        <v>15</v>
      </c>
      <c r="D77" s="10">
        <f>SUMIFS(THIKA!G:G,THIKA!A:A,"7/26/24")</f>
        <v>2082865</v>
      </c>
      <c r="E77" s="11">
        <f t="shared" si="17"/>
        <v>2</v>
      </c>
      <c r="F77" s="12">
        <f t="shared" si="18"/>
        <v>0.6865371006</v>
      </c>
      <c r="G77" s="9">
        <f>COUNTIFS(THIKA!I:I,$G$18,THIKA!A:A,"7/26/24")</f>
        <v>0</v>
      </c>
      <c r="H77" s="11">
        <f>COUNTIFS(THIKA!I:I,$H$18,THIKA!A:A,"7/26/24")</f>
        <v>2</v>
      </c>
      <c r="I77" s="11">
        <f>COUNTIFS(THIKA!I:I,$I$18,THIKA!A:A,"7/26/24")</f>
        <v>13</v>
      </c>
      <c r="J77" s="2"/>
      <c r="K77" s="2"/>
      <c r="L77" s="2"/>
      <c r="M77" s="2"/>
      <c r="N77" s="2"/>
      <c r="O77" s="2"/>
      <c r="P77" s="2"/>
      <c r="Q77" s="2"/>
      <c r="R77" s="2"/>
      <c r="S77" s="2"/>
      <c r="T77" s="2"/>
      <c r="U77" s="2"/>
      <c r="V77" s="2"/>
      <c r="W77" s="2"/>
      <c r="X77" s="2"/>
      <c r="Y77" s="2"/>
      <c r="Z77" s="2"/>
      <c r="AA77" s="2"/>
      <c r="AB77" s="2"/>
    </row>
    <row r="78">
      <c r="A78" s="7" t="s">
        <v>21</v>
      </c>
      <c r="B78" s="8">
        <f>SUMIFS(KITUI!F:F,KITUI!A:A,"7/26/24")</f>
        <v>123253</v>
      </c>
      <c r="C78" s="11">
        <f>COUNTIFS(KITUI!A:A,"7/26/24")</f>
        <v>2</v>
      </c>
      <c r="D78" s="10">
        <f>SUMIFS(KITUI!G:G,KITUI!A:A,"7/26/24")</f>
        <v>0</v>
      </c>
      <c r="E78" s="11">
        <f t="shared" si="17"/>
        <v>0</v>
      </c>
      <c r="F78" s="12">
        <f t="shared" si="18"/>
        <v>0</v>
      </c>
      <c r="G78" s="9">
        <f>COUNTIFS(KITUI!I:I,$G$18,KITUI!A:A,"7/26/24")</f>
        <v>0</v>
      </c>
      <c r="H78" s="11">
        <f>COUNTIFS(KITUI!I:I,$H$18,KITUI!A:A,"7/26/24")</f>
        <v>0</v>
      </c>
      <c r="I78" s="11">
        <f>COUNTIFS(KITUI!I:I,$I$18,KITUI!A:A,"7/26/24")</f>
        <v>2</v>
      </c>
      <c r="J78" s="2"/>
      <c r="K78" s="2"/>
      <c r="L78" s="2"/>
      <c r="M78" s="2"/>
      <c r="N78" s="2"/>
      <c r="O78" s="2"/>
      <c r="P78" s="2"/>
      <c r="Q78" s="2"/>
      <c r="R78" s="2"/>
      <c r="S78" s="2"/>
      <c r="T78" s="2"/>
      <c r="U78" s="2"/>
      <c r="V78" s="2"/>
      <c r="W78" s="2"/>
      <c r="X78" s="2"/>
      <c r="Y78" s="2"/>
      <c r="Z78" s="2"/>
      <c r="AA78" s="2"/>
      <c r="AB78" s="2"/>
    </row>
    <row r="79">
      <c r="A79" s="15" t="s">
        <v>22</v>
      </c>
      <c r="B79" s="8">
        <f>SUMIFS(MACHAKOS!F:F,MACHAKOS!A:A,"7/26/24")</f>
        <v>146910.39</v>
      </c>
      <c r="C79" s="11">
        <f>COUNTIFS(MACHAKOS!A:A,"7/26/24")</f>
        <v>2</v>
      </c>
      <c r="D79" s="10">
        <f>SUMIFS(MACHAKOS!G:G,MACHAKOS!A:A,"7/26/24")</f>
        <v>0</v>
      </c>
      <c r="E79" s="11">
        <f t="shared" si="17"/>
        <v>0</v>
      </c>
      <c r="F79" s="12">
        <f t="shared" si="18"/>
        <v>0</v>
      </c>
      <c r="G79" s="9">
        <f>COUNTIFS(MACHAKOS!I:I,$G$18,MACHAKOS!A:A,"7/26/24")</f>
        <v>0</v>
      </c>
      <c r="H79" s="11">
        <f>COUNTIFS(MACHAKOS!I:I,$H$18,MACHAKOS!A:A,"7/26/24")</f>
        <v>0</v>
      </c>
      <c r="I79" s="11">
        <f>COUNTIFS(MACHAKOS!I:I,$I$18,MACHAKOS!A:A,"7/26/24")</f>
        <v>2</v>
      </c>
      <c r="J79" s="2"/>
      <c r="K79" s="2"/>
      <c r="L79" s="2"/>
      <c r="M79" s="2"/>
      <c r="N79" s="2"/>
      <c r="O79" s="2"/>
      <c r="P79" s="2"/>
      <c r="Q79" s="2"/>
      <c r="R79" s="2"/>
      <c r="S79" s="2"/>
      <c r="T79" s="2"/>
      <c r="U79" s="2"/>
      <c r="V79" s="2"/>
      <c r="W79" s="2"/>
      <c r="X79" s="2"/>
      <c r="Y79" s="2"/>
      <c r="Z79" s="2"/>
      <c r="AA79" s="2"/>
      <c r="AB79" s="2"/>
    </row>
    <row r="80">
      <c r="A80" s="16" t="s">
        <v>23</v>
      </c>
      <c r="B80" s="17">
        <f t="shared" ref="B80:E80" si="19">SUM(B67:B79)</f>
        <v>36998993.49</v>
      </c>
      <c r="C80" s="18">
        <f t="shared" si="19"/>
        <v>191</v>
      </c>
      <c r="D80" s="19">
        <f t="shared" si="19"/>
        <v>10980316</v>
      </c>
      <c r="E80" s="18">
        <f t="shared" si="19"/>
        <v>62</v>
      </c>
      <c r="F80" s="20">
        <f>D80/B80</f>
        <v>0.2967733704</v>
      </c>
      <c r="G80" s="21">
        <f t="shared" ref="G80:I80" si="20">SUM(G67:G79)</f>
        <v>26</v>
      </c>
      <c r="H80" s="21">
        <f t="shared" si="20"/>
        <v>36</v>
      </c>
      <c r="I80" s="21">
        <f t="shared" si="20"/>
        <v>129</v>
      </c>
      <c r="J80" s="2"/>
      <c r="K80" s="2"/>
      <c r="L80" s="2"/>
      <c r="M80" s="2"/>
      <c r="N80" s="2"/>
      <c r="O80" s="2"/>
      <c r="P80" s="2"/>
      <c r="Q80" s="2"/>
      <c r="R80" s="2"/>
      <c r="S80" s="2"/>
      <c r="T80" s="2"/>
      <c r="U80" s="2"/>
      <c r="V80" s="2"/>
      <c r="W80" s="2"/>
      <c r="X80" s="2"/>
      <c r="Y80" s="2"/>
      <c r="Z80" s="2"/>
      <c r="AA80" s="2"/>
      <c r="AB80" s="2"/>
    </row>
    <row r="81">
      <c r="A81" s="22" t="s">
        <v>25</v>
      </c>
      <c r="B81" s="23">
        <v>3200000.0</v>
      </c>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2" t="s">
        <v>26</v>
      </c>
      <c r="B82" s="24">
        <f>B80+B81</f>
        <v>40198993.49</v>
      </c>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3" t="s">
        <v>1</v>
      </c>
      <c r="B84" s="4" t="s">
        <v>2</v>
      </c>
      <c r="C84" s="4" t="s">
        <v>3</v>
      </c>
      <c r="D84" s="4" t="s">
        <v>4</v>
      </c>
      <c r="E84" s="5" t="s">
        <v>5</v>
      </c>
      <c r="F84" s="6" t="s">
        <v>6</v>
      </c>
      <c r="G84" s="6" t="s">
        <v>7</v>
      </c>
      <c r="H84" s="6" t="s">
        <v>8</v>
      </c>
      <c r="I84" s="6" t="s">
        <v>9</v>
      </c>
      <c r="J84" s="2"/>
      <c r="K84" s="2"/>
      <c r="L84" s="2"/>
      <c r="M84" s="2"/>
      <c r="N84" s="2"/>
      <c r="O84" s="2"/>
      <c r="P84" s="2"/>
      <c r="Q84" s="2"/>
      <c r="R84" s="2"/>
      <c r="S84" s="2"/>
      <c r="T84" s="2"/>
      <c r="U84" s="2"/>
      <c r="V84" s="2"/>
      <c r="W84" s="2"/>
      <c r="X84" s="2"/>
      <c r="Y84" s="2"/>
      <c r="Z84" s="2"/>
      <c r="AA84" s="2"/>
      <c r="AB84" s="2"/>
    </row>
    <row r="85">
      <c r="A85" s="7" t="s">
        <v>10</v>
      </c>
      <c r="B85" s="8">
        <f>SUMIFS(ECOBANK!F:F,ECOBANK!A:A,"7/27/24")</f>
        <v>7288246</v>
      </c>
      <c r="C85" s="9">
        <f>COUNTIFS(ECOBANK!A:A,"7/27/24")</f>
        <v>12</v>
      </c>
      <c r="D85" s="10">
        <f>SUMIFS(ECOBANK!G:G,ECOBANK!A:A,"7/27/24")</f>
        <v>188766</v>
      </c>
      <c r="E85" s="11">
        <f t="shared" ref="E85:E97" si="21">G85+H85</f>
        <v>3</v>
      </c>
      <c r="F85" s="12">
        <f t="shared" ref="F85:F97" si="22">iferror(D85/B85,0)</f>
        <v>0.02590005881</v>
      </c>
      <c r="G85" s="9">
        <f>COUNTIFS(ECOBANK!I:I,$G$18,ECOBANK!A:A,"7/27/24")</f>
        <v>1</v>
      </c>
      <c r="H85" s="11">
        <f>COUNTIFS(ECOBANK!I:I,$H$18,ECOBANK!A:A,"7/27/24")</f>
        <v>2</v>
      </c>
      <c r="I85" s="11">
        <f>COUNTIFS(ECOBANK!I:I,$I$18,ECOBANK!A:A,"7/27/24")</f>
        <v>9</v>
      </c>
      <c r="J85" s="2"/>
      <c r="K85" s="2"/>
      <c r="L85" s="2"/>
      <c r="M85" s="2"/>
      <c r="N85" s="2"/>
      <c r="O85" s="2"/>
      <c r="P85" s="2"/>
      <c r="Q85" s="2"/>
      <c r="R85" s="2"/>
      <c r="S85" s="2"/>
      <c r="T85" s="2"/>
      <c r="U85" s="2"/>
      <c r="V85" s="2"/>
      <c r="W85" s="2"/>
      <c r="X85" s="2"/>
      <c r="Y85" s="2"/>
      <c r="Z85" s="2"/>
      <c r="AA85" s="2"/>
      <c r="AB85" s="2"/>
    </row>
    <row r="86">
      <c r="A86" s="7" t="s">
        <v>24</v>
      </c>
      <c r="B86" s="8">
        <f>SUMIFS('TRADE CENTER'!F:F,'TRADE CENTER'!A:A,"7/27/24")</f>
        <v>9477098.84</v>
      </c>
      <c r="C86" s="11">
        <f>COUNTIFS('TRADE CENTER'!A:A,"7/27/24")</f>
        <v>34</v>
      </c>
      <c r="D86" s="10">
        <f>SUMIFS('TRADE CENTER'!G:G,'TRADE CENTER'!A:A,"7/27/24")</f>
        <v>90000</v>
      </c>
      <c r="E86" s="11">
        <f t="shared" si="21"/>
        <v>2</v>
      </c>
      <c r="F86" s="12">
        <f t="shared" si="22"/>
        <v>0.009496577119</v>
      </c>
      <c r="G86" s="11">
        <f>COUNTIFS('TRADE CENTER'!I:I,$G$18,'TRADE CENTER'!A:A,"7/27/24")</f>
        <v>0</v>
      </c>
      <c r="H86" s="11">
        <f>COUNTIFS('TRADE CENTER'!I:I,$H$18,'TRADE CENTER'!A:A,"7/27/24")</f>
        <v>2</v>
      </c>
      <c r="I86" s="11">
        <f>COUNTIFS('TRADE CENTER'!I:I,$I$18,'TRADE CENTER'!A:A,"7/27/24")</f>
        <v>32</v>
      </c>
      <c r="J86" s="2"/>
      <c r="K86" s="2"/>
      <c r="L86" s="2"/>
      <c r="M86" s="2"/>
      <c r="N86" s="2"/>
      <c r="O86" s="2"/>
      <c r="P86" s="2"/>
      <c r="Q86" s="2"/>
      <c r="R86" s="2"/>
      <c r="S86" s="2"/>
      <c r="T86" s="2"/>
      <c r="U86" s="2"/>
      <c r="V86" s="2"/>
      <c r="W86" s="2"/>
      <c r="X86" s="2"/>
      <c r="Y86" s="2"/>
      <c r="Z86" s="2"/>
      <c r="AA86" s="2"/>
      <c r="AB86" s="2"/>
    </row>
    <row r="87">
      <c r="A87" s="7" t="s">
        <v>12</v>
      </c>
      <c r="B87" s="8">
        <f>SUMIFS(PENSION!F:F,PENSION!A:A,"7/27/2024")</f>
        <v>3181676.17</v>
      </c>
      <c r="C87" s="11">
        <f>COUNTIFS(PENSION!A:A,"7/27/24")</f>
        <v>20</v>
      </c>
      <c r="D87" s="10">
        <f>SUMIFS(PENSION!G:G,PENSION!A:A,"7/27/2024")</f>
        <v>1343476</v>
      </c>
      <c r="E87" s="11">
        <f t="shared" si="21"/>
        <v>9</v>
      </c>
      <c r="F87" s="12">
        <f t="shared" si="22"/>
        <v>0.4222541605</v>
      </c>
      <c r="G87" s="9">
        <f>COUNTIFS(PENSION!I:I,$G$18,PENSION!A:A,"7/27/24")</f>
        <v>3</v>
      </c>
      <c r="H87" s="11">
        <f>COUNTIFS(PENSION!I:I,$H$18,PENSION!A:A,"7/27/24")</f>
        <v>6</v>
      </c>
      <c r="I87" s="11">
        <f>COUNTIFS(PENSION!I:I,$I$18,PENSION!A:A,"7/27/24")</f>
        <v>11</v>
      </c>
      <c r="J87" s="2"/>
      <c r="K87" s="2"/>
      <c r="L87" s="2"/>
      <c r="M87" s="2"/>
      <c r="N87" s="2"/>
      <c r="O87" s="2"/>
      <c r="P87" s="2"/>
      <c r="Q87" s="2"/>
      <c r="R87" s="2"/>
      <c r="S87" s="2"/>
      <c r="T87" s="2"/>
      <c r="U87" s="2"/>
      <c r="V87" s="2"/>
      <c r="W87" s="2"/>
      <c r="X87" s="2"/>
      <c r="Y87" s="2"/>
      <c r="Z87" s="2"/>
      <c r="AA87" s="2"/>
      <c r="AB87" s="2"/>
    </row>
    <row r="88">
      <c r="A88" s="7" t="s">
        <v>13</v>
      </c>
      <c r="B88" s="8">
        <f>SUMIFS(KITENGELA!F:F,KITENGELA!A:A,"7/27/24")</f>
        <v>1852050.86</v>
      </c>
      <c r="C88" s="11">
        <f>COUNTIFS(KITENGELA!A:A,"7/27/24")</f>
        <v>23</v>
      </c>
      <c r="D88" s="10">
        <f>SUMIFS(KITENGELA!G:G,KITENGELA!A:A,"7/27/24")</f>
        <v>287500</v>
      </c>
      <c r="E88" s="11">
        <f t="shared" si="21"/>
        <v>1</v>
      </c>
      <c r="F88" s="12">
        <f t="shared" si="22"/>
        <v>0.1552333179</v>
      </c>
      <c r="G88" s="11">
        <f>COUNTIFS(KITENGELA!I:I,$G$18,KITENGELA!A:A,"7/27/24")</f>
        <v>0</v>
      </c>
      <c r="H88" s="11">
        <f>COUNTIFS(KITENGELA!I:I,$H$18,KITENGELA!A:A,"7/27/24")</f>
        <v>1</v>
      </c>
      <c r="I88" s="11">
        <f>COUNTIFS(KITENGELA!I:I,$I$18,KITENGELA!A:A,"7/27/24")</f>
        <v>22</v>
      </c>
      <c r="J88" s="2"/>
      <c r="K88" s="2"/>
      <c r="L88" s="2"/>
      <c r="M88" s="2"/>
      <c r="N88" s="2"/>
      <c r="O88" s="2"/>
      <c r="P88" s="2"/>
      <c r="Q88" s="2"/>
      <c r="R88" s="2"/>
      <c r="S88" s="2"/>
      <c r="T88" s="2"/>
      <c r="U88" s="2"/>
      <c r="V88" s="2"/>
      <c r="W88" s="2"/>
      <c r="X88" s="2"/>
      <c r="Y88" s="2"/>
      <c r="Z88" s="2"/>
      <c r="AA88" s="2"/>
      <c r="AB88" s="2"/>
    </row>
    <row r="89">
      <c r="A89" s="7" t="s">
        <v>14</v>
      </c>
      <c r="B89" s="8">
        <f>SUMIFS(ELDORET!F:F,ELDORET!A:A,"7/27/24")</f>
        <v>498195</v>
      </c>
      <c r="C89" s="11">
        <f>COUNTIFS(ELDORET!A:A,"7/27/24")</f>
        <v>9</v>
      </c>
      <c r="D89" s="10">
        <f>SUMIFS(ELDORET!G:G,ELDORET!A:A,"7/27/24")</f>
        <v>159965</v>
      </c>
      <c r="E89" s="11">
        <f t="shared" si="21"/>
        <v>2</v>
      </c>
      <c r="F89" s="12">
        <f t="shared" si="22"/>
        <v>0.3210891318</v>
      </c>
      <c r="G89" s="11">
        <f>COUNTIFS(ELDORET!I:I,$G$18,ELDORET!A:A,"7/27/24")</f>
        <v>0</v>
      </c>
      <c r="H89" s="11">
        <f>COUNTIFS(ELDORET!I:I,$H$18,ELDORET!A:A,"7/27/24")</f>
        <v>2</v>
      </c>
      <c r="I89" s="11">
        <f>COUNTIFS(ELDORET!I:I,$I$18,ELDORET!A:A,"7/27/24")</f>
        <v>7</v>
      </c>
      <c r="J89" s="2"/>
      <c r="K89" s="2"/>
      <c r="L89" s="2"/>
      <c r="M89" s="2"/>
      <c r="N89" s="2"/>
      <c r="O89" s="2"/>
      <c r="P89" s="2"/>
      <c r="Q89" s="2"/>
      <c r="R89" s="2"/>
      <c r="S89" s="2"/>
      <c r="T89" s="2"/>
      <c r="U89" s="2"/>
      <c r="V89" s="2"/>
      <c r="W89" s="2"/>
      <c r="X89" s="2"/>
      <c r="Y89" s="2"/>
      <c r="Z89" s="2"/>
      <c r="AA89" s="2"/>
      <c r="AB89" s="2"/>
    </row>
    <row r="90">
      <c r="A90" s="7" t="s">
        <v>15</v>
      </c>
      <c r="B90" s="8">
        <f>SUMIFS(NAKURU!F:F,NAKURU!A:A,"7/27/24")</f>
        <v>145000</v>
      </c>
      <c r="C90" s="11">
        <f>COUNTIFS(NAKURU!A:A,"7/27/24")</f>
        <v>3</v>
      </c>
      <c r="D90" s="10">
        <f>SUMIFS(NAKURU!G:G,NAKURU!A:A,"7/27/24")</f>
        <v>13000</v>
      </c>
      <c r="E90" s="11">
        <f t="shared" si="21"/>
        <v>1</v>
      </c>
      <c r="F90" s="12">
        <f t="shared" si="22"/>
        <v>0.08965517241</v>
      </c>
      <c r="G90" s="9">
        <f>COUNTIFS(NAKURU!I:I,$G$18,NAKURU!A:A,"7/27/24")</f>
        <v>0</v>
      </c>
      <c r="H90" s="11">
        <f>COUNTIFS(NAKURU!I:I,$H$18,NAKURU!A:A,"7/27/24")</f>
        <v>1</v>
      </c>
      <c r="I90" s="11">
        <f>COUNTIFS(NAKURU!I:I,$I$18,NAKURU!A:A,"7/27/24")</f>
        <v>2</v>
      </c>
      <c r="J90" s="2"/>
      <c r="K90" s="2"/>
      <c r="L90" s="2"/>
      <c r="M90" s="2"/>
      <c r="N90" s="2"/>
      <c r="O90" s="2"/>
      <c r="P90" s="2"/>
      <c r="Q90" s="2"/>
      <c r="R90" s="2"/>
      <c r="S90" s="2"/>
      <c r="T90" s="2"/>
      <c r="U90" s="2"/>
      <c r="V90" s="2"/>
      <c r="W90" s="2"/>
      <c r="X90" s="2"/>
      <c r="Y90" s="2"/>
      <c r="Z90" s="2"/>
      <c r="AA90" s="2"/>
      <c r="AB90" s="2"/>
    </row>
    <row r="91">
      <c r="A91" s="7" t="s">
        <v>16</v>
      </c>
      <c r="B91" s="8">
        <f>SUMIFS(HOMABAY!F:F,HOMABAY!A:A,"7/27/24")</f>
        <v>40000</v>
      </c>
      <c r="C91" s="11">
        <f>COUNTIFS(HOMABAY!A:A,"7/27/24")</f>
        <v>2</v>
      </c>
      <c r="D91" s="10">
        <f>SUMIFS(HOMABAY!G:G,HOMABAY!A:A,"7/27/24")</f>
        <v>5000</v>
      </c>
      <c r="E91" s="11">
        <f t="shared" si="21"/>
        <v>1</v>
      </c>
      <c r="F91" s="12">
        <f t="shared" si="22"/>
        <v>0.125</v>
      </c>
      <c r="G91" s="9">
        <f>COUNTIFS(HOMABAY!K:K,$G$18,HOMABAY!A:A,"7/27/24")</f>
        <v>1</v>
      </c>
      <c r="H91" s="11">
        <f>COUNTIFS(HOMABAY!K:K,$H$18,HOMABAY!A:A,"7/27/24")</f>
        <v>0</v>
      </c>
      <c r="I91" s="11">
        <f>COUNTIFS(HOMABAY!K:K,$I$18,HOMABAY!A:A,"7/27/24")</f>
        <v>1</v>
      </c>
      <c r="J91" s="2"/>
      <c r="K91" s="2"/>
      <c r="L91" s="2"/>
      <c r="M91" s="2"/>
      <c r="N91" s="2"/>
      <c r="O91" s="2"/>
      <c r="P91" s="2"/>
      <c r="Q91" s="2"/>
      <c r="R91" s="2"/>
      <c r="S91" s="2"/>
      <c r="T91" s="2"/>
      <c r="U91" s="2"/>
      <c r="V91" s="2"/>
      <c r="W91" s="2"/>
      <c r="X91" s="2"/>
      <c r="Y91" s="2"/>
      <c r="Z91" s="2"/>
      <c r="AA91" s="2"/>
      <c r="AB91" s="2"/>
    </row>
    <row r="92">
      <c r="A92" s="7" t="s">
        <v>17</v>
      </c>
      <c r="B92" s="8">
        <f>SUMIFS(MOMBASA!F:F,MOMBASA!A:A,"7/27/24")</f>
        <v>1085011.51</v>
      </c>
      <c r="C92" s="11">
        <f>COUNTIFS(MOMBASA!A:A,"7/27/24")</f>
        <v>10</v>
      </c>
      <c r="D92" s="14">
        <f>SUMIFS(MOMBASA!G:G,MOMBASA!A:A,"7/27/24")</f>
        <v>151000</v>
      </c>
      <c r="E92" s="11">
        <f t="shared" si="21"/>
        <v>2</v>
      </c>
      <c r="F92" s="12">
        <f t="shared" si="22"/>
        <v>0.1391690306</v>
      </c>
      <c r="G92" s="9">
        <f>COUNTIFS(MOMBASA!I:I,$G$18,MOMBASA!A:A,"7/27/24")</f>
        <v>1</v>
      </c>
      <c r="H92" s="11">
        <f>COUNTIFS(MOMBASA!I:I,$H$18,MOMBASA!A:A,"7/27/24")</f>
        <v>1</v>
      </c>
      <c r="I92" s="11">
        <f>COUNTIFS(MOMBASA!I:I,$I$18,MOMBASA!A:A,"7/27/24")</f>
        <v>8</v>
      </c>
      <c r="J92" s="2"/>
      <c r="K92" s="2"/>
      <c r="L92" s="2"/>
      <c r="M92" s="2"/>
      <c r="N92" s="2"/>
      <c r="O92" s="2"/>
      <c r="P92" s="2"/>
      <c r="Q92" s="2"/>
      <c r="R92" s="2"/>
      <c r="S92" s="2"/>
      <c r="T92" s="2"/>
      <c r="U92" s="2"/>
      <c r="V92" s="2"/>
      <c r="W92" s="2"/>
      <c r="X92" s="2"/>
      <c r="Y92" s="2"/>
      <c r="Z92" s="2"/>
      <c r="AA92" s="2"/>
      <c r="AB92" s="2"/>
    </row>
    <row r="93">
      <c r="A93" s="7" t="s">
        <v>18</v>
      </c>
      <c r="B93" s="8">
        <f>SUMIFS(KISUMU!F:F,KISUMU!A:A,"7/27/24")</f>
        <v>854034.53</v>
      </c>
      <c r="C93" s="11">
        <f>COUNTIFS(KISUMU!A:A,"7/27/24")</f>
        <v>13</v>
      </c>
      <c r="D93" s="10">
        <f>SUMIFS(KISUMU!G:G,KISUMU!A:A,"7/27/24")</f>
        <v>0</v>
      </c>
      <c r="E93" s="11">
        <f t="shared" si="21"/>
        <v>0</v>
      </c>
      <c r="F93" s="12">
        <f t="shared" si="22"/>
        <v>0</v>
      </c>
      <c r="G93" s="9">
        <f>COUNTIFS(KISUMU!I:I,$G$18,KISUMU!A:A,"7/27/24")</f>
        <v>0</v>
      </c>
      <c r="H93" s="11">
        <f>COUNTIFS(KISUMU!I:I,$H$18,KISUMU!A:A,"7/27/24")</f>
        <v>0</v>
      </c>
      <c r="I93" s="11">
        <f>COUNTIFS(KISUMU!I:I,$I$18,KISUMU!A:A,"7/27/24")</f>
        <v>13</v>
      </c>
      <c r="J93" s="2"/>
      <c r="K93" s="2"/>
      <c r="L93" s="2"/>
      <c r="M93" s="2"/>
      <c r="N93" s="2"/>
      <c r="O93" s="2"/>
      <c r="P93" s="2"/>
      <c r="Q93" s="2"/>
      <c r="R93" s="2"/>
      <c r="S93" s="2"/>
      <c r="T93" s="2"/>
      <c r="U93" s="2"/>
      <c r="V93" s="2"/>
      <c r="W93" s="2"/>
      <c r="X93" s="2"/>
      <c r="Y93" s="2"/>
      <c r="Z93" s="2"/>
      <c r="AA93" s="2"/>
      <c r="AB93" s="2"/>
    </row>
    <row r="94">
      <c r="A94" s="7" t="s">
        <v>19</v>
      </c>
      <c r="B94" s="8">
        <f>SUMIFS(VOI!F:F,VOI!A:A,"7/27/24")</f>
        <v>271051</v>
      </c>
      <c r="C94" s="11">
        <f>COUNTIFS(VOI!A:A,"7/27/24")</f>
        <v>11</v>
      </c>
      <c r="D94" s="10">
        <f>SUMIFS(VOI!G:G,VOI!A:A,"7/27/24")</f>
        <v>0</v>
      </c>
      <c r="E94" s="11">
        <f t="shared" si="21"/>
        <v>0</v>
      </c>
      <c r="F94" s="12">
        <f t="shared" si="22"/>
        <v>0</v>
      </c>
      <c r="G94" s="9">
        <f>COUNTIFS(VOI!H:H,$G$18,VOI!A:A,"7/27/24")</f>
        <v>0</v>
      </c>
      <c r="H94" s="11">
        <f>COUNTIFS(VOI!H:H,$H$18,VOI!A:A,"7/27/24")</f>
        <v>0</v>
      </c>
      <c r="I94" s="11">
        <f>COUNTIFS(VOI!H:H,$I$18,VOI!A:A,"7/27/24")</f>
        <v>11</v>
      </c>
      <c r="J94" s="2"/>
      <c r="K94" s="2"/>
      <c r="L94" s="2"/>
      <c r="M94" s="2"/>
      <c r="N94" s="2"/>
      <c r="O94" s="2"/>
      <c r="P94" s="2"/>
      <c r="Q94" s="2"/>
      <c r="R94" s="2"/>
      <c r="S94" s="2"/>
      <c r="T94" s="2"/>
      <c r="U94" s="2"/>
      <c r="V94" s="2"/>
      <c r="W94" s="2"/>
      <c r="X94" s="2"/>
      <c r="Y94" s="2"/>
      <c r="Z94" s="2"/>
      <c r="AA94" s="2"/>
      <c r="AB94" s="2"/>
    </row>
    <row r="95">
      <c r="A95" s="7" t="s">
        <v>20</v>
      </c>
      <c r="B95" s="8">
        <f>SUMIFS(THIKA!F:F,THIKA!A:A,"7/27/24")</f>
        <v>446897</v>
      </c>
      <c r="C95" s="11">
        <f>COUNTIFS(THIKA!A:A,"7/27/24")</f>
        <v>10</v>
      </c>
      <c r="D95" s="10">
        <f>SUMIFS(THIKA!G:G,THIKA!A:A,"7/27/24")</f>
        <v>0</v>
      </c>
      <c r="E95" s="11">
        <f t="shared" si="21"/>
        <v>0</v>
      </c>
      <c r="F95" s="12">
        <f t="shared" si="22"/>
        <v>0</v>
      </c>
      <c r="G95" s="9">
        <f>COUNTIFS(THIKA!I:I,$G$18,THIKA!A:A,"7/27/24")</f>
        <v>0</v>
      </c>
      <c r="H95" s="11">
        <f>COUNTIFS(THIKA!I:I,$H$18,THIKA!A:A,"7/27/24")</f>
        <v>0</v>
      </c>
      <c r="I95" s="11">
        <f>COUNTIFS(THIKA!I:I,$I$18,THIKA!A:A,"7/27/24")</f>
        <v>10</v>
      </c>
      <c r="J95" s="2"/>
      <c r="K95" s="2"/>
      <c r="L95" s="2"/>
      <c r="M95" s="2"/>
      <c r="N95" s="2"/>
      <c r="O95" s="2"/>
      <c r="P95" s="2"/>
      <c r="Q95" s="2"/>
      <c r="R95" s="2"/>
      <c r="S95" s="2"/>
      <c r="T95" s="2"/>
      <c r="U95" s="2"/>
      <c r="V95" s="2"/>
      <c r="W95" s="2"/>
      <c r="X95" s="2"/>
      <c r="Y95" s="2"/>
      <c r="Z95" s="2"/>
      <c r="AA95" s="2"/>
      <c r="AB95" s="2"/>
    </row>
    <row r="96">
      <c r="A96" s="7" t="s">
        <v>21</v>
      </c>
      <c r="B96" s="8">
        <f>SUMIFS(KITUI!F:F,KITUI!A:A,"7/27/24")</f>
        <v>43633</v>
      </c>
      <c r="C96" s="11">
        <f>COUNTIFS(KITUI!A:A,"7/27/24")</f>
        <v>1</v>
      </c>
      <c r="D96" s="10">
        <f>SUMIFS(KITUI!G:G,KITUI!A:A,"7/27/24")</f>
        <v>0</v>
      </c>
      <c r="E96" s="11">
        <f t="shared" si="21"/>
        <v>0</v>
      </c>
      <c r="F96" s="12">
        <f t="shared" si="22"/>
        <v>0</v>
      </c>
      <c r="G96" s="9">
        <f>COUNTIFS(KITUI!I:I,$G$18,KITUI!A:A,"7/27/24")</f>
        <v>0</v>
      </c>
      <c r="H96" s="11">
        <f>COUNTIFS(KITUI!I:I,$H$18,KITUI!A:A,"7/27/24")</f>
        <v>0</v>
      </c>
      <c r="I96" s="11">
        <f>COUNTIFS(KITUI!I:I,$I$18,KITUI!A:A,"7/27/24")</f>
        <v>1</v>
      </c>
      <c r="J96" s="2"/>
      <c r="K96" s="2"/>
      <c r="L96" s="2"/>
      <c r="M96" s="2"/>
      <c r="N96" s="2"/>
      <c r="O96" s="2"/>
      <c r="P96" s="2"/>
      <c r="Q96" s="2"/>
      <c r="R96" s="2"/>
      <c r="S96" s="2"/>
      <c r="T96" s="2"/>
      <c r="U96" s="2"/>
      <c r="V96" s="2"/>
      <c r="W96" s="2"/>
      <c r="X96" s="2"/>
      <c r="Y96" s="2"/>
      <c r="Z96" s="2"/>
      <c r="AA96" s="2"/>
      <c r="AB96" s="2"/>
    </row>
    <row r="97">
      <c r="A97" s="15" t="s">
        <v>22</v>
      </c>
      <c r="B97" s="8">
        <f>SUMIFS(MACHAKOS!F:F,MACHAKOS!A:A,"7/27/24")</f>
        <v>146910.39</v>
      </c>
      <c r="C97" s="11">
        <f>COUNTIFS(MACHAKOS!A:A,"7/27/24")</f>
        <v>2</v>
      </c>
      <c r="D97" s="10">
        <f>SUMIFS(MACHAKOS!G:G,MACHAKOS!A:A,"7/27/24")</f>
        <v>0</v>
      </c>
      <c r="E97" s="11">
        <f t="shared" si="21"/>
        <v>0</v>
      </c>
      <c r="F97" s="12">
        <f t="shared" si="22"/>
        <v>0</v>
      </c>
      <c r="G97" s="9">
        <f>COUNTIFS(MACHAKOS!I:I,$G$18,MACHAKOS!A:A,"7/27/24")</f>
        <v>0</v>
      </c>
      <c r="H97" s="11">
        <f>COUNTIFS(MACHAKOS!I:I,$H$18,MACHAKOS!A:A,"7/27/24")</f>
        <v>0</v>
      </c>
      <c r="I97" s="11">
        <f>COUNTIFS(MACHAKOS!I:I,$I$18,MACHAKOS!A:A,"7/27/24")</f>
        <v>2</v>
      </c>
      <c r="J97" s="2"/>
      <c r="K97" s="2"/>
      <c r="L97" s="2"/>
      <c r="M97" s="2"/>
      <c r="N97" s="2"/>
      <c r="O97" s="2"/>
      <c r="P97" s="2"/>
      <c r="Q97" s="2"/>
      <c r="R97" s="2"/>
      <c r="S97" s="2"/>
      <c r="T97" s="2"/>
      <c r="U97" s="2"/>
      <c r="V97" s="2"/>
      <c r="W97" s="2"/>
      <c r="X97" s="2"/>
      <c r="Y97" s="2"/>
      <c r="Z97" s="2"/>
      <c r="AA97" s="2"/>
      <c r="AB97" s="2"/>
    </row>
    <row r="98">
      <c r="A98" s="16" t="s">
        <v>23</v>
      </c>
      <c r="B98" s="17">
        <f t="shared" ref="B98:E98" si="23">SUM(B85:B97)</f>
        <v>25329804.3</v>
      </c>
      <c r="C98" s="18">
        <f t="shared" si="23"/>
        <v>150</v>
      </c>
      <c r="D98" s="19">
        <f t="shared" si="23"/>
        <v>2238707</v>
      </c>
      <c r="E98" s="18">
        <f t="shared" si="23"/>
        <v>21</v>
      </c>
      <c r="F98" s="20">
        <f>D98/B98</f>
        <v>0.08838232516</v>
      </c>
      <c r="G98" s="21">
        <f t="shared" ref="G98:I98" si="24">SUM(G85:G97)</f>
        <v>6</v>
      </c>
      <c r="H98" s="21">
        <f t="shared" si="24"/>
        <v>15</v>
      </c>
      <c r="I98" s="21">
        <f t="shared" si="24"/>
        <v>129</v>
      </c>
      <c r="J98" s="2"/>
      <c r="K98" s="2"/>
      <c r="L98" s="2"/>
      <c r="M98" s="2"/>
      <c r="N98" s="2"/>
      <c r="O98" s="2"/>
      <c r="P98" s="2"/>
      <c r="Q98" s="2"/>
      <c r="R98" s="2"/>
      <c r="S98" s="2"/>
      <c r="T98" s="2"/>
      <c r="U98" s="2"/>
      <c r="V98" s="2"/>
      <c r="W98" s="2"/>
      <c r="X98" s="2"/>
      <c r="Y98" s="2"/>
      <c r="Z98" s="2"/>
      <c r="AA98" s="2"/>
      <c r="AB98" s="2"/>
    </row>
    <row r="99">
      <c r="A99" s="1"/>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3" t="s">
        <v>1</v>
      </c>
      <c r="B100" s="4" t="s">
        <v>2</v>
      </c>
      <c r="C100" s="4" t="s">
        <v>3</v>
      </c>
      <c r="D100" s="4" t="s">
        <v>4</v>
      </c>
      <c r="E100" s="5" t="s">
        <v>5</v>
      </c>
      <c r="F100" s="6" t="s">
        <v>6</v>
      </c>
      <c r="G100" s="6" t="s">
        <v>7</v>
      </c>
      <c r="H100" s="6" t="s">
        <v>8</v>
      </c>
      <c r="I100" s="6" t="s">
        <v>9</v>
      </c>
      <c r="J100" s="2"/>
      <c r="K100" s="2"/>
      <c r="L100" s="2"/>
      <c r="M100" s="2"/>
      <c r="N100" s="2"/>
      <c r="O100" s="2"/>
      <c r="P100" s="2"/>
      <c r="Q100" s="2"/>
      <c r="R100" s="2"/>
      <c r="S100" s="2"/>
      <c r="T100" s="2"/>
      <c r="U100" s="2"/>
      <c r="V100" s="2"/>
      <c r="W100" s="2"/>
      <c r="X100" s="2"/>
      <c r="Y100" s="2"/>
      <c r="Z100" s="2"/>
      <c r="AA100" s="2"/>
      <c r="AB100" s="2"/>
    </row>
    <row r="101">
      <c r="A101" s="7" t="s">
        <v>10</v>
      </c>
      <c r="B101" s="8">
        <f>SUMIFS(ECOBANK!F:F,ECOBANK!A:A,"7/29/24")</f>
        <v>9299838.86</v>
      </c>
      <c r="C101" s="9">
        <f>COUNTIFS(ECOBANK!A:A,"7/29/24")</f>
        <v>16</v>
      </c>
      <c r="D101" s="10">
        <f>SUMIFS(ECOBANK!G:G,ECOBANK!A:A,"7/29/24")</f>
        <v>989833</v>
      </c>
      <c r="E101" s="11">
        <f t="shared" ref="E101:E113" si="25">G101+H101</f>
        <v>4</v>
      </c>
      <c r="F101" s="12">
        <f t="shared" ref="F101:F113" si="26">iferror(D101/B101,0)</f>
        <v>0.1064355001</v>
      </c>
      <c r="G101" s="9">
        <f>COUNTIFS(ECOBANK!I:I,$G$18,ECOBANK!A:A,"7/29/24")</f>
        <v>1</v>
      </c>
      <c r="H101" s="11">
        <f>COUNTIFS(ECOBANK!I:I,$H$18,ECOBANK!A:A,"7/29/24")</f>
        <v>3</v>
      </c>
      <c r="I101" s="11">
        <f>COUNTIFS(ECOBANK!I:I,$I$18,ECOBANK!A:A,"7/29/24")</f>
        <v>12</v>
      </c>
      <c r="J101" s="2"/>
      <c r="K101" s="2"/>
      <c r="L101" s="2"/>
      <c r="M101" s="2"/>
      <c r="N101" s="2"/>
      <c r="O101" s="2"/>
      <c r="P101" s="2"/>
      <c r="Q101" s="2"/>
      <c r="R101" s="2"/>
      <c r="S101" s="2"/>
      <c r="T101" s="2"/>
      <c r="U101" s="2"/>
      <c r="V101" s="2"/>
      <c r="W101" s="2"/>
      <c r="X101" s="2"/>
      <c r="Y101" s="2"/>
      <c r="Z101" s="2"/>
      <c r="AA101" s="2"/>
      <c r="AB101" s="2"/>
    </row>
    <row r="102">
      <c r="A102" s="7" t="s">
        <v>24</v>
      </c>
      <c r="B102" s="8">
        <f>SUMIFS('TRADE CENTER'!F:F,'TRADE CENTER'!A:A,"7/29/24")</f>
        <v>9709449.22</v>
      </c>
      <c r="C102" s="11">
        <f>COUNTIFS('TRADE CENTER'!A:A,"7/29/24")</f>
        <v>42</v>
      </c>
      <c r="D102" s="10">
        <f>SUMIFS('TRADE CENTER'!G:G,'TRADE CENTER'!A:A,"7/29/24")</f>
        <v>4557670</v>
      </c>
      <c r="E102" s="11">
        <f t="shared" si="25"/>
        <v>6</v>
      </c>
      <c r="F102" s="12">
        <f t="shared" si="26"/>
        <v>0.4694056168</v>
      </c>
      <c r="G102" s="11">
        <f>COUNTIFS('TRADE CENTER'!I:I,$G$18,'TRADE CENTER'!A:A,"7/29/24")</f>
        <v>2</v>
      </c>
      <c r="H102" s="11">
        <f>COUNTIFS('TRADE CENTER'!I:I,$H$18,'TRADE CENTER'!A:A,"7/29/24")</f>
        <v>4</v>
      </c>
      <c r="I102" s="11">
        <f>COUNTIFS('TRADE CENTER'!I:I,$I$18,'TRADE CENTER'!A:A,"7/29/24")</f>
        <v>36</v>
      </c>
      <c r="J102" s="2"/>
      <c r="K102" s="2"/>
      <c r="L102" s="2"/>
      <c r="M102" s="2"/>
      <c r="N102" s="2"/>
      <c r="O102" s="2"/>
      <c r="P102" s="2"/>
      <c r="Q102" s="2"/>
      <c r="R102" s="2"/>
      <c r="S102" s="2"/>
      <c r="T102" s="2"/>
      <c r="U102" s="2"/>
      <c r="V102" s="2"/>
      <c r="W102" s="2"/>
      <c r="X102" s="2"/>
      <c r="Y102" s="2"/>
      <c r="Z102" s="2"/>
      <c r="AA102" s="2"/>
      <c r="AB102" s="2"/>
    </row>
    <row r="103">
      <c r="A103" s="7" t="s">
        <v>12</v>
      </c>
      <c r="B103" s="8">
        <f>SUMIFS(PENSION!F:F,PENSION!A:A,"7/29/2024")</f>
        <v>7884899.12</v>
      </c>
      <c r="C103" s="11">
        <f>COUNTIFS(PENSION!A:A,"7/29/24")</f>
        <v>43</v>
      </c>
      <c r="D103" s="10">
        <f>SUMIFS(PENSION!G:G,PENSION!A:A,"7/29/2024")</f>
        <v>5717322</v>
      </c>
      <c r="E103" s="11">
        <f t="shared" si="25"/>
        <v>20</v>
      </c>
      <c r="F103" s="12">
        <f t="shared" si="26"/>
        <v>0.7250976725</v>
      </c>
      <c r="G103" s="9">
        <f>COUNTIFS(PENSION!I:I,$G$18,PENSION!A:A,"7/29/24")</f>
        <v>5</v>
      </c>
      <c r="H103" s="11">
        <f>COUNTIFS(PENSION!I:I,$H$18,PENSION!A:A,"7/29/24")</f>
        <v>15</v>
      </c>
      <c r="I103" s="11">
        <f>COUNTIFS(PENSION!I:I,$I$18,PENSION!A:A,"7/29/24")</f>
        <v>23</v>
      </c>
      <c r="J103" s="2"/>
      <c r="K103" s="2"/>
      <c r="L103" s="2"/>
      <c r="M103" s="2"/>
      <c r="N103" s="2"/>
      <c r="O103" s="2"/>
      <c r="P103" s="2"/>
      <c r="Q103" s="2"/>
      <c r="R103" s="2"/>
      <c r="S103" s="2"/>
      <c r="T103" s="2"/>
      <c r="U103" s="2"/>
      <c r="V103" s="2"/>
      <c r="W103" s="2"/>
      <c r="X103" s="2"/>
      <c r="Y103" s="2"/>
      <c r="Z103" s="2"/>
      <c r="AA103" s="2"/>
      <c r="AB103" s="2"/>
    </row>
    <row r="104">
      <c r="A104" s="7" t="s">
        <v>13</v>
      </c>
      <c r="B104" s="8">
        <f>SUMIFS(KITENGELA!F:F,KITENGELA!A:A,"7/29/24")</f>
        <v>3348752.49</v>
      </c>
      <c r="C104" s="11">
        <f>COUNTIFS(KITENGELA!A:A,"7/29/24")</f>
        <v>30</v>
      </c>
      <c r="D104" s="10">
        <f>SUMIFS(KITENGELA!G:G,KITENGELA!A:A,"7/29/24")</f>
        <v>202045</v>
      </c>
      <c r="E104" s="11">
        <f t="shared" si="25"/>
        <v>7</v>
      </c>
      <c r="F104" s="12">
        <f t="shared" si="26"/>
        <v>0.06033440829</v>
      </c>
      <c r="G104" s="11">
        <f>COUNTIFS(KITENGELA!I:I,$G$18,KITENGELA!A:A,"7/29/24")</f>
        <v>0</v>
      </c>
      <c r="H104" s="11">
        <f>COUNTIFS(KITENGELA!I:I,$H$18,KITENGELA!A:A,"7/29/24")</f>
        <v>7</v>
      </c>
      <c r="I104" s="11">
        <f>COUNTIFS(KITENGELA!I:I,$I$18,KITENGELA!A:A,"7/29/24")</f>
        <v>23</v>
      </c>
      <c r="J104" s="2"/>
      <c r="K104" s="2"/>
      <c r="L104" s="2"/>
      <c r="M104" s="2"/>
      <c r="N104" s="2"/>
      <c r="O104" s="2"/>
      <c r="P104" s="2"/>
      <c r="Q104" s="2"/>
      <c r="R104" s="2"/>
      <c r="S104" s="2"/>
      <c r="T104" s="2"/>
      <c r="U104" s="2"/>
      <c r="V104" s="2"/>
      <c r="W104" s="2"/>
      <c r="X104" s="2"/>
      <c r="Y104" s="2"/>
      <c r="Z104" s="2"/>
      <c r="AA104" s="2"/>
      <c r="AB104" s="2"/>
    </row>
    <row r="105">
      <c r="A105" s="7" t="s">
        <v>14</v>
      </c>
      <c r="B105" s="8">
        <f>SUMIFS(ELDORET!F:F,ELDORET!A:A,"7/29/24")</f>
        <v>667115</v>
      </c>
      <c r="C105" s="11">
        <f>COUNTIFS(ELDORET!A:A,"7/29/24")</f>
        <v>10</v>
      </c>
      <c r="D105" s="10">
        <f>SUMIFS(ELDORET!G:G,ELDORET!A:A,"7/29/24")</f>
        <v>340885</v>
      </c>
      <c r="E105" s="11">
        <f t="shared" si="25"/>
        <v>4</v>
      </c>
      <c r="F105" s="12">
        <f t="shared" si="26"/>
        <v>0.5109838634</v>
      </c>
      <c r="G105" s="11">
        <f>COUNTIFS(ELDORET!I:I,$G$18,ELDORET!A:A,"7/29/24")</f>
        <v>0</v>
      </c>
      <c r="H105" s="11">
        <f>COUNTIFS(ELDORET!I:I,$H$18,ELDORET!A:A,"7/29/24")</f>
        <v>4</v>
      </c>
      <c r="I105" s="11">
        <f>COUNTIFS(ELDORET!I:I,$I$18,ELDORET!A:A,"7/29/24")</f>
        <v>6</v>
      </c>
      <c r="J105" s="2"/>
      <c r="K105" s="2"/>
      <c r="L105" s="2"/>
      <c r="M105" s="2"/>
      <c r="N105" s="2"/>
      <c r="O105" s="2"/>
      <c r="P105" s="2"/>
      <c r="Q105" s="2"/>
      <c r="R105" s="2"/>
      <c r="S105" s="2"/>
      <c r="T105" s="2"/>
      <c r="U105" s="2"/>
      <c r="V105" s="2"/>
      <c r="W105" s="2"/>
      <c r="X105" s="2"/>
      <c r="Y105" s="2"/>
      <c r="Z105" s="2"/>
      <c r="AA105" s="2"/>
      <c r="AB105" s="2"/>
    </row>
    <row r="106">
      <c r="A106" s="7" t="s">
        <v>15</v>
      </c>
      <c r="B106" s="8">
        <f>SUMIFS(NAKURU!F:F,NAKURU!A:A,"7/29/24")</f>
        <v>349000</v>
      </c>
      <c r="C106" s="11">
        <f>COUNTIFS(NAKURU!A:A,"7/29/24")</f>
        <v>4</v>
      </c>
      <c r="D106" s="10">
        <f>SUMIFS(NAKURU!G:G,NAKURU!A:A,"7/29/24")</f>
        <v>0</v>
      </c>
      <c r="E106" s="11">
        <f t="shared" si="25"/>
        <v>0</v>
      </c>
      <c r="F106" s="12">
        <f t="shared" si="26"/>
        <v>0</v>
      </c>
      <c r="G106" s="9">
        <f>COUNTIFS(NAKURU!I:I,$G$18,NAKURU!A:A,"7/29/24")</f>
        <v>0</v>
      </c>
      <c r="H106" s="11">
        <f>COUNTIFS(NAKURU!I:I,$H$18,NAKURU!A:A,"7/29/24")</f>
        <v>0</v>
      </c>
      <c r="I106" s="11">
        <f>COUNTIFS(NAKURU!I:I,$I$18,NAKURU!A:A,"7/29/24")</f>
        <v>4</v>
      </c>
      <c r="J106" s="2"/>
      <c r="K106" s="2"/>
      <c r="L106" s="2"/>
      <c r="M106" s="2"/>
      <c r="N106" s="2"/>
      <c r="O106" s="2"/>
      <c r="P106" s="2"/>
      <c r="Q106" s="2"/>
      <c r="R106" s="2"/>
      <c r="S106" s="2"/>
      <c r="T106" s="2"/>
      <c r="U106" s="2"/>
      <c r="V106" s="2"/>
      <c r="W106" s="2"/>
      <c r="X106" s="2"/>
      <c r="Y106" s="2"/>
      <c r="Z106" s="2"/>
      <c r="AA106" s="2"/>
      <c r="AB106" s="2"/>
    </row>
    <row r="107">
      <c r="A107" s="7" t="s">
        <v>16</v>
      </c>
      <c r="B107" s="8">
        <f>SUMIFS(HOMABAY!F:F,HOMABAY!A:A,"7/29/24")</f>
        <v>197000</v>
      </c>
      <c r="C107" s="11">
        <f>COUNTIFS(HOMABAY!A:A,"7/29/24")</f>
        <v>3</v>
      </c>
      <c r="D107" s="10">
        <f>SUMIFS(HOMABAY!G:G,HOMABAY!A:A,"7/29/24")</f>
        <v>97000</v>
      </c>
      <c r="E107" s="11">
        <f t="shared" si="25"/>
        <v>2</v>
      </c>
      <c r="F107" s="12">
        <f t="shared" si="26"/>
        <v>0.4923857868</v>
      </c>
      <c r="G107" s="9">
        <f>COUNTIFS(HOMABAY!K:K,$G$18,HOMABAY!A:A,"7/29/24")</f>
        <v>0</v>
      </c>
      <c r="H107" s="11">
        <f>COUNTIFS(HOMABAY!K:K,$H$18,HOMABAY!A:A,"7/29/24")</f>
        <v>2</v>
      </c>
      <c r="I107" s="11">
        <f>COUNTIFS(HOMABAY!K:K,$I$18,HOMABAY!A:A,"7/29/24")</f>
        <v>1</v>
      </c>
      <c r="J107" s="2"/>
      <c r="K107" s="2"/>
      <c r="L107" s="2"/>
      <c r="M107" s="2"/>
      <c r="N107" s="2"/>
      <c r="O107" s="2"/>
      <c r="P107" s="2"/>
      <c r="Q107" s="2"/>
      <c r="R107" s="2"/>
      <c r="S107" s="2"/>
      <c r="T107" s="2"/>
      <c r="U107" s="2"/>
      <c r="V107" s="2"/>
      <c r="W107" s="2"/>
      <c r="X107" s="2"/>
      <c r="Y107" s="2"/>
      <c r="Z107" s="2"/>
      <c r="AA107" s="2"/>
      <c r="AB107" s="2"/>
    </row>
    <row r="108">
      <c r="A108" s="7" t="s">
        <v>17</v>
      </c>
      <c r="B108" s="8">
        <f>SUMIFS(MOMBASA!F:F,MOMBASA!A:A,"7/29/24")</f>
        <v>2790929.51</v>
      </c>
      <c r="C108" s="11">
        <f>COUNTIFS(MOMBASA!A:A,"7/29/24")</f>
        <v>20</v>
      </c>
      <c r="D108" s="14">
        <f>SUMIFS(MOMBASA!G:G,MOMBASA!A:A,"7/29/24")</f>
        <v>1195078</v>
      </c>
      <c r="E108" s="11">
        <f t="shared" si="25"/>
        <v>9</v>
      </c>
      <c r="F108" s="12">
        <f t="shared" si="26"/>
        <v>0.4282007108</v>
      </c>
      <c r="G108" s="9">
        <f>COUNTIFS(MOMBASA!I:I,$G$18,MOMBASA!A:A,"7/29/24")</f>
        <v>1</v>
      </c>
      <c r="H108" s="11">
        <f>COUNTIFS(MOMBASA!I:I,$H$18,MOMBASA!A:A,"7/29/24")</f>
        <v>8</v>
      </c>
      <c r="I108" s="11">
        <f>COUNTIFS(MOMBASA!I:I,$I$18,MOMBASA!A:A,"7/29/24")</f>
        <v>11</v>
      </c>
      <c r="J108" s="2"/>
      <c r="K108" s="2"/>
      <c r="L108" s="2"/>
      <c r="M108" s="2"/>
      <c r="N108" s="2"/>
      <c r="O108" s="2"/>
      <c r="P108" s="2"/>
      <c r="Q108" s="2"/>
      <c r="R108" s="2"/>
      <c r="S108" s="2"/>
      <c r="T108" s="2"/>
      <c r="U108" s="2"/>
      <c r="V108" s="2"/>
      <c r="W108" s="2"/>
      <c r="X108" s="2"/>
      <c r="Y108" s="2"/>
      <c r="Z108" s="2"/>
      <c r="AA108" s="2"/>
      <c r="AB108" s="2"/>
    </row>
    <row r="109">
      <c r="A109" s="7" t="s">
        <v>18</v>
      </c>
      <c r="B109" s="8">
        <f>SUMIFS(KISUMU!F:F,KISUMU!A:A,"7/29/24")</f>
        <v>1189601.53</v>
      </c>
      <c r="C109" s="11">
        <f>COUNTIFS(KISUMU!A:A,"7/29/24")</f>
        <v>18</v>
      </c>
      <c r="D109" s="10">
        <f>SUMIFS(KISUMU!G:G,KISUMU!A:A,"7/29/24")</f>
        <v>306750</v>
      </c>
      <c r="E109" s="11">
        <f t="shared" si="25"/>
        <v>7</v>
      </c>
      <c r="F109" s="12">
        <f t="shared" si="26"/>
        <v>0.2578594532</v>
      </c>
      <c r="G109" s="9">
        <f>COUNTIFS(KISUMU!I:I,$G$18,KISUMU!A:A,"7/29/24")</f>
        <v>1</v>
      </c>
      <c r="H109" s="11">
        <f>COUNTIFS(KISUMU!I:I,$H$18,KISUMU!A:A,"7/29/24")</f>
        <v>6</v>
      </c>
      <c r="I109" s="11">
        <f>COUNTIFS(KISUMU!I:I,$I$18,KISUMU!A:A,"7/29/24")</f>
        <v>11</v>
      </c>
      <c r="J109" s="2"/>
      <c r="K109" s="2"/>
      <c r="L109" s="2"/>
      <c r="M109" s="2"/>
      <c r="N109" s="2"/>
      <c r="O109" s="2"/>
      <c r="P109" s="2"/>
      <c r="Q109" s="2"/>
      <c r="R109" s="2"/>
      <c r="S109" s="2"/>
      <c r="T109" s="2"/>
      <c r="U109" s="2"/>
      <c r="V109" s="2"/>
      <c r="W109" s="2"/>
      <c r="X109" s="2"/>
      <c r="Y109" s="2"/>
      <c r="Z109" s="2"/>
      <c r="AA109" s="2"/>
      <c r="AB109" s="2"/>
    </row>
    <row r="110">
      <c r="A110" s="7" t="s">
        <v>19</v>
      </c>
      <c r="B110" s="8">
        <f>SUMIFS(VOI!F:F,VOI!A:A,"7/29/24")</f>
        <v>271051</v>
      </c>
      <c r="C110" s="11">
        <f>COUNTIFS(VOI!A:A,"7/29/24")</f>
        <v>11</v>
      </c>
      <c r="D110" s="10">
        <f>SUMIFS(VOI!G:G,VOI!A:A,"7/29/24")</f>
        <v>19000</v>
      </c>
      <c r="E110" s="11">
        <f t="shared" si="25"/>
        <v>1</v>
      </c>
      <c r="F110" s="12">
        <f t="shared" si="26"/>
        <v>0.07009750932</v>
      </c>
      <c r="G110" s="9">
        <f>COUNTIFS(VOI!H:H,$G$18,VOI!A:A,"7/29/24")</f>
        <v>0</v>
      </c>
      <c r="H110" s="11">
        <f>COUNTIFS(VOI!H:H,$H$18,VOI!A:A,"7/29/24")</f>
        <v>1</v>
      </c>
      <c r="I110" s="11">
        <f>COUNTIFS(VOI!H:H,$I$18,VOI!A:A,"7/29/24")</f>
        <v>9</v>
      </c>
      <c r="J110" s="2"/>
      <c r="K110" s="2"/>
      <c r="L110" s="2"/>
      <c r="M110" s="2"/>
      <c r="N110" s="2"/>
      <c r="O110" s="2"/>
      <c r="P110" s="2"/>
      <c r="Q110" s="2"/>
      <c r="R110" s="2"/>
      <c r="S110" s="2"/>
      <c r="T110" s="2"/>
      <c r="U110" s="2"/>
      <c r="V110" s="2"/>
      <c r="W110" s="2"/>
      <c r="X110" s="2"/>
      <c r="Y110" s="2"/>
      <c r="Z110" s="2"/>
      <c r="AA110" s="2"/>
      <c r="AB110" s="2"/>
    </row>
    <row r="111">
      <c r="A111" s="7" t="s">
        <v>20</v>
      </c>
      <c r="B111" s="8">
        <f>SUMIFS(THIKA!F:F,THIKA!A:A,"7/29/24")</f>
        <v>1493133</v>
      </c>
      <c r="C111" s="11">
        <f>COUNTIFS(THIKA!A:A,"7/29/24")</f>
        <v>18</v>
      </c>
      <c r="D111" s="10">
        <f>SUMIFS(THIKA!G:G,THIKA!A:A,"7/29/24")</f>
        <v>300000</v>
      </c>
      <c r="E111" s="11">
        <f t="shared" si="25"/>
        <v>7</v>
      </c>
      <c r="F111" s="12">
        <f t="shared" si="26"/>
        <v>0.2009198109</v>
      </c>
      <c r="G111" s="9">
        <f>COUNTIFS(THIKA!I:I,$G$18,THIKA!A:A,"7/29/24")</f>
        <v>2</v>
      </c>
      <c r="H111" s="11">
        <f>COUNTIFS(THIKA!I:I,$H$18,THIKA!A:A,"7/29/24")</f>
        <v>5</v>
      </c>
      <c r="I111" s="11">
        <f>COUNTIFS(THIKA!I:I,$I$18,THIKA!A:A,"7/29/24")</f>
        <v>11</v>
      </c>
      <c r="J111" s="2"/>
      <c r="K111" s="2"/>
      <c r="L111" s="2"/>
      <c r="M111" s="2"/>
      <c r="N111" s="2"/>
      <c r="O111" s="2"/>
      <c r="P111" s="2"/>
      <c r="Q111" s="2"/>
      <c r="R111" s="2"/>
      <c r="S111" s="2"/>
      <c r="T111" s="2"/>
      <c r="U111" s="2"/>
      <c r="V111" s="2"/>
      <c r="W111" s="2"/>
      <c r="X111" s="2"/>
      <c r="Y111" s="2"/>
      <c r="Z111" s="2"/>
      <c r="AA111" s="2"/>
      <c r="AB111" s="2"/>
    </row>
    <row r="112">
      <c r="A112" s="7" t="s">
        <v>21</v>
      </c>
      <c r="B112" s="8">
        <f>SUMIFS(KITUI!F:F,KITUI!A:A,"7/29/24")</f>
        <v>175400</v>
      </c>
      <c r="C112" s="11">
        <f>COUNTIFS(KITUI!A:A,"7/29/24")</f>
        <v>4</v>
      </c>
      <c r="D112" s="10">
        <f>SUMIFS(KITUI!G:G,KITUI!A:A,"7/29/24")</f>
        <v>30000</v>
      </c>
      <c r="E112" s="11">
        <f t="shared" si="25"/>
        <v>2</v>
      </c>
      <c r="F112" s="12">
        <f t="shared" si="26"/>
        <v>0.1710376283</v>
      </c>
      <c r="G112" s="9">
        <f>COUNTIFS(KITUI!I:I,$G$18,KITUI!A:A,"7/29/24")</f>
        <v>1</v>
      </c>
      <c r="H112" s="11">
        <f>COUNTIFS(KITUI!I:I,$H$18,KITUI!A:A,"7/29/24")</f>
        <v>1</v>
      </c>
      <c r="I112" s="11">
        <f>COUNTIFS(KITUI!I:I,$I$18,KITUI!A:A,"7/29/24")</f>
        <v>2</v>
      </c>
      <c r="J112" s="2"/>
      <c r="K112" s="2"/>
      <c r="L112" s="2"/>
      <c r="M112" s="2"/>
      <c r="N112" s="2"/>
      <c r="O112" s="2"/>
      <c r="P112" s="2"/>
      <c r="Q112" s="2"/>
      <c r="R112" s="2"/>
      <c r="S112" s="2"/>
      <c r="T112" s="2"/>
      <c r="U112" s="2"/>
      <c r="V112" s="2"/>
      <c r="W112" s="2"/>
      <c r="X112" s="2"/>
      <c r="Y112" s="2"/>
      <c r="Z112" s="2"/>
      <c r="AA112" s="2"/>
      <c r="AB112" s="2"/>
    </row>
    <row r="113">
      <c r="A113" s="15" t="s">
        <v>22</v>
      </c>
      <c r="B113" s="8">
        <f>SUMIFS(MACHAKOS!F:F,MACHAKOS!A:A,"7/29/24")</f>
        <v>161243.39</v>
      </c>
      <c r="C113" s="11">
        <f>COUNTIFS(MACHAKOS!A:A,"7/29/24")</f>
        <v>3</v>
      </c>
      <c r="D113" s="10">
        <f>SUMIFS(MACHAKOS!G:G,MACHAKOS!A:A,"7/29/24")</f>
        <v>33900</v>
      </c>
      <c r="E113" s="11">
        <f t="shared" si="25"/>
        <v>2</v>
      </c>
      <c r="F113" s="12">
        <f t="shared" si="26"/>
        <v>0.2102411764</v>
      </c>
      <c r="G113" s="9">
        <f>COUNTIFS(MACHAKOS!I:I,$G$18,MACHAKOS!A:A,"7/29/24")</f>
        <v>0</v>
      </c>
      <c r="H113" s="11">
        <f>COUNTIFS(MACHAKOS!I:I,$H$18,MACHAKOS!A:A,"7/29/24")</f>
        <v>2</v>
      </c>
      <c r="I113" s="11">
        <f>COUNTIFS(MACHAKOS!I:I,$I$18,MACHAKOS!A:A,"7/29/24")</f>
        <v>1</v>
      </c>
      <c r="J113" s="2"/>
      <c r="K113" s="2"/>
      <c r="L113" s="2"/>
      <c r="M113" s="2"/>
      <c r="N113" s="2"/>
      <c r="O113" s="2"/>
      <c r="P113" s="2"/>
      <c r="Q113" s="2"/>
      <c r="R113" s="2"/>
      <c r="S113" s="2"/>
      <c r="T113" s="2"/>
      <c r="U113" s="2"/>
      <c r="V113" s="2"/>
      <c r="W113" s="2"/>
      <c r="X113" s="2"/>
      <c r="Y113" s="2"/>
      <c r="Z113" s="2"/>
      <c r="AA113" s="2"/>
      <c r="AB113" s="2"/>
    </row>
    <row r="114">
      <c r="A114" s="16" t="s">
        <v>23</v>
      </c>
      <c r="B114" s="17">
        <f t="shared" ref="B114:E114" si="27">SUM(B101:B113)</f>
        <v>37537413.12</v>
      </c>
      <c r="C114" s="18">
        <f t="shared" si="27"/>
        <v>222</v>
      </c>
      <c r="D114" s="19">
        <f t="shared" si="27"/>
        <v>13789483</v>
      </c>
      <c r="E114" s="18">
        <f t="shared" si="27"/>
        <v>71</v>
      </c>
      <c r="F114" s="20">
        <f>D114/B114</f>
        <v>0.3673530447</v>
      </c>
      <c r="G114" s="21">
        <f t="shared" ref="G114:I114" si="28">SUM(G101:G113)</f>
        <v>13</v>
      </c>
      <c r="H114" s="21">
        <f t="shared" si="28"/>
        <v>58</v>
      </c>
      <c r="I114" s="21">
        <f t="shared" si="28"/>
        <v>150</v>
      </c>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1" t="s">
        <v>27</v>
      </c>
      <c r="B116" s="25">
        <v>1150000.0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4">
        <f>B114+B116</f>
        <v>38687413.12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3" t="s">
        <v>1</v>
      </c>
      <c r="B119" s="4" t="s">
        <v>2</v>
      </c>
      <c r="C119" s="4" t="s">
        <v>3</v>
      </c>
      <c r="D119" s="4" t="s">
        <v>4</v>
      </c>
      <c r="E119" s="5" t="s">
        <v>5</v>
      </c>
      <c r="F119" s="6" t="s">
        <v>6</v>
      </c>
      <c r="G119" s="6" t="s">
        <v>7</v>
      </c>
      <c r="H119" s="6" t="s">
        <v>8</v>
      </c>
      <c r="I119" s="6" t="s">
        <v>9</v>
      </c>
      <c r="J119" s="2"/>
      <c r="K119" s="2"/>
      <c r="L119" s="2"/>
      <c r="M119" s="2"/>
      <c r="N119" s="2"/>
      <c r="O119" s="2"/>
      <c r="P119" s="2"/>
      <c r="Q119" s="2"/>
      <c r="R119" s="2"/>
      <c r="S119" s="2"/>
      <c r="T119" s="2"/>
      <c r="U119" s="2"/>
      <c r="V119" s="2"/>
      <c r="W119" s="2"/>
      <c r="X119" s="2"/>
      <c r="Y119" s="2"/>
      <c r="Z119" s="2"/>
      <c r="AA119" s="2"/>
      <c r="AB119" s="2"/>
    </row>
    <row r="120">
      <c r="A120" s="7" t="s">
        <v>10</v>
      </c>
      <c r="B120" s="8">
        <f>SUMIFS(ECOBANK!F:F,ECOBANK!A:A,"7/30/24")</f>
        <v>14160277.07</v>
      </c>
      <c r="C120" s="9">
        <f>COUNTIFS(ECOBANK!A:A,"7/30/24")</f>
        <v>20</v>
      </c>
      <c r="D120" s="10">
        <f>SUMIFS(ECOBANK!G:G,ECOBANK!A:A,"7/30/24")</f>
        <v>651058</v>
      </c>
      <c r="E120" s="11">
        <f t="shared" ref="E120:E132" si="29">G120+H120</f>
        <v>3</v>
      </c>
      <c r="F120" s="12">
        <f t="shared" ref="F120:F132" si="30">iferror(D120/B120,0)</f>
        <v>0.04597777267</v>
      </c>
      <c r="G120" s="9">
        <f>COUNTIFS(ECOBANK!I:I,$G$18,ECOBANK!A:A,"7/30/24")</f>
        <v>1</v>
      </c>
      <c r="H120" s="11">
        <f>COUNTIFS(ECOBANK!I:I,$H$18,ECOBANK!A:A,"7/30/24")</f>
        <v>2</v>
      </c>
      <c r="I120" s="11">
        <f>COUNTIFS(ECOBANK!I:I,$I$18,ECOBANK!A:A,"7/30/24")</f>
        <v>17</v>
      </c>
      <c r="J120" s="2"/>
      <c r="K120" s="2"/>
      <c r="L120" s="2"/>
      <c r="M120" s="2"/>
      <c r="N120" s="2"/>
      <c r="O120" s="2"/>
      <c r="P120" s="2"/>
      <c r="Q120" s="2"/>
      <c r="R120" s="2"/>
      <c r="S120" s="2"/>
      <c r="T120" s="2"/>
      <c r="U120" s="2"/>
      <c r="V120" s="2"/>
      <c r="W120" s="2"/>
      <c r="X120" s="2"/>
      <c r="Y120" s="2"/>
      <c r="Z120" s="2"/>
      <c r="AA120" s="2"/>
      <c r="AB120" s="2"/>
    </row>
    <row r="121">
      <c r="A121" s="7" t="s">
        <v>24</v>
      </c>
      <c r="B121" s="8">
        <f>SUMIFS('TRADE CENTER'!F:F,'TRADE CENTER'!A:A,"7/30/24")</f>
        <v>6619743.54</v>
      </c>
      <c r="C121" s="11">
        <f>COUNTIFS('TRADE CENTER'!A:A,"7/30/24")</f>
        <v>42</v>
      </c>
      <c r="D121" s="10">
        <f>SUMIFS('TRADE CENTER'!G:G,'TRADE CENTER'!A:A,"7/30/24")</f>
        <v>1239086</v>
      </c>
      <c r="E121" s="11">
        <f t="shared" si="29"/>
        <v>10</v>
      </c>
      <c r="F121" s="12">
        <f t="shared" si="30"/>
        <v>0.1871803632</v>
      </c>
      <c r="G121" s="11">
        <f>COUNTIFS('TRADE CENTER'!I:I,$G$18,'TRADE CENTER'!A:A,"7/30/24")</f>
        <v>5</v>
      </c>
      <c r="H121" s="11">
        <f>COUNTIFS('TRADE CENTER'!I:I,$H$18,'TRADE CENTER'!A:A,"7/30/24")</f>
        <v>5</v>
      </c>
      <c r="I121" s="11">
        <f>COUNTIFS('TRADE CENTER'!I:I,$I$18,'TRADE CENTER'!A:A,"7/30/24")</f>
        <v>32</v>
      </c>
      <c r="J121" s="2"/>
      <c r="K121" s="2"/>
      <c r="L121" s="2"/>
      <c r="M121" s="2"/>
      <c r="N121" s="2"/>
      <c r="O121" s="2"/>
      <c r="P121" s="2"/>
      <c r="Q121" s="2"/>
      <c r="R121" s="2"/>
      <c r="S121" s="2"/>
      <c r="T121" s="2"/>
      <c r="U121" s="2"/>
      <c r="V121" s="2"/>
      <c r="W121" s="2"/>
      <c r="X121" s="2"/>
      <c r="Y121" s="2"/>
      <c r="Z121" s="2"/>
      <c r="AA121" s="2"/>
      <c r="AB121" s="2"/>
    </row>
    <row r="122">
      <c r="A122" s="7" t="s">
        <v>12</v>
      </c>
      <c r="B122" s="8">
        <f>SUMIFS(PENSION!F:F,PENSION!A:A,"7/30/2024")</f>
        <v>5285451.44</v>
      </c>
      <c r="C122" s="11">
        <f>COUNTIFS(PENSION!A:A,"7/30/24")</f>
        <v>29</v>
      </c>
      <c r="D122" s="10">
        <f>SUMIFS(PENSION!G:G,PENSION!A:A,"7/30/2024")</f>
        <v>456731</v>
      </c>
      <c r="E122" s="11">
        <f t="shared" si="29"/>
        <v>7</v>
      </c>
      <c r="F122" s="12">
        <f t="shared" si="30"/>
        <v>0.08641286467</v>
      </c>
      <c r="G122" s="9">
        <f>COUNTIFS(PENSION!I:I,$G$18,PENSION!A:A,"7/30/24")</f>
        <v>2</v>
      </c>
      <c r="H122" s="11">
        <f>COUNTIFS(PENSION!I:I,$H$18,PENSION!A:A,"7/30/24")</f>
        <v>5</v>
      </c>
      <c r="I122" s="11">
        <f>COUNTIFS(PENSION!I:I,$I$18,PENSION!A:A,"7/30/24")</f>
        <v>22</v>
      </c>
      <c r="J122" s="2"/>
      <c r="K122" s="2"/>
      <c r="L122" s="2"/>
      <c r="M122" s="2"/>
      <c r="N122" s="2"/>
      <c r="O122" s="2"/>
      <c r="P122" s="2"/>
      <c r="Q122" s="2"/>
      <c r="R122" s="2"/>
      <c r="S122" s="2"/>
      <c r="T122" s="2"/>
      <c r="U122" s="2"/>
      <c r="V122" s="2"/>
      <c r="W122" s="2"/>
      <c r="X122" s="2"/>
      <c r="Y122" s="2"/>
      <c r="Z122" s="2"/>
      <c r="AA122" s="2"/>
      <c r="AB122" s="2"/>
    </row>
    <row r="123">
      <c r="A123" s="7" t="s">
        <v>13</v>
      </c>
      <c r="B123" s="8">
        <f>SUMIFS(KITENGELA!F:F,KITENGELA!A:A,"7/30/2024")</f>
        <v>4077278.33</v>
      </c>
      <c r="C123" s="11">
        <f>COUNTIFS(KITENGELA!A:A,"7/30/24")</f>
        <v>25</v>
      </c>
      <c r="D123" s="10">
        <f>SUMIFS(KITENGELA!G:G,KITENGELA!A:A,"7/30/24")</f>
        <v>174400</v>
      </c>
      <c r="E123" s="11">
        <f t="shared" si="29"/>
        <v>3</v>
      </c>
      <c r="F123" s="12">
        <f t="shared" si="30"/>
        <v>0.0427736313</v>
      </c>
      <c r="G123" s="11">
        <f>COUNTIFS(KITENGELA!I:I,$G$18,KITENGELA!A:A,"7/30/24")</f>
        <v>3</v>
      </c>
      <c r="H123" s="11">
        <f>COUNTIFS(KITENGELA!I:I,$H$18,KITENGELA!A:A,"7/30/24")</f>
        <v>0</v>
      </c>
      <c r="I123" s="11">
        <f>COUNTIFS(KITENGELA!I:I,$I$18,KITENGELA!A:A,"7/30/24")</f>
        <v>22</v>
      </c>
      <c r="J123" s="2"/>
      <c r="K123" s="2"/>
      <c r="L123" s="2"/>
      <c r="M123" s="2"/>
      <c r="N123" s="2"/>
      <c r="O123" s="2"/>
      <c r="P123" s="2"/>
      <c r="Q123" s="2"/>
      <c r="R123" s="2"/>
      <c r="S123" s="2"/>
      <c r="T123" s="2"/>
      <c r="U123" s="2"/>
      <c r="V123" s="2"/>
      <c r="W123" s="2"/>
      <c r="X123" s="2"/>
      <c r="Y123" s="2"/>
      <c r="Z123" s="2"/>
      <c r="AA123" s="2"/>
      <c r="AB123" s="2"/>
    </row>
    <row r="124">
      <c r="A124" s="7" t="s">
        <v>14</v>
      </c>
      <c r="B124" s="8">
        <f>SUMIFS(ELDORET!F:F,ELDORET!A:A,"7/30/24")</f>
        <v>1140008</v>
      </c>
      <c r="C124" s="11">
        <f>COUNTIFS(ELDORET!A:A,"7/30/24")</f>
        <v>14</v>
      </c>
      <c r="D124" s="10">
        <f>SUMIFS(ELDORET!G:G,ELDORET!A:A,"7/30/24")</f>
        <v>225930</v>
      </c>
      <c r="E124" s="11">
        <f t="shared" si="29"/>
        <v>2</v>
      </c>
      <c r="F124" s="12">
        <f t="shared" si="30"/>
        <v>0.1981828198</v>
      </c>
      <c r="G124" s="11">
        <f>COUNTIFS(ELDORET!I:I,$G$18,ELDORET!A:A,"7/30/24")</f>
        <v>1</v>
      </c>
      <c r="H124" s="11">
        <f>COUNTIFS(ELDORET!I:I,$H$18,ELDORET!A:A,"7/30/24")</f>
        <v>1</v>
      </c>
      <c r="I124" s="11">
        <f>COUNTIFS(ELDORET!I:I,$I$18,ELDORET!A:A,"7/30/24")</f>
        <v>12</v>
      </c>
      <c r="J124" s="2"/>
      <c r="K124" s="2"/>
      <c r="L124" s="2"/>
      <c r="M124" s="2"/>
      <c r="N124" s="2"/>
      <c r="O124" s="2"/>
      <c r="P124" s="2"/>
      <c r="Q124" s="2"/>
      <c r="R124" s="2"/>
      <c r="S124" s="2"/>
      <c r="T124" s="2"/>
      <c r="U124" s="2"/>
      <c r="V124" s="2"/>
      <c r="W124" s="2"/>
      <c r="X124" s="2"/>
      <c r="Y124" s="2"/>
      <c r="Z124" s="2"/>
      <c r="AA124" s="2"/>
      <c r="AB124" s="2"/>
    </row>
    <row r="125">
      <c r="A125" s="7" t="s">
        <v>15</v>
      </c>
      <c r="B125" s="8">
        <f>SUMIFS(NAKURU!F:F,NAKURU!A:A,"7/30/24")</f>
        <v>343000</v>
      </c>
      <c r="C125" s="11">
        <f>COUNTIFS(NAKURU!A:A,"7/30/24")</f>
        <v>3</v>
      </c>
      <c r="D125" s="10">
        <f>SUMIFS(NAKURU!G:G,NAKURU!A:A,"7/30/24")</f>
        <v>45670</v>
      </c>
      <c r="E125" s="11">
        <f t="shared" si="29"/>
        <v>1</v>
      </c>
      <c r="F125" s="12">
        <f t="shared" si="30"/>
        <v>0.133148688</v>
      </c>
      <c r="G125" s="9">
        <f>COUNTIFS(NAKURU!I:I,$G$18,NAKURU!A:A,"7/30/24")</f>
        <v>0</v>
      </c>
      <c r="H125" s="11">
        <f>COUNTIFS(NAKURU!I:I,$H$18,NAKURU!A:A,"7/30/24")</f>
        <v>1</v>
      </c>
      <c r="I125" s="11">
        <f>COUNTIFS(NAKURU!I:I,$I$18,NAKURU!A:A,"7/30/24")</f>
        <v>2</v>
      </c>
      <c r="J125" s="2"/>
      <c r="K125" s="2"/>
      <c r="L125" s="2"/>
      <c r="M125" s="2"/>
      <c r="N125" s="2"/>
      <c r="O125" s="2"/>
      <c r="P125" s="2"/>
      <c r="Q125" s="2"/>
      <c r="R125" s="2"/>
      <c r="S125" s="2"/>
      <c r="T125" s="2"/>
      <c r="U125" s="2"/>
      <c r="V125" s="2"/>
      <c r="W125" s="2"/>
      <c r="X125" s="2"/>
      <c r="Y125" s="2"/>
      <c r="Z125" s="2"/>
      <c r="AA125" s="2"/>
      <c r="AB125" s="2"/>
    </row>
    <row r="126">
      <c r="A126" s="7" t="s">
        <v>16</v>
      </c>
      <c r="B126" s="8">
        <f>SUMIFS(HOMABAY!F:F,HOMABAY!A:A,"7/30/24")</f>
        <v>69115</v>
      </c>
      <c r="C126" s="11">
        <f>COUNTIFS(HOMABAY!A:A,"7/30/24")</f>
        <v>5</v>
      </c>
      <c r="D126" s="10">
        <f>SUMIFS(HOMABAY!G:G,HOMABAY!A:A,"7/30/24")</f>
        <v>52200</v>
      </c>
      <c r="E126" s="11">
        <f t="shared" si="29"/>
        <v>4</v>
      </c>
      <c r="F126" s="12">
        <f t="shared" si="30"/>
        <v>0.7552629675</v>
      </c>
      <c r="G126" s="9">
        <f>COUNTIFS(HOMABAY!K:K,$G$18,HOMABAY!A:A,"7/30/24")</f>
        <v>2</v>
      </c>
      <c r="H126" s="11">
        <f>COUNTIFS(HOMABAY!K:K,$H$18,HOMABAY!A:A,"7/30/24")</f>
        <v>2</v>
      </c>
      <c r="I126" s="11">
        <f>COUNTIFS(HOMABAY!K:K,$I$18,HOMABAY!A:A,"7/30/24")</f>
        <v>1</v>
      </c>
      <c r="J126" s="2"/>
      <c r="K126" s="2"/>
      <c r="L126" s="2"/>
      <c r="M126" s="2"/>
      <c r="N126" s="2"/>
      <c r="O126" s="2"/>
      <c r="P126" s="2"/>
      <c r="Q126" s="2"/>
      <c r="R126" s="2"/>
      <c r="S126" s="2"/>
      <c r="T126" s="2"/>
      <c r="U126" s="2"/>
      <c r="V126" s="2"/>
      <c r="W126" s="2"/>
      <c r="X126" s="2"/>
      <c r="Y126" s="2"/>
      <c r="Z126" s="2"/>
      <c r="AA126" s="2"/>
      <c r="AB126" s="2"/>
    </row>
    <row r="127">
      <c r="A127" s="7" t="s">
        <v>17</v>
      </c>
      <c r="B127" s="8">
        <f>SUMIFS(MOMBASA!F:F,MOMBASA!A:A,"7/30/24")</f>
        <v>3126757.51</v>
      </c>
      <c r="C127" s="11">
        <f>COUNTIFS(MOMBASA!A:A,"7/30/24")</f>
        <v>21</v>
      </c>
      <c r="D127" s="14">
        <f>SUMIFS(MOMBASA!G:G,MOMBASA!A:A,"7/30/24")</f>
        <v>500190</v>
      </c>
      <c r="E127" s="11">
        <f t="shared" si="29"/>
        <v>10</v>
      </c>
      <c r="F127" s="12">
        <f t="shared" si="30"/>
        <v>0.1599708319</v>
      </c>
      <c r="G127" s="9">
        <f>COUNTIFS(MOMBASA!I:I,$G$18,MOMBASA!A:A,"7/30/24")</f>
        <v>6</v>
      </c>
      <c r="H127" s="11">
        <f>COUNTIFS(MOMBASA!I:I,$H$18,MOMBASA!A:A,"7/30/24")</f>
        <v>4</v>
      </c>
      <c r="I127" s="11">
        <f>COUNTIFS(MOMBASA!I:I,$I$18,MOMBASA!A:A,"7/30/24")</f>
        <v>11</v>
      </c>
      <c r="J127" s="2"/>
      <c r="K127" s="2"/>
      <c r="L127" s="2"/>
      <c r="M127" s="2"/>
      <c r="N127" s="2"/>
      <c r="O127" s="2"/>
      <c r="P127" s="2"/>
      <c r="Q127" s="2"/>
      <c r="R127" s="2"/>
      <c r="S127" s="2"/>
      <c r="T127" s="2"/>
      <c r="U127" s="2"/>
      <c r="V127" s="2"/>
      <c r="W127" s="2"/>
      <c r="X127" s="2"/>
      <c r="Y127" s="2"/>
      <c r="Z127" s="2"/>
      <c r="AA127" s="2"/>
      <c r="AB127" s="2"/>
    </row>
    <row r="128">
      <c r="A128" s="7" t="s">
        <v>18</v>
      </c>
      <c r="B128" s="8">
        <f>SUMIFS(KISUMU!F:F,KISUMU!A:A,"7/30/24")</f>
        <v>1079872.53</v>
      </c>
      <c r="C128" s="11">
        <f>COUNTIFS(KISUMU!A:A,"7/30/24")</f>
        <v>20</v>
      </c>
      <c r="D128" s="10">
        <f>SUMIFS(KISUMU!G:G,KISUMU!A:A,"7/30/24")</f>
        <v>68200</v>
      </c>
      <c r="E128" s="11">
        <f t="shared" si="29"/>
        <v>5</v>
      </c>
      <c r="F128" s="12">
        <f t="shared" si="30"/>
        <v>0.06315560226</v>
      </c>
      <c r="G128" s="9">
        <f>COUNTIFS(KISUMU!I:I,$G$18,KISUMU!A:A,"7/30/24")</f>
        <v>1</v>
      </c>
      <c r="H128" s="11">
        <f>COUNTIFS(KISUMU!I:I,$H$18,KISUMU!A:A,"7/30/24")</f>
        <v>4</v>
      </c>
      <c r="I128" s="11">
        <f>COUNTIFS(KISUMU!I:I,$I$18,KISUMU!A:A,"7/30/24")</f>
        <v>15</v>
      </c>
      <c r="J128" s="2"/>
      <c r="K128" s="2"/>
      <c r="L128" s="2"/>
      <c r="M128" s="2"/>
      <c r="N128" s="2"/>
      <c r="O128" s="2"/>
      <c r="P128" s="2"/>
      <c r="Q128" s="2"/>
      <c r="R128" s="2"/>
      <c r="S128" s="2"/>
      <c r="T128" s="2"/>
      <c r="U128" s="2"/>
      <c r="V128" s="2"/>
      <c r="W128" s="2"/>
      <c r="X128" s="2"/>
      <c r="Y128" s="2"/>
      <c r="Z128" s="2"/>
      <c r="AA128" s="2"/>
      <c r="AB128" s="2"/>
    </row>
    <row r="129">
      <c r="A129" s="7" t="s">
        <v>19</v>
      </c>
      <c r="B129" s="8">
        <f>SUMIFS(VOI!F:F,VOI!A:A,"7/30/24")</f>
        <v>330294</v>
      </c>
      <c r="C129" s="11">
        <f>COUNTIFS(VOI!A:A,"7/30/24")</f>
        <v>10</v>
      </c>
      <c r="D129" s="10">
        <f>SUMIFS(VOI!G:G,VOI!A:A,"7/30/24")</f>
        <v>0</v>
      </c>
      <c r="E129" s="11">
        <f t="shared" si="29"/>
        <v>0</v>
      </c>
      <c r="F129" s="12">
        <f t="shared" si="30"/>
        <v>0</v>
      </c>
      <c r="G129" s="9">
        <f>COUNTIFS(VOI!H:H,$G$18,VOI!A:A,"7/30/24")</f>
        <v>0</v>
      </c>
      <c r="H129" s="11">
        <f>COUNTIFS(VOI!H:H,$H$18,VOI!A:A,"7/30/24")</f>
        <v>0</v>
      </c>
      <c r="I129" s="11">
        <f>COUNTIFS(VOI!H:H,$I$18,VOI!A:A,"7/30/24")</f>
        <v>10</v>
      </c>
      <c r="J129" s="2"/>
      <c r="K129" s="2"/>
      <c r="L129" s="2"/>
      <c r="M129" s="2"/>
      <c r="N129" s="2"/>
      <c r="O129" s="2"/>
      <c r="P129" s="2"/>
      <c r="Q129" s="2"/>
      <c r="R129" s="2"/>
      <c r="S129" s="2"/>
      <c r="T129" s="2"/>
      <c r="U129" s="2"/>
      <c r="V129" s="2"/>
      <c r="W129" s="2"/>
      <c r="X129" s="2"/>
      <c r="Y129" s="2"/>
      <c r="Z129" s="2"/>
      <c r="AA129" s="2"/>
      <c r="AB129" s="2"/>
    </row>
    <row r="130">
      <c r="A130" s="7" t="s">
        <v>20</v>
      </c>
      <c r="B130" s="8">
        <f>SUMIFS(THIKA!F:F,THIKA!A:A,"7/30/24")</f>
        <v>2186760</v>
      </c>
      <c r="C130" s="11">
        <f>COUNTIFS(THIKA!A:A,"7/30/24")</f>
        <v>21</v>
      </c>
      <c r="D130" s="10">
        <f>SUMIFS(THIKA!G:G,THIKA!A:A,"7/30/24")</f>
        <v>426558</v>
      </c>
      <c r="E130" s="11">
        <f t="shared" si="29"/>
        <v>7</v>
      </c>
      <c r="F130" s="12">
        <f t="shared" si="30"/>
        <v>0.1950639302</v>
      </c>
      <c r="G130" s="9">
        <f>COUNTIFS(THIKA!I:I,$G$18,THIKA!A:A,"7/30/24")</f>
        <v>2</v>
      </c>
      <c r="H130" s="11">
        <f>COUNTIFS(THIKA!I:I,$H$18,THIKA!A:A,"7/30/24")</f>
        <v>5</v>
      </c>
      <c r="I130" s="11">
        <f>COUNTIFS(THIKA!I:I,$I$18,THIKA!A:A,"7/30/24")</f>
        <v>14</v>
      </c>
      <c r="J130" s="2"/>
      <c r="K130" s="2"/>
      <c r="L130" s="2"/>
      <c r="M130" s="2"/>
      <c r="N130" s="2"/>
      <c r="O130" s="2"/>
      <c r="P130" s="2"/>
      <c r="Q130" s="2"/>
      <c r="R130" s="2"/>
      <c r="S130" s="2"/>
      <c r="T130" s="2"/>
      <c r="U130" s="2"/>
      <c r="V130" s="2"/>
      <c r="W130" s="2"/>
      <c r="X130" s="2"/>
      <c r="Y130" s="2"/>
      <c r="Z130" s="2"/>
      <c r="AA130" s="2"/>
      <c r="AB130" s="2"/>
    </row>
    <row r="131">
      <c r="A131" s="7" t="s">
        <v>21</v>
      </c>
      <c r="B131" s="8">
        <f>SUMIFS(KITUI!F:F,KITUI!A:A,"7/30/24")</f>
        <v>199142</v>
      </c>
      <c r="C131" s="11">
        <f>COUNTIFS(KITUI!A:A,"7/30/24")</f>
        <v>3</v>
      </c>
      <c r="D131" s="10">
        <f>SUMIFS(KITUI!G:G,KITUI!A:A,"7/30/24")</f>
        <v>10000</v>
      </c>
      <c r="E131" s="11">
        <f t="shared" si="29"/>
        <v>1</v>
      </c>
      <c r="F131" s="12">
        <f t="shared" si="30"/>
        <v>0.05021542417</v>
      </c>
      <c r="G131" s="9">
        <f>COUNTIFS(KITUI!I:I,$G$18,KITUI!A:A,"7/30/24")</f>
        <v>1</v>
      </c>
      <c r="H131" s="11">
        <f>COUNTIFS(KITUI!I:I,$H$18,KITUI!A:A,"7/30/24")</f>
        <v>0</v>
      </c>
      <c r="I131" s="11">
        <f>COUNTIFS(KITUI!I:I,$I$18,KITUI!A:A,"7/30/24")</f>
        <v>2</v>
      </c>
      <c r="J131" s="2"/>
      <c r="K131" s="2"/>
      <c r="L131" s="2"/>
      <c r="M131" s="2"/>
      <c r="N131" s="2"/>
      <c r="O131" s="2"/>
      <c r="P131" s="2"/>
      <c r="Q131" s="2"/>
      <c r="R131" s="2"/>
      <c r="S131" s="2"/>
      <c r="T131" s="2"/>
      <c r="U131" s="2"/>
      <c r="V131" s="2"/>
      <c r="W131" s="2"/>
      <c r="X131" s="2"/>
      <c r="Y131" s="2"/>
      <c r="Z131" s="2"/>
      <c r="AA131" s="2"/>
      <c r="AB131" s="2"/>
    </row>
    <row r="132">
      <c r="A132" s="15" t="s">
        <v>22</v>
      </c>
      <c r="B132" s="8">
        <f>SUMIFS(MACHAKOS!F:F,MACHAKOS!A:A,"7/30/24")</f>
        <v>127487</v>
      </c>
      <c r="C132" s="11">
        <f>COUNTIFS(MACHAKOS!A:A,"7/30/24")</f>
        <v>1</v>
      </c>
      <c r="D132" s="10">
        <f>SUMIFS(MACHAKOS!G:G,MACHAKOS!A:A,"7/30/24")</f>
        <v>0</v>
      </c>
      <c r="E132" s="11">
        <f t="shared" si="29"/>
        <v>0</v>
      </c>
      <c r="F132" s="12">
        <f t="shared" si="30"/>
        <v>0</v>
      </c>
      <c r="G132" s="9">
        <f>COUNTIFS(MACHAKOS!I:I,$G$18,MACHAKOS!A:A,"7/30/24")</f>
        <v>0</v>
      </c>
      <c r="H132" s="11">
        <f>COUNTIFS(MACHAKOS!I:I,$H$18,MACHAKOS!A:A,"7/30/24")</f>
        <v>0</v>
      </c>
      <c r="I132" s="11">
        <f>COUNTIFS(MACHAKOS!I:I,$I$18,MACHAKOS!A:A,"7/30/24")</f>
        <v>1</v>
      </c>
      <c r="J132" s="2"/>
      <c r="K132" s="2"/>
      <c r="L132" s="2"/>
      <c r="M132" s="2"/>
      <c r="N132" s="2"/>
      <c r="O132" s="2"/>
      <c r="P132" s="2"/>
      <c r="Q132" s="2"/>
      <c r="R132" s="2"/>
      <c r="S132" s="2"/>
      <c r="T132" s="2"/>
      <c r="U132" s="2"/>
      <c r="V132" s="2"/>
      <c r="W132" s="2"/>
      <c r="X132" s="2"/>
      <c r="Y132" s="2"/>
      <c r="Z132" s="2"/>
      <c r="AA132" s="2"/>
      <c r="AB132" s="2"/>
    </row>
    <row r="133">
      <c r="A133" s="16" t="s">
        <v>23</v>
      </c>
      <c r="B133" s="17">
        <f t="shared" ref="B133:E133" si="31">SUM(B120:B132)</f>
        <v>38745186.42</v>
      </c>
      <c r="C133" s="18">
        <f t="shared" si="31"/>
        <v>214</v>
      </c>
      <c r="D133" s="19">
        <f t="shared" si="31"/>
        <v>3850023</v>
      </c>
      <c r="E133" s="18">
        <f t="shared" si="31"/>
        <v>53</v>
      </c>
      <c r="F133" s="20">
        <f>D133/B133</f>
        <v>0.09936777586</v>
      </c>
      <c r="G133" s="21">
        <f t="shared" ref="G133:I133" si="32">SUM(G120:G132)</f>
        <v>24</v>
      </c>
      <c r="H133" s="21">
        <f t="shared" si="32"/>
        <v>29</v>
      </c>
      <c r="I133" s="21">
        <f t="shared" si="32"/>
        <v>161</v>
      </c>
      <c r="J133" s="2"/>
      <c r="K133" s="2"/>
      <c r="L133" s="2"/>
      <c r="M133" s="2"/>
      <c r="N133" s="2"/>
      <c r="O133" s="2"/>
      <c r="P133" s="2"/>
      <c r="Q133" s="2"/>
      <c r="R133" s="2"/>
      <c r="S133" s="2"/>
      <c r="T133" s="2"/>
      <c r="U133" s="2"/>
      <c r="V133" s="2"/>
      <c r="W133" s="2"/>
      <c r="X133" s="2"/>
      <c r="Y133" s="2"/>
      <c r="Z133" s="2"/>
      <c r="AA133" s="2"/>
      <c r="AB133" s="2"/>
    </row>
    <row r="134">
      <c r="A134" s="1" t="s">
        <v>28</v>
      </c>
      <c r="B134" s="25">
        <v>1750000.0</v>
      </c>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3" t="s">
        <v>1</v>
      </c>
      <c r="B136" s="5" t="s">
        <v>2</v>
      </c>
      <c r="C136" s="5" t="s">
        <v>3</v>
      </c>
      <c r="D136" s="5" t="s">
        <v>4</v>
      </c>
      <c r="E136" s="5" t="s">
        <v>5</v>
      </c>
      <c r="F136" s="26" t="s">
        <v>6</v>
      </c>
      <c r="G136" s="26" t="s">
        <v>7</v>
      </c>
      <c r="H136" s="26" t="s">
        <v>8</v>
      </c>
      <c r="I136" s="26" t="s">
        <v>9</v>
      </c>
      <c r="J136" s="2"/>
      <c r="K136" s="2"/>
      <c r="L136" s="2"/>
      <c r="M136" s="2"/>
      <c r="N136" s="2"/>
      <c r="O136" s="2"/>
      <c r="P136" s="2"/>
      <c r="Q136" s="2"/>
      <c r="R136" s="2"/>
      <c r="S136" s="2"/>
      <c r="T136" s="2"/>
      <c r="U136" s="2"/>
      <c r="V136" s="2"/>
      <c r="W136" s="2"/>
      <c r="X136" s="2"/>
      <c r="Y136" s="2"/>
      <c r="Z136" s="2"/>
      <c r="AA136" s="2"/>
      <c r="AB136" s="2"/>
    </row>
    <row r="137">
      <c r="A137" s="7" t="s">
        <v>10</v>
      </c>
      <c r="B137" s="8">
        <f>SUMIFS(ECOBANK!F:F,ECOBANK!A:A,"7/31/24")</f>
        <v>14013590.5</v>
      </c>
      <c r="C137" s="9">
        <f>COUNTIFS(ECOBANK!A:A,"7/31/24")</f>
        <v>15</v>
      </c>
      <c r="D137" s="10">
        <f>SUMIFS(ECOBANK!G:G,ECOBANK!A:A,"7/31/24")</f>
        <v>5695000</v>
      </c>
      <c r="E137" s="11">
        <f t="shared" ref="E137:E149" si="33">G137+H137</f>
        <v>3</v>
      </c>
      <c r="F137" s="12">
        <f t="shared" ref="F137:F149" si="34">iferror(D137/B137,0)</f>
        <v>0.40639121</v>
      </c>
      <c r="G137" s="9">
        <f>COUNTIFS(ECOBANK!I:I,$G$18,ECOBANK!A:A,"7/31/24")</f>
        <v>2</v>
      </c>
      <c r="H137" s="11">
        <f>COUNTIFS(ECOBANK!I:I,$H$18,ECOBANK!A:A,"7/31/24")</f>
        <v>1</v>
      </c>
      <c r="I137" s="11">
        <f>COUNTIFS(ECOBANK!I:I,$I$18,ECOBANK!A:A,"7/31/24")</f>
        <v>12</v>
      </c>
      <c r="J137" s="2"/>
      <c r="K137" s="2"/>
      <c r="L137" s="2"/>
      <c r="M137" s="2"/>
      <c r="N137" s="2"/>
      <c r="O137" s="2"/>
      <c r="P137" s="2"/>
      <c r="Q137" s="2"/>
      <c r="R137" s="2"/>
      <c r="S137" s="2"/>
      <c r="T137" s="2"/>
      <c r="U137" s="2"/>
      <c r="V137" s="2"/>
      <c r="W137" s="2"/>
      <c r="X137" s="2"/>
      <c r="Y137" s="2"/>
      <c r="Z137" s="2"/>
      <c r="AA137" s="2"/>
      <c r="AB137" s="2"/>
    </row>
    <row r="138">
      <c r="A138" s="7" t="s">
        <v>24</v>
      </c>
      <c r="B138" s="8">
        <f>SUMIFS('TRADE CENTER'!F:F,'TRADE CENTER'!A:A,"7/31/24")</f>
        <v>8168281</v>
      </c>
      <c r="C138" s="11">
        <f>COUNTIFS('TRADE CENTER'!A:A,"7/31/24")</f>
        <v>40</v>
      </c>
      <c r="D138" s="10">
        <f>SUMIFS('TRADE CENTER'!G:G,'TRADE CENTER'!A:A,"7/31/24")</f>
        <v>2979203</v>
      </c>
      <c r="E138" s="11">
        <f t="shared" si="33"/>
        <v>8</v>
      </c>
      <c r="F138" s="12">
        <f t="shared" si="34"/>
        <v>0.3647282702</v>
      </c>
      <c r="G138" s="11">
        <f>COUNTIFS('TRADE CENTER'!I:I,$G$18,'TRADE CENTER'!A:A,"7/31/24")</f>
        <v>4</v>
      </c>
      <c r="H138" s="11">
        <f>COUNTIFS('TRADE CENTER'!I:I,$H$18,'TRADE CENTER'!A:A,"7/31/24")</f>
        <v>4</v>
      </c>
      <c r="I138" s="11">
        <f>COUNTIFS('TRADE CENTER'!I:I,$I$18,'TRADE CENTER'!A:A,"7/31/24")</f>
        <v>32</v>
      </c>
      <c r="J138" s="2"/>
      <c r="K138" s="2"/>
      <c r="L138" s="2"/>
      <c r="M138" s="2"/>
      <c r="N138" s="2"/>
      <c r="O138" s="2"/>
      <c r="P138" s="2"/>
      <c r="Q138" s="2"/>
      <c r="R138" s="2"/>
      <c r="S138" s="2"/>
      <c r="T138" s="2"/>
      <c r="U138" s="2"/>
      <c r="V138" s="2"/>
      <c r="W138" s="2"/>
      <c r="X138" s="2"/>
      <c r="Y138" s="2"/>
      <c r="Z138" s="2"/>
      <c r="AA138" s="2"/>
      <c r="AB138" s="2"/>
    </row>
    <row r="139">
      <c r="A139" s="7" t="s">
        <v>12</v>
      </c>
      <c r="B139" s="8">
        <f>SUMIFS(PENSION!F:F,PENSION!A:A,"7/31/2024")</f>
        <v>5613532.7</v>
      </c>
      <c r="C139" s="11">
        <f>COUNTIFS(PENSION!A:A,"7/31/24")</f>
        <v>31</v>
      </c>
      <c r="D139" s="10">
        <f>SUMIFS(PENSION!G:G,PENSION!A:A,"7/31/2024")</f>
        <v>1236688</v>
      </c>
      <c r="E139" s="11">
        <f t="shared" si="33"/>
        <v>6</v>
      </c>
      <c r="F139" s="12">
        <f t="shared" si="34"/>
        <v>0.2203047646</v>
      </c>
      <c r="G139" s="9">
        <f>COUNTIFS(PENSION!I:I,$G$18,PENSION!A:A,"7/31/24")</f>
        <v>1</v>
      </c>
      <c r="H139" s="11">
        <f>COUNTIFS(PENSION!I:I,$H$18,PENSION!A:A,"7/31/24")</f>
        <v>5</v>
      </c>
      <c r="I139" s="11">
        <f>COUNTIFS(PENSION!I:I,$I$18,PENSION!A:A,"7/31/24")</f>
        <v>25</v>
      </c>
      <c r="J139" s="2"/>
      <c r="K139" s="2"/>
      <c r="L139" s="2"/>
      <c r="M139" s="2"/>
      <c r="N139" s="2"/>
      <c r="O139" s="2"/>
      <c r="P139" s="2"/>
      <c r="Q139" s="2"/>
      <c r="R139" s="2"/>
      <c r="S139" s="2"/>
      <c r="T139" s="2"/>
      <c r="U139" s="2"/>
      <c r="V139" s="2"/>
      <c r="W139" s="2"/>
      <c r="X139" s="2"/>
      <c r="Y139" s="2"/>
      <c r="Z139" s="2"/>
      <c r="AA139" s="2"/>
      <c r="AB139" s="2"/>
    </row>
    <row r="140">
      <c r="A140" s="7" t="s">
        <v>13</v>
      </c>
      <c r="B140" s="8">
        <f>SUMIFS(KITENGELA!F:F,KITENGELA!A:A,"7/30/2024")</f>
        <v>4077278.33</v>
      </c>
      <c r="C140" s="11">
        <f>COUNTIFS(KITENGELA!A:A,"7/31/24")</f>
        <v>23</v>
      </c>
      <c r="D140" s="10">
        <f>SUMIFS(KITENGELA!G:G,KITENGELA!A:A,"7/31/24")</f>
        <v>192856</v>
      </c>
      <c r="E140" s="11">
        <f t="shared" si="33"/>
        <v>6</v>
      </c>
      <c r="F140" s="12">
        <f t="shared" si="34"/>
        <v>0.04730018027</v>
      </c>
      <c r="G140" s="11">
        <f>COUNTIFS(KITENGELA!I:I,$G$18,KITENGELA!A:A,"7/31/24")</f>
        <v>2</v>
      </c>
      <c r="H140" s="11">
        <f>COUNTIFS(KITENGELA!I:I,$H$18,KITENGELA!A:A,"7/31/24")</f>
        <v>4</v>
      </c>
      <c r="I140" s="11">
        <f>COUNTIFS(KITENGELA!I:I,$I$18,KITENGELA!A:A,"7/31/24")</f>
        <v>17</v>
      </c>
      <c r="J140" s="2"/>
      <c r="K140" s="2"/>
      <c r="L140" s="2"/>
      <c r="M140" s="2"/>
      <c r="N140" s="2"/>
      <c r="O140" s="2"/>
      <c r="P140" s="2"/>
      <c r="Q140" s="2"/>
      <c r="R140" s="2"/>
      <c r="S140" s="2"/>
      <c r="T140" s="2"/>
      <c r="U140" s="2"/>
      <c r="V140" s="2"/>
      <c r="W140" s="2"/>
      <c r="X140" s="2"/>
      <c r="Y140" s="2"/>
      <c r="Z140" s="2"/>
      <c r="AA140" s="2"/>
      <c r="AB140" s="2"/>
    </row>
    <row r="141">
      <c r="A141" s="7" t="s">
        <v>14</v>
      </c>
      <c r="B141" s="8">
        <f>SUMIFS(ELDORET!F:F,ELDORET!A:A,"7/31/24")</f>
        <v>354548</v>
      </c>
      <c r="C141" s="11">
        <f>COUNTIFS(ELDORET!A:A,"7/31/24")</f>
        <v>11</v>
      </c>
      <c r="D141" s="10">
        <f>SUMIFS(ELDORET!G:G,ELDORET!A:A,"7/31/24")</f>
        <v>26700</v>
      </c>
      <c r="E141" s="11">
        <f t="shared" si="33"/>
        <v>2</v>
      </c>
      <c r="F141" s="12">
        <f t="shared" si="34"/>
        <v>0.07530715164</v>
      </c>
      <c r="G141" s="11">
        <f>COUNTIFS(ELDORET!I:I,$G$18,ELDORET!A:A,"7/31/24")</f>
        <v>0</v>
      </c>
      <c r="H141" s="11">
        <f>COUNTIFS(ELDORET!I:I,$H$18,ELDORET!A:A,"7/31/24")</f>
        <v>2</v>
      </c>
      <c r="I141" s="11">
        <f>COUNTIFS(ELDORET!I:I,$I$18,ELDORET!A:A,"7/31/24")</f>
        <v>9</v>
      </c>
      <c r="J141" s="2"/>
      <c r="K141" s="2"/>
      <c r="L141" s="2"/>
      <c r="M141" s="2"/>
      <c r="N141" s="2"/>
      <c r="O141" s="2"/>
      <c r="P141" s="2"/>
      <c r="Q141" s="2"/>
      <c r="R141" s="2"/>
      <c r="S141" s="2"/>
      <c r="T141" s="2"/>
      <c r="U141" s="2"/>
      <c r="V141" s="2"/>
      <c r="W141" s="2"/>
      <c r="X141" s="2"/>
      <c r="Y141" s="2"/>
      <c r="Z141" s="2"/>
      <c r="AA141" s="2"/>
      <c r="AB141" s="2"/>
    </row>
    <row r="142">
      <c r="A142" s="7" t="s">
        <v>15</v>
      </c>
      <c r="B142" s="8">
        <f>SUMIFS(NAKURU!F:F,NAKURU!A:A,"7/31/24")</f>
        <v>418500</v>
      </c>
      <c r="C142" s="11">
        <f>COUNTIFS(NAKURU!A:A,"7/31/24")</f>
        <v>4</v>
      </c>
      <c r="D142" s="10">
        <f>SUMIFS(NAKURU!G:G,NAKURU!A:A,"7/31/24")</f>
        <v>199335</v>
      </c>
      <c r="E142" s="11">
        <f t="shared" si="33"/>
        <v>3</v>
      </c>
      <c r="F142" s="12">
        <f t="shared" si="34"/>
        <v>0.4763082437</v>
      </c>
      <c r="G142" s="9">
        <f>COUNTIFS(NAKURU!I:I,$G$18,NAKURU!A:A,"7/31/24")</f>
        <v>1</v>
      </c>
      <c r="H142" s="11">
        <f>COUNTIFS(NAKURU!I:I,$H$18,NAKURU!A:A,"7/31/24")</f>
        <v>2</v>
      </c>
      <c r="I142" s="11">
        <f>COUNTIFS(NAKURU!I:I,$I$18,NAKURU!A:A,"7/31/24")</f>
        <v>1</v>
      </c>
      <c r="J142" s="2"/>
      <c r="K142" s="2"/>
      <c r="L142" s="2"/>
      <c r="M142" s="2"/>
      <c r="N142" s="2"/>
      <c r="O142" s="2"/>
      <c r="P142" s="2"/>
      <c r="Q142" s="2"/>
      <c r="R142" s="2"/>
      <c r="S142" s="2"/>
      <c r="T142" s="2"/>
      <c r="U142" s="2"/>
      <c r="V142" s="2"/>
      <c r="W142" s="2"/>
      <c r="X142" s="2"/>
      <c r="Y142" s="2"/>
      <c r="Z142" s="2"/>
      <c r="AA142" s="2"/>
      <c r="AB142" s="2"/>
    </row>
    <row r="143">
      <c r="A143" s="7" t="s">
        <v>16</v>
      </c>
      <c r="B143" s="8">
        <f>SUMIFS(HOMABAY!F:F,HOMABAY!A:A,"7/31/24")</f>
        <v>65000</v>
      </c>
      <c r="C143" s="11">
        <f>COUNTIFS(HOMABAY!A:A,"7/31/24")</f>
        <v>3</v>
      </c>
      <c r="D143" s="10">
        <f>SUMIFS(HOMABAY!G:G,HOMABAY!A:A,"7/31/24")</f>
        <v>11000</v>
      </c>
      <c r="E143" s="11">
        <f t="shared" si="33"/>
        <v>1</v>
      </c>
      <c r="F143" s="12">
        <f t="shared" si="34"/>
        <v>0.1692307692</v>
      </c>
      <c r="G143" s="9">
        <f>COUNTIFS(HOMABAY!K:K,$G$18,HOMABAY!A:A,"7/31/24")</f>
        <v>1</v>
      </c>
      <c r="H143" s="11">
        <f>COUNTIFS(HOMABAY!K:K,$H$18,HOMABAY!A:A,"7/31/24")</f>
        <v>0</v>
      </c>
      <c r="I143" s="11">
        <f>COUNTIFS(HOMABAY!K:K,$I$18,HOMABAY!A:A,"7/31/24")</f>
        <v>2</v>
      </c>
      <c r="J143" s="2"/>
      <c r="K143" s="2"/>
      <c r="L143" s="2"/>
      <c r="M143" s="2"/>
      <c r="N143" s="2"/>
      <c r="O143" s="2"/>
      <c r="P143" s="2"/>
      <c r="Q143" s="2"/>
      <c r="R143" s="2"/>
      <c r="S143" s="2"/>
      <c r="T143" s="2"/>
      <c r="U143" s="2"/>
      <c r="V143" s="2"/>
      <c r="W143" s="2"/>
      <c r="X143" s="2"/>
      <c r="Y143" s="2"/>
      <c r="Z143" s="2"/>
      <c r="AA143" s="2"/>
      <c r="AB143" s="2"/>
    </row>
    <row r="144">
      <c r="A144" s="7" t="s">
        <v>17</v>
      </c>
      <c r="B144" s="8">
        <f>SUMIFS(MOMBASA!F:F,MOMBASA!A:A,"7/31/24")</f>
        <v>2561914.61</v>
      </c>
      <c r="C144" s="11">
        <f>COUNTIFS(MOMBASA!A:A,"7/31/24")</f>
        <v>18</v>
      </c>
      <c r="D144" s="27">
        <f>SUMIFS(MOMBASA!G:G,MOMBASA!A:A,"7/31/24")</f>
        <v>207476</v>
      </c>
      <c r="E144" s="11">
        <f t="shared" si="33"/>
        <v>5</v>
      </c>
      <c r="F144" s="12">
        <f t="shared" si="34"/>
        <v>0.08098474445</v>
      </c>
      <c r="G144" s="9">
        <f>COUNTIFS(MOMBASA!I:I,$G$18,MOMBASA!A:A,"7/31/24")</f>
        <v>1</v>
      </c>
      <c r="H144" s="11">
        <f>COUNTIFS(MOMBASA!I:I,$H$18,MOMBASA!A:A,"7/31/24")</f>
        <v>4</v>
      </c>
      <c r="I144" s="11">
        <f>COUNTIFS(MOMBASA!I:I,$I$18,MOMBASA!A:A,"7/31/24")</f>
        <v>13</v>
      </c>
      <c r="J144" s="2"/>
      <c r="K144" s="2"/>
      <c r="L144" s="2"/>
      <c r="M144" s="2"/>
      <c r="N144" s="2"/>
      <c r="O144" s="2"/>
      <c r="P144" s="2"/>
      <c r="Q144" s="2"/>
      <c r="R144" s="2"/>
      <c r="S144" s="2"/>
      <c r="T144" s="2"/>
      <c r="U144" s="2"/>
      <c r="V144" s="2"/>
      <c r="W144" s="2"/>
      <c r="X144" s="2"/>
      <c r="Y144" s="2"/>
      <c r="Z144" s="2"/>
      <c r="AA144" s="2"/>
      <c r="AB144" s="2"/>
    </row>
    <row r="145">
      <c r="A145" s="7" t="s">
        <v>18</v>
      </c>
      <c r="B145" s="8">
        <f>SUMIFS(KISUMU!F:F,KISUMU!A:A,"7/31/24")</f>
        <v>1355468.61</v>
      </c>
      <c r="C145" s="11">
        <f>COUNTIFS(KISUMU!A:A,"7/31/24")</f>
        <v>18</v>
      </c>
      <c r="D145" s="10">
        <f>SUMIFS(KISUMU!G:G,KISUMU!A:A,"7/31/24")</f>
        <v>73201</v>
      </c>
      <c r="E145" s="11">
        <f t="shared" si="33"/>
        <v>2</v>
      </c>
      <c r="F145" s="12">
        <f t="shared" si="34"/>
        <v>0.05400420154</v>
      </c>
      <c r="G145" s="9">
        <f>COUNTIFS(KISUMU!I:I,$G$18,KISUMU!A:A,"7/31/24")</f>
        <v>0</v>
      </c>
      <c r="H145" s="11">
        <f>COUNTIFS(KISUMU!I:I,$H$18,KISUMU!A:A,"7/31/24")</f>
        <v>2</v>
      </c>
      <c r="I145" s="11">
        <f>COUNTIFS(KISUMU!I:I,$I$18,KISUMU!A:A,"7/31/24")</f>
        <v>16</v>
      </c>
      <c r="J145" s="2"/>
      <c r="K145" s="2"/>
      <c r="L145" s="2"/>
      <c r="M145" s="2"/>
      <c r="N145" s="2"/>
      <c r="O145" s="2"/>
      <c r="P145" s="2"/>
      <c r="Q145" s="2"/>
      <c r="R145" s="2"/>
      <c r="S145" s="2"/>
      <c r="T145" s="2"/>
      <c r="U145" s="2"/>
      <c r="V145" s="2"/>
      <c r="W145" s="2"/>
      <c r="X145" s="2"/>
      <c r="Y145" s="2"/>
      <c r="Z145" s="2"/>
      <c r="AA145" s="2"/>
      <c r="AB145" s="2"/>
    </row>
    <row r="146">
      <c r="A146" s="7" t="s">
        <v>19</v>
      </c>
      <c r="B146" s="8">
        <f>SUMIFS(VOI!F:F,VOI!A:A,"7/31/24")</f>
        <v>279244</v>
      </c>
      <c r="C146" s="11">
        <f>COUNTIFS(VOI!A:A,"7/31/24")</f>
        <v>10</v>
      </c>
      <c r="D146" s="10">
        <f>SUMIFS(VOI!G:G,VOI!A:A,"7/31/24")</f>
        <v>30000</v>
      </c>
      <c r="E146" s="11">
        <f t="shared" si="33"/>
        <v>2</v>
      </c>
      <c r="F146" s="12">
        <f t="shared" si="34"/>
        <v>0.107432926</v>
      </c>
      <c r="G146" s="9">
        <f>COUNTIFS(VOI!H:H,$G$18,VOI!A:A,"7/31/24")</f>
        <v>1</v>
      </c>
      <c r="H146" s="11">
        <f>COUNTIFS(VOI!H:H,$H$18,VOI!A:A,"7/31/24")</f>
        <v>1</v>
      </c>
      <c r="I146" s="11">
        <f>COUNTIFS(VOI!H:H,$I$18,VOI!A:A,"7/31/24")</f>
        <v>8</v>
      </c>
      <c r="J146" s="2"/>
      <c r="K146" s="2"/>
      <c r="L146" s="2"/>
      <c r="M146" s="2"/>
      <c r="N146" s="2"/>
      <c r="O146" s="2"/>
      <c r="P146" s="2"/>
      <c r="Q146" s="2"/>
      <c r="R146" s="2"/>
      <c r="S146" s="2"/>
      <c r="T146" s="2"/>
      <c r="U146" s="2"/>
      <c r="V146" s="2"/>
      <c r="W146" s="2"/>
      <c r="X146" s="2"/>
      <c r="Y146" s="2"/>
      <c r="Z146" s="2"/>
      <c r="AA146" s="2"/>
      <c r="AB146" s="2"/>
    </row>
    <row r="147">
      <c r="A147" s="7" t="s">
        <v>20</v>
      </c>
      <c r="B147" s="8">
        <f>SUMIFS(THIKA!F:F,THIKA!A:A,"7/31/24")</f>
        <v>1485619</v>
      </c>
      <c r="C147" s="11">
        <f>COUNTIFS(THIKA!A:A,"7/31/24")</f>
        <v>18</v>
      </c>
      <c r="D147" s="10">
        <f>SUMIFS(THIKA!G:G,THIKA!A:A,"7/31/24")</f>
        <v>278631</v>
      </c>
      <c r="E147" s="11">
        <f t="shared" si="33"/>
        <v>4</v>
      </c>
      <c r="F147" s="12">
        <f t="shared" si="34"/>
        <v>0.1875521247</v>
      </c>
      <c r="G147" s="9">
        <f>COUNTIFS(THIKA!I:I,$G$18,THIKA!A:A,"7/31/24")</f>
        <v>1</v>
      </c>
      <c r="H147" s="11">
        <f>COUNTIFS(THIKA!I:I,$H$18,THIKA!A:A,"7/31/24")</f>
        <v>3</v>
      </c>
      <c r="I147" s="11">
        <f>COUNTIFS(THIKA!I:I,$I$18,THIKA!A:A,"7/31/24")</f>
        <v>14</v>
      </c>
      <c r="J147" s="2"/>
      <c r="K147" s="2"/>
      <c r="L147" s="2"/>
      <c r="M147" s="2"/>
      <c r="N147" s="2"/>
      <c r="O147" s="2"/>
      <c r="P147" s="2"/>
      <c r="Q147" s="2"/>
      <c r="R147" s="2"/>
      <c r="S147" s="2"/>
      <c r="T147" s="2"/>
      <c r="U147" s="2"/>
      <c r="V147" s="2"/>
      <c r="W147" s="2"/>
      <c r="X147" s="2"/>
      <c r="Y147" s="2"/>
      <c r="Z147" s="2"/>
      <c r="AA147" s="2"/>
      <c r="AB147" s="2"/>
    </row>
    <row r="148">
      <c r="A148" s="7" t="s">
        <v>21</v>
      </c>
      <c r="B148" s="8">
        <f>SUMIFS(KITUI!F:F,KITUI!A:A,"7/31/24")</f>
        <v>189142</v>
      </c>
      <c r="C148" s="11">
        <f>COUNTIFS(KITUI!A:A,"7/31/24")</f>
        <v>3</v>
      </c>
      <c r="D148" s="10">
        <f>SUMIFS(KITUI!G:G,KITUI!A:A,"7/31/24")</f>
        <v>50000</v>
      </c>
      <c r="E148" s="11">
        <f t="shared" si="33"/>
        <v>2</v>
      </c>
      <c r="F148" s="12">
        <f t="shared" si="34"/>
        <v>0.2643516511</v>
      </c>
      <c r="G148" s="9">
        <f>COUNTIFS(KITUI!I:I,$G$18,KITUI!A:A,"7/31/24")</f>
        <v>1</v>
      </c>
      <c r="H148" s="11">
        <f>COUNTIFS(KITUI!I:I,$H$18,KITUI!A:A,"7/31/24")</f>
        <v>1</v>
      </c>
      <c r="I148" s="11">
        <f>COUNTIFS(KITUI!I:I,$I$18,KITUI!A:A,"7/31/24")</f>
        <v>1</v>
      </c>
      <c r="J148" s="2"/>
      <c r="K148" s="2"/>
      <c r="L148" s="2"/>
      <c r="M148" s="2"/>
      <c r="N148" s="2"/>
      <c r="O148" s="2"/>
      <c r="P148" s="2"/>
      <c r="Q148" s="2"/>
      <c r="R148" s="2"/>
      <c r="S148" s="2"/>
      <c r="T148" s="2"/>
      <c r="U148" s="2"/>
      <c r="V148" s="2"/>
      <c r="W148" s="2"/>
      <c r="X148" s="2"/>
      <c r="Y148" s="2"/>
      <c r="Z148" s="2"/>
      <c r="AA148" s="2"/>
      <c r="AB148" s="2"/>
    </row>
    <row r="149">
      <c r="A149" s="15" t="s">
        <v>22</v>
      </c>
      <c r="B149" s="8">
        <f>SUMIFS(MACHAKOS!F:F,MACHAKOS!A:A,"7/31/24")</f>
        <v>127487</v>
      </c>
      <c r="C149" s="11">
        <f>COUNTIFS(MACHAKOS!A:A,"7/31/24")</f>
        <v>1</v>
      </c>
      <c r="D149" s="10">
        <f>SUMIFS(MACHAKOS!G:G,MACHAKOS!A:A,"7/31/24")</f>
        <v>0</v>
      </c>
      <c r="E149" s="11">
        <f t="shared" si="33"/>
        <v>0</v>
      </c>
      <c r="F149" s="12">
        <f t="shared" si="34"/>
        <v>0</v>
      </c>
      <c r="G149" s="9">
        <f>COUNTIFS(MACHAKOS!I:I,$G$18,MACHAKOS!A:A,"7/31/24")</f>
        <v>0</v>
      </c>
      <c r="H149" s="11">
        <f>COUNTIFS(MACHAKOS!I:I,$H$18,MACHAKOS!A:A,"7/31/24")</f>
        <v>0</v>
      </c>
      <c r="I149" s="11">
        <f>COUNTIFS(MACHAKOS!I:I,$I$18,MACHAKOS!A:A,"7/31/24")</f>
        <v>1</v>
      </c>
      <c r="J149" s="2"/>
      <c r="K149" s="2"/>
      <c r="L149" s="2"/>
      <c r="M149" s="2"/>
      <c r="N149" s="2"/>
      <c r="O149" s="2"/>
      <c r="P149" s="2"/>
      <c r="Q149" s="2"/>
      <c r="R149" s="2"/>
      <c r="S149" s="2"/>
      <c r="T149" s="2"/>
      <c r="U149" s="2"/>
      <c r="V149" s="2"/>
      <c r="W149" s="2"/>
      <c r="X149" s="2"/>
      <c r="Y149" s="2"/>
      <c r="Z149" s="2"/>
      <c r="AA149" s="2"/>
      <c r="AB149" s="2"/>
    </row>
    <row r="150">
      <c r="A150" s="16" t="s">
        <v>23</v>
      </c>
      <c r="B150" s="19">
        <f t="shared" ref="B150:E150" si="35">SUM(B137:B149)</f>
        <v>38709605.75</v>
      </c>
      <c r="C150" s="18">
        <f t="shared" si="35"/>
        <v>195</v>
      </c>
      <c r="D150" s="19">
        <f t="shared" si="35"/>
        <v>10980090</v>
      </c>
      <c r="E150" s="18">
        <f t="shared" si="35"/>
        <v>44</v>
      </c>
      <c r="F150" s="20">
        <f>D150/B150</f>
        <v>0.2836528502</v>
      </c>
      <c r="G150" s="21">
        <f t="shared" ref="G150:I150" si="36">SUM(G137:G149)</f>
        <v>15</v>
      </c>
      <c r="H150" s="21">
        <f t="shared" si="36"/>
        <v>29</v>
      </c>
      <c r="I150" s="21">
        <f t="shared" si="36"/>
        <v>151</v>
      </c>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3" t="s">
        <v>1</v>
      </c>
      <c r="B152" s="5" t="s">
        <v>2</v>
      </c>
      <c r="C152" s="5" t="s">
        <v>3</v>
      </c>
      <c r="D152" s="5" t="s">
        <v>4</v>
      </c>
      <c r="E152" s="5" t="s">
        <v>5</v>
      </c>
      <c r="F152" s="26" t="s">
        <v>6</v>
      </c>
      <c r="G152" s="26" t="s">
        <v>7</v>
      </c>
      <c r="H152" s="26" t="s">
        <v>8</v>
      </c>
      <c r="I152" s="26" t="s">
        <v>9</v>
      </c>
      <c r="J152" s="2"/>
      <c r="K152" s="2"/>
      <c r="L152" s="2"/>
      <c r="M152" s="2"/>
      <c r="N152" s="2"/>
      <c r="O152" s="2"/>
      <c r="P152" s="2"/>
      <c r="Q152" s="2"/>
      <c r="R152" s="2"/>
      <c r="S152" s="2"/>
      <c r="T152" s="2"/>
      <c r="U152" s="2"/>
      <c r="V152" s="2"/>
      <c r="W152" s="2"/>
      <c r="X152" s="2"/>
      <c r="Y152" s="2"/>
      <c r="Z152" s="2"/>
      <c r="AA152" s="2"/>
      <c r="AB152" s="2"/>
    </row>
    <row r="153">
      <c r="A153" s="7" t="s">
        <v>10</v>
      </c>
      <c r="B153" s="8">
        <f>SUMIFS(ECOBANK!F:F,ECOBANK!A:A,"8/1/24")</f>
        <v>14559991.5</v>
      </c>
      <c r="C153" s="9">
        <f>COUNTIFS(ECOBANK!A:A,"8/1/24")</f>
        <v>19</v>
      </c>
      <c r="D153" s="10">
        <f>SUMIFS(ECOBANK!G:G,ECOBANK!A:A,"8/1/24")</f>
        <v>823325</v>
      </c>
      <c r="E153" s="11">
        <f t="shared" ref="E153:E165" si="37">G153+H153</f>
        <v>5</v>
      </c>
      <c r="F153" s="12">
        <f t="shared" ref="F153:F165" si="38">iferror(D153/B153,0)</f>
        <v>0.05654707971</v>
      </c>
      <c r="G153" s="9">
        <f>COUNTIFS(ECOBANK!I:I,$G$18,ECOBANK!A:A,"8/1/24")</f>
        <v>2</v>
      </c>
      <c r="H153" s="11">
        <f>COUNTIFS(ECOBANK!I:I,$H$18,ECOBANK!A:A,"8/1/24")</f>
        <v>3</v>
      </c>
      <c r="I153" s="11">
        <f>COUNTIFS(ECOBANK!I:I,$I$18,ECOBANK!A:A,"8/1/24")</f>
        <v>14</v>
      </c>
      <c r="J153" s="2"/>
      <c r="K153" s="2"/>
      <c r="L153" s="2"/>
      <c r="M153" s="2"/>
      <c r="N153" s="2"/>
      <c r="O153" s="2"/>
      <c r="P153" s="2"/>
      <c r="Q153" s="2"/>
      <c r="R153" s="2"/>
      <c r="S153" s="2"/>
      <c r="T153" s="2"/>
      <c r="U153" s="2"/>
      <c r="V153" s="2"/>
      <c r="W153" s="2"/>
      <c r="X153" s="2"/>
      <c r="Y153" s="2"/>
      <c r="Z153" s="2"/>
      <c r="AA153" s="2"/>
      <c r="AB153" s="2"/>
    </row>
    <row r="154">
      <c r="A154" s="7" t="s">
        <v>24</v>
      </c>
      <c r="B154" s="8">
        <f>SUMIFS('TRADE CENTER'!F:F,'TRADE CENTER'!A:A,"8/1/24")</f>
        <v>8058368.91</v>
      </c>
      <c r="C154" s="11">
        <f>COUNTIFS('TRADE CENTER'!A:A,"8/1/24")</f>
        <v>60</v>
      </c>
      <c r="D154" s="10">
        <f>SUMIFS('TRADE CENTER'!G:G,'TRADE CENTER'!A:A,"8/1/24")</f>
        <v>1905938</v>
      </c>
      <c r="E154" s="11">
        <f t="shared" si="37"/>
        <v>16</v>
      </c>
      <c r="F154" s="12">
        <f t="shared" si="38"/>
        <v>0.236516598</v>
      </c>
      <c r="G154" s="11">
        <f>COUNTIFS('TRADE CENTER'!I:I,$G$18,'TRADE CENTER'!A:A,"8/1/24")</f>
        <v>6</v>
      </c>
      <c r="H154" s="11">
        <f>COUNTIFS('TRADE CENTER'!I:I,$H$18,'TRADE CENTER'!A:A,"8/1/24")</f>
        <v>10</v>
      </c>
      <c r="I154" s="11">
        <f>COUNTIFS('TRADE CENTER'!I:I,$I$18,'TRADE CENTER'!A:A,"8/1/24")</f>
        <v>44</v>
      </c>
      <c r="J154" s="2"/>
      <c r="K154" s="2"/>
      <c r="L154" s="2"/>
      <c r="M154" s="2"/>
      <c r="N154" s="2"/>
      <c r="O154" s="2"/>
      <c r="P154" s="2"/>
      <c r="Q154" s="2"/>
      <c r="R154" s="2"/>
      <c r="S154" s="2"/>
      <c r="T154" s="2"/>
      <c r="U154" s="2"/>
      <c r="V154" s="2"/>
      <c r="W154" s="2"/>
      <c r="X154" s="2"/>
      <c r="Y154" s="2"/>
      <c r="Z154" s="2"/>
      <c r="AA154" s="2"/>
      <c r="AB154" s="2"/>
    </row>
    <row r="155">
      <c r="A155" s="7" t="s">
        <v>12</v>
      </c>
      <c r="B155" s="8">
        <f>SUMIFS(PENSION!F:F,PENSION!A:A,"8/1/2024")</f>
        <v>5234257.55</v>
      </c>
      <c r="C155" s="11">
        <f>COUNTIFS(PENSION!A:A,"8/1/24")</f>
        <v>32</v>
      </c>
      <c r="D155" s="10">
        <f>SUMIFS(PENSION!G:G,PENSION!A:A,"8/1/2024")</f>
        <v>2354141</v>
      </c>
      <c r="E155" s="11">
        <f t="shared" si="37"/>
        <v>9</v>
      </c>
      <c r="F155" s="12">
        <f t="shared" si="38"/>
        <v>0.449756432</v>
      </c>
      <c r="G155" s="9">
        <f>COUNTIFS(PENSION!I:I,$G$18,PENSION!A:A,"8/1/24")</f>
        <v>2</v>
      </c>
      <c r="H155" s="11">
        <f>COUNTIFS(PENSION!I:I,$H$18,PENSION!A:A,"8/1/24")</f>
        <v>7</v>
      </c>
      <c r="I155" s="11">
        <f>COUNTIFS(PENSION!I:I,$I$18,PENSION!A:A,"8/1/24")</f>
        <v>23</v>
      </c>
      <c r="J155" s="2"/>
      <c r="K155" s="2"/>
      <c r="L155" s="2"/>
      <c r="M155" s="2"/>
      <c r="N155" s="2"/>
      <c r="O155" s="2"/>
      <c r="P155" s="2"/>
      <c r="Q155" s="2"/>
      <c r="R155" s="2"/>
      <c r="S155" s="2"/>
      <c r="T155" s="2"/>
      <c r="U155" s="2"/>
      <c r="V155" s="2"/>
      <c r="W155" s="2"/>
      <c r="X155" s="2"/>
      <c r="Y155" s="2"/>
      <c r="Z155" s="2"/>
      <c r="AA155" s="2"/>
      <c r="AB155" s="2"/>
    </row>
    <row r="156">
      <c r="A156" s="7" t="s">
        <v>13</v>
      </c>
      <c r="B156" s="8">
        <f>SUMIFS(KITENGELA!F:F,KITENGELA!A:A,"8/1/2024")</f>
        <v>4904468.36</v>
      </c>
      <c r="C156" s="11">
        <f>COUNTIFS(KITENGELA!A:A,"8/1/24")</f>
        <v>34</v>
      </c>
      <c r="D156" s="10">
        <f>SUMIFS(KITENGELA!G:G,KITENGELA!A:A,"8/1/24")</f>
        <v>457533</v>
      </c>
      <c r="E156" s="11">
        <f t="shared" si="37"/>
        <v>9</v>
      </c>
      <c r="F156" s="12">
        <f t="shared" si="38"/>
        <v>0.09328901043</v>
      </c>
      <c r="G156" s="11">
        <f>COUNTIFS(KITENGELA!I:I,$G$18,KITENGELA!A:A,"8/1/24")</f>
        <v>3</v>
      </c>
      <c r="H156" s="11">
        <f>COUNTIFS(KITENGELA!I:I,$H$18,KITENGELA!A:A,"8/1/24")</f>
        <v>6</v>
      </c>
      <c r="I156" s="11">
        <f>COUNTIFS(KITENGELA!I:I,$I$18,KITENGELA!A:A,"8/1/24")</f>
        <v>25</v>
      </c>
      <c r="J156" s="2"/>
      <c r="K156" s="2"/>
      <c r="L156" s="2"/>
      <c r="M156" s="2"/>
      <c r="N156" s="2"/>
      <c r="O156" s="2"/>
      <c r="P156" s="2"/>
      <c r="Q156" s="2"/>
      <c r="R156" s="2"/>
      <c r="S156" s="2"/>
      <c r="T156" s="2"/>
      <c r="U156" s="2"/>
      <c r="V156" s="2"/>
      <c r="W156" s="2"/>
      <c r="X156" s="2"/>
      <c r="Y156" s="2"/>
      <c r="Z156" s="2"/>
      <c r="AA156" s="2"/>
      <c r="AB156" s="2"/>
    </row>
    <row r="157">
      <c r="A157" s="7" t="s">
        <v>14</v>
      </c>
      <c r="B157" s="8">
        <f>SUMIFS(ELDORET!F:F,ELDORET!A:A,"8/1/24")</f>
        <v>409978</v>
      </c>
      <c r="C157" s="11">
        <f>COUNTIFS(ELDORET!A:A,"8/1/24")</f>
        <v>13</v>
      </c>
      <c r="D157" s="10">
        <f>SUMIFS(ELDORET!G:G,ELDORET!A:A,"8/1/24")</f>
        <v>6000</v>
      </c>
      <c r="E157" s="11">
        <f t="shared" si="37"/>
        <v>1</v>
      </c>
      <c r="F157" s="12">
        <f t="shared" si="38"/>
        <v>0.01463493163</v>
      </c>
      <c r="G157" s="11">
        <f>COUNTIFS(ELDORET!I:I,$G$18,ELDORET!A:A,"8/1/24")</f>
        <v>0</v>
      </c>
      <c r="H157" s="11">
        <f>COUNTIFS(ELDORET!I:I,$H$18,ELDORET!A:A,"8/1/24")</f>
        <v>1</v>
      </c>
      <c r="I157" s="11">
        <f>COUNTIFS(ELDORET!I:I,$I$18,ELDORET!A:A,"8/1/24")</f>
        <v>12</v>
      </c>
      <c r="J157" s="2"/>
      <c r="K157" s="2"/>
      <c r="L157" s="2"/>
      <c r="M157" s="2"/>
      <c r="N157" s="2"/>
      <c r="O157" s="2"/>
      <c r="P157" s="2"/>
      <c r="Q157" s="2"/>
      <c r="R157" s="2"/>
      <c r="S157" s="2"/>
      <c r="T157" s="2"/>
      <c r="U157" s="2"/>
      <c r="V157" s="2"/>
      <c r="W157" s="2"/>
      <c r="X157" s="2"/>
      <c r="Y157" s="2"/>
      <c r="Z157" s="2"/>
      <c r="AA157" s="2"/>
      <c r="AB157" s="2"/>
    </row>
    <row r="158">
      <c r="A158" s="7" t="s">
        <v>15</v>
      </c>
      <c r="B158" s="8">
        <f>SUMIFS(NAKURU!F:F,NAKURU!A:A,"8/1/24")</f>
        <v>120000</v>
      </c>
      <c r="C158" s="11">
        <f>COUNTIFS(NAKURU!A:A,"8/1/24")</f>
        <v>3</v>
      </c>
      <c r="D158" s="10">
        <f>SUMIFS(NAKURU!G:G,NAKURU!A:A,"8/1/24")</f>
        <v>0</v>
      </c>
      <c r="E158" s="11">
        <f t="shared" si="37"/>
        <v>1</v>
      </c>
      <c r="F158" s="12">
        <f t="shared" si="38"/>
        <v>0</v>
      </c>
      <c r="G158" s="9">
        <f>COUNTIFS(NAKURU!I:I,$G$18,NAKURU!A:A,"8/1/24")</f>
        <v>0</v>
      </c>
      <c r="H158" s="11">
        <f>COUNTIFS(NAKURU!I:I,$H$18,NAKURU!A:A,"8/1/24")</f>
        <v>1</v>
      </c>
      <c r="I158" s="11">
        <f>COUNTIFS(NAKURU!I:I,$I$18,NAKURU!A:A,"8/1/24")</f>
        <v>2</v>
      </c>
      <c r="J158" s="2"/>
      <c r="K158" s="2"/>
      <c r="L158" s="2"/>
      <c r="M158" s="2"/>
      <c r="N158" s="2"/>
      <c r="O158" s="2"/>
      <c r="P158" s="2"/>
      <c r="Q158" s="2"/>
      <c r="R158" s="2"/>
      <c r="S158" s="2"/>
      <c r="T158" s="2"/>
      <c r="U158" s="2"/>
      <c r="V158" s="2"/>
      <c r="W158" s="2"/>
      <c r="X158" s="2"/>
      <c r="Y158" s="2"/>
      <c r="Z158" s="2"/>
      <c r="AA158" s="2"/>
      <c r="AB158" s="2"/>
    </row>
    <row r="159">
      <c r="A159" s="7" t="s">
        <v>16</v>
      </c>
      <c r="B159" s="8">
        <f>SUMIFS(HOMABAY!F:F,HOMABAY!A:A,"8/1/24")</f>
        <v>55000</v>
      </c>
      <c r="C159" s="11">
        <f>COUNTIFS(HOMABAY!A:A,"8/1/24")</f>
        <v>3</v>
      </c>
      <c r="D159" s="10">
        <f>SUMIFS(HOMABAY!G:G,HOMABAY!A:A,"8/1/24")</f>
        <v>25000</v>
      </c>
      <c r="E159" s="11">
        <f t="shared" si="37"/>
        <v>2</v>
      </c>
      <c r="F159" s="12">
        <f t="shared" si="38"/>
        <v>0.4545454545</v>
      </c>
      <c r="G159" s="9">
        <f>COUNTIFS(HOMABAY!K:K,$G$18,HOMABAY!A:A,"8/1/24")</f>
        <v>1</v>
      </c>
      <c r="H159" s="11">
        <f>COUNTIFS(HOMABAY!K:K,$H$18,HOMABAY!A:A,"8/1/24")</f>
        <v>1</v>
      </c>
      <c r="I159" s="11">
        <f>COUNTIFS(HOMABAY!K:K,$I$18,HOMABAY!A:A,"8/1/24")</f>
        <v>1</v>
      </c>
      <c r="J159" s="2"/>
      <c r="K159" s="2"/>
      <c r="L159" s="2"/>
      <c r="M159" s="2"/>
      <c r="N159" s="2"/>
      <c r="O159" s="2"/>
      <c r="P159" s="2"/>
      <c r="Q159" s="2"/>
      <c r="R159" s="2"/>
      <c r="S159" s="2"/>
      <c r="T159" s="2"/>
      <c r="U159" s="2"/>
      <c r="V159" s="2"/>
      <c r="W159" s="2"/>
      <c r="X159" s="2"/>
      <c r="Y159" s="2"/>
      <c r="Z159" s="2"/>
      <c r="AA159" s="2"/>
      <c r="AB159" s="2"/>
    </row>
    <row r="160">
      <c r="A160" s="7" t="s">
        <v>17</v>
      </c>
      <c r="B160" s="8">
        <f>SUMIFS(MOMBASA!F:F,MOMBASA!A:A,"8/1/24")</f>
        <v>3002551.94</v>
      </c>
      <c r="C160" s="11">
        <f>COUNTIFS(MOMBASA!A:A,"8/1/24")</f>
        <v>18</v>
      </c>
      <c r="D160" s="27">
        <f>SUMIFS(MOMBASA!G:G,MOMBASA!A:A,"8/1/24")</f>
        <v>306500</v>
      </c>
      <c r="E160" s="11">
        <f t="shared" si="37"/>
        <v>5</v>
      </c>
      <c r="F160" s="12">
        <f t="shared" si="38"/>
        <v>0.1020798328</v>
      </c>
      <c r="G160" s="9">
        <f>COUNTIFS(MOMBASA!I:I,$G$18,MOMBASA!A:A,"8/1/24")</f>
        <v>2</v>
      </c>
      <c r="H160" s="11">
        <f>COUNTIFS(MOMBASA!I:I,$H$18,MOMBASA!A:A,"8/1/24")</f>
        <v>3</v>
      </c>
      <c r="I160" s="11">
        <f>COUNTIFS(MOMBASA!I:I,$I$18,MOMBASA!A:A,"8/1/24")</f>
        <v>13</v>
      </c>
      <c r="J160" s="2"/>
      <c r="K160" s="2"/>
      <c r="L160" s="2"/>
      <c r="M160" s="2"/>
      <c r="N160" s="2"/>
      <c r="O160" s="2"/>
      <c r="P160" s="2"/>
      <c r="Q160" s="2"/>
      <c r="R160" s="2"/>
      <c r="S160" s="2"/>
      <c r="T160" s="2"/>
      <c r="U160" s="2"/>
      <c r="V160" s="2"/>
      <c r="W160" s="2"/>
      <c r="X160" s="2"/>
      <c r="Y160" s="2"/>
      <c r="Z160" s="2"/>
      <c r="AA160" s="2"/>
      <c r="AB160" s="2"/>
    </row>
    <row r="161">
      <c r="A161" s="7" t="s">
        <v>18</v>
      </c>
      <c r="B161" s="8">
        <f>SUMIFS(KISUMU!F:F,KISUMU!A:A,"8/1/24")</f>
        <v>1570816.08</v>
      </c>
      <c r="C161" s="11">
        <f>COUNTIFS(KISUMU!A:A,"8/1/24")</f>
        <v>20</v>
      </c>
      <c r="D161" s="10">
        <f>SUMIFS(KISUMU!G:G,KISUMU!A:A,"8/1/24")</f>
        <v>157900</v>
      </c>
      <c r="E161" s="11">
        <f t="shared" si="37"/>
        <v>4</v>
      </c>
      <c r="F161" s="12">
        <f t="shared" si="38"/>
        <v>0.100520998</v>
      </c>
      <c r="G161" s="9">
        <f>COUNTIFS(KISUMU!I:I,$G$18,KISUMU!A:A,"8/1/24")</f>
        <v>3</v>
      </c>
      <c r="H161" s="11">
        <f>COUNTIFS(KISUMU!I:I,$H$18,KISUMU!A:A,"8/1/24")</f>
        <v>1</v>
      </c>
      <c r="I161" s="11">
        <f>COUNTIFS(KISUMU!I:I,$I$18,KISUMU!A:A,"8/1/24")</f>
        <v>16</v>
      </c>
      <c r="J161" s="2"/>
      <c r="K161" s="2"/>
      <c r="L161" s="2"/>
      <c r="M161" s="2"/>
      <c r="N161" s="2"/>
      <c r="O161" s="2"/>
      <c r="P161" s="2"/>
      <c r="Q161" s="2"/>
      <c r="R161" s="2"/>
      <c r="S161" s="2"/>
      <c r="T161" s="2"/>
      <c r="U161" s="2"/>
      <c r="V161" s="2"/>
      <c r="W161" s="2"/>
      <c r="X161" s="2"/>
      <c r="Y161" s="2"/>
      <c r="Z161" s="2"/>
      <c r="AA161" s="2"/>
      <c r="AB161" s="2"/>
    </row>
    <row r="162">
      <c r="A162" s="7" t="s">
        <v>19</v>
      </c>
      <c r="B162" s="8">
        <f>SUMIFS(VOI!F:F,VOI!A:A,"8/1/24")</f>
        <v>261756</v>
      </c>
      <c r="C162" s="11">
        <f>COUNTIFS(VOI!A:A,"8/1/24")</f>
        <v>9</v>
      </c>
      <c r="D162" s="10">
        <f>SUMIFS(VOI!G:G,VOI!A:A,"8/1/24")</f>
        <v>0</v>
      </c>
      <c r="E162" s="11">
        <f t="shared" si="37"/>
        <v>0</v>
      </c>
      <c r="F162" s="12">
        <f t="shared" si="38"/>
        <v>0</v>
      </c>
      <c r="G162" s="9">
        <f>COUNTIFS(VOI!H:H,$G$18,VOI!A:A,"8/1/24")</f>
        <v>0</v>
      </c>
      <c r="H162" s="11">
        <f>COUNTIFS(VOI!H:H,$H$18,VOI!A:A,"8/1/24")</f>
        <v>0</v>
      </c>
      <c r="I162" s="11">
        <f>COUNTIFS(VOI!H:H,$I$18,VOI!A:A,"8/1/24")</f>
        <v>9</v>
      </c>
      <c r="J162" s="2"/>
      <c r="K162" s="2"/>
      <c r="L162" s="2"/>
      <c r="M162" s="2"/>
      <c r="N162" s="2"/>
      <c r="O162" s="2"/>
      <c r="P162" s="2"/>
      <c r="Q162" s="2"/>
      <c r="R162" s="2"/>
      <c r="S162" s="2"/>
      <c r="T162" s="2"/>
      <c r="U162" s="2"/>
      <c r="V162" s="2"/>
      <c r="W162" s="2"/>
      <c r="X162" s="2"/>
      <c r="Y162" s="2"/>
      <c r="Z162" s="2"/>
      <c r="AA162" s="2"/>
      <c r="AB162" s="2"/>
    </row>
    <row r="163">
      <c r="A163" s="7" t="s">
        <v>20</v>
      </c>
      <c r="B163" s="8">
        <f>SUMIFS(THIKA!F:F,THIKA!A:A,"8/1/24")</f>
        <v>1793630.24</v>
      </c>
      <c r="C163" s="11">
        <f>COUNTIFS(THIKA!A:A,"8/1/24")</f>
        <v>19</v>
      </c>
      <c r="D163" s="10">
        <f>SUMIFS(THIKA!G:G,THIKA!A:A,"8/1/24")</f>
        <v>27107</v>
      </c>
      <c r="E163" s="11">
        <f t="shared" si="37"/>
        <v>1</v>
      </c>
      <c r="F163" s="12">
        <f t="shared" si="38"/>
        <v>0.01511292539</v>
      </c>
      <c r="G163" s="9">
        <f>COUNTIFS(THIKA!I:I,$G$18,THIKA!A:A,"8/1/24")</f>
        <v>0</v>
      </c>
      <c r="H163" s="11">
        <f>COUNTIFS(THIKA!I:I,$H$18,THIKA!A:A,"8/1/24")</f>
        <v>1</v>
      </c>
      <c r="I163" s="11">
        <f>COUNTIFS(THIKA!I:I,$I$18,THIKA!A:A,"8/1/24")</f>
        <v>18</v>
      </c>
      <c r="J163" s="2"/>
      <c r="K163" s="2"/>
      <c r="L163" s="2"/>
      <c r="M163" s="2"/>
      <c r="N163" s="2"/>
      <c r="O163" s="2"/>
      <c r="P163" s="2"/>
      <c r="Q163" s="2"/>
      <c r="R163" s="2"/>
      <c r="S163" s="2"/>
      <c r="T163" s="2"/>
      <c r="U163" s="2"/>
      <c r="V163" s="2"/>
      <c r="W163" s="2"/>
      <c r="X163" s="2"/>
      <c r="Y163" s="2"/>
      <c r="Z163" s="2"/>
      <c r="AA163" s="2"/>
      <c r="AB163" s="2"/>
    </row>
    <row r="164">
      <c r="A164" s="7" t="s">
        <v>21</v>
      </c>
      <c r="B164" s="8">
        <f>SUMIFS(KITUI!F:F,KITUI!A:A,"8/1/24")</f>
        <v>136960</v>
      </c>
      <c r="C164" s="11">
        <f>COUNTIFS(KITUI!A:A,"8/1/24")</f>
        <v>2</v>
      </c>
      <c r="D164" s="10">
        <f>SUMIFS(KITUI!G:G,KITUI!A:A,"8/1/24")</f>
        <v>27127</v>
      </c>
      <c r="E164" s="11">
        <f t="shared" si="37"/>
        <v>1</v>
      </c>
      <c r="F164" s="12">
        <f t="shared" si="38"/>
        <v>0.1980651285</v>
      </c>
      <c r="G164" s="9">
        <f>COUNTIFS(KITUI!I:I,$G$18,KITUI!A:A,"8/1/24")</f>
        <v>0</v>
      </c>
      <c r="H164" s="11">
        <f>COUNTIFS(KITUI!I:I,$H$18,KITUI!A:A,"8/1/24")</f>
        <v>1</v>
      </c>
      <c r="I164" s="11">
        <f>COUNTIFS(KITUI!I:I,$I$18,KITUI!A:A,"8/1/24")</f>
        <v>1</v>
      </c>
      <c r="J164" s="2"/>
      <c r="K164" s="2"/>
      <c r="L164" s="2"/>
      <c r="M164" s="2"/>
      <c r="N164" s="2"/>
      <c r="O164" s="2"/>
      <c r="P164" s="2"/>
      <c r="Q164" s="2"/>
      <c r="R164" s="2"/>
      <c r="S164" s="2"/>
      <c r="T164" s="2"/>
      <c r="U164" s="2"/>
      <c r="V164" s="2"/>
      <c r="W164" s="2"/>
      <c r="X164" s="2"/>
      <c r="Y164" s="2"/>
      <c r="Z164" s="2"/>
      <c r="AA164" s="2"/>
      <c r="AB164" s="2"/>
    </row>
    <row r="165">
      <c r="A165" s="15" t="s">
        <v>22</v>
      </c>
      <c r="B165" s="8">
        <f>SUMIFS(MACHAKOS!F:F,MACHAKOS!A:A,"8/1/24")</f>
        <v>127487</v>
      </c>
      <c r="C165" s="11">
        <f>COUNTIFS(MACHAKOS!A:A,"8/1/24")</f>
        <v>1</v>
      </c>
      <c r="D165" s="10">
        <f>SUMIFS(MACHAKOS!G:G,MACHAKOS!A:A,"8/1/24")</f>
        <v>0</v>
      </c>
      <c r="E165" s="11">
        <f t="shared" si="37"/>
        <v>0</v>
      </c>
      <c r="F165" s="12">
        <f t="shared" si="38"/>
        <v>0</v>
      </c>
      <c r="G165" s="9">
        <f>COUNTIFS(MACHAKOS!I:I,$G$18,MACHAKOS!A:A,"8/1/24")</f>
        <v>0</v>
      </c>
      <c r="H165" s="11">
        <f>COUNTIFS(MACHAKOS!I:I,$H$18,MACHAKOS!A:A,"8/1/24")</f>
        <v>0</v>
      </c>
      <c r="I165" s="11">
        <f>COUNTIFS(MACHAKOS!I:I,$I$18,MACHAKOS!A:A,"8/1/24")</f>
        <v>1</v>
      </c>
      <c r="J165" s="2"/>
      <c r="K165" s="2"/>
      <c r="L165" s="2"/>
      <c r="M165" s="2"/>
      <c r="N165" s="2"/>
      <c r="O165" s="2"/>
      <c r="P165" s="2"/>
      <c r="Q165" s="2"/>
      <c r="R165" s="2"/>
      <c r="S165" s="2"/>
      <c r="T165" s="2"/>
      <c r="U165" s="2"/>
      <c r="V165" s="2"/>
      <c r="W165" s="2"/>
      <c r="X165" s="2"/>
      <c r="Y165" s="2"/>
      <c r="Z165" s="2"/>
      <c r="AA165" s="2"/>
      <c r="AB165" s="2"/>
    </row>
    <row r="166">
      <c r="A166" s="16" t="s">
        <v>23</v>
      </c>
      <c r="B166" s="19">
        <f t="shared" ref="B166:E166" si="39">SUM(B153:B165)</f>
        <v>40235265.58</v>
      </c>
      <c r="C166" s="18">
        <f t="shared" si="39"/>
        <v>233</v>
      </c>
      <c r="D166" s="19">
        <f t="shared" si="39"/>
        <v>6090571</v>
      </c>
      <c r="E166" s="18">
        <f t="shared" si="39"/>
        <v>54</v>
      </c>
      <c r="F166" s="20">
        <f>D166/B166</f>
        <v>0.151373948</v>
      </c>
      <c r="G166" s="21">
        <f t="shared" ref="G166:I166" si="40">SUM(G153:G165)</f>
        <v>19</v>
      </c>
      <c r="H166" s="21">
        <f t="shared" si="40"/>
        <v>35</v>
      </c>
      <c r="I166" s="21">
        <f t="shared" si="40"/>
        <v>179</v>
      </c>
      <c r="J166" s="2"/>
      <c r="K166" s="2"/>
      <c r="L166" s="2"/>
      <c r="M166" s="2"/>
      <c r="N166" s="2"/>
      <c r="O166" s="2"/>
      <c r="P166" s="2"/>
      <c r="Q166" s="2"/>
      <c r="R166" s="2"/>
      <c r="S166" s="2"/>
      <c r="T166" s="2"/>
      <c r="U166" s="2"/>
      <c r="V166" s="2"/>
      <c r="W166" s="2"/>
      <c r="X166" s="2"/>
      <c r="Y166" s="2"/>
      <c r="Z166" s="2"/>
      <c r="AA166" s="2"/>
      <c r="AB166" s="2"/>
    </row>
    <row r="167">
      <c r="A167" s="1" t="s">
        <v>27</v>
      </c>
      <c r="B167" s="23">
        <v>1250000.0</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3" t="s">
        <v>1</v>
      </c>
      <c r="B169" s="5" t="s">
        <v>2</v>
      </c>
      <c r="C169" s="5" t="s">
        <v>3</v>
      </c>
      <c r="D169" s="5" t="s">
        <v>4</v>
      </c>
      <c r="E169" s="5" t="s">
        <v>5</v>
      </c>
      <c r="F169" s="26" t="s">
        <v>6</v>
      </c>
      <c r="G169" s="26" t="s">
        <v>7</v>
      </c>
      <c r="H169" s="26" t="s">
        <v>8</v>
      </c>
      <c r="I169" s="26" t="s">
        <v>9</v>
      </c>
      <c r="J169" s="2"/>
      <c r="K169" s="2"/>
      <c r="L169" s="2"/>
      <c r="M169" s="2"/>
      <c r="N169" s="2"/>
      <c r="O169" s="2"/>
      <c r="P169" s="2"/>
      <c r="Q169" s="2"/>
      <c r="R169" s="2"/>
      <c r="S169" s="2"/>
      <c r="T169" s="2"/>
      <c r="U169" s="2"/>
      <c r="V169" s="2"/>
      <c r="W169" s="2"/>
      <c r="X169" s="2"/>
      <c r="Y169" s="2"/>
      <c r="Z169" s="2"/>
      <c r="AA169" s="2"/>
      <c r="AB169" s="2"/>
    </row>
    <row r="170">
      <c r="A170" s="7" t="s">
        <v>10</v>
      </c>
      <c r="B170" s="8">
        <f>SUMIFS(ECOBANK!F:F,ECOBANK!A:A,"8/2/24")</f>
        <v>9566298.5</v>
      </c>
      <c r="C170" s="9">
        <f>COUNTIFS(ECOBANK!A:A,"8/2/24")</f>
        <v>17</v>
      </c>
      <c r="D170" s="10">
        <f>SUMIFS(ECOBANK!G:G,ECOBANK!A:A,"8/2/24")</f>
        <v>5203403</v>
      </c>
      <c r="E170" s="11">
        <f t="shared" ref="E170:E182" si="41">G170+H170</f>
        <v>4</v>
      </c>
      <c r="F170" s="12">
        <f t="shared" ref="F170:F182" si="42">iferror(D170/B170,0)</f>
        <v>0.5439306541</v>
      </c>
      <c r="G170" s="9">
        <f>COUNTIFS(ECOBANK!I:I,$G$18,ECOBANK!A:A,"8/2/24")</f>
        <v>1</v>
      </c>
      <c r="H170" s="11">
        <f>COUNTIFS(ECOBANK!I:I,$H$18,ECOBANK!A:A,"8/2/24")</f>
        <v>3</v>
      </c>
      <c r="I170" s="11">
        <f>COUNTIFS(ECOBANK!I:I,$I$18,ECOBANK!A:A,"8/2/24")</f>
        <v>13</v>
      </c>
      <c r="J170" s="2"/>
      <c r="K170" s="1"/>
      <c r="L170" s="25"/>
      <c r="M170" s="1"/>
      <c r="N170" s="2"/>
      <c r="O170" s="2"/>
      <c r="P170" s="2"/>
      <c r="Q170" s="2"/>
      <c r="R170" s="2"/>
      <c r="S170" s="2"/>
      <c r="T170" s="2"/>
      <c r="U170" s="2"/>
      <c r="V170" s="2"/>
      <c r="W170" s="2"/>
      <c r="X170" s="2"/>
      <c r="Y170" s="2"/>
      <c r="Z170" s="2"/>
      <c r="AA170" s="2"/>
      <c r="AB170" s="2"/>
    </row>
    <row r="171">
      <c r="A171" s="7" t="s">
        <v>24</v>
      </c>
      <c r="B171" s="8">
        <f>SUMIFS('TRADE CENTER'!F:F,'TRADE CENTER'!A:A,"8/2/24")</f>
        <v>8215750.66</v>
      </c>
      <c r="C171" s="11">
        <f>COUNTIFS('TRADE CENTER'!A:A,"8/2/24")</f>
        <v>53</v>
      </c>
      <c r="D171" s="10">
        <f>SUMIFS('TRADE CENTER'!G:G,'TRADE CENTER'!A:A,"8/2/24")</f>
        <v>252723</v>
      </c>
      <c r="E171" s="11">
        <f t="shared" si="41"/>
        <v>12</v>
      </c>
      <c r="F171" s="12">
        <f t="shared" si="42"/>
        <v>0.03076079234</v>
      </c>
      <c r="G171" s="11">
        <f>COUNTIFS('TRADE CENTER'!I:I,$G$18,'TRADE CENTER'!A:A,"8/2/24")</f>
        <v>3</v>
      </c>
      <c r="H171" s="11">
        <f>COUNTIFS('TRADE CENTER'!I:I,$H$18,'TRADE CENTER'!A:A,"8/2/24")</f>
        <v>9</v>
      </c>
      <c r="I171" s="11">
        <f>COUNTIFS('TRADE CENTER'!I:I,$I$18,'TRADE CENTER'!A:A,"8/2/24")</f>
        <v>40</v>
      </c>
      <c r="J171" s="2"/>
      <c r="K171" s="1"/>
      <c r="L171" s="25"/>
      <c r="M171" s="1"/>
      <c r="N171" s="2"/>
      <c r="O171" s="2"/>
      <c r="P171" s="2"/>
      <c r="Q171" s="2"/>
      <c r="R171" s="2"/>
      <c r="S171" s="2"/>
      <c r="T171" s="2"/>
      <c r="U171" s="2"/>
      <c r="V171" s="2"/>
      <c r="W171" s="2"/>
      <c r="X171" s="2"/>
      <c r="Y171" s="2"/>
      <c r="Z171" s="2"/>
      <c r="AA171" s="2"/>
      <c r="AB171" s="2"/>
    </row>
    <row r="172">
      <c r="A172" s="7" t="s">
        <v>12</v>
      </c>
      <c r="B172" s="8">
        <f>SUMIFS(PENSION!F:F,PENSION!A:A,"8/2/2024")</f>
        <v>8430881.45</v>
      </c>
      <c r="C172" s="11">
        <f>COUNTIFS(PENSION!A:A,"8/2/24")</f>
        <v>40</v>
      </c>
      <c r="D172" s="10">
        <f>SUMIFS(PENSION!G:G,PENSION!A:A,"8/2/2024")</f>
        <v>1317333</v>
      </c>
      <c r="E172" s="11">
        <f t="shared" si="41"/>
        <v>5</v>
      </c>
      <c r="F172" s="12">
        <f t="shared" si="42"/>
        <v>0.156250922</v>
      </c>
      <c r="G172" s="9">
        <f>COUNTIFS(PENSION!I:I,$G$18,PENSION!A:A,"8/2/24")</f>
        <v>2</v>
      </c>
      <c r="H172" s="11">
        <f>COUNTIFS(PENSION!I:I,$H$18,PENSION!A:A,"8/2/24")</f>
        <v>3</v>
      </c>
      <c r="I172" s="11">
        <f>COUNTIFS(PENSION!I:I,$I$18,PENSION!A:A,"8/2/24")</f>
        <v>35</v>
      </c>
      <c r="J172" s="2"/>
      <c r="K172" s="1"/>
      <c r="L172" s="25"/>
      <c r="M172" s="1"/>
      <c r="N172" s="2"/>
      <c r="O172" s="2"/>
      <c r="P172" s="2"/>
      <c r="Q172" s="2"/>
      <c r="R172" s="2"/>
      <c r="S172" s="2"/>
      <c r="T172" s="2"/>
      <c r="U172" s="2"/>
      <c r="V172" s="2"/>
      <c r="W172" s="2"/>
      <c r="X172" s="2"/>
      <c r="Y172" s="2"/>
      <c r="Z172" s="2"/>
      <c r="AA172" s="2"/>
      <c r="AB172" s="2"/>
    </row>
    <row r="173">
      <c r="A173" s="7" t="s">
        <v>13</v>
      </c>
      <c r="B173" s="8">
        <f>SUMIFS(KITENGELA!F:F,KITENGELA!A:A,"8/2/2024")</f>
        <v>4765743.18</v>
      </c>
      <c r="C173" s="11">
        <f>COUNTIFS(KITENGELA!A:A,"8/2/24")</f>
        <v>31</v>
      </c>
      <c r="D173" s="10">
        <f>SUMIFS(KITENGELA!G:G,KITENGELA!A:A,"8/2/24")</f>
        <v>337725</v>
      </c>
      <c r="E173" s="11">
        <f t="shared" si="41"/>
        <v>5</v>
      </c>
      <c r="F173" s="12">
        <f t="shared" si="42"/>
        <v>0.0708651279</v>
      </c>
      <c r="G173" s="11">
        <f>COUNTIFS(KITENGELA!I:I,$G$18,KITENGELA!A:A,"8/2/24")</f>
        <v>1</v>
      </c>
      <c r="H173" s="11">
        <f>COUNTIFS(KITENGELA!I:I,$H$18,KITENGELA!A:A,"8/2/24")</f>
        <v>4</v>
      </c>
      <c r="I173" s="11">
        <f>COUNTIFS(KITENGELA!I:I,$I$18,KITENGELA!A:A,"8/2/24")</f>
        <v>26</v>
      </c>
      <c r="J173" s="2"/>
      <c r="K173" s="1"/>
      <c r="L173" s="25"/>
      <c r="M173" s="1"/>
      <c r="N173" s="2"/>
      <c r="O173" s="2"/>
      <c r="P173" s="2"/>
      <c r="Q173" s="2"/>
      <c r="R173" s="2"/>
      <c r="S173" s="2"/>
      <c r="T173" s="2"/>
      <c r="U173" s="2"/>
      <c r="V173" s="2"/>
      <c r="W173" s="2"/>
      <c r="X173" s="2"/>
      <c r="Y173" s="2"/>
      <c r="Z173" s="2"/>
      <c r="AA173" s="2"/>
      <c r="AB173" s="2"/>
    </row>
    <row r="174">
      <c r="A174" s="7" t="s">
        <v>14</v>
      </c>
      <c r="B174" s="8">
        <f>SUMIFS(ELDORET!F:F,ELDORET!A:A,"8/2/24")</f>
        <v>765233</v>
      </c>
      <c r="C174" s="11">
        <f>COUNTIFS(ELDORET!A:A,"8/2/24")</f>
        <v>16</v>
      </c>
      <c r="D174" s="10">
        <f>SUMIFS(ELDORET!G:G,ELDORET!A:A,"8/2/24")</f>
        <v>588896</v>
      </c>
      <c r="E174" s="11">
        <f t="shared" si="41"/>
        <v>4</v>
      </c>
      <c r="F174" s="12">
        <f t="shared" si="42"/>
        <v>0.7695643026</v>
      </c>
      <c r="G174" s="11">
        <f>COUNTIFS(ELDORET!I:I,$G$18,ELDORET!A:A,"8/2/24")</f>
        <v>2</v>
      </c>
      <c r="H174" s="11">
        <f>COUNTIFS(ELDORET!I:I,$H$18,ELDORET!A:A,"8/2/24")</f>
        <v>2</v>
      </c>
      <c r="I174" s="11">
        <f>COUNTIFS(ELDORET!I:I,$I$18,ELDORET!A:A,"8/2/24")</f>
        <v>12</v>
      </c>
      <c r="J174" s="2"/>
      <c r="K174" s="1"/>
      <c r="L174" s="25"/>
      <c r="M174" s="1"/>
      <c r="N174" s="2"/>
      <c r="O174" s="2"/>
      <c r="P174" s="2"/>
      <c r="Q174" s="2"/>
      <c r="R174" s="2"/>
      <c r="S174" s="2"/>
      <c r="T174" s="2"/>
      <c r="U174" s="2"/>
      <c r="V174" s="2"/>
      <c r="W174" s="2"/>
      <c r="X174" s="2"/>
      <c r="Y174" s="2"/>
      <c r="Z174" s="2"/>
      <c r="AA174" s="2"/>
      <c r="AB174" s="2"/>
    </row>
    <row r="175">
      <c r="A175" s="7" t="s">
        <v>15</v>
      </c>
      <c r="B175" s="8">
        <f>SUMIFS(NAKURU!F:F,NAKURU!A:A,"8/2/24")</f>
        <v>663000</v>
      </c>
      <c r="C175" s="11">
        <f>COUNTIFS(NAKURU!A:A,"8/2/24")</f>
        <v>6</v>
      </c>
      <c r="D175" s="10">
        <f>SUMIFS(NAKURU!G:G,NAKURU!A:A,"8/2/24")</f>
        <v>48200</v>
      </c>
      <c r="E175" s="11">
        <f t="shared" si="41"/>
        <v>1</v>
      </c>
      <c r="F175" s="12">
        <f t="shared" si="42"/>
        <v>0.07269984917</v>
      </c>
      <c r="G175" s="9">
        <f>COUNTIFS(NAKURU!I:I,$G$18,NAKURU!A:A,"8/2/24")</f>
        <v>0</v>
      </c>
      <c r="H175" s="11">
        <f>COUNTIFS(NAKURU!I:I,$H$18,NAKURU!A:A,"8/2/24")</f>
        <v>1</v>
      </c>
      <c r="I175" s="11">
        <f>COUNTIFS(NAKURU!I:I,$I$18,NAKURU!A:A,"8/2/24")</f>
        <v>5</v>
      </c>
      <c r="J175" s="2"/>
      <c r="K175" s="1"/>
      <c r="L175" s="25"/>
      <c r="M175" s="1"/>
      <c r="N175" s="2"/>
      <c r="O175" s="2"/>
      <c r="P175" s="2"/>
      <c r="Q175" s="2"/>
      <c r="R175" s="2"/>
      <c r="S175" s="2"/>
      <c r="T175" s="2"/>
      <c r="U175" s="2"/>
      <c r="V175" s="2"/>
      <c r="W175" s="2"/>
      <c r="X175" s="2"/>
      <c r="Y175" s="2"/>
      <c r="Z175" s="2"/>
      <c r="AA175" s="2"/>
      <c r="AB175" s="2"/>
    </row>
    <row r="176">
      <c r="A176" s="7" t="s">
        <v>16</v>
      </c>
      <c r="B176" s="8">
        <f>SUMIFS(HOMABAY!F:F,HOMABAY!A:A,"8/2/24")</f>
        <v>113000</v>
      </c>
      <c r="C176" s="11">
        <f>COUNTIFS(HOMABAY!A:A,"8/2/24")</f>
        <v>3</v>
      </c>
      <c r="D176" s="10">
        <f>SUMIFS(HOMABAY!G:G,HOMABAY!A:A,"8/2/24")</f>
        <v>0</v>
      </c>
      <c r="E176" s="11">
        <f t="shared" si="41"/>
        <v>0</v>
      </c>
      <c r="F176" s="12">
        <f t="shared" si="42"/>
        <v>0</v>
      </c>
      <c r="G176" s="9">
        <f>COUNTIFS(HOMABAY!K:K,$G$18,HOMABAY!A:A,"8/2/24")</f>
        <v>0</v>
      </c>
      <c r="H176" s="11">
        <f>COUNTIFS(HOMABAY!K:K,$H$18,HOMABAY!A:A,"8/2/24")</f>
        <v>0</v>
      </c>
      <c r="I176" s="11">
        <f>COUNTIFS(HOMABAY!K:K,$I$18,HOMABAY!A:A,"8/2/24")</f>
        <v>3</v>
      </c>
      <c r="J176" s="2"/>
      <c r="K176" s="1"/>
      <c r="L176" s="25"/>
      <c r="M176" s="1"/>
      <c r="N176" s="2"/>
      <c r="O176" s="2"/>
      <c r="P176" s="2"/>
      <c r="Q176" s="2"/>
      <c r="R176" s="2"/>
      <c r="S176" s="2"/>
      <c r="T176" s="2"/>
      <c r="U176" s="2"/>
      <c r="V176" s="2"/>
      <c r="W176" s="2"/>
      <c r="X176" s="2"/>
      <c r="Y176" s="2"/>
      <c r="Z176" s="2"/>
      <c r="AA176" s="2"/>
      <c r="AB176" s="2"/>
    </row>
    <row r="177">
      <c r="A177" s="7" t="s">
        <v>17</v>
      </c>
      <c r="B177" s="8">
        <f>SUMIFS(MOMBASA!F:F,MOMBASA!A:A,"8/2/24")</f>
        <v>2639957.15</v>
      </c>
      <c r="C177" s="11">
        <f>COUNTIFS(MOMBASA!A:A,"8/2/24")</f>
        <v>22</v>
      </c>
      <c r="D177" s="27">
        <f>SUMIFS(MOMBASA!G:G,MOMBASA!A:A,"8/2/24")</f>
        <v>337702</v>
      </c>
      <c r="E177" s="11">
        <f t="shared" si="41"/>
        <v>10</v>
      </c>
      <c r="F177" s="12">
        <f t="shared" si="42"/>
        <v>0.1279195005</v>
      </c>
      <c r="G177" s="9">
        <f>COUNTIFS(MOMBASA!I:I,$G$18,MOMBASA!A:A,"8/2/24")</f>
        <v>3</v>
      </c>
      <c r="H177" s="11">
        <f>COUNTIFS(MOMBASA!I:I,$H$18,MOMBASA!A:A,"8/2/24")</f>
        <v>7</v>
      </c>
      <c r="I177" s="11">
        <f>COUNTIFS(MOMBASA!I:I,$I$18,MOMBASA!A:A,"8/2/24")</f>
        <v>12</v>
      </c>
      <c r="J177" s="2"/>
      <c r="K177" s="1"/>
      <c r="L177" s="25"/>
      <c r="M177" s="1"/>
      <c r="N177" s="2"/>
      <c r="O177" s="2"/>
      <c r="P177" s="2"/>
      <c r="Q177" s="2"/>
      <c r="R177" s="2"/>
      <c r="S177" s="2"/>
      <c r="T177" s="2"/>
      <c r="U177" s="2"/>
      <c r="V177" s="2"/>
      <c r="W177" s="2"/>
      <c r="X177" s="2"/>
      <c r="Y177" s="2"/>
      <c r="Z177" s="2"/>
      <c r="AA177" s="2"/>
      <c r="AB177" s="2"/>
    </row>
    <row r="178">
      <c r="A178" s="7" t="s">
        <v>18</v>
      </c>
      <c r="B178" s="8">
        <f>SUMIFS(KISUMU!F:F,KISUMU!A:A,"8/2/24")</f>
        <v>1460043.08</v>
      </c>
      <c r="C178" s="11">
        <f>COUNTIFS(KISUMU!A:A,"8/2/24")</f>
        <v>19</v>
      </c>
      <c r="D178" s="10">
        <f>SUMIFS(KISUMU!G:G,KISUMU!A:A,"8/2/24")</f>
        <v>232000</v>
      </c>
      <c r="E178" s="11">
        <f t="shared" si="41"/>
        <v>3</v>
      </c>
      <c r="F178" s="12">
        <f t="shared" si="42"/>
        <v>0.158899421</v>
      </c>
      <c r="G178" s="9">
        <f>COUNTIFS(KISUMU!I:I,$G$18,KISUMU!A:A,"8/2/24")</f>
        <v>0</v>
      </c>
      <c r="H178" s="11">
        <f>COUNTIFS(KISUMU!I:I,$H$18,KISUMU!A:A,"8/2/24")</f>
        <v>3</v>
      </c>
      <c r="I178" s="11">
        <f>COUNTIFS(KISUMU!I:I,$I$18,KISUMU!A:A,"8/2/24")</f>
        <v>16</v>
      </c>
      <c r="J178" s="2"/>
      <c r="K178" s="1"/>
      <c r="L178" s="25"/>
      <c r="M178" s="1"/>
      <c r="N178" s="2"/>
      <c r="O178" s="2"/>
      <c r="P178" s="2"/>
      <c r="Q178" s="2"/>
      <c r="R178" s="2"/>
      <c r="S178" s="2"/>
      <c r="T178" s="2"/>
      <c r="U178" s="2"/>
      <c r="V178" s="2"/>
      <c r="W178" s="2"/>
      <c r="X178" s="2"/>
      <c r="Y178" s="2"/>
      <c r="Z178" s="2"/>
      <c r="AA178" s="2"/>
      <c r="AB178" s="2"/>
    </row>
    <row r="179">
      <c r="A179" s="7" t="s">
        <v>19</v>
      </c>
      <c r="B179" s="8">
        <f>SUMIFS(VOI!F:F,VOI!A:A,"8/2/24")</f>
        <v>269717.97</v>
      </c>
      <c r="C179" s="11">
        <f>COUNTIFS(VOI!A:A,"8/2/24")</f>
        <v>10</v>
      </c>
      <c r="D179" s="10">
        <f>SUMIFS(VOI!G:G,VOI!A:A,"8/2/24")</f>
        <v>10000</v>
      </c>
      <c r="E179" s="11">
        <f t="shared" si="41"/>
        <v>1</v>
      </c>
      <c r="F179" s="12">
        <f t="shared" si="42"/>
        <v>0.03707576473</v>
      </c>
      <c r="G179" s="9">
        <f>COUNTIFS(VOI!H:H,$G$18,VOI!A:A,"8/2/24")</f>
        <v>1</v>
      </c>
      <c r="H179" s="11">
        <f>COUNTIFS(VOI!H:H,$H$18,VOI!A:A,"8/2/24")</f>
        <v>0</v>
      </c>
      <c r="I179" s="11">
        <f>COUNTIFS(VOI!H:H,$I$18,VOI!A:A,"8/2/24")</f>
        <v>9</v>
      </c>
      <c r="J179" s="2"/>
      <c r="K179" s="1"/>
      <c r="L179" s="25"/>
      <c r="M179" s="1"/>
      <c r="N179" s="2"/>
      <c r="O179" s="2"/>
      <c r="P179" s="2"/>
      <c r="Q179" s="2"/>
      <c r="R179" s="2"/>
      <c r="S179" s="2"/>
      <c r="T179" s="2"/>
      <c r="U179" s="2"/>
      <c r="V179" s="2"/>
      <c r="W179" s="2"/>
      <c r="X179" s="2"/>
      <c r="Y179" s="2"/>
      <c r="Z179" s="2"/>
      <c r="AA179" s="2"/>
      <c r="AB179" s="2"/>
    </row>
    <row r="180">
      <c r="A180" s="7" t="s">
        <v>20</v>
      </c>
      <c r="B180" s="8">
        <f>SUMIFS(THIKA!F:F,THIKA!A:A,"8/2/24")</f>
        <v>1303259.61</v>
      </c>
      <c r="C180" s="11">
        <f>COUNTIFS(THIKA!A:A,"8/2/24")</f>
        <v>20</v>
      </c>
      <c r="D180" s="10">
        <f>SUMIFS(THIKA!G:G,THIKA!A:A,"8/2/24")</f>
        <v>308474</v>
      </c>
      <c r="E180" s="11">
        <f t="shared" si="41"/>
        <v>7</v>
      </c>
      <c r="F180" s="12">
        <f t="shared" si="42"/>
        <v>0.2366942071</v>
      </c>
      <c r="G180" s="9">
        <f>COUNTIFS(THIKA!I:I,$G$18,THIKA!A:A,"8/2/24")</f>
        <v>1</v>
      </c>
      <c r="H180" s="11">
        <f>COUNTIFS(THIKA!I:I,$H$18,THIKA!A:A,"8/2/24")</f>
        <v>6</v>
      </c>
      <c r="I180" s="11">
        <f>COUNTIFS(THIKA!I:I,$I$18,THIKA!A:A,"8/2/24")</f>
        <v>13</v>
      </c>
      <c r="J180" s="2"/>
      <c r="K180" s="1"/>
      <c r="L180" s="25"/>
      <c r="M180" s="1"/>
      <c r="N180" s="2"/>
      <c r="O180" s="2"/>
      <c r="P180" s="2"/>
      <c r="Q180" s="2"/>
      <c r="R180" s="2"/>
      <c r="S180" s="2"/>
      <c r="T180" s="2"/>
      <c r="U180" s="2"/>
      <c r="V180" s="2"/>
      <c r="W180" s="2"/>
      <c r="X180" s="2"/>
      <c r="Y180" s="2"/>
      <c r="Z180" s="2"/>
      <c r="AA180" s="2"/>
      <c r="AB180" s="2"/>
    </row>
    <row r="181">
      <c r="A181" s="7" t="s">
        <v>21</v>
      </c>
      <c r="B181" s="8">
        <f>SUMIFS(KITUI!F:F,KITUI!A:A,"8/2/24")</f>
        <v>115630</v>
      </c>
      <c r="C181" s="11">
        <f>COUNTIFS(KITUI!A:A,"8/2/24")</f>
        <v>1</v>
      </c>
      <c r="D181" s="10">
        <f>SUMIFS(KITUI!G:G,KITUI!A:A,"8/2/24")</f>
        <v>0</v>
      </c>
      <c r="E181" s="11">
        <f t="shared" si="41"/>
        <v>0</v>
      </c>
      <c r="F181" s="12">
        <f t="shared" si="42"/>
        <v>0</v>
      </c>
      <c r="G181" s="9">
        <f>COUNTIFS(KITUI!I:I,$G$18,KITUI!A:A,"8/2/24")</f>
        <v>0</v>
      </c>
      <c r="H181" s="11">
        <f>COUNTIFS(KITUI!I:I,$H$18,KITUI!A:A,"8/2/24")</f>
        <v>0</v>
      </c>
      <c r="I181" s="11">
        <f>COUNTIFS(KITUI!I:I,$I$18,KITUI!A:A,"8/2/24")</f>
        <v>1</v>
      </c>
      <c r="J181" s="2"/>
      <c r="K181" s="1"/>
      <c r="L181" s="25"/>
      <c r="M181" s="1"/>
      <c r="N181" s="2"/>
      <c r="O181" s="2"/>
      <c r="P181" s="2"/>
      <c r="Q181" s="2"/>
      <c r="R181" s="2"/>
      <c r="S181" s="2"/>
      <c r="T181" s="2"/>
      <c r="U181" s="2"/>
      <c r="V181" s="2"/>
      <c r="W181" s="2"/>
      <c r="X181" s="2"/>
      <c r="Y181" s="2"/>
      <c r="Z181" s="2"/>
      <c r="AA181" s="2"/>
      <c r="AB181" s="2"/>
    </row>
    <row r="182">
      <c r="A182" s="15" t="s">
        <v>22</v>
      </c>
      <c r="B182" s="8">
        <f>SUMIFS(MACHAKOS!F:F,MACHAKOS!A:A,"8/2/24")</f>
        <v>178960</v>
      </c>
      <c r="C182" s="11">
        <f>COUNTIFS(MACHAKOS!A:A,"8/2/24")</f>
        <v>2</v>
      </c>
      <c r="D182" s="10">
        <f>SUMIFS(MACHAKOS!G:G,MACHAKOS!A:A,"8/2/24")</f>
        <v>0</v>
      </c>
      <c r="E182" s="11">
        <f t="shared" si="41"/>
        <v>0</v>
      </c>
      <c r="F182" s="12">
        <f t="shared" si="42"/>
        <v>0</v>
      </c>
      <c r="G182" s="9">
        <f>COUNTIFS(MACHAKOS!I:I,$G$18,MACHAKOS!A:A,"8/2/24")</f>
        <v>0</v>
      </c>
      <c r="H182" s="11">
        <f>COUNTIFS(MACHAKOS!I:I,$H$18,MACHAKOS!A:A,"8/2/24")</f>
        <v>0</v>
      </c>
      <c r="I182" s="11">
        <f>COUNTIFS(MACHAKOS!I:I,$I$18,MACHAKOS!A:A,"8/2/24")</f>
        <v>2</v>
      </c>
      <c r="J182" s="2"/>
      <c r="K182" s="1"/>
      <c r="L182" s="25"/>
      <c r="M182" s="1"/>
      <c r="N182" s="2"/>
      <c r="O182" s="2"/>
      <c r="P182" s="2"/>
      <c r="Q182" s="2"/>
      <c r="R182" s="2"/>
      <c r="S182" s="2"/>
      <c r="T182" s="2"/>
      <c r="U182" s="2"/>
      <c r="V182" s="2"/>
      <c r="W182" s="2"/>
      <c r="X182" s="2"/>
      <c r="Y182" s="2"/>
      <c r="Z182" s="2"/>
      <c r="AA182" s="2"/>
      <c r="AB182" s="2"/>
    </row>
    <row r="183">
      <c r="A183" s="16" t="s">
        <v>23</v>
      </c>
      <c r="B183" s="19">
        <f t="shared" ref="B183:E183" si="43">SUM(B170:B182)</f>
        <v>38487474.6</v>
      </c>
      <c r="C183" s="18">
        <f t="shared" si="43"/>
        <v>240</v>
      </c>
      <c r="D183" s="19">
        <f t="shared" si="43"/>
        <v>8636456</v>
      </c>
      <c r="E183" s="18">
        <f t="shared" si="43"/>
        <v>52</v>
      </c>
      <c r="F183" s="20">
        <f>D183/B183</f>
        <v>0.2243965365</v>
      </c>
      <c r="G183" s="21">
        <f t="shared" ref="G183:I183" si="44">SUM(G170:G182)</f>
        <v>14</v>
      </c>
      <c r="H183" s="21">
        <f t="shared" si="44"/>
        <v>38</v>
      </c>
      <c r="I183" s="21">
        <f t="shared" si="44"/>
        <v>187</v>
      </c>
      <c r="J183" s="2"/>
      <c r="K183" s="1"/>
      <c r="L183" s="23"/>
      <c r="M183" s="2"/>
      <c r="N183" s="2"/>
      <c r="O183" s="2"/>
      <c r="P183" s="2"/>
      <c r="Q183" s="2"/>
      <c r="R183" s="2"/>
      <c r="S183" s="2"/>
      <c r="T183" s="2"/>
      <c r="U183" s="2"/>
      <c r="V183" s="2"/>
      <c r="W183" s="2"/>
      <c r="X183" s="2"/>
      <c r="Y183" s="2"/>
      <c r="Z183" s="2"/>
      <c r="AA183" s="2"/>
      <c r="AB183" s="2"/>
    </row>
    <row r="184">
      <c r="A184" s="1" t="s">
        <v>27</v>
      </c>
      <c r="B184" s="23">
        <v>1700000.0</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3" t="s">
        <v>1</v>
      </c>
      <c r="B186" s="5" t="s">
        <v>2</v>
      </c>
      <c r="C186" s="5" t="s">
        <v>3</v>
      </c>
      <c r="D186" s="5" t="s">
        <v>4</v>
      </c>
      <c r="E186" s="5" t="s">
        <v>5</v>
      </c>
      <c r="F186" s="26" t="s">
        <v>6</v>
      </c>
      <c r="G186" s="26" t="s">
        <v>7</v>
      </c>
      <c r="H186" s="26" t="s">
        <v>8</v>
      </c>
      <c r="I186" s="26" t="s">
        <v>9</v>
      </c>
      <c r="J186" s="2"/>
      <c r="K186" s="2"/>
      <c r="L186" s="2"/>
      <c r="M186" s="2"/>
      <c r="N186" s="2"/>
      <c r="O186" s="2"/>
      <c r="P186" s="2"/>
      <c r="Q186" s="2"/>
      <c r="R186" s="2"/>
      <c r="S186" s="2"/>
      <c r="T186" s="2"/>
      <c r="U186" s="2"/>
      <c r="V186" s="2"/>
      <c r="W186" s="2"/>
      <c r="X186" s="2"/>
      <c r="Y186" s="2"/>
      <c r="Z186" s="2"/>
      <c r="AA186" s="2"/>
      <c r="AB186" s="2"/>
    </row>
    <row r="187">
      <c r="A187" s="7" t="s">
        <v>10</v>
      </c>
      <c r="B187" s="8">
        <f>SUMIFS(ECOBANK!F:F,ECOBANK!A:A,"8/3/24")</f>
        <v>9743433.86</v>
      </c>
      <c r="C187" s="9">
        <f>COUNTIFS(ECOBANK!A:A,"8/3/24")</f>
        <v>15</v>
      </c>
      <c r="D187" s="10">
        <f>SUMIFS(ECOBANK!G:G,ECOBANK!A:A,"8/3/24")</f>
        <v>0</v>
      </c>
      <c r="E187" s="11">
        <f t="shared" ref="E187:E199" si="45">G187+H187</f>
        <v>0</v>
      </c>
      <c r="F187" s="12">
        <f t="shared" ref="F187:F199" si="46">iferror(D187/B187,0)</f>
        <v>0</v>
      </c>
      <c r="G187" s="9">
        <f>COUNTIFS(ECOBANK!I:I,$G$18,ECOBANK!A:A,"8/3/24")</f>
        <v>0</v>
      </c>
      <c r="H187" s="11">
        <f>COUNTIFS(ECOBANK!I:I,$H$18,ECOBANK!A:A,"8/3/24")</f>
        <v>0</v>
      </c>
      <c r="I187" s="11">
        <f>COUNTIFS(ECOBANK!I:I,$I$18,ECOBANK!A:A,"8/3/24")</f>
        <v>15</v>
      </c>
      <c r="J187" s="2"/>
      <c r="K187" s="2"/>
      <c r="L187" s="24"/>
      <c r="M187" s="24"/>
      <c r="N187" s="2"/>
      <c r="O187" s="2"/>
      <c r="P187" s="2"/>
      <c r="Q187" s="2"/>
      <c r="R187" s="2"/>
      <c r="S187" s="2"/>
      <c r="T187" s="2"/>
      <c r="U187" s="2"/>
      <c r="V187" s="2"/>
      <c r="W187" s="2"/>
      <c r="X187" s="2"/>
      <c r="Y187" s="2"/>
      <c r="Z187" s="2"/>
      <c r="AA187" s="2"/>
      <c r="AB187" s="2"/>
    </row>
    <row r="188">
      <c r="A188" s="7" t="s">
        <v>24</v>
      </c>
      <c r="B188" s="8">
        <f>SUMIFS('TRADE CENTER'!F:F,'TRADE CENTER'!A:A,"8/3/24")</f>
        <v>7666806.86</v>
      </c>
      <c r="C188" s="11">
        <f>COUNTIFS('TRADE CENTER'!A:A,"8/3/24")</f>
        <v>43</v>
      </c>
      <c r="D188" s="10">
        <f>SUMIFS('TRADE CENTER'!G:G,'TRADE CENTER'!A:A,"8/3/24")</f>
        <v>1170786</v>
      </c>
      <c r="E188" s="11">
        <f t="shared" si="45"/>
        <v>6</v>
      </c>
      <c r="F188" s="12">
        <f t="shared" si="46"/>
        <v>0.152708425</v>
      </c>
      <c r="G188" s="11">
        <f>COUNTIFS('TRADE CENTER'!I:I,$G$18,'TRADE CENTER'!A:A,"8/3/24")</f>
        <v>2</v>
      </c>
      <c r="H188" s="11">
        <f>COUNTIFS('TRADE CENTER'!I:I,$H$18,'TRADE CENTER'!A:A,"8/3/24")</f>
        <v>4</v>
      </c>
      <c r="I188" s="11">
        <f>COUNTIFS('TRADE CENTER'!I:I,$I$18,'TRADE CENTER'!A:A,"8/3/24")</f>
        <v>37</v>
      </c>
      <c r="J188" s="2"/>
      <c r="K188" s="2"/>
      <c r="L188" s="24"/>
      <c r="M188" s="24"/>
      <c r="N188" s="2"/>
      <c r="O188" s="2"/>
      <c r="P188" s="2"/>
      <c r="Q188" s="2"/>
      <c r="R188" s="2"/>
      <c r="S188" s="2"/>
      <c r="T188" s="2"/>
      <c r="U188" s="2"/>
      <c r="V188" s="2"/>
      <c r="W188" s="2"/>
      <c r="X188" s="2"/>
      <c r="Y188" s="2"/>
      <c r="Z188" s="2"/>
      <c r="AA188" s="2"/>
      <c r="AB188" s="2"/>
    </row>
    <row r="189">
      <c r="A189" s="7" t="s">
        <v>12</v>
      </c>
      <c r="B189" s="8">
        <f>SUMIFS(PENSION!F:F,PENSION!A:A,"8/3/2024")</f>
        <v>3932773.76</v>
      </c>
      <c r="C189" s="11">
        <f>COUNTIFS(PENSION!A:A,"8/3/24")</f>
        <v>30</v>
      </c>
      <c r="D189" s="10">
        <f>SUMIFS(PENSION!G:G,PENSION!A:A,"8/3/2024")</f>
        <v>1722709</v>
      </c>
      <c r="E189" s="11">
        <f t="shared" si="45"/>
        <v>4</v>
      </c>
      <c r="F189" s="12">
        <f t="shared" si="46"/>
        <v>0.4380391818</v>
      </c>
      <c r="G189" s="9">
        <f>COUNTIFS(PENSION!I:I,$G$18,PENSION!A:A,"8/3/24")</f>
        <v>0</v>
      </c>
      <c r="H189" s="11">
        <f>COUNTIFS(PENSION!I:I,$H$18,PENSION!A:A,"8/3/24")</f>
        <v>4</v>
      </c>
      <c r="I189" s="11">
        <f>COUNTIFS(PENSION!I:I,$I$18,PENSION!A:A,"8/3/24")</f>
        <v>26</v>
      </c>
      <c r="J189" s="2"/>
      <c r="K189" s="2"/>
      <c r="L189" s="24"/>
      <c r="M189" s="24"/>
      <c r="N189" s="2"/>
      <c r="O189" s="2"/>
      <c r="P189" s="2"/>
      <c r="Q189" s="2"/>
      <c r="R189" s="2"/>
      <c r="S189" s="2"/>
      <c r="T189" s="2"/>
      <c r="U189" s="2"/>
      <c r="V189" s="2"/>
      <c r="W189" s="2"/>
      <c r="X189" s="2"/>
      <c r="Y189" s="2"/>
      <c r="Z189" s="2"/>
      <c r="AA189" s="2"/>
      <c r="AB189" s="2"/>
    </row>
    <row r="190">
      <c r="A190" s="7" t="s">
        <v>13</v>
      </c>
      <c r="B190" s="8">
        <f>SUMIFS(KITENGELA!F:F,KITENGELA!A:A,"8/3/2024")</f>
        <v>2690594.71</v>
      </c>
      <c r="C190" s="11">
        <f>COUNTIFS(KITENGELA!A:A,"8/3/24")</f>
        <v>24</v>
      </c>
      <c r="D190" s="10">
        <f>SUMIFS(KITENGELA!G:G,KITENGELA!A:A,"8/3/24")</f>
        <v>429500</v>
      </c>
      <c r="E190" s="11">
        <f t="shared" si="45"/>
        <v>7</v>
      </c>
      <c r="F190" s="12">
        <f t="shared" si="46"/>
        <v>0.1596301362</v>
      </c>
      <c r="G190" s="11">
        <f>COUNTIFS(KITENGELA!I:I,$G$18,KITENGELA!A:A,"8/3/24")</f>
        <v>2</v>
      </c>
      <c r="H190" s="11">
        <f>COUNTIFS(KITENGELA!I:I,$H$18,KITENGELA!A:A,"8/3/24")</f>
        <v>5</v>
      </c>
      <c r="I190" s="11">
        <f>COUNTIFS(KITENGELA!I:I,$I$18,KITENGELA!A:A,"8/3/24")</f>
        <v>17</v>
      </c>
      <c r="J190" s="2"/>
      <c r="K190" s="2"/>
      <c r="L190" s="24"/>
      <c r="M190" s="24"/>
      <c r="N190" s="2"/>
      <c r="O190" s="2"/>
      <c r="P190" s="2"/>
      <c r="Q190" s="2"/>
      <c r="R190" s="2"/>
      <c r="S190" s="2"/>
      <c r="T190" s="2"/>
      <c r="U190" s="2"/>
      <c r="V190" s="2"/>
      <c r="W190" s="2"/>
      <c r="X190" s="2"/>
      <c r="Y190" s="2"/>
      <c r="Z190" s="2"/>
      <c r="AA190" s="2"/>
      <c r="AB190" s="2"/>
    </row>
    <row r="191">
      <c r="A191" s="7" t="s">
        <v>14</v>
      </c>
      <c r="B191" s="8">
        <f>SUMIFS(ELDORET!F:F,ELDORET!A:A,"8/3/24")</f>
        <v>458167</v>
      </c>
      <c r="C191" s="11">
        <f>COUNTIFS(ELDORET!A:A,"8/3/24")</f>
        <v>13</v>
      </c>
      <c r="D191" s="10">
        <f>SUMIFS(ELDORET!G:G,ELDORET!A:A,"8/3/24")</f>
        <v>6000</v>
      </c>
      <c r="E191" s="11">
        <f t="shared" si="45"/>
        <v>1</v>
      </c>
      <c r="F191" s="12">
        <f t="shared" si="46"/>
        <v>0.01309566163</v>
      </c>
      <c r="G191" s="11">
        <f>COUNTIFS(ELDORET!I:I,$G$18,ELDORET!A:A,"8/3/24")</f>
        <v>0</v>
      </c>
      <c r="H191" s="11">
        <f>COUNTIFS(ELDORET!I:I,$H$18,ELDORET!A:A,"8/3/24")</f>
        <v>1</v>
      </c>
      <c r="I191" s="11">
        <f>COUNTIFS(ELDORET!I:I,$I$18,ELDORET!A:A,"8/3/24")</f>
        <v>12</v>
      </c>
      <c r="J191" s="2"/>
      <c r="K191" s="2"/>
      <c r="L191" s="24"/>
      <c r="M191" s="24"/>
      <c r="N191" s="2"/>
      <c r="O191" s="2"/>
      <c r="P191" s="2"/>
      <c r="Q191" s="2"/>
      <c r="R191" s="2"/>
      <c r="S191" s="2"/>
      <c r="T191" s="2"/>
      <c r="U191" s="2"/>
      <c r="V191" s="2"/>
      <c r="W191" s="2"/>
      <c r="X191" s="2"/>
      <c r="Y191" s="2"/>
      <c r="Z191" s="2"/>
      <c r="AA191" s="2"/>
      <c r="AB191" s="2"/>
    </row>
    <row r="192">
      <c r="A192" s="7" t="s">
        <v>15</v>
      </c>
      <c r="B192" s="8">
        <f>SUMIFS(NAKURU!F:F,NAKURU!A:A,"8/3/24")</f>
        <v>612000</v>
      </c>
      <c r="C192" s="11">
        <f>COUNTIFS(NAKURU!A:A,"8/3/24")</f>
        <v>7</v>
      </c>
      <c r="D192" s="10">
        <f>SUMIFS(NAKURU!G:G,NAKURU!A:A,"8/3/24")</f>
        <v>25500</v>
      </c>
      <c r="E192" s="11">
        <f t="shared" si="45"/>
        <v>2</v>
      </c>
      <c r="F192" s="12">
        <f t="shared" si="46"/>
        <v>0.04166666667</v>
      </c>
      <c r="G192" s="9">
        <f>COUNTIFS(NAKURU!I:I,$G$18,NAKURU!A:A,"8/3/24")</f>
        <v>0</v>
      </c>
      <c r="H192" s="11">
        <f>COUNTIFS(NAKURU!I:I,$H$18,NAKURU!A:A,"8/3/24")</f>
        <v>2</v>
      </c>
      <c r="I192" s="11">
        <f>COUNTIFS(NAKURU!I:I,$I$18,NAKURU!A:A,"8/3/24")</f>
        <v>5</v>
      </c>
      <c r="J192" s="2"/>
      <c r="K192" s="2"/>
      <c r="L192" s="24"/>
      <c r="M192" s="24"/>
      <c r="N192" s="2"/>
      <c r="O192" s="2"/>
      <c r="P192" s="2"/>
      <c r="Q192" s="2"/>
      <c r="R192" s="2"/>
      <c r="S192" s="2"/>
      <c r="T192" s="2"/>
      <c r="U192" s="2"/>
      <c r="V192" s="2"/>
      <c r="W192" s="2"/>
      <c r="X192" s="2"/>
      <c r="Y192" s="2"/>
      <c r="Z192" s="2"/>
      <c r="AA192" s="2"/>
      <c r="AB192" s="2"/>
    </row>
    <row r="193">
      <c r="A193" s="7" t="s">
        <v>16</v>
      </c>
      <c r="B193" s="8">
        <f>SUMIFS(HOMABAY!F:F,HOMABAY!A:A,"8/3/24")</f>
        <v>75000</v>
      </c>
      <c r="C193" s="11">
        <f>COUNTIFS(HOMABAY!A:A,"8/3/24")</f>
        <v>3</v>
      </c>
      <c r="D193" s="10">
        <f>SUMIFS(HOMABAY!G:G,HOMABAY!A:A,"8/3/24")</f>
        <v>3000</v>
      </c>
      <c r="E193" s="11">
        <f t="shared" si="45"/>
        <v>1</v>
      </c>
      <c r="F193" s="12">
        <f t="shared" si="46"/>
        <v>0.04</v>
      </c>
      <c r="G193" s="9">
        <f>COUNTIFS(HOMABAY!K:K,$G$18,HOMABAY!A:A,"8/3/24")</f>
        <v>1</v>
      </c>
      <c r="H193" s="11">
        <f>COUNTIFS(HOMABAY!K:K,$H$18,HOMABAY!A:A,"8/3/24")</f>
        <v>0</v>
      </c>
      <c r="I193" s="11">
        <f>COUNTIFS(HOMABAY!K:K,$I$18,HOMABAY!A:A,"8/3/24")</f>
        <v>2</v>
      </c>
      <c r="J193" s="2"/>
      <c r="K193" s="2"/>
      <c r="L193" s="24"/>
      <c r="M193" s="24"/>
      <c r="N193" s="2"/>
      <c r="O193" s="2"/>
      <c r="P193" s="2"/>
      <c r="Q193" s="2"/>
      <c r="R193" s="2"/>
      <c r="S193" s="2"/>
      <c r="T193" s="2"/>
      <c r="U193" s="2"/>
      <c r="V193" s="2"/>
      <c r="W193" s="2"/>
      <c r="X193" s="2"/>
      <c r="Y193" s="2"/>
      <c r="Z193" s="2"/>
      <c r="AA193" s="2"/>
      <c r="AB193" s="2"/>
    </row>
    <row r="194">
      <c r="A194" s="7" t="s">
        <v>17</v>
      </c>
      <c r="B194" s="8">
        <f>SUMIFS(MOMBASA!F:F,MOMBASA!A:A,"8/3/24")</f>
        <v>1103628.64</v>
      </c>
      <c r="C194" s="11">
        <f>COUNTIFS(MOMBASA!A:A,"8/3/24")</f>
        <v>16</v>
      </c>
      <c r="D194" s="27">
        <f>SUMIFS(MOMBASA!G:G,MOMBASA!A:A,"8/3/24")</f>
        <v>157961</v>
      </c>
      <c r="E194" s="11">
        <f t="shared" si="45"/>
        <v>6</v>
      </c>
      <c r="F194" s="12">
        <f t="shared" si="46"/>
        <v>0.1431287611</v>
      </c>
      <c r="G194" s="9">
        <f>COUNTIFS(MOMBASA!I:I,$G$18,MOMBASA!A:A,"8/3/24")</f>
        <v>2</v>
      </c>
      <c r="H194" s="11">
        <f>COUNTIFS(MOMBASA!I:I,$H$18,MOMBASA!A:A,"8/3/24")</f>
        <v>4</v>
      </c>
      <c r="I194" s="11">
        <f>COUNTIFS(MOMBASA!I:I,$I$18,MOMBASA!A:A,"8/3/24")</f>
        <v>10</v>
      </c>
      <c r="J194" s="2"/>
      <c r="K194" s="2"/>
      <c r="L194" s="24"/>
      <c r="M194" s="24"/>
      <c r="N194" s="2"/>
      <c r="O194" s="2"/>
      <c r="P194" s="2"/>
      <c r="Q194" s="2"/>
      <c r="R194" s="2"/>
      <c r="S194" s="2"/>
      <c r="T194" s="2"/>
      <c r="U194" s="2"/>
      <c r="V194" s="2"/>
      <c r="W194" s="2"/>
      <c r="X194" s="2"/>
      <c r="Y194" s="2"/>
      <c r="Z194" s="2"/>
      <c r="AA194" s="2"/>
      <c r="AB194" s="2"/>
    </row>
    <row r="195">
      <c r="A195" s="7" t="s">
        <v>18</v>
      </c>
      <c r="B195" s="8">
        <f>SUMIFS(KISUMU!F:F,KISUMU!A:A,"8/3/24")</f>
        <v>1495260.08</v>
      </c>
      <c r="C195" s="11">
        <f>COUNTIFS(KISUMU!A:A,"8/3/24")</f>
        <v>19</v>
      </c>
      <c r="D195" s="10">
        <f>SUMIFS(KISUMU!G:G,KISUMU!A:A,"8/3/24")</f>
        <v>126500</v>
      </c>
      <c r="E195" s="11">
        <f t="shared" si="45"/>
        <v>1</v>
      </c>
      <c r="F195" s="12">
        <f t="shared" si="46"/>
        <v>0.08460066693</v>
      </c>
      <c r="G195" s="9">
        <f>COUNTIFS(KISUMU!I:I,$G$18,KISUMU!A:A,"8/3/24")</f>
        <v>0</v>
      </c>
      <c r="H195" s="11">
        <f>COUNTIFS(KISUMU!I:I,$H$18,KISUMU!A:A,"8/3/24")</f>
        <v>1</v>
      </c>
      <c r="I195" s="11">
        <f>COUNTIFS(KISUMU!I:I,$I$18,KISUMU!A:A,"8/3/24")</f>
        <v>18</v>
      </c>
      <c r="J195" s="2"/>
      <c r="K195" s="2"/>
      <c r="L195" s="24"/>
      <c r="M195" s="24"/>
      <c r="N195" s="2"/>
      <c r="O195" s="2"/>
      <c r="P195" s="2"/>
      <c r="Q195" s="2"/>
      <c r="R195" s="2"/>
      <c r="S195" s="2"/>
      <c r="T195" s="2"/>
      <c r="U195" s="2"/>
      <c r="V195" s="2"/>
      <c r="W195" s="2"/>
      <c r="X195" s="2"/>
      <c r="Y195" s="2"/>
      <c r="Z195" s="2"/>
      <c r="AA195" s="2"/>
      <c r="AB195" s="2"/>
    </row>
    <row r="196">
      <c r="A196" s="7" t="s">
        <v>19</v>
      </c>
      <c r="B196" s="8">
        <f>SUMIFS(VOI!F:F,VOI!A:A,"8/3/24")</f>
        <v>259717.97</v>
      </c>
      <c r="C196" s="11">
        <f>COUNTIFS(VOI!A:A,"8/3/24")</f>
        <v>10</v>
      </c>
      <c r="D196" s="10">
        <f>SUMIFS(VOI!G:G,VOI!A:A,"8/3/24")</f>
        <v>8000</v>
      </c>
      <c r="E196" s="11">
        <f t="shared" si="45"/>
        <v>2</v>
      </c>
      <c r="F196" s="12">
        <f t="shared" si="46"/>
        <v>0.03080264334</v>
      </c>
      <c r="G196" s="9">
        <f>COUNTIFS(VOI!H:H,$G$18,VOI!A:A,"8/3/24")</f>
        <v>2</v>
      </c>
      <c r="H196" s="11">
        <f>COUNTIFS(VOI!H:H,$H$18,VOI!A:A,"8/3/24")</f>
        <v>0</v>
      </c>
      <c r="I196" s="11">
        <f>COUNTIFS(VOI!H:H,$I$18,VOI!A:A,"8/3/24")</f>
        <v>8</v>
      </c>
      <c r="J196" s="2"/>
      <c r="K196" s="2"/>
      <c r="L196" s="24"/>
      <c r="M196" s="24"/>
      <c r="N196" s="2"/>
      <c r="O196" s="2"/>
      <c r="P196" s="2"/>
      <c r="Q196" s="2"/>
      <c r="R196" s="2"/>
      <c r="S196" s="2"/>
      <c r="T196" s="2"/>
      <c r="U196" s="2"/>
      <c r="V196" s="2"/>
      <c r="W196" s="2"/>
      <c r="X196" s="2"/>
      <c r="Y196" s="2"/>
      <c r="Z196" s="2"/>
      <c r="AA196" s="2"/>
      <c r="AB196" s="2"/>
    </row>
    <row r="197">
      <c r="A197" s="7" t="s">
        <v>20</v>
      </c>
      <c r="B197" s="8">
        <f>SUMIFS(THIKA!F:F,THIKA!A:A,"8/3/24")</f>
        <v>1017609.75</v>
      </c>
      <c r="C197" s="11">
        <f>COUNTIFS(THIKA!A:A,"8/3/24")</f>
        <v>12</v>
      </c>
      <c r="D197" s="10">
        <f>SUMIFS(THIKA!G:G,THIKA!A:A,"8/3/24")</f>
        <v>194425</v>
      </c>
      <c r="E197" s="11">
        <f t="shared" si="45"/>
        <v>2</v>
      </c>
      <c r="F197" s="12">
        <f t="shared" si="46"/>
        <v>0.1910604728</v>
      </c>
      <c r="G197" s="9">
        <f>COUNTIFS(THIKA!I:I,$G$18,THIKA!A:A,"8/3/24")</f>
        <v>1</v>
      </c>
      <c r="H197" s="11">
        <f>COUNTIFS(THIKA!I:I,$H$18,THIKA!A:A,"8/3/24")</f>
        <v>1</v>
      </c>
      <c r="I197" s="11">
        <f>COUNTIFS(THIKA!I:I,$I$18,THIKA!A:A,"8/3/24")</f>
        <v>10</v>
      </c>
      <c r="J197" s="2"/>
      <c r="K197" s="2"/>
      <c r="L197" s="24"/>
      <c r="M197" s="24"/>
      <c r="N197" s="2"/>
      <c r="O197" s="2"/>
      <c r="P197" s="2"/>
      <c r="Q197" s="2"/>
      <c r="R197" s="2"/>
      <c r="S197" s="2"/>
      <c r="T197" s="2"/>
      <c r="U197" s="2"/>
      <c r="V197" s="2"/>
      <c r="W197" s="2"/>
      <c r="X197" s="2"/>
      <c r="Y197" s="2"/>
      <c r="Z197" s="2"/>
      <c r="AA197" s="2"/>
      <c r="AB197" s="2"/>
    </row>
    <row r="198">
      <c r="A198" s="7" t="s">
        <v>21</v>
      </c>
      <c r="B198" s="8">
        <f>SUMIFS(KITUI!F:F,KITUI!A:A,"8/3/24")</f>
        <v>63000</v>
      </c>
      <c r="C198" s="11">
        <f>COUNTIFS(KITUI!A:A,"8/3/24")</f>
        <v>1</v>
      </c>
      <c r="D198" s="10">
        <f>SUMIFS(KITUI!G:G,KITUI!A:A,"8/3/24")</f>
        <v>0</v>
      </c>
      <c r="E198" s="11">
        <f t="shared" si="45"/>
        <v>0</v>
      </c>
      <c r="F198" s="12">
        <f t="shared" si="46"/>
        <v>0</v>
      </c>
      <c r="G198" s="9">
        <f>COUNTIFS(KITUI!I:I,$G$18,KITUI!A:A,"8/3/24")</f>
        <v>0</v>
      </c>
      <c r="H198" s="11">
        <f>COUNTIFS(KITUI!I:I,$H$18,KITUI!A:A,"8/3/24")</f>
        <v>0</v>
      </c>
      <c r="I198" s="11">
        <f>COUNTIFS(KITUI!I:I,$I$18,KITUI!A:A,"8/3/24")</f>
        <v>1</v>
      </c>
      <c r="J198" s="2"/>
      <c r="K198" s="2"/>
      <c r="L198" s="24"/>
      <c r="M198" s="24"/>
      <c r="N198" s="2"/>
      <c r="O198" s="2"/>
      <c r="P198" s="2"/>
      <c r="Q198" s="2"/>
      <c r="R198" s="2"/>
      <c r="S198" s="2"/>
      <c r="T198" s="2"/>
      <c r="U198" s="2"/>
      <c r="V198" s="2"/>
      <c r="W198" s="2"/>
      <c r="X198" s="2"/>
      <c r="Y198" s="2"/>
      <c r="Z198" s="2"/>
      <c r="AA198" s="2"/>
      <c r="AB198" s="2"/>
    </row>
    <row r="199">
      <c r="A199" s="15" t="s">
        <v>22</v>
      </c>
      <c r="B199" s="8">
        <f>SUMIFS(MACHAKOS!F:F,MACHAKOS!A:A,"8/3/24")</f>
        <v>178960</v>
      </c>
      <c r="C199" s="11">
        <f>COUNTIFS(MACHAKOS!A:A,"8/3/24")</f>
        <v>2</v>
      </c>
      <c r="D199" s="10">
        <f>SUMIFS(MACHAKOS!G:G,MACHAKOS!A:A,"8/3/24")</f>
        <v>0</v>
      </c>
      <c r="E199" s="11">
        <f t="shared" si="45"/>
        <v>0</v>
      </c>
      <c r="F199" s="12">
        <f t="shared" si="46"/>
        <v>0</v>
      </c>
      <c r="G199" s="9">
        <f>COUNTIFS(MACHAKOS!I:I,$G$18,MACHAKOS!A:A,"8/3/24")</f>
        <v>0</v>
      </c>
      <c r="H199" s="11">
        <f>COUNTIFS(MACHAKOS!I:I,$H$18,MACHAKOS!A:A,"8/3/24")</f>
        <v>0</v>
      </c>
      <c r="I199" s="11">
        <f>COUNTIFS(MACHAKOS!I:I,$I$18,MACHAKOS!A:A,"8/3/24")</f>
        <v>2</v>
      </c>
      <c r="J199" s="2"/>
      <c r="K199" s="2"/>
      <c r="L199" s="24"/>
      <c r="M199" s="24"/>
      <c r="N199" s="2"/>
      <c r="O199" s="2"/>
      <c r="P199" s="2"/>
      <c r="Q199" s="2"/>
      <c r="R199" s="2"/>
      <c r="S199" s="2"/>
      <c r="T199" s="2"/>
      <c r="U199" s="2"/>
      <c r="V199" s="2"/>
      <c r="W199" s="2"/>
      <c r="X199" s="2"/>
      <c r="Y199" s="2"/>
      <c r="Z199" s="2"/>
      <c r="AA199" s="2"/>
      <c r="AB199" s="2"/>
    </row>
    <row r="200">
      <c r="A200" s="16" t="s">
        <v>23</v>
      </c>
      <c r="B200" s="19">
        <f t="shared" ref="B200:E200" si="47">SUM(B187:B199)</f>
        <v>29296952.63</v>
      </c>
      <c r="C200" s="18">
        <f t="shared" si="47"/>
        <v>195</v>
      </c>
      <c r="D200" s="19">
        <f t="shared" si="47"/>
        <v>3844381</v>
      </c>
      <c r="E200" s="18">
        <f t="shared" si="47"/>
        <v>32</v>
      </c>
      <c r="F200" s="20">
        <f>D200/B200</f>
        <v>0.1312211904</v>
      </c>
      <c r="G200" s="21">
        <f t="shared" ref="G200:I200" si="48">SUM(G187:G199)</f>
        <v>10</v>
      </c>
      <c r="H200" s="21">
        <f t="shared" si="48"/>
        <v>22</v>
      </c>
      <c r="I200" s="21">
        <f t="shared" si="48"/>
        <v>163</v>
      </c>
      <c r="J200" s="2"/>
      <c r="K200" s="2"/>
      <c r="L200" s="2"/>
      <c r="M200" s="2"/>
      <c r="N200" s="2"/>
      <c r="O200" s="2"/>
      <c r="P200" s="2"/>
      <c r="Q200" s="2"/>
      <c r="R200" s="2"/>
      <c r="S200" s="2"/>
      <c r="T200" s="2"/>
      <c r="U200" s="2"/>
      <c r="V200" s="2"/>
      <c r="W200" s="2"/>
      <c r="X200" s="2"/>
      <c r="Y200" s="2"/>
      <c r="Z200" s="2"/>
      <c r="AA200" s="2"/>
      <c r="AB200" s="2"/>
    </row>
    <row r="201">
      <c r="A201" s="1" t="s">
        <v>27</v>
      </c>
      <c r="B201" s="23">
        <v>1700000.0</v>
      </c>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3" t="s">
        <v>1</v>
      </c>
      <c r="B203" s="5" t="s">
        <v>2</v>
      </c>
      <c r="C203" s="5" t="s">
        <v>3</v>
      </c>
      <c r="D203" s="5" t="s">
        <v>4</v>
      </c>
      <c r="E203" s="5" t="s">
        <v>5</v>
      </c>
      <c r="F203" s="26" t="s">
        <v>6</v>
      </c>
      <c r="G203" s="26" t="s">
        <v>7</v>
      </c>
      <c r="H203" s="26" t="s">
        <v>8</v>
      </c>
      <c r="I203" s="26" t="s">
        <v>9</v>
      </c>
      <c r="J203" s="2"/>
      <c r="K203" s="2"/>
      <c r="L203" s="2"/>
      <c r="M203" s="2"/>
      <c r="N203" s="2"/>
      <c r="O203" s="2"/>
      <c r="P203" s="2"/>
      <c r="Q203" s="2"/>
      <c r="R203" s="2"/>
      <c r="S203" s="2"/>
      <c r="T203" s="2"/>
      <c r="U203" s="2"/>
      <c r="V203" s="2"/>
      <c r="W203" s="2"/>
      <c r="X203" s="2"/>
      <c r="Y203" s="2"/>
      <c r="Z203" s="2"/>
      <c r="AA203" s="2"/>
      <c r="AB203" s="2"/>
    </row>
    <row r="204">
      <c r="A204" s="7" t="s">
        <v>10</v>
      </c>
      <c r="B204" s="8">
        <f>SUMIFS(ECOBANK!F:F,ECOBANK!A:A,"8/5/24")</f>
        <v>7339677.57</v>
      </c>
      <c r="C204" s="9">
        <f>COUNTIFS(ECOBANK!A:A,"8/5/24")</f>
        <v>22</v>
      </c>
      <c r="D204" s="10">
        <f>SUMIFS(ECOBANK!G:G,ECOBANK!A:A,"8/5/24")</f>
        <v>762425</v>
      </c>
      <c r="E204" s="11">
        <f t="shared" ref="E204:E216" si="49">G204+H204</f>
        <v>5</v>
      </c>
      <c r="F204" s="12">
        <f t="shared" ref="F204:F216" si="50">iferror(D204/B204,0)</f>
        <v>0.1038771789</v>
      </c>
      <c r="G204" s="9">
        <f>COUNTIFS(ECOBANK!I:I,$G$18,ECOBANK!A:A,"8/5/24")</f>
        <v>2</v>
      </c>
      <c r="H204" s="11">
        <f>COUNTIFS(ECOBANK!I:I,$H$18,ECOBANK!A:A,"8/5/24")</f>
        <v>3</v>
      </c>
      <c r="I204" s="11">
        <f>COUNTIFS(ECOBANK!I:I,$I$18,ECOBANK!A:A,"8/5/24")</f>
        <v>17</v>
      </c>
      <c r="J204" s="2"/>
      <c r="K204" s="2"/>
      <c r="L204" s="2"/>
      <c r="M204" s="2"/>
      <c r="N204" s="2"/>
      <c r="O204" s="2"/>
      <c r="P204" s="2"/>
      <c r="Q204" s="2"/>
      <c r="R204" s="2"/>
      <c r="S204" s="2"/>
      <c r="T204" s="2"/>
      <c r="U204" s="2"/>
      <c r="V204" s="2"/>
      <c r="W204" s="2"/>
      <c r="X204" s="2"/>
      <c r="Y204" s="2"/>
      <c r="Z204" s="2"/>
      <c r="AA204" s="2"/>
      <c r="AB204" s="2"/>
    </row>
    <row r="205">
      <c r="A205" s="7" t="s">
        <v>24</v>
      </c>
      <c r="B205" s="8">
        <f>SUMIFS('TRADE CENTER'!F:F,'TRADE CENTER'!A:A,"8/5/24")</f>
        <v>7212491.1</v>
      </c>
      <c r="C205" s="11">
        <f>COUNTIFS('TRADE CENTER'!A:A,"8/5/24")</f>
        <v>43</v>
      </c>
      <c r="D205" s="10">
        <f>SUMIFS('TRADE CENTER'!G:G,'TRADE CENTER'!A:A,"8/5/24")</f>
        <v>1125235</v>
      </c>
      <c r="E205" s="11">
        <f t="shared" si="49"/>
        <v>9</v>
      </c>
      <c r="F205" s="12">
        <f t="shared" si="50"/>
        <v>0.1560119776</v>
      </c>
      <c r="G205" s="11">
        <f>COUNTIFS('TRADE CENTER'!I:I,$G$18,'TRADE CENTER'!A:A,"8/5/24")</f>
        <v>3</v>
      </c>
      <c r="H205" s="11">
        <f>COUNTIFS('TRADE CENTER'!I:I,$H$18,'TRADE CENTER'!A:A,"8/5/24")</f>
        <v>6</v>
      </c>
      <c r="I205" s="11">
        <f>COUNTIFS('TRADE CENTER'!I:I,$I$18,'TRADE CENTER'!A:A,"8/5/24")</f>
        <v>34</v>
      </c>
      <c r="J205" s="2"/>
      <c r="K205" s="2"/>
      <c r="L205" s="2"/>
      <c r="M205" s="2"/>
      <c r="N205" s="2"/>
      <c r="O205" s="2"/>
      <c r="P205" s="2"/>
      <c r="Q205" s="2"/>
      <c r="R205" s="2"/>
      <c r="S205" s="2"/>
      <c r="T205" s="2"/>
      <c r="U205" s="2"/>
      <c r="V205" s="2"/>
      <c r="W205" s="2"/>
      <c r="X205" s="2"/>
      <c r="Y205" s="2"/>
      <c r="Z205" s="2"/>
      <c r="AA205" s="2"/>
      <c r="AB205" s="2"/>
    </row>
    <row r="206">
      <c r="A206" s="7" t="s">
        <v>12</v>
      </c>
      <c r="B206" s="8">
        <f>SUMIFS(PENSION!F:F,PENSION!A:A,"8/5/2024")</f>
        <v>8983803.08</v>
      </c>
      <c r="C206" s="11">
        <f>COUNTIFS(PENSION!A:A,"8/5/24")</f>
        <v>54</v>
      </c>
      <c r="D206" s="10">
        <f>SUMIFS(PENSION!G:G,PENSION!A:A,"8/5/2024")</f>
        <v>1668297</v>
      </c>
      <c r="E206" s="11">
        <f t="shared" si="49"/>
        <v>13</v>
      </c>
      <c r="F206" s="12">
        <f t="shared" si="50"/>
        <v>0.1857005307</v>
      </c>
      <c r="G206" s="9">
        <f>COUNTIFS(PENSION!I:I,$G$18,PENSION!A:A,"8/5/24")</f>
        <v>1</v>
      </c>
      <c r="H206" s="11">
        <f>COUNTIFS(PENSION!I:I,$H$18,PENSION!A:A,"8/5/24")</f>
        <v>12</v>
      </c>
      <c r="I206" s="11">
        <f>COUNTIFS(PENSION!I:I,$I$18,PENSION!A:A,"8/5/24")</f>
        <v>41</v>
      </c>
      <c r="J206" s="2"/>
      <c r="K206" s="24">
        <f>B206-D206</f>
        <v>7315506.08</v>
      </c>
      <c r="L206" s="2"/>
      <c r="M206" s="2"/>
      <c r="N206" s="2"/>
      <c r="O206" s="2"/>
      <c r="P206" s="2"/>
      <c r="Q206" s="2"/>
      <c r="R206" s="2"/>
      <c r="S206" s="2"/>
      <c r="T206" s="2"/>
      <c r="U206" s="2"/>
      <c r="V206" s="2"/>
      <c r="W206" s="2"/>
      <c r="X206" s="2"/>
      <c r="Y206" s="2"/>
      <c r="Z206" s="2"/>
      <c r="AA206" s="2"/>
      <c r="AB206" s="2"/>
    </row>
    <row r="207">
      <c r="A207" s="7" t="s">
        <v>13</v>
      </c>
      <c r="B207" s="8">
        <f>SUMIFS(KITENGELA!F:F,KITENGELA!A:A,"8/5/2024")</f>
        <v>5274444.42</v>
      </c>
      <c r="C207" s="11">
        <f>COUNTIFS(KITENGELA!A:A,"8/5/24")</f>
        <v>44</v>
      </c>
      <c r="D207" s="10">
        <f>SUMIFS(KITENGELA!G:G,KITENGELA!A:A,"8/5/24")</f>
        <v>1798683</v>
      </c>
      <c r="E207" s="11">
        <f t="shared" si="49"/>
        <v>8</v>
      </c>
      <c r="F207" s="12">
        <f t="shared" si="50"/>
        <v>0.3410184764</v>
      </c>
      <c r="G207" s="11">
        <f>COUNTIFS(KITENGELA!I:I,$G$18,KITENGELA!A:A,"8/5/24")</f>
        <v>4</v>
      </c>
      <c r="H207" s="11">
        <f>COUNTIFS(KITENGELA!I:I,$H$18,KITENGELA!A:A,"8/5/24")</f>
        <v>4</v>
      </c>
      <c r="I207" s="11">
        <f>COUNTIFS(KITENGELA!I:I,$I$18,KITENGELA!A:A,"8/5/24")</f>
        <v>36</v>
      </c>
      <c r="J207" s="2"/>
      <c r="K207" s="2"/>
      <c r="L207" s="2"/>
      <c r="M207" s="2"/>
      <c r="N207" s="2"/>
      <c r="O207" s="2"/>
      <c r="P207" s="2"/>
      <c r="Q207" s="2"/>
      <c r="R207" s="2"/>
      <c r="S207" s="2"/>
      <c r="T207" s="2"/>
      <c r="U207" s="2"/>
      <c r="V207" s="2"/>
      <c r="W207" s="2"/>
      <c r="X207" s="2"/>
      <c r="Y207" s="2"/>
      <c r="Z207" s="2"/>
      <c r="AA207" s="2"/>
      <c r="AB207" s="2"/>
    </row>
    <row r="208">
      <c r="A208" s="7" t="s">
        <v>14</v>
      </c>
      <c r="B208" s="8">
        <f>SUMIFS(ELDORET!F:F,ELDORET!A:A,"8/5/24")</f>
        <v>1057026</v>
      </c>
      <c r="C208" s="11">
        <f>COUNTIFS(ELDORET!A:A,"8/5/24")</f>
        <v>19</v>
      </c>
      <c r="D208" s="10">
        <f>SUMIFS(ELDORET!G:G,ELDORET!A:A,"8/5/24")</f>
        <v>67200</v>
      </c>
      <c r="E208" s="11">
        <f t="shared" si="49"/>
        <v>3</v>
      </c>
      <c r="F208" s="12">
        <f t="shared" si="50"/>
        <v>0.06357459514</v>
      </c>
      <c r="G208" s="11">
        <f>COUNTIFS(ELDORET!I:I,$G$18,ELDORET!A:A,"8/5/24")</f>
        <v>1</v>
      </c>
      <c r="H208" s="11">
        <f>COUNTIFS(ELDORET!I:I,$H$18,ELDORET!A:A,"8/5/24")</f>
        <v>2</v>
      </c>
      <c r="I208" s="11">
        <f>COUNTIFS(ELDORET!I:I,$I$18,ELDORET!A:A,"8/5/24")</f>
        <v>16</v>
      </c>
      <c r="J208" s="2"/>
      <c r="K208" s="2"/>
      <c r="L208" s="2"/>
      <c r="M208" s="2"/>
      <c r="N208" s="2"/>
      <c r="O208" s="2"/>
      <c r="P208" s="2"/>
      <c r="Q208" s="2"/>
      <c r="R208" s="2"/>
      <c r="S208" s="2"/>
      <c r="T208" s="2"/>
      <c r="U208" s="2"/>
      <c r="V208" s="2"/>
      <c r="W208" s="2"/>
      <c r="X208" s="2"/>
      <c r="Y208" s="2"/>
      <c r="Z208" s="2"/>
      <c r="AA208" s="2"/>
      <c r="AB208" s="2"/>
    </row>
    <row r="209">
      <c r="A209" s="7" t="s">
        <v>15</v>
      </c>
      <c r="B209" s="8">
        <f>SUMIFS(NAKURU!F:F,NAKURU!A:A,"8/5/24")</f>
        <v>632000</v>
      </c>
      <c r="C209" s="11">
        <f>COUNTIFS(NAKURU!A:A,"8/5/24")</f>
        <v>7</v>
      </c>
      <c r="D209" s="10">
        <f>SUMIFS(NAKURU!G:G,NAKURU!A:A,"8/5/24")</f>
        <v>130000</v>
      </c>
      <c r="E209" s="11">
        <f t="shared" si="49"/>
        <v>2</v>
      </c>
      <c r="F209" s="12">
        <f t="shared" si="50"/>
        <v>0.2056962025</v>
      </c>
      <c r="G209" s="9">
        <f>COUNTIFS(NAKURU!I:I,$G$18,NAKURU!A:A,"8/5/24")</f>
        <v>1</v>
      </c>
      <c r="H209" s="11">
        <f>COUNTIFS(NAKURU!I:I,$H$18,NAKURU!A:A,"8/5/24")</f>
        <v>1</v>
      </c>
      <c r="I209" s="11">
        <f>COUNTIFS(NAKURU!I:I,$I$18,NAKURU!A:A,"8/5/24")</f>
        <v>5</v>
      </c>
      <c r="J209" s="2"/>
      <c r="K209" s="2"/>
      <c r="L209" s="2"/>
      <c r="M209" s="2"/>
      <c r="N209" s="2"/>
      <c r="O209" s="2"/>
      <c r="P209" s="2"/>
      <c r="Q209" s="2"/>
      <c r="R209" s="2"/>
      <c r="S209" s="2"/>
      <c r="T209" s="2"/>
      <c r="U209" s="2"/>
      <c r="V209" s="2"/>
      <c r="W209" s="2"/>
      <c r="X209" s="2"/>
      <c r="Y209" s="2"/>
      <c r="Z209" s="2"/>
      <c r="AA209" s="2"/>
      <c r="AB209" s="2"/>
    </row>
    <row r="210">
      <c r="A210" s="7" t="s">
        <v>16</v>
      </c>
      <c r="B210" s="8">
        <f>SUMIFS(HOMABAY!F:F,HOMABAY!A:A,"8/5/24")</f>
        <v>163734</v>
      </c>
      <c r="C210" s="11">
        <f>COUNTIFS(HOMABAY!A:A,"8/5/24")</f>
        <v>3</v>
      </c>
      <c r="D210" s="10">
        <f>SUMIFS(HOMABAY!G:G,HOMABAY!A:A,"8/5/24")</f>
        <v>57700</v>
      </c>
      <c r="E210" s="11">
        <f t="shared" si="49"/>
        <v>1</v>
      </c>
      <c r="F210" s="12">
        <f t="shared" si="50"/>
        <v>0.3524008453</v>
      </c>
      <c r="G210" s="9">
        <f>COUNTIFS(HOMABAY!K:K,$G$18,HOMABAY!A:A,"8/5/24")</f>
        <v>0</v>
      </c>
      <c r="H210" s="11">
        <f>COUNTIFS(HOMABAY!K:K,$H$18,HOMABAY!A:A,"8/5/24")</f>
        <v>1</v>
      </c>
      <c r="I210" s="11">
        <f>COUNTIFS(HOMABAY!K:K,$I$18,HOMABAY!A:A,"8/5/24")</f>
        <v>2</v>
      </c>
      <c r="J210" s="2"/>
      <c r="K210" s="2"/>
      <c r="L210" s="2"/>
      <c r="M210" s="2"/>
      <c r="N210" s="2"/>
      <c r="O210" s="2"/>
      <c r="P210" s="2"/>
      <c r="Q210" s="2"/>
      <c r="R210" s="2"/>
      <c r="S210" s="2"/>
      <c r="T210" s="2"/>
      <c r="U210" s="2"/>
      <c r="V210" s="2"/>
      <c r="W210" s="2"/>
      <c r="X210" s="2"/>
      <c r="Y210" s="2"/>
      <c r="Z210" s="2"/>
      <c r="AA210" s="2"/>
      <c r="AB210" s="2"/>
    </row>
    <row r="211">
      <c r="A211" s="7" t="s">
        <v>17</v>
      </c>
      <c r="B211" s="8">
        <f>SUMIFS(MOMBASA!F:F,MOMBASA!A:A,"8/5/24")</f>
        <v>1761821.37</v>
      </c>
      <c r="C211" s="11">
        <f>COUNTIFS(MOMBASA!A:A,"8/5/24")</f>
        <v>20</v>
      </c>
      <c r="D211" s="27">
        <f>SUMIFS(MOMBASA!G:G,MOMBASA!A:A,"8/5/24")</f>
        <v>427040</v>
      </c>
      <c r="E211" s="11">
        <f t="shared" si="49"/>
        <v>6</v>
      </c>
      <c r="F211" s="12">
        <f t="shared" si="50"/>
        <v>0.2423855263</v>
      </c>
      <c r="G211" s="9">
        <f>COUNTIFS(MOMBASA!I:I,$G$18,MOMBASA!A:A,"8/5/24")</f>
        <v>2</v>
      </c>
      <c r="H211" s="11">
        <f>COUNTIFS(MOMBASA!I:I,$H$18,MOMBASA!A:A,"8/5/24")</f>
        <v>4</v>
      </c>
      <c r="I211" s="11">
        <f>COUNTIFS(MOMBASA!I:I,$I$18,MOMBASA!A:A,"8/5/24")</f>
        <v>14</v>
      </c>
      <c r="J211" s="2"/>
      <c r="K211" s="24">
        <f>B211-D211</f>
        <v>1334781.37</v>
      </c>
      <c r="L211" s="2"/>
      <c r="M211" s="2"/>
      <c r="N211" s="2"/>
      <c r="O211" s="2"/>
      <c r="P211" s="2"/>
      <c r="Q211" s="2"/>
      <c r="R211" s="2"/>
      <c r="S211" s="2"/>
      <c r="T211" s="2"/>
      <c r="U211" s="2"/>
      <c r="V211" s="2"/>
      <c r="W211" s="2"/>
      <c r="X211" s="2"/>
      <c r="Y211" s="2"/>
      <c r="Z211" s="2"/>
      <c r="AA211" s="2"/>
      <c r="AB211" s="2"/>
    </row>
    <row r="212">
      <c r="A212" s="7" t="s">
        <v>18</v>
      </c>
      <c r="B212" s="8">
        <f>SUMIFS(KISUMU!F:F,KISUMU!A:A,"8/5/24")</f>
        <v>1916677.05</v>
      </c>
      <c r="C212" s="11">
        <f>COUNTIFS(KISUMU!A:A,"8/5/24")</f>
        <v>27</v>
      </c>
      <c r="D212" s="10">
        <f>SUMIFS(KISUMU!G:G,KISUMU!A:A,"8/5/24")</f>
        <v>419882</v>
      </c>
      <c r="E212" s="11">
        <f t="shared" si="49"/>
        <v>10</v>
      </c>
      <c r="F212" s="12">
        <f t="shared" si="50"/>
        <v>0.2190676828</v>
      </c>
      <c r="G212" s="9">
        <f>COUNTIFS(KISUMU!I:I,$G$18,KISUMU!A:A,"8/5/24")</f>
        <v>7</v>
      </c>
      <c r="H212" s="11">
        <f>COUNTIFS(KISUMU!I:I,$H$18,KISUMU!A:A,"8/5/24")</f>
        <v>3</v>
      </c>
      <c r="I212" s="11">
        <f>COUNTIFS(KISUMU!I:I,$I$18,KISUMU!A:A,"8/5/24")</f>
        <v>17</v>
      </c>
      <c r="J212" s="2"/>
      <c r="K212" s="2"/>
      <c r="L212" s="2"/>
      <c r="M212" s="2"/>
      <c r="N212" s="2"/>
      <c r="O212" s="2"/>
      <c r="P212" s="2"/>
      <c r="Q212" s="2"/>
      <c r="R212" s="2"/>
      <c r="S212" s="2"/>
      <c r="T212" s="2"/>
      <c r="U212" s="2"/>
      <c r="V212" s="2"/>
      <c r="W212" s="2"/>
      <c r="X212" s="2"/>
      <c r="Y212" s="2"/>
      <c r="Z212" s="2"/>
      <c r="AA212" s="2"/>
      <c r="AB212" s="2"/>
    </row>
    <row r="213">
      <c r="A213" s="7" t="s">
        <v>19</v>
      </c>
      <c r="B213" s="8">
        <f>SUMIFS(VOI!F:F,VOI!A:A,"8/5/24")</f>
        <v>272340.97</v>
      </c>
      <c r="C213" s="11">
        <f>COUNTIFS(VOI!A:A,"8/5/24")</f>
        <v>11</v>
      </c>
      <c r="D213" s="10">
        <f>SUMIFS(VOI!G:G,VOI!A:A,"8/5/24")</f>
        <v>18000</v>
      </c>
      <c r="E213" s="11">
        <f t="shared" si="49"/>
        <v>1</v>
      </c>
      <c r="F213" s="12">
        <f t="shared" si="50"/>
        <v>0.06609361786</v>
      </c>
      <c r="G213" s="9">
        <f>COUNTIFS(VOI!H:H,$G$18,VOI!A:A,"8/5/24")</f>
        <v>0</v>
      </c>
      <c r="H213" s="11">
        <f>COUNTIFS(VOI!H:H,$H$18,VOI!A:A,"8/5/24")</f>
        <v>1</v>
      </c>
      <c r="I213" s="11">
        <f>COUNTIFS(VOI!H:H,$I$18,VOI!A:A,"8/5/24")</f>
        <v>10</v>
      </c>
      <c r="J213" s="2"/>
      <c r="K213" s="2"/>
      <c r="L213" s="2"/>
      <c r="M213" s="2"/>
      <c r="N213" s="2"/>
      <c r="O213" s="2"/>
      <c r="P213" s="2"/>
      <c r="Q213" s="2"/>
      <c r="R213" s="2"/>
      <c r="S213" s="2"/>
      <c r="T213" s="2"/>
      <c r="U213" s="2"/>
      <c r="V213" s="2"/>
      <c r="W213" s="2"/>
      <c r="X213" s="2"/>
      <c r="Y213" s="2"/>
      <c r="Z213" s="2"/>
      <c r="AA213" s="2"/>
      <c r="AB213" s="2"/>
    </row>
    <row r="214">
      <c r="A214" s="7" t="s">
        <v>20</v>
      </c>
      <c r="B214" s="8">
        <f>SUMIFS(THIKA!F:F,THIKA!A:A,"8/5/24")</f>
        <v>1308146</v>
      </c>
      <c r="C214" s="11">
        <f>COUNTIFS(THIKA!A:A,"8/5/24")</f>
        <v>22</v>
      </c>
      <c r="D214" s="10">
        <f>SUMIFS(THIKA!G:G,THIKA!A:A,"8/5/24")</f>
        <v>74879</v>
      </c>
      <c r="E214" s="11">
        <f t="shared" si="49"/>
        <v>5</v>
      </c>
      <c r="F214" s="12">
        <f t="shared" si="50"/>
        <v>0.05724055266</v>
      </c>
      <c r="G214" s="9">
        <f>COUNTIFS(THIKA!I:I,$G$18,THIKA!A:A,"8/5/24")</f>
        <v>0</v>
      </c>
      <c r="H214" s="11">
        <f>COUNTIFS(THIKA!I:I,$H$18,THIKA!A:A,"8/5/24")</f>
        <v>5</v>
      </c>
      <c r="I214" s="11">
        <f>COUNTIFS(THIKA!I:I,$I$18,THIKA!A:A,"8/5/24")</f>
        <v>17</v>
      </c>
      <c r="J214" s="2"/>
      <c r="K214" s="24">
        <f>B214-D214</f>
        <v>1233267</v>
      </c>
      <c r="L214" s="2"/>
      <c r="M214" s="2"/>
      <c r="N214" s="2"/>
      <c r="O214" s="2"/>
      <c r="P214" s="2"/>
      <c r="Q214" s="2"/>
      <c r="R214" s="2"/>
      <c r="S214" s="2"/>
      <c r="T214" s="2"/>
      <c r="U214" s="2"/>
      <c r="V214" s="2"/>
      <c r="W214" s="2"/>
      <c r="X214" s="2"/>
      <c r="Y214" s="2"/>
      <c r="Z214" s="2"/>
      <c r="AA214" s="2"/>
      <c r="AB214" s="2"/>
    </row>
    <row r="215">
      <c r="A215" s="7" t="s">
        <v>21</v>
      </c>
      <c r="B215" s="8">
        <f>SUMIFS(KITUI!F:F,KITUI!A:A,"8/5/24")</f>
        <v>63000</v>
      </c>
      <c r="C215" s="11">
        <f>COUNTIFS(KITUI!A:A,"8/5/24")</f>
        <v>1</v>
      </c>
      <c r="D215" s="10">
        <f>SUMIFS(KITUI!G:G,KITUI!A:A,"8/5/24")</f>
        <v>67000</v>
      </c>
      <c r="E215" s="11">
        <f t="shared" si="49"/>
        <v>1</v>
      </c>
      <c r="F215" s="12">
        <f t="shared" si="50"/>
        <v>1.063492063</v>
      </c>
      <c r="G215" s="9">
        <f>COUNTIFS(KITUI!I:I,$G$18,KITUI!A:A,"8/5/24")</f>
        <v>0</v>
      </c>
      <c r="H215" s="11">
        <f>COUNTIFS(KITUI!I:I,$H$18,KITUI!A:A,"8/5/24")</f>
        <v>1</v>
      </c>
      <c r="I215" s="11">
        <f>COUNTIFS(KITUI!I:I,$I$18,KITUI!A:A,"8/5/24")</f>
        <v>0</v>
      </c>
      <c r="J215" s="2"/>
      <c r="K215" s="2"/>
      <c r="L215" s="2"/>
      <c r="M215" s="2"/>
      <c r="N215" s="2"/>
      <c r="O215" s="2"/>
      <c r="P215" s="2"/>
      <c r="Q215" s="2"/>
      <c r="R215" s="2"/>
      <c r="S215" s="2"/>
      <c r="T215" s="2"/>
      <c r="U215" s="2"/>
      <c r="V215" s="2"/>
      <c r="W215" s="2"/>
      <c r="X215" s="2"/>
      <c r="Y215" s="2"/>
      <c r="Z215" s="2"/>
      <c r="AA215" s="2"/>
      <c r="AB215" s="2"/>
    </row>
    <row r="216">
      <c r="A216" s="15" t="s">
        <v>22</v>
      </c>
      <c r="B216" s="8">
        <f>SUMIFS(MACHAKOS!F:F,MACHAKOS!A:A,"8/5/24")</f>
        <v>178960</v>
      </c>
      <c r="C216" s="11">
        <f>COUNTIFS(MACHAKOS!A:A,"8/5/24")</f>
        <v>2</v>
      </c>
      <c r="D216" s="10">
        <f>SUMIFS(MACHAKOS!G:G,MACHAKOS!A:A,"8/5/24")</f>
        <v>0</v>
      </c>
      <c r="E216" s="11">
        <f t="shared" si="49"/>
        <v>0</v>
      </c>
      <c r="F216" s="12">
        <f t="shared" si="50"/>
        <v>0</v>
      </c>
      <c r="G216" s="9">
        <f>COUNTIFS(MACHAKOS!I:I,$G$18,MACHAKOS!A:A,"8/5/24")</f>
        <v>0</v>
      </c>
      <c r="H216" s="11">
        <f>COUNTIFS(MACHAKOS!I:I,$H$18,MACHAKOS!A:A,"8/5/24")</f>
        <v>0</v>
      </c>
      <c r="I216" s="11">
        <f>COUNTIFS(MACHAKOS!I:I,$I$18,MACHAKOS!A:A,"8/5/24")</f>
        <v>2</v>
      </c>
      <c r="J216" s="2"/>
      <c r="K216" s="2"/>
      <c r="L216" s="2"/>
      <c r="M216" s="2"/>
      <c r="N216" s="2"/>
      <c r="O216" s="2"/>
      <c r="P216" s="2"/>
      <c r="Q216" s="2"/>
      <c r="R216" s="2"/>
      <c r="S216" s="2"/>
      <c r="T216" s="2"/>
      <c r="U216" s="2"/>
      <c r="V216" s="2"/>
      <c r="W216" s="2"/>
      <c r="X216" s="2"/>
      <c r="Y216" s="2"/>
      <c r="Z216" s="2"/>
      <c r="AA216" s="2"/>
      <c r="AB216" s="2"/>
    </row>
    <row r="217">
      <c r="A217" s="16" t="s">
        <v>23</v>
      </c>
      <c r="B217" s="19">
        <f t="shared" ref="B217:E217" si="51">SUM(B204:B216)</f>
        <v>36164121.56</v>
      </c>
      <c r="C217" s="18">
        <f t="shared" si="51"/>
        <v>275</v>
      </c>
      <c r="D217" s="19">
        <f t="shared" si="51"/>
        <v>6616341</v>
      </c>
      <c r="E217" s="18">
        <f t="shared" si="51"/>
        <v>64</v>
      </c>
      <c r="F217" s="20">
        <f>D217/B217</f>
        <v>0.1829531789</v>
      </c>
      <c r="G217" s="21">
        <f t="shared" ref="G217:I217" si="52">SUM(G204:G216)</f>
        <v>21</v>
      </c>
      <c r="H217" s="21">
        <f t="shared" si="52"/>
        <v>43</v>
      </c>
      <c r="I217" s="21">
        <f t="shared" si="52"/>
        <v>211</v>
      </c>
      <c r="J217" s="2"/>
      <c r="K217" s="2"/>
      <c r="L217" s="2"/>
      <c r="M217" s="2"/>
      <c r="N217" s="2"/>
      <c r="O217" s="2"/>
      <c r="P217" s="2"/>
      <c r="Q217" s="2"/>
      <c r="R217" s="2"/>
      <c r="S217" s="2"/>
      <c r="T217" s="2"/>
      <c r="U217" s="2"/>
      <c r="V217" s="2"/>
      <c r="W217" s="2"/>
      <c r="X217" s="2"/>
      <c r="Y217" s="2"/>
      <c r="Z217" s="2"/>
      <c r="AA217" s="2"/>
      <c r="AB217" s="2"/>
    </row>
    <row r="218">
      <c r="A218" s="1" t="s">
        <v>27</v>
      </c>
      <c r="B218" s="23">
        <v>2100000.0</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1" t="s">
        <v>29</v>
      </c>
      <c r="B219" s="23">
        <v>2685000.0</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3" t="s">
        <v>1</v>
      </c>
      <c r="B221" s="5" t="s">
        <v>2</v>
      </c>
      <c r="C221" s="5" t="s">
        <v>3</v>
      </c>
      <c r="D221" s="5" t="s">
        <v>4</v>
      </c>
      <c r="E221" s="5" t="s">
        <v>5</v>
      </c>
      <c r="F221" s="26" t="s">
        <v>6</v>
      </c>
      <c r="G221" s="26" t="s">
        <v>7</v>
      </c>
      <c r="H221" s="26" t="s">
        <v>8</v>
      </c>
      <c r="I221" s="26" t="s">
        <v>9</v>
      </c>
      <c r="J221" s="2"/>
      <c r="K221" s="2"/>
      <c r="L221" s="2"/>
      <c r="M221" s="2"/>
      <c r="N221" s="2"/>
      <c r="O221" s="2"/>
      <c r="P221" s="2"/>
      <c r="Q221" s="2"/>
      <c r="R221" s="2"/>
      <c r="S221" s="2"/>
      <c r="T221" s="2"/>
      <c r="U221" s="2"/>
      <c r="V221" s="2"/>
      <c r="W221" s="2"/>
      <c r="X221" s="2"/>
      <c r="Y221" s="2"/>
      <c r="Z221" s="2"/>
      <c r="AA221" s="2"/>
      <c r="AB221" s="2"/>
    </row>
    <row r="222">
      <c r="A222" s="7" t="s">
        <v>10</v>
      </c>
      <c r="B222" s="8">
        <f>SUMIFS(ECOBANK!F:F,ECOBANK!A:A,"8/6/24")</f>
        <v>7714710.07</v>
      </c>
      <c r="C222" s="9">
        <f>COUNTIFS(ECOBANK!A:A,"8/6/24")</f>
        <v>20</v>
      </c>
      <c r="D222" s="10">
        <f>SUMIFS(ECOBANK!G:G,ECOBANK!A:A,"8/6/24")</f>
        <v>706000</v>
      </c>
      <c r="E222" s="11">
        <f t="shared" ref="E222:E234" si="53">G222+H222</f>
        <v>4</v>
      </c>
      <c r="F222" s="12">
        <f t="shared" ref="F222:F234" si="54">iferror(D222/B222,0)</f>
        <v>0.09151348445</v>
      </c>
      <c r="G222" s="9">
        <f>COUNTIFS(ECOBANK!I:I,$G$18,ECOBANK!A:A,"8/6/24")</f>
        <v>3</v>
      </c>
      <c r="H222" s="11">
        <f>COUNTIFS(ECOBANK!I:I,$H$18,ECOBANK!A:A,"8/6/24")</f>
        <v>1</v>
      </c>
      <c r="I222" s="11">
        <f>COUNTIFS(ECOBANK!I:I,$I$18,ECOBANK!A:A,"8/6/24")</f>
        <v>16</v>
      </c>
      <c r="J222" s="2"/>
      <c r="K222" s="2"/>
      <c r="L222" s="2"/>
      <c r="M222" s="2"/>
      <c r="N222" s="2"/>
      <c r="O222" s="2"/>
      <c r="P222" s="2"/>
      <c r="Q222" s="2"/>
      <c r="R222" s="2"/>
      <c r="S222" s="2"/>
      <c r="T222" s="2"/>
      <c r="U222" s="2"/>
      <c r="V222" s="2"/>
      <c r="W222" s="2"/>
      <c r="X222" s="2"/>
      <c r="Y222" s="2"/>
      <c r="Z222" s="2"/>
      <c r="AA222" s="2"/>
      <c r="AB222" s="2"/>
    </row>
    <row r="223">
      <c r="A223" s="7" t="s">
        <v>24</v>
      </c>
      <c r="B223" s="8">
        <f>SUMIFS('TRADE CENTER'!F:F,'TRADE CENTER'!A:A,"8/6/24")</f>
        <v>6192642.5</v>
      </c>
      <c r="C223" s="11">
        <f>COUNTIFS('TRADE CENTER'!A:A,"8/6/24")</f>
        <v>34</v>
      </c>
      <c r="D223" s="10">
        <f>SUMIFS('TRADE CENTER'!G:G,'TRADE CENTER'!A:A,"8/6/24")</f>
        <v>785597</v>
      </c>
      <c r="E223" s="11">
        <f t="shared" si="53"/>
        <v>5</v>
      </c>
      <c r="F223" s="12">
        <f t="shared" si="54"/>
        <v>0.1268597372</v>
      </c>
      <c r="G223" s="11">
        <f>COUNTIFS('TRADE CENTER'!I:I,$G$18,'TRADE CENTER'!A:A,"8/6/24")</f>
        <v>2</v>
      </c>
      <c r="H223" s="11">
        <f>COUNTIFS('TRADE CENTER'!I:I,$H$18,'TRADE CENTER'!A:A,"8/6/24")</f>
        <v>3</v>
      </c>
      <c r="I223" s="11">
        <f>COUNTIFS('TRADE CENTER'!I:I,$I$18,'TRADE CENTER'!A:A,"8/6/24")</f>
        <v>29</v>
      </c>
      <c r="J223" s="2"/>
      <c r="K223" s="2"/>
      <c r="L223" s="2"/>
      <c r="M223" s="2"/>
      <c r="N223" s="2"/>
      <c r="O223" s="2"/>
      <c r="P223" s="2"/>
      <c r="Q223" s="2"/>
      <c r="R223" s="2"/>
      <c r="S223" s="2"/>
      <c r="T223" s="2"/>
      <c r="U223" s="2"/>
      <c r="V223" s="2"/>
      <c r="W223" s="2"/>
      <c r="X223" s="2"/>
      <c r="Y223" s="2"/>
      <c r="Z223" s="2"/>
      <c r="AA223" s="2"/>
      <c r="AB223" s="2"/>
    </row>
    <row r="224">
      <c r="A224" s="7" t="s">
        <v>12</v>
      </c>
      <c r="B224" s="8">
        <f>SUMIFS(PENSION!F:F,PENSION!A:A,"8/6/2024")</f>
        <v>10329347.49</v>
      </c>
      <c r="C224" s="11">
        <f>COUNTIFS(PENSION!A:A,"8/6/24")</f>
        <v>58</v>
      </c>
      <c r="D224" s="10">
        <f>SUMIFS(PENSION!G:G,PENSION!A:A,"8/6/2024")</f>
        <v>1612904</v>
      </c>
      <c r="E224" s="11">
        <f t="shared" si="53"/>
        <v>15</v>
      </c>
      <c r="F224" s="12">
        <f t="shared" si="54"/>
        <v>0.1561477142</v>
      </c>
      <c r="G224" s="9">
        <f>COUNTIFS(PENSION!I:I,$G$18,PENSION!A:A,"8/6/24")</f>
        <v>4</v>
      </c>
      <c r="H224" s="11">
        <f>COUNTIFS(PENSION!I:I,$H$18,PENSION!A:A,"8/6/24")</f>
        <v>11</v>
      </c>
      <c r="I224" s="11">
        <f>COUNTIFS(PENSION!I:I,$I$18,PENSION!A:A,"8/6/24")</f>
        <v>43</v>
      </c>
      <c r="J224" s="2"/>
      <c r="K224" s="2"/>
      <c r="L224" s="2"/>
      <c r="M224" s="2"/>
      <c r="N224" s="2"/>
      <c r="O224" s="2"/>
      <c r="P224" s="2"/>
      <c r="Q224" s="2"/>
      <c r="R224" s="2"/>
      <c r="S224" s="2"/>
      <c r="T224" s="2"/>
      <c r="U224" s="2"/>
      <c r="V224" s="2"/>
      <c r="W224" s="2"/>
      <c r="X224" s="2"/>
      <c r="Y224" s="2"/>
      <c r="Z224" s="2"/>
      <c r="AA224" s="2"/>
      <c r="AB224" s="2"/>
    </row>
    <row r="225">
      <c r="A225" s="7" t="s">
        <v>13</v>
      </c>
      <c r="B225" s="8">
        <f>SUMIFS(KITENGELA!F:F,KITENGELA!A:A,"8/5/2024")</f>
        <v>5274444.42</v>
      </c>
      <c r="C225" s="11">
        <f>COUNTIFS(KITENGELA!A:A,"8/6/24")</f>
        <v>47</v>
      </c>
      <c r="D225" s="10">
        <f>SUMIFS(KITENGELA!G:G,KITENGELA!A:A,"8/6/24")</f>
        <v>579821</v>
      </c>
      <c r="E225" s="11">
        <f t="shared" si="53"/>
        <v>10</v>
      </c>
      <c r="F225" s="12">
        <f t="shared" si="54"/>
        <v>0.1099302512</v>
      </c>
      <c r="G225" s="11">
        <f>COUNTIFS(KITENGELA!I:I,$G$18,KITENGELA!A:A,"8/6/24")</f>
        <v>7</v>
      </c>
      <c r="H225" s="11">
        <f>COUNTIFS(KITENGELA!I:I,$H$18,KITENGELA!A:A,"8/6/24")</f>
        <v>3</v>
      </c>
      <c r="I225" s="11">
        <f>COUNTIFS(KITENGELA!I:I,$I$18,KITENGELA!A:A,"8/6/24")</f>
        <v>37</v>
      </c>
      <c r="J225" s="2"/>
      <c r="K225" s="2"/>
      <c r="L225" s="2"/>
      <c r="M225" s="2"/>
      <c r="N225" s="2"/>
      <c r="O225" s="2"/>
      <c r="P225" s="2"/>
      <c r="Q225" s="2"/>
      <c r="R225" s="2"/>
      <c r="S225" s="2"/>
      <c r="T225" s="2"/>
      <c r="U225" s="2"/>
      <c r="V225" s="2"/>
      <c r="W225" s="2"/>
      <c r="X225" s="2"/>
      <c r="Y225" s="2"/>
      <c r="Z225" s="2"/>
      <c r="AA225" s="2"/>
      <c r="AB225" s="2"/>
    </row>
    <row r="226">
      <c r="A226" s="7" t="s">
        <v>14</v>
      </c>
      <c r="B226" s="8">
        <f>SUMIFS(ELDORET!F:F,ELDORET!A:A,"8/6/24")</f>
        <v>1247084.26</v>
      </c>
      <c r="C226" s="11">
        <f>COUNTIFS(ELDORET!A:A,"8/6/24")</f>
        <v>19</v>
      </c>
      <c r="D226" s="10">
        <f>SUMIFS(ELDORET!G:G,ELDORET!A:A,"8/6/24")</f>
        <v>237015</v>
      </c>
      <c r="E226" s="11">
        <f t="shared" si="53"/>
        <v>5</v>
      </c>
      <c r="F226" s="12">
        <f t="shared" si="54"/>
        <v>0.1900553215</v>
      </c>
      <c r="G226" s="11">
        <f>COUNTIFS(ELDORET!I:I,$G$18,ELDORET!A:A,"8/6/24")</f>
        <v>2</v>
      </c>
      <c r="H226" s="11">
        <f>COUNTIFS(ELDORET!I:I,$H$18,ELDORET!A:A,"8/6/24")</f>
        <v>3</v>
      </c>
      <c r="I226" s="11">
        <f>COUNTIFS(ELDORET!I:I,$I$18,ELDORET!A:A,"8/6/24")</f>
        <v>14</v>
      </c>
      <c r="J226" s="2"/>
      <c r="K226" s="2"/>
      <c r="L226" s="1"/>
      <c r="M226" s="2"/>
      <c r="N226" s="2"/>
      <c r="O226" s="2"/>
      <c r="P226" s="2"/>
      <c r="Q226" s="2"/>
      <c r="R226" s="2"/>
      <c r="S226" s="2"/>
      <c r="T226" s="2"/>
      <c r="U226" s="2"/>
      <c r="V226" s="2"/>
      <c r="W226" s="2"/>
      <c r="X226" s="2"/>
      <c r="Y226" s="2"/>
      <c r="Z226" s="2"/>
      <c r="AA226" s="2"/>
      <c r="AB226" s="2"/>
    </row>
    <row r="227">
      <c r="A227" s="7" t="s">
        <v>15</v>
      </c>
      <c r="B227" s="8">
        <f>SUMIFS(NAKURU!F:F,NAKURU!A:A,"8/6/24")</f>
        <v>587436</v>
      </c>
      <c r="C227" s="11">
        <f>COUNTIFS(NAKURU!A:A,"8/6/24")</f>
        <v>7</v>
      </c>
      <c r="D227" s="10">
        <f>SUMIFS(NAKURU!G:G,NAKURU!A:A,"8/6/24")</f>
        <v>123156</v>
      </c>
      <c r="E227" s="11">
        <f t="shared" si="53"/>
        <v>1</v>
      </c>
      <c r="F227" s="12">
        <f t="shared" si="54"/>
        <v>0.2096500725</v>
      </c>
      <c r="G227" s="9">
        <f>COUNTIFS(NAKURU!I:I,$G$18,NAKURU!A:A,"8/6/24")</f>
        <v>0</v>
      </c>
      <c r="H227" s="11">
        <f>COUNTIFS(NAKURU!I:I,$H$18,NAKURU!A:A,"8/6/24")</f>
        <v>1</v>
      </c>
      <c r="I227" s="11">
        <f>COUNTIFS(NAKURU!I:I,$I$18,NAKURU!A:A,"8/6/24")</f>
        <v>6</v>
      </c>
      <c r="J227" s="2"/>
      <c r="K227" s="2"/>
      <c r="L227" s="2"/>
      <c r="M227" s="2"/>
      <c r="N227" s="2"/>
      <c r="O227" s="2"/>
      <c r="P227" s="2"/>
      <c r="Q227" s="2"/>
      <c r="R227" s="2"/>
      <c r="S227" s="2"/>
      <c r="T227" s="2"/>
      <c r="U227" s="2"/>
      <c r="V227" s="2"/>
      <c r="W227" s="2"/>
      <c r="X227" s="2"/>
      <c r="Y227" s="2"/>
      <c r="Z227" s="2"/>
      <c r="AA227" s="2"/>
      <c r="AB227" s="2"/>
    </row>
    <row r="228">
      <c r="A228" s="7" t="s">
        <v>16</v>
      </c>
      <c r="B228" s="8">
        <f>SUMIFS(HOMABAY!F:F,HOMABAY!A:A,"8/6/24")</f>
        <v>72000</v>
      </c>
      <c r="C228" s="11">
        <f>COUNTIFS(HOMABAY!A:A,"8/6/24")</f>
        <v>2</v>
      </c>
      <c r="D228" s="10">
        <f>SUMIFS(HOMABAY!G:G,HOMABAY!A:A,"8/6/24")</f>
        <v>62000</v>
      </c>
      <c r="E228" s="11">
        <f t="shared" si="53"/>
        <v>1</v>
      </c>
      <c r="F228" s="12">
        <f t="shared" si="54"/>
        <v>0.8611111111</v>
      </c>
      <c r="G228" s="9">
        <f>COUNTIFS(HOMABAY!K:K,$G$18,HOMABAY!A:A,"8/6/24")</f>
        <v>0</v>
      </c>
      <c r="H228" s="11">
        <f>COUNTIFS(HOMABAY!K:K,$H$18,HOMABAY!A:A,"8/6/24")</f>
        <v>1</v>
      </c>
      <c r="I228" s="11">
        <f>COUNTIFS(HOMABAY!K:K,$I$18,HOMABAY!A:A,"8/6/24")</f>
        <v>1</v>
      </c>
      <c r="J228" s="2"/>
      <c r="K228" s="2"/>
      <c r="L228" s="2"/>
      <c r="M228" s="2"/>
      <c r="N228" s="2"/>
      <c r="O228" s="2"/>
      <c r="P228" s="2"/>
      <c r="Q228" s="2"/>
      <c r="R228" s="2"/>
      <c r="S228" s="2"/>
      <c r="T228" s="2"/>
      <c r="U228" s="2"/>
      <c r="V228" s="2"/>
      <c r="W228" s="2"/>
      <c r="X228" s="2"/>
      <c r="Y228" s="2"/>
      <c r="Z228" s="2"/>
      <c r="AA228" s="2"/>
      <c r="AB228" s="2"/>
    </row>
    <row r="229">
      <c r="A229" s="7" t="s">
        <v>17</v>
      </c>
      <c r="B229" s="8">
        <f>SUMIFS(MOMBASA!F:F,MOMBASA!A:A,"8/6/24")</f>
        <v>1270388.86</v>
      </c>
      <c r="C229" s="11">
        <f>COUNTIFS(MOMBASA!A:A,"8/6/24")</f>
        <v>24</v>
      </c>
      <c r="D229" s="27">
        <f>SUMIFS(MOMBASA!G:G,MOMBASA!A:A,"8/6/24")</f>
        <v>327286</v>
      </c>
      <c r="E229" s="11">
        <f t="shared" si="53"/>
        <v>6</v>
      </c>
      <c r="F229" s="12">
        <f t="shared" si="54"/>
        <v>0.2576266294</v>
      </c>
      <c r="G229" s="9">
        <f>COUNTIFS(MOMBASA!I:I,$G$18,MOMBASA!A:A,"8/6/24")</f>
        <v>3</v>
      </c>
      <c r="H229" s="11">
        <f>COUNTIFS(MOMBASA!I:I,$H$18,MOMBASA!A:A,"8/6/24")</f>
        <v>3</v>
      </c>
      <c r="I229" s="11">
        <f>COUNTIFS(MOMBASA!I:I,$I$18,MOMBASA!A:A,"8/6/24")</f>
        <v>18</v>
      </c>
      <c r="J229" s="2"/>
      <c r="K229" s="2"/>
      <c r="L229" s="2"/>
      <c r="M229" s="2"/>
      <c r="N229" s="2"/>
      <c r="O229" s="2"/>
      <c r="P229" s="2"/>
      <c r="Q229" s="2"/>
      <c r="R229" s="2"/>
      <c r="S229" s="2"/>
      <c r="T229" s="2"/>
      <c r="U229" s="2"/>
      <c r="V229" s="2"/>
      <c r="W229" s="2"/>
      <c r="X229" s="2"/>
      <c r="Y229" s="2"/>
      <c r="Z229" s="2"/>
      <c r="AA229" s="2"/>
      <c r="AB229" s="2"/>
    </row>
    <row r="230">
      <c r="A230" s="7" t="s">
        <v>18</v>
      </c>
      <c r="B230" s="8">
        <f>SUMIFS(KISUMU!F:F,KISUMU!A:A,"8/6/24")</f>
        <v>1588877.2</v>
      </c>
      <c r="C230" s="11">
        <f>COUNTIFS(KISUMU!A:A,"8/6/24")</f>
        <v>23</v>
      </c>
      <c r="D230" s="10">
        <f>SUMIFS(KISUMU!G:G,KISUMU!A:A,"8/6/24")</f>
        <v>104550</v>
      </c>
      <c r="E230" s="11">
        <f t="shared" si="53"/>
        <v>3</v>
      </c>
      <c r="F230" s="12">
        <f t="shared" si="54"/>
        <v>0.06580118338</v>
      </c>
      <c r="G230" s="9">
        <f>COUNTIFS(KISUMU!I:I,$G$18,KISUMU!A:A,"8/6/24")</f>
        <v>0</v>
      </c>
      <c r="H230" s="11">
        <f>COUNTIFS(KISUMU!I:I,$H$18,KISUMU!A:A,"8/6/24")</f>
        <v>3</v>
      </c>
      <c r="I230" s="11">
        <f>COUNTIFS(KISUMU!I:I,$I$18,KISUMU!A:A,"8/6/24")</f>
        <v>20</v>
      </c>
      <c r="J230" s="2"/>
      <c r="K230" s="2"/>
      <c r="L230" s="2"/>
      <c r="M230" s="2"/>
      <c r="N230" s="2"/>
      <c r="O230" s="2"/>
      <c r="P230" s="2"/>
      <c r="Q230" s="2"/>
      <c r="R230" s="2"/>
      <c r="S230" s="2"/>
      <c r="T230" s="2"/>
      <c r="U230" s="2"/>
      <c r="V230" s="2"/>
      <c r="W230" s="2"/>
      <c r="X230" s="2"/>
      <c r="Y230" s="2"/>
      <c r="Z230" s="2"/>
      <c r="AA230" s="2"/>
      <c r="AB230" s="2"/>
    </row>
    <row r="231">
      <c r="A231" s="7" t="s">
        <v>19</v>
      </c>
      <c r="B231" s="8">
        <f>SUMIFS(VOI!F:F,VOI!A:A,"8/6/24")</f>
        <v>222681</v>
      </c>
      <c r="C231" s="11">
        <f>COUNTIFS(VOI!A:A,"8/6/24")</f>
        <v>10</v>
      </c>
      <c r="D231" s="10">
        <f>SUMIFS(VOI!G:G,VOI!A:A,"8/6/24")</f>
        <v>4000</v>
      </c>
      <c r="E231" s="11">
        <f t="shared" si="53"/>
        <v>1</v>
      </c>
      <c r="F231" s="12">
        <f t="shared" si="54"/>
        <v>0.01796291556</v>
      </c>
      <c r="G231" s="9">
        <f>COUNTIFS(VOI!H:H,$G$18,VOI!A:A,"8/6/24")</f>
        <v>1</v>
      </c>
      <c r="H231" s="11">
        <f>COUNTIFS(VOI!H:H,$H$18,VOI!A:A,"8/6/24")</f>
        <v>0</v>
      </c>
      <c r="I231" s="11">
        <f>COUNTIFS(VOI!H:H,$I$18,VOI!A:A,"8/6/24")</f>
        <v>9</v>
      </c>
      <c r="J231" s="2"/>
      <c r="K231" s="2"/>
      <c r="L231" s="2"/>
      <c r="M231" s="2"/>
      <c r="N231" s="2"/>
      <c r="O231" s="2"/>
      <c r="P231" s="2"/>
      <c r="Q231" s="2"/>
      <c r="R231" s="2"/>
      <c r="S231" s="2"/>
      <c r="T231" s="2"/>
      <c r="U231" s="2"/>
      <c r="V231" s="2"/>
      <c r="W231" s="2"/>
      <c r="X231" s="2"/>
      <c r="Y231" s="2"/>
      <c r="Z231" s="2"/>
      <c r="AA231" s="2"/>
      <c r="AB231" s="2"/>
    </row>
    <row r="232">
      <c r="A232" s="7" t="s">
        <v>20</v>
      </c>
      <c r="B232" s="8">
        <f>SUMIFS(THIKA!F:F,THIKA!A:A,"8/6/24")</f>
        <v>1798309</v>
      </c>
      <c r="C232" s="11">
        <f>COUNTIFS(THIKA!A:A,"8/6/24")</f>
        <v>15</v>
      </c>
      <c r="D232" s="10">
        <f>SUMIFS(THIKA!G:G,THIKA!A:A,"8/6/24")</f>
        <v>39167</v>
      </c>
      <c r="E232" s="11">
        <f t="shared" si="53"/>
        <v>3</v>
      </c>
      <c r="F232" s="12">
        <f t="shared" si="54"/>
        <v>0.02177990546</v>
      </c>
      <c r="G232" s="9">
        <f>COUNTIFS(THIKA!I:I,$G$18,THIKA!A:A,"8/6/24")</f>
        <v>2</v>
      </c>
      <c r="H232" s="11">
        <f>COUNTIFS(THIKA!I:I,$H$18,THIKA!A:A,"8/6/24")</f>
        <v>1</v>
      </c>
      <c r="I232" s="11">
        <f>COUNTIFS(THIKA!I:I,$I$18,THIKA!A:A,"8/6/24")</f>
        <v>12</v>
      </c>
      <c r="J232" s="2"/>
      <c r="K232" s="2"/>
      <c r="L232" s="2"/>
      <c r="M232" s="2"/>
      <c r="N232" s="2"/>
      <c r="O232" s="2"/>
      <c r="P232" s="2"/>
      <c r="Q232" s="2"/>
      <c r="R232" s="2"/>
      <c r="S232" s="2"/>
      <c r="T232" s="2"/>
      <c r="U232" s="2"/>
      <c r="V232" s="2"/>
      <c r="W232" s="2"/>
      <c r="X232" s="2"/>
      <c r="Y232" s="2"/>
      <c r="Z232" s="2"/>
      <c r="AA232" s="2"/>
      <c r="AB232" s="2"/>
    </row>
    <row r="233">
      <c r="A233" s="7" t="s">
        <v>21</v>
      </c>
      <c r="B233" s="8">
        <f>SUMIFS(KITUI!F:F,KITUI!A:A,"8/6/24")</f>
        <v>0</v>
      </c>
      <c r="C233" s="11">
        <f>COUNTIFS(KITUI!A:A,"8/6/24")</f>
        <v>0</v>
      </c>
      <c r="D233" s="10">
        <f>SUMIFS(KITUI!G:G,KITUI!A:A,"8/6/24")</f>
        <v>0</v>
      </c>
      <c r="E233" s="11">
        <f t="shared" si="53"/>
        <v>0</v>
      </c>
      <c r="F233" s="12">
        <f t="shared" si="54"/>
        <v>0</v>
      </c>
      <c r="G233" s="9">
        <f>COUNTIFS(KITUI!I:I,$G$18,KITUI!A:A,"8/6/24")</f>
        <v>0</v>
      </c>
      <c r="H233" s="11">
        <f>COUNTIFS(KITUI!I:I,$H$18,KITUI!A:A,"8/6/24")</f>
        <v>0</v>
      </c>
      <c r="I233" s="11">
        <f>COUNTIFS(KITUI!I:I,$I$18,KITUI!A:A,"8/6/24")</f>
        <v>0</v>
      </c>
      <c r="J233" s="2"/>
      <c r="K233" s="2"/>
      <c r="L233" s="2"/>
      <c r="M233" s="2"/>
      <c r="N233" s="2"/>
      <c r="O233" s="2"/>
      <c r="P233" s="2"/>
      <c r="Q233" s="2"/>
      <c r="R233" s="2"/>
      <c r="S233" s="2"/>
      <c r="T233" s="2"/>
      <c r="U233" s="2"/>
      <c r="V233" s="2"/>
      <c r="W233" s="2"/>
      <c r="X233" s="2"/>
      <c r="Y233" s="2"/>
      <c r="Z233" s="2"/>
      <c r="AA233" s="2"/>
      <c r="AB233" s="2"/>
    </row>
    <row r="234">
      <c r="A234" s="15" t="s">
        <v>22</v>
      </c>
      <c r="B234" s="8">
        <f>SUMIFS(MACHAKOS!F:F,MACHAKOS!A:A,"8/6/24")</f>
        <v>198427.08</v>
      </c>
      <c r="C234" s="11">
        <f>COUNTIFS(MACHAKOS!A:A,"8/6/24")</f>
        <v>2</v>
      </c>
      <c r="D234" s="10">
        <f>SUMIFS(MACHAKOS!G:G,MACHAKOS!A:A,"8/6/24")</f>
        <v>0</v>
      </c>
      <c r="E234" s="11">
        <f t="shared" si="53"/>
        <v>0</v>
      </c>
      <c r="F234" s="12">
        <f t="shared" si="54"/>
        <v>0</v>
      </c>
      <c r="G234" s="9">
        <f>COUNTIFS(MACHAKOS!I:I,$G$18,MACHAKOS!A:A,"8/6/24")</f>
        <v>0</v>
      </c>
      <c r="H234" s="11">
        <f>COUNTIFS(MACHAKOS!I:I,$H$18,MACHAKOS!A:A,"8/6/24")</f>
        <v>0</v>
      </c>
      <c r="I234" s="11">
        <f>COUNTIFS(MACHAKOS!I:I,$I$18,MACHAKOS!A:A,"8/6/24")</f>
        <v>2</v>
      </c>
      <c r="J234" s="2"/>
      <c r="K234" s="2"/>
      <c r="L234" s="2"/>
      <c r="M234" s="2"/>
      <c r="N234" s="2"/>
      <c r="O234" s="2"/>
      <c r="P234" s="2"/>
      <c r="Q234" s="2"/>
      <c r="R234" s="2"/>
      <c r="S234" s="2"/>
      <c r="T234" s="2"/>
      <c r="U234" s="2"/>
      <c r="V234" s="2"/>
      <c r="W234" s="2"/>
      <c r="X234" s="2"/>
      <c r="Y234" s="2"/>
      <c r="Z234" s="2"/>
      <c r="AA234" s="2"/>
      <c r="AB234" s="2"/>
    </row>
    <row r="235">
      <c r="A235" s="16" t="s">
        <v>23</v>
      </c>
      <c r="B235" s="19">
        <f t="shared" ref="B235:E235" si="55">SUM(B222:B234)</f>
        <v>36496347.88</v>
      </c>
      <c r="C235" s="18">
        <f t="shared" si="55"/>
        <v>261</v>
      </c>
      <c r="D235" s="19">
        <f t="shared" si="55"/>
        <v>4581496</v>
      </c>
      <c r="E235" s="18">
        <f t="shared" si="55"/>
        <v>54</v>
      </c>
      <c r="F235" s="20">
        <f>D235/B235</f>
        <v>0.1255329989</v>
      </c>
      <c r="G235" s="21">
        <f t="shared" ref="G235:I235" si="56">SUM(G222:G234)</f>
        <v>24</v>
      </c>
      <c r="H235" s="21">
        <f t="shared" si="56"/>
        <v>30</v>
      </c>
      <c r="I235" s="21">
        <f t="shared" si="56"/>
        <v>207</v>
      </c>
      <c r="J235" s="2"/>
      <c r="K235" s="2"/>
      <c r="L235" s="2"/>
      <c r="M235" s="2"/>
      <c r="N235" s="2"/>
      <c r="O235" s="2"/>
      <c r="P235" s="2"/>
      <c r="Q235" s="2"/>
      <c r="R235" s="2"/>
      <c r="S235" s="2"/>
      <c r="T235" s="2"/>
      <c r="U235" s="2"/>
      <c r="V235" s="2"/>
      <c r="W235" s="2"/>
      <c r="X235" s="2"/>
      <c r="Y235" s="2"/>
      <c r="Z235" s="2"/>
      <c r="AA235" s="2"/>
      <c r="AB235" s="2"/>
    </row>
    <row r="236">
      <c r="A236" s="1" t="s">
        <v>27</v>
      </c>
      <c r="B236" s="23">
        <v>2750000.0</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1" t="s">
        <v>30</v>
      </c>
      <c r="B237" s="25">
        <v>300000.0</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3" t="s">
        <v>1</v>
      </c>
      <c r="B239" s="5" t="s">
        <v>2</v>
      </c>
      <c r="C239" s="5" t="s">
        <v>3</v>
      </c>
      <c r="D239" s="5" t="s">
        <v>4</v>
      </c>
      <c r="E239" s="5" t="s">
        <v>5</v>
      </c>
      <c r="F239" s="26" t="s">
        <v>6</v>
      </c>
      <c r="G239" s="26" t="s">
        <v>7</v>
      </c>
      <c r="H239" s="26" t="s">
        <v>8</v>
      </c>
      <c r="I239" s="26" t="s">
        <v>9</v>
      </c>
      <c r="J239" s="2"/>
      <c r="K239" s="2"/>
      <c r="L239" s="2"/>
      <c r="M239" s="2"/>
      <c r="N239" s="2"/>
      <c r="O239" s="2"/>
      <c r="P239" s="2"/>
      <c r="Q239" s="2"/>
      <c r="R239" s="2"/>
      <c r="S239" s="2"/>
      <c r="T239" s="2"/>
      <c r="U239" s="2"/>
      <c r="V239" s="2"/>
      <c r="W239" s="2"/>
      <c r="X239" s="2"/>
      <c r="Y239" s="2"/>
      <c r="Z239" s="2"/>
      <c r="AA239" s="2"/>
      <c r="AB239" s="2"/>
    </row>
    <row r="240">
      <c r="A240" s="7" t="s">
        <v>10</v>
      </c>
      <c r="B240" s="8">
        <f>SUMIFS(ECOBANK!F:F,ECOBANK!A:A,"8/7/24")</f>
        <v>9358282.07</v>
      </c>
      <c r="C240" s="9">
        <f>COUNTIFS(ECOBANK!A:A,"8/7/24")</f>
        <v>20</v>
      </c>
      <c r="D240" s="10">
        <f>SUMIFS(ECOBANK!G:G,ECOBANK!A:A,"8/7/24")</f>
        <v>1723963</v>
      </c>
      <c r="E240" s="11">
        <f t="shared" ref="E240:E252" si="57">G240+H240</f>
        <v>7</v>
      </c>
      <c r="F240" s="12">
        <f t="shared" ref="F240:F252" si="58">iferror(D240/B240,0)</f>
        <v>0.1842178925</v>
      </c>
      <c r="G240" s="9">
        <f>COUNTIFS(ECOBANK!I:I,$G$18,ECOBANK!A:A,"8/7/24")</f>
        <v>3</v>
      </c>
      <c r="H240" s="11">
        <f>COUNTIFS(ECOBANK!I:I,$H$18,ECOBANK!A:A,"8/7/24")</f>
        <v>4</v>
      </c>
      <c r="I240" s="11">
        <f>COUNTIFS(ECOBANK!I:I,$I$18,ECOBANK!A:A,"8/7/24")</f>
        <v>13</v>
      </c>
      <c r="J240" s="2"/>
      <c r="K240" s="2"/>
      <c r="L240" s="2"/>
      <c r="M240" s="2"/>
      <c r="N240" s="2"/>
      <c r="O240" s="2"/>
      <c r="P240" s="2"/>
      <c r="Q240" s="2"/>
      <c r="R240" s="2"/>
      <c r="S240" s="2"/>
      <c r="T240" s="2"/>
      <c r="U240" s="2"/>
      <c r="V240" s="2"/>
      <c r="W240" s="2"/>
      <c r="X240" s="2"/>
      <c r="Y240" s="2"/>
      <c r="Z240" s="2"/>
      <c r="AA240" s="2"/>
      <c r="AB240" s="2"/>
    </row>
    <row r="241">
      <c r="A241" s="7" t="s">
        <v>24</v>
      </c>
      <c r="B241" s="8">
        <f>SUMIFS('TRADE CENTER'!F:F,'TRADE CENTER'!A:A,"8/7/24")</f>
        <v>3910059.83</v>
      </c>
      <c r="C241" s="11">
        <f>COUNTIFS('TRADE CENTER'!A:A,"8/7/24")</f>
        <v>38</v>
      </c>
      <c r="D241" s="10">
        <f>SUMIFS('TRADE CENTER'!G:G,'TRADE CENTER'!A:A,"8/7/24")</f>
        <v>995790</v>
      </c>
      <c r="E241" s="11">
        <f t="shared" si="57"/>
        <v>11</v>
      </c>
      <c r="F241" s="12">
        <f t="shared" si="58"/>
        <v>0.2546738524</v>
      </c>
      <c r="G241" s="11">
        <f>COUNTIFS('TRADE CENTER'!I:I,$G$18,'TRADE CENTER'!A:A,"8/7/24")</f>
        <v>4</v>
      </c>
      <c r="H241" s="11">
        <f>COUNTIFS('TRADE CENTER'!I:I,$H$18,'TRADE CENTER'!A:A,"8/7/24")</f>
        <v>7</v>
      </c>
      <c r="I241" s="11">
        <f>COUNTIFS('TRADE CENTER'!I:I,$I$18,'TRADE CENTER'!A:A,"8/7/24")</f>
        <v>27</v>
      </c>
      <c r="J241" s="2"/>
      <c r="K241" s="2"/>
      <c r="L241" s="2"/>
      <c r="M241" s="2"/>
      <c r="N241" s="2"/>
      <c r="O241" s="2"/>
      <c r="P241" s="2"/>
      <c r="Q241" s="2"/>
      <c r="R241" s="2"/>
      <c r="S241" s="2"/>
      <c r="T241" s="2"/>
      <c r="U241" s="2"/>
      <c r="V241" s="2"/>
      <c r="W241" s="2"/>
      <c r="X241" s="2"/>
      <c r="Y241" s="2"/>
      <c r="Z241" s="2"/>
      <c r="AA241" s="2"/>
      <c r="AB241" s="2"/>
    </row>
    <row r="242">
      <c r="A242" s="7" t="s">
        <v>12</v>
      </c>
      <c r="B242" s="8">
        <f>SUMIFS(PENSION!F:F,PENSION!A:A,"8/7/2024")</f>
        <v>6689819.2</v>
      </c>
      <c r="C242" s="11">
        <f>COUNTIFS(PENSION!A:A,"8/7/24")</f>
        <v>24</v>
      </c>
      <c r="D242" s="10">
        <f>SUMIFS(PENSION!G:G,PENSION!A:A,"8/7/2024")</f>
        <v>34620</v>
      </c>
      <c r="E242" s="11">
        <f t="shared" si="57"/>
        <v>2</v>
      </c>
      <c r="F242" s="12">
        <f t="shared" si="58"/>
        <v>0.00517502775</v>
      </c>
      <c r="G242" s="9">
        <f>COUNTIFS(PENSION!I:I,$G$18,PENSION!A:A,"8/7/24")</f>
        <v>0</v>
      </c>
      <c r="H242" s="11">
        <f>COUNTIFS(PENSION!I:I,$H$18,PENSION!A:A,"8/7/24")</f>
        <v>2</v>
      </c>
      <c r="I242" s="11">
        <f>COUNTIFS(PENSION!I:I,$I$18,PENSION!A:A,"8/7/24")</f>
        <v>22</v>
      </c>
      <c r="J242" s="2"/>
      <c r="K242" s="2"/>
      <c r="L242" s="2"/>
      <c r="M242" s="2"/>
      <c r="N242" s="2"/>
      <c r="O242" s="2"/>
      <c r="P242" s="2"/>
      <c r="Q242" s="2"/>
      <c r="R242" s="2"/>
      <c r="S242" s="2"/>
      <c r="T242" s="2"/>
      <c r="U242" s="2"/>
      <c r="V242" s="2"/>
      <c r="W242" s="2"/>
      <c r="X242" s="2"/>
      <c r="Y242" s="2"/>
      <c r="Z242" s="2"/>
      <c r="AA242" s="2"/>
      <c r="AB242" s="2"/>
    </row>
    <row r="243">
      <c r="A243" s="7" t="s">
        <v>13</v>
      </c>
      <c r="B243" s="8">
        <f>SUMIFS(KITENGELA!F:F,KITENGELA!A:A,"8/5/2024")</f>
        <v>5274444.42</v>
      </c>
      <c r="C243" s="11">
        <f>COUNTIFS(KITENGELA!A:A,"8/7/24")</f>
        <v>46</v>
      </c>
      <c r="D243" s="10">
        <f>SUMIFS(KITENGELA!G:G,KITENGELA!A:A,"8/7/24")</f>
        <v>2497624</v>
      </c>
      <c r="E243" s="11">
        <f t="shared" si="57"/>
        <v>8</v>
      </c>
      <c r="F243" s="12">
        <f t="shared" si="58"/>
        <v>0.4735330968</v>
      </c>
      <c r="G243" s="11">
        <f>COUNTIFS(KITENGELA!I:I,$G$18,KITENGELA!A:A,"8/7/24")</f>
        <v>5</v>
      </c>
      <c r="H243" s="11">
        <f>COUNTIFS(KITENGELA!I:I,$H$18,KITENGELA!A:A,"8/7/24")</f>
        <v>3</v>
      </c>
      <c r="I243" s="11">
        <f>COUNTIFS(KITENGELA!I:I,$I$18,KITENGELA!A:A,"8/7/24")</f>
        <v>38</v>
      </c>
      <c r="J243" s="2"/>
      <c r="K243" s="2"/>
      <c r="L243" s="2"/>
      <c r="M243" s="2"/>
      <c r="N243" s="2"/>
      <c r="O243" s="2"/>
      <c r="P243" s="2"/>
      <c r="Q243" s="2"/>
      <c r="R243" s="2"/>
      <c r="S243" s="2"/>
      <c r="T243" s="2"/>
      <c r="U243" s="2"/>
      <c r="V243" s="2"/>
      <c r="W243" s="2"/>
      <c r="X243" s="2"/>
      <c r="Y243" s="2"/>
      <c r="Z243" s="2"/>
      <c r="AA243" s="2"/>
      <c r="AB243" s="2"/>
    </row>
    <row r="244">
      <c r="A244" s="7" t="s">
        <v>14</v>
      </c>
      <c r="B244" s="8">
        <f>SUMIFS(ELDORET!F:F,ELDORET!A:A,"8/7/24")</f>
        <v>1297026.26</v>
      </c>
      <c r="C244" s="11">
        <f>COUNTIFS(ELDORET!A:A,"8/7/24")</f>
        <v>23</v>
      </c>
      <c r="D244" s="10">
        <f>SUMIFS(ELDORET!G:G,ELDORET!A:A,"8/7/24")</f>
        <v>287335</v>
      </c>
      <c r="E244" s="11">
        <f t="shared" si="57"/>
        <v>9</v>
      </c>
      <c r="F244" s="12">
        <f t="shared" si="58"/>
        <v>0.2215336797</v>
      </c>
      <c r="G244" s="11">
        <f>COUNTIFS(ELDORET!I:I,$G$18,ELDORET!A:A,"8/7/24")</f>
        <v>4</v>
      </c>
      <c r="H244" s="11">
        <f>COUNTIFS(ELDORET!I:I,$H$18,ELDORET!A:A,"8/7/24")</f>
        <v>5</v>
      </c>
      <c r="I244" s="11">
        <f>COUNTIFS(ELDORET!I:I,$I$18,ELDORET!A:A,"8/7/24")</f>
        <v>14</v>
      </c>
      <c r="J244" s="2"/>
      <c r="K244" s="2"/>
      <c r="L244" s="2"/>
      <c r="M244" s="2"/>
      <c r="N244" s="2"/>
      <c r="O244" s="2"/>
      <c r="P244" s="2"/>
      <c r="Q244" s="2"/>
      <c r="R244" s="2"/>
      <c r="S244" s="2"/>
      <c r="T244" s="2"/>
      <c r="U244" s="2"/>
      <c r="V244" s="2"/>
      <c r="W244" s="2"/>
      <c r="X244" s="2"/>
      <c r="Y244" s="2"/>
      <c r="Z244" s="2"/>
      <c r="AA244" s="2"/>
      <c r="AB244" s="2"/>
    </row>
    <row r="245">
      <c r="A245" s="7" t="s">
        <v>15</v>
      </c>
      <c r="B245" s="8">
        <f>SUMIFS(NAKURU!F:F,NAKURU!A:A,"8/7/24")</f>
        <v>241936</v>
      </c>
      <c r="C245" s="11">
        <f>COUNTIFS(NAKURU!A:A,"8/7/24")</f>
        <v>5</v>
      </c>
      <c r="D245" s="10">
        <f>SUMIFS(NAKURU!G:G,NAKURU!A:A,"8/7/24")</f>
        <v>0</v>
      </c>
      <c r="E245" s="11">
        <f t="shared" si="57"/>
        <v>0</v>
      </c>
      <c r="F245" s="12">
        <f t="shared" si="58"/>
        <v>0</v>
      </c>
      <c r="G245" s="9">
        <f>COUNTIFS(NAKURU!I:I,$G$18,NAKURU!A:A,"8/7/24")</f>
        <v>0</v>
      </c>
      <c r="H245" s="11">
        <f>COUNTIFS(NAKURU!I:I,$H$18,NAKURU!A:A,"8/7/24")</f>
        <v>0</v>
      </c>
      <c r="I245" s="11">
        <f>COUNTIFS(NAKURU!I:I,$I$18,NAKURU!A:A,"8/7/24")</f>
        <v>5</v>
      </c>
      <c r="J245" s="2"/>
      <c r="K245" s="2"/>
      <c r="L245" s="2"/>
      <c r="M245" s="2"/>
      <c r="N245" s="2"/>
      <c r="O245" s="2"/>
      <c r="P245" s="2"/>
      <c r="Q245" s="2"/>
      <c r="R245" s="2"/>
      <c r="S245" s="2"/>
      <c r="T245" s="2"/>
      <c r="U245" s="2"/>
      <c r="V245" s="2"/>
      <c r="W245" s="2"/>
      <c r="X245" s="2"/>
      <c r="Y245" s="2"/>
      <c r="Z245" s="2"/>
      <c r="AA245" s="2"/>
      <c r="AB245" s="2"/>
    </row>
    <row r="246">
      <c r="A246" s="7" t="s">
        <v>16</v>
      </c>
      <c r="B246" s="8">
        <f>SUMIFS(HOMABAY!F:F,HOMABAY!A:A,"8/7/24")</f>
        <v>141000</v>
      </c>
      <c r="C246" s="11">
        <f>COUNTIFS(HOMABAY!A:A,"8/7/24")</f>
        <v>3</v>
      </c>
      <c r="D246" s="10">
        <f>SUMIFS(HOMABAY!G:G,HOMABAY!A:A,"8/7/24")</f>
        <v>0</v>
      </c>
      <c r="E246" s="11">
        <f t="shared" si="57"/>
        <v>0</v>
      </c>
      <c r="F246" s="12">
        <f t="shared" si="58"/>
        <v>0</v>
      </c>
      <c r="G246" s="9">
        <f>COUNTIFS(HOMABAY!K:K,$G$18,HOMABAY!A:A,"8/7/24")</f>
        <v>0</v>
      </c>
      <c r="H246" s="11">
        <f>COUNTIFS(HOMABAY!K:K,$H$18,HOMABAY!A:A,"8/7/24")</f>
        <v>0</v>
      </c>
      <c r="I246" s="11">
        <f>COUNTIFS(HOMABAY!K:K,$I$18,HOMABAY!A:A,"8/7/24")</f>
        <v>3</v>
      </c>
      <c r="J246" s="2"/>
      <c r="K246" s="2"/>
      <c r="L246" s="2"/>
      <c r="M246" s="2"/>
      <c r="N246" s="2"/>
      <c r="O246" s="2"/>
      <c r="P246" s="2"/>
      <c r="Q246" s="2"/>
      <c r="R246" s="2"/>
      <c r="S246" s="2"/>
      <c r="T246" s="2"/>
      <c r="U246" s="2"/>
      <c r="V246" s="2"/>
      <c r="W246" s="2"/>
      <c r="X246" s="2"/>
      <c r="Y246" s="2"/>
      <c r="Z246" s="2"/>
      <c r="AA246" s="2"/>
      <c r="AB246" s="2"/>
    </row>
    <row r="247">
      <c r="A247" s="7" t="s">
        <v>17</v>
      </c>
      <c r="B247" s="8">
        <f>SUMIFS(MOMBASA!F:F,MOMBASA!A:A,"8/7/24")</f>
        <v>1482083.67</v>
      </c>
      <c r="C247" s="11">
        <f>COUNTIFS(MOMBASA!A:A,"8/7/24")</f>
        <v>23</v>
      </c>
      <c r="D247" s="27">
        <f>SUMIFS(MOMBASA!G:G,MOMBASA!A:A,"8/7/24")</f>
        <v>718906</v>
      </c>
      <c r="E247" s="11">
        <f t="shared" si="57"/>
        <v>6</v>
      </c>
      <c r="F247" s="12">
        <f t="shared" si="58"/>
        <v>0.4850643824</v>
      </c>
      <c r="G247" s="9">
        <f>COUNTIFS(MOMBASA!I:I,$G$18,MOMBASA!A:A,"8/7/24")</f>
        <v>2</v>
      </c>
      <c r="H247" s="11">
        <f>COUNTIFS(MOMBASA!I:I,$H$18,MOMBASA!A:A,"8/7/24")</f>
        <v>4</v>
      </c>
      <c r="I247" s="11">
        <f>COUNTIFS(MOMBASA!I:I,$I$18,MOMBASA!A:A,"8/7/24")</f>
        <v>17</v>
      </c>
      <c r="J247" s="2"/>
      <c r="K247" s="2"/>
      <c r="L247" s="2"/>
      <c r="M247" s="2"/>
      <c r="N247" s="2"/>
      <c r="O247" s="2"/>
      <c r="P247" s="2"/>
      <c r="Q247" s="2"/>
      <c r="R247" s="2"/>
      <c r="S247" s="2"/>
      <c r="T247" s="2"/>
      <c r="U247" s="2"/>
      <c r="V247" s="2"/>
      <c r="W247" s="2"/>
      <c r="X247" s="2"/>
      <c r="Y247" s="2"/>
      <c r="Z247" s="2"/>
      <c r="AA247" s="2"/>
      <c r="AB247" s="2"/>
    </row>
    <row r="248">
      <c r="A248" s="7" t="s">
        <v>18</v>
      </c>
      <c r="B248" s="8">
        <f>SUMIFS(KISUMU!F:F,KISUMU!A:A,"8/7/24")</f>
        <v>1479167.2</v>
      </c>
      <c r="C248" s="11">
        <f>COUNTIFS(KISUMU!A:A,"8/7/24")</f>
        <v>22</v>
      </c>
      <c r="D248" s="10">
        <f>SUMIFS(KISUMU!G:G,KISUMU!A:A,"8/7/24")</f>
        <v>103047</v>
      </c>
      <c r="E248" s="11">
        <f t="shared" si="57"/>
        <v>7</v>
      </c>
      <c r="F248" s="12">
        <f t="shared" si="58"/>
        <v>0.06966555235</v>
      </c>
      <c r="G248" s="9">
        <f>COUNTIFS(KISUMU!I:I,$G$18,KISUMU!A:A,"8/7/24")</f>
        <v>6</v>
      </c>
      <c r="H248" s="11">
        <f>COUNTIFS(KISUMU!I:I,$H$18,KISUMU!A:A,"8/7/24")</f>
        <v>1</v>
      </c>
      <c r="I248" s="11">
        <f>COUNTIFS(KISUMU!I:I,$I$18,KISUMU!A:A,"8/7/24")</f>
        <v>15</v>
      </c>
      <c r="J248" s="2"/>
      <c r="K248" s="2"/>
      <c r="L248" s="2"/>
      <c r="M248" s="2"/>
      <c r="N248" s="2"/>
      <c r="O248" s="2"/>
      <c r="P248" s="2"/>
      <c r="Q248" s="2"/>
      <c r="R248" s="2"/>
      <c r="S248" s="2"/>
      <c r="T248" s="2"/>
      <c r="U248" s="2"/>
      <c r="V248" s="2"/>
      <c r="W248" s="2"/>
      <c r="X248" s="2"/>
      <c r="Y248" s="2"/>
      <c r="Z248" s="2"/>
      <c r="AA248" s="2"/>
      <c r="AB248" s="2"/>
    </row>
    <row r="249">
      <c r="A249" s="7" t="s">
        <v>19</v>
      </c>
      <c r="B249" s="8">
        <f>SUMIFS(VOI!F:F,VOI!A:A,"8/7/24")</f>
        <v>249681</v>
      </c>
      <c r="C249" s="11">
        <f>COUNTIFS(VOI!A:A,"8/7/24")</f>
        <v>10</v>
      </c>
      <c r="D249" s="10">
        <f>SUMIFS(VOI!G:G,VOI!A:A,"8/7/24")</f>
        <v>97400</v>
      </c>
      <c r="E249" s="11">
        <f t="shared" si="57"/>
        <v>5</v>
      </c>
      <c r="F249" s="12">
        <f t="shared" si="58"/>
        <v>0.3900977647</v>
      </c>
      <c r="G249" s="9">
        <f>COUNTIFS(VOI!H:H,$G$18,VOI!A:A,"8/7/24")</f>
        <v>3</v>
      </c>
      <c r="H249" s="11">
        <f>COUNTIFS(VOI!H:H,$H$18,VOI!A:A,"8/7/24")</f>
        <v>2</v>
      </c>
      <c r="I249" s="11">
        <f>COUNTIFS(VOI!H:H,$I$18,VOI!A:A,"8/7/24")</f>
        <v>5</v>
      </c>
      <c r="J249" s="2"/>
      <c r="K249" s="2"/>
      <c r="L249" s="2"/>
      <c r="M249" s="2"/>
      <c r="N249" s="2"/>
      <c r="O249" s="2"/>
      <c r="P249" s="2"/>
      <c r="Q249" s="2"/>
      <c r="R249" s="2"/>
      <c r="S249" s="2"/>
      <c r="T249" s="2"/>
      <c r="U249" s="2"/>
      <c r="V249" s="2"/>
      <c r="W249" s="2"/>
      <c r="X249" s="2"/>
      <c r="Y249" s="2"/>
      <c r="Z249" s="2"/>
      <c r="AA249" s="2"/>
      <c r="AB249" s="2"/>
    </row>
    <row r="250">
      <c r="A250" s="7" t="s">
        <v>20</v>
      </c>
      <c r="B250" s="8">
        <f>SUMIFS(THIKA!F:F,THIKA!A:A,"8/7/24")</f>
        <v>1793912</v>
      </c>
      <c r="C250" s="11">
        <f>COUNTIFS(THIKA!A:A,"8/7/24")</f>
        <v>23</v>
      </c>
      <c r="D250" s="10">
        <f>SUMIFS(THIKA!G:G,THIKA!A:A,"8/7/24")</f>
        <v>1061296</v>
      </c>
      <c r="E250" s="11">
        <f t="shared" si="57"/>
        <v>6</v>
      </c>
      <c r="F250" s="12">
        <f t="shared" si="58"/>
        <v>0.5916098449</v>
      </c>
      <c r="G250" s="9">
        <f>COUNTIFS(THIKA!I:I,$G$18,THIKA!A:A,"8/7/24")</f>
        <v>2</v>
      </c>
      <c r="H250" s="11">
        <f>COUNTIFS(THIKA!I:I,$H$18,THIKA!A:A,"8/7/24")</f>
        <v>4</v>
      </c>
      <c r="I250" s="11">
        <f>COUNTIFS(THIKA!I:I,$I$18,THIKA!A:A,"8/7/24")</f>
        <v>17</v>
      </c>
      <c r="J250" s="2"/>
      <c r="K250" s="2"/>
      <c r="L250" s="2"/>
      <c r="M250" s="2"/>
      <c r="N250" s="2"/>
      <c r="O250" s="2"/>
      <c r="P250" s="2"/>
      <c r="Q250" s="2"/>
      <c r="R250" s="2"/>
      <c r="S250" s="2"/>
      <c r="T250" s="2"/>
      <c r="U250" s="2"/>
      <c r="V250" s="2"/>
      <c r="W250" s="2"/>
      <c r="X250" s="2"/>
      <c r="Y250" s="2"/>
      <c r="Z250" s="2"/>
      <c r="AA250" s="2"/>
      <c r="AB250" s="2"/>
    </row>
    <row r="251">
      <c r="A251" s="7" t="s">
        <v>21</v>
      </c>
      <c r="B251" s="8">
        <f>SUMIFS(KITUI!F:F,KITUI!A:A,"8/7/24")</f>
        <v>133607</v>
      </c>
      <c r="C251" s="11">
        <f>COUNTIFS(KITUI!A:A,"8/7/24")</f>
        <v>2</v>
      </c>
      <c r="D251" s="10">
        <f>SUMIFS(KITUI!G:G,KITUI!A:A,"8/7/24")</f>
        <v>14060</v>
      </c>
      <c r="E251" s="11">
        <f t="shared" si="57"/>
        <v>1</v>
      </c>
      <c r="F251" s="12">
        <f t="shared" si="58"/>
        <v>0.1052340072</v>
      </c>
      <c r="G251" s="9">
        <f>COUNTIFS(KITUI!I:I,$G$18,KITUI!A:A,"8/7/24")</f>
        <v>0</v>
      </c>
      <c r="H251" s="11">
        <f>COUNTIFS(KITUI!I:I,$H$18,KITUI!A:A,"8/7/24")</f>
        <v>1</v>
      </c>
      <c r="I251" s="11">
        <f>COUNTIFS(KITUI!I:I,$I$18,KITUI!A:A,"8/7/24")</f>
        <v>1</v>
      </c>
      <c r="J251" s="2"/>
      <c r="K251" s="2"/>
      <c r="L251" s="2"/>
      <c r="M251" s="2"/>
      <c r="N251" s="2"/>
      <c r="O251" s="2"/>
      <c r="P251" s="2"/>
      <c r="Q251" s="2"/>
      <c r="R251" s="2"/>
      <c r="S251" s="2"/>
      <c r="T251" s="2"/>
      <c r="U251" s="2"/>
      <c r="V251" s="2"/>
      <c r="W251" s="2"/>
      <c r="X251" s="2"/>
      <c r="Y251" s="2"/>
      <c r="Z251" s="2"/>
      <c r="AA251" s="2"/>
      <c r="AB251" s="2"/>
    </row>
    <row r="252">
      <c r="A252" s="15" t="s">
        <v>22</v>
      </c>
      <c r="B252" s="8">
        <f>SUMIFS(MACHAKOS!F:F,MACHAKOS!A:A,"8/7/24")</f>
        <v>140608</v>
      </c>
      <c r="C252" s="11">
        <f>COUNTIFS(MACHAKOS!A:A,"8/7/24")</f>
        <v>1</v>
      </c>
      <c r="D252" s="10">
        <f>SUMIFS(MACHAKOS!G:G,MACHAKOS!A:A,"8/7/24")</f>
        <v>0</v>
      </c>
      <c r="E252" s="11">
        <f t="shared" si="57"/>
        <v>0</v>
      </c>
      <c r="F252" s="12">
        <f t="shared" si="58"/>
        <v>0</v>
      </c>
      <c r="G252" s="9">
        <f>COUNTIFS(MACHAKOS!I:I,$G$18,MACHAKOS!A:A,"8/7/24")</f>
        <v>0</v>
      </c>
      <c r="H252" s="11">
        <f>COUNTIFS(MACHAKOS!I:I,$H$18,MACHAKOS!A:A,"8/7/24")</f>
        <v>0</v>
      </c>
      <c r="I252" s="11">
        <f>COUNTIFS(MACHAKOS!I:I,$I$18,MACHAKOS!A:A,"8/7/24")</f>
        <v>1</v>
      </c>
      <c r="J252" s="2"/>
      <c r="K252" s="2"/>
      <c r="L252" s="2"/>
      <c r="M252" s="2"/>
      <c r="N252" s="2"/>
      <c r="O252" s="2"/>
      <c r="P252" s="2"/>
      <c r="Q252" s="2"/>
      <c r="R252" s="2"/>
      <c r="S252" s="2"/>
      <c r="T252" s="2"/>
      <c r="U252" s="2"/>
      <c r="V252" s="2"/>
      <c r="W252" s="2"/>
      <c r="X252" s="2"/>
      <c r="Y252" s="2"/>
      <c r="Z252" s="2"/>
      <c r="AA252" s="2"/>
      <c r="AB252" s="2"/>
    </row>
    <row r="253">
      <c r="A253" s="16" t="s">
        <v>23</v>
      </c>
      <c r="B253" s="19">
        <f t="shared" ref="B253:E253" si="59">SUM(B240:B252)</f>
        <v>32191626.65</v>
      </c>
      <c r="C253" s="18">
        <f t="shared" si="59"/>
        <v>240</v>
      </c>
      <c r="D253" s="19">
        <f t="shared" si="59"/>
        <v>7534041</v>
      </c>
      <c r="E253" s="18">
        <f t="shared" si="59"/>
        <v>62</v>
      </c>
      <c r="F253" s="20">
        <f>D253/B253</f>
        <v>0.2340372881</v>
      </c>
      <c r="G253" s="21">
        <f t="shared" ref="G253:I253" si="60">SUM(G240:G252)</f>
        <v>29</v>
      </c>
      <c r="H253" s="21">
        <f t="shared" si="60"/>
        <v>33</v>
      </c>
      <c r="I253" s="21">
        <f t="shared" si="60"/>
        <v>178</v>
      </c>
      <c r="J253" s="2"/>
      <c r="K253" s="2"/>
      <c r="L253" s="2"/>
      <c r="M253" s="2"/>
      <c r="N253" s="2"/>
      <c r="O253" s="2"/>
      <c r="P253" s="2"/>
      <c r="Q253" s="2"/>
      <c r="R253" s="2"/>
      <c r="S253" s="2"/>
      <c r="T253" s="2"/>
      <c r="U253" s="2"/>
      <c r="V253" s="2"/>
      <c r="W253" s="2"/>
      <c r="X253" s="2"/>
      <c r="Y253" s="2"/>
      <c r="Z253" s="2"/>
      <c r="AA253" s="2"/>
      <c r="AB253" s="2"/>
    </row>
    <row r="254">
      <c r="A254" s="1" t="s">
        <v>28</v>
      </c>
      <c r="B254" s="25">
        <v>3450000.0</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1" t="s">
        <v>31</v>
      </c>
      <c r="B255" s="23">
        <v>1520000.0</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3" t="s">
        <v>1</v>
      </c>
      <c r="B257" s="5" t="s">
        <v>2</v>
      </c>
      <c r="C257" s="5" t="s">
        <v>3</v>
      </c>
      <c r="D257" s="5" t="s">
        <v>4</v>
      </c>
      <c r="E257" s="5" t="s">
        <v>5</v>
      </c>
      <c r="F257" s="26" t="s">
        <v>6</v>
      </c>
      <c r="G257" s="26" t="s">
        <v>7</v>
      </c>
      <c r="H257" s="26" t="s">
        <v>8</v>
      </c>
      <c r="I257" s="26" t="s">
        <v>9</v>
      </c>
      <c r="J257" s="2"/>
      <c r="K257" s="2"/>
      <c r="L257" s="2"/>
      <c r="M257" s="2"/>
      <c r="N257" s="2"/>
      <c r="O257" s="2"/>
      <c r="P257" s="2"/>
      <c r="Q257" s="2"/>
      <c r="R257" s="2"/>
      <c r="S257" s="2"/>
      <c r="T257" s="2"/>
      <c r="U257" s="2"/>
      <c r="V257" s="2"/>
      <c r="W257" s="2"/>
      <c r="X257" s="2"/>
      <c r="Y257" s="2"/>
      <c r="Z257" s="2"/>
      <c r="AA257" s="2"/>
      <c r="AB257" s="2"/>
    </row>
    <row r="258">
      <c r="A258" s="7" t="s">
        <v>10</v>
      </c>
      <c r="B258" s="8">
        <f>SUMIFS(ECOBANK!F:F,ECOBANK!A:A,"8/8/24")</f>
        <v>6168941.57</v>
      </c>
      <c r="C258" s="9">
        <f>COUNTIFS(ECOBANK!A:A,"8/8/24")</f>
        <v>15</v>
      </c>
      <c r="D258" s="10">
        <f>SUMIFS(ECOBANK!G:G,ECOBANK!A:A,"8/8/24")</f>
        <v>0</v>
      </c>
      <c r="E258" s="11">
        <f t="shared" ref="E258:E270" si="61">G258+H258</f>
        <v>0</v>
      </c>
      <c r="F258" s="12">
        <f t="shared" ref="F258:F270" si="62">iferror(D258/B258,0)</f>
        <v>0</v>
      </c>
      <c r="G258" s="9">
        <f>COUNTIFS(ECOBANK!I:I,$G$18,ECOBANK!A:A,"8/8/24")</f>
        <v>0</v>
      </c>
      <c r="H258" s="11">
        <f>COUNTIFS(ECOBANK!I:I,$H$18,ECOBANK!A:A,"8/8/24")</f>
        <v>0</v>
      </c>
      <c r="I258" s="11">
        <f>COUNTIFS(ECOBANK!I:I,$I$18,ECOBANK!A:A,"8/8/24")</f>
        <v>15</v>
      </c>
      <c r="J258" s="2"/>
      <c r="K258" s="2"/>
      <c r="L258" s="2"/>
      <c r="M258" s="2"/>
      <c r="N258" s="2"/>
      <c r="O258" s="2"/>
      <c r="P258" s="2"/>
      <c r="Q258" s="2"/>
      <c r="R258" s="2"/>
      <c r="S258" s="2"/>
      <c r="T258" s="2"/>
      <c r="U258" s="2"/>
      <c r="V258" s="2"/>
      <c r="W258" s="2"/>
      <c r="X258" s="2"/>
      <c r="Y258" s="2"/>
      <c r="Z258" s="2"/>
      <c r="AA258" s="2"/>
      <c r="AB258" s="2"/>
    </row>
    <row r="259">
      <c r="A259" s="7" t="s">
        <v>24</v>
      </c>
      <c r="B259" s="8">
        <f>SUMIFS('TRADE CENTER'!F:F,'TRADE CENTER'!A:A,"8/8/24")</f>
        <v>3311157.74</v>
      </c>
      <c r="C259" s="11">
        <f>COUNTIFS('TRADE CENTER'!A:A,"8/8/24")</f>
        <v>32</v>
      </c>
      <c r="D259" s="10">
        <f>SUMIFS('TRADE CENTER'!G:G,'TRADE CENTER'!A:A,"8/8/24")</f>
        <v>7200</v>
      </c>
      <c r="E259" s="11">
        <f t="shared" si="61"/>
        <v>3</v>
      </c>
      <c r="F259" s="12">
        <f t="shared" si="62"/>
        <v>0.002174466022</v>
      </c>
      <c r="G259" s="11">
        <f>COUNTIFS('TRADE CENTER'!I:I,$G$18,'TRADE CENTER'!A:A,"8/8/24")</f>
        <v>0</v>
      </c>
      <c r="H259" s="11">
        <f>COUNTIFS('TRADE CENTER'!I:I,$H$18,'TRADE CENTER'!A:A,"8/8/24")</f>
        <v>3</v>
      </c>
      <c r="I259" s="11">
        <f>COUNTIFS('TRADE CENTER'!I:I,$I$18,'TRADE CENTER'!A:A,"8/8/24")</f>
        <v>28</v>
      </c>
      <c r="J259" s="2"/>
      <c r="K259" s="2"/>
      <c r="L259" s="2"/>
      <c r="M259" s="2"/>
      <c r="N259" s="2"/>
      <c r="O259" s="2"/>
      <c r="P259" s="2"/>
      <c r="Q259" s="2"/>
      <c r="R259" s="2"/>
      <c r="S259" s="2"/>
      <c r="T259" s="2"/>
      <c r="U259" s="2"/>
      <c r="V259" s="2"/>
      <c r="W259" s="2"/>
      <c r="X259" s="2"/>
      <c r="Y259" s="2"/>
      <c r="Z259" s="2"/>
      <c r="AA259" s="2"/>
      <c r="AB259" s="2"/>
    </row>
    <row r="260">
      <c r="A260" s="7" t="s">
        <v>12</v>
      </c>
      <c r="B260" s="8">
        <f>SUMIFS(PENSION!F:F,PENSION!A:A,"8/8/2024")</f>
        <v>9099436.12</v>
      </c>
      <c r="C260" s="11">
        <f>COUNTIFS(PENSION!A:A,"8/8/24")</f>
        <v>47</v>
      </c>
      <c r="D260" s="10">
        <f>SUMIFS(PENSION!G:G,PENSION!A:A,"8/8/2024")</f>
        <v>415991</v>
      </c>
      <c r="E260" s="11">
        <f t="shared" si="61"/>
        <v>13</v>
      </c>
      <c r="F260" s="12">
        <f t="shared" si="62"/>
        <v>0.0457161295</v>
      </c>
      <c r="G260" s="9">
        <f>COUNTIFS(PENSION!I:I,$G$18,PENSION!A:A,"8/8/24")</f>
        <v>3</v>
      </c>
      <c r="H260" s="11">
        <f>COUNTIFS(PENSION!I:I,$H$18,PENSION!A:A,"8/8/24")</f>
        <v>10</v>
      </c>
      <c r="I260" s="11">
        <f>COUNTIFS(PENSION!I:I,$I$18,PENSION!A:A,"8/8/24")</f>
        <v>34</v>
      </c>
      <c r="J260" s="2"/>
      <c r="K260" s="2"/>
      <c r="L260" s="2"/>
      <c r="M260" s="2"/>
      <c r="N260" s="2"/>
      <c r="O260" s="2"/>
      <c r="P260" s="2"/>
      <c r="Q260" s="2"/>
      <c r="R260" s="2"/>
      <c r="S260" s="2"/>
      <c r="T260" s="2"/>
      <c r="U260" s="2"/>
      <c r="V260" s="2"/>
      <c r="W260" s="2"/>
      <c r="X260" s="2"/>
      <c r="Y260" s="2"/>
      <c r="Z260" s="2"/>
      <c r="AA260" s="2"/>
      <c r="AB260" s="2"/>
    </row>
    <row r="261">
      <c r="A261" s="7" t="s">
        <v>13</v>
      </c>
      <c r="B261" s="8">
        <f>SUMIFS(KITENGELA!F:F,KITENGELA!A:A,"8/5/2024")</f>
        <v>5274444.42</v>
      </c>
      <c r="C261" s="11">
        <f>COUNTIFS(KITENGELA!A:A,"8/8/24")</f>
        <v>45</v>
      </c>
      <c r="D261" s="10">
        <f>SUMIFS(KITENGELA!G:G,KITENGELA!A:A,"8/8/24")</f>
        <v>7000</v>
      </c>
      <c r="E261" s="11">
        <f t="shared" si="61"/>
        <v>2</v>
      </c>
      <c r="F261" s="12">
        <f t="shared" si="62"/>
        <v>0.001327153998</v>
      </c>
      <c r="G261" s="11">
        <f>COUNTIFS(KITENGELA!I:I,$G$18,KITENGELA!A:A,"8/8/24")</f>
        <v>2</v>
      </c>
      <c r="H261" s="11">
        <f>COUNTIFS(KITENGELA!I:I,$H$18,KITENGELA!A:A,"8/8/24")</f>
        <v>0</v>
      </c>
      <c r="I261" s="11">
        <f>COUNTIFS(KITENGELA!I:I,$I$18,KITENGELA!A:A,"8/8/24")</f>
        <v>43</v>
      </c>
      <c r="J261" s="2"/>
      <c r="K261" s="2"/>
      <c r="L261" s="2"/>
      <c r="M261" s="2"/>
      <c r="N261" s="2"/>
      <c r="O261" s="2"/>
      <c r="P261" s="2"/>
      <c r="Q261" s="2"/>
      <c r="R261" s="2"/>
      <c r="S261" s="2"/>
      <c r="T261" s="2"/>
      <c r="U261" s="2"/>
      <c r="V261" s="2"/>
      <c r="W261" s="2"/>
      <c r="X261" s="2"/>
      <c r="Y261" s="2"/>
      <c r="Z261" s="2"/>
      <c r="AA261" s="2"/>
      <c r="AB261" s="2"/>
    </row>
    <row r="262">
      <c r="A262" s="7" t="s">
        <v>14</v>
      </c>
      <c r="B262" s="8">
        <f>SUMIFS(ELDORET!F:F,ELDORET!A:A,"8/8/24")</f>
        <v>1000797.26</v>
      </c>
      <c r="C262" s="11">
        <f>COUNTIFS(ELDORET!A:A,"8/8/24")</f>
        <v>18</v>
      </c>
      <c r="D262" s="10">
        <f>SUMIFS(ELDORET!G:G,ELDORET!A:A,"8/8/24")</f>
        <v>8000</v>
      </c>
      <c r="E262" s="11">
        <f t="shared" si="61"/>
        <v>2</v>
      </c>
      <c r="F262" s="12">
        <f t="shared" si="62"/>
        <v>0.007993627001</v>
      </c>
      <c r="G262" s="11">
        <f>COUNTIFS(ELDORET!I:I,$G$18,ELDORET!A:A,"8/8/24")</f>
        <v>1</v>
      </c>
      <c r="H262" s="11">
        <f>COUNTIFS(ELDORET!I:I,$H$18,ELDORET!A:A,"8/8/24")</f>
        <v>1</v>
      </c>
      <c r="I262" s="11">
        <f>COUNTIFS(ELDORET!I:I,$I$18,ELDORET!A:A,"8/8/24")</f>
        <v>16</v>
      </c>
      <c r="J262" s="2"/>
      <c r="K262" s="2"/>
      <c r="L262" s="2"/>
      <c r="M262" s="2"/>
      <c r="N262" s="2"/>
      <c r="O262" s="2"/>
      <c r="P262" s="2"/>
      <c r="Q262" s="2"/>
      <c r="R262" s="2"/>
      <c r="S262" s="2"/>
      <c r="T262" s="2"/>
      <c r="U262" s="2"/>
      <c r="V262" s="2"/>
      <c r="W262" s="2"/>
      <c r="X262" s="2"/>
      <c r="Y262" s="2"/>
      <c r="Z262" s="2"/>
      <c r="AA262" s="2"/>
      <c r="AB262" s="2"/>
    </row>
    <row r="263">
      <c r="A263" s="7" t="s">
        <v>15</v>
      </c>
      <c r="B263" s="8">
        <f>SUMIFS(NAKURU!F:F,NAKURU!A:A,"8/8/24")</f>
        <v>490936</v>
      </c>
      <c r="C263" s="11">
        <f>COUNTIFS(NAKURU!A:A,"8/8/24")</f>
        <v>7</v>
      </c>
      <c r="D263" s="10">
        <f>SUMIFS(NAKURU!G:G,NAKURU!A:A,"8/8/24")</f>
        <v>0</v>
      </c>
      <c r="E263" s="11">
        <f t="shared" si="61"/>
        <v>0</v>
      </c>
      <c r="F263" s="12">
        <f t="shared" si="62"/>
        <v>0</v>
      </c>
      <c r="G263" s="9">
        <f>COUNTIFS(NAKURU!I:I,$G$18,NAKURU!A:A,"8/8/24")</f>
        <v>0</v>
      </c>
      <c r="H263" s="11">
        <f>COUNTIFS(NAKURU!I:I,$H$18,NAKURU!A:A,"8/8/24")</f>
        <v>0</v>
      </c>
      <c r="I263" s="11">
        <f>COUNTIFS(NAKURU!I:I,$I$18,NAKURU!A:A,"8/8/24")</f>
        <v>7</v>
      </c>
      <c r="J263" s="2"/>
      <c r="K263" s="2"/>
      <c r="L263" s="2"/>
      <c r="M263" s="2"/>
      <c r="N263" s="2"/>
      <c r="O263" s="2"/>
      <c r="P263" s="2"/>
      <c r="Q263" s="2"/>
      <c r="R263" s="2"/>
      <c r="S263" s="2"/>
      <c r="T263" s="2"/>
      <c r="U263" s="2"/>
      <c r="V263" s="2"/>
      <c r="W263" s="2"/>
      <c r="X263" s="2"/>
      <c r="Y263" s="2"/>
      <c r="Z263" s="2"/>
      <c r="AA263" s="2"/>
      <c r="AB263" s="2"/>
    </row>
    <row r="264">
      <c r="A264" s="7" t="s">
        <v>16</v>
      </c>
      <c r="B264" s="8">
        <f>SUMIFS(HOMABAY!F:F,HOMABAY!A:A,"8/8/24")</f>
        <v>64000</v>
      </c>
      <c r="C264" s="11">
        <f>COUNTIFS(HOMABAY!A:A,"8/8/24")</f>
        <v>2</v>
      </c>
      <c r="D264" s="10">
        <f>SUMIFS(HOMABAY!G:G,HOMABAY!A:A,"8/8/24")</f>
        <v>6000</v>
      </c>
      <c r="E264" s="11">
        <f t="shared" si="61"/>
        <v>1</v>
      </c>
      <c r="F264" s="12">
        <f t="shared" si="62"/>
        <v>0.09375</v>
      </c>
      <c r="G264" s="9">
        <f>COUNTIFS(HOMABAY!K:K,$G$18,HOMABAY!A:A,"8/8/24")</f>
        <v>1</v>
      </c>
      <c r="H264" s="11">
        <f>COUNTIFS(HOMABAY!K:K,$H$18,HOMABAY!A:A,"8/8/24")</f>
        <v>0</v>
      </c>
      <c r="I264" s="11">
        <f>COUNTIFS(HOMABAY!K:K,$I$18,HOMABAY!A:A,"8/8/24")</f>
        <v>1</v>
      </c>
      <c r="J264" s="2"/>
      <c r="K264" s="2"/>
      <c r="L264" s="2"/>
      <c r="M264" s="2"/>
      <c r="N264" s="2"/>
      <c r="O264" s="2"/>
      <c r="P264" s="2"/>
      <c r="Q264" s="2"/>
      <c r="R264" s="2"/>
      <c r="S264" s="2"/>
      <c r="T264" s="2"/>
      <c r="U264" s="2"/>
      <c r="V264" s="2"/>
      <c r="W264" s="2"/>
      <c r="X264" s="2"/>
      <c r="Y264" s="2"/>
      <c r="Z264" s="2"/>
      <c r="AA264" s="2"/>
      <c r="AB264" s="2"/>
    </row>
    <row r="265">
      <c r="A265" s="7" t="s">
        <v>17</v>
      </c>
      <c r="B265" s="8">
        <f>SUMIFS(MOMBASA!F:F,MOMBASA!A:A,"8/8/24")</f>
        <v>3402701.1</v>
      </c>
      <c r="C265" s="11">
        <f>COUNTIFS(MOMBASA!A:A,"8/8/24")</f>
        <v>20</v>
      </c>
      <c r="D265" s="27">
        <f>SUMIFS(MOMBASA!G:G,MOMBASA!A:A,"8/8/24")</f>
        <v>712747</v>
      </c>
      <c r="E265" s="11">
        <f t="shared" si="61"/>
        <v>8</v>
      </c>
      <c r="F265" s="12">
        <f t="shared" si="62"/>
        <v>0.2094650629</v>
      </c>
      <c r="G265" s="9">
        <f>COUNTIFS(MOMBASA!I:I,$G$18,MOMBASA!A:A,"8/8/24")</f>
        <v>0</v>
      </c>
      <c r="H265" s="11">
        <f>COUNTIFS(MOMBASA!I:I,$H$18,MOMBASA!A:A,"8/8/24")</f>
        <v>8</v>
      </c>
      <c r="I265" s="11">
        <f>COUNTIFS(MOMBASA!I:I,$I$18,MOMBASA!A:A,"8/8/24")</f>
        <v>12</v>
      </c>
      <c r="J265" s="2"/>
      <c r="K265" s="2"/>
      <c r="L265" s="2"/>
      <c r="M265" s="2"/>
      <c r="N265" s="2"/>
      <c r="O265" s="2"/>
      <c r="P265" s="2"/>
      <c r="Q265" s="2"/>
      <c r="R265" s="2"/>
      <c r="S265" s="2"/>
      <c r="T265" s="2"/>
      <c r="U265" s="2"/>
      <c r="V265" s="2"/>
      <c r="W265" s="2"/>
      <c r="X265" s="2"/>
      <c r="Y265" s="2"/>
      <c r="Z265" s="2"/>
      <c r="AA265" s="2"/>
      <c r="AB265" s="2"/>
    </row>
    <row r="266">
      <c r="A266" s="7" t="s">
        <v>18</v>
      </c>
      <c r="B266" s="8">
        <f>SUMIFS(KISUMU!F:F,KISUMU!A:A,"8/8/24")</f>
        <v>1590738.53</v>
      </c>
      <c r="C266" s="11">
        <f>COUNTIFS(KISUMU!A:A,"8/8/24")</f>
        <v>25</v>
      </c>
      <c r="D266" s="10">
        <f>SUMIFS(KISUMU!G:G,KISUMU!A:A,"8/8/24")</f>
        <v>28900</v>
      </c>
      <c r="E266" s="11">
        <f t="shared" si="61"/>
        <v>5</v>
      </c>
      <c r="F266" s="12">
        <f t="shared" si="62"/>
        <v>0.01816766204</v>
      </c>
      <c r="G266" s="9">
        <f>COUNTIFS(KISUMU!I:I,$G$18,KISUMU!A:A,"8/8/24")</f>
        <v>3</v>
      </c>
      <c r="H266" s="11">
        <f>COUNTIFS(KISUMU!I:I,$H$18,KISUMU!A:A,"8/8/24")</f>
        <v>2</v>
      </c>
      <c r="I266" s="11">
        <f>COUNTIFS(KISUMU!I:I,$I$18,KISUMU!A:A,"8/8/24")</f>
        <v>20</v>
      </c>
      <c r="J266" s="2"/>
      <c r="K266" s="2"/>
      <c r="L266" s="2"/>
      <c r="M266" s="2"/>
      <c r="N266" s="2"/>
      <c r="O266" s="2"/>
      <c r="P266" s="2"/>
      <c r="Q266" s="2"/>
      <c r="R266" s="2"/>
      <c r="S266" s="2"/>
      <c r="T266" s="2"/>
      <c r="U266" s="2"/>
      <c r="V266" s="2"/>
      <c r="W266" s="2"/>
      <c r="X266" s="2"/>
      <c r="Y266" s="2"/>
      <c r="Z266" s="2"/>
      <c r="AA266" s="2"/>
      <c r="AB266" s="2"/>
    </row>
    <row r="267">
      <c r="A267" s="7" t="s">
        <v>19</v>
      </c>
      <c r="B267" s="8">
        <f>SUMIFS(VOI!F:F,VOI!A:A,"8/8/24")</f>
        <v>150522</v>
      </c>
      <c r="C267" s="11">
        <f>COUNTIFS(VOI!A:A,"8/8/24")</f>
        <v>8</v>
      </c>
      <c r="D267" s="10">
        <f>SUMIFS(VOI!G:G,VOI!A:A,"8/8/24")</f>
        <v>19536</v>
      </c>
      <c r="E267" s="11">
        <f t="shared" si="61"/>
        <v>2</v>
      </c>
      <c r="F267" s="12">
        <f t="shared" si="62"/>
        <v>0.1297883366</v>
      </c>
      <c r="G267" s="9">
        <f>COUNTIFS(VOI!H:H,$G$18,VOI!A:A,"8/8/24")</f>
        <v>1</v>
      </c>
      <c r="H267" s="11">
        <f>COUNTIFS(VOI!H:H,$H$18,VOI!A:A,"8/8/24")</f>
        <v>1</v>
      </c>
      <c r="I267" s="11">
        <f>COUNTIFS(VOI!H:H,$I$18,VOI!A:A,"8/8/24")</f>
        <v>6</v>
      </c>
      <c r="J267" s="2"/>
      <c r="K267" s="2"/>
      <c r="L267" s="2"/>
      <c r="M267" s="2"/>
      <c r="N267" s="2"/>
      <c r="O267" s="2"/>
      <c r="P267" s="2"/>
      <c r="Q267" s="2"/>
      <c r="R267" s="2"/>
      <c r="S267" s="2"/>
      <c r="T267" s="2"/>
      <c r="U267" s="2"/>
      <c r="V267" s="2"/>
      <c r="W267" s="2"/>
      <c r="X267" s="2"/>
      <c r="Y267" s="2"/>
      <c r="Z267" s="2"/>
      <c r="AA267" s="2"/>
      <c r="AB267" s="2"/>
    </row>
    <row r="268">
      <c r="A268" s="7" t="s">
        <v>20</v>
      </c>
      <c r="B268" s="8">
        <f>SUMIFS(THIKA!F:F,THIKA!A:A,"8/8/24")</f>
        <v>1661583.64</v>
      </c>
      <c r="C268" s="11">
        <f>COUNTIFS(THIKA!A:A,"8/8/24")</f>
        <v>19</v>
      </c>
      <c r="D268" s="10">
        <f>SUMIFS(THIKA!G:G,THIKA!A:A,"8/8/24")</f>
        <v>72000</v>
      </c>
      <c r="E268" s="11">
        <f t="shared" si="61"/>
        <v>5</v>
      </c>
      <c r="F268" s="12">
        <f t="shared" si="62"/>
        <v>0.0433321551</v>
      </c>
      <c r="G268" s="9">
        <f>COUNTIFS(THIKA!I:I,$G$18,THIKA!A:A,"8/8/24")</f>
        <v>3</v>
      </c>
      <c r="H268" s="11">
        <f>COUNTIFS(THIKA!I:I,$H$18,THIKA!A:A,"8/8/24")</f>
        <v>2</v>
      </c>
      <c r="I268" s="11">
        <f>COUNTIFS(THIKA!I:I,$I$18,THIKA!A:A,"8/8/24")</f>
        <v>14</v>
      </c>
      <c r="J268" s="2"/>
      <c r="K268" s="1" t="s">
        <v>0</v>
      </c>
      <c r="L268" s="2"/>
      <c r="M268" s="2"/>
      <c r="N268" s="2"/>
      <c r="O268" s="2"/>
      <c r="P268" s="2"/>
      <c r="Q268" s="2"/>
      <c r="R268" s="2"/>
      <c r="S268" s="2"/>
      <c r="T268" s="2"/>
      <c r="U268" s="2"/>
      <c r="V268" s="2"/>
      <c r="W268" s="2"/>
      <c r="X268" s="2"/>
      <c r="Y268" s="2"/>
      <c r="Z268" s="2"/>
      <c r="AA268" s="2"/>
      <c r="AB268" s="2"/>
    </row>
    <row r="269">
      <c r="A269" s="7" t="s">
        <v>21</v>
      </c>
      <c r="B269" s="8">
        <f>SUMIFS(KITUI!F:F,KITUI!A:A,"8/8/24")</f>
        <v>147395</v>
      </c>
      <c r="C269" s="11">
        <f>COUNTIFS(KITUI!A:A,"8/8/24")</f>
        <v>3</v>
      </c>
      <c r="D269" s="10">
        <f>SUMIFS(KITUI!G:G,KITUI!A:A,"8/8/24")</f>
        <v>0</v>
      </c>
      <c r="E269" s="11">
        <f t="shared" si="61"/>
        <v>0</v>
      </c>
      <c r="F269" s="12">
        <f t="shared" si="62"/>
        <v>0</v>
      </c>
      <c r="G269" s="9">
        <f>COUNTIFS(KITUI!I:I,$G$18,KITUI!A:A,"8/8/24")</f>
        <v>0</v>
      </c>
      <c r="H269" s="11">
        <f>COUNTIFS(KITUI!I:I,$H$18,KITUI!A:A,"8/8/24")</f>
        <v>0</v>
      </c>
      <c r="I269" s="11">
        <f>COUNTIFS(KITUI!I:I,$I$18,KITUI!A:A,"8/8/24")</f>
        <v>3</v>
      </c>
      <c r="J269" s="2"/>
      <c r="K269" s="2"/>
      <c r="L269" s="2"/>
      <c r="M269" s="2"/>
      <c r="N269" s="2"/>
      <c r="O269" s="2"/>
      <c r="P269" s="2"/>
      <c r="Q269" s="2"/>
      <c r="R269" s="2"/>
      <c r="S269" s="2"/>
      <c r="T269" s="2"/>
      <c r="U269" s="2"/>
      <c r="V269" s="2"/>
      <c r="W269" s="2"/>
      <c r="X269" s="2"/>
      <c r="Y269" s="2"/>
      <c r="Z269" s="2"/>
      <c r="AA269" s="2"/>
      <c r="AB269" s="2"/>
    </row>
    <row r="270">
      <c r="A270" s="15" t="s">
        <v>22</v>
      </c>
      <c r="B270" s="8">
        <f>SUMIFS(MACHAKOS!F:F,MACHAKOS!A:A,"8/8/24")</f>
        <v>215953.97</v>
      </c>
      <c r="C270" s="11">
        <f>COUNTIFS(MACHAKOS!A:A,"8/8/24")</f>
        <v>2</v>
      </c>
      <c r="D270" s="10">
        <f>SUMIFS(MACHAKOS!G:G,MACHAKOS!A:A,"8/8/24")</f>
        <v>0</v>
      </c>
      <c r="E270" s="11">
        <f t="shared" si="61"/>
        <v>0</v>
      </c>
      <c r="F270" s="12">
        <f t="shared" si="62"/>
        <v>0</v>
      </c>
      <c r="G270" s="9">
        <f>COUNTIFS(MACHAKOS!I:I,$G$18,MACHAKOS!A:A,"8/8/24")</f>
        <v>0</v>
      </c>
      <c r="H270" s="11">
        <f>COUNTIFS(MACHAKOS!I:I,$H$18,MACHAKOS!A:A,"8/8/24")</f>
        <v>0</v>
      </c>
      <c r="I270" s="11">
        <f>COUNTIFS(MACHAKOS!I:I,$I$18,MACHAKOS!A:A,"8/8/24")</f>
        <v>2</v>
      </c>
      <c r="J270" s="2"/>
      <c r="K270" s="2"/>
      <c r="L270" s="2"/>
      <c r="M270" s="2"/>
      <c r="N270" s="2"/>
      <c r="O270" s="2"/>
      <c r="P270" s="2"/>
      <c r="Q270" s="2"/>
      <c r="R270" s="2"/>
      <c r="S270" s="2"/>
      <c r="T270" s="2"/>
      <c r="U270" s="2"/>
      <c r="V270" s="2"/>
      <c r="W270" s="2"/>
      <c r="X270" s="2"/>
      <c r="Y270" s="2"/>
      <c r="Z270" s="2"/>
      <c r="AA270" s="2"/>
      <c r="AB270" s="2"/>
    </row>
    <row r="271">
      <c r="A271" s="16" t="s">
        <v>23</v>
      </c>
      <c r="B271" s="19">
        <f t="shared" ref="B271:E271" si="63">SUM(B258:B270)</f>
        <v>32578607.35</v>
      </c>
      <c r="C271" s="18">
        <f t="shared" si="63"/>
        <v>243</v>
      </c>
      <c r="D271" s="19">
        <f t="shared" si="63"/>
        <v>1277374</v>
      </c>
      <c r="E271" s="18">
        <f t="shared" si="63"/>
        <v>41</v>
      </c>
      <c r="F271" s="20">
        <f>D271/B271</f>
        <v>0.0392089811</v>
      </c>
      <c r="G271" s="21">
        <f t="shared" ref="G271:I271" si="64">SUM(G258:G270)</f>
        <v>14</v>
      </c>
      <c r="H271" s="21">
        <f t="shared" si="64"/>
        <v>27</v>
      </c>
      <c r="I271" s="21">
        <f t="shared" si="64"/>
        <v>201</v>
      </c>
      <c r="J271" s="2"/>
      <c r="K271" s="2"/>
      <c r="L271" s="2"/>
      <c r="M271" s="2"/>
      <c r="N271" s="2"/>
      <c r="O271" s="2"/>
      <c r="P271" s="2"/>
      <c r="Q271" s="2"/>
      <c r="R271" s="2"/>
      <c r="S271" s="2"/>
      <c r="T271" s="2"/>
      <c r="U271" s="2"/>
      <c r="V271" s="2"/>
      <c r="W271" s="2"/>
      <c r="X271" s="2"/>
      <c r="Y271" s="2"/>
      <c r="Z271" s="2"/>
      <c r="AA271" s="2"/>
      <c r="AB271" s="2"/>
    </row>
    <row r="272">
      <c r="A272" s="1" t="s">
        <v>32</v>
      </c>
      <c r="B272" s="25">
        <v>4850000.0</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1" t="s">
        <v>31</v>
      </c>
      <c r="B273" s="25">
        <v>2600000.0</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3" t="s">
        <v>1</v>
      </c>
      <c r="B275" s="5" t="s">
        <v>2</v>
      </c>
      <c r="C275" s="5" t="s">
        <v>3</v>
      </c>
      <c r="D275" s="5" t="s">
        <v>4</v>
      </c>
      <c r="E275" s="5" t="s">
        <v>5</v>
      </c>
      <c r="F275" s="26" t="s">
        <v>6</v>
      </c>
      <c r="G275" s="26" t="s">
        <v>7</v>
      </c>
      <c r="H275" s="26" t="s">
        <v>8</v>
      </c>
      <c r="I275" s="26" t="s">
        <v>9</v>
      </c>
      <c r="J275" s="2"/>
      <c r="K275" s="2"/>
      <c r="L275" s="2"/>
      <c r="M275" s="2"/>
      <c r="N275" s="2"/>
      <c r="O275" s="2"/>
      <c r="P275" s="2"/>
      <c r="Q275" s="2"/>
      <c r="R275" s="2"/>
      <c r="S275" s="2"/>
      <c r="T275" s="2"/>
      <c r="U275" s="2"/>
      <c r="V275" s="2"/>
      <c r="W275" s="2"/>
      <c r="X275" s="2"/>
      <c r="Y275" s="2"/>
      <c r="Z275" s="2"/>
      <c r="AA275" s="2"/>
      <c r="AB275" s="2"/>
    </row>
    <row r="276">
      <c r="A276" s="7" t="s">
        <v>10</v>
      </c>
      <c r="B276" s="8">
        <f>SUMIFS(ECOBANK!F:F,ECOBANK!A:A,"8/9/24")</f>
        <v>7340482.57</v>
      </c>
      <c r="C276" s="9">
        <f>COUNTIFS(ECOBANK!A:A,"8/9/24")</f>
        <v>19</v>
      </c>
      <c r="D276" s="10">
        <f>SUMIFS(ECOBANK!G:G,ECOBANK!A:A,"8/9/24")</f>
        <v>372274</v>
      </c>
      <c r="E276" s="11">
        <f t="shared" ref="E276:E288" si="65">G276+H276</f>
        <v>3</v>
      </c>
      <c r="F276" s="12">
        <f t="shared" ref="F276:F289" si="66">iferror(D276/B276,0)</f>
        <v>0.05071519433</v>
      </c>
      <c r="G276" s="9">
        <f>COUNTIFS(ECOBANK!I:I,$G$18,ECOBANK!A:A,"8/9/24")</f>
        <v>2</v>
      </c>
      <c r="H276" s="11">
        <f>COUNTIFS(ECOBANK!I:I,$H$18,ECOBANK!A:A,"8/9/24")</f>
        <v>1</v>
      </c>
      <c r="I276" s="11">
        <f>COUNTIFS(ECOBANK!I:I,$I$18,ECOBANK!A:A,"8/9/24")</f>
        <v>16</v>
      </c>
      <c r="J276" s="2"/>
      <c r="K276" s="2"/>
      <c r="L276" s="2"/>
      <c r="M276" s="2"/>
      <c r="N276" s="2"/>
      <c r="O276" s="2"/>
      <c r="P276" s="2"/>
      <c r="Q276" s="2"/>
      <c r="R276" s="2"/>
      <c r="S276" s="2"/>
      <c r="T276" s="2"/>
      <c r="U276" s="2"/>
      <c r="V276" s="2"/>
      <c r="W276" s="2"/>
      <c r="X276" s="2"/>
      <c r="Y276" s="2"/>
      <c r="Z276" s="2"/>
      <c r="AA276" s="2"/>
      <c r="AB276" s="2"/>
    </row>
    <row r="277">
      <c r="A277" s="7" t="s">
        <v>24</v>
      </c>
      <c r="B277" s="8">
        <f>SUMIFS('TRADE CENTER'!F:F,'TRADE CENTER'!A:A,"8/9/24")</f>
        <v>5760510.93</v>
      </c>
      <c r="C277" s="11">
        <f>COUNTIFS('TRADE CENTER'!A:A,"8/9/24")</f>
        <v>35</v>
      </c>
      <c r="D277" s="10">
        <f>SUMIFS('TRADE CENTER'!G:G,'TRADE CENTER'!A:A,"8/9/24")</f>
        <v>373611</v>
      </c>
      <c r="E277" s="11">
        <f t="shared" si="65"/>
        <v>5</v>
      </c>
      <c r="F277" s="12">
        <f t="shared" si="66"/>
        <v>0.06485726779</v>
      </c>
      <c r="G277" s="11">
        <f>COUNTIFS('TRADE CENTER'!I:I,$G$18,'TRADE CENTER'!A:A,"8/9/24")</f>
        <v>3</v>
      </c>
      <c r="H277" s="11">
        <f>COUNTIFS('TRADE CENTER'!I:I,$H$18,'TRADE CENTER'!A:A,"8/9/24")</f>
        <v>2</v>
      </c>
      <c r="I277" s="11">
        <f>COUNTIFS('TRADE CENTER'!I:I,$I$18,'TRADE CENTER'!A:A,"8/9/24")</f>
        <v>30</v>
      </c>
      <c r="J277" s="2"/>
      <c r="K277" s="2"/>
      <c r="L277" s="2"/>
      <c r="M277" s="2"/>
      <c r="N277" s="2"/>
      <c r="O277" s="2"/>
      <c r="P277" s="2"/>
      <c r="Q277" s="2"/>
      <c r="R277" s="2"/>
      <c r="S277" s="2"/>
      <c r="T277" s="2"/>
      <c r="U277" s="2"/>
      <c r="V277" s="2"/>
      <c r="W277" s="2"/>
      <c r="X277" s="2"/>
      <c r="Y277" s="2"/>
      <c r="Z277" s="2"/>
      <c r="AA277" s="2"/>
      <c r="AB277" s="2"/>
    </row>
    <row r="278">
      <c r="A278" s="7" t="s">
        <v>12</v>
      </c>
      <c r="B278" s="8">
        <f>SUMIFS(PENSION!F:F,PENSION!A:A,"8/9/2024")</f>
        <v>7440347.92</v>
      </c>
      <c r="C278" s="11">
        <f>COUNTIFS(PENSION!A:A,"8/9/24")</f>
        <v>47</v>
      </c>
      <c r="D278" s="10">
        <f>SUMIFS(PENSION!G:G,PENSION!A:A,"8/9/2024")</f>
        <v>1265825</v>
      </c>
      <c r="E278" s="11">
        <f t="shared" si="65"/>
        <v>13</v>
      </c>
      <c r="F278" s="12">
        <f t="shared" si="66"/>
        <v>0.170129813</v>
      </c>
      <c r="G278" s="9">
        <f>COUNTIFS(PENSION!I:I,$G$18,PENSION!A:A,"8/9/24")</f>
        <v>5</v>
      </c>
      <c r="H278" s="11">
        <f>COUNTIFS(PENSION!I:I,$H$18,PENSION!A:A,"8/9/24")</f>
        <v>8</v>
      </c>
      <c r="I278" s="11">
        <f>COUNTIFS(PENSION!I:I,$I$18,PENSION!A:A,"8/9/24")</f>
        <v>34</v>
      </c>
      <c r="J278" s="2"/>
      <c r="K278" s="2"/>
      <c r="L278" s="2"/>
      <c r="M278" s="2"/>
      <c r="N278" s="2"/>
      <c r="O278" s="2"/>
      <c r="P278" s="2"/>
      <c r="Q278" s="2"/>
      <c r="R278" s="2"/>
      <c r="S278" s="2"/>
      <c r="T278" s="2"/>
      <c r="U278" s="2"/>
      <c r="V278" s="2"/>
      <c r="W278" s="2"/>
      <c r="X278" s="2"/>
      <c r="Y278" s="2"/>
      <c r="Z278" s="2"/>
      <c r="AA278" s="2"/>
      <c r="AB278" s="2"/>
    </row>
    <row r="279">
      <c r="A279" s="7" t="s">
        <v>13</v>
      </c>
      <c r="B279" s="8">
        <f>SUMIFS(KITENGELA!F:F,KITENGELA!A:A,"8/5/2024")</f>
        <v>5274444.42</v>
      </c>
      <c r="C279" s="11">
        <f>COUNTIFS(KITENGELA!A:A,"8/9/24")</f>
        <v>38</v>
      </c>
      <c r="D279" s="10">
        <f>SUMIFS(KITENGELA!G:G,KITENGELA!A:A,"8/9/24")</f>
        <v>1421080</v>
      </c>
      <c r="E279" s="11">
        <f t="shared" si="65"/>
        <v>11</v>
      </c>
      <c r="F279" s="12">
        <f t="shared" si="66"/>
        <v>0.2694274291</v>
      </c>
      <c r="G279" s="11">
        <f>COUNTIFS(KITENGELA!I:I,$G$18,KITENGELA!A:A,"8/9/24")</f>
        <v>6</v>
      </c>
      <c r="H279" s="11">
        <f>COUNTIFS(KITENGELA!I:I,$H$18,KITENGELA!A:A,"8/9/24")</f>
        <v>5</v>
      </c>
      <c r="I279" s="11">
        <f>COUNTIFS(KITENGELA!I:I,$I$18,KITENGELA!A:A,"8/9/24")</f>
        <v>27</v>
      </c>
      <c r="J279" s="2"/>
      <c r="K279" s="2"/>
      <c r="L279" s="2"/>
      <c r="M279" s="2"/>
      <c r="N279" s="2"/>
      <c r="O279" s="2"/>
      <c r="P279" s="2"/>
      <c r="Q279" s="2"/>
      <c r="R279" s="2"/>
      <c r="S279" s="2"/>
      <c r="T279" s="2"/>
      <c r="U279" s="2"/>
      <c r="V279" s="2"/>
      <c r="W279" s="2"/>
      <c r="X279" s="2"/>
      <c r="Y279" s="2"/>
      <c r="Z279" s="2"/>
      <c r="AA279" s="2"/>
      <c r="AB279" s="2"/>
    </row>
    <row r="280">
      <c r="A280" s="7" t="s">
        <v>14</v>
      </c>
      <c r="B280" s="8">
        <f>SUMIFS(ELDORET!F:F,ELDORET!A:A,"8/9/24")</f>
        <v>1093585.26</v>
      </c>
      <c r="C280" s="11">
        <f>COUNTIFS(ELDORET!A:A,"8/9/24")</f>
        <v>21</v>
      </c>
      <c r="D280" s="10">
        <f>SUMIFS(ELDORET!G:G,ELDORET!A:A,"8/9/24")</f>
        <v>19500</v>
      </c>
      <c r="E280" s="11">
        <f t="shared" si="65"/>
        <v>3</v>
      </c>
      <c r="F280" s="12">
        <f t="shared" si="66"/>
        <v>0.01783125716</v>
      </c>
      <c r="G280" s="11">
        <f>COUNTIFS(ELDORET!I:I,$G$18,ELDORET!A:A,"8/9/24")</f>
        <v>1</v>
      </c>
      <c r="H280" s="11">
        <f>COUNTIFS(ELDORET!I:I,$H$18,ELDORET!A:A,"8/9/24")</f>
        <v>2</v>
      </c>
      <c r="I280" s="11">
        <f>COUNTIFS(ELDORET!I:I,$I$18,ELDORET!A:A,"8/9/24")</f>
        <v>18</v>
      </c>
      <c r="J280" s="2"/>
      <c r="K280" s="2"/>
      <c r="L280" s="2"/>
      <c r="M280" s="2"/>
      <c r="N280" s="2"/>
      <c r="O280" s="2"/>
      <c r="P280" s="2"/>
      <c r="Q280" s="2"/>
      <c r="R280" s="2"/>
      <c r="S280" s="2"/>
      <c r="T280" s="2"/>
      <c r="U280" s="2"/>
      <c r="V280" s="2"/>
      <c r="W280" s="2"/>
      <c r="X280" s="2"/>
      <c r="Y280" s="2"/>
      <c r="Z280" s="2"/>
      <c r="AA280" s="2"/>
      <c r="AB280" s="2"/>
    </row>
    <row r="281">
      <c r="A281" s="7" t="s">
        <v>15</v>
      </c>
      <c r="B281" s="8">
        <f>SUMIFS(NAKURU!F:F,NAKURU!A:A,"8/9/24")</f>
        <v>297640</v>
      </c>
      <c r="C281" s="11">
        <f>COUNTIFS(NAKURU!A:A,"8/9/24")</f>
        <v>7</v>
      </c>
      <c r="D281" s="10">
        <f>SUMIFS(NAKURU!G:G,NAKURU!A:A,"8/9/24")</f>
        <v>48500</v>
      </c>
      <c r="E281" s="11">
        <f t="shared" si="65"/>
        <v>1</v>
      </c>
      <c r="F281" s="12">
        <f t="shared" si="66"/>
        <v>0.1629485284</v>
      </c>
      <c r="G281" s="9">
        <f>COUNTIFS(NAKURU!I:I,$G$18,NAKURU!A:A,"8/9/24")</f>
        <v>0</v>
      </c>
      <c r="H281" s="11">
        <f>COUNTIFS(NAKURU!I:I,$H$18,NAKURU!A:A,"8/9/24")</f>
        <v>1</v>
      </c>
      <c r="I281" s="11">
        <f>COUNTIFS(NAKURU!I:I,$I$18,NAKURU!A:A,"8/9/24")</f>
        <v>6</v>
      </c>
      <c r="J281" s="2"/>
      <c r="K281" s="2"/>
      <c r="L281" s="2"/>
      <c r="M281" s="2"/>
      <c r="N281" s="2"/>
      <c r="O281" s="2"/>
      <c r="P281" s="2"/>
      <c r="Q281" s="2"/>
      <c r="R281" s="2"/>
      <c r="S281" s="2"/>
      <c r="T281" s="2"/>
      <c r="U281" s="2"/>
      <c r="V281" s="2"/>
      <c r="W281" s="2"/>
      <c r="X281" s="2"/>
      <c r="Y281" s="2"/>
      <c r="Z281" s="2"/>
      <c r="AA281" s="2"/>
      <c r="AB281" s="2"/>
    </row>
    <row r="282">
      <c r="A282" s="7" t="s">
        <v>16</v>
      </c>
      <c r="B282" s="8">
        <f>SUMIFS(HOMABAY!F:F,HOMABAY!A:A,"8/9/24")</f>
        <v>165000</v>
      </c>
      <c r="C282" s="11">
        <f>COUNTIFS(HOMABAY!A:A,"8/9/24")</f>
        <v>3</v>
      </c>
      <c r="D282" s="10">
        <f>SUMIFS(HOMABAY!G:G,HOMABAY!A:A,"8/9/24")</f>
        <v>95000</v>
      </c>
      <c r="E282" s="11">
        <f t="shared" si="65"/>
        <v>1</v>
      </c>
      <c r="F282" s="12">
        <f t="shared" si="66"/>
        <v>0.5757575758</v>
      </c>
      <c r="G282" s="9">
        <f>COUNTIFS(HOMABAY!K:K,$G$18,HOMABAY!A:A,"8/9/24")</f>
        <v>0</v>
      </c>
      <c r="H282" s="11">
        <f>COUNTIFS(HOMABAY!K:K,$H$18,HOMABAY!A:A,"8/9/24")</f>
        <v>1</v>
      </c>
      <c r="I282" s="11">
        <f>COUNTIFS(HOMABAY!K:K,$I$18,HOMABAY!A:A,"8/9/24")</f>
        <v>2</v>
      </c>
      <c r="J282" s="2"/>
      <c r="K282" s="2"/>
      <c r="L282" s="2"/>
      <c r="M282" s="2"/>
      <c r="N282" s="2"/>
      <c r="O282" s="2"/>
      <c r="P282" s="2"/>
      <c r="Q282" s="2"/>
      <c r="R282" s="2"/>
      <c r="S282" s="2"/>
      <c r="T282" s="2"/>
      <c r="U282" s="2"/>
      <c r="V282" s="2"/>
      <c r="W282" s="2"/>
      <c r="X282" s="2"/>
      <c r="Y282" s="2"/>
      <c r="Z282" s="2"/>
      <c r="AA282" s="2"/>
      <c r="AB282" s="2"/>
    </row>
    <row r="283">
      <c r="A283" s="7" t="s">
        <v>17</v>
      </c>
      <c r="B283" s="8">
        <f>SUMIFS(MOMBASA!F:F,MOMBASA!A:A,"8/9/24")</f>
        <v>1156983.41</v>
      </c>
      <c r="C283" s="11">
        <f>COUNTIFS(MOMBASA!A:A,"8/9/24")</f>
        <v>21</v>
      </c>
      <c r="D283" s="27">
        <f>SUMIFS(MOMBASA!G:G,MOMBASA!A:A,"8/9/24")</f>
        <v>244760</v>
      </c>
      <c r="E283" s="11">
        <f t="shared" si="65"/>
        <v>5</v>
      </c>
      <c r="F283" s="12">
        <f t="shared" si="66"/>
        <v>0.211550138</v>
      </c>
      <c r="G283" s="9">
        <f>COUNTIFS(MOMBASA!I:I,$G$18,MOMBASA!A:A,"8/9/24")</f>
        <v>0</v>
      </c>
      <c r="H283" s="11">
        <f>COUNTIFS(MOMBASA!I:I,$H$18,MOMBASA!A:A,"8/9/24")</f>
        <v>5</v>
      </c>
      <c r="I283" s="11">
        <f>COUNTIFS(MOMBASA!I:I,$I$18,MOMBASA!A:A,"8/9/24")</f>
        <v>16</v>
      </c>
      <c r="J283" s="2"/>
      <c r="K283" s="2"/>
      <c r="L283" s="2"/>
      <c r="M283" s="2"/>
      <c r="N283" s="2"/>
      <c r="O283" s="2"/>
      <c r="P283" s="2"/>
      <c r="Q283" s="2"/>
      <c r="R283" s="2"/>
      <c r="S283" s="2"/>
      <c r="T283" s="2"/>
      <c r="U283" s="2"/>
      <c r="V283" s="2"/>
      <c r="W283" s="2"/>
      <c r="X283" s="2"/>
      <c r="Y283" s="2"/>
      <c r="Z283" s="2"/>
      <c r="AA283" s="2"/>
      <c r="AB283" s="2"/>
    </row>
    <row r="284">
      <c r="A284" s="7" t="s">
        <v>18</v>
      </c>
      <c r="B284" s="8">
        <f>SUMIFS(KISUMU!F:F,KISUMU!A:A,"8/9/24")</f>
        <v>1511170.2</v>
      </c>
      <c r="C284" s="11">
        <f>COUNTIFS(KISUMU!A:A,"8/9/24")</f>
        <v>25</v>
      </c>
      <c r="D284" s="10">
        <f>SUMIFS(KISUMU!G:G,KISUMU!A:A,"8/9/24")</f>
        <v>12800</v>
      </c>
      <c r="E284" s="11">
        <f t="shared" si="65"/>
        <v>2</v>
      </c>
      <c r="F284" s="12">
        <f t="shared" si="66"/>
        <v>0.008470257023</v>
      </c>
      <c r="G284" s="9">
        <f>COUNTIFS(KISUMU!I:I,$G$18,KISUMU!A:A,"8/9/24")</f>
        <v>1</v>
      </c>
      <c r="H284" s="11">
        <f>COUNTIFS(KISUMU!I:I,$H$18,KISUMU!A:A,"8/9/24")</f>
        <v>1</v>
      </c>
      <c r="I284" s="11">
        <f>COUNTIFS(KISUMU!I:I,$I$18,KISUMU!A:A,"8/9/24")</f>
        <v>23</v>
      </c>
      <c r="J284" s="2"/>
      <c r="K284" s="2"/>
      <c r="L284" s="2"/>
      <c r="M284" s="2"/>
      <c r="N284" s="2"/>
      <c r="O284" s="2"/>
      <c r="P284" s="2"/>
      <c r="Q284" s="2"/>
      <c r="R284" s="2"/>
      <c r="S284" s="2"/>
      <c r="T284" s="2"/>
      <c r="U284" s="2"/>
      <c r="V284" s="2"/>
      <c r="W284" s="2"/>
      <c r="X284" s="2"/>
      <c r="Y284" s="2"/>
      <c r="Z284" s="2"/>
      <c r="AA284" s="2"/>
      <c r="AB284" s="2"/>
    </row>
    <row r="285">
      <c r="A285" s="7" t="s">
        <v>19</v>
      </c>
      <c r="B285" s="8">
        <f>SUMIFS(VOI!F:F,VOI!A:A,"8/9/24")</f>
        <v>145842</v>
      </c>
      <c r="C285" s="11">
        <f>COUNTIFS(VOI!A:A,"8/9/24")</f>
        <v>8</v>
      </c>
      <c r="D285" s="10">
        <f>SUMIFS(VOI!G:G,VOI!A:A,"8/9/24")</f>
        <v>10500</v>
      </c>
      <c r="E285" s="11">
        <f t="shared" si="65"/>
        <v>2</v>
      </c>
      <c r="F285" s="12">
        <f t="shared" si="66"/>
        <v>0.0719957214</v>
      </c>
      <c r="G285" s="9">
        <f>COUNTIFS(VOI!H:H,$G$18,VOI!A:A,"8/9/24")</f>
        <v>1</v>
      </c>
      <c r="H285" s="11">
        <f>COUNTIFS(VOI!H:H,$H$18,VOI!A:A,"8/9/24")</f>
        <v>1</v>
      </c>
      <c r="I285" s="11">
        <f>COUNTIFS(VOI!H:H,$I$18,VOI!A:A,"8/9/24")</f>
        <v>6</v>
      </c>
      <c r="J285" s="2"/>
      <c r="K285" s="2"/>
      <c r="L285" s="2"/>
      <c r="M285" s="2"/>
      <c r="N285" s="2"/>
      <c r="O285" s="2"/>
      <c r="P285" s="2"/>
      <c r="Q285" s="2"/>
      <c r="R285" s="2"/>
      <c r="S285" s="2"/>
      <c r="T285" s="2"/>
      <c r="U285" s="2"/>
      <c r="V285" s="2"/>
      <c r="W285" s="2"/>
      <c r="X285" s="2"/>
      <c r="Y285" s="2"/>
      <c r="Z285" s="2"/>
      <c r="AA285" s="2"/>
      <c r="AB285" s="2"/>
    </row>
    <row r="286">
      <c r="A286" s="7" t="s">
        <v>20</v>
      </c>
      <c r="B286" s="8">
        <f>SUMIFS(THIKA!F:F,THIKA!A:A,"8/9/24")</f>
        <v>1153544</v>
      </c>
      <c r="C286" s="11">
        <f>COUNTIFS(THIKA!A:A,"8/9/24")</f>
        <v>16</v>
      </c>
      <c r="D286" s="10">
        <f>SUMIFS(THIKA!G:G,THIKA!A:A,"8/9/24")</f>
        <v>84869</v>
      </c>
      <c r="E286" s="11">
        <f t="shared" si="65"/>
        <v>3</v>
      </c>
      <c r="F286" s="12">
        <f t="shared" si="66"/>
        <v>0.07357239949</v>
      </c>
      <c r="G286" s="9">
        <f>COUNTIFS(THIKA!I:I,$G$18,THIKA!A:A,"8/9/24")</f>
        <v>1</v>
      </c>
      <c r="H286" s="11">
        <f>COUNTIFS(THIKA!I:I,$H$18,THIKA!A:A,"8/9/24")</f>
        <v>2</v>
      </c>
      <c r="I286" s="11">
        <f>COUNTIFS(THIKA!I:I,$I$18,THIKA!A:A,"8/9/24")</f>
        <v>13</v>
      </c>
      <c r="J286" s="2"/>
      <c r="K286" s="2"/>
      <c r="L286" s="2"/>
      <c r="M286" s="2"/>
      <c r="N286" s="2"/>
      <c r="O286" s="2"/>
      <c r="P286" s="2"/>
      <c r="Q286" s="2"/>
      <c r="R286" s="2"/>
      <c r="S286" s="2"/>
      <c r="T286" s="2"/>
      <c r="U286" s="2"/>
      <c r="V286" s="2"/>
      <c r="W286" s="2"/>
      <c r="X286" s="2"/>
      <c r="Y286" s="2"/>
      <c r="Z286" s="2"/>
      <c r="AA286" s="2"/>
      <c r="AB286" s="2"/>
    </row>
    <row r="287">
      <c r="A287" s="7" t="s">
        <v>21</v>
      </c>
      <c r="B287" s="8">
        <f>SUMIFS(KITUI!F:F,KITUI!A:A,"8/9/24")</f>
        <v>775</v>
      </c>
      <c r="C287" s="11">
        <f>COUNTIFS(KITUI!A:A,"8/9/24")</f>
        <v>1</v>
      </c>
      <c r="D287" s="10">
        <f>SUMIFS(KITUI!G:G,KITUI!A:A,"8/9/24")</f>
        <v>0</v>
      </c>
      <c r="E287" s="11">
        <f t="shared" si="65"/>
        <v>0</v>
      </c>
      <c r="F287" s="12">
        <f t="shared" si="66"/>
        <v>0</v>
      </c>
      <c r="G287" s="9">
        <f>COUNTIFS(KITUI!I:I,$G$18,KITUI!A:A,"8/9/24")</f>
        <v>0</v>
      </c>
      <c r="H287" s="11">
        <f>COUNTIFS(KITUI!I:I,$H$18,KITUI!A:A,"8/9/24")</f>
        <v>0</v>
      </c>
      <c r="I287" s="11">
        <f>COUNTIFS(KITUI!I:I,$I$18,KITUI!A:A,"8/9/24")</f>
        <v>1</v>
      </c>
      <c r="J287" s="2"/>
      <c r="K287" s="2"/>
      <c r="L287" s="2"/>
      <c r="M287" s="2"/>
      <c r="N287" s="2"/>
      <c r="O287" s="2"/>
      <c r="P287" s="2"/>
      <c r="Q287" s="2"/>
      <c r="R287" s="2"/>
      <c r="S287" s="2"/>
      <c r="T287" s="2"/>
      <c r="U287" s="2"/>
      <c r="V287" s="2"/>
      <c r="W287" s="2"/>
      <c r="X287" s="2"/>
      <c r="Y287" s="2"/>
      <c r="Z287" s="2"/>
      <c r="AA287" s="2"/>
      <c r="AB287" s="2"/>
    </row>
    <row r="288">
      <c r="A288" s="15" t="s">
        <v>22</v>
      </c>
      <c r="B288" s="8">
        <f>SUMIFS(MACHAKOS!F:F,MACHAKOS!A:A,"8/9/24")</f>
        <v>237461.97</v>
      </c>
      <c r="C288" s="11">
        <f>COUNTIFS(MACHAKOS!A:A,"8/9/24")</f>
        <v>3</v>
      </c>
      <c r="D288" s="10">
        <f>SUMIFS(MACHAKOS!G:G,MACHAKOS!A:A,"8/9/24")</f>
        <v>0</v>
      </c>
      <c r="E288" s="11">
        <f t="shared" si="65"/>
        <v>0</v>
      </c>
      <c r="F288" s="12">
        <f t="shared" si="66"/>
        <v>0</v>
      </c>
      <c r="G288" s="9">
        <f>COUNTIFS(MACHAKOS!I:I,$G$18,MACHAKOS!A:A,"8/9/24")</f>
        <v>0</v>
      </c>
      <c r="H288" s="11">
        <f>COUNTIFS(MACHAKOS!I:I,$H$18,MACHAKOS!A:A,"8/9/24")</f>
        <v>0</v>
      </c>
      <c r="I288" s="11">
        <f>COUNTIFS(MACHAKOS!I:I,$I$18,MACHAKOS!A:A,"8/9/24")</f>
        <v>3</v>
      </c>
      <c r="J288" s="2"/>
      <c r="K288" s="2"/>
      <c r="L288" s="2"/>
      <c r="M288" s="2"/>
      <c r="N288" s="2"/>
      <c r="O288" s="2"/>
      <c r="P288" s="2"/>
      <c r="Q288" s="2"/>
      <c r="R288" s="2"/>
      <c r="S288" s="2"/>
      <c r="T288" s="2"/>
      <c r="U288" s="2"/>
      <c r="V288" s="2"/>
      <c r="W288" s="2"/>
      <c r="X288" s="2"/>
      <c r="Y288" s="2"/>
      <c r="Z288" s="2"/>
      <c r="AA288" s="2"/>
      <c r="AB288" s="2"/>
    </row>
    <row r="289">
      <c r="A289" s="1" t="s">
        <v>32</v>
      </c>
      <c r="B289" s="25">
        <v>3000000.0</v>
      </c>
      <c r="C289" s="28">
        <v>3.0</v>
      </c>
      <c r="D289" s="10"/>
      <c r="E289" s="28">
        <v>0.0</v>
      </c>
      <c r="F289" s="12">
        <f t="shared" si="66"/>
        <v>0</v>
      </c>
      <c r="G289" s="9">
        <f>COUNTIFS(MACHAKOS!I:I,$G$18,MACHAKOS!A:A,"8/9/24")</f>
        <v>0</v>
      </c>
      <c r="H289" s="11">
        <f>COUNTIFS(MACHAKOS!I:I,$H$18,MACHAKOS!A:A,"8/9/24")</f>
        <v>0</v>
      </c>
      <c r="I289" s="11">
        <f>COUNTIFS(MACHAKOS!I:I,$I$18,MACHAKOS!A:A,"8/9/24")</f>
        <v>3</v>
      </c>
      <c r="J289" s="2"/>
      <c r="K289" s="2"/>
      <c r="L289" s="2"/>
      <c r="M289" s="2"/>
      <c r="N289" s="2"/>
      <c r="O289" s="2"/>
      <c r="P289" s="2"/>
      <c r="Q289" s="2"/>
      <c r="R289" s="2"/>
      <c r="S289" s="2"/>
      <c r="T289" s="2"/>
      <c r="U289" s="2"/>
      <c r="V289" s="2"/>
      <c r="W289" s="2"/>
      <c r="X289" s="2"/>
      <c r="Y289" s="2"/>
      <c r="Z289" s="2"/>
      <c r="AA289" s="2"/>
      <c r="AB289" s="2"/>
    </row>
    <row r="290">
      <c r="A290" s="1" t="s">
        <v>31</v>
      </c>
      <c r="B290" s="25">
        <v>1.1E7</v>
      </c>
      <c r="C290" s="11"/>
      <c r="D290" s="29">
        <v>9273572.0</v>
      </c>
      <c r="E290" s="11"/>
      <c r="F290" s="12"/>
      <c r="G290" s="9"/>
      <c r="H290" s="11"/>
      <c r="I290" s="11"/>
      <c r="J290" s="2"/>
      <c r="K290" s="2"/>
      <c r="L290" s="2"/>
      <c r="M290" s="2"/>
      <c r="N290" s="2"/>
      <c r="O290" s="2"/>
      <c r="P290" s="2"/>
      <c r="Q290" s="2"/>
      <c r="R290" s="2"/>
      <c r="S290" s="2"/>
      <c r="T290" s="2"/>
      <c r="U290" s="2"/>
      <c r="V290" s="2"/>
      <c r="W290" s="2"/>
      <c r="X290" s="2"/>
      <c r="Y290" s="2"/>
      <c r="Z290" s="2"/>
      <c r="AA290" s="2"/>
      <c r="AB290" s="2"/>
    </row>
    <row r="291">
      <c r="A291" s="16" t="s">
        <v>23</v>
      </c>
      <c r="B291" s="17">
        <f t="shared" ref="B291:D291" si="67">SUM(B276:B290)</f>
        <v>45577787.68</v>
      </c>
      <c r="C291" s="18">
        <f t="shared" si="67"/>
        <v>247</v>
      </c>
      <c r="D291" s="19">
        <f t="shared" si="67"/>
        <v>13222291</v>
      </c>
      <c r="E291" s="18">
        <f>SUM(E276:E288)</f>
        <v>49</v>
      </c>
      <c r="F291" s="20">
        <f>D291/B291</f>
        <v>0.2901038351</v>
      </c>
      <c r="G291" s="21">
        <f t="shared" ref="G291:I291" si="68">SUM(G276:G290)</f>
        <v>20</v>
      </c>
      <c r="H291" s="21">
        <f t="shared" si="68"/>
        <v>29</v>
      </c>
      <c r="I291" s="21">
        <f t="shared" si="68"/>
        <v>198</v>
      </c>
      <c r="J291" s="2"/>
      <c r="K291" s="2"/>
      <c r="L291" s="2"/>
      <c r="M291" s="2"/>
      <c r="N291" s="2"/>
      <c r="O291" s="2"/>
      <c r="P291" s="2"/>
      <c r="Q291" s="2"/>
      <c r="R291" s="2"/>
      <c r="S291" s="2"/>
      <c r="T291" s="2"/>
      <c r="U291" s="2"/>
      <c r="V291" s="2"/>
      <c r="W291" s="2"/>
      <c r="X291" s="2"/>
      <c r="Y291" s="2"/>
      <c r="Z291" s="2"/>
      <c r="AA291" s="2"/>
      <c r="AB291" s="2"/>
    </row>
    <row r="292">
      <c r="A292" s="1"/>
      <c r="B292" s="25"/>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3" t="s">
        <v>1</v>
      </c>
      <c r="B293" s="5" t="s">
        <v>2</v>
      </c>
      <c r="C293" s="5" t="s">
        <v>3</v>
      </c>
      <c r="D293" s="5" t="s">
        <v>4</v>
      </c>
      <c r="E293" s="5" t="s">
        <v>5</v>
      </c>
      <c r="F293" s="26" t="s">
        <v>6</v>
      </c>
      <c r="G293" s="26" t="s">
        <v>7</v>
      </c>
      <c r="H293" s="26" t="s">
        <v>8</v>
      </c>
      <c r="I293" s="26" t="s">
        <v>9</v>
      </c>
      <c r="J293" s="2"/>
      <c r="K293" s="2"/>
      <c r="L293" s="2"/>
      <c r="M293" s="2"/>
      <c r="N293" s="2"/>
      <c r="O293" s="2"/>
      <c r="P293" s="2"/>
      <c r="Q293" s="2"/>
      <c r="R293" s="2"/>
      <c r="S293" s="2"/>
      <c r="T293" s="2"/>
      <c r="U293" s="2"/>
      <c r="V293" s="2"/>
      <c r="W293" s="2"/>
      <c r="X293" s="2"/>
      <c r="Y293" s="2"/>
      <c r="Z293" s="2"/>
      <c r="AA293" s="2"/>
      <c r="AB293" s="2"/>
    </row>
    <row r="294">
      <c r="A294" s="7" t="s">
        <v>10</v>
      </c>
      <c r="B294" s="8">
        <f>SUMIFS(ECOBANK!F:F,ECOBANK!A:A,"8/10/24")</f>
        <v>5897921.86</v>
      </c>
      <c r="C294" s="9">
        <f>COUNTIFS(ECOBANK!A:A,"8/10/24")</f>
        <v>15</v>
      </c>
      <c r="D294" s="10">
        <f>SUMIFS(ECOBANK!G:G,ECOBANK!A:A,"8/10/24")</f>
        <v>59456</v>
      </c>
      <c r="E294" s="11">
        <f t="shared" ref="E294:E306" si="69">G294+H294</f>
        <v>2</v>
      </c>
      <c r="F294" s="12">
        <f t="shared" ref="F294:F307" si="70">iferror(D294/B294,0)</f>
        <v>0.01008083888</v>
      </c>
      <c r="G294" s="9">
        <f>COUNTIFS(ECOBANK!I:I,$G$18,ECOBANK!A:A,"8/10/24")</f>
        <v>0</v>
      </c>
      <c r="H294" s="11">
        <f>COUNTIFS(ECOBANK!I:I,$H$18,ECOBANK!A:A,"8/10/24")</f>
        <v>2</v>
      </c>
      <c r="I294" s="11">
        <f>COUNTIFS(ECOBANK!I:I,$I$18,ECOBANK!A:A,"8/10/24")</f>
        <v>13</v>
      </c>
      <c r="J294" s="2"/>
      <c r="K294" s="2"/>
      <c r="L294" s="2"/>
      <c r="M294" s="2"/>
      <c r="N294" s="2"/>
      <c r="O294" s="2"/>
      <c r="P294" s="2"/>
      <c r="Q294" s="2"/>
      <c r="R294" s="2"/>
      <c r="S294" s="2"/>
      <c r="T294" s="2"/>
      <c r="U294" s="2"/>
      <c r="V294" s="2"/>
      <c r="W294" s="2"/>
      <c r="X294" s="2"/>
      <c r="Y294" s="2"/>
      <c r="Z294" s="2"/>
      <c r="AA294" s="2"/>
      <c r="AB294" s="2"/>
    </row>
    <row r="295">
      <c r="A295" s="7" t="s">
        <v>24</v>
      </c>
      <c r="B295" s="8">
        <f>SUMIFS('TRADE CENTER'!F:F,'TRADE CENTER'!A:A,"8/10/24")</f>
        <v>5823181.91</v>
      </c>
      <c r="C295" s="11">
        <f>COUNTIFS('TRADE CENTER'!A:A,"8/10/24")</f>
        <v>35</v>
      </c>
      <c r="D295" s="10">
        <f>SUMIFS('TRADE CENTER'!G:G,'TRADE CENTER'!A:A,"8/10/24")</f>
        <v>664235</v>
      </c>
      <c r="E295" s="11">
        <f t="shared" si="69"/>
        <v>7</v>
      </c>
      <c r="F295" s="12">
        <f t="shared" si="70"/>
        <v>0.1140673622</v>
      </c>
      <c r="G295" s="11">
        <f>COUNTIFS('TRADE CENTER'!I:I,$G$18,'TRADE CENTER'!A:A,"8/10/24")</f>
        <v>2</v>
      </c>
      <c r="H295" s="11">
        <f>COUNTIFS('TRADE CENTER'!I:I,$H$18,'TRADE CENTER'!A:A,"8/10/24")</f>
        <v>5</v>
      </c>
      <c r="I295" s="11">
        <f>COUNTIFS('TRADE CENTER'!I:I,$I$18,'TRADE CENTER'!A:A,"8/10/24")</f>
        <v>28</v>
      </c>
      <c r="J295" s="2"/>
      <c r="K295" s="2"/>
      <c r="L295" s="2"/>
      <c r="M295" s="2"/>
      <c r="N295" s="2"/>
      <c r="O295" s="2"/>
      <c r="P295" s="2"/>
      <c r="Q295" s="2"/>
      <c r="R295" s="2"/>
      <c r="S295" s="2"/>
      <c r="T295" s="2"/>
      <c r="U295" s="2"/>
      <c r="V295" s="2"/>
      <c r="W295" s="2"/>
      <c r="X295" s="2"/>
      <c r="Y295" s="2"/>
      <c r="Z295" s="2"/>
      <c r="AA295" s="2"/>
      <c r="AB295" s="2"/>
    </row>
    <row r="296">
      <c r="A296" s="7" t="s">
        <v>12</v>
      </c>
      <c r="B296" s="8">
        <f>SUMIFS(PENSION!F:F,PENSION!A:A,"8/10/2024")</f>
        <v>2075764.51</v>
      </c>
      <c r="C296" s="11">
        <f>COUNTIFS(PENSION!A:A,"8/10/24")</f>
        <v>15</v>
      </c>
      <c r="D296" s="10">
        <f>SUMIFS(PENSION!G:G,PENSION!A:A,"8/10/2024")</f>
        <v>290000</v>
      </c>
      <c r="E296" s="11">
        <f t="shared" si="69"/>
        <v>2</v>
      </c>
      <c r="F296" s="12">
        <f t="shared" si="70"/>
        <v>0.1397075625</v>
      </c>
      <c r="G296" s="9">
        <f>COUNTIFS(PENSION!I:I,$G$18,PENSION!A:A,"8/10/24")</f>
        <v>0</v>
      </c>
      <c r="H296" s="11">
        <f>COUNTIFS(PENSION!I:I,$H$18,PENSION!A:A,"8/10/24")</f>
        <v>2</v>
      </c>
      <c r="I296" s="11">
        <f>COUNTIFS(PENSION!I:I,$I$18,PENSION!A:A,"8/10/24")</f>
        <v>13</v>
      </c>
      <c r="J296" s="2"/>
      <c r="K296" s="2"/>
      <c r="L296" s="2"/>
      <c r="M296" s="2"/>
      <c r="N296" s="2"/>
      <c r="O296" s="2"/>
      <c r="P296" s="2"/>
      <c r="Q296" s="2"/>
      <c r="R296" s="2"/>
      <c r="S296" s="2"/>
      <c r="T296" s="2"/>
      <c r="U296" s="2"/>
      <c r="V296" s="2"/>
      <c r="W296" s="2"/>
      <c r="X296" s="2"/>
      <c r="Y296" s="2"/>
      <c r="Z296" s="2"/>
      <c r="AA296" s="2"/>
      <c r="AB296" s="2"/>
    </row>
    <row r="297">
      <c r="A297" s="7" t="s">
        <v>13</v>
      </c>
      <c r="B297" s="8">
        <f>SUMIFS(KITENGELA!F:F,KITENGELA!A:A,"8/5/2024")</f>
        <v>5274444.42</v>
      </c>
      <c r="C297" s="11">
        <f>COUNTIFS(KITENGELA!A:A,"8/10/24")</f>
        <v>21</v>
      </c>
      <c r="D297" s="10">
        <f>SUMIFS(KITENGELA!G:G,KITENGELA!A:A,"8/10/24")</f>
        <v>205113</v>
      </c>
      <c r="E297" s="11">
        <f t="shared" si="69"/>
        <v>7</v>
      </c>
      <c r="F297" s="12">
        <f t="shared" si="70"/>
        <v>0.03888807686</v>
      </c>
      <c r="G297" s="11">
        <f>COUNTIFS(KITENGELA!I:I,$G$18,KITENGELA!A:A,"8/10/24")</f>
        <v>3</v>
      </c>
      <c r="H297" s="11">
        <f>COUNTIFS(KITENGELA!I:I,$H$18,KITENGELA!A:A,"8/10/24")</f>
        <v>4</v>
      </c>
      <c r="I297" s="11">
        <f>COUNTIFS(KITENGELA!I:I,$I$18,KITENGELA!A:A,"8/10/24")</f>
        <v>14</v>
      </c>
      <c r="J297" s="2"/>
      <c r="K297" s="2"/>
      <c r="L297" s="2"/>
      <c r="M297" s="2"/>
      <c r="N297" s="2"/>
      <c r="O297" s="2"/>
      <c r="P297" s="2"/>
      <c r="Q297" s="2"/>
      <c r="R297" s="2"/>
      <c r="S297" s="2"/>
      <c r="T297" s="2"/>
      <c r="U297" s="2"/>
      <c r="V297" s="2"/>
      <c r="W297" s="2"/>
      <c r="X297" s="2"/>
      <c r="Y297" s="2"/>
      <c r="Z297" s="2"/>
      <c r="AA297" s="2"/>
      <c r="AB297" s="2"/>
    </row>
    <row r="298">
      <c r="A298" s="7" t="s">
        <v>14</v>
      </c>
      <c r="B298" s="8">
        <f>SUMIFS(ELDORET!F:F,ELDORET!A:A,"8/10/24")</f>
        <v>1070125.26</v>
      </c>
      <c r="C298" s="11">
        <f>COUNTIFS(ELDORET!A:A,"8/10/24")</f>
        <v>20</v>
      </c>
      <c r="D298" s="10">
        <f>SUMIFS(ELDORET!G:G,ELDORET!A:A,"8/10/24")</f>
        <v>14000</v>
      </c>
      <c r="E298" s="11">
        <f t="shared" si="69"/>
        <v>2</v>
      </c>
      <c r="F298" s="12">
        <f t="shared" si="70"/>
        <v>0.01308258063</v>
      </c>
      <c r="G298" s="11">
        <f>COUNTIFS(ELDORET!I:I,$G$18,ELDORET!A:A,"8/10/24")</f>
        <v>1</v>
      </c>
      <c r="H298" s="11">
        <f>COUNTIFS(ELDORET!I:I,$H$18,ELDORET!A:A,"8/10/24")</f>
        <v>1</v>
      </c>
      <c r="I298" s="11">
        <f>COUNTIFS(ELDORET!I:I,$I$18,ELDORET!A:A,"8/10/24")</f>
        <v>18</v>
      </c>
      <c r="J298" s="2"/>
      <c r="K298" s="2"/>
      <c r="L298" s="2"/>
      <c r="M298" s="2"/>
      <c r="N298" s="2"/>
      <c r="O298" s="2"/>
      <c r="P298" s="2"/>
      <c r="Q298" s="2"/>
      <c r="R298" s="2"/>
      <c r="S298" s="2"/>
      <c r="T298" s="2"/>
      <c r="U298" s="2"/>
      <c r="V298" s="2"/>
      <c r="W298" s="2"/>
      <c r="X298" s="2"/>
      <c r="Y298" s="2"/>
      <c r="Z298" s="2"/>
      <c r="AA298" s="2"/>
      <c r="AB298" s="2"/>
    </row>
    <row r="299">
      <c r="A299" s="7" t="s">
        <v>15</v>
      </c>
      <c r="B299" s="8">
        <f>SUMIFS(NAKURU!F:F,NAKURU!A:A,"8/10/24")</f>
        <v>264000</v>
      </c>
      <c r="C299" s="11">
        <f>COUNTIFS(NAKURU!A:A,"8/10/24")</f>
        <v>5</v>
      </c>
      <c r="D299" s="10">
        <f>SUMIFS(NAKURU!G:G,NAKURU!A:A,"8/10/24")</f>
        <v>0</v>
      </c>
      <c r="E299" s="11">
        <f t="shared" si="69"/>
        <v>0</v>
      </c>
      <c r="F299" s="12">
        <f t="shared" si="70"/>
        <v>0</v>
      </c>
      <c r="G299" s="9">
        <f>COUNTIFS(NAKURU!I:I,$G$18,NAKURU!A:A,"8/10/24")</f>
        <v>0</v>
      </c>
      <c r="H299" s="11">
        <f>COUNTIFS(NAKURU!I:I,$H$18,NAKURU!A:A,"8/10/24")</f>
        <v>0</v>
      </c>
      <c r="I299" s="11">
        <f>COUNTIFS(NAKURU!I:I,$I$18,NAKURU!A:A,"8/10/24")</f>
        <v>5</v>
      </c>
      <c r="J299" s="2"/>
      <c r="K299" s="2"/>
      <c r="L299" s="2"/>
      <c r="M299" s="2"/>
      <c r="N299" s="2"/>
      <c r="O299" s="2"/>
      <c r="P299" s="2"/>
      <c r="Q299" s="2"/>
      <c r="R299" s="2"/>
      <c r="S299" s="2"/>
      <c r="T299" s="2"/>
      <c r="U299" s="2"/>
      <c r="V299" s="2"/>
      <c r="W299" s="2"/>
      <c r="X299" s="2"/>
      <c r="Y299" s="2"/>
      <c r="Z299" s="2"/>
      <c r="AA299" s="2"/>
      <c r="AB299" s="2"/>
    </row>
    <row r="300">
      <c r="A300" s="7" t="s">
        <v>16</v>
      </c>
      <c r="B300" s="8">
        <f>SUMIFS(HOMABAY!F:F,HOMABAY!A:A,"8/10/24")</f>
        <v>131200</v>
      </c>
      <c r="C300" s="11">
        <f>COUNTIFS(HOMABAY!A:A,"8/10/24")</f>
        <v>3</v>
      </c>
      <c r="D300" s="10">
        <f>SUMIFS(HOMABAY!G:G,HOMABAY!A:A,"8/10/24")</f>
        <v>0</v>
      </c>
      <c r="E300" s="11">
        <f t="shared" si="69"/>
        <v>0</v>
      </c>
      <c r="F300" s="12">
        <f t="shared" si="70"/>
        <v>0</v>
      </c>
      <c r="G300" s="9">
        <f>COUNTIFS(HOMABAY!K:K,$G$18,HOMABAY!A:A,"8/10/24")</f>
        <v>0</v>
      </c>
      <c r="H300" s="11">
        <f>COUNTIFS(HOMABAY!K:K,$H$18,HOMABAY!A:A,"8/10/24")</f>
        <v>0</v>
      </c>
      <c r="I300" s="11">
        <f>COUNTIFS(HOMABAY!K:K,$I$18,HOMABAY!A:A,"8/10/24")</f>
        <v>3</v>
      </c>
      <c r="J300" s="2"/>
      <c r="K300" s="2"/>
      <c r="L300" s="2"/>
      <c r="M300" s="2"/>
      <c r="N300" s="2"/>
      <c r="O300" s="2"/>
      <c r="P300" s="2"/>
      <c r="Q300" s="2"/>
      <c r="R300" s="2"/>
      <c r="S300" s="2"/>
      <c r="T300" s="2"/>
      <c r="U300" s="2"/>
      <c r="V300" s="2"/>
      <c r="W300" s="2"/>
      <c r="X300" s="2"/>
      <c r="Y300" s="2"/>
      <c r="Z300" s="2"/>
      <c r="AA300" s="2"/>
      <c r="AB300" s="2"/>
    </row>
    <row r="301">
      <c r="A301" s="7" t="s">
        <v>17</v>
      </c>
      <c r="B301" s="8">
        <f>SUMIFS(MOMBASA!F:F,MOMBASA!A:A,"8/10/24")</f>
        <v>1011823.26</v>
      </c>
      <c r="C301" s="11">
        <f>COUNTIFS(MOMBASA!A:A,"8/10/24")</f>
        <v>16</v>
      </c>
      <c r="D301" s="27">
        <f>SUMIFS(MOMBASA!G:G,MOMBASA!A:A,"8/10/24")</f>
        <v>0</v>
      </c>
      <c r="E301" s="11">
        <f t="shared" si="69"/>
        <v>1</v>
      </c>
      <c r="F301" s="12">
        <f t="shared" si="70"/>
        <v>0</v>
      </c>
      <c r="G301" s="9">
        <f>COUNTIFS(MOMBASA!I:I,$G$18,MOMBASA!A:A,"8/10/24")</f>
        <v>0</v>
      </c>
      <c r="H301" s="11">
        <f>COUNTIFS(MOMBASA!I:I,$H$18,MOMBASA!A:A,"8/10/24")</f>
        <v>1</v>
      </c>
      <c r="I301" s="11">
        <f>COUNTIFS(MOMBASA!I:I,$I$18,MOMBASA!A:A,"8/10/24")</f>
        <v>15</v>
      </c>
      <c r="J301" s="2"/>
      <c r="K301" s="2"/>
      <c r="L301" s="2"/>
      <c r="M301" s="2"/>
      <c r="N301" s="2"/>
      <c r="O301" s="2"/>
      <c r="P301" s="2"/>
      <c r="Q301" s="2"/>
      <c r="R301" s="2"/>
      <c r="S301" s="2"/>
      <c r="T301" s="2"/>
      <c r="U301" s="2"/>
      <c r="V301" s="2"/>
      <c r="W301" s="2"/>
      <c r="X301" s="2"/>
      <c r="Y301" s="2"/>
      <c r="Z301" s="2"/>
      <c r="AA301" s="2"/>
      <c r="AB301" s="2"/>
    </row>
    <row r="302">
      <c r="A302" s="7" t="s">
        <v>18</v>
      </c>
      <c r="B302" s="8">
        <f>SUMIFS(KISUMU!F:F,KISUMU!A:A,"8/10/24")</f>
        <v>0</v>
      </c>
      <c r="C302" s="11">
        <f>COUNTIFS(KISUMU!A:A,"8/10/24")</f>
        <v>0</v>
      </c>
      <c r="D302" s="10">
        <f>SUMIFS(KISUMU!G:G,KISUMU!A:A,"8/10/24")</f>
        <v>0</v>
      </c>
      <c r="E302" s="11">
        <f t="shared" si="69"/>
        <v>0</v>
      </c>
      <c r="F302" s="12">
        <f t="shared" si="70"/>
        <v>0</v>
      </c>
      <c r="G302" s="9">
        <f>COUNTIFS(KISUMU!I:I,$G$18,KISUMU!A:A,"8/10/24")</f>
        <v>0</v>
      </c>
      <c r="H302" s="11">
        <f>COUNTIFS(KISUMU!I:I,$H$18,KISUMU!A:A,"8/10/24")</f>
        <v>0</v>
      </c>
      <c r="I302" s="11">
        <f>COUNTIFS(KISUMU!I:I,$I$18,KISUMU!A:A,"8/10/24")</f>
        <v>0</v>
      </c>
      <c r="J302" s="2"/>
      <c r="K302" s="2"/>
      <c r="L302" s="2"/>
      <c r="M302" s="2"/>
      <c r="N302" s="2"/>
      <c r="O302" s="2"/>
      <c r="P302" s="2"/>
      <c r="Q302" s="2"/>
      <c r="R302" s="2"/>
      <c r="S302" s="2"/>
      <c r="T302" s="2"/>
      <c r="U302" s="2"/>
      <c r="V302" s="2"/>
      <c r="W302" s="2"/>
      <c r="X302" s="2"/>
      <c r="Y302" s="2"/>
      <c r="Z302" s="2"/>
      <c r="AA302" s="2"/>
      <c r="AB302" s="2"/>
    </row>
    <row r="303">
      <c r="A303" s="7" t="s">
        <v>19</v>
      </c>
      <c r="B303" s="8">
        <f>SUMIFS(VOI!F:F,VOI!A:A,"8/10/24")</f>
        <v>269669</v>
      </c>
      <c r="C303" s="11">
        <f>COUNTIFS(VOI!A:A,"8/10/24")</f>
        <v>7</v>
      </c>
      <c r="D303" s="10">
        <f>SUMIFS(VOI!G:G,VOI!A:A,"8/10/24")</f>
        <v>106050</v>
      </c>
      <c r="E303" s="11">
        <f t="shared" si="69"/>
        <v>2</v>
      </c>
      <c r="F303" s="12">
        <f t="shared" si="70"/>
        <v>0.3932598853</v>
      </c>
      <c r="G303" s="9">
        <f>COUNTIFS(VOI!H:H,$G$18,VOI!A:A,"8/10/24")</f>
        <v>1</v>
      </c>
      <c r="H303" s="11">
        <f>COUNTIFS(VOI!H:H,$H$18,VOI!A:A,"8/10/24")</f>
        <v>1</v>
      </c>
      <c r="I303" s="11">
        <f>COUNTIFS(VOI!H:H,$I$18,VOI!A:A,"8/10/24")</f>
        <v>5</v>
      </c>
      <c r="J303" s="2"/>
      <c r="K303" s="2"/>
      <c r="L303" s="2"/>
      <c r="M303" s="2"/>
      <c r="N303" s="2"/>
      <c r="O303" s="2"/>
      <c r="P303" s="2"/>
      <c r="Q303" s="2"/>
      <c r="R303" s="2"/>
      <c r="S303" s="2"/>
      <c r="T303" s="2"/>
      <c r="U303" s="2"/>
      <c r="V303" s="2"/>
      <c r="W303" s="2"/>
      <c r="X303" s="2"/>
      <c r="Y303" s="2"/>
      <c r="Z303" s="2"/>
      <c r="AA303" s="2"/>
      <c r="AB303" s="2"/>
    </row>
    <row r="304">
      <c r="A304" s="7" t="s">
        <v>20</v>
      </c>
      <c r="B304" s="8">
        <f>SUMIFS(THIKA!F:F,THIKA!A:A,"8/10/24")</f>
        <v>478098.79</v>
      </c>
      <c r="C304" s="11">
        <f>COUNTIFS(THIKA!A:A,"8/10/24")</f>
        <v>10</v>
      </c>
      <c r="D304" s="10">
        <f>SUMIFS(THIKA!G:G,THIKA!A:A,"8/10/24")</f>
        <v>86200</v>
      </c>
      <c r="E304" s="11">
        <f t="shared" si="69"/>
        <v>2</v>
      </c>
      <c r="F304" s="12">
        <f t="shared" si="70"/>
        <v>0.1802974653</v>
      </c>
      <c r="G304" s="9">
        <f>COUNTIFS(THIKA!I:I,$G$18,THIKA!A:A,"8/10/24")</f>
        <v>1</v>
      </c>
      <c r="H304" s="11">
        <f>COUNTIFS(THIKA!I:I,$H$18,THIKA!A:A,"8/10/24")</f>
        <v>1</v>
      </c>
      <c r="I304" s="11">
        <f>COUNTIFS(THIKA!I:I,$I$18,THIKA!A:A,"8/10/24")</f>
        <v>8</v>
      </c>
      <c r="J304" s="2"/>
      <c r="K304" s="2"/>
      <c r="L304" s="2"/>
      <c r="M304" s="2"/>
      <c r="N304" s="2"/>
      <c r="O304" s="2"/>
      <c r="P304" s="2"/>
      <c r="Q304" s="2"/>
      <c r="R304" s="2"/>
      <c r="S304" s="2"/>
      <c r="T304" s="2"/>
      <c r="U304" s="2"/>
      <c r="V304" s="2"/>
      <c r="W304" s="2"/>
      <c r="X304" s="2"/>
      <c r="Y304" s="2"/>
      <c r="Z304" s="2"/>
      <c r="AA304" s="2"/>
      <c r="AB304" s="2"/>
    </row>
    <row r="305">
      <c r="A305" s="7" t="s">
        <v>21</v>
      </c>
      <c r="B305" s="8">
        <f>SUMIFS(KITUI!F:F,KITUI!A:A,"8/10/24")</f>
        <v>0</v>
      </c>
      <c r="C305" s="11">
        <f>COUNTIFS(KITUI!A:A,"8/10/24")</f>
        <v>0</v>
      </c>
      <c r="D305" s="10">
        <f>SUMIFS(KITUI!G:G,KITUI!A:A,"8/10/24")</f>
        <v>0</v>
      </c>
      <c r="E305" s="11">
        <f t="shared" si="69"/>
        <v>0</v>
      </c>
      <c r="F305" s="12">
        <f t="shared" si="70"/>
        <v>0</v>
      </c>
      <c r="G305" s="9">
        <f>COUNTIFS(KITUI!I:I,$G$18,KITUI!A:A,"8/10/24")</f>
        <v>0</v>
      </c>
      <c r="H305" s="11">
        <f>COUNTIFS(KITUI!I:I,$H$18,KITUI!A:A,"8/10/24")</f>
        <v>0</v>
      </c>
      <c r="I305" s="11">
        <f>COUNTIFS(KITUI!I:I,$I$18,KITUI!A:A,"8/10/24")</f>
        <v>0</v>
      </c>
      <c r="J305" s="2"/>
      <c r="K305" s="2"/>
      <c r="L305" s="2"/>
      <c r="M305" s="2"/>
      <c r="N305" s="2"/>
      <c r="O305" s="2"/>
      <c r="P305" s="2"/>
      <c r="Q305" s="2"/>
      <c r="R305" s="2"/>
      <c r="S305" s="2"/>
      <c r="T305" s="2"/>
      <c r="U305" s="2"/>
      <c r="V305" s="2"/>
      <c r="W305" s="2"/>
      <c r="X305" s="2"/>
      <c r="Y305" s="2"/>
      <c r="Z305" s="2"/>
      <c r="AA305" s="2"/>
      <c r="AB305" s="2"/>
    </row>
    <row r="306">
      <c r="A306" s="15" t="s">
        <v>22</v>
      </c>
      <c r="B306" s="8">
        <f>SUMIFS(MACHAKOS!F:F,MACHAKOS!A:A,"8/10/24")</f>
        <v>229931.43</v>
      </c>
      <c r="C306" s="11">
        <f>COUNTIFS(MACHAKOS!A:A,"8/10/24")</f>
        <v>3</v>
      </c>
      <c r="D306" s="10">
        <f>SUMIFS(MACHAKOS!G:G,MACHAKOS!A:A,"8/10/24")</f>
        <v>29000</v>
      </c>
      <c r="E306" s="11">
        <f t="shared" si="69"/>
        <v>2</v>
      </c>
      <c r="F306" s="12">
        <f t="shared" si="70"/>
        <v>0.1261245581</v>
      </c>
      <c r="G306" s="9">
        <f>COUNTIFS(MACHAKOS!I:I,$G$18,MACHAKOS!A:A,"8/10/24")</f>
        <v>1</v>
      </c>
      <c r="H306" s="11">
        <f>COUNTIFS(MACHAKOS!I:I,$H$18,MACHAKOS!A:A,"8/10/24")</f>
        <v>1</v>
      </c>
      <c r="I306" s="11">
        <f>COUNTIFS(MACHAKOS!I:I,$I$18,MACHAKOS!A:A,"8/10/24")</f>
        <v>1</v>
      </c>
      <c r="J306" s="2"/>
      <c r="K306" s="2"/>
      <c r="L306" s="2"/>
      <c r="M306" s="2"/>
      <c r="N306" s="2"/>
      <c r="O306" s="2"/>
      <c r="P306" s="2"/>
      <c r="Q306" s="2"/>
      <c r="R306" s="2"/>
      <c r="S306" s="2"/>
      <c r="T306" s="2"/>
      <c r="U306" s="2"/>
      <c r="V306" s="2"/>
      <c r="W306" s="2"/>
      <c r="X306" s="2"/>
      <c r="Y306" s="2"/>
      <c r="Z306" s="2"/>
      <c r="AA306" s="2"/>
      <c r="AB306" s="2"/>
    </row>
    <row r="307">
      <c r="A307" s="1" t="s">
        <v>32</v>
      </c>
      <c r="B307" s="25">
        <v>1700000.0</v>
      </c>
      <c r="C307" s="28"/>
      <c r="D307" s="10"/>
      <c r="E307" s="28">
        <v>0.0</v>
      </c>
      <c r="F307" s="12">
        <f t="shared" si="70"/>
        <v>0</v>
      </c>
      <c r="G307" s="9">
        <f>COUNTIFS(MACHAKOS!I:I,$G$18,MACHAKOS!A:A,"8/10/24")</f>
        <v>1</v>
      </c>
      <c r="H307" s="11">
        <f>COUNTIFS(MACHAKOS!I:I,$H$18,MACHAKOS!A:A,"8/10/24")</f>
        <v>1</v>
      </c>
      <c r="I307" s="11">
        <f>COUNTIFS(MACHAKOS!I:I,$I$18,MACHAKOS!A:A,"8/10/24")</f>
        <v>1</v>
      </c>
      <c r="J307" s="2"/>
      <c r="K307" s="2"/>
      <c r="L307" s="2"/>
      <c r="M307" s="2"/>
      <c r="N307" s="2"/>
      <c r="O307" s="2"/>
      <c r="P307" s="2"/>
      <c r="Q307" s="2"/>
      <c r="R307" s="2"/>
      <c r="S307" s="2"/>
      <c r="T307" s="2"/>
      <c r="U307" s="2"/>
      <c r="V307" s="2"/>
      <c r="W307" s="2"/>
      <c r="X307" s="2"/>
      <c r="Y307" s="2"/>
      <c r="Z307" s="2"/>
      <c r="AA307" s="2"/>
      <c r="AB307" s="2"/>
    </row>
    <row r="308">
      <c r="A308" s="1" t="s">
        <v>31</v>
      </c>
      <c r="B308" s="25"/>
      <c r="C308" s="11"/>
      <c r="D308" s="29"/>
      <c r="E308" s="11"/>
      <c r="F308" s="12"/>
      <c r="G308" s="9"/>
      <c r="H308" s="11"/>
      <c r="I308" s="11"/>
      <c r="J308" s="2"/>
      <c r="K308" s="2"/>
      <c r="L308" s="2"/>
      <c r="M308" s="2"/>
      <c r="N308" s="2"/>
      <c r="O308" s="2"/>
      <c r="P308" s="2"/>
      <c r="Q308" s="2"/>
      <c r="R308" s="2"/>
      <c r="S308" s="2"/>
      <c r="T308" s="2"/>
      <c r="U308" s="2"/>
      <c r="V308" s="2"/>
      <c r="W308" s="2"/>
      <c r="X308" s="2"/>
      <c r="Y308" s="2"/>
      <c r="Z308" s="2"/>
      <c r="AA308" s="2"/>
      <c r="AB308" s="2"/>
    </row>
    <row r="309">
      <c r="A309" s="16" t="s">
        <v>23</v>
      </c>
      <c r="B309" s="17">
        <f t="shared" ref="B309:D309" si="71">SUM(B294:B308)</f>
        <v>24226160.44</v>
      </c>
      <c r="C309" s="18">
        <f t="shared" si="71"/>
        <v>150</v>
      </c>
      <c r="D309" s="19">
        <f t="shared" si="71"/>
        <v>1454054</v>
      </c>
      <c r="E309" s="18">
        <f>SUM(E294:E306)</f>
        <v>27</v>
      </c>
      <c r="F309" s="20">
        <f>D309/B309</f>
        <v>0.06001999382</v>
      </c>
      <c r="G309" s="21">
        <f t="shared" ref="G309:I309" si="72">SUM(G294:G308)</f>
        <v>10</v>
      </c>
      <c r="H309" s="21">
        <f t="shared" si="72"/>
        <v>19</v>
      </c>
      <c r="I309" s="21">
        <f t="shared" si="72"/>
        <v>124</v>
      </c>
      <c r="J309" s="2"/>
      <c r="K309" s="2"/>
      <c r="L309" s="2"/>
      <c r="M309" s="2"/>
      <c r="N309" s="2"/>
      <c r="O309" s="2"/>
      <c r="P309" s="2"/>
      <c r="Q309" s="2"/>
      <c r="R309" s="2"/>
      <c r="S309" s="2"/>
      <c r="T309" s="2"/>
      <c r="U309" s="2"/>
      <c r="V309" s="2"/>
      <c r="W309" s="2"/>
      <c r="X309" s="2"/>
      <c r="Y309" s="2"/>
      <c r="Z309" s="2"/>
      <c r="AA309" s="2"/>
      <c r="AB309" s="2"/>
    </row>
    <row r="310">
      <c r="A310" s="1"/>
      <c r="B310" s="23"/>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3" t="s">
        <v>1</v>
      </c>
      <c r="B311" s="5" t="s">
        <v>2</v>
      </c>
      <c r="C311" s="5" t="s">
        <v>3</v>
      </c>
      <c r="D311" s="5" t="s">
        <v>4</v>
      </c>
      <c r="E311" s="5" t="s">
        <v>5</v>
      </c>
      <c r="F311" s="26" t="s">
        <v>6</v>
      </c>
      <c r="G311" s="26" t="s">
        <v>7</v>
      </c>
      <c r="H311" s="26" t="s">
        <v>8</v>
      </c>
      <c r="I311" s="26" t="s">
        <v>9</v>
      </c>
      <c r="J311" s="2"/>
      <c r="K311" s="2"/>
      <c r="L311" s="2"/>
      <c r="M311" s="2"/>
      <c r="N311" s="2"/>
      <c r="O311" s="2"/>
      <c r="P311" s="2"/>
      <c r="Q311" s="2"/>
      <c r="R311" s="2"/>
      <c r="S311" s="2"/>
      <c r="T311" s="2"/>
      <c r="U311" s="2"/>
      <c r="V311" s="2"/>
      <c r="W311" s="2"/>
      <c r="X311" s="2"/>
      <c r="Y311" s="2"/>
      <c r="Z311" s="2"/>
      <c r="AA311" s="2"/>
      <c r="AB311" s="2"/>
    </row>
    <row r="312">
      <c r="A312" s="7" t="s">
        <v>10</v>
      </c>
      <c r="B312" s="8">
        <f>SUMIFS(ECOBANK!F:F,ECOBANK!A:A,"8/12/24")</f>
        <v>7623904.57</v>
      </c>
      <c r="C312" s="9">
        <f>COUNTIFS(ECOBANK!A:A,"8/12/24")</f>
        <v>18</v>
      </c>
      <c r="D312" s="10">
        <f>SUMIFS(ECOBANK!G:G,ECOBANK!A:A,"8/12/24")</f>
        <v>1186116.02</v>
      </c>
      <c r="E312" s="11">
        <f t="shared" ref="E312:E324" si="73">G312+H312</f>
        <v>5</v>
      </c>
      <c r="F312" s="12">
        <f t="shared" ref="F312:F325" si="74">iferror(D312/B312,0)</f>
        <v>0.1555785502</v>
      </c>
      <c r="G312" s="9">
        <f>COUNTIFS(ECOBANK!I:I,$G$18,ECOBANK!A:A,"8/12/24")</f>
        <v>0</v>
      </c>
      <c r="H312" s="11">
        <f>COUNTIFS(ECOBANK!I:I,$H$18,ECOBANK!A:A,"8/12/24")</f>
        <v>5</v>
      </c>
      <c r="I312" s="11">
        <f>COUNTIFS(ECOBANK!I:I,$I$18,ECOBANK!A:A,"8/12/24")</f>
        <v>13</v>
      </c>
      <c r="J312" s="2"/>
      <c r="K312" s="2"/>
      <c r="L312" s="2"/>
      <c r="M312" s="2"/>
      <c r="N312" s="2"/>
      <c r="O312" s="2"/>
      <c r="P312" s="2"/>
      <c r="Q312" s="2"/>
      <c r="R312" s="2"/>
      <c r="S312" s="2"/>
      <c r="T312" s="2"/>
      <c r="U312" s="2"/>
      <c r="V312" s="2"/>
      <c r="W312" s="2"/>
      <c r="X312" s="2"/>
      <c r="Y312" s="2"/>
      <c r="Z312" s="2"/>
      <c r="AA312" s="2"/>
      <c r="AB312" s="2"/>
    </row>
    <row r="313">
      <c r="A313" s="7" t="s">
        <v>24</v>
      </c>
      <c r="B313" s="8">
        <f>SUMIFS('TRADE CENTER'!F:F,'TRADE CENTER'!A:A,"8/12/24")</f>
        <v>7201867.76</v>
      </c>
      <c r="C313" s="11">
        <f>COUNTIFS('TRADE CENTER'!A:A,"8/12/24")</f>
        <v>44</v>
      </c>
      <c r="D313" s="10">
        <f>SUMIFS('TRADE CENTER'!G:G,'TRADE CENTER'!A:A,"8/12/24")</f>
        <v>688981</v>
      </c>
      <c r="E313" s="11">
        <f t="shared" si="73"/>
        <v>14</v>
      </c>
      <c r="F313" s="12">
        <f t="shared" si="74"/>
        <v>0.09566698848</v>
      </c>
      <c r="G313" s="11">
        <f>COUNTIFS('TRADE CENTER'!I:I,$G$18,'TRADE CENTER'!A:A,"8/12/24")</f>
        <v>4</v>
      </c>
      <c r="H313" s="11">
        <f>COUNTIFS('TRADE CENTER'!I:I,$H$18,'TRADE CENTER'!A:A,"8/12/24")</f>
        <v>10</v>
      </c>
      <c r="I313" s="11">
        <f>COUNTIFS('TRADE CENTER'!I:I,$I$18,'TRADE CENTER'!A:A,"8/12/24")</f>
        <v>30</v>
      </c>
      <c r="J313" s="2"/>
      <c r="K313" s="2"/>
      <c r="L313" s="2"/>
      <c r="M313" s="2"/>
      <c r="N313" s="2"/>
      <c r="O313" s="2"/>
      <c r="P313" s="2"/>
      <c r="Q313" s="2"/>
      <c r="R313" s="2"/>
      <c r="S313" s="2"/>
      <c r="T313" s="2"/>
      <c r="U313" s="2"/>
      <c r="V313" s="2"/>
      <c r="W313" s="2"/>
      <c r="X313" s="2"/>
      <c r="Y313" s="2"/>
      <c r="Z313" s="2"/>
      <c r="AA313" s="2"/>
      <c r="AB313" s="2"/>
    </row>
    <row r="314">
      <c r="A314" s="7" t="s">
        <v>12</v>
      </c>
      <c r="B314" s="8">
        <f>SUMIFS(PENSION!F:F,PENSION!A:A,"8/12/2024")</f>
        <v>4493460.61</v>
      </c>
      <c r="C314" s="11">
        <f>COUNTIFS(PENSION!A:A,"8/12/24")</f>
        <v>36</v>
      </c>
      <c r="D314" s="10">
        <f>SUMIFS(PENSION!G:G,PENSION!A:A,"8/12/2024")</f>
        <v>646953</v>
      </c>
      <c r="E314" s="11">
        <f t="shared" si="73"/>
        <v>8</v>
      </c>
      <c r="F314" s="12">
        <f t="shared" si="74"/>
        <v>0.1439765598</v>
      </c>
      <c r="G314" s="9">
        <f>COUNTIFS(PENSION!I:I,$G$18,PENSION!A:A,"8/12/24")</f>
        <v>0</v>
      </c>
      <c r="H314" s="11">
        <f>COUNTIFS(PENSION!I:I,$H$18,PENSION!A:A,"8/12/24")</f>
        <v>8</v>
      </c>
      <c r="I314" s="11">
        <f>COUNTIFS(PENSION!I:I,$I$18,PENSION!A:A,"8/12/24")</f>
        <v>28</v>
      </c>
      <c r="J314" s="2"/>
      <c r="K314" s="2"/>
      <c r="L314" s="2"/>
      <c r="M314" s="2"/>
      <c r="N314" s="2"/>
      <c r="O314" s="2"/>
      <c r="P314" s="2"/>
      <c r="Q314" s="2"/>
      <c r="R314" s="2"/>
      <c r="S314" s="2"/>
      <c r="T314" s="2"/>
      <c r="U314" s="2"/>
      <c r="V314" s="2"/>
      <c r="W314" s="2"/>
      <c r="X314" s="2"/>
      <c r="Y314" s="2"/>
      <c r="Z314" s="2"/>
      <c r="AA314" s="2"/>
      <c r="AB314" s="2"/>
    </row>
    <row r="315">
      <c r="A315" s="7" t="s">
        <v>13</v>
      </c>
      <c r="B315" s="8">
        <f>SUMIFS(KITENGELA!F:F,KITENGELA!A:A,"8/5/2024")</f>
        <v>5274444.42</v>
      </c>
      <c r="C315" s="11">
        <f>COUNTIFS(KITENGELA!A:A,"8/12/24")</f>
        <v>42</v>
      </c>
      <c r="D315" s="10">
        <f>SUMIFS(KITENGELA!G:G,KITENGELA!A:A,"8/12/24")</f>
        <v>1172661</v>
      </c>
      <c r="E315" s="11">
        <f t="shared" si="73"/>
        <v>7</v>
      </c>
      <c r="F315" s="12">
        <f t="shared" si="74"/>
        <v>0.2223288192</v>
      </c>
      <c r="G315" s="11">
        <f>COUNTIFS(KITENGELA!I:I,$G$18,KITENGELA!A:A,"8/12/24")</f>
        <v>3</v>
      </c>
      <c r="H315" s="11">
        <f>COUNTIFS(KITENGELA!I:I,$H$18,KITENGELA!A:A,"8/12/24")</f>
        <v>4</v>
      </c>
      <c r="I315" s="11">
        <f>COUNTIFS(KITENGELA!I:I,$I$18,KITENGELA!A:A,"8/12/24")</f>
        <v>35</v>
      </c>
      <c r="J315" s="2"/>
      <c r="K315" s="2"/>
      <c r="L315" s="2"/>
      <c r="M315" s="2"/>
      <c r="N315" s="2"/>
      <c r="O315" s="2"/>
      <c r="P315" s="2"/>
      <c r="Q315" s="2"/>
      <c r="R315" s="2"/>
      <c r="S315" s="2"/>
      <c r="T315" s="2"/>
      <c r="U315" s="2"/>
      <c r="V315" s="2"/>
      <c r="W315" s="2"/>
      <c r="X315" s="2"/>
      <c r="Y315" s="2"/>
      <c r="Z315" s="2"/>
      <c r="AA315" s="2"/>
      <c r="AB315" s="2"/>
    </row>
    <row r="316">
      <c r="A316" s="7" t="s">
        <v>14</v>
      </c>
      <c r="B316" s="8">
        <f>SUMIFS(ELDORET!F:F,ELDORET!A:A,"8/12/24")</f>
        <v>1246069.15</v>
      </c>
      <c r="C316" s="11">
        <f>COUNTIFS(ELDORET!A:A,"8/12/24")</f>
        <v>22</v>
      </c>
      <c r="D316" s="10">
        <f>SUMIFS(ELDORET!G:G,ELDORET!A:A,"8/12/24")</f>
        <v>394818</v>
      </c>
      <c r="E316" s="11">
        <f t="shared" si="73"/>
        <v>5</v>
      </c>
      <c r="F316" s="12">
        <f t="shared" si="74"/>
        <v>0.3168507944</v>
      </c>
      <c r="G316" s="11">
        <f>COUNTIFS(ELDORET!I:I,$G$18,ELDORET!A:A,"8/12/24")</f>
        <v>1</v>
      </c>
      <c r="H316" s="11">
        <f>COUNTIFS(ELDORET!I:I,$H$18,ELDORET!A:A,"8/12/24")</f>
        <v>4</v>
      </c>
      <c r="I316" s="11">
        <f>COUNTIFS(ELDORET!I:I,$I$18,ELDORET!A:A,"8/12/24")</f>
        <v>17</v>
      </c>
      <c r="J316" s="2"/>
      <c r="K316" s="2"/>
      <c r="L316" s="2"/>
      <c r="M316" s="2"/>
      <c r="N316" s="2"/>
      <c r="O316" s="2"/>
      <c r="P316" s="2"/>
      <c r="Q316" s="2"/>
      <c r="R316" s="2"/>
      <c r="S316" s="2"/>
      <c r="T316" s="2"/>
      <c r="U316" s="2"/>
      <c r="V316" s="2"/>
      <c r="W316" s="2"/>
      <c r="X316" s="2"/>
      <c r="Y316" s="2"/>
      <c r="Z316" s="2"/>
      <c r="AA316" s="2"/>
      <c r="AB316" s="2"/>
    </row>
    <row r="317">
      <c r="A317" s="7" t="s">
        <v>15</v>
      </c>
      <c r="B317" s="8">
        <f>SUMIFS(NAKURU!F:F,NAKURU!A:A,"8/12/24")</f>
        <v>622356.58</v>
      </c>
      <c r="C317" s="11">
        <f>COUNTIFS(NAKURU!A:A,"8/12/24")</f>
        <v>11</v>
      </c>
      <c r="D317" s="10">
        <f>SUMIFS(NAKURU!G:G,NAKURU!A:A,"8/12/24")</f>
        <v>195000</v>
      </c>
      <c r="E317" s="11">
        <f t="shared" si="73"/>
        <v>4</v>
      </c>
      <c r="F317" s="12">
        <f t="shared" si="74"/>
        <v>0.3133252002</v>
      </c>
      <c r="G317" s="9">
        <f>COUNTIFS(NAKURU!I:I,$G$18,NAKURU!A:A,"8/12/24")</f>
        <v>2</v>
      </c>
      <c r="H317" s="11">
        <f>COUNTIFS(NAKURU!I:I,$H$18,NAKURU!A:A,"8/12/24")</f>
        <v>2</v>
      </c>
      <c r="I317" s="11">
        <f>COUNTIFS(NAKURU!I:I,$I$18,NAKURU!A:A,"8/12/24")</f>
        <v>7</v>
      </c>
      <c r="J317" s="2"/>
      <c r="K317" s="2"/>
      <c r="L317" s="2"/>
      <c r="M317" s="2"/>
      <c r="N317" s="2"/>
      <c r="O317" s="2"/>
      <c r="P317" s="2"/>
      <c r="Q317" s="2"/>
      <c r="R317" s="2"/>
      <c r="S317" s="2"/>
      <c r="T317" s="2"/>
      <c r="U317" s="2"/>
      <c r="V317" s="2"/>
      <c r="W317" s="2"/>
      <c r="X317" s="2"/>
      <c r="Y317" s="2"/>
      <c r="Z317" s="2"/>
      <c r="AA317" s="2"/>
      <c r="AB317" s="2"/>
    </row>
    <row r="318">
      <c r="A318" s="7" t="s">
        <v>16</v>
      </c>
      <c r="B318" s="8">
        <f>SUMIFS(HOMABAY!F:F,HOMABAY!A:A,"8/12/24")</f>
        <v>254470</v>
      </c>
      <c r="C318" s="11">
        <f>COUNTIFS(HOMABAY!A:A,"8/12/24")</f>
        <v>4</v>
      </c>
      <c r="D318" s="10">
        <f>SUMIFS(HOMABAY!G:G,HOMABAY!A:A,"8/12/24")</f>
        <v>148470</v>
      </c>
      <c r="E318" s="11">
        <f t="shared" si="73"/>
        <v>3</v>
      </c>
      <c r="F318" s="12">
        <f t="shared" si="74"/>
        <v>0.5834479506</v>
      </c>
      <c r="G318" s="9">
        <f>COUNTIFS(HOMABAY!K:K,$G$18,HOMABAY!A:A,"8/12/24")</f>
        <v>0</v>
      </c>
      <c r="H318" s="11">
        <f>COUNTIFS(HOMABAY!K:K,$H$18,HOMABAY!A:A,"8/12/24")</f>
        <v>3</v>
      </c>
      <c r="I318" s="11">
        <f>COUNTIFS(HOMABAY!K:K,$I$18,HOMABAY!A:A,"8/12/24")</f>
        <v>1</v>
      </c>
      <c r="J318" s="2"/>
      <c r="K318" s="2"/>
      <c r="L318" s="2"/>
      <c r="M318" s="2"/>
      <c r="N318" s="2"/>
      <c r="O318" s="2"/>
      <c r="P318" s="2"/>
      <c r="Q318" s="2"/>
      <c r="R318" s="2"/>
      <c r="S318" s="2"/>
      <c r="T318" s="2"/>
      <c r="U318" s="2"/>
      <c r="V318" s="2"/>
      <c r="W318" s="2"/>
      <c r="X318" s="2"/>
      <c r="Y318" s="2"/>
      <c r="Z318" s="2"/>
      <c r="AA318" s="2"/>
      <c r="AB318" s="2"/>
    </row>
    <row r="319">
      <c r="A319" s="7" t="s">
        <v>17</v>
      </c>
      <c r="B319" s="8">
        <f>SUMIFS(MOMBASA!F:F,MOMBASA!A:A,"8/12/24")</f>
        <v>1577877.75</v>
      </c>
      <c r="C319" s="11">
        <f>COUNTIFS(MOMBASA!A:A,"8/12/24")</f>
        <v>23</v>
      </c>
      <c r="D319" s="27">
        <f>SUMIFS(MOMBASA!G:G,MOMBASA!A:A,"8/12/24")</f>
        <v>379458</v>
      </c>
      <c r="E319" s="11">
        <f t="shared" si="73"/>
        <v>4</v>
      </c>
      <c r="F319" s="12">
        <f t="shared" si="74"/>
        <v>0.2404863114</v>
      </c>
      <c r="G319" s="9">
        <f>COUNTIFS(MOMBASA!I:I,$G$18,MOMBASA!A:A,"8/12/24")</f>
        <v>1</v>
      </c>
      <c r="H319" s="11">
        <f>COUNTIFS(MOMBASA!I:I,$H$18,MOMBASA!A:A,"8/12/24")</f>
        <v>3</v>
      </c>
      <c r="I319" s="11">
        <f>COUNTIFS(MOMBASA!I:I,$I$18,MOMBASA!A:A,"8/12/24")</f>
        <v>19</v>
      </c>
      <c r="J319" s="2"/>
      <c r="K319" s="2"/>
      <c r="L319" s="2"/>
      <c r="M319" s="2"/>
      <c r="N319" s="2"/>
      <c r="O319" s="2"/>
      <c r="P319" s="2"/>
      <c r="Q319" s="2"/>
      <c r="R319" s="2"/>
      <c r="S319" s="2"/>
      <c r="T319" s="2"/>
      <c r="U319" s="2"/>
      <c r="V319" s="2"/>
      <c r="W319" s="2"/>
      <c r="X319" s="2"/>
      <c r="Y319" s="2"/>
      <c r="Z319" s="2"/>
      <c r="AA319" s="2"/>
      <c r="AB319" s="2"/>
    </row>
    <row r="320">
      <c r="A320" s="7" t="s">
        <v>18</v>
      </c>
      <c r="B320" s="8">
        <f>SUMIFS(KISUMU!F:F,KISUMU!A:A,"8/12/24")</f>
        <v>1615399.2</v>
      </c>
      <c r="C320" s="11">
        <f>COUNTIFS(KISUMU!A:A,"8/12/24")</f>
        <v>25</v>
      </c>
      <c r="D320" s="10">
        <f>SUMIFS(KISUMU!G:G,KISUMU!A:A,"8/12/24")</f>
        <v>153089</v>
      </c>
      <c r="E320" s="11">
        <f t="shared" si="73"/>
        <v>7</v>
      </c>
      <c r="F320" s="12">
        <f t="shared" si="74"/>
        <v>0.09476852533</v>
      </c>
      <c r="G320" s="9">
        <f>COUNTIFS(KISUMU!I:I,$G$18,KISUMU!A:A,"8/12/24")</f>
        <v>5</v>
      </c>
      <c r="H320" s="11">
        <f>COUNTIFS(KISUMU!I:I,$H$18,KISUMU!A:A,"8/12/24")</f>
        <v>2</v>
      </c>
      <c r="I320" s="11">
        <f>COUNTIFS(KISUMU!I:I,$I$18,KISUMU!A:A,"8/12/24")</f>
        <v>18</v>
      </c>
      <c r="J320" s="2"/>
      <c r="K320" s="2"/>
      <c r="L320" s="2"/>
      <c r="M320" s="2"/>
      <c r="N320" s="2"/>
      <c r="O320" s="2"/>
      <c r="P320" s="2"/>
      <c r="Q320" s="2"/>
      <c r="R320" s="2"/>
      <c r="S320" s="2"/>
      <c r="T320" s="2"/>
      <c r="U320" s="2"/>
      <c r="V320" s="2"/>
      <c r="W320" s="2"/>
      <c r="X320" s="2"/>
      <c r="Y320" s="2"/>
      <c r="Z320" s="2"/>
      <c r="AA320" s="2"/>
      <c r="AB320" s="2"/>
    </row>
    <row r="321">
      <c r="A321" s="7" t="s">
        <v>19</v>
      </c>
      <c r="B321" s="8">
        <f>SUMIFS(VOI!F:F,VOI!A:A,"8/12/24")</f>
        <v>193617</v>
      </c>
      <c r="C321" s="11">
        <f>COUNTIFS(VOI!A:A,"8/12/24")</f>
        <v>7</v>
      </c>
      <c r="D321" s="10">
        <f>SUMIFS(VOI!G:G,VOI!A:A,"8/12/24")</f>
        <v>15000</v>
      </c>
      <c r="E321" s="11">
        <f t="shared" si="73"/>
        <v>1</v>
      </c>
      <c r="F321" s="12">
        <f t="shared" si="74"/>
        <v>0.07747253599</v>
      </c>
      <c r="G321" s="9">
        <f>COUNTIFS(VOI!H:H,$G$18,VOI!A:A,"8/12/24")</f>
        <v>0</v>
      </c>
      <c r="H321" s="11">
        <f>COUNTIFS(VOI!H:H,$H$18,VOI!A:A,"8/12/24")</f>
        <v>1</v>
      </c>
      <c r="I321" s="11">
        <f>COUNTIFS(VOI!H:H,$I$18,VOI!A:A,"8/12/24")</f>
        <v>6</v>
      </c>
      <c r="J321" s="2"/>
      <c r="K321" s="2"/>
      <c r="L321" s="2"/>
      <c r="M321" s="2"/>
      <c r="N321" s="2"/>
      <c r="O321" s="2"/>
      <c r="P321" s="2"/>
      <c r="Q321" s="2"/>
      <c r="R321" s="2"/>
      <c r="S321" s="2"/>
      <c r="T321" s="2"/>
      <c r="U321" s="2"/>
      <c r="V321" s="2"/>
      <c r="W321" s="2"/>
      <c r="X321" s="2"/>
      <c r="Y321" s="2"/>
      <c r="Z321" s="2"/>
      <c r="AA321" s="2"/>
      <c r="AB321" s="2"/>
    </row>
    <row r="322">
      <c r="A322" s="7" t="s">
        <v>20</v>
      </c>
      <c r="B322" s="8">
        <f>SUMIFS(THIKA!F:F,THIKA!A:A,"8/12/24")</f>
        <v>888202.78</v>
      </c>
      <c r="C322" s="11">
        <f>COUNTIFS(THIKA!A:A,"8/12/24")</f>
        <v>18</v>
      </c>
      <c r="D322" s="10">
        <f>SUMIFS(THIKA!G:G,THIKA!A:A,"8/12/24")</f>
        <v>31000</v>
      </c>
      <c r="E322" s="11">
        <f t="shared" si="73"/>
        <v>2</v>
      </c>
      <c r="F322" s="12">
        <f t="shared" si="74"/>
        <v>0.03490193985</v>
      </c>
      <c r="G322" s="9">
        <f>COUNTIFS(THIKA!I:I,$G$18,THIKA!A:A,"8/12/24")</f>
        <v>0</v>
      </c>
      <c r="H322" s="11">
        <f>COUNTIFS(THIKA!I:I,$H$18,THIKA!A:A,"8/12/24")</f>
        <v>2</v>
      </c>
      <c r="I322" s="11">
        <f>COUNTIFS(THIKA!I:I,$I$18,THIKA!A:A,"8/12/24")</f>
        <v>16</v>
      </c>
      <c r="J322" s="2"/>
      <c r="K322" s="2"/>
      <c r="L322" s="2"/>
      <c r="M322" s="2"/>
      <c r="N322" s="2"/>
      <c r="O322" s="2"/>
      <c r="P322" s="2"/>
      <c r="Q322" s="2"/>
      <c r="R322" s="2"/>
      <c r="S322" s="2"/>
      <c r="T322" s="2"/>
      <c r="U322" s="2"/>
      <c r="V322" s="2"/>
      <c r="W322" s="2"/>
      <c r="X322" s="2"/>
      <c r="Y322" s="2"/>
      <c r="Z322" s="2"/>
      <c r="AA322" s="2"/>
      <c r="AB322" s="2"/>
    </row>
    <row r="323">
      <c r="A323" s="7" t="s">
        <v>21</v>
      </c>
      <c r="B323" s="8">
        <f>SUMIFS(KITUI!F:F,KITUI!A:A,"8/12/24")</f>
        <v>55775</v>
      </c>
      <c r="C323" s="11">
        <f>COUNTIFS(KITUI!A:A,"8/12/24")</f>
        <v>2</v>
      </c>
      <c r="D323" s="10">
        <f>SUMIFS(KITUI!G:G,KITUI!A:A,"8/12/24")</f>
        <v>1000</v>
      </c>
      <c r="E323" s="11">
        <f t="shared" si="73"/>
        <v>1</v>
      </c>
      <c r="F323" s="12">
        <f t="shared" si="74"/>
        <v>0.01792917974</v>
      </c>
      <c r="G323" s="9">
        <f>COUNTIFS(KITUI!I:I,$G$18,KITUI!A:A,"8/12/24")</f>
        <v>0</v>
      </c>
      <c r="H323" s="11">
        <f>COUNTIFS(KITUI!I:I,$H$18,KITUI!A:A,"8/12/24")</f>
        <v>1</v>
      </c>
      <c r="I323" s="11">
        <f>COUNTIFS(KITUI!I:I,$I$18,KITUI!A:A,"8/12/24")</f>
        <v>1</v>
      </c>
      <c r="J323" s="2"/>
      <c r="K323" s="2"/>
      <c r="L323" s="2"/>
      <c r="M323" s="2"/>
      <c r="N323" s="2"/>
      <c r="O323" s="2"/>
      <c r="P323" s="2"/>
      <c r="Q323" s="2"/>
      <c r="R323" s="2"/>
      <c r="S323" s="2"/>
      <c r="T323" s="2"/>
      <c r="U323" s="2"/>
      <c r="V323" s="2"/>
      <c r="W323" s="2"/>
      <c r="X323" s="2"/>
      <c r="Y323" s="2"/>
      <c r="Z323" s="2"/>
      <c r="AA323" s="2"/>
      <c r="AB323" s="2"/>
    </row>
    <row r="324">
      <c r="A324" s="15" t="s">
        <v>22</v>
      </c>
      <c r="B324" s="8">
        <f>SUMIFS(MACHAKOS!F:F,MACHAKOS!A:A,"8/12/24")</f>
        <v>273354</v>
      </c>
      <c r="C324" s="11">
        <f>COUNTIFS(MACHAKOS!A:A,"8/12/24")</f>
        <v>4</v>
      </c>
      <c r="D324" s="10">
        <f>SUMIFS(MACHAKOS!G:G,MACHAKOS!A:A,"8/12/24")</f>
        <v>46368</v>
      </c>
      <c r="E324" s="11">
        <f t="shared" si="73"/>
        <v>1</v>
      </c>
      <c r="F324" s="12">
        <f t="shared" si="74"/>
        <v>0.169626199</v>
      </c>
      <c r="G324" s="9">
        <f>COUNTIFS(MACHAKOS!I:I,$G$18,MACHAKOS!A:A,"8/12/24")</f>
        <v>0</v>
      </c>
      <c r="H324" s="11">
        <f>COUNTIFS(MACHAKOS!I:I,$H$18,MACHAKOS!A:A,"8/12/24")</f>
        <v>1</v>
      </c>
      <c r="I324" s="11">
        <f>COUNTIFS(MACHAKOS!I:I,$I$18,MACHAKOS!A:A,"8/12/24")</f>
        <v>3</v>
      </c>
      <c r="J324" s="2"/>
      <c r="K324" s="2"/>
      <c r="L324" s="2"/>
      <c r="M324" s="2"/>
      <c r="N324" s="2"/>
      <c r="O324" s="2"/>
      <c r="P324" s="2"/>
      <c r="Q324" s="2"/>
      <c r="R324" s="2"/>
      <c r="S324" s="2"/>
      <c r="T324" s="2"/>
      <c r="U324" s="2"/>
      <c r="V324" s="2"/>
      <c r="W324" s="2"/>
      <c r="X324" s="2"/>
      <c r="Y324" s="2"/>
      <c r="Z324" s="2"/>
      <c r="AA324" s="2"/>
      <c r="AB324" s="2"/>
    </row>
    <row r="325">
      <c r="A325" s="1" t="s">
        <v>32</v>
      </c>
      <c r="B325" s="30">
        <v>3000000.0</v>
      </c>
      <c r="C325" s="28"/>
      <c r="D325" s="10"/>
      <c r="E325" s="28">
        <v>0.0</v>
      </c>
      <c r="F325" s="12">
        <f t="shared" si="74"/>
        <v>0</v>
      </c>
      <c r="G325" s="9">
        <f>COUNTIFS(MACHAKOS!I:I,$G$18,MACHAKOS!A:A,"8/12/24")</f>
        <v>0</v>
      </c>
      <c r="H325" s="11">
        <f>COUNTIFS(MACHAKOS!I:I,$H$18,MACHAKOS!A:A,"8/12/24")</f>
        <v>1</v>
      </c>
      <c r="I325" s="11">
        <f>COUNTIFS(MACHAKOS!I:I,$I$18,MACHAKOS!A:A,"8/12/24")</f>
        <v>3</v>
      </c>
      <c r="J325" s="2"/>
      <c r="K325" s="2"/>
      <c r="L325" s="2"/>
      <c r="M325" s="2"/>
      <c r="N325" s="2"/>
      <c r="O325" s="2"/>
      <c r="P325" s="2"/>
      <c r="Q325" s="2"/>
      <c r="R325" s="2"/>
      <c r="S325" s="2"/>
      <c r="T325" s="2"/>
      <c r="U325" s="2"/>
      <c r="V325" s="2"/>
      <c r="W325" s="2"/>
      <c r="X325" s="2"/>
      <c r="Y325" s="2"/>
      <c r="Z325" s="2"/>
      <c r="AA325" s="2"/>
      <c r="AB325" s="2"/>
    </row>
    <row r="326">
      <c r="A326" s="1" t="s">
        <v>31</v>
      </c>
      <c r="B326" s="25">
        <v>6300000.0</v>
      </c>
      <c r="C326" s="11"/>
      <c r="D326" s="29"/>
      <c r="E326" s="11"/>
      <c r="F326" s="12"/>
      <c r="G326" s="9"/>
      <c r="H326" s="11"/>
      <c r="I326" s="11"/>
      <c r="J326" s="2"/>
      <c r="K326" s="2"/>
      <c r="L326" s="2"/>
      <c r="M326" s="2"/>
      <c r="N326" s="2"/>
      <c r="O326" s="2"/>
      <c r="P326" s="2"/>
      <c r="Q326" s="2"/>
      <c r="R326" s="2"/>
      <c r="S326" s="2"/>
      <c r="T326" s="2"/>
      <c r="U326" s="2"/>
      <c r="V326" s="2"/>
      <c r="W326" s="2"/>
      <c r="X326" s="2"/>
      <c r="Y326" s="2"/>
      <c r="Z326" s="2"/>
      <c r="AA326" s="2"/>
      <c r="AB326" s="2"/>
    </row>
    <row r="327">
      <c r="A327" s="16" t="s">
        <v>23</v>
      </c>
      <c r="B327" s="17">
        <f t="shared" ref="B327:D327" si="75">SUM(B312:B326)</f>
        <v>40620798.82</v>
      </c>
      <c r="C327" s="18">
        <f t="shared" si="75"/>
        <v>256</v>
      </c>
      <c r="D327" s="19">
        <f t="shared" si="75"/>
        <v>5058914.02</v>
      </c>
      <c r="E327" s="18">
        <f>SUM(E312:E324)</f>
        <v>62</v>
      </c>
      <c r="F327" s="20">
        <f>D327/B327</f>
        <v>0.1245399935</v>
      </c>
      <c r="G327" s="21">
        <f t="shared" ref="G327:I327" si="76">SUM(G312:G326)</f>
        <v>16</v>
      </c>
      <c r="H327" s="21">
        <f t="shared" si="76"/>
        <v>47</v>
      </c>
      <c r="I327" s="21">
        <f t="shared" si="76"/>
        <v>197</v>
      </c>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3" t="s">
        <v>1</v>
      </c>
      <c r="B329" s="4" t="s">
        <v>33</v>
      </c>
      <c r="C329" s="4" t="s">
        <v>34</v>
      </c>
      <c r="D329" s="5" t="s">
        <v>2</v>
      </c>
      <c r="E329" s="5" t="s">
        <v>3</v>
      </c>
      <c r="F329" s="5" t="s">
        <v>4</v>
      </c>
      <c r="G329" s="5" t="s">
        <v>5</v>
      </c>
      <c r="H329" s="26" t="s">
        <v>6</v>
      </c>
      <c r="I329" s="26" t="s">
        <v>7</v>
      </c>
      <c r="J329" s="26" t="s">
        <v>8</v>
      </c>
      <c r="K329" s="26" t="s">
        <v>9</v>
      </c>
      <c r="L329" s="2"/>
      <c r="M329" s="2"/>
      <c r="N329" s="2"/>
      <c r="O329" s="2"/>
      <c r="P329" s="2"/>
      <c r="Q329" s="2"/>
      <c r="R329" s="2"/>
      <c r="S329" s="2"/>
      <c r="T329" s="2"/>
      <c r="U329" s="2"/>
      <c r="V329" s="2"/>
      <c r="W329" s="2"/>
      <c r="X329" s="2"/>
      <c r="Y329" s="2"/>
      <c r="Z329" s="2"/>
      <c r="AA329" s="2"/>
      <c r="AB329" s="2"/>
      <c r="AC329" s="2"/>
      <c r="AD329" s="2"/>
    </row>
    <row r="330">
      <c r="A330" s="7" t="s">
        <v>10</v>
      </c>
      <c r="B330" s="8">
        <v>8.579016727E8</v>
      </c>
      <c r="C330" s="31">
        <v>397.0</v>
      </c>
      <c r="D330" s="8">
        <f>SUMIFS(ECOBANK!F:F,ECOBANK!A:A,"8/13")</f>
        <v>6526106.07</v>
      </c>
      <c r="E330" s="9">
        <f>COUNTIFS(ECOBANK!A:A,"8/13")</f>
        <v>13</v>
      </c>
      <c r="F330" s="10">
        <f>SUMIFS(ECOBANK!G:G,ECOBANK!A:A,"8/13")</f>
        <v>172512</v>
      </c>
      <c r="G330" s="11">
        <f t="shared" ref="G330:G342" si="77">I330+J330</f>
        <v>3</v>
      </c>
      <c r="H330" s="12">
        <f t="shared" ref="H330:H343" si="78">iferror(F330/D330,0)</f>
        <v>0.02643413977</v>
      </c>
      <c r="I330" s="9">
        <f>COUNTIFS(ECOBANK!I:I,$G$18,ECOBANK!A:A,"8/13")</f>
        <v>1</v>
      </c>
      <c r="J330" s="11">
        <f>COUNTIFS(ECOBANK!I:I,$H$18,ECOBANK!A:A,"8/13")</f>
        <v>2</v>
      </c>
      <c r="K330" s="11">
        <f>COUNTIFS(ECOBANK!I:I,$I$18,ECOBANK!A:A,"8/13")</f>
        <v>10</v>
      </c>
      <c r="L330" s="2"/>
      <c r="M330" s="2"/>
      <c r="N330" s="2"/>
      <c r="O330" s="2"/>
      <c r="P330" s="2"/>
      <c r="Q330" s="2"/>
      <c r="R330" s="2"/>
      <c r="S330" s="2"/>
      <c r="T330" s="2"/>
      <c r="U330" s="2"/>
      <c r="V330" s="2"/>
      <c r="W330" s="2"/>
      <c r="X330" s="2"/>
      <c r="Y330" s="2"/>
      <c r="Z330" s="2"/>
      <c r="AA330" s="2"/>
      <c r="AB330" s="2"/>
      <c r="AC330" s="2"/>
      <c r="AD330" s="2"/>
    </row>
    <row r="331">
      <c r="A331" s="7" t="s">
        <v>24</v>
      </c>
      <c r="B331" s="8">
        <v>6.1565659248E8</v>
      </c>
      <c r="C331" s="31">
        <v>251.0</v>
      </c>
      <c r="D331" s="8">
        <f>SUMIFS('TRADE CENTER'!F:F,'TRADE CENTER'!A:A,"8/13")</f>
        <v>9285990.59</v>
      </c>
      <c r="E331" s="11">
        <f>COUNTIFS('TRADE CENTER'!A:A,"8/13")</f>
        <v>40</v>
      </c>
      <c r="F331" s="10">
        <f>SUMIFS('TRADE CENTER'!G:G,'TRADE CENTER'!A:A,"8/13")</f>
        <v>1269924.48</v>
      </c>
      <c r="G331" s="11">
        <f t="shared" si="77"/>
        <v>11</v>
      </c>
      <c r="H331" s="12">
        <f t="shared" si="78"/>
        <v>0.1367570285</v>
      </c>
      <c r="I331" s="11">
        <f>COUNTIFS('TRADE CENTER'!I:I,$G$18,'TRADE CENTER'!A:A,"8/13")</f>
        <v>7</v>
      </c>
      <c r="J331" s="11">
        <f>COUNTIFS('TRADE CENTER'!I:I,$H$18,'TRADE CENTER'!A:A,"8/13")</f>
        <v>4</v>
      </c>
      <c r="K331" s="11">
        <f>COUNTIFS('TRADE CENTER'!I:I,$I$18,'TRADE CENTER'!A:A,"8/13")</f>
        <v>28</v>
      </c>
      <c r="L331" s="2"/>
      <c r="M331" s="2"/>
      <c r="N331" s="2"/>
      <c r="O331" s="2"/>
      <c r="P331" s="2"/>
      <c r="Q331" s="2"/>
      <c r="R331" s="2"/>
      <c r="S331" s="2"/>
      <c r="T331" s="2"/>
      <c r="U331" s="2"/>
      <c r="V331" s="2"/>
      <c r="W331" s="2"/>
      <c r="X331" s="2"/>
      <c r="Y331" s="2"/>
      <c r="Z331" s="2"/>
      <c r="AA331" s="2"/>
      <c r="AB331" s="2"/>
      <c r="AC331" s="2"/>
      <c r="AD331" s="2"/>
    </row>
    <row r="332">
      <c r="A332" s="7" t="s">
        <v>12</v>
      </c>
      <c r="B332" s="8">
        <v>2.645619689E8</v>
      </c>
      <c r="C332" s="31">
        <v>395.0</v>
      </c>
      <c r="D332" s="8">
        <f>SUMIFS(PENSION!F:F,PENSION!A:A,"8/13/2024")</f>
        <v>10143121.62</v>
      </c>
      <c r="E332" s="11">
        <f>COUNTIFS(PENSION!A:A,"8/13")</f>
        <v>40</v>
      </c>
      <c r="F332" s="10">
        <f>SUMIFS(PENSION!G:G,PENSION!A:A,"8/13/2024")</f>
        <v>978013</v>
      </c>
      <c r="G332" s="11">
        <f t="shared" si="77"/>
        <v>13</v>
      </c>
      <c r="H332" s="12">
        <f t="shared" si="78"/>
        <v>0.09642130266</v>
      </c>
      <c r="I332" s="9">
        <f>COUNTIFS(PENSION!I:I,$G$18,PENSION!A:A,"8/13")</f>
        <v>3</v>
      </c>
      <c r="J332" s="11">
        <f>COUNTIFS(PENSION!I:I,$H$18,PENSION!A:A,"8/13")</f>
        <v>10</v>
      </c>
      <c r="K332" s="11">
        <f>COUNTIFS(PENSION!I:I,$I$18,PENSION!A:A,"8/13")</f>
        <v>27</v>
      </c>
      <c r="L332" s="2"/>
      <c r="M332" s="2"/>
      <c r="N332" s="2"/>
      <c r="O332" s="2"/>
      <c r="P332" s="2"/>
      <c r="Q332" s="2"/>
      <c r="R332" s="2"/>
      <c r="S332" s="2"/>
      <c r="T332" s="2"/>
      <c r="U332" s="2"/>
      <c r="V332" s="2"/>
      <c r="W332" s="2"/>
      <c r="X332" s="2"/>
      <c r="Y332" s="2"/>
      <c r="Z332" s="2"/>
      <c r="AA332" s="2"/>
      <c r="AB332" s="2"/>
      <c r="AC332" s="2"/>
      <c r="AD332" s="2"/>
    </row>
    <row r="333">
      <c r="A333" s="7" t="s">
        <v>13</v>
      </c>
      <c r="B333" s="8">
        <v>1.1070409073E8</v>
      </c>
      <c r="C333" s="31">
        <v>309.0</v>
      </c>
      <c r="D333" s="8">
        <f>SUMIFS(KITENGELA!F:F,KITENGELA!A:A,"8/13/2024")</f>
        <v>6176611.96</v>
      </c>
      <c r="E333" s="11">
        <f>COUNTIFS(KITENGELA!A:A,"8/13")</f>
        <v>45</v>
      </c>
      <c r="F333" s="10">
        <f>SUMIFS(KITENGELA!G:G,KITENGELA!A:A,"8/13")</f>
        <v>189937</v>
      </c>
      <c r="G333" s="11">
        <f t="shared" si="77"/>
        <v>6</v>
      </c>
      <c r="H333" s="12">
        <f t="shared" si="78"/>
        <v>0.03075100091</v>
      </c>
      <c r="I333" s="11">
        <f>COUNTIFS(KITENGELA!I:I,$G$18,KITENGELA!A:A,"8/13")</f>
        <v>2</v>
      </c>
      <c r="J333" s="11">
        <f>COUNTIFS(KITENGELA!I:I,$H$18,KITENGELA!A:A,"8/13")</f>
        <v>4</v>
      </c>
      <c r="K333" s="11">
        <f>COUNTIFS(KITENGELA!I:I,$I$18,KITENGELA!A:A,"8/13")</f>
        <v>39</v>
      </c>
      <c r="L333" s="2"/>
      <c r="M333" s="2"/>
      <c r="N333" s="2"/>
      <c r="O333" s="2"/>
      <c r="P333" s="2"/>
      <c r="Q333" s="2"/>
      <c r="R333" s="2"/>
      <c r="S333" s="2"/>
      <c r="T333" s="2"/>
      <c r="U333" s="2"/>
      <c r="V333" s="2"/>
      <c r="W333" s="2"/>
      <c r="X333" s="2"/>
      <c r="Y333" s="2"/>
      <c r="Z333" s="2"/>
      <c r="AA333" s="2"/>
      <c r="AB333" s="2"/>
      <c r="AC333" s="2"/>
      <c r="AD333" s="2"/>
    </row>
    <row r="334">
      <c r="A334" s="7" t="s">
        <v>14</v>
      </c>
      <c r="B334" s="8">
        <v>1.5912077152E8</v>
      </c>
      <c r="C334" s="31">
        <v>167.0</v>
      </c>
      <c r="D334" s="8">
        <f>SUMIFS(ELDORET!F:F,ELDORET!A:A,"8/13")</f>
        <v>853601.15</v>
      </c>
      <c r="E334" s="11">
        <f>COUNTIFS(ELDORET!A:A,"8/13")</f>
        <v>19</v>
      </c>
      <c r="F334" s="10">
        <f>SUMIFS(ELDORET!G:G,ELDORET!A:A,"8/13")</f>
        <v>41000</v>
      </c>
      <c r="G334" s="11">
        <f t="shared" si="77"/>
        <v>4</v>
      </c>
      <c r="H334" s="12">
        <f t="shared" si="78"/>
        <v>0.04803180033</v>
      </c>
      <c r="I334" s="11">
        <f>COUNTIFS(ELDORET!I:I,$G$18,ELDORET!A:A,"8/13")</f>
        <v>2</v>
      </c>
      <c r="J334" s="11">
        <f>COUNTIFS(ELDORET!I:I,$H$18,ELDORET!A:A,"8/13")</f>
        <v>2</v>
      </c>
      <c r="K334" s="11">
        <f>COUNTIFS(ELDORET!I:I,$I$18,ELDORET!A:A,"8/13")</f>
        <v>15</v>
      </c>
      <c r="L334" s="2"/>
      <c r="M334" s="2"/>
      <c r="N334" s="2"/>
      <c r="O334" s="2"/>
      <c r="P334" s="2"/>
      <c r="Q334" s="2"/>
      <c r="R334" s="2"/>
      <c r="S334" s="2"/>
      <c r="T334" s="2"/>
      <c r="U334" s="2"/>
      <c r="V334" s="2"/>
      <c r="W334" s="2"/>
      <c r="X334" s="2"/>
      <c r="Y334" s="2"/>
      <c r="Z334" s="2"/>
      <c r="AA334" s="2"/>
      <c r="AB334" s="2"/>
      <c r="AC334" s="2"/>
      <c r="AD334" s="2"/>
    </row>
    <row r="335">
      <c r="A335" s="7" t="s">
        <v>15</v>
      </c>
      <c r="B335" s="8">
        <v>1.632384223E7</v>
      </c>
      <c r="C335" s="31">
        <v>26.0</v>
      </c>
      <c r="D335" s="8">
        <f>SUMIFS(NAKURU!F:F,NAKURU!A:A,"8/13")</f>
        <v>392830</v>
      </c>
      <c r="E335" s="11">
        <f>COUNTIFS(NAKURU!A:A,"8/13")</f>
        <v>7</v>
      </c>
      <c r="F335" s="10">
        <f>SUMIFS(NAKURU!G:G,NAKURU!A:A,"8/13")</f>
        <v>24500</v>
      </c>
      <c r="G335" s="11">
        <f t="shared" si="77"/>
        <v>1</v>
      </c>
      <c r="H335" s="12">
        <f t="shared" si="78"/>
        <v>0.06236794542</v>
      </c>
      <c r="I335" s="9">
        <f>COUNTIFS(NAKURU!I:I,$G$18,NAKURU!A:A,"8/13")</f>
        <v>0</v>
      </c>
      <c r="J335" s="11">
        <f>COUNTIFS(NAKURU!I:I,$H$18,NAKURU!A:A,"8/13")</f>
        <v>1</v>
      </c>
      <c r="K335" s="11">
        <f>COUNTIFS(NAKURU!I:I,$I$18,NAKURU!A:A,"8/13")</f>
        <v>6</v>
      </c>
      <c r="L335" s="2"/>
      <c r="M335" s="2"/>
      <c r="N335" s="2"/>
      <c r="O335" s="2"/>
      <c r="P335" s="2"/>
      <c r="Q335" s="2"/>
      <c r="R335" s="2"/>
      <c r="S335" s="2"/>
      <c r="T335" s="2"/>
      <c r="U335" s="2"/>
      <c r="V335" s="2"/>
      <c r="W335" s="2"/>
      <c r="X335" s="2"/>
      <c r="Y335" s="2"/>
      <c r="Z335" s="2"/>
      <c r="AA335" s="2"/>
      <c r="AB335" s="2"/>
      <c r="AC335" s="2"/>
      <c r="AD335" s="2"/>
    </row>
    <row r="336">
      <c r="A336" s="7" t="s">
        <v>16</v>
      </c>
      <c r="B336" s="8">
        <v>1.230119691E7</v>
      </c>
      <c r="C336" s="31">
        <v>23.0</v>
      </c>
      <c r="D336" s="8">
        <f>SUMIFS(HOMABAY!F:F,HOMABAY!A:A,"8/13")</f>
        <v>255000</v>
      </c>
      <c r="E336" s="11">
        <f>COUNTIFS(HOMABAY!A:A,"8/13")</f>
        <v>3</v>
      </c>
      <c r="F336" s="10">
        <f>SUMIFS(HOMABAY!G:G,HOMABAY!A:A,"8/13")</f>
        <v>106200</v>
      </c>
      <c r="G336" s="11">
        <f t="shared" si="77"/>
        <v>1</v>
      </c>
      <c r="H336" s="12">
        <f t="shared" si="78"/>
        <v>0.4164705882</v>
      </c>
      <c r="I336" s="9">
        <f>COUNTIFS(HOMABAY!K:K,$G$18,HOMABAY!A:A,"8/13")</f>
        <v>0</v>
      </c>
      <c r="J336" s="11">
        <f>COUNTIFS(HOMABAY!K:K,$H$18,HOMABAY!A:A,"8/13")</f>
        <v>1</v>
      </c>
      <c r="K336" s="11">
        <f>COUNTIFS(HOMABAY!K:K,$I$18,HOMABAY!A:A,"8/13")</f>
        <v>2</v>
      </c>
      <c r="L336" s="2"/>
      <c r="M336" s="2"/>
      <c r="N336" s="2"/>
      <c r="O336" s="2"/>
      <c r="P336" s="2"/>
      <c r="Q336" s="2"/>
      <c r="R336" s="2"/>
      <c r="S336" s="2"/>
      <c r="T336" s="2"/>
      <c r="U336" s="2"/>
      <c r="V336" s="2"/>
      <c r="W336" s="2"/>
      <c r="X336" s="2"/>
      <c r="Y336" s="2"/>
      <c r="Z336" s="2"/>
      <c r="AA336" s="2"/>
      <c r="AB336" s="2"/>
      <c r="AC336" s="2"/>
      <c r="AD336" s="2"/>
    </row>
    <row r="337">
      <c r="A337" s="7" t="s">
        <v>17</v>
      </c>
      <c r="B337" s="8">
        <v>1.9878820434E8</v>
      </c>
      <c r="C337" s="31">
        <v>188.0</v>
      </c>
      <c r="D337" s="8">
        <f>SUMIFS(MOMBASA!F:F,MOMBASA!A:A,"8/13")</f>
        <v>1423673.95</v>
      </c>
      <c r="E337" s="11">
        <f>COUNTIFS(MOMBASA!A:A,"8/13")</f>
        <v>23</v>
      </c>
      <c r="F337" s="27">
        <f>SUMIFS(MOMBASA!G:G,MOMBASA!A:A,"8/13")</f>
        <v>565750</v>
      </c>
      <c r="G337" s="11">
        <f t="shared" si="77"/>
        <v>9</v>
      </c>
      <c r="H337" s="12">
        <f t="shared" si="78"/>
        <v>0.3973873372</v>
      </c>
      <c r="I337" s="9">
        <f>COUNTIFS(MOMBASA!I:I,$G$18,MOMBASA!A:A,"8/13")</f>
        <v>2</v>
      </c>
      <c r="J337" s="11">
        <f>COUNTIFS(MOMBASA!I:I,$H$18,MOMBASA!A:A,"8/13")</f>
        <v>7</v>
      </c>
      <c r="K337" s="11">
        <f>COUNTIFS(MOMBASA!I:I,$I$18,MOMBASA!A:A,"8/13")</f>
        <v>14</v>
      </c>
      <c r="L337" s="2"/>
      <c r="M337" s="2"/>
      <c r="N337" s="2"/>
      <c r="O337" s="2"/>
      <c r="P337" s="2"/>
      <c r="Q337" s="2"/>
      <c r="R337" s="2"/>
      <c r="S337" s="2"/>
      <c r="T337" s="2"/>
      <c r="U337" s="2"/>
      <c r="V337" s="2"/>
      <c r="W337" s="2"/>
      <c r="X337" s="2"/>
      <c r="Y337" s="2"/>
      <c r="Z337" s="2"/>
      <c r="AA337" s="2"/>
      <c r="AB337" s="2"/>
      <c r="AC337" s="2"/>
      <c r="AD337" s="2"/>
    </row>
    <row r="338">
      <c r="A338" s="7" t="s">
        <v>18</v>
      </c>
      <c r="B338" s="8">
        <v>8.558526265E7</v>
      </c>
      <c r="C338" s="31">
        <v>88.0</v>
      </c>
      <c r="D338" s="8">
        <f>SUMIFS(KISUMU!F:F,KISUMU!A:A,"8/13")</f>
        <v>2311434.93</v>
      </c>
      <c r="E338" s="11">
        <f>COUNTIFS(KISUMU!A:A,"8/13")</f>
        <v>30</v>
      </c>
      <c r="F338" s="10">
        <f>SUMIFS(KISUMU!G:G,KISUMU!A:A,"8/13")</f>
        <v>248000</v>
      </c>
      <c r="G338" s="11">
        <f t="shared" si="77"/>
        <v>4</v>
      </c>
      <c r="H338" s="12">
        <f t="shared" si="78"/>
        <v>0.1072926591</v>
      </c>
      <c r="I338" s="9">
        <f>COUNTIFS(KISUMU!I:I,$G$18,KISUMU!A:A,"8/13")</f>
        <v>1</v>
      </c>
      <c r="J338" s="11">
        <f>COUNTIFS(KISUMU!I:I,$H$18,KISUMU!A:A,"8/13")</f>
        <v>3</v>
      </c>
      <c r="K338" s="11">
        <f>COUNTIFS(KISUMU!I:I,$I$18,KISUMU!A:A,"8/13")</f>
        <v>26</v>
      </c>
      <c r="L338" s="2"/>
      <c r="M338" s="2"/>
      <c r="N338" s="2"/>
      <c r="O338" s="2"/>
      <c r="P338" s="2"/>
      <c r="Q338" s="2"/>
      <c r="R338" s="2"/>
      <c r="S338" s="2"/>
      <c r="T338" s="2"/>
      <c r="U338" s="2"/>
      <c r="V338" s="2"/>
      <c r="W338" s="2"/>
      <c r="X338" s="2"/>
      <c r="Y338" s="2"/>
      <c r="Z338" s="2"/>
      <c r="AA338" s="2"/>
      <c r="AB338" s="2"/>
      <c r="AC338" s="2"/>
      <c r="AD338" s="2"/>
    </row>
    <row r="339">
      <c r="A339" s="7" t="s">
        <v>19</v>
      </c>
      <c r="B339" s="8">
        <v>7284301.97</v>
      </c>
      <c r="C339" s="31">
        <v>19.0</v>
      </c>
      <c r="D339" s="8">
        <f>SUMIFS(VOI!F:F,VOI!A:A,"8/13")</f>
        <v>173459</v>
      </c>
      <c r="E339" s="11">
        <f>COUNTIFS(VOI!A:A,"8/13")</f>
        <v>5</v>
      </c>
      <c r="F339" s="10">
        <f>SUMIFS(VOI!G:G,VOI!A:A,"8/13")</f>
        <v>64000</v>
      </c>
      <c r="G339" s="11">
        <f t="shared" si="77"/>
        <v>1</v>
      </c>
      <c r="H339" s="12">
        <f t="shared" si="78"/>
        <v>0.3689632709</v>
      </c>
      <c r="I339" s="9">
        <f>COUNTIFS(VOI!H:H,$G$18,VOI!A:A,"8/13")</f>
        <v>0</v>
      </c>
      <c r="J339" s="11">
        <f>COUNTIFS(VOI!H:H,$H$18,VOI!A:A,"8/13")</f>
        <v>1</v>
      </c>
      <c r="K339" s="11">
        <f>COUNTIFS(VOI!H:H,$I$18,VOI!A:A,"8/13")</f>
        <v>4</v>
      </c>
      <c r="L339" s="2"/>
      <c r="M339" s="2"/>
      <c r="N339" s="2"/>
      <c r="O339" s="2"/>
      <c r="P339" s="2"/>
      <c r="Q339" s="2"/>
      <c r="R339" s="2"/>
      <c r="S339" s="2"/>
      <c r="T339" s="2"/>
      <c r="U339" s="2"/>
      <c r="V339" s="2"/>
      <c r="W339" s="2"/>
      <c r="X339" s="2"/>
      <c r="Y339" s="2"/>
      <c r="Z339" s="2"/>
      <c r="AA339" s="2"/>
      <c r="AB339" s="2"/>
      <c r="AC339" s="2"/>
      <c r="AD339" s="2"/>
    </row>
    <row r="340">
      <c r="A340" s="7" t="s">
        <v>20</v>
      </c>
      <c r="B340" s="8">
        <v>5.46684411E7</v>
      </c>
      <c r="C340" s="31">
        <v>91.0</v>
      </c>
      <c r="D340" s="8">
        <f>SUMIFS(THIKA!F:F,THIKA!A:A,"8/13")</f>
        <v>983152.46</v>
      </c>
      <c r="E340" s="11">
        <f>COUNTIFS(THIKA!A:A,"8/13")</f>
        <v>17</v>
      </c>
      <c r="F340" s="10">
        <f>SUMIFS(THIKA!G:G,THIKA!A:A,"8/13")</f>
        <v>94274</v>
      </c>
      <c r="G340" s="11">
        <f t="shared" si="77"/>
        <v>3</v>
      </c>
      <c r="H340" s="12">
        <f t="shared" si="78"/>
        <v>0.09588950222</v>
      </c>
      <c r="I340" s="9">
        <f>COUNTIFS(THIKA!I:I,$G$18,THIKA!A:A,"8/13")</f>
        <v>1</v>
      </c>
      <c r="J340" s="11">
        <f>COUNTIFS(THIKA!I:I,$H$18,THIKA!A:A,"8/13")</f>
        <v>2</v>
      </c>
      <c r="K340" s="11">
        <f>COUNTIFS(THIKA!I:I,$I$18,THIKA!A:A,"8/13")</f>
        <v>14</v>
      </c>
      <c r="L340" s="2"/>
      <c r="M340" s="2"/>
      <c r="N340" s="2"/>
      <c r="O340" s="2"/>
      <c r="P340" s="2"/>
      <c r="Q340" s="2"/>
      <c r="R340" s="2"/>
      <c r="S340" s="2"/>
      <c r="T340" s="2"/>
      <c r="U340" s="2"/>
      <c r="V340" s="2"/>
      <c r="W340" s="2"/>
      <c r="X340" s="2"/>
      <c r="Y340" s="2"/>
      <c r="Z340" s="2"/>
      <c r="AA340" s="2"/>
      <c r="AB340" s="2"/>
      <c r="AC340" s="2"/>
      <c r="AD340" s="2"/>
    </row>
    <row r="341">
      <c r="A341" s="7" t="s">
        <v>21</v>
      </c>
      <c r="B341" s="8">
        <v>1093422.81</v>
      </c>
      <c r="C341" s="31">
        <v>4.0</v>
      </c>
      <c r="D341" s="8">
        <f>SUMIFS(KITUI!F:F,KITUI!A:A,"8/13")</f>
        <v>120000</v>
      </c>
      <c r="E341" s="11">
        <f>COUNTIFS(KITUI!A:A,"8/13")</f>
        <v>1</v>
      </c>
      <c r="F341" s="10">
        <f>SUMIFS(KITUI!G:G,KITUI!A:A,"8/13")</f>
        <v>0</v>
      </c>
      <c r="G341" s="11">
        <f t="shared" si="77"/>
        <v>0</v>
      </c>
      <c r="H341" s="12">
        <f t="shared" si="78"/>
        <v>0</v>
      </c>
      <c r="I341" s="9">
        <f>COUNTIFS(KITUI!I:I,$G$18,KITUI!A:A,"8/13")</f>
        <v>0</v>
      </c>
      <c r="J341" s="11">
        <f>COUNTIFS(KITUI!I:I,$H$18,KITUI!A:A,"8/13")</f>
        <v>0</v>
      </c>
      <c r="K341" s="11">
        <f>COUNTIFS(KITUI!I:I,$I$18,KITUI!A:A,"8/13")</f>
        <v>1</v>
      </c>
      <c r="L341" s="2"/>
      <c r="M341" s="2"/>
      <c r="N341" s="2"/>
      <c r="O341" s="2"/>
      <c r="P341" s="2"/>
      <c r="Q341" s="2"/>
      <c r="R341" s="2"/>
      <c r="S341" s="2"/>
      <c r="T341" s="2"/>
      <c r="U341" s="2"/>
      <c r="V341" s="2"/>
      <c r="W341" s="2"/>
      <c r="X341" s="2"/>
      <c r="Y341" s="2"/>
      <c r="Z341" s="2"/>
      <c r="AA341" s="2"/>
      <c r="AB341" s="2"/>
      <c r="AC341" s="2"/>
      <c r="AD341" s="2"/>
    </row>
    <row r="342">
      <c r="A342" s="15" t="s">
        <v>22</v>
      </c>
      <c r="B342" s="8">
        <v>244058.47</v>
      </c>
      <c r="C342" s="31">
        <v>4.0</v>
      </c>
      <c r="D342" s="8">
        <f>SUMIFS(MACHAKOS!F:F,MACHAKOS!A:A,"8/13")</f>
        <v>233514</v>
      </c>
      <c r="E342" s="11">
        <f>COUNTIFS(MACHAKOS!A:A,"8/13")</f>
        <v>3</v>
      </c>
      <c r="F342" s="10">
        <f>SUMIFS(MACHAKOS!G:G,MACHAKOS!A:A,"8/13")</f>
        <v>0</v>
      </c>
      <c r="G342" s="11">
        <f t="shared" si="77"/>
        <v>0</v>
      </c>
      <c r="H342" s="12">
        <f t="shared" si="78"/>
        <v>0</v>
      </c>
      <c r="I342" s="9">
        <f>COUNTIFS(MACHAKOS!I:I,$G$18,MACHAKOS!A:A,"8/13")</f>
        <v>0</v>
      </c>
      <c r="J342" s="11">
        <f>COUNTIFS(MACHAKOS!I:I,$H$18,MACHAKOS!A:A,"8/13")</f>
        <v>0</v>
      </c>
      <c r="K342" s="11">
        <f>COUNTIFS(MACHAKOS!I:I,$I$18,MACHAKOS!A:A,"8/13")</f>
        <v>3</v>
      </c>
      <c r="L342" s="2"/>
      <c r="M342" s="2"/>
      <c r="N342" s="2"/>
      <c r="O342" s="2"/>
      <c r="P342" s="2"/>
      <c r="Q342" s="2"/>
      <c r="R342" s="2"/>
      <c r="S342" s="2"/>
      <c r="T342" s="2"/>
      <c r="U342" s="2"/>
      <c r="V342" s="2"/>
      <c r="W342" s="2"/>
      <c r="X342" s="2"/>
      <c r="Y342" s="2"/>
      <c r="Z342" s="2"/>
      <c r="AA342" s="2"/>
      <c r="AB342" s="2"/>
      <c r="AC342" s="2"/>
      <c r="AD342" s="2"/>
    </row>
    <row r="343">
      <c r="A343" s="1" t="s">
        <v>32</v>
      </c>
      <c r="B343" s="8"/>
      <c r="C343" s="30"/>
      <c r="D343" s="30">
        <v>1450000.0</v>
      </c>
      <c r="E343" s="28"/>
      <c r="F343" s="10"/>
      <c r="G343" s="28">
        <v>0.0</v>
      </c>
      <c r="H343" s="12">
        <f t="shared" si="78"/>
        <v>0</v>
      </c>
      <c r="I343" s="9">
        <f>COUNTIFS(MACHAKOS!I:I,$G$18,MACHAKOS!A:A,"8/13")</f>
        <v>0</v>
      </c>
      <c r="J343" s="11">
        <f>COUNTIFS(MACHAKOS!I:I,$H$18,MACHAKOS!A:A,"8/13")</f>
        <v>0</v>
      </c>
      <c r="K343" s="11">
        <f>COUNTIFS(MACHAKOS!I:I,$I$18,MACHAKOS!A:A,"8/13")</f>
        <v>3</v>
      </c>
      <c r="L343" s="2"/>
      <c r="M343" s="2"/>
      <c r="N343" s="2"/>
      <c r="O343" s="2"/>
      <c r="P343" s="2"/>
      <c r="Q343" s="2"/>
      <c r="R343" s="2"/>
      <c r="S343" s="2"/>
      <c r="T343" s="2"/>
      <c r="U343" s="2"/>
      <c r="V343" s="2"/>
      <c r="W343" s="2"/>
      <c r="X343" s="2"/>
      <c r="Y343" s="2"/>
      <c r="Z343" s="2"/>
      <c r="AA343" s="2"/>
      <c r="AB343" s="2"/>
      <c r="AC343" s="2"/>
      <c r="AD343" s="2"/>
    </row>
    <row r="344">
      <c r="A344" s="1" t="s">
        <v>31</v>
      </c>
      <c r="B344" s="8"/>
      <c r="C344" s="25"/>
      <c r="D344" s="25">
        <v>1000000.0</v>
      </c>
      <c r="E344" s="11"/>
      <c r="F344" s="29"/>
      <c r="G344" s="11"/>
      <c r="H344" s="12"/>
      <c r="I344" s="9"/>
      <c r="J344" s="11"/>
      <c r="K344" s="11"/>
      <c r="L344" s="2"/>
      <c r="M344" s="2"/>
      <c r="N344" s="2"/>
      <c r="O344" s="2"/>
      <c r="P344" s="2"/>
      <c r="Q344" s="2"/>
      <c r="R344" s="2"/>
      <c r="S344" s="2"/>
      <c r="T344" s="2"/>
      <c r="U344" s="2"/>
      <c r="V344" s="2"/>
      <c r="W344" s="2"/>
      <c r="X344" s="2"/>
      <c r="Y344" s="2"/>
      <c r="Z344" s="2"/>
      <c r="AA344" s="2"/>
      <c r="AB344" s="2"/>
      <c r="AC344" s="2"/>
      <c r="AD344" s="2"/>
    </row>
    <row r="345">
      <c r="A345" s="16" t="s">
        <v>23</v>
      </c>
      <c r="B345" s="17">
        <f t="shared" ref="B345:C345" si="79">SUM(B330:B342)</f>
        <v>2384233827</v>
      </c>
      <c r="C345" s="17">
        <f t="shared" si="79"/>
        <v>1962</v>
      </c>
      <c r="D345" s="17">
        <f t="shared" ref="D345:F345" si="80">SUM(D330:D344)</f>
        <v>41328495.73</v>
      </c>
      <c r="E345" s="18">
        <f t="shared" si="80"/>
        <v>246</v>
      </c>
      <c r="F345" s="19">
        <f t="shared" si="80"/>
        <v>3754110.48</v>
      </c>
      <c r="G345" s="18">
        <f>SUM(G330:G342)</f>
        <v>56</v>
      </c>
      <c r="H345" s="20">
        <f>F345/D345</f>
        <v>0.09083588486</v>
      </c>
      <c r="I345" s="21">
        <f t="shared" ref="I345:K345" si="81">SUM(I330:I344)</f>
        <v>19</v>
      </c>
      <c r="J345" s="21">
        <f t="shared" si="81"/>
        <v>37</v>
      </c>
      <c r="K345" s="21">
        <f t="shared" si="81"/>
        <v>192</v>
      </c>
      <c r="L345" s="2"/>
      <c r="M345" s="2"/>
      <c r="N345" s="2"/>
      <c r="O345" s="2"/>
      <c r="P345" s="2"/>
      <c r="Q345" s="2"/>
      <c r="R345" s="2"/>
      <c r="S345" s="2"/>
      <c r="T345" s="2"/>
      <c r="U345" s="2"/>
      <c r="V345" s="2"/>
      <c r="W345" s="2"/>
      <c r="X345" s="2"/>
      <c r="Y345" s="2"/>
      <c r="Z345" s="2"/>
      <c r="AA345" s="2"/>
      <c r="AB345" s="2"/>
      <c r="AC345" s="2"/>
      <c r="AD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3" t="s">
        <v>1</v>
      </c>
      <c r="B347" s="4" t="s">
        <v>33</v>
      </c>
      <c r="C347" s="4" t="s">
        <v>34</v>
      </c>
      <c r="D347" s="5" t="s">
        <v>2</v>
      </c>
      <c r="E347" s="5" t="s">
        <v>3</v>
      </c>
      <c r="F347" s="5" t="s">
        <v>4</v>
      </c>
      <c r="G347" s="5" t="s">
        <v>5</v>
      </c>
      <c r="H347" s="26" t="s">
        <v>6</v>
      </c>
      <c r="I347" s="26" t="s">
        <v>7</v>
      </c>
      <c r="J347" s="26" t="s">
        <v>8</v>
      </c>
      <c r="K347" s="26" t="s">
        <v>9</v>
      </c>
      <c r="L347" s="2"/>
      <c r="M347" s="2"/>
      <c r="N347" s="2"/>
      <c r="O347" s="2"/>
      <c r="P347" s="2"/>
      <c r="Q347" s="2"/>
      <c r="R347" s="2"/>
      <c r="S347" s="2"/>
      <c r="T347" s="2"/>
      <c r="U347" s="2"/>
      <c r="V347" s="2"/>
      <c r="W347" s="2"/>
      <c r="X347" s="2"/>
      <c r="Y347" s="2"/>
      <c r="Z347" s="2"/>
      <c r="AA347" s="2"/>
      <c r="AB347" s="2"/>
    </row>
    <row r="348">
      <c r="A348" s="7" t="s">
        <v>10</v>
      </c>
      <c r="B348" s="8">
        <v>8.579016727E8</v>
      </c>
      <c r="C348" s="31">
        <v>397.0</v>
      </c>
      <c r="D348" s="8">
        <f>SUMIFS(ECOBANK!F:F,ECOBANK!A:A,"8/14")</f>
        <v>4338142.07</v>
      </c>
      <c r="E348" s="9">
        <f>COUNTIFS(ECOBANK!A:A,"8/14")</f>
        <v>12</v>
      </c>
      <c r="F348" s="10">
        <f>SUMIFS(ECOBANK!G:G,ECOBANK!A:A,"8/14")</f>
        <v>607963</v>
      </c>
      <c r="G348" s="11">
        <f t="shared" ref="G348:G360" si="82">I348+J348</f>
        <v>2</v>
      </c>
      <c r="H348" s="12">
        <f t="shared" ref="H348:H361" si="83">iferror(F348/D348,0)</f>
        <v>0.1401436353</v>
      </c>
      <c r="I348" s="9">
        <f>COUNTIFS(ECOBANK!I:I,$G$18,ECOBANK!A:A,"8/14")</f>
        <v>0</v>
      </c>
      <c r="J348" s="11">
        <f>COUNTIFS(ECOBANK!I:I,$H$18,ECOBANK!A:A,"8/14")</f>
        <v>2</v>
      </c>
      <c r="K348" s="11">
        <f>COUNTIFS(ECOBANK!I:I,$I$18,ECOBANK!A:A,"8/14")</f>
        <v>10</v>
      </c>
      <c r="L348" s="2"/>
      <c r="M348" s="2"/>
      <c r="N348" s="2"/>
      <c r="O348" s="2"/>
      <c r="P348" s="2"/>
      <c r="Q348" s="2"/>
      <c r="R348" s="2"/>
      <c r="S348" s="2"/>
      <c r="T348" s="2"/>
      <c r="U348" s="2"/>
      <c r="V348" s="2"/>
      <c r="W348" s="2"/>
      <c r="X348" s="2"/>
      <c r="Y348" s="2"/>
      <c r="Z348" s="2"/>
      <c r="AA348" s="2"/>
      <c r="AB348" s="2"/>
    </row>
    <row r="349">
      <c r="A349" s="7" t="s">
        <v>24</v>
      </c>
      <c r="B349" s="8">
        <v>6.1565659248E8</v>
      </c>
      <c r="C349" s="31">
        <v>251.0</v>
      </c>
      <c r="D349" s="8">
        <f>SUMIFS('TRADE CENTER'!F:F,'TRADE CENTER'!A:A,"8/14")</f>
        <v>13939847.86</v>
      </c>
      <c r="E349" s="11">
        <f>COUNTIFS('TRADE CENTER'!A:A,"8/14")</f>
        <v>38</v>
      </c>
      <c r="F349" s="10">
        <f>SUMIFS('TRADE CENTER'!G:G,'TRADE CENTER'!A:A,"8/14")</f>
        <v>1063172.5</v>
      </c>
      <c r="G349" s="11">
        <f t="shared" si="82"/>
        <v>5</v>
      </c>
      <c r="H349" s="12">
        <f t="shared" si="83"/>
        <v>0.07626858705</v>
      </c>
      <c r="I349" s="11">
        <f>COUNTIFS('TRADE CENTER'!I:I,$G$18,'TRADE CENTER'!A:A,"8/14")</f>
        <v>1</v>
      </c>
      <c r="J349" s="11">
        <f>COUNTIFS('TRADE CENTER'!I:I,$H$18,'TRADE CENTER'!A:A,"8/14")</f>
        <v>4</v>
      </c>
      <c r="K349" s="11">
        <f>COUNTIFS('TRADE CENTER'!I:I,$I$18,'TRADE CENTER'!A:A,"8/14")</f>
        <v>33</v>
      </c>
      <c r="L349" s="2"/>
      <c r="M349" s="2"/>
      <c r="N349" s="2"/>
      <c r="O349" s="2"/>
      <c r="P349" s="2"/>
      <c r="Q349" s="2"/>
      <c r="R349" s="2"/>
      <c r="S349" s="2"/>
      <c r="T349" s="2"/>
      <c r="U349" s="2"/>
      <c r="V349" s="2"/>
      <c r="W349" s="2"/>
      <c r="X349" s="2"/>
      <c r="Y349" s="2"/>
      <c r="Z349" s="2"/>
      <c r="AA349" s="2"/>
      <c r="AB349" s="2"/>
    </row>
    <row r="350">
      <c r="A350" s="7" t="s">
        <v>12</v>
      </c>
      <c r="B350" s="8">
        <v>2.645619689E8</v>
      </c>
      <c r="C350" s="31">
        <v>395.0</v>
      </c>
      <c r="D350" s="8">
        <f>SUMIFS(PENSION!F:F,PENSION!A:A,"8/14/2024")</f>
        <v>5826707.2</v>
      </c>
      <c r="E350" s="11">
        <f>COUNTIFS(PENSION!A:A,"8/14")</f>
        <v>47</v>
      </c>
      <c r="F350" s="10">
        <f>SUMIFS(PENSION!G:G,PENSION!A:A,"8/14/2024")</f>
        <v>1112247.92</v>
      </c>
      <c r="G350" s="11">
        <f t="shared" si="82"/>
        <v>14</v>
      </c>
      <c r="H350" s="12">
        <f t="shared" si="83"/>
        <v>0.1908879032</v>
      </c>
      <c r="I350" s="9">
        <f>COUNTIFS(PENSION!I:I,$G$18,PENSION!A:A,"8/14")</f>
        <v>6</v>
      </c>
      <c r="J350" s="11">
        <f>COUNTIFS(PENSION!I:I,$H$18,PENSION!A:A,"8/14")</f>
        <v>8</v>
      </c>
      <c r="K350" s="11">
        <f>COUNTIFS(PENSION!I:I,$I$18,PENSION!A:A,"8/14")</f>
        <v>33</v>
      </c>
      <c r="L350" s="2"/>
      <c r="M350" s="2"/>
      <c r="N350" s="2"/>
      <c r="O350" s="2"/>
      <c r="P350" s="2"/>
      <c r="Q350" s="2"/>
      <c r="R350" s="2"/>
      <c r="S350" s="2"/>
      <c r="T350" s="2"/>
      <c r="U350" s="2"/>
      <c r="V350" s="2"/>
      <c r="W350" s="2"/>
      <c r="X350" s="2"/>
      <c r="Y350" s="2"/>
      <c r="Z350" s="2"/>
      <c r="AA350" s="2"/>
      <c r="AB350" s="2"/>
    </row>
    <row r="351">
      <c r="A351" s="7" t="s">
        <v>13</v>
      </c>
      <c r="B351" s="8">
        <v>1.1070409073E8</v>
      </c>
      <c r="C351" s="31">
        <v>309.0</v>
      </c>
      <c r="D351" s="8">
        <f>SUMIFS(KITENGELA!F:F,KITENGELA!A:A,"8/14/2024")</f>
        <v>4713393.21</v>
      </c>
      <c r="E351" s="11">
        <f>COUNTIFS(KITENGELA!A:A,"8/14")</f>
        <v>29</v>
      </c>
      <c r="F351" s="10">
        <f>SUMIFS(KITENGELA!G:G,KITENGELA!A:A,"8/14")</f>
        <v>591945</v>
      </c>
      <c r="G351" s="11">
        <f t="shared" si="82"/>
        <v>3</v>
      </c>
      <c r="H351" s="12">
        <f t="shared" si="83"/>
        <v>0.1255878671</v>
      </c>
      <c r="I351" s="11">
        <f>COUNTIFS(KITENGELA!I:I,$G$18,KITENGELA!A:A,"8/14")</f>
        <v>1</v>
      </c>
      <c r="J351" s="11">
        <f>COUNTIFS(KITENGELA!I:I,$H$18,KITENGELA!A:A,"8/14")</f>
        <v>2</v>
      </c>
      <c r="K351" s="11">
        <f>COUNTIFS(KITENGELA!I:I,$I$18,KITENGELA!A:A,"8/14")</f>
        <v>26</v>
      </c>
      <c r="L351" s="2"/>
      <c r="M351" s="2"/>
      <c r="N351" s="2"/>
      <c r="O351" s="2"/>
      <c r="P351" s="2"/>
      <c r="Q351" s="2"/>
      <c r="R351" s="2"/>
      <c r="S351" s="2"/>
      <c r="T351" s="2"/>
      <c r="U351" s="2"/>
      <c r="V351" s="2"/>
      <c r="W351" s="2"/>
      <c r="X351" s="2"/>
      <c r="Y351" s="2"/>
      <c r="Z351" s="2"/>
      <c r="AA351" s="2"/>
      <c r="AB351" s="2"/>
    </row>
    <row r="352">
      <c r="A352" s="7" t="s">
        <v>14</v>
      </c>
      <c r="B352" s="8">
        <v>1.5912077152E8</v>
      </c>
      <c r="C352" s="31">
        <v>167.0</v>
      </c>
      <c r="D352" s="8">
        <f>SUMIFS(ELDORET!F:F,ELDORET!A:A,"8/14")</f>
        <v>1369274.15</v>
      </c>
      <c r="E352" s="11">
        <f>COUNTIFS(ELDORET!A:A,"8/14")</f>
        <v>22</v>
      </c>
      <c r="F352" s="10">
        <f>SUMIFS(ELDORET!G:G,ELDORET!A:A,"8/14")</f>
        <v>32000</v>
      </c>
      <c r="G352" s="11">
        <f t="shared" si="82"/>
        <v>3</v>
      </c>
      <c r="H352" s="12">
        <f t="shared" si="83"/>
        <v>0.02337004609</v>
      </c>
      <c r="I352" s="11">
        <f>COUNTIFS(ELDORET!I:I,$G$18,ELDORET!A:A,"8/14")</f>
        <v>1</v>
      </c>
      <c r="J352" s="11">
        <f>COUNTIFS(ELDORET!I:I,$H$18,ELDORET!A:A,"8/14")</f>
        <v>2</v>
      </c>
      <c r="K352" s="11">
        <f>COUNTIFS(ELDORET!I:I,$I$18,ELDORET!A:A,"8/14")</f>
        <v>16</v>
      </c>
      <c r="L352" s="2"/>
      <c r="M352" s="2"/>
      <c r="N352" s="2"/>
      <c r="O352" s="2"/>
      <c r="P352" s="2"/>
      <c r="Q352" s="2"/>
      <c r="R352" s="2"/>
      <c r="S352" s="2"/>
      <c r="T352" s="2"/>
      <c r="U352" s="2"/>
      <c r="V352" s="2"/>
      <c r="W352" s="2"/>
      <c r="X352" s="2"/>
      <c r="Y352" s="2"/>
      <c r="Z352" s="2"/>
      <c r="AA352" s="2"/>
      <c r="AB352" s="2"/>
    </row>
    <row r="353">
      <c r="A353" s="7" t="s">
        <v>15</v>
      </c>
      <c r="B353" s="8">
        <v>1.632384223E7</v>
      </c>
      <c r="C353" s="31">
        <v>26.0</v>
      </c>
      <c r="D353" s="8">
        <f>SUMIFS(NAKURU!F:F,NAKURU!A:A,"8/14")</f>
        <v>210600</v>
      </c>
      <c r="E353" s="11">
        <f>COUNTIFS(NAKURU!A:A,"8/14")</f>
        <v>6</v>
      </c>
      <c r="F353" s="10">
        <f>SUMIFS(NAKURU!G:G,NAKURU!A:A,"8/14")</f>
        <v>25000</v>
      </c>
      <c r="G353" s="11">
        <f t="shared" si="82"/>
        <v>1</v>
      </c>
      <c r="H353" s="12">
        <f t="shared" si="83"/>
        <v>0.118708452</v>
      </c>
      <c r="I353" s="9">
        <f>COUNTIFS(NAKURU!I:I,$G$18,NAKURU!A:A,"8/14")</f>
        <v>1</v>
      </c>
      <c r="J353" s="11">
        <f>COUNTIFS(NAKURU!I:I,$H$18,NAKURU!A:A,"8/14")</f>
        <v>0</v>
      </c>
      <c r="K353" s="11">
        <f>COUNTIFS(NAKURU!I:I,$I$18,NAKURU!A:A,"8/14")</f>
        <v>5</v>
      </c>
      <c r="L353" s="2"/>
      <c r="M353" s="2"/>
      <c r="N353" s="2"/>
      <c r="O353" s="2"/>
      <c r="P353" s="2"/>
      <c r="Q353" s="2"/>
      <c r="R353" s="2"/>
      <c r="S353" s="2"/>
      <c r="T353" s="2"/>
      <c r="U353" s="2"/>
      <c r="V353" s="2"/>
      <c r="W353" s="2"/>
      <c r="X353" s="2"/>
      <c r="Y353" s="2"/>
      <c r="Z353" s="2"/>
      <c r="AA353" s="2"/>
      <c r="AB353" s="2"/>
    </row>
    <row r="354">
      <c r="A354" s="7" t="s">
        <v>16</v>
      </c>
      <c r="B354" s="8">
        <v>1.230119691E7</v>
      </c>
      <c r="C354" s="31">
        <v>23.0</v>
      </c>
      <c r="D354" s="8">
        <f>SUMIFS(HOMABAY!F:F,HOMABAY!A:A,"8/14")</f>
        <v>356000</v>
      </c>
      <c r="E354" s="11">
        <f>COUNTIFS(HOMABAY!A:A,"8/14")</f>
        <v>5</v>
      </c>
      <c r="F354" s="10">
        <f>SUMIFS(HOMABAY!G:G,HOMABAY!A:A,"8/14")</f>
        <v>4000</v>
      </c>
      <c r="G354" s="11">
        <f t="shared" si="82"/>
        <v>1</v>
      </c>
      <c r="H354" s="12">
        <f t="shared" si="83"/>
        <v>0.01123595506</v>
      </c>
      <c r="I354" s="9">
        <f>COUNTIFS(HOMABAY!K:K,$G$18,HOMABAY!A:A,"8/14")</f>
        <v>1</v>
      </c>
      <c r="J354" s="11">
        <f>COUNTIFS(HOMABAY!K:K,$H$18,HOMABAY!A:A,"8/14")</f>
        <v>0</v>
      </c>
      <c r="K354" s="11">
        <f>COUNTIFS(HOMABAY!K:K,$I$18,HOMABAY!A:A,"8/14")</f>
        <v>4</v>
      </c>
      <c r="L354" s="2"/>
      <c r="M354" s="2"/>
      <c r="N354" s="2"/>
      <c r="O354" s="2"/>
      <c r="P354" s="2"/>
      <c r="Q354" s="2"/>
      <c r="R354" s="2"/>
      <c r="S354" s="2"/>
      <c r="T354" s="2"/>
      <c r="U354" s="2"/>
      <c r="V354" s="2"/>
      <c r="W354" s="2"/>
      <c r="X354" s="2"/>
      <c r="Y354" s="2"/>
      <c r="Z354" s="2"/>
      <c r="AA354" s="2"/>
      <c r="AB354" s="2"/>
    </row>
    <row r="355">
      <c r="A355" s="7" t="s">
        <v>17</v>
      </c>
      <c r="B355" s="8">
        <v>1.9878820434E8</v>
      </c>
      <c r="C355" s="31">
        <v>188.0</v>
      </c>
      <c r="D355" s="8">
        <f>SUMIFS(MOMBASA!F:F,MOMBASA!A:A,"8/14")</f>
        <v>1525135.01</v>
      </c>
      <c r="E355" s="11">
        <f>COUNTIFS(MOMBASA!A:A,"8/14")</f>
        <v>19</v>
      </c>
      <c r="F355" s="27">
        <f>SUMIFS(MOMBASA!G:G,MOMBASA!A:A,"8/14")</f>
        <v>1910932</v>
      </c>
      <c r="G355" s="11">
        <f t="shared" si="82"/>
        <v>10</v>
      </c>
      <c r="H355" s="12">
        <f t="shared" si="83"/>
        <v>1.252959238</v>
      </c>
      <c r="I355" s="9">
        <f>COUNTIFS(MOMBASA!I:I,$G$18,MOMBASA!A:A,"8/14")</f>
        <v>0</v>
      </c>
      <c r="J355" s="11">
        <f>COUNTIFS(MOMBASA!I:I,$H$18,MOMBASA!A:A,"8/14")</f>
        <v>10</v>
      </c>
      <c r="K355" s="11">
        <f>COUNTIFS(MOMBASA!I:I,$I$18,MOMBASA!A:A,"8/14")</f>
        <v>9</v>
      </c>
      <c r="L355" s="2"/>
      <c r="M355" s="2"/>
      <c r="N355" s="2"/>
      <c r="O355" s="2"/>
      <c r="P355" s="2"/>
      <c r="Q355" s="2"/>
      <c r="R355" s="2"/>
      <c r="S355" s="2"/>
      <c r="T355" s="2"/>
      <c r="U355" s="2"/>
      <c r="V355" s="2"/>
      <c r="W355" s="2"/>
      <c r="X355" s="2"/>
      <c r="Y355" s="2"/>
      <c r="Z355" s="2"/>
      <c r="AA355" s="2"/>
      <c r="AB355" s="2"/>
    </row>
    <row r="356">
      <c r="A356" s="7" t="s">
        <v>18</v>
      </c>
      <c r="B356" s="8">
        <v>8.558526265E7</v>
      </c>
      <c r="C356" s="31">
        <v>88.0</v>
      </c>
      <c r="D356" s="8">
        <f>SUMIFS(KISUMU!F:F,KISUMU!A:A,"8/14")</f>
        <v>1863202.87</v>
      </c>
      <c r="E356" s="11">
        <f>COUNTIFS(KISUMU!A:A,"8/14")</f>
        <v>28</v>
      </c>
      <c r="F356" s="10">
        <f>SUMIFS(KISUMU!G:G,KISUMU!A:A,"8/14")</f>
        <v>111100</v>
      </c>
      <c r="G356" s="11">
        <f t="shared" si="82"/>
        <v>4</v>
      </c>
      <c r="H356" s="12">
        <f t="shared" si="83"/>
        <v>0.05962850411</v>
      </c>
      <c r="I356" s="9">
        <f>COUNTIFS(KISUMU!I:I,$G$18,KISUMU!A:A,"8/14")</f>
        <v>2</v>
      </c>
      <c r="J356" s="11">
        <f>COUNTIFS(KISUMU!I:I,$H$18,KISUMU!A:A,"8/14")</f>
        <v>2</v>
      </c>
      <c r="K356" s="11">
        <f>COUNTIFS(KISUMU!I:I,$I$18,KISUMU!A:A,"8/14")</f>
        <v>24</v>
      </c>
      <c r="L356" s="2"/>
      <c r="M356" s="2"/>
      <c r="N356" s="2"/>
      <c r="O356" s="2"/>
      <c r="P356" s="2"/>
      <c r="Q356" s="2"/>
      <c r="R356" s="2"/>
      <c r="S356" s="2"/>
      <c r="T356" s="2"/>
      <c r="U356" s="2"/>
      <c r="V356" s="2"/>
      <c r="W356" s="2"/>
      <c r="X356" s="2"/>
      <c r="Y356" s="2"/>
      <c r="Z356" s="2"/>
      <c r="AA356" s="2"/>
      <c r="AB356" s="2"/>
    </row>
    <row r="357">
      <c r="A357" s="7" t="s">
        <v>19</v>
      </c>
      <c r="B357" s="8">
        <v>7284301.97</v>
      </c>
      <c r="C357" s="31">
        <v>19.0</v>
      </c>
      <c r="D357" s="8">
        <f>SUMIFS(VOI!F:F,VOI!A:A,"8/14")</f>
        <v>275037</v>
      </c>
      <c r="E357" s="11">
        <f>COUNTIFS(VOI!A:A,"8/14")</f>
        <v>9</v>
      </c>
      <c r="F357" s="10">
        <f>SUMIFS(VOI!G:G,VOI!A:A,"8/14")</f>
        <v>0</v>
      </c>
      <c r="G357" s="11">
        <f t="shared" si="82"/>
        <v>0</v>
      </c>
      <c r="H357" s="12">
        <f t="shared" si="83"/>
        <v>0</v>
      </c>
      <c r="I357" s="9">
        <f>COUNTIFS(VOI!H:H,$G$18,VOI!A:A,"8/14")</f>
        <v>0</v>
      </c>
      <c r="J357" s="11">
        <f>COUNTIFS(VOI!H:H,$H$18,VOI!A:A,"8/14")</f>
        <v>0</v>
      </c>
      <c r="K357" s="11">
        <f>COUNTIFS(VOI!H:H,$I$18,VOI!A:A,"8/14")</f>
        <v>9</v>
      </c>
      <c r="L357" s="2"/>
      <c r="M357" s="2"/>
      <c r="N357" s="2"/>
      <c r="O357" s="2"/>
      <c r="P357" s="2"/>
      <c r="Q357" s="2"/>
      <c r="R357" s="2"/>
      <c r="S357" s="2"/>
      <c r="T357" s="2"/>
      <c r="U357" s="2"/>
      <c r="V357" s="2"/>
      <c r="W357" s="2"/>
      <c r="X357" s="2"/>
      <c r="Y357" s="2"/>
      <c r="Z357" s="2"/>
      <c r="AA357" s="2"/>
      <c r="AB357" s="2"/>
    </row>
    <row r="358">
      <c r="A358" s="7" t="s">
        <v>20</v>
      </c>
      <c r="B358" s="8">
        <v>5.46684411E7</v>
      </c>
      <c r="C358" s="31">
        <v>91.0</v>
      </c>
      <c r="D358" s="8">
        <f>SUMIFS(THIKA!F:F,THIKA!A:A,"8/14")</f>
        <v>870084.46</v>
      </c>
      <c r="E358" s="11">
        <f>COUNTIFS(THIKA!A:A,"8/14")</f>
        <v>20</v>
      </c>
      <c r="F358" s="10">
        <f>SUMIFS(THIKA!G:G,THIKA!A:A,"8/14")</f>
        <v>252597</v>
      </c>
      <c r="G358" s="11">
        <f t="shared" si="82"/>
        <v>6</v>
      </c>
      <c r="H358" s="12">
        <f t="shared" si="83"/>
        <v>0.2903131956</v>
      </c>
      <c r="I358" s="9">
        <f>COUNTIFS(THIKA!I:I,$G$18,THIKA!A:A,"8/14")</f>
        <v>4</v>
      </c>
      <c r="J358" s="11">
        <f>COUNTIFS(THIKA!I:I,$H$18,THIKA!A:A,"8/14")</f>
        <v>2</v>
      </c>
      <c r="K358" s="11">
        <f>COUNTIFS(THIKA!I:I,$I$18,THIKA!A:A,"8/14")</f>
        <v>14</v>
      </c>
      <c r="L358" s="2"/>
      <c r="M358" s="2"/>
      <c r="N358" s="2"/>
      <c r="O358" s="2"/>
      <c r="P358" s="2"/>
      <c r="Q358" s="2"/>
      <c r="R358" s="2"/>
      <c r="S358" s="2"/>
      <c r="T358" s="2"/>
      <c r="U358" s="2"/>
      <c r="V358" s="2"/>
      <c r="W358" s="2"/>
      <c r="X358" s="2"/>
      <c r="Y358" s="2"/>
      <c r="Z358" s="2"/>
      <c r="AA358" s="2"/>
      <c r="AB358" s="2"/>
    </row>
    <row r="359">
      <c r="A359" s="7" t="s">
        <v>21</v>
      </c>
      <c r="B359" s="8">
        <v>1093422.81</v>
      </c>
      <c r="C359" s="31">
        <v>4.0</v>
      </c>
      <c r="D359" s="8">
        <f>SUMIFS(KITUI!F:F,KITUI!A:A,"8/14")</f>
        <v>47808</v>
      </c>
      <c r="E359" s="11">
        <f>COUNTIFS(KITUI!A:A,"8/14")</f>
        <v>1</v>
      </c>
      <c r="F359" s="10">
        <f>SUMIFS(KITUI!G:G,KITUI!A:A,"8/14")</f>
        <v>48000</v>
      </c>
      <c r="G359" s="11">
        <f t="shared" si="82"/>
        <v>1</v>
      </c>
      <c r="H359" s="12">
        <f t="shared" si="83"/>
        <v>1.004016064</v>
      </c>
      <c r="I359" s="9">
        <f>COUNTIFS(KITUI!I:I,$G$18,KITUI!A:A,"8/14")</f>
        <v>0</v>
      </c>
      <c r="J359" s="11">
        <f>COUNTIFS(KITUI!I:I,$H$18,KITUI!A:A,"8/14")</f>
        <v>1</v>
      </c>
      <c r="K359" s="11">
        <f>COUNTIFS(KITUI!I:I,$I$18,KITUI!A:A,"8/14")</f>
        <v>0</v>
      </c>
      <c r="L359" s="2"/>
      <c r="M359" s="2"/>
      <c r="N359" s="2"/>
      <c r="O359" s="2"/>
      <c r="P359" s="2"/>
      <c r="Q359" s="2"/>
      <c r="R359" s="2"/>
      <c r="S359" s="2"/>
      <c r="T359" s="2"/>
      <c r="U359" s="2"/>
      <c r="V359" s="2"/>
      <c r="W359" s="2"/>
      <c r="X359" s="2"/>
      <c r="Y359" s="2"/>
      <c r="Z359" s="2"/>
      <c r="AA359" s="2"/>
      <c r="AB359" s="2"/>
    </row>
    <row r="360">
      <c r="A360" s="15" t="s">
        <v>22</v>
      </c>
      <c r="B360" s="8">
        <v>244058.47</v>
      </c>
      <c r="C360" s="31">
        <v>4.0</v>
      </c>
      <c r="D360" s="8">
        <f>SUMIFS(MACHAKOS!F:F,MACHAKOS!A:A,"8/14")</f>
        <v>237514</v>
      </c>
      <c r="E360" s="11">
        <f>COUNTIFS(MACHAKOS!A:A,"8/14")</f>
        <v>4</v>
      </c>
      <c r="F360" s="10">
        <f>SUMIFS(MACHAKOS!G:G,MACHAKOS!A:A,"8/14")</f>
        <v>0</v>
      </c>
      <c r="G360" s="11">
        <f t="shared" si="82"/>
        <v>0</v>
      </c>
      <c r="H360" s="12">
        <f t="shared" si="83"/>
        <v>0</v>
      </c>
      <c r="I360" s="9">
        <f>COUNTIFS(MACHAKOS!I:I,$G$18,MACHAKOS!A:A,"8/14")</f>
        <v>0</v>
      </c>
      <c r="J360" s="11">
        <f>COUNTIFS(MACHAKOS!I:I,$H$18,MACHAKOS!A:A,"8/14")</f>
        <v>0</v>
      </c>
      <c r="K360" s="11">
        <f>COUNTIFS(MACHAKOS!I:I,$I$18,MACHAKOS!A:A,"8/14")</f>
        <v>4</v>
      </c>
      <c r="L360" s="2"/>
      <c r="M360" s="2"/>
      <c r="N360" s="2"/>
      <c r="O360" s="2"/>
      <c r="P360" s="2"/>
      <c r="Q360" s="2"/>
      <c r="R360" s="2"/>
      <c r="S360" s="2"/>
      <c r="T360" s="2"/>
      <c r="U360" s="2"/>
      <c r="V360" s="2"/>
      <c r="W360" s="2"/>
      <c r="X360" s="2"/>
      <c r="Y360" s="2"/>
      <c r="Z360" s="2"/>
      <c r="AA360" s="2"/>
      <c r="AB360" s="2"/>
    </row>
    <row r="361">
      <c r="A361" s="1" t="s">
        <v>32</v>
      </c>
      <c r="B361" s="8"/>
      <c r="C361" s="30"/>
      <c r="D361" s="30">
        <v>2900000.0</v>
      </c>
      <c r="E361" s="28"/>
      <c r="F361" s="10"/>
      <c r="G361" s="28">
        <v>0.0</v>
      </c>
      <c r="H361" s="12">
        <f t="shared" si="83"/>
        <v>0</v>
      </c>
      <c r="I361" s="9">
        <f>COUNTIFS(MACHAKOS!I:I,$G$18,MACHAKOS!A:A,"8/14")</f>
        <v>0</v>
      </c>
      <c r="J361" s="11">
        <f>COUNTIFS(MACHAKOS!I:I,$H$18,MACHAKOS!A:A,"8/14")</f>
        <v>0</v>
      </c>
      <c r="K361" s="11">
        <f>COUNTIFS(MACHAKOS!I:I,$I$18,MACHAKOS!A:A,"8/14")</f>
        <v>4</v>
      </c>
      <c r="L361" s="2"/>
      <c r="M361" s="2"/>
      <c r="N361" s="2"/>
      <c r="O361" s="2"/>
      <c r="P361" s="2"/>
      <c r="Q361" s="2"/>
      <c r="R361" s="2"/>
      <c r="S361" s="2"/>
      <c r="T361" s="2"/>
      <c r="U361" s="2"/>
      <c r="V361" s="2"/>
      <c r="W361" s="2"/>
      <c r="X361" s="2"/>
      <c r="Y361" s="2"/>
      <c r="Z361" s="2"/>
      <c r="AA361" s="2"/>
      <c r="AB361" s="2"/>
    </row>
    <row r="362">
      <c r="A362" s="1" t="s">
        <v>31</v>
      </c>
      <c r="B362" s="8"/>
      <c r="C362" s="25"/>
      <c r="D362" s="25">
        <v>1000000.0</v>
      </c>
      <c r="E362" s="11"/>
      <c r="F362" s="29"/>
      <c r="G362" s="11"/>
      <c r="H362" s="12"/>
      <c r="I362" s="9"/>
      <c r="J362" s="11"/>
      <c r="K362" s="11"/>
      <c r="L362" s="2"/>
      <c r="M362" s="2"/>
      <c r="N362" s="2"/>
      <c r="O362" s="2"/>
      <c r="P362" s="2"/>
      <c r="Q362" s="2"/>
      <c r="R362" s="2"/>
      <c r="S362" s="2"/>
      <c r="T362" s="2"/>
      <c r="U362" s="2"/>
      <c r="V362" s="2"/>
      <c r="W362" s="2"/>
      <c r="X362" s="2"/>
      <c r="Y362" s="2"/>
      <c r="Z362" s="2"/>
      <c r="AA362" s="2"/>
      <c r="AB362" s="2"/>
    </row>
    <row r="363">
      <c r="A363" s="16" t="s">
        <v>23</v>
      </c>
      <c r="B363" s="17">
        <f t="shared" ref="B363:C363" si="84">SUM(B348:B360)</f>
        <v>2384233827</v>
      </c>
      <c r="C363" s="17">
        <f t="shared" si="84"/>
        <v>1962</v>
      </c>
      <c r="D363" s="17">
        <f t="shared" ref="D363:F363" si="85">SUM(D348:D362)</f>
        <v>39472745.83</v>
      </c>
      <c r="E363" s="18">
        <f t="shared" si="85"/>
        <v>240</v>
      </c>
      <c r="F363" s="19">
        <f t="shared" si="85"/>
        <v>5758957.42</v>
      </c>
      <c r="G363" s="18">
        <f>SUM(G348:G360)</f>
        <v>50</v>
      </c>
      <c r="H363" s="20">
        <f>F363/D363</f>
        <v>0.1458970563</v>
      </c>
      <c r="I363" s="21">
        <f t="shared" ref="I363:K363" si="86">SUM(I348:I362)</f>
        <v>17</v>
      </c>
      <c r="J363" s="21">
        <f t="shared" si="86"/>
        <v>33</v>
      </c>
      <c r="K363" s="21">
        <f t="shared" si="86"/>
        <v>191</v>
      </c>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3" t="s">
        <v>1</v>
      </c>
      <c r="B365" s="4" t="s">
        <v>33</v>
      </c>
      <c r="C365" s="4" t="s">
        <v>34</v>
      </c>
      <c r="D365" s="5" t="s">
        <v>2</v>
      </c>
      <c r="E365" s="5" t="s">
        <v>3</v>
      </c>
      <c r="F365" s="5" t="s">
        <v>4</v>
      </c>
      <c r="G365" s="5" t="s">
        <v>5</v>
      </c>
      <c r="H365" s="26" t="s">
        <v>6</v>
      </c>
      <c r="I365" s="26" t="s">
        <v>7</v>
      </c>
      <c r="J365" s="26" t="s">
        <v>8</v>
      </c>
      <c r="K365" s="26" t="s">
        <v>9</v>
      </c>
      <c r="L365" s="2"/>
      <c r="M365" s="2"/>
      <c r="N365" s="2"/>
      <c r="O365" s="2"/>
      <c r="P365" s="2"/>
      <c r="Q365" s="2"/>
      <c r="R365" s="2"/>
      <c r="S365" s="2"/>
      <c r="T365" s="2"/>
      <c r="U365" s="2"/>
      <c r="V365" s="2"/>
      <c r="W365" s="2"/>
      <c r="X365" s="2"/>
      <c r="Y365" s="2"/>
      <c r="Z365" s="2"/>
      <c r="AA365" s="2"/>
      <c r="AB365" s="2"/>
    </row>
    <row r="366">
      <c r="A366" s="7" t="s">
        <v>10</v>
      </c>
      <c r="B366" s="32">
        <v>8.5299062019E8</v>
      </c>
      <c r="C366" s="33">
        <v>393.0</v>
      </c>
      <c r="D366" s="8">
        <f>SUMIFS(ECOBANK!F:F,ECOBANK!A:A,"8/15")</f>
        <v>6899584.07</v>
      </c>
      <c r="E366" s="9">
        <f>COUNTIFS(ECOBANK!A:A,"8/15")</f>
        <v>21</v>
      </c>
      <c r="F366" s="10">
        <f>SUMIFS(ECOBANK!G:G,ECOBANK!A:A,"8/15")</f>
        <v>1714500</v>
      </c>
      <c r="G366" s="11">
        <f t="shared" ref="G366:G378" si="87">I366+J366</f>
        <v>5</v>
      </c>
      <c r="H366" s="12">
        <f t="shared" ref="H366:H379" si="88">iferror(F366/D366,0)</f>
        <v>0.24849324</v>
      </c>
      <c r="I366" s="9">
        <f>COUNTIFS(ECOBANK!I:I,$G$18,ECOBANK!A:A,"8/15")</f>
        <v>2</v>
      </c>
      <c r="J366" s="11">
        <f>COUNTIFS(ECOBANK!I:I,$H$18,ECOBANK!A:A,"8/15")</f>
        <v>3</v>
      </c>
      <c r="K366" s="11">
        <f>COUNTIFS(ECOBANK!I:I,$I$18,ECOBANK!A:A,"8/15")</f>
        <v>16</v>
      </c>
      <c r="L366" s="2"/>
      <c r="M366" s="2"/>
      <c r="N366" s="2"/>
      <c r="O366" s="2"/>
      <c r="P366" s="2"/>
      <c r="Q366" s="2"/>
      <c r="R366" s="2"/>
      <c r="S366" s="2"/>
      <c r="T366" s="2"/>
      <c r="U366" s="2"/>
      <c r="V366" s="2"/>
      <c r="W366" s="2"/>
      <c r="X366" s="2"/>
      <c r="Y366" s="2"/>
      <c r="Z366" s="2"/>
      <c r="AA366" s="2"/>
      <c r="AB366" s="2"/>
    </row>
    <row r="367">
      <c r="A367" s="7" t="s">
        <v>24</v>
      </c>
      <c r="B367" s="32">
        <v>6.1744411126E8</v>
      </c>
      <c r="C367" s="33">
        <v>250.0</v>
      </c>
      <c r="D367" s="8">
        <f>SUMIFS('TRADE CENTER'!F:F,'TRADE CENTER'!A:A,"8/15")</f>
        <v>14109596.99</v>
      </c>
      <c r="E367" s="11">
        <f>COUNTIFS('TRADE CENTER'!A:A,"8/15")</f>
        <v>39</v>
      </c>
      <c r="F367" s="10">
        <f>SUMIFS('TRADE CENTER'!G:G,'TRADE CENTER'!A:A,"8/15")</f>
        <v>4248954.31</v>
      </c>
      <c r="G367" s="11">
        <f t="shared" si="87"/>
        <v>8</v>
      </c>
      <c r="H367" s="12">
        <f t="shared" si="88"/>
        <v>0.3011393106</v>
      </c>
      <c r="I367" s="11">
        <f>COUNTIFS('TRADE CENTER'!I:I,$G$18,'TRADE CENTER'!A:A,"8/15")</f>
        <v>3</v>
      </c>
      <c r="J367" s="11">
        <f>COUNTIFS('TRADE CENTER'!I:I,$H$18,'TRADE CENTER'!A:A,"8/15")</f>
        <v>5</v>
      </c>
      <c r="K367" s="11">
        <f>COUNTIFS('TRADE CENTER'!I:I,$I$18,'TRADE CENTER'!A:A,"8/15")</f>
        <v>31</v>
      </c>
      <c r="L367" s="2"/>
      <c r="M367" s="2"/>
      <c r="N367" s="2"/>
      <c r="O367" s="2"/>
      <c r="P367" s="2"/>
      <c r="Q367" s="2"/>
      <c r="R367" s="2"/>
      <c r="S367" s="2"/>
      <c r="T367" s="2"/>
      <c r="U367" s="2"/>
      <c r="V367" s="2"/>
      <c r="W367" s="2"/>
      <c r="X367" s="2"/>
      <c r="Y367" s="2"/>
      <c r="Z367" s="2"/>
      <c r="AA367" s="2"/>
      <c r="AB367" s="2"/>
    </row>
    <row r="368">
      <c r="A368" s="7" t="s">
        <v>12</v>
      </c>
      <c r="B368" s="32">
        <v>2.6058543158E8</v>
      </c>
      <c r="C368" s="33">
        <v>380.0</v>
      </c>
      <c r="D368" s="8">
        <f>SUMIFS(PENSION!F:F,PENSION!A:A,"8/15/2024")</f>
        <v>9261227.8</v>
      </c>
      <c r="E368" s="11">
        <f>COUNTIFS(PENSION!A:A,"8/15")</f>
        <v>48</v>
      </c>
      <c r="F368" s="10">
        <f>SUMIFS(PENSION!G:G,PENSION!A:A,"8/15/2024")</f>
        <v>843496</v>
      </c>
      <c r="G368" s="11">
        <f t="shared" si="87"/>
        <v>6</v>
      </c>
      <c r="H368" s="12">
        <f t="shared" si="88"/>
        <v>0.09107820456</v>
      </c>
      <c r="I368" s="9">
        <f>COUNTIFS(PENSION!I:I,$G$18,PENSION!A:A,"8/15")</f>
        <v>2</v>
      </c>
      <c r="J368" s="11">
        <f>COUNTIFS(PENSION!I:I,$H$18,PENSION!A:A,"8/15")</f>
        <v>4</v>
      </c>
      <c r="K368" s="11">
        <f>COUNTIFS(PENSION!I:I,$I$18,PENSION!A:A,"8/15")</f>
        <v>42</v>
      </c>
      <c r="L368" s="2"/>
      <c r="M368" s="2"/>
      <c r="N368" s="2"/>
      <c r="O368" s="2"/>
      <c r="P368" s="2"/>
      <c r="Q368" s="2"/>
      <c r="R368" s="2"/>
      <c r="S368" s="2"/>
      <c r="T368" s="2"/>
      <c r="U368" s="2"/>
      <c r="V368" s="2"/>
      <c r="W368" s="2"/>
      <c r="X368" s="2"/>
      <c r="Y368" s="2"/>
      <c r="Z368" s="2"/>
      <c r="AA368" s="2"/>
      <c r="AB368" s="2"/>
    </row>
    <row r="369">
      <c r="A369" s="7" t="s">
        <v>13</v>
      </c>
      <c r="B369" s="32">
        <v>1.1089480504E8</v>
      </c>
      <c r="C369" s="33">
        <v>303.0</v>
      </c>
      <c r="D369" s="8">
        <f>SUMIFS(KITENGELA!F:F,KITENGELA!A:A,"8/15/2024")</f>
        <v>4949305.93</v>
      </c>
      <c r="E369" s="11">
        <f>COUNTIFS(KITENGELA!A:A,"8/15")</f>
        <v>27</v>
      </c>
      <c r="F369" s="10">
        <f>SUMIFS(KITENGELA!G:G,KITENGELA!A:A,"8/15")</f>
        <v>541430</v>
      </c>
      <c r="G369" s="11">
        <f t="shared" si="87"/>
        <v>4</v>
      </c>
      <c r="H369" s="12">
        <f t="shared" si="88"/>
        <v>0.1093951369</v>
      </c>
      <c r="I369" s="11">
        <f>COUNTIFS(KITENGELA!I:I,$G$18,KITENGELA!A:A,"8/15")</f>
        <v>2</v>
      </c>
      <c r="J369" s="11">
        <f>COUNTIFS(KITENGELA!I:I,$H$18,KITENGELA!A:A,"8/15")</f>
        <v>2</v>
      </c>
      <c r="K369" s="11">
        <f>COUNTIFS(KITENGELA!I:I,$I$18,KITENGELA!A:A,"8/15")</f>
        <v>23</v>
      </c>
      <c r="L369" s="2"/>
      <c r="M369" s="2"/>
      <c r="N369" s="2"/>
      <c r="O369" s="2"/>
      <c r="P369" s="2"/>
      <c r="Q369" s="2"/>
      <c r="R369" s="2"/>
      <c r="S369" s="2"/>
      <c r="T369" s="2"/>
      <c r="U369" s="2"/>
      <c r="V369" s="2"/>
      <c r="W369" s="2"/>
      <c r="X369" s="2"/>
      <c r="Y369" s="2"/>
      <c r="Z369" s="2"/>
      <c r="AA369" s="2"/>
      <c r="AB369" s="2"/>
    </row>
    <row r="370">
      <c r="A370" s="7" t="s">
        <v>14</v>
      </c>
      <c r="B370" s="32">
        <v>1.5964680159E8</v>
      </c>
      <c r="C370" s="33">
        <v>167.0</v>
      </c>
      <c r="D370" s="8">
        <f>SUMIFS(ELDORET!F:F,ELDORET!A:A,"8/15")</f>
        <v>1350461.15</v>
      </c>
      <c r="E370" s="11">
        <f>COUNTIFS(ELDORET!A:A,"8/15")</f>
        <v>21</v>
      </c>
      <c r="F370" s="10">
        <f>SUMIFS(ELDORET!G:G,ELDORET!A:A,"8/15")</f>
        <v>249818</v>
      </c>
      <c r="G370" s="11">
        <f t="shared" si="87"/>
        <v>2</v>
      </c>
      <c r="H370" s="12">
        <f t="shared" si="88"/>
        <v>0.1849871801</v>
      </c>
      <c r="I370" s="11">
        <f>COUNTIFS(ELDORET!I:I,$G$18,ELDORET!A:A,"8/15")</f>
        <v>0</v>
      </c>
      <c r="J370" s="11">
        <f>COUNTIFS(ELDORET!I:I,$H$18,ELDORET!A:A,"8/15")</f>
        <v>2</v>
      </c>
      <c r="K370" s="11">
        <f>COUNTIFS(ELDORET!I:I,$I$18,ELDORET!A:A,"8/15")</f>
        <v>19</v>
      </c>
      <c r="L370" s="2"/>
      <c r="M370" s="2"/>
      <c r="N370" s="2"/>
      <c r="O370" s="2"/>
      <c r="P370" s="2"/>
      <c r="Q370" s="2"/>
      <c r="R370" s="2"/>
      <c r="S370" s="2"/>
      <c r="T370" s="2"/>
      <c r="U370" s="2"/>
      <c r="V370" s="2"/>
      <c r="W370" s="2"/>
      <c r="X370" s="2"/>
      <c r="Y370" s="2"/>
      <c r="Z370" s="2"/>
      <c r="AA370" s="2"/>
      <c r="AB370" s="2"/>
    </row>
    <row r="371">
      <c r="A371" s="7" t="s">
        <v>15</v>
      </c>
      <c r="B371" s="32">
        <v>1.619061519E7</v>
      </c>
      <c r="C371" s="33">
        <v>21.0</v>
      </c>
      <c r="D371" s="8">
        <f>SUMIFS(NAKURU!F:F,NAKURU!A:A,"8/15")</f>
        <v>211925</v>
      </c>
      <c r="E371" s="11">
        <f>COUNTIFS(NAKURU!A:A,"8/15")</f>
        <v>5</v>
      </c>
      <c r="F371" s="10">
        <f>SUMIFS(NAKURU!G:G,NAKURU!A:A,"8/15")</f>
        <v>0</v>
      </c>
      <c r="G371" s="11">
        <f t="shared" si="87"/>
        <v>0</v>
      </c>
      <c r="H371" s="12">
        <f t="shared" si="88"/>
        <v>0</v>
      </c>
      <c r="I371" s="9">
        <f>COUNTIFS(NAKURU!I:I,$G$18,NAKURU!A:A,"8/15")</f>
        <v>0</v>
      </c>
      <c r="J371" s="11">
        <f>COUNTIFS(NAKURU!I:I,$H$18,NAKURU!A:A,"8/15")</f>
        <v>0</v>
      </c>
      <c r="K371" s="11">
        <f>COUNTIFS(NAKURU!I:I,$I$18,NAKURU!A:A,"8/15")</f>
        <v>5</v>
      </c>
      <c r="L371" s="2"/>
      <c r="M371" s="2"/>
      <c r="N371" s="2"/>
      <c r="O371" s="2"/>
      <c r="P371" s="2"/>
      <c r="Q371" s="2"/>
      <c r="R371" s="2"/>
      <c r="S371" s="2"/>
      <c r="T371" s="2"/>
      <c r="U371" s="2"/>
      <c r="V371" s="2"/>
      <c r="W371" s="2"/>
      <c r="X371" s="2"/>
      <c r="Y371" s="2"/>
      <c r="Z371" s="2"/>
      <c r="AA371" s="2"/>
      <c r="AB371" s="2"/>
    </row>
    <row r="372">
      <c r="A372" s="7" t="s">
        <v>16</v>
      </c>
      <c r="B372" s="32">
        <v>1.217522431E7</v>
      </c>
      <c r="C372" s="33">
        <v>19.0</v>
      </c>
      <c r="D372" s="8">
        <f>SUMIFS(HOMABAY!F:F,HOMABAY!A:A,"8/15")</f>
        <v>180000</v>
      </c>
      <c r="E372" s="11">
        <f>COUNTIFS(HOMABAY!A:A,"8/15")</f>
        <v>1</v>
      </c>
      <c r="F372" s="10">
        <f>SUMIFS(HOMABAY!G:G,HOMABAY!A:A,"8/15")</f>
        <v>0</v>
      </c>
      <c r="G372" s="11">
        <f t="shared" si="87"/>
        <v>0</v>
      </c>
      <c r="H372" s="12">
        <f t="shared" si="88"/>
        <v>0</v>
      </c>
      <c r="I372" s="9">
        <f>COUNTIFS(HOMABAY!K:K,$G$18,HOMABAY!A:A,"8/15")</f>
        <v>0</v>
      </c>
      <c r="J372" s="11">
        <f>COUNTIFS(HOMABAY!K:K,$H$18,HOMABAY!A:A,"8/15")</f>
        <v>0</v>
      </c>
      <c r="K372" s="11">
        <f>COUNTIFS(HOMABAY!K:K,$I$18,HOMABAY!A:A,"8/15")</f>
        <v>1</v>
      </c>
      <c r="L372" s="2"/>
      <c r="M372" s="2"/>
      <c r="N372" s="2"/>
      <c r="O372" s="2"/>
      <c r="P372" s="2"/>
      <c r="Q372" s="2"/>
      <c r="R372" s="2"/>
      <c r="S372" s="2"/>
      <c r="T372" s="2"/>
      <c r="U372" s="2"/>
      <c r="V372" s="2"/>
      <c r="W372" s="2"/>
      <c r="X372" s="2"/>
      <c r="Y372" s="2"/>
      <c r="Z372" s="2"/>
      <c r="AA372" s="2"/>
      <c r="AB372" s="2"/>
    </row>
    <row r="373">
      <c r="A373" s="7" t="s">
        <v>17</v>
      </c>
      <c r="B373" s="32">
        <v>1.9916782635E8</v>
      </c>
      <c r="C373" s="33">
        <v>180.0</v>
      </c>
      <c r="D373" s="8">
        <f>SUMIFS(MOMBASA!F:F,MOMBASA!A:A,"8/15")</f>
        <v>1964047.33</v>
      </c>
      <c r="E373" s="11">
        <f>COUNTIFS(MOMBASA!A:A,"8/15")</f>
        <v>19</v>
      </c>
      <c r="F373" s="27">
        <f>SUMIFS(MOMBASA!G:G,MOMBASA!A:A,"8/15")</f>
        <v>1379619</v>
      </c>
      <c r="G373" s="11">
        <f t="shared" si="87"/>
        <v>8</v>
      </c>
      <c r="H373" s="12">
        <f t="shared" si="88"/>
        <v>0.7024367381</v>
      </c>
      <c r="I373" s="9">
        <f>COUNTIFS(MOMBASA!I:I,$G$18,MOMBASA!A:A,"8/15")</f>
        <v>2</v>
      </c>
      <c r="J373" s="11">
        <f>COUNTIFS(MOMBASA!I:I,$H$18,MOMBASA!A:A,"8/15")</f>
        <v>6</v>
      </c>
      <c r="K373" s="11">
        <f>COUNTIFS(MOMBASA!I:I,$I$18,MOMBASA!A:A,"8/15")</f>
        <v>11</v>
      </c>
      <c r="L373" s="2"/>
      <c r="M373" s="2"/>
      <c r="N373" s="2"/>
      <c r="O373" s="2"/>
      <c r="P373" s="2"/>
      <c r="Q373" s="2"/>
      <c r="R373" s="2"/>
      <c r="S373" s="2"/>
      <c r="T373" s="2"/>
      <c r="U373" s="2"/>
      <c r="V373" s="2"/>
      <c r="W373" s="2"/>
      <c r="X373" s="2"/>
      <c r="Y373" s="2"/>
      <c r="Z373" s="2"/>
      <c r="AA373" s="2"/>
      <c r="AB373" s="2"/>
    </row>
    <row r="374">
      <c r="A374" s="7" t="s">
        <v>18</v>
      </c>
      <c r="B374" s="32">
        <v>8.559933701E7</v>
      </c>
      <c r="C374" s="33">
        <v>84.0</v>
      </c>
      <c r="D374" s="8">
        <f>SUMIFS(KISUMU!F:F,KISUMU!A:A,"8/15")</f>
        <v>1522622.95</v>
      </c>
      <c r="E374" s="11">
        <f>COUNTIFS(KISUMU!A:A,"8/15")</f>
        <v>25</v>
      </c>
      <c r="F374" s="10">
        <f>SUMIFS(KISUMU!G:G,KISUMU!A:A,"8/15")</f>
        <v>168620</v>
      </c>
      <c r="G374" s="11">
        <f t="shared" si="87"/>
        <v>4</v>
      </c>
      <c r="H374" s="12">
        <f t="shared" si="88"/>
        <v>0.1107431094</v>
      </c>
      <c r="I374" s="9">
        <f>COUNTIFS(KISUMU!I:I,$G$18,KISUMU!A:A,"8/15")</f>
        <v>2</v>
      </c>
      <c r="J374" s="11">
        <f>COUNTIFS(KISUMU!I:I,$H$18,KISUMU!A:A,"8/15")</f>
        <v>2</v>
      </c>
      <c r="K374" s="11">
        <f>COUNTIFS(KISUMU!I:I,$I$18,KISUMU!A:A,"8/15")</f>
        <v>21</v>
      </c>
      <c r="L374" s="2"/>
      <c r="M374" s="2"/>
      <c r="N374" s="2"/>
      <c r="O374" s="2"/>
      <c r="P374" s="2"/>
      <c r="Q374" s="2"/>
      <c r="R374" s="2"/>
      <c r="S374" s="2"/>
      <c r="T374" s="2"/>
      <c r="U374" s="2"/>
      <c r="V374" s="2"/>
      <c r="W374" s="2"/>
      <c r="X374" s="2"/>
      <c r="Y374" s="2"/>
      <c r="Z374" s="2"/>
      <c r="AA374" s="2"/>
      <c r="AB374" s="2"/>
    </row>
    <row r="375">
      <c r="A375" s="7" t="s">
        <v>19</v>
      </c>
      <c r="B375" s="32">
        <v>7395966.84</v>
      </c>
      <c r="C375" s="33">
        <v>20.0</v>
      </c>
      <c r="D375" s="8">
        <f>SUMIFS(VOI!F:F,VOI!A:A,"8/15")</f>
        <v>198037</v>
      </c>
      <c r="E375" s="11">
        <f>COUNTIFS(VOI!A:A,"8/15")</f>
        <v>8</v>
      </c>
      <c r="F375" s="10">
        <f>SUMIFS(VOI!G:G,VOI!A:A,"8/15")</f>
        <v>31879</v>
      </c>
      <c r="G375" s="11">
        <f t="shared" si="87"/>
        <v>2</v>
      </c>
      <c r="H375" s="12">
        <f t="shared" si="88"/>
        <v>0.1609749693</v>
      </c>
      <c r="I375" s="9">
        <f>COUNTIFS(VOI!H:H,$G$18,VOI!A:A,"8/15")</f>
        <v>1</v>
      </c>
      <c r="J375" s="11">
        <f>COUNTIFS(VOI!H:H,$H$18,VOI!A:A,"8/15")</f>
        <v>1</v>
      </c>
      <c r="K375" s="11">
        <f>COUNTIFS(VOI!H:H,$I$18,VOI!A:A,"8/15")</f>
        <v>6</v>
      </c>
      <c r="L375" s="2"/>
      <c r="M375" s="2"/>
      <c r="N375" s="2"/>
      <c r="O375" s="2"/>
      <c r="P375" s="2"/>
      <c r="Q375" s="2"/>
      <c r="R375" s="2"/>
      <c r="S375" s="2"/>
      <c r="T375" s="2"/>
      <c r="U375" s="2"/>
      <c r="V375" s="2"/>
      <c r="W375" s="2"/>
      <c r="X375" s="2"/>
      <c r="Y375" s="2"/>
      <c r="Z375" s="2"/>
      <c r="AA375" s="2"/>
      <c r="AB375" s="2"/>
    </row>
    <row r="376">
      <c r="A376" s="7" t="s">
        <v>20</v>
      </c>
      <c r="B376" s="32">
        <v>5.436394825E7</v>
      </c>
      <c r="C376" s="33">
        <v>89.0</v>
      </c>
      <c r="D376" s="8">
        <f>SUMIFS(THIKA!F:F,THIKA!A:A,"8/15")</f>
        <v>1004346.46</v>
      </c>
      <c r="E376" s="11">
        <f>COUNTIFS(THIKA!A:A,"8/15")</f>
        <v>20</v>
      </c>
      <c r="F376" s="10">
        <f>SUMIFS(THIKA!G:G,THIKA!A:A,"8/15")</f>
        <v>6500</v>
      </c>
      <c r="G376" s="11">
        <f t="shared" si="87"/>
        <v>4</v>
      </c>
      <c r="H376" s="12">
        <f t="shared" si="88"/>
        <v>0.006471870275</v>
      </c>
      <c r="I376" s="9">
        <f>COUNTIFS(THIKA!I:I,$G$18,THIKA!A:A,"8/15")</f>
        <v>2</v>
      </c>
      <c r="J376" s="11">
        <f>COUNTIFS(THIKA!I:I,$H$18,THIKA!A:A,"8/15")</f>
        <v>2</v>
      </c>
      <c r="K376" s="11">
        <f>COUNTIFS(THIKA!I:I,$I$18,THIKA!A:A,"8/15")</f>
        <v>16</v>
      </c>
      <c r="L376" s="2"/>
      <c r="M376" s="2"/>
      <c r="N376" s="2"/>
      <c r="O376" s="2"/>
      <c r="P376" s="2"/>
      <c r="Q376" s="2"/>
      <c r="R376" s="2"/>
      <c r="S376" s="2"/>
      <c r="T376" s="2"/>
      <c r="U376" s="2"/>
      <c r="V376" s="2"/>
      <c r="W376" s="2"/>
      <c r="X376" s="2"/>
      <c r="Y376" s="2"/>
      <c r="Z376" s="2"/>
      <c r="AA376" s="2"/>
      <c r="AB376" s="2"/>
    </row>
    <row r="377">
      <c r="A377" s="7" t="s">
        <v>21</v>
      </c>
      <c r="B377" s="32">
        <v>1099471.6</v>
      </c>
      <c r="C377" s="33">
        <v>4.0</v>
      </c>
      <c r="D377" s="8">
        <f>SUMIFS(KITUI!F:F,KITUI!A:A,"8/15")</f>
        <v>32939</v>
      </c>
      <c r="E377" s="11">
        <f>COUNTIFS(KITUI!A:A,"8/15")</f>
        <v>1</v>
      </c>
      <c r="F377" s="10">
        <f>SUMIFS(KITUI!G:G,KITUI!A:A,"8/15")</f>
        <v>0</v>
      </c>
      <c r="G377" s="11">
        <f t="shared" si="87"/>
        <v>0</v>
      </c>
      <c r="H377" s="12">
        <f t="shared" si="88"/>
        <v>0</v>
      </c>
      <c r="I377" s="9">
        <f>COUNTIFS(KITUI!I:I,$G$18,KITUI!A:A,"8/15")</f>
        <v>0</v>
      </c>
      <c r="J377" s="11">
        <f>COUNTIFS(KITUI!I:I,$H$18,KITUI!A:A,"8/15")</f>
        <v>0</v>
      </c>
      <c r="K377" s="11">
        <f>COUNTIFS(KITUI!I:I,$I$18,KITUI!A:A,"8/15")</f>
        <v>1</v>
      </c>
      <c r="L377" s="2"/>
      <c r="M377" s="2"/>
      <c r="N377" s="2"/>
      <c r="O377" s="2"/>
      <c r="P377" s="2"/>
      <c r="Q377" s="2"/>
      <c r="R377" s="2"/>
      <c r="S377" s="2"/>
      <c r="T377" s="2"/>
      <c r="U377" s="2"/>
      <c r="V377" s="2"/>
      <c r="W377" s="2"/>
      <c r="X377" s="2"/>
      <c r="Y377" s="2"/>
      <c r="Z377" s="2"/>
      <c r="AA377" s="2"/>
      <c r="AB377" s="2"/>
    </row>
    <row r="378">
      <c r="A378" s="15" t="s">
        <v>22</v>
      </c>
      <c r="B378" s="32">
        <v>244480.07</v>
      </c>
      <c r="C378" s="33">
        <v>4.0</v>
      </c>
      <c r="D378" s="8">
        <f>SUMIFS(MACHAKOS!F:F,MACHAKOS!A:A,"8/15")</f>
        <v>233514</v>
      </c>
      <c r="E378" s="11">
        <f>COUNTIFS(MACHAKOS!A:A,"8/15")</f>
        <v>3</v>
      </c>
      <c r="F378" s="10">
        <f>SUMIFS(MACHAKOS!G:G,MACHAKOS!A:A,"8/15")</f>
        <v>10000</v>
      </c>
      <c r="G378" s="11">
        <f t="shared" si="87"/>
        <v>0</v>
      </c>
      <c r="H378" s="12">
        <f t="shared" si="88"/>
        <v>0.04282398486</v>
      </c>
      <c r="I378" s="9">
        <f>COUNTIFS(MACHAKOS!I:I,$G$18,MACHAKOS!A:A,"8/15")</f>
        <v>0</v>
      </c>
      <c r="J378" s="11">
        <f>COUNTIFS(MACHAKOS!I:I,$H$18,MACHAKOS!A:A,"8/15")</f>
        <v>0</v>
      </c>
      <c r="K378" s="11">
        <f>COUNTIFS(MACHAKOS!I:I,$I$18,MACHAKOS!A:A,"8/15")</f>
        <v>3</v>
      </c>
      <c r="L378" s="2"/>
      <c r="M378" s="2"/>
      <c r="N378" s="2"/>
      <c r="O378" s="2"/>
      <c r="P378" s="2"/>
      <c r="Q378" s="2"/>
      <c r="R378" s="2"/>
      <c r="S378" s="2"/>
      <c r="T378" s="2"/>
      <c r="U378" s="2"/>
      <c r="V378" s="2"/>
      <c r="W378" s="2"/>
      <c r="X378" s="2"/>
      <c r="Y378" s="2"/>
      <c r="Z378" s="2"/>
      <c r="AA378" s="2"/>
      <c r="AB378" s="2"/>
    </row>
    <row r="379">
      <c r="A379" s="1" t="s">
        <v>32</v>
      </c>
      <c r="B379" s="8"/>
      <c r="C379" s="30"/>
      <c r="D379" s="30">
        <v>3800000.0</v>
      </c>
      <c r="E379" s="34">
        <v>4.0</v>
      </c>
      <c r="F379" s="34">
        <v>400000.0</v>
      </c>
      <c r="G379" s="28">
        <v>0.0</v>
      </c>
      <c r="H379" s="12">
        <f t="shared" si="88"/>
        <v>0.1052631579</v>
      </c>
      <c r="I379" s="9">
        <f>COUNTIFS(MACHAKOS!I:I,$G$18,MACHAKOS!A:A,"8/15")</f>
        <v>0</v>
      </c>
      <c r="J379" s="28">
        <v>1.0</v>
      </c>
      <c r="K379" s="28">
        <v>3.0</v>
      </c>
      <c r="L379" s="2"/>
      <c r="M379" s="2"/>
      <c r="N379" s="2"/>
      <c r="O379" s="2"/>
      <c r="P379" s="2"/>
      <c r="Q379" s="2"/>
      <c r="R379" s="2"/>
      <c r="S379" s="2"/>
      <c r="T379" s="2"/>
      <c r="U379" s="2"/>
      <c r="V379" s="2"/>
      <c r="W379" s="2"/>
      <c r="X379" s="2"/>
      <c r="Y379" s="2"/>
      <c r="Z379" s="2"/>
      <c r="AA379" s="2"/>
      <c r="AB379" s="2"/>
    </row>
    <row r="380">
      <c r="A380" s="1" t="s">
        <v>31</v>
      </c>
      <c r="B380" s="8"/>
      <c r="C380" s="25"/>
      <c r="D380" s="25">
        <v>1.2E7</v>
      </c>
      <c r="E380" s="35"/>
      <c r="F380" s="29">
        <v>333614.0</v>
      </c>
      <c r="G380" s="11"/>
      <c r="H380" s="12"/>
      <c r="I380" s="9"/>
      <c r="J380" s="11"/>
      <c r="K380" s="11"/>
      <c r="L380" s="2"/>
      <c r="M380" s="2"/>
      <c r="N380" s="2"/>
      <c r="O380" s="2"/>
      <c r="P380" s="2"/>
      <c r="Q380" s="2"/>
      <c r="R380" s="2"/>
      <c r="S380" s="2"/>
      <c r="T380" s="2"/>
      <c r="U380" s="2"/>
      <c r="V380" s="2"/>
      <c r="W380" s="2"/>
      <c r="X380" s="2"/>
      <c r="Y380" s="2"/>
      <c r="Z380" s="2"/>
      <c r="AA380" s="2"/>
      <c r="AB380" s="2"/>
    </row>
    <row r="381">
      <c r="A381" s="16" t="s">
        <v>23</v>
      </c>
      <c r="B381" s="17">
        <f>SUM(B366:B378)</f>
        <v>2377798639</v>
      </c>
      <c r="C381" s="36" t="s">
        <v>35</v>
      </c>
      <c r="D381" s="17">
        <f>SUM(D366:D380)</f>
        <v>57717607.68</v>
      </c>
      <c r="E381" s="37" t="s">
        <v>36</v>
      </c>
      <c r="F381" s="19">
        <f>SUM(F366:F380)</f>
        <v>9928430.31</v>
      </c>
      <c r="G381" s="18">
        <f>SUM(G366:G378)</f>
        <v>43</v>
      </c>
      <c r="H381" s="20">
        <f>F381/D381</f>
        <v>0.1720173567</v>
      </c>
      <c r="I381" s="21">
        <f t="shared" ref="I381:K381" si="89">SUM(I366:I380)</f>
        <v>16</v>
      </c>
      <c r="J381" s="21">
        <f t="shared" si="89"/>
        <v>28</v>
      </c>
      <c r="K381" s="21">
        <f t="shared" si="89"/>
        <v>198</v>
      </c>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3" t="s">
        <v>1</v>
      </c>
      <c r="B383" s="4" t="s">
        <v>33</v>
      </c>
      <c r="C383" s="4" t="s">
        <v>34</v>
      </c>
      <c r="D383" s="5" t="s">
        <v>2</v>
      </c>
      <c r="E383" s="5" t="s">
        <v>3</v>
      </c>
      <c r="F383" s="5" t="s">
        <v>4</v>
      </c>
      <c r="G383" s="5" t="s">
        <v>5</v>
      </c>
      <c r="H383" s="26" t="s">
        <v>6</v>
      </c>
      <c r="I383" s="26" t="s">
        <v>7</v>
      </c>
      <c r="J383" s="26" t="s">
        <v>8</v>
      </c>
      <c r="K383" s="26" t="s">
        <v>9</v>
      </c>
      <c r="L383" s="2"/>
      <c r="M383" s="2"/>
      <c r="N383" s="2"/>
      <c r="O383" s="2"/>
      <c r="P383" s="2"/>
      <c r="Q383" s="2"/>
      <c r="R383" s="2"/>
      <c r="S383" s="2"/>
      <c r="T383" s="2"/>
      <c r="U383" s="2"/>
      <c r="V383" s="2"/>
      <c r="W383" s="2"/>
      <c r="X383" s="2"/>
      <c r="Y383" s="2"/>
      <c r="Z383" s="2"/>
      <c r="AA383" s="2"/>
      <c r="AB383" s="2"/>
    </row>
    <row r="384">
      <c r="A384" s="7" t="s">
        <v>10</v>
      </c>
      <c r="B384" s="32">
        <v>8.5231992764E8</v>
      </c>
      <c r="C384" s="33">
        <v>392.0</v>
      </c>
      <c r="D384" s="8">
        <f>SUMIFS(ECOBANK!F:F,ECOBANK!A:A,"8/16")</f>
        <v>5177375.07</v>
      </c>
      <c r="E384" s="9">
        <f>COUNTIFS(ECOBANK!A:A,"8/16")</f>
        <v>14</v>
      </c>
      <c r="F384" s="10">
        <f>SUMIFS(ECOBANK!G:G,ECOBANK!A:A,"8/16")</f>
        <v>2000138</v>
      </c>
      <c r="G384" s="11">
        <f t="shared" ref="G384:G396" si="90">I384+J384</f>
        <v>5</v>
      </c>
      <c r="H384" s="12">
        <f t="shared" ref="H384:H397" si="91">iferror(F384/D384,0)</f>
        <v>0.3863227935</v>
      </c>
      <c r="I384" s="9">
        <f>COUNTIFS(ECOBANK!I:I,$G$18,ECOBANK!A:A,"8/16")</f>
        <v>1</v>
      </c>
      <c r="J384" s="11">
        <f>COUNTIFS(ECOBANK!I:I,$H$18,ECOBANK!A:A,"8/16")</f>
        <v>4</v>
      </c>
      <c r="K384" s="11">
        <f>COUNTIFS(ECOBANK!I:I,$I$18,ECOBANK!A:A,"8/16")</f>
        <v>9</v>
      </c>
      <c r="L384" s="2"/>
      <c r="M384" s="2"/>
      <c r="N384" s="2"/>
      <c r="O384" s="2"/>
      <c r="P384" s="2"/>
      <c r="Q384" s="2"/>
      <c r="R384" s="2"/>
      <c r="S384" s="2"/>
      <c r="T384" s="2"/>
      <c r="U384" s="2"/>
      <c r="V384" s="2"/>
      <c r="W384" s="2"/>
      <c r="X384" s="2"/>
      <c r="Y384" s="2"/>
      <c r="Z384" s="2"/>
      <c r="AA384" s="2"/>
      <c r="AB384" s="2"/>
    </row>
    <row r="385">
      <c r="A385" s="7" t="s">
        <v>24</v>
      </c>
      <c r="B385" s="32">
        <v>6.1472024684E8</v>
      </c>
      <c r="C385" s="33">
        <v>248.0</v>
      </c>
      <c r="D385" s="8">
        <f>SUMIFS('TRADE CENTER'!F:F,'TRADE CENTER'!A:A,"8/16")</f>
        <v>8584408.27</v>
      </c>
      <c r="E385" s="11">
        <f>COUNTIFS('TRADE CENTER'!A:A,"8/16")</f>
        <v>34</v>
      </c>
      <c r="F385" s="10">
        <f>SUMIFS('TRADE CENTER'!G:G,'TRADE CENTER'!A:A,"8/16")</f>
        <v>1103735</v>
      </c>
      <c r="G385" s="11">
        <f t="shared" si="90"/>
        <v>3</v>
      </c>
      <c r="H385" s="12">
        <f t="shared" si="91"/>
        <v>0.1285743834</v>
      </c>
      <c r="I385" s="11">
        <f>COUNTIFS('TRADE CENTER'!I:I,$G$18,'TRADE CENTER'!A:A,"8/16")</f>
        <v>2</v>
      </c>
      <c r="J385" s="11">
        <f>COUNTIFS('TRADE CENTER'!I:I,$H$18,'TRADE CENTER'!A:A,"8/16")</f>
        <v>1</v>
      </c>
      <c r="K385" s="11">
        <f>COUNTIFS('TRADE CENTER'!I:I,$I$18,'TRADE CENTER'!A:A,"8/16")</f>
        <v>31</v>
      </c>
      <c r="L385" s="2"/>
      <c r="M385" s="2"/>
      <c r="N385" s="2"/>
      <c r="O385" s="2"/>
      <c r="P385" s="2"/>
      <c r="Q385" s="2"/>
      <c r="R385" s="2"/>
      <c r="S385" s="2"/>
      <c r="T385" s="2"/>
      <c r="U385" s="2"/>
      <c r="V385" s="2"/>
      <c r="W385" s="2"/>
      <c r="X385" s="2"/>
      <c r="Y385" s="2"/>
      <c r="Z385" s="2"/>
      <c r="AA385" s="2"/>
      <c r="AB385" s="2"/>
    </row>
    <row r="386">
      <c r="A386" s="7" t="s">
        <v>12</v>
      </c>
      <c r="B386" s="32">
        <v>2.5413966375E8</v>
      </c>
      <c r="C386" s="33">
        <v>378.0</v>
      </c>
      <c r="D386" s="8">
        <f>SUMIFS(PENSION!F:F,PENSION!A:A,"8/16/2024")</f>
        <v>7995089.03</v>
      </c>
      <c r="E386" s="11">
        <f>COUNTIFS(PENSION!A:A,"8/16")</f>
        <v>49</v>
      </c>
      <c r="F386" s="10">
        <f>SUMIFS(PENSION!G:G,PENSION!A:A,"8/16/2024")</f>
        <v>197444</v>
      </c>
      <c r="G386" s="11">
        <f t="shared" si="90"/>
        <v>2</v>
      </c>
      <c r="H386" s="12">
        <f t="shared" si="91"/>
        <v>0.02469565996</v>
      </c>
      <c r="I386" s="9">
        <f>COUNTIFS(PENSION!I:I,$G$18,PENSION!A:A,"8/16")</f>
        <v>0</v>
      </c>
      <c r="J386" s="11">
        <f>COUNTIFS(PENSION!I:I,$H$18,PENSION!A:A,"8/16")</f>
        <v>2</v>
      </c>
      <c r="K386" s="11">
        <f>COUNTIFS(PENSION!I:I,$I$18,PENSION!A:A,"8/16")</f>
        <v>47</v>
      </c>
      <c r="L386" s="2"/>
      <c r="M386" s="2"/>
      <c r="N386" s="2"/>
      <c r="O386" s="2"/>
      <c r="P386" s="2"/>
      <c r="Q386" s="2"/>
      <c r="R386" s="2"/>
      <c r="S386" s="2"/>
      <c r="T386" s="2"/>
      <c r="U386" s="2"/>
      <c r="V386" s="2"/>
      <c r="W386" s="2"/>
      <c r="X386" s="2"/>
      <c r="Y386" s="2"/>
      <c r="Z386" s="2"/>
      <c r="AA386" s="2"/>
      <c r="AB386" s="2"/>
    </row>
    <row r="387">
      <c r="A387" s="7" t="s">
        <v>13</v>
      </c>
      <c r="B387" s="32">
        <v>1.1120469883E8</v>
      </c>
      <c r="C387" s="33">
        <v>303.0</v>
      </c>
      <c r="D387" s="8">
        <f>SUMIFS(KITENGELA!F:F,KITENGELA!A:A,"8/16/2024")</f>
        <v>5872383.72</v>
      </c>
      <c r="E387" s="11">
        <f>COUNTIFS(KITENGELA!A:A,"8/16")</f>
        <v>35</v>
      </c>
      <c r="F387" s="10">
        <f>SUMIFS(KITENGELA!G:G,KITENGELA!A:A,"8/16")</f>
        <v>314563</v>
      </c>
      <c r="G387" s="11">
        <f t="shared" si="90"/>
        <v>8</v>
      </c>
      <c r="H387" s="12">
        <f t="shared" si="91"/>
        <v>0.05356649276</v>
      </c>
      <c r="I387" s="11">
        <f>COUNTIFS(KITENGELA!I:I,$G$18,KITENGELA!A:A,"8/16")</f>
        <v>2</v>
      </c>
      <c r="J387" s="11">
        <f>COUNTIFS(KITENGELA!I:I,$H$18,KITENGELA!A:A,"8/16")</f>
        <v>6</v>
      </c>
      <c r="K387" s="11">
        <f>COUNTIFS(KITENGELA!I:I,$I$18,KITENGELA!A:A,"8/16")</f>
        <v>27</v>
      </c>
      <c r="L387" s="2"/>
      <c r="M387" s="2"/>
      <c r="N387" s="2"/>
      <c r="O387" s="2"/>
      <c r="P387" s="2"/>
      <c r="Q387" s="2"/>
      <c r="R387" s="2"/>
      <c r="S387" s="2"/>
      <c r="T387" s="2"/>
      <c r="U387" s="2"/>
      <c r="V387" s="2"/>
      <c r="W387" s="2"/>
      <c r="X387" s="2"/>
      <c r="Y387" s="2"/>
      <c r="Z387" s="2"/>
      <c r="AA387" s="2"/>
      <c r="AB387" s="2"/>
    </row>
    <row r="388">
      <c r="A388" s="7" t="s">
        <v>14</v>
      </c>
      <c r="B388" s="32">
        <v>1.5961307914E8</v>
      </c>
      <c r="C388" s="33">
        <v>166.0</v>
      </c>
      <c r="D388" s="8">
        <f>SUMIFS(ELDORET!F:F,ELDORET!A:A,"8/16")</f>
        <v>1208658.15</v>
      </c>
      <c r="E388" s="11">
        <f>COUNTIFS(ELDORET!A:A,"8/16")</f>
        <v>23</v>
      </c>
      <c r="F388" s="10">
        <f>SUMIFS(ELDORET!G:G,ELDORET!A:A,"8/16")</f>
        <v>51333</v>
      </c>
      <c r="G388" s="11">
        <f t="shared" si="90"/>
        <v>2</v>
      </c>
      <c r="H388" s="12">
        <f t="shared" si="91"/>
        <v>0.04247106595</v>
      </c>
      <c r="I388" s="11">
        <f>COUNTIFS(ELDORET!I:I,$G$18,ELDORET!A:A,"8/16")</f>
        <v>1</v>
      </c>
      <c r="J388" s="11">
        <f>COUNTIFS(ELDORET!I:I,$H$18,ELDORET!A:A,"8/16")</f>
        <v>1</v>
      </c>
      <c r="K388" s="11">
        <f>COUNTIFS(ELDORET!I:I,$I$18,ELDORET!A:A,"8/16")</f>
        <v>21</v>
      </c>
      <c r="L388" s="2"/>
      <c r="M388" s="2"/>
      <c r="N388" s="2"/>
      <c r="O388" s="2"/>
      <c r="P388" s="2"/>
      <c r="Q388" s="2"/>
      <c r="R388" s="2"/>
      <c r="S388" s="2"/>
      <c r="T388" s="2"/>
      <c r="U388" s="2"/>
      <c r="V388" s="2"/>
      <c r="W388" s="2"/>
      <c r="X388" s="2"/>
      <c r="Y388" s="2"/>
      <c r="Z388" s="2"/>
      <c r="AA388" s="2"/>
      <c r="AB388" s="2"/>
    </row>
    <row r="389">
      <c r="A389" s="7" t="s">
        <v>15</v>
      </c>
      <c r="B389" s="32">
        <v>1.618607981E7</v>
      </c>
      <c r="C389" s="33">
        <v>22.0</v>
      </c>
      <c r="D389" s="8">
        <f>SUMIFS(NAKURU!F:F,NAKURU!A:A,"8/16")</f>
        <v>162925</v>
      </c>
      <c r="E389" s="11">
        <f>COUNTIFS(NAKURU!A:A,"8/16")</f>
        <v>5</v>
      </c>
      <c r="F389" s="10">
        <f>SUMIFS(NAKURU!G:G,NAKURU!A:A,"8/16")</f>
        <v>0</v>
      </c>
      <c r="G389" s="11">
        <f t="shared" si="90"/>
        <v>0</v>
      </c>
      <c r="H389" s="12">
        <f t="shared" si="91"/>
        <v>0</v>
      </c>
      <c r="I389" s="9">
        <f>COUNTIFS(NAKURU!I:I,$G$18,NAKURU!A:A,"8/16")</f>
        <v>0</v>
      </c>
      <c r="J389" s="11">
        <f>COUNTIFS(NAKURU!I:I,$H$18,NAKURU!A:A,"8/16")</f>
        <v>0</v>
      </c>
      <c r="K389" s="11">
        <f>COUNTIFS(NAKURU!I:I,$I$18,NAKURU!A:A,"8/16")</f>
        <v>5</v>
      </c>
      <c r="L389" s="2"/>
      <c r="M389" s="2"/>
      <c r="N389" s="2"/>
      <c r="O389" s="2"/>
      <c r="P389" s="2"/>
      <c r="Q389" s="2"/>
      <c r="R389" s="2"/>
      <c r="S389" s="2"/>
      <c r="T389" s="2"/>
      <c r="U389" s="2"/>
      <c r="V389" s="2"/>
      <c r="W389" s="2"/>
      <c r="X389" s="2"/>
      <c r="Y389" s="2"/>
      <c r="Z389" s="2"/>
      <c r="AA389" s="2"/>
      <c r="AB389" s="2"/>
    </row>
    <row r="390">
      <c r="A390" s="7" t="s">
        <v>16</v>
      </c>
      <c r="B390" s="32">
        <v>1.214590604E7</v>
      </c>
      <c r="C390" s="33">
        <v>18.0</v>
      </c>
      <c r="D390" s="8">
        <f>SUMIFS(HOMABAY!F:F,HOMABAY!A:A,"8/16")</f>
        <v>332050</v>
      </c>
      <c r="E390" s="11">
        <f>COUNTIFS(HOMABAY!A:A,"8/16")</f>
        <v>5</v>
      </c>
      <c r="F390" s="10">
        <f>SUMIFS(HOMABAY!G:G,HOMABAY!A:A,"8/16")</f>
        <v>272995</v>
      </c>
      <c r="G390" s="11">
        <f t="shared" si="90"/>
        <v>2</v>
      </c>
      <c r="H390" s="12">
        <f t="shared" si="91"/>
        <v>0.8221502786</v>
      </c>
      <c r="I390" s="9">
        <f>COUNTIFS(HOMABAY!K:K,$G$18,HOMABAY!A:A,"8/16")</f>
        <v>0</v>
      </c>
      <c r="J390" s="11">
        <f>COUNTIFS(HOMABAY!K:K,$H$18,HOMABAY!A:A,"8/16")</f>
        <v>2</v>
      </c>
      <c r="K390" s="11">
        <f>COUNTIFS(HOMABAY!K:K,$I$18,HOMABAY!A:A,"8/16")</f>
        <v>3</v>
      </c>
      <c r="L390" s="2"/>
      <c r="M390" s="2"/>
      <c r="N390" s="2"/>
      <c r="O390" s="2"/>
      <c r="P390" s="2"/>
      <c r="Q390" s="2"/>
      <c r="R390" s="2"/>
      <c r="S390" s="2"/>
      <c r="T390" s="2"/>
      <c r="U390" s="2"/>
      <c r="V390" s="2"/>
      <c r="W390" s="2"/>
      <c r="X390" s="2"/>
      <c r="Y390" s="2"/>
      <c r="Z390" s="2"/>
      <c r="AA390" s="2"/>
      <c r="AB390" s="2"/>
    </row>
    <row r="391">
      <c r="A391" s="7" t="s">
        <v>17</v>
      </c>
      <c r="B391" s="32">
        <v>1.9849966825E8</v>
      </c>
      <c r="C391" s="33">
        <v>177.0</v>
      </c>
      <c r="D391" s="8">
        <f>SUMIFS(MOMBASA!F:F,MOMBASA!A:A,"8/16")</f>
        <v>1805659.75</v>
      </c>
      <c r="E391" s="11">
        <f>COUNTIFS(MOMBASA!A:A,"8/16")</f>
        <v>21</v>
      </c>
      <c r="F391" s="27">
        <f>SUMIFS(MOMBASA!G:G,MOMBASA!A:A,"8/16")</f>
        <v>1970684</v>
      </c>
      <c r="G391" s="11">
        <f t="shared" si="90"/>
        <v>6</v>
      </c>
      <c r="H391" s="12">
        <f t="shared" si="91"/>
        <v>1.091392772</v>
      </c>
      <c r="I391" s="9">
        <f>COUNTIFS(MOMBASA!I:I,$G$18,MOMBASA!A:A,"8/16")</f>
        <v>3</v>
      </c>
      <c r="J391" s="11">
        <f>COUNTIFS(MOMBASA!I:I,$H$18,MOMBASA!A:A,"8/16")</f>
        <v>3</v>
      </c>
      <c r="K391" s="11">
        <f>COUNTIFS(MOMBASA!I:I,$I$18,MOMBASA!A:A,"8/16")</f>
        <v>15</v>
      </c>
      <c r="L391" s="2"/>
      <c r="M391" s="2"/>
      <c r="N391" s="2"/>
      <c r="O391" s="2"/>
      <c r="P391" s="2"/>
      <c r="Q391" s="2"/>
      <c r="R391" s="2"/>
      <c r="S391" s="2"/>
      <c r="T391" s="2"/>
      <c r="U391" s="2"/>
      <c r="V391" s="2"/>
      <c r="W391" s="2"/>
      <c r="X391" s="2"/>
      <c r="Y391" s="2"/>
      <c r="Z391" s="2"/>
      <c r="AA391" s="2"/>
      <c r="AB391" s="2"/>
    </row>
    <row r="392">
      <c r="A392" s="7" t="s">
        <v>18</v>
      </c>
      <c r="B392" s="32">
        <v>8.540354123E7</v>
      </c>
      <c r="C392" s="33">
        <v>86.0</v>
      </c>
      <c r="D392" s="8">
        <f>SUMIFS(KISUMU!F:F,KISUMU!A:A,"8/16")</f>
        <v>1509912.95</v>
      </c>
      <c r="E392" s="11">
        <f>COUNTIFS(KISUMU!A:A,"8/16")</f>
        <v>26</v>
      </c>
      <c r="F392" s="10">
        <f>SUMIFS(KISUMU!G:G,KISUMU!A:A,"8/16")</f>
        <v>74615</v>
      </c>
      <c r="G392" s="11">
        <f t="shared" si="90"/>
        <v>6</v>
      </c>
      <c r="H392" s="12">
        <f t="shared" si="91"/>
        <v>0.04941675611</v>
      </c>
      <c r="I392" s="9">
        <f>COUNTIFS(KISUMU!I:I,$G$18,KISUMU!A:A,"8/16")</f>
        <v>3</v>
      </c>
      <c r="J392" s="11">
        <f>COUNTIFS(KISUMU!I:I,$H$18,KISUMU!A:A,"8/16")</f>
        <v>3</v>
      </c>
      <c r="K392" s="11">
        <f>COUNTIFS(KISUMU!I:I,$I$18,KISUMU!A:A,"8/16")</f>
        <v>20</v>
      </c>
      <c r="L392" s="2"/>
      <c r="M392" s="2"/>
      <c r="N392" s="2"/>
      <c r="O392" s="2"/>
      <c r="P392" s="2"/>
      <c r="Q392" s="2"/>
      <c r="R392" s="2"/>
      <c r="S392" s="2"/>
      <c r="T392" s="2"/>
      <c r="U392" s="2"/>
      <c r="V392" s="2"/>
      <c r="W392" s="2"/>
      <c r="X392" s="2"/>
      <c r="Y392" s="2"/>
      <c r="Z392" s="2"/>
      <c r="AA392" s="2"/>
      <c r="AB392" s="2"/>
    </row>
    <row r="393">
      <c r="A393" s="7" t="s">
        <v>19</v>
      </c>
      <c r="B393" s="32">
        <v>7389021.14</v>
      </c>
      <c r="C393" s="33">
        <v>20.0</v>
      </c>
      <c r="D393" s="8">
        <f>SUMIFS(VOI!F:F,VOI!A:A,"8/16")</f>
        <v>165071</v>
      </c>
      <c r="E393" s="11">
        <f>COUNTIFS(VOI!A:A,"8/16")</f>
        <v>6</v>
      </c>
      <c r="F393" s="10">
        <f>SUMIFS(VOI!G:G,VOI!A:A,"8/16")</f>
        <v>16000</v>
      </c>
      <c r="G393" s="11">
        <f t="shared" si="90"/>
        <v>1</v>
      </c>
      <c r="H393" s="12">
        <f t="shared" si="91"/>
        <v>0.09692798856</v>
      </c>
      <c r="I393" s="9">
        <f>COUNTIFS(VOI!H:H,$G$18,VOI!A:A,"8/16")</f>
        <v>1</v>
      </c>
      <c r="J393" s="11">
        <f>COUNTIFS(VOI!H:H,$H$18,VOI!A:A,"8/16")</f>
        <v>0</v>
      </c>
      <c r="K393" s="11">
        <f>COUNTIFS(VOI!H:H,$I$18,VOI!A:A,"8/16")</f>
        <v>5</v>
      </c>
      <c r="L393" s="2"/>
      <c r="M393" s="2"/>
      <c r="N393" s="2"/>
      <c r="O393" s="2"/>
      <c r="P393" s="2"/>
      <c r="Q393" s="2"/>
      <c r="R393" s="2"/>
      <c r="S393" s="2"/>
      <c r="T393" s="2"/>
      <c r="U393" s="2"/>
      <c r="V393" s="2"/>
      <c r="W393" s="2"/>
      <c r="X393" s="2"/>
      <c r="Y393" s="2"/>
      <c r="Z393" s="2"/>
      <c r="AA393" s="2"/>
      <c r="AB393" s="2"/>
    </row>
    <row r="394">
      <c r="A394" s="7" t="s">
        <v>20</v>
      </c>
      <c r="B394" s="32">
        <v>5.463381891E7</v>
      </c>
      <c r="C394" s="33">
        <v>92.0</v>
      </c>
      <c r="D394" s="8">
        <f>SUMIFS(THIKA!F:F,THIKA!A:A,"8/16")</f>
        <v>2691280.67</v>
      </c>
      <c r="E394" s="11">
        <f>COUNTIFS(THIKA!A:A,"8/16")</f>
        <v>15</v>
      </c>
      <c r="F394" s="10">
        <f>SUMIFS(THIKA!G:G,THIKA!A:A,"8/16")</f>
        <v>1395810</v>
      </c>
      <c r="G394" s="11">
        <f t="shared" si="90"/>
        <v>3</v>
      </c>
      <c r="H394" s="12">
        <f t="shared" si="91"/>
        <v>0.5186415581</v>
      </c>
      <c r="I394" s="9">
        <f>COUNTIFS(THIKA!I:I,$G$18,THIKA!A:A,"8/16")</f>
        <v>3</v>
      </c>
      <c r="J394" s="11">
        <f>COUNTIFS(THIKA!I:I,$H$18,THIKA!A:A,"8/16")</f>
        <v>0</v>
      </c>
      <c r="K394" s="11">
        <f>COUNTIFS(THIKA!I:I,$I$18,THIKA!A:A,"8/16")</f>
        <v>12</v>
      </c>
      <c r="L394" s="2"/>
      <c r="M394" s="2"/>
      <c r="N394" s="2"/>
      <c r="O394" s="2"/>
      <c r="P394" s="2"/>
      <c r="Q394" s="2"/>
      <c r="R394" s="2"/>
      <c r="S394" s="2"/>
      <c r="T394" s="2"/>
      <c r="U394" s="2"/>
      <c r="V394" s="2"/>
      <c r="W394" s="2"/>
      <c r="X394" s="2"/>
      <c r="Y394" s="2"/>
      <c r="Z394" s="2"/>
      <c r="AA394" s="2"/>
      <c r="AB394" s="2"/>
    </row>
    <row r="395">
      <c r="A395" s="7" t="s">
        <v>21</v>
      </c>
      <c r="B395" s="32">
        <v>1127078.27</v>
      </c>
      <c r="C395" s="33">
        <v>5.0</v>
      </c>
      <c r="D395" s="8">
        <f>SUMIFS(KITUI!F:F,KITUI!A:A,"8/16")</f>
        <v>159064</v>
      </c>
      <c r="E395" s="11">
        <f>COUNTIFS(KITUI!A:A,"8/16")</f>
        <v>2</v>
      </c>
      <c r="F395" s="10">
        <f>SUMIFS(KITUI!G:G,KITUI!A:A,"8/16")</f>
        <v>86860</v>
      </c>
      <c r="G395" s="11">
        <f t="shared" si="90"/>
        <v>2</v>
      </c>
      <c r="H395" s="12">
        <f t="shared" si="91"/>
        <v>0.5460695066</v>
      </c>
      <c r="I395" s="9">
        <f>COUNTIFS(KITUI!I:I,$G$18,KITUI!A:A,"8/16")</f>
        <v>1</v>
      </c>
      <c r="J395" s="11">
        <f>COUNTIFS(KITUI!I:I,$H$18,KITUI!A:A,"8/16")</f>
        <v>1</v>
      </c>
      <c r="K395" s="11">
        <f>COUNTIFS(KITUI!I:I,$I$18,KITUI!A:A,"8/16")</f>
        <v>0</v>
      </c>
      <c r="L395" s="2"/>
      <c r="M395" s="2"/>
      <c r="N395" s="2"/>
      <c r="O395" s="2"/>
      <c r="P395" s="2"/>
      <c r="Q395" s="2"/>
      <c r="R395" s="2"/>
      <c r="S395" s="2"/>
      <c r="T395" s="2"/>
      <c r="U395" s="2"/>
      <c r="V395" s="2"/>
      <c r="W395" s="2"/>
      <c r="X395" s="2"/>
      <c r="Y395" s="2"/>
      <c r="Z395" s="2"/>
      <c r="AA395" s="2"/>
      <c r="AB395" s="2"/>
    </row>
    <row r="396">
      <c r="A396" s="15" t="s">
        <v>22</v>
      </c>
      <c r="B396" s="32">
        <v>244480.07</v>
      </c>
      <c r="C396" s="33">
        <v>4.0</v>
      </c>
      <c r="D396" s="8">
        <f>SUMIFS(MACHAKOS!F:F,MACHAKOS!A:A,"8/16")</f>
        <v>245057</v>
      </c>
      <c r="E396" s="11">
        <f>COUNTIFS(MACHAKOS!A:A,"8/16")</f>
        <v>4</v>
      </c>
      <c r="F396" s="10">
        <f>SUMIFS(MACHAKOS!G:G,MACHAKOS!A:A,"8/16")</f>
        <v>0</v>
      </c>
      <c r="G396" s="11">
        <f t="shared" si="90"/>
        <v>0</v>
      </c>
      <c r="H396" s="12">
        <f t="shared" si="91"/>
        <v>0</v>
      </c>
      <c r="I396" s="9">
        <f>COUNTIFS(MACHAKOS!I:I,$G$18,MACHAKOS!A:A,"8/16")</f>
        <v>0</v>
      </c>
      <c r="J396" s="11">
        <f>COUNTIFS(MACHAKOS!I:I,$H$18,MACHAKOS!A:A,"8/16")</f>
        <v>0</v>
      </c>
      <c r="K396" s="11">
        <f>COUNTIFS(MACHAKOS!I:I,$I$18,MACHAKOS!A:A,"8/16")</f>
        <v>4</v>
      </c>
      <c r="L396" s="2"/>
      <c r="M396" s="2"/>
      <c r="N396" s="2"/>
      <c r="O396" s="2"/>
      <c r="P396" s="2"/>
      <c r="Q396" s="2"/>
      <c r="R396" s="2"/>
      <c r="S396" s="2"/>
      <c r="T396" s="2"/>
      <c r="U396" s="2"/>
      <c r="V396" s="2"/>
      <c r="W396" s="2"/>
      <c r="X396" s="2"/>
      <c r="Y396" s="2"/>
      <c r="Z396" s="2"/>
      <c r="AA396" s="2"/>
      <c r="AB396" s="2"/>
    </row>
    <row r="397">
      <c r="A397" s="1" t="s">
        <v>32</v>
      </c>
      <c r="B397" s="8"/>
      <c r="C397" s="30"/>
      <c r="D397" s="30">
        <v>2250000.0</v>
      </c>
      <c r="E397" s="34"/>
      <c r="F397" s="38">
        <v>2972231.0</v>
      </c>
      <c r="G397" s="28">
        <v>0.0</v>
      </c>
      <c r="H397" s="12">
        <f t="shared" si="91"/>
        <v>1.320991556</v>
      </c>
      <c r="I397" s="9">
        <f>COUNTIFS(MACHAKOS!I:I,$G$18,MACHAKOS!A:A,"8/16")</f>
        <v>0</v>
      </c>
      <c r="J397" s="28">
        <v>0.0</v>
      </c>
      <c r="K397" s="28">
        <v>0.0</v>
      </c>
      <c r="L397" s="2"/>
      <c r="M397" s="2"/>
      <c r="N397" s="2"/>
      <c r="O397" s="2"/>
      <c r="P397" s="2"/>
      <c r="Q397" s="2"/>
      <c r="R397" s="2"/>
      <c r="S397" s="2"/>
      <c r="T397" s="2"/>
      <c r="U397" s="2"/>
      <c r="V397" s="2"/>
      <c r="W397" s="2"/>
      <c r="X397" s="2"/>
      <c r="Y397" s="2"/>
      <c r="Z397" s="2"/>
      <c r="AA397" s="2"/>
      <c r="AB397" s="2"/>
    </row>
    <row r="398">
      <c r="A398" s="1" t="s">
        <v>31</v>
      </c>
      <c r="B398" s="39">
        <v>1.5364534831E8</v>
      </c>
      <c r="C398" s="40">
        <v>2607.0</v>
      </c>
      <c r="D398" s="25">
        <v>2200000.0</v>
      </c>
      <c r="E398" s="35"/>
      <c r="F398" s="29"/>
      <c r="G398" s="11"/>
      <c r="H398" s="12"/>
      <c r="I398" s="9"/>
      <c r="J398" s="11"/>
      <c r="K398" s="11"/>
      <c r="L398" s="2"/>
      <c r="M398" s="2"/>
      <c r="N398" s="2"/>
      <c r="O398" s="2"/>
      <c r="P398" s="2"/>
      <c r="Q398" s="2"/>
      <c r="R398" s="2"/>
      <c r="S398" s="2"/>
      <c r="T398" s="2"/>
      <c r="U398" s="2"/>
      <c r="V398" s="2"/>
      <c r="W398" s="2"/>
      <c r="X398" s="2"/>
      <c r="Y398" s="2"/>
      <c r="Z398" s="2"/>
      <c r="AA398" s="2"/>
      <c r="AB398" s="2"/>
    </row>
    <row r="399">
      <c r="A399" s="16" t="s">
        <v>23</v>
      </c>
      <c r="B399" s="17">
        <f t="shared" ref="B399:F399" si="92">SUM(B384:B398)</f>
        <v>2521272558</v>
      </c>
      <c r="C399" s="36">
        <f t="shared" si="92"/>
        <v>4518</v>
      </c>
      <c r="D399" s="17">
        <f t="shared" si="92"/>
        <v>40358934.61</v>
      </c>
      <c r="E399" s="37">
        <f t="shared" si="92"/>
        <v>239</v>
      </c>
      <c r="F399" s="19">
        <f t="shared" si="92"/>
        <v>10456408</v>
      </c>
      <c r="G399" s="18">
        <f>SUM(G384:G396)</f>
        <v>40</v>
      </c>
      <c r="H399" s="20">
        <f>F399/D399</f>
        <v>0.2590853327</v>
      </c>
      <c r="I399" s="21">
        <f t="shared" ref="I399:K399" si="93">SUM(I384:I398)</f>
        <v>17</v>
      </c>
      <c r="J399" s="21">
        <f t="shared" si="93"/>
        <v>23</v>
      </c>
      <c r="K399" s="21">
        <f t="shared" si="93"/>
        <v>199</v>
      </c>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3" t="s">
        <v>1</v>
      </c>
      <c r="B401" s="4" t="s">
        <v>33</v>
      </c>
      <c r="C401" s="4" t="s">
        <v>34</v>
      </c>
      <c r="D401" s="5" t="s">
        <v>2</v>
      </c>
      <c r="E401" s="5" t="s">
        <v>3</v>
      </c>
      <c r="F401" s="5" t="s">
        <v>4</v>
      </c>
      <c r="G401" s="5" t="s">
        <v>5</v>
      </c>
      <c r="H401" s="26" t="s">
        <v>6</v>
      </c>
      <c r="I401" s="26" t="s">
        <v>7</v>
      </c>
      <c r="J401" s="26" t="s">
        <v>8</v>
      </c>
      <c r="K401" s="26" t="s">
        <v>9</v>
      </c>
      <c r="L401" s="2"/>
      <c r="M401" s="2"/>
      <c r="N401" s="2"/>
      <c r="O401" s="2"/>
      <c r="P401" s="2"/>
      <c r="Q401" s="2"/>
      <c r="R401" s="2"/>
      <c r="S401" s="2"/>
      <c r="T401" s="2"/>
      <c r="U401" s="2"/>
      <c r="V401" s="2"/>
      <c r="W401" s="2"/>
      <c r="X401" s="2"/>
      <c r="Y401" s="2"/>
      <c r="Z401" s="2"/>
      <c r="AA401" s="2"/>
      <c r="AB401" s="2"/>
    </row>
    <row r="402">
      <c r="A402" s="7" t="s">
        <v>10</v>
      </c>
      <c r="B402" s="32">
        <v>8.5231992764E8</v>
      </c>
      <c r="C402" s="33">
        <v>392.0</v>
      </c>
      <c r="D402" s="8">
        <f>SUMIFS(ECOBANK!F:F,ECOBANK!A:A,"8/17")</f>
        <v>4402874.62</v>
      </c>
      <c r="E402" s="9">
        <f>COUNTIFS(ECOBANK!A:A,"8/17")</f>
        <v>14</v>
      </c>
      <c r="F402" s="10">
        <f>SUMIFS(ECOBANK!G:G,ECOBANK!A:A,"8/17")</f>
        <v>915000</v>
      </c>
      <c r="G402" s="11">
        <f t="shared" ref="G402:G414" si="94">I402+J402</f>
        <v>2</v>
      </c>
      <c r="H402" s="12">
        <f t="shared" ref="H402:H415" si="95">iferror(F402/D402,0)</f>
        <v>0.2078187727</v>
      </c>
      <c r="I402" s="9">
        <f>COUNTIFS(ECOBANK!I:I,$G$18,ECOBANK!A:A,"8/17")</f>
        <v>1</v>
      </c>
      <c r="J402" s="11">
        <f>COUNTIFS(ECOBANK!I:I,$H$18,ECOBANK!A:A,"8/17")</f>
        <v>1</v>
      </c>
      <c r="K402" s="11">
        <f>COUNTIFS(ECOBANK!I:I,$I$18,ECOBANK!A:A,"8/17")</f>
        <v>12</v>
      </c>
      <c r="L402" s="2"/>
      <c r="M402" s="2"/>
      <c r="N402" s="2"/>
      <c r="O402" s="2"/>
      <c r="P402" s="2"/>
      <c r="Q402" s="2"/>
      <c r="R402" s="2"/>
      <c r="S402" s="2"/>
      <c r="T402" s="2"/>
      <c r="U402" s="2"/>
      <c r="V402" s="2"/>
      <c r="W402" s="2"/>
      <c r="X402" s="2"/>
      <c r="Y402" s="2"/>
      <c r="Z402" s="2"/>
      <c r="AA402" s="2"/>
      <c r="AB402" s="2"/>
    </row>
    <row r="403">
      <c r="A403" s="7" t="s">
        <v>24</v>
      </c>
      <c r="B403" s="32">
        <v>6.1472024684E8</v>
      </c>
      <c r="C403" s="33">
        <v>248.0</v>
      </c>
      <c r="D403" s="8">
        <f>SUMIFS('TRADE CENTER'!F:F,'TRADE CENTER'!A:A,"8/17")</f>
        <v>7206453.27</v>
      </c>
      <c r="E403" s="11">
        <f>COUNTIFS('TRADE CENTER'!A:A,"8/17")</f>
        <v>32</v>
      </c>
      <c r="F403" s="10">
        <f>SUMIFS('TRADE CENTER'!G:G,'TRADE CENTER'!A:A,"8/17")</f>
        <v>0</v>
      </c>
      <c r="G403" s="11">
        <f t="shared" si="94"/>
        <v>0</v>
      </c>
      <c r="H403" s="12">
        <f t="shared" si="95"/>
        <v>0</v>
      </c>
      <c r="I403" s="11">
        <f>COUNTIFS('TRADE CENTER'!I:I,$G$18,'TRADE CENTER'!A:A,"8/17")</f>
        <v>0</v>
      </c>
      <c r="J403" s="11">
        <f>COUNTIFS('TRADE CENTER'!I:I,$H$18,'TRADE CENTER'!A:A,"8/17")</f>
        <v>0</v>
      </c>
      <c r="K403" s="11">
        <f>COUNTIFS('TRADE CENTER'!I:I,$I$18,'TRADE CENTER'!A:A,"8/17")</f>
        <v>32</v>
      </c>
      <c r="L403" s="2"/>
      <c r="M403" s="2"/>
      <c r="N403" s="2"/>
      <c r="O403" s="2"/>
      <c r="P403" s="2"/>
      <c r="Q403" s="2"/>
      <c r="R403" s="2"/>
      <c r="S403" s="2"/>
      <c r="T403" s="2"/>
      <c r="U403" s="2"/>
      <c r="V403" s="2"/>
      <c r="W403" s="2"/>
      <c r="X403" s="2"/>
      <c r="Y403" s="2"/>
      <c r="Z403" s="2"/>
      <c r="AA403" s="2"/>
      <c r="AB403" s="2"/>
    </row>
    <row r="404">
      <c r="A404" s="7" t="s">
        <v>12</v>
      </c>
      <c r="B404" s="32">
        <v>2.5413966375E8</v>
      </c>
      <c r="C404" s="33">
        <v>378.0</v>
      </c>
      <c r="D404" s="8">
        <f>SUMIFS(PENSION!F:F,PENSION!A:A,"8/17/2024")</f>
        <v>2592566.43</v>
      </c>
      <c r="E404" s="11">
        <f>COUNTIFS(PENSION!A:A,"8/17")</f>
        <v>21</v>
      </c>
      <c r="F404" s="10">
        <f>SUMIFS(PENSION!G:G,PENSION!A:A,"8/17/2024")</f>
        <v>286500</v>
      </c>
      <c r="G404" s="11">
        <f t="shared" si="94"/>
        <v>3</v>
      </c>
      <c r="H404" s="12">
        <f t="shared" si="95"/>
        <v>0.110508258</v>
      </c>
      <c r="I404" s="9">
        <f>COUNTIFS(PENSION!I:I,$G$18,PENSION!A:A,"8/17")</f>
        <v>2</v>
      </c>
      <c r="J404" s="11">
        <f>COUNTIFS(PENSION!I:I,$H$18,PENSION!A:A,"8/17")</f>
        <v>1</v>
      </c>
      <c r="K404" s="11">
        <f>COUNTIFS(PENSION!I:I,$I$18,PENSION!A:A,"8/17")</f>
        <v>18</v>
      </c>
      <c r="L404" s="2"/>
      <c r="M404" s="2"/>
      <c r="N404" s="2"/>
      <c r="O404" s="2"/>
      <c r="P404" s="2"/>
      <c r="Q404" s="2"/>
      <c r="R404" s="2"/>
      <c r="S404" s="2"/>
      <c r="T404" s="2"/>
      <c r="U404" s="2"/>
      <c r="V404" s="2"/>
      <c r="W404" s="2"/>
      <c r="X404" s="2"/>
      <c r="Y404" s="2"/>
      <c r="Z404" s="2"/>
      <c r="AA404" s="2"/>
      <c r="AB404" s="2"/>
    </row>
    <row r="405">
      <c r="A405" s="7" t="s">
        <v>13</v>
      </c>
      <c r="B405" s="32">
        <v>1.1120469883E8</v>
      </c>
      <c r="C405" s="33">
        <v>303.0</v>
      </c>
      <c r="D405" s="8">
        <f>SUMIFS(KITENGELA!F:F,KITENGELA!A:A,"8/17/2024")</f>
        <v>4780977.35</v>
      </c>
      <c r="E405" s="11">
        <f>COUNTIFS(KITENGELA!A:A,"8/17")</f>
        <v>29</v>
      </c>
      <c r="F405" s="10">
        <f>SUMIFS(KITENGELA!G:G,KITENGELA!A:A,"8/17")</f>
        <v>115250</v>
      </c>
      <c r="G405" s="11">
        <f t="shared" si="94"/>
        <v>2</v>
      </c>
      <c r="H405" s="12">
        <f t="shared" si="95"/>
        <v>0.0241059498</v>
      </c>
      <c r="I405" s="11">
        <f>COUNTIFS(KITENGELA!I:I,$G$18,KITENGELA!A:A,"8/17")</f>
        <v>1</v>
      </c>
      <c r="J405" s="11">
        <f>COUNTIFS(KITENGELA!I:I,$H$18,KITENGELA!A:A,"8/17")</f>
        <v>1</v>
      </c>
      <c r="K405" s="11">
        <f>COUNTIFS(KITENGELA!I:I,$I$18,KITENGELA!A:A,"8/17")</f>
        <v>27</v>
      </c>
      <c r="L405" s="2"/>
      <c r="M405" s="2"/>
      <c r="N405" s="2"/>
      <c r="O405" s="2"/>
      <c r="P405" s="2"/>
      <c r="Q405" s="2"/>
      <c r="R405" s="2"/>
      <c r="S405" s="2"/>
      <c r="T405" s="2"/>
      <c r="U405" s="2"/>
      <c r="V405" s="2"/>
      <c r="W405" s="2"/>
      <c r="X405" s="2"/>
      <c r="Y405" s="2"/>
      <c r="Z405" s="2"/>
      <c r="AA405" s="2"/>
      <c r="AB405" s="2"/>
    </row>
    <row r="406">
      <c r="A406" s="7" t="s">
        <v>14</v>
      </c>
      <c r="B406" s="32">
        <v>1.5961307914E8</v>
      </c>
      <c r="C406" s="33">
        <v>166.0</v>
      </c>
      <c r="D406" s="8">
        <f>SUMIFS(ELDORET!F:F,ELDORET!A:A,"8/17")</f>
        <v>1256004.14</v>
      </c>
      <c r="E406" s="11">
        <f>COUNTIFS(ELDORET!A:A,"8/17")</f>
        <v>24</v>
      </c>
      <c r="F406" s="10">
        <f>SUMIFS(ELDORET!G:G,ELDORET!A:A,"8/17")</f>
        <v>77360</v>
      </c>
      <c r="G406" s="11">
        <f t="shared" si="94"/>
        <v>3</v>
      </c>
      <c r="H406" s="12">
        <f t="shared" si="95"/>
        <v>0.06159215367</v>
      </c>
      <c r="I406" s="11">
        <f>COUNTIFS(ELDORET!I:I,$G$18,ELDORET!A:A,"8/17")</f>
        <v>1</v>
      </c>
      <c r="J406" s="11">
        <f>COUNTIFS(ELDORET!I:I,$H$18,ELDORET!A:A,"8/17")</f>
        <v>2</v>
      </c>
      <c r="K406" s="11">
        <f>COUNTIFS(ELDORET!I:I,$I$18,ELDORET!A:A,"8/17")</f>
        <v>21</v>
      </c>
      <c r="L406" s="2"/>
      <c r="M406" s="2"/>
      <c r="N406" s="2"/>
      <c r="O406" s="2"/>
      <c r="P406" s="2"/>
      <c r="Q406" s="2"/>
      <c r="R406" s="2"/>
      <c r="S406" s="2"/>
      <c r="T406" s="2"/>
      <c r="U406" s="2"/>
      <c r="V406" s="2"/>
      <c r="W406" s="2"/>
      <c r="X406" s="2"/>
      <c r="Y406" s="2"/>
      <c r="Z406" s="2"/>
      <c r="AA406" s="2"/>
      <c r="AB406" s="2"/>
    </row>
    <row r="407">
      <c r="A407" s="7" t="s">
        <v>15</v>
      </c>
      <c r="B407" s="32">
        <v>1.618607981E7</v>
      </c>
      <c r="C407" s="33">
        <v>22.0</v>
      </c>
      <c r="D407" s="8">
        <f>SUMIFS(NAKURU!F:F,NAKURU!A:A,"8/17")</f>
        <v>163750</v>
      </c>
      <c r="E407" s="11">
        <f>COUNTIFS(NAKURU!A:A,"8/17")</f>
        <v>5</v>
      </c>
      <c r="F407" s="10">
        <f>SUMIFS(NAKURU!G:G,NAKURU!A:A,"8/17")</f>
        <v>20000</v>
      </c>
      <c r="G407" s="11">
        <f t="shared" si="94"/>
        <v>1</v>
      </c>
      <c r="H407" s="12">
        <f t="shared" si="95"/>
        <v>0.1221374046</v>
      </c>
      <c r="I407" s="9">
        <f>COUNTIFS(NAKURU!I:I,$G$18,NAKURU!A:A,"8/17")</f>
        <v>0</v>
      </c>
      <c r="J407" s="11">
        <f>COUNTIFS(NAKURU!I:I,$H$18,NAKURU!A:A,"8/17")</f>
        <v>1</v>
      </c>
      <c r="K407" s="11">
        <f>COUNTIFS(NAKURU!I:I,$I$18,NAKURU!A:A,"8/17")</f>
        <v>4</v>
      </c>
      <c r="L407" s="2"/>
      <c r="M407" s="2"/>
      <c r="N407" s="2"/>
      <c r="O407" s="2"/>
      <c r="P407" s="2"/>
      <c r="Q407" s="2"/>
      <c r="R407" s="2"/>
      <c r="S407" s="2"/>
      <c r="T407" s="2"/>
      <c r="U407" s="2"/>
      <c r="V407" s="2"/>
      <c r="W407" s="2"/>
      <c r="X407" s="2"/>
      <c r="Y407" s="2"/>
      <c r="Z407" s="2"/>
      <c r="AA407" s="2"/>
      <c r="AB407" s="2"/>
    </row>
    <row r="408">
      <c r="A408" s="7" t="s">
        <v>16</v>
      </c>
      <c r="B408" s="32">
        <v>1.214590604E7</v>
      </c>
      <c r="C408" s="33">
        <v>18.0</v>
      </c>
      <c r="D408" s="8">
        <f>SUMIFS(HOMABAY!F:F,HOMABAY!A:A,"8/17")</f>
        <v>193500</v>
      </c>
      <c r="E408" s="11">
        <f>COUNTIFS(HOMABAY!A:A,"8/17")</f>
        <v>3</v>
      </c>
      <c r="F408" s="10">
        <f>SUMIFS(HOMABAY!G:G,HOMABAY!A:A,"8/17")</f>
        <v>0</v>
      </c>
      <c r="G408" s="11">
        <f t="shared" si="94"/>
        <v>0</v>
      </c>
      <c r="H408" s="12">
        <f t="shared" si="95"/>
        <v>0</v>
      </c>
      <c r="I408" s="9">
        <f>COUNTIFS(HOMABAY!K:K,$G$18,HOMABAY!A:A,"8/17")</f>
        <v>0</v>
      </c>
      <c r="J408" s="11">
        <f>COUNTIFS(HOMABAY!K:K,$H$18,HOMABAY!A:A,"8/17")</f>
        <v>0</v>
      </c>
      <c r="K408" s="11">
        <f>COUNTIFS(HOMABAY!K:K,$I$18,HOMABAY!A:A,"8/17")</f>
        <v>3</v>
      </c>
      <c r="L408" s="2"/>
      <c r="M408" s="2"/>
      <c r="N408" s="2"/>
      <c r="O408" s="2"/>
      <c r="P408" s="2"/>
      <c r="Q408" s="2"/>
      <c r="R408" s="2"/>
      <c r="S408" s="2"/>
      <c r="T408" s="2"/>
      <c r="U408" s="2"/>
      <c r="V408" s="2"/>
      <c r="W408" s="2"/>
      <c r="X408" s="2"/>
      <c r="Y408" s="2"/>
      <c r="Z408" s="2"/>
      <c r="AA408" s="2"/>
      <c r="AB408" s="2"/>
    </row>
    <row r="409">
      <c r="A409" s="7" t="s">
        <v>17</v>
      </c>
      <c r="B409" s="32">
        <v>1.9849966825E8</v>
      </c>
      <c r="C409" s="33">
        <v>177.0</v>
      </c>
      <c r="D409" s="8">
        <f>SUMIFS(MOMBASA!F:F,MOMBASA!A:A,"8/17")</f>
        <v>1003561.8</v>
      </c>
      <c r="E409" s="11">
        <f>COUNTIFS(MOMBASA!A:A,"8/17")</f>
        <v>16</v>
      </c>
      <c r="F409" s="27">
        <f>SUMIFS(MOMBASA!G:G,MOMBASA!A:A,"8/17")</f>
        <v>316121</v>
      </c>
      <c r="G409" s="11">
        <f t="shared" si="94"/>
        <v>2</v>
      </c>
      <c r="H409" s="12">
        <f t="shared" si="95"/>
        <v>0.3149990364</v>
      </c>
      <c r="I409" s="9">
        <f>COUNTIFS(MOMBASA!I:I,$G$18,MOMBASA!A:A,"8/17")</f>
        <v>1</v>
      </c>
      <c r="J409" s="11">
        <f>COUNTIFS(MOMBASA!I:I,$H$18,MOMBASA!A:A,"8/17")</f>
        <v>1</v>
      </c>
      <c r="K409" s="11">
        <f>COUNTIFS(MOMBASA!I:I,$I$18,MOMBASA!A:A,"8/17")</f>
        <v>14</v>
      </c>
      <c r="L409" s="2"/>
      <c r="M409" s="2"/>
      <c r="N409" s="2"/>
      <c r="O409" s="2"/>
      <c r="P409" s="2"/>
      <c r="Q409" s="2"/>
      <c r="R409" s="2"/>
      <c r="S409" s="2"/>
      <c r="T409" s="2"/>
      <c r="U409" s="2"/>
      <c r="V409" s="2"/>
      <c r="W409" s="2"/>
      <c r="X409" s="2"/>
      <c r="Y409" s="2"/>
      <c r="Z409" s="2"/>
      <c r="AA409" s="2"/>
      <c r="AB409" s="2"/>
    </row>
    <row r="410">
      <c r="A410" s="7" t="s">
        <v>18</v>
      </c>
      <c r="B410" s="32">
        <v>8.540354123E7</v>
      </c>
      <c r="C410" s="33">
        <v>86.0</v>
      </c>
      <c r="D410" s="8">
        <f>SUMIFS(KISUMU!F:F,KISUMU!A:A,"8/17")</f>
        <v>1529111</v>
      </c>
      <c r="E410" s="11">
        <f>COUNTIFS(KISUMU!A:A,"8/17")</f>
        <v>22</v>
      </c>
      <c r="F410" s="10">
        <f>SUMIFS(KISUMU!G:G,KISUMU!A:A,"8/17")</f>
        <v>66863</v>
      </c>
      <c r="G410" s="11">
        <f t="shared" si="94"/>
        <v>1</v>
      </c>
      <c r="H410" s="12">
        <f t="shared" si="95"/>
        <v>0.04372671441</v>
      </c>
      <c r="I410" s="9">
        <f>COUNTIFS(KISUMU!I:I,$G$18,KISUMU!A:A,"8/17")</f>
        <v>0</v>
      </c>
      <c r="J410" s="11">
        <f>COUNTIFS(KISUMU!I:I,$H$18,KISUMU!A:A,"8/17")</f>
        <v>1</v>
      </c>
      <c r="K410" s="11">
        <f>COUNTIFS(KISUMU!I:I,$I$18,KISUMU!A:A,"8/17")</f>
        <v>20</v>
      </c>
      <c r="L410" s="2"/>
      <c r="M410" s="2"/>
      <c r="N410" s="2"/>
      <c r="O410" s="2"/>
      <c r="P410" s="2"/>
      <c r="Q410" s="2"/>
      <c r="R410" s="2"/>
      <c r="S410" s="2"/>
      <c r="T410" s="2"/>
      <c r="U410" s="2"/>
      <c r="V410" s="2"/>
      <c r="W410" s="2"/>
      <c r="X410" s="2"/>
      <c r="Y410" s="2"/>
      <c r="Z410" s="2"/>
      <c r="AA410" s="2"/>
      <c r="AB410" s="2"/>
    </row>
    <row r="411">
      <c r="A411" s="7" t="s">
        <v>19</v>
      </c>
      <c r="B411" s="32">
        <v>7389021.14</v>
      </c>
      <c r="C411" s="33">
        <v>20.0</v>
      </c>
      <c r="D411" s="8">
        <f>SUMIFS(VOI!F:F,VOI!A:A,"8/17")</f>
        <v>166073</v>
      </c>
      <c r="E411" s="11">
        <f>COUNTIFS(VOI!A:A,"8/17")</f>
        <v>6</v>
      </c>
      <c r="F411" s="10">
        <f>SUMIFS(VOI!G:G,VOI!A:A,"8/17")</f>
        <v>0</v>
      </c>
      <c r="G411" s="11">
        <f t="shared" si="94"/>
        <v>0</v>
      </c>
      <c r="H411" s="12">
        <f t="shared" si="95"/>
        <v>0</v>
      </c>
      <c r="I411" s="9">
        <f>COUNTIFS(VOI!H:H,$G$18,VOI!A:A,"8/17")</f>
        <v>0</v>
      </c>
      <c r="J411" s="11">
        <f>COUNTIFS(VOI!H:H,$H$18,VOI!A:A,"8/17")</f>
        <v>0</v>
      </c>
      <c r="K411" s="11">
        <f>COUNTIFS(VOI!H:H,$I$18,VOI!A:A,"8/17")</f>
        <v>6</v>
      </c>
      <c r="L411" s="2"/>
      <c r="M411" s="2"/>
      <c r="N411" s="2"/>
      <c r="O411" s="2"/>
      <c r="P411" s="2"/>
      <c r="Q411" s="2"/>
      <c r="R411" s="2"/>
      <c r="S411" s="2"/>
      <c r="T411" s="2"/>
      <c r="U411" s="2"/>
      <c r="V411" s="2"/>
      <c r="W411" s="2"/>
      <c r="X411" s="2"/>
      <c r="Y411" s="2"/>
      <c r="Z411" s="2"/>
      <c r="AA411" s="2"/>
      <c r="AB411" s="2"/>
    </row>
    <row r="412">
      <c r="A412" s="7" t="s">
        <v>20</v>
      </c>
      <c r="B412" s="32">
        <v>5.463381891E7</v>
      </c>
      <c r="C412" s="33">
        <v>92.0</v>
      </c>
      <c r="D412" s="8">
        <f>SUMIFS(THIKA!F:F,THIKA!A:A,"8/17")</f>
        <v>965289.67</v>
      </c>
      <c r="E412" s="11">
        <f>COUNTIFS(THIKA!A:A,"8/17")</f>
        <v>11</v>
      </c>
      <c r="F412" s="10">
        <f>SUMIFS(THIKA!G:G,THIKA!A:A,"8/17")</f>
        <v>50000</v>
      </c>
      <c r="G412" s="11">
        <f t="shared" si="94"/>
        <v>1</v>
      </c>
      <c r="H412" s="12">
        <f t="shared" si="95"/>
        <v>0.051797923</v>
      </c>
      <c r="I412" s="9">
        <f>COUNTIFS(THIKA!I:I,$G$18,THIKA!A:A,"8/17")</f>
        <v>0</v>
      </c>
      <c r="J412" s="11">
        <f>COUNTIFS(THIKA!I:I,$H$18,THIKA!A:A,"8/17")</f>
        <v>1</v>
      </c>
      <c r="K412" s="11">
        <f>COUNTIFS(THIKA!I:I,$I$18,THIKA!A:A,"8/17")</f>
        <v>10</v>
      </c>
      <c r="L412" s="2"/>
      <c r="M412" s="2"/>
      <c r="N412" s="2"/>
      <c r="O412" s="2"/>
      <c r="P412" s="2"/>
      <c r="Q412" s="2"/>
      <c r="R412" s="2"/>
      <c r="S412" s="2"/>
      <c r="T412" s="2"/>
      <c r="U412" s="2"/>
      <c r="V412" s="2"/>
      <c r="W412" s="2"/>
      <c r="X412" s="2"/>
      <c r="Y412" s="2"/>
      <c r="Z412" s="2"/>
      <c r="AA412" s="2"/>
      <c r="AB412" s="2"/>
    </row>
    <row r="413">
      <c r="A413" s="7" t="s">
        <v>21</v>
      </c>
      <c r="B413" s="32">
        <v>1127078.27</v>
      </c>
      <c r="C413" s="33">
        <v>5.0</v>
      </c>
      <c r="D413" s="8">
        <f>SUMIFS(KITUI!F:F,KITUI!A:A,"8/17")</f>
        <v>0</v>
      </c>
      <c r="E413" s="11">
        <f>COUNTIFS(KITUI!A:A,"8/17")</f>
        <v>0</v>
      </c>
      <c r="F413" s="10">
        <f>SUMIFS(KITUI!G:G,KITUI!A:A,"8/17")</f>
        <v>0</v>
      </c>
      <c r="G413" s="11">
        <f t="shared" si="94"/>
        <v>0</v>
      </c>
      <c r="H413" s="12">
        <f t="shared" si="95"/>
        <v>0</v>
      </c>
      <c r="I413" s="9">
        <f>COUNTIFS(KITUI!I:I,$G$18,KITUI!A:A,"8/17")</f>
        <v>0</v>
      </c>
      <c r="J413" s="11">
        <f>COUNTIFS(KITUI!I:I,$H$18,KITUI!A:A,"8/17")</f>
        <v>0</v>
      </c>
      <c r="K413" s="11">
        <f>COUNTIFS(KITUI!I:I,$I$18,KITUI!A:A,"8/17")</f>
        <v>0</v>
      </c>
      <c r="L413" s="2"/>
      <c r="M413" s="2"/>
      <c r="N413" s="2"/>
      <c r="O413" s="2"/>
      <c r="P413" s="2"/>
      <c r="Q413" s="2"/>
      <c r="R413" s="2"/>
      <c r="S413" s="2"/>
      <c r="T413" s="2"/>
      <c r="U413" s="2"/>
      <c r="V413" s="2"/>
      <c r="W413" s="2"/>
      <c r="X413" s="2"/>
      <c r="Y413" s="2"/>
      <c r="Z413" s="2"/>
      <c r="AA413" s="2"/>
      <c r="AB413" s="2"/>
    </row>
    <row r="414">
      <c r="A414" s="15" t="s">
        <v>22</v>
      </c>
      <c r="B414" s="32">
        <v>244480.07</v>
      </c>
      <c r="C414" s="33">
        <v>4.0</v>
      </c>
      <c r="D414" s="8">
        <f>SUMIFS(MACHAKOS!F:F,MACHAKOS!A:A,"8/17")</f>
        <v>245057</v>
      </c>
      <c r="E414" s="11">
        <f>COUNTIFS(MACHAKOS!A:A,"8/17")</f>
        <v>4</v>
      </c>
      <c r="F414" s="10">
        <f>SUMIFS(MACHAKOS!G:G,MACHAKOS!A:A,"8/17")</f>
        <v>25626</v>
      </c>
      <c r="G414" s="11">
        <f t="shared" si="94"/>
        <v>0</v>
      </c>
      <c r="H414" s="12">
        <f t="shared" si="95"/>
        <v>0.1045715895</v>
      </c>
      <c r="I414" s="9">
        <f>COUNTIFS(MACHAKOS!I:I,$G$18,MACHAKOS!A:A,"8/17")</f>
        <v>0</v>
      </c>
      <c r="J414" s="11">
        <f>COUNTIFS(MACHAKOS!I:I,$H$18,MACHAKOS!A:A,"8/17")</f>
        <v>0</v>
      </c>
      <c r="K414" s="11">
        <f>COUNTIFS(MACHAKOS!I:I,$I$18,MACHAKOS!A:A,"8/17")</f>
        <v>4</v>
      </c>
      <c r="L414" s="2"/>
      <c r="M414" s="2"/>
      <c r="N414" s="2"/>
      <c r="O414" s="2"/>
      <c r="P414" s="2"/>
      <c r="Q414" s="2"/>
      <c r="R414" s="2"/>
      <c r="S414" s="2"/>
      <c r="T414" s="2"/>
      <c r="U414" s="2"/>
      <c r="V414" s="2"/>
      <c r="W414" s="2"/>
      <c r="X414" s="2"/>
      <c r="Y414" s="2"/>
      <c r="Z414" s="2"/>
      <c r="AA414" s="2"/>
      <c r="AB414" s="2"/>
    </row>
    <row r="415">
      <c r="A415" s="1" t="s">
        <v>32</v>
      </c>
      <c r="B415" s="8"/>
      <c r="C415" s="30"/>
      <c r="D415" s="30">
        <v>2250000.0</v>
      </c>
      <c r="E415" s="34"/>
      <c r="F415" s="38">
        <v>2972231.0</v>
      </c>
      <c r="G415" s="28">
        <v>0.0</v>
      </c>
      <c r="H415" s="12">
        <f t="shared" si="95"/>
        <v>1.320991556</v>
      </c>
      <c r="I415" s="9">
        <f>COUNTIFS(MACHAKOS!I:I,$G$18,MACHAKOS!A:A,"8/17")</f>
        <v>0</v>
      </c>
      <c r="J415" s="28">
        <v>0.0</v>
      </c>
      <c r="K415" s="28">
        <v>0.0</v>
      </c>
      <c r="L415" s="2"/>
      <c r="M415" s="2"/>
      <c r="N415" s="2"/>
      <c r="O415" s="2"/>
      <c r="P415" s="2"/>
      <c r="Q415" s="2"/>
      <c r="R415" s="2"/>
      <c r="S415" s="2"/>
      <c r="T415" s="2"/>
      <c r="U415" s="2"/>
      <c r="V415" s="2"/>
      <c r="W415" s="2"/>
      <c r="X415" s="2"/>
      <c r="Y415" s="2"/>
      <c r="Z415" s="2"/>
      <c r="AA415" s="2"/>
      <c r="AB415" s="2"/>
    </row>
    <row r="416">
      <c r="A416" s="1" t="s">
        <v>31</v>
      </c>
      <c r="B416" s="39">
        <v>1.5364534831E8</v>
      </c>
      <c r="C416" s="40">
        <v>2607.0</v>
      </c>
      <c r="D416" s="25">
        <v>2200000.0</v>
      </c>
      <c r="E416" s="35"/>
      <c r="F416" s="29"/>
      <c r="G416" s="11"/>
      <c r="H416" s="12"/>
      <c r="I416" s="9"/>
      <c r="J416" s="11"/>
      <c r="K416" s="11"/>
      <c r="L416" s="2"/>
      <c r="M416" s="2"/>
      <c r="N416" s="2"/>
      <c r="O416" s="2"/>
      <c r="P416" s="2"/>
      <c r="Q416" s="2"/>
      <c r="R416" s="2"/>
      <c r="S416" s="2"/>
      <c r="T416" s="2"/>
      <c r="U416" s="2"/>
      <c r="V416" s="2"/>
      <c r="W416" s="2"/>
      <c r="X416" s="2"/>
      <c r="Y416" s="2"/>
      <c r="Z416" s="2"/>
      <c r="AA416" s="2"/>
      <c r="AB416" s="2"/>
    </row>
    <row r="417">
      <c r="A417" s="16" t="s">
        <v>23</v>
      </c>
      <c r="B417" s="17">
        <f t="shared" ref="B417:F417" si="96">SUM(B402:B416)</f>
        <v>2521272558</v>
      </c>
      <c r="C417" s="36">
        <f t="shared" si="96"/>
        <v>4518</v>
      </c>
      <c r="D417" s="17">
        <f t="shared" si="96"/>
        <v>28955218.28</v>
      </c>
      <c r="E417" s="37">
        <f t="shared" si="96"/>
        <v>187</v>
      </c>
      <c r="F417" s="19">
        <f t="shared" si="96"/>
        <v>4844951</v>
      </c>
      <c r="G417" s="18">
        <f>SUM(G402:G414)</f>
        <v>15</v>
      </c>
      <c r="H417" s="20">
        <f>F417/D417</f>
        <v>0.1673256597</v>
      </c>
      <c r="I417" s="21">
        <f t="shared" ref="I417:K417" si="97">SUM(I402:I416)</f>
        <v>6</v>
      </c>
      <c r="J417" s="21">
        <f t="shared" si="97"/>
        <v>9</v>
      </c>
      <c r="K417" s="21">
        <f t="shared" si="97"/>
        <v>171</v>
      </c>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3" t="s">
        <v>1</v>
      </c>
      <c r="B419" s="4" t="s">
        <v>33</v>
      </c>
      <c r="C419" s="4" t="s">
        <v>34</v>
      </c>
      <c r="D419" s="5" t="s">
        <v>2</v>
      </c>
      <c r="E419" s="5" t="s">
        <v>3</v>
      </c>
      <c r="F419" s="5" t="s">
        <v>4</v>
      </c>
      <c r="G419" s="5" t="s">
        <v>5</v>
      </c>
      <c r="H419" s="26" t="s">
        <v>6</v>
      </c>
      <c r="I419" s="26" t="s">
        <v>7</v>
      </c>
      <c r="J419" s="26" t="s">
        <v>8</v>
      </c>
      <c r="K419" s="26" t="s">
        <v>9</v>
      </c>
      <c r="L419" s="2"/>
      <c r="M419" s="2"/>
      <c r="N419" s="2"/>
      <c r="O419" s="2"/>
      <c r="P419" s="2"/>
      <c r="Q419" s="2"/>
      <c r="R419" s="2"/>
      <c r="S419" s="2"/>
      <c r="T419" s="2"/>
      <c r="U419" s="2"/>
      <c r="V419" s="2"/>
      <c r="W419" s="2"/>
      <c r="X419" s="2"/>
      <c r="Y419" s="2"/>
      <c r="Z419" s="2"/>
      <c r="AA419" s="2"/>
      <c r="AB419" s="2"/>
    </row>
    <row r="420">
      <c r="A420" s="7" t="s">
        <v>10</v>
      </c>
      <c r="B420" s="32">
        <v>8.5231992764E8</v>
      </c>
      <c r="C420" s="33">
        <v>392.0</v>
      </c>
      <c r="D420" s="8">
        <f>SUMIFS(ECOBANK!F:F,ECOBANK!A:A,"8/19")</f>
        <v>4887984.97</v>
      </c>
      <c r="E420" s="9">
        <f>COUNTIFS(ECOBANK!A:A,"8/19")</f>
        <v>19</v>
      </c>
      <c r="F420" s="10">
        <f>SUMIFS(ECOBANK!G:G,ECOBANK!A:A,"8/19")</f>
        <v>440000</v>
      </c>
      <c r="G420" s="11">
        <f t="shared" ref="G420:G432" si="98">I420+J420</f>
        <v>1</v>
      </c>
      <c r="H420" s="12">
        <f t="shared" ref="H420:H433" si="99">iferror(F420/D420,0)</f>
        <v>0.0900166434</v>
      </c>
      <c r="I420" s="9">
        <f>COUNTIFS(ECOBANK!I:I,$G$18,ECOBANK!A:A,"8/19")</f>
        <v>1</v>
      </c>
      <c r="J420" s="11">
        <f>COUNTIFS(ECOBANK!I:I,$H$18,ECOBANK!A:A,"8/19)")</f>
        <v>0</v>
      </c>
      <c r="K420" s="11">
        <f>COUNTIFS(ECOBANK!I:I,$I$18,ECOBANK!A:A,"8/19")</f>
        <v>17</v>
      </c>
      <c r="L420" s="2"/>
      <c r="M420" s="2"/>
      <c r="N420" s="2"/>
      <c r="O420" s="2"/>
      <c r="P420" s="2"/>
      <c r="Q420" s="2"/>
      <c r="R420" s="2"/>
      <c r="S420" s="2"/>
      <c r="T420" s="2"/>
      <c r="U420" s="2"/>
      <c r="V420" s="2"/>
      <c r="W420" s="2"/>
      <c r="X420" s="2"/>
      <c r="Y420" s="2"/>
      <c r="Z420" s="2"/>
      <c r="AA420" s="2"/>
      <c r="AB420" s="2"/>
    </row>
    <row r="421">
      <c r="A421" s="7" t="s">
        <v>24</v>
      </c>
      <c r="B421" s="32">
        <v>6.1472024684E8</v>
      </c>
      <c r="C421" s="33">
        <v>248.0</v>
      </c>
      <c r="D421" s="8">
        <f>SUMIFS('TRADE CENTER'!F:F,'TRADE CENTER'!A:A,"8/19")</f>
        <v>9771294.99</v>
      </c>
      <c r="E421" s="11">
        <f>COUNTIFS('TRADE CENTER'!A:A,"8/19")</f>
        <v>45</v>
      </c>
      <c r="F421" s="10">
        <f>SUMIFS('TRADE CENTER'!G:G,'TRADE CENTER'!A:A,"8/19")</f>
        <v>958545</v>
      </c>
      <c r="G421" s="11">
        <f t="shared" si="98"/>
        <v>10</v>
      </c>
      <c r="H421" s="12">
        <f t="shared" si="99"/>
        <v>0.09809805159</v>
      </c>
      <c r="I421" s="11">
        <f>COUNTIFS('TRADE CENTER'!I:I,$G$18,'TRADE CENTER'!A:A,"8/19")</f>
        <v>2</v>
      </c>
      <c r="J421" s="11">
        <f>COUNTIFS('TRADE CENTER'!I:I,$H$18,'TRADE CENTER'!A:A,"8/19")</f>
        <v>8</v>
      </c>
      <c r="K421" s="11">
        <f>COUNTIFS('TRADE CENTER'!I:I,$I$18,'TRADE CENTER'!A:A,"8/19")</f>
        <v>35</v>
      </c>
      <c r="L421" s="2"/>
      <c r="M421" s="2"/>
      <c r="N421" s="2"/>
      <c r="O421" s="2"/>
      <c r="P421" s="2"/>
      <c r="Q421" s="2"/>
      <c r="R421" s="2"/>
      <c r="S421" s="2"/>
      <c r="T421" s="2"/>
      <c r="U421" s="2"/>
      <c r="V421" s="2"/>
      <c r="W421" s="2"/>
      <c r="X421" s="2"/>
      <c r="Y421" s="2"/>
      <c r="Z421" s="2"/>
      <c r="AA421" s="2"/>
      <c r="AB421" s="2"/>
    </row>
    <row r="422">
      <c r="A422" s="7" t="s">
        <v>12</v>
      </c>
      <c r="B422" s="32">
        <v>2.5413966375E8</v>
      </c>
      <c r="C422" s="33">
        <v>378.0</v>
      </c>
      <c r="D422" s="8">
        <f>SUMIFS(PENSION!F:F,PENSION!A:A,"8/19/2024")</f>
        <v>6867431.66</v>
      </c>
      <c r="E422" s="11">
        <f>COUNTIFS(PENSION!A:A,"8/19")</f>
        <v>32</v>
      </c>
      <c r="F422" s="10">
        <f>SUMIFS(PENSION!G:G,PENSION!A:A,"8/19/2024")</f>
        <v>858658</v>
      </c>
      <c r="G422" s="11">
        <f t="shared" si="98"/>
        <v>7</v>
      </c>
      <c r="H422" s="12">
        <f t="shared" si="99"/>
        <v>0.125033352</v>
      </c>
      <c r="I422" s="9">
        <f>COUNTIFS(PENSION!I:I,$G$18,PENSION!A:A,"8/19")</f>
        <v>2</v>
      </c>
      <c r="J422" s="11">
        <f>COUNTIFS(PENSION!I:I,$H$18,PENSION!A:A,"8/19")</f>
        <v>5</v>
      </c>
      <c r="K422" s="11">
        <f>COUNTIFS(PENSION!I:I,$I$18,PENSION!A:A,"8/19")</f>
        <v>25</v>
      </c>
      <c r="L422" s="2"/>
      <c r="M422" s="2"/>
      <c r="N422" s="2"/>
      <c r="O422" s="2"/>
      <c r="P422" s="2"/>
      <c r="Q422" s="2"/>
      <c r="R422" s="2"/>
      <c r="S422" s="2"/>
      <c r="T422" s="2"/>
      <c r="U422" s="2"/>
      <c r="V422" s="2"/>
      <c r="W422" s="2"/>
      <c r="X422" s="2"/>
      <c r="Y422" s="2"/>
      <c r="Z422" s="2"/>
      <c r="AA422" s="2"/>
      <c r="AB422" s="2"/>
    </row>
    <row r="423">
      <c r="A423" s="7" t="s">
        <v>13</v>
      </c>
      <c r="B423" s="32">
        <v>1.1120469883E8</v>
      </c>
      <c r="C423" s="33">
        <v>303.0</v>
      </c>
      <c r="D423" s="8">
        <f>SUMIFS(KITENGELA!F:F,KITENGELA!A:A,"8/19/2024")</f>
        <v>5303572.3</v>
      </c>
      <c r="E423" s="11">
        <f>COUNTIFS(KITENGELA!A:A,"8/19")</f>
        <v>39</v>
      </c>
      <c r="F423" s="10">
        <f>SUMIFS(KITENGELA!G:G,KITENGELA!A:A,"8/19")</f>
        <v>925721</v>
      </c>
      <c r="G423" s="11">
        <f t="shared" si="98"/>
        <v>11</v>
      </c>
      <c r="H423" s="12">
        <f t="shared" si="99"/>
        <v>0.1745466919</v>
      </c>
      <c r="I423" s="11">
        <f>COUNTIFS(KITENGELA!I:I,$G$18,KITENGELA!A:A,"8/19")</f>
        <v>3</v>
      </c>
      <c r="J423" s="11">
        <f>COUNTIFS(KITENGELA!I:I,$H$18,KITENGELA!A:A,"8/19")</f>
        <v>8</v>
      </c>
      <c r="K423" s="11">
        <f>COUNTIFS(KITENGELA!I:I,$I$18,KITENGELA!A:A,"8/19")</f>
        <v>28</v>
      </c>
      <c r="L423" s="2"/>
      <c r="M423" s="2"/>
      <c r="N423" s="2"/>
      <c r="O423" s="2"/>
      <c r="P423" s="2"/>
      <c r="Q423" s="2"/>
      <c r="R423" s="2"/>
      <c r="S423" s="2"/>
      <c r="T423" s="2"/>
      <c r="U423" s="2"/>
      <c r="V423" s="2"/>
      <c r="W423" s="2"/>
      <c r="X423" s="2"/>
      <c r="Y423" s="2"/>
      <c r="Z423" s="2"/>
      <c r="AA423" s="2"/>
      <c r="AB423" s="2"/>
    </row>
    <row r="424">
      <c r="A424" s="7" t="s">
        <v>14</v>
      </c>
      <c r="B424" s="32">
        <v>1.5961307914E8</v>
      </c>
      <c r="C424" s="33">
        <v>166.0</v>
      </c>
      <c r="D424" s="8">
        <f>SUMIFS(ELDORET!F:F,ELDORET!A:A,"8/19")</f>
        <v>1167343.72</v>
      </c>
      <c r="E424" s="11">
        <f>COUNTIFS(ELDORET!A:A,"8/19")</f>
        <v>26</v>
      </c>
      <c r="F424" s="10">
        <f>SUMIFS(ELDORET!G:G,ELDORET!A:A,"8/19")</f>
        <v>56455</v>
      </c>
      <c r="G424" s="11">
        <f t="shared" si="98"/>
        <v>4</v>
      </c>
      <c r="H424" s="12">
        <f t="shared" si="99"/>
        <v>0.04836193405</v>
      </c>
      <c r="I424" s="11">
        <f>COUNTIFS(ELDORET!I:I,$G$18,ELDORET!A:A,"8/19")</f>
        <v>1</v>
      </c>
      <c r="J424" s="11">
        <f>COUNTIFS(ELDORET!I:I,$H$18,ELDORET!A:A,"8/19")</f>
        <v>3</v>
      </c>
      <c r="K424" s="11">
        <f>COUNTIFS(ELDORET!I:I,$I$18,ELDORET!A:A,"8/19")</f>
        <v>22</v>
      </c>
      <c r="L424" s="2"/>
      <c r="M424" s="2"/>
      <c r="N424" s="2"/>
      <c r="O424" s="2"/>
      <c r="P424" s="2"/>
      <c r="Q424" s="2"/>
      <c r="R424" s="2"/>
      <c r="S424" s="2"/>
      <c r="T424" s="2"/>
      <c r="U424" s="2"/>
      <c r="V424" s="2"/>
      <c r="W424" s="2"/>
      <c r="X424" s="2"/>
      <c r="Y424" s="2"/>
      <c r="Z424" s="2"/>
      <c r="AA424" s="2"/>
      <c r="AB424" s="2"/>
    </row>
    <row r="425">
      <c r="A425" s="7" t="s">
        <v>15</v>
      </c>
      <c r="B425" s="32">
        <v>1.618607981E7</v>
      </c>
      <c r="C425" s="33">
        <v>22.0</v>
      </c>
      <c r="D425" s="8">
        <f>SUMIFS(NAKURU!F:F,NAKURU!A:A,"8/19")</f>
        <v>197000</v>
      </c>
      <c r="E425" s="11">
        <f>COUNTIFS(NAKURU!A:A,"8/19")</f>
        <v>5</v>
      </c>
      <c r="F425" s="10">
        <f>SUMIFS(NAKURU!G:G,NAKURU!A:A,"8/19")</f>
        <v>108118</v>
      </c>
      <c r="G425" s="11">
        <f t="shared" si="98"/>
        <v>2</v>
      </c>
      <c r="H425" s="12">
        <f t="shared" si="99"/>
        <v>0.548822335</v>
      </c>
      <c r="I425" s="9">
        <f>COUNTIFS(NAKURU!I:I,$G$18,NAKURU!A:A,"8/19")</f>
        <v>2</v>
      </c>
      <c r="J425" s="11">
        <f>COUNTIFS(NAKURU!I:I,$H$18,NAKURU!A:A,"8/19")</f>
        <v>0</v>
      </c>
      <c r="K425" s="11">
        <f>COUNTIFS(NAKURU!I:I,$I$18,NAKURU!A:A,"8/19")</f>
        <v>3</v>
      </c>
      <c r="L425" s="2"/>
      <c r="M425" s="2"/>
      <c r="N425" s="2"/>
      <c r="O425" s="2"/>
      <c r="P425" s="2"/>
      <c r="Q425" s="2"/>
      <c r="R425" s="2"/>
      <c r="S425" s="2"/>
      <c r="T425" s="2"/>
      <c r="U425" s="2"/>
      <c r="V425" s="2"/>
      <c r="W425" s="2"/>
      <c r="X425" s="2"/>
      <c r="Y425" s="2"/>
      <c r="Z425" s="2"/>
      <c r="AA425" s="2"/>
      <c r="AB425" s="2"/>
    </row>
    <row r="426">
      <c r="A426" s="7" t="s">
        <v>16</v>
      </c>
      <c r="B426" s="32">
        <v>1.214590604E7</v>
      </c>
      <c r="C426" s="33">
        <v>18.0</v>
      </c>
      <c r="D426" s="8">
        <f>SUMIFS(HOMABAY!F:F,HOMABAY!A:A,"8/19")</f>
        <v>200000</v>
      </c>
      <c r="E426" s="11">
        <f>COUNTIFS(HOMABAY!A:A,"8/19")</f>
        <v>3</v>
      </c>
      <c r="F426" s="10">
        <f>SUMIFS(HOMABAY!G:G,HOMABAY!A:A,"8/19")</f>
        <v>0</v>
      </c>
      <c r="G426" s="11">
        <f t="shared" si="98"/>
        <v>0</v>
      </c>
      <c r="H426" s="12">
        <f t="shared" si="99"/>
        <v>0</v>
      </c>
      <c r="I426" s="9">
        <f>COUNTIFS(HOMABAY!K:K,$G$18,HOMABAY!A:A,"8/19")</f>
        <v>0</v>
      </c>
      <c r="J426" s="11">
        <f>COUNTIFS(HOMABAY!K:K,$H$18,HOMABAY!A:A,"8/19")</f>
        <v>0</v>
      </c>
      <c r="K426" s="11">
        <f>COUNTIFS(HOMABAY!K:K,$I$18,HOMABAY!A:A,"8/19")</f>
        <v>3</v>
      </c>
      <c r="L426" s="2"/>
      <c r="M426" s="2"/>
      <c r="N426" s="2"/>
      <c r="O426" s="2"/>
      <c r="P426" s="2"/>
      <c r="Q426" s="2"/>
      <c r="R426" s="2"/>
      <c r="S426" s="2"/>
      <c r="T426" s="2"/>
      <c r="U426" s="2"/>
      <c r="V426" s="2"/>
      <c r="W426" s="2"/>
      <c r="X426" s="2"/>
      <c r="Y426" s="2"/>
      <c r="Z426" s="2"/>
      <c r="AA426" s="2"/>
      <c r="AB426" s="2"/>
    </row>
    <row r="427">
      <c r="A427" s="7" t="s">
        <v>17</v>
      </c>
      <c r="B427" s="32">
        <v>1.9849966825E8</v>
      </c>
      <c r="C427" s="33">
        <v>177.0</v>
      </c>
      <c r="D427" s="8">
        <f>SUMIFS(MOMBASA!F:F,MOMBASA!A:A,"8/19")</f>
        <v>1939908.6</v>
      </c>
      <c r="E427" s="11">
        <f>COUNTIFS(MOMBASA!A:A,"8/19")</f>
        <v>25</v>
      </c>
      <c r="F427" s="27">
        <f>SUMIFS(MOMBASA!G:G,MOMBASA!A:A,"8/19")</f>
        <v>480298</v>
      </c>
      <c r="G427" s="11">
        <f t="shared" si="98"/>
        <v>11</v>
      </c>
      <c r="H427" s="12">
        <f t="shared" si="99"/>
        <v>0.2475879534</v>
      </c>
      <c r="I427" s="9">
        <f>COUNTIFS(MOMBASA!I:I,$G$18,MOMBASA!A:A,"8/19")</f>
        <v>3</v>
      </c>
      <c r="J427" s="11">
        <f>COUNTIFS(MOMBASA!I:I,$H$18,MOMBASA!A:A,"8/19")</f>
        <v>8</v>
      </c>
      <c r="K427" s="11">
        <f>COUNTIFS(MOMBASA!I:I,$I$18,MOMBASA!A:A,"8/19")</f>
        <v>14</v>
      </c>
      <c r="L427" s="2"/>
      <c r="M427" s="2"/>
      <c r="N427" s="2"/>
      <c r="O427" s="2"/>
      <c r="P427" s="2"/>
      <c r="Q427" s="2"/>
      <c r="R427" s="2"/>
      <c r="S427" s="2"/>
      <c r="T427" s="2"/>
      <c r="U427" s="2"/>
      <c r="V427" s="2"/>
      <c r="W427" s="2"/>
      <c r="X427" s="2"/>
      <c r="Y427" s="2"/>
      <c r="Z427" s="2"/>
      <c r="AA427" s="2"/>
      <c r="AB427" s="2"/>
    </row>
    <row r="428">
      <c r="A428" s="7" t="s">
        <v>18</v>
      </c>
      <c r="B428" s="32">
        <v>8.540354123E7</v>
      </c>
      <c r="C428" s="33">
        <v>86.0</v>
      </c>
      <c r="D428" s="8">
        <f>SUMIFS(KISUMU!F:F,KISUMU!A:A,"8/19")</f>
        <v>2617656.68</v>
      </c>
      <c r="E428" s="11">
        <f>COUNTIFS(KISUMU!A:A,"8/19")</f>
        <v>29</v>
      </c>
      <c r="F428" s="10">
        <f>SUMIFS(KISUMU!G:G,KISUMU!A:A,"8/19")</f>
        <v>1402095</v>
      </c>
      <c r="G428" s="11">
        <f t="shared" si="98"/>
        <v>9</v>
      </c>
      <c r="H428" s="12">
        <f t="shared" si="99"/>
        <v>0.535629829</v>
      </c>
      <c r="I428" s="9">
        <f>COUNTIFS(KISUMU!I:I,$G$18,KISUMU!A:A,"8/19")</f>
        <v>3</v>
      </c>
      <c r="J428" s="11">
        <f>COUNTIFS(KISUMU!I:I,$H$18,KISUMU!A:A,"8/19")</f>
        <v>6</v>
      </c>
      <c r="K428" s="11">
        <f>COUNTIFS(KISUMU!I:I,$I$18,KISUMU!A:A,"8/19")</f>
        <v>20</v>
      </c>
      <c r="L428" s="2"/>
      <c r="M428" s="2"/>
      <c r="N428" s="2"/>
      <c r="O428" s="2"/>
      <c r="P428" s="2"/>
      <c r="Q428" s="2"/>
      <c r="R428" s="2"/>
      <c r="S428" s="2"/>
      <c r="T428" s="2"/>
      <c r="U428" s="2"/>
      <c r="V428" s="2"/>
      <c r="W428" s="2"/>
      <c r="X428" s="2"/>
      <c r="Y428" s="2"/>
      <c r="Z428" s="2"/>
      <c r="AA428" s="2"/>
      <c r="AB428" s="2"/>
    </row>
    <row r="429">
      <c r="A429" s="7" t="s">
        <v>19</v>
      </c>
      <c r="B429" s="32">
        <v>7389021.14</v>
      </c>
      <c r="C429" s="33">
        <v>20.0</v>
      </c>
      <c r="D429" s="8">
        <f>SUMIFS(VOI!F:F,VOI!A:A,"8/19")</f>
        <v>166073</v>
      </c>
      <c r="E429" s="11">
        <f>COUNTIFS(VOI!A:A,"8/19")</f>
        <v>6</v>
      </c>
      <c r="F429" s="10">
        <f>SUMIFS(VOI!G:G,VOI!A:A,"8/19")</f>
        <v>0</v>
      </c>
      <c r="G429" s="11">
        <f t="shared" si="98"/>
        <v>0</v>
      </c>
      <c r="H429" s="12">
        <f t="shared" si="99"/>
        <v>0</v>
      </c>
      <c r="I429" s="9">
        <f>COUNTIFS(VOI!H:H,$G$18,VOI!A:A,"8/19")</f>
        <v>0</v>
      </c>
      <c r="J429" s="11">
        <f>COUNTIFS(VOI!H:H,$H$18,VOI!A:A,"8/19")</f>
        <v>0</v>
      </c>
      <c r="K429" s="11">
        <f>COUNTIFS(VOI!H:H,$I$18,VOI!A:A,"8/19")</f>
        <v>6</v>
      </c>
      <c r="L429" s="2"/>
      <c r="M429" s="2"/>
      <c r="N429" s="2"/>
      <c r="O429" s="2"/>
      <c r="P429" s="2"/>
      <c r="Q429" s="2"/>
      <c r="R429" s="2"/>
      <c r="S429" s="2"/>
      <c r="T429" s="2"/>
      <c r="U429" s="2"/>
      <c r="V429" s="2"/>
      <c r="W429" s="2"/>
      <c r="X429" s="2"/>
      <c r="Y429" s="2"/>
      <c r="Z429" s="2"/>
      <c r="AA429" s="2"/>
      <c r="AB429" s="2"/>
    </row>
    <row r="430">
      <c r="A430" s="7" t="s">
        <v>20</v>
      </c>
      <c r="B430" s="32">
        <v>5.463381891E7</v>
      </c>
      <c r="C430" s="33">
        <v>92.0</v>
      </c>
      <c r="D430" s="8">
        <f>SUMIFS(THIKA!F:F,THIKA!A:A,"8/19")</f>
        <v>1000760</v>
      </c>
      <c r="E430" s="11">
        <f>COUNTIFS(THIKA!A:A,"8/19")</f>
        <v>16</v>
      </c>
      <c r="F430" s="10">
        <f>SUMIFS(THIKA!G:G,THIKA!A:A,"8/19")</f>
        <v>311000</v>
      </c>
      <c r="G430" s="11">
        <f t="shared" si="98"/>
        <v>6</v>
      </c>
      <c r="H430" s="12">
        <f t="shared" si="99"/>
        <v>0.3107638195</v>
      </c>
      <c r="I430" s="9">
        <f>COUNTIFS(THIKA!I:I,$G$18,THIKA!A:A,"8/19")</f>
        <v>3</v>
      </c>
      <c r="J430" s="11">
        <f>COUNTIFS(THIKA!I:I,$H$18,THIKA!A:A,"8/19")</f>
        <v>3</v>
      </c>
      <c r="K430" s="11">
        <f>COUNTIFS(THIKA!I:I,$I$18,THIKA!A:A,"8/19")</f>
        <v>10</v>
      </c>
      <c r="L430" s="2"/>
      <c r="M430" s="2"/>
      <c r="N430" s="2"/>
      <c r="O430" s="2"/>
      <c r="P430" s="2"/>
      <c r="Q430" s="2"/>
      <c r="R430" s="2"/>
      <c r="S430" s="2"/>
      <c r="T430" s="2"/>
      <c r="U430" s="2"/>
      <c r="V430" s="2"/>
      <c r="W430" s="2"/>
      <c r="X430" s="2"/>
      <c r="Y430" s="2"/>
      <c r="Z430" s="2"/>
      <c r="AA430" s="2"/>
      <c r="AB430" s="2"/>
    </row>
    <row r="431">
      <c r="A431" s="7" t="s">
        <v>21</v>
      </c>
      <c r="B431" s="32">
        <v>1127078.27</v>
      </c>
      <c r="C431" s="33">
        <v>5.0</v>
      </c>
      <c r="D431" s="8">
        <f>SUMIFS(KITUI!F:F,KITUI!A:A,"8/19")</f>
        <v>76125</v>
      </c>
      <c r="E431" s="11">
        <f>COUNTIFS(KITUI!A:A,"8/19")</f>
        <v>1</v>
      </c>
      <c r="F431" s="10">
        <f>SUMIFS(KITUI!G:G,KITUI!A:A,"8/19")</f>
        <v>0</v>
      </c>
      <c r="G431" s="11">
        <f t="shared" si="98"/>
        <v>0</v>
      </c>
      <c r="H431" s="12">
        <f t="shared" si="99"/>
        <v>0</v>
      </c>
      <c r="I431" s="9">
        <f>COUNTIFS(KITUI!I:I,$G$18,KITUI!A:A,"8/19")</f>
        <v>0</v>
      </c>
      <c r="J431" s="11">
        <f>COUNTIFS(KITUI!I:I,$H$18,KITUI!A:A,"8/19")</f>
        <v>0</v>
      </c>
      <c r="K431" s="11">
        <f>COUNTIFS(KITUI!I:I,$I$18,KITUI!A:A,"8/19")</f>
        <v>1</v>
      </c>
      <c r="L431" s="2"/>
      <c r="M431" s="2"/>
      <c r="N431" s="2"/>
      <c r="O431" s="2"/>
      <c r="P431" s="2"/>
      <c r="Q431" s="2"/>
      <c r="R431" s="2"/>
      <c r="S431" s="2"/>
      <c r="T431" s="2"/>
      <c r="U431" s="2"/>
      <c r="V431" s="2"/>
      <c r="W431" s="2"/>
      <c r="X431" s="2"/>
      <c r="Y431" s="2"/>
      <c r="Z431" s="2"/>
      <c r="AA431" s="2"/>
      <c r="AB431" s="2"/>
    </row>
    <row r="432">
      <c r="A432" s="15" t="s">
        <v>22</v>
      </c>
      <c r="B432" s="32">
        <v>244480.07</v>
      </c>
      <c r="C432" s="33">
        <v>4.0</v>
      </c>
      <c r="D432" s="8">
        <f>SUMIFS(MACHAKOS!F:F,MACHAKOS!A:A,"8/19")</f>
        <v>842288</v>
      </c>
      <c r="E432" s="11">
        <f>COUNTIFS(MACHAKOS!A:A,"8/19")</f>
        <v>5</v>
      </c>
      <c r="F432" s="10">
        <f>SUMIFS(MACHAKOS!G:G,MACHAKOS!A:A,"8/19")</f>
        <v>26517</v>
      </c>
      <c r="G432" s="11">
        <f t="shared" si="98"/>
        <v>0</v>
      </c>
      <c r="H432" s="12">
        <f t="shared" si="99"/>
        <v>0.03148210588</v>
      </c>
      <c r="I432" s="9">
        <f>COUNTIFS(MACHAKOS!I:I,$G$18,MACHAKOS!A:A,"8/19")</f>
        <v>0</v>
      </c>
      <c r="J432" s="11">
        <f>COUNTIFS(MACHAKOS!I:I,$H$18,MACHAKOS!A:A,"8/19")</f>
        <v>0</v>
      </c>
      <c r="K432" s="11">
        <f>COUNTIFS(MACHAKOS!I:I,$I$18,MACHAKOS!A:A,"8/19")</f>
        <v>5</v>
      </c>
      <c r="L432" s="2"/>
      <c r="M432" s="2"/>
      <c r="N432" s="2"/>
      <c r="O432" s="2"/>
      <c r="P432" s="2"/>
      <c r="Q432" s="2"/>
      <c r="R432" s="2"/>
      <c r="S432" s="2"/>
      <c r="T432" s="2"/>
      <c r="U432" s="2"/>
      <c r="V432" s="2"/>
      <c r="W432" s="2"/>
      <c r="X432" s="2"/>
      <c r="Y432" s="2"/>
      <c r="Z432" s="2"/>
      <c r="AA432" s="2"/>
      <c r="AB432" s="2"/>
    </row>
    <row r="433">
      <c r="A433" s="1" t="s">
        <v>32</v>
      </c>
      <c r="B433" s="8"/>
      <c r="C433" s="30"/>
      <c r="D433" s="30">
        <v>2000000.0</v>
      </c>
      <c r="E433" s="34"/>
      <c r="F433" s="38"/>
      <c r="G433" s="28"/>
      <c r="H433" s="12">
        <f t="shared" si="99"/>
        <v>0</v>
      </c>
      <c r="I433" s="9">
        <f>COUNTIFS(MACHAKOS!I:I,$G$18,MACHAKOS!A:A,"8/19")</f>
        <v>0</v>
      </c>
      <c r="J433" s="28">
        <v>0.0</v>
      </c>
      <c r="K433" s="28">
        <v>0.0</v>
      </c>
      <c r="L433" s="2"/>
      <c r="M433" s="2"/>
      <c r="N433" s="2"/>
      <c r="O433" s="2"/>
      <c r="P433" s="2"/>
      <c r="Q433" s="2"/>
      <c r="R433" s="2"/>
      <c r="S433" s="2"/>
      <c r="T433" s="2"/>
      <c r="U433" s="2"/>
      <c r="V433" s="2"/>
      <c r="W433" s="2"/>
      <c r="X433" s="2"/>
      <c r="Y433" s="2"/>
      <c r="Z433" s="2"/>
      <c r="AA433" s="2"/>
      <c r="AB433" s="2"/>
    </row>
    <row r="434">
      <c r="A434" s="1" t="s">
        <v>31</v>
      </c>
      <c r="B434" s="39">
        <v>1.5364534831E8</v>
      </c>
      <c r="C434" s="40">
        <v>2607.0</v>
      </c>
      <c r="D434" s="25">
        <v>1.2E7</v>
      </c>
      <c r="E434" s="28">
        <v>2017.0</v>
      </c>
      <c r="F434" s="39">
        <v>1.2705373E7</v>
      </c>
      <c r="G434" s="11"/>
      <c r="H434" s="12"/>
      <c r="I434" s="33">
        <v>1107.0</v>
      </c>
      <c r="J434" s="28">
        <v>910.0</v>
      </c>
      <c r="K434" s="11"/>
      <c r="L434" s="2"/>
      <c r="M434" s="2"/>
      <c r="N434" s="2"/>
      <c r="O434" s="2"/>
      <c r="P434" s="2"/>
      <c r="Q434" s="2"/>
      <c r="R434" s="2"/>
      <c r="S434" s="2"/>
      <c r="T434" s="2"/>
      <c r="U434" s="2"/>
      <c r="V434" s="2"/>
      <c r="W434" s="2"/>
      <c r="X434" s="2"/>
      <c r="Y434" s="2"/>
      <c r="Z434" s="2"/>
      <c r="AA434" s="2"/>
      <c r="AB434" s="2"/>
    </row>
    <row r="435">
      <c r="A435" s="16" t="s">
        <v>23</v>
      </c>
      <c r="B435" s="17">
        <f t="shared" ref="B435:F435" si="100">SUM(B420:B434)</f>
        <v>2521272558</v>
      </c>
      <c r="C435" s="36">
        <f t="shared" si="100"/>
        <v>4518</v>
      </c>
      <c r="D435" s="17">
        <f t="shared" si="100"/>
        <v>49037438.92</v>
      </c>
      <c r="E435" s="37">
        <f t="shared" si="100"/>
        <v>2268</v>
      </c>
      <c r="F435" s="19">
        <f t="shared" si="100"/>
        <v>18272780</v>
      </c>
      <c r="G435" s="18">
        <f>SUM(G420:G432)</f>
        <v>61</v>
      </c>
      <c r="H435" s="20">
        <f>F435/D435</f>
        <v>0.3726291667</v>
      </c>
      <c r="I435" s="21">
        <f t="shared" ref="I435:K435" si="101">SUM(I420:I434)</f>
        <v>1127</v>
      </c>
      <c r="J435" s="21">
        <f t="shared" si="101"/>
        <v>951</v>
      </c>
      <c r="K435" s="21">
        <f t="shared" si="101"/>
        <v>189</v>
      </c>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3" t="s">
        <v>1</v>
      </c>
      <c r="B438" s="4" t="s">
        <v>33</v>
      </c>
      <c r="C438" s="4" t="s">
        <v>34</v>
      </c>
      <c r="D438" s="5" t="s">
        <v>2</v>
      </c>
      <c r="E438" s="5" t="s">
        <v>3</v>
      </c>
      <c r="F438" s="5" t="s">
        <v>4</v>
      </c>
      <c r="G438" s="5" t="s">
        <v>5</v>
      </c>
      <c r="H438" s="26" t="s">
        <v>6</v>
      </c>
      <c r="I438" s="26" t="s">
        <v>7</v>
      </c>
      <c r="J438" s="26" t="s">
        <v>8</v>
      </c>
      <c r="K438" s="26" t="s">
        <v>9</v>
      </c>
      <c r="L438" s="2"/>
      <c r="M438" s="2"/>
      <c r="N438" s="2"/>
      <c r="O438" s="2"/>
      <c r="P438" s="2"/>
      <c r="Q438" s="2"/>
      <c r="R438" s="2"/>
      <c r="S438" s="2"/>
      <c r="T438" s="2"/>
      <c r="U438" s="2"/>
      <c r="V438" s="2"/>
      <c r="W438" s="2"/>
      <c r="X438" s="2"/>
      <c r="Y438" s="2"/>
      <c r="Z438" s="2"/>
      <c r="AA438" s="2"/>
      <c r="AB438" s="2"/>
    </row>
    <row r="439">
      <c r="A439" s="7" t="s">
        <v>10</v>
      </c>
      <c r="B439" s="39">
        <v>8.5396718559E8</v>
      </c>
      <c r="C439" s="40">
        <v>396.0</v>
      </c>
      <c r="D439" s="8">
        <f>SUMIFS(ECOBANK!F:F,ECOBANK!A:A,"8/20")</f>
        <v>13346083.92</v>
      </c>
      <c r="E439" s="9">
        <f>COUNTIFS(ECOBANK!A:A,"8/20")</f>
        <v>23</v>
      </c>
      <c r="F439" s="10">
        <f>SUMIFS(ECOBANK!G:G,ECOBANK!A:A,"8/20")</f>
        <v>595238</v>
      </c>
      <c r="G439" s="11">
        <f t="shared" ref="G439:G451" si="102">I439+J439</f>
        <v>0</v>
      </c>
      <c r="H439" s="12">
        <f t="shared" ref="H439:H452" si="103">iferror(F439/D439,0)</f>
        <v>0.0446001991</v>
      </c>
      <c r="I439" s="9">
        <f>COUNTIFS(ECOBANK!I:I,$G$18,ECOBANK!A:A,"8/20")</f>
        <v>0</v>
      </c>
      <c r="J439" s="11">
        <f>COUNTIFS(ECOBANK!I:I,$H$18,ECOBANK!A:A,"8/20)")</f>
        <v>0</v>
      </c>
      <c r="K439" s="11">
        <f>COUNTIFS(ECOBANK!I:I,$I$18,ECOBANK!A:A,"8/20")</f>
        <v>5</v>
      </c>
      <c r="L439" s="2"/>
      <c r="M439" s="2"/>
      <c r="N439" s="2"/>
      <c r="O439" s="2"/>
      <c r="P439" s="2"/>
      <c r="Q439" s="2"/>
      <c r="R439" s="2"/>
      <c r="S439" s="2"/>
      <c r="T439" s="2"/>
      <c r="U439" s="2"/>
      <c r="V439" s="2"/>
      <c r="W439" s="2"/>
      <c r="X439" s="2"/>
      <c r="Y439" s="2"/>
      <c r="Z439" s="2"/>
      <c r="AA439" s="2"/>
      <c r="AB439" s="2"/>
    </row>
    <row r="440">
      <c r="A440" s="7" t="s">
        <v>24</v>
      </c>
      <c r="B440" s="41">
        <v>6.1280880184E8</v>
      </c>
      <c r="C440" s="42">
        <v>253.0</v>
      </c>
      <c r="D440" s="8">
        <f>SUMIFS('TRADE CENTER'!F:F,'TRADE CENTER'!A:A,"8/20")</f>
        <v>7146852.77</v>
      </c>
      <c r="E440" s="11">
        <f>COUNTIFS('TRADE CENTER'!A:A,"8/20")</f>
        <v>41</v>
      </c>
      <c r="F440" s="10">
        <f>SUMIFS('TRADE CENTER'!G:G,'TRADE CENTER'!A:A,"8/20")</f>
        <v>1009859</v>
      </c>
      <c r="G440" s="11">
        <f t="shared" si="102"/>
        <v>0</v>
      </c>
      <c r="H440" s="12">
        <f t="shared" si="103"/>
        <v>0.1413012178</v>
      </c>
      <c r="I440" s="11">
        <f>COUNTIFS('TRADE CENTER'!I:I,$G$18,'TRADE CENTER'!A:A,"8/20")</f>
        <v>0</v>
      </c>
      <c r="J440" s="11">
        <f>COUNTIFS('TRADE CENTER'!I:I,$H$18,'TRADE CENTER'!A:A,"8/20")</f>
        <v>0</v>
      </c>
      <c r="K440" s="11">
        <f>COUNTIFS('TRADE CENTER'!I:I,$I$18,'TRADE CENTER'!A:A,"8/20")</f>
        <v>10</v>
      </c>
      <c r="L440" s="2"/>
      <c r="M440" s="2"/>
      <c r="N440" s="2"/>
      <c r="O440" s="2"/>
      <c r="P440" s="2"/>
      <c r="Q440" s="2"/>
      <c r="R440" s="2"/>
      <c r="S440" s="2"/>
      <c r="T440" s="2"/>
      <c r="U440" s="2"/>
      <c r="V440" s="2"/>
      <c r="W440" s="2"/>
      <c r="X440" s="2"/>
      <c r="Y440" s="2"/>
      <c r="Z440" s="2"/>
      <c r="AA440" s="2"/>
      <c r="AB440" s="2"/>
    </row>
    <row r="441">
      <c r="A441" s="7" t="s">
        <v>12</v>
      </c>
      <c r="B441" s="41">
        <v>2.521937564E8</v>
      </c>
      <c r="C441" s="42">
        <v>387.0</v>
      </c>
      <c r="D441" s="8">
        <f>SUMIFS(PENSION!F:F,PENSION!A:A,"8/20/2024")</f>
        <v>1710930.47</v>
      </c>
      <c r="E441" s="11">
        <f>COUNTIFS(PENSION!A:A,"8/20")</f>
        <v>24</v>
      </c>
      <c r="F441" s="10">
        <f>SUMIFS(PENSION!G:G,PENSION!A:A,"8/20/2024")</f>
        <v>631917</v>
      </c>
      <c r="G441" s="11">
        <f t="shared" si="102"/>
        <v>0</v>
      </c>
      <c r="H441" s="12">
        <f t="shared" si="103"/>
        <v>0.369341134</v>
      </c>
      <c r="I441" s="9">
        <f>COUNTIFS(PENSION!I:I,$G$18,PENSION!A:A,"8/20")</f>
        <v>0</v>
      </c>
      <c r="J441" s="11">
        <f>COUNTIFS(PENSION!I:I,$H$18,PENSION!A:A,"8/20")</f>
        <v>0</v>
      </c>
      <c r="K441" s="11">
        <f>COUNTIFS(PENSION!I:I,$I$18,PENSION!A:A,"8/20")</f>
        <v>0</v>
      </c>
      <c r="L441" s="2"/>
      <c r="M441" s="2"/>
      <c r="N441" s="2"/>
      <c r="O441" s="2"/>
      <c r="P441" s="2"/>
      <c r="Q441" s="2"/>
      <c r="R441" s="2"/>
      <c r="S441" s="2"/>
      <c r="T441" s="2"/>
      <c r="U441" s="2"/>
      <c r="V441" s="2"/>
      <c r="W441" s="2"/>
      <c r="X441" s="2"/>
      <c r="Y441" s="2"/>
      <c r="Z441" s="2"/>
      <c r="AA441" s="2"/>
      <c r="AB441" s="2"/>
    </row>
    <row r="442">
      <c r="A442" s="7" t="s">
        <v>13</v>
      </c>
      <c r="B442" s="41">
        <v>1.1122149749E8</v>
      </c>
      <c r="C442" s="42">
        <v>303.0</v>
      </c>
      <c r="D442" s="8">
        <f>SUMIFS(KITENGELA!F:F,KITENGELA!A:A,"8/20/2024")</f>
        <v>5404525.83</v>
      </c>
      <c r="E442" s="11">
        <f>COUNTIFS(KITENGELA!A:A,"8/20")</f>
        <v>44</v>
      </c>
      <c r="F442" s="10">
        <f>SUMIFS(KITENGELA!G:G,KITENGELA!A:A,"8/20")</f>
        <v>764958</v>
      </c>
      <c r="G442" s="11">
        <f t="shared" si="102"/>
        <v>0</v>
      </c>
      <c r="H442" s="12">
        <f t="shared" si="103"/>
        <v>0.1415402616</v>
      </c>
      <c r="I442" s="11">
        <f>COUNTIFS(KITENGELA!I:I,$G$18,KITENGELA!A:A,"8/20")</f>
        <v>0</v>
      </c>
      <c r="J442" s="11">
        <f>COUNTIFS(KITENGELA!I:I,$H$18,KITENGELA!A:A,"8/20")</f>
        <v>0</v>
      </c>
      <c r="K442" s="11">
        <f>COUNTIFS(KITENGELA!I:I,$I$18,KITENGELA!A:A,"8/20")</f>
        <v>0</v>
      </c>
      <c r="L442" s="2"/>
      <c r="M442" s="2"/>
      <c r="N442" s="2"/>
      <c r="O442" s="2"/>
      <c r="P442" s="2"/>
      <c r="Q442" s="2"/>
      <c r="R442" s="2"/>
      <c r="S442" s="2"/>
      <c r="T442" s="2"/>
      <c r="U442" s="2"/>
      <c r="V442" s="2"/>
      <c r="W442" s="2"/>
      <c r="X442" s="2"/>
      <c r="Y442" s="2"/>
      <c r="Z442" s="2"/>
      <c r="AA442" s="2"/>
      <c r="AB442" s="2"/>
    </row>
    <row r="443">
      <c r="A443" s="7" t="s">
        <v>14</v>
      </c>
      <c r="B443" s="41">
        <v>1.5969574425E8</v>
      </c>
      <c r="C443" s="42">
        <v>170.0</v>
      </c>
      <c r="D443" s="8">
        <f>SUMIFS(ELDORET!F:F,ELDORET!A:A,"8/20")</f>
        <v>1194289.55</v>
      </c>
      <c r="E443" s="11">
        <f>COUNTIFS(ELDORET!A:A,"8/20")</f>
        <v>24</v>
      </c>
      <c r="F443" s="10">
        <f>SUMIFS(ELDORET!G:G,ELDORET!A:A,"8/20")</f>
        <v>157500</v>
      </c>
      <c r="G443" s="11">
        <f t="shared" si="102"/>
        <v>0</v>
      </c>
      <c r="H443" s="12">
        <f t="shared" si="103"/>
        <v>0.1318775669</v>
      </c>
      <c r="I443" s="11">
        <f>COUNTIFS(ELDORET!I:I,$G$18,ELDORET!A:A,"8/20")</f>
        <v>0</v>
      </c>
      <c r="J443" s="11">
        <f>COUNTIFS(ELDORET!I:I,$H$18,ELDORET!A:A,"8/20")</f>
        <v>0</v>
      </c>
      <c r="K443" s="11">
        <f>COUNTIFS(ELDORET!I:I,$I$18,ELDORET!A:A,"8/20")</f>
        <v>6</v>
      </c>
      <c r="L443" s="2"/>
      <c r="M443" s="2"/>
      <c r="N443" s="2"/>
      <c r="O443" s="2"/>
      <c r="P443" s="2"/>
      <c r="Q443" s="2"/>
      <c r="R443" s="2"/>
      <c r="S443" s="2"/>
      <c r="T443" s="2"/>
      <c r="U443" s="2"/>
      <c r="V443" s="2"/>
      <c r="W443" s="2"/>
      <c r="X443" s="2"/>
      <c r="Y443" s="2"/>
      <c r="Z443" s="2"/>
      <c r="AA443" s="2"/>
      <c r="AB443" s="2"/>
    </row>
    <row r="444">
      <c r="A444" s="7" t="s">
        <v>15</v>
      </c>
      <c r="B444" s="41">
        <v>1.632576659E7</v>
      </c>
      <c r="C444" s="42">
        <v>22.0</v>
      </c>
      <c r="D444" s="8">
        <f>SUMIFS(NAKURU!F:F,NAKURU!A:A,"8/20")</f>
        <v>519000</v>
      </c>
      <c r="E444" s="11">
        <f>COUNTIFS(NAKURU!A:A,"8/20")</f>
        <v>6</v>
      </c>
      <c r="F444" s="10">
        <f>SUMIFS(NAKURU!G:G,NAKURU!A:A,"8/20")</f>
        <v>253758</v>
      </c>
      <c r="G444" s="11">
        <f t="shared" si="102"/>
        <v>6</v>
      </c>
      <c r="H444" s="12">
        <f t="shared" si="103"/>
        <v>0.4889364162</v>
      </c>
      <c r="I444" s="9">
        <f>COUNTIFS(NAKURU!I:I,$G$18,NAKURU!A:A,"8/20")</f>
        <v>0</v>
      </c>
      <c r="J444" s="11">
        <f>COUNTIFS(NAKURU!I:I,$H$18,NAKURU!A:A,"8/20")</f>
        <v>6</v>
      </c>
      <c r="K444" s="11">
        <f>COUNTIFS(NAKURU!I:I,$I$18,NAKURU!A:A,"8/20")</f>
        <v>0</v>
      </c>
      <c r="L444" s="2"/>
      <c r="M444" s="2"/>
      <c r="N444" s="2"/>
      <c r="O444" s="2"/>
      <c r="P444" s="2"/>
      <c r="Q444" s="2"/>
      <c r="R444" s="2"/>
      <c r="S444" s="2"/>
      <c r="T444" s="2"/>
      <c r="U444" s="2"/>
      <c r="V444" s="2"/>
      <c r="W444" s="2"/>
      <c r="X444" s="2"/>
      <c r="Y444" s="2"/>
      <c r="Z444" s="2"/>
      <c r="AA444" s="2"/>
      <c r="AB444" s="2"/>
    </row>
    <row r="445">
      <c r="A445" s="7" t="s">
        <v>16</v>
      </c>
      <c r="B445" s="41">
        <v>1.245690062E7</v>
      </c>
      <c r="C445" s="42">
        <v>18.0</v>
      </c>
      <c r="D445" s="8">
        <f>SUMIFS(HOMABAY!F:F,HOMABAY!A:A,"8/20")</f>
        <v>131000</v>
      </c>
      <c r="E445" s="11">
        <f>COUNTIFS(HOMABAY!A:A,"8/20")</f>
        <v>2</v>
      </c>
      <c r="F445" s="10">
        <f>SUMIFS(HOMABAY!G:G,HOMABAY!A:A,"8/20")</f>
        <v>2000</v>
      </c>
      <c r="G445" s="11">
        <f t="shared" si="102"/>
        <v>0</v>
      </c>
      <c r="H445" s="12">
        <f t="shared" si="103"/>
        <v>0.01526717557</v>
      </c>
      <c r="I445" s="9">
        <f>COUNTIFS(HOMABAY!K:K,$G$18,HOMABAY!A:A,"8/20")</f>
        <v>0</v>
      </c>
      <c r="J445" s="11">
        <f>COUNTIFS(HOMABAY!K:K,$H$18,HOMABAY!A:A,"8/20")</f>
        <v>0</v>
      </c>
      <c r="K445" s="11">
        <f>COUNTIFS(HOMABAY!K:K,$I$18,HOMABAY!A:A,"8/20")</f>
        <v>0</v>
      </c>
      <c r="L445" s="2"/>
      <c r="M445" s="2"/>
      <c r="N445" s="2"/>
      <c r="O445" s="2"/>
      <c r="P445" s="2"/>
      <c r="Q445" s="2"/>
      <c r="R445" s="2"/>
      <c r="S445" s="2"/>
      <c r="T445" s="2"/>
      <c r="U445" s="2"/>
      <c r="V445" s="2"/>
      <c r="W445" s="2"/>
      <c r="X445" s="2"/>
      <c r="Y445" s="2"/>
      <c r="Z445" s="2"/>
      <c r="AA445" s="2"/>
      <c r="AB445" s="2"/>
    </row>
    <row r="446">
      <c r="A446" s="7" t="s">
        <v>17</v>
      </c>
      <c r="B446" s="41">
        <v>1.9797073488E8</v>
      </c>
      <c r="C446" s="42">
        <v>187.0</v>
      </c>
      <c r="D446" s="8">
        <f>SUMIFS(MOMBASA!F:F,MOMBASA!A:A,"8/20")</f>
        <v>1406968.26</v>
      </c>
      <c r="E446" s="11">
        <f>COUNTIFS(MOMBASA!A:A,"8/20")</f>
        <v>21</v>
      </c>
      <c r="F446" s="27">
        <f>SUMIFS(MOMBASA!G:G,MOMBASA!A:A,"8/20")</f>
        <v>2469573</v>
      </c>
      <c r="G446" s="11">
        <f t="shared" si="102"/>
        <v>8</v>
      </c>
      <c r="H446" s="12">
        <f t="shared" si="103"/>
        <v>1.755244287</v>
      </c>
      <c r="I446" s="9">
        <f>COUNTIFS(MOMBASA!I:I,$G$18,MOMBASA!A:A,"8/20")</f>
        <v>3</v>
      </c>
      <c r="J446" s="11">
        <f>COUNTIFS(MOMBASA!I:I,$H$18,MOMBASA!A:A,"8/20")</f>
        <v>5</v>
      </c>
      <c r="K446" s="11">
        <f>COUNTIFS(MOMBASA!I:I,$I$18,MOMBASA!A:A,"8/20")</f>
        <v>13</v>
      </c>
      <c r="L446" s="2"/>
      <c r="M446" s="2"/>
      <c r="N446" s="2"/>
      <c r="O446" s="2"/>
      <c r="P446" s="2"/>
      <c r="Q446" s="2"/>
      <c r="R446" s="2"/>
      <c r="S446" s="2"/>
      <c r="T446" s="2"/>
      <c r="U446" s="2"/>
      <c r="V446" s="2"/>
      <c r="W446" s="2"/>
      <c r="X446" s="2"/>
      <c r="Y446" s="2"/>
      <c r="Z446" s="2"/>
      <c r="AA446" s="2"/>
      <c r="AB446" s="2"/>
    </row>
    <row r="447">
      <c r="A447" s="7" t="s">
        <v>18</v>
      </c>
      <c r="B447" s="41">
        <v>8.499581514E7</v>
      </c>
      <c r="C447" s="42">
        <v>87.0</v>
      </c>
      <c r="D447" s="8">
        <f>SUMIFS(KISUMU!F:F,KISUMU!A:A,"8/20")</f>
        <v>1229611.68</v>
      </c>
      <c r="E447" s="11">
        <f>COUNTIFS(KISUMU!A:A,"8/20")</f>
        <v>24</v>
      </c>
      <c r="F447" s="10">
        <f>SUMIFS(KISUMU!G:G,KISUMU!A:A,"8/20")</f>
        <v>40950</v>
      </c>
      <c r="G447" s="11">
        <f t="shared" si="102"/>
        <v>4</v>
      </c>
      <c r="H447" s="12">
        <f t="shared" si="103"/>
        <v>0.03330319699</v>
      </c>
      <c r="I447" s="9">
        <f>COUNTIFS(KISUMU!I:I,$G$18,KISUMU!A:A,"8/20")</f>
        <v>2</v>
      </c>
      <c r="J447" s="11">
        <f>COUNTIFS(KISUMU!I:I,$H$18,KISUMU!A:A,"8/20")</f>
        <v>2</v>
      </c>
      <c r="K447" s="11">
        <f>COUNTIFS(KISUMU!I:I,$I$18,KISUMU!A:A,"8/20")</f>
        <v>20</v>
      </c>
      <c r="L447" s="2"/>
      <c r="M447" s="2"/>
      <c r="N447" s="2"/>
      <c r="O447" s="2"/>
      <c r="P447" s="2"/>
      <c r="Q447" s="2"/>
      <c r="R447" s="2"/>
      <c r="S447" s="2"/>
      <c r="T447" s="2"/>
      <c r="U447" s="2"/>
      <c r="V447" s="2"/>
      <c r="W447" s="2"/>
      <c r="X447" s="2"/>
      <c r="Y447" s="2"/>
      <c r="Z447" s="2"/>
      <c r="AA447" s="2"/>
      <c r="AB447" s="2"/>
    </row>
    <row r="448">
      <c r="A448" s="7" t="s">
        <v>19</v>
      </c>
      <c r="B448" s="41">
        <v>7440293.18</v>
      </c>
      <c r="C448" s="42">
        <v>21.0</v>
      </c>
      <c r="D448" s="8">
        <f>SUMIFS(VOI!F:F,VOI!A:A,"8/20")</f>
        <v>377161.5</v>
      </c>
      <c r="E448" s="11">
        <f>COUNTIFS(VOI!A:A,"8/20")</f>
        <v>10</v>
      </c>
      <c r="F448" s="10">
        <f>SUMIFS(VOI!G:G,VOI!A:A,"8/20")</f>
        <v>4000</v>
      </c>
      <c r="G448" s="11">
        <f t="shared" si="102"/>
        <v>1</v>
      </c>
      <c r="H448" s="12">
        <f t="shared" si="103"/>
        <v>0.01060553636</v>
      </c>
      <c r="I448" s="9">
        <f>COUNTIFS(VOI!H:H,$G$18,VOI!A:A,"8/20")</f>
        <v>1</v>
      </c>
      <c r="J448" s="11">
        <f>COUNTIFS(VOI!H:H,$H$18,VOI!A:A,"8/20")</f>
        <v>0</v>
      </c>
      <c r="K448" s="11">
        <f>COUNTIFS(VOI!H:H,$I$18,VOI!A:A,"8/20")</f>
        <v>9</v>
      </c>
      <c r="L448" s="2"/>
      <c r="M448" s="2"/>
      <c r="N448" s="2"/>
      <c r="O448" s="2"/>
      <c r="P448" s="2"/>
      <c r="Q448" s="2"/>
      <c r="R448" s="2"/>
      <c r="S448" s="2"/>
      <c r="T448" s="2"/>
      <c r="U448" s="2"/>
      <c r="V448" s="2"/>
      <c r="W448" s="2"/>
      <c r="X448" s="2"/>
      <c r="Y448" s="2"/>
      <c r="Z448" s="2"/>
      <c r="AA448" s="2"/>
      <c r="AB448" s="2"/>
    </row>
    <row r="449">
      <c r="A449" s="7" t="s">
        <v>20</v>
      </c>
      <c r="B449" s="41">
        <v>5.514842476E7</v>
      </c>
      <c r="C449" s="42">
        <v>97.0</v>
      </c>
      <c r="D449" s="8">
        <f>SUMIFS(THIKA!F:F,THIKA!A:A,"8/20")</f>
        <v>785570</v>
      </c>
      <c r="E449" s="11">
        <f>COUNTIFS(THIKA!A:A,"8/20")</f>
        <v>18</v>
      </c>
      <c r="F449" s="10">
        <f>SUMIFS(THIKA!G:G,THIKA!A:A,"8/20")</f>
        <v>103250</v>
      </c>
      <c r="G449" s="11">
        <f t="shared" si="102"/>
        <v>2</v>
      </c>
      <c r="H449" s="12">
        <f t="shared" si="103"/>
        <v>0.1314332268</v>
      </c>
      <c r="I449" s="9">
        <f>COUNTIFS(THIKA!I:I,$G$18,THIKA!A:A,"8/20")</f>
        <v>1</v>
      </c>
      <c r="J449" s="11">
        <f>COUNTIFS(THIKA!I:I,$H$18,THIKA!A:A,"8/20")</f>
        <v>1</v>
      </c>
      <c r="K449" s="11">
        <f>COUNTIFS(THIKA!I:I,$I$18,THIKA!A:A,"8/20")</f>
        <v>13</v>
      </c>
      <c r="L449" s="2"/>
      <c r="M449" s="2"/>
      <c r="N449" s="2"/>
      <c r="O449" s="2"/>
      <c r="P449" s="2"/>
      <c r="Q449" s="2"/>
      <c r="R449" s="2"/>
      <c r="S449" s="2"/>
      <c r="T449" s="2"/>
      <c r="U449" s="2"/>
      <c r="V449" s="2"/>
      <c r="W449" s="2"/>
      <c r="X449" s="2"/>
      <c r="Y449" s="2"/>
      <c r="Z449" s="2"/>
      <c r="AA449" s="2"/>
      <c r="AB449" s="2"/>
    </row>
    <row r="450">
      <c r="A450" s="43" t="s">
        <v>21</v>
      </c>
      <c r="B450" s="39">
        <v>1059776.24</v>
      </c>
      <c r="C450" s="40">
        <v>5.0</v>
      </c>
      <c r="D450" s="44">
        <f>SUMIFS(KITUI!F:F,KITUI!A:A,"8/20")</f>
        <v>121941</v>
      </c>
      <c r="E450" s="45">
        <f>COUNTIFS(KITUI!A:A,"8/20")</f>
        <v>2</v>
      </c>
      <c r="F450" s="46">
        <f>SUMIFS(KITUI!G:G,KITUI!A:A,"8/20")</f>
        <v>0</v>
      </c>
      <c r="G450" s="45">
        <f t="shared" si="102"/>
        <v>0</v>
      </c>
      <c r="H450" s="47">
        <f t="shared" si="103"/>
        <v>0</v>
      </c>
      <c r="I450" s="48">
        <f>COUNTIFS(KITUI!I:I,$G$18,KITUI!A:A,"8/20")</f>
        <v>0</v>
      </c>
      <c r="J450" s="45">
        <f>COUNTIFS(KITUI!I:I,$H$18,KITUI!A:A,"8/20")</f>
        <v>0</v>
      </c>
      <c r="K450" s="45">
        <f>COUNTIFS(KITUI!I:I,$I$18,KITUI!A:A,"8/20")</f>
        <v>2</v>
      </c>
      <c r="L450" s="2"/>
      <c r="M450" s="2"/>
      <c r="N450" s="2"/>
      <c r="O450" s="2"/>
      <c r="P450" s="2"/>
      <c r="Q450" s="2"/>
      <c r="R450" s="2"/>
      <c r="S450" s="2"/>
      <c r="T450" s="2"/>
      <c r="U450" s="2"/>
      <c r="V450" s="2"/>
      <c r="W450" s="2"/>
      <c r="X450" s="2"/>
      <c r="Y450" s="2"/>
      <c r="Z450" s="2"/>
      <c r="AA450" s="2"/>
      <c r="AB450" s="2"/>
      <c r="AC450" s="2"/>
      <c r="AD450" s="2"/>
    </row>
    <row r="451">
      <c r="A451" s="49" t="s">
        <v>22</v>
      </c>
      <c r="B451" s="39">
        <v>827658.05</v>
      </c>
      <c r="C451" s="40">
        <v>6.0</v>
      </c>
      <c r="D451" s="44">
        <f>SUMIFS(MACHAKOS!F:F,MACHAKOS!A:A,"8/20")</f>
        <v>880649.37</v>
      </c>
      <c r="E451" s="45">
        <f>COUNTIFS(MACHAKOS!A:A,"8/20")</f>
        <v>6</v>
      </c>
      <c r="F451" s="46">
        <f>SUMIFS(MACHAKOS!G:G,MACHAKOS!A:A,"8/20")</f>
        <v>18000</v>
      </c>
      <c r="G451" s="45">
        <f t="shared" si="102"/>
        <v>0</v>
      </c>
      <c r="H451" s="47">
        <f t="shared" si="103"/>
        <v>0.02043946276</v>
      </c>
      <c r="I451" s="48">
        <f>COUNTIFS(MACHAKOS!I:I,$G$18,MACHAKOS!A:A,"8/20")</f>
        <v>0</v>
      </c>
      <c r="J451" s="45">
        <f>COUNTIFS(MACHAKOS!I:I,$H$18,MACHAKOS!A:A,"8/20")</f>
        <v>0</v>
      </c>
      <c r="K451" s="45">
        <f>COUNTIFS(MACHAKOS!I:I,$I$18,MACHAKOS!A:A,"8/20")</f>
        <v>6</v>
      </c>
      <c r="L451" s="2"/>
      <c r="M451" s="2"/>
      <c r="N451" s="2"/>
      <c r="O451" s="2"/>
      <c r="P451" s="2"/>
      <c r="Q451" s="2"/>
      <c r="R451" s="2"/>
      <c r="S451" s="2"/>
      <c r="T451" s="2"/>
      <c r="U451" s="2"/>
      <c r="V451" s="2"/>
      <c r="W451" s="2"/>
      <c r="X451" s="2"/>
      <c r="Y451" s="2"/>
      <c r="Z451" s="2"/>
      <c r="AA451" s="2"/>
      <c r="AB451" s="2"/>
      <c r="AC451" s="2"/>
      <c r="AD451" s="2"/>
    </row>
    <row r="452">
      <c r="A452" s="1" t="s">
        <v>32</v>
      </c>
      <c r="B452" s="44"/>
      <c r="C452" s="50"/>
      <c r="D452" s="51">
        <f>400000+2000000+700000</f>
        <v>3100000</v>
      </c>
      <c r="E452" s="52">
        <v>3.0</v>
      </c>
      <c r="F452" s="38"/>
      <c r="G452" s="53"/>
      <c r="H452" s="47">
        <f t="shared" si="103"/>
        <v>0</v>
      </c>
      <c r="I452" s="48">
        <f>COUNTIFS(MACHAKOS!I:I,$G$18,MACHAKOS!A:A,"8/20")</f>
        <v>0</v>
      </c>
      <c r="J452" s="53">
        <v>0.0</v>
      </c>
      <c r="K452" s="53">
        <v>0.0</v>
      </c>
      <c r="L452" s="2"/>
      <c r="M452" s="2"/>
      <c r="N452" s="2"/>
      <c r="O452" s="2"/>
      <c r="P452" s="2"/>
      <c r="Q452" s="2"/>
      <c r="R452" s="2"/>
      <c r="S452" s="2"/>
      <c r="T452" s="2"/>
      <c r="U452" s="2"/>
      <c r="V452" s="2"/>
      <c r="W452" s="2"/>
      <c r="X452" s="2"/>
      <c r="Y452" s="2"/>
      <c r="Z452" s="2"/>
      <c r="AA452" s="2"/>
      <c r="AB452" s="2"/>
      <c r="AC452" s="2"/>
      <c r="AD452" s="2"/>
    </row>
    <row r="453">
      <c r="A453" s="1" t="s">
        <v>31</v>
      </c>
      <c r="B453" s="39">
        <v>1.5196966511E8</v>
      </c>
      <c r="C453" s="40">
        <v>4203.0</v>
      </c>
      <c r="D453" s="25">
        <v>1000000.0</v>
      </c>
      <c r="E453" s="53">
        <v>84.0</v>
      </c>
      <c r="F453" s="39"/>
      <c r="G453" s="45"/>
      <c r="H453" s="47"/>
      <c r="I453" s="54"/>
      <c r="J453" s="53"/>
      <c r="K453" s="45"/>
      <c r="L453" s="2"/>
      <c r="M453" s="2"/>
      <c r="N453" s="2"/>
      <c r="O453" s="2"/>
      <c r="P453" s="2"/>
      <c r="Q453" s="2"/>
      <c r="R453" s="2"/>
      <c r="S453" s="2"/>
      <c r="T453" s="2"/>
      <c r="U453" s="2"/>
      <c r="V453" s="2"/>
      <c r="W453" s="2"/>
      <c r="X453" s="2"/>
      <c r="Y453" s="2"/>
      <c r="Z453" s="2"/>
      <c r="AA453" s="2"/>
      <c r="AB453" s="2"/>
      <c r="AC453" s="2"/>
      <c r="AD453" s="2"/>
    </row>
    <row r="454">
      <c r="A454" s="55" t="s">
        <v>23</v>
      </c>
      <c r="B454" s="56">
        <f t="shared" ref="B454:F454" si="104">SUM(B439:B453)</f>
        <v>2518082020</v>
      </c>
      <c r="C454" s="57">
        <f t="shared" si="104"/>
        <v>6155</v>
      </c>
      <c r="D454" s="56">
        <f t="shared" si="104"/>
        <v>38354584.35</v>
      </c>
      <c r="E454" s="58">
        <f t="shared" si="104"/>
        <v>332</v>
      </c>
      <c r="F454" s="59">
        <f t="shared" si="104"/>
        <v>6051003</v>
      </c>
      <c r="G454" s="60">
        <f>SUM(G439:G451)</f>
        <v>21</v>
      </c>
      <c r="H454" s="61">
        <f>F454/D454</f>
        <v>0.1577647914</v>
      </c>
      <c r="I454" s="62">
        <f t="shared" ref="I454:K454" si="105">SUM(I439:I453)</f>
        <v>7</v>
      </c>
      <c r="J454" s="62">
        <f t="shared" si="105"/>
        <v>14</v>
      </c>
      <c r="K454" s="62">
        <f t="shared" si="105"/>
        <v>84</v>
      </c>
      <c r="L454" s="2"/>
      <c r="M454" s="2"/>
      <c r="N454" s="2"/>
      <c r="O454" s="2"/>
      <c r="P454" s="2"/>
      <c r="Q454" s="2"/>
      <c r="R454" s="2"/>
      <c r="S454" s="2"/>
      <c r="T454" s="2"/>
      <c r="U454" s="2"/>
      <c r="V454" s="2"/>
      <c r="W454" s="2"/>
      <c r="X454" s="2"/>
      <c r="Y454" s="2"/>
      <c r="Z454" s="2"/>
      <c r="AA454" s="2"/>
      <c r="AB454" s="2"/>
      <c r="AC454" s="2"/>
      <c r="AD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row>
    <row r="456">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row>
    <row r="457">
      <c r="A457" s="3" t="s">
        <v>1</v>
      </c>
      <c r="B457" s="5" t="s">
        <v>33</v>
      </c>
      <c r="C457" s="5" t="s">
        <v>34</v>
      </c>
      <c r="D457" s="5" t="s">
        <v>2</v>
      </c>
      <c r="E457" s="5" t="s">
        <v>3</v>
      </c>
      <c r="F457" s="5" t="s">
        <v>4</v>
      </c>
      <c r="G457" s="5" t="s">
        <v>5</v>
      </c>
      <c r="H457" s="26" t="s">
        <v>6</v>
      </c>
      <c r="I457" s="26" t="s">
        <v>7</v>
      </c>
      <c r="J457" s="26" t="s">
        <v>8</v>
      </c>
      <c r="K457" s="26" t="s">
        <v>9</v>
      </c>
      <c r="L457" s="2"/>
      <c r="M457" s="2"/>
      <c r="N457" s="2"/>
      <c r="O457" s="2"/>
      <c r="P457" s="2"/>
      <c r="Q457" s="2"/>
      <c r="R457" s="2"/>
      <c r="S457" s="2"/>
      <c r="T457" s="2"/>
      <c r="U457" s="2"/>
      <c r="V457" s="2"/>
      <c r="W457" s="2"/>
      <c r="X457" s="2"/>
      <c r="Y457" s="2"/>
      <c r="Z457" s="2"/>
      <c r="AA457" s="2"/>
      <c r="AB457" s="2"/>
      <c r="AC457" s="2"/>
      <c r="AD457" s="2"/>
    </row>
    <row r="458">
      <c r="A458" s="7" t="s">
        <v>10</v>
      </c>
      <c r="B458" s="44">
        <v>8.5396718559E8</v>
      </c>
      <c r="C458" s="48">
        <v>396.0</v>
      </c>
      <c r="D458" s="8">
        <f>SUMIFS(ECOBANK!F:F,ECOBANK!A:A,"8/21")</f>
        <v>12358121.35</v>
      </c>
      <c r="E458" s="9">
        <f>COUNTIFS(ECOBANK!A:A,"8/21")</f>
        <v>22</v>
      </c>
      <c r="F458" s="10">
        <f>SUMIFS(ECOBANK!G:G,ECOBANK!A:A,"8/21")</f>
        <v>9079920</v>
      </c>
      <c r="G458" s="11">
        <f t="shared" ref="G458:G470" si="106">I458+J458</f>
        <v>0</v>
      </c>
      <c r="H458" s="12">
        <f t="shared" ref="H458:H471" si="107">iferror(F458/D458,0)</f>
        <v>0.7347330345</v>
      </c>
      <c r="I458" s="9">
        <f>COUNTIFS(ECOBANK!I:I,$G$18,ECOBANK!A:A,"8/21")</f>
        <v>0</v>
      </c>
      <c r="J458" s="11">
        <f>COUNTIFS(ECOBANK!I:I,$H$18,ECOBANK!A:A,"8/21)")</f>
        <v>0</v>
      </c>
      <c r="K458" s="11">
        <f>COUNTIFS(ECOBANK!I:I,$I$18,ECOBANK!A:A,"8/21")</f>
        <v>0</v>
      </c>
      <c r="L458" s="2"/>
      <c r="M458" s="2"/>
      <c r="N458" s="2"/>
      <c r="O458" s="2"/>
      <c r="P458" s="2"/>
      <c r="Q458" s="2"/>
      <c r="R458" s="2"/>
      <c r="S458" s="2"/>
      <c r="T458" s="2"/>
      <c r="U458" s="2"/>
      <c r="V458" s="2"/>
      <c r="W458" s="2"/>
      <c r="X458" s="2"/>
      <c r="Y458" s="2"/>
      <c r="Z458" s="2"/>
      <c r="AA458" s="2"/>
      <c r="AB458" s="2"/>
    </row>
    <row r="459">
      <c r="A459" s="7" t="s">
        <v>24</v>
      </c>
      <c r="B459" s="63">
        <v>6.1280880184E8</v>
      </c>
      <c r="C459" s="64">
        <v>253.0</v>
      </c>
      <c r="D459" s="8">
        <f>SUMIFS('TRADE CENTER'!F:F,'TRADE CENTER'!A:A,"8/21")</f>
        <v>6783692.43</v>
      </c>
      <c r="E459" s="11">
        <f>COUNTIFS('TRADE CENTER'!A:A,"8/21")</f>
        <v>40</v>
      </c>
      <c r="F459" s="10">
        <f>SUMIFS('TRADE CENTER'!G:G,'TRADE CENTER'!A:A,"8/21")</f>
        <v>170000</v>
      </c>
      <c r="G459" s="11">
        <f t="shared" si="106"/>
        <v>0</v>
      </c>
      <c r="H459" s="12">
        <f t="shared" si="107"/>
        <v>0.02506009843</v>
      </c>
      <c r="I459" s="11">
        <f>COUNTIFS('TRADE CENTER'!I:I,$G$18,'TRADE CENTER'!A:A,"8/21")</f>
        <v>0</v>
      </c>
      <c r="J459" s="11">
        <f>COUNTIFS('TRADE CENTER'!I:I,$H$18,'TRADE CENTER'!A:A,"8/21")</f>
        <v>0</v>
      </c>
      <c r="K459" s="11">
        <f>COUNTIFS('TRADE CENTER'!I:I,$I$18,'TRADE CENTER'!A:A,"8/21")</f>
        <v>0</v>
      </c>
      <c r="L459" s="2"/>
      <c r="M459" s="2"/>
      <c r="N459" s="2"/>
      <c r="O459" s="2"/>
      <c r="P459" s="2"/>
      <c r="Q459" s="2"/>
      <c r="R459" s="2"/>
      <c r="S459" s="2"/>
      <c r="T459" s="2"/>
      <c r="U459" s="2"/>
      <c r="V459" s="2"/>
      <c r="W459" s="2"/>
      <c r="X459" s="2"/>
      <c r="Y459" s="2"/>
      <c r="Z459" s="2"/>
      <c r="AA459" s="2"/>
      <c r="AB459" s="2"/>
    </row>
    <row r="460">
      <c r="A460" s="7" t="s">
        <v>12</v>
      </c>
      <c r="B460" s="63">
        <v>2.521937564E8</v>
      </c>
      <c r="C460" s="64">
        <v>387.0</v>
      </c>
      <c r="D460" s="8">
        <f>SUMIFS(PENSION!F:F,PENSION!A:A,"8/21/2024")</f>
        <v>4197731.87</v>
      </c>
      <c r="E460" s="11">
        <f>COUNTIFS(PENSION!A:A,"8/21")</f>
        <v>47</v>
      </c>
      <c r="F460" s="10">
        <f>SUMIFS(PENSION!G:G,PENSION!A:A,"8/21/2024")</f>
        <v>1076500</v>
      </c>
      <c r="G460" s="11">
        <f t="shared" si="106"/>
        <v>0</v>
      </c>
      <c r="H460" s="12">
        <f t="shared" si="107"/>
        <v>0.2564480137</v>
      </c>
      <c r="I460" s="9">
        <f>COUNTIFS(PENSION!I:I,$G$18,PENSION!A:A,"8/21")</f>
        <v>0</v>
      </c>
      <c r="J460" s="11">
        <f>COUNTIFS(PENSION!I:I,$H$18,PENSION!A:A,"8/21")</f>
        <v>0</v>
      </c>
      <c r="K460" s="11">
        <f>COUNTIFS(PENSION!I:I,$I$18,PENSION!A:A,"8/21")</f>
        <v>0</v>
      </c>
      <c r="L460" s="2"/>
      <c r="M460" s="2"/>
      <c r="N460" s="2"/>
      <c r="O460" s="2"/>
      <c r="P460" s="2"/>
      <c r="Q460" s="2"/>
      <c r="R460" s="2"/>
      <c r="S460" s="2"/>
      <c r="T460" s="2"/>
      <c r="U460" s="2"/>
      <c r="V460" s="2"/>
      <c r="W460" s="2"/>
      <c r="X460" s="2"/>
      <c r="Y460" s="2"/>
      <c r="Z460" s="2"/>
      <c r="AA460" s="2"/>
      <c r="AB460" s="2"/>
    </row>
    <row r="461">
      <c r="A461" s="7" t="s">
        <v>13</v>
      </c>
      <c r="B461" s="63">
        <v>1.1122149749E8</v>
      </c>
      <c r="C461" s="64">
        <v>303.0</v>
      </c>
      <c r="D461" s="8">
        <f>SUMIFS(KITENGELA!F:F,KITENGELA!A:A,"8/21/2024")</f>
        <v>5766100.29</v>
      </c>
      <c r="E461" s="11">
        <f>COUNTIFS(KITENGELA!A:A,"8/21")</f>
        <v>38</v>
      </c>
      <c r="F461" s="10">
        <f>SUMIFS(KITENGELA!G:G,KITENGELA!A:A,"8/21")</f>
        <v>230827</v>
      </c>
      <c r="G461" s="11">
        <f t="shared" si="106"/>
        <v>0</v>
      </c>
      <c r="H461" s="12">
        <f t="shared" si="107"/>
        <v>0.04003173521</v>
      </c>
      <c r="I461" s="11">
        <f>COUNTIFS(KITENGELA!I:I,$G$18,KITENGELA!A:A,"8/21")</f>
        <v>0</v>
      </c>
      <c r="J461" s="11">
        <f>COUNTIFS(KITENGELA!I:I,$H$18,KITENGELA!A:A,"8/21")</f>
        <v>0</v>
      </c>
      <c r="K461" s="11">
        <f>COUNTIFS(KITENGELA!I:I,$I$18,KITENGELA!A:A,"8/21")</f>
        <v>0</v>
      </c>
      <c r="L461" s="2"/>
      <c r="M461" s="2"/>
      <c r="N461" s="2"/>
      <c r="O461" s="2"/>
      <c r="P461" s="2"/>
      <c r="Q461" s="2"/>
      <c r="R461" s="2"/>
      <c r="S461" s="2"/>
      <c r="T461" s="2"/>
      <c r="U461" s="2"/>
      <c r="V461" s="2"/>
      <c r="W461" s="2"/>
      <c r="X461" s="2"/>
      <c r="Y461" s="2"/>
      <c r="Z461" s="2"/>
      <c r="AA461" s="2"/>
      <c r="AB461" s="2"/>
    </row>
    <row r="462">
      <c r="A462" s="13" t="s">
        <v>14</v>
      </c>
      <c r="B462" s="63">
        <v>1.5969574425E8</v>
      </c>
      <c r="C462" s="64">
        <v>170.0</v>
      </c>
      <c r="D462" s="8">
        <f>SUMIFS(ELDORET!F:F,ELDORET!A:A,"8/21")</f>
        <v>1095214.44</v>
      </c>
      <c r="E462" s="11">
        <f>COUNTIFS(ELDORET!A:A,"8/21")</f>
        <v>22</v>
      </c>
      <c r="F462" s="10">
        <f>SUMIFS(ELDORET!G:G,ELDORET!A:A,"8/21")</f>
        <v>35459</v>
      </c>
      <c r="G462" s="11">
        <f t="shared" si="106"/>
        <v>0</v>
      </c>
      <c r="H462" s="12">
        <f t="shared" si="107"/>
        <v>0.03237630797</v>
      </c>
      <c r="I462" s="11">
        <f>COUNTIFS(ELDORET!I:I,$G$18,ELDORET!A:A,"8/21")</f>
        <v>0</v>
      </c>
      <c r="J462" s="11">
        <f>COUNTIFS(ELDORET!I:I,$H$18,ELDORET!A:A,"8/21")</f>
        <v>0</v>
      </c>
      <c r="K462" s="11">
        <f>COUNTIFS(ELDORET!I:I,$I$18,ELDORET!A:A,"8/21")</f>
        <v>0</v>
      </c>
      <c r="L462" s="2"/>
      <c r="M462" s="2"/>
      <c r="N462" s="2"/>
      <c r="O462" s="2"/>
      <c r="P462" s="2"/>
      <c r="Q462" s="2"/>
      <c r="R462" s="2"/>
      <c r="S462" s="2"/>
      <c r="T462" s="2"/>
      <c r="U462" s="2"/>
      <c r="V462" s="2"/>
      <c r="W462" s="2"/>
      <c r="X462" s="2"/>
      <c r="Y462" s="2"/>
      <c r="Z462" s="2"/>
      <c r="AA462" s="2"/>
      <c r="AB462" s="2"/>
      <c r="AD462" s="65" t="s">
        <v>37</v>
      </c>
    </row>
    <row r="463">
      <c r="A463" s="7" t="s">
        <v>15</v>
      </c>
      <c r="B463" s="63">
        <v>1.632576659E7</v>
      </c>
      <c r="C463" s="64">
        <v>22.0</v>
      </c>
      <c r="D463" s="8">
        <f>SUMIFS(NAKURU!F:F,NAKURU!A:A,"8/21")</f>
        <v>279000</v>
      </c>
      <c r="E463" s="11">
        <f>COUNTIFS(NAKURU!A:A,"8/21")</f>
        <v>5</v>
      </c>
      <c r="F463" s="10">
        <f>SUMIFS(NAKURU!G:G,NAKURU!A:A,"8/21")</f>
        <v>152871</v>
      </c>
      <c r="G463" s="11">
        <f t="shared" si="106"/>
        <v>1</v>
      </c>
      <c r="H463" s="12">
        <f t="shared" si="107"/>
        <v>0.5479247312</v>
      </c>
      <c r="I463" s="9">
        <f>COUNTIFS(NAKURU!I:I,$G$18,NAKURU!A:A,"8/21")</f>
        <v>0</v>
      </c>
      <c r="J463" s="11">
        <f>COUNTIFS(NAKURU!I:I,$H$18,NAKURU!A:A,"8/21")</f>
        <v>1</v>
      </c>
      <c r="K463" s="11">
        <f>COUNTIFS(NAKURU!I:I,$I$18,NAKURU!A:A,"8/21")</f>
        <v>1</v>
      </c>
      <c r="L463" s="2"/>
      <c r="M463" s="2"/>
      <c r="N463" s="2"/>
      <c r="O463" s="2"/>
      <c r="P463" s="2"/>
      <c r="Q463" s="2"/>
      <c r="R463" s="2"/>
      <c r="S463" s="2"/>
      <c r="T463" s="2"/>
      <c r="U463" s="2"/>
      <c r="V463" s="2"/>
      <c r="W463" s="2"/>
      <c r="X463" s="2"/>
      <c r="Y463" s="2"/>
      <c r="Z463" s="2"/>
      <c r="AA463" s="2"/>
      <c r="AB463" s="2"/>
    </row>
    <row r="464">
      <c r="A464" s="7" t="s">
        <v>16</v>
      </c>
      <c r="B464" s="63">
        <v>1.245690062E7</v>
      </c>
      <c r="C464" s="64">
        <v>18.0</v>
      </c>
      <c r="D464" s="8">
        <f>SUMIFS(HOMABAY!F:F,HOMABAY!A:A,"8/21")</f>
        <v>336515</v>
      </c>
      <c r="E464" s="11">
        <f>COUNTIFS(HOMABAY!A:A,"8/21")</f>
        <v>5</v>
      </c>
      <c r="F464" s="10">
        <f>SUMIFS(HOMABAY!G:G,HOMABAY!A:A,"8/21")</f>
        <v>0</v>
      </c>
      <c r="G464" s="11">
        <f t="shared" si="106"/>
        <v>0</v>
      </c>
      <c r="H464" s="12">
        <f t="shared" si="107"/>
        <v>0</v>
      </c>
      <c r="I464" s="9">
        <f>COUNTIFS(HOMABAY!K:K,$G$18,HOMABAY!A:A,"8/21")</f>
        <v>0</v>
      </c>
      <c r="J464" s="11">
        <f>COUNTIFS(HOMABAY!K:K,$H$18,HOMABAY!A:A,"8/21")</f>
        <v>0</v>
      </c>
      <c r="K464" s="11">
        <f>COUNTIFS(HOMABAY!K:K,$I$18,HOMABAY!A:A,"8/21")</f>
        <v>0</v>
      </c>
      <c r="L464" s="2"/>
      <c r="M464" s="2"/>
      <c r="N464" s="2"/>
      <c r="O464" s="2"/>
      <c r="P464" s="2"/>
      <c r="Q464" s="2"/>
      <c r="R464" s="2"/>
      <c r="S464" s="2"/>
      <c r="T464" s="2"/>
      <c r="U464" s="2"/>
      <c r="V464" s="2"/>
      <c r="W464" s="2"/>
      <c r="X464" s="2"/>
      <c r="Y464" s="2"/>
      <c r="Z464" s="2"/>
      <c r="AA464" s="2"/>
      <c r="AB464" s="2"/>
    </row>
    <row r="465">
      <c r="A465" s="7" t="s">
        <v>17</v>
      </c>
      <c r="B465" s="63">
        <v>1.9797073488E8</v>
      </c>
      <c r="C465" s="64">
        <v>187.0</v>
      </c>
      <c r="D465" s="8">
        <f>SUMIFS(MOMBASA!F:F,MOMBASA!A:A,"8/21")</f>
        <v>1447255.91</v>
      </c>
      <c r="E465" s="11">
        <f>COUNTIFS(MOMBASA!A:A,"8/21")</f>
        <v>20</v>
      </c>
      <c r="F465" s="27">
        <f>SUMIFS(MOMBASA!G:G,MOMBASA!A:A,"8/21")</f>
        <v>64688</v>
      </c>
      <c r="G465" s="11">
        <f t="shared" si="106"/>
        <v>2</v>
      </c>
      <c r="H465" s="12">
        <f t="shared" si="107"/>
        <v>0.04469700179</v>
      </c>
      <c r="I465" s="9">
        <f>COUNTIFS(MOMBASA!I:I,$G$18,MOMBASA!A:A,"8/21")</f>
        <v>1</v>
      </c>
      <c r="J465" s="11">
        <f>COUNTIFS(MOMBASA!I:I,$H$18,MOMBASA!A:A,"8/21")</f>
        <v>1</v>
      </c>
      <c r="K465" s="11">
        <f>COUNTIFS(MOMBASA!I:I,$I$18,MOMBASA!A:A,"8/21")</f>
        <v>18</v>
      </c>
      <c r="L465" s="2"/>
      <c r="M465" s="2"/>
      <c r="N465" s="2"/>
      <c r="O465" s="2"/>
      <c r="P465" s="2"/>
      <c r="Q465" s="2"/>
      <c r="R465" s="2"/>
      <c r="S465" s="2"/>
      <c r="T465" s="2"/>
      <c r="U465" s="2"/>
      <c r="V465" s="2"/>
      <c r="W465" s="2"/>
      <c r="X465" s="2"/>
      <c r="Y465" s="2"/>
      <c r="Z465" s="2"/>
      <c r="AA465" s="2"/>
      <c r="AB465" s="2"/>
    </row>
    <row r="466">
      <c r="A466" s="7" t="s">
        <v>18</v>
      </c>
      <c r="B466" s="63">
        <v>8.499581514E7</v>
      </c>
      <c r="C466" s="64">
        <v>87.0</v>
      </c>
      <c r="D466" s="8">
        <f>SUMIFS(KISUMU!F:F,KISUMU!A:A,"8/21")</f>
        <v>1521706.68</v>
      </c>
      <c r="E466" s="11">
        <f>COUNTIFS(KISUMU!A:A,"8/21")</f>
        <v>24</v>
      </c>
      <c r="F466" s="10">
        <f>SUMIFS(KISUMU!G:G,KISUMU!A:A,"8/21")</f>
        <v>52000</v>
      </c>
      <c r="G466" s="11">
        <f t="shared" si="106"/>
        <v>0</v>
      </c>
      <c r="H466" s="12">
        <f t="shared" si="107"/>
        <v>0.03417215728</v>
      </c>
      <c r="I466" s="9">
        <f>COUNTIFS(KISUMU!I:I,$G$18,KISUMU!A:A,"8/21")</f>
        <v>0</v>
      </c>
      <c r="J466" s="11">
        <f>COUNTIFS(KISUMU!I:I,$H$18,KISUMU!A:A,"8/21")</f>
        <v>0</v>
      </c>
      <c r="K466" s="11">
        <f>COUNTIFS(KISUMU!I:I,$I$18,KISUMU!A:A,"8/21")</f>
        <v>0</v>
      </c>
      <c r="L466" s="2"/>
      <c r="M466" s="2"/>
      <c r="N466" s="2"/>
      <c r="O466" s="2"/>
      <c r="P466" s="2"/>
      <c r="Q466" s="2"/>
      <c r="R466" s="2"/>
      <c r="S466" s="2"/>
      <c r="T466" s="2"/>
      <c r="U466" s="2"/>
      <c r="V466" s="2"/>
      <c r="W466" s="2"/>
      <c r="X466" s="2"/>
      <c r="Y466" s="2"/>
      <c r="Z466" s="2"/>
      <c r="AA466" s="2"/>
      <c r="AB466" s="2"/>
    </row>
    <row r="467">
      <c r="A467" s="7" t="s">
        <v>19</v>
      </c>
      <c r="B467" s="63">
        <v>7440293.18</v>
      </c>
      <c r="C467" s="64">
        <v>21.0</v>
      </c>
      <c r="D467" s="8">
        <f>SUMIFS(VOI!F:F,VOI!A:A,"8/21")</f>
        <v>373161.5</v>
      </c>
      <c r="E467" s="11">
        <f>COUNTIFS(VOI!A:A,"8/21")</f>
        <v>10</v>
      </c>
      <c r="F467" s="10">
        <f>SUMIFS(VOI!G:G,VOI!A:A,"8/21")</f>
        <v>40000</v>
      </c>
      <c r="G467" s="11">
        <f t="shared" si="106"/>
        <v>1</v>
      </c>
      <c r="H467" s="12">
        <f t="shared" si="107"/>
        <v>0.1071921943</v>
      </c>
      <c r="I467" s="9">
        <f>COUNTIFS(VOI!H:H,$G$18,VOI!A:A,"8/21")</f>
        <v>1</v>
      </c>
      <c r="J467" s="11">
        <f>COUNTIFS(VOI!H:H,$H$18,VOI!A:A,"8/21")</f>
        <v>0</v>
      </c>
      <c r="K467" s="11">
        <f>COUNTIFS(VOI!H:H,$I$18,VOI!A:A,"8/21")</f>
        <v>0</v>
      </c>
      <c r="L467" s="2"/>
      <c r="M467" s="2"/>
      <c r="N467" s="2"/>
      <c r="O467" s="2"/>
      <c r="P467" s="2"/>
      <c r="Q467" s="2"/>
      <c r="R467" s="2"/>
      <c r="S467" s="2"/>
      <c r="T467" s="2"/>
      <c r="U467" s="2"/>
      <c r="V467" s="2"/>
      <c r="W467" s="2"/>
      <c r="X467" s="2"/>
      <c r="Y467" s="2"/>
      <c r="Z467" s="2"/>
      <c r="AA467" s="2"/>
      <c r="AB467" s="2"/>
    </row>
    <row r="468">
      <c r="A468" s="7" t="s">
        <v>20</v>
      </c>
      <c r="B468" s="63">
        <v>5.514842476E7</v>
      </c>
      <c r="C468" s="64">
        <v>97.0</v>
      </c>
      <c r="D468" s="8">
        <f>SUMIFS(THIKA!F:F,THIKA!A:A,"8/21")</f>
        <v>1118128.79</v>
      </c>
      <c r="E468" s="11">
        <f>COUNTIFS(THIKA!A:A,"8/21")</f>
        <v>18</v>
      </c>
      <c r="F468" s="10">
        <f>SUMIFS(THIKA!G:G,THIKA!A:A,"8/21")</f>
        <v>462199</v>
      </c>
      <c r="G468" s="11">
        <f t="shared" si="106"/>
        <v>2</v>
      </c>
      <c r="H468" s="12">
        <f t="shared" si="107"/>
        <v>0.4133683026</v>
      </c>
      <c r="I468" s="9">
        <f>COUNTIFS(THIKA!I:I,$G$18,THIKA!A:A,"8/21")</f>
        <v>0</v>
      </c>
      <c r="J468" s="11">
        <f>COUNTIFS(THIKA!I:I,$H$18,THIKA!A:A,"8/21")</f>
        <v>2</v>
      </c>
      <c r="K468" s="11">
        <f>COUNTIFS(THIKA!I:I,$I$18,THIKA!A:A,"8/21")</f>
        <v>3</v>
      </c>
      <c r="L468" s="2"/>
      <c r="M468" s="2"/>
      <c r="N468" s="2"/>
      <c r="O468" s="2"/>
      <c r="P468" s="2"/>
      <c r="Q468" s="2"/>
      <c r="R468" s="2"/>
      <c r="S468" s="2"/>
      <c r="T468" s="2"/>
      <c r="U468" s="2"/>
      <c r="V468" s="2"/>
      <c r="W468" s="2"/>
      <c r="X468" s="2"/>
      <c r="Y468" s="2"/>
      <c r="Z468" s="2"/>
      <c r="AA468" s="2"/>
      <c r="AB468" s="2"/>
    </row>
    <row r="469">
      <c r="A469" s="43" t="s">
        <v>21</v>
      </c>
      <c r="B469" s="44">
        <v>1059776.24</v>
      </c>
      <c r="C469" s="48">
        <v>5.0</v>
      </c>
      <c r="D469" s="44">
        <f>SUMIFS(KITUI!F:F,KITUI!A:A,"8/21")</f>
        <v>121941</v>
      </c>
      <c r="E469" s="45">
        <f>COUNTIFS(KITUI!A:A,"8/21")</f>
        <v>2</v>
      </c>
      <c r="F469" s="46">
        <f>SUMIFS(KITUI!G:G,KITUI!A:A,"8/21")</f>
        <v>0</v>
      </c>
      <c r="G469" s="45">
        <f t="shared" si="106"/>
        <v>0</v>
      </c>
      <c r="H469" s="47">
        <f t="shared" si="107"/>
        <v>0</v>
      </c>
      <c r="I469" s="48">
        <f>COUNTIFS(KITUI!I:I,$G$18,KITUI!A:A,"8/21")</f>
        <v>0</v>
      </c>
      <c r="J469" s="45">
        <f>COUNTIFS(KITUI!I:I,$H$18,KITUI!A:A,"8/21")</f>
        <v>0</v>
      </c>
      <c r="K469" s="45">
        <f>COUNTIFS(KITUI!I:I,$I$18,KITUI!A:A,"8/21")</f>
        <v>0</v>
      </c>
      <c r="L469" s="2"/>
      <c r="M469" s="2"/>
      <c r="N469" s="2"/>
      <c r="O469" s="2"/>
      <c r="P469" s="2"/>
      <c r="Q469" s="2"/>
      <c r="R469" s="2"/>
      <c r="S469" s="2"/>
      <c r="T469" s="2"/>
      <c r="U469" s="2"/>
      <c r="V469" s="2"/>
      <c r="W469" s="2"/>
      <c r="X469" s="2"/>
      <c r="Y469" s="2"/>
      <c r="Z469" s="2"/>
      <c r="AA469" s="2"/>
      <c r="AB469" s="2"/>
    </row>
    <row r="470">
      <c r="A470" s="49" t="s">
        <v>22</v>
      </c>
      <c r="B470" s="44">
        <v>827658.05</v>
      </c>
      <c r="C470" s="48">
        <v>6.0</v>
      </c>
      <c r="D470" s="44">
        <f>SUMIFS(MACHAKOS!F:F,MACHAKOS!A:A,"8/21")</f>
        <v>1001049.33</v>
      </c>
      <c r="E470" s="45">
        <f>COUNTIFS(MACHAKOS!A:A,"8/21")</f>
        <v>5</v>
      </c>
      <c r="F470" s="46">
        <f>SUMIFS(MACHAKOS!G:G,MACHAKOS!A:A,"8/21")</f>
        <v>171500</v>
      </c>
      <c r="G470" s="45">
        <f t="shared" si="106"/>
        <v>0</v>
      </c>
      <c r="H470" s="47">
        <f t="shared" si="107"/>
        <v>0.1713202285</v>
      </c>
      <c r="I470" s="48">
        <f>COUNTIFS(MACHAKOS!I:I,$G$18,MACHAKOS!A:A,"8/21")</f>
        <v>0</v>
      </c>
      <c r="J470" s="45">
        <f>COUNTIFS(MACHAKOS!I:I,$H$18,MACHAKOS!A:A,"8/21")</f>
        <v>0</v>
      </c>
      <c r="K470" s="45">
        <f>COUNTIFS(MACHAKOS!I:I,$I$18,MACHAKOS!A:A,"8/21")</f>
        <v>0</v>
      </c>
      <c r="L470" s="2"/>
      <c r="M470" s="2"/>
      <c r="N470" s="2"/>
      <c r="O470" s="2"/>
      <c r="P470" s="2"/>
      <c r="Q470" s="2"/>
      <c r="R470" s="2"/>
      <c r="S470" s="2"/>
      <c r="T470" s="2"/>
      <c r="U470" s="2"/>
      <c r="V470" s="2"/>
      <c r="W470" s="2"/>
      <c r="X470" s="2"/>
      <c r="Y470" s="2"/>
      <c r="Z470" s="2"/>
      <c r="AA470" s="2"/>
      <c r="AB470" s="2"/>
    </row>
    <row r="471">
      <c r="A471" s="66" t="s">
        <v>32</v>
      </c>
      <c r="B471" s="67"/>
      <c r="C471" s="68"/>
      <c r="D471" s="69">
        <f>400000+2000000+700000</f>
        <v>3100000</v>
      </c>
      <c r="E471" s="70">
        <v>3.0</v>
      </c>
      <c r="F471" s="71">
        <v>250000.0</v>
      </c>
      <c r="G471" s="72">
        <v>1.0</v>
      </c>
      <c r="H471" s="47">
        <f t="shared" si="107"/>
        <v>0.08064516129</v>
      </c>
      <c r="I471" s="48">
        <f>COUNTIFS(MACHAKOS!I:I,$G$18,MACHAKOS!A:A,"8/21")</f>
        <v>0</v>
      </c>
      <c r="J471" s="45">
        <v>0.0</v>
      </c>
      <c r="K471" s="53">
        <v>2.0</v>
      </c>
      <c r="L471" s="2"/>
      <c r="M471" s="2"/>
      <c r="N471" s="2"/>
      <c r="O471" s="2"/>
      <c r="P471" s="2"/>
      <c r="Q471" s="2"/>
      <c r="R471" s="2"/>
      <c r="S471" s="2"/>
      <c r="T471" s="2"/>
      <c r="U471" s="2"/>
      <c r="V471" s="2"/>
      <c r="W471" s="2"/>
      <c r="X471" s="2"/>
      <c r="Y471" s="2"/>
      <c r="Z471" s="2"/>
      <c r="AA471" s="2"/>
      <c r="AB471" s="2"/>
    </row>
    <row r="472">
      <c r="A472" s="66" t="s">
        <v>31</v>
      </c>
      <c r="B472" s="44">
        <v>1.5196966511E8</v>
      </c>
      <c r="C472" s="48">
        <v>4203.0</v>
      </c>
      <c r="D472" s="73">
        <v>1200000.0</v>
      </c>
      <c r="E472" s="45">
        <v>84.0</v>
      </c>
      <c r="F472" s="71">
        <v>681313.0</v>
      </c>
      <c r="G472" s="72">
        <v>83.0</v>
      </c>
      <c r="H472" s="74"/>
      <c r="I472" s="66"/>
      <c r="J472" s="75"/>
      <c r="K472" s="75"/>
      <c r="L472" s="2"/>
      <c r="M472" s="2"/>
      <c r="N472" s="2"/>
      <c r="O472" s="2"/>
      <c r="P472" s="2"/>
      <c r="Q472" s="2"/>
      <c r="R472" s="2"/>
      <c r="S472" s="2"/>
      <c r="T472" s="2"/>
      <c r="U472" s="2"/>
      <c r="V472" s="2"/>
      <c r="W472" s="2"/>
      <c r="X472" s="2"/>
      <c r="Y472" s="2"/>
      <c r="Z472" s="2"/>
      <c r="AA472" s="2"/>
      <c r="AB472" s="2"/>
    </row>
    <row r="473">
      <c r="A473" s="55" t="s">
        <v>23</v>
      </c>
      <c r="B473" s="59">
        <f t="shared" ref="B473:G473" si="108">SUM(B458:B472)</f>
        <v>2518082020</v>
      </c>
      <c r="C473" s="76">
        <f t="shared" si="108"/>
        <v>6155</v>
      </c>
      <c r="D473" s="59">
        <f t="shared" si="108"/>
        <v>40699618.59</v>
      </c>
      <c r="E473" s="60">
        <f t="shared" si="108"/>
        <v>345</v>
      </c>
      <c r="F473" s="59">
        <f t="shared" si="108"/>
        <v>12467277</v>
      </c>
      <c r="G473" s="60">
        <f t="shared" si="108"/>
        <v>90</v>
      </c>
      <c r="H473" s="61">
        <f>F473/D473</f>
        <v>0.3063241729</v>
      </c>
      <c r="I473" s="62">
        <f t="shared" ref="I473:K473" si="109">SUM(I458:I472)</f>
        <v>2</v>
      </c>
      <c r="J473" s="62">
        <f t="shared" si="109"/>
        <v>4</v>
      </c>
      <c r="K473" s="62">
        <f t="shared" si="109"/>
        <v>24</v>
      </c>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3" t="s">
        <v>1</v>
      </c>
      <c r="B476" s="5" t="s">
        <v>33</v>
      </c>
      <c r="C476" s="5" t="s">
        <v>34</v>
      </c>
      <c r="D476" s="5" t="s">
        <v>2</v>
      </c>
      <c r="E476" s="5" t="s">
        <v>3</v>
      </c>
      <c r="F476" s="5" t="s">
        <v>4</v>
      </c>
      <c r="G476" s="5" t="s">
        <v>5</v>
      </c>
      <c r="H476" s="26" t="s">
        <v>6</v>
      </c>
      <c r="I476" s="26" t="s">
        <v>7</v>
      </c>
      <c r="J476" s="26" t="s">
        <v>8</v>
      </c>
      <c r="K476" s="26" t="s">
        <v>9</v>
      </c>
      <c r="L476" s="2"/>
      <c r="M476" s="2"/>
      <c r="N476" s="2"/>
      <c r="O476" s="2"/>
      <c r="P476" s="2"/>
      <c r="Q476" s="2"/>
      <c r="R476" s="2"/>
      <c r="S476" s="2"/>
      <c r="T476" s="2"/>
      <c r="U476" s="2"/>
      <c r="V476" s="2"/>
      <c r="W476" s="2"/>
      <c r="X476" s="2"/>
      <c r="Y476" s="2"/>
      <c r="Z476" s="2"/>
      <c r="AA476" s="2"/>
      <c r="AB476" s="2"/>
    </row>
    <row r="477">
      <c r="A477" s="7" t="s">
        <v>10</v>
      </c>
      <c r="B477" s="44">
        <v>8.5396718559E8</v>
      </c>
      <c r="C477" s="48">
        <v>396.0</v>
      </c>
      <c r="D477" s="8">
        <f>SUMIFS(ECOBANK!F:F,ECOBANK!A:A,"8/22")</f>
        <v>4590271.11</v>
      </c>
      <c r="E477" s="9">
        <f>COUNTIFS(ECOBANK!A:A,"8/22")</f>
        <v>23</v>
      </c>
      <c r="F477" s="10">
        <f>SUMIFS(ECOBANK!G:G,ECOBANK!A:A,"8/22")</f>
        <v>70106</v>
      </c>
      <c r="G477" s="11">
        <f t="shared" ref="G477:G489" si="110">I477+J477</f>
        <v>0</v>
      </c>
      <c r="H477" s="12">
        <f t="shared" ref="H477:H490" si="111">iferror(F477/D477,0)</f>
        <v>0.01527273625</v>
      </c>
      <c r="I477" s="9">
        <f>COUNTIFS(ECOBANK!I:I,$G$18,ECOBANK!A:A,"8/22")</f>
        <v>0</v>
      </c>
      <c r="J477" s="11">
        <f>COUNTIFS(ECOBANK!I:I,$H$18,ECOBANK!A:A,"8/22)")</f>
        <v>0</v>
      </c>
      <c r="K477" s="11">
        <f>COUNTIFS(ECOBANK!I:I,$I$18,ECOBANK!A:A,"8/22")</f>
        <v>0</v>
      </c>
      <c r="L477" s="2"/>
      <c r="M477" s="2"/>
      <c r="N477" s="2"/>
      <c r="O477" s="2"/>
      <c r="P477" s="2"/>
      <c r="Q477" s="2"/>
      <c r="R477" s="2"/>
      <c r="S477" s="2"/>
      <c r="T477" s="2"/>
      <c r="U477" s="2"/>
      <c r="V477" s="2"/>
      <c r="W477" s="2"/>
      <c r="X477" s="2"/>
      <c r="Y477" s="2"/>
      <c r="Z477" s="2"/>
      <c r="AA477" s="2"/>
      <c r="AB477" s="2"/>
    </row>
    <row r="478">
      <c r="A478" s="7" t="s">
        <v>24</v>
      </c>
      <c r="B478" s="63">
        <v>6.1280880184E8</v>
      </c>
      <c r="C478" s="64">
        <v>253.0</v>
      </c>
      <c r="D478" s="8">
        <f>SUMIFS('TRADE CENTER'!F:F,'TRADE CENTER'!A:A,"8/22")</f>
        <v>25763791.65</v>
      </c>
      <c r="E478" s="11">
        <f>COUNTIFS('TRADE CENTER'!A:A,"8/22")</f>
        <v>55</v>
      </c>
      <c r="F478" s="10">
        <f>SUMIFS('TRADE CENTER'!G:G,'TRADE CENTER'!A:A,"8/22")</f>
        <v>60450</v>
      </c>
      <c r="G478" s="11">
        <f t="shared" si="110"/>
        <v>0</v>
      </c>
      <c r="H478" s="12">
        <f t="shared" si="111"/>
        <v>0.002346316133</v>
      </c>
      <c r="I478" s="11">
        <f>COUNTIFS('TRADE CENTER'!I:I,$G$18,'TRADE CENTER'!A:A,"8/22")</f>
        <v>0</v>
      </c>
      <c r="J478" s="11">
        <f>COUNTIFS('TRADE CENTER'!I:I,$H$18,'TRADE CENTER'!A:A,"8/22")</f>
        <v>0</v>
      </c>
      <c r="K478" s="11">
        <f>COUNTIFS('TRADE CENTER'!I:I,$I$18,'TRADE CENTER'!A:A,"8/22")</f>
        <v>0</v>
      </c>
      <c r="L478" s="2"/>
      <c r="M478" s="2"/>
      <c r="N478" s="2"/>
      <c r="O478" s="2"/>
      <c r="P478" s="2"/>
      <c r="Q478" s="2"/>
      <c r="R478" s="2"/>
      <c r="S478" s="2"/>
      <c r="T478" s="2"/>
      <c r="U478" s="2"/>
      <c r="V478" s="2"/>
      <c r="W478" s="2"/>
      <c r="X478" s="2"/>
      <c r="Y478" s="2"/>
      <c r="Z478" s="2"/>
      <c r="AA478" s="2"/>
      <c r="AB478" s="2"/>
    </row>
    <row r="479">
      <c r="A479" s="7" t="s">
        <v>12</v>
      </c>
      <c r="B479" s="63">
        <v>2.521937564E8</v>
      </c>
      <c r="C479" s="64">
        <v>387.0</v>
      </c>
      <c r="D479" s="8">
        <f>SUMIFS(PENSION!F:F,PENSION!A:A,"8/22/2024")</f>
        <v>6883651.36</v>
      </c>
      <c r="E479" s="11">
        <f>COUNTIFS(PENSION!A:A,"8/22")</f>
        <v>57</v>
      </c>
      <c r="F479" s="10">
        <f>SUMIFS(PENSION!G:G,PENSION!A:A,"8/22/2024")</f>
        <v>960962</v>
      </c>
      <c r="G479" s="11">
        <f t="shared" si="110"/>
        <v>0</v>
      </c>
      <c r="H479" s="12">
        <f t="shared" si="111"/>
        <v>0.1396006203</v>
      </c>
      <c r="I479" s="9">
        <f>COUNTIFS(PENSION!I:I,$G$18,PENSION!A:A,"8/22")</f>
        <v>0</v>
      </c>
      <c r="J479" s="11">
        <f>COUNTIFS(PENSION!I:I,$H$18,PENSION!A:A,"8/22")</f>
        <v>0</v>
      </c>
      <c r="K479" s="11">
        <f>COUNTIFS(PENSION!I:I,$I$18,PENSION!A:A,"8/22")</f>
        <v>0</v>
      </c>
      <c r="L479" s="2"/>
      <c r="M479" s="2"/>
      <c r="N479" s="2"/>
      <c r="O479" s="2"/>
      <c r="P479" s="2"/>
      <c r="Q479" s="2"/>
      <c r="R479" s="2"/>
      <c r="S479" s="2"/>
      <c r="T479" s="2"/>
      <c r="U479" s="2"/>
      <c r="V479" s="2"/>
      <c r="W479" s="2"/>
      <c r="X479" s="2"/>
      <c r="Y479" s="2"/>
      <c r="Z479" s="2"/>
      <c r="AA479" s="2"/>
      <c r="AB479" s="2"/>
    </row>
    <row r="480">
      <c r="A480" s="7" t="s">
        <v>13</v>
      </c>
      <c r="B480" s="63">
        <v>1.1122149749E8</v>
      </c>
      <c r="C480" s="64">
        <v>303.0</v>
      </c>
      <c r="D480" s="8">
        <f>SUMIFS(KITENGELA!F:F,KITENGELA!A:A,"8/22/2024")</f>
        <v>6436461.15</v>
      </c>
      <c r="E480" s="11">
        <f>COUNTIFS(KITENGELA!A:A,"8/22")</f>
        <v>36</v>
      </c>
      <c r="F480" s="10">
        <f>SUMIFS(KITENGELA!G:G,KITENGELA!A:A,"8/22")</f>
        <v>598187</v>
      </c>
      <c r="G480" s="11">
        <f t="shared" si="110"/>
        <v>0</v>
      </c>
      <c r="H480" s="12">
        <f t="shared" si="111"/>
        <v>0.09293725015</v>
      </c>
      <c r="I480" s="11">
        <f>COUNTIFS(KITENGELA!I:I,$G$18,KITENGELA!A:A,"8/22")</f>
        <v>0</v>
      </c>
      <c r="J480" s="11">
        <f>COUNTIFS(KITENGELA!I:I,$H$18,KITENGELA!A:A,"8/22")</f>
        <v>0</v>
      </c>
      <c r="K480" s="11">
        <f>COUNTIFS(KITENGELA!I:I,$I$18,KITENGELA!A:A,"8/22")</f>
        <v>0</v>
      </c>
      <c r="L480" s="2"/>
      <c r="M480" s="2"/>
      <c r="N480" s="2"/>
      <c r="O480" s="2"/>
      <c r="P480" s="2"/>
      <c r="Q480" s="2"/>
      <c r="R480" s="2"/>
      <c r="S480" s="2"/>
      <c r="T480" s="2"/>
      <c r="U480" s="2"/>
      <c r="V480" s="2"/>
      <c r="W480" s="2"/>
      <c r="X480" s="2"/>
      <c r="Y480" s="2"/>
      <c r="Z480" s="2"/>
      <c r="AA480" s="2"/>
      <c r="AB480" s="2"/>
    </row>
    <row r="481">
      <c r="A481" s="13" t="s">
        <v>14</v>
      </c>
      <c r="B481" s="63">
        <v>1.5969574425E8</v>
      </c>
      <c r="C481" s="64">
        <v>170.0</v>
      </c>
      <c r="D481" s="8">
        <f>SUMIFS(ELDORET!F:F,ELDORET!A:A,"8/22")</f>
        <v>1166468.67</v>
      </c>
      <c r="E481" s="11">
        <f>COUNTIFS(ELDORET!A:A,"8/22")</f>
        <v>25</v>
      </c>
      <c r="F481" s="10">
        <f>SUMIFS(ELDORET!G:G,ELDORET!A:A,"8/22")</f>
        <v>41000</v>
      </c>
      <c r="G481" s="11">
        <f t="shared" si="110"/>
        <v>0</v>
      </c>
      <c r="H481" s="12">
        <f t="shared" si="111"/>
        <v>0.0351488223</v>
      </c>
      <c r="I481" s="11">
        <f>COUNTIFS(ELDORET!I:I,$G$18,ELDORET!A:A,"8/22")</f>
        <v>0</v>
      </c>
      <c r="J481" s="11">
        <f>COUNTIFS(ELDORET!I:I,$H$18,ELDORET!A:A,"8/22")</f>
        <v>0</v>
      </c>
      <c r="K481" s="11">
        <f>COUNTIFS(ELDORET!I:I,$I$18,ELDORET!A:A,"8/22")</f>
        <v>0</v>
      </c>
      <c r="L481" s="2"/>
      <c r="M481" s="2"/>
      <c r="N481" s="2"/>
      <c r="O481" s="2"/>
      <c r="P481" s="2"/>
      <c r="Q481" s="2"/>
      <c r="R481" s="2"/>
      <c r="S481" s="2"/>
      <c r="T481" s="2"/>
      <c r="U481" s="2"/>
      <c r="V481" s="2"/>
      <c r="W481" s="2"/>
      <c r="X481" s="2"/>
      <c r="Y481" s="2"/>
      <c r="Z481" s="2"/>
      <c r="AA481" s="2"/>
      <c r="AB481" s="2"/>
    </row>
    <row r="482">
      <c r="A482" s="7" t="s">
        <v>15</v>
      </c>
      <c r="B482" s="63">
        <v>1.632576659E7</v>
      </c>
      <c r="C482" s="64">
        <v>22.0</v>
      </c>
      <c r="D482" s="8">
        <f>SUMIFS(NAKURU!F:F,NAKURU!A:A,"8/22")</f>
        <v>162580</v>
      </c>
      <c r="E482" s="11">
        <f>COUNTIFS(NAKURU!A:A,"8/22")</f>
        <v>4</v>
      </c>
      <c r="F482" s="10">
        <f>SUMIFS(NAKURU!G:G,NAKURU!A:A,"8/22")</f>
        <v>59500</v>
      </c>
      <c r="G482" s="11">
        <f t="shared" si="110"/>
        <v>0</v>
      </c>
      <c r="H482" s="12">
        <f t="shared" si="111"/>
        <v>0.3659736745</v>
      </c>
      <c r="I482" s="9">
        <f>COUNTIFS(NAKURU!I:I,$G$18,NAKURU!A:A,"8/22")</f>
        <v>0</v>
      </c>
      <c r="J482" s="11">
        <f>COUNTIFS(NAKURU!I:I,$H$18,NAKURU!A:A,"8/22")</f>
        <v>0</v>
      </c>
      <c r="K482" s="11">
        <f>COUNTIFS(NAKURU!I:I,$I$18,NAKURU!A:A,"8/22")</f>
        <v>0</v>
      </c>
      <c r="L482" s="2"/>
      <c r="M482" s="2"/>
      <c r="N482" s="2"/>
      <c r="O482" s="2"/>
      <c r="P482" s="2"/>
      <c r="Q482" s="2"/>
      <c r="R482" s="2"/>
      <c r="S482" s="2"/>
      <c r="T482" s="2"/>
      <c r="U482" s="2"/>
      <c r="V482" s="2"/>
      <c r="W482" s="2"/>
      <c r="X482" s="2"/>
      <c r="Y482" s="2"/>
      <c r="Z482" s="2"/>
      <c r="AA482" s="2"/>
      <c r="AB482" s="2"/>
    </row>
    <row r="483">
      <c r="A483" s="7" t="s">
        <v>16</v>
      </c>
      <c r="B483" s="63">
        <v>1.245690062E7</v>
      </c>
      <c r="C483" s="64">
        <v>18.0</v>
      </c>
      <c r="D483" s="8">
        <f>SUMIFS(HOMABAY!F:F,HOMABAY!A:A,"8/22")</f>
        <v>289494</v>
      </c>
      <c r="E483" s="11">
        <f>COUNTIFS(HOMABAY!A:A,"8/22")</f>
        <v>5</v>
      </c>
      <c r="F483" s="10">
        <f>SUMIFS(HOMABAY!G:G,HOMABAY!A:A,"8/22")</f>
        <v>0</v>
      </c>
      <c r="G483" s="11">
        <f t="shared" si="110"/>
        <v>0</v>
      </c>
      <c r="H483" s="12">
        <f t="shared" si="111"/>
        <v>0</v>
      </c>
      <c r="I483" s="9">
        <f>COUNTIFS(HOMABAY!K:K,$G$18,HOMABAY!A:A,"8/22")</f>
        <v>0</v>
      </c>
      <c r="J483" s="11">
        <f>COUNTIFS(HOMABAY!K:K,$H$18,HOMABAY!A:A,"8/22")</f>
        <v>0</v>
      </c>
      <c r="K483" s="11">
        <f>COUNTIFS(HOMABAY!K:K,$I$18,HOMABAY!A:A,"8/22")</f>
        <v>0</v>
      </c>
      <c r="L483" s="2"/>
      <c r="M483" s="2"/>
      <c r="N483" s="2"/>
      <c r="O483" s="2"/>
      <c r="P483" s="2"/>
      <c r="Q483" s="2"/>
      <c r="R483" s="2"/>
      <c r="S483" s="2"/>
      <c r="T483" s="2"/>
      <c r="U483" s="2"/>
      <c r="V483" s="2"/>
      <c r="W483" s="2"/>
      <c r="X483" s="2"/>
      <c r="Y483" s="2"/>
      <c r="Z483" s="2"/>
      <c r="AA483" s="2"/>
      <c r="AB483" s="2"/>
    </row>
    <row r="484">
      <c r="A484" s="7" t="s">
        <v>17</v>
      </c>
      <c r="B484" s="63">
        <v>1.9797073488E8</v>
      </c>
      <c r="C484" s="64">
        <v>187.0</v>
      </c>
      <c r="D484" s="8">
        <f>SUMIFS(MOMBASA!F:F,MOMBASA!A:A,"8/22")</f>
        <v>1857485.65</v>
      </c>
      <c r="E484" s="11">
        <f>COUNTIFS(MOMBASA!A:A,"8/22")</f>
        <v>21</v>
      </c>
      <c r="F484" s="27">
        <f>SUMIFS(MOMBASA!G:G,MOMBASA!A:A,"8/22")</f>
        <v>1178747</v>
      </c>
      <c r="G484" s="11">
        <f t="shared" si="110"/>
        <v>5</v>
      </c>
      <c r="H484" s="12">
        <f t="shared" si="111"/>
        <v>0.6345927895</v>
      </c>
      <c r="I484" s="9">
        <f>COUNTIFS(MOMBASA!I:I,$G$18,MOMBASA!A:A,"8/22")</f>
        <v>0</v>
      </c>
      <c r="J484" s="11">
        <f>COUNTIFS(MOMBASA!I:I,$H$18,MOMBASA!A:A,"8/22")</f>
        <v>5</v>
      </c>
      <c r="K484" s="11">
        <f>COUNTIFS(MOMBASA!I:I,$I$18,MOMBASA!A:A,"8/22")</f>
        <v>16</v>
      </c>
      <c r="L484" s="2"/>
      <c r="M484" s="2"/>
      <c r="N484" s="2"/>
      <c r="O484" s="2"/>
      <c r="P484" s="2"/>
      <c r="Q484" s="2"/>
      <c r="R484" s="2"/>
      <c r="S484" s="2"/>
      <c r="T484" s="2"/>
      <c r="U484" s="2"/>
      <c r="V484" s="2"/>
      <c r="W484" s="2"/>
      <c r="X484" s="2"/>
      <c r="Y484" s="2"/>
      <c r="Z484" s="2"/>
      <c r="AA484" s="2"/>
      <c r="AB484" s="2"/>
    </row>
    <row r="485">
      <c r="A485" s="7" t="s">
        <v>18</v>
      </c>
      <c r="B485" s="63">
        <v>8.499581514E7</v>
      </c>
      <c r="C485" s="64">
        <v>87.0</v>
      </c>
      <c r="D485" s="8">
        <f>SUMIFS(KISUMU!F:F,KISUMU!A:A,"8/22")</f>
        <v>1428926.68</v>
      </c>
      <c r="E485" s="11">
        <f>COUNTIFS(KISUMU!A:A,"8/22")</f>
        <v>27</v>
      </c>
      <c r="F485" s="10">
        <f>SUMIFS(KISUMU!G:G,KISUMU!A:A,"8/22")</f>
        <v>42000</v>
      </c>
      <c r="G485" s="11">
        <f t="shared" si="110"/>
        <v>0</v>
      </c>
      <c r="H485" s="12">
        <f t="shared" si="111"/>
        <v>0.02939269074</v>
      </c>
      <c r="I485" s="9">
        <f>COUNTIFS(KISUMU!I:I,$G$18,KISUMU!A:A,"8/22")</f>
        <v>0</v>
      </c>
      <c r="J485" s="11">
        <f>COUNTIFS(KISUMU!I:I,$H$18,KISUMU!A:A,"8/22")</f>
        <v>0</v>
      </c>
      <c r="K485" s="11">
        <f>COUNTIFS(KISUMU!I:I,$I$18,KISUMU!A:A,"8/22")</f>
        <v>0</v>
      </c>
      <c r="L485" s="2"/>
      <c r="M485" s="2"/>
      <c r="N485" s="2"/>
      <c r="O485" s="2"/>
      <c r="P485" s="2"/>
      <c r="Q485" s="2"/>
      <c r="R485" s="2"/>
      <c r="S485" s="2"/>
      <c r="T485" s="2"/>
      <c r="U485" s="2"/>
      <c r="V485" s="2"/>
      <c r="W485" s="2"/>
      <c r="X485" s="2"/>
      <c r="Y485" s="2"/>
      <c r="Z485" s="2"/>
      <c r="AA485" s="2"/>
      <c r="AB485" s="2"/>
    </row>
    <row r="486">
      <c r="A486" s="7" t="s">
        <v>19</v>
      </c>
      <c r="B486" s="63">
        <v>7440293.18</v>
      </c>
      <c r="C486" s="64">
        <v>21.0</v>
      </c>
      <c r="D486" s="8">
        <f>SUMIFS(VOI!F:F,VOI!A:A,"8/22")</f>
        <v>338161.5</v>
      </c>
      <c r="E486" s="11">
        <f>COUNTIFS(VOI!A:A,"8/22")</f>
        <v>10</v>
      </c>
      <c r="F486" s="10">
        <f>SUMIFS(VOI!G:G,VOI!A:A,"8/22")</f>
        <v>0</v>
      </c>
      <c r="G486" s="11">
        <f t="shared" si="110"/>
        <v>0</v>
      </c>
      <c r="H486" s="12">
        <f t="shared" si="111"/>
        <v>0</v>
      </c>
      <c r="I486" s="9">
        <f>COUNTIFS(VOI!H:H,$G$18,VOI!A:A,"8/22")</f>
        <v>0</v>
      </c>
      <c r="J486" s="11">
        <f>COUNTIFS(VOI!H:H,$H$18,VOI!A:A,"8/22")</f>
        <v>0</v>
      </c>
      <c r="K486" s="11">
        <f>COUNTIFS(VOI!H:H,$I$18,VOI!A:A,"8/22")</f>
        <v>0</v>
      </c>
      <c r="L486" s="2"/>
      <c r="M486" s="2"/>
      <c r="N486" s="2"/>
      <c r="O486" s="2"/>
      <c r="P486" s="2"/>
      <c r="Q486" s="2"/>
      <c r="R486" s="2"/>
      <c r="S486" s="2"/>
      <c r="T486" s="2"/>
      <c r="U486" s="2"/>
      <c r="V486" s="2"/>
      <c r="W486" s="2"/>
      <c r="X486" s="2"/>
      <c r="Y486" s="2"/>
      <c r="Z486" s="2"/>
      <c r="AA486" s="2"/>
      <c r="AB486" s="2"/>
    </row>
    <row r="487">
      <c r="A487" s="7" t="s">
        <v>20</v>
      </c>
      <c r="B487" s="63">
        <v>5.514842476E7</v>
      </c>
      <c r="C487" s="64">
        <v>97.0</v>
      </c>
      <c r="D487" s="8">
        <f>SUMIFS(THIKA!F:F,THIKA!A:A,"8/22")</f>
        <v>680822.79</v>
      </c>
      <c r="E487" s="11">
        <f>COUNTIFS(THIKA!A:A,"8/22")</f>
        <v>10</v>
      </c>
      <c r="F487" s="10">
        <f>SUMIFS(THIKA!G:G,THIKA!A:A,"8/22")</f>
        <v>372777</v>
      </c>
      <c r="G487" s="11">
        <f t="shared" si="110"/>
        <v>0</v>
      </c>
      <c r="H487" s="12">
        <f t="shared" si="111"/>
        <v>0.5475389565</v>
      </c>
      <c r="I487" s="9">
        <f>COUNTIFS(THIKA!I:I,$G$18,THIKA!A:A,"8/22")</f>
        <v>0</v>
      </c>
      <c r="J487" s="11">
        <f>COUNTIFS(THIKA!I:I,$H$18,THIKA!A:A,"8/22")</f>
        <v>0</v>
      </c>
      <c r="K487" s="11">
        <f>COUNTIFS(THIKA!I:I,$I$18,THIKA!A:A,"8/22")</f>
        <v>0</v>
      </c>
      <c r="L487" s="2"/>
      <c r="M487" s="2"/>
      <c r="N487" s="2"/>
      <c r="O487" s="2"/>
      <c r="P487" s="2"/>
      <c r="Q487" s="2"/>
      <c r="R487" s="2"/>
      <c r="S487" s="2"/>
      <c r="T487" s="2"/>
      <c r="U487" s="2"/>
      <c r="V487" s="2"/>
      <c r="W487" s="2"/>
      <c r="X487" s="2"/>
      <c r="Y487" s="2"/>
      <c r="Z487" s="2"/>
      <c r="AA487" s="2"/>
      <c r="AB487" s="2"/>
    </row>
    <row r="488">
      <c r="A488" s="43" t="s">
        <v>21</v>
      </c>
      <c r="B488" s="44">
        <v>1059776.24</v>
      </c>
      <c r="C488" s="48">
        <v>5.0</v>
      </c>
      <c r="D488" s="44">
        <f>SUMIFS(KITUI!F:F,KITUI!A:A,"8/22")</f>
        <v>79309</v>
      </c>
      <c r="E488" s="45">
        <f>COUNTIFS(KITUI!A:A,"8/22")</f>
        <v>1</v>
      </c>
      <c r="F488" s="46">
        <f>SUMIFS(KITUI!G:G,KITUI!A:A,"8/22")</f>
        <v>0</v>
      </c>
      <c r="G488" s="45">
        <f t="shared" si="110"/>
        <v>0</v>
      </c>
      <c r="H488" s="47">
        <f t="shared" si="111"/>
        <v>0</v>
      </c>
      <c r="I488" s="48">
        <f>COUNTIFS(KITUI!I:I,$G$18,KITUI!A:A,"8/22")</f>
        <v>0</v>
      </c>
      <c r="J488" s="45">
        <f>COUNTIFS(KITUI!I:I,$H$18,KITUI!A:A,"8/22")</f>
        <v>0</v>
      </c>
      <c r="K488" s="45">
        <f>COUNTIFS(KITUI!I:I,$I$18,KITUI!A:A,"8/22")</f>
        <v>0</v>
      </c>
      <c r="L488" s="2"/>
      <c r="M488" s="2"/>
      <c r="N488" s="2"/>
      <c r="O488" s="2"/>
      <c r="P488" s="2"/>
      <c r="Q488" s="2"/>
      <c r="R488" s="2"/>
      <c r="S488" s="2"/>
      <c r="T488" s="2"/>
      <c r="U488" s="2"/>
      <c r="V488" s="2"/>
      <c r="W488" s="2"/>
      <c r="X488" s="2"/>
      <c r="Y488" s="2"/>
      <c r="Z488" s="2"/>
      <c r="AA488" s="2"/>
      <c r="AB488" s="2"/>
    </row>
    <row r="489">
      <c r="A489" s="49" t="s">
        <v>22</v>
      </c>
      <c r="B489" s="44">
        <v>827658.05</v>
      </c>
      <c r="C489" s="48">
        <v>6.0</v>
      </c>
      <c r="D489" s="44">
        <f>SUMIFS(MACHAKOS!F:F,MACHAKOS!A:A,"8/22")</f>
        <v>793927.91</v>
      </c>
      <c r="E489" s="45">
        <f>COUNTIFS(MACHAKOS!A:A,"8/22")</f>
        <v>4</v>
      </c>
      <c r="F489" s="46">
        <f>SUMIFS(MACHAKOS!G:G,MACHAKOS!A:A,"8/22")</f>
        <v>3000</v>
      </c>
      <c r="G489" s="45">
        <f t="shared" si="110"/>
        <v>0</v>
      </c>
      <c r="H489" s="47">
        <f t="shared" si="111"/>
        <v>0.003778680611</v>
      </c>
      <c r="I489" s="48">
        <f>COUNTIFS(MACHAKOS!I:I,$G$18,MACHAKOS!A:A,"8/22")</f>
        <v>0</v>
      </c>
      <c r="J489" s="45">
        <f>COUNTIFS(MACHAKOS!I:I,$H$18,MACHAKOS!A:A,"8/22")</f>
        <v>0</v>
      </c>
      <c r="K489" s="45">
        <f>COUNTIFS(MACHAKOS!I:I,$I$18,MACHAKOS!A:A,"8/22")</f>
        <v>0</v>
      </c>
      <c r="L489" s="2"/>
      <c r="M489" s="2"/>
      <c r="N489" s="2"/>
      <c r="O489" s="2"/>
      <c r="P489" s="2"/>
      <c r="Q489" s="2"/>
      <c r="R489" s="2"/>
      <c r="S489" s="2"/>
      <c r="T489" s="2"/>
      <c r="U489" s="2"/>
      <c r="V489" s="2"/>
      <c r="W489" s="2"/>
      <c r="X489" s="2"/>
      <c r="Y489" s="2"/>
      <c r="Z489" s="2"/>
      <c r="AA489" s="2"/>
      <c r="AB489" s="2"/>
    </row>
    <row r="490">
      <c r="A490" s="66" t="s">
        <v>32</v>
      </c>
      <c r="B490" s="67"/>
      <c r="C490" s="68"/>
      <c r="D490" s="73">
        <v>1800000.0</v>
      </c>
      <c r="E490" s="70">
        <v>3.0</v>
      </c>
      <c r="F490" s="71">
        <v>250000.0</v>
      </c>
      <c r="G490" s="72">
        <v>1.0</v>
      </c>
      <c r="H490" s="47">
        <f t="shared" si="111"/>
        <v>0.1388888889</v>
      </c>
      <c r="I490" s="48">
        <f>COUNTIFS(MACHAKOS!I:I,$G$18,MACHAKOS!A:A,"8/22")</f>
        <v>0</v>
      </c>
      <c r="J490" s="45">
        <v>0.0</v>
      </c>
      <c r="K490" s="53">
        <v>2.0</v>
      </c>
      <c r="L490" s="2"/>
      <c r="M490" s="2"/>
      <c r="N490" s="2"/>
      <c r="O490" s="2"/>
      <c r="P490" s="2"/>
      <c r="Q490" s="2"/>
      <c r="R490" s="2"/>
      <c r="S490" s="2"/>
      <c r="T490" s="2"/>
      <c r="U490" s="2"/>
      <c r="V490" s="2"/>
      <c r="W490" s="2"/>
      <c r="X490" s="2"/>
      <c r="Y490" s="2"/>
      <c r="Z490" s="2"/>
      <c r="AA490" s="2"/>
      <c r="AB490" s="2"/>
    </row>
    <row r="491">
      <c r="A491" s="66" t="s">
        <v>31</v>
      </c>
      <c r="B491" s="44">
        <v>1.5196966511E8</v>
      </c>
      <c r="C491" s="48">
        <v>4203.0</v>
      </c>
      <c r="D491" s="73">
        <v>1000000.0</v>
      </c>
      <c r="E491" s="45">
        <v>84.0</v>
      </c>
      <c r="F491" s="71">
        <v>681313.0</v>
      </c>
      <c r="G491" s="72">
        <v>83.0</v>
      </c>
      <c r="H491" s="74"/>
      <c r="I491" s="66"/>
      <c r="J491" s="75"/>
      <c r="K491" s="75"/>
      <c r="L491" s="2"/>
      <c r="M491" s="2"/>
      <c r="N491" s="2"/>
      <c r="O491" s="2"/>
      <c r="P491" s="2"/>
      <c r="Q491" s="2"/>
      <c r="R491" s="2"/>
      <c r="S491" s="2"/>
      <c r="T491" s="2"/>
      <c r="U491" s="2"/>
      <c r="V491" s="2"/>
      <c r="W491" s="2"/>
      <c r="X491" s="2"/>
      <c r="Y491" s="2"/>
      <c r="Z491" s="2"/>
      <c r="AA491" s="2"/>
      <c r="AB491" s="2"/>
    </row>
    <row r="492">
      <c r="A492" s="55" t="s">
        <v>23</v>
      </c>
      <c r="B492" s="59">
        <f t="shared" ref="B492:G492" si="112">SUM(B477:B491)</f>
        <v>2518082020</v>
      </c>
      <c r="C492" s="76">
        <f t="shared" si="112"/>
        <v>6155</v>
      </c>
      <c r="D492" s="59">
        <f t="shared" si="112"/>
        <v>53271351.47</v>
      </c>
      <c r="E492" s="60">
        <f t="shared" si="112"/>
        <v>365</v>
      </c>
      <c r="F492" s="59">
        <f t="shared" si="112"/>
        <v>4318042</v>
      </c>
      <c r="G492" s="60">
        <f t="shared" si="112"/>
        <v>89</v>
      </c>
      <c r="H492" s="61">
        <f>F492/D492</f>
        <v>0.08105748927</v>
      </c>
      <c r="I492" s="62">
        <f t="shared" ref="I492:K492" si="113">SUM(I477:I491)</f>
        <v>0</v>
      </c>
      <c r="J492" s="62">
        <f t="shared" si="113"/>
        <v>5</v>
      </c>
      <c r="K492" s="62">
        <f t="shared" si="113"/>
        <v>18</v>
      </c>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3" t="s">
        <v>1</v>
      </c>
      <c r="B494" s="5" t="s">
        <v>33</v>
      </c>
      <c r="C494" s="5" t="s">
        <v>34</v>
      </c>
      <c r="D494" s="5" t="s">
        <v>2</v>
      </c>
      <c r="E494" s="5" t="s">
        <v>3</v>
      </c>
      <c r="F494" s="5" t="s">
        <v>4</v>
      </c>
      <c r="G494" s="5" t="s">
        <v>5</v>
      </c>
      <c r="H494" s="26" t="s">
        <v>6</v>
      </c>
      <c r="I494" s="26" t="s">
        <v>7</v>
      </c>
      <c r="J494" s="26" t="s">
        <v>8</v>
      </c>
      <c r="K494" s="26" t="s">
        <v>9</v>
      </c>
      <c r="L494" s="2"/>
      <c r="M494" s="2"/>
      <c r="N494" s="2"/>
      <c r="O494" s="2"/>
      <c r="P494" s="2"/>
      <c r="Q494" s="2"/>
      <c r="R494" s="2"/>
      <c r="S494" s="2"/>
      <c r="T494" s="2"/>
      <c r="U494" s="2"/>
      <c r="V494" s="2"/>
      <c r="W494" s="2"/>
      <c r="X494" s="2"/>
      <c r="Y494" s="2"/>
      <c r="Z494" s="2"/>
      <c r="AA494" s="2"/>
      <c r="AB494" s="2"/>
    </row>
    <row r="495">
      <c r="A495" s="7" t="s">
        <v>10</v>
      </c>
      <c r="B495" s="77">
        <v>8.4613592266E8</v>
      </c>
      <c r="C495" s="54">
        <v>391.0</v>
      </c>
      <c r="D495" s="8">
        <f>SUMIFS(ECOBANK!F:F,ECOBANK!A:A,"8/23")</f>
        <v>5163783.25</v>
      </c>
      <c r="E495" s="9">
        <f>COUNTIFS(ECOBANK!A:A,"8/23")</f>
        <v>21</v>
      </c>
      <c r="F495" s="10">
        <f>SUMIFS(ECOBANK!G:G,ECOBANK!A:A,"8/23")</f>
        <v>1225257</v>
      </c>
      <c r="G495" s="11">
        <f t="shared" ref="G495:G507" si="114">I495+J495</f>
        <v>0</v>
      </c>
      <c r="H495" s="12">
        <f t="shared" ref="H495:H508" si="115">iferror(F495/D495,0)</f>
        <v>0.2372789369</v>
      </c>
      <c r="I495" s="9">
        <f>COUNTIFS(ECOBANK!I:I,$G$18,ECOBANK!A:A,"8/23")</f>
        <v>0</v>
      </c>
      <c r="J495" s="11">
        <f>COUNTIFS(ECOBANK!I:I,$H$18,ECOBANK!A:A,"8/23)")</f>
        <v>0</v>
      </c>
      <c r="K495" s="11">
        <f>COUNTIFS(ECOBANK!I:I,$I$18,ECOBANK!A:A,"8/23")</f>
        <v>0</v>
      </c>
      <c r="L495" s="2"/>
      <c r="M495" s="2"/>
      <c r="N495" s="2"/>
      <c r="O495" s="2"/>
      <c r="P495" s="2"/>
      <c r="Q495" s="2"/>
      <c r="R495" s="2"/>
      <c r="S495" s="2"/>
      <c r="T495" s="2"/>
      <c r="U495" s="2"/>
      <c r="V495" s="2"/>
      <c r="W495" s="2"/>
      <c r="X495" s="2"/>
      <c r="Y495" s="2"/>
      <c r="Z495" s="2"/>
      <c r="AA495" s="2"/>
      <c r="AB495" s="2"/>
    </row>
    <row r="496">
      <c r="A496" s="7" t="s">
        <v>24</v>
      </c>
      <c r="B496" s="78">
        <v>6.0333938635E8</v>
      </c>
      <c r="C496" s="79">
        <v>252.0</v>
      </c>
      <c r="D496" s="8">
        <f>SUMIFS('TRADE CENTER'!F:F,'TRADE CENTER'!A:A,"8/23")</f>
        <v>16185847.2</v>
      </c>
      <c r="E496" s="11">
        <f>COUNTIFS('TRADE CENTER'!A:A,"8/23")</f>
        <v>45</v>
      </c>
      <c r="F496" s="10">
        <f>SUMIFS('TRADE CENTER'!G:G,'TRADE CENTER'!A:A,"8/23")</f>
        <v>306440</v>
      </c>
      <c r="G496" s="11">
        <f t="shared" si="114"/>
        <v>0</v>
      </c>
      <c r="H496" s="12">
        <f t="shared" si="115"/>
        <v>0.01893258945</v>
      </c>
      <c r="I496" s="11">
        <f>COUNTIFS('TRADE CENTER'!I:I,$G$18,'TRADE CENTER'!A:A,"8/23")</f>
        <v>0</v>
      </c>
      <c r="J496" s="11">
        <f>COUNTIFS('TRADE CENTER'!I:I,$H$18,'TRADE CENTER'!A:A,"8/23")</f>
        <v>0</v>
      </c>
      <c r="K496" s="11">
        <f>COUNTIFS('TRADE CENTER'!I:I,$I$18,'TRADE CENTER'!A:A,"8/23")</f>
        <v>0</v>
      </c>
      <c r="L496" s="2"/>
      <c r="M496" s="2"/>
      <c r="N496" s="2"/>
      <c r="O496" s="2"/>
      <c r="P496" s="2"/>
      <c r="Q496" s="2"/>
      <c r="R496" s="2"/>
      <c r="S496" s="2"/>
      <c r="T496" s="2"/>
      <c r="U496" s="2"/>
      <c r="V496" s="2"/>
      <c r="W496" s="2"/>
      <c r="X496" s="2"/>
      <c r="Y496" s="2"/>
      <c r="Z496" s="2"/>
      <c r="AA496" s="2"/>
      <c r="AB496" s="2"/>
    </row>
    <row r="497">
      <c r="A497" s="7" t="s">
        <v>12</v>
      </c>
      <c r="B497" s="78">
        <v>2.5310774507E8</v>
      </c>
      <c r="C497" s="79">
        <v>378.0</v>
      </c>
      <c r="D497" s="8">
        <f>SUMIFS(PENSION!F:F,PENSION!A:A,"8/23/2024")</f>
        <v>6130133.71</v>
      </c>
      <c r="E497" s="11">
        <f>COUNTIFS(PENSION!A:A,"8/23")</f>
        <v>61</v>
      </c>
      <c r="F497" s="10">
        <f>SUMIFS(PENSION!G:G,PENSION!A:A,"8/23/2024")</f>
        <v>1203568</v>
      </c>
      <c r="G497" s="11">
        <f t="shared" si="114"/>
        <v>0</v>
      </c>
      <c r="H497" s="12">
        <f t="shared" si="115"/>
        <v>0.1963363373</v>
      </c>
      <c r="I497" s="9">
        <f>COUNTIFS(PENSION!I:I,$G$18,PENSION!A:A,"8/23")</f>
        <v>0</v>
      </c>
      <c r="J497" s="11">
        <f>COUNTIFS(PENSION!I:I,$H$18,PENSION!A:A,"8/23")</f>
        <v>0</v>
      </c>
      <c r="K497" s="11">
        <f>COUNTIFS(PENSION!I:I,$I$18,PENSION!A:A,"8/23")</f>
        <v>0</v>
      </c>
      <c r="L497" s="2"/>
      <c r="M497" s="2"/>
      <c r="N497" s="2"/>
      <c r="O497" s="2"/>
      <c r="P497" s="2"/>
      <c r="Q497" s="2"/>
      <c r="R497" s="2"/>
      <c r="S497" s="2"/>
      <c r="T497" s="2"/>
      <c r="U497" s="2"/>
      <c r="V497" s="2"/>
      <c r="W497" s="2"/>
      <c r="X497" s="2"/>
      <c r="Y497" s="2"/>
      <c r="Z497" s="2"/>
      <c r="AA497" s="2"/>
      <c r="AB497" s="2"/>
    </row>
    <row r="498">
      <c r="A498" s="7" t="s">
        <v>13</v>
      </c>
      <c r="B498" s="78">
        <v>1.1130976822E8</v>
      </c>
      <c r="C498" s="79">
        <v>294.0</v>
      </c>
      <c r="D498" s="8">
        <f>SUMIFS(KITENGELA!F:F,KITENGELA!A:A,"8/23/2024")</f>
        <v>4750956.84</v>
      </c>
      <c r="E498" s="11">
        <f>COUNTIFS(KITENGELA!A:A,"8/23")</f>
        <v>31</v>
      </c>
      <c r="F498" s="10">
        <f>SUMIFS(KITENGELA!G:G,KITENGELA!A:A,"8/23")</f>
        <v>354528</v>
      </c>
      <c r="G498" s="11">
        <f t="shared" si="114"/>
        <v>0</v>
      </c>
      <c r="H498" s="12">
        <f t="shared" si="115"/>
        <v>0.07462244174</v>
      </c>
      <c r="I498" s="11">
        <f>COUNTIFS(KITENGELA!I:I,$G$18,KITENGELA!A:A,"8/23")</f>
        <v>0</v>
      </c>
      <c r="J498" s="11">
        <f>COUNTIFS(KITENGELA!I:I,$H$18,KITENGELA!A:A,"8/23")</f>
        <v>0</v>
      </c>
      <c r="K498" s="11">
        <f>COUNTIFS(KITENGELA!I:I,$I$18,KITENGELA!A:A,"8/23")</f>
        <v>0</v>
      </c>
      <c r="L498" s="2"/>
      <c r="M498" s="2"/>
      <c r="N498" s="2"/>
      <c r="O498" s="2"/>
      <c r="P498" s="2"/>
      <c r="Q498" s="2"/>
      <c r="R498" s="2"/>
      <c r="S498" s="2"/>
      <c r="T498" s="2"/>
      <c r="U498" s="2"/>
      <c r="V498" s="2"/>
      <c r="W498" s="2"/>
      <c r="X498" s="2"/>
      <c r="Y498" s="2"/>
      <c r="Z498" s="2"/>
      <c r="AA498" s="2"/>
      <c r="AB498" s="2"/>
    </row>
    <row r="499">
      <c r="A499" s="13" t="s">
        <v>14</v>
      </c>
      <c r="B499" s="78">
        <v>1.5997687913E8</v>
      </c>
      <c r="C499" s="79">
        <v>168.0</v>
      </c>
      <c r="D499" s="8">
        <f>SUMIFS(ELDORET!F:F,ELDORET!A:A,"8/23")</f>
        <v>1085105.41</v>
      </c>
      <c r="E499" s="11">
        <f>COUNTIFS(ELDORET!A:A,"8/23")</f>
        <v>24</v>
      </c>
      <c r="F499" s="10">
        <f>SUMIFS(ELDORET!G:G,ELDORET!A:A,"8/23")</f>
        <v>40800</v>
      </c>
      <c r="G499" s="11">
        <f t="shared" si="114"/>
        <v>0</v>
      </c>
      <c r="H499" s="12">
        <f t="shared" si="115"/>
        <v>0.03760003371</v>
      </c>
      <c r="I499" s="11">
        <f>COUNTIFS(ELDORET!I:I,$G$18,ELDORET!A:A,"8/23")</f>
        <v>0</v>
      </c>
      <c r="J499" s="11">
        <f>COUNTIFS(ELDORET!I:I,$H$18,ELDORET!A:A,"8/23")</f>
        <v>0</v>
      </c>
      <c r="K499" s="11">
        <f>COUNTIFS(ELDORET!I:I,$I$18,ELDORET!A:A,"8/23")</f>
        <v>0</v>
      </c>
      <c r="L499" s="2"/>
      <c r="M499" s="2"/>
      <c r="N499" s="2"/>
      <c r="O499" s="2"/>
      <c r="P499" s="2"/>
      <c r="Q499" s="2"/>
      <c r="R499" s="2"/>
      <c r="S499" s="2"/>
      <c r="T499" s="2"/>
      <c r="U499" s="2"/>
      <c r="V499" s="2"/>
      <c r="W499" s="2"/>
      <c r="X499" s="2"/>
      <c r="Y499" s="2"/>
      <c r="Z499" s="2"/>
      <c r="AA499" s="2"/>
      <c r="AB499" s="2"/>
    </row>
    <row r="500">
      <c r="A500" s="7" t="s">
        <v>15</v>
      </c>
      <c r="B500" s="78">
        <v>1.639239948E7</v>
      </c>
      <c r="C500" s="79">
        <v>19.0</v>
      </c>
      <c r="D500" s="8">
        <f>SUMIFS(NAKURU!F:F,NAKURU!A:A,"8/23")</f>
        <v>126080</v>
      </c>
      <c r="E500" s="11">
        <f>COUNTIFS(NAKURU!A:A,"8/23")</f>
        <v>4</v>
      </c>
      <c r="F500" s="10">
        <f>SUMIFS(NAKURU!G:G,NAKURU!A:A,"8/23")</f>
        <v>0</v>
      </c>
      <c r="G500" s="11">
        <f t="shared" si="114"/>
        <v>0</v>
      </c>
      <c r="H500" s="12">
        <f t="shared" si="115"/>
        <v>0</v>
      </c>
      <c r="I500" s="9">
        <f>COUNTIFS(NAKURU!I:I,$G$18,NAKURU!A:A,"8/23")</f>
        <v>0</v>
      </c>
      <c r="J500" s="11">
        <f>COUNTIFS(NAKURU!I:I,$H$18,NAKURU!A:A,"8/23")</f>
        <v>0</v>
      </c>
      <c r="K500" s="11">
        <f>COUNTIFS(NAKURU!I:I,$I$18,NAKURU!A:A,"8/23")</f>
        <v>0</v>
      </c>
      <c r="L500" s="2"/>
      <c r="M500" s="2"/>
      <c r="N500" s="2"/>
      <c r="O500" s="2"/>
      <c r="P500" s="2"/>
      <c r="Q500" s="2"/>
      <c r="R500" s="2"/>
      <c r="S500" s="2"/>
      <c r="T500" s="2"/>
      <c r="U500" s="2"/>
      <c r="V500" s="2"/>
      <c r="W500" s="2"/>
      <c r="X500" s="2"/>
      <c r="Y500" s="2"/>
      <c r="Z500" s="2"/>
      <c r="AA500" s="2"/>
      <c r="AB500" s="2"/>
    </row>
    <row r="501">
      <c r="A501" s="7" t="s">
        <v>16</v>
      </c>
      <c r="B501" s="78">
        <v>1.198031398E7</v>
      </c>
      <c r="C501" s="79">
        <v>16.0</v>
      </c>
      <c r="D501" s="8">
        <f>SUMIFS(HOMABAY!F:F,HOMABAY!A:A,"8/23")</f>
        <v>266495</v>
      </c>
      <c r="E501" s="11">
        <f>COUNTIFS(HOMABAY!A:A,"8/23")</f>
        <v>6</v>
      </c>
      <c r="F501" s="10">
        <f>SUMIFS(HOMABAY!G:G,HOMABAY!A:A,"8/23")</f>
        <v>0</v>
      </c>
      <c r="G501" s="11">
        <f t="shared" si="114"/>
        <v>0</v>
      </c>
      <c r="H501" s="12">
        <f t="shared" si="115"/>
        <v>0</v>
      </c>
      <c r="I501" s="9">
        <f>COUNTIFS(HOMABAY!K:K,$G$18,HOMABAY!A:A,"8/23")</f>
        <v>0</v>
      </c>
      <c r="J501" s="11">
        <f>COUNTIFS(HOMABAY!K:K,$H$18,HOMABAY!A:A,"8/23")</f>
        <v>0</v>
      </c>
      <c r="K501" s="11">
        <f>COUNTIFS(HOMABAY!K:K,$I$18,HOMABAY!A:A,"8/23")</f>
        <v>0</v>
      </c>
      <c r="L501" s="2"/>
      <c r="M501" s="2"/>
      <c r="N501" s="2"/>
      <c r="O501" s="2"/>
      <c r="P501" s="2"/>
      <c r="Q501" s="2"/>
      <c r="R501" s="2"/>
      <c r="S501" s="2"/>
      <c r="T501" s="2"/>
      <c r="U501" s="2"/>
      <c r="V501" s="2"/>
      <c r="W501" s="2"/>
      <c r="X501" s="2"/>
      <c r="Y501" s="2"/>
      <c r="Z501" s="2"/>
      <c r="AA501" s="2"/>
      <c r="AB501" s="2"/>
    </row>
    <row r="502">
      <c r="A502" s="7" t="s">
        <v>17</v>
      </c>
      <c r="B502" s="78">
        <v>1.982130446E8</v>
      </c>
      <c r="C502" s="79">
        <v>180.0</v>
      </c>
      <c r="D502" s="8">
        <f>SUMIFS(MOMBASA!F:F,MOMBASA!A:A,"8/23")</f>
        <v>1762673</v>
      </c>
      <c r="E502" s="11">
        <f>COUNTIFS(MOMBASA!A:A,"8/23")</f>
        <v>21</v>
      </c>
      <c r="F502" s="27">
        <f>SUMIFS(MOMBASA!G:G,MOMBASA!A:A,"8/23")</f>
        <v>697818</v>
      </c>
      <c r="G502" s="11">
        <f t="shared" si="114"/>
        <v>4</v>
      </c>
      <c r="H502" s="12">
        <f t="shared" si="115"/>
        <v>0.3958862478</v>
      </c>
      <c r="I502" s="9">
        <f>COUNTIFS(MOMBASA!I:I,$G$18,MOMBASA!A:A,"8/23")</f>
        <v>0</v>
      </c>
      <c r="J502" s="11">
        <f>COUNTIFS(MOMBASA!I:I,$H$18,MOMBASA!A:A,"8/23")</f>
        <v>4</v>
      </c>
      <c r="K502" s="11">
        <f>COUNTIFS(MOMBASA!I:I,$I$18,MOMBASA!A:A,"8/23")</f>
        <v>17</v>
      </c>
      <c r="L502" s="2"/>
      <c r="M502" s="2"/>
      <c r="N502" s="2"/>
      <c r="O502" s="2"/>
      <c r="P502" s="2"/>
      <c r="Q502" s="2"/>
      <c r="R502" s="2"/>
      <c r="S502" s="2"/>
      <c r="T502" s="2"/>
      <c r="U502" s="2"/>
      <c r="V502" s="2"/>
      <c r="W502" s="2"/>
      <c r="X502" s="2"/>
      <c r="Y502" s="2"/>
      <c r="Z502" s="2"/>
      <c r="AA502" s="2"/>
      <c r="AB502" s="2"/>
    </row>
    <row r="503">
      <c r="A503" s="7" t="s">
        <v>18</v>
      </c>
      <c r="B503" s="78">
        <v>8.476405245E7</v>
      </c>
      <c r="C503" s="79">
        <v>88.0</v>
      </c>
      <c r="D503" s="8">
        <f>SUMIFS(KISUMU!F:F,KISUMU!A:A,"8/23")</f>
        <v>2053751.68</v>
      </c>
      <c r="E503" s="11">
        <f>COUNTIFS(KISUMU!A:A,"8/23")</f>
        <v>30</v>
      </c>
      <c r="F503" s="10">
        <f>SUMIFS(KISUMU!G:G,KISUMU!A:A,"8/23")</f>
        <v>51833</v>
      </c>
      <c r="G503" s="11">
        <f t="shared" si="114"/>
        <v>0</v>
      </c>
      <c r="H503" s="12">
        <f t="shared" si="115"/>
        <v>0.02523820212</v>
      </c>
      <c r="I503" s="9">
        <f>COUNTIFS(KISUMU!I:I,$G$18,KISUMU!A:A,"8/23")</f>
        <v>0</v>
      </c>
      <c r="J503" s="11">
        <f>COUNTIFS(KISUMU!I:I,$H$18,KISUMU!A:A,"8/23")</f>
        <v>0</v>
      </c>
      <c r="K503" s="11">
        <f>COUNTIFS(KISUMU!I:I,$I$18,KISUMU!A:A,"8/23")</f>
        <v>0</v>
      </c>
      <c r="L503" s="2"/>
      <c r="M503" s="2"/>
      <c r="N503" s="2"/>
      <c r="O503" s="2"/>
      <c r="P503" s="2"/>
      <c r="Q503" s="2"/>
      <c r="R503" s="2"/>
      <c r="S503" s="2"/>
      <c r="T503" s="2"/>
      <c r="U503" s="2"/>
      <c r="V503" s="2"/>
      <c r="W503" s="2"/>
      <c r="X503" s="2"/>
      <c r="Y503" s="2"/>
      <c r="Z503" s="2"/>
      <c r="AA503" s="2"/>
      <c r="AB503" s="2"/>
    </row>
    <row r="504">
      <c r="A504" s="7" t="s">
        <v>19</v>
      </c>
      <c r="B504" s="78">
        <v>7505319.14</v>
      </c>
      <c r="C504" s="79">
        <v>21.0</v>
      </c>
      <c r="D504" s="8">
        <f>SUMIFS(VOI!F:F,VOI!A:A,"8/23")</f>
        <v>395971</v>
      </c>
      <c r="E504" s="11">
        <f>COUNTIFS(VOI!A:A,"8/23")</f>
        <v>11</v>
      </c>
      <c r="F504" s="10">
        <f>SUMIFS(VOI!G:G,VOI!A:A,"8/23")</f>
        <v>24995</v>
      </c>
      <c r="G504" s="11">
        <f t="shared" si="114"/>
        <v>1</v>
      </c>
      <c r="H504" s="12">
        <f t="shared" si="115"/>
        <v>0.06312330954</v>
      </c>
      <c r="I504" s="9">
        <f>COUNTIFS(VOI!H:H,$G$18,VOI!A:A,"8/23")</f>
        <v>0</v>
      </c>
      <c r="J504" s="11">
        <f>COUNTIFS(VOI!H:H,$H$18,VOI!A:A,"8/23")</f>
        <v>1</v>
      </c>
      <c r="K504" s="11">
        <f>COUNTIFS(VOI!H:H,$I$18,VOI!A:A,"8/23")</f>
        <v>10</v>
      </c>
      <c r="L504" s="2"/>
      <c r="M504" s="2"/>
      <c r="N504" s="2"/>
      <c r="O504" s="2"/>
      <c r="P504" s="2"/>
      <c r="Q504" s="2"/>
      <c r="R504" s="2"/>
      <c r="S504" s="2"/>
      <c r="T504" s="2"/>
      <c r="U504" s="2"/>
      <c r="V504" s="2"/>
      <c r="W504" s="2"/>
      <c r="X504" s="2"/>
      <c r="Y504" s="2"/>
      <c r="Z504" s="2"/>
      <c r="AA504" s="2"/>
      <c r="AB504" s="2"/>
    </row>
    <row r="505">
      <c r="A505" s="7" t="s">
        <v>20</v>
      </c>
      <c r="B505" s="78">
        <v>5.614812819E7</v>
      </c>
      <c r="C505" s="79">
        <v>92.0</v>
      </c>
      <c r="D505" s="8">
        <f>SUMIFS(THIKA!F:F,THIKA!A:A,"8/23")</f>
        <v>551207.79</v>
      </c>
      <c r="E505" s="11">
        <f>COUNTIFS(THIKA!A:A,"8/23")</f>
        <v>14</v>
      </c>
      <c r="F505" s="10">
        <f>SUMIFS(THIKA!G:G,THIKA!A:A,"8/23")</f>
        <v>32550</v>
      </c>
      <c r="G505" s="11">
        <f t="shared" si="114"/>
        <v>0</v>
      </c>
      <c r="H505" s="12">
        <f t="shared" si="115"/>
        <v>0.05905214075</v>
      </c>
      <c r="I505" s="9">
        <f>COUNTIFS(THIKA!I:I,$G$18,THIKA!A:A,"8/23")</f>
        <v>0</v>
      </c>
      <c r="J505" s="11">
        <f>COUNTIFS(THIKA!I:I,$H$18,THIKA!A:A,"8/23")</f>
        <v>0</v>
      </c>
      <c r="K505" s="11">
        <f>COUNTIFS(THIKA!I:I,$I$18,THIKA!A:A,"8/23")</f>
        <v>0</v>
      </c>
      <c r="L505" s="2"/>
      <c r="M505" s="2"/>
      <c r="N505" s="2"/>
      <c r="O505" s="2"/>
      <c r="P505" s="2"/>
      <c r="Q505" s="2"/>
      <c r="R505" s="2"/>
      <c r="S505" s="2"/>
      <c r="T505" s="2"/>
      <c r="U505" s="2"/>
      <c r="V505" s="2"/>
      <c r="W505" s="2"/>
      <c r="X505" s="2"/>
      <c r="Y505" s="2"/>
      <c r="Z505" s="2"/>
      <c r="AA505" s="2"/>
      <c r="AB505" s="2"/>
    </row>
    <row r="506">
      <c r="A506" s="43" t="s">
        <v>21</v>
      </c>
      <c r="B506" s="77">
        <v>1070436.72</v>
      </c>
      <c r="C506" s="54">
        <v>6.0</v>
      </c>
      <c r="D506" s="44">
        <f>SUMIFS(KITUI!F:F,KITUI!A:A,"8/23")</f>
        <v>79309</v>
      </c>
      <c r="E506" s="45">
        <f>COUNTIFS(KITUI!A:A,"8/23")</f>
        <v>1</v>
      </c>
      <c r="F506" s="46">
        <f>SUMIFS(KITUI!G:G,KITUI!A:A,"8/23")</f>
        <v>0</v>
      </c>
      <c r="G506" s="45">
        <f t="shared" si="114"/>
        <v>0</v>
      </c>
      <c r="H506" s="47">
        <f t="shared" si="115"/>
        <v>0</v>
      </c>
      <c r="I506" s="48">
        <f>COUNTIFS(KITUI!I:I,$G$18,KITUI!A:A,"8/23")</f>
        <v>0</v>
      </c>
      <c r="J506" s="45">
        <f>COUNTIFS(KITUI!I:I,$H$18,KITUI!A:A,"8/23")</f>
        <v>0</v>
      </c>
      <c r="K506" s="45">
        <f>COUNTIFS(KITUI!I:I,$I$18,KITUI!A:A,"8/23")</f>
        <v>0</v>
      </c>
      <c r="L506" s="2"/>
      <c r="M506" s="2"/>
      <c r="N506" s="2"/>
      <c r="O506" s="2"/>
      <c r="P506" s="2"/>
      <c r="Q506" s="2"/>
      <c r="R506" s="2"/>
      <c r="S506" s="2"/>
      <c r="T506" s="2"/>
      <c r="U506" s="2"/>
      <c r="V506" s="2"/>
      <c r="W506" s="2"/>
      <c r="X506" s="2"/>
      <c r="Y506" s="2"/>
      <c r="Z506" s="2"/>
      <c r="AA506" s="2"/>
      <c r="AB506" s="2"/>
    </row>
    <row r="507">
      <c r="A507" s="49" t="s">
        <v>22</v>
      </c>
      <c r="B507" s="77">
        <v>796033.59</v>
      </c>
      <c r="C507" s="54">
        <v>6.0</v>
      </c>
      <c r="D507" s="44">
        <f>SUMIFS(MACHAKOS!F:F,MACHAKOS!A:A,"8/23")</f>
        <v>793927.97</v>
      </c>
      <c r="E507" s="45">
        <f>COUNTIFS(MACHAKOS!A:A,"8/23")</f>
        <v>4</v>
      </c>
      <c r="F507" s="46">
        <f>SUMIFS(MACHAKOS!G:G,MACHAKOS!A:A,"8/23")</f>
        <v>50000</v>
      </c>
      <c r="G507" s="45">
        <f t="shared" si="114"/>
        <v>0</v>
      </c>
      <c r="H507" s="47">
        <f t="shared" si="115"/>
        <v>0.06297800542</v>
      </c>
      <c r="I507" s="48">
        <f>COUNTIFS(MACHAKOS!I:I,$G$18,MACHAKOS!A:A,"8/23")</f>
        <v>0</v>
      </c>
      <c r="J507" s="45">
        <f>COUNTIFS(MACHAKOS!I:I,$H$18,MACHAKOS!A:A,"8/23")</f>
        <v>0</v>
      </c>
      <c r="K507" s="45">
        <f>COUNTIFS(MACHAKOS!I:I,$I$18,MACHAKOS!A:A,"8/23")</f>
        <v>0</v>
      </c>
      <c r="L507" s="2"/>
      <c r="M507" s="2"/>
      <c r="N507" s="2"/>
      <c r="O507" s="2"/>
      <c r="P507" s="2"/>
      <c r="Q507" s="2"/>
      <c r="R507" s="2"/>
      <c r="S507" s="2"/>
      <c r="T507" s="2"/>
      <c r="U507" s="2"/>
      <c r="V507" s="2"/>
      <c r="W507" s="2"/>
      <c r="X507" s="2"/>
      <c r="Y507" s="2"/>
      <c r="Z507" s="2"/>
      <c r="AA507" s="2"/>
      <c r="AB507" s="2"/>
    </row>
    <row r="508">
      <c r="A508" s="66" t="s">
        <v>32</v>
      </c>
      <c r="B508" s="67"/>
      <c r="C508" s="68"/>
      <c r="D508" s="73">
        <v>1800000.0</v>
      </c>
      <c r="E508" s="70">
        <v>3.0</v>
      </c>
      <c r="F508" s="71"/>
      <c r="G508" s="72">
        <v>1.0</v>
      </c>
      <c r="H508" s="47">
        <f t="shared" si="115"/>
        <v>0</v>
      </c>
      <c r="I508" s="48">
        <f>COUNTIFS(MACHAKOS!I:I,$G$18,MACHAKOS!A:A,"8/23")</f>
        <v>0</v>
      </c>
      <c r="J508" s="45">
        <v>0.0</v>
      </c>
      <c r="K508" s="53">
        <v>2.0</v>
      </c>
      <c r="L508" s="2"/>
      <c r="M508" s="2"/>
      <c r="N508" s="2"/>
      <c r="O508" s="2"/>
      <c r="P508" s="2"/>
      <c r="Q508" s="2"/>
      <c r="R508" s="2"/>
      <c r="S508" s="2"/>
      <c r="T508" s="2"/>
      <c r="U508" s="2"/>
      <c r="V508" s="2"/>
      <c r="W508" s="2"/>
      <c r="X508" s="2"/>
      <c r="Y508" s="2"/>
      <c r="Z508" s="2"/>
      <c r="AA508" s="2"/>
      <c r="AB508" s="2"/>
    </row>
    <row r="509">
      <c r="A509" s="66" t="s">
        <v>31</v>
      </c>
      <c r="B509" s="77">
        <v>1.5221625787E8</v>
      </c>
      <c r="C509" s="54">
        <v>2257.0</v>
      </c>
      <c r="D509" s="73">
        <v>1200000.0</v>
      </c>
      <c r="E509" s="45">
        <v>84.0</v>
      </c>
      <c r="F509" s="71"/>
      <c r="G509" s="72"/>
      <c r="H509" s="74"/>
      <c r="I509" s="66"/>
      <c r="J509" s="75"/>
      <c r="K509" s="75"/>
      <c r="L509" s="2"/>
      <c r="M509" s="2"/>
      <c r="N509" s="2"/>
      <c r="O509" s="2"/>
      <c r="P509" s="2"/>
      <c r="Q509" s="2"/>
      <c r="R509" s="2"/>
      <c r="S509" s="2"/>
      <c r="T509" s="2"/>
      <c r="U509" s="2"/>
      <c r="V509" s="2"/>
      <c r="W509" s="2"/>
      <c r="X509" s="2"/>
      <c r="Y509" s="2"/>
      <c r="Z509" s="2"/>
      <c r="AA509" s="2"/>
      <c r="AB509" s="2"/>
    </row>
    <row r="510">
      <c r="A510" s="55" t="s">
        <v>23</v>
      </c>
      <c r="B510" s="59">
        <f t="shared" ref="B510:G510" si="116">SUM(B495:B509)</f>
        <v>2502955687</v>
      </c>
      <c r="C510" s="76">
        <f t="shared" si="116"/>
        <v>4168</v>
      </c>
      <c r="D510" s="59">
        <f t="shared" si="116"/>
        <v>42345241.85</v>
      </c>
      <c r="E510" s="60">
        <f t="shared" si="116"/>
        <v>360</v>
      </c>
      <c r="F510" s="59">
        <f t="shared" si="116"/>
        <v>3987789</v>
      </c>
      <c r="G510" s="60">
        <f t="shared" si="116"/>
        <v>6</v>
      </c>
      <c r="H510" s="61">
        <f>F510/D510</f>
        <v>0.09417324889</v>
      </c>
      <c r="I510" s="62">
        <f t="shared" ref="I510:K510" si="117">SUM(I495:I509)</f>
        <v>0</v>
      </c>
      <c r="J510" s="62">
        <f t="shared" si="117"/>
        <v>5</v>
      </c>
      <c r="K510" s="62">
        <f t="shared" si="117"/>
        <v>29</v>
      </c>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3" t="s">
        <v>1</v>
      </c>
      <c r="B512" s="5" t="s">
        <v>33</v>
      </c>
      <c r="C512" s="5" t="s">
        <v>34</v>
      </c>
      <c r="D512" s="5" t="s">
        <v>2</v>
      </c>
      <c r="E512" s="5" t="s">
        <v>3</v>
      </c>
      <c r="F512" s="5" t="s">
        <v>4</v>
      </c>
      <c r="G512" s="5" t="s">
        <v>5</v>
      </c>
      <c r="H512" s="26" t="s">
        <v>6</v>
      </c>
      <c r="I512" s="26" t="s">
        <v>7</v>
      </c>
      <c r="J512" s="26" t="s">
        <v>8</v>
      </c>
      <c r="K512" s="26" t="s">
        <v>9</v>
      </c>
      <c r="L512" s="2"/>
      <c r="M512" s="2"/>
      <c r="N512" s="2"/>
      <c r="O512" s="2"/>
      <c r="P512" s="2"/>
      <c r="Q512" s="2"/>
      <c r="R512" s="2"/>
      <c r="S512" s="2"/>
      <c r="T512" s="2"/>
      <c r="U512" s="2"/>
      <c r="V512" s="2"/>
      <c r="W512" s="2"/>
      <c r="X512" s="2"/>
      <c r="Y512" s="2"/>
      <c r="Z512" s="2"/>
      <c r="AA512" s="2"/>
      <c r="AB512" s="2"/>
    </row>
    <row r="513">
      <c r="A513" s="7" t="s">
        <v>10</v>
      </c>
      <c r="B513" s="77">
        <v>8.4613592266E8</v>
      </c>
      <c r="C513" s="54">
        <v>391.0</v>
      </c>
      <c r="D513" s="8">
        <f>SUMIFS(ECOBANK!F:F,ECOBANK!A:A,"8/24")</f>
        <v>3129566.5</v>
      </c>
      <c r="E513" s="9">
        <f>COUNTIFS(ECOBANK!A:A,"8/24")</f>
        <v>15</v>
      </c>
      <c r="F513" s="10">
        <f>SUMIFS(ECOBANK!G:G,ECOBANK!A:A,"8/24")</f>
        <v>10000</v>
      </c>
      <c r="G513" s="11">
        <f t="shared" ref="G513:G525" si="118">I513+J513</f>
        <v>0</v>
      </c>
      <c r="H513" s="12">
        <f t="shared" ref="H513:H526" si="119">iferror(F513/D513,0)</f>
        <v>0.003195330727</v>
      </c>
      <c r="I513" s="9">
        <f>COUNTIFS(ECOBANK!I:I,$G$18,ECOBANK!A:A,"8/24")</f>
        <v>0</v>
      </c>
      <c r="J513" s="11">
        <f>COUNTIFS(ECOBANK!I:I,$H$18,ECOBANK!A:A,"8/24)")</f>
        <v>0</v>
      </c>
      <c r="K513" s="11">
        <f>COUNTIFS(ECOBANK!I:I,$I$18,ECOBANK!A:A,"8/24")</f>
        <v>0</v>
      </c>
      <c r="L513" s="2"/>
      <c r="M513" s="2"/>
      <c r="N513" s="2"/>
      <c r="O513" s="2"/>
      <c r="P513" s="2"/>
      <c r="Q513" s="2"/>
      <c r="R513" s="2"/>
      <c r="S513" s="2"/>
      <c r="T513" s="2"/>
      <c r="U513" s="2"/>
      <c r="V513" s="2"/>
      <c r="W513" s="2"/>
      <c r="X513" s="2"/>
      <c r="Y513" s="2"/>
      <c r="Z513" s="2"/>
      <c r="AA513" s="2"/>
      <c r="AB513" s="2"/>
    </row>
    <row r="514">
      <c r="A514" s="7" t="s">
        <v>24</v>
      </c>
      <c r="B514" s="78">
        <v>6.0333938635E8</v>
      </c>
      <c r="C514" s="79">
        <v>252.0</v>
      </c>
      <c r="D514" s="8">
        <f>SUMIFS('TRADE CENTER'!F:F,'TRADE CENTER'!A:A,"8/24")</f>
        <v>4384224.19</v>
      </c>
      <c r="E514" s="11">
        <f>COUNTIFS('TRADE CENTER'!A:A,"8/24")</f>
        <v>29</v>
      </c>
      <c r="F514" s="10">
        <f>SUMIFS('TRADE CENTER'!G:G,'TRADE CENTER'!A:A,"8/24")</f>
        <v>600870</v>
      </c>
      <c r="G514" s="11">
        <f t="shared" si="118"/>
        <v>0</v>
      </c>
      <c r="H514" s="12">
        <f t="shared" si="119"/>
        <v>0.1370527541</v>
      </c>
      <c r="I514" s="11">
        <f>COUNTIFS('TRADE CENTER'!I:I,$G$18,'TRADE CENTER'!A:A,"8/24")</f>
        <v>0</v>
      </c>
      <c r="J514" s="11">
        <f>COUNTIFS('TRADE CENTER'!I:I,$H$18,'TRADE CENTER'!A:A,"8/24")</f>
        <v>0</v>
      </c>
      <c r="K514" s="11">
        <f>COUNTIFS('TRADE CENTER'!I:I,$I$18,'TRADE CENTER'!A:A,"8/24")</f>
        <v>0</v>
      </c>
      <c r="L514" s="2"/>
      <c r="M514" s="2"/>
      <c r="N514" s="2"/>
      <c r="O514" s="2"/>
      <c r="P514" s="2"/>
      <c r="Q514" s="2"/>
      <c r="R514" s="2"/>
      <c r="S514" s="2"/>
      <c r="T514" s="2"/>
      <c r="U514" s="2"/>
      <c r="V514" s="2"/>
      <c r="W514" s="2"/>
      <c r="X514" s="2"/>
      <c r="Y514" s="2"/>
      <c r="Z514" s="2"/>
      <c r="AA514" s="2"/>
      <c r="AB514" s="2"/>
    </row>
    <row r="515">
      <c r="A515" s="7" t="s">
        <v>12</v>
      </c>
      <c r="B515" s="78">
        <v>2.5310774507E8</v>
      </c>
      <c r="C515" s="79">
        <v>378.0</v>
      </c>
      <c r="D515" s="8">
        <f>SUMIFS(PENSION!F:F,PENSION!A:A,"8/24/2024")</f>
        <v>4875941.12</v>
      </c>
      <c r="E515" s="11">
        <f>COUNTIFS(PENSION!A:A,"8/24")</f>
        <v>54</v>
      </c>
      <c r="F515" s="10">
        <f>SUMIFS(PENSION!G:G,PENSION!A:A,"8/24/2024")</f>
        <v>19500</v>
      </c>
      <c r="G515" s="11">
        <f t="shared" si="118"/>
        <v>0</v>
      </c>
      <c r="H515" s="12">
        <f t="shared" si="119"/>
        <v>0.003999227948</v>
      </c>
      <c r="I515" s="9">
        <f>COUNTIFS(PENSION!I:I,$G$18,PENSION!A:A,"8/24")</f>
        <v>0</v>
      </c>
      <c r="J515" s="11">
        <f>COUNTIFS(PENSION!I:I,$H$18,PENSION!A:A,"8/24")</f>
        <v>0</v>
      </c>
      <c r="K515" s="11">
        <f>COUNTIFS(PENSION!I:I,$I$18,PENSION!A:A,"8/24")</f>
        <v>0</v>
      </c>
      <c r="L515" s="2"/>
      <c r="M515" s="2"/>
      <c r="N515" s="2"/>
      <c r="O515" s="2"/>
      <c r="P515" s="2"/>
      <c r="Q515" s="2"/>
      <c r="R515" s="2"/>
      <c r="S515" s="2"/>
      <c r="T515" s="2"/>
      <c r="U515" s="2"/>
      <c r="V515" s="2"/>
      <c r="W515" s="2"/>
      <c r="X515" s="2"/>
      <c r="Y515" s="2"/>
      <c r="Z515" s="2"/>
      <c r="AA515" s="2"/>
      <c r="AB515" s="2"/>
    </row>
    <row r="516">
      <c r="A516" s="7" t="s">
        <v>13</v>
      </c>
      <c r="B516" s="78">
        <v>1.1130976822E8</v>
      </c>
      <c r="C516" s="79">
        <v>294.0</v>
      </c>
      <c r="D516" s="8">
        <f>SUMIFS(KITENGELA!F:F,KITENGELA!A:A,"8/24/2024")</f>
        <v>4062066.89</v>
      </c>
      <c r="E516" s="11">
        <f>COUNTIFS(KITENGELA!A:A,"8/24")</f>
        <v>24</v>
      </c>
      <c r="F516" s="10">
        <f>SUMIFS(KITENGELA!G:G,KITENGELA!A:A,"8/24")</f>
        <v>11500</v>
      </c>
      <c r="G516" s="11">
        <f t="shared" si="118"/>
        <v>0</v>
      </c>
      <c r="H516" s="12">
        <f t="shared" si="119"/>
        <v>0.002831071056</v>
      </c>
      <c r="I516" s="11">
        <f>COUNTIFS(KITENGELA!I:I,$G$18,KITENGELA!A:A,"8/24")</f>
        <v>0</v>
      </c>
      <c r="J516" s="11">
        <f>COUNTIFS(KITENGELA!I:I,$H$18,KITENGELA!A:A,"8/24")</f>
        <v>0</v>
      </c>
      <c r="K516" s="11">
        <f>COUNTIFS(KITENGELA!I:I,$I$18,KITENGELA!A:A,"8/24")</f>
        <v>0</v>
      </c>
      <c r="L516" s="2"/>
      <c r="M516" s="2"/>
      <c r="N516" s="2"/>
      <c r="O516" s="2"/>
      <c r="P516" s="2"/>
      <c r="Q516" s="2"/>
      <c r="R516" s="2"/>
      <c r="S516" s="2"/>
      <c r="T516" s="2"/>
      <c r="U516" s="2"/>
      <c r="V516" s="2"/>
      <c r="W516" s="2"/>
      <c r="X516" s="2"/>
      <c r="Y516" s="2"/>
      <c r="Z516" s="2"/>
      <c r="AA516" s="2"/>
      <c r="AB516" s="2"/>
    </row>
    <row r="517">
      <c r="A517" s="13" t="s">
        <v>14</v>
      </c>
      <c r="B517" s="78">
        <v>1.5997687913E8</v>
      </c>
      <c r="C517" s="79">
        <v>168.0</v>
      </c>
      <c r="D517" s="8">
        <f>SUMIFS(ELDORET!F:F,ELDORET!A:A,"8/24")</f>
        <v>1294022.41</v>
      </c>
      <c r="E517" s="11">
        <f>COUNTIFS(ELDORET!A:A,"8/24")</f>
        <v>24</v>
      </c>
      <c r="F517" s="10">
        <f>SUMIFS(ELDORET!G:G,ELDORET!A:A,"8/24")</f>
        <v>6000</v>
      </c>
      <c r="G517" s="11">
        <f t="shared" si="118"/>
        <v>0</v>
      </c>
      <c r="H517" s="12">
        <f t="shared" si="119"/>
        <v>0.004636704862</v>
      </c>
      <c r="I517" s="11">
        <f>COUNTIFS(ELDORET!I:I,$G$18,ELDORET!A:A,"8/24")</f>
        <v>0</v>
      </c>
      <c r="J517" s="11">
        <f>COUNTIFS(ELDORET!I:I,$H$18,ELDORET!A:A,"8/24")</f>
        <v>0</v>
      </c>
      <c r="K517" s="11">
        <f>COUNTIFS(ELDORET!I:I,$I$18,ELDORET!A:A,"8/24")</f>
        <v>0</v>
      </c>
      <c r="L517" s="2"/>
      <c r="M517" s="2"/>
      <c r="N517" s="2"/>
      <c r="O517" s="2"/>
      <c r="P517" s="2"/>
      <c r="Q517" s="2"/>
      <c r="R517" s="2"/>
      <c r="S517" s="2"/>
      <c r="T517" s="2"/>
      <c r="U517" s="2"/>
      <c r="V517" s="2"/>
      <c r="W517" s="2"/>
      <c r="X517" s="2"/>
      <c r="Y517" s="2"/>
      <c r="Z517" s="2"/>
      <c r="AA517" s="2"/>
      <c r="AB517" s="2"/>
    </row>
    <row r="518">
      <c r="A518" s="7" t="s">
        <v>15</v>
      </c>
      <c r="B518" s="78">
        <v>1.639239948E7</v>
      </c>
      <c r="C518" s="79">
        <v>19.0</v>
      </c>
      <c r="D518" s="8">
        <f>SUMIFS(NAKURU!F:F,NAKURU!A:A,"8/24")</f>
        <v>113080</v>
      </c>
      <c r="E518" s="11">
        <f>COUNTIFS(NAKURU!A:A,"8/24")</f>
        <v>4</v>
      </c>
      <c r="F518" s="10">
        <f>SUMIFS(NAKURU!G:G,NAKURU!A:A,"8/24")</f>
        <v>43870</v>
      </c>
      <c r="G518" s="11">
        <f t="shared" si="118"/>
        <v>0</v>
      </c>
      <c r="H518" s="12">
        <f t="shared" si="119"/>
        <v>0.3879554298</v>
      </c>
      <c r="I518" s="9">
        <f>COUNTIFS(NAKURU!I:I,$G$18,NAKURU!A:A,"8/24")</f>
        <v>0</v>
      </c>
      <c r="J518" s="11">
        <f>COUNTIFS(NAKURU!I:I,$H$18,NAKURU!A:A,"8/24")</f>
        <v>0</v>
      </c>
      <c r="K518" s="11">
        <f>COUNTIFS(NAKURU!I:I,$I$18,NAKURU!A:A,"8/24")</f>
        <v>0</v>
      </c>
      <c r="L518" s="2"/>
      <c r="M518" s="2"/>
      <c r="N518" s="2"/>
      <c r="O518" s="2"/>
      <c r="P518" s="2"/>
      <c r="Q518" s="2"/>
      <c r="R518" s="2"/>
      <c r="S518" s="2"/>
      <c r="T518" s="2"/>
      <c r="U518" s="2"/>
      <c r="V518" s="2"/>
      <c r="W518" s="2"/>
      <c r="X518" s="2"/>
      <c r="Y518" s="2"/>
      <c r="Z518" s="2"/>
      <c r="AA518" s="2"/>
      <c r="AB518" s="2"/>
    </row>
    <row r="519">
      <c r="A519" s="7" t="s">
        <v>16</v>
      </c>
      <c r="B519" s="78">
        <v>1.198031398E7</v>
      </c>
      <c r="C519" s="79">
        <v>16.0</v>
      </c>
      <c r="D519" s="8">
        <f>SUMIFS(HOMABAY!F:F,HOMABAY!A:A,"8/24")</f>
        <v>299908</v>
      </c>
      <c r="E519" s="11">
        <f>COUNTIFS(HOMABAY!A:A,"8/24")</f>
        <v>5</v>
      </c>
      <c r="F519" s="10">
        <f>SUMIFS(HOMABAY!G:G,HOMABAY!A:A,"8/24")</f>
        <v>0</v>
      </c>
      <c r="G519" s="11">
        <f t="shared" si="118"/>
        <v>0</v>
      </c>
      <c r="H519" s="12">
        <f t="shared" si="119"/>
        <v>0</v>
      </c>
      <c r="I519" s="9">
        <f>COUNTIFS(HOMABAY!K:K,$G$18,HOMABAY!A:A,"8/24")</f>
        <v>0</v>
      </c>
      <c r="J519" s="11">
        <f>COUNTIFS(HOMABAY!K:K,$H$18,HOMABAY!A:A,"8/24")</f>
        <v>0</v>
      </c>
      <c r="K519" s="11">
        <f>COUNTIFS(HOMABAY!K:K,$I$18,HOMABAY!A:A,"8/24")</f>
        <v>0</v>
      </c>
      <c r="L519" s="2"/>
      <c r="M519" s="2"/>
      <c r="N519" s="2"/>
      <c r="O519" s="2"/>
      <c r="P519" s="2"/>
      <c r="Q519" s="2"/>
      <c r="R519" s="2"/>
      <c r="S519" s="2"/>
      <c r="T519" s="2"/>
      <c r="U519" s="2"/>
      <c r="V519" s="2"/>
      <c r="W519" s="2"/>
      <c r="X519" s="2"/>
      <c r="Y519" s="2"/>
      <c r="Z519" s="2"/>
      <c r="AA519" s="2"/>
      <c r="AB519" s="2"/>
    </row>
    <row r="520">
      <c r="A520" s="7" t="s">
        <v>17</v>
      </c>
      <c r="B520" s="78">
        <v>1.982130446E8</v>
      </c>
      <c r="C520" s="79">
        <v>180.0</v>
      </c>
      <c r="D520" s="8">
        <f>SUMIFS(MOMBASA!F:F,MOMBASA!A:A,"8/24")</f>
        <v>1136400.27</v>
      </c>
      <c r="E520" s="11">
        <f>COUNTIFS(MOMBASA!A:A,"8/24")</f>
        <v>16</v>
      </c>
      <c r="F520" s="27">
        <f>SUMIFS(MOMBASA!G:G,MOMBASA!A:A,"8/24")</f>
        <v>626551</v>
      </c>
      <c r="G520" s="11">
        <f t="shared" si="118"/>
        <v>5</v>
      </c>
      <c r="H520" s="12">
        <f t="shared" si="119"/>
        <v>0.5513471059</v>
      </c>
      <c r="I520" s="9">
        <f>COUNTIFS(MOMBASA!I:I,$G$18,MOMBASA!A:A,"8/24")</f>
        <v>1</v>
      </c>
      <c r="J520" s="11">
        <f>COUNTIFS(MOMBASA!I:I,$H$18,MOMBASA!A:A,"8/24")</f>
        <v>4</v>
      </c>
      <c r="K520" s="11">
        <f>COUNTIFS(MOMBASA!I:I,$I$18,MOMBASA!A:A,"8/24")</f>
        <v>11</v>
      </c>
      <c r="L520" s="2"/>
      <c r="M520" s="2"/>
      <c r="N520" s="2"/>
      <c r="O520" s="2"/>
      <c r="P520" s="2"/>
      <c r="Q520" s="2"/>
      <c r="R520" s="2"/>
      <c r="S520" s="2"/>
      <c r="T520" s="2"/>
      <c r="U520" s="2"/>
      <c r="V520" s="2"/>
      <c r="W520" s="2"/>
      <c r="X520" s="2"/>
      <c r="Y520" s="2"/>
      <c r="Z520" s="2"/>
      <c r="AA520" s="2"/>
      <c r="AB520" s="2"/>
    </row>
    <row r="521">
      <c r="A521" s="7" t="s">
        <v>18</v>
      </c>
      <c r="B521" s="78">
        <v>8.476405245E7</v>
      </c>
      <c r="C521" s="79">
        <v>88.0</v>
      </c>
      <c r="D521" s="8">
        <f>SUMIFS(KISUMU!F:F,KISUMU!A:A,"8/24")</f>
        <v>1332701.68</v>
      </c>
      <c r="E521" s="11">
        <f>COUNTIFS(KISUMU!A:A,"8/24")</f>
        <v>25</v>
      </c>
      <c r="F521" s="10">
        <f>SUMIFS(KISUMU!G:G,KISUMU!A:A,"8/24")</f>
        <v>0</v>
      </c>
      <c r="G521" s="11">
        <f t="shared" si="118"/>
        <v>0</v>
      </c>
      <c r="H521" s="12">
        <f t="shared" si="119"/>
        <v>0</v>
      </c>
      <c r="I521" s="9">
        <f>COUNTIFS(KISUMU!I:I,$G$18,KISUMU!A:A,"8/24")</f>
        <v>0</v>
      </c>
      <c r="J521" s="11">
        <f>COUNTIFS(KISUMU!I:I,$H$18,KISUMU!A:A,"8/24")</f>
        <v>0</v>
      </c>
      <c r="K521" s="11">
        <f>COUNTIFS(KISUMU!I:I,$I$18,KISUMU!A:A,"8/24")</f>
        <v>0</v>
      </c>
      <c r="L521" s="2"/>
      <c r="M521" s="2"/>
      <c r="N521" s="2"/>
      <c r="O521" s="2"/>
      <c r="P521" s="2"/>
      <c r="Q521" s="2"/>
      <c r="R521" s="2"/>
      <c r="S521" s="2"/>
      <c r="T521" s="2"/>
      <c r="U521" s="2"/>
      <c r="V521" s="2"/>
      <c r="W521" s="2"/>
      <c r="X521" s="2"/>
      <c r="Y521" s="2"/>
      <c r="Z521" s="2"/>
      <c r="AA521" s="2"/>
      <c r="AB521" s="2"/>
    </row>
    <row r="522">
      <c r="A522" s="7" t="s">
        <v>19</v>
      </c>
      <c r="B522" s="78">
        <v>7505319.14</v>
      </c>
      <c r="C522" s="79">
        <v>21.0</v>
      </c>
      <c r="D522" s="8">
        <f>SUMIFS(VOI!F:F,VOI!A:A,"8/24")</f>
        <v>416976</v>
      </c>
      <c r="E522" s="11">
        <f>COUNTIFS(VOI!A:A,"8/24")</f>
        <v>11</v>
      </c>
      <c r="F522" s="10">
        <f>SUMIFS(VOI!G:G,VOI!A:A,"8/24")</f>
        <v>42000</v>
      </c>
      <c r="G522" s="11">
        <f t="shared" si="118"/>
        <v>1</v>
      </c>
      <c r="H522" s="12">
        <f t="shared" si="119"/>
        <v>0.1007252216</v>
      </c>
      <c r="I522" s="9">
        <f>COUNTIFS(VOI!H:H,$G$18,VOI!A:A,"8/24")</f>
        <v>0</v>
      </c>
      <c r="J522" s="11">
        <f>COUNTIFS(VOI!H:H,$H$18,VOI!A:A,"8/24")</f>
        <v>1</v>
      </c>
      <c r="K522" s="11">
        <f>COUNTIFS(VOI!H:H,$I$18,VOI!A:A,"8/24")</f>
        <v>10</v>
      </c>
      <c r="L522" s="2"/>
      <c r="M522" s="2"/>
      <c r="N522" s="2"/>
      <c r="O522" s="2"/>
      <c r="P522" s="2"/>
      <c r="Q522" s="2"/>
      <c r="R522" s="2"/>
      <c r="S522" s="2"/>
      <c r="T522" s="2"/>
      <c r="U522" s="2"/>
      <c r="V522" s="2"/>
      <c r="W522" s="2"/>
      <c r="X522" s="2"/>
      <c r="Y522" s="2"/>
      <c r="Z522" s="2"/>
      <c r="AA522" s="2"/>
      <c r="AB522" s="2"/>
    </row>
    <row r="523">
      <c r="A523" s="7" t="s">
        <v>20</v>
      </c>
      <c r="B523" s="78">
        <v>5.614812819E7</v>
      </c>
      <c r="C523" s="79">
        <v>92.0</v>
      </c>
      <c r="D523" s="8">
        <f>SUMIFS(THIKA!F:F,THIKA!A:A,"8/24")</f>
        <v>463412.79</v>
      </c>
      <c r="E523" s="11">
        <f>COUNTIFS(THIKA!A:A,"8/24")</f>
        <v>11</v>
      </c>
      <c r="F523" s="10">
        <f>SUMIFS(THIKA!G:G,THIKA!A:A,"8/24")</f>
        <v>0</v>
      </c>
      <c r="G523" s="11">
        <f t="shared" si="118"/>
        <v>0</v>
      </c>
      <c r="H523" s="12">
        <f t="shared" si="119"/>
        <v>0</v>
      </c>
      <c r="I523" s="9">
        <f>COUNTIFS(THIKA!I:I,$G$18,THIKA!A:A,"8/24")</f>
        <v>0</v>
      </c>
      <c r="J523" s="11">
        <f>COUNTIFS(THIKA!I:I,$H$18,THIKA!A:A,"8/24")</f>
        <v>0</v>
      </c>
      <c r="K523" s="11">
        <f>COUNTIFS(THIKA!I:I,$I$18,THIKA!A:A,"8/24")</f>
        <v>0</v>
      </c>
      <c r="L523" s="2"/>
      <c r="M523" s="2"/>
      <c r="N523" s="2"/>
      <c r="O523" s="2"/>
      <c r="P523" s="2"/>
      <c r="Q523" s="2"/>
      <c r="R523" s="2"/>
      <c r="S523" s="2"/>
      <c r="T523" s="2"/>
      <c r="U523" s="2"/>
      <c r="V523" s="2"/>
      <c r="W523" s="2"/>
      <c r="X523" s="2"/>
      <c r="Y523" s="2"/>
      <c r="Z523" s="2"/>
      <c r="AA523" s="2"/>
      <c r="AB523" s="2"/>
    </row>
    <row r="524">
      <c r="A524" s="43" t="s">
        <v>21</v>
      </c>
      <c r="B524" s="77">
        <v>1070436.72</v>
      </c>
      <c r="C524" s="54">
        <v>6.0</v>
      </c>
      <c r="D524" s="44">
        <f>SUMIFS(KITUI!F:F,KITUI!A:A,"8/24")</f>
        <v>0</v>
      </c>
      <c r="E524" s="45">
        <f>COUNTIFS(KITUI!A:A,"8/24")</f>
        <v>0</v>
      </c>
      <c r="F524" s="46">
        <f>SUMIFS(KITUI!G:G,KITUI!A:A,"8/24")</f>
        <v>0</v>
      </c>
      <c r="G524" s="45">
        <f t="shared" si="118"/>
        <v>0</v>
      </c>
      <c r="H524" s="47">
        <f t="shared" si="119"/>
        <v>0</v>
      </c>
      <c r="I524" s="48">
        <f>COUNTIFS(KITUI!I:I,$G$18,KITUI!A:A,"8/24")</f>
        <v>0</v>
      </c>
      <c r="J524" s="45">
        <f>COUNTIFS(KITUI!I:I,$H$18,KITUI!A:A,"8/24")</f>
        <v>0</v>
      </c>
      <c r="K524" s="45">
        <f>COUNTIFS(KITUI!I:I,$I$18,KITUI!A:A,"8/24")</f>
        <v>0</v>
      </c>
      <c r="L524" s="2"/>
      <c r="M524" s="2"/>
      <c r="N524" s="2"/>
      <c r="O524" s="2"/>
      <c r="P524" s="2"/>
      <c r="Q524" s="2"/>
      <c r="R524" s="2"/>
      <c r="S524" s="2"/>
      <c r="T524" s="2"/>
      <c r="U524" s="2"/>
      <c r="V524" s="2"/>
      <c r="W524" s="2"/>
      <c r="X524" s="2"/>
      <c r="Y524" s="2"/>
      <c r="Z524" s="2"/>
      <c r="AA524" s="2"/>
      <c r="AB524" s="2"/>
    </row>
    <row r="525">
      <c r="A525" s="49" t="s">
        <v>22</v>
      </c>
      <c r="B525" s="77">
        <v>796033.59</v>
      </c>
      <c r="C525" s="54">
        <v>6.0</v>
      </c>
      <c r="D525" s="44">
        <f>SUMIFS(MACHAKOS!F:F,MACHAKOS!A:A,"8/24")</f>
        <v>743927.32</v>
      </c>
      <c r="E525" s="45">
        <f>COUNTIFS(MACHAKOS!A:A,"8/24")</f>
        <v>4</v>
      </c>
      <c r="F525" s="46">
        <f>SUMIFS(MACHAKOS!G:G,MACHAKOS!A:A,"8/24")</f>
        <v>8600</v>
      </c>
      <c r="G525" s="45">
        <f t="shared" si="118"/>
        <v>0</v>
      </c>
      <c r="H525" s="47">
        <f t="shared" si="119"/>
        <v>0.01156026909</v>
      </c>
      <c r="I525" s="48">
        <f>COUNTIFS(MACHAKOS!I:I,$G$18,MACHAKOS!A:A,"8/24")</f>
        <v>0</v>
      </c>
      <c r="J525" s="45">
        <f>COUNTIFS(MACHAKOS!I:I,$H$18,MACHAKOS!A:A,"8/24")</f>
        <v>0</v>
      </c>
      <c r="K525" s="45">
        <f>COUNTIFS(MACHAKOS!I:I,$I$18,MACHAKOS!A:A,"8/24")</f>
        <v>0</v>
      </c>
      <c r="L525" s="2"/>
      <c r="M525" s="2"/>
      <c r="N525" s="2"/>
      <c r="O525" s="2"/>
      <c r="P525" s="2"/>
      <c r="Q525" s="2"/>
      <c r="R525" s="2"/>
      <c r="S525" s="2"/>
      <c r="T525" s="2"/>
      <c r="U525" s="2"/>
      <c r="V525" s="2"/>
      <c r="W525" s="2"/>
      <c r="X525" s="2"/>
      <c r="Y525" s="2"/>
      <c r="Z525" s="2"/>
      <c r="AA525" s="2"/>
      <c r="AB525" s="2"/>
    </row>
    <row r="526">
      <c r="A526" s="66" t="s">
        <v>32</v>
      </c>
      <c r="B526" s="67"/>
      <c r="C526" s="68"/>
      <c r="D526" s="73">
        <v>1150000.0</v>
      </c>
      <c r="E526" s="70"/>
      <c r="F526" s="71"/>
      <c r="G526" s="72">
        <v>1.0</v>
      </c>
      <c r="H526" s="47">
        <f t="shared" si="119"/>
        <v>0</v>
      </c>
      <c r="I526" s="48">
        <f>COUNTIFS(MACHAKOS!I:I,$G$18,MACHAKOS!A:A,"8/24")</f>
        <v>0</v>
      </c>
      <c r="J526" s="45">
        <v>0.0</v>
      </c>
      <c r="K526" s="53">
        <v>2.0</v>
      </c>
      <c r="L526" s="2"/>
      <c r="M526" s="2"/>
      <c r="N526" s="2"/>
      <c r="O526" s="2"/>
      <c r="P526" s="2"/>
      <c r="Q526" s="2"/>
      <c r="R526" s="2"/>
      <c r="S526" s="2"/>
      <c r="T526" s="2"/>
      <c r="U526" s="2"/>
      <c r="V526" s="2"/>
      <c r="W526" s="2"/>
      <c r="X526" s="2"/>
      <c r="Y526" s="2"/>
      <c r="Z526" s="2"/>
      <c r="AA526" s="2"/>
      <c r="AB526" s="2"/>
    </row>
    <row r="527">
      <c r="A527" s="66" t="s">
        <v>31</v>
      </c>
      <c r="B527" s="77">
        <v>1.5221625787E8</v>
      </c>
      <c r="C527" s="54">
        <v>2257.0</v>
      </c>
      <c r="D527" s="73">
        <v>0.0</v>
      </c>
      <c r="E527" s="45"/>
      <c r="F527" s="71"/>
      <c r="G527" s="72"/>
      <c r="H527" s="74"/>
      <c r="I527" s="66"/>
      <c r="J527" s="75"/>
      <c r="K527" s="75"/>
      <c r="L527" s="2"/>
      <c r="M527" s="2"/>
      <c r="N527" s="2"/>
      <c r="O527" s="2"/>
      <c r="P527" s="2"/>
      <c r="Q527" s="2"/>
      <c r="R527" s="2"/>
      <c r="S527" s="2"/>
      <c r="T527" s="2"/>
      <c r="U527" s="2"/>
      <c r="V527" s="2"/>
      <c r="W527" s="2"/>
      <c r="X527" s="2"/>
      <c r="Y527" s="2"/>
      <c r="Z527" s="2"/>
      <c r="AA527" s="2"/>
      <c r="AB527" s="2"/>
    </row>
    <row r="528">
      <c r="A528" s="55" t="s">
        <v>23</v>
      </c>
      <c r="B528" s="59">
        <f t="shared" ref="B528:G528" si="120">SUM(B513:B527)</f>
        <v>2502955687</v>
      </c>
      <c r="C528" s="76">
        <f t="shared" si="120"/>
        <v>4168</v>
      </c>
      <c r="D528" s="59">
        <f t="shared" si="120"/>
        <v>23402227.17</v>
      </c>
      <c r="E528" s="60">
        <f t="shared" si="120"/>
        <v>222</v>
      </c>
      <c r="F528" s="59">
        <f t="shared" si="120"/>
        <v>1368891</v>
      </c>
      <c r="G528" s="60">
        <f t="shared" si="120"/>
        <v>7</v>
      </c>
      <c r="H528" s="61">
        <f>F528/D528</f>
        <v>0.05849404803</v>
      </c>
      <c r="I528" s="62">
        <f t="shared" ref="I528:K528" si="121">SUM(I513:I527)</f>
        <v>1</v>
      </c>
      <c r="J528" s="62">
        <f t="shared" si="121"/>
        <v>5</v>
      </c>
      <c r="K528" s="62">
        <f t="shared" si="121"/>
        <v>23</v>
      </c>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3" t="s">
        <v>1</v>
      </c>
      <c r="B531" s="5" t="s">
        <v>33</v>
      </c>
      <c r="C531" s="5" t="s">
        <v>34</v>
      </c>
      <c r="D531" s="5" t="s">
        <v>2</v>
      </c>
      <c r="E531" s="5" t="s">
        <v>3</v>
      </c>
      <c r="F531" s="5" t="s">
        <v>4</v>
      </c>
      <c r="G531" s="5" t="s">
        <v>5</v>
      </c>
      <c r="H531" s="26" t="s">
        <v>6</v>
      </c>
      <c r="I531" s="26" t="s">
        <v>7</v>
      </c>
      <c r="J531" s="26" t="s">
        <v>8</v>
      </c>
      <c r="K531" s="26" t="s">
        <v>9</v>
      </c>
      <c r="L531" s="2"/>
      <c r="M531" s="2"/>
      <c r="N531" s="2"/>
      <c r="O531" s="2"/>
      <c r="P531" s="2"/>
      <c r="Q531" s="2"/>
      <c r="R531" s="2"/>
      <c r="S531" s="2"/>
      <c r="T531" s="2"/>
      <c r="U531" s="2"/>
      <c r="V531" s="2"/>
      <c r="W531" s="2"/>
      <c r="X531" s="2"/>
      <c r="Y531" s="2"/>
      <c r="Z531" s="2"/>
      <c r="AA531" s="2"/>
      <c r="AB531" s="2"/>
    </row>
    <row r="532">
      <c r="A532" s="7" t="s">
        <v>10</v>
      </c>
      <c r="B532" s="77">
        <v>8.4613592266E8</v>
      </c>
      <c r="C532" s="54">
        <v>391.0</v>
      </c>
      <c r="D532" s="8">
        <f>SUMIFS(ECOBANK!F:F,ECOBANK!A:A,"8/26")</f>
        <v>7758698.75</v>
      </c>
      <c r="E532" s="9">
        <f>COUNTIFS(ECOBANK!A:A,"8/26")</f>
        <v>18</v>
      </c>
      <c r="F532" s="10">
        <f>SUMIFS(ECOBANK!G:G,ECOBANK!A:A,"8/26")</f>
        <v>1940544</v>
      </c>
      <c r="G532" s="11">
        <f t="shared" ref="G532:G544" si="122">I532+J532</f>
        <v>0</v>
      </c>
      <c r="H532" s="12">
        <f t="shared" ref="H532:H545" si="123">iferror(F532/D532,0)</f>
        <v>0.2501120436</v>
      </c>
      <c r="I532" s="9">
        <f>COUNTIFS(ECOBANK!I:I,$G$18,ECOBANK!A:A,"8/26")</f>
        <v>0</v>
      </c>
      <c r="J532" s="11">
        <f>COUNTIFS(ECOBANK!I:I,$H$18,ECOBANK!A:A,"8/26)")</f>
        <v>0</v>
      </c>
      <c r="K532" s="11">
        <f>COUNTIFS(ECOBANK!I:I,$I$18,ECOBANK!A:A,"8/26")</f>
        <v>0</v>
      </c>
      <c r="L532" s="2"/>
      <c r="M532" s="2"/>
      <c r="N532" s="2"/>
      <c r="O532" s="2"/>
      <c r="P532" s="2"/>
      <c r="Q532" s="2"/>
      <c r="R532" s="2"/>
      <c r="S532" s="2"/>
      <c r="T532" s="2"/>
      <c r="U532" s="2"/>
      <c r="V532" s="2"/>
      <c r="W532" s="2"/>
      <c r="X532" s="2"/>
      <c r="Y532" s="2"/>
      <c r="Z532" s="2"/>
      <c r="AA532" s="2"/>
      <c r="AB532" s="2"/>
    </row>
    <row r="533">
      <c r="A533" s="7" t="s">
        <v>24</v>
      </c>
      <c r="B533" s="78">
        <v>6.0333938635E8</v>
      </c>
      <c r="C533" s="79">
        <v>252.0</v>
      </c>
      <c r="D533" s="8">
        <f>SUMIFS('TRADE CENTER'!F:F,'TRADE CENTER'!A:A,"8/26")</f>
        <v>11534550.64</v>
      </c>
      <c r="E533" s="11">
        <f>COUNTIFS('TRADE CENTER'!A:A,"8/26")</f>
        <v>42</v>
      </c>
      <c r="F533" s="10">
        <f>SUMIFS('TRADE CENTER'!G:G,'TRADE CENTER'!A:A,"8/26")</f>
        <v>1061659.16</v>
      </c>
      <c r="G533" s="11">
        <f t="shared" si="122"/>
        <v>0</v>
      </c>
      <c r="H533" s="12">
        <f t="shared" si="123"/>
        <v>0.09204165755</v>
      </c>
      <c r="I533" s="11">
        <f>COUNTIFS('TRADE CENTER'!I:I,$G$18,'TRADE CENTER'!A:A,"8/26")</f>
        <v>0</v>
      </c>
      <c r="J533" s="11">
        <f>COUNTIFS('TRADE CENTER'!I:I,$H$18,'TRADE CENTER'!A:A,"8/26")</f>
        <v>0</v>
      </c>
      <c r="K533" s="11">
        <f>COUNTIFS('TRADE CENTER'!I:I,$I$18,'TRADE CENTER'!A:A,"8/26")</f>
        <v>0</v>
      </c>
      <c r="L533" s="2"/>
      <c r="M533" s="2"/>
      <c r="N533" s="2"/>
      <c r="O533" s="2"/>
      <c r="P533" s="2"/>
      <c r="Q533" s="2"/>
      <c r="R533" s="2"/>
      <c r="S533" s="2"/>
      <c r="T533" s="2"/>
      <c r="U533" s="2"/>
      <c r="V533" s="2"/>
      <c r="W533" s="2"/>
      <c r="X533" s="2"/>
      <c r="Y533" s="2"/>
      <c r="Z533" s="2"/>
      <c r="AA533" s="2"/>
      <c r="AB533" s="2"/>
    </row>
    <row r="534">
      <c r="A534" s="7" t="s">
        <v>12</v>
      </c>
      <c r="B534" s="78">
        <v>2.5310774507E8</v>
      </c>
      <c r="C534" s="79">
        <v>378.0</v>
      </c>
      <c r="D534" s="8">
        <f>SUMIFS(PENSION!F:F,PENSION!A:A,"8/26/2024")</f>
        <v>5181013.58</v>
      </c>
      <c r="E534" s="11">
        <f>COUNTIFS(PENSION!A:A,"8/26")</f>
        <v>44</v>
      </c>
      <c r="F534" s="10">
        <f>SUMIFS(PENSION!G:G,PENSION!A:A,"8/26/2024")</f>
        <v>814175</v>
      </c>
      <c r="G534" s="11">
        <f t="shared" si="122"/>
        <v>0</v>
      </c>
      <c r="H534" s="12">
        <f t="shared" si="123"/>
        <v>0.1571458919</v>
      </c>
      <c r="I534" s="9">
        <f>COUNTIFS(PENSION!I:I,$G$18,PENSION!A:A,"8/26")</f>
        <v>0</v>
      </c>
      <c r="J534" s="11">
        <f>COUNTIFS(PENSION!I:I,$H$18,PENSION!A:A,"8/26")</f>
        <v>0</v>
      </c>
      <c r="K534" s="11">
        <f>COUNTIFS(PENSION!I:I,$I$18,PENSION!A:A,"8/26")</f>
        <v>0</v>
      </c>
      <c r="L534" s="2"/>
      <c r="M534" s="2"/>
      <c r="N534" s="2"/>
      <c r="O534" s="2"/>
      <c r="P534" s="2"/>
      <c r="Q534" s="2"/>
      <c r="R534" s="2"/>
      <c r="S534" s="2"/>
      <c r="T534" s="2"/>
      <c r="U534" s="2"/>
      <c r="V534" s="2"/>
      <c r="W534" s="2"/>
      <c r="X534" s="2"/>
      <c r="Y534" s="2"/>
      <c r="Z534" s="2"/>
      <c r="AA534" s="2"/>
      <c r="AB534" s="2"/>
    </row>
    <row r="535">
      <c r="A535" s="7" t="s">
        <v>13</v>
      </c>
      <c r="B535" s="78">
        <v>1.1130976822E8</v>
      </c>
      <c r="C535" s="79">
        <v>294.0</v>
      </c>
      <c r="D535" s="8">
        <f>SUMIFS(KITENGELA!F:F,KITENGELA!A:A,"8/26/2024")</f>
        <v>4512822.8</v>
      </c>
      <c r="E535" s="11">
        <f>COUNTIFS(KITENGELA!A:A,"8/26")</f>
        <v>17</v>
      </c>
      <c r="F535" s="10">
        <f>SUMIFS(KITENGELA!G:G,KITENGELA!A:A,"8/26")</f>
        <v>128500</v>
      </c>
      <c r="G535" s="11">
        <f t="shared" si="122"/>
        <v>0</v>
      </c>
      <c r="H535" s="12">
        <f t="shared" si="123"/>
        <v>0.02847441739</v>
      </c>
      <c r="I535" s="11">
        <f>COUNTIFS(KITENGELA!I:I,$G$18,KITENGELA!A:A,"8/26")</f>
        <v>0</v>
      </c>
      <c r="J535" s="11">
        <f>COUNTIFS(KITENGELA!I:I,$H$18,KITENGELA!A:A,"8/26")</f>
        <v>0</v>
      </c>
      <c r="K535" s="11">
        <f>COUNTIFS(KITENGELA!I:I,$I$18,KITENGELA!A:A,"8/26")</f>
        <v>0</v>
      </c>
      <c r="L535" s="2"/>
      <c r="M535" s="2"/>
      <c r="N535" s="2"/>
      <c r="O535" s="2"/>
      <c r="P535" s="2"/>
      <c r="Q535" s="2"/>
      <c r="R535" s="2"/>
      <c r="S535" s="2"/>
      <c r="T535" s="2"/>
      <c r="U535" s="2"/>
      <c r="V535" s="2"/>
      <c r="W535" s="2"/>
      <c r="X535" s="2"/>
      <c r="Y535" s="2"/>
      <c r="Z535" s="2"/>
      <c r="AA535" s="2"/>
      <c r="AB535" s="2"/>
    </row>
    <row r="536">
      <c r="A536" s="13" t="s">
        <v>14</v>
      </c>
      <c r="B536" s="78">
        <v>1.5997687913E8</v>
      </c>
      <c r="C536" s="79">
        <v>168.0</v>
      </c>
      <c r="D536" s="8">
        <f>SUMIFS(ELDORET!F:F,ELDORET!A:A,"8/26")</f>
        <v>2153876.41</v>
      </c>
      <c r="E536" s="11">
        <f>COUNTIFS(ELDORET!A:A,"8/26")</f>
        <v>28</v>
      </c>
      <c r="F536" s="10">
        <f>SUMIFS(ELDORET!G:G,ELDORET!A:A,"8/26")</f>
        <v>39924</v>
      </c>
      <c r="G536" s="11">
        <f t="shared" si="122"/>
        <v>0</v>
      </c>
      <c r="H536" s="12">
        <f t="shared" si="123"/>
        <v>0.01853588247</v>
      </c>
      <c r="I536" s="11">
        <f>COUNTIFS(ELDORET!I:I,$G$18,ELDORET!A:A,"8/26")</f>
        <v>0</v>
      </c>
      <c r="J536" s="11">
        <f>COUNTIFS(ELDORET!I:I,$H$18,ELDORET!A:A,"8/26")</f>
        <v>0</v>
      </c>
      <c r="K536" s="11">
        <f>COUNTIFS(ELDORET!I:I,$I$18,ELDORET!A:A,"8/26")</f>
        <v>0</v>
      </c>
      <c r="L536" s="2"/>
      <c r="M536" s="2"/>
      <c r="N536" s="2"/>
      <c r="O536" s="2"/>
      <c r="P536" s="2"/>
      <c r="Q536" s="2"/>
      <c r="R536" s="2"/>
      <c r="S536" s="2"/>
      <c r="T536" s="2"/>
      <c r="U536" s="2"/>
      <c r="V536" s="2"/>
      <c r="W536" s="2"/>
      <c r="X536" s="2"/>
      <c r="Y536" s="2"/>
      <c r="Z536" s="2"/>
      <c r="AA536" s="2"/>
      <c r="AB536" s="2"/>
    </row>
    <row r="537">
      <c r="A537" s="7" t="s">
        <v>15</v>
      </c>
      <c r="B537" s="78">
        <v>1.639239948E7</v>
      </c>
      <c r="C537" s="79">
        <v>19.0</v>
      </c>
      <c r="D537" s="8">
        <f>SUMIFS(NAKURU!F:F,NAKURU!A:A,"8/26")</f>
        <v>118400</v>
      </c>
      <c r="E537" s="11">
        <f>COUNTIFS(NAKURU!A:A,"8/26")</f>
        <v>5</v>
      </c>
      <c r="F537" s="10">
        <f>SUMIFS(NAKURU!G:G,NAKURU!A:A,"8/26")</f>
        <v>13800</v>
      </c>
      <c r="G537" s="11">
        <f t="shared" si="122"/>
        <v>0</v>
      </c>
      <c r="H537" s="12">
        <f t="shared" si="123"/>
        <v>0.1165540541</v>
      </c>
      <c r="I537" s="9">
        <f>COUNTIFS(NAKURU!I:I,$G$18,NAKURU!A:A,"8/26")</f>
        <v>0</v>
      </c>
      <c r="J537" s="11">
        <f>COUNTIFS(NAKURU!I:I,$H$18,NAKURU!A:A,"8/26")</f>
        <v>0</v>
      </c>
      <c r="K537" s="11">
        <f>COUNTIFS(NAKURU!I:I,$I$18,NAKURU!A:A,"8/26")</f>
        <v>0</v>
      </c>
      <c r="L537" s="2"/>
      <c r="M537" s="2"/>
      <c r="N537" s="2"/>
      <c r="O537" s="2"/>
      <c r="P537" s="2"/>
      <c r="Q537" s="2"/>
      <c r="R537" s="2"/>
      <c r="S537" s="2"/>
      <c r="T537" s="2"/>
      <c r="U537" s="2"/>
      <c r="V537" s="2"/>
      <c r="W537" s="2"/>
      <c r="X537" s="2"/>
      <c r="Y537" s="2"/>
      <c r="Z537" s="2"/>
      <c r="AA537" s="2"/>
      <c r="AB537" s="2"/>
    </row>
    <row r="538">
      <c r="A538" s="7" t="s">
        <v>16</v>
      </c>
      <c r="B538" s="78">
        <v>1.198031398E7</v>
      </c>
      <c r="C538" s="79">
        <v>16.0</v>
      </c>
      <c r="D538" s="8">
        <f>SUMIFS(HOMABAY!F:F,HOMABAY!A:A,"8/26")</f>
        <v>356048.8</v>
      </c>
      <c r="E538" s="11">
        <f>COUNTIFS(HOMABAY!A:A,"8/26")</f>
        <v>5</v>
      </c>
      <c r="F538" s="10">
        <f>SUMIFS(HOMABAY!G:G,HOMABAY!A:A,"8/26")</f>
        <v>31500</v>
      </c>
      <c r="G538" s="11">
        <f t="shared" si="122"/>
        <v>0</v>
      </c>
      <c r="H538" s="12">
        <f t="shared" si="123"/>
        <v>0.08847101858</v>
      </c>
      <c r="I538" s="9">
        <f>COUNTIFS(HOMABAY!K:K,$G$18,HOMABAY!A:A,"8/26")</f>
        <v>0</v>
      </c>
      <c r="J538" s="11">
        <f>COUNTIFS(HOMABAY!K:K,$H$18,HOMABAY!A:A,"8/26")</f>
        <v>0</v>
      </c>
      <c r="K538" s="11">
        <f>COUNTIFS(HOMABAY!K:K,$I$18,HOMABAY!A:A,"8/26")</f>
        <v>0</v>
      </c>
      <c r="L538" s="2"/>
      <c r="M538" s="2"/>
      <c r="N538" s="2"/>
      <c r="O538" s="2"/>
      <c r="P538" s="2"/>
      <c r="Q538" s="2"/>
      <c r="R538" s="2"/>
      <c r="S538" s="2"/>
      <c r="T538" s="2"/>
      <c r="U538" s="2"/>
      <c r="V538" s="2"/>
      <c r="W538" s="2"/>
      <c r="X538" s="2"/>
      <c r="Y538" s="2"/>
      <c r="Z538" s="2"/>
      <c r="AA538" s="2"/>
      <c r="AB538" s="2"/>
    </row>
    <row r="539">
      <c r="A539" s="7" t="s">
        <v>17</v>
      </c>
      <c r="B539" s="78">
        <v>1.982130446E8</v>
      </c>
      <c r="C539" s="79">
        <v>180.0</v>
      </c>
      <c r="D539" s="8">
        <f>SUMIFS(MOMBASA!F:F,MOMBASA!A:A,"8/26")</f>
        <v>1405256.72</v>
      </c>
      <c r="E539" s="11">
        <f>COUNTIFS(MOMBASA!A:A,"8/26")</f>
        <v>22</v>
      </c>
      <c r="F539" s="27">
        <f>SUMIFS(MOMBASA!G:G,MOMBASA!A:A,"8/26")</f>
        <v>232244</v>
      </c>
      <c r="G539" s="11">
        <f t="shared" si="122"/>
        <v>9</v>
      </c>
      <c r="H539" s="12">
        <f t="shared" si="123"/>
        <v>0.1652680231</v>
      </c>
      <c r="I539" s="9">
        <f>COUNTIFS(MOMBASA!I:I,$G$18,MOMBASA!A:A,"8/26")</f>
        <v>4</v>
      </c>
      <c r="J539" s="11">
        <f>COUNTIFS(MOMBASA!I:I,$H$18,MOMBASA!A:A,"8/26")</f>
        <v>5</v>
      </c>
      <c r="K539" s="11">
        <f>COUNTIFS(MOMBASA!I:I,$I$18,MOMBASA!A:A,"8/26")</f>
        <v>13</v>
      </c>
      <c r="L539" s="2"/>
      <c r="M539" s="2"/>
      <c r="N539" s="2"/>
      <c r="O539" s="2"/>
      <c r="P539" s="2"/>
      <c r="Q539" s="2"/>
      <c r="R539" s="2"/>
      <c r="S539" s="2"/>
      <c r="T539" s="2"/>
      <c r="U539" s="2"/>
      <c r="V539" s="2"/>
      <c r="W539" s="2"/>
      <c r="X539" s="2"/>
      <c r="Y539" s="2"/>
      <c r="Z539" s="2"/>
      <c r="AA539" s="2"/>
      <c r="AB539" s="2"/>
    </row>
    <row r="540">
      <c r="A540" s="7" t="s">
        <v>18</v>
      </c>
      <c r="B540" s="78">
        <v>8.476405245E7</v>
      </c>
      <c r="C540" s="79">
        <v>88.0</v>
      </c>
      <c r="D540" s="8">
        <f>SUMIFS(KISUMU!F:F,KISUMU!A:A,"8/26")</f>
        <v>1316401.68</v>
      </c>
      <c r="E540" s="11">
        <f>COUNTIFS(KISUMU!A:A,"8/26")</f>
        <v>25</v>
      </c>
      <c r="F540" s="10">
        <f>SUMIFS(KISUMU!G:G,KISUMU!A:A,"8/26")</f>
        <v>25000</v>
      </c>
      <c r="G540" s="11">
        <f t="shared" si="122"/>
        <v>0</v>
      </c>
      <c r="H540" s="12">
        <f t="shared" si="123"/>
        <v>0.01899116385</v>
      </c>
      <c r="I540" s="9">
        <f>COUNTIFS(KISUMU!I:I,$G$18,KISUMU!A:A,"8/26")</f>
        <v>0</v>
      </c>
      <c r="J540" s="11">
        <f>COUNTIFS(KISUMU!I:I,$H$18,KISUMU!A:A,"8/26")</f>
        <v>0</v>
      </c>
      <c r="K540" s="11">
        <f>COUNTIFS(KISUMU!I:I,$I$18,KISUMU!A:A,"8/26")</f>
        <v>0</v>
      </c>
      <c r="L540" s="2"/>
      <c r="M540" s="2"/>
      <c r="N540" s="2"/>
      <c r="O540" s="2"/>
      <c r="P540" s="2"/>
      <c r="Q540" s="2"/>
      <c r="R540" s="2"/>
      <c r="S540" s="2"/>
      <c r="T540" s="2"/>
      <c r="U540" s="2"/>
      <c r="V540" s="2"/>
      <c r="W540" s="2"/>
      <c r="X540" s="2"/>
      <c r="Y540" s="2"/>
      <c r="Z540" s="2"/>
      <c r="AA540" s="2"/>
      <c r="AB540" s="2"/>
    </row>
    <row r="541">
      <c r="A541" s="7" t="s">
        <v>19</v>
      </c>
      <c r="B541" s="78">
        <v>7505319.14</v>
      </c>
      <c r="C541" s="79">
        <v>21.0</v>
      </c>
      <c r="D541" s="8">
        <f>SUMIFS(VOI!F:F,VOI!A:A,"8/26")</f>
        <v>396473</v>
      </c>
      <c r="E541" s="11">
        <f>COUNTIFS(VOI!A:A,"8/26")</f>
        <v>11</v>
      </c>
      <c r="F541" s="10">
        <f>SUMIFS(VOI!G:G,VOI!A:A,"8/26")</f>
        <v>10000</v>
      </c>
      <c r="G541" s="11">
        <f t="shared" si="122"/>
        <v>0</v>
      </c>
      <c r="H541" s="12">
        <f t="shared" si="123"/>
        <v>0.0252223985</v>
      </c>
      <c r="I541" s="9">
        <f>COUNTIFS(VOI!H:H,$G$18,VOI!A:A,"8/26")</f>
        <v>0</v>
      </c>
      <c r="J541" s="11">
        <f>COUNTIFS(VOI!H:H,$H$18,VOI!A:A,"8/26")</f>
        <v>0</v>
      </c>
      <c r="K541" s="11">
        <f>COUNTIFS(VOI!H:H,$I$18,VOI!A:A,"8/26")</f>
        <v>11</v>
      </c>
      <c r="L541" s="2"/>
      <c r="M541" s="2"/>
      <c r="N541" s="2"/>
      <c r="O541" s="2"/>
      <c r="P541" s="2"/>
      <c r="Q541" s="2"/>
      <c r="R541" s="2"/>
      <c r="S541" s="2"/>
      <c r="T541" s="2"/>
      <c r="U541" s="2"/>
      <c r="V541" s="2"/>
      <c r="W541" s="2"/>
      <c r="X541" s="2"/>
      <c r="Y541" s="2"/>
      <c r="Z541" s="2"/>
      <c r="AA541" s="2"/>
      <c r="AB541" s="2"/>
    </row>
    <row r="542">
      <c r="A542" s="7" t="s">
        <v>20</v>
      </c>
      <c r="B542" s="78">
        <v>5.614812819E7</v>
      </c>
      <c r="C542" s="79">
        <v>92.0</v>
      </c>
      <c r="D542" s="8">
        <f>SUMIFS(THIKA!F:F,THIKA!A:A,"8/26")</f>
        <v>1426074.79</v>
      </c>
      <c r="E542" s="11">
        <f>COUNTIFS(THIKA!A:A,"8/26")</f>
        <v>14</v>
      </c>
      <c r="F542" s="10">
        <f>SUMIFS(THIKA!G:G,THIKA!A:A,"8/26")</f>
        <v>1179010</v>
      </c>
      <c r="G542" s="11">
        <f t="shared" si="122"/>
        <v>0</v>
      </c>
      <c r="H542" s="12">
        <f t="shared" si="123"/>
        <v>0.8267518704</v>
      </c>
      <c r="I542" s="9">
        <f>COUNTIFS(THIKA!I:I,$G$18,THIKA!A:A,"8/26")</f>
        <v>0</v>
      </c>
      <c r="J542" s="11">
        <f>COUNTIFS(THIKA!I:I,$H$18,THIKA!A:A,"8/26")</f>
        <v>0</v>
      </c>
      <c r="K542" s="11">
        <f>COUNTIFS(THIKA!I:I,$I$18,THIKA!A:A,"8/26")</f>
        <v>0</v>
      </c>
      <c r="L542" s="2"/>
      <c r="M542" s="2"/>
      <c r="N542" s="2"/>
      <c r="O542" s="2"/>
      <c r="P542" s="2"/>
      <c r="Q542" s="2"/>
      <c r="R542" s="2"/>
      <c r="S542" s="2"/>
      <c r="T542" s="2"/>
      <c r="U542" s="2"/>
      <c r="V542" s="2"/>
      <c r="W542" s="2"/>
      <c r="X542" s="2"/>
      <c r="Y542" s="2"/>
      <c r="Z542" s="2"/>
      <c r="AA542" s="2"/>
      <c r="AB542" s="2"/>
    </row>
    <row r="543">
      <c r="A543" s="43" t="s">
        <v>21</v>
      </c>
      <c r="B543" s="77">
        <v>1070436.72</v>
      </c>
      <c r="C543" s="54">
        <v>6.0</v>
      </c>
      <c r="D543" s="44">
        <f>SUMIFS(KITUI!F:F,KITUI!A:A,"8/26")</f>
        <v>79309</v>
      </c>
      <c r="E543" s="45">
        <f>COUNTIFS(KITUI!A:A,"8/26")</f>
        <v>1</v>
      </c>
      <c r="F543" s="46">
        <f>SUMIFS(KITUI!G:G,KITUI!A:A,"8/26")</f>
        <v>0</v>
      </c>
      <c r="G543" s="45">
        <f t="shared" si="122"/>
        <v>0</v>
      </c>
      <c r="H543" s="47">
        <f t="shared" si="123"/>
        <v>0</v>
      </c>
      <c r="I543" s="48">
        <f>COUNTIFS(KITUI!I:I,$G$18,KITUI!A:A,"8/26")</f>
        <v>0</v>
      </c>
      <c r="J543" s="45">
        <f>COUNTIFS(KITUI!I:I,$H$18,KITUI!A:A,"8/26")</f>
        <v>0</v>
      </c>
      <c r="K543" s="45">
        <f>COUNTIFS(KITUI!I:I,$I$18,KITUI!A:A,"8/26")</f>
        <v>0</v>
      </c>
      <c r="L543" s="2"/>
      <c r="M543" s="2"/>
      <c r="N543" s="2"/>
      <c r="O543" s="2"/>
      <c r="P543" s="2"/>
      <c r="Q543" s="2"/>
      <c r="R543" s="2"/>
      <c r="S543" s="2"/>
      <c r="T543" s="2"/>
      <c r="U543" s="2"/>
      <c r="V543" s="2"/>
      <c r="W543" s="2"/>
      <c r="X543" s="2"/>
      <c r="Y543" s="2"/>
      <c r="Z543" s="2"/>
      <c r="AA543" s="2"/>
      <c r="AB543" s="2"/>
    </row>
    <row r="544">
      <c r="A544" s="49" t="s">
        <v>22</v>
      </c>
      <c r="B544" s="77">
        <v>796033.59</v>
      </c>
      <c r="C544" s="54">
        <v>6.0</v>
      </c>
      <c r="D544" s="44">
        <f>SUMIFS(MACHAKOS!F:F,MACHAKOS!A:A,"8/26")</f>
        <v>805784.47</v>
      </c>
      <c r="E544" s="45">
        <f>COUNTIFS(MACHAKOS!A:A,"8/26")</f>
        <v>4</v>
      </c>
      <c r="F544" s="46">
        <f>SUMIFS(MACHAKOS!G:G,MACHAKOS!A:A,"8/26")</f>
        <v>122700</v>
      </c>
      <c r="G544" s="45">
        <f t="shared" si="122"/>
        <v>0</v>
      </c>
      <c r="H544" s="47">
        <f t="shared" si="123"/>
        <v>0.1522739697</v>
      </c>
      <c r="I544" s="48">
        <f>COUNTIFS(MACHAKOS!I:I,$G$18,MACHAKOS!A:A,"8/26")</f>
        <v>0</v>
      </c>
      <c r="J544" s="45">
        <f>COUNTIFS(MACHAKOS!I:I,$H$18,MACHAKOS!A:A,"8/26")</f>
        <v>0</v>
      </c>
      <c r="K544" s="45">
        <f>COUNTIFS(MACHAKOS!I:I,$I$18,MACHAKOS!A:A,"8/26")</f>
        <v>0</v>
      </c>
      <c r="L544" s="2"/>
      <c r="M544" s="2"/>
      <c r="N544" s="2"/>
      <c r="O544" s="2"/>
      <c r="P544" s="2"/>
      <c r="Q544" s="2"/>
      <c r="R544" s="2"/>
      <c r="S544" s="2"/>
      <c r="T544" s="2"/>
      <c r="U544" s="2"/>
      <c r="V544" s="2"/>
      <c r="W544" s="2"/>
      <c r="X544" s="2"/>
      <c r="Y544" s="2"/>
      <c r="Z544" s="2"/>
      <c r="AA544" s="2"/>
      <c r="AB544" s="2"/>
    </row>
    <row r="545">
      <c r="A545" s="66" t="s">
        <v>32</v>
      </c>
      <c r="B545" s="67"/>
      <c r="C545" s="68"/>
      <c r="D545" s="73">
        <v>4150000.0</v>
      </c>
      <c r="E545" s="70"/>
      <c r="F545" s="71"/>
      <c r="G545" s="72">
        <v>1.0</v>
      </c>
      <c r="H545" s="47">
        <f t="shared" si="123"/>
        <v>0</v>
      </c>
      <c r="I545" s="48">
        <f>COUNTIFS(MACHAKOS!I:I,$G$18,MACHAKOS!A:A,"8/26")</f>
        <v>0</v>
      </c>
      <c r="J545" s="45">
        <v>0.0</v>
      </c>
      <c r="K545" s="53">
        <v>2.0</v>
      </c>
      <c r="L545" s="2"/>
      <c r="M545" s="2"/>
      <c r="N545" s="2"/>
      <c r="O545" s="2"/>
      <c r="P545" s="2"/>
      <c r="Q545" s="2"/>
      <c r="R545" s="2"/>
      <c r="S545" s="2"/>
      <c r="T545" s="2"/>
      <c r="U545" s="2"/>
      <c r="V545" s="2"/>
      <c r="W545" s="2"/>
      <c r="X545" s="2"/>
      <c r="Y545" s="2"/>
      <c r="Z545" s="2"/>
      <c r="AA545" s="2"/>
      <c r="AB545" s="2"/>
    </row>
    <row r="546">
      <c r="A546" s="66" t="s">
        <v>31</v>
      </c>
      <c r="B546" s="77">
        <v>1.5221625787E8</v>
      </c>
      <c r="C546" s="54">
        <v>2257.0</v>
      </c>
      <c r="D546" s="73">
        <v>1000000.0</v>
      </c>
      <c r="E546" s="45"/>
      <c r="F546" s="71"/>
      <c r="G546" s="72"/>
      <c r="H546" s="74"/>
      <c r="I546" s="66"/>
      <c r="J546" s="75"/>
      <c r="K546" s="75"/>
      <c r="L546" s="2"/>
      <c r="M546" s="2"/>
      <c r="N546" s="2"/>
      <c r="O546" s="2"/>
      <c r="P546" s="2"/>
      <c r="Q546" s="2"/>
      <c r="R546" s="2"/>
      <c r="S546" s="2"/>
      <c r="T546" s="2"/>
      <c r="U546" s="2"/>
      <c r="V546" s="2"/>
      <c r="W546" s="2"/>
      <c r="X546" s="2"/>
      <c r="Y546" s="2"/>
      <c r="Z546" s="2"/>
      <c r="AA546" s="2"/>
      <c r="AB546" s="2"/>
    </row>
    <row r="547">
      <c r="A547" s="55" t="s">
        <v>23</v>
      </c>
      <c r="B547" s="59">
        <f t="shared" ref="B547:G547" si="124">SUM(B532:B546)</f>
        <v>2502955687</v>
      </c>
      <c r="C547" s="76">
        <f t="shared" si="124"/>
        <v>4168</v>
      </c>
      <c r="D547" s="59">
        <f t="shared" si="124"/>
        <v>42194710.64</v>
      </c>
      <c r="E547" s="60">
        <f t="shared" si="124"/>
        <v>236</v>
      </c>
      <c r="F547" s="59">
        <f t="shared" si="124"/>
        <v>5599056.16</v>
      </c>
      <c r="G547" s="60">
        <f t="shared" si="124"/>
        <v>10</v>
      </c>
      <c r="H547" s="61">
        <f>F547/D547</f>
        <v>0.132695688</v>
      </c>
      <c r="I547" s="62">
        <f t="shared" ref="I547:K547" si="125">SUM(I532:I546)</f>
        <v>4</v>
      </c>
      <c r="J547" s="62">
        <f t="shared" si="125"/>
        <v>5</v>
      </c>
      <c r="K547" s="62">
        <f t="shared" si="125"/>
        <v>26</v>
      </c>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71"/>
    <col customWidth="1" min="2" max="2" width="29.0"/>
    <col customWidth="1" min="7" max="7" width="24.43"/>
    <col customWidth="1" min="10" max="10" width="18.14"/>
  </cols>
  <sheetData>
    <row r="3">
      <c r="A3" s="91" t="s">
        <v>38</v>
      </c>
      <c r="B3" s="92" t="s">
        <v>39</v>
      </c>
      <c r="C3" s="93" t="s">
        <v>40</v>
      </c>
      <c r="D3" s="93" t="s">
        <v>1</v>
      </c>
      <c r="E3" s="93" t="s">
        <v>41</v>
      </c>
      <c r="F3" s="93" t="s">
        <v>42</v>
      </c>
      <c r="G3" s="93" t="s">
        <v>43</v>
      </c>
      <c r="H3" s="93" t="s">
        <v>44</v>
      </c>
      <c r="I3" s="93" t="s">
        <v>45</v>
      </c>
      <c r="J3" s="93" t="s">
        <v>46</v>
      </c>
      <c r="K3" s="94"/>
      <c r="L3" s="94"/>
      <c r="M3" s="94"/>
      <c r="N3" s="94"/>
      <c r="O3" s="94"/>
      <c r="P3" s="94"/>
    </row>
    <row r="4">
      <c r="A4" s="95">
        <v>45527.0</v>
      </c>
      <c r="B4" s="96"/>
      <c r="C4" s="96"/>
      <c r="D4" s="96"/>
      <c r="E4" s="96"/>
      <c r="F4" s="96"/>
      <c r="G4" s="96"/>
      <c r="H4" s="96"/>
      <c r="I4" s="96"/>
      <c r="J4" s="96"/>
      <c r="K4" s="96"/>
      <c r="L4" s="96"/>
      <c r="M4" s="96"/>
      <c r="N4" s="96"/>
      <c r="O4" s="96"/>
      <c r="P4" s="96"/>
    </row>
    <row r="5">
      <c r="A5" s="95">
        <v>45527.0</v>
      </c>
      <c r="B5" s="97"/>
      <c r="C5" s="97"/>
      <c r="D5" s="97"/>
      <c r="E5" s="97"/>
      <c r="F5" s="97"/>
      <c r="G5" s="97"/>
      <c r="H5" s="94"/>
      <c r="I5" s="94"/>
      <c r="J5" s="97"/>
      <c r="K5" s="97"/>
      <c r="L5" s="96"/>
      <c r="M5" s="97"/>
      <c r="N5" s="98"/>
      <c r="O5" s="97"/>
      <c r="P5" s="99"/>
    </row>
    <row r="6">
      <c r="A6" s="95">
        <v>45527.0</v>
      </c>
      <c r="B6" s="97"/>
      <c r="C6" s="97"/>
      <c r="D6" s="97"/>
      <c r="E6" s="97"/>
      <c r="F6" s="97"/>
      <c r="G6" s="97"/>
      <c r="H6" s="94"/>
      <c r="I6" s="94"/>
      <c r="J6" s="97"/>
      <c r="K6" s="97"/>
      <c r="L6" s="96"/>
      <c r="M6" s="97"/>
      <c r="N6" s="98"/>
      <c r="O6" s="97"/>
      <c r="P6" s="99"/>
    </row>
    <row r="7">
      <c r="A7" s="95">
        <v>45527.0</v>
      </c>
      <c r="B7" s="97"/>
      <c r="C7" s="97"/>
      <c r="D7" s="97"/>
      <c r="E7" s="97"/>
      <c r="F7" s="97"/>
      <c r="G7" s="97"/>
      <c r="H7" s="94"/>
      <c r="I7" s="94"/>
      <c r="J7" s="97"/>
      <c r="K7" s="97"/>
      <c r="L7" s="96"/>
      <c r="M7" s="97"/>
      <c r="N7" s="98"/>
      <c r="O7" s="97"/>
      <c r="P7" s="99"/>
    </row>
    <row r="8">
      <c r="A8" s="95">
        <v>45527.0</v>
      </c>
      <c r="B8" s="97"/>
      <c r="C8" s="97"/>
      <c r="D8" s="97"/>
      <c r="E8" s="97"/>
      <c r="F8" s="97"/>
      <c r="G8" s="97"/>
      <c r="H8" s="94"/>
      <c r="I8" s="94"/>
      <c r="J8" s="97"/>
      <c r="K8" s="97"/>
      <c r="L8" s="96"/>
      <c r="M8" s="97"/>
      <c r="N8" s="98"/>
      <c r="O8" s="97"/>
      <c r="P8" s="99"/>
    </row>
    <row r="9">
      <c r="A9" s="95">
        <v>45527.0</v>
      </c>
      <c r="B9" s="97"/>
      <c r="C9" s="97"/>
      <c r="D9" s="97"/>
      <c r="E9" s="97"/>
      <c r="F9" s="97"/>
      <c r="G9" s="97"/>
      <c r="H9" s="94"/>
      <c r="I9" s="94"/>
      <c r="J9" s="97"/>
      <c r="K9" s="97"/>
      <c r="L9" s="96"/>
      <c r="M9" s="97"/>
      <c r="N9" s="98"/>
      <c r="O9" s="97"/>
      <c r="P9" s="99"/>
    </row>
    <row r="10">
      <c r="A10" s="95">
        <v>45527.0</v>
      </c>
      <c r="B10" s="97"/>
      <c r="C10" s="97"/>
      <c r="D10" s="97"/>
      <c r="E10" s="97"/>
      <c r="F10" s="97"/>
      <c r="G10" s="97"/>
      <c r="H10" s="94"/>
      <c r="I10" s="94"/>
      <c r="J10" s="97"/>
      <c r="K10" s="97"/>
      <c r="L10" s="96"/>
      <c r="M10" s="97"/>
      <c r="N10" s="98"/>
      <c r="O10" s="97"/>
      <c r="P10" s="99"/>
    </row>
    <row r="11">
      <c r="A11" s="95">
        <v>45527.0</v>
      </c>
      <c r="B11" s="97"/>
      <c r="C11" s="97"/>
      <c r="D11" s="97"/>
      <c r="E11" s="97"/>
      <c r="F11" s="97"/>
      <c r="G11" s="97"/>
      <c r="H11" s="94"/>
      <c r="I11" s="94"/>
      <c r="J11" s="97"/>
      <c r="K11" s="97"/>
      <c r="L11" s="96"/>
      <c r="M11" s="97"/>
      <c r="N11" s="98"/>
      <c r="O11" s="97"/>
      <c r="P11" s="99"/>
    </row>
    <row r="12">
      <c r="A12" s="95">
        <v>45527.0</v>
      </c>
      <c r="B12" s="97"/>
      <c r="C12" s="97"/>
      <c r="D12" s="97"/>
      <c r="E12" s="97"/>
      <c r="F12" s="97"/>
      <c r="G12" s="97"/>
      <c r="H12" s="94"/>
      <c r="I12" s="94"/>
      <c r="J12" s="97"/>
      <c r="K12" s="97"/>
      <c r="L12" s="96"/>
      <c r="M12" s="97"/>
      <c r="N12" s="98"/>
      <c r="O12" s="97"/>
      <c r="P12" s="99"/>
    </row>
    <row r="13">
      <c r="A13" s="95">
        <v>45527.0</v>
      </c>
      <c r="B13" s="97"/>
      <c r="C13" s="97"/>
      <c r="D13" s="97"/>
      <c r="E13" s="97"/>
      <c r="F13" s="97"/>
      <c r="G13" s="97"/>
      <c r="H13" s="94"/>
      <c r="I13" s="94"/>
      <c r="J13" s="97"/>
      <c r="K13" s="97"/>
      <c r="L13" s="96"/>
      <c r="M13" s="97"/>
      <c r="N13" s="98"/>
      <c r="O13" s="97"/>
      <c r="P13" s="99"/>
    </row>
    <row r="14">
      <c r="A14" s="95">
        <v>45527.0</v>
      </c>
      <c r="B14" s="97"/>
      <c r="C14" s="97"/>
      <c r="D14" s="97"/>
      <c r="E14" s="97"/>
      <c r="F14" s="97"/>
      <c r="G14" s="97"/>
      <c r="H14" s="94"/>
      <c r="I14" s="94"/>
      <c r="J14" s="97"/>
      <c r="K14" s="97"/>
      <c r="L14" s="96"/>
      <c r="M14" s="97"/>
      <c r="N14" s="98"/>
      <c r="O14" s="97"/>
      <c r="P14" s="99"/>
    </row>
    <row r="15">
      <c r="A15" s="95">
        <v>45527.0</v>
      </c>
      <c r="B15" s="97"/>
      <c r="C15" s="97"/>
      <c r="D15" s="97"/>
      <c r="E15" s="97"/>
      <c r="F15" s="97"/>
      <c r="G15" s="97"/>
      <c r="H15" s="94"/>
      <c r="I15" s="94"/>
      <c r="J15" s="97"/>
      <c r="K15" s="97"/>
      <c r="L15" s="96"/>
      <c r="M15" s="97"/>
      <c r="N15" s="98"/>
      <c r="O15" s="97"/>
      <c r="P15" s="99"/>
    </row>
    <row r="16">
      <c r="A16" s="95">
        <v>45527.0</v>
      </c>
      <c r="B16" s="97"/>
      <c r="C16" s="97"/>
      <c r="D16" s="97"/>
      <c r="E16" s="97"/>
      <c r="F16" s="97"/>
      <c r="G16" s="97"/>
      <c r="H16" s="94"/>
      <c r="I16" s="94"/>
      <c r="J16" s="97"/>
      <c r="K16" s="97"/>
      <c r="L16" s="96"/>
      <c r="M16" s="97"/>
      <c r="N16" s="98"/>
      <c r="O16" s="97"/>
      <c r="P16" s="99"/>
    </row>
    <row r="17">
      <c r="A17" s="95">
        <v>45527.0</v>
      </c>
      <c r="B17" s="97"/>
      <c r="C17" s="97"/>
      <c r="D17" s="97"/>
      <c r="E17" s="97"/>
      <c r="F17" s="97"/>
      <c r="G17" s="97"/>
      <c r="H17" s="94"/>
      <c r="I17" s="94"/>
      <c r="J17" s="97"/>
      <c r="K17" s="97"/>
      <c r="L17" s="96"/>
      <c r="M17" s="97"/>
      <c r="N17" s="98"/>
      <c r="O17" s="97"/>
      <c r="P17" s="99"/>
    </row>
    <row r="18">
      <c r="A18" s="95">
        <v>45527.0</v>
      </c>
      <c r="B18" s="97"/>
      <c r="C18" s="97"/>
      <c r="D18" s="97"/>
      <c r="E18" s="97"/>
      <c r="F18" s="97"/>
      <c r="G18" s="97"/>
      <c r="H18" s="94"/>
      <c r="I18" s="94"/>
      <c r="J18" s="97"/>
      <c r="K18" s="97"/>
      <c r="L18" s="96"/>
      <c r="M18" s="97"/>
      <c r="N18" s="98"/>
      <c r="O18" s="97"/>
      <c r="P18" s="99"/>
    </row>
    <row r="19">
      <c r="A19" s="95">
        <v>45527.0</v>
      </c>
      <c r="B19" s="97"/>
      <c r="C19" s="97"/>
      <c r="D19" s="97"/>
      <c r="E19" s="97"/>
      <c r="F19" s="97"/>
      <c r="G19" s="97"/>
      <c r="H19" s="94"/>
      <c r="I19" s="94"/>
      <c r="J19" s="97"/>
      <c r="K19" s="97"/>
      <c r="L19" s="96"/>
      <c r="M19" s="97"/>
      <c r="N19" s="98"/>
      <c r="O19" s="97"/>
      <c r="P19" s="99"/>
    </row>
    <row r="20">
      <c r="A20" s="95">
        <v>45527.0</v>
      </c>
      <c r="B20" s="97"/>
      <c r="C20" s="97"/>
      <c r="D20" s="97"/>
      <c r="E20" s="97"/>
      <c r="F20" s="97"/>
      <c r="G20" s="97"/>
      <c r="H20" s="94"/>
      <c r="I20" s="94"/>
      <c r="J20" s="97"/>
      <c r="K20" s="97"/>
      <c r="L20" s="96"/>
      <c r="M20" s="97"/>
      <c r="N20" s="98"/>
      <c r="O20" s="97"/>
      <c r="P20" s="99"/>
    </row>
    <row r="21">
      <c r="A21" s="95">
        <v>45527.0</v>
      </c>
      <c r="B21" s="97"/>
      <c r="C21" s="97"/>
      <c r="D21" s="97"/>
      <c r="E21" s="97"/>
      <c r="F21" s="97"/>
      <c r="G21" s="97"/>
      <c r="H21" s="94"/>
      <c r="I21" s="94"/>
      <c r="J21" s="97"/>
      <c r="K21" s="97"/>
      <c r="L21" s="96"/>
      <c r="M21" s="97"/>
      <c r="N21" s="98"/>
      <c r="O21" s="97"/>
      <c r="P21" s="99"/>
    </row>
    <row r="22">
      <c r="A22" s="95">
        <v>45527.0</v>
      </c>
      <c r="B22" s="97"/>
      <c r="C22" s="97"/>
      <c r="D22" s="97"/>
      <c r="E22" s="97"/>
      <c r="F22" s="97"/>
      <c r="G22" s="97"/>
      <c r="H22" s="94"/>
      <c r="I22" s="94"/>
      <c r="J22" s="97"/>
      <c r="K22" s="97"/>
      <c r="L22" s="96"/>
      <c r="M22" s="97"/>
      <c r="N22" s="98"/>
      <c r="O22" s="97"/>
      <c r="P22" s="99"/>
    </row>
    <row r="23">
      <c r="A23" s="95">
        <v>45527.0</v>
      </c>
      <c r="B23" s="97"/>
      <c r="C23" s="97"/>
      <c r="D23" s="97"/>
      <c r="E23" s="97"/>
      <c r="F23" s="97"/>
      <c r="G23" s="97"/>
      <c r="H23" s="94"/>
      <c r="I23" s="94"/>
      <c r="J23" s="97"/>
      <c r="K23" s="97"/>
      <c r="L23" s="96"/>
      <c r="M23" s="97"/>
      <c r="N23" s="98"/>
      <c r="O23" s="97"/>
      <c r="P23" s="99"/>
    </row>
    <row r="24">
      <c r="A24" s="95">
        <v>45527.0</v>
      </c>
      <c r="B24" s="97"/>
      <c r="C24" s="97"/>
      <c r="D24" s="97"/>
      <c r="E24" s="97"/>
      <c r="F24" s="97"/>
      <c r="G24" s="97"/>
      <c r="H24" s="94"/>
      <c r="I24" s="94"/>
      <c r="J24" s="97"/>
      <c r="K24" s="97"/>
      <c r="L24" s="96"/>
      <c r="M24" s="97"/>
      <c r="N24" s="98"/>
      <c r="O24" s="97"/>
      <c r="P24" s="99"/>
    </row>
    <row r="25">
      <c r="A25" s="95">
        <v>45527.0</v>
      </c>
      <c r="B25" s="97"/>
      <c r="C25" s="97"/>
      <c r="D25" s="97"/>
      <c r="E25" s="97"/>
      <c r="F25" s="97"/>
      <c r="G25" s="97"/>
      <c r="H25" s="94"/>
      <c r="I25" s="94"/>
      <c r="J25" s="97"/>
      <c r="K25" s="97"/>
      <c r="L25" s="97"/>
      <c r="M25" s="97"/>
      <c r="N25" s="98"/>
      <c r="O25" s="97"/>
      <c r="P25" s="99"/>
    </row>
    <row r="26">
      <c r="A26" s="95">
        <v>45527.0</v>
      </c>
      <c r="B26" s="97"/>
      <c r="C26" s="97"/>
      <c r="D26" s="97"/>
      <c r="E26" s="97"/>
      <c r="F26" s="97"/>
      <c r="G26" s="97"/>
      <c r="H26" s="94"/>
      <c r="I26" s="94"/>
      <c r="J26" s="97"/>
      <c r="K26" s="97"/>
      <c r="L26" s="96"/>
      <c r="M26" s="97"/>
      <c r="N26" s="98"/>
      <c r="O26" s="97"/>
      <c r="P26" s="99"/>
    </row>
    <row r="27">
      <c r="A27" s="95">
        <v>45527.0</v>
      </c>
      <c r="B27" s="97"/>
      <c r="C27" s="97"/>
      <c r="D27" s="97"/>
      <c r="E27" s="97"/>
      <c r="F27" s="97"/>
      <c r="G27" s="97"/>
      <c r="H27" s="94"/>
      <c r="I27" s="94"/>
      <c r="J27" s="97"/>
      <c r="K27" s="97"/>
      <c r="L27" s="96"/>
      <c r="M27" s="97"/>
      <c r="N27" s="98"/>
      <c r="O27" s="97"/>
      <c r="P27" s="99"/>
    </row>
    <row r="28">
      <c r="A28" s="95">
        <v>45527.0</v>
      </c>
      <c r="B28" s="97"/>
      <c r="C28" s="97"/>
      <c r="D28" s="97"/>
      <c r="E28" s="97"/>
      <c r="F28" s="97"/>
      <c r="G28" s="97"/>
      <c r="H28" s="94"/>
      <c r="I28" s="94"/>
      <c r="J28" s="97"/>
      <c r="K28" s="97"/>
      <c r="L28" s="96"/>
      <c r="M28" s="97"/>
      <c r="N28" s="97"/>
      <c r="O28" s="97"/>
      <c r="P28" s="99"/>
    </row>
    <row r="29">
      <c r="A29" s="95">
        <v>45527.0</v>
      </c>
      <c r="B29" s="97"/>
      <c r="C29" s="97"/>
      <c r="D29" s="97"/>
      <c r="E29" s="97"/>
      <c r="F29" s="97"/>
      <c r="G29" s="97"/>
      <c r="H29" s="94"/>
      <c r="I29" s="94"/>
      <c r="J29" s="97"/>
      <c r="K29" s="97"/>
      <c r="L29" s="96"/>
      <c r="M29" s="97"/>
      <c r="N29" s="97"/>
      <c r="O29" s="97"/>
      <c r="P29" s="99"/>
    </row>
    <row r="30">
      <c r="A30" s="95">
        <v>45527.0</v>
      </c>
      <c r="B30" s="97"/>
      <c r="C30" s="97"/>
      <c r="D30" s="97"/>
      <c r="E30" s="97"/>
      <c r="F30" s="97"/>
      <c r="G30" s="97"/>
      <c r="H30" s="94"/>
      <c r="I30" s="94"/>
      <c r="J30" s="97"/>
      <c r="K30" s="97"/>
      <c r="L30" s="96"/>
      <c r="M30" s="97"/>
      <c r="N30" s="98"/>
      <c r="O30" s="97"/>
      <c r="P30" s="99"/>
    </row>
    <row r="31">
      <c r="A31" s="95">
        <v>45527.0</v>
      </c>
      <c r="B31" s="97"/>
      <c r="C31" s="97"/>
      <c r="D31" s="97"/>
      <c r="E31" s="97"/>
      <c r="F31" s="97"/>
      <c r="G31" s="97"/>
      <c r="H31" s="94"/>
      <c r="I31" s="94"/>
      <c r="J31" s="97"/>
      <c r="K31" s="97"/>
      <c r="L31" s="97"/>
      <c r="M31" s="97"/>
      <c r="N31" s="98"/>
      <c r="O31" s="97"/>
      <c r="P31" s="99"/>
    </row>
    <row r="32">
      <c r="A32" s="95">
        <v>45527.0</v>
      </c>
      <c r="B32" s="97"/>
      <c r="C32" s="97"/>
      <c r="D32" s="97"/>
      <c r="E32" s="97"/>
      <c r="F32" s="97"/>
      <c r="G32" s="97"/>
      <c r="H32" s="94"/>
      <c r="I32" s="94"/>
      <c r="J32" s="97"/>
      <c r="K32" s="97"/>
      <c r="L32" s="96"/>
      <c r="M32" s="97"/>
      <c r="N32" s="98"/>
      <c r="O32" s="97"/>
      <c r="P32" s="99"/>
    </row>
    <row r="33">
      <c r="A33" s="95">
        <v>45527.0</v>
      </c>
      <c r="B33" s="97"/>
      <c r="C33" s="97"/>
      <c r="D33" s="97"/>
      <c r="E33" s="97"/>
      <c r="F33" s="97"/>
      <c r="G33" s="97"/>
      <c r="H33" s="94"/>
      <c r="I33" s="94"/>
      <c r="J33" s="97"/>
      <c r="K33" s="97"/>
      <c r="L33" s="96"/>
      <c r="M33" s="97"/>
      <c r="N33" s="98"/>
      <c r="O33" s="97"/>
      <c r="P33" s="99"/>
    </row>
    <row r="34">
      <c r="A34" s="95">
        <v>45527.0</v>
      </c>
      <c r="B34" s="97"/>
      <c r="C34" s="97"/>
      <c r="D34" s="97"/>
      <c r="E34" s="97"/>
      <c r="F34" s="97"/>
      <c r="G34" s="97"/>
      <c r="H34" s="94"/>
      <c r="I34" s="94"/>
      <c r="J34" s="97"/>
      <c r="K34" s="97"/>
      <c r="L34" s="96"/>
      <c r="M34" s="97"/>
      <c r="N34" s="98"/>
      <c r="O34" s="97"/>
      <c r="P34" s="99"/>
    </row>
    <row r="35">
      <c r="A35" s="95">
        <v>45527.0</v>
      </c>
      <c r="B35" s="97"/>
      <c r="C35" s="97"/>
      <c r="D35" s="97"/>
      <c r="E35" s="97"/>
      <c r="F35" s="97"/>
      <c r="G35" s="97"/>
      <c r="H35" s="94"/>
      <c r="I35" s="94"/>
      <c r="J35" s="97"/>
      <c r="K35" s="97"/>
      <c r="L35" s="96"/>
      <c r="M35" s="97"/>
      <c r="N35" s="98"/>
      <c r="O35" s="97"/>
      <c r="P35" s="99"/>
    </row>
    <row r="36">
      <c r="A36" s="95">
        <v>45527.0</v>
      </c>
      <c r="B36" s="97"/>
      <c r="C36" s="97"/>
      <c r="D36" s="97"/>
      <c r="E36" s="97"/>
      <c r="F36" s="97"/>
      <c r="G36" s="97"/>
      <c r="H36" s="94"/>
      <c r="I36" s="94"/>
      <c r="J36" s="97"/>
      <c r="K36" s="97"/>
      <c r="L36" s="96"/>
      <c r="M36" s="97"/>
      <c r="N36" s="98"/>
      <c r="O36" s="97"/>
      <c r="P36" s="99"/>
    </row>
    <row r="37">
      <c r="A37" s="95">
        <v>45527.0</v>
      </c>
      <c r="B37" s="97"/>
      <c r="C37" s="97"/>
      <c r="D37" s="97"/>
      <c r="E37" s="97"/>
      <c r="F37" s="97"/>
      <c r="G37" s="97"/>
      <c r="H37" s="94"/>
      <c r="I37" s="94"/>
      <c r="J37" s="97"/>
      <c r="K37" s="97"/>
      <c r="L37" s="96"/>
      <c r="M37" s="97"/>
      <c r="N37" s="97"/>
      <c r="O37" s="97"/>
      <c r="P37" s="99"/>
    </row>
    <row r="38">
      <c r="A38" s="95">
        <v>45527.0</v>
      </c>
      <c r="B38" s="97"/>
      <c r="C38" s="97"/>
      <c r="D38" s="97"/>
      <c r="E38" s="97"/>
      <c r="F38" s="97"/>
      <c r="G38" s="97"/>
      <c r="H38" s="94"/>
      <c r="I38" s="94"/>
      <c r="J38" s="97"/>
      <c r="K38" s="97"/>
      <c r="L38" s="96"/>
      <c r="M38" s="97"/>
      <c r="N38" s="98"/>
      <c r="O38" s="97"/>
      <c r="P38" s="99"/>
    </row>
    <row r="39">
      <c r="A39" s="95">
        <v>45527.0</v>
      </c>
      <c r="B39" s="97"/>
      <c r="C39" s="97"/>
      <c r="D39" s="97"/>
      <c r="E39" s="97"/>
      <c r="F39" s="97"/>
      <c r="G39" s="97"/>
      <c r="H39" s="94"/>
      <c r="I39" s="94"/>
      <c r="J39" s="97"/>
      <c r="K39" s="97"/>
      <c r="L39" s="97"/>
      <c r="M39" s="97"/>
      <c r="N39" s="98"/>
      <c r="O39" s="97"/>
      <c r="P39" s="99"/>
    </row>
    <row r="40">
      <c r="A40" s="95">
        <v>45527.0</v>
      </c>
      <c r="B40" s="97"/>
      <c r="C40" s="97"/>
      <c r="D40" s="97"/>
      <c r="E40" s="97"/>
      <c r="F40" s="97"/>
      <c r="G40" s="97"/>
      <c r="H40" s="94"/>
      <c r="I40" s="94"/>
      <c r="J40" s="97"/>
      <c r="K40" s="97"/>
      <c r="L40" s="96"/>
      <c r="M40" s="97"/>
      <c r="N40" s="98"/>
      <c r="O40" s="97"/>
      <c r="P40" s="99"/>
    </row>
    <row r="41">
      <c r="A41" s="95">
        <v>45527.0</v>
      </c>
      <c r="B41" s="97"/>
      <c r="C41" s="97"/>
      <c r="D41" s="97"/>
      <c r="E41" s="97"/>
      <c r="F41" s="97"/>
      <c r="G41" s="97"/>
      <c r="H41" s="94"/>
      <c r="I41" s="94"/>
      <c r="J41" s="97"/>
      <c r="K41" s="97"/>
      <c r="L41" s="96"/>
      <c r="M41" s="97"/>
      <c r="N41" s="98"/>
      <c r="O41" s="97"/>
      <c r="P41" s="99"/>
    </row>
    <row r="42">
      <c r="A42" s="95">
        <v>45527.0</v>
      </c>
      <c r="B42" s="97"/>
      <c r="C42" s="97"/>
      <c r="D42" s="97"/>
      <c r="E42" s="97"/>
      <c r="F42" s="97"/>
      <c r="G42" s="97"/>
      <c r="H42" s="94"/>
      <c r="I42" s="94"/>
      <c r="J42" s="97"/>
      <c r="K42" s="97"/>
      <c r="L42" s="96"/>
      <c r="M42" s="97"/>
      <c r="N42" s="98"/>
      <c r="O42" s="97"/>
      <c r="P42" s="99"/>
    </row>
    <row r="43">
      <c r="A43" s="95">
        <v>45527.0</v>
      </c>
      <c r="B43" s="97"/>
      <c r="C43" s="97"/>
      <c r="D43" s="97"/>
      <c r="E43" s="97"/>
      <c r="F43" s="97"/>
      <c r="G43" s="97"/>
      <c r="H43" s="94"/>
      <c r="I43" s="94"/>
      <c r="J43" s="97"/>
      <c r="K43" s="97"/>
      <c r="L43" s="96"/>
      <c r="M43" s="97"/>
      <c r="N43" s="98"/>
      <c r="O43" s="97"/>
      <c r="P43" s="99"/>
    </row>
    <row r="44">
      <c r="A44" s="95">
        <v>45527.0</v>
      </c>
      <c r="B44" s="97"/>
      <c r="C44" s="97"/>
      <c r="D44" s="97"/>
      <c r="E44" s="97"/>
      <c r="F44" s="97"/>
      <c r="G44" s="97"/>
      <c r="H44" s="94"/>
      <c r="I44" s="94"/>
      <c r="J44" s="97"/>
      <c r="K44" s="97"/>
      <c r="L44" s="96"/>
      <c r="M44" s="97"/>
      <c r="N44" s="98"/>
      <c r="O44" s="97"/>
      <c r="P44" s="99"/>
    </row>
    <row r="45">
      <c r="A45" s="95">
        <v>45527.0</v>
      </c>
      <c r="B45" s="97"/>
      <c r="C45" s="97"/>
      <c r="D45" s="97"/>
      <c r="E45" s="97"/>
      <c r="F45" s="97"/>
      <c r="G45" s="97"/>
      <c r="H45" s="94"/>
      <c r="I45" s="94"/>
      <c r="J45" s="97"/>
      <c r="K45" s="97"/>
      <c r="L45" s="96"/>
      <c r="M45" s="97"/>
      <c r="N45" s="98"/>
      <c r="O45" s="97"/>
      <c r="P45" s="99"/>
    </row>
    <row r="46">
      <c r="A46" s="95">
        <v>45527.0</v>
      </c>
      <c r="B46" s="97"/>
      <c r="C46" s="97"/>
      <c r="D46" s="97"/>
      <c r="E46" s="97"/>
      <c r="F46" s="97"/>
      <c r="G46" s="97"/>
      <c r="H46" s="94"/>
      <c r="I46" s="94"/>
      <c r="J46" s="97"/>
      <c r="K46" s="97"/>
      <c r="L46" s="96"/>
      <c r="M46" s="97"/>
      <c r="N46" s="98"/>
      <c r="O46" s="97"/>
      <c r="P46" s="99"/>
    </row>
    <row r="47">
      <c r="A47" s="95">
        <v>45527.0</v>
      </c>
      <c r="B47" s="97"/>
      <c r="C47" s="97"/>
      <c r="D47" s="97"/>
      <c r="E47" s="97"/>
      <c r="F47" s="97"/>
      <c r="G47" s="97"/>
      <c r="H47" s="94"/>
      <c r="I47" s="94"/>
      <c r="J47" s="97"/>
      <c r="K47" s="97"/>
      <c r="L47" s="96"/>
      <c r="M47" s="97"/>
      <c r="N47" s="97"/>
      <c r="O47" s="97"/>
      <c r="P47" s="99"/>
    </row>
    <row r="48">
      <c r="A48" s="95">
        <v>45527.0</v>
      </c>
      <c r="B48" s="97"/>
      <c r="C48" s="97"/>
      <c r="D48" s="97"/>
      <c r="E48" s="97"/>
      <c r="F48" s="97"/>
      <c r="G48" s="97"/>
      <c r="H48" s="94"/>
      <c r="I48" s="94"/>
      <c r="J48" s="97"/>
      <c r="K48" s="97"/>
      <c r="L48" s="96"/>
      <c r="M48" s="97"/>
      <c r="N48" s="98"/>
      <c r="O48" s="97"/>
      <c r="P48" s="99"/>
    </row>
    <row r="49">
      <c r="A49" s="95">
        <v>45527.0</v>
      </c>
      <c r="B49" s="97"/>
      <c r="C49" s="97"/>
      <c r="D49" s="97"/>
      <c r="E49" s="97"/>
      <c r="F49" s="97"/>
      <c r="G49" s="97"/>
      <c r="H49" s="94"/>
      <c r="I49" s="94"/>
      <c r="J49" s="97"/>
      <c r="K49" s="97"/>
      <c r="L49" s="96"/>
      <c r="M49" s="97"/>
      <c r="N49" s="98"/>
      <c r="O49" s="97"/>
      <c r="P49" s="99"/>
    </row>
    <row r="50">
      <c r="A50" s="95">
        <v>45527.0</v>
      </c>
      <c r="B50" s="97"/>
      <c r="C50" s="97"/>
      <c r="D50" s="97"/>
      <c r="E50" s="97"/>
      <c r="F50" s="97"/>
      <c r="G50" s="97"/>
      <c r="H50" s="94"/>
      <c r="I50" s="94"/>
      <c r="J50" s="97"/>
      <c r="K50" s="97"/>
      <c r="L50" s="96"/>
      <c r="M50" s="97"/>
      <c r="N50" s="98"/>
      <c r="O50" s="97"/>
      <c r="P50" s="99"/>
    </row>
    <row r="51">
      <c r="A51" s="95">
        <v>45527.0</v>
      </c>
      <c r="B51" s="97"/>
      <c r="C51" s="97"/>
      <c r="D51" s="97"/>
      <c r="E51" s="97"/>
      <c r="F51" s="97"/>
      <c r="G51" s="97"/>
      <c r="H51" s="94"/>
      <c r="I51" s="94"/>
      <c r="J51" s="97"/>
      <c r="K51" s="97"/>
      <c r="L51" s="96"/>
      <c r="M51" s="97"/>
      <c r="N51" s="98"/>
      <c r="O51" s="97"/>
      <c r="P51" s="99"/>
    </row>
    <row r="52">
      <c r="A52" s="95">
        <v>45527.0</v>
      </c>
      <c r="B52" s="97"/>
      <c r="C52" s="97"/>
      <c r="D52" s="97"/>
      <c r="E52" s="97"/>
      <c r="F52" s="97"/>
      <c r="G52" s="97"/>
      <c r="H52" s="94"/>
      <c r="I52" s="94"/>
      <c r="J52" s="97"/>
      <c r="K52" s="97"/>
      <c r="L52" s="96"/>
      <c r="M52" s="97"/>
      <c r="N52" s="98"/>
      <c r="O52" s="97"/>
      <c r="P52" s="99"/>
    </row>
    <row r="53">
      <c r="A53" s="95">
        <v>45527.0</v>
      </c>
      <c r="B53" s="97"/>
      <c r="C53" s="97"/>
      <c r="D53" s="97"/>
      <c r="E53" s="97"/>
      <c r="F53" s="97"/>
      <c r="G53" s="97"/>
      <c r="H53" s="94"/>
      <c r="I53" s="94"/>
      <c r="J53" s="97"/>
      <c r="K53" s="97"/>
      <c r="L53" s="96"/>
      <c r="M53" s="97"/>
      <c r="N53" s="98"/>
      <c r="O53" s="97"/>
      <c r="P53" s="99"/>
    </row>
    <row r="54">
      <c r="A54" s="95">
        <v>45527.0</v>
      </c>
      <c r="B54" s="97"/>
      <c r="C54" s="97"/>
      <c r="D54" s="97"/>
      <c r="E54" s="97"/>
      <c r="F54" s="97"/>
      <c r="G54" s="97"/>
      <c r="H54" s="94"/>
      <c r="I54" s="94"/>
      <c r="J54" s="97"/>
      <c r="K54" s="97"/>
      <c r="L54" s="96"/>
      <c r="M54" s="97"/>
      <c r="N54" s="98"/>
      <c r="O54" s="97"/>
      <c r="P54" s="99"/>
    </row>
    <row r="55">
      <c r="A55" s="95">
        <v>45527.0</v>
      </c>
      <c r="B55" s="97"/>
      <c r="C55" s="97"/>
      <c r="D55" s="97"/>
      <c r="E55" s="97"/>
      <c r="F55" s="97"/>
      <c r="G55" s="97"/>
      <c r="H55" s="94"/>
      <c r="I55" s="94"/>
      <c r="J55" s="97"/>
      <c r="K55" s="97"/>
      <c r="L55" s="100"/>
      <c r="M55" s="97"/>
      <c r="N55" s="98"/>
      <c r="O55" s="97"/>
      <c r="P55" s="99"/>
    </row>
    <row r="56">
      <c r="A56" s="95">
        <v>45527.0</v>
      </c>
      <c r="B56" s="97"/>
      <c r="C56" s="97"/>
      <c r="D56" s="97"/>
      <c r="E56" s="97"/>
      <c r="F56" s="97"/>
      <c r="G56" s="97"/>
      <c r="H56" s="94"/>
      <c r="I56" s="94"/>
      <c r="J56" s="97"/>
      <c r="K56" s="97"/>
      <c r="L56" s="96"/>
      <c r="M56" s="97"/>
      <c r="N56" s="97"/>
      <c r="O56" s="97"/>
      <c r="P56" s="99"/>
    </row>
    <row r="57">
      <c r="A57" s="95">
        <v>45527.0</v>
      </c>
      <c r="B57" s="97"/>
      <c r="C57" s="97"/>
      <c r="D57" s="97"/>
      <c r="E57" s="97"/>
      <c r="F57" s="97"/>
      <c r="G57" s="97"/>
      <c r="H57" s="94"/>
      <c r="I57" s="94"/>
      <c r="J57" s="97"/>
      <c r="K57" s="97"/>
      <c r="L57" s="96"/>
      <c r="M57" s="97"/>
      <c r="N57" s="98"/>
      <c r="O57" s="97"/>
      <c r="P57" s="99"/>
    </row>
    <row r="58">
      <c r="A58" s="95">
        <v>45527.0</v>
      </c>
      <c r="B58" s="97"/>
      <c r="C58" s="97"/>
      <c r="D58" s="97"/>
      <c r="E58" s="97"/>
      <c r="F58" s="97"/>
      <c r="G58" s="97"/>
      <c r="H58" s="94"/>
      <c r="I58" s="94"/>
      <c r="J58" s="97"/>
      <c r="K58" s="97"/>
      <c r="L58" s="96"/>
      <c r="M58" s="97"/>
      <c r="N58" s="97"/>
      <c r="O58" s="97"/>
      <c r="P58" s="99"/>
    </row>
    <row r="59">
      <c r="A59" s="95">
        <v>45527.0</v>
      </c>
      <c r="B59" s="97"/>
      <c r="C59" s="97"/>
      <c r="D59" s="97"/>
      <c r="E59" s="97"/>
      <c r="F59" s="97"/>
      <c r="G59" s="97"/>
      <c r="H59" s="94"/>
      <c r="I59" s="94"/>
      <c r="J59" s="97"/>
      <c r="K59" s="97"/>
      <c r="L59" s="96"/>
      <c r="M59" s="97"/>
      <c r="N59" s="98"/>
      <c r="O59" s="97"/>
      <c r="P59" s="99"/>
    </row>
    <row r="60">
      <c r="A60" s="95">
        <v>45527.0</v>
      </c>
      <c r="B60" s="97"/>
      <c r="C60" s="97"/>
      <c r="D60" s="97"/>
      <c r="E60" s="97"/>
      <c r="F60" s="97"/>
      <c r="G60" s="97"/>
      <c r="H60" s="94"/>
      <c r="I60" s="94"/>
      <c r="J60" s="97"/>
      <c r="K60" s="97"/>
      <c r="L60" s="96"/>
      <c r="M60" s="97"/>
      <c r="N60" s="98"/>
      <c r="O60" s="97"/>
      <c r="P60" s="99"/>
    </row>
    <row r="61">
      <c r="A61" s="95">
        <v>45527.0</v>
      </c>
      <c r="B61" s="97"/>
      <c r="C61" s="97"/>
      <c r="D61" s="97"/>
      <c r="E61" s="97"/>
      <c r="F61" s="97"/>
      <c r="G61" s="97"/>
      <c r="H61" s="94"/>
      <c r="I61" s="94"/>
      <c r="J61" s="97"/>
      <c r="K61" s="97"/>
      <c r="L61" s="96"/>
      <c r="M61" s="97"/>
      <c r="N61" s="98"/>
      <c r="O61" s="97"/>
      <c r="P61" s="99"/>
    </row>
    <row r="62">
      <c r="A62" s="95">
        <v>45527.0</v>
      </c>
      <c r="B62" s="97"/>
      <c r="C62" s="97"/>
      <c r="D62" s="97"/>
      <c r="E62" s="97"/>
      <c r="F62" s="97"/>
      <c r="G62" s="97"/>
      <c r="H62" s="94"/>
      <c r="I62" s="94"/>
      <c r="J62" s="97"/>
      <c r="K62" s="97"/>
      <c r="L62" s="96"/>
      <c r="M62" s="97"/>
      <c r="N62" s="98"/>
      <c r="O62" s="97"/>
      <c r="P62" s="99"/>
    </row>
    <row r="63">
      <c r="A63" s="101"/>
      <c r="B63" s="97"/>
      <c r="C63" s="97"/>
      <c r="D63" s="97"/>
      <c r="E63" s="97"/>
      <c r="F63" s="97"/>
      <c r="G63" s="97"/>
      <c r="H63" s="94"/>
      <c r="I63" s="94"/>
      <c r="J63" s="97"/>
      <c r="K63" s="97"/>
      <c r="L63" s="96"/>
      <c r="M63" s="97"/>
      <c r="N63" s="98"/>
      <c r="O63" s="97"/>
      <c r="P63" s="99"/>
    </row>
    <row r="64">
      <c r="A64" s="101"/>
      <c r="B64" s="97"/>
      <c r="C64" s="97"/>
      <c r="D64" s="97"/>
      <c r="E64" s="97"/>
      <c r="F64" s="97"/>
      <c r="G64" s="97"/>
      <c r="H64" s="94"/>
      <c r="I64" s="94"/>
      <c r="J64" s="97"/>
      <c r="K64" s="97"/>
      <c r="L64" s="96"/>
      <c r="M64" s="97"/>
      <c r="N64" s="97"/>
      <c r="O64" s="97"/>
      <c r="P64" s="99"/>
    </row>
    <row r="65">
      <c r="A65" s="101"/>
      <c r="B65" s="97"/>
      <c r="C65" s="97"/>
      <c r="D65" s="97"/>
      <c r="E65" s="97"/>
      <c r="F65" s="97"/>
      <c r="G65" s="97"/>
      <c r="H65" s="94"/>
      <c r="I65" s="94"/>
      <c r="J65" s="97"/>
      <c r="K65" s="97"/>
      <c r="L65" s="96"/>
      <c r="M65" s="97"/>
      <c r="N65" s="97"/>
      <c r="O65" s="97"/>
      <c r="P65" s="99"/>
    </row>
    <row r="66">
      <c r="A66" s="101"/>
      <c r="B66" s="97"/>
      <c r="C66" s="97"/>
      <c r="D66" s="97"/>
      <c r="E66" s="97"/>
      <c r="F66" s="97"/>
      <c r="G66" s="97"/>
      <c r="H66" s="94"/>
      <c r="I66" s="94"/>
      <c r="J66" s="97"/>
      <c r="K66" s="97"/>
      <c r="L66" s="96"/>
      <c r="M66" s="97"/>
      <c r="N66" s="97"/>
      <c r="O66" s="97"/>
      <c r="P66" s="99"/>
    </row>
    <row r="67">
      <c r="A67" s="101"/>
      <c r="B67" s="97"/>
      <c r="C67" s="97"/>
      <c r="D67" s="97"/>
      <c r="E67" s="97"/>
      <c r="F67" s="97"/>
      <c r="G67" s="97"/>
      <c r="H67" s="94"/>
      <c r="I67" s="94"/>
      <c r="J67" s="97"/>
      <c r="K67" s="97"/>
      <c r="L67" s="96"/>
      <c r="M67" s="97"/>
      <c r="N67" s="97"/>
      <c r="O67" s="97"/>
      <c r="P67" s="99"/>
    </row>
    <row r="68">
      <c r="A68" s="101"/>
      <c r="B68" s="97"/>
      <c r="C68" s="97"/>
      <c r="D68" s="97"/>
      <c r="E68" s="97"/>
      <c r="F68" s="97"/>
      <c r="G68" s="97"/>
      <c r="H68" s="94"/>
      <c r="I68" s="94"/>
      <c r="J68" s="97"/>
      <c r="K68" s="97"/>
      <c r="L68" s="96"/>
      <c r="M68" s="97"/>
      <c r="N68" s="97"/>
      <c r="O68" s="97"/>
      <c r="P68" s="99"/>
    </row>
    <row r="69">
      <c r="A69" s="101"/>
      <c r="B69" s="97"/>
      <c r="C69" s="97"/>
      <c r="D69" s="97"/>
      <c r="E69" s="97"/>
      <c r="F69" s="97"/>
      <c r="G69" s="97"/>
      <c r="H69" s="94"/>
      <c r="I69" s="94"/>
      <c r="J69" s="97"/>
      <c r="K69" s="97"/>
      <c r="L69" s="96"/>
      <c r="M69" s="97"/>
      <c r="N69" s="98"/>
      <c r="O69" s="97"/>
      <c r="P69" s="99"/>
    </row>
    <row r="70">
      <c r="A70" s="101"/>
      <c r="B70" s="97"/>
      <c r="C70" s="97"/>
      <c r="D70" s="97"/>
      <c r="E70" s="97"/>
      <c r="F70" s="97"/>
      <c r="G70" s="97"/>
      <c r="H70" s="94"/>
      <c r="I70" s="94"/>
      <c r="J70" s="97"/>
      <c r="K70" s="97"/>
      <c r="L70" s="96"/>
      <c r="M70" s="97"/>
      <c r="N70" s="98"/>
      <c r="O70" s="97"/>
      <c r="P70" s="99"/>
    </row>
    <row r="71">
      <c r="A71" s="101"/>
      <c r="B71" s="97"/>
      <c r="C71" s="97"/>
      <c r="D71" s="97"/>
      <c r="E71" s="97"/>
      <c r="F71" s="97"/>
      <c r="G71" s="97"/>
      <c r="H71" s="94"/>
      <c r="I71" s="94"/>
      <c r="J71" s="97"/>
      <c r="K71" s="97"/>
      <c r="L71" s="96"/>
      <c r="M71" s="97"/>
      <c r="N71" s="97"/>
      <c r="O71" s="97"/>
      <c r="P71" s="99"/>
    </row>
    <row r="72">
      <c r="A72" s="101"/>
      <c r="B72" s="97"/>
      <c r="C72" s="97"/>
      <c r="D72" s="97"/>
      <c r="E72" s="97"/>
      <c r="F72" s="97"/>
      <c r="G72" s="97"/>
      <c r="H72" s="94"/>
      <c r="I72" s="94"/>
      <c r="J72" s="97"/>
      <c r="K72" s="97"/>
      <c r="L72" s="96"/>
      <c r="M72" s="97"/>
      <c r="N72" s="98"/>
      <c r="O72" s="97"/>
      <c r="P72" s="99"/>
    </row>
    <row r="73">
      <c r="A73" s="101"/>
      <c r="B73" s="97"/>
      <c r="C73" s="97"/>
      <c r="D73" s="97"/>
      <c r="E73" s="97"/>
      <c r="F73" s="97"/>
      <c r="G73" s="97"/>
      <c r="H73" s="94"/>
      <c r="I73" s="94"/>
      <c r="J73" s="97"/>
      <c r="K73" s="97"/>
      <c r="L73" s="97"/>
      <c r="M73" s="97"/>
      <c r="N73" s="98"/>
      <c r="O73" s="97"/>
      <c r="P73" s="99"/>
    </row>
    <row r="74">
      <c r="A74" s="101"/>
      <c r="B74" s="97"/>
      <c r="C74" s="97"/>
      <c r="D74" s="97"/>
      <c r="E74" s="97"/>
      <c r="F74" s="97"/>
      <c r="G74" s="97"/>
      <c r="H74" s="94"/>
      <c r="I74" s="94"/>
      <c r="J74" s="97"/>
      <c r="K74" s="97"/>
      <c r="L74" s="96"/>
      <c r="M74" s="97"/>
      <c r="N74" s="98"/>
      <c r="O74" s="97"/>
      <c r="P74" s="99"/>
    </row>
    <row r="75">
      <c r="A75" s="101"/>
      <c r="B75" s="97"/>
      <c r="C75" s="97"/>
      <c r="D75" s="97"/>
      <c r="E75" s="97"/>
      <c r="F75" s="97"/>
      <c r="G75" s="97"/>
      <c r="H75" s="94"/>
      <c r="I75" s="94"/>
      <c r="J75" s="97"/>
      <c r="K75" s="97"/>
      <c r="L75" s="96"/>
      <c r="M75" s="97"/>
      <c r="N75" s="97"/>
      <c r="O75" s="97"/>
      <c r="P75" s="99"/>
    </row>
    <row r="76">
      <c r="A76" s="101"/>
      <c r="B76" s="97"/>
      <c r="C76" s="97"/>
      <c r="D76" s="97"/>
      <c r="E76" s="97"/>
      <c r="F76" s="97"/>
      <c r="G76" s="97"/>
      <c r="H76" s="94"/>
      <c r="I76" s="94"/>
      <c r="J76" s="97"/>
      <c r="K76" s="97"/>
      <c r="L76" s="96"/>
      <c r="M76" s="97"/>
      <c r="N76" s="98"/>
      <c r="O76" s="97"/>
      <c r="P76" s="99"/>
    </row>
    <row r="77">
      <c r="A77" s="101"/>
      <c r="B77" s="97"/>
      <c r="C77" s="97"/>
      <c r="D77" s="97"/>
      <c r="E77" s="97"/>
      <c r="F77" s="97"/>
      <c r="G77" s="97"/>
      <c r="H77" s="94"/>
      <c r="I77" s="94"/>
      <c r="J77" s="97"/>
      <c r="K77" s="97"/>
      <c r="L77" s="96"/>
      <c r="M77" s="97"/>
      <c r="N77" s="97"/>
      <c r="O77" s="97"/>
      <c r="P77" s="99"/>
    </row>
    <row r="78">
      <c r="A78" s="101"/>
      <c r="B78" s="97"/>
      <c r="C78" s="97"/>
      <c r="D78" s="97"/>
      <c r="E78" s="97"/>
      <c r="F78" s="97"/>
      <c r="G78" s="97"/>
      <c r="H78" s="94"/>
      <c r="I78" s="94"/>
      <c r="J78" s="97"/>
      <c r="K78" s="97"/>
      <c r="L78" s="96"/>
      <c r="M78" s="97"/>
      <c r="N78" s="97"/>
      <c r="O78" s="97"/>
      <c r="P78" s="99"/>
    </row>
    <row r="79">
      <c r="A79" s="101"/>
      <c r="B79" s="97"/>
      <c r="C79" s="97"/>
      <c r="D79" s="97"/>
      <c r="E79" s="97"/>
      <c r="F79" s="97"/>
      <c r="G79" s="97"/>
      <c r="H79" s="94"/>
      <c r="I79" s="94"/>
      <c r="J79" s="97"/>
      <c r="K79" s="97"/>
      <c r="L79" s="96"/>
      <c r="M79" s="97"/>
      <c r="N79" s="98"/>
      <c r="O79" s="97"/>
      <c r="P79" s="99"/>
    </row>
    <row r="80">
      <c r="A80" s="101"/>
      <c r="B80" s="97"/>
      <c r="C80" s="97"/>
      <c r="D80" s="97"/>
      <c r="E80" s="97"/>
      <c r="F80" s="97"/>
      <c r="G80" s="97"/>
      <c r="H80" s="94"/>
      <c r="I80" s="94"/>
      <c r="J80" s="97"/>
      <c r="K80" s="97"/>
      <c r="L80" s="96"/>
      <c r="M80" s="97"/>
      <c r="N80" s="98"/>
      <c r="O80" s="97"/>
      <c r="P80" s="99"/>
    </row>
    <row r="81">
      <c r="A81" s="101"/>
      <c r="B81" s="97"/>
      <c r="C81" s="97"/>
      <c r="D81" s="97"/>
      <c r="E81" s="97"/>
      <c r="F81" s="97"/>
      <c r="G81" s="97"/>
      <c r="H81" s="94"/>
      <c r="I81" s="94"/>
      <c r="J81" s="97"/>
      <c r="K81" s="97"/>
      <c r="L81" s="96"/>
      <c r="M81" s="97"/>
      <c r="N81" s="97"/>
      <c r="O81" s="97"/>
      <c r="P81" s="99"/>
    </row>
    <row r="82">
      <c r="A82" s="101"/>
      <c r="B82" s="97"/>
      <c r="C82" s="97"/>
      <c r="D82" s="97"/>
      <c r="E82" s="97"/>
      <c r="F82" s="97"/>
      <c r="G82" s="97"/>
      <c r="H82" s="94"/>
      <c r="I82" s="94"/>
      <c r="J82" s="97"/>
      <c r="K82" s="97"/>
      <c r="L82" s="96"/>
      <c r="M82" s="97"/>
      <c r="N82" s="98"/>
      <c r="O82" s="97"/>
      <c r="P82" s="99"/>
    </row>
    <row r="83">
      <c r="A83" s="101"/>
      <c r="B83" s="97"/>
      <c r="C83" s="97"/>
      <c r="D83" s="97"/>
      <c r="E83" s="97"/>
      <c r="F83" s="97"/>
      <c r="G83" s="97"/>
      <c r="H83" s="94"/>
      <c r="I83" s="94"/>
      <c r="J83" s="97"/>
      <c r="K83" s="97"/>
      <c r="L83" s="96"/>
      <c r="M83" s="97"/>
      <c r="N83" s="98"/>
      <c r="O83" s="97"/>
      <c r="P83" s="99"/>
    </row>
    <row r="84">
      <c r="A84" s="101"/>
      <c r="B84" s="97"/>
      <c r="C84" s="97"/>
      <c r="D84" s="97"/>
      <c r="E84" s="97"/>
      <c r="F84" s="97"/>
      <c r="G84" s="97"/>
      <c r="H84" s="94"/>
      <c r="I84" s="94"/>
      <c r="J84" s="97"/>
      <c r="K84" s="97"/>
      <c r="L84" s="96"/>
      <c r="M84" s="97"/>
      <c r="N84" s="98"/>
      <c r="O84" s="97"/>
      <c r="P84" s="99"/>
    </row>
    <row r="85">
      <c r="A85" s="101"/>
      <c r="B85" s="97"/>
      <c r="C85" s="97"/>
      <c r="D85" s="97"/>
      <c r="E85" s="97"/>
      <c r="F85" s="97"/>
      <c r="G85" s="97"/>
      <c r="H85" s="94"/>
      <c r="I85" s="94"/>
      <c r="J85" s="97"/>
      <c r="K85" s="97"/>
      <c r="L85" s="96"/>
      <c r="M85" s="97"/>
      <c r="N85" s="98"/>
      <c r="O85" s="97"/>
      <c r="P85" s="99"/>
    </row>
    <row r="86">
      <c r="A86" s="101"/>
      <c r="B86" s="97"/>
      <c r="C86" s="97"/>
      <c r="D86" s="97"/>
      <c r="E86" s="97"/>
      <c r="F86" s="97"/>
      <c r="G86" s="97"/>
      <c r="H86" s="94"/>
      <c r="I86" s="94"/>
      <c r="J86" s="97"/>
      <c r="K86" s="97"/>
      <c r="L86" s="96"/>
      <c r="M86" s="97"/>
      <c r="N86" s="98"/>
      <c r="O86" s="97"/>
      <c r="P86" s="99"/>
    </row>
    <row r="87">
      <c r="A87" s="101"/>
      <c r="B87" s="97"/>
      <c r="C87" s="97"/>
      <c r="D87" s="97"/>
      <c r="E87" s="97"/>
      <c r="F87" s="97"/>
      <c r="G87" s="97"/>
      <c r="H87" s="94"/>
      <c r="I87" s="94"/>
      <c r="J87" s="97"/>
      <c r="K87" s="97"/>
      <c r="L87" s="96"/>
      <c r="M87" s="97"/>
      <c r="N87" s="98"/>
      <c r="O87" s="97"/>
      <c r="P87" s="99"/>
    </row>
    <row r="88">
      <c r="A88" s="101"/>
      <c r="B88" s="97"/>
      <c r="C88" s="97"/>
      <c r="D88" s="97"/>
      <c r="E88" s="97"/>
      <c r="F88" s="97"/>
      <c r="G88" s="97"/>
      <c r="H88" s="94"/>
      <c r="I88" s="94"/>
      <c r="J88" s="97"/>
      <c r="K88" s="97"/>
      <c r="L88" s="96"/>
      <c r="M88" s="97"/>
      <c r="N88" s="97"/>
      <c r="O88" s="97"/>
      <c r="P88" s="99"/>
    </row>
    <row r="92">
      <c r="A92" s="102"/>
      <c r="B92" s="102"/>
    </row>
    <row r="93">
      <c r="A93" s="102"/>
      <c r="B93" s="102"/>
    </row>
    <row r="94">
      <c r="A94" s="102"/>
      <c r="B94" s="10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1.71"/>
    <col customWidth="1" min="2" max="2" width="27.57"/>
    <col customWidth="1" min="3" max="3" width="44.29"/>
    <col customWidth="1" min="4" max="4" width="20.14"/>
    <col customWidth="1" min="5" max="5" width="15.29"/>
    <col customWidth="1" min="6" max="6" width="20.0"/>
    <col customWidth="1" min="7" max="7" width="14.71"/>
    <col customWidth="1" min="8" max="8" width="89.14"/>
    <col customWidth="1" min="9" max="9" width="15.29"/>
    <col customWidth="1" min="10" max="26" width="8.71"/>
  </cols>
  <sheetData>
    <row r="1" ht="14.25" customHeight="1">
      <c r="A1" s="103" t="s">
        <v>47</v>
      </c>
      <c r="B1" s="103" t="s">
        <v>39</v>
      </c>
      <c r="C1" s="104" t="s">
        <v>48</v>
      </c>
      <c r="D1" s="104" t="s">
        <v>49</v>
      </c>
      <c r="E1" s="104" t="s">
        <v>50</v>
      </c>
      <c r="F1" s="105" t="s">
        <v>51</v>
      </c>
      <c r="G1" s="106" t="s">
        <v>44</v>
      </c>
      <c r="H1" s="104" t="s">
        <v>45</v>
      </c>
      <c r="I1" s="104"/>
      <c r="J1" s="104"/>
      <c r="K1" s="104"/>
      <c r="L1" s="104"/>
      <c r="M1" s="104"/>
      <c r="N1" s="104"/>
      <c r="O1" s="104"/>
      <c r="P1" s="104"/>
      <c r="Q1" s="104"/>
      <c r="R1" s="104"/>
      <c r="S1" s="104"/>
      <c r="T1" s="104"/>
      <c r="U1" s="104"/>
      <c r="V1" s="104"/>
      <c r="W1" s="104"/>
      <c r="X1" s="104"/>
      <c r="Y1" s="104"/>
      <c r="Z1" s="104"/>
    </row>
    <row r="2" ht="14.25" customHeight="1">
      <c r="A2" s="107"/>
      <c r="B2" s="107"/>
      <c r="C2" s="108">
        <v>45496.0</v>
      </c>
      <c r="D2" s="107"/>
      <c r="E2" s="107"/>
      <c r="F2" s="109"/>
      <c r="G2" s="109"/>
      <c r="H2" s="107"/>
      <c r="I2" s="107" t="str">
        <f t="shared" ref="I2:I22" si="1">IF(G2&gt;=F2,"FULLY PAID",IF(G2=0,"NOT PAID","PARTIALLY PAID"))</f>
        <v>FULLY PAID</v>
      </c>
      <c r="J2" s="107"/>
      <c r="K2" s="107"/>
      <c r="L2" s="107"/>
      <c r="M2" s="107"/>
      <c r="N2" s="107"/>
      <c r="O2" s="107"/>
      <c r="P2" s="107"/>
      <c r="Q2" s="107"/>
      <c r="R2" s="107"/>
      <c r="S2" s="107"/>
      <c r="T2" s="107"/>
      <c r="U2" s="107"/>
      <c r="V2" s="107"/>
      <c r="W2" s="107"/>
      <c r="X2" s="107"/>
      <c r="Y2" s="107"/>
      <c r="Z2" s="107"/>
    </row>
    <row r="3" ht="14.25" customHeight="1">
      <c r="A3" s="110">
        <v>45495.0</v>
      </c>
      <c r="B3" s="111" t="s">
        <v>52</v>
      </c>
      <c r="C3" s="111" t="s">
        <v>53</v>
      </c>
      <c r="D3" s="111" t="s">
        <v>54</v>
      </c>
      <c r="E3" s="111" t="s">
        <v>55</v>
      </c>
      <c r="F3" s="112">
        <v>71566.0</v>
      </c>
      <c r="G3" s="113">
        <v>71566.0</v>
      </c>
      <c r="H3" s="111" t="s">
        <v>56</v>
      </c>
      <c r="I3" s="107" t="str">
        <f t="shared" si="1"/>
        <v>FULLY PAID</v>
      </c>
      <c r="J3" s="107"/>
      <c r="K3" s="107"/>
      <c r="L3" s="107"/>
      <c r="M3" s="107"/>
      <c r="N3" s="107"/>
      <c r="O3" s="107"/>
      <c r="P3" s="107"/>
      <c r="Q3" s="107"/>
      <c r="R3" s="107"/>
      <c r="S3" s="107"/>
      <c r="T3" s="107"/>
      <c r="U3" s="107"/>
      <c r="V3" s="107"/>
      <c r="W3" s="107"/>
      <c r="X3" s="107"/>
      <c r="Y3" s="107"/>
      <c r="Z3" s="107"/>
    </row>
    <row r="4" ht="14.25" customHeight="1">
      <c r="A4" s="110">
        <v>45495.0</v>
      </c>
      <c r="B4" s="114" t="s">
        <v>57</v>
      </c>
      <c r="C4" s="114" t="s">
        <v>58</v>
      </c>
      <c r="D4" s="114" t="s">
        <v>59</v>
      </c>
      <c r="E4" s="114" t="s">
        <v>60</v>
      </c>
      <c r="F4" s="115">
        <v>146604.0</v>
      </c>
      <c r="G4" s="109"/>
      <c r="H4" s="111" t="s">
        <v>61</v>
      </c>
      <c r="I4" s="107" t="str">
        <f t="shared" si="1"/>
        <v>NOT PAID</v>
      </c>
      <c r="J4" s="107"/>
      <c r="K4" s="107"/>
      <c r="L4" s="107"/>
      <c r="M4" s="107"/>
      <c r="N4" s="107"/>
      <c r="O4" s="107"/>
      <c r="P4" s="107"/>
      <c r="Q4" s="107"/>
      <c r="R4" s="107"/>
      <c r="S4" s="107"/>
      <c r="T4" s="107"/>
      <c r="U4" s="107"/>
      <c r="V4" s="107"/>
      <c r="W4" s="107"/>
      <c r="X4" s="107"/>
      <c r="Y4" s="107"/>
      <c r="Z4" s="107"/>
    </row>
    <row r="5" ht="14.25" customHeight="1">
      <c r="A5" s="110">
        <v>45495.0</v>
      </c>
      <c r="B5" s="114" t="s">
        <v>62</v>
      </c>
      <c r="C5" s="111" t="s">
        <v>63</v>
      </c>
      <c r="D5" s="111" t="s">
        <v>54</v>
      </c>
      <c r="E5" s="111" t="s">
        <v>60</v>
      </c>
      <c r="F5" s="112">
        <v>31733.0</v>
      </c>
      <c r="G5" s="109"/>
      <c r="H5" s="111" t="s">
        <v>64</v>
      </c>
      <c r="I5" s="107" t="str">
        <f t="shared" si="1"/>
        <v>NOT PAID</v>
      </c>
      <c r="J5" s="107"/>
      <c r="K5" s="107"/>
      <c r="L5" s="107"/>
      <c r="M5" s="107"/>
      <c r="N5" s="107"/>
      <c r="O5" s="107"/>
      <c r="P5" s="107"/>
      <c r="Q5" s="107"/>
      <c r="R5" s="107"/>
      <c r="S5" s="107"/>
      <c r="T5" s="107"/>
      <c r="U5" s="107"/>
      <c r="V5" s="107"/>
      <c r="W5" s="107"/>
      <c r="X5" s="107"/>
      <c r="Y5" s="107"/>
      <c r="Z5" s="107"/>
    </row>
    <row r="6" ht="14.25" customHeight="1">
      <c r="A6" s="110">
        <v>45495.0</v>
      </c>
      <c r="B6" s="114" t="s">
        <v>65</v>
      </c>
      <c r="C6" s="114" t="s">
        <v>66</v>
      </c>
      <c r="D6" s="114" t="s">
        <v>67</v>
      </c>
      <c r="E6" s="114" t="s">
        <v>60</v>
      </c>
      <c r="F6" s="115">
        <v>153303.08</v>
      </c>
      <c r="G6" s="109"/>
      <c r="H6" s="111" t="s">
        <v>68</v>
      </c>
      <c r="I6" s="107" t="str">
        <f t="shared" si="1"/>
        <v>NOT PAID</v>
      </c>
      <c r="J6" s="107"/>
      <c r="K6" s="107"/>
      <c r="L6" s="107"/>
      <c r="M6" s="107"/>
      <c r="N6" s="107"/>
      <c r="O6" s="107"/>
      <c r="P6" s="107"/>
      <c r="Q6" s="107"/>
      <c r="R6" s="107"/>
      <c r="S6" s="107"/>
      <c r="T6" s="107"/>
      <c r="U6" s="107"/>
      <c r="V6" s="107"/>
      <c r="W6" s="107"/>
      <c r="X6" s="107"/>
      <c r="Y6" s="107"/>
      <c r="Z6" s="107"/>
    </row>
    <row r="7" ht="14.25" customHeight="1">
      <c r="A7" s="110">
        <v>45495.0</v>
      </c>
      <c r="B7" s="114" t="s">
        <v>69</v>
      </c>
      <c r="C7" s="114" t="s">
        <v>66</v>
      </c>
      <c r="D7" s="114" t="s">
        <v>67</v>
      </c>
      <c r="E7" s="114" t="s">
        <v>70</v>
      </c>
      <c r="F7" s="115">
        <v>383772.0</v>
      </c>
      <c r="G7" s="109"/>
      <c r="H7" s="111" t="s">
        <v>68</v>
      </c>
      <c r="I7" s="107" t="str">
        <f t="shared" si="1"/>
        <v>NOT PAID</v>
      </c>
      <c r="J7" s="107"/>
      <c r="K7" s="107"/>
      <c r="L7" s="107"/>
      <c r="M7" s="107"/>
      <c r="N7" s="107"/>
      <c r="O7" s="107"/>
      <c r="P7" s="107"/>
      <c r="Q7" s="107"/>
      <c r="R7" s="107"/>
      <c r="S7" s="107"/>
      <c r="T7" s="107"/>
      <c r="U7" s="107"/>
      <c r="V7" s="107"/>
      <c r="W7" s="107"/>
      <c r="X7" s="107"/>
      <c r="Y7" s="107"/>
      <c r="Z7" s="107"/>
    </row>
    <row r="8" ht="14.25" customHeight="1">
      <c r="A8" s="110">
        <v>45495.0</v>
      </c>
      <c r="B8" s="116" t="s">
        <v>71</v>
      </c>
      <c r="C8" s="117" t="s">
        <v>72</v>
      </c>
      <c r="D8" s="117" t="s">
        <v>54</v>
      </c>
      <c r="E8" s="117" t="s">
        <v>70</v>
      </c>
      <c r="F8" s="112">
        <v>1000000.0</v>
      </c>
      <c r="G8" s="109"/>
      <c r="H8" s="111" t="s">
        <v>61</v>
      </c>
      <c r="I8" s="107" t="str">
        <f t="shared" si="1"/>
        <v>NOT PAID</v>
      </c>
      <c r="J8" s="107"/>
      <c r="K8" s="107"/>
      <c r="L8" s="107"/>
      <c r="M8" s="107"/>
      <c r="N8" s="107"/>
      <c r="O8" s="107"/>
      <c r="P8" s="107"/>
      <c r="Q8" s="107"/>
      <c r="R8" s="107"/>
      <c r="S8" s="107"/>
      <c r="T8" s="107"/>
      <c r="U8" s="107"/>
      <c r="V8" s="107"/>
      <c r="W8" s="107"/>
      <c r="X8" s="107"/>
      <c r="Y8" s="107"/>
      <c r="Z8" s="107"/>
    </row>
    <row r="9" ht="14.25" customHeight="1">
      <c r="A9" s="110">
        <v>45495.0</v>
      </c>
      <c r="B9" s="118" t="s">
        <v>73</v>
      </c>
      <c r="C9" s="119" t="s">
        <v>74</v>
      </c>
      <c r="D9" s="119" t="s">
        <v>75</v>
      </c>
      <c r="E9" s="119" t="s">
        <v>55</v>
      </c>
      <c r="F9" s="120">
        <v>115000.0</v>
      </c>
      <c r="G9" s="109"/>
      <c r="H9" s="111" t="s">
        <v>76</v>
      </c>
      <c r="I9" s="107" t="str">
        <f t="shared" si="1"/>
        <v>NOT PAID</v>
      </c>
      <c r="J9" s="107"/>
      <c r="K9" s="107"/>
      <c r="L9" s="107"/>
      <c r="M9" s="107"/>
      <c r="N9" s="107"/>
      <c r="O9" s="107"/>
      <c r="P9" s="107"/>
      <c r="Q9" s="107"/>
      <c r="R9" s="107"/>
      <c r="S9" s="107"/>
      <c r="T9" s="107"/>
      <c r="U9" s="107"/>
      <c r="V9" s="107"/>
      <c r="W9" s="107"/>
      <c r="X9" s="107"/>
      <c r="Y9" s="107"/>
      <c r="Z9" s="107"/>
    </row>
    <row r="10" ht="14.25" customHeight="1">
      <c r="A10" s="110">
        <v>45495.0</v>
      </c>
      <c r="B10" s="121" t="s">
        <v>77</v>
      </c>
      <c r="C10" s="119" t="s">
        <v>74</v>
      </c>
      <c r="D10" s="122" t="s">
        <v>54</v>
      </c>
      <c r="E10" s="122" t="s">
        <v>55</v>
      </c>
      <c r="F10" s="123">
        <v>237397.0</v>
      </c>
      <c r="G10" s="109"/>
      <c r="H10" s="111" t="s">
        <v>76</v>
      </c>
      <c r="I10" s="107" t="str">
        <f t="shared" si="1"/>
        <v>NOT PAID</v>
      </c>
      <c r="J10" s="107"/>
      <c r="K10" s="107"/>
      <c r="L10" s="107"/>
      <c r="M10" s="107"/>
      <c r="N10" s="107"/>
      <c r="O10" s="107"/>
      <c r="P10" s="107"/>
      <c r="Q10" s="107"/>
      <c r="R10" s="107"/>
      <c r="S10" s="107"/>
      <c r="T10" s="107"/>
      <c r="U10" s="107"/>
      <c r="V10" s="107"/>
      <c r="W10" s="107"/>
      <c r="X10" s="107"/>
      <c r="Y10" s="107"/>
      <c r="Z10" s="107"/>
    </row>
    <row r="11" ht="14.25" customHeight="1">
      <c r="A11" s="110">
        <v>45495.0</v>
      </c>
      <c r="B11" s="116" t="s">
        <v>78</v>
      </c>
      <c r="C11" s="117" t="s">
        <v>79</v>
      </c>
      <c r="D11" s="117" t="s">
        <v>54</v>
      </c>
      <c r="E11" s="117" t="s">
        <v>80</v>
      </c>
      <c r="F11" s="123">
        <v>248000.0</v>
      </c>
      <c r="G11" s="123">
        <v>544332.0</v>
      </c>
      <c r="H11" s="111" t="s">
        <v>56</v>
      </c>
      <c r="I11" s="107" t="str">
        <f t="shared" si="1"/>
        <v>FULLY PAID</v>
      </c>
      <c r="J11" s="107"/>
      <c r="K11" s="107"/>
      <c r="L11" s="107"/>
      <c r="M11" s="107"/>
      <c r="N11" s="107"/>
      <c r="O11" s="107"/>
      <c r="P11" s="107"/>
      <c r="Q11" s="107"/>
      <c r="R11" s="107"/>
      <c r="S11" s="107"/>
      <c r="T11" s="107"/>
      <c r="U11" s="107"/>
      <c r="V11" s="107"/>
      <c r="W11" s="107"/>
      <c r="X11" s="107"/>
      <c r="Y11" s="107"/>
      <c r="Z11" s="107"/>
    </row>
    <row r="12" ht="14.25" customHeight="1">
      <c r="A12" s="110">
        <v>45495.0</v>
      </c>
      <c r="B12" s="121" t="s">
        <v>81</v>
      </c>
      <c r="C12" s="114" t="s">
        <v>82</v>
      </c>
      <c r="D12" s="114" t="s">
        <v>75</v>
      </c>
      <c r="E12" s="114" t="s">
        <v>70</v>
      </c>
      <c r="F12" s="115">
        <v>301000.0</v>
      </c>
      <c r="G12" s="109"/>
      <c r="H12" s="111" t="s">
        <v>61</v>
      </c>
      <c r="I12" s="107" t="str">
        <f t="shared" si="1"/>
        <v>NOT PAID</v>
      </c>
      <c r="J12" s="107"/>
      <c r="K12" s="107"/>
      <c r="L12" s="107"/>
      <c r="M12" s="107"/>
      <c r="N12" s="107"/>
      <c r="O12" s="107"/>
      <c r="P12" s="107"/>
      <c r="Q12" s="107"/>
      <c r="R12" s="107"/>
      <c r="S12" s="107"/>
      <c r="T12" s="107"/>
      <c r="U12" s="107"/>
      <c r="V12" s="107"/>
      <c r="W12" s="107"/>
      <c r="X12" s="107"/>
      <c r="Y12" s="107"/>
      <c r="Z12" s="107"/>
    </row>
    <row r="13" ht="14.25" customHeight="1">
      <c r="A13" s="110">
        <v>45495.0</v>
      </c>
      <c r="B13" s="124" t="s">
        <v>83</v>
      </c>
      <c r="C13" s="125" t="s">
        <v>84</v>
      </c>
      <c r="D13" s="125" t="s">
        <v>67</v>
      </c>
      <c r="E13" s="125" t="s">
        <v>70</v>
      </c>
      <c r="F13" s="126">
        <v>258779.0</v>
      </c>
      <c r="G13" s="109"/>
      <c r="H13" s="111" t="s">
        <v>61</v>
      </c>
      <c r="I13" s="107" t="str">
        <f t="shared" si="1"/>
        <v>NOT PAID</v>
      </c>
      <c r="J13" s="107"/>
      <c r="K13" s="107"/>
      <c r="L13" s="107"/>
      <c r="M13" s="107"/>
      <c r="N13" s="107"/>
      <c r="O13" s="107"/>
      <c r="P13" s="107"/>
      <c r="Q13" s="107"/>
      <c r="R13" s="107"/>
      <c r="S13" s="107"/>
      <c r="T13" s="107"/>
      <c r="U13" s="107"/>
      <c r="V13" s="107"/>
      <c r="W13" s="107"/>
      <c r="X13" s="107"/>
      <c r="Y13" s="107"/>
      <c r="Z13" s="107"/>
    </row>
    <row r="14" ht="14.25" customHeight="1">
      <c r="A14" s="110">
        <v>45495.0</v>
      </c>
      <c r="B14" s="127" t="s">
        <v>85</v>
      </c>
      <c r="C14" s="128" t="s">
        <v>86</v>
      </c>
      <c r="D14" s="128" t="s">
        <v>54</v>
      </c>
      <c r="E14" s="128" t="s">
        <v>70</v>
      </c>
      <c r="F14" s="129">
        <v>295238.0</v>
      </c>
      <c r="G14" s="113">
        <v>295238.0</v>
      </c>
      <c r="H14" s="111" t="s">
        <v>87</v>
      </c>
      <c r="I14" s="107" t="str">
        <f t="shared" si="1"/>
        <v>FULLY PAID</v>
      </c>
      <c r="J14" s="107"/>
      <c r="K14" s="107"/>
      <c r="L14" s="107"/>
      <c r="M14" s="107"/>
      <c r="N14" s="107"/>
      <c r="O14" s="107"/>
      <c r="P14" s="107"/>
      <c r="Q14" s="107"/>
      <c r="R14" s="107"/>
      <c r="S14" s="107"/>
      <c r="T14" s="107"/>
      <c r="U14" s="107"/>
      <c r="V14" s="107"/>
      <c r="W14" s="107"/>
      <c r="X14" s="107"/>
      <c r="Y14" s="107"/>
      <c r="Z14" s="107"/>
    </row>
    <row r="15" ht="14.25" customHeight="1">
      <c r="A15" s="110">
        <v>45495.0</v>
      </c>
      <c r="B15" s="114" t="s">
        <v>88</v>
      </c>
      <c r="C15" s="130" t="s">
        <v>89</v>
      </c>
      <c r="D15" s="130" t="s">
        <v>54</v>
      </c>
      <c r="E15" s="130" t="s">
        <v>70</v>
      </c>
      <c r="F15" s="129">
        <v>205590.0</v>
      </c>
      <c r="G15" s="109"/>
      <c r="H15" s="111" t="s">
        <v>68</v>
      </c>
      <c r="I15" s="107" t="str">
        <f t="shared" si="1"/>
        <v>NOT PAID</v>
      </c>
      <c r="J15" s="107"/>
      <c r="K15" s="107"/>
      <c r="L15" s="107"/>
      <c r="M15" s="107"/>
      <c r="N15" s="107"/>
      <c r="O15" s="107"/>
      <c r="P15" s="107"/>
      <c r="Q15" s="107"/>
      <c r="R15" s="107"/>
      <c r="S15" s="107"/>
      <c r="T15" s="107"/>
      <c r="U15" s="107"/>
      <c r="V15" s="107"/>
      <c r="W15" s="107"/>
      <c r="X15" s="107"/>
      <c r="Y15" s="107"/>
      <c r="Z15" s="107"/>
    </row>
    <row r="16" ht="14.25" customHeight="1">
      <c r="A16" s="110">
        <v>45495.0</v>
      </c>
      <c r="B16" s="127" t="s">
        <v>90</v>
      </c>
      <c r="C16" s="128" t="s">
        <v>91</v>
      </c>
      <c r="D16" s="128" t="s">
        <v>75</v>
      </c>
      <c r="E16" s="128" t="s">
        <v>70</v>
      </c>
      <c r="F16" s="129">
        <v>172500.0</v>
      </c>
      <c r="G16" s="109"/>
      <c r="H16" s="111" t="s">
        <v>64</v>
      </c>
      <c r="I16" s="107" t="str">
        <f t="shared" si="1"/>
        <v>NOT PAID</v>
      </c>
      <c r="J16" s="107"/>
      <c r="K16" s="107"/>
      <c r="L16" s="107"/>
      <c r="M16" s="107"/>
      <c r="N16" s="107"/>
      <c r="O16" s="107"/>
      <c r="P16" s="107"/>
      <c r="Q16" s="107"/>
      <c r="R16" s="107"/>
      <c r="S16" s="107"/>
      <c r="T16" s="107"/>
      <c r="U16" s="107"/>
      <c r="V16" s="107"/>
      <c r="W16" s="107"/>
      <c r="X16" s="107"/>
      <c r="Y16" s="107"/>
      <c r="Z16" s="107"/>
    </row>
    <row r="17" ht="14.25" customHeight="1">
      <c r="A17" s="110">
        <v>45495.0</v>
      </c>
      <c r="B17" s="127" t="s">
        <v>92</v>
      </c>
      <c r="C17" s="128" t="s">
        <v>93</v>
      </c>
      <c r="D17" s="128" t="s">
        <v>54</v>
      </c>
      <c r="E17" s="119" t="s">
        <v>55</v>
      </c>
      <c r="F17" s="129">
        <v>31872.0</v>
      </c>
      <c r="G17" s="109"/>
      <c r="H17" s="111" t="s">
        <v>61</v>
      </c>
      <c r="I17" s="107" t="str">
        <f t="shared" si="1"/>
        <v>NOT PAID</v>
      </c>
      <c r="J17" s="107"/>
      <c r="K17" s="107"/>
      <c r="L17" s="107"/>
      <c r="M17" s="107"/>
      <c r="N17" s="107"/>
      <c r="O17" s="107"/>
      <c r="P17" s="107"/>
      <c r="Q17" s="107"/>
      <c r="R17" s="107"/>
      <c r="S17" s="107"/>
      <c r="T17" s="107"/>
      <c r="U17" s="107"/>
      <c r="V17" s="107"/>
      <c r="W17" s="107"/>
      <c r="X17" s="107"/>
      <c r="Y17" s="107"/>
      <c r="Z17" s="107"/>
    </row>
    <row r="18" ht="14.25" customHeight="1">
      <c r="A18" s="110">
        <v>45495.0</v>
      </c>
      <c r="B18" s="127" t="s">
        <v>94</v>
      </c>
      <c r="C18" s="128" t="s">
        <v>95</v>
      </c>
      <c r="D18" s="128" t="s">
        <v>54</v>
      </c>
      <c r="E18" s="128" t="s">
        <v>70</v>
      </c>
      <c r="F18" s="129">
        <v>19920.0</v>
      </c>
      <c r="G18" s="113">
        <v>19920.0</v>
      </c>
      <c r="H18" s="111" t="s">
        <v>87</v>
      </c>
      <c r="I18" s="107" t="str">
        <f t="shared" si="1"/>
        <v>FULLY PAID</v>
      </c>
      <c r="J18" s="107"/>
      <c r="K18" s="107"/>
      <c r="L18" s="107"/>
      <c r="M18" s="107"/>
      <c r="N18" s="107"/>
      <c r="O18" s="107"/>
      <c r="P18" s="107"/>
      <c r="Q18" s="107"/>
      <c r="R18" s="107"/>
      <c r="S18" s="107"/>
      <c r="T18" s="107"/>
      <c r="U18" s="107"/>
      <c r="V18" s="107"/>
      <c r="W18" s="107"/>
      <c r="X18" s="107"/>
      <c r="Y18" s="107"/>
      <c r="Z18" s="107"/>
    </row>
    <row r="19" ht="14.25" customHeight="1">
      <c r="A19" s="110">
        <v>45495.0</v>
      </c>
      <c r="B19" s="127" t="s">
        <v>96</v>
      </c>
      <c r="C19" s="128" t="s">
        <v>97</v>
      </c>
      <c r="D19" s="128" t="s">
        <v>54</v>
      </c>
      <c r="E19" s="128" t="s">
        <v>70</v>
      </c>
      <c r="F19" s="129">
        <v>25764.0</v>
      </c>
      <c r="G19" s="109"/>
      <c r="H19" s="111" t="s">
        <v>61</v>
      </c>
      <c r="I19" s="107" t="str">
        <f t="shared" si="1"/>
        <v>NOT PAID</v>
      </c>
      <c r="J19" s="107"/>
      <c r="K19" s="107"/>
      <c r="L19" s="107"/>
      <c r="M19" s="107"/>
      <c r="N19" s="107"/>
      <c r="O19" s="107"/>
      <c r="P19" s="107"/>
      <c r="Q19" s="107"/>
      <c r="R19" s="107"/>
      <c r="S19" s="107"/>
      <c r="T19" s="107"/>
      <c r="U19" s="107"/>
      <c r="V19" s="107"/>
      <c r="W19" s="107"/>
      <c r="X19" s="107"/>
      <c r="Y19" s="107"/>
      <c r="Z19" s="107"/>
    </row>
    <row r="20" ht="14.25" customHeight="1">
      <c r="A20" s="110">
        <v>45495.0</v>
      </c>
      <c r="B20" s="116" t="s">
        <v>98</v>
      </c>
      <c r="C20" s="116" t="s">
        <v>99</v>
      </c>
      <c r="D20" s="116" t="s">
        <v>54</v>
      </c>
      <c r="E20" s="116" t="s">
        <v>80</v>
      </c>
      <c r="F20" s="131">
        <v>141394.99</v>
      </c>
      <c r="G20" s="109"/>
      <c r="H20" s="111" t="s">
        <v>61</v>
      </c>
      <c r="I20" s="107" t="str">
        <f t="shared" si="1"/>
        <v>NOT PAID</v>
      </c>
      <c r="J20" s="107"/>
      <c r="K20" s="107"/>
      <c r="L20" s="107"/>
      <c r="M20" s="107"/>
      <c r="N20" s="107"/>
      <c r="O20" s="107"/>
      <c r="P20" s="107"/>
      <c r="Q20" s="107"/>
      <c r="R20" s="107"/>
      <c r="S20" s="107"/>
      <c r="T20" s="107"/>
      <c r="U20" s="107"/>
      <c r="V20" s="107"/>
      <c r="W20" s="107"/>
      <c r="X20" s="107"/>
      <c r="Y20" s="107"/>
      <c r="Z20" s="107"/>
    </row>
    <row r="21" ht="14.25" customHeight="1">
      <c r="A21" s="110">
        <v>45495.0</v>
      </c>
      <c r="B21" s="114" t="s">
        <v>100</v>
      </c>
      <c r="C21" s="111" t="s">
        <v>101</v>
      </c>
      <c r="D21" s="114" t="s">
        <v>59</v>
      </c>
      <c r="E21" s="111" t="s">
        <v>80</v>
      </c>
      <c r="F21" s="112">
        <v>4337163.0</v>
      </c>
      <c r="G21" s="109"/>
      <c r="H21" s="111" t="s">
        <v>102</v>
      </c>
      <c r="I21" s="107" t="str">
        <f t="shared" si="1"/>
        <v>NOT PAID</v>
      </c>
      <c r="J21" s="107"/>
      <c r="K21" s="107"/>
      <c r="L21" s="107"/>
      <c r="M21" s="107"/>
      <c r="N21" s="107"/>
      <c r="O21" s="107"/>
      <c r="P21" s="107"/>
      <c r="Q21" s="107"/>
      <c r="R21" s="107"/>
      <c r="S21" s="107"/>
      <c r="T21" s="107"/>
      <c r="U21" s="107"/>
      <c r="V21" s="107"/>
      <c r="W21" s="107"/>
      <c r="X21" s="107"/>
      <c r="Y21" s="107"/>
      <c r="Z21" s="107"/>
    </row>
    <row r="22" ht="14.25" customHeight="1">
      <c r="A22" s="110">
        <v>45495.0</v>
      </c>
      <c r="B22" s="111" t="s">
        <v>103</v>
      </c>
      <c r="C22" s="111" t="s">
        <v>104</v>
      </c>
      <c r="D22" s="111" t="s">
        <v>59</v>
      </c>
      <c r="E22" s="111" t="s">
        <v>80</v>
      </c>
      <c r="F22" s="112" t="s">
        <v>105</v>
      </c>
      <c r="G22" s="109"/>
      <c r="H22" s="111" t="s">
        <v>106</v>
      </c>
      <c r="I22" s="107" t="str">
        <f t="shared" si="1"/>
        <v>NOT PAID</v>
      </c>
      <c r="J22" s="107"/>
      <c r="K22" s="107"/>
      <c r="L22" s="107"/>
      <c r="M22" s="107"/>
      <c r="N22" s="107"/>
      <c r="O22" s="107"/>
      <c r="P22" s="107"/>
      <c r="Q22" s="107"/>
      <c r="R22" s="107"/>
      <c r="S22" s="107"/>
      <c r="T22" s="107"/>
      <c r="U22" s="107"/>
      <c r="V22" s="107"/>
      <c r="W22" s="107"/>
      <c r="X22" s="107"/>
      <c r="Y22" s="107"/>
      <c r="Z22" s="107"/>
    </row>
    <row r="23" ht="14.25" customHeight="1">
      <c r="A23" s="107"/>
      <c r="B23" s="107"/>
      <c r="C23" s="107"/>
      <c r="D23" s="107"/>
      <c r="E23" s="107"/>
      <c r="F23" s="109"/>
      <c r="G23" s="109"/>
      <c r="H23" s="107"/>
      <c r="I23" s="107"/>
      <c r="J23" s="107"/>
      <c r="K23" s="107"/>
      <c r="L23" s="107"/>
      <c r="M23" s="107"/>
      <c r="N23" s="107"/>
      <c r="O23" s="107"/>
      <c r="P23" s="107"/>
      <c r="Q23" s="107"/>
      <c r="R23" s="107"/>
      <c r="S23" s="107"/>
      <c r="T23" s="107"/>
      <c r="U23" s="107"/>
      <c r="V23" s="107"/>
      <c r="W23" s="107"/>
      <c r="X23" s="107"/>
      <c r="Y23" s="107"/>
      <c r="Z23" s="107"/>
    </row>
    <row r="24" ht="14.25" customHeight="1">
      <c r="A24" s="107"/>
      <c r="B24" s="107"/>
      <c r="C24" s="107"/>
      <c r="D24" s="107"/>
      <c r="E24" s="107"/>
      <c r="F24" s="109"/>
      <c r="G24" s="109"/>
      <c r="H24" s="107"/>
      <c r="I24" s="107"/>
      <c r="J24" s="107"/>
      <c r="K24" s="107"/>
      <c r="L24" s="107"/>
      <c r="M24" s="107"/>
      <c r="N24" s="107"/>
      <c r="O24" s="107"/>
      <c r="P24" s="107"/>
      <c r="Q24" s="107"/>
      <c r="R24" s="107"/>
      <c r="S24" s="107"/>
      <c r="T24" s="107"/>
      <c r="U24" s="107"/>
      <c r="V24" s="107"/>
      <c r="W24" s="107"/>
      <c r="X24" s="107"/>
      <c r="Y24" s="107"/>
      <c r="Z24" s="107"/>
    </row>
    <row r="25" ht="14.25" customHeight="1">
      <c r="A25" s="107"/>
      <c r="B25" s="107"/>
      <c r="C25" s="107"/>
      <c r="D25" s="107"/>
      <c r="E25" s="107"/>
      <c r="F25" s="109"/>
      <c r="G25" s="109"/>
      <c r="H25" s="107"/>
      <c r="I25" s="107"/>
      <c r="J25" s="107"/>
      <c r="K25" s="107"/>
      <c r="L25" s="107"/>
      <c r="M25" s="107"/>
      <c r="N25" s="107"/>
      <c r="O25" s="107"/>
      <c r="P25" s="107"/>
      <c r="Q25" s="107"/>
      <c r="R25" s="107"/>
      <c r="S25" s="107"/>
      <c r="T25" s="107"/>
      <c r="U25" s="107"/>
      <c r="V25" s="107"/>
      <c r="W25" s="107"/>
      <c r="X25" s="107"/>
      <c r="Y25" s="107"/>
      <c r="Z25" s="107"/>
    </row>
    <row r="26" ht="14.25" customHeight="1">
      <c r="A26" s="107"/>
      <c r="B26" s="107"/>
      <c r="C26" s="132" t="s">
        <v>107</v>
      </c>
      <c r="D26" s="107"/>
      <c r="E26" s="107"/>
      <c r="F26" s="109"/>
      <c r="G26" s="109"/>
      <c r="H26" s="107"/>
      <c r="I26" s="107"/>
      <c r="J26" s="107"/>
      <c r="K26" s="107"/>
      <c r="L26" s="107"/>
      <c r="M26" s="107"/>
      <c r="N26" s="107"/>
      <c r="O26" s="107"/>
      <c r="P26" s="107"/>
      <c r="Q26" s="107"/>
      <c r="R26" s="107"/>
      <c r="S26" s="107"/>
      <c r="T26" s="107"/>
      <c r="U26" s="107"/>
      <c r="V26" s="107"/>
      <c r="W26" s="107"/>
      <c r="X26" s="107"/>
      <c r="Y26" s="107"/>
      <c r="Z26" s="107"/>
    </row>
    <row r="27" ht="14.25" customHeight="1">
      <c r="A27" s="110">
        <v>45495.0</v>
      </c>
      <c r="B27" s="121" t="s">
        <v>108</v>
      </c>
      <c r="C27" s="122" t="s">
        <v>109</v>
      </c>
      <c r="D27" s="133" t="s">
        <v>67</v>
      </c>
      <c r="E27" s="134" t="s">
        <v>110</v>
      </c>
      <c r="F27" s="135">
        <v>302529.21</v>
      </c>
      <c r="G27" s="109"/>
      <c r="H27" s="107"/>
      <c r="I27" s="107" t="str">
        <f t="shared" ref="I27:I28" si="2">IF(G27&gt;=F27,"FULLY PAID",IF(G27=0,"NOT PAID","PARTIALLY PAID"))</f>
        <v>NOT PAID</v>
      </c>
      <c r="J27" s="107"/>
      <c r="K27" s="107"/>
      <c r="L27" s="107"/>
      <c r="M27" s="107"/>
      <c r="N27" s="107"/>
      <c r="O27" s="107"/>
      <c r="P27" s="107"/>
      <c r="Q27" s="107"/>
      <c r="R27" s="107"/>
      <c r="S27" s="107"/>
      <c r="T27" s="107"/>
      <c r="U27" s="107"/>
      <c r="V27" s="107"/>
      <c r="W27" s="107"/>
      <c r="X27" s="107"/>
      <c r="Y27" s="107"/>
      <c r="Z27" s="107"/>
    </row>
    <row r="28" ht="14.25" customHeight="1">
      <c r="A28" s="110">
        <v>45495.0</v>
      </c>
      <c r="B28" s="114" t="s">
        <v>111</v>
      </c>
      <c r="C28" s="130" t="s">
        <v>112</v>
      </c>
      <c r="D28" s="136" t="s">
        <v>113</v>
      </c>
      <c r="E28" s="137" t="s">
        <v>114</v>
      </c>
      <c r="F28" s="138">
        <v>12000.0</v>
      </c>
      <c r="G28" s="137"/>
      <c r="H28" s="107"/>
      <c r="I28" s="107" t="str">
        <f t="shared" si="2"/>
        <v>NOT PAID</v>
      </c>
      <c r="J28" s="107"/>
      <c r="K28" s="107"/>
      <c r="L28" s="107"/>
      <c r="M28" s="107"/>
      <c r="N28" s="107"/>
      <c r="O28" s="107"/>
      <c r="P28" s="107"/>
      <c r="Q28" s="107"/>
      <c r="R28" s="107"/>
      <c r="S28" s="107"/>
      <c r="T28" s="107"/>
      <c r="U28" s="107"/>
      <c r="V28" s="107"/>
      <c r="W28" s="107"/>
      <c r="X28" s="107"/>
      <c r="Y28" s="107"/>
      <c r="Z28" s="107"/>
    </row>
    <row r="29" ht="14.25" customHeight="1">
      <c r="A29" s="107"/>
      <c r="B29" s="107"/>
      <c r="C29" s="107"/>
      <c r="D29" s="107"/>
      <c r="E29" s="107"/>
      <c r="F29" s="109"/>
      <c r="G29" s="109"/>
      <c r="H29" s="107"/>
      <c r="I29" s="107"/>
      <c r="J29" s="107"/>
      <c r="K29" s="107"/>
      <c r="L29" s="107"/>
      <c r="M29" s="107"/>
      <c r="N29" s="107"/>
      <c r="O29" s="107"/>
      <c r="P29" s="107"/>
      <c r="Q29" s="107"/>
      <c r="R29" s="107"/>
      <c r="S29" s="107"/>
      <c r="T29" s="107"/>
      <c r="U29" s="107"/>
      <c r="V29" s="107"/>
      <c r="W29" s="107"/>
      <c r="X29" s="107"/>
      <c r="Y29" s="107"/>
      <c r="Z29" s="107"/>
    </row>
    <row r="30" ht="14.25" customHeight="1">
      <c r="A30" s="107"/>
      <c r="B30" s="107"/>
      <c r="C30" s="132" t="s">
        <v>115</v>
      </c>
      <c r="D30" s="107"/>
      <c r="E30" s="107"/>
      <c r="F30" s="109"/>
      <c r="G30" s="109"/>
      <c r="H30" s="107"/>
      <c r="I30" s="107"/>
      <c r="J30" s="107"/>
      <c r="K30" s="107"/>
      <c r="L30" s="107"/>
      <c r="M30" s="107"/>
      <c r="N30" s="107"/>
      <c r="O30" s="107"/>
      <c r="P30" s="107"/>
      <c r="Q30" s="107"/>
      <c r="R30" s="107"/>
      <c r="S30" s="107"/>
      <c r="T30" s="107"/>
      <c r="U30" s="107"/>
      <c r="V30" s="107"/>
      <c r="W30" s="107"/>
      <c r="X30" s="107"/>
      <c r="Y30" s="107"/>
      <c r="Z30" s="107"/>
    </row>
    <row r="31" ht="14.25" customHeight="1">
      <c r="A31" s="110">
        <v>45496.0</v>
      </c>
      <c r="B31" s="116" t="s">
        <v>71</v>
      </c>
      <c r="C31" s="117" t="s">
        <v>72</v>
      </c>
      <c r="D31" s="117" t="s">
        <v>54</v>
      </c>
      <c r="E31" s="117" t="s">
        <v>70</v>
      </c>
      <c r="F31" s="112">
        <v>1000000.0</v>
      </c>
      <c r="G31" s="113">
        <v>350000.0</v>
      </c>
      <c r="H31" s="111" t="s">
        <v>116</v>
      </c>
      <c r="I31" s="107" t="str">
        <f t="shared" ref="I31:I47" si="3">IF(G31&gt;=F31,"FULLY PAID",IF(G31=0,"NOT PAID","PARTIALLY PAID"))</f>
        <v>PARTIALLY PAID</v>
      </c>
      <c r="J31" s="107"/>
      <c r="K31" s="107"/>
      <c r="L31" s="107"/>
      <c r="M31" s="107"/>
      <c r="N31" s="107"/>
      <c r="O31" s="107"/>
      <c r="P31" s="107"/>
      <c r="Q31" s="107"/>
      <c r="R31" s="107"/>
      <c r="S31" s="107"/>
      <c r="T31" s="107"/>
      <c r="U31" s="107"/>
      <c r="V31" s="107"/>
      <c r="W31" s="107"/>
      <c r="X31" s="107"/>
      <c r="Y31" s="107"/>
      <c r="Z31" s="107"/>
    </row>
    <row r="32" ht="14.25" customHeight="1">
      <c r="A32" s="110">
        <v>45496.0</v>
      </c>
      <c r="B32" s="114" t="s">
        <v>57</v>
      </c>
      <c r="C32" s="114" t="s">
        <v>58</v>
      </c>
      <c r="D32" s="114" t="s">
        <v>59</v>
      </c>
      <c r="E32" s="114" t="s">
        <v>60</v>
      </c>
      <c r="F32" s="115">
        <v>146604.0</v>
      </c>
      <c r="G32" s="113" t="s">
        <v>117</v>
      </c>
      <c r="H32" s="111" t="s">
        <v>61</v>
      </c>
      <c r="I32" s="107" t="str">
        <f t="shared" si="3"/>
        <v>FULLY PAID</v>
      </c>
      <c r="J32" s="107"/>
      <c r="K32" s="107"/>
      <c r="L32" s="107"/>
      <c r="M32" s="107"/>
      <c r="N32" s="107"/>
      <c r="O32" s="107"/>
      <c r="P32" s="107"/>
      <c r="Q32" s="107"/>
      <c r="R32" s="107"/>
      <c r="S32" s="107"/>
      <c r="T32" s="107"/>
      <c r="U32" s="107"/>
      <c r="V32" s="107"/>
      <c r="W32" s="107"/>
      <c r="X32" s="107"/>
      <c r="Y32" s="107"/>
      <c r="Z32" s="107"/>
    </row>
    <row r="33" ht="14.25" customHeight="1">
      <c r="A33" s="110">
        <v>45496.0</v>
      </c>
      <c r="B33" s="114" t="s">
        <v>65</v>
      </c>
      <c r="C33" s="114" t="s">
        <v>66</v>
      </c>
      <c r="D33" s="114" t="s">
        <v>67</v>
      </c>
      <c r="E33" s="114" t="s">
        <v>60</v>
      </c>
      <c r="F33" s="115">
        <v>153303.08</v>
      </c>
      <c r="G33" s="113">
        <v>100000.0</v>
      </c>
      <c r="H33" s="111" t="s">
        <v>118</v>
      </c>
      <c r="I33" s="107" t="str">
        <f t="shared" si="3"/>
        <v>PARTIALLY PAID</v>
      </c>
      <c r="J33" s="107"/>
      <c r="K33" s="107"/>
      <c r="L33" s="107"/>
      <c r="M33" s="107"/>
      <c r="N33" s="107"/>
      <c r="O33" s="107"/>
      <c r="P33" s="107"/>
      <c r="Q33" s="107"/>
      <c r="R33" s="107"/>
      <c r="S33" s="107"/>
      <c r="T33" s="107"/>
      <c r="U33" s="107"/>
      <c r="V33" s="107"/>
      <c r="W33" s="107"/>
      <c r="X33" s="107"/>
      <c r="Y33" s="107"/>
      <c r="Z33" s="107"/>
    </row>
    <row r="34" ht="14.25" customHeight="1">
      <c r="A34" s="110">
        <v>45496.0</v>
      </c>
      <c r="B34" s="114" t="s">
        <v>69</v>
      </c>
      <c r="C34" s="114" t="s">
        <v>66</v>
      </c>
      <c r="D34" s="114" t="s">
        <v>67</v>
      </c>
      <c r="E34" s="114" t="s">
        <v>70</v>
      </c>
      <c r="F34" s="115">
        <v>383772.0</v>
      </c>
      <c r="G34" s="113" t="s">
        <v>117</v>
      </c>
      <c r="H34" s="111" t="s">
        <v>119</v>
      </c>
      <c r="I34" s="107" t="str">
        <f t="shared" si="3"/>
        <v>FULLY PAID</v>
      </c>
      <c r="J34" s="107"/>
      <c r="K34" s="107"/>
      <c r="L34" s="107"/>
      <c r="M34" s="107"/>
      <c r="N34" s="107"/>
      <c r="O34" s="107"/>
      <c r="P34" s="107"/>
      <c r="Q34" s="107"/>
      <c r="R34" s="107"/>
      <c r="S34" s="107"/>
      <c r="T34" s="107"/>
      <c r="U34" s="107"/>
      <c r="V34" s="107"/>
      <c r="W34" s="107"/>
      <c r="X34" s="107"/>
      <c r="Y34" s="107"/>
      <c r="Z34" s="107"/>
    </row>
    <row r="35" ht="14.25" customHeight="1">
      <c r="A35" s="110">
        <v>45496.0</v>
      </c>
      <c r="B35" s="124" t="s">
        <v>83</v>
      </c>
      <c r="C35" s="125" t="s">
        <v>84</v>
      </c>
      <c r="D35" s="125" t="s">
        <v>67</v>
      </c>
      <c r="E35" s="125" t="s">
        <v>70</v>
      </c>
      <c r="F35" s="126">
        <v>258779.0</v>
      </c>
      <c r="G35" s="113" t="s">
        <v>117</v>
      </c>
      <c r="H35" s="111" t="s">
        <v>120</v>
      </c>
      <c r="I35" s="107" t="str">
        <f t="shared" si="3"/>
        <v>FULLY PAID</v>
      </c>
      <c r="J35" s="107"/>
      <c r="K35" s="107"/>
      <c r="L35" s="107"/>
      <c r="M35" s="107"/>
      <c r="N35" s="107"/>
      <c r="O35" s="107"/>
      <c r="P35" s="107"/>
      <c r="Q35" s="107"/>
      <c r="R35" s="107"/>
      <c r="S35" s="107"/>
      <c r="T35" s="107"/>
      <c r="U35" s="107"/>
      <c r="V35" s="107"/>
      <c r="W35" s="107"/>
      <c r="X35" s="107"/>
      <c r="Y35" s="107"/>
      <c r="Z35" s="107"/>
    </row>
    <row r="36" ht="14.25" customHeight="1">
      <c r="A36" s="110">
        <v>45496.0</v>
      </c>
      <c r="B36" s="121" t="s">
        <v>81</v>
      </c>
      <c r="C36" s="114" t="s">
        <v>82</v>
      </c>
      <c r="D36" s="114" t="s">
        <v>75</v>
      </c>
      <c r="E36" s="114" t="s">
        <v>70</v>
      </c>
      <c r="F36" s="115">
        <v>100000.0</v>
      </c>
      <c r="G36" s="113" t="s">
        <v>117</v>
      </c>
      <c r="H36" s="111" t="s">
        <v>61</v>
      </c>
      <c r="I36" s="107" t="str">
        <f t="shared" si="3"/>
        <v>FULLY PAID</v>
      </c>
      <c r="J36" s="107"/>
      <c r="K36" s="107"/>
      <c r="L36" s="107"/>
      <c r="M36" s="107"/>
      <c r="N36" s="107"/>
      <c r="O36" s="107"/>
      <c r="P36" s="107"/>
      <c r="Q36" s="107"/>
      <c r="R36" s="107"/>
      <c r="S36" s="107"/>
      <c r="T36" s="107"/>
      <c r="U36" s="107"/>
      <c r="V36" s="107"/>
      <c r="W36" s="107"/>
      <c r="X36" s="107"/>
      <c r="Y36" s="107"/>
      <c r="Z36" s="107"/>
    </row>
    <row r="37" ht="14.25" customHeight="1">
      <c r="A37" s="110">
        <v>45496.0</v>
      </c>
      <c r="B37" s="114" t="s">
        <v>88</v>
      </c>
      <c r="C37" s="130" t="s">
        <v>89</v>
      </c>
      <c r="D37" s="130" t="s">
        <v>54</v>
      </c>
      <c r="E37" s="130" t="s">
        <v>70</v>
      </c>
      <c r="F37" s="129">
        <v>205590.0</v>
      </c>
      <c r="G37" s="113" t="s">
        <v>117</v>
      </c>
      <c r="H37" s="111" t="s">
        <v>121</v>
      </c>
      <c r="I37" s="107" t="str">
        <f t="shared" si="3"/>
        <v>FULLY PAID</v>
      </c>
      <c r="J37" s="107"/>
      <c r="K37" s="107"/>
      <c r="L37" s="107"/>
      <c r="M37" s="107"/>
      <c r="N37" s="107"/>
      <c r="O37" s="107"/>
      <c r="P37" s="107"/>
      <c r="Q37" s="107"/>
      <c r="R37" s="107"/>
      <c r="S37" s="107"/>
      <c r="T37" s="107"/>
      <c r="U37" s="107"/>
      <c r="V37" s="107"/>
      <c r="W37" s="107"/>
      <c r="X37" s="107"/>
      <c r="Y37" s="107"/>
      <c r="Z37" s="107"/>
    </row>
    <row r="38" ht="14.25" customHeight="1">
      <c r="A38" s="110">
        <v>45496.0</v>
      </c>
      <c r="B38" s="127" t="s">
        <v>90</v>
      </c>
      <c r="C38" s="128" t="s">
        <v>91</v>
      </c>
      <c r="D38" s="128" t="s">
        <v>75</v>
      </c>
      <c r="E38" s="128" t="s">
        <v>70</v>
      </c>
      <c r="F38" s="129">
        <v>172500.0</v>
      </c>
      <c r="G38" s="113" t="s">
        <v>117</v>
      </c>
      <c r="H38" s="111" t="s">
        <v>122</v>
      </c>
      <c r="I38" s="107" t="str">
        <f t="shared" si="3"/>
        <v>FULLY PAID</v>
      </c>
      <c r="J38" s="107"/>
      <c r="K38" s="107"/>
      <c r="L38" s="107"/>
      <c r="M38" s="107"/>
      <c r="N38" s="107"/>
      <c r="O38" s="107"/>
      <c r="P38" s="107"/>
      <c r="Q38" s="107"/>
      <c r="R38" s="107"/>
      <c r="S38" s="107"/>
      <c r="T38" s="107"/>
      <c r="U38" s="107"/>
      <c r="V38" s="107"/>
      <c r="W38" s="107"/>
      <c r="X38" s="107"/>
      <c r="Y38" s="107"/>
      <c r="Z38" s="107"/>
    </row>
    <row r="39" ht="14.25" customHeight="1">
      <c r="A39" s="110">
        <v>45496.0</v>
      </c>
      <c r="B39" s="111" t="s">
        <v>123</v>
      </c>
      <c r="C39" s="111" t="s">
        <v>124</v>
      </c>
      <c r="D39" s="111" t="s">
        <v>75</v>
      </c>
      <c r="E39" s="111" t="s">
        <v>70</v>
      </c>
      <c r="F39" s="113">
        <v>5500000.0</v>
      </c>
      <c r="G39" s="113" t="s">
        <v>117</v>
      </c>
      <c r="H39" s="111" t="s">
        <v>125</v>
      </c>
      <c r="I39" s="107" t="str">
        <f t="shared" si="3"/>
        <v>FULLY PAID</v>
      </c>
      <c r="J39" s="107"/>
      <c r="K39" s="107"/>
      <c r="L39" s="107"/>
      <c r="M39" s="107"/>
      <c r="N39" s="107"/>
      <c r="O39" s="107"/>
      <c r="P39" s="107"/>
      <c r="Q39" s="107"/>
      <c r="R39" s="107"/>
      <c r="S39" s="107"/>
      <c r="T39" s="107"/>
      <c r="U39" s="107"/>
      <c r="V39" s="107"/>
      <c r="W39" s="107"/>
      <c r="X39" s="107"/>
      <c r="Y39" s="107"/>
      <c r="Z39" s="107"/>
    </row>
    <row r="40" ht="14.25" customHeight="1">
      <c r="A40" s="110">
        <v>45496.0</v>
      </c>
      <c r="B40" s="114" t="s">
        <v>62</v>
      </c>
      <c r="C40" s="111" t="s">
        <v>63</v>
      </c>
      <c r="D40" s="111" t="s">
        <v>54</v>
      </c>
      <c r="E40" s="111" t="s">
        <v>60</v>
      </c>
      <c r="F40" s="112">
        <v>19875.0</v>
      </c>
      <c r="G40" s="113" t="s">
        <v>117</v>
      </c>
      <c r="H40" s="111" t="s">
        <v>61</v>
      </c>
      <c r="I40" s="107" t="str">
        <f t="shared" si="3"/>
        <v>FULLY PAID</v>
      </c>
      <c r="J40" s="107"/>
      <c r="K40" s="107"/>
      <c r="L40" s="107"/>
      <c r="M40" s="107"/>
      <c r="N40" s="107"/>
      <c r="O40" s="107"/>
      <c r="P40" s="107"/>
      <c r="Q40" s="107"/>
      <c r="R40" s="107"/>
      <c r="S40" s="107"/>
      <c r="T40" s="107"/>
      <c r="U40" s="107"/>
      <c r="V40" s="107"/>
      <c r="W40" s="107"/>
      <c r="X40" s="107"/>
      <c r="Y40" s="107"/>
      <c r="Z40" s="107"/>
    </row>
    <row r="41" ht="14.25" customHeight="1">
      <c r="A41" s="110">
        <v>45496.0</v>
      </c>
      <c r="B41" s="116" t="s">
        <v>98</v>
      </c>
      <c r="C41" s="116" t="s">
        <v>99</v>
      </c>
      <c r="D41" s="116" t="s">
        <v>54</v>
      </c>
      <c r="E41" s="116" t="s">
        <v>80</v>
      </c>
      <c r="F41" s="131">
        <v>131394.0</v>
      </c>
      <c r="G41" s="113" t="s">
        <v>117</v>
      </c>
      <c r="H41" s="111" t="s">
        <v>125</v>
      </c>
      <c r="I41" s="107" t="str">
        <f t="shared" si="3"/>
        <v>FULLY PAID</v>
      </c>
      <c r="J41" s="107"/>
      <c r="K41" s="107"/>
      <c r="L41" s="107"/>
      <c r="M41" s="107"/>
      <c r="N41" s="107"/>
      <c r="O41" s="107"/>
      <c r="P41" s="107"/>
      <c r="Q41" s="107"/>
      <c r="R41" s="107"/>
      <c r="S41" s="107"/>
      <c r="T41" s="107"/>
      <c r="U41" s="107"/>
      <c r="V41" s="107"/>
      <c r="W41" s="107"/>
      <c r="X41" s="107"/>
      <c r="Y41" s="107"/>
      <c r="Z41" s="107"/>
    </row>
    <row r="42" ht="14.25" customHeight="1">
      <c r="A42" s="110">
        <v>45496.0</v>
      </c>
      <c r="B42" s="114" t="s">
        <v>100</v>
      </c>
      <c r="C42" s="111" t="s">
        <v>101</v>
      </c>
      <c r="D42" s="114" t="s">
        <v>59</v>
      </c>
      <c r="E42" s="111" t="s">
        <v>80</v>
      </c>
      <c r="F42" s="112">
        <v>4337163.0</v>
      </c>
      <c r="G42" s="113" t="s">
        <v>117</v>
      </c>
      <c r="H42" s="139" t="s">
        <v>126</v>
      </c>
      <c r="I42" s="107" t="str">
        <f t="shared" si="3"/>
        <v>FULLY PAID</v>
      </c>
      <c r="J42" s="107"/>
      <c r="K42" s="107"/>
      <c r="L42" s="107"/>
      <c r="M42" s="107"/>
      <c r="N42" s="107"/>
      <c r="O42" s="107"/>
      <c r="P42" s="107"/>
      <c r="Q42" s="107"/>
      <c r="R42" s="107"/>
      <c r="S42" s="107"/>
      <c r="T42" s="107"/>
      <c r="U42" s="107"/>
      <c r="V42" s="107"/>
      <c r="W42" s="107"/>
      <c r="X42" s="107"/>
      <c r="Y42" s="107"/>
      <c r="Z42" s="107"/>
    </row>
    <row r="43" ht="14.25" customHeight="1">
      <c r="A43" s="107"/>
      <c r="B43" s="107"/>
      <c r="C43" s="107"/>
      <c r="D43" s="107"/>
      <c r="E43" s="107"/>
      <c r="F43" s="109"/>
      <c r="G43" s="109"/>
      <c r="H43" s="107"/>
      <c r="I43" s="107" t="str">
        <f t="shared" si="3"/>
        <v>FULLY PAID</v>
      </c>
      <c r="J43" s="107"/>
      <c r="K43" s="107"/>
      <c r="L43" s="107"/>
      <c r="M43" s="107"/>
      <c r="N43" s="107"/>
      <c r="O43" s="107"/>
      <c r="P43" s="107"/>
      <c r="Q43" s="107"/>
      <c r="R43" s="107"/>
      <c r="S43" s="107"/>
      <c r="T43" s="107"/>
      <c r="U43" s="107"/>
      <c r="V43" s="107"/>
      <c r="W43" s="107"/>
      <c r="X43" s="107"/>
      <c r="Y43" s="107"/>
      <c r="Z43" s="107"/>
    </row>
    <row r="44" ht="14.25" customHeight="1">
      <c r="A44" s="107"/>
      <c r="B44" s="107"/>
      <c r="C44" s="132" t="s">
        <v>107</v>
      </c>
      <c r="D44" s="107"/>
      <c r="E44" s="107"/>
      <c r="F44" s="109"/>
      <c r="G44" s="109"/>
      <c r="H44" s="107"/>
      <c r="I44" s="107" t="str">
        <f t="shared" si="3"/>
        <v>FULLY PAID</v>
      </c>
      <c r="J44" s="107"/>
      <c r="K44" s="107"/>
      <c r="L44" s="107"/>
      <c r="M44" s="107"/>
      <c r="N44" s="107"/>
      <c r="O44" s="107"/>
      <c r="P44" s="107"/>
      <c r="Q44" s="107"/>
      <c r="R44" s="107"/>
      <c r="S44" s="107"/>
      <c r="T44" s="107"/>
      <c r="U44" s="107"/>
      <c r="V44" s="107"/>
      <c r="W44" s="107"/>
      <c r="X44" s="107"/>
      <c r="Y44" s="107"/>
      <c r="Z44" s="107"/>
    </row>
    <row r="45" ht="14.25" customHeight="1">
      <c r="A45" s="110">
        <v>45496.0</v>
      </c>
      <c r="B45" s="121" t="s">
        <v>108</v>
      </c>
      <c r="C45" s="122" t="s">
        <v>109</v>
      </c>
      <c r="D45" s="133" t="s">
        <v>67</v>
      </c>
      <c r="E45" s="134" t="s">
        <v>110</v>
      </c>
      <c r="F45" s="135">
        <v>302529.21</v>
      </c>
      <c r="G45" s="113" t="s">
        <v>117</v>
      </c>
      <c r="H45" s="107"/>
      <c r="I45" s="107" t="str">
        <f t="shared" si="3"/>
        <v>FULLY PAID</v>
      </c>
      <c r="J45" s="107"/>
      <c r="K45" s="107"/>
      <c r="L45" s="107"/>
      <c r="M45" s="107"/>
      <c r="N45" s="107"/>
      <c r="O45" s="107"/>
      <c r="P45" s="107"/>
      <c r="Q45" s="107"/>
      <c r="R45" s="107"/>
      <c r="S45" s="107"/>
      <c r="T45" s="107"/>
      <c r="U45" s="107"/>
      <c r="V45" s="107"/>
      <c r="W45" s="107"/>
      <c r="X45" s="107"/>
      <c r="Y45" s="107"/>
      <c r="Z45" s="107"/>
    </row>
    <row r="46" ht="14.25" customHeight="1">
      <c r="A46" s="110">
        <v>45496.0</v>
      </c>
      <c r="B46" s="114" t="s">
        <v>111</v>
      </c>
      <c r="C46" s="130" t="s">
        <v>112</v>
      </c>
      <c r="D46" s="136" t="s">
        <v>113</v>
      </c>
      <c r="E46" s="137" t="s">
        <v>114</v>
      </c>
      <c r="F46" s="138">
        <v>12000.0</v>
      </c>
      <c r="G46" s="137" t="s">
        <v>117</v>
      </c>
      <c r="H46" s="107"/>
      <c r="I46" s="107" t="str">
        <f t="shared" si="3"/>
        <v>FULLY PAID</v>
      </c>
      <c r="J46" s="107"/>
      <c r="K46" s="107"/>
      <c r="L46" s="107"/>
      <c r="M46" s="107"/>
      <c r="N46" s="107"/>
      <c r="O46" s="107"/>
      <c r="P46" s="107"/>
      <c r="Q46" s="107"/>
      <c r="R46" s="107"/>
      <c r="S46" s="107"/>
      <c r="T46" s="107"/>
      <c r="U46" s="107"/>
      <c r="V46" s="107"/>
      <c r="W46" s="107"/>
      <c r="X46" s="107"/>
      <c r="Y46" s="107"/>
      <c r="Z46" s="107"/>
    </row>
    <row r="47" ht="14.25" customHeight="1">
      <c r="A47" s="110">
        <v>45496.0</v>
      </c>
      <c r="B47" s="121" t="s">
        <v>127</v>
      </c>
      <c r="C47" s="122" t="s">
        <v>128</v>
      </c>
      <c r="D47" s="136" t="s">
        <v>113</v>
      </c>
      <c r="E47" s="111" t="s">
        <v>129</v>
      </c>
      <c r="F47" s="135" t="s">
        <v>130</v>
      </c>
      <c r="G47" s="113">
        <v>350000.0</v>
      </c>
      <c r="H47" s="107"/>
      <c r="I47" s="107" t="str">
        <f t="shared" si="3"/>
        <v>PARTIALLY PAID</v>
      </c>
      <c r="J47" s="107"/>
      <c r="K47" s="107"/>
      <c r="L47" s="107"/>
      <c r="M47" s="107"/>
      <c r="N47" s="107"/>
      <c r="O47" s="107"/>
      <c r="P47" s="107"/>
      <c r="Q47" s="107"/>
      <c r="R47" s="107"/>
      <c r="S47" s="107"/>
      <c r="T47" s="107"/>
      <c r="U47" s="107"/>
      <c r="V47" s="107"/>
      <c r="W47" s="107"/>
      <c r="X47" s="107"/>
      <c r="Y47" s="107"/>
      <c r="Z47" s="107"/>
    </row>
    <row r="48" ht="14.25" customHeight="1">
      <c r="A48" s="107"/>
      <c r="B48" s="107"/>
      <c r="C48" s="107"/>
      <c r="D48" s="107"/>
      <c r="E48" s="107"/>
      <c r="F48" s="109"/>
      <c r="G48" s="109"/>
      <c r="H48" s="107"/>
      <c r="I48" s="107"/>
      <c r="J48" s="107"/>
      <c r="K48" s="107"/>
      <c r="L48" s="107"/>
      <c r="M48" s="107"/>
      <c r="N48" s="107"/>
      <c r="O48" s="107"/>
      <c r="P48" s="107"/>
      <c r="Q48" s="107"/>
      <c r="R48" s="107"/>
      <c r="S48" s="107"/>
      <c r="T48" s="107"/>
      <c r="U48" s="107"/>
      <c r="V48" s="107"/>
      <c r="W48" s="107"/>
      <c r="X48" s="107"/>
      <c r="Y48" s="107"/>
      <c r="Z48" s="107"/>
    </row>
    <row r="49" ht="14.25" customHeight="1">
      <c r="A49" s="107"/>
      <c r="B49" s="107"/>
      <c r="C49" s="108">
        <v>45497.0</v>
      </c>
      <c r="D49" s="107"/>
      <c r="E49" s="107"/>
      <c r="F49" s="109"/>
      <c r="G49" s="109"/>
      <c r="H49" s="107"/>
      <c r="I49" s="107"/>
      <c r="J49" s="107"/>
      <c r="K49" s="107"/>
      <c r="L49" s="107"/>
      <c r="M49" s="107"/>
      <c r="N49" s="107"/>
      <c r="O49" s="107"/>
      <c r="P49" s="107"/>
      <c r="Q49" s="107"/>
      <c r="R49" s="107"/>
      <c r="S49" s="107"/>
      <c r="T49" s="107"/>
      <c r="U49" s="107"/>
      <c r="V49" s="107"/>
      <c r="W49" s="107"/>
      <c r="X49" s="107"/>
      <c r="Y49" s="107"/>
      <c r="Z49" s="107"/>
    </row>
    <row r="50" ht="14.25" customHeight="1">
      <c r="A50" s="110">
        <v>45497.0</v>
      </c>
      <c r="B50" s="121" t="s">
        <v>81</v>
      </c>
      <c r="C50" s="114" t="s">
        <v>82</v>
      </c>
      <c r="D50" s="114" t="s">
        <v>75</v>
      </c>
      <c r="E50" s="114" t="s">
        <v>70</v>
      </c>
      <c r="F50" s="115">
        <v>100000.0</v>
      </c>
      <c r="G50" s="109"/>
      <c r="H50" s="111" t="s">
        <v>61</v>
      </c>
      <c r="I50" s="107" t="str">
        <f t="shared" ref="I50:I60" si="4">IF(G50&gt;=F50,"FULLY PAID",IF(G50=0,"NOT PAID","PARTIALLY PAID"))</f>
        <v>NOT PAID</v>
      </c>
      <c r="J50" s="107"/>
      <c r="K50" s="107"/>
      <c r="L50" s="107"/>
      <c r="M50" s="107"/>
      <c r="N50" s="107"/>
      <c r="O50" s="107"/>
      <c r="P50" s="107"/>
      <c r="Q50" s="107"/>
      <c r="R50" s="107"/>
      <c r="S50" s="107"/>
      <c r="T50" s="107"/>
      <c r="U50" s="107"/>
      <c r="V50" s="107"/>
      <c r="W50" s="107"/>
      <c r="X50" s="107"/>
      <c r="Y50" s="107"/>
      <c r="Z50" s="107"/>
    </row>
    <row r="51" ht="14.25" customHeight="1">
      <c r="A51" s="110">
        <v>45497.0</v>
      </c>
      <c r="B51" s="111" t="s">
        <v>123</v>
      </c>
      <c r="C51" s="111" t="s">
        <v>124</v>
      </c>
      <c r="D51" s="111" t="s">
        <v>75</v>
      </c>
      <c r="E51" s="111" t="s">
        <v>70</v>
      </c>
      <c r="F51" s="113">
        <v>5500000.0</v>
      </c>
      <c r="G51" s="109"/>
      <c r="H51" s="111" t="s">
        <v>131</v>
      </c>
      <c r="I51" s="107" t="str">
        <f t="shared" si="4"/>
        <v>NOT PAID</v>
      </c>
      <c r="J51" s="107"/>
      <c r="K51" s="107"/>
      <c r="L51" s="107"/>
      <c r="M51" s="107"/>
      <c r="N51" s="107"/>
      <c r="O51" s="107"/>
      <c r="P51" s="107"/>
      <c r="Q51" s="107"/>
      <c r="R51" s="107"/>
      <c r="S51" s="107"/>
      <c r="T51" s="107"/>
      <c r="U51" s="107"/>
      <c r="V51" s="107"/>
      <c r="W51" s="107"/>
      <c r="X51" s="107"/>
      <c r="Y51" s="107"/>
      <c r="Z51" s="107"/>
    </row>
    <row r="52" ht="14.25" customHeight="1">
      <c r="A52" s="110">
        <v>45497.0</v>
      </c>
      <c r="B52" s="116" t="s">
        <v>98</v>
      </c>
      <c r="C52" s="116" t="s">
        <v>99</v>
      </c>
      <c r="D52" s="116" t="s">
        <v>54</v>
      </c>
      <c r="E52" s="116" t="s">
        <v>80</v>
      </c>
      <c r="F52" s="131">
        <v>131394.0</v>
      </c>
      <c r="G52" s="113">
        <v>10000.0</v>
      </c>
      <c r="H52" s="111" t="s">
        <v>61</v>
      </c>
      <c r="I52" s="107" t="str">
        <f t="shared" si="4"/>
        <v>PARTIALLY PAID</v>
      </c>
      <c r="J52" s="107"/>
      <c r="K52" s="107"/>
      <c r="L52" s="107"/>
      <c r="M52" s="107"/>
      <c r="N52" s="107"/>
      <c r="O52" s="107"/>
      <c r="P52" s="107"/>
      <c r="Q52" s="107"/>
      <c r="R52" s="107"/>
      <c r="S52" s="107"/>
      <c r="T52" s="107"/>
      <c r="U52" s="107"/>
      <c r="V52" s="107"/>
      <c r="W52" s="107"/>
      <c r="X52" s="107"/>
      <c r="Y52" s="107"/>
      <c r="Z52" s="107"/>
    </row>
    <row r="53" ht="14.25" customHeight="1">
      <c r="A53" s="110">
        <v>45497.0</v>
      </c>
      <c r="B53" s="127" t="s">
        <v>90</v>
      </c>
      <c r="C53" s="128" t="s">
        <v>91</v>
      </c>
      <c r="D53" s="128" t="s">
        <v>75</v>
      </c>
      <c r="E53" s="128" t="s">
        <v>70</v>
      </c>
      <c r="F53" s="129">
        <v>172500.0</v>
      </c>
      <c r="G53" s="109"/>
      <c r="H53" s="111" t="s">
        <v>132</v>
      </c>
      <c r="I53" s="107" t="str">
        <f t="shared" si="4"/>
        <v>NOT PAID</v>
      </c>
      <c r="J53" s="107"/>
      <c r="K53" s="107"/>
      <c r="L53" s="107"/>
      <c r="M53" s="107"/>
      <c r="N53" s="107"/>
      <c r="O53" s="107"/>
      <c r="P53" s="107"/>
      <c r="Q53" s="107"/>
      <c r="R53" s="107"/>
      <c r="S53" s="107"/>
      <c r="T53" s="107"/>
      <c r="U53" s="107"/>
      <c r="V53" s="107"/>
      <c r="W53" s="107"/>
      <c r="X53" s="107"/>
      <c r="Y53" s="107"/>
      <c r="Z53" s="107"/>
    </row>
    <row r="54" ht="14.25" customHeight="1">
      <c r="A54" s="110">
        <v>45497.0</v>
      </c>
      <c r="B54" s="114" t="s">
        <v>62</v>
      </c>
      <c r="C54" s="111" t="s">
        <v>63</v>
      </c>
      <c r="D54" s="111" t="s">
        <v>54</v>
      </c>
      <c r="E54" s="111" t="s">
        <v>60</v>
      </c>
      <c r="F54" s="112">
        <v>19875.0</v>
      </c>
      <c r="G54" s="113">
        <v>20868.0</v>
      </c>
      <c r="H54" s="111" t="s">
        <v>61</v>
      </c>
      <c r="I54" s="107" t="str">
        <f t="shared" si="4"/>
        <v>FULLY PAID</v>
      </c>
      <c r="J54" s="107"/>
      <c r="K54" s="107"/>
      <c r="L54" s="107"/>
      <c r="M54" s="107"/>
      <c r="N54" s="107"/>
      <c r="O54" s="107"/>
      <c r="P54" s="107"/>
      <c r="Q54" s="107"/>
      <c r="R54" s="107"/>
      <c r="S54" s="107"/>
      <c r="T54" s="107"/>
      <c r="U54" s="107"/>
      <c r="V54" s="107"/>
      <c r="W54" s="107"/>
      <c r="X54" s="107"/>
      <c r="Y54" s="107"/>
      <c r="Z54" s="107"/>
    </row>
    <row r="55" ht="14.25" customHeight="1">
      <c r="A55" s="110">
        <v>45497.0</v>
      </c>
      <c r="B55" s="116" t="s">
        <v>96</v>
      </c>
      <c r="C55" s="117" t="s">
        <v>97</v>
      </c>
      <c r="D55" s="117" t="s">
        <v>54</v>
      </c>
      <c r="E55" s="117" t="s">
        <v>70</v>
      </c>
      <c r="F55" s="123">
        <v>25764.0</v>
      </c>
      <c r="G55" s="109"/>
      <c r="H55" s="111" t="s">
        <v>131</v>
      </c>
      <c r="I55" s="107" t="str">
        <f t="shared" si="4"/>
        <v>NOT PAID</v>
      </c>
      <c r="J55" s="107"/>
      <c r="K55" s="107"/>
      <c r="L55" s="107"/>
      <c r="M55" s="107"/>
      <c r="N55" s="107"/>
      <c r="O55" s="107"/>
      <c r="P55" s="107"/>
      <c r="Q55" s="107"/>
      <c r="R55" s="107"/>
      <c r="S55" s="107"/>
      <c r="T55" s="107"/>
      <c r="U55" s="107"/>
      <c r="V55" s="107"/>
      <c r="W55" s="107"/>
      <c r="X55" s="107"/>
      <c r="Y55" s="107"/>
      <c r="Z55" s="107"/>
    </row>
    <row r="56" ht="14.25" customHeight="1">
      <c r="A56" s="110">
        <v>45497.0</v>
      </c>
      <c r="B56" s="114" t="s">
        <v>57</v>
      </c>
      <c r="C56" s="130" t="s">
        <v>58</v>
      </c>
      <c r="D56" s="130" t="s">
        <v>59</v>
      </c>
      <c r="E56" s="130" t="s">
        <v>80</v>
      </c>
      <c r="F56" s="129">
        <v>123307.0</v>
      </c>
      <c r="G56" s="109"/>
      <c r="H56" s="111" t="s">
        <v>61</v>
      </c>
      <c r="I56" s="107" t="str">
        <f t="shared" si="4"/>
        <v>NOT PAID</v>
      </c>
      <c r="J56" s="107"/>
      <c r="K56" s="107"/>
      <c r="L56" s="107"/>
      <c r="M56" s="107"/>
      <c r="N56" s="107"/>
      <c r="O56" s="107"/>
      <c r="P56" s="107"/>
      <c r="Q56" s="107"/>
      <c r="R56" s="107"/>
      <c r="S56" s="107"/>
      <c r="T56" s="107"/>
      <c r="U56" s="107"/>
      <c r="V56" s="107"/>
      <c r="W56" s="107"/>
      <c r="X56" s="107"/>
      <c r="Y56" s="107"/>
      <c r="Z56" s="107"/>
    </row>
    <row r="57" ht="14.25" customHeight="1">
      <c r="A57" s="110">
        <v>45497.0</v>
      </c>
      <c r="B57" s="114" t="s">
        <v>103</v>
      </c>
      <c r="C57" s="130" t="s">
        <v>133</v>
      </c>
      <c r="D57" s="130" t="s">
        <v>59</v>
      </c>
      <c r="E57" s="130" t="s">
        <v>80</v>
      </c>
      <c r="F57" s="129">
        <v>2747766.0</v>
      </c>
      <c r="G57" s="109"/>
      <c r="H57" s="111" t="s">
        <v>134</v>
      </c>
      <c r="I57" s="107" t="str">
        <f t="shared" si="4"/>
        <v>NOT PAID</v>
      </c>
      <c r="J57" s="107"/>
      <c r="K57" s="107"/>
      <c r="L57" s="107"/>
      <c r="M57" s="107"/>
      <c r="N57" s="107"/>
      <c r="O57" s="107"/>
      <c r="P57" s="107"/>
      <c r="Q57" s="107"/>
      <c r="R57" s="107"/>
      <c r="S57" s="107"/>
      <c r="T57" s="107"/>
      <c r="U57" s="107"/>
      <c r="V57" s="107"/>
      <c r="W57" s="107"/>
      <c r="X57" s="107"/>
      <c r="Y57" s="107"/>
      <c r="Z57" s="107"/>
    </row>
    <row r="58" ht="14.25" customHeight="1">
      <c r="A58" s="110">
        <v>45497.0</v>
      </c>
      <c r="B58" s="114" t="s">
        <v>135</v>
      </c>
      <c r="C58" s="130" t="s">
        <v>136</v>
      </c>
      <c r="D58" s="130" t="s">
        <v>54</v>
      </c>
      <c r="E58" s="130" t="s">
        <v>70</v>
      </c>
      <c r="F58" s="129">
        <v>843546.0</v>
      </c>
      <c r="G58" s="109"/>
      <c r="H58" s="111" t="s">
        <v>137</v>
      </c>
      <c r="I58" s="107" t="str">
        <f t="shared" si="4"/>
        <v>NOT PAID</v>
      </c>
      <c r="J58" s="107"/>
      <c r="K58" s="107"/>
      <c r="L58" s="107"/>
      <c r="M58" s="107"/>
      <c r="N58" s="107"/>
      <c r="O58" s="107"/>
      <c r="P58" s="107"/>
      <c r="Q58" s="107"/>
      <c r="R58" s="107"/>
      <c r="S58" s="107"/>
      <c r="T58" s="107"/>
      <c r="U58" s="107"/>
      <c r="V58" s="107"/>
      <c r="W58" s="107"/>
      <c r="X58" s="107"/>
      <c r="Y58" s="107"/>
      <c r="Z58" s="107"/>
    </row>
    <row r="59" ht="14.25" customHeight="1">
      <c r="A59" s="110">
        <v>45497.0</v>
      </c>
      <c r="B59" s="121" t="s">
        <v>88</v>
      </c>
      <c r="C59" s="122" t="s">
        <v>89</v>
      </c>
      <c r="D59" s="122" t="s">
        <v>54</v>
      </c>
      <c r="E59" s="122" t="s">
        <v>80</v>
      </c>
      <c r="F59" s="123">
        <v>205590.0</v>
      </c>
      <c r="G59" s="109"/>
      <c r="H59" s="111" t="s">
        <v>138</v>
      </c>
      <c r="I59" s="107" t="str">
        <f t="shared" si="4"/>
        <v>NOT PAID</v>
      </c>
      <c r="J59" s="107"/>
      <c r="K59" s="107"/>
      <c r="L59" s="107"/>
      <c r="M59" s="107"/>
      <c r="N59" s="107"/>
      <c r="O59" s="107"/>
      <c r="P59" s="107"/>
      <c r="Q59" s="107"/>
      <c r="R59" s="107"/>
      <c r="S59" s="107"/>
      <c r="T59" s="107"/>
      <c r="U59" s="107"/>
      <c r="V59" s="107"/>
      <c r="W59" s="107"/>
      <c r="X59" s="107"/>
      <c r="Y59" s="107"/>
      <c r="Z59" s="107"/>
    </row>
    <row r="60" ht="14.25" customHeight="1">
      <c r="A60" s="110">
        <v>45497.0</v>
      </c>
      <c r="B60" s="116" t="s">
        <v>71</v>
      </c>
      <c r="C60" s="117" t="s">
        <v>72</v>
      </c>
      <c r="D60" s="117" t="s">
        <v>54</v>
      </c>
      <c r="E60" s="111" t="s">
        <v>129</v>
      </c>
      <c r="F60" s="113">
        <v>800000.0</v>
      </c>
      <c r="G60" s="109"/>
      <c r="H60" s="111" t="s">
        <v>139</v>
      </c>
      <c r="I60" s="107" t="str">
        <f t="shared" si="4"/>
        <v>NOT PAID</v>
      </c>
      <c r="J60" s="107"/>
      <c r="K60" s="107"/>
      <c r="L60" s="107"/>
      <c r="M60" s="107"/>
      <c r="N60" s="107"/>
      <c r="O60" s="107"/>
      <c r="P60" s="107"/>
      <c r="Q60" s="107"/>
      <c r="R60" s="107"/>
      <c r="S60" s="107"/>
      <c r="T60" s="107"/>
      <c r="U60" s="107"/>
      <c r="V60" s="107"/>
      <c r="W60" s="107"/>
      <c r="X60" s="107"/>
      <c r="Y60" s="107"/>
      <c r="Z60" s="107"/>
    </row>
    <row r="61" ht="14.25" customHeight="1">
      <c r="A61" s="107"/>
      <c r="B61" s="107"/>
      <c r="C61" s="140"/>
      <c r="D61" s="141"/>
      <c r="E61" s="107"/>
      <c r="F61" s="109"/>
      <c r="G61" s="109"/>
      <c r="H61" s="107"/>
      <c r="I61" s="107"/>
      <c r="J61" s="107"/>
      <c r="K61" s="107"/>
      <c r="L61" s="107"/>
      <c r="M61" s="107"/>
      <c r="N61" s="107"/>
      <c r="O61" s="107"/>
      <c r="P61" s="107"/>
      <c r="Q61" s="107"/>
      <c r="R61" s="107"/>
      <c r="S61" s="107"/>
      <c r="T61" s="107"/>
      <c r="U61" s="107"/>
      <c r="V61" s="107"/>
      <c r="W61" s="107"/>
      <c r="X61" s="107"/>
      <c r="Y61" s="107"/>
      <c r="Z61" s="107"/>
    </row>
    <row r="62" ht="14.25" customHeight="1">
      <c r="A62" s="107"/>
      <c r="B62" s="107"/>
      <c r="C62" s="111"/>
      <c r="D62" s="107"/>
      <c r="E62" s="107"/>
      <c r="F62" s="109"/>
      <c r="G62" s="109"/>
      <c r="H62" s="107"/>
      <c r="I62" s="107"/>
      <c r="J62" s="107"/>
      <c r="K62" s="107"/>
      <c r="L62" s="107"/>
      <c r="M62" s="107"/>
      <c r="N62" s="107"/>
      <c r="O62" s="107"/>
      <c r="P62" s="107"/>
      <c r="Q62" s="107"/>
      <c r="R62" s="107"/>
      <c r="S62" s="107"/>
      <c r="T62" s="107"/>
      <c r="U62" s="107"/>
      <c r="V62" s="107"/>
      <c r="W62" s="107"/>
      <c r="X62" s="107"/>
      <c r="Y62" s="107"/>
      <c r="Z62" s="107"/>
    </row>
    <row r="63" ht="14.25" customHeight="1">
      <c r="A63" s="110"/>
      <c r="B63" s="142"/>
      <c r="C63" s="143">
        <v>45498.0</v>
      </c>
      <c r="D63" s="133"/>
      <c r="E63" s="134"/>
      <c r="F63" s="135"/>
      <c r="G63" s="113"/>
      <c r="H63" s="107"/>
      <c r="I63" s="107"/>
      <c r="J63" s="107"/>
      <c r="K63" s="107"/>
      <c r="L63" s="107"/>
      <c r="M63" s="107"/>
      <c r="N63" s="107"/>
      <c r="O63" s="107"/>
      <c r="P63" s="107"/>
      <c r="Q63" s="107"/>
      <c r="R63" s="107"/>
      <c r="S63" s="107"/>
      <c r="T63" s="107"/>
      <c r="U63" s="107"/>
      <c r="V63" s="107"/>
      <c r="W63" s="107"/>
      <c r="X63" s="107"/>
      <c r="Y63" s="107"/>
      <c r="Z63" s="107"/>
    </row>
    <row r="64" ht="14.25" customHeight="1">
      <c r="A64" s="110">
        <v>45498.0</v>
      </c>
      <c r="B64" s="116" t="s">
        <v>96</v>
      </c>
      <c r="C64" s="117" t="s">
        <v>97</v>
      </c>
      <c r="D64" s="117" t="s">
        <v>54</v>
      </c>
      <c r="E64" s="117" t="s">
        <v>70</v>
      </c>
      <c r="F64" s="123">
        <v>25764.0</v>
      </c>
      <c r="G64" s="137"/>
      <c r="H64" s="111" t="s">
        <v>61</v>
      </c>
      <c r="I64" s="107" t="str">
        <f t="shared" ref="I64:I92" si="5">IF(G64&gt;=F64,"FULLY PAID",IF(G64=0,"NOT PAID","PARTIALLY PAID"))</f>
        <v>NOT PAID</v>
      </c>
      <c r="J64" s="107"/>
      <c r="K64" s="107"/>
      <c r="L64" s="107"/>
      <c r="M64" s="107"/>
      <c r="N64" s="107"/>
      <c r="O64" s="107"/>
      <c r="P64" s="107"/>
      <c r="Q64" s="107"/>
      <c r="R64" s="107"/>
      <c r="S64" s="107"/>
      <c r="T64" s="107"/>
      <c r="U64" s="107"/>
      <c r="V64" s="107"/>
      <c r="W64" s="107"/>
      <c r="X64" s="107"/>
      <c r="Y64" s="107"/>
      <c r="Z64" s="107"/>
    </row>
    <row r="65" ht="15.75" customHeight="1">
      <c r="A65" s="110">
        <v>45498.0</v>
      </c>
      <c r="B65" s="127" t="s">
        <v>90</v>
      </c>
      <c r="C65" s="128" t="s">
        <v>91</v>
      </c>
      <c r="D65" s="128" t="s">
        <v>75</v>
      </c>
      <c r="E65" s="128" t="s">
        <v>70</v>
      </c>
      <c r="F65" s="129">
        <v>172500.0</v>
      </c>
      <c r="G65" s="134">
        <v>181625.0</v>
      </c>
      <c r="H65" s="111" t="s">
        <v>140</v>
      </c>
      <c r="I65" s="107" t="str">
        <f t="shared" si="5"/>
        <v>FULLY PAID</v>
      </c>
      <c r="J65" s="107"/>
      <c r="K65" s="107"/>
      <c r="L65" s="107"/>
      <c r="M65" s="107"/>
      <c r="N65" s="107"/>
      <c r="O65" s="107"/>
      <c r="P65" s="107"/>
      <c r="Q65" s="107"/>
      <c r="R65" s="107"/>
      <c r="S65" s="107"/>
      <c r="T65" s="107"/>
      <c r="U65" s="107"/>
      <c r="V65" s="107"/>
      <c r="W65" s="107"/>
      <c r="X65" s="107"/>
      <c r="Y65" s="107"/>
      <c r="Z65" s="107"/>
    </row>
    <row r="66" ht="15.0" customHeight="1">
      <c r="A66" s="110">
        <v>45498.0</v>
      </c>
      <c r="B66" s="114" t="s">
        <v>141</v>
      </c>
      <c r="C66" s="130" t="s">
        <v>142</v>
      </c>
      <c r="D66" s="130" t="s">
        <v>75</v>
      </c>
      <c r="E66" s="130" t="s">
        <v>80</v>
      </c>
      <c r="F66" s="129">
        <v>138000.0</v>
      </c>
      <c r="G66" s="137">
        <v>144900.0</v>
      </c>
      <c r="H66" s="111" t="s">
        <v>56</v>
      </c>
      <c r="I66" s="107" t="str">
        <f t="shared" si="5"/>
        <v>FULLY PAID</v>
      </c>
      <c r="J66" s="107"/>
      <c r="K66" s="107"/>
      <c r="L66" s="107"/>
      <c r="M66" s="107"/>
      <c r="N66" s="107"/>
      <c r="O66" s="107"/>
      <c r="P66" s="107"/>
      <c r="Q66" s="107"/>
      <c r="R66" s="107"/>
      <c r="S66" s="107"/>
      <c r="T66" s="107"/>
      <c r="U66" s="107"/>
      <c r="V66" s="107"/>
      <c r="W66" s="107"/>
      <c r="X66" s="107"/>
      <c r="Y66" s="107"/>
      <c r="Z66" s="107"/>
    </row>
    <row r="67" ht="14.25" customHeight="1">
      <c r="A67" s="110">
        <v>45498.0</v>
      </c>
      <c r="B67" s="114" t="s">
        <v>111</v>
      </c>
      <c r="C67" s="130" t="s">
        <v>112</v>
      </c>
      <c r="D67" s="130" t="s">
        <v>54</v>
      </c>
      <c r="E67" s="137" t="s">
        <v>80</v>
      </c>
      <c r="F67" s="138">
        <v>30000.0</v>
      </c>
      <c r="G67" s="137">
        <v>12000.0</v>
      </c>
      <c r="H67" s="111" t="s">
        <v>143</v>
      </c>
      <c r="I67" s="107" t="str">
        <f t="shared" si="5"/>
        <v>PARTIALLY PAID</v>
      </c>
      <c r="J67" s="107"/>
      <c r="K67" s="107"/>
      <c r="L67" s="107"/>
      <c r="M67" s="107"/>
      <c r="N67" s="107"/>
      <c r="O67" s="107"/>
      <c r="P67" s="107"/>
      <c r="Q67" s="107"/>
      <c r="R67" s="107"/>
      <c r="S67" s="107"/>
      <c r="T67" s="107"/>
      <c r="U67" s="107"/>
      <c r="V67" s="107"/>
      <c r="W67" s="107"/>
      <c r="X67" s="107"/>
      <c r="Y67" s="107"/>
      <c r="Z67" s="107"/>
    </row>
    <row r="68" ht="14.25" customHeight="1">
      <c r="A68" s="110">
        <v>45498.0</v>
      </c>
      <c r="B68" s="114" t="s">
        <v>57</v>
      </c>
      <c r="C68" s="130" t="s">
        <v>58</v>
      </c>
      <c r="D68" s="130" t="s">
        <v>59</v>
      </c>
      <c r="E68" s="130" t="s">
        <v>80</v>
      </c>
      <c r="F68" s="129">
        <v>123307.0</v>
      </c>
      <c r="G68" s="144">
        <v>45000.0</v>
      </c>
      <c r="H68" s="111" t="s">
        <v>143</v>
      </c>
      <c r="I68" s="107" t="str">
        <f t="shared" si="5"/>
        <v>PARTIALLY PAID</v>
      </c>
      <c r="J68" s="107"/>
      <c r="K68" s="107"/>
      <c r="L68" s="107"/>
      <c r="M68" s="107"/>
      <c r="N68" s="107"/>
      <c r="O68" s="107"/>
      <c r="P68" s="107"/>
      <c r="Q68" s="107"/>
      <c r="R68" s="107"/>
      <c r="S68" s="107"/>
      <c r="T68" s="107"/>
      <c r="U68" s="107"/>
      <c r="V68" s="107"/>
      <c r="W68" s="107"/>
      <c r="X68" s="107"/>
      <c r="Y68" s="107"/>
      <c r="Z68" s="107"/>
    </row>
    <row r="69" ht="14.25" customHeight="1">
      <c r="A69" s="110">
        <v>45498.0</v>
      </c>
      <c r="B69" s="121" t="s">
        <v>81</v>
      </c>
      <c r="C69" s="114" t="s">
        <v>82</v>
      </c>
      <c r="D69" s="114" t="s">
        <v>75</v>
      </c>
      <c r="E69" s="114" t="s">
        <v>70</v>
      </c>
      <c r="F69" s="115">
        <v>105000.0</v>
      </c>
      <c r="G69" s="144"/>
      <c r="H69" s="111" t="s">
        <v>144</v>
      </c>
      <c r="I69" s="107" t="str">
        <f t="shared" si="5"/>
        <v>NOT PAID</v>
      </c>
      <c r="J69" s="107"/>
      <c r="K69" s="107"/>
      <c r="L69" s="107"/>
      <c r="M69" s="107"/>
      <c r="N69" s="107"/>
      <c r="O69" s="107"/>
      <c r="P69" s="107"/>
      <c r="Q69" s="107"/>
      <c r="R69" s="107"/>
      <c r="S69" s="107"/>
      <c r="T69" s="107"/>
      <c r="U69" s="107"/>
      <c r="V69" s="107"/>
      <c r="W69" s="107"/>
      <c r="X69" s="107"/>
      <c r="Y69" s="107"/>
      <c r="Z69" s="107"/>
    </row>
    <row r="70" ht="14.25" customHeight="1">
      <c r="A70" s="110">
        <v>45498.0</v>
      </c>
      <c r="B70" s="121" t="s">
        <v>145</v>
      </c>
      <c r="C70" s="122" t="s">
        <v>86</v>
      </c>
      <c r="D70" s="122" t="s">
        <v>54</v>
      </c>
      <c r="E70" s="122" t="s">
        <v>70</v>
      </c>
      <c r="F70" s="123">
        <v>131353.0</v>
      </c>
      <c r="G70" s="113">
        <v>65680.0</v>
      </c>
      <c r="H70" s="111" t="s">
        <v>146</v>
      </c>
      <c r="I70" s="107" t="str">
        <f t="shared" si="5"/>
        <v>PARTIALLY PAID</v>
      </c>
      <c r="J70" s="107"/>
      <c r="K70" s="107"/>
      <c r="L70" s="107"/>
      <c r="M70" s="107"/>
      <c r="N70" s="107"/>
      <c r="O70" s="107"/>
      <c r="P70" s="107"/>
      <c r="Q70" s="107"/>
      <c r="R70" s="107"/>
      <c r="S70" s="107"/>
      <c r="T70" s="107"/>
      <c r="U70" s="107"/>
      <c r="V70" s="107"/>
      <c r="W70" s="107"/>
      <c r="X70" s="107"/>
      <c r="Y70" s="107"/>
      <c r="Z70" s="107"/>
    </row>
    <row r="71" ht="14.25" customHeight="1">
      <c r="A71" s="110">
        <v>45498.0</v>
      </c>
      <c r="B71" s="114" t="s">
        <v>147</v>
      </c>
      <c r="C71" s="130" t="s">
        <v>148</v>
      </c>
      <c r="D71" s="130" t="s">
        <v>54</v>
      </c>
      <c r="E71" s="130" t="s">
        <v>70</v>
      </c>
      <c r="F71" s="129">
        <v>75282.0</v>
      </c>
      <c r="G71" s="113">
        <v>75282.0</v>
      </c>
      <c r="H71" s="111" t="s">
        <v>149</v>
      </c>
      <c r="I71" s="107" t="str">
        <f t="shared" si="5"/>
        <v>FULLY PAID</v>
      </c>
      <c r="J71" s="107"/>
      <c r="K71" s="107"/>
      <c r="L71" s="107"/>
      <c r="M71" s="107"/>
      <c r="N71" s="107"/>
      <c r="O71" s="107"/>
      <c r="P71" s="107"/>
      <c r="Q71" s="107"/>
      <c r="R71" s="107"/>
      <c r="S71" s="107"/>
      <c r="T71" s="107"/>
      <c r="U71" s="107"/>
      <c r="V71" s="107"/>
      <c r="W71" s="107"/>
      <c r="X71" s="107"/>
      <c r="Y71" s="107"/>
      <c r="Z71" s="107"/>
    </row>
    <row r="72" ht="14.25" customHeight="1">
      <c r="A72" s="110">
        <v>45498.0</v>
      </c>
      <c r="B72" s="121" t="s">
        <v>135</v>
      </c>
      <c r="C72" s="122" t="s">
        <v>136</v>
      </c>
      <c r="D72" s="122" t="s">
        <v>54</v>
      </c>
      <c r="E72" s="122" t="s">
        <v>70</v>
      </c>
      <c r="F72" s="123">
        <v>843546.0</v>
      </c>
      <c r="G72" s="109"/>
      <c r="H72" s="111" t="s">
        <v>150</v>
      </c>
      <c r="I72" s="107" t="str">
        <f t="shared" si="5"/>
        <v>NOT PAID</v>
      </c>
      <c r="J72" s="107"/>
      <c r="K72" s="107"/>
      <c r="L72" s="107"/>
      <c r="M72" s="107"/>
      <c r="N72" s="107"/>
      <c r="O72" s="107"/>
      <c r="P72" s="107"/>
      <c r="Q72" s="107"/>
      <c r="R72" s="107"/>
      <c r="S72" s="107"/>
      <c r="T72" s="107"/>
      <c r="U72" s="107"/>
      <c r="V72" s="107"/>
      <c r="W72" s="107"/>
      <c r="X72" s="107"/>
      <c r="Y72" s="107"/>
      <c r="Z72" s="107"/>
    </row>
    <row r="73" ht="14.25" customHeight="1">
      <c r="A73" s="110">
        <v>45498.0</v>
      </c>
      <c r="B73" s="114" t="s">
        <v>123</v>
      </c>
      <c r="C73" s="130" t="s">
        <v>151</v>
      </c>
      <c r="D73" s="130" t="s">
        <v>75</v>
      </c>
      <c r="E73" s="130" t="s">
        <v>70</v>
      </c>
      <c r="F73" s="129">
        <v>5500000.0</v>
      </c>
      <c r="G73" s="109"/>
      <c r="H73" s="145" t="s">
        <v>144</v>
      </c>
      <c r="I73" s="107" t="str">
        <f t="shared" si="5"/>
        <v>NOT PAID</v>
      </c>
      <c r="J73" s="107"/>
      <c r="K73" s="107"/>
      <c r="L73" s="107"/>
      <c r="M73" s="107"/>
      <c r="N73" s="107"/>
      <c r="O73" s="107"/>
      <c r="P73" s="107"/>
      <c r="Q73" s="107"/>
      <c r="R73" s="107"/>
      <c r="S73" s="107"/>
      <c r="T73" s="107"/>
      <c r="U73" s="107"/>
      <c r="V73" s="107"/>
      <c r="W73" s="107"/>
      <c r="X73" s="107"/>
      <c r="Y73" s="107"/>
      <c r="Z73" s="107"/>
    </row>
    <row r="74" ht="14.25" customHeight="1">
      <c r="A74" s="110">
        <v>45498.0</v>
      </c>
      <c r="B74" s="121" t="s">
        <v>152</v>
      </c>
      <c r="C74" s="122" t="s">
        <v>153</v>
      </c>
      <c r="D74" s="122" t="s">
        <v>67</v>
      </c>
      <c r="E74" s="122" t="s">
        <v>154</v>
      </c>
      <c r="F74" s="123">
        <v>959433.0</v>
      </c>
      <c r="G74" s="146"/>
      <c r="H74" s="111" t="s">
        <v>155</v>
      </c>
      <c r="I74" s="107" t="str">
        <f t="shared" si="5"/>
        <v>NOT PAID</v>
      </c>
      <c r="J74" s="107"/>
      <c r="K74" s="107"/>
      <c r="L74" s="107"/>
      <c r="M74" s="107"/>
      <c r="N74" s="107"/>
      <c r="O74" s="107"/>
      <c r="P74" s="107"/>
      <c r="Q74" s="107"/>
      <c r="R74" s="107"/>
      <c r="S74" s="107"/>
      <c r="T74" s="107"/>
      <c r="U74" s="107"/>
      <c r="V74" s="107"/>
      <c r="W74" s="107"/>
      <c r="X74" s="107"/>
      <c r="Y74" s="107"/>
      <c r="Z74" s="107"/>
    </row>
    <row r="75" ht="14.25" customHeight="1">
      <c r="A75" s="110">
        <v>45498.0</v>
      </c>
      <c r="B75" s="121" t="s">
        <v>88</v>
      </c>
      <c r="C75" s="122" t="s">
        <v>89</v>
      </c>
      <c r="D75" s="122" t="s">
        <v>54</v>
      </c>
      <c r="E75" s="147" t="s">
        <v>80</v>
      </c>
      <c r="F75" s="123">
        <v>205590.0</v>
      </c>
      <c r="G75" s="109"/>
      <c r="H75" s="111" t="s">
        <v>156</v>
      </c>
      <c r="I75" s="107" t="str">
        <f t="shared" si="5"/>
        <v>NOT PAID</v>
      </c>
      <c r="J75" s="107"/>
      <c r="K75" s="107"/>
      <c r="L75" s="107"/>
      <c r="M75" s="107"/>
      <c r="N75" s="107"/>
      <c r="O75" s="107"/>
      <c r="P75" s="107"/>
      <c r="Q75" s="107"/>
      <c r="R75" s="107"/>
      <c r="S75" s="107"/>
      <c r="T75" s="107"/>
      <c r="U75" s="107"/>
      <c r="V75" s="107"/>
      <c r="W75" s="107"/>
      <c r="X75" s="107"/>
      <c r="Y75" s="107"/>
      <c r="Z75" s="107"/>
    </row>
    <row r="76" ht="14.25" customHeight="1">
      <c r="A76" s="110">
        <v>45498.0</v>
      </c>
      <c r="B76" s="121" t="s">
        <v>71</v>
      </c>
      <c r="C76" s="122" t="s">
        <v>157</v>
      </c>
      <c r="D76" s="122" t="s">
        <v>54</v>
      </c>
      <c r="E76" s="122" t="s">
        <v>158</v>
      </c>
      <c r="F76" s="123">
        <v>800000.0</v>
      </c>
      <c r="G76" s="109"/>
      <c r="H76" s="111" t="s">
        <v>159</v>
      </c>
      <c r="I76" s="107" t="str">
        <f t="shared" si="5"/>
        <v>NOT PAID</v>
      </c>
      <c r="J76" s="107"/>
      <c r="K76" s="107"/>
      <c r="L76" s="107"/>
      <c r="M76" s="107"/>
      <c r="N76" s="107"/>
      <c r="O76" s="107"/>
      <c r="P76" s="107"/>
      <c r="Q76" s="107"/>
      <c r="R76" s="107"/>
      <c r="S76" s="107"/>
      <c r="T76" s="107"/>
      <c r="U76" s="107"/>
      <c r="V76" s="107"/>
      <c r="W76" s="107"/>
      <c r="X76" s="107"/>
      <c r="Y76" s="107"/>
      <c r="Z76" s="107"/>
    </row>
    <row r="77" ht="14.25" customHeight="1">
      <c r="A77" s="110">
        <v>45498.0</v>
      </c>
      <c r="B77" s="111" t="s">
        <v>160</v>
      </c>
      <c r="C77" s="111" t="s">
        <v>161</v>
      </c>
      <c r="D77" s="111" t="s">
        <v>75</v>
      </c>
      <c r="E77" s="111" t="s">
        <v>154</v>
      </c>
      <c r="F77" s="113">
        <v>289407.0</v>
      </c>
      <c r="G77" s="113">
        <v>100000.0</v>
      </c>
      <c r="H77" s="111" t="s">
        <v>61</v>
      </c>
      <c r="I77" s="107" t="str">
        <f t="shared" si="5"/>
        <v>PARTIALLY PAID</v>
      </c>
      <c r="J77" s="107"/>
      <c r="K77" s="107"/>
      <c r="L77" s="107"/>
      <c r="M77" s="107"/>
      <c r="N77" s="107"/>
      <c r="O77" s="107"/>
      <c r="P77" s="107"/>
      <c r="Q77" s="107"/>
      <c r="R77" s="107"/>
      <c r="S77" s="107"/>
      <c r="T77" s="107"/>
      <c r="U77" s="107"/>
      <c r="V77" s="107"/>
      <c r="W77" s="107"/>
      <c r="X77" s="107"/>
      <c r="Y77" s="107"/>
      <c r="Z77" s="107"/>
    </row>
    <row r="78" ht="14.25" customHeight="1">
      <c r="A78" s="110">
        <v>45498.0</v>
      </c>
      <c r="B78" s="111" t="s">
        <v>162</v>
      </c>
      <c r="C78" s="111" t="s">
        <v>163</v>
      </c>
      <c r="D78" s="111" t="s">
        <v>54</v>
      </c>
      <c r="E78" s="111" t="s">
        <v>80</v>
      </c>
      <c r="F78" s="113">
        <v>152336.0</v>
      </c>
      <c r="G78" s="113">
        <v>20000.0</v>
      </c>
      <c r="H78" s="111" t="s">
        <v>164</v>
      </c>
      <c r="I78" s="107" t="str">
        <f t="shared" si="5"/>
        <v>PARTIALLY PAID</v>
      </c>
      <c r="J78" s="107"/>
      <c r="K78" s="107"/>
      <c r="L78" s="107"/>
      <c r="M78" s="107"/>
      <c r="N78" s="107"/>
      <c r="O78" s="107"/>
      <c r="P78" s="107"/>
      <c r="Q78" s="107"/>
      <c r="R78" s="107"/>
      <c r="S78" s="107"/>
      <c r="T78" s="107"/>
      <c r="U78" s="107"/>
      <c r="V78" s="107"/>
      <c r="W78" s="107"/>
      <c r="X78" s="107"/>
      <c r="Y78" s="107"/>
      <c r="Z78" s="107"/>
    </row>
    <row r="79" ht="14.25" customHeight="1">
      <c r="A79" s="110"/>
      <c r="B79" s="148"/>
      <c r="C79" s="149"/>
      <c r="D79" s="130"/>
      <c r="E79" s="111"/>
      <c r="F79" s="150"/>
      <c r="G79" s="109"/>
      <c r="H79" s="107"/>
      <c r="I79" s="107" t="str">
        <f t="shared" si="5"/>
        <v>FULLY PAID</v>
      </c>
      <c r="J79" s="107"/>
      <c r="K79" s="107"/>
      <c r="L79" s="107"/>
      <c r="M79" s="107"/>
      <c r="N79" s="107"/>
      <c r="O79" s="107"/>
      <c r="P79" s="107"/>
      <c r="Q79" s="107"/>
      <c r="R79" s="107"/>
      <c r="S79" s="107"/>
      <c r="T79" s="107"/>
      <c r="U79" s="107"/>
      <c r="V79" s="107"/>
      <c r="W79" s="107"/>
      <c r="X79" s="107"/>
      <c r="Y79" s="107"/>
      <c r="Z79" s="107"/>
    </row>
    <row r="80" ht="18.0" customHeight="1">
      <c r="A80" s="110"/>
      <c r="B80" s="142"/>
      <c r="C80" s="151">
        <v>45499.0</v>
      </c>
      <c r="D80" s="130"/>
      <c r="E80" s="111"/>
      <c r="F80" s="150"/>
      <c r="G80" s="109"/>
      <c r="H80" s="107"/>
      <c r="I80" s="107" t="str">
        <f t="shared" si="5"/>
        <v>FULLY PAID</v>
      </c>
      <c r="J80" s="107"/>
      <c r="K80" s="107"/>
      <c r="L80" s="107"/>
      <c r="M80" s="107"/>
      <c r="N80" s="107"/>
      <c r="O80" s="107"/>
      <c r="P80" s="107"/>
      <c r="Q80" s="107"/>
      <c r="R80" s="107"/>
      <c r="S80" s="107"/>
      <c r="T80" s="107"/>
      <c r="U80" s="107"/>
      <c r="V80" s="107"/>
      <c r="W80" s="107"/>
      <c r="X80" s="107"/>
      <c r="Y80" s="107"/>
      <c r="Z80" s="107"/>
    </row>
    <row r="81" ht="18.75" customHeight="1">
      <c r="A81" s="110">
        <v>45499.0</v>
      </c>
      <c r="B81" s="121" t="s">
        <v>81</v>
      </c>
      <c r="C81" s="122" t="s">
        <v>82</v>
      </c>
      <c r="D81" s="122" t="s">
        <v>75</v>
      </c>
      <c r="E81" s="122" t="s">
        <v>80</v>
      </c>
      <c r="F81" s="123">
        <v>105000.0</v>
      </c>
      <c r="G81" s="113"/>
      <c r="H81" s="111" t="s">
        <v>165</v>
      </c>
      <c r="I81" s="107" t="str">
        <f t="shared" si="5"/>
        <v>NOT PAID</v>
      </c>
      <c r="J81" s="107"/>
      <c r="K81" s="107"/>
      <c r="L81" s="107"/>
      <c r="M81" s="107"/>
      <c r="N81" s="107"/>
      <c r="O81" s="107"/>
      <c r="P81" s="107"/>
      <c r="Q81" s="107"/>
      <c r="R81" s="107"/>
      <c r="S81" s="107"/>
      <c r="T81" s="107"/>
      <c r="U81" s="107"/>
      <c r="V81" s="107"/>
      <c r="W81" s="107"/>
      <c r="X81" s="107"/>
      <c r="Y81" s="107"/>
      <c r="Z81" s="107"/>
    </row>
    <row r="82" ht="14.25" customHeight="1">
      <c r="A82" s="110">
        <v>45499.0</v>
      </c>
      <c r="B82" s="152" t="s">
        <v>88</v>
      </c>
      <c r="C82" s="153" t="s">
        <v>89</v>
      </c>
      <c r="D82" s="153" t="s">
        <v>54</v>
      </c>
      <c r="E82" s="153" t="s">
        <v>80</v>
      </c>
      <c r="F82" s="154">
        <v>216868.0</v>
      </c>
      <c r="G82" s="109"/>
      <c r="H82" s="111" t="s">
        <v>166</v>
      </c>
      <c r="I82" s="107" t="str">
        <f t="shared" si="5"/>
        <v>NOT PAID</v>
      </c>
      <c r="J82" s="107"/>
      <c r="K82" s="107"/>
      <c r="L82" s="107"/>
      <c r="M82" s="107"/>
      <c r="N82" s="107"/>
      <c r="O82" s="107"/>
      <c r="P82" s="107"/>
      <c r="Q82" s="107"/>
      <c r="R82" s="107"/>
      <c r="S82" s="107"/>
      <c r="T82" s="107"/>
      <c r="U82" s="107"/>
      <c r="V82" s="107"/>
      <c r="W82" s="107"/>
      <c r="X82" s="107"/>
      <c r="Y82" s="107"/>
      <c r="Z82" s="107"/>
    </row>
    <row r="83" ht="14.25" customHeight="1">
      <c r="A83" s="110">
        <v>45499.0</v>
      </c>
      <c r="B83" s="118" t="s">
        <v>111</v>
      </c>
      <c r="C83" s="119" t="s">
        <v>112</v>
      </c>
      <c r="D83" s="119" t="s">
        <v>54</v>
      </c>
      <c r="E83" s="119" t="s">
        <v>80</v>
      </c>
      <c r="F83" s="120">
        <v>17924.0</v>
      </c>
      <c r="G83" s="109"/>
      <c r="H83" s="111" t="s">
        <v>167</v>
      </c>
      <c r="I83" s="107" t="str">
        <f t="shared" si="5"/>
        <v>NOT PAID</v>
      </c>
      <c r="J83" s="107"/>
      <c r="K83" s="107"/>
      <c r="L83" s="107"/>
      <c r="M83" s="107"/>
      <c r="N83" s="107"/>
      <c r="O83" s="107"/>
      <c r="P83" s="107"/>
      <c r="Q83" s="107"/>
      <c r="R83" s="107"/>
      <c r="S83" s="107"/>
      <c r="T83" s="107"/>
      <c r="U83" s="107"/>
      <c r="V83" s="107"/>
      <c r="W83" s="107"/>
      <c r="X83" s="107"/>
      <c r="Y83" s="107"/>
      <c r="Z83" s="107"/>
    </row>
    <row r="84" ht="14.25" customHeight="1">
      <c r="A84" s="110">
        <v>45499.0</v>
      </c>
      <c r="B84" s="127" t="s">
        <v>96</v>
      </c>
      <c r="C84" s="128" t="s">
        <v>97</v>
      </c>
      <c r="D84" s="128" t="s">
        <v>54</v>
      </c>
      <c r="E84" s="128" t="s">
        <v>70</v>
      </c>
      <c r="F84" s="129">
        <v>31579.0</v>
      </c>
      <c r="G84" s="113">
        <v>20000.0</v>
      </c>
      <c r="H84" s="111" t="s">
        <v>168</v>
      </c>
      <c r="I84" s="107" t="str">
        <f t="shared" si="5"/>
        <v>PARTIALLY PAID</v>
      </c>
      <c r="J84" s="107"/>
      <c r="K84" s="107"/>
      <c r="L84" s="107"/>
      <c r="M84" s="107"/>
      <c r="N84" s="107"/>
      <c r="O84" s="107"/>
      <c r="P84" s="107"/>
      <c r="Q84" s="107"/>
      <c r="R84" s="107"/>
      <c r="S84" s="107"/>
      <c r="T84" s="107"/>
      <c r="U84" s="107"/>
      <c r="V84" s="107"/>
      <c r="W84" s="107"/>
      <c r="X84" s="107"/>
      <c r="Y84" s="107"/>
      <c r="Z84" s="107"/>
    </row>
    <row r="85" ht="14.25" customHeight="1">
      <c r="A85" s="110">
        <v>45499.0</v>
      </c>
      <c r="B85" s="114" t="s">
        <v>57</v>
      </c>
      <c r="C85" s="130" t="s">
        <v>58</v>
      </c>
      <c r="D85" s="130" t="s">
        <v>59</v>
      </c>
      <c r="E85" s="130" t="s">
        <v>80</v>
      </c>
      <c r="F85" s="129">
        <v>78307.0</v>
      </c>
      <c r="G85" s="113">
        <v>30000.0</v>
      </c>
      <c r="H85" s="111" t="s">
        <v>169</v>
      </c>
      <c r="I85" s="107" t="str">
        <f t="shared" si="5"/>
        <v>PARTIALLY PAID</v>
      </c>
      <c r="J85" s="107"/>
      <c r="K85" s="107"/>
      <c r="L85" s="107"/>
      <c r="M85" s="107"/>
      <c r="N85" s="107"/>
      <c r="O85" s="107"/>
      <c r="P85" s="107"/>
      <c r="Q85" s="107"/>
      <c r="R85" s="107"/>
      <c r="S85" s="107"/>
      <c r="T85" s="107"/>
      <c r="U85" s="107"/>
      <c r="V85" s="107"/>
      <c r="W85" s="107"/>
      <c r="X85" s="107"/>
      <c r="Y85" s="107"/>
      <c r="Z85" s="107"/>
    </row>
    <row r="86" ht="14.25" customHeight="1">
      <c r="A86" s="110">
        <v>45499.0</v>
      </c>
      <c r="B86" s="114" t="s">
        <v>123</v>
      </c>
      <c r="C86" s="130" t="s">
        <v>151</v>
      </c>
      <c r="D86" s="130" t="s">
        <v>75</v>
      </c>
      <c r="E86" s="130" t="s">
        <v>70</v>
      </c>
      <c r="F86" s="129">
        <v>5500000.0</v>
      </c>
      <c r="G86" s="109"/>
      <c r="H86" s="111"/>
      <c r="I86" s="107" t="str">
        <f t="shared" si="5"/>
        <v>NOT PAID</v>
      </c>
      <c r="J86" s="107"/>
      <c r="K86" s="107"/>
      <c r="L86" s="107"/>
      <c r="M86" s="107"/>
      <c r="N86" s="107"/>
      <c r="O86" s="107"/>
      <c r="P86" s="107"/>
      <c r="Q86" s="107"/>
      <c r="R86" s="107"/>
      <c r="S86" s="107"/>
      <c r="T86" s="107"/>
      <c r="U86" s="107"/>
      <c r="V86" s="107"/>
      <c r="W86" s="107"/>
      <c r="X86" s="107"/>
      <c r="Y86" s="107"/>
      <c r="Z86" s="107"/>
    </row>
    <row r="87" ht="14.25" customHeight="1">
      <c r="A87" s="110">
        <v>45499.0</v>
      </c>
      <c r="B87" s="114" t="s">
        <v>71</v>
      </c>
      <c r="C87" s="130" t="s">
        <v>157</v>
      </c>
      <c r="D87" s="130" t="s">
        <v>54</v>
      </c>
      <c r="E87" s="130" t="s">
        <v>158</v>
      </c>
      <c r="F87" s="129">
        <v>800000.0</v>
      </c>
      <c r="G87" s="109"/>
      <c r="H87" s="111" t="s">
        <v>170</v>
      </c>
      <c r="I87" s="107" t="str">
        <f t="shared" si="5"/>
        <v>NOT PAID</v>
      </c>
      <c r="J87" s="107"/>
      <c r="K87" s="107"/>
      <c r="L87" s="107"/>
      <c r="M87" s="107"/>
      <c r="N87" s="107"/>
      <c r="O87" s="107"/>
      <c r="P87" s="107"/>
      <c r="Q87" s="107"/>
      <c r="R87" s="107"/>
      <c r="S87" s="107"/>
      <c r="T87" s="107"/>
      <c r="U87" s="107"/>
      <c r="V87" s="107"/>
      <c r="W87" s="107"/>
      <c r="X87" s="107"/>
      <c r="Y87" s="107"/>
      <c r="Z87" s="107"/>
    </row>
    <row r="88" ht="14.25" customHeight="1">
      <c r="A88" s="110">
        <v>45499.0</v>
      </c>
      <c r="B88" s="114" t="s">
        <v>152</v>
      </c>
      <c r="C88" s="130" t="s">
        <v>153</v>
      </c>
      <c r="D88" s="130" t="s">
        <v>67</v>
      </c>
      <c r="E88" s="130" t="s">
        <v>154</v>
      </c>
      <c r="F88" s="129">
        <v>959433.0</v>
      </c>
      <c r="G88" s="113">
        <v>869640.0</v>
      </c>
      <c r="H88" s="111" t="s">
        <v>169</v>
      </c>
      <c r="I88" s="107" t="str">
        <f t="shared" si="5"/>
        <v>PARTIALLY PAID</v>
      </c>
      <c r="J88" s="107"/>
      <c r="K88" s="107"/>
      <c r="L88" s="107"/>
      <c r="M88" s="107"/>
      <c r="N88" s="107"/>
      <c r="O88" s="107"/>
      <c r="P88" s="107"/>
      <c r="Q88" s="107"/>
      <c r="R88" s="107"/>
      <c r="S88" s="107"/>
      <c r="T88" s="107"/>
      <c r="U88" s="107"/>
      <c r="V88" s="107"/>
      <c r="W88" s="107"/>
      <c r="X88" s="107"/>
      <c r="Y88" s="107"/>
      <c r="Z88" s="107"/>
    </row>
    <row r="89" ht="14.25" customHeight="1">
      <c r="A89" s="110">
        <v>45499.0</v>
      </c>
      <c r="B89" s="152" t="s">
        <v>160</v>
      </c>
      <c r="C89" s="153" t="s">
        <v>161</v>
      </c>
      <c r="D89" s="153" t="s">
        <v>75</v>
      </c>
      <c r="E89" s="153" t="s">
        <v>154</v>
      </c>
      <c r="F89" s="154">
        <v>189407.0</v>
      </c>
      <c r="G89" s="109"/>
      <c r="H89" s="111" t="s">
        <v>61</v>
      </c>
      <c r="I89" s="107" t="str">
        <f t="shared" si="5"/>
        <v>NOT PAID</v>
      </c>
      <c r="J89" s="107"/>
      <c r="K89" s="107"/>
      <c r="L89" s="107"/>
      <c r="M89" s="107"/>
      <c r="N89" s="107"/>
      <c r="O89" s="107"/>
      <c r="P89" s="107"/>
      <c r="Q89" s="107"/>
      <c r="R89" s="107"/>
      <c r="S89" s="107"/>
      <c r="T89" s="107"/>
      <c r="U89" s="107"/>
      <c r="V89" s="107"/>
      <c r="W89" s="107"/>
      <c r="X89" s="107"/>
      <c r="Y89" s="107"/>
      <c r="Z89" s="107"/>
    </row>
    <row r="90" ht="14.25" customHeight="1">
      <c r="A90" s="110">
        <v>45499.0</v>
      </c>
      <c r="B90" s="118" t="s">
        <v>162</v>
      </c>
      <c r="C90" s="119" t="s">
        <v>163</v>
      </c>
      <c r="D90" s="119" t="s">
        <v>54</v>
      </c>
      <c r="E90" s="119" t="s">
        <v>80</v>
      </c>
      <c r="F90" s="120">
        <v>132336.0</v>
      </c>
      <c r="G90" s="109"/>
      <c r="H90" s="111" t="s">
        <v>61</v>
      </c>
      <c r="I90" s="107" t="str">
        <f t="shared" si="5"/>
        <v>NOT PAID</v>
      </c>
      <c r="J90" s="107"/>
      <c r="K90" s="107"/>
      <c r="L90" s="107"/>
      <c r="M90" s="107"/>
      <c r="N90" s="107"/>
      <c r="O90" s="107"/>
      <c r="P90" s="107"/>
      <c r="Q90" s="107"/>
      <c r="R90" s="107"/>
      <c r="S90" s="107"/>
      <c r="T90" s="107"/>
      <c r="U90" s="107"/>
      <c r="V90" s="107"/>
      <c r="W90" s="107"/>
      <c r="X90" s="107"/>
      <c r="Y90" s="107"/>
      <c r="Z90" s="107"/>
    </row>
    <row r="91" ht="14.25" customHeight="1">
      <c r="A91" s="110">
        <v>45499.0</v>
      </c>
      <c r="B91" s="155" t="s">
        <v>83</v>
      </c>
      <c r="C91" s="156" t="s">
        <v>171</v>
      </c>
      <c r="D91" s="157" t="s">
        <v>67</v>
      </c>
      <c r="E91" s="158" t="s">
        <v>80</v>
      </c>
      <c r="F91" s="159">
        <v>271718.0</v>
      </c>
      <c r="G91" s="109"/>
      <c r="H91" s="111" t="s">
        <v>167</v>
      </c>
      <c r="I91" s="107" t="str">
        <f t="shared" si="5"/>
        <v>NOT PAID</v>
      </c>
      <c r="J91" s="107"/>
      <c r="K91" s="107"/>
      <c r="L91" s="107"/>
      <c r="M91" s="107"/>
      <c r="N91" s="107"/>
      <c r="O91" s="107"/>
      <c r="P91" s="107"/>
      <c r="Q91" s="107"/>
      <c r="R91" s="107"/>
      <c r="S91" s="107"/>
      <c r="T91" s="107"/>
      <c r="U91" s="107"/>
      <c r="V91" s="107"/>
      <c r="W91" s="107"/>
      <c r="X91" s="107"/>
      <c r="Y91" s="107"/>
      <c r="Z91" s="107"/>
    </row>
    <row r="92" ht="14.25" customHeight="1">
      <c r="A92" s="110">
        <v>45499.0</v>
      </c>
      <c r="B92" s="155" t="s">
        <v>172</v>
      </c>
      <c r="C92" s="156" t="s">
        <v>173</v>
      </c>
      <c r="D92" s="157" t="s">
        <v>54</v>
      </c>
      <c r="E92" s="158" t="s">
        <v>80</v>
      </c>
      <c r="F92" s="159">
        <v>200000.0</v>
      </c>
      <c r="G92" s="109"/>
      <c r="H92" s="111" t="s">
        <v>174</v>
      </c>
      <c r="I92" s="107" t="str">
        <f t="shared" si="5"/>
        <v>NOT PAID</v>
      </c>
      <c r="J92" s="107"/>
      <c r="K92" s="107"/>
      <c r="L92" s="107"/>
      <c r="M92" s="107"/>
      <c r="N92" s="107"/>
      <c r="O92" s="107"/>
      <c r="P92" s="107"/>
      <c r="Q92" s="107"/>
      <c r="R92" s="107"/>
      <c r="S92" s="107"/>
      <c r="T92" s="107"/>
      <c r="U92" s="107"/>
      <c r="V92" s="107"/>
      <c r="W92" s="107"/>
      <c r="X92" s="107"/>
      <c r="Y92" s="107"/>
      <c r="Z92" s="107"/>
    </row>
    <row r="93" ht="14.25" customHeight="1">
      <c r="A93" s="110"/>
      <c r="B93" s="148"/>
      <c r="C93" s="149"/>
      <c r="D93" s="159"/>
      <c r="E93" s="158"/>
      <c r="F93" s="150"/>
      <c r="G93" s="109"/>
      <c r="H93" s="107"/>
      <c r="I93" s="107"/>
      <c r="J93" s="107"/>
      <c r="K93" s="107"/>
      <c r="L93" s="107"/>
      <c r="M93" s="107"/>
      <c r="N93" s="107"/>
      <c r="O93" s="107"/>
      <c r="P93" s="107"/>
      <c r="Q93" s="107"/>
      <c r="R93" s="107"/>
      <c r="S93" s="107"/>
      <c r="T93" s="107"/>
      <c r="U93" s="107"/>
      <c r="V93" s="107"/>
      <c r="W93" s="107"/>
      <c r="X93" s="107"/>
      <c r="Y93" s="107"/>
      <c r="Z93" s="107"/>
    </row>
    <row r="94" ht="14.25" customHeight="1">
      <c r="A94" s="107"/>
      <c r="B94" s="142"/>
      <c r="C94" s="151">
        <v>45500.0</v>
      </c>
      <c r="D94" s="107"/>
      <c r="E94" s="107"/>
      <c r="F94" s="109"/>
      <c r="G94" s="109"/>
      <c r="H94" s="107"/>
      <c r="I94" s="107"/>
      <c r="J94" s="107"/>
      <c r="K94" s="107"/>
      <c r="L94" s="107"/>
      <c r="M94" s="107"/>
      <c r="N94" s="107"/>
      <c r="O94" s="107"/>
      <c r="P94" s="107"/>
      <c r="Q94" s="107"/>
      <c r="R94" s="107"/>
      <c r="S94" s="107"/>
      <c r="T94" s="107"/>
      <c r="U94" s="107"/>
      <c r="V94" s="107"/>
      <c r="W94" s="107"/>
      <c r="X94" s="107"/>
      <c r="Y94" s="107"/>
      <c r="Z94" s="107"/>
    </row>
    <row r="95" ht="14.25" customHeight="1">
      <c r="A95" s="110">
        <v>45500.0</v>
      </c>
      <c r="B95" s="121" t="s">
        <v>81</v>
      </c>
      <c r="C95" s="122" t="s">
        <v>82</v>
      </c>
      <c r="D95" s="122" t="s">
        <v>75</v>
      </c>
      <c r="E95" s="122" t="s">
        <v>80</v>
      </c>
      <c r="F95" s="123">
        <v>105000.0</v>
      </c>
      <c r="G95" s="113">
        <v>105000.0</v>
      </c>
      <c r="H95" s="111" t="s">
        <v>175</v>
      </c>
      <c r="I95" s="107" t="str">
        <f t="shared" ref="I95:I498" si="6">IF(G95&gt;=F95,"FULLY PAID",IF(G95=0,"NOT PAID","PARTIALLY PAID"))</f>
        <v>FULLY PAID</v>
      </c>
      <c r="J95" s="107"/>
      <c r="K95" s="107"/>
      <c r="L95" s="107"/>
      <c r="M95" s="107"/>
      <c r="N95" s="107"/>
      <c r="O95" s="107"/>
      <c r="P95" s="107"/>
      <c r="Q95" s="107"/>
      <c r="R95" s="107"/>
      <c r="S95" s="107"/>
      <c r="T95" s="107"/>
      <c r="U95" s="107"/>
      <c r="V95" s="107"/>
      <c r="W95" s="107"/>
      <c r="X95" s="107"/>
      <c r="Y95" s="107"/>
      <c r="Z95" s="107"/>
    </row>
    <row r="96" ht="14.25" customHeight="1">
      <c r="A96" s="110">
        <v>45500.0</v>
      </c>
      <c r="B96" s="118" t="s">
        <v>111</v>
      </c>
      <c r="C96" s="119" t="s">
        <v>112</v>
      </c>
      <c r="D96" s="119" t="s">
        <v>54</v>
      </c>
      <c r="E96" s="119" t="s">
        <v>80</v>
      </c>
      <c r="F96" s="120">
        <v>17924.0</v>
      </c>
      <c r="G96" s="109"/>
      <c r="H96" s="111" t="s">
        <v>176</v>
      </c>
      <c r="I96" s="107" t="str">
        <f t="shared" si="6"/>
        <v>NOT PAID</v>
      </c>
      <c r="J96" s="107"/>
      <c r="K96" s="107"/>
      <c r="L96" s="107"/>
      <c r="M96" s="107"/>
      <c r="N96" s="107"/>
      <c r="O96" s="107"/>
      <c r="P96" s="107"/>
      <c r="Q96" s="107"/>
      <c r="R96" s="107"/>
      <c r="S96" s="107"/>
      <c r="T96" s="107"/>
      <c r="U96" s="107"/>
      <c r="V96" s="107"/>
      <c r="W96" s="107"/>
      <c r="X96" s="107"/>
      <c r="Y96" s="107"/>
      <c r="Z96" s="107"/>
    </row>
    <row r="97" ht="14.25" customHeight="1">
      <c r="A97" s="110">
        <v>45500.0</v>
      </c>
      <c r="B97" s="114" t="s">
        <v>57</v>
      </c>
      <c r="C97" s="130" t="s">
        <v>58</v>
      </c>
      <c r="D97" s="130" t="s">
        <v>59</v>
      </c>
      <c r="E97" s="130" t="s">
        <v>80</v>
      </c>
      <c r="F97" s="129">
        <v>48307.0</v>
      </c>
      <c r="G97" s="109"/>
      <c r="H97" s="111" t="s">
        <v>176</v>
      </c>
      <c r="I97" s="107" t="str">
        <f t="shared" si="6"/>
        <v>NOT PAID</v>
      </c>
      <c r="J97" s="107"/>
      <c r="K97" s="107"/>
      <c r="L97" s="107"/>
      <c r="M97" s="107"/>
      <c r="N97" s="107"/>
      <c r="O97" s="107"/>
      <c r="P97" s="107"/>
      <c r="Q97" s="107"/>
      <c r="R97" s="107"/>
      <c r="S97" s="107"/>
      <c r="T97" s="107"/>
      <c r="U97" s="107"/>
      <c r="V97" s="107"/>
      <c r="W97" s="107"/>
      <c r="X97" s="107"/>
      <c r="Y97" s="107"/>
      <c r="Z97" s="107"/>
    </row>
    <row r="98" ht="14.25" customHeight="1">
      <c r="A98" s="110">
        <v>45500.0</v>
      </c>
      <c r="B98" s="114" t="s">
        <v>152</v>
      </c>
      <c r="C98" s="130" t="s">
        <v>153</v>
      </c>
      <c r="D98" s="130" t="s">
        <v>67</v>
      </c>
      <c r="E98" s="130" t="s">
        <v>154</v>
      </c>
      <c r="F98" s="113">
        <v>89793.0</v>
      </c>
      <c r="G98" s="109"/>
      <c r="H98" s="111" t="s">
        <v>177</v>
      </c>
      <c r="I98" s="107" t="str">
        <f t="shared" si="6"/>
        <v>NOT PAID</v>
      </c>
      <c r="J98" s="107"/>
      <c r="K98" s="107"/>
      <c r="L98" s="107"/>
      <c r="M98" s="107"/>
      <c r="N98" s="107"/>
      <c r="O98" s="107"/>
      <c r="P98" s="107"/>
      <c r="Q98" s="107"/>
      <c r="R98" s="107"/>
      <c r="S98" s="107"/>
      <c r="T98" s="107"/>
      <c r="U98" s="107"/>
      <c r="V98" s="107"/>
      <c r="W98" s="107"/>
      <c r="X98" s="107"/>
      <c r="Y98" s="107"/>
      <c r="Z98" s="107"/>
    </row>
    <row r="99" ht="14.25" customHeight="1">
      <c r="A99" s="110">
        <v>45500.0</v>
      </c>
      <c r="B99" s="111" t="s">
        <v>160</v>
      </c>
      <c r="C99" s="111" t="s">
        <v>161</v>
      </c>
      <c r="D99" s="111" t="s">
        <v>75</v>
      </c>
      <c r="E99" s="111" t="s">
        <v>154</v>
      </c>
      <c r="F99" s="113">
        <v>52407.0</v>
      </c>
      <c r="G99" s="113">
        <v>52877.0</v>
      </c>
      <c r="H99" s="111" t="s">
        <v>178</v>
      </c>
      <c r="I99" s="107" t="str">
        <f t="shared" si="6"/>
        <v>FULLY PAID</v>
      </c>
      <c r="J99" s="107"/>
      <c r="K99" s="107"/>
      <c r="L99" s="107"/>
      <c r="M99" s="107"/>
      <c r="N99" s="107"/>
      <c r="O99" s="107"/>
      <c r="P99" s="107"/>
      <c r="Q99" s="107"/>
      <c r="R99" s="107"/>
      <c r="S99" s="107"/>
      <c r="T99" s="107"/>
      <c r="U99" s="107"/>
      <c r="V99" s="107"/>
      <c r="W99" s="107"/>
      <c r="X99" s="107"/>
      <c r="Y99" s="107"/>
      <c r="Z99" s="107"/>
    </row>
    <row r="100" ht="14.25" customHeight="1">
      <c r="A100" s="110">
        <v>45500.0</v>
      </c>
      <c r="B100" s="111" t="s">
        <v>162</v>
      </c>
      <c r="C100" s="111" t="s">
        <v>163</v>
      </c>
      <c r="D100" s="111" t="s">
        <v>54</v>
      </c>
      <c r="E100" s="111" t="s">
        <v>80</v>
      </c>
      <c r="F100" s="113">
        <v>132336.0</v>
      </c>
      <c r="G100" s="109"/>
      <c r="H100" s="111" t="s">
        <v>179</v>
      </c>
      <c r="I100" s="107" t="str">
        <f t="shared" si="6"/>
        <v>NOT PAID</v>
      </c>
      <c r="J100" s="107"/>
      <c r="K100" s="107"/>
      <c r="L100" s="107"/>
      <c r="M100" s="107"/>
      <c r="N100" s="107"/>
      <c r="O100" s="107"/>
      <c r="P100" s="107"/>
      <c r="Q100" s="107"/>
      <c r="R100" s="107"/>
      <c r="S100" s="107"/>
      <c r="T100" s="107"/>
      <c r="U100" s="107"/>
      <c r="V100" s="107"/>
      <c r="W100" s="107"/>
      <c r="X100" s="107"/>
      <c r="Y100" s="107"/>
      <c r="Z100" s="107"/>
    </row>
    <row r="101" ht="14.25" customHeight="1">
      <c r="A101" s="110">
        <v>45500.0</v>
      </c>
      <c r="B101" s="111" t="s">
        <v>83</v>
      </c>
      <c r="C101" s="111" t="s">
        <v>171</v>
      </c>
      <c r="D101" s="113" t="s">
        <v>67</v>
      </c>
      <c r="E101" s="113" t="s">
        <v>80</v>
      </c>
      <c r="F101" s="113">
        <v>271718.0</v>
      </c>
      <c r="G101" s="109"/>
      <c r="H101" s="111" t="s">
        <v>179</v>
      </c>
      <c r="I101" s="107" t="str">
        <f t="shared" si="6"/>
        <v>NOT PAID</v>
      </c>
      <c r="J101" s="107"/>
      <c r="K101" s="107"/>
      <c r="L101" s="107"/>
      <c r="M101" s="107"/>
      <c r="N101" s="107"/>
      <c r="O101" s="107"/>
      <c r="P101" s="107"/>
      <c r="Q101" s="107"/>
      <c r="R101" s="107"/>
      <c r="S101" s="107"/>
      <c r="T101" s="107"/>
      <c r="U101" s="107"/>
      <c r="V101" s="107"/>
      <c r="W101" s="107"/>
      <c r="X101" s="107"/>
      <c r="Y101" s="107"/>
      <c r="Z101" s="107"/>
    </row>
    <row r="102" ht="14.25" customHeight="1">
      <c r="A102" s="110">
        <v>45500.0</v>
      </c>
      <c r="B102" s="114" t="s">
        <v>123</v>
      </c>
      <c r="C102" s="130" t="s">
        <v>151</v>
      </c>
      <c r="D102" s="130" t="s">
        <v>75</v>
      </c>
      <c r="E102" s="130" t="s">
        <v>70</v>
      </c>
      <c r="F102" s="129">
        <v>5500000.0</v>
      </c>
      <c r="G102" s="109"/>
      <c r="H102" s="107"/>
      <c r="I102" s="107" t="str">
        <f t="shared" si="6"/>
        <v>NOT PAID</v>
      </c>
      <c r="J102" s="107"/>
      <c r="K102" s="107"/>
      <c r="L102" s="107"/>
      <c r="M102" s="107"/>
      <c r="N102" s="107"/>
      <c r="O102" s="107"/>
      <c r="P102" s="107"/>
      <c r="Q102" s="107"/>
      <c r="R102" s="107"/>
      <c r="S102" s="107"/>
      <c r="T102" s="107"/>
      <c r="U102" s="107"/>
      <c r="V102" s="107"/>
      <c r="W102" s="107"/>
      <c r="X102" s="107"/>
      <c r="Y102" s="107"/>
      <c r="Z102" s="107"/>
    </row>
    <row r="103" ht="14.25" customHeight="1">
      <c r="A103" s="110">
        <v>45500.0</v>
      </c>
      <c r="B103" s="111" t="s">
        <v>180</v>
      </c>
      <c r="C103" s="111" t="s">
        <v>91</v>
      </c>
      <c r="D103" s="111" t="s">
        <v>54</v>
      </c>
      <c r="E103" s="111" t="s">
        <v>154</v>
      </c>
      <c r="F103" s="113">
        <v>35872.0</v>
      </c>
      <c r="G103" s="109"/>
      <c r="H103" s="111" t="s">
        <v>176</v>
      </c>
      <c r="I103" s="107" t="str">
        <f t="shared" si="6"/>
        <v>NOT PAID</v>
      </c>
      <c r="J103" s="107"/>
      <c r="K103" s="107"/>
      <c r="L103" s="107"/>
      <c r="M103" s="107"/>
      <c r="N103" s="107"/>
      <c r="O103" s="107"/>
      <c r="P103" s="107"/>
      <c r="Q103" s="107"/>
      <c r="R103" s="107"/>
      <c r="S103" s="107"/>
      <c r="T103" s="107"/>
      <c r="U103" s="107"/>
      <c r="V103" s="107"/>
      <c r="W103" s="107"/>
      <c r="X103" s="107"/>
      <c r="Y103" s="107"/>
      <c r="Z103" s="107"/>
    </row>
    <row r="104" ht="14.25" customHeight="1">
      <c r="A104" s="110">
        <v>45500.0</v>
      </c>
      <c r="B104" s="111" t="s">
        <v>172</v>
      </c>
      <c r="C104" s="111" t="s">
        <v>79</v>
      </c>
      <c r="D104" s="111" t="s">
        <v>54</v>
      </c>
      <c r="E104" s="111" t="s">
        <v>80</v>
      </c>
      <c r="F104" s="113">
        <v>200000.0</v>
      </c>
      <c r="G104" s="109"/>
      <c r="H104" s="111" t="s">
        <v>181</v>
      </c>
      <c r="I104" s="107" t="str">
        <f t="shared" si="6"/>
        <v>NOT PAID</v>
      </c>
      <c r="J104" s="107"/>
      <c r="K104" s="107"/>
      <c r="L104" s="107"/>
      <c r="M104" s="107"/>
      <c r="N104" s="107"/>
      <c r="O104" s="107"/>
      <c r="P104" s="107"/>
      <c r="Q104" s="107"/>
      <c r="R104" s="107"/>
      <c r="S104" s="107"/>
      <c r="T104" s="107"/>
      <c r="U104" s="107"/>
      <c r="V104" s="107"/>
      <c r="W104" s="107"/>
      <c r="X104" s="107"/>
      <c r="Y104" s="107"/>
      <c r="Z104" s="107"/>
    </row>
    <row r="105" ht="14.25" customHeight="1">
      <c r="A105" s="110">
        <v>45500.0</v>
      </c>
      <c r="B105" s="111" t="s">
        <v>182</v>
      </c>
      <c r="C105" s="111" t="s">
        <v>183</v>
      </c>
      <c r="D105" s="111" t="s">
        <v>54</v>
      </c>
      <c r="E105" s="111" t="s">
        <v>154</v>
      </c>
      <c r="F105" s="113">
        <v>34889.0</v>
      </c>
      <c r="G105" s="113">
        <v>30889.0</v>
      </c>
      <c r="H105" s="111" t="s">
        <v>177</v>
      </c>
      <c r="I105" s="107" t="str">
        <f t="shared" si="6"/>
        <v>PARTIALLY PAID</v>
      </c>
      <c r="J105" s="107"/>
      <c r="K105" s="107"/>
      <c r="L105" s="107"/>
      <c r="M105" s="107"/>
      <c r="N105" s="107"/>
      <c r="O105" s="107"/>
      <c r="P105" s="107"/>
      <c r="Q105" s="107"/>
      <c r="R105" s="107"/>
      <c r="S105" s="107"/>
      <c r="T105" s="107"/>
      <c r="U105" s="107"/>
      <c r="V105" s="107"/>
      <c r="W105" s="107"/>
      <c r="X105" s="107"/>
      <c r="Y105" s="107"/>
      <c r="Z105" s="107"/>
    </row>
    <row r="106" ht="14.25" customHeight="1">
      <c r="A106" s="110">
        <v>45500.0</v>
      </c>
      <c r="B106" s="111" t="s">
        <v>71</v>
      </c>
      <c r="C106" s="111" t="s">
        <v>157</v>
      </c>
      <c r="D106" s="111" t="s">
        <v>54</v>
      </c>
      <c r="E106" s="111" t="s">
        <v>158</v>
      </c>
      <c r="F106" s="113">
        <v>800000.0</v>
      </c>
      <c r="G106" s="109"/>
      <c r="H106" s="111" t="s">
        <v>184</v>
      </c>
      <c r="I106" s="107" t="str">
        <f t="shared" si="6"/>
        <v>NOT PAID</v>
      </c>
      <c r="J106" s="107"/>
      <c r="K106" s="107"/>
      <c r="L106" s="107"/>
      <c r="M106" s="107"/>
      <c r="N106" s="107"/>
      <c r="O106" s="107"/>
      <c r="P106" s="107"/>
      <c r="Q106" s="107"/>
      <c r="R106" s="107"/>
      <c r="S106" s="107"/>
      <c r="T106" s="107"/>
      <c r="U106" s="107"/>
      <c r="V106" s="107"/>
      <c r="W106" s="107"/>
      <c r="X106" s="107"/>
      <c r="Y106" s="107"/>
      <c r="Z106" s="107"/>
    </row>
    <row r="107" ht="14.25" customHeight="1">
      <c r="A107" s="110"/>
      <c r="B107" s="107"/>
      <c r="C107" s="107"/>
      <c r="D107" s="107"/>
      <c r="E107" s="107"/>
      <c r="F107" s="109"/>
      <c r="G107" s="109"/>
      <c r="H107" s="107"/>
      <c r="I107" s="107" t="str">
        <f t="shared" si="6"/>
        <v>FULLY PAID</v>
      </c>
      <c r="J107" s="107"/>
      <c r="K107" s="107"/>
      <c r="L107" s="107"/>
      <c r="M107" s="107"/>
      <c r="N107" s="107"/>
      <c r="O107" s="107"/>
      <c r="P107" s="107"/>
      <c r="Q107" s="107"/>
      <c r="R107" s="107"/>
      <c r="S107" s="107"/>
      <c r="T107" s="107"/>
      <c r="U107" s="107"/>
      <c r="V107" s="107"/>
      <c r="W107" s="107"/>
      <c r="X107" s="107"/>
      <c r="Y107" s="107"/>
      <c r="Z107" s="107"/>
    </row>
    <row r="108" ht="14.25" customHeight="1">
      <c r="A108" s="107"/>
      <c r="B108" s="107"/>
      <c r="C108" s="108">
        <v>45502.0</v>
      </c>
      <c r="D108" s="107"/>
      <c r="E108" s="107"/>
      <c r="F108" s="109"/>
      <c r="G108" s="109"/>
      <c r="H108" s="107"/>
      <c r="I108" s="107" t="str">
        <f t="shared" si="6"/>
        <v>FULLY PAID</v>
      </c>
      <c r="J108" s="107"/>
      <c r="K108" s="107"/>
      <c r="L108" s="107"/>
      <c r="M108" s="107"/>
      <c r="N108" s="107"/>
      <c r="O108" s="107"/>
      <c r="P108" s="107"/>
      <c r="Q108" s="107"/>
      <c r="R108" s="107"/>
      <c r="S108" s="107"/>
      <c r="T108" s="107"/>
      <c r="U108" s="107"/>
      <c r="V108" s="107"/>
      <c r="W108" s="107"/>
      <c r="X108" s="107"/>
      <c r="Y108" s="107"/>
      <c r="Z108" s="107"/>
    </row>
    <row r="109" ht="14.25" customHeight="1">
      <c r="A109" s="110">
        <v>45502.0</v>
      </c>
      <c r="B109" s="118" t="s">
        <v>111</v>
      </c>
      <c r="C109" s="119" t="s">
        <v>112</v>
      </c>
      <c r="D109" s="160" t="s">
        <v>54</v>
      </c>
      <c r="E109" s="160" t="s">
        <v>80</v>
      </c>
      <c r="F109" s="120">
        <v>17924.0</v>
      </c>
      <c r="G109" s="109"/>
      <c r="H109" s="107"/>
      <c r="I109" s="107" t="str">
        <f t="shared" si="6"/>
        <v>NOT PAID</v>
      </c>
      <c r="J109" s="107"/>
      <c r="K109" s="107"/>
      <c r="L109" s="107"/>
      <c r="M109" s="107"/>
      <c r="N109" s="107"/>
      <c r="O109" s="107"/>
      <c r="P109" s="107"/>
      <c r="Q109" s="107"/>
      <c r="R109" s="107"/>
      <c r="S109" s="107"/>
      <c r="T109" s="107"/>
      <c r="U109" s="107"/>
      <c r="V109" s="107"/>
      <c r="W109" s="107"/>
      <c r="X109" s="107"/>
      <c r="Y109" s="107"/>
      <c r="Z109" s="107"/>
    </row>
    <row r="110" ht="14.25" customHeight="1">
      <c r="A110" s="110">
        <v>45502.0</v>
      </c>
      <c r="B110" s="127" t="s">
        <v>180</v>
      </c>
      <c r="C110" s="128" t="s">
        <v>91</v>
      </c>
      <c r="D110" s="128" t="s">
        <v>54</v>
      </c>
      <c r="E110" s="128" t="s">
        <v>154</v>
      </c>
      <c r="F110" s="129">
        <v>35872.0</v>
      </c>
      <c r="G110" s="113">
        <v>35872.0</v>
      </c>
      <c r="H110" s="111" t="s">
        <v>185</v>
      </c>
      <c r="I110" s="107" t="str">
        <f t="shared" si="6"/>
        <v>FULLY PAID</v>
      </c>
      <c r="J110" s="107"/>
      <c r="K110" s="107"/>
      <c r="L110" s="107"/>
      <c r="M110" s="107"/>
      <c r="N110" s="107"/>
      <c r="O110" s="107"/>
      <c r="P110" s="107"/>
      <c r="Q110" s="107"/>
      <c r="R110" s="107"/>
      <c r="S110" s="107"/>
      <c r="T110" s="107"/>
      <c r="U110" s="107"/>
      <c r="V110" s="107"/>
      <c r="W110" s="107"/>
      <c r="X110" s="107"/>
      <c r="Y110" s="107"/>
      <c r="Z110" s="107"/>
    </row>
    <row r="111" ht="14.25" customHeight="1">
      <c r="A111" s="110">
        <v>45502.0</v>
      </c>
      <c r="B111" s="114" t="s">
        <v>57</v>
      </c>
      <c r="C111" s="130" t="s">
        <v>58</v>
      </c>
      <c r="D111" s="130" t="s">
        <v>59</v>
      </c>
      <c r="E111" s="130" t="s">
        <v>80</v>
      </c>
      <c r="F111" s="129">
        <v>48307.0</v>
      </c>
      <c r="G111" s="109"/>
      <c r="H111" s="111" t="s">
        <v>61</v>
      </c>
      <c r="I111" s="107" t="str">
        <f t="shared" si="6"/>
        <v>NOT PAID</v>
      </c>
      <c r="J111" s="107"/>
      <c r="K111" s="107"/>
      <c r="L111" s="107"/>
      <c r="M111" s="107"/>
      <c r="N111" s="107"/>
      <c r="O111" s="107"/>
      <c r="P111" s="107"/>
      <c r="Q111" s="107"/>
      <c r="R111" s="107"/>
      <c r="S111" s="107"/>
      <c r="T111" s="107"/>
      <c r="U111" s="107"/>
      <c r="V111" s="107"/>
      <c r="W111" s="107"/>
      <c r="X111" s="107"/>
      <c r="Y111" s="107"/>
      <c r="Z111" s="107"/>
    </row>
    <row r="112" ht="14.25" customHeight="1">
      <c r="A112" s="110">
        <v>45502.0</v>
      </c>
      <c r="B112" s="114" t="s">
        <v>123</v>
      </c>
      <c r="C112" s="130" t="s">
        <v>151</v>
      </c>
      <c r="D112" s="130" t="s">
        <v>75</v>
      </c>
      <c r="E112" s="130" t="s">
        <v>70</v>
      </c>
      <c r="F112" s="129">
        <v>5500000.0</v>
      </c>
      <c r="G112" s="109"/>
      <c r="H112" s="111" t="s">
        <v>186</v>
      </c>
      <c r="I112" s="107" t="str">
        <f t="shared" si="6"/>
        <v>NOT PAID</v>
      </c>
      <c r="J112" s="107"/>
      <c r="K112" s="107"/>
      <c r="L112" s="107"/>
      <c r="M112" s="107"/>
      <c r="N112" s="107"/>
      <c r="O112" s="107"/>
      <c r="P112" s="107"/>
      <c r="Q112" s="107"/>
      <c r="R112" s="107"/>
      <c r="S112" s="107"/>
      <c r="T112" s="107"/>
      <c r="U112" s="107"/>
      <c r="V112" s="107"/>
      <c r="W112" s="107"/>
      <c r="X112" s="107"/>
      <c r="Y112" s="107"/>
      <c r="Z112" s="107"/>
    </row>
    <row r="113" ht="14.25" customHeight="1">
      <c r="A113" s="110">
        <v>45502.0</v>
      </c>
      <c r="B113" s="114" t="s">
        <v>182</v>
      </c>
      <c r="C113" s="130" t="s">
        <v>187</v>
      </c>
      <c r="D113" s="130" t="s">
        <v>54</v>
      </c>
      <c r="E113" s="130" t="s">
        <v>154</v>
      </c>
      <c r="F113" s="129">
        <v>8000.0</v>
      </c>
      <c r="G113" s="109"/>
      <c r="H113" s="111" t="s">
        <v>186</v>
      </c>
      <c r="I113" s="107" t="str">
        <f t="shared" si="6"/>
        <v>NOT PAID</v>
      </c>
      <c r="J113" s="107"/>
      <c r="K113" s="107"/>
      <c r="L113" s="107"/>
      <c r="M113" s="107"/>
      <c r="N113" s="107"/>
      <c r="O113" s="107"/>
      <c r="P113" s="107"/>
      <c r="Q113" s="107"/>
      <c r="R113" s="107"/>
      <c r="S113" s="107"/>
      <c r="T113" s="107"/>
      <c r="U113" s="107"/>
      <c r="V113" s="107"/>
      <c r="W113" s="107"/>
      <c r="X113" s="107"/>
      <c r="Y113" s="107"/>
      <c r="Z113" s="107"/>
    </row>
    <row r="114" ht="14.25" customHeight="1">
      <c r="A114" s="110">
        <v>45502.0</v>
      </c>
      <c r="B114" s="152" t="s">
        <v>188</v>
      </c>
      <c r="C114" s="153" t="s">
        <v>189</v>
      </c>
      <c r="D114" s="153" t="s">
        <v>59</v>
      </c>
      <c r="E114" s="153" t="s">
        <v>80</v>
      </c>
      <c r="F114" s="154">
        <v>530000.0</v>
      </c>
      <c r="G114" s="113">
        <v>530000.0</v>
      </c>
      <c r="H114" s="111" t="s">
        <v>149</v>
      </c>
      <c r="I114" s="107" t="str">
        <f t="shared" si="6"/>
        <v>FULLY PAID</v>
      </c>
      <c r="J114" s="107"/>
      <c r="K114" s="107"/>
      <c r="L114" s="107"/>
      <c r="M114" s="107"/>
      <c r="N114" s="107"/>
      <c r="O114" s="107"/>
      <c r="P114" s="107"/>
      <c r="Q114" s="107"/>
      <c r="R114" s="107"/>
      <c r="S114" s="107"/>
      <c r="T114" s="107"/>
      <c r="U114" s="107"/>
      <c r="V114" s="107"/>
      <c r="W114" s="107"/>
      <c r="X114" s="107"/>
      <c r="Y114" s="107"/>
      <c r="Z114" s="107"/>
    </row>
    <row r="115" ht="14.25" customHeight="1">
      <c r="A115" s="110">
        <v>45502.0</v>
      </c>
      <c r="B115" s="118" t="s">
        <v>162</v>
      </c>
      <c r="C115" s="119" t="s">
        <v>163</v>
      </c>
      <c r="D115" s="161" t="s">
        <v>54</v>
      </c>
      <c r="E115" s="161" t="s">
        <v>80</v>
      </c>
      <c r="F115" s="162">
        <v>132336.0</v>
      </c>
      <c r="G115" s="113">
        <v>20000.0</v>
      </c>
      <c r="H115" s="111" t="s">
        <v>190</v>
      </c>
      <c r="I115" s="107" t="str">
        <f t="shared" si="6"/>
        <v>PARTIALLY PAID</v>
      </c>
      <c r="J115" s="107"/>
      <c r="K115" s="107"/>
      <c r="L115" s="107"/>
      <c r="M115" s="107"/>
      <c r="N115" s="107"/>
      <c r="O115" s="107"/>
      <c r="P115" s="107"/>
      <c r="Q115" s="107"/>
      <c r="R115" s="107"/>
      <c r="S115" s="107"/>
      <c r="T115" s="107"/>
      <c r="U115" s="107"/>
      <c r="V115" s="107"/>
      <c r="W115" s="107"/>
      <c r="X115" s="107"/>
      <c r="Y115" s="107"/>
      <c r="Z115" s="107"/>
    </row>
    <row r="116" ht="14.25" customHeight="1">
      <c r="A116" s="110">
        <v>45502.0</v>
      </c>
      <c r="B116" s="163" t="s">
        <v>83</v>
      </c>
      <c r="C116" s="164" t="s">
        <v>84</v>
      </c>
      <c r="D116" s="119" t="s">
        <v>67</v>
      </c>
      <c r="E116" s="119" t="s">
        <v>80</v>
      </c>
      <c r="F116" s="120">
        <v>271718.0</v>
      </c>
      <c r="G116" s="109"/>
      <c r="H116" s="111" t="s">
        <v>186</v>
      </c>
      <c r="I116" s="107" t="str">
        <f t="shared" si="6"/>
        <v>NOT PAID</v>
      </c>
      <c r="J116" s="107"/>
      <c r="K116" s="107"/>
      <c r="L116" s="107"/>
      <c r="M116" s="107"/>
      <c r="N116" s="107"/>
      <c r="O116" s="107"/>
      <c r="P116" s="107"/>
      <c r="Q116" s="107"/>
      <c r="R116" s="107"/>
      <c r="S116" s="107"/>
      <c r="T116" s="107"/>
      <c r="U116" s="107"/>
      <c r="V116" s="107"/>
      <c r="W116" s="107"/>
      <c r="X116" s="107"/>
      <c r="Y116" s="107"/>
      <c r="Z116" s="107"/>
    </row>
    <row r="117" ht="14.25" customHeight="1">
      <c r="A117" s="110">
        <v>45502.0</v>
      </c>
      <c r="B117" s="165" t="s">
        <v>172</v>
      </c>
      <c r="C117" s="166" t="s">
        <v>79</v>
      </c>
      <c r="D117" s="166" t="s">
        <v>54</v>
      </c>
      <c r="E117" s="166" t="s">
        <v>80</v>
      </c>
      <c r="F117" s="167">
        <v>200000.0</v>
      </c>
      <c r="G117" s="109"/>
      <c r="H117" s="111" t="s">
        <v>191</v>
      </c>
      <c r="I117" s="107" t="str">
        <f t="shared" si="6"/>
        <v>NOT PAID</v>
      </c>
      <c r="J117" s="107"/>
      <c r="K117" s="107"/>
      <c r="L117" s="107"/>
      <c r="M117" s="107"/>
      <c r="N117" s="107"/>
      <c r="O117" s="107"/>
      <c r="P117" s="107"/>
      <c r="Q117" s="107"/>
      <c r="R117" s="107"/>
      <c r="S117" s="107"/>
      <c r="T117" s="107"/>
      <c r="U117" s="107"/>
      <c r="V117" s="107"/>
      <c r="W117" s="107"/>
      <c r="X117" s="107"/>
      <c r="Y117" s="107"/>
      <c r="Z117" s="107"/>
    </row>
    <row r="118" ht="14.25" customHeight="1">
      <c r="A118" s="110">
        <v>45502.0</v>
      </c>
      <c r="B118" s="118" t="s">
        <v>152</v>
      </c>
      <c r="C118" s="119" t="s">
        <v>153</v>
      </c>
      <c r="D118" s="119" t="s">
        <v>67</v>
      </c>
      <c r="E118" s="119" t="s">
        <v>154</v>
      </c>
      <c r="F118" s="120">
        <v>89793.0</v>
      </c>
      <c r="G118" s="109"/>
      <c r="H118" s="111" t="s">
        <v>192</v>
      </c>
      <c r="I118" s="107" t="str">
        <f t="shared" si="6"/>
        <v>NOT PAID</v>
      </c>
      <c r="J118" s="107"/>
      <c r="K118" s="107"/>
      <c r="L118" s="107"/>
      <c r="M118" s="107"/>
      <c r="N118" s="107"/>
      <c r="O118" s="107"/>
      <c r="P118" s="107"/>
      <c r="Q118" s="107"/>
      <c r="R118" s="107"/>
      <c r="S118" s="107"/>
      <c r="T118" s="107"/>
      <c r="U118" s="107"/>
      <c r="V118" s="107"/>
      <c r="W118" s="107"/>
      <c r="X118" s="107"/>
      <c r="Y118" s="107"/>
      <c r="Z118" s="107"/>
    </row>
    <row r="119" ht="14.25" customHeight="1">
      <c r="A119" s="110">
        <v>45502.0</v>
      </c>
      <c r="B119" s="163" t="s">
        <v>69</v>
      </c>
      <c r="C119" s="164" t="s">
        <v>66</v>
      </c>
      <c r="D119" s="164" t="s">
        <v>67</v>
      </c>
      <c r="E119" s="164" t="s">
        <v>80</v>
      </c>
      <c r="F119" s="168">
        <v>403961.0</v>
      </c>
      <c r="G119" s="113">
        <v>403961.0</v>
      </c>
      <c r="H119" s="111" t="s">
        <v>56</v>
      </c>
      <c r="I119" s="107" t="str">
        <f t="shared" si="6"/>
        <v>FULLY PAID</v>
      </c>
      <c r="J119" s="107"/>
      <c r="K119" s="107"/>
      <c r="L119" s="107"/>
      <c r="M119" s="107"/>
      <c r="N119" s="107"/>
      <c r="O119" s="107"/>
      <c r="P119" s="107"/>
      <c r="Q119" s="107"/>
      <c r="R119" s="107"/>
      <c r="S119" s="107"/>
      <c r="T119" s="107"/>
      <c r="U119" s="107"/>
      <c r="V119" s="107"/>
      <c r="W119" s="107"/>
      <c r="X119" s="107"/>
      <c r="Y119" s="107"/>
      <c r="Z119" s="107"/>
    </row>
    <row r="120" ht="14.25" customHeight="1">
      <c r="A120" s="110">
        <v>45502.0</v>
      </c>
      <c r="B120" s="121" t="s">
        <v>71</v>
      </c>
      <c r="C120" s="122" t="s">
        <v>157</v>
      </c>
      <c r="D120" s="122" t="s">
        <v>54</v>
      </c>
      <c r="E120" s="122" t="s">
        <v>158</v>
      </c>
      <c r="F120" s="123">
        <v>800000.0</v>
      </c>
      <c r="G120" s="109"/>
      <c r="H120" s="111" t="s">
        <v>193</v>
      </c>
      <c r="I120" s="107" t="str">
        <f t="shared" si="6"/>
        <v>NOT PAID</v>
      </c>
      <c r="J120" s="107"/>
      <c r="K120" s="107"/>
      <c r="L120" s="107"/>
      <c r="M120" s="107"/>
      <c r="N120" s="107"/>
      <c r="O120" s="107"/>
      <c r="P120" s="107"/>
      <c r="Q120" s="107"/>
      <c r="R120" s="107"/>
      <c r="S120" s="107"/>
      <c r="T120" s="107"/>
      <c r="U120" s="107"/>
      <c r="V120" s="107"/>
      <c r="W120" s="107"/>
      <c r="X120" s="107"/>
      <c r="Y120" s="107"/>
      <c r="Z120" s="107"/>
    </row>
    <row r="121" ht="14.25" customHeight="1">
      <c r="A121" s="110">
        <v>45502.0</v>
      </c>
      <c r="B121" s="121" t="s">
        <v>135</v>
      </c>
      <c r="C121" s="122" t="s">
        <v>136</v>
      </c>
      <c r="D121" s="122" t="s">
        <v>54</v>
      </c>
      <c r="E121" s="122" t="s">
        <v>70</v>
      </c>
      <c r="F121" s="123">
        <v>843546.0</v>
      </c>
      <c r="G121" s="109"/>
      <c r="H121" s="111" t="s">
        <v>194</v>
      </c>
      <c r="I121" s="107" t="str">
        <f t="shared" si="6"/>
        <v>NOT PAID</v>
      </c>
      <c r="J121" s="107"/>
      <c r="K121" s="107"/>
      <c r="L121" s="107"/>
      <c r="M121" s="107"/>
      <c r="N121" s="107"/>
      <c r="O121" s="107"/>
      <c r="P121" s="107"/>
      <c r="Q121" s="107"/>
      <c r="R121" s="107"/>
      <c r="S121" s="107"/>
      <c r="T121" s="107"/>
      <c r="U121" s="107"/>
      <c r="V121" s="107"/>
      <c r="W121" s="107"/>
      <c r="X121" s="107"/>
      <c r="Y121" s="107"/>
      <c r="Z121" s="107"/>
    </row>
    <row r="122" ht="14.25" customHeight="1">
      <c r="A122" s="107"/>
      <c r="B122" s="107"/>
      <c r="C122" s="107"/>
      <c r="D122" s="107"/>
      <c r="E122" s="107"/>
      <c r="F122" s="109"/>
      <c r="G122" s="109"/>
      <c r="H122" s="107"/>
      <c r="I122" s="107" t="str">
        <f t="shared" si="6"/>
        <v>FULLY PAID</v>
      </c>
      <c r="J122" s="107"/>
      <c r="K122" s="107"/>
      <c r="L122" s="107"/>
      <c r="M122" s="107"/>
      <c r="N122" s="107"/>
      <c r="O122" s="107"/>
      <c r="P122" s="107"/>
      <c r="Q122" s="107"/>
      <c r="R122" s="107"/>
      <c r="S122" s="107"/>
      <c r="T122" s="107"/>
      <c r="U122" s="107"/>
      <c r="V122" s="107"/>
      <c r="W122" s="107"/>
      <c r="X122" s="107"/>
      <c r="Y122" s="107"/>
      <c r="Z122" s="107"/>
    </row>
    <row r="123" ht="14.25" customHeight="1">
      <c r="A123" s="107"/>
      <c r="B123" s="111"/>
      <c r="C123" s="132" t="s">
        <v>107</v>
      </c>
      <c r="D123" s="107"/>
      <c r="E123" s="107"/>
      <c r="F123" s="109"/>
      <c r="G123" s="109"/>
      <c r="H123" s="107"/>
      <c r="I123" s="107" t="str">
        <f t="shared" si="6"/>
        <v>FULLY PAID</v>
      </c>
      <c r="J123" s="107"/>
      <c r="K123" s="107"/>
      <c r="L123" s="107"/>
      <c r="M123" s="107"/>
      <c r="N123" s="107"/>
      <c r="O123" s="107"/>
      <c r="P123" s="107"/>
      <c r="Q123" s="107"/>
      <c r="R123" s="107"/>
      <c r="S123" s="107"/>
      <c r="T123" s="107"/>
      <c r="U123" s="107"/>
      <c r="V123" s="107"/>
      <c r="W123" s="107"/>
      <c r="X123" s="107"/>
      <c r="Y123" s="107"/>
      <c r="Z123" s="107"/>
    </row>
    <row r="124" ht="14.25" customHeight="1">
      <c r="A124" s="110">
        <v>45502.0</v>
      </c>
      <c r="B124" s="111" t="s">
        <v>195</v>
      </c>
      <c r="C124" s="121" t="s">
        <v>196</v>
      </c>
      <c r="D124" s="121" t="s">
        <v>54</v>
      </c>
      <c r="E124" s="121" t="s">
        <v>110</v>
      </c>
      <c r="F124" s="169">
        <v>418381.86</v>
      </c>
      <c r="G124" s="109"/>
      <c r="H124" s="107"/>
      <c r="I124" s="107" t="str">
        <f t="shared" si="6"/>
        <v>NOT PAID</v>
      </c>
      <c r="J124" s="107"/>
      <c r="K124" s="107"/>
      <c r="L124" s="107"/>
      <c r="M124" s="107"/>
      <c r="N124" s="107"/>
      <c r="O124" s="107"/>
      <c r="P124" s="107"/>
      <c r="Q124" s="107"/>
      <c r="R124" s="107"/>
      <c r="S124" s="107"/>
      <c r="T124" s="107"/>
      <c r="U124" s="107"/>
      <c r="V124" s="107"/>
      <c r="W124" s="107"/>
      <c r="X124" s="107"/>
      <c r="Y124" s="107"/>
      <c r="Z124" s="107"/>
    </row>
    <row r="125" ht="14.25" customHeight="1">
      <c r="A125" s="110">
        <v>45502.0</v>
      </c>
      <c r="B125" s="114" t="s">
        <v>197</v>
      </c>
      <c r="C125" s="127" t="s">
        <v>198</v>
      </c>
      <c r="D125" s="127" t="s">
        <v>59</v>
      </c>
      <c r="E125" s="127" t="s">
        <v>199</v>
      </c>
      <c r="F125" s="115" t="s">
        <v>200</v>
      </c>
      <c r="G125" s="109"/>
      <c r="H125" s="107"/>
      <c r="I125" s="107" t="str">
        <f t="shared" si="6"/>
        <v>NOT PAID</v>
      </c>
      <c r="J125" s="107"/>
      <c r="K125" s="107"/>
      <c r="L125" s="107"/>
      <c r="M125" s="107"/>
      <c r="N125" s="107"/>
      <c r="O125" s="107"/>
      <c r="P125" s="107"/>
      <c r="Q125" s="107"/>
      <c r="R125" s="107"/>
      <c r="S125" s="107"/>
      <c r="T125" s="107"/>
      <c r="U125" s="107"/>
      <c r="V125" s="107"/>
      <c r="W125" s="107"/>
      <c r="X125" s="107"/>
      <c r="Y125" s="107"/>
      <c r="Z125" s="107"/>
    </row>
    <row r="126" ht="14.25" customHeight="1">
      <c r="A126" s="110">
        <v>45502.0</v>
      </c>
      <c r="B126" s="127" t="s">
        <v>201</v>
      </c>
      <c r="C126" s="127" t="s">
        <v>202</v>
      </c>
      <c r="D126" s="127" t="s">
        <v>67</v>
      </c>
      <c r="E126" s="127" t="s">
        <v>199</v>
      </c>
      <c r="F126" s="115" t="s">
        <v>203</v>
      </c>
      <c r="G126" s="109"/>
      <c r="H126" s="107"/>
      <c r="I126" s="107" t="str">
        <f t="shared" si="6"/>
        <v>NOT PAID</v>
      </c>
      <c r="J126" s="107"/>
      <c r="K126" s="107"/>
      <c r="L126" s="107"/>
      <c r="M126" s="107"/>
      <c r="N126" s="107"/>
      <c r="O126" s="107"/>
      <c r="P126" s="107"/>
      <c r="Q126" s="107"/>
      <c r="R126" s="107"/>
      <c r="S126" s="107"/>
      <c r="T126" s="107"/>
      <c r="U126" s="107"/>
      <c r="V126" s="107"/>
      <c r="W126" s="107"/>
      <c r="X126" s="107"/>
      <c r="Y126" s="107"/>
      <c r="Z126" s="107"/>
    </row>
    <row r="127" ht="14.25" customHeight="1">
      <c r="A127" s="110"/>
      <c r="B127" s="127"/>
      <c r="C127" s="128"/>
      <c r="D127" s="128"/>
      <c r="E127" s="127"/>
      <c r="F127" s="129"/>
      <c r="G127" s="109"/>
      <c r="H127" s="107"/>
      <c r="I127" s="107" t="str">
        <f t="shared" si="6"/>
        <v>FULLY PAID</v>
      </c>
      <c r="J127" s="107"/>
      <c r="K127" s="107"/>
      <c r="L127" s="107"/>
      <c r="M127" s="107"/>
      <c r="N127" s="107"/>
      <c r="O127" s="107"/>
      <c r="P127" s="107"/>
      <c r="Q127" s="107"/>
      <c r="R127" s="107"/>
      <c r="S127" s="107"/>
      <c r="T127" s="107"/>
      <c r="U127" s="107"/>
      <c r="V127" s="107"/>
      <c r="W127" s="107"/>
      <c r="X127" s="107"/>
      <c r="Y127" s="107"/>
      <c r="Z127" s="107"/>
    </row>
    <row r="128" ht="14.25" customHeight="1">
      <c r="A128" s="107"/>
      <c r="B128" s="107"/>
      <c r="C128" s="108">
        <v>45503.0</v>
      </c>
      <c r="D128" s="107"/>
      <c r="E128" s="107"/>
      <c r="F128" s="109"/>
      <c r="G128" s="109"/>
      <c r="H128" s="107"/>
      <c r="I128" s="107" t="str">
        <f t="shared" si="6"/>
        <v>FULLY PAID</v>
      </c>
      <c r="J128" s="107"/>
      <c r="K128" s="107"/>
      <c r="L128" s="107"/>
      <c r="M128" s="107"/>
      <c r="N128" s="107"/>
      <c r="O128" s="107"/>
      <c r="P128" s="107"/>
      <c r="Q128" s="107"/>
      <c r="R128" s="107"/>
      <c r="S128" s="107"/>
      <c r="T128" s="107"/>
      <c r="U128" s="107"/>
      <c r="V128" s="107"/>
      <c r="W128" s="107"/>
      <c r="X128" s="107"/>
      <c r="Y128" s="107"/>
      <c r="Z128" s="107"/>
    </row>
    <row r="129" ht="14.25" customHeight="1">
      <c r="A129" s="110">
        <v>45503.0</v>
      </c>
      <c r="B129" s="170" t="s">
        <v>204</v>
      </c>
      <c r="C129" s="171" t="s">
        <v>205</v>
      </c>
      <c r="D129" s="171" t="s">
        <v>59</v>
      </c>
      <c r="E129" s="171" t="s">
        <v>70</v>
      </c>
      <c r="F129" s="135">
        <v>19920.0</v>
      </c>
      <c r="G129" s="129">
        <v>900.0</v>
      </c>
      <c r="H129" s="111" t="s">
        <v>206</v>
      </c>
      <c r="I129" s="107" t="str">
        <f t="shared" si="6"/>
        <v>PARTIALLY PAID</v>
      </c>
      <c r="J129" s="107"/>
      <c r="K129" s="107"/>
      <c r="L129" s="107"/>
      <c r="M129" s="107"/>
      <c r="N129" s="107"/>
      <c r="O129" s="107"/>
      <c r="P129" s="107"/>
      <c r="Q129" s="107"/>
      <c r="R129" s="107"/>
      <c r="S129" s="107"/>
      <c r="T129" s="107"/>
      <c r="U129" s="107"/>
      <c r="V129" s="107"/>
      <c r="W129" s="107"/>
      <c r="X129" s="107"/>
      <c r="Y129" s="107"/>
      <c r="Z129" s="107"/>
    </row>
    <row r="130" ht="14.25" customHeight="1">
      <c r="A130" s="110">
        <v>45503.0</v>
      </c>
      <c r="B130" s="172" t="s">
        <v>207</v>
      </c>
      <c r="C130" s="173" t="s">
        <v>208</v>
      </c>
      <c r="D130" s="173" t="s">
        <v>54</v>
      </c>
      <c r="E130" s="173" t="s">
        <v>70</v>
      </c>
      <c r="F130" s="138">
        <v>55857.0</v>
      </c>
      <c r="G130" s="109"/>
      <c r="H130" s="111" t="s">
        <v>61</v>
      </c>
      <c r="I130" s="107" t="str">
        <f t="shared" si="6"/>
        <v>NOT PAID</v>
      </c>
      <c r="J130" s="107"/>
      <c r="K130" s="107"/>
      <c r="L130" s="107"/>
      <c r="M130" s="107"/>
      <c r="N130" s="107"/>
      <c r="O130" s="107"/>
      <c r="P130" s="107"/>
      <c r="Q130" s="107"/>
      <c r="R130" s="107"/>
      <c r="S130" s="107"/>
      <c r="T130" s="107"/>
      <c r="U130" s="107"/>
      <c r="V130" s="107"/>
      <c r="W130" s="107"/>
      <c r="X130" s="107"/>
      <c r="Y130" s="107"/>
      <c r="Z130" s="107"/>
    </row>
    <row r="131" ht="14.25" customHeight="1">
      <c r="A131" s="110">
        <v>45503.0</v>
      </c>
      <c r="B131" s="172" t="s">
        <v>209</v>
      </c>
      <c r="C131" s="173" t="s">
        <v>72</v>
      </c>
      <c r="D131" s="173" t="s">
        <v>54</v>
      </c>
      <c r="E131" s="173" t="s">
        <v>70</v>
      </c>
      <c r="F131" s="138">
        <v>384315.0</v>
      </c>
      <c r="G131" s="109"/>
      <c r="H131" s="111" t="s">
        <v>210</v>
      </c>
      <c r="I131" s="107" t="str">
        <f t="shared" si="6"/>
        <v>NOT PAID</v>
      </c>
      <c r="J131" s="107"/>
      <c r="K131" s="107"/>
      <c r="L131" s="107"/>
      <c r="M131" s="107"/>
      <c r="N131" s="107"/>
      <c r="O131" s="107"/>
      <c r="P131" s="107"/>
      <c r="Q131" s="107"/>
      <c r="R131" s="107"/>
      <c r="S131" s="107"/>
      <c r="T131" s="107"/>
      <c r="U131" s="107"/>
      <c r="V131" s="107"/>
      <c r="W131" s="107"/>
      <c r="X131" s="107"/>
      <c r="Y131" s="107"/>
      <c r="Z131" s="107"/>
    </row>
    <row r="132" ht="14.25" customHeight="1">
      <c r="A132" s="110">
        <v>45503.0</v>
      </c>
      <c r="B132" s="163" t="s">
        <v>111</v>
      </c>
      <c r="C132" s="164" t="s">
        <v>112</v>
      </c>
      <c r="D132" s="164" t="s">
        <v>54</v>
      </c>
      <c r="E132" s="164" t="s">
        <v>80</v>
      </c>
      <c r="F132" s="168">
        <v>17924.0</v>
      </c>
      <c r="G132" s="109"/>
      <c r="H132" s="111" t="s">
        <v>211</v>
      </c>
      <c r="I132" s="107" t="str">
        <f t="shared" si="6"/>
        <v>NOT PAID</v>
      </c>
      <c r="J132" s="107"/>
      <c r="K132" s="107"/>
      <c r="L132" s="107"/>
      <c r="M132" s="107"/>
      <c r="N132" s="107"/>
      <c r="O132" s="107"/>
      <c r="P132" s="107"/>
      <c r="Q132" s="107"/>
      <c r="R132" s="107"/>
      <c r="S132" s="107"/>
      <c r="T132" s="107"/>
      <c r="U132" s="107"/>
      <c r="V132" s="107"/>
      <c r="W132" s="107"/>
      <c r="X132" s="107"/>
      <c r="Y132" s="107"/>
      <c r="Z132" s="107"/>
    </row>
    <row r="133" ht="14.25" customHeight="1">
      <c r="A133" s="110">
        <v>45503.0</v>
      </c>
      <c r="B133" s="114" t="s">
        <v>57</v>
      </c>
      <c r="C133" s="130" t="s">
        <v>58</v>
      </c>
      <c r="D133" s="130" t="s">
        <v>59</v>
      </c>
      <c r="E133" s="130" t="s">
        <v>80</v>
      </c>
      <c r="F133" s="129">
        <v>48307.0</v>
      </c>
      <c r="G133" s="113">
        <v>50000.0</v>
      </c>
      <c r="H133" s="111" t="s">
        <v>212</v>
      </c>
      <c r="I133" s="107" t="str">
        <f t="shared" si="6"/>
        <v>FULLY PAID</v>
      </c>
      <c r="J133" s="107"/>
      <c r="K133" s="107"/>
      <c r="L133" s="107"/>
      <c r="M133" s="107"/>
      <c r="N133" s="107"/>
      <c r="O133" s="107"/>
      <c r="P133" s="107"/>
      <c r="Q133" s="107"/>
      <c r="R133" s="107"/>
      <c r="S133" s="107"/>
      <c r="T133" s="107"/>
      <c r="U133" s="107"/>
      <c r="V133" s="107"/>
      <c r="W133" s="107"/>
      <c r="X133" s="107"/>
      <c r="Y133" s="107"/>
      <c r="Z133" s="107"/>
    </row>
    <row r="134" ht="14.25" customHeight="1">
      <c r="A134" s="110">
        <v>45503.0</v>
      </c>
      <c r="B134" s="114" t="s">
        <v>123</v>
      </c>
      <c r="C134" s="130" t="s">
        <v>151</v>
      </c>
      <c r="D134" s="130" t="s">
        <v>75</v>
      </c>
      <c r="E134" s="130" t="s">
        <v>70</v>
      </c>
      <c r="F134" s="129">
        <v>6063750.0</v>
      </c>
      <c r="G134" s="109"/>
      <c r="H134" s="111" t="s">
        <v>213</v>
      </c>
      <c r="I134" s="107" t="str">
        <f t="shared" si="6"/>
        <v>NOT PAID</v>
      </c>
      <c r="J134" s="107"/>
      <c r="K134" s="107"/>
      <c r="L134" s="107"/>
      <c r="M134" s="107"/>
      <c r="N134" s="107"/>
      <c r="O134" s="107"/>
      <c r="P134" s="107"/>
      <c r="Q134" s="107"/>
      <c r="R134" s="107"/>
      <c r="S134" s="107"/>
      <c r="T134" s="107"/>
      <c r="U134" s="107"/>
      <c r="V134" s="107"/>
      <c r="W134" s="107"/>
      <c r="X134" s="107"/>
      <c r="Y134" s="107"/>
      <c r="Z134" s="107"/>
    </row>
    <row r="135" ht="14.25" customHeight="1">
      <c r="A135" s="110">
        <v>45503.0</v>
      </c>
      <c r="B135" s="114" t="s">
        <v>71</v>
      </c>
      <c r="C135" s="130" t="s">
        <v>157</v>
      </c>
      <c r="D135" s="130" t="s">
        <v>54</v>
      </c>
      <c r="E135" s="130" t="s">
        <v>158</v>
      </c>
      <c r="F135" s="129">
        <v>800000.0</v>
      </c>
      <c r="G135" s="109"/>
      <c r="H135" s="111" t="s">
        <v>214</v>
      </c>
      <c r="I135" s="107" t="str">
        <f t="shared" si="6"/>
        <v>NOT PAID</v>
      </c>
      <c r="J135" s="107"/>
      <c r="K135" s="107"/>
      <c r="L135" s="107"/>
      <c r="M135" s="107"/>
      <c r="N135" s="107"/>
      <c r="O135" s="107"/>
      <c r="P135" s="107"/>
      <c r="Q135" s="107"/>
      <c r="R135" s="107"/>
      <c r="S135" s="107"/>
      <c r="T135" s="107"/>
      <c r="U135" s="107"/>
      <c r="V135" s="107"/>
      <c r="W135" s="107"/>
      <c r="X135" s="107"/>
      <c r="Y135" s="107"/>
      <c r="Z135" s="107"/>
    </row>
    <row r="136" ht="14.25" customHeight="1">
      <c r="A136" s="110">
        <v>45503.0</v>
      </c>
      <c r="B136" s="114" t="s">
        <v>182</v>
      </c>
      <c r="C136" s="130" t="s">
        <v>187</v>
      </c>
      <c r="D136" s="130" t="s">
        <v>54</v>
      </c>
      <c r="E136" s="130" t="s">
        <v>154</v>
      </c>
      <c r="F136" s="129">
        <v>8000.0</v>
      </c>
      <c r="G136" s="109"/>
      <c r="H136" s="111" t="s">
        <v>61</v>
      </c>
      <c r="I136" s="107" t="str">
        <f t="shared" si="6"/>
        <v>NOT PAID</v>
      </c>
      <c r="J136" s="107"/>
      <c r="K136" s="107"/>
      <c r="L136" s="107"/>
      <c r="M136" s="107"/>
      <c r="N136" s="107"/>
      <c r="O136" s="107"/>
      <c r="P136" s="107"/>
      <c r="Q136" s="107"/>
      <c r="R136" s="107"/>
      <c r="S136" s="107"/>
      <c r="T136" s="107"/>
      <c r="U136" s="107"/>
      <c r="V136" s="107"/>
      <c r="W136" s="107"/>
      <c r="X136" s="107"/>
      <c r="Y136" s="107"/>
      <c r="Z136" s="107"/>
    </row>
    <row r="137" ht="14.25" customHeight="1">
      <c r="A137" s="110">
        <v>45503.0</v>
      </c>
      <c r="B137" s="163" t="s">
        <v>162</v>
      </c>
      <c r="C137" s="164" t="s">
        <v>163</v>
      </c>
      <c r="D137" s="166" t="s">
        <v>54</v>
      </c>
      <c r="E137" s="166" t="s">
        <v>80</v>
      </c>
      <c r="F137" s="167">
        <v>118787.0</v>
      </c>
      <c r="G137" s="109"/>
      <c r="H137" s="111" t="s">
        <v>215</v>
      </c>
      <c r="I137" s="107" t="str">
        <f t="shared" si="6"/>
        <v>NOT PAID</v>
      </c>
      <c r="J137" s="107"/>
      <c r="K137" s="107"/>
      <c r="L137" s="107"/>
      <c r="M137" s="107"/>
      <c r="N137" s="107"/>
      <c r="O137" s="107"/>
      <c r="P137" s="107"/>
      <c r="Q137" s="107"/>
      <c r="R137" s="107"/>
      <c r="S137" s="107"/>
      <c r="T137" s="107"/>
      <c r="U137" s="107"/>
      <c r="V137" s="107"/>
      <c r="W137" s="107"/>
      <c r="X137" s="107"/>
      <c r="Y137" s="107"/>
      <c r="Z137" s="107"/>
    </row>
    <row r="138" ht="14.25" customHeight="1">
      <c r="A138" s="110">
        <v>45503.0</v>
      </c>
      <c r="B138" s="163" t="s">
        <v>83</v>
      </c>
      <c r="C138" s="164" t="s">
        <v>84</v>
      </c>
      <c r="D138" s="119" t="s">
        <v>67</v>
      </c>
      <c r="E138" s="119" t="s">
        <v>80</v>
      </c>
      <c r="F138" s="120">
        <v>285304.0</v>
      </c>
      <c r="G138" s="109"/>
      <c r="H138" s="111" t="s">
        <v>216</v>
      </c>
      <c r="I138" s="107" t="str">
        <f t="shared" si="6"/>
        <v>NOT PAID</v>
      </c>
      <c r="J138" s="107"/>
      <c r="K138" s="107"/>
      <c r="L138" s="107"/>
      <c r="M138" s="107"/>
      <c r="N138" s="107"/>
      <c r="O138" s="107"/>
      <c r="P138" s="107"/>
      <c r="Q138" s="107"/>
      <c r="R138" s="107"/>
      <c r="S138" s="107"/>
      <c r="T138" s="107"/>
      <c r="U138" s="107"/>
      <c r="V138" s="107"/>
      <c r="W138" s="107"/>
      <c r="X138" s="107"/>
      <c r="Y138" s="107"/>
      <c r="Z138" s="107"/>
    </row>
    <row r="139" ht="14.25" customHeight="1">
      <c r="A139" s="110">
        <v>45503.0</v>
      </c>
      <c r="B139" s="165" t="s">
        <v>172</v>
      </c>
      <c r="C139" s="166" t="s">
        <v>79</v>
      </c>
      <c r="D139" s="166" t="s">
        <v>54</v>
      </c>
      <c r="E139" s="166" t="s">
        <v>80</v>
      </c>
      <c r="F139" s="167">
        <v>200000.0</v>
      </c>
      <c r="G139" s="109"/>
      <c r="H139" s="111" t="s">
        <v>217</v>
      </c>
      <c r="I139" s="107" t="str">
        <f t="shared" si="6"/>
        <v>NOT PAID</v>
      </c>
      <c r="J139" s="107"/>
      <c r="K139" s="107"/>
      <c r="L139" s="107"/>
      <c r="M139" s="107"/>
      <c r="N139" s="107"/>
      <c r="O139" s="107"/>
      <c r="P139" s="107"/>
      <c r="Q139" s="107"/>
      <c r="R139" s="107"/>
      <c r="S139" s="107"/>
      <c r="T139" s="107"/>
      <c r="U139" s="107"/>
      <c r="V139" s="107"/>
      <c r="W139" s="107"/>
      <c r="X139" s="107"/>
      <c r="Y139" s="107"/>
      <c r="Z139" s="107"/>
    </row>
    <row r="140" ht="14.25" customHeight="1">
      <c r="A140" s="110">
        <v>45503.0</v>
      </c>
      <c r="B140" s="118" t="s">
        <v>152</v>
      </c>
      <c r="C140" s="119" t="s">
        <v>153</v>
      </c>
      <c r="D140" s="119" t="s">
        <v>67</v>
      </c>
      <c r="E140" s="119" t="s">
        <v>154</v>
      </c>
      <c r="F140" s="120">
        <v>89793.0</v>
      </c>
      <c r="G140" s="109"/>
      <c r="H140" s="111" t="s">
        <v>218</v>
      </c>
      <c r="I140" s="107" t="str">
        <f t="shared" si="6"/>
        <v>NOT PAID</v>
      </c>
      <c r="J140" s="107"/>
      <c r="K140" s="107"/>
      <c r="L140" s="107"/>
      <c r="M140" s="107"/>
      <c r="N140" s="107"/>
      <c r="O140" s="107"/>
      <c r="P140" s="107"/>
      <c r="Q140" s="107"/>
      <c r="R140" s="107"/>
      <c r="S140" s="107"/>
      <c r="T140" s="107"/>
      <c r="U140" s="107"/>
      <c r="V140" s="107"/>
      <c r="W140" s="107"/>
      <c r="X140" s="107"/>
      <c r="Y140" s="107"/>
      <c r="Z140" s="107"/>
    </row>
    <row r="141" ht="14.25" customHeight="1">
      <c r="A141" s="110">
        <v>45503.0</v>
      </c>
      <c r="B141" s="111" t="s">
        <v>98</v>
      </c>
      <c r="C141" s="140" t="s">
        <v>219</v>
      </c>
      <c r="D141" s="140" t="s">
        <v>54</v>
      </c>
      <c r="E141" s="140" t="s">
        <v>80</v>
      </c>
      <c r="F141" s="174">
        <v>74909.0</v>
      </c>
      <c r="G141" s="109"/>
      <c r="H141" s="111" t="s">
        <v>61</v>
      </c>
      <c r="I141" s="107" t="str">
        <f t="shared" si="6"/>
        <v>NOT PAID</v>
      </c>
      <c r="J141" s="107"/>
      <c r="K141" s="107"/>
      <c r="L141" s="107"/>
      <c r="M141" s="107"/>
      <c r="N141" s="107"/>
      <c r="O141" s="107"/>
      <c r="P141" s="107"/>
      <c r="Q141" s="107"/>
      <c r="R141" s="107"/>
      <c r="S141" s="107"/>
      <c r="T141" s="107"/>
      <c r="U141" s="107"/>
      <c r="V141" s="107"/>
      <c r="W141" s="107"/>
      <c r="X141" s="107"/>
      <c r="Y141" s="107"/>
      <c r="Z141" s="107"/>
    </row>
    <row r="142" ht="14.25" customHeight="1">
      <c r="A142" s="110">
        <v>45503.0</v>
      </c>
      <c r="B142" s="111" t="s">
        <v>220</v>
      </c>
      <c r="C142" s="111" t="s">
        <v>219</v>
      </c>
      <c r="D142" s="111" t="s">
        <v>75</v>
      </c>
      <c r="E142" s="111" t="s">
        <v>70</v>
      </c>
      <c r="F142" s="113">
        <v>172500.0</v>
      </c>
      <c r="G142" s="109"/>
      <c r="H142" s="111" t="s">
        <v>221</v>
      </c>
      <c r="I142" s="107" t="str">
        <f t="shared" si="6"/>
        <v>NOT PAID</v>
      </c>
      <c r="J142" s="107"/>
      <c r="K142" s="107"/>
      <c r="L142" s="107"/>
      <c r="M142" s="107"/>
      <c r="N142" s="107"/>
      <c r="O142" s="107"/>
      <c r="P142" s="107"/>
      <c r="Q142" s="107"/>
      <c r="R142" s="107"/>
      <c r="S142" s="107"/>
      <c r="T142" s="107"/>
      <c r="U142" s="107"/>
      <c r="V142" s="107"/>
      <c r="W142" s="107"/>
      <c r="X142" s="107"/>
      <c r="Y142" s="107"/>
      <c r="Z142" s="107"/>
    </row>
    <row r="143" ht="14.25" customHeight="1">
      <c r="A143" s="110">
        <v>45503.0</v>
      </c>
      <c r="B143" s="111" t="s">
        <v>222</v>
      </c>
      <c r="C143" s="111" t="s">
        <v>223</v>
      </c>
      <c r="D143" s="111" t="s">
        <v>59</v>
      </c>
      <c r="E143" s="111" t="s">
        <v>154</v>
      </c>
      <c r="F143" s="113">
        <v>600000.0</v>
      </c>
      <c r="G143" s="113">
        <v>600158.0</v>
      </c>
      <c r="H143" s="111" t="s">
        <v>185</v>
      </c>
      <c r="I143" s="107" t="str">
        <f t="shared" si="6"/>
        <v>FULLY PAID</v>
      </c>
      <c r="J143" s="107"/>
      <c r="K143" s="107"/>
      <c r="L143" s="107"/>
      <c r="M143" s="107"/>
      <c r="N143" s="107"/>
      <c r="O143" s="107"/>
      <c r="P143" s="107"/>
      <c r="Q143" s="107"/>
      <c r="R143" s="107"/>
      <c r="S143" s="107"/>
      <c r="T143" s="107"/>
      <c r="U143" s="107"/>
      <c r="V143" s="107"/>
      <c r="W143" s="107"/>
      <c r="X143" s="107"/>
      <c r="Y143" s="107"/>
      <c r="Z143" s="107"/>
    </row>
    <row r="144" ht="14.25" customHeight="1">
      <c r="A144" s="110"/>
      <c r="B144" s="107"/>
      <c r="C144" s="111" t="s">
        <v>224</v>
      </c>
      <c r="D144" s="107"/>
      <c r="E144" s="107"/>
      <c r="F144" s="109"/>
      <c r="G144" s="109"/>
      <c r="H144" s="107"/>
      <c r="I144" s="107" t="str">
        <f t="shared" si="6"/>
        <v>FULLY PAID</v>
      </c>
      <c r="J144" s="107"/>
      <c r="K144" s="107"/>
      <c r="L144" s="107"/>
      <c r="M144" s="107"/>
      <c r="N144" s="107"/>
      <c r="O144" s="107"/>
      <c r="P144" s="107"/>
      <c r="Q144" s="107"/>
      <c r="R144" s="107"/>
      <c r="S144" s="107"/>
      <c r="T144" s="107"/>
      <c r="U144" s="107"/>
      <c r="V144" s="107"/>
      <c r="W144" s="107"/>
      <c r="X144" s="107"/>
      <c r="Y144" s="107"/>
      <c r="Z144" s="107"/>
    </row>
    <row r="145" ht="14.25" customHeight="1">
      <c r="A145" s="110">
        <v>45503.0</v>
      </c>
      <c r="B145" s="148" t="s">
        <v>195</v>
      </c>
      <c r="C145" s="149" t="s">
        <v>196</v>
      </c>
      <c r="D145" s="175" t="s">
        <v>54</v>
      </c>
      <c r="E145" s="130" t="s">
        <v>110</v>
      </c>
      <c r="F145" s="176">
        <v>418381.86</v>
      </c>
      <c r="G145" s="109"/>
      <c r="H145" s="111" t="s">
        <v>225</v>
      </c>
      <c r="I145" s="107" t="str">
        <f t="shared" si="6"/>
        <v>NOT PAID</v>
      </c>
      <c r="J145" s="107"/>
      <c r="K145" s="107"/>
      <c r="L145" s="107"/>
      <c r="M145" s="107"/>
      <c r="N145" s="107"/>
      <c r="O145" s="107"/>
      <c r="P145" s="107"/>
      <c r="Q145" s="107"/>
      <c r="R145" s="107"/>
      <c r="S145" s="107"/>
      <c r="T145" s="107"/>
      <c r="U145" s="107"/>
      <c r="V145" s="107"/>
      <c r="W145" s="107"/>
      <c r="X145" s="107"/>
      <c r="Y145" s="107"/>
      <c r="Z145" s="107"/>
    </row>
    <row r="146" ht="14.25" customHeight="1">
      <c r="A146" s="110">
        <v>45503.0</v>
      </c>
      <c r="B146" s="148" t="s">
        <v>108</v>
      </c>
      <c r="C146" s="149" t="s">
        <v>109</v>
      </c>
      <c r="D146" s="175" t="s">
        <v>67</v>
      </c>
      <c r="E146" s="111" t="s">
        <v>110</v>
      </c>
      <c r="F146" s="176">
        <v>302529.21</v>
      </c>
      <c r="G146" s="109"/>
      <c r="H146" s="111" t="s">
        <v>226</v>
      </c>
      <c r="I146" s="107" t="str">
        <f t="shared" si="6"/>
        <v>NOT PAID</v>
      </c>
      <c r="J146" s="107"/>
      <c r="K146" s="107"/>
      <c r="L146" s="107"/>
      <c r="M146" s="107"/>
      <c r="N146" s="107"/>
      <c r="O146" s="107"/>
      <c r="P146" s="107"/>
      <c r="Q146" s="107"/>
      <c r="R146" s="107"/>
      <c r="S146" s="107"/>
      <c r="T146" s="107"/>
      <c r="U146" s="107"/>
      <c r="V146" s="107"/>
      <c r="W146" s="107"/>
      <c r="X146" s="107"/>
      <c r="Y146" s="107"/>
      <c r="Z146" s="107"/>
    </row>
    <row r="147" ht="14.25" customHeight="1">
      <c r="A147" s="110">
        <v>45503.0</v>
      </c>
      <c r="B147" s="177" t="s">
        <v>197</v>
      </c>
      <c r="C147" s="178" t="s">
        <v>198</v>
      </c>
      <c r="D147" s="179" t="s">
        <v>59</v>
      </c>
      <c r="E147" s="180" t="s">
        <v>199</v>
      </c>
      <c r="F147" s="181" t="s">
        <v>200</v>
      </c>
      <c r="G147" s="109"/>
      <c r="H147" s="111" t="s">
        <v>226</v>
      </c>
      <c r="I147" s="107" t="str">
        <f t="shared" si="6"/>
        <v>NOT PAID</v>
      </c>
      <c r="J147" s="107"/>
      <c r="K147" s="107"/>
      <c r="L147" s="107"/>
      <c r="M147" s="107"/>
      <c r="N147" s="107"/>
      <c r="O147" s="107"/>
      <c r="P147" s="107"/>
      <c r="Q147" s="107"/>
      <c r="R147" s="107"/>
      <c r="S147" s="107"/>
      <c r="T147" s="107"/>
      <c r="U147" s="107"/>
      <c r="V147" s="107"/>
      <c r="W147" s="107"/>
      <c r="X147" s="107"/>
      <c r="Y147" s="107"/>
      <c r="Z147" s="107"/>
    </row>
    <row r="148" ht="14.25" customHeight="1">
      <c r="A148" s="110">
        <v>45503.0</v>
      </c>
      <c r="B148" s="177" t="s">
        <v>201</v>
      </c>
      <c r="C148" s="178" t="s">
        <v>202</v>
      </c>
      <c r="D148" s="179" t="s">
        <v>67</v>
      </c>
      <c r="E148" s="180" t="s">
        <v>199</v>
      </c>
      <c r="F148" s="181" t="s">
        <v>203</v>
      </c>
      <c r="G148" s="109"/>
      <c r="H148" s="111" t="s">
        <v>61</v>
      </c>
      <c r="I148" s="107" t="str">
        <f t="shared" si="6"/>
        <v>NOT PAID</v>
      </c>
      <c r="J148" s="107"/>
      <c r="K148" s="107"/>
      <c r="L148" s="107"/>
      <c r="M148" s="107"/>
      <c r="N148" s="107"/>
      <c r="O148" s="107"/>
      <c r="P148" s="107"/>
      <c r="Q148" s="107"/>
      <c r="R148" s="107"/>
      <c r="S148" s="107"/>
      <c r="T148" s="107"/>
      <c r="U148" s="107"/>
      <c r="V148" s="107"/>
      <c r="W148" s="107"/>
      <c r="X148" s="107"/>
      <c r="Y148" s="107"/>
      <c r="Z148" s="107"/>
    </row>
    <row r="149" ht="14.25" customHeight="1">
      <c r="A149" s="110">
        <v>45503.0</v>
      </c>
      <c r="B149" s="111" t="s">
        <v>227</v>
      </c>
      <c r="C149" s="111" t="s">
        <v>228</v>
      </c>
      <c r="D149" s="130" t="s">
        <v>59</v>
      </c>
      <c r="E149" s="111" t="s">
        <v>229</v>
      </c>
      <c r="F149" s="113">
        <v>4500000.0</v>
      </c>
      <c r="G149" s="109"/>
      <c r="H149" s="107"/>
      <c r="I149" s="107" t="str">
        <f t="shared" si="6"/>
        <v>NOT PAID</v>
      </c>
      <c r="J149" s="107"/>
      <c r="K149" s="107"/>
      <c r="L149" s="107"/>
      <c r="M149" s="107"/>
      <c r="N149" s="107"/>
      <c r="O149" s="107"/>
      <c r="P149" s="107"/>
      <c r="Q149" s="107"/>
      <c r="R149" s="107"/>
      <c r="S149" s="107"/>
      <c r="T149" s="107"/>
      <c r="U149" s="107"/>
      <c r="V149" s="107"/>
      <c r="W149" s="107"/>
      <c r="X149" s="107"/>
      <c r="Y149" s="107"/>
      <c r="Z149" s="107"/>
    </row>
    <row r="150" ht="14.25" customHeight="1">
      <c r="A150" s="107"/>
      <c r="B150" s="107"/>
      <c r="C150" s="107"/>
      <c r="D150" s="107"/>
      <c r="E150" s="107"/>
      <c r="F150" s="109"/>
      <c r="G150" s="109"/>
      <c r="H150" s="107"/>
      <c r="I150" s="107" t="str">
        <f t="shared" si="6"/>
        <v>FULLY PAID</v>
      </c>
      <c r="J150" s="107"/>
      <c r="K150" s="107"/>
      <c r="L150" s="107"/>
      <c r="M150" s="107"/>
      <c r="N150" s="107"/>
      <c r="O150" s="107"/>
      <c r="P150" s="107"/>
      <c r="Q150" s="107"/>
      <c r="R150" s="107"/>
      <c r="S150" s="107"/>
      <c r="T150" s="107"/>
      <c r="U150" s="107"/>
      <c r="V150" s="107"/>
      <c r="W150" s="107"/>
      <c r="X150" s="107"/>
      <c r="Y150" s="107"/>
      <c r="Z150" s="107"/>
    </row>
    <row r="151" ht="14.25" customHeight="1">
      <c r="A151" s="107"/>
      <c r="B151" s="107"/>
      <c r="C151" s="108">
        <v>45504.0</v>
      </c>
      <c r="D151" s="107"/>
      <c r="E151" s="107"/>
      <c r="F151" s="109"/>
      <c r="G151" s="109"/>
      <c r="H151" s="107"/>
      <c r="I151" s="107" t="str">
        <f t="shared" si="6"/>
        <v>FULLY PAID</v>
      </c>
      <c r="J151" s="107"/>
      <c r="K151" s="107"/>
      <c r="L151" s="107"/>
      <c r="M151" s="107"/>
      <c r="N151" s="107"/>
      <c r="O151" s="107"/>
      <c r="P151" s="107"/>
      <c r="Q151" s="107"/>
      <c r="R151" s="107"/>
      <c r="S151" s="107"/>
      <c r="T151" s="107"/>
      <c r="U151" s="107"/>
      <c r="V151" s="107"/>
      <c r="W151" s="107"/>
      <c r="X151" s="107"/>
      <c r="Y151" s="107"/>
      <c r="Z151" s="107"/>
    </row>
    <row r="152" ht="14.25" customHeight="1">
      <c r="A152" s="110">
        <v>45504.0</v>
      </c>
      <c r="B152" s="170" t="s">
        <v>207</v>
      </c>
      <c r="C152" s="171" t="s">
        <v>208</v>
      </c>
      <c r="D152" s="171" t="s">
        <v>54</v>
      </c>
      <c r="E152" s="171" t="s">
        <v>70</v>
      </c>
      <c r="F152" s="135">
        <v>55857.0</v>
      </c>
      <c r="G152" s="113">
        <v>95000.0</v>
      </c>
      <c r="H152" s="111" t="s">
        <v>212</v>
      </c>
      <c r="I152" s="107" t="str">
        <f t="shared" si="6"/>
        <v>FULLY PAID</v>
      </c>
      <c r="J152" s="107"/>
      <c r="K152" s="107"/>
      <c r="L152" s="107"/>
      <c r="M152" s="107"/>
      <c r="N152" s="107"/>
      <c r="O152" s="107"/>
      <c r="P152" s="107"/>
      <c r="Q152" s="107"/>
      <c r="R152" s="107"/>
      <c r="S152" s="107"/>
      <c r="T152" s="107"/>
      <c r="U152" s="107"/>
      <c r="V152" s="107"/>
      <c r="W152" s="107"/>
      <c r="X152" s="107"/>
      <c r="Y152" s="107"/>
      <c r="Z152" s="107"/>
    </row>
    <row r="153" ht="14.25" customHeight="1">
      <c r="A153" s="110">
        <v>45504.0</v>
      </c>
      <c r="B153" s="114" t="s">
        <v>123</v>
      </c>
      <c r="C153" s="130" t="s">
        <v>151</v>
      </c>
      <c r="D153" s="130" t="s">
        <v>75</v>
      </c>
      <c r="E153" s="130" t="s">
        <v>70</v>
      </c>
      <c r="F153" s="129">
        <v>6063750.0</v>
      </c>
      <c r="G153" s="113">
        <v>5500000.0</v>
      </c>
      <c r="H153" s="111" t="s">
        <v>230</v>
      </c>
      <c r="I153" s="107" t="str">
        <f t="shared" si="6"/>
        <v>PARTIALLY PAID</v>
      </c>
      <c r="J153" s="107"/>
      <c r="K153" s="107"/>
      <c r="L153" s="107"/>
      <c r="M153" s="107"/>
      <c r="N153" s="107"/>
      <c r="O153" s="107"/>
      <c r="P153" s="107"/>
      <c r="Q153" s="107"/>
      <c r="R153" s="107"/>
      <c r="S153" s="107"/>
      <c r="T153" s="107"/>
      <c r="U153" s="107"/>
      <c r="V153" s="107"/>
      <c r="W153" s="107"/>
      <c r="X153" s="107"/>
      <c r="Y153" s="107"/>
      <c r="Z153" s="107"/>
    </row>
    <row r="154" ht="14.25" customHeight="1">
      <c r="A154" s="110">
        <v>45504.0</v>
      </c>
      <c r="B154" s="114" t="s">
        <v>182</v>
      </c>
      <c r="C154" s="130" t="s">
        <v>187</v>
      </c>
      <c r="D154" s="130" t="s">
        <v>54</v>
      </c>
      <c r="E154" s="130" t="s">
        <v>154</v>
      </c>
      <c r="F154" s="129">
        <v>8000.0</v>
      </c>
      <c r="G154" s="109"/>
      <c r="H154" s="111" t="s">
        <v>61</v>
      </c>
      <c r="I154" s="107" t="str">
        <f t="shared" si="6"/>
        <v>NOT PAID</v>
      </c>
      <c r="J154" s="107"/>
      <c r="K154" s="107"/>
      <c r="L154" s="107"/>
      <c r="M154" s="107"/>
      <c r="N154" s="107"/>
      <c r="O154" s="107"/>
      <c r="P154" s="107"/>
      <c r="Q154" s="107"/>
      <c r="R154" s="107"/>
      <c r="S154" s="107"/>
      <c r="T154" s="107"/>
      <c r="U154" s="107"/>
      <c r="V154" s="107"/>
      <c r="W154" s="107"/>
      <c r="X154" s="107"/>
      <c r="Y154" s="107"/>
      <c r="Z154" s="107"/>
    </row>
    <row r="155" ht="14.25" customHeight="1">
      <c r="A155" s="110">
        <v>45504.0</v>
      </c>
      <c r="B155" s="163" t="s">
        <v>162</v>
      </c>
      <c r="C155" s="164" t="s">
        <v>163</v>
      </c>
      <c r="D155" s="164" t="s">
        <v>54</v>
      </c>
      <c r="E155" s="164" t="s">
        <v>80</v>
      </c>
      <c r="F155" s="168">
        <v>118787.0</v>
      </c>
      <c r="G155" s="109"/>
      <c r="H155" s="111" t="s">
        <v>231</v>
      </c>
      <c r="I155" s="107" t="str">
        <f t="shared" si="6"/>
        <v>NOT PAID</v>
      </c>
      <c r="J155" s="107"/>
      <c r="K155" s="107"/>
      <c r="L155" s="107"/>
      <c r="M155" s="107"/>
      <c r="N155" s="107"/>
      <c r="O155" s="107"/>
      <c r="P155" s="107"/>
      <c r="Q155" s="107"/>
      <c r="R155" s="107"/>
      <c r="S155" s="107"/>
      <c r="T155" s="107"/>
      <c r="U155" s="107"/>
      <c r="V155" s="107"/>
      <c r="W155" s="107"/>
      <c r="X155" s="107"/>
      <c r="Y155" s="107"/>
      <c r="Z155" s="107"/>
    </row>
    <row r="156" ht="14.25" customHeight="1">
      <c r="A156" s="110">
        <v>45504.0</v>
      </c>
      <c r="B156" s="172" t="s">
        <v>209</v>
      </c>
      <c r="C156" s="173" t="s">
        <v>72</v>
      </c>
      <c r="D156" s="173" t="s">
        <v>54</v>
      </c>
      <c r="E156" s="173" t="s">
        <v>70</v>
      </c>
      <c r="F156" s="138">
        <v>384315.0</v>
      </c>
      <c r="G156" s="109"/>
      <c r="H156" s="111" t="s">
        <v>232</v>
      </c>
      <c r="I156" s="107" t="str">
        <f t="shared" si="6"/>
        <v>NOT PAID</v>
      </c>
      <c r="J156" s="107"/>
      <c r="K156" s="107"/>
      <c r="L156" s="107"/>
      <c r="M156" s="107"/>
      <c r="N156" s="107"/>
      <c r="O156" s="107"/>
      <c r="P156" s="107"/>
      <c r="Q156" s="107"/>
      <c r="R156" s="107"/>
      <c r="S156" s="107"/>
      <c r="T156" s="107"/>
      <c r="U156" s="107"/>
      <c r="V156" s="107"/>
      <c r="W156" s="107"/>
      <c r="X156" s="107"/>
      <c r="Y156" s="107"/>
      <c r="Z156" s="107"/>
    </row>
    <row r="157" ht="14.25" customHeight="1">
      <c r="A157" s="110">
        <v>45504.0</v>
      </c>
      <c r="B157" s="114" t="s">
        <v>71</v>
      </c>
      <c r="C157" s="130" t="s">
        <v>157</v>
      </c>
      <c r="D157" s="130" t="s">
        <v>54</v>
      </c>
      <c r="E157" s="130" t="s">
        <v>158</v>
      </c>
      <c r="F157" s="129">
        <v>1931349.0</v>
      </c>
      <c r="G157" s="109"/>
      <c r="H157" s="111" t="s">
        <v>233</v>
      </c>
      <c r="I157" s="107" t="str">
        <f t="shared" si="6"/>
        <v>NOT PAID</v>
      </c>
      <c r="J157" s="107"/>
      <c r="K157" s="107"/>
      <c r="L157" s="107"/>
      <c r="M157" s="107"/>
      <c r="N157" s="107"/>
      <c r="O157" s="107"/>
      <c r="P157" s="107"/>
      <c r="Q157" s="107"/>
      <c r="R157" s="107"/>
      <c r="S157" s="107"/>
      <c r="T157" s="107"/>
      <c r="U157" s="107"/>
      <c r="V157" s="107"/>
      <c r="W157" s="107"/>
      <c r="X157" s="107"/>
      <c r="Y157" s="107"/>
      <c r="Z157" s="107"/>
    </row>
    <row r="158" ht="14.25" customHeight="1">
      <c r="A158" s="110">
        <v>45504.0</v>
      </c>
      <c r="B158" s="163" t="s">
        <v>111</v>
      </c>
      <c r="C158" s="164" t="s">
        <v>112</v>
      </c>
      <c r="D158" s="164" t="s">
        <v>54</v>
      </c>
      <c r="E158" s="164" t="s">
        <v>80</v>
      </c>
      <c r="F158" s="168">
        <v>17924.0</v>
      </c>
      <c r="G158" s="109"/>
      <c r="H158" s="111" t="s">
        <v>234</v>
      </c>
      <c r="I158" s="107" t="str">
        <f t="shared" si="6"/>
        <v>NOT PAID</v>
      </c>
      <c r="J158" s="107"/>
      <c r="K158" s="107"/>
      <c r="L158" s="107"/>
      <c r="M158" s="107"/>
      <c r="N158" s="107"/>
      <c r="O158" s="107"/>
      <c r="P158" s="107"/>
      <c r="Q158" s="107"/>
      <c r="R158" s="107"/>
      <c r="S158" s="107"/>
      <c r="T158" s="107"/>
      <c r="U158" s="107"/>
      <c r="V158" s="107"/>
      <c r="W158" s="107"/>
      <c r="X158" s="107"/>
      <c r="Y158" s="107"/>
      <c r="Z158" s="107"/>
    </row>
    <row r="159" ht="14.25" customHeight="1">
      <c r="A159" s="110">
        <v>45504.0</v>
      </c>
      <c r="B159" s="163" t="s">
        <v>152</v>
      </c>
      <c r="C159" s="164" t="s">
        <v>153</v>
      </c>
      <c r="D159" s="164" t="s">
        <v>67</v>
      </c>
      <c r="E159" s="164" t="s">
        <v>154</v>
      </c>
      <c r="F159" s="168">
        <v>89793.0</v>
      </c>
      <c r="G159" s="109"/>
      <c r="H159" s="111" t="s">
        <v>235</v>
      </c>
      <c r="I159" s="107" t="str">
        <f t="shared" si="6"/>
        <v>NOT PAID</v>
      </c>
      <c r="J159" s="107"/>
      <c r="K159" s="107"/>
      <c r="L159" s="107"/>
      <c r="M159" s="107"/>
      <c r="N159" s="107"/>
      <c r="O159" s="107"/>
      <c r="P159" s="107"/>
      <c r="Q159" s="107"/>
      <c r="R159" s="107"/>
      <c r="S159" s="107"/>
      <c r="T159" s="107"/>
      <c r="U159" s="107"/>
      <c r="V159" s="107"/>
      <c r="W159" s="107"/>
      <c r="X159" s="107"/>
      <c r="Y159" s="107"/>
      <c r="Z159" s="107"/>
    </row>
    <row r="160" ht="14.25" customHeight="1">
      <c r="A160" s="110">
        <v>45504.0</v>
      </c>
      <c r="B160" s="163" t="s">
        <v>172</v>
      </c>
      <c r="C160" s="164" t="s">
        <v>79</v>
      </c>
      <c r="D160" s="164" t="s">
        <v>54</v>
      </c>
      <c r="E160" s="164" t="s">
        <v>80</v>
      </c>
      <c r="F160" s="168">
        <v>200000.0</v>
      </c>
      <c r="G160" s="113">
        <v>100000.0</v>
      </c>
      <c r="H160" s="111" t="s">
        <v>236</v>
      </c>
      <c r="I160" s="107" t="str">
        <f t="shared" si="6"/>
        <v>PARTIALLY PAID</v>
      </c>
      <c r="J160" s="107"/>
      <c r="K160" s="107"/>
      <c r="L160" s="107"/>
      <c r="M160" s="107"/>
      <c r="N160" s="107"/>
      <c r="O160" s="107"/>
      <c r="P160" s="107"/>
      <c r="Q160" s="107"/>
      <c r="R160" s="107"/>
      <c r="S160" s="107"/>
      <c r="T160" s="107"/>
      <c r="U160" s="107"/>
      <c r="V160" s="107"/>
      <c r="W160" s="107"/>
      <c r="X160" s="107"/>
      <c r="Y160" s="107"/>
      <c r="Z160" s="107"/>
    </row>
    <row r="161" ht="14.25" customHeight="1">
      <c r="A161" s="110">
        <v>45504.0</v>
      </c>
      <c r="B161" s="163" t="s">
        <v>83</v>
      </c>
      <c r="C161" s="164" t="s">
        <v>84</v>
      </c>
      <c r="D161" s="164" t="s">
        <v>67</v>
      </c>
      <c r="E161" s="164" t="s">
        <v>80</v>
      </c>
      <c r="F161" s="168">
        <v>285304.0</v>
      </c>
      <c r="G161" s="109"/>
      <c r="H161" s="111" t="s">
        <v>237</v>
      </c>
      <c r="I161" s="107" t="str">
        <f t="shared" si="6"/>
        <v>NOT PAID</v>
      </c>
      <c r="J161" s="107"/>
      <c r="K161" s="107"/>
      <c r="L161" s="107"/>
      <c r="M161" s="107"/>
      <c r="N161" s="107"/>
      <c r="O161" s="107"/>
      <c r="P161" s="107"/>
      <c r="Q161" s="107"/>
      <c r="R161" s="107"/>
      <c r="S161" s="107"/>
      <c r="T161" s="107"/>
      <c r="U161" s="107"/>
      <c r="V161" s="107"/>
      <c r="W161" s="107"/>
      <c r="X161" s="107"/>
      <c r="Y161" s="107"/>
      <c r="Z161" s="107"/>
    </row>
    <row r="162" ht="14.25" customHeight="1">
      <c r="A162" s="110">
        <v>45504.0</v>
      </c>
      <c r="B162" s="114" t="s">
        <v>100</v>
      </c>
      <c r="C162" s="130" t="s">
        <v>101</v>
      </c>
      <c r="D162" s="130" t="s">
        <v>59</v>
      </c>
      <c r="E162" s="130" t="s">
        <v>70</v>
      </c>
      <c r="F162" s="129">
        <v>1871514.0</v>
      </c>
      <c r="G162" s="109"/>
      <c r="H162" s="111" t="s">
        <v>238</v>
      </c>
      <c r="I162" s="107" t="str">
        <f t="shared" si="6"/>
        <v>NOT PAID</v>
      </c>
      <c r="J162" s="107"/>
      <c r="K162" s="107"/>
      <c r="L162" s="107"/>
      <c r="M162" s="107"/>
      <c r="N162" s="107"/>
      <c r="O162" s="107"/>
      <c r="P162" s="107"/>
      <c r="Q162" s="107"/>
      <c r="R162" s="107"/>
      <c r="S162" s="107"/>
      <c r="T162" s="107"/>
      <c r="U162" s="107"/>
      <c r="V162" s="107"/>
      <c r="W162" s="107"/>
      <c r="X162" s="107"/>
      <c r="Y162" s="107"/>
      <c r="Z162" s="107"/>
    </row>
    <row r="163" ht="14.25" customHeight="1">
      <c r="A163" s="110">
        <v>45504.0</v>
      </c>
      <c r="B163" s="182" t="s">
        <v>100</v>
      </c>
      <c r="C163" s="130" t="s">
        <v>101</v>
      </c>
      <c r="D163" s="130" t="s">
        <v>59</v>
      </c>
      <c r="E163" s="130" t="s">
        <v>70</v>
      </c>
      <c r="F163" s="129">
        <v>2465649.0</v>
      </c>
      <c r="G163" s="109"/>
      <c r="H163" s="111" t="s">
        <v>238</v>
      </c>
      <c r="I163" s="107" t="str">
        <f t="shared" si="6"/>
        <v>NOT PAID</v>
      </c>
      <c r="J163" s="107"/>
      <c r="K163" s="107"/>
      <c r="L163" s="107"/>
      <c r="M163" s="107"/>
      <c r="N163" s="107"/>
      <c r="O163" s="107"/>
      <c r="P163" s="107"/>
      <c r="Q163" s="107"/>
      <c r="R163" s="107"/>
      <c r="S163" s="107"/>
      <c r="T163" s="107"/>
      <c r="U163" s="107"/>
      <c r="V163" s="107"/>
      <c r="W163" s="107"/>
      <c r="X163" s="107"/>
      <c r="Y163" s="107"/>
      <c r="Z163" s="107"/>
    </row>
    <row r="164" ht="14.25" customHeight="1">
      <c r="A164" s="110">
        <v>45504.0</v>
      </c>
      <c r="B164" s="114" t="s">
        <v>239</v>
      </c>
      <c r="C164" s="130" t="s">
        <v>240</v>
      </c>
      <c r="D164" s="130" t="s">
        <v>75</v>
      </c>
      <c r="E164" s="130" t="s">
        <v>70</v>
      </c>
      <c r="F164" s="129">
        <v>110000.0</v>
      </c>
      <c r="G164" s="109"/>
      <c r="H164" s="111" t="s">
        <v>61</v>
      </c>
      <c r="I164" s="107" t="str">
        <f t="shared" si="6"/>
        <v>NOT PAID</v>
      </c>
      <c r="J164" s="107"/>
      <c r="K164" s="107"/>
      <c r="L164" s="107"/>
      <c r="M164" s="107"/>
      <c r="N164" s="107"/>
      <c r="O164" s="107"/>
      <c r="P164" s="107"/>
      <c r="Q164" s="107"/>
      <c r="R164" s="107"/>
      <c r="S164" s="107"/>
      <c r="T164" s="107"/>
      <c r="U164" s="107"/>
      <c r="V164" s="107"/>
      <c r="W164" s="107"/>
      <c r="X164" s="107"/>
      <c r="Y164" s="107"/>
      <c r="Z164" s="107"/>
    </row>
    <row r="165" ht="14.25" customHeight="1">
      <c r="A165" s="110">
        <v>45504.0</v>
      </c>
      <c r="B165" s="114" t="s">
        <v>77</v>
      </c>
      <c r="C165" s="130" t="s">
        <v>74</v>
      </c>
      <c r="D165" s="130" t="s">
        <v>54</v>
      </c>
      <c r="E165" s="130" t="s">
        <v>154</v>
      </c>
      <c r="F165" s="129">
        <v>283511.0</v>
      </c>
      <c r="G165" s="109"/>
      <c r="H165" s="111" t="s">
        <v>61</v>
      </c>
      <c r="I165" s="107" t="str">
        <f t="shared" si="6"/>
        <v>NOT PAID</v>
      </c>
      <c r="J165" s="107"/>
      <c r="K165" s="107"/>
      <c r="L165" s="107"/>
      <c r="M165" s="107"/>
      <c r="N165" s="107"/>
      <c r="O165" s="107"/>
      <c r="P165" s="107"/>
      <c r="Q165" s="107"/>
      <c r="R165" s="107"/>
      <c r="S165" s="107"/>
      <c r="T165" s="107"/>
      <c r="U165" s="107"/>
      <c r="V165" s="107"/>
      <c r="W165" s="107"/>
      <c r="X165" s="107"/>
      <c r="Y165" s="107"/>
      <c r="Z165" s="107"/>
    </row>
    <row r="166" ht="14.25" customHeight="1">
      <c r="A166" s="110">
        <v>45504.0</v>
      </c>
      <c r="B166" s="114" t="s">
        <v>73</v>
      </c>
      <c r="C166" s="130" t="s">
        <v>74</v>
      </c>
      <c r="D166" s="130" t="s">
        <v>75</v>
      </c>
      <c r="E166" s="130" t="s">
        <v>154</v>
      </c>
      <c r="F166" s="129">
        <v>127837.5</v>
      </c>
      <c r="G166" s="109"/>
      <c r="H166" s="111" t="s">
        <v>61</v>
      </c>
      <c r="I166" s="107" t="str">
        <f t="shared" si="6"/>
        <v>NOT PAID</v>
      </c>
      <c r="J166" s="107"/>
      <c r="K166" s="107"/>
      <c r="L166" s="107"/>
      <c r="M166" s="107"/>
      <c r="N166" s="107"/>
      <c r="O166" s="107"/>
      <c r="P166" s="107"/>
      <c r="Q166" s="107"/>
      <c r="R166" s="107"/>
      <c r="S166" s="107"/>
      <c r="T166" s="107"/>
      <c r="U166" s="107"/>
      <c r="V166" s="107"/>
      <c r="W166" s="107"/>
      <c r="X166" s="107"/>
      <c r="Y166" s="107"/>
      <c r="Z166" s="107"/>
    </row>
    <row r="167" ht="14.25" customHeight="1">
      <c r="A167" s="107"/>
      <c r="B167" s="107"/>
      <c r="C167" s="107"/>
      <c r="D167" s="107"/>
      <c r="E167" s="107"/>
      <c r="F167" s="109"/>
      <c r="G167" s="109"/>
      <c r="H167" s="107"/>
      <c r="I167" s="107" t="str">
        <f t="shared" si="6"/>
        <v>FULLY PAID</v>
      </c>
      <c r="J167" s="107"/>
      <c r="K167" s="107"/>
      <c r="L167" s="107"/>
      <c r="M167" s="107"/>
      <c r="N167" s="107"/>
      <c r="O167" s="107"/>
      <c r="P167" s="107"/>
      <c r="Q167" s="107"/>
      <c r="R167" s="107"/>
      <c r="S167" s="107"/>
      <c r="T167" s="107"/>
      <c r="U167" s="107"/>
      <c r="V167" s="107"/>
      <c r="W167" s="107"/>
      <c r="X167" s="107"/>
      <c r="Y167" s="107"/>
      <c r="Z167" s="107"/>
    </row>
    <row r="168" ht="14.25" customHeight="1">
      <c r="A168" s="107"/>
      <c r="B168" s="107"/>
      <c r="C168" s="107"/>
      <c r="D168" s="107"/>
      <c r="E168" s="107"/>
      <c r="F168" s="109"/>
      <c r="G168" s="109"/>
      <c r="H168" s="107"/>
      <c r="I168" s="107" t="str">
        <f t="shared" si="6"/>
        <v>FULLY PAID</v>
      </c>
      <c r="J168" s="107"/>
      <c r="K168" s="107"/>
      <c r="L168" s="107"/>
      <c r="M168" s="107"/>
      <c r="N168" s="107"/>
      <c r="O168" s="107"/>
      <c r="P168" s="107"/>
      <c r="Q168" s="107"/>
      <c r="R168" s="107"/>
      <c r="S168" s="107"/>
      <c r="T168" s="107"/>
      <c r="U168" s="107"/>
      <c r="V168" s="107"/>
      <c r="W168" s="107"/>
      <c r="X168" s="107"/>
      <c r="Y168" s="107"/>
      <c r="Z168" s="107"/>
    </row>
    <row r="169" ht="14.25" customHeight="1">
      <c r="A169" s="110"/>
      <c r="B169" s="121"/>
      <c r="C169" s="143">
        <v>45505.0</v>
      </c>
      <c r="D169" s="133"/>
      <c r="E169" s="122"/>
      <c r="F169" s="135"/>
      <c r="G169" s="147"/>
      <c r="H169" s="122"/>
      <c r="I169" s="107" t="str">
        <f t="shared" si="6"/>
        <v>FULLY PAID</v>
      </c>
      <c r="J169" s="107"/>
      <c r="K169" s="107"/>
      <c r="L169" s="107"/>
      <c r="M169" s="107"/>
      <c r="N169" s="107"/>
      <c r="O169" s="107"/>
      <c r="P169" s="107"/>
      <c r="Q169" s="107"/>
      <c r="R169" s="107"/>
      <c r="S169" s="107"/>
      <c r="T169" s="107"/>
      <c r="U169" s="107"/>
      <c r="V169" s="107"/>
      <c r="W169" s="107"/>
      <c r="X169" s="107"/>
      <c r="Y169" s="107"/>
      <c r="Z169" s="107"/>
    </row>
    <row r="170" ht="14.25" customHeight="1">
      <c r="A170" s="110">
        <v>45505.0</v>
      </c>
      <c r="B170" s="170" t="s">
        <v>145</v>
      </c>
      <c r="C170" s="171" t="s">
        <v>86</v>
      </c>
      <c r="D170" s="171" t="s">
        <v>54</v>
      </c>
      <c r="E170" s="171" t="s">
        <v>70</v>
      </c>
      <c r="F170" s="135">
        <v>1313526.0</v>
      </c>
      <c r="G170" s="183">
        <v>65680.0</v>
      </c>
      <c r="H170" s="128" t="s">
        <v>241</v>
      </c>
      <c r="I170" s="107" t="str">
        <f t="shared" si="6"/>
        <v>PARTIALLY PAID</v>
      </c>
      <c r="J170" s="107"/>
      <c r="K170" s="107"/>
      <c r="L170" s="107"/>
      <c r="M170" s="107"/>
      <c r="N170" s="107"/>
      <c r="O170" s="107"/>
      <c r="P170" s="107"/>
      <c r="Q170" s="107"/>
      <c r="R170" s="107"/>
      <c r="S170" s="107"/>
      <c r="T170" s="107"/>
      <c r="U170" s="107"/>
      <c r="V170" s="107"/>
      <c r="W170" s="107"/>
      <c r="X170" s="107"/>
      <c r="Y170" s="107"/>
      <c r="Z170" s="107"/>
    </row>
    <row r="171" ht="14.25" customHeight="1">
      <c r="A171" s="110">
        <v>45505.0</v>
      </c>
      <c r="B171" s="172" t="s">
        <v>242</v>
      </c>
      <c r="C171" s="173" t="s">
        <v>97</v>
      </c>
      <c r="D171" s="173" t="s">
        <v>75</v>
      </c>
      <c r="E171" s="173" t="s">
        <v>55</v>
      </c>
      <c r="F171" s="138">
        <v>92000.0</v>
      </c>
      <c r="G171" s="184"/>
      <c r="H171" s="128" t="s">
        <v>61</v>
      </c>
      <c r="I171" s="107" t="str">
        <f t="shared" si="6"/>
        <v>NOT PAID</v>
      </c>
      <c r="J171" s="107"/>
      <c r="K171" s="107"/>
      <c r="L171" s="107"/>
      <c r="M171" s="107"/>
      <c r="N171" s="107"/>
      <c r="O171" s="107"/>
      <c r="P171" s="107"/>
      <c r="Q171" s="107"/>
      <c r="R171" s="107"/>
      <c r="S171" s="107"/>
      <c r="T171" s="107"/>
      <c r="U171" s="107"/>
      <c r="V171" s="107"/>
      <c r="W171" s="107"/>
      <c r="X171" s="107"/>
      <c r="Y171" s="107"/>
      <c r="Z171" s="107"/>
    </row>
    <row r="172" ht="14.25" customHeight="1">
      <c r="A172" s="110">
        <v>45505.0</v>
      </c>
      <c r="B172" s="114" t="s">
        <v>182</v>
      </c>
      <c r="C172" s="130" t="s">
        <v>187</v>
      </c>
      <c r="D172" s="130" t="s">
        <v>54</v>
      </c>
      <c r="E172" s="130" t="s">
        <v>154</v>
      </c>
      <c r="F172" s="129">
        <v>8000.0</v>
      </c>
      <c r="G172" s="185"/>
      <c r="H172" s="122" t="s">
        <v>61</v>
      </c>
      <c r="I172" s="107" t="str">
        <f t="shared" si="6"/>
        <v>NOT PAID</v>
      </c>
      <c r="J172" s="107"/>
      <c r="K172" s="107"/>
      <c r="L172" s="107"/>
      <c r="M172" s="107"/>
      <c r="N172" s="107"/>
      <c r="O172" s="107"/>
      <c r="P172" s="107"/>
      <c r="Q172" s="107"/>
      <c r="R172" s="107"/>
      <c r="S172" s="107"/>
      <c r="T172" s="107"/>
      <c r="U172" s="107"/>
      <c r="V172" s="107"/>
      <c r="W172" s="107"/>
      <c r="X172" s="107"/>
      <c r="Y172" s="107"/>
      <c r="Z172" s="107"/>
    </row>
    <row r="173" ht="14.25" customHeight="1">
      <c r="A173" s="110">
        <v>45505.0</v>
      </c>
      <c r="B173" s="172" t="s">
        <v>243</v>
      </c>
      <c r="C173" s="173" t="s">
        <v>244</v>
      </c>
      <c r="D173" s="173" t="s">
        <v>67</v>
      </c>
      <c r="E173" s="173" t="s">
        <v>70</v>
      </c>
      <c r="F173" s="138">
        <v>3180000.0</v>
      </c>
      <c r="G173" s="184"/>
      <c r="H173" s="130" t="s">
        <v>245</v>
      </c>
      <c r="I173" s="107" t="str">
        <f t="shared" si="6"/>
        <v>NOT PAID</v>
      </c>
      <c r="J173" s="107"/>
      <c r="K173" s="107"/>
      <c r="L173" s="107"/>
      <c r="M173" s="107"/>
      <c r="N173" s="107"/>
      <c r="O173" s="107"/>
      <c r="P173" s="107"/>
      <c r="Q173" s="107"/>
      <c r="R173" s="107"/>
      <c r="S173" s="107"/>
      <c r="T173" s="107"/>
      <c r="U173" s="107"/>
      <c r="V173" s="107"/>
      <c r="W173" s="107"/>
      <c r="X173" s="107"/>
      <c r="Y173" s="107"/>
      <c r="Z173" s="107"/>
    </row>
    <row r="174" ht="14.25" customHeight="1">
      <c r="A174" s="110">
        <v>45505.0</v>
      </c>
      <c r="B174" s="163" t="s">
        <v>162</v>
      </c>
      <c r="C174" s="164" t="s">
        <v>163</v>
      </c>
      <c r="D174" s="164" t="s">
        <v>54</v>
      </c>
      <c r="E174" s="164" t="s">
        <v>80</v>
      </c>
      <c r="F174" s="168">
        <v>118787.0</v>
      </c>
      <c r="G174" s="113">
        <v>20000.0</v>
      </c>
      <c r="H174" s="111" t="s">
        <v>246</v>
      </c>
      <c r="I174" s="107" t="str">
        <f t="shared" si="6"/>
        <v>PARTIALLY PAID</v>
      </c>
      <c r="J174" s="107"/>
      <c r="K174" s="107"/>
      <c r="L174" s="107"/>
      <c r="M174" s="107"/>
      <c r="N174" s="107"/>
      <c r="O174" s="107"/>
      <c r="P174" s="107"/>
      <c r="Q174" s="107"/>
      <c r="R174" s="107"/>
      <c r="S174" s="107"/>
      <c r="T174" s="107"/>
      <c r="U174" s="107"/>
      <c r="V174" s="107"/>
      <c r="W174" s="107"/>
      <c r="X174" s="107"/>
      <c r="Y174" s="107"/>
      <c r="Z174" s="107"/>
    </row>
    <row r="175" ht="14.25" customHeight="1">
      <c r="A175" s="110">
        <v>45505.0</v>
      </c>
      <c r="B175" s="114" t="s">
        <v>77</v>
      </c>
      <c r="C175" s="130" t="s">
        <v>74</v>
      </c>
      <c r="D175" s="130" t="s">
        <v>54</v>
      </c>
      <c r="E175" s="130" t="s">
        <v>154</v>
      </c>
      <c r="F175" s="129">
        <v>283511.0</v>
      </c>
      <c r="G175" s="109"/>
      <c r="H175" s="111" t="s">
        <v>61</v>
      </c>
      <c r="I175" s="107" t="str">
        <f t="shared" si="6"/>
        <v>NOT PAID</v>
      </c>
      <c r="J175" s="107"/>
      <c r="K175" s="107"/>
      <c r="L175" s="107"/>
      <c r="M175" s="107"/>
      <c r="N175" s="107"/>
      <c r="O175" s="107"/>
      <c r="P175" s="107"/>
      <c r="Q175" s="107"/>
      <c r="R175" s="107"/>
      <c r="S175" s="107"/>
      <c r="T175" s="107"/>
      <c r="U175" s="107"/>
      <c r="V175" s="107"/>
      <c r="W175" s="107"/>
      <c r="X175" s="107"/>
      <c r="Y175" s="107"/>
      <c r="Z175" s="107"/>
    </row>
    <row r="176" ht="14.25" customHeight="1">
      <c r="A176" s="110">
        <v>45505.0</v>
      </c>
      <c r="B176" s="114" t="s">
        <v>73</v>
      </c>
      <c r="C176" s="130" t="s">
        <v>74</v>
      </c>
      <c r="D176" s="130" t="s">
        <v>75</v>
      </c>
      <c r="E176" s="130" t="s">
        <v>154</v>
      </c>
      <c r="F176" s="129">
        <v>127837.5</v>
      </c>
      <c r="G176" s="109"/>
      <c r="H176" s="111" t="s">
        <v>61</v>
      </c>
      <c r="I176" s="107" t="str">
        <f t="shared" si="6"/>
        <v>NOT PAID</v>
      </c>
      <c r="J176" s="107"/>
      <c r="K176" s="107"/>
      <c r="L176" s="107"/>
      <c r="M176" s="107"/>
      <c r="N176" s="107"/>
      <c r="O176" s="107"/>
      <c r="P176" s="107"/>
      <c r="Q176" s="107"/>
      <c r="R176" s="107"/>
      <c r="S176" s="107"/>
      <c r="T176" s="107"/>
      <c r="U176" s="107"/>
      <c r="V176" s="107"/>
      <c r="W176" s="107"/>
      <c r="X176" s="107"/>
      <c r="Y176" s="107"/>
      <c r="Z176" s="107"/>
    </row>
    <row r="177" ht="14.25" customHeight="1">
      <c r="A177" s="110">
        <v>45505.0</v>
      </c>
      <c r="B177" s="172" t="s">
        <v>247</v>
      </c>
      <c r="C177" s="173" t="s">
        <v>66</v>
      </c>
      <c r="D177" s="173" t="s">
        <v>67</v>
      </c>
      <c r="E177" s="173" t="s">
        <v>70</v>
      </c>
      <c r="F177" s="138">
        <v>388263.0</v>
      </c>
      <c r="G177" s="113">
        <v>388263.0</v>
      </c>
      <c r="H177" s="111" t="s">
        <v>175</v>
      </c>
      <c r="I177" s="107" t="str">
        <f t="shared" si="6"/>
        <v>FULLY PAID</v>
      </c>
      <c r="J177" s="107"/>
      <c r="K177" s="107"/>
      <c r="L177" s="107"/>
      <c r="M177" s="107"/>
      <c r="N177" s="107"/>
      <c r="O177" s="107"/>
      <c r="P177" s="107"/>
      <c r="Q177" s="107"/>
      <c r="R177" s="107"/>
      <c r="S177" s="107"/>
      <c r="T177" s="107"/>
      <c r="U177" s="107"/>
      <c r="V177" s="107"/>
      <c r="W177" s="107"/>
      <c r="X177" s="107"/>
      <c r="Y177" s="107"/>
      <c r="Z177" s="107"/>
    </row>
    <row r="178" ht="14.25" customHeight="1">
      <c r="A178" s="110">
        <v>45505.0</v>
      </c>
      <c r="B178" s="172" t="s">
        <v>209</v>
      </c>
      <c r="C178" s="173" t="s">
        <v>72</v>
      </c>
      <c r="D178" s="173" t="s">
        <v>54</v>
      </c>
      <c r="E178" s="173" t="s">
        <v>70</v>
      </c>
      <c r="F178" s="138">
        <v>384315.0</v>
      </c>
      <c r="G178" s="109"/>
      <c r="H178" s="111" t="s">
        <v>248</v>
      </c>
      <c r="I178" s="107" t="str">
        <f t="shared" si="6"/>
        <v>NOT PAID</v>
      </c>
      <c r="J178" s="107"/>
      <c r="K178" s="107"/>
      <c r="L178" s="107"/>
      <c r="M178" s="107"/>
      <c r="N178" s="107"/>
      <c r="O178" s="107"/>
      <c r="P178" s="107"/>
      <c r="Q178" s="107"/>
      <c r="R178" s="107"/>
      <c r="S178" s="107"/>
      <c r="T178" s="107"/>
      <c r="U178" s="107"/>
      <c r="V178" s="107"/>
      <c r="W178" s="107"/>
      <c r="X178" s="107"/>
      <c r="Y178" s="107"/>
      <c r="Z178" s="107"/>
    </row>
    <row r="179" ht="14.25" customHeight="1">
      <c r="A179" s="110">
        <v>45505.0</v>
      </c>
      <c r="B179" s="114" t="s">
        <v>71</v>
      </c>
      <c r="C179" s="173" t="s">
        <v>72</v>
      </c>
      <c r="D179" s="130" t="s">
        <v>54</v>
      </c>
      <c r="E179" s="130" t="s">
        <v>158</v>
      </c>
      <c r="F179" s="129">
        <v>1931349.0</v>
      </c>
      <c r="G179" s="109"/>
      <c r="H179" s="111" t="s">
        <v>248</v>
      </c>
      <c r="I179" s="107" t="str">
        <f t="shared" si="6"/>
        <v>NOT PAID</v>
      </c>
      <c r="J179" s="107"/>
      <c r="K179" s="107"/>
      <c r="L179" s="107"/>
      <c r="M179" s="107"/>
      <c r="N179" s="107"/>
      <c r="O179" s="107"/>
      <c r="P179" s="107"/>
      <c r="Q179" s="107"/>
      <c r="R179" s="107"/>
      <c r="S179" s="107"/>
      <c r="T179" s="107"/>
      <c r="U179" s="107"/>
      <c r="V179" s="107"/>
      <c r="W179" s="107"/>
      <c r="X179" s="107"/>
      <c r="Y179" s="107"/>
      <c r="Z179" s="107"/>
    </row>
    <row r="180" ht="14.25" customHeight="1">
      <c r="A180" s="110">
        <v>45505.0</v>
      </c>
      <c r="B180" s="163" t="s">
        <v>111</v>
      </c>
      <c r="C180" s="164" t="s">
        <v>112</v>
      </c>
      <c r="D180" s="164" t="s">
        <v>54</v>
      </c>
      <c r="E180" s="164" t="s">
        <v>80</v>
      </c>
      <c r="F180" s="168">
        <v>17924.0</v>
      </c>
      <c r="G180" s="109"/>
      <c r="H180" s="111" t="s">
        <v>249</v>
      </c>
      <c r="I180" s="107" t="str">
        <f t="shared" si="6"/>
        <v>NOT PAID</v>
      </c>
      <c r="J180" s="107"/>
      <c r="K180" s="107"/>
      <c r="L180" s="107"/>
      <c r="M180" s="107"/>
      <c r="N180" s="107"/>
      <c r="O180" s="107"/>
      <c r="P180" s="107"/>
      <c r="Q180" s="107"/>
      <c r="R180" s="107"/>
      <c r="S180" s="107"/>
      <c r="T180" s="107"/>
      <c r="U180" s="107"/>
      <c r="V180" s="107"/>
      <c r="W180" s="107"/>
      <c r="X180" s="107"/>
      <c r="Y180" s="107"/>
      <c r="Z180" s="107"/>
    </row>
    <row r="181" ht="14.25" customHeight="1">
      <c r="A181" s="110">
        <v>45505.0</v>
      </c>
      <c r="B181" s="163" t="s">
        <v>152</v>
      </c>
      <c r="C181" s="164" t="s">
        <v>153</v>
      </c>
      <c r="D181" s="164" t="s">
        <v>67</v>
      </c>
      <c r="E181" s="164" t="s">
        <v>154</v>
      </c>
      <c r="F181" s="168">
        <v>89793.0</v>
      </c>
      <c r="G181" s="109"/>
      <c r="H181" s="111" t="s">
        <v>250</v>
      </c>
      <c r="I181" s="107" t="str">
        <f t="shared" si="6"/>
        <v>NOT PAID</v>
      </c>
      <c r="J181" s="107"/>
      <c r="K181" s="107"/>
      <c r="L181" s="107"/>
      <c r="M181" s="107"/>
      <c r="N181" s="107"/>
      <c r="O181" s="107"/>
      <c r="P181" s="107"/>
      <c r="Q181" s="107"/>
      <c r="R181" s="107"/>
      <c r="S181" s="107"/>
      <c r="T181" s="107"/>
      <c r="U181" s="107"/>
      <c r="V181" s="107"/>
      <c r="W181" s="107"/>
      <c r="X181" s="107"/>
      <c r="Y181" s="107"/>
      <c r="Z181" s="107"/>
    </row>
    <row r="182" ht="14.25" customHeight="1">
      <c r="A182" s="110">
        <v>45505.0</v>
      </c>
      <c r="B182" s="172" t="s">
        <v>251</v>
      </c>
      <c r="C182" s="173" t="s">
        <v>252</v>
      </c>
      <c r="D182" s="173" t="s">
        <v>67</v>
      </c>
      <c r="E182" s="173" t="s">
        <v>70</v>
      </c>
      <c r="F182" s="138">
        <v>239382.0</v>
      </c>
      <c r="G182" s="113">
        <v>239382.0</v>
      </c>
      <c r="H182" s="111" t="s">
        <v>175</v>
      </c>
      <c r="I182" s="107" t="str">
        <f t="shared" si="6"/>
        <v>FULLY PAID</v>
      </c>
      <c r="J182" s="107"/>
      <c r="K182" s="107"/>
      <c r="L182" s="107"/>
      <c r="M182" s="107"/>
      <c r="N182" s="107"/>
      <c r="O182" s="107"/>
      <c r="P182" s="107"/>
      <c r="Q182" s="107"/>
      <c r="R182" s="107"/>
      <c r="S182" s="107"/>
      <c r="T182" s="107"/>
      <c r="U182" s="107"/>
      <c r="V182" s="107"/>
      <c r="W182" s="107"/>
      <c r="X182" s="107"/>
      <c r="Y182" s="107"/>
      <c r="Z182" s="107"/>
    </row>
    <row r="183" ht="14.25" customHeight="1">
      <c r="A183" s="110">
        <v>45505.0</v>
      </c>
      <c r="B183" s="114" t="s">
        <v>239</v>
      </c>
      <c r="C183" s="130" t="s">
        <v>240</v>
      </c>
      <c r="D183" s="130" t="s">
        <v>75</v>
      </c>
      <c r="E183" s="130" t="s">
        <v>70</v>
      </c>
      <c r="F183" s="129">
        <v>110000.0</v>
      </c>
      <c r="G183" s="113">
        <v>110000.0</v>
      </c>
      <c r="H183" s="111" t="s">
        <v>175</v>
      </c>
      <c r="I183" s="107" t="str">
        <f t="shared" si="6"/>
        <v>FULLY PAID</v>
      </c>
      <c r="J183" s="107"/>
      <c r="K183" s="107"/>
      <c r="L183" s="107"/>
      <c r="M183" s="107"/>
      <c r="N183" s="107"/>
      <c r="O183" s="107"/>
      <c r="P183" s="107"/>
      <c r="Q183" s="107"/>
      <c r="R183" s="107"/>
      <c r="S183" s="107"/>
      <c r="T183" s="107"/>
      <c r="U183" s="107"/>
      <c r="V183" s="107"/>
      <c r="W183" s="107"/>
      <c r="X183" s="107"/>
      <c r="Y183" s="107"/>
      <c r="Z183" s="107"/>
    </row>
    <row r="184" ht="14.25" customHeight="1">
      <c r="A184" s="110">
        <v>45505.0</v>
      </c>
      <c r="B184" s="163" t="s">
        <v>172</v>
      </c>
      <c r="C184" s="164" t="s">
        <v>79</v>
      </c>
      <c r="D184" s="164" t="s">
        <v>54</v>
      </c>
      <c r="E184" s="164" t="s">
        <v>80</v>
      </c>
      <c r="F184" s="168">
        <v>200000.0</v>
      </c>
      <c r="G184" s="109"/>
      <c r="H184" s="111" t="s">
        <v>250</v>
      </c>
      <c r="I184" s="107" t="str">
        <f t="shared" si="6"/>
        <v>NOT PAID</v>
      </c>
      <c r="J184" s="107"/>
      <c r="K184" s="107"/>
      <c r="L184" s="107"/>
      <c r="M184" s="107"/>
      <c r="N184" s="107"/>
      <c r="O184" s="107"/>
      <c r="P184" s="107"/>
      <c r="Q184" s="107"/>
      <c r="R184" s="107"/>
      <c r="S184" s="107"/>
      <c r="T184" s="107"/>
      <c r="U184" s="107"/>
      <c r="V184" s="107"/>
      <c r="W184" s="107"/>
      <c r="X184" s="107"/>
      <c r="Y184" s="107"/>
      <c r="Z184" s="107"/>
    </row>
    <row r="185" ht="14.25" customHeight="1">
      <c r="A185" s="110">
        <v>45505.0</v>
      </c>
      <c r="B185" s="163" t="s">
        <v>83</v>
      </c>
      <c r="C185" s="164" t="s">
        <v>84</v>
      </c>
      <c r="D185" s="164" t="s">
        <v>67</v>
      </c>
      <c r="E185" s="164" t="s">
        <v>80</v>
      </c>
      <c r="F185" s="168">
        <v>285304.0</v>
      </c>
      <c r="G185" s="109"/>
      <c r="H185" s="111" t="s">
        <v>250</v>
      </c>
      <c r="I185" s="107" t="str">
        <f t="shared" si="6"/>
        <v>NOT PAID</v>
      </c>
      <c r="J185" s="107"/>
      <c r="K185" s="107"/>
      <c r="L185" s="107"/>
      <c r="M185" s="107"/>
      <c r="N185" s="107"/>
      <c r="O185" s="107"/>
      <c r="P185" s="107"/>
      <c r="Q185" s="107"/>
      <c r="R185" s="107"/>
      <c r="S185" s="107"/>
      <c r="T185" s="107"/>
      <c r="U185" s="107"/>
      <c r="V185" s="107"/>
      <c r="W185" s="107"/>
      <c r="X185" s="107"/>
      <c r="Y185" s="107"/>
      <c r="Z185" s="107"/>
    </row>
    <row r="186" ht="14.25" customHeight="1">
      <c r="A186" s="110">
        <v>45505.0</v>
      </c>
      <c r="B186" s="172" t="s">
        <v>253</v>
      </c>
      <c r="C186" s="173" t="s">
        <v>58</v>
      </c>
      <c r="D186" s="173" t="s">
        <v>75</v>
      </c>
      <c r="E186" s="173" t="s">
        <v>70</v>
      </c>
      <c r="F186" s="138">
        <v>690000.0</v>
      </c>
      <c r="G186" s="109"/>
      <c r="H186" s="111" t="s">
        <v>250</v>
      </c>
      <c r="I186" s="107" t="str">
        <f t="shared" si="6"/>
        <v>NOT PAID</v>
      </c>
      <c r="J186" s="107"/>
      <c r="K186" s="107"/>
      <c r="L186" s="107"/>
      <c r="M186" s="107"/>
      <c r="N186" s="107"/>
      <c r="O186" s="107"/>
      <c r="P186" s="107"/>
      <c r="Q186" s="107"/>
      <c r="R186" s="107"/>
      <c r="S186" s="107"/>
      <c r="T186" s="107"/>
      <c r="U186" s="107"/>
      <c r="V186" s="107"/>
      <c r="W186" s="107"/>
      <c r="X186" s="107"/>
      <c r="Y186" s="107"/>
      <c r="Z186" s="107"/>
    </row>
    <row r="187" ht="14.25" customHeight="1">
      <c r="A187" s="110"/>
      <c r="B187" s="186"/>
      <c r="C187" s="187"/>
      <c r="D187" s="187"/>
      <c r="E187" s="187"/>
      <c r="F187" s="188"/>
      <c r="G187" s="109"/>
      <c r="H187" s="107"/>
      <c r="I187" s="107" t="str">
        <f t="shared" si="6"/>
        <v>FULLY PAID</v>
      </c>
      <c r="J187" s="107"/>
      <c r="K187" s="107"/>
      <c r="L187" s="107"/>
      <c r="M187" s="107"/>
      <c r="N187" s="107"/>
      <c r="O187" s="107"/>
      <c r="P187" s="107"/>
      <c r="Q187" s="107"/>
      <c r="R187" s="107"/>
      <c r="S187" s="107"/>
      <c r="T187" s="107"/>
      <c r="U187" s="107"/>
      <c r="V187" s="107"/>
      <c r="W187" s="107"/>
      <c r="X187" s="107"/>
      <c r="Y187" s="107"/>
      <c r="Z187" s="107"/>
    </row>
    <row r="188" ht="14.25" customHeight="1">
      <c r="A188" s="110"/>
      <c r="B188" s="142"/>
      <c r="C188" s="189" t="s">
        <v>107</v>
      </c>
      <c r="D188" s="187"/>
      <c r="E188" s="187"/>
      <c r="F188" s="188"/>
      <c r="G188" s="109"/>
      <c r="H188" s="107"/>
      <c r="I188" s="107" t="str">
        <f t="shared" si="6"/>
        <v>FULLY PAID</v>
      </c>
      <c r="J188" s="107"/>
      <c r="K188" s="107"/>
      <c r="L188" s="107"/>
      <c r="M188" s="107"/>
      <c r="N188" s="107"/>
      <c r="O188" s="107"/>
      <c r="P188" s="107"/>
      <c r="Q188" s="107"/>
      <c r="R188" s="107"/>
      <c r="S188" s="107"/>
      <c r="T188" s="107"/>
      <c r="U188" s="107"/>
      <c r="V188" s="107"/>
      <c r="W188" s="107"/>
      <c r="X188" s="107"/>
      <c r="Y188" s="107"/>
      <c r="Z188" s="107"/>
    </row>
    <row r="189" ht="14.25" customHeight="1">
      <c r="A189" s="110">
        <v>45505.0</v>
      </c>
      <c r="B189" s="111" t="s">
        <v>254</v>
      </c>
      <c r="C189" s="111" t="s">
        <v>255</v>
      </c>
      <c r="D189" s="111" t="s">
        <v>256</v>
      </c>
      <c r="E189" s="111" t="s">
        <v>257</v>
      </c>
      <c r="F189" s="112">
        <v>600000.0</v>
      </c>
      <c r="G189" s="109"/>
      <c r="H189" s="111" t="s">
        <v>64</v>
      </c>
      <c r="I189" s="107" t="str">
        <f t="shared" si="6"/>
        <v>NOT PAID</v>
      </c>
      <c r="J189" s="107"/>
      <c r="K189" s="107"/>
      <c r="L189" s="107"/>
      <c r="M189" s="107"/>
      <c r="N189" s="107"/>
      <c r="O189" s="107"/>
      <c r="P189" s="107"/>
      <c r="Q189" s="107"/>
      <c r="R189" s="107"/>
      <c r="S189" s="107"/>
      <c r="T189" s="107"/>
      <c r="U189" s="107"/>
      <c r="V189" s="107"/>
      <c r="W189" s="107"/>
      <c r="X189" s="107"/>
      <c r="Y189" s="107"/>
      <c r="Z189" s="107"/>
    </row>
    <row r="190" ht="14.25" customHeight="1">
      <c r="A190" s="110">
        <v>45505.0</v>
      </c>
      <c r="B190" s="111" t="s">
        <v>227</v>
      </c>
      <c r="C190" s="111" t="s">
        <v>228</v>
      </c>
      <c r="D190" s="111" t="s">
        <v>258</v>
      </c>
      <c r="E190" s="111" t="s">
        <v>259</v>
      </c>
      <c r="F190" s="113">
        <v>4500000.0</v>
      </c>
      <c r="G190" s="109"/>
      <c r="H190" s="111" t="s">
        <v>260</v>
      </c>
      <c r="I190" s="107" t="str">
        <f t="shared" si="6"/>
        <v>NOT PAID</v>
      </c>
      <c r="J190" s="107"/>
      <c r="K190" s="107"/>
      <c r="L190" s="107"/>
      <c r="M190" s="107"/>
      <c r="N190" s="107"/>
      <c r="O190" s="107"/>
      <c r="P190" s="107"/>
      <c r="Q190" s="107"/>
      <c r="R190" s="107"/>
      <c r="S190" s="107"/>
      <c r="T190" s="107"/>
      <c r="U190" s="107"/>
      <c r="V190" s="107"/>
      <c r="W190" s="107"/>
      <c r="X190" s="107"/>
      <c r="Y190" s="107"/>
      <c r="Z190" s="107"/>
    </row>
    <row r="191" ht="14.25" customHeight="1">
      <c r="A191" s="110"/>
      <c r="B191" s="121"/>
      <c r="C191" s="122"/>
      <c r="D191" s="122"/>
      <c r="E191" s="122"/>
      <c r="F191" s="135"/>
      <c r="G191" s="147"/>
      <c r="H191" s="122"/>
      <c r="I191" s="107" t="str">
        <f t="shared" si="6"/>
        <v>FULLY PAID</v>
      </c>
      <c r="J191" s="107"/>
      <c r="K191" s="107"/>
      <c r="L191" s="107"/>
      <c r="M191" s="107"/>
      <c r="N191" s="107"/>
      <c r="O191" s="107"/>
      <c r="P191" s="107"/>
      <c r="Q191" s="107"/>
      <c r="R191" s="107"/>
      <c r="S191" s="107"/>
      <c r="T191" s="107"/>
      <c r="U191" s="107"/>
      <c r="V191" s="107"/>
      <c r="W191" s="107"/>
      <c r="X191" s="107"/>
      <c r="Y191" s="107"/>
      <c r="Z191" s="107"/>
    </row>
    <row r="192" ht="14.25" customHeight="1">
      <c r="A192" s="110"/>
      <c r="B192" s="127"/>
      <c r="C192" s="190">
        <v>45506.0</v>
      </c>
      <c r="D192" s="128"/>
      <c r="E192" s="128"/>
      <c r="F192" s="129"/>
      <c r="G192" s="183"/>
      <c r="H192" s="128"/>
      <c r="I192" s="107" t="str">
        <f t="shared" si="6"/>
        <v>FULLY PAID</v>
      </c>
      <c r="J192" s="107"/>
      <c r="K192" s="107"/>
      <c r="L192" s="107"/>
      <c r="M192" s="107"/>
      <c r="N192" s="107"/>
      <c r="O192" s="107"/>
      <c r="P192" s="107"/>
      <c r="Q192" s="107"/>
      <c r="R192" s="107"/>
      <c r="S192" s="107"/>
      <c r="T192" s="107"/>
      <c r="U192" s="107"/>
      <c r="V192" s="107"/>
      <c r="W192" s="107"/>
      <c r="X192" s="107"/>
      <c r="Y192" s="107"/>
      <c r="Z192" s="107"/>
    </row>
    <row r="193" ht="14.25" customHeight="1">
      <c r="A193" s="191">
        <v>45506.0</v>
      </c>
      <c r="B193" s="192" t="s">
        <v>261</v>
      </c>
      <c r="C193" s="193" t="s">
        <v>262</v>
      </c>
      <c r="D193" s="193" t="s">
        <v>263</v>
      </c>
      <c r="E193" s="193" t="s">
        <v>55</v>
      </c>
      <c r="F193" s="120">
        <v>26100.0</v>
      </c>
      <c r="G193" s="184">
        <v>26100.0</v>
      </c>
      <c r="H193" s="128" t="s">
        <v>212</v>
      </c>
      <c r="I193" s="107" t="str">
        <f t="shared" si="6"/>
        <v>FULLY PAID</v>
      </c>
      <c r="J193" s="107"/>
      <c r="K193" s="107"/>
      <c r="L193" s="107"/>
      <c r="M193" s="107"/>
      <c r="N193" s="107"/>
      <c r="O193" s="107"/>
      <c r="P193" s="107"/>
      <c r="Q193" s="107"/>
      <c r="R193" s="107"/>
      <c r="S193" s="107"/>
      <c r="T193" s="107"/>
      <c r="U193" s="107"/>
      <c r="V193" s="107"/>
      <c r="W193" s="107"/>
      <c r="X193" s="107"/>
      <c r="Y193" s="107"/>
      <c r="Z193" s="107"/>
    </row>
    <row r="194" ht="14.25" customHeight="1">
      <c r="A194" s="191">
        <v>45506.0</v>
      </c>
      <c r="B194" s="194" t="s">
        <v>242</v>
      </c>
      <c r="C194" s="195" t="s">
        <v>97</v>
      </c>
      <c r="D194" s="195" t="s">
        <v>75</v>
      </c>
      <c r="E194" s="195" t="s">
        <v>55</v>
      </c>
      <c r="F194" s="168">
        <v>92000.0</v>
      </c>
      <c r="G194" s="183">
        <v>92000.0</v>
      </c>
      <c r="H194" s="130" t="s">
        <v>212</v>
      </c>
      <c r="I194" s="107" t="str">
        <f t="shared" si="6"/>
        <v>FULLY PAID</v>
      </c>
      <c r="J194" s="107"/>
      <c r="K194" s="107"/>
      <c r="L194" s="107"/>
      <c r="M194" s="107"/>
      <c r="N194" s="107"/>
      <c r="O194" s="107"/>
      <c r="P194" s="107"/>
      <c r="Q194" s="107"/>
      <c r="R194" s="107"/>
      <c r="S194" s="107"/>
      <c r="T194" s="107"/>
      <c r="U194" s="107"/>
      <c r="V194" s="107"/>
      <c r="W194" s="107"/>
      <c r="X194" s="107"/>
      <c r="Y194" s="107"/>
      <c r="Z194" s="107"/>
    </row>
    <row r="195" ht="14.25" customHeight="1">
      <c r="A195" s="191">
        <v>45506.0</v>
      </c>
      <c r="B195" s="163" t="s">
        <v>162</v>
      </c>
      <c r="C195" s="164" t="s">
        <v>163</v>
      </c>
      <c r="D195" s="164" t="s">
        <v>54</v>
      </c>
      <c r="E195" s="164" t="s">
        <v>80</v>
      </c>
      <c r="F195" s="168">
        <v>98787.0</v>
      </c>
      <c r="G195" s="109"/>
      <c r="H195" s="111" t="s">
        <v>264</v>
      </c>
      <c r="I195" s="107" t="str">
        <f t="shared" si="6"/>
        <v>NOT PAID</v>
      </c>
      <c r="J195" s="107"/>
      <c r="K195" s="107"/>
      <c r="L195" s="107"/>
      <c r="M195" s="107"/>
      <c r="N195" s="107"/>
      <c r="O195" s="107"/>
      <c r="P195" s="107"/>
      <c r="Q195" s="107"/>
      <c r="R195" s="107"/>
      <c r="S195" s="107"/>
      <c r="T195" s="107"/>
      <c r="U195" s="107"/>
      <c r="V195" s="107"/>
      <c r="W195" s="107"/>
      <c r="X195" s="107"/>
      <c r="Y195" s="107"/>
      <c r="Z195" s="107"/>
    </row>
    <row r="196" ht="14.25" customHeight="1">
      <c r="A196" s="191">
        <v>45506.0</v>
      </c>
      <c r="B196" s="163" t="s">
        <v>77</v>
      </c>
      <c r="C196" s="164" t="s">
        <v>74</v>
      </c>
      <c r="D196" s="164" t="s">
        <v>54</v>
      </c>
      <c r="E196" s="164" t="s">
        <v>154</v>
      </c>
      <c r="F196" s="196">
        <v>283511.0</v>
      </c>
      <c r="G196" s="109"/>
      <c r="H196" s="111" t="s">
        <v>264</v>
      </c>
      <c r="I196" s="107" t="str">
        <f t="shared" si="6"/>
        <v>NOT PAID</v>
      </c>
      <c r="J196" s="107"/>
      <c r="K196" s="107"/>
      <c r="L196" s="107"/>
      <c r="M196" s="107"/>
      <c r="N196" s="107"/>
      <c r="O196" s="107"/>
      <c r="P196" s="107"/>
      <c r="Q196" s="107"/>
      <c r="R196" s="107"/>
      <c r="S196" s="107"/>
      <c r="T196" s="107"/>
      <c r="U196" s="107"/>
      <c r="V196" s="107"/>
      <c r="W196" s="107"/>
      <c r="X196" s="107"/>
      <c r="Y196" s="107"/>
      <c r="Z196" s="107"/>
    </row>
    <row r="197" ht="14.25" customHeight="1">
      <c r="A197" s="191">
        <v>45506.0</v>
      </c>
      <c r="B197" s="163" t="s">
        <v>73</v>
      </c>
      <c r="C197" s="164" t="s">
        <v>74</v>
      </c>
      <c r="D197" s="164" t="s">
        <v>75</v>
      </c>
      <c r="E197" s="164" t="s">
        <v>154</v>
      </c>
      <c r="F197" s="196">
        <v>127837.5</v>
      </c>
      <c r="G197" s="109"/>
      <c r="H197" s="111" t="s">
        <v>264</v>
      </c>
      <c r="I197" s="107" t="str">
        <f t="shared" si="6"/>
        <v>NOT PAID</v>
      </c>
      <c r="J197" s="107"/>
      <c r="K197" s="107"/>
      <c r="L197" s="107"/>
      <c r="M197" s="107"/>
      <c r="N197" s="107"/>
      <c r="O197" s="107"/>
      <c r="P197" s="107"/>
      <c r="Q197" s="107"/>
      <c r="R197" s="107"/>
      <c r="S197" s="107"/>
      <c r="T197" s="107"/>
      <c r="U197" s="107"/>
      <c r="V197" s="107"/>
      <c r="W197" s="107"/>
      <c r="X197" s="107"/>
      <c r="Y197" s="107"/>
      <c r="Z197" s="107"/>
    </row>
    <row r="198" ht="14.25" customHeight="1">
      <c r="A198" s="191">
        <v>45506.0</v>
      </c>
      <c r="B198" s="194" t="s">
        <v>209</v>
      </c>
      <c r="C198" s="195" t="s">
        <v>72</v>
      </c>
      <c r="D198" s="195" t="s">
        <v>54</v>
      </c>
      <c r="E198" s="195" t="s">
        <v>70</v>
      </c>
      <c r="F198" s="168">
        <v>425009.0</v>
      </c>
      <c r="G198" s="109"/>
      <c r="H198" s="111" t="s">
        <v>61</v>
      </c>
      <c r="I198" s="107" t="str">
        <f t="shared" si="6"/>
        <v>NOT PAID</v>
      </c>
      <c r="J198" s="107"/>
      <c r="K198" s="107"/>
      <c r="L198" s="107"/>
      <c r="M198" s="107"/>
      <c r="N198" s="107"/>
      <c r="O198" s="107"/>
      <c r="P198" s="107"/>
      <c r="Q198" s="107"/>
      <c r="R198" s="107"/>
      <c r="S198" s="107"/>
      <c r="T198" s="107"/>
      <c r="U198" s="107"/>
      <c r="V198" s="107"/>
      <c r="W198" s="107"/>
      <c r="X198" s="107"/>
      <c r="Y198" s="107"/>
      <c r="Z198" s="107"/>
    </row>
    <row r="199" ht="14.25" customHeight="1">
      <c r="A199" s="191">
        <v>45506.0</v>
      </c>
      <c r="B199" s="163" t="s">
        <v>71</v>
      </c>
      <c r="C199" s="195" t="s">
        <v>72</v>
      </c>
      <c r="D199" s="164" t="s">
        <v>54</v>
      </c>
      <c r="E199" s="164" t="s">
        <v>158</v>
      </c>
      <c r="F199" s="196">
        <v>1931349.0</v>
      </c>
      <c r="G199" s="109"/>
      <c r="H199" s="111" t="s">
        <v>249</v>
      </c>
      <c r="I199" s="107" t="str">
        <f t="shared" si="6"/>
        <v>NOT PAID</v>
      </c>
      <c r="J199" s="107"/>
      <c r="K199" s="107"/>
      <c r="L199" s="107"/>
      <c r="M199" s="107"/>
      <c r="N199" s="107"/>
      <c r="O199" s="107"/>
      <c r="P199" s="107"/>
      <c r="Q199" s="107"/>
      <c r="R199" s="107"/>
      <c r="S199" s="107"/>
      <c r="T199" s="107"/>
      <c r="U199" s="107"/>
      <c r="V199" s="107"/>
      <c r="W199" s="107"/>
      <c r="X199" s="107"/>
      <c r="Y199" s="107"/>
      <c r="Z199" s="107"/>
    </row>
    <row r="200" ht="14.25" customHeight="1">
      <c r="A200" s="191">
        <v>45506.0</v>
      </c>
      <c r="B200" s="163" t="s">
        <v>111</v>
      </c>
      <c r="C200" s="164" t="s">
        <v>112</v>
      </c>
      <c r="D200" s="164" t="s">
        <v>54</v>
      </c>
      <c r="E200" s="164" t="s">
        <v>80</v>
      </c>
      <c r="F200" s="168">
        <v>17924.0</v>
      </c>
      <c r="G200" s="109"/>
      <c r="H200" s="111" t="s">
        <v>265</v>
      </c>
      <c r="I200" s="107" t="str">
        <f t="shared" si="6"/>
        <v>NOT PAID</v>
      </c>
      <c r="J200" s="107"/>
      <c r="K200" s="107"/>
      <c r="L200" s="107"/>
      <c r="M200" s="107"/>
      <c r="N200" s="107"/>
      <c r="O200" s="107"/>
      <c r="P200" s="107"/>
      <c r="Q200" s="107"/>
      <c r="R200" s="107"/>
      <c r="S200" s="107"/>
      <c r="T200" s="107"/>
      <c r="U200" s="107"/>
      <c r="V200" s="107"/>
      <c r="W200" s="107"/>
      <c r="X200" s="107"/>
      <c r="Y200" s="107"/>
      <c r="Z200" s="107"/>
    </row>
    <row r="201" ht="14.25" customHeight="1">
      <c r="A201" s="191">
        <v>45506.0</v>
      </c>
      <c r="B201" s="163" t="s">
        <v>152</v>
      </c>
      <c r="C201" s="164" t="s">
        <v>153</v>
      </c>
      <c r="D201" s="164" t="s">
        <v>67</v>
      </c>
      <c r="E201" s="164" t="s">
        <v>154</v>
      </c>
      <c r="F201" s="168">
        <v>89793.0</v>
      </c>
      <c r="G201" s="109"/>
      <c r="H201" s="111" t="s">
        <v>249</v>
      </c>
      <c r="I201" s="107" t="str">
        <f t="shared" si="6"/>
        <v>NOT PAID</v>
      </c>
      <c r="J201" s="107"/>
      <c r="K201" s="107"/>
      <c r="L201" s="107"/>
      <c r="M201" s="107"/>
      <c r="N201" s="107"/>
      <c r="O201" s="107"/>
      <c r="P201" s="107"/>
      <c r="Q201" s="107"/>
      <c r="R201" s="107"/>
      <c r="S201" s="107"/>
      <c r="T201" s="107"/>
      <c r="U201" s="107"/>
      <c r="V201" s="107"/>
      <c r="W201" s="107"/>
      <c r="X201" s="107"/>
      <c r="Y201" s="107"/>
      <c r="Z201" s="107"/>
    </row>
    <row r="202" ht="14.25" customHeight="1">
      <c r="A202" s="191">
        <v>45506.0</v>
      </c>
      <c r="B202" s="163" t="s">
        <v>172</v>
      </c>
      <c r="C202" s="164" t="s">
        <v>79</v>
      </c>
      <c r="D202" s="164" t="s">
        <v>54</v>
      </c>
      <c r="E202" s="164" t="s">
        <v>80</v>
      </c>
      <c r="F202" s="168">
        <v>358684.0</v>
      </c>
      <c r="G202" s="109"/>
      <c r="H202" s="111" t="s">
        <v>61</v>
      </c>
      <c r="I202" s="107" t="str">
        <f t="shared" si="6"/>
        <v>NOT PAID</v>
      </c>
      <c r="J202" s="107"/>
      <c r="K202" s="107"/>
      <c r="L202" s="107"/>
      <c r="M202" s="107"/>
      <c r="N202" s="107"/>
      <c r="O202" s="107"/>
      <c r="P202" s="107"/>
      <c r="Q202" s="107"/>
      <c r="R202" s="107"/>
      <c r="S202" s="107"/>
      <c r="T202" s="107"/>
      <c r="U202" s="107"/>
      <c r="V202" s="107"/>
      <c r="W202" s="107"/>
      <c r="X202" s="107"/>
      <c r="Y202" s="107"/>
      <c r="Z202" s="107"/>
    </row>
    <row r="203" ht="14.25" customHeight="1">
      <c r="A203" s="191">
        <v>45506.0</v>
      </c>
      <c r="B203" s="197" t="s">
        <v>266</v>
      </c>
      <c r="C203" s="164" t="s">
        <v>79</v>
      </c>
      <c r="D203" s="164" t="s">
        <v>54</v>
      </c>
      <c r="E203" s="164" t="s">
        <v>80</v>
      </c>
      <c r="F203" s="168">
        <v>230000.0</v>
      </c>
      <c r="G203" s="109"/>
      <c r="H203" s="111" t="s">
        <v>61</v>
      </c>
      <c r="I203" s="107" t="str">
        <f t="shared" si="6"/>
        <v>NOT PAID</v>
      </c>
      <c r="J203" s="107"/>
      <c r="K203" s="107"/>
      <c r="L203" s="107"/>
      <c r="M203" s="107"/>
      <c r="N203" s="107"/>
      <c r="O203" s="107"/>
      <c r="P203" s="107"/>
      <c r="Q203" s="107"/>
      <c r="R203" s="107"/>
      <c r="S203" s="107"/>
      <c r="T203" s="107"/>
      <c r="U203" s="107"/>
      <c r="V203" s="107"/>
      <c r="W203" s="107"/>
      <c r="X203" s="107"/>
      <c r="Y203" s="107"/>
      <c r="Z203" s="107"/>
    </row>
    <row r="204" ht="14.25" customHeight="1">
      <c r="A204" s="191">
        <v>45506.0</v>
      </c>
      <c r="B204" s="163" t="s">
        <v>83</v>
      </c>
      <c r="C204" s="164" t="s">
        <v>84</v>
      </c>
      <c r="D204" s="164" t="s">
        <v>67</v>
      </c>
      <c r="E204" s="164" t="s">
        <v>70</v>
      </c>
      <c r="F204" s="168">
        <v>285304.0</v>
      </c>
      <c r="G204" s="113">
        <v>285303.0</v>
      </c>
      <c r="H204" s="111" t="s">
        <v>267</v>
      </c>
      <c r="I204" s="107" t="str">
        <f t="shared" si="6"/>
        <v>PARTIALLY PAID</v>
      </c>
      <c r="J204" s="107"/>
      <c r="K204" s="107"/>
      <c r="L204" s="107"/>
      <c r="M204" s="107"/>
      <c r="N204" s="107"/>
      <c r="O204" s="107"/>
      <c r="P204" s="107"/>
      <c r="Q204" s="107"/>
      <c r="R204" s="107"/>
      <c r="S204" s="107"/>
      <c r="T204" s="107"/>
      <c r="U204" s="107"/>
      <c r="V204" s="107"/>
      <c r="W204" s="107"/>
      <c r="X204" s="107"/>
      <c r="Y204" s="107"/>
      <c r="Z204" s="107"/>
    </row>
    <row r="205" ht="14.25" customHeight="1">
      <c r="A205" s="191">
        <v>45506.0</v>
      </c>
      <c r="B205" s="194" t="s">
        <v>253</v>
      </c>
      <c r="C205" s="195" t="s">
        <v>58</v>
      </c>
      <c r="D205" s="195" t="s">
        <v>75</v>
      </c>
      <c r="E205" s="195" t="s">
        <v>70</v>
      </c>
      <c r="F205" s="168">
        <v>690000.0</v>
      </c>
      <c r="G205" s="109"/>
      <c r="H205" s="111" t="s">
        <v>264</v>
      </c>
      <c r="I205" s="107" t="str">
        <f t="shared" si="6"/>
        <v>NOT PAID</v>
      </c>
      <c r="J205" s="107"/>
      <c r="K205" s="107"/>
      <c r="L205" s="107"/>
      <c r="M205" s="107"/>
      <c r="N205" s="107"/>
      <c r="O205" s="107"/>
      <c r="P205" s="107"/>
      <c r="Q205" s="107"/>
      <c r="R205" s="107"/>
      <c r="S205" s="107"/>
      <c r="T205" s="107"/>
      <c r="U205" s="107"/>
      <c r="V205" s="107"/>
      <c r="W205" s="107"/>
      <c r="X205" s="107"/>
      <c r="Y205" s="107"/>
      <c r="Z205" s="107"/>
    </row>
    <row r="206" ht="14.25" customHeight="1">
      <c r="A206" s="191">
        <v>45506.0</v>
      </c>
      <c r="B206" s="198" t="s">
        <v>227</v>
      </c>
      <c r="C206" s="199" t="s">
        <v>228</v>
      </c>
      <c r="D206" s="199" t="s">
        <v>59</v>
      </c>
      <c r="E206" s="199" t="s">
        <v>259</v>
      </c>
      <c r="F206" s="200">
        <v>4500000.0</v>
      </c>
      <c r="G206" s="113">
        <v>4800000.0</v>
      </c>
      <c r="H206" s="111" t="s">
        <v>268</v>
      </c>
      <c r="I206" s="107" t="str">
        <f t="shared" si="6"/>
        <v>FULLY PAID</v>
      </c>
      <c r="J206" s="107"/>
      <c r="K206" s="107"/>
      <c r="L206" s="107"/>
      <c r="M206" s="107"/>
      <c r="N206" s="107"/>
      <c r="O206" s="107"/>
      <c r="P206" s="107"/>
      <c r="Q206" s="107"/>
      <c r="R206" s="107"/>
      <c r="S206" s="107"/>
      <c r="T206" s="107"/>
      <c r="U206" s="107"/>
      <c r="V206" s="107"/>
      <c r="W206" s="107"/>
      <c r="X206" s="107"/>
      <c r="Y206" s="107"/>
      <c r="Z206" s="107"/>
    </row>
    <row r="207" ht="14.25" customHeight="1">
      <c r="A207" s="107"/>
      <c r="B207" s="107"/>
      <c r="C207" s="107"/>
      <c r="D207" s="107"/>
      <c r="E207" s="107"/>
      <c r="F207" s="109"/>
      <c r="G207" s="109"/>
      <c r="H207" s="107"/>
      <c r="I207" s="107" t="str">
        <f t="shared" si="6"/>
        <v>FULLY PAID</v>
      </c>
      <c r="J207" s="107"/>
      <c r="K207" s="107"/>
      <c r="L207" s="107"/>
      <c r="M207" s="107"/>
      <c r="N207" s="107"/>
      <c r="O207" s="107"/>
      <c r="P207" s="107"/>
      <c r="Q207" s="107"/>
      <c r="R207" s="107"/>
      <c r="S207" s="107"/>
      <c r="T207" s="107"/>
      <c r="U207" s="107"/>
      <c r="V207" s="107"/>
      <c r="W207" s="107"/>
      <c r="X207" s="107"/>
      <c r="Y207" s="107"/>
      <c r="Z207" s="107"/>
    </row>
    <row r="208" ht="14.25" customHeight="1">
      <c r="A208" s="107"/>
      <c r="B208" s="142"/>
      <c r="C208" s="132" t="s">
        <v>269</v>
      </c>
      <c r="D208" s="107"/>
      <c r="E208" s="107"/>
      <c r="F208" s="109"/>
      <c r="G208" s="109"/>
      <c r="H208" s="107"/>
      <c r="I208" s="107" t="str">
        <f t="shared" si="6"/>
        <v>FULLY PAID</v>
      </c>
      <c r="J208" s="107"/>
      <c r="K208" s="107"/>
      <c r="L208" s="107"/>
      <c r="M208" s="107"/>
      <c r="N208" s="107"/>
      <c r="O208" s="107"/>
      <c r="P208" s="107"/>
      <c r="Q208" s="107"/>
      <c r="R208" s="107"/>
      <c r="S208" s="107"/>
      <c r="T208" s="107"/>
      <c r="U208" s="107"/>
      <c r="V208" s="107"/>
      <c r="W208" s="107"/>
      <c r="X208" s="107"/>
      <c r="Y208" s="107"/>
      <c r="Z208" s="107"/>
    </row>
    <row r="209" ht="14.25" customHeight="1">
      <c r="A209" s="191">
        <v>45506.0</v>
      </c>
      <c r="B209" s="111" t="s">
        <v>197</v>
      </c>
      <c r="C209" s="111" t="s">
        <v>198</v>
      </c>
      <c r="D209" s="182" t="s">
        <v>59</v>
      </c>
      <c r="E209" s="164" t="s">
        <v>158</v>
      </c>
      <c r="F209" s="113">
        <v>100000.0</v>
      </c>
      <c r="G209" s="109"/>
      <c r="H209" s="111" t="s">
        <v>61</v>
      </c>
      <c r="I209" s="107" t="str">
        <f t="shared" si="6"/>
        <v>NOT PAID</v>
      </c>
      <c r="J209" s="107"/>
      <c r="K209" s="107"/>
      <c r="L209" s="107"/>
      <c r="M209" s="107"/>
      <c r="N209" s="107"/>
      <c r="O209" s="107"/>
      <c r="P209" s="107"/>
      <c r="Q209" s="107"/>
      <c r="R209" s="107"/>
      <c r="S209" s="107"/>
      <c r="T209" s="107"/>
      <c r="U209" s="107"/>
      <c r="V209" s="107"/>
      <c r="W209" s="107"/>
      <c r="X209" s="107"/>
      <c r="Y209" s="107"/>
      <c r="Z209" s="107"/>
    </row>
    <row r="210" ht="14.25" customHeight="1">
      <c r="A210" s="191">
        <v>45506.0</v>
      </c>
      <c r="B210" s="111" t="s">
        <v>201</v>
      </c>
      <c r="C210" s="111" t="s">
        <v>202</v>
      </c>
      <c r="D210" s="111" t="s">
        <v>67</v>
      </c>
      <c r="E210" s="164" t="s">
        <v>158</v>
      </c>
      <c r="F210" s="113">
        <v>10000.0</v>
      </c>
      <c r="G210" s="109"/>
      <c r="H210" s="111" t="s">
        <v>270</v>
      </c>
      <c r="I210" s="107" t="str">
        <f t="shared" si="6"/>
        <v>NOT PAID</v>
      </c>
      <c r="J210" s="107"/>
      <c r="K210" s="107"/>
      <c r="L210" s="107"/>
      <c r="M210" s="107"/>
      <c r="N210" s="107"/>
      <c r="O210" s="107"/>
      <c r="P210" s="107"/>
      <c r="Q210" s="107"/>
      <c r="R210" s="107"/>
      <c r="S210" s="107"/>
      <c r="T210" s="107"/>
      <c r="U210" s="107"/>
      <c r="V210" s="107"/>
      <c r="W210" s="107"/>
      <c r="X210" s="107"/>
      <c r="Y210" s="107"/>
      <c r="Z210" s="107"/>
    </row>
    <row r="211" ht="14.25" customHeight="1">
      <c r="A211" s="191">
        <v>45506.0</v>
      </c>
      <c r="B211" s="111" t="s">
        <v>271</v>
      </c>
      <c r="C211" s="111" t="s">
        <v>272</v>
      </c>
      <c r="D211" s="111" t="s">
        <v>75</v>
      </c>
      <c r="E211" s="111" t="s">
        <v>273</v>
      </c>
      <c r="F211" s="113">
        <v>300000.0</v>
      </c>
      <c r="G211" s="109"/>
      <c r="H211" s="111" t="s">
        <v>274</v>
      </c>
      <c r="I211" s="107" t="str">
        <f t="shared" si="6"/>
        <v>NOT PAID</v>
      </c>
      <c r="J211" s="107"/>
      <c r="K211" s="107"/>
      <c r="L211" s="107"/>
      <c r="M211" s="107"/>
      <c r="N211" s="107"/>
      <c r="O211" s="107"/>
      <c r="P211" s="107"/>
      <c r="Q211" s="107"/>
      <c r="R211" s="107"/>
      <c r="S211" s="107"/>
      <c r="T211" s="107"/>
      <c r="U211" s="107"/>
      <c r="V211" s="107"/>
      <c r="W211" s="107"/>
      <c r="X211" s="107"/>
      <c r="Y211" s="107"/>
      <c r="Z211" s="107"/>
    </row>
    <row r="212" ht="14.25" customHeight="1">
      <c r="A212" s="107"/>
      <c r="B212" s="107"/>
      <c r="C212" s="107"/>
      <c r="D212" s="107"/>
      <c r="E212" s="107"/>
      <c r="F212" s="109"/>
      <c r="G212" s="109"/>
      <c r="H212" s="107"/>
      <c r="I212" s="107" t="str">
        <f t="shared" si="6"/>
        <v>FULLY PAID</v>
      </c>
      <c r="J212" s="107"/>
      <c r="K212" s="107"/>
      <c r="L212" s="107"/>
      <c r="M212" s="107"/>
      <c r="N212" s="107"/>
      <c r="O212" s="107"/>
      <c r="P212" s="107"/>
      <c r="Q212" s="107"/>
      <c r="R212" s="107"/>
      <c r="S212" s="107"/>
      <c r="T212" s="107"/>
      <c r="U212" s="107"/>
      <c r="V212" s="107"/>
      <c r="W212" s="107"/>
      <c r="X212" s="107"/>
      <c r="Y212" s="107"/>
      <c r="Z212" s="107"/>
    </row>
    <row r="213" ht="14.25" customHeight="1">
      <c r="A213" s="107"/>
      <c r="B213" s="107"/>
      <c r="C213" s="107"/>
      <c r="D213" s="107"/>
      <c r="E213" s="107"/>
      <c r="F213" s="109"/>
      <c r="G213" s="109"/>
      <c r="H213" s="107"/>
      <c r="I213" s="107" t="str">
        <f t="shared" si="6"/>
        <v>FULLY PAID</v>
      </c>
      <c r="J213" s="107"/>
      <c r="K213" s="107"/>
      <c r="L213" s="107"/>
      <c r="M213" s="107"/>
      <c r="N213" s="107"/>
      <c r="O213" s="107"/>
      <c r="P213" s="107"/>
      <c r="Q213" s="107"/>
      <c r="R213" s="107"/>
      <c r="S213" s="107"/>
      <c r="T213" s="107"/>
      <c r="U213" s="107"/>
      <c r="V213" s="107"/>
      <c r="W213" s="107"/>
      <c r="X213" s="107"/>
      <c r="Y213" s="107"/>
      <c r="Z213" s="107"/>
    </row>
    <row r="214" ht="14.25" customHeight="1">
      <c r="A214" s="107"/>
      <c r="B214" s="107"/>
      <c r="C214" s="107"/>
      <c r="D214" s="107"/>
      <c r="E214" s="107"/>
      <c r="F214" s="109"/>
      <c r="G214" s="109"/>
      <c r="H214" s="107"/>
      <c r="I214" s="107" t="str">
        <f t="shared" si="6"/>
        <v>FULLY PAID</v>
      </c>
      <c r="J214" s="107"/>
      <c r="K214" s="107"/>
      <c r="L214" s="107"/>
      <c r="M214" s="107"/>
      <c r="N214" s="107"/>
      <c r="O214" s="107"/>
      <c r="P214" s="107"/>
      <c r="Q214" s="107"/>
      <c r="R214" s="107"/>
      <c r="S214" s="107"/>
      <c r="T214" s="107"/>
      <c r="U214" s="107"/>
      <c r="V214" s="107"/>
      <c r="W214" s="107"/>
      <c r="X214" s="107"/>
      <c r="Y214" s="107"/>
      <c r="Z214" s="107"/>
    </row>
    <row r="215" ht="14.25" customHeight="1">
      <c r="A215" s="107"/>
      <c r="B215" s="107"/>
      <c r="C215" s="108">
        <v>45507.0</v>
      </c>
      <c r="D215" s="107"/>
      <c r="E215" s="107"/>
      <c r="F215" s="109"/>
      <c r="G215" s="109"/>
      <c r="H215" s="107"/>
      <c r="I215" s="107" t="str">
        <f t="shared" si="6"/>
        <v>FULLY PAID</v>
      </c>
      <c r="J215" s="107"/>
      <c r="K215" s="107"/>
      <c r="L215" s="107"/>
      <c r="M215" s="107"/>
      <c r="N215" s="107"/>
      <c r="O215" s="107"/>
      <c r="P215" s="107"/>
      <c r="Q215" s="107"/>
      <c r="R215" s="107"/>
      <c r="S215" s="107"/>
      <c r="T215" s="107"/>
      <c r="U215" s="107"/>
      <c r="V215" s="107"/>
      <c r="W215" s="107"/>
      <c r="X215" s="107"/>
      <c r="Y215" s="107"/>
      <c r="Z215" s="107"/>
    </row>
    <row r="216" ht="14.25" customHeight="1">
      <c r="A216" s="110">
        <v>45507.0</v>
      </c>
      <c r="B216" s="163" t="s">
        <v>77</v>
      </c>
      <c r="C216" s="164" t="s">
        <v>74</v>
      </c>
      <c r="D216" s="164" t="s">
        <v>54</v>
      </c>
      <c r="E216" s="164" t="s">
        <v>154</v>
      </c>
      <c r="F216" s="196">
        <v>295812.0</v>
      </c>
      <c r="G216" s="109"/>
      <c r="H216" s="111" t="s">
        <v>275</v>
      </c>
      <c r="I216" s="107" t="str">
        <f t="shared" si="6"/>
        <v>NOT PAID</v>
      </c>
      <c r="J216" s="107"/>
      <c r="K216" s="107"/>
      <c r="L216" s="107"/>
      <c r="M216" s="107"/>
      <c r="N216" s="107"/>
      <c r="O216" s="107"/>
      <c r="P216" s="107"/>
      <c r="Q216" s="107"/>
      <c r="R216" s="107"/>
      <c r="S216" s="107"/>
      <c r="T216" s="107"/>
      <c r="U216" s="107"/>
      <c r="V216" s="107"/>
      <c r="W216" s="107"/>
      <c r="X216" s="107"/>
      <c r="Y216" s="107"/>
      <c r="Z216" s="107"/>
    </row>
    <row r="217" ht="14.25" customHeight="1">
      <c r="A217" s="110">
        <v>45507.0</v>
      </c>
      <c r="B217" s="163" t="s">
        <v>73</v>
      </c>
      <c r="C217" s="164" t="s">
        <v>74</v>
      </c>
      <c r="D217" s="164" t="s">
        <v>75</v>
      </c>
      <c r="E217" s="164" t="s">
        <v>154</v>
      </c>
      <c r="F217" s="196">
        <v>134124.0</v>
      </c>
      <c r="G217" s="109"/>
      <c r="H217" s="111" t="s">
        <v>275</v>
      </c>
      <c r="I217" s="107" t="str">
        <f t="shared" si="6"/>
        <v>NOT PAID</v>
      </c>
      <c r="J217" s="107"/>
      <c r="K217" s="107"/>
      <c r="L217" s="107"/>
      <c r="M217" s="107"/>
      <c r="N217" s="107"/>
      <c r="O217" s="107"/>
      <c r="P217" s="107"/>
      <c r="Q217" s="107"/>
      <c r="R217" s="107"/>
      <c r="S217" s="107"/>
      <c r="T217" s="107"/>
      <c r="U217" s="107"/>
      <c r="V217" s="107"/>
      <c r="W217" s="107"/>
      <c r="X217" s="107"/>
      <c r="Y217" s="107"/>
      <c r="Z217" s="107"/>
    </row>
    <row r="218" ht="14.25" customHeight="1">
      <c r="A218" s="110">
        <v>45507.0</v>
      </c>
      <c r="B218" s="163" t="s">
        <v>172</v>
      </c>
      <c r="C218" s="164" t="s">
        <v>79</v>
      </c>
      <c r="D218" s="164" t="s">
        <v>54</v>
      </c>
      <c r="E218" s="164" t="s">
        <v>80</v>
      </c>
      <c r="F218" s="168">
        <v>358684.0</v>
      </c>
      <c r="G218" s="109"/>
      <c r="H218" s="111" t="s">
        <v>276</v>
      </c>
      <c r="I218" s="107" t="str">
        <f t="shared" si="6"/>
        <v>NOT PAID</v>
      </c>
      <c r="J218" s="107"/>
      <c r="K218" s="107"/>
      <c r="L218" s="107"/>
      <c r="M218" s="107"/>
      <c r="N218" s="107"/>
      <c r="O218" s="107"/>
      <c r="P218" s="107"/>
      <c r="Q218" s="107"/>
      <c r="R218" s="107"/>
      <c r="S218" s="107"/>
      <c r="T218" s="107"/>
      <c r="U218" s="107"/>
      <c r="V218" s="107"/>
      <c r="W218" s="107"/>
      <c r="X218" s="107"/>
      <c r="Y218" s="107"/>
      <c r="Z218" s="107"/>
    </row>
    <row r="219" ht="14.25" customHeight="1">
      <c r="A219" s="110">
        <v>45507.0</v>
      </c>
      <c r="B219" s="197" t="s">
        <v>266</v>
      </c>
      <c r="C219" s="164" t="s">
        <v>79</v>
      </c>
      <c r="D219" s="164" t="s">
        <v>54</v>
      </c>
      <c r="E219" s="164" t="s">
        <v>80</v>
      </c>
      <c r="F219" s="168">
        <v>230000.0</v>
      </c>
      <c r="G219" s="109"/>
      <c r="H219" s="111" t="s">
        <v>276</v>
      </c>
      <c r="I219" s="107" t="str">
        <f t="shared" si="6"/>
        <v>NOT PAID</v>
      </c>
      <c r="J219" s="107"/>
      <c r="K219" s="107"/>
      <c r="L219" s="107"/>
      <c r="M219" s="107"/>
      <c r="N219" s="107"/>
      <c r="O219" s="107"/>
      <c r="P219" s="107"/>
      <c r="Q219" s="107"/>
      <c r="R219" s="107"/>
      <c r="S219" s="107"/>
      <c r="T219" s="107"/>
      <c r="U219" s="107"/>
      <c r="V219" s="107"/>
      <c r="W219" s="107"/>
      <c r="X219" s="107"/>
      <c r="Y219" s="107"/>
      <c r="Z219" s="107"/>
    </row>
    <row r="220" ht="14.25" customHeight="1">
      <c r="A220" s="110">
        <v>45507.0</v>
      </c>
      <c r="B220" s="194" t="s">
        <v>253</v>
      </c>
      <c r="C220" s="195" t="s">
        <v>58</v>
      </c>
      <c r="D220" s="195" t="s">
        <v>75</v>
      </c>
      <c r="E220" s="195" t="s">
        <v>70</v>
      </c>
      <c r="F220" s="168">
        <v>724500.0</v>
      </c>
      <c r="G220" s="109"/>
      <c r="H220" s="111" t="s">
        <v>249</v>
      </c>
      <c r="I220" s="107" t="str">
        <f t="shared" si="6"/>
        <v>NOT PAID</v>
      </c>
      <c r="J220" s="107"/>
      <c r="K220" s="107"/>
      <c r="L220" s="107"/>
      <c r="M220" s="107"/>
      <c r="N220" s="107"/>
      <c r="O220" s="107"/>
      <c r="P220" s="107"/>
      <c r="Q220" s="107"/>
      <c r="R220" s="107"/>
      <c r="S220" s="107"/>
      <c r="T220" s="107"/>
      <c r="U220" s="107"/>
      <c r="V220" s="107"/>
      <c r="W220" s="107"/>
      <c r="X220" s="107"/>
      <c r="Y220" s="107"/>
      <c r="Z220" s="107"/>
    </row>
    <row r="221" ht="14.25" customHeight="1">
      <c r="A221" s="110">
        <v>45507.0</v>
      </c>
      <c r="B221" s="194" t="s">
        <v>209</v>
      </c>
      <c r="C221" s="195" t="s">
        <v>72</v>
      </c>
      <c r="D221" s="195" t="s">
        <v>54</v>
      </c>
      <c r="E221" s="195" t="s">
        <v>70</v>
      </c>
      <c r="F221" s="168">
        <v>425009.0</v>
      </c>
      <c r="G221" s="109"/>
      <c r="H221" s="111" t="s">
        <v>277</v>
      </c>
      <c r="I221" s="107" t="str">
        <f t="shared" si="6"/>
        <v>NOT PAID</v>
      </c>
      <c r="J221" s="107"/>
      <c r="K221" s="107"/>
      <c r="L221" s="107"/>
      <c r="M221" s="107"/>
      <c r="N221" s="107"/>
      <c r="O221" s="107"/>
      <c r="P221" s="107"/>
      <c r="Q221" s="107"/>
      <c r="R221" s="107"/>
      <c r="S221" s="107"/>
      <c r="T221" s="107"/>
      <c r="U221" s="107"/>
      <c r="V221" s="107"/>
      <c r="W221" s="107"/>
      <c r="X221" s="107"/>
      <c r="Y221" s="107"/>
      <c r="Z221" s="107"/>
    </row>
    <row r="222" ht="14.25" customHeight="1">
      <c r="A222" s="110">
        <v>45507.0</v>
      </c>
      <c r="B222" s="163" t="s">
        <v>71</v>
      </c>
      <c r="C222" s="195" t="s">
        <v>72</v>
      </c>
      <c r="D222" s="164" t="s">
        <v>54</v>
      </c>
      <c r="E222" s="164" t="s">
        <v>158</v>
      </c>
      <c r="F222" s="196">
        <v>1931349.0</v>
      </c>
      <c r="G222" s="109"/>
      <c r="H222" s="111" t="s">
        <v>278</v>
      </c>
      <c r="I222" s="107" t="str">
        <f t="shared" si="6"/>
        <v>NOT PAID</v>
      </c>
      <c r="J222" s="107"/>
      <c r="K222" s="107"/>
      <c r="L222" s="107"/>
      <c r="M222" s="107"/>
      <c r="N222" s="107"/>
      <c r="O222" s="107"/>
      <c r="P222" s="107"/>
      <c r="Q222" s="107"/>
      <c r="R222" s="107"/>
      <c r="S222" s="107"/>
      <c r="T222" s="107"/>
      <c r="U222" s="107"/>
      <c r="V222" s="107"/>
      <c r="W222" s="107"/>
      <c r="X222" s="107"/>
      <c r="Y222" s="107"/>
      <c r="Z222" s="107"/>
    </row>
    <row r="223" ht="14.25" customHeight="1">
      <c r="A223" s="110">
        <v>45507.0</v>
      </c>
      <c r="B223" s="163" t="s">
        <v>162</v>
      </c>
      <c r="C223" s="164" t="s">
        <v>163</v>
      </c>
      <c r="D223" s="164" t="s">
        <v>54</v>
      </c>
      <c r="E223" s="164" t="s">
        <v>80</v>
      </c>
      <c r="F223" s="168">
        <v>98787.0</v>
      </c>
      <c r="G223" s="109"/>
      <c r="H223" s="111" t="s">
        <v>279</v>
      </c>
      <c r="I223" s="107" t="str">
        <f t="shared" si="6"/>
        <v>NOT PAID</v>
      </c>
      <c r="J223" s="107"/>
      <c r="K223" s="107"/>
      <c r="L223" s="107"/>
      <c r="M223" s="107"/>
      <c r="N223" s="107"/>
      <c r="O223" s="107"/>
      <c r="P223" s="107"/>
      <c r="Q223" s="107"/>
      <c r="R223" s="107"/>
      <c r="S223" s="107"/>
      <c r="T223" s="107"/>
      <c r="U223" s="107"/>
      <c r="V223" s="107"/>
      <c r="W223" s="107"/>
      <c r="X223" s="107"/>
      <c r="Y223" s="107"/>
      <c r="Z223" s="107"/>
    </row>
    <row r="224" ht="14.25" customHeight="1">
      <c r="A224" s="110">
        <v>45507.0</v>
      </c>
      <c r="B224" s="163" t="s">
        <v>152</v>
      </c>
      <c r="C224" s="164" t="s">
        <v>153</v>
      </c>
      <c r="D224" s="164" t="s">
        <v>67</v>
      </c>
      <c r="E224" s="164" t="s">
        <v>154</v>
      </c>
      <c r="F224" s="168">
        <v>89793.0</v>
      </c>
      <c r="G224" s="109"/>
      <c r="H224" s="111" t="s">
        <v>249</v>
      </c>
      <c r="I224" s="107" t="str">
        <f t="shared" si="6"/>
        <v>NOT PAID</v>
      </c>
      <c r="J224" s="107"/>
      <c r="K224" s="107"/>
      <c r="L224" s="107"/>
      <c r="M224" s="107"/>
      <c r="N224" s="107"/>
      <c r="O224" s="107"/>
      <c r="P224" s="107"/>
      <c r="Q224" s="107"/>
      <c r="R224" s="107"/>
      <c r="S224" s="107"/>
      <c r="T224" s="107"/>
      <c r="U224" s="107"/>
      <c r="V224" s="107"/>
      <c r="W224" s="107"/>
      <c r="X224" s="107"/>
      <c r="Y224" s="107"/>
      <c r="Z224" s="107"/>
    </row>
    <row r="225" ht="14.25" customHeight="1">
      <c r="A225" s="110">
        <v>45507.0</v>
      </c>
      <c r="B225" s="111" t="s">
        <v>271</v>
      </c>
      <c r="C225" s="111" t="s">
        <v>272</v>
      </c>
      <c r="D225" s="111" t="s">
        <v>75</v>
      </c>
      <c r="E225" s="111" t="s">
        <v>273</v>
      </c>
      <c r="F225" s="113">
        <v>482963.0</v>
      </c>
      <c r="G225" s="109"/>
      <c r="H225" s="111" t="s">
        <v>280</v>
      </c>
      <c r="I225" s="107" t="str">
        <f t="shared" si="6"/>
        <v>NOT PAID</v>
      </c>
      <c r="J225" s="107"/>
      <c r="K225" s="107"/>
      <c r="L225" s="107"/>
      <c r="M225" s="107"/>
      <c r="N225" s="107"/>
      <c r="O225" s="107"/>
      <c r="P225" s="107"/>
      <c r="Q225" s="107"/>
      <c r="R225" s="107"/>
      <c r="S225" s="107"/>
      <c r="T225" s="107"/>
      <c r="U225" s="107"/>
      <c r="V225" s="107"/>
      <c r="W225" s="107"/>
      <c r="X225" s="107"/>
      <c r="Y225" s="107"/>
      <c r="Z225" s="107"/>
    </row>
    <row r="226" ht="14.25" customHeight="1">
      <c r="A226" s="110">
        <v>45507.0</v>
      </c>
      <c r="B226" s="114" t="s">
        <v>100</v>
      </c>
      <c r="C226" s="130" t="s">
        <v>101</v>
      </c>
      <c r="D226" s="130" t="s">
        <v>59</v>
      </c>
      <c r="E226" s="130" t="s">
        <v>70</v>
      </c>
      <c r="F226" s="129">
        <v>1871514.0</v>
      </c>
      <c r="G226" s="109"/>
      <c r="H226" s="111" t="s">
        <v>281</v>
      </c>
      <c r="I226" s="107" t="str">
        <f t="shared" si="6"/>
        <v>NOT PAID</v>
      </c>
      <c r="J226" s="107"/>
      <c r="K226" s="107"/>
      <c r="L226" s="107"/>
      <c r="M226" s="107"/>
      <c r="N226" s="107"/>
      <c r="O226" s="107"/>
      <c r="P226" s="107"/>
      <c r="Q226" s="107"/>
      <c r="R226" s="107"/>
      <c r="S226" s="107"/>
      <c r="T226" s="107"/>
      <c r="U226" s="107"/>
      <c r="V226" s="107"/>
      <c r="W226" s="107"/>
      <c r="X226" s="107"/>
      <c r="Y226" s="107"/>
      <c r="Z226" s="107"/>
    </row>
    <row r="227" ht="14.25" customHeight="1">
      <c r="A227" s="110">
        <v>45507.0</v>
      </c>
      <c r="B227" s="201" t="s">
        <v>100</v>
      </c>
      <c r="C227" s="121" t="s">
        <v>101</v>
      </c>
      <c r="D227" s="130" t="s">
        <v>59</v>
      </c>
      <c r="E227" s="130" t="s">
        <v>70</v>
      </c>
      <c r="F227" s="129">
        <v>2465649.0</v>
      </c>
      <c r="G227" s="109"/>
      <c r="H227" s="111" t="s">
        <v>281</v>
      </c>
      <c r="I227" s="107" t="str">
        <f t="shared" si="6"/>
        <v>NOT PAID</v>
      </c>
      <c r="J227" s="107"/>
      <c r="K227" s="107"/>
      <c r="L227" s="107"/>
      <c r="M227" s="107"/>
      <c r="N227" s="107"/>
      <c r="O227" s="107"/>
      <c r="P227" s="107"/>
      <c r="Q227" s="107"/>
      <c r="R227" s="107"/>
      <c r="S227" s="107"/>
      <c r="T227" s="107"/>
      <c r="U227" s="107"/>
      <c r="V227" s="107"/>
      <c r="W227" s="107"/>
      <c r="X227" s="107"/>
      <c r="Y227" s="107"/>
      <c r="Z227" s="107"/>
    </row>
    <row r="228" ht="14.25" customHeight="1">
      <c r="A228" s="110">
        <v>45507.0</v>
      </c>
      <c r="B228" s="121" t="s">
        <v>88</v>
      </c>
      <c r="C228" s="121" t="s">
        <v>89</v>
      </c>
      <c r="D228" s="121" t="s">
        <v>54</v>
      </c>
      <c r="E228" s="121" t="s">
        <v>80</v>
      </c>
      <c r="F228" s="131">
        <v>216868.0</v>
      </c>
      <c r="G228" s="109"/>
      <c r="H228" s="111" t="s">
        <v>282</v>
      </c>
      <c r="I228" s="107" t="str">
        <f t="shared" si="6"/>
        <v>NOT PAID</v>
      </c>
      <c r="J228" s="107"/>
      <c r="K228" s="107"/>
      <c r="L228" s="107"/>
      <c r="M228" s="107"/>
      <c r="N228" s="107"/>
      <c r="O228" s="107"/>
      <c r="P228" s="107"/>
      <c r="Q228" s="107"/>
      <c r="R228" s="107"/>
      <c r="S228" s="107"/>
      <c r="T228" s="107"/>
      <c r="U228" s="107"/>
      <c r="V228" s="107"/>
      <c r="W228" s="107"/>
      <c r="X228" s="107"/>
      <c r="Y228" s="107"/>
      <c r="Z228" s="107"/>
    </row>
    <row r="229" ht="14.25" customHeight="1">
      <c r="A229" s="110"/>
      <c r="B229" s="202"/>
      <c r="C229" s="203"/>
      <c r="D229" s="203"/>
      <c r="E229" s="203"/>
      <c r="F229" s="204"/>
      <c r="G229" s="109"/>
      <c r="H229" s="107"/>
      <c r="I229" s="107" t="str">
        <f t="shared" si="6"/>
        <v>FULLY PAID</v>
      </c>
      <c r="J229" s="107"/>
      <c r="K229" s="107"/>
      <c r="L229" s="107"/>
      <c r="M229" s="107"/>
      <c r="N229" s="107"/>
      <c r="O229" s="107"/>
      <c r="P229" s="107"/>
      <c r="Q229" s="107"/>
      <c r="R229" s="107"/>
      <c r="S229" s="107"/>
      <c r="T229" s="107"/>
      <c r="U229" s="107"/>
      <c r="V229" s="107"/>
      <c r="W229" s="107"/>
      <c r="X229" s="107"/>
      <c r="Y229" s="107"/>
      <c r="Z229" s="107"/>
    </row>
    <row r="230" ht="14.25" customHeight="1">
      <c r="A230" s="110"/>
      <c r="B230" s="142"/>
      <c r="C230" s="132" t="s">
        <v>269</v>
      </c>
      <c r="D230" s="107"/>
      <c r="E230" s="107"/>
      <c r="F230" s="109"/>
      <c r="G230" s="109"/>
      <c r="H230" s="107"/>
      <c r="I230" s="107" t="str">
        <f t="shared" si="6"/>
        <v>FULLY PAID</v>
      </c>
      <c r="J230" s="107"/>
      <c r="K230" s="107"/>
      <c r="L230" s="107"/>
      <c r="M230" s="107"/>
      <c r="N230" s="107"/>
      <c r="O230" s="107"/>
      <c r="P230" s="107"/>
      <c r="Q230" s="107"/>
      <c r="R230" s="107"/>
      <c r="S230" s="107"/>
      <c r="T230" s="107"/>
      <c r="U230" s="107"/>
      <c r="V230" s="107"/>
      <c r="W230" s="107"/>
      <c r="X230" s="107"/>
      <c r="Y230" s="107"/>
      <c r="Z230" s="107"/>
    </row>
    <row r="231" ht="14.25" customHeight="1">
      <c r="A231" s="110">
        <v>45507.0</v>
      </c>
      <c r="B231" s="111" t="s">
        <v>201</v>
      </c>
      <c r="C231" s="111" t="s">
        <v>202</v>
      </c>
      <c r="D231" s="111" t="s">
        <v>67</v>
      </c>
      <c r="E231" s="111" t="s">
        <v>199</v>
      </c>
      <c r="F231" s="112" t="s">
        <v>203</v>
      </c>
      <c r="G231" s="109"/>
      <c r="H231" s="111" t="s">
        <v>283</v>
      </c>
      <c r="I231" s="107" t="str">
        <f t="shared" si="6"/>
        <v>NOT PAID</v>
      </c>
      <c r="J231" s="107"/>
      <c r="K231" s="107"/>
      <c r="L231" s="107"/>
      <c r="M231" s="107"/>
      <c r="N231" s="107"/>
      <c r="O231" s="107"/>
      <c r="P231" s="107"/>
      <c r="Q231" s="107"/>
      <c r="R231" s="107"/>
      <c r="S231" s="107"/>
      <c r="T231" s="107"/>
      <c r="U231" s="107"/>
      <c r="V231" s="107"/>
      <c r="W231" s="107"/>
      <c r="X231" s="107"/>
      <c r="Y231" s="107"/>
      <c r="Z231" s="107"/>
    </row>
    <row r="232" ht="14.25" customHeight="1">
      <c r="A232" s="110">
        <v>45507.0</v>
      </c>
      <c r="B232" s="111" t="s">
        <v>195</v>
      </c>
      <c r="C232" s="111" t="s">
        <v>196</v>
      </c>
      <c r="D232" s="111" t="s">
        <v>54</v>
      </c>
      <c r="E232" s="111" t="s">
        <v>110</v>
      </c>
      <c r="F232" s="112">
        <v>418381.86</v>
      </c>
      <c r="G232" s="109"/>
      <c r="H232" s="111" t="s">
        <v>284</v>
      </c>
      <c r="I232" s="107" t="str">
        <f t="shared" si="6"/>
        <v>NOT PAID</v>
      </c>
      <c r="J232" s="107"/>
      <c r="K232" s="107"/>
      <c r="L232" s="107"/>
      <c r="M232" s="107"/>
      <c r="N232" s="107"/>
      <c r="O232" s="107"/>
      <c r="P232" s="107"/>
      <c r="Q232" s="107"/>
      <c r="R232" s="107"/>
      <c r="S232" s="107"/>
      <c r="T232" s="107"/>
      <c r="U232" s="107"/>
      <c r="V232" s="107"/>
      <c r="W232" s="107"/>
      <c r="X232" s="107"/>
      <c r="Y232" s="107"/>
      <c r="Z232" s="107"/>
    </row>
    <row r="233" ht="14.25" customHeight="1">
      <c r="A233" s="107"/>
      <c r="B233" s="107"/>
      <c r="C233" s="107"/>
      <c r="D233" s="107"/>
      <c r="E233" s="107"/>
      <c r="F233" s="109"/>
      <c r="G233" s="109"/>
      <c r="H233" s="107"/>
      <c r="I233" s="107" t="str">
        <f t="shared" si="6"/>
        <v>FULLY PAID</v>
      </c>
      <c r="J233" s="107"/>
      <c r="K233" s="107"/>
      <c r="L233" s="107"/>
      <c r="M233" s="107"/>
      <c r="N233" s="107"/>
      <c r="O233" s="107"/>
      <c r="P233" s="107"/>
      <c r="Q233" s="107"/>
      <c r="R233" s="107"/>
      <c r="S233" s="107"/>
      <c r="T233" s="107"/>
      <c r="U233" s="107"/>
      <c r="V233" s="107"/>
      <c r="W233" s="107"/>
      <c r="X233" s="107"/>
      <c r="Y233" s="107"/>
      <c r="Z233" s="107"/>
    </row>
    <row r="234" ht="14.25" customHeight="1">
      <c r="A234" s="107"/>
      <c r="B234" s="107"/>
      <c r="C234" s="108">
        <v>45509.0</v>
      </c>
      <c r="D234" s="107"/>
      <c r="E234" s="107"/>
      <c r="F234" s="109"/>
      <c r="G234" s="109"/>
      <c r="H234" s="107"/>
      <c r="I234" s="107" t="str">
        <f t="shared" si="6"/>
        <v>FULLY PAID</v>
      </c>
      <c r="J234" s="107"/>
      <c r="K234" s="107"/>
      <c r="L234" s="107"/>
      <c r="M234" s="107"/>
      <c r="N234" s="107"/>
      <c r="O234" s="107"/>
      <c r="P234" s="107"/>
      <c r="Q234" s="107"/>
      <c r="R234" s="107"/>
      <c r="S234" s="107"/>
      <c r="T234" s="107"/>
      <c r="U234" s="107"/>
      <c r="V234" s="107"/>
      <c r="W234" s="107"/>
      <c r="X234" s="107"/>
      <c r="Y234" s="107"/>
      <c r="Z234" s="107"/>
    </row>
    <row r="235" ht="14.25" customHeight="1">
      <c r="A235" s="110">
        <v>45509.0</v>
      </c>
      <c r="B235" s="192" t="s">
        <v>285</v>
      </c>
      <c r="C235" s="193" t="s">
        <v>286</v>
      </c>
      <c r="D235" s="193" t="s">
        <v>75</v>
      </c>
      <c r="E235" s="205" t="s">
        <v>70</v>
      </c>
      <c r="F235" s="206">
        <v>287500.0</v>
      </c>
      <c r="G235" s="113">
        <v>120000.0</v>
      </c>
      <c r="H235" s="111" t="s">
        <v>287</v>
      </c>
      <c r="I235" s="107" t="str">
        <f t="shared" si="6"/>
        <v>PARTIALLY PAID</v>
      </c>
      <c r="J235" s="107"/>
      <c r="K235" s="107"/>
      <c r="L235" s="107"/>
      <c r="M235" s="107"/>
      <c r="N235" s="107"/>
      <c r="O235" s="107"/>
      <c r="P235" s="107"/>
      <c r="Q235" s="107"/>
      <c r="R235" s="107"/>
      <c r="S235" s="107"/>
      <c r="T235" s="107"/>
      <c r="U235" s="107"/>
      <c r="V235" s="107"/>
      <c r="W235" s="107"/>
      <c r="X235" s="107"/>
      <c r="Y235" s="107"/>
      <c r="Z235" s="107"/>
    </row>
    <row r="236" ht="14.25" customHeight="1">
      <c r="A236" s="110">
        <v>45509.0</v>
      </c>
      <c r="B236" s="163" t="s">
        <v>162</v>
      </c>
      <c r="C236" s="164" t="s">
        <v>163</v>
      </c>
      <c r="D236" s="164" t="s">
        <v>54</v>
      </c>
      <c r="E236" s="207" t="s">
        <v>80</v>
      </c>
      <c r="F236" s="208">
        <v>98787.0</v>
      </c>
      <c r="G236" s="109"/>
      <c r="H236" s="111" t="s">
        <v>61</v>
      </c>
      <c r="I236" s="107" t="str">
        <f t="shared" si="6"/>
        <v>NOT PAID</v>
      </c>
      <c r="J236" s="107"/>
      <c r="K236" s="107"/>
      <c r="L236" s="107"/>
      <c r="M236" s="107"/>
      <c r="N236" s="107"/>
      <c r="O236" s="107"/>
      <c r="P236" s="107"/>
      <c r="Q236" s="107"/>
      <c r="R236" s="107"/>
      <c r="S236" s="107"/>
      <c r="T236" s="107"/>
      <c r="U236" s="107"/>
      <c r="V236" s="107"/>
      <c r="W236" s="107"/>
      <c r="X236" s="107"/>
      <c r="Y236" s="107"/>
      <c r="Z236" s="107"/>
    </row>
    <row r="237" ht="14.25" customHeight="1">
      <c r="A237" s="110">
        <v>45509.0</v>
      </c>
      <c r="B237" s="163" t="s">
        <v>77</v>
      </c>
      <c r="C237" s="164" t="s">
        <v>74</v>
      </c>
      <c r="D237" s="164" t="s">
        <v>54</v>
      </c>
      <c r="E237" s="207" t="s">
        <v>154</v>
      </c>
      <c r="F237" s="209">
        <v>283511.0</v>
      </c>
      <c r="G237" s="109"/>
      <c r="H237" s="111" t="s">
        <v>288</v>
      </c>
      <c r="I237" s="107" t="str">
        <f t="shared" si="6"/>
        <v>NOT PAID</v>
      </c>
      <c r="J237" s="107"/>
      <c r="K237" s="107"/>
      <c r="L237" s="107"/>
      <c r="M237" s="107"/>
      <c r="N237" s="107"/>
      <c r="O237" s="107"/>
      <c r="P237" s="107"/>
      <c r="Q237" s="107"/>
      <c r="R237" s="107"/>
      <c r="S237" s="107"/>
      <c r="T237" s="107"/>
      <c r="U237" s="107"/>
      <c r="V237" s="107"/>
      <c r="W237" s="107"/>
      <c r="X237" s="107"/>
      <c r="Y237" s="107"/>
      <c r="Z237" s="107"/>
    </row>
    <row r="238" ht="14.25" customHeight="1">
      <c r="A238" s="110">
        <v>45509.0</v>
      </c>
      <c r="B238" s="197" t="s">
        <v>73</v>
      </c>
      <c r="C238" s="164" t="s">
        <v>74</v>
      </c>
      <c r="D238" s="164" t="s">
        <v>75</v>
      </c>
      <c r="E238" s="207" t="s">
        <v>154</v>
      </c>
      <c r="F238" s="209">
        <v>127837.5</v>
      </c>
      <c r="G238" s="109"/>
      <c r="H238" s="111" t="s">
        <v>288</v>
      </c>
      <c r="I238" s="107" t="str">
        <f t="shared" si="6"/>
        <v>NOT PAID</v>
      </c>
      <c r="J238" s="107"/>
      <c r="K238" s="107"/>
      <c r="L238" s="107"/>
      <c r="M238" s="107"/>
      <c r="N238" s="107"/>
      <c r="O238" s="107"/>
      <c r="P238" s="107"/>
      <c r="Q238" s="107"/>
      <c r="R238" s="107"/>
      <c r="S238" s="107"/>
      <c r="T238" s="107"/>
      <c r="U238" s="107"/>
      <c r="V238" s="107"/>
      <c r="W238" s="107"/>
      <c r="X238" s="107"/>
      <c r="Y238" s="107"/>
      <c r="Z238" s="107"/>
    </row>
    <row r="239" ht="14.25" customHeight="1">
      <c r="A239" s="110">
        <v>45509.0</v>
      </c>
      <c r="B239" s="194" t="s">
        <v>209</v>
      </c>
      <c r="C239" s="195" t="s">
        <v>72</v>
      </c>
      <c r="D239" s="195" t="s">
        <v>54</v>
      </c>
      <c r="E239" s="210" t="s">
        <v>70</v>
      </c>
      <c r="F239" s="208">
        <v>425009.0</v>
      </c>
      <c r="G239" s="109"/>
      <c r="H239" s="111" t="s">
        <v>289</v>
      </c>
      <c r="I239" s="107" t="str">
        <f t="shared" si="6"/>
        <v>NOT PAID</v>
      </c>
      <c r="J239" s="107"/>
      <c r="K239" s="107"/>
      <c r="L239" s="107"/>
      <c r="M239" s="107"/>
      <c r="N239" s="107"/>
      <c r="O239" s="107"/>
      <c r="P239" s="107"/>
      <c r="Q239" s="107"/>
      <c r="R239" s="107"/>
      <c r="S239" s="107"/>
      <c r="T239" s="107"/>
      <c r="U239" s="107"/>
      <c r="V239" s="107"/>
      <c r="W239" s="107"/>
      <c r="X239" s="107"/>
      <c r="Y239" s="107"/>
      <c r="Z239" s="107"/>
    </row>
    <row r="240" ht="14.25" customHeight="1">
      <c r="A240" s="110">
        <v>45509.0</v>
      </c>
      <c r="B240" s="163" t="s">
        <v>71</v>
      </c>
      <c r="C240" s="195" t="s">
        <v>72</v>
      </c>
      <c r="D240" s="164" t="s">
        <v>54</v>
      </c>
      <c r="E240" s="207" t="s">
        <v>158</v>
      </c>
      <c r="F240" s="209">
        <v>1931349.0</v>
      </c>
      <c r="G240" s="109"/>
      <c r="H240" s="111" t="s">
        <v>289</v>
      </c>
      <c r="I240" s="107" t="str">
        <f t="shared" si="6"/>
        <v>NOT PAID</v>
      </c>
      <c r="J240" s="107"/>
      <c r="K240" s="107"/>
      <c r="L240" s="107"/>
      <c r="M240" s="107"/>
      <c r="N240" s="107"/>
      <c r="O240" s="107"/>
      <c r="P240" s="107"/>
      <c r="Q240" s="107"/>
      <c r="R240" s="107"/>
      <c r="S240" s="107"/>
      <c r="T240" s="107"/>
      <c r="U240" s="107"/>
      <c r="V240" s="107"/>
      <c r="W240" s="107"/>
      <c r="X240" s="107"/>
      <c r="Y240" s="107"/>
      <c r="Z240" s="107"/>
    </row>
    <row r="241" ht="14.25" customHeight="1">
      <c r="A241" s="110">
        <v>45509.0</v>
      </c>
      <c r="B241" s="194" t="s">
        <v>290</v>
      </c>
      <c r="C241" s="195" t="s">
        <v>291</v>
      </c>
      <c r="D241" s="195" t="s">
        <v>75</v>
      </c>
      <c r="E241" s="210" t="s">
        <v>70</v>
      </c>
      <c r="F241" s="208">
        <v>220000.0</v>
      </c>
      <c r="G241" s="113">
        <v>220000.0</v>
      </c>
      <c r="H241" s="111" t="s">
        <v>212</v>
      </c>
      <c r="I241" s="107" t="str">
        <f t="shared" si="6"/>
        <v>FULLY PAID</v>
      </c>
      <c r="J241" s="107"/>
      <c r="K241" s="107"/>
      <c r="L241" s="107"/>
      <c r="M241" s="107"/>
      <c r="N241" s="107"/>
      <c r="O241" s="107"/>
      <c r="P241" s="107"/>
      <c r="Q241" s="107"/>
      <c r="R241" s="107"/>
      <c r="S241" s="107"/>
      <c r="T241" s="107"/>
      <c r="U241" s="107"/>
      <c r="V241" s="107"/>
      <c r="W241" s="107"/>
      <c r="X241" s="107"/>
      <c r="Y241" s="107"/>
      <c r="Z241" s="107"/>
    </row>
    <row r="242" ht="14.25" customHeight="1">
      <c r="A242" s="110">
        <v>45509.0</v>
      </c>
      <c r="B242" s="163" t="s">
        <v>111</v>
      </c>
      <c r="C242" s="164" t="s">
        <v>112</v>
      </c>
      <c r="D242" s="164" t="s">
        <v>54</v>
      </c>
      <c r="E242" s="207" t="s">
        <v>80</v>
      </c>
      <c r="F242" s="208">
        <v>17924.0</v>
      </c>
      <c r="G242" s="109"/>
      <c r="H242" s="111" t="s">
        <v>292</v>
      </c>
      <c r="I242" s="107" t="str">
        <f t="shared" si="6"/>
        <v>NOT PAID</v>
      </c>
      <c r="J242" s="107"/>
      <c r="K242" s="107"/>
      <c r="L242" s="107"/>
      <c r="M242" s="107"/>
      <c r="N242" s="107"/>
      <c r="O242" s="107"/>
      <c r="P242" s="107"/>
      <c r="Q242" s="107"/>
      <c r="R242" s="107"/>
      <c r="S242" s="107"/>
      <c r="T242" s="107"/>
      <c r="U242" s="107"/>
      <c r="V242" s="107"/>
      <c r="W242" s="107"/>
      <c r="X242" s="107"/>
      <c r="Y242" s="107"/>
      <c r="Z242" s="107"/>
    </row>
    <row r="243" ht="14.25" customHeight="1">
      <c r="A243" s="110">
        <v>45509.0</v>
      </c>
      <c r="B243" s="163" t="s">
        <v>152</v>
      </c>
      <c r="C243" s="164" t="s">
        <v>153</v>
      </c>
      <c r="D243" s="164" t="s">
        <v>67</v>
      </c>
      <c r="E243" s="207" t="s">
        <v>154</v>
      </c>
      <c r="F243" s="208">
        <v>94283.0</v>
      </c>
      <c r="G243" s="109"/>
      <c r="H243" s="111" t="s">
        <v>293</v>
      </c>
      <c r="I243" s="107" t="str">
        <f t="shared" si="6"/>
        <v>NOT PAID</v>
      </c>
      <c r="J243" s="107"/>
      <c r="K243" s="107"/>
      <c r="L243" s="107"/>
      <c r="M243" s="107"/>
      <c r="N243" s="107"/>
      <c r="O243" s="107"/>
      <c r="P243" s="107"/>
      <c r="Q243" s="107"/>
      <c r="R243" s="107"/>
      <c r="S243" s="107"/>
      <c r="T243" s="107"/>
      <c r="U243" s="107"/>
      <c r="V243" s="107"/>
      <c r="W243" s="107"/>
      <c r="X243" s="107"/>
      <c r="Y243" s="107"/>
      <c r="Z243" s="107"/>
    </row>
    <row r="244" ht="14.25" customHeight="1">
      <c r="A244" s="110">
        <v>45509.0</v>
      </c>
      <c r="B244" s="163" t="s">
        <v>294</v>
      </c>
      <c r="C244" s="164" t="s">
        <v>295</v>
      </c>
      <c r="D244" s="164" t="s">
        <v>54</v>
      </c>
      <c r="E244" s="207" t="s">
        <v>154</v>
      </c>
      <c r="F244" s="208">
        <v>123758.0</v>
      </c>
      <c r="G244" s="211">
        <v>123758.0</v>
      </c>
      <c r="H244" s="111" t="s">
        <v>155</v>
      </c>
      <c r="I244" s="107" t="str">
        <f t="shared" si="6"/>
        <v>FULLY PAID</v>
      </c>
      <c r="J244" s="107"/>
      <c r="K244" s="107"/>
      <c r="L244" s="107"/>
      <c r="M244" s="107"/>
      <c r="N244" s="107"/>
      <c r="O244" s="107"/>
      <c r="P244" s="107"/>
      <c r="Q244" s="107"/>
      <c r="R244" s="107"/>
      <c r="S244" s="107"/>
      <c r="T244" s="107"/>
      <c r="U244" s="107"/>
      <c r="V244" s="107"/>
      <c r="W244" s="107"/>
      <c r="X244" s="107"/>
      <c r="Y244" s="107"/>
      <c r="Z244" s="107"/>
    </row>
    <row r="245" ht="14.25" customHeight="1">
      <c r="A245" s="110">
        <v>45509.0</v>
      </c>
      <c r="B245" s="163" t="s">
        <v>172</v>
      </c>
      <c r="C245" s="164" t="s">
        <v>79</v>
      </c>
      <c r="D245" s="164" t="s">
        <v>54</v>
      </c>
      <c r="E245" s="207" t="s">
        <v>80</v>
      </c>
      <c r="F245" s="208">
        <v>358684.0</v>
      </c>
      <c r="G245" s="109"/>
      <c r="H245" s="111" t="s">
        <v>61</v>
      </c>
      <c r="I245" s="107" t="str">
        <f t="shared" si="6"/>
        <v>NOT PAID</v>
      </c>
      <c r="J245" s="107"/>
      <c r="K245" s="107"/>
      <c r="L245" s="107"/>
      <c r="M245" s="107"/>
      <c r="N245" s="107"/>
      <c r="O245" s="107"/>
      <c r="P245" s="107"/>
      <c r="Q245" s="107"/>
      <c r="R245" s="107"/>
      <c r="S245" s="107"/>
      <c r="T245" s="107"/>
      <c r="U245" s="107"/>
      <c r="V245" s="107"/>
      <c r="W245" s="107"/>
      <c r="X245" s="107"/>
      <c r="Y245" s="107"/>
      <c r="Z245" s="107"/>
    </row>
    <row r="246" ht="14.25" customHeight="1">
      <c r="A246" s="110">
        <v>45509.0</v>
      </c>
      <c r="B246" s="212" t="s">
        <v>266</v>
      </c>
      <c r="C246" s="163" t="s">
        <v>79</v>
      </c>
      <c r="D246" s="164" t="s">
        <v>54</v>
      </c>
      <c r="E246" s="207" t="s">
        <v>80</v>
      </c>
      <c r="F246" s="208">
        <v>230000.0</v>
      </c>
      <c r="G246" s="109"/>
      <c r="H246" s="111" t="s">
        <v>61</v>
      </c>
      <c r="I246" s="107" t="str">
        <f t="shared" si="6"/>
        <v>NOT PAID</v>
      </c>
      <c r="J246" s="107"/>
      <c r="K246" s="107"/>
      <c r="L246" s="107"/>
      <c r="M246" s="107"/>
      <c r="N246" s="107"/>
      <c r="O246" s="107"/>
      <c r="P246" s="107"/>
      <c r="Q246" s="107"/>
      <c r="R246" s="107"/>
      <c r="S246" s="107"/>
      <c r="T246" s="107"/>
      <c r="U246" s="107"/>
      <c r="V246" s="107"/>
      <c r="W246" s="107"/>
      <c r="X246" s="107"/>
      <c r="Y246" s="107"/>
      <c r="Z246" s="107"/>
    </row>
    <row r="247" ht="14.25" customHeight="1">
      <c r="A247" s="110">
        <v>45509.0</v>
      </c>
      <c r="B247" s="118" t="s">
        <v>296</v>
      </c>
      <c r="C247" s="164" t="s">
        <v>208</v>
      </c>
      <c r="D247" s="164" t="s">
        <v>75</v>
      </c>
      <c r="E247" s="207" t="s">
        <v>70</v>
      </c>
      <c r="F247" s="208">
        <v>345000.0</v>
      </c>
      <c r="G247" s="113">
        <v>270000.0</v>
      </c>
      <c r="H247" s="111" t="s">
        <v>143</v>
      </c>
      <c r="I247" s="107" t="str">
        <f t="shared" si="6"/>
        <v>PARTIALLY PAID</v>
      </c>
      <c r="J247" s="107"/>
      <c r="K247" s="107"/>
      <c r="L247" s="107"/>
      <c r="M247" s="107"/>
      <c r="N247" s="107"/>
      <c r="O247" s="107"/>
      <c r="P247" s="107"/>
      <c r="Q247" s="107"/>
      <c r="R247" s="107"/>
      <c r="S247" s="107"/>
      <c r="T247" s="107"/>
      <c r="U247" s="107"/>
      <c r="V247" s="107"/>
      <c r="W247" s="107"/>
      <c r="X247" s="107"/>
      <c r="Y247" s="107"/>
      <c r="Z247" s="107"/>
    </row>
    <row r="248" ht="14.25" customHeight="1">
      <c r="A248" s="110">
        <v>45509.0</v>
      </c>
      <c r="B248" s="194" t="s">
        <v>253</v>
      </c>
      <c r="C248" s="195" t="s">
        <v>58</v>
      </c>
      <c r="D248" s="195" t="s">
        <v>75</v>
      </c>
      <c r="E248" s="210" t="s">
        <v>70</v>
      </c>
      <c r="F248" s="208">
        <v>724500.0</v>
      </c>
      <c r="G248" s="109"/>
      <c r="H248" s="111" t="s">
        <v>61</v>
      </c>
      <c r="I248" s="107" t="str">
        <f t="shared" si="6"/>
        <v>NOT PAID</v>
      </c>
      <c r="J248" s="107"/>
      <c r="K248" s="107"/>
      <c r="L248" s="107"/>
      <c r="M248" s="107"/>
      <c r="N248" s="107"/>
      <c r="O248" s="107"/>
      <c r="P248" s="107"/>
      <c r="Q248" s="107"/>
      <c r="R248" s="107"/>
      <c r="S248" s="107"/>
      <c r="T248" s="107"/>
      <c r="U248" s="107"/>
      <c r="V248" s="107"/>
      <c r="W248" s="107"/>
      <c r="X248" s="107"/>
      <c r="Y248" s="107"/>
      <c r="Z248" s="107"/>
    </row>
    <row r="249" ht="14.25" customHeight="1">
      <c r="A249" s="110">
        <v>45509.0</v>
      </c>
      <c r="B249" s="213" t="s">
        <v>297</v>
      </c>
      <c r="C249" s="214" t="s">
        <v>298</v>
      </c>
      <c r="D249" s="214" t="s">
        <v>54</v>
      </c>
      <c r="E249" s="215" t="s">
        <v>70</v>
      </c>
      <c r="F249" s="216">
        <v>28667.0</v>
      </c>
      <c r="G249" s="113">
        <v>28667.0</v>
      </c>
      <c r="H249" s="111" t="s">
        <v>212</v>
      </c>
      <c r="I249" s="107" t="str">
        <f t="shared" si="6"/>
        <v>FULLY PAID</v>
      </c>
      <c r="J249" s="107"/>
      <c r="K249" s="107"/>
      <c r="L249" s="107"/>
      <c r="M249" s="107"/>
      <c r="N249" s="107"/>
      <c r="O249" s="107"/>
      <c r="P249" s="107"/>
      <c r="Q249" s="107"/>
      <c r="R249" s="107"/>
      <c r="S249" s="107"/>
      <c r="T249" s="107"/>
      <c r="U249" s="107"/>
      <c r="V249" s="107"/>
      <c r="W249" s="107"/>
      <c r="X249" s="107"/>
      <c r="Y249" s="107"/>
      <c r="Z249" s="107"/>
    </row>
    <row r="250" ht="14.25" customHeight="1">
      <c r="A250" s="110">
        <v>45509.0</v>
      </c>
      <c r="B250" s="118" t="s">
        <v>271</v>
      </c>
      <c r="C250" s="119" t="s">
        <v>272</v>
      </c>
      <c r="D250" s="119" t="s">
        <v>75</v>
      </c>
      <c r="E250" s="119" t="s">
        <v>273</v>
      </c>
      <c r="F250" s="120">
        <v>482963.0</v>
      </c>
      <c r="G250" s="109"/>
      <c r="H250" s="111" t="s">
        <v>299</v>
      </c>
      <c r="I250" s="107" t="str">
        <f t="shared" si="6"/>
        <v>NOT PAID</v>
      </c>
      <c r="J250" s="107"/>
      <c r="K250" s="107"/>
      <c r="L250" s="107"/>
      <c r="M250" s="107"/>
      <c r="N250" s="107"/>
      <c r="O250" s="107"/>
      <c r="P250" s="107"/>
      <c r="Q250" s="107"/>
      <c r="R250" s="107"/>
      <c r="S250" s="107"/>
      <c r="T250" s="107"/>
      <c r="U250" s="107"/>
      <c r="V250" s="107"/>
      <c r="W250" s="107"/>
      <c r="X250" s="107"/>
      <c r="Y250" s="107"/>
      <c r="Z250" s="107"/>
    </row>
    <row r="251" ht="14.25" customHeight="1">
      <c r="A251" s="110">
        <v>45509.0</v>
      </c>
      <c r="B251" s="111" t="s">
        <v>88</v>
      </c>
      <c r="C251" s="111" t="s">
        <v>89</v>
      </c>
      <c r="D251" s="111" t="s">
        <v>54</v>
      </c>
      <c r="E251" s="111" t="s">
        <v>80</v>
      </c>
      <c r="F251" s="113">
        <v>238994.0</v>
      </c>
      <c r="G251" s="217"/>
      <c r="H251" s="107"/>
      <c r="I251" s="107" t="str">
        <f t="shared" si="6"/>
        <v>NOT PAID</v>
      </c>
      <c r="J251" s="107"/>
      <c r="K251" s="107"/>
      <c r="L251" s="107"/>
      <c r="M251" s="107"/>
      <c r="N251" s="107"/>
      <c r="O251" s="107"/>
      <c r="P251" s="107"/>
      <c r="Q251" s="107"/>
      <c r="R251" s="107"/>
      <c r="S251" s="107"/>
      <c r="T251" s="107"/>
      <c r="U251" s="107"/>
      <c r="V251" s="107"/>
      <c r="W251" s="107"/>
      <c r="X251" s="107"/>
      <c r="Y251" s="107"/>
      <c r="Z251" s="107"/>
    </row>
    <row r="252" ht="14.25" customHeight="1">
      <c r="A252" s="107"/>
      <c r="B252" s="107"/>
      <c r="C252" s="107"/>
      <c r="D252" s="107"/>
      <c r="E252" s="107"/>
      <c r="F252" s="109"/>
      <c r="G252" s="109"/>
      <c r="H252" s="107"/>
      <c r="I252" s="107" t="str">
        <f t="shared" si="6"/>
        <v>FULLY PAID</v>
      </c>
      <c r="J252" s="107"/>
      <c r="K252" s="107"/>
      <c r="L252" s="107"/>
      <c r="M252" s="107"/>
      <c r="N252" s="107"/>
      <c r="O252" s="107"/>
      <c r="P252" s="107"/>
      <c r="Q252" s="107"/>
      <c r="R252" s="107"/>
      <c r="S252" s="107"/>
      <c r="T252" s="107"/>
      <c r="U252" s="107"/>
      <c r="V252" s="107"/>
      <c r="W252" s="107"/>
      <c r="X252" s="107"/>
      <c r="Y252" s="107"/>
      <c r="Z252" s="107"/>
    </row>
    <row r="253" ht="14.25" customHeight="1">
      <c r="A253" s="107"/>
      <c r="B253" s="111"/>
      <c r="C253" s="111"/>
      <c r="D253" s="111"/>
      <c r="E253" s="111"/>
      <c r="F253" s="112"/>
      <c r="G253" s="109"/>
      <c r="H253" s="107"/>
      <c r="I253" s="107" t="str">
        <f t="shared" si="6"/>
        <v>FULLY PAID</v>
      </c>
      <c r="J253" s="107"/>
      <c r="K253" s="107"/>
      <c r="L253" s="107"/>
      <c r="M253" s="107"/>
      <c r="N253" s="107"/>
      <c r="O253" s="107"/>
      <c r="P253" s="107"/>
      <c r="Q253" s="107"/>
      <c r="R253" s="107"/>
      <c r="S253" s="107"/>
      <c r="T253" s="107"/>
      <c r="U253" s="107"/>
      <c r="V253" s="107"/>
      <c r="W253" s="107"/>
      <c r="X253" s="107"/>
      <c r="Y253" s="107"/>
      <c r="Z253" s="107"/>
    </row>
    <row r="254" ht="17.25" customHeight="1">
      <c r="A254" s="110">
        <v>45509.0</v>
      </c>
      <c r="B254" s="111" t="s">
        <v>300</v>
      </c>
      <c r="C254" s="111" t="s">
        <v>301</v>
      </c>
      <c r="D254" s="111" t="s">
        <v>54</v>
      </c>
      <c r="E254" s="111" t="s">
        <v>199</v>
      </c>
      <c r="F254" s="112">
        <v>500000.0</v>
      </c>
      <c r="G254" s="109"/>
      <c r="H254" s="111" t="s">
        <v>302</v>
      </c>
      <c r="I254" s="107" t="str">
        <f t="shared" si="6"/>
        <v>NOT PAID</v>
      </c>
      <c r="J254" s="107"/>
      <c r="K254" s="107"/>
      <c r="L254" s="107"/>
      <c r="M254" s="107"/>
      <c r="N254" s="107"/>
      <c r="O254" s="107"/>
      <c r="P254" s="107"/>
      <c r="Q254" s="107"/>
      <c r="R254" s="107"/>
      <c r="S254" s="107"/>
      <c r="T254" s="107"/>
      <c r="U254" s="107"/>
      <c r="V254" s="107"/>
      <c r="W254" s="107"/>
      <c r="X254" s="107"/>
      <c r="Y254" s="107"/>
      <c r="Z254" s="107"/>
    </row>
    <row r="255" ht="12.75" customHeight="1">
      <c r="A255" s="110">
        <v>45509.0</v>
      </c>
      <c r="B255" s="111" t="s">
        <v>303</v>
      </c>
      <c r="C255" s="111" t="s">
        <v>304</v>
      </c>
      <c r="D255" s="111" t="s">
        <v>54</v>
      </c>
      <c r="E255" s="111" t="s">
        <v>199</v>
      </c>
      <c r="F255" s="112">
        <v>100000.0</v>
      </c>
      <c r="G255" s="109"/>
      <c r="H255" s="111" t="s">
        <v>305</v>
      </c>
      <c r="I255" s="107" t="str">
        <f t="shared" si="6"/>
        <v>NOT PAID</v>
      </c>
      <c r="J255" s="107"/>
      <c r="K255" s="107"/>
      <c r="L255" s="107"/>
      <c r="M255" s="107"/>
      <c r="N255" s="107"/>
      <c r="O255" s="107"/>
      <c r="P255" s="107"/>
      <c r="Q255" s="107"/>
      <c r="R255" s="107"/>
      <c r="S255" s="107"/>
      <c r="T255" s="107"/>
      <c r="U255" s="107"/>
      <c r="V255" s="107"/>
      <c r="W255" s="107"/>
      <c r="X255" s="107"/>
      <c r="Y255" s="107"/>
      <c r="Z255" s="107"/>
    </row>
    <row r="256" ht="14.25" customHeight="1">
      <c r="A256" s="110">
        <v>45509.0</v>
      </c>
      <c r="B256" s="111" t="s">
        <v>201</v>
      </c>
      <c r="C256" s="111" t="s">
        <v>202</v>
      </c>
      <c r="D256" s="111" t="s">
        <v>67</v>
      </c>
      <c r="E256" s="111" t="s">
        <v>199</v>
      </c>
      <c r="F256" s="112" t="s">
        <v>203</v>
      </c>
      <c r="G256" s="109"/>
      <c r="H256" s="111" t="s">
        <v>306</v>
      </c>
      <c r="I256" s="107" t="str">
        <f t="shared" si="6"/>
        <v>NOT PAID</v>
      </c>
      <c r="J256" s="107"/>
      <c r="K256" s="107"/>
      <c r="L256" s="107"/>
      <c r="M256" s="107"/>
      <c r="N256" s="107"/>
      <c r="O256" s="107"/>
      <c r="P256" s="107"/>
      <c r="Q256" s="107"/>
      <c r="R256" s="107"/>
      <c r="S256" s="107"/>
      <c r="T256" s="107"/>
      <c r="U256" s="107"/>
      <c r="V256" s="107"/>
      <c r="W256" s="107"/>
      <c r="X256" s="107"/>
      <c r="Y256" s="107"/>
      <c r="Z256" s="107"/>
    </row>
    <row r="257" ht="14.25" customHeight="1">
      <c r="A257" s="110">
        <v>45509.0</v>
      </c>
      <c r="B257" s="111" t="s">
        <v>108</v>
      </c>
      <c r="C257" s="111" t="s">
        <v>109</v>
      </c>
      <c r="D257" s="111" t="s">
        <v>67</v>
      </c>
      <c r="E257" s="111" t="s">
        <v>110</v>
      </c>
      <c r="F257" s="112">
        <v>302529.21</v>
      </c>
      <c r="G257" s="109"/>
      <c r="H257" s="111" t="s">
        <v>307</v>
      </c>
      <c r="I257" s="107" t="str">
        <f t="shared" si="6"/>
        <v>NOT PAID</v>
      </c>
      <c r="J257" s="107"/>
      <c r="K257" s="107"/>
      <c r="L257" s="107"/>
      <c r="M257" s="107"/>
      <c r="N257" s="107"/>
      <c r="O257" s="107"/>
      <c r="P257" s="107"/>
      <c r="Q257" s="107"/>
      <c r="R257" s="107"/>
      <c r="S257" s="107"/>
      <c r="T257" s="107"/>
      <c r="U257" s="107"/>
      <c r="V257" s="107"/>
      <c r="W257" s="107"/>
      <c r="X257" s="107"/>
      <c r="Y257" s="107"/>
      <c r="Z257" s="107"/>
    </row>
    <row r="258" ht="14.25" customHeight="1">
      <c r="A258" s="110">
        <v>45509.0</v>
      </c>
      <c r="B258" s="111" t="s">
        <v>195</v>
      </c>
      <c r="C258" s="111" t="s">
        <v>196</v>
      </c>
      <c r="D258" s="111" t="s">
        <v>54</v>
      </c>
      <c r="E258" s="111" t="s">
        <v>110</v>
      </c>
      <c r="F258" s="112">
        <v>418381.86</v>
      </c>
      <c r="G258" s="109"/>
      <c r="H258" s="111" t="s">
        <v>308</v>
      </c>
      <c r="I258" s="107" t="str">
        <f t="shared" si="6"/>
        <v>NOT PAID</v>
      </c>
      <c r="J258" s="107"/>
      <c r="K258" s="107"/>
      <c r="L258" s="107"/>
      <c r="M258" s="107"/>
      <c r="N258" s="107"/>
      <c r="O258" s="107"/>
      <c r="P258" s="107"/>
      <c r="Q258" s="107"/>
      <c r="R258" s="107"/>
      <c r="S258" s="107"/>
      <c r="T258" s="107"/>
      <c r="U258" s="107"/>
      <c r="V258" s="107"/>
      <c r="W258" s="107"/>
      <c r="X258" s="107"/>
      <c r="Y258" s="107"/>
      <c r="Z258" s="107"/>
    </row>
    <row r="259" ht="14.25" customHeight="1">
      <c r="A259" s="107"/>
      <c r="B259" s="107"/>
      <c r="C259" s="107"/>
      <c r="D259" s="107"/>
      <c r="E259" s="107"/>
      <c r="F259" s="109"/>
      <c r="G259" s="109"/>
      <c r="H259" s="107"/>
      <c r="I259" s="107" t="str">
        <f t="shared" si="6"/>
        <v>FULLY PAID</v>
      </c>
      <c r="J259" s="107"/>
      <c r="K259" s="107"/>
      <c r="L259" s="107"/>
      <c r="M259" s="107"/>
      <c r="N259" s="107"/>
      <c r="O259" s="107"/>
      <c r="P259" s="107"/>
      <c r="Q259" s="107"/>
      <c r="R259" s="107"/>
      <c r="S259" s="107"/>
      <c r="T259" s="107"/>
      <c r="U259" s="107"/>
      <c r="V259" s="107"/>
      <c r="W259" s="107"/>
      <c r="X259" s="107"/>
      <c r="Y259" s="107"/>
      <c r="Z259" s="107"/>
    </row>
    <row r="260" ht="14.25" customHeight="1">
      <c r="A260" s="107"/>
      <c r="B260" s="107"/>
      <c r="C260" s="107"/>
      <c r="D260" s="107"/>
      <c r="E260" s="107"/>
      <c r="F260" s="109"/>
      <c r="G260" s="109"/>
      <c r="H260" s="107"/>
      <c r="I260" s="107" t="str">
        <f t="shared" si="6"/>
        <v>FULLY PAID</v>
      </c>
      <c r="J260" s="107"/>
      <c r="K260" s="107"/>
      <c r="L260" s="107"/>
      <c r="M260" s="107"/>
      <c r="N260" s="107"/>
      <c r="O260" s="107"/>
      <c r="P260" s="107"/>
      <c r="Q260" s="107"/>
      <c r="R260" s="107"/>
      <c r="S260" s="107"/>
      <c r="T260" s="107"/>
      <c r="U260" s="107"/>
      <c r="V260" s="107"/>
      <c r="W260" s="107"/>
      <c r="X260" s="107"/>
      <c r="Y260" s="107"/>
      <c r="Z260" s="107"/>
    </row>
    <row r="261" ht="14.25" customHeight="1">
      <c r="A261" s="107"/>
      <c r="B261" s="107"/>
      <c r="C261" s="108">
        <v>45510.0</v>
      </c>
      <c r="D261" s="107"/>
      <c r="E261" s="107"/>
      <c r="F261" s="218"/>
      <c r="G261" s="109"/>
      <c r="H261" s="107"/>
      <c r="I261" s="107" t="str">
        <f t="shared" si="6"/>
        <v>FULLY PAID</v>
      </c>
      <c r="J261" s="107"/>
      <c r="K261" s="107"/>
      <c r="L261" s="107"/>
      <c r="M261" s="107"/>
      <c r="N261" s="107"/>
      <c r="O261" s="107"/>
      <c r="P261" s="107"/>
      <c r="Q261" s="107"/>
      <c r="R261" s="107"/>
      <c r="S261" s="107"/>
      <c r="T261" s="107"/>
      <c r="U261" s="107"/>
      <c r="V261" s="107"/>
      <c r="W261" s="107"/>
      <c r="X261" s="107"/>
      <c r="Y261" s="107"/>
      <c r="Z261" s="107"/>
    </row>
    <row r="262" ht="14.25" customHeight="1">
      <c r="A262" s="110">
        <v>45510.0</v>
      </c>
      <c r="B262" s="118" t="s">
        <v>162</v>
      </c>
      <c r="C262" s="119" t="s">
        <v>163</v>
      </c>
      <c r="D262" s="119" t="s">
        <v>54</v>
      </c>
      <c r="E262" s="219" t="s">
        <v>80</v>
      </c>
      <c r="F262" s="206">
        <v>98787.0</v>
      </c>
      <c r="G262" s="113">
        <v>20000.0</v>
      </c>
      <c r="H262" s="111" t="s">
        <v>309</v>
      </c>
      <c r="I262" s="107" t="str">
        <f t="shared" si="6"/>
        <v>PARTIALLY PAID</v>
      </c>
      <c r="J262" s="107"/>
      <c r="K262" s="107"/>
      <c r="L262" s="107"/>
      <c r="M262" s="107"/>
      <c r="N262" s="107"/>
      <c r="O262" s="107"/>
      <c r="P262" s="107"/>
      <c r="Q262" s="107"/>
      <c r="R262" s="107"/>
      <c r="S262" s="107"/>
      <c r="T262" s="107"/>
      <c r="U262" s="107"/>
      <c r="V262" s="107"/>
      <c r="W262" s="107"/>
      <c r="X262" s="107"/>
      <c r="Y262" s="107"/>
      <c r="Z262" s="107"/>
    </row>
    <row r="263" ht="14.25" customHeight="1">
      <c r="A263" s="110">
        <v>45510.0</v>
      </c>
      <c r="B263" s="163" t="s">
        <v>77</v>
      </c>
      <c r="C263" s="164" t="s">
        <v>74</v>
      </c>
      <c r="D263" s="164" t="s">
        <v>54</v>
      </c>
      <c r="E263" s="207" t="s">
        <v>154</v>
      </c>
      <c r="F263" s="209">
        <v>360011.0</v>
      </c>
      <c r="G263" s="113">
        <v>230000.0</v>
      </c>
      <c r="H263" s="111" t="s">
        <v>310</v>
      </c>
      <c r="I263" s="107" t="str">
        <f t="shared" si="6"/>
        <v>PARTIALLY PAID</v>
      </c>
      <c r="J263" s="107"/>
      <c r="K263" s="107"/>
      <c r="L263" s="107"/>
      <c r="M263" s="107"/>
      <c r="N263" s="107"/>
      <c r="O263" s="107"/>
      <c r="P263" s="107"/>
      <c r="Q263" s="107"/>
      <c r="R263" s="107"/>
      <c r="S263" s="107"/>
      <c r="T263" s="107"/>
      <c r="U263" s="107"/>
      <c r="V263" s="107"/>
      <c r="W263" s="107"/>
      <c r="X263" s="107"/>
      <c r="Y263" s="107"/>
      <c r="Z263" s="107"/>
    </row>
    <row r="264" ht="14.25" customHeight="1">
      <c r="A264" s="110">
        <v>45510.0</v>
      </c>
      <c r="B264" s="163" t="s">
        <v>73</v>
      </c>
      <c r="C264" s="164" t="s">
        <v>74</v>
      </c>
      <c r="D264" s="164" t="s">
        <v>75</v>
      </c>
      <c r="E264" s="207" t="s">
        <v>154</v>
      </c>
      <c r="F264" s="209">
        <v>127837.5</v>
      </c>
      <c r="G264" s="109"/>
      <c r="H264" s="111" t="s">
        <v>310</v>
      </c>
      <c r="I264" s="107" t="str">
        <f t="shared" si="6"/>
        <v>NOT PAID</v>
      </c>
      <c r="J264" s="107"/>
      <c r="K264" s="107"/>
      <c r="L264" s="107"/>
      <c r="M264" s="107"/>
      <c r="N264" s="107"/>
      <c r="O264" s="107"/>
      <c r="P264" s="107"/>
      <c r="Q264" s="107"/>
      <c r="R264" s="107"/>
      <c r="S264" s="107"/>
      <c r="T264" s="107"/>
      <c r="U264" s="107"/>
      <c r="V264" s="107"/>
      <c r="W264" s="107"/>
      <c r="X264" s="107"/>
      <c r="Y264" s="107"/>
      <c r="Z264" s="107"/>
    </row>
    <row r="265" ht="14.25" customHeight="1">
      <c r="A265" s="110">
        <v>45510.0</v>
      </c>
      <c r="B265" s="194" t="s">
        <v>209</v>
      </c>
      <c r="C265" s="195" t="s">
        <v>72</v>
      </c>
      <c r="D265" s="195" t="s">
        <v>54</v>
      </c>
      <c r="E265" s="210" t="s">
        <v>70</v>
      </c>
      <c r="F265" s="208">
        <v>425009.0</v>
      </c>
      <c r="G265" s="109"/>
      <c r="H265" s="111" t="s">
        <v>311</v>
      </c>
      <c r="I265" s="107" t="str">
        <f t="shared" si="6"/>
        <v>NOT PAID</v>
      </c>
      <c r="J265" s="107"/>
      <c r="K265" s="107"/>
      <c r="L265" s="107"/>
      <c r="M265" s="107"/>
      <c r="N265" s="107"/>
      <c r="O265" s="107"/>
      <c r="P265" s="107"/>
      <c r="Q265" s="107"/>
      <c r="R265" s="107"/>
      <c r="S265" s="107"/>
      <c r="T265" s="107"/>
      <c r="U265" s="107"/>
      <c r="V265" s="107"/>
      <c r="W265" s="107"/>
      <c r="X265" s="107"/>
      <c r="Y265" s="107"/>
      <c r="Z265" s="107"/>
    </row>
    <row r="266" ht="14.25" customHeight="1">
      <c r="A266" s="110">
        <v>45510.0</v>
      </c>
      <c r="B266" s="163" t="s">
        <v>71</v>
      </c>
      <c r="C266" s="195" t="s">
        <v>72</v>
      </c>
      <c r="D266" s="164" t="s">
        <v>54</v>
      </c>
      <c r="E266" s="207" t="s">
        <v>158</v>
      </c>
      <c r="F266" s="209">
        <v>1931349.0</v>
      </c>
      <c r="G266" s="109"/>
      <c r="H266" s="111" t="s">
        <v>311</v>
      </c>
      <c r="I266" s="107" t="str">
        <f t="shared" si="6"/>
        <v>NOT PAID</v>
      </c>
      <c r="J266" s="107"/>
      <c r="K266" s="107"/>
      <c r="L266" s="107"/>
      <c r="M266" s="107"/>
      <c r="N266" s="107"/>
      <c r="O266" s="107"/>
      <c r="P266" s="107"/>
      <c r="Q266" s="107"/>
      <c r="R266" s="107"/>
      <c r="S266" s="107"/>
      <c r="T266" s="107"/>
      <c r="U266" s="107"/>
      <c r="V266" s="107"/>
      <c r="W266" s="107"/>
      <c r="X266" s="107"/>
      <c r="Y266" s="107"/>
      <c r="Z266" s="107"/>
    </row>
    <row r="267" ht="14.25" customHeight="1">
      <c r="A267" s="110">
        <v>45510.0</v>
      </c>
      <c r="B267" s="194" t="s">
        <v>312</v>
      </c>
      <c r="C267" s="195" t="s">
        <v>313</v>
      </c>
      <c r="D267" s="195" t="s">
        <v>67</v>
      </c>
      <c r="E267" s="210" t="s">
        <v>70</v>
      </c>
      <c r="F267" s="208">
        <v>256000.0</v>
      </c>
      <c r="G267" s="113">
        <v>256000.0</v>
      </c>
      <c r="H267" s="111" t="s">
        <v>212</v>
      </c>
      <c r="I267" s="107" t="str">
        <f t="shared" si="6"/>
        <v>FULLY PAID</v>
      </c>
      <c r="J267" s="107"/>
      <c r="K267" s="107"/>
      <c r="L267" s="107"/>
      <c r="M267" s="107"/>
      <c r="N267" s="107"/>
      <c r="O267" s="107"/>
      <c r="P267" s="107"/>
      <c r="Q267" s="107"/>
      <c r="R267" s="107"/>
      <c r="S267" s="107"/>
      <c r="T267" s="107"/>
      <c r="U267" s="107"/>
      <c r="V267" s="107"/>
      <c r="W267" s="107"/>
      <c r="X267" s="107"/>
      <c r="Y267" s="107"/>
      <c r="Z267" s="107"/>
    </row>
    <row r="268" ht="14.25" customHeight="1">
      <c r="A268" s="110">
        <v>45510.0</v>
      </c>
      <c r="B268" s="163" t="s">
        <v>111</v>
      </c>
      <c r="C268" s="164" t="s">
        <v>112</v>
      </c>
      <c r="D268" s="164" t="s">
        <v>54</v>
      </c>
      <c r="E268" s="207" t="s">
        <v>80</v>
      </c>
      <c r="F268" s="208">
        <v>17924.0</v>
      </c>
      <c r="G268" s="109"/>
      <c r="H268" s="111" t="s">
        <v>61</v>
      </c>
      <c r="I268" s="107" t="str">
        <f t="shared" si="6"/>
        <v>NOT PAID</v>
      </c>
      <c r="J268" s="107"/>
      <c r="K268" s="107"/>
      <c r="L268" s="107"/>
      <c r="M268" s="107"/>
      <c r="N268" s="107"/>
      <c r="O268" s="107"/>
      <c r="P268" s="107"/>
      <c r="Q268" s="107"/>
      <c r="R268" s="107"/>
      <c r="S268" s="107"/>
      <c r="T268" s="107"/>
      <c r="U268" s="107"/>
      <c r="V268" s="107"/>
      <c r="W268" s="107"/>
      <c r="X268" s="107"/>
      <c r="Y268" s="107"/>
      <c r="Z268" s="107"/>
    </row>
    <row r="269" ht="14.25" customHeight="1">
      <c r="A269" s="110">
        <v>45510.0</v>
      </c>
      <c r="B269" s="163" t="s">
        <v>152</v>
      </c>
      <c r="C269" s="164" t="s">
        <v>153</v>
      </c>
      <c r="D269" s="164" t="s">
        <v>67</v>
      </c>
      <c r="E269" s="207" t="s">
        <v>154</v>
      </c>
      <c r="F269" s="208">
        <v>94283.0</v>
      </c>
      <c r="G269" s="109"/>
      <c r="H269" s="111" t="s">
        <v>314</v>
      </c>
      <c r="I269" s="107" t="str">
        <f t="shared" si="6"/>
        <v>NOT PAID</v>
      </c>
      <c r="J269" s="107"/>
      <c r="K269" s="107"/>
      <c r="L269" s="107"/>
      <c r="M269" s="107"/>
      <c r="N269" s="107"/>
      <c r="O269" s="107"/>
      <c r="P269" s="107"/>
      <c r="Q269" s="107"/>
      <c r="R269" s="107"/>
      <c r="S269" s="107"/>
      <c r="T269" s="107"/>
      <c r="U269" s="107"/>
      <c r="V269" s="107"/>
      <c r="W269" s="107"/>
      <c r="X269" s="107"/>
      <c r="Y269" s="107"/>
      <c r="Z269" s="107"/>
    </row>
    <row r="270" ht="14.25" customHeight="1">
      <c r="A270" s="110">
        <v>45510.0</v>
      </c>
      <c r="B270" s="163" t="s">
        <v>172</v>
      </c>
      <c r="C270" s="164" t="s">
        <v>79</v>
      </c>
      <c r="D270" s="164" t="s">
        <v>54</v>
      </c>
      <c r="E270" s="118" t="s">
        <v>80</v>
      </c>
      <c r="F270" s="208">
        <v>358684.0</v>
      </c>
      <c r="G270" s="113">
        <v>200000.0</v>
      </c>
      <c r="H270" s="111" t="s">
        <v>315</v>
      </c>
      <c r="I270" s="107" t="str">
        <f t="shared" si="6"/>
        <v>PARTIALLY PAID</v>
      </c>
      <c r="J270" s="107"/>
      <c r="K270" s="107"/>
      <c r="L270" s="107"/>
      <c r="M270" s="107"/>
      <c r="N270" s="107"/>
      <c r="O270" s="107"/>
      <c r="P270" s="107"/>
      <c r="Q270" s="107"/>
      <c r="R270" s="107"/>
      <c r="S270" s="107"/>
      <c r="T270" s="107"/>
      <c r="U270" s="107"/>
      <c r="V270" s="107"/>
      <c r="W270" s="107"/>
      <c r="X270" s="107"/>
      <c r="Y270" s="107"/>
      <c r="Z270" s="107"/>
    </row>
    <row r="271" ht="14.25" customHeight="1">
      <c r="A271" s="110">
        <v>45510.0</v>
      </c>
      <c r="B271" s="212" t="s">
        <v>266</v>
      </c>
      <c r="C271" s="163" t="s">
        <v>79</v>
      </c>
      <c r="D271" s="164" t="s">
        <v>54</v>
      </c>
      <c r="E271" s="118" t="s">
        <v>80</v>
      </c>
      <c r="F271" s="208">
        <v>230000.0</v>
      </c>
      <c r="G271" s="109"/>
      <c r="H271" s="111" t="s">
        <v>315</v>
      </c>
      <c r="I271" s="107" t="str">
        <f t="shared" si="6"/>
        <v>NOT PAID</v>
      </c>
      <c r="J271" s="107"/>
      <c r="K271" s="107"/>
      <c r="L271" s="107"/>
      <c r="M271" s="107"/>
      <c r="N271" s="107"/>
      <c r="O271" s="107"/>
      <c r="P271" s="107"/>
      <c r="Q271" s="107"/>
      <c r="R271" s="107"/>
      <c r="S271" s="107"/>
      <c r="T271" s="107"/>
      <c r="U271" s="107"/>
      <c r="V271" s="107"/>
      <c r="W271" s="107"/>
      <c r="X271" s="107"/>
      <c r="Y271" s="107"/>
      <c r="Z271" s="107"/>
    </row>
    <row r="272" ht="14.25" customHeight="1">
      <c r="A272" s="110">
        <v>45510.0</v>
      </c>
      <c r="B272" s="118" t="s">
        <v>296</v>
      </c>
      <c r="C272" s="164" t="s">
        <v>208</v>
      </c>
      <c r="D272" s="164" t="s">
        <v>75</v>
      </c>
      <c r="E272" s="118" t="s">
        <v>70</v>
      </c>
      <c r="F272" s="208">
        <v>75000.0</v>
      </c>
      <c r="G272" s="109"/>
      <c r="H272" s="111" t="s">
        <v>61</v>
      </c>
      <c r="I272" s="107" t="str">
        <f t="shared" si="6"/>
        <v>NOT PAID</v>
      </c>
      <c r="J272" s="107"/>
      <c r="K272" s="107"/>
      <c r="L272" s="107"/>
      <c r="M272" s="107"/>
      <c r="N272" s="107"/>
      <c r="O272" s="107"/>
      <c r="P272" s="107"/>
      <c r="Q272" s="107"/>
      <c r="R272" s="107"/>
      <c r="S272" s="107"/>
      <c r="T272" s="107"/>
      <c r="U272" s="107"/>
      <c r="V272" s="107"/>
      <c r="W272" s="107"/>
      <c r="X272" s="107"/>
      <c r="Y272" s="107"/>
      <c r="Z272" s="107"/>
    </row>
    <row r="273" ht="14.25" customHeight="1">
      <c r="A273" s="110">
        <v>45510.0</v>
      </c>
      <c r="B273" s="194" t="s">
        <v>253</v>
      </c>
      <c r="C273" s="195" t="s">
        <v>58</v>
      </c>
      <c r="D273" s="195" t="s">
        <v>75</v>
      </c>
      <c r="E273" s="192" t="s">
        <v>70</v>
      </c>
      <c r="F273" s="208">
        <v>724500.0</v>
      </c>
      <c r="G273" s="109"/>
      <c r="H273" s="111" t="s">
        <v>61</v>
      </c>
      <c r="I273" s="107" t="str">
        <f t="shared" si="6"/>
        <v>NOT PAID</v>
      </c>
      <c r="J273" s="107"/>
      <c r="K273" s="107"/>
      <c r="L273" s="107"/>
      <c r="M273" s="107"/>
      <c r="N273" s="107"/>
      <c r="O273" s="107"/>
      <c r="P273" s="107"/>
      <c r="Q273" s="107"/>
      <c r="R273" s="107"/>
      <c r="S273" s="107"/>
      <c r="T273" s="107"/>
      <c r="U273" s="107"/>
      <c r="V273" s="107"/>
      <c r="W273" s="107"/>
      <c r="X273" s="107"/>
      <c r="Y273" s="107"/>
      <c r="Z273" s="107"/>
    </row>
    <row r="274" ht="14.25" customHeight="1">
      <c r="A274" s="110">
        <v>45510.0</v>
      </c>
      <c r="B274" s="163" t="s">
        <v>271</v>
      </c>
      <c r="C274" s="164" t="s">
        <v>272</v>
      </c>
      <c r="D274" s="164" t="s">
        <v>75</v>
      </c>
      <c r="E274" s="118" t="s">
        <v>80</v>
      </c>
      <c r="F274" s="168">
        <v>482963.0</v>
      </c>
      <c r="G274" s="109"/>
      <c r="H274" s="111" t="s">
        <v>316</v>
      </c>
      <c r="I274" s="107" t="str">
        <f t="shared" si="6"/>
        <v>NOT PAID</v>
      </c>
      <c r="J274" s="107"/>
      <c r="K274" s="107"/>
      <c r="L274" s="107"/>
      <c r="M274" s="107"/>
      <c r="N274" s="107"/>
      <c r="O274" s="107"/>
      <c r="P274" s="107"/>
      <c r="Q274" s="107"/>
      <c r="R274" s="107"/>
      <c r="S274" s="107"/>
      <c r="T274" s="107"/>
      <c r="U274" s="107"/>
      <c r="V274" s="107"/>
      <c r="W274" s="107"/>
      <c r="X274" s="107"/>
      <c r="Y274" s="107"/>
      <c r="Z274" s="107"/>
    </row>
    <row r="275" ht="14.25" customHeight="1">
      <c r="A275" s="110">
        <v>45510.0</v>
      </c>
      <c r="B275" s="163" t="s">
        <v>317</v>
      </c>
      <c r="C275" s="164" t="s">
        <v>318</v>
      </c>
      <c r="D275" s="164" t="s">
        <v>319</v>
      </c>
      <c r="E275" s="118" t="s">
        <v>320</v>
      </c>
      <c r="F275" s="168">
        <v>280392.5</v>
      </c>
      <c r="G275" s="109"/>
      <c r="H275" s="111" t="s">
        <v>321</v>
      </c>
      <c r="I275" s="107" t="str">
        <f t="shared" si="6"/>
        <v>NOT PAID</v>
      </c>
      <c r="J275" s="107"/>
      <c r="K275" s="107"/>
      <c r="L275" s="107"/>
      <c r="M275" s="107"/>
      <c r="N275" s="107"/>
      <c r="O275" s="107"/>
      <c r="P275" s="107"/>
      <c r="Q275" s="107"/>
      <c r="R275" s="107"/>
      <c r="S275" s="107"/>
      <c r="T275" s="107"/>
      <c r="U275" s="107"/>
      <c r="V275" s="107"/>
      <c r="W275" s="107"/>
      <c r="X275" s="107"/>
      <c r="Y275" s="107"/>
      <c r="Z275" s="107"/>
    </row>
    <row r="276" ht="14.25" customHeight="1">
      <c r="A276" s="110">
        <v>45510.0</v>
      </c>
      <c r="B276" s="163" t="s">
        <v>135</v>
      </c>
      <c r="C276" s="164" t="s">
        <v>136</v>
      </c>
      <c r="D276" s="164" t="s">
        <v>54</v>
      </c>
      <c r="E276" s="118" t="s">
        <v>70</v>
      </c>
      <c r="F276" s="168">
        <v>931059.0</v>
      </c>
      <c r="G276" s="109"/>
      <c r="H276" s="111" t="s">
        <v>322</v>
      </c>
      <c r="I276" s="107" t="str">
        <f t="shared" si="6"/>
        <v>NOT PAID</v>
      </c>
      <c r="J276" s="107"/>
      <c r="K276" s="107"/>
      <c r="L276" s="107"/>
      <c r="M276" s="107"/>
      <c r="N276" s="107"/>
      <c r="O276" s="107"/>
      <c r="P276" s="107"/>
      <c r="Q276" s="107"/>
      <c r="R276" s="107"/>
      <c r="S276" s="107"/>
      <c r="T276" s="107"/>
      <c r="U276" s="107"/>
      <c r="V276" s="107"/>
      <c r="W276" s="107"/>
      <c r="X276" s="107"/>
      <c r="Y276" s="107"/>
      <c r="Z276" s="107"/>
    </row>
    <row r="277" ht="15.75" customHeight="1">
      <c r="A277" s="110">
        <v>45510.0</v>
      </c>
      <c r="B277" s="163" t="s">
        <v>300</v>
      </c>
      <c r="C277" s="164" t="s">
        <v>301</v>
      </c>
      <c r="D277" s="164" t="s">
        <v>54</v>
      </c>
      <c r="E277" s="164" t="s">
        <v>199</v>
      </c>
      <c r="F277" s="168">
        <v>500000.0</v>
      </c>
      <c r="G277" s="109"/>
      <c r="H277" s="111" t="s">
        <v>323</v>
      </c>
      <c r="I277" s="107" t="str">
        <f t="shared" si="6"/>
        <v>NOT PAID</v>
      </c>
      <c r="J277" s="107"/>
      <c r="K277" s="107"/>
      <c r="L277" s="107"/>
      <c r="M277" s="107"/>
      <c r="N277" s="107"/>
      <c r="O277" s="107"/>
      <c r="P277" s="107"/>
      <c r="Q277" s="107"/>
      <c r="R277" s="107"/>
      <c r="S277" s="107"/>
      <c r="T277" s="107"/>
      <c r="U277" s="107"/>
      <c r="V277" s="107"/>
      <c r="W277" s="107"/>
      <c r="X277" s="107"/>
      <c r="Y277" s="107"/>
      <c r="Z277" s="107"/>
    </row>
    <row r="278" ht="16.5" customHeight="1">
      <c r="A278" s="110">
        <v>45510.0</v>
      </c>
      <c r="B278" s="163" t="s">
        <v>303</v>
      </c>
      <c r="C278" s="164" t="s">
        <v>304</v>
      </c>
      <c r="D278" s="164" t="s">
        <v>54</v>
      </c>
      <c r="E278" s="164" t="s">
        <v>199</v>
      </c>
      <c r="F278" s="168">
        <v>100000.0</v>
      </c>
      <c r="G278" s="109"/>
      <c r="H278" s="111" t="s">
        <v>324</v>
      </c>
      <c r="I278" s="107" t="str">
        <f t="shared" si="6"/>
        <v>NOT PAID</v>
      </c>
      <c r="J278" s="107"/>
      <c r="K278" s="107"/>
      <c r="L278" s="107"/>
      <c r="M278" s="107"/>
      <c r="N278" s="107"/>
      <c r="O278" s="107"/>
      <c r="P278" s="107"/>
      <c r="Q278" s="107"/>
      <c r="R278" s="107"/>
      <c r="S278" s="107"/>
      <c r="T278" s="107"/>
      <c r="U278" s="107"/>
      <c r="V278" s="107"/>
      <c r="W278" s="107"/>
      <c r="X278" s="107"/>
      <c r="Y278" s="107"/>
      <c r="Z278" s="107"/>
    </row>
    <row r="279" ht="14.25" customHeight="1">
      <c r="A279" s="110">
        <v>45510.0</v>
      </c>
      <c r="B279" s="163" t="s">
        <v>201</v>
      </c>
      <c r="C279" s="164" t="s">
        <v>202</v>
      </c>
      <c r="D279" s="164" t="s">
        <v>67</v>
      </c>
      <c r="E279" s="164" t="s">
        <v>199</v>
      </c>
      <c r="F279" s="168" t="s">
        <v>203</v>
      </c>
      <c r="G279" s="109"/>
      <c r="H279" s="111" t="s">
        <v>325</v>
      </c>
      <c r="I279" s="107" t="str">
        <f t="shared" si="6"/>
        <v>NOT PAID</v>
      </c>
      <c r="J279" s="107"/>
      <c r="K279" s="107"/>
      <c r="L279" s="107"/>
      <c r="M279" s="107"/>
      <c r="N279" s="107"/>
      <c r="O279" s="107"/>
      <c r="P279" s="107"/>
      <c r="Q279" s="107"/>
      <c r="R279" s="107"/>
      <c r="S279" s="107"/>
      <c r="T279" s="107"/>
      <c r="U279" s="107"/>
      <c r="V279" s="107"/>
      <c r="W279" s="107"/>
      <c r="X279" s="107"/>
      <c r="Y279" s="107"/>
      <c r="Z279" s="107"/>
    </row>
    <row r="280" ht="14.25" customHeight="1">
      <c r="A280" s="110">
        <v>45510.0</v>
      </c>
      <c r="B280" s="163" t="s">
        <v>108</v>
      </c>
      <c r="C280" s="164" t="s">
        <v>109</v>
      </c>
      <c r="D280" s="164" t="s">
        <v>67</v>
      </c>
      <c r="E280" s="164" t="s">
        <v>110</v>
      </c>
      <c r="F280" s="168">
        <v>302529.21</v>
      </c>
      <c r="G280" s="109"/>
      <c r="H280" s="111" t="s">
        <v>326</v>
      </c>
      <c r="I280" s="107" t="str">
        <f t="shared" si="6"/>
        <v>NOT PAID</v>
      </c>
      <c r="J280" s="107"/>
      <c r="K280" s="107"/>
      <c r="L280" s="107"/>
      <c r="M280" s="107"/>
      <c r="N280" s="107"/>
      <c r="O280" s="107"/>
      <c r="P280" s="107"/>
      <c r="Q280" s="107"/>
      <c r="R280" s="107"/>
      <c r="S280" s="107"/>
      <c r="T280" s="107"/>
      <c r="U280" s="107"/>
      <c r="V280" s="107"/>
      <c r="W280" s="107"/>
      <c r="X280" s="107"/>
      <c r="Y280" s="107"/>
      <c r="Z280" s="107"/>
    </row>
    <row r="281" ht="14.25" customHeight="1">
      <c r="A281" s="110">
        <v>45510.0</v>
      </c>
      <c r="B281" s="111" t="s">
        <v>195</v>
      </c>
      <c r="C281" s="111" t="s">
        <v>196</v>
      </c>
      <c r="D281" s="111" t="s">
        <v>54</v>
      </c>
      <c r="E281" s="111" t="s">
        <v>110</v>
      </c>
      <c r="F281" s="113">
        <v>418381.86</v>
      </c>
      <c r="G281" s="109"/>
      <c r="H281" s="111" t="s">
        <v>327</v>
      </c>
      <c r="I281" s="107" t="str">
        <f t="shared" si="6"/>
        <v>NOT PAID</v>
      </c>
      <c r="J281" s="107"/>
      <c r="K281" s="107"/>
      <c r="L281" s="107"/>
      <c r="M281" s="107"/>
      <c r="N281" s="107"/>
      <c r="O281" s="107"/>
      <c r="P281" s="107"/>
      <c r="Q281" s="107"/>
      <c r="R281" s="107"/>
      <c r="S281" s="107"/>
      <c r="T281" s="107"/>
      <c r="U281" s="107"/>
      <c r="V281" s="107"/>
      <c r="W281" s="107"/>
      <c r="X281" s="107"/>
      <c r="Y281" s="107"/>
      <c r="Z281" s="107"/>
    </row>
    <row r="282" ht="14.25" customHeight="1">
      <c r="A282" s="107"/>
      <c r="B282" s="107"/>
      <c r="C282" s="107"/>
      <c r="D282" s="107"/>
      <c r="E282" s="107"/>
      <c r="F282" s="109"/>
      <c r="G282" s="109"/>
      <c r="H282" s="107"/>
      <c r="I282" s="107" t="str">
        <f t="shared" si="6"/>
        <v>FULLY PAID</v>
      </c>
      <c r="J282" s="107"/>
      <c r="K282" s="107"/>
      <c r="L282" s="107"/>
      <c r="M282" s="107"/>
      <c r="N282" s="107"/>
      <c r="O282" s="107"/>
      <c r="P282" s="107"/>
      <c r="Q282" s="107"/>
      <c r="R282" s="107"/>
      <c r="S282" s="107"/>
      <c r="T282" s="107"/>
      <c r="U282" s="107"/>
      <c r="V282" s="107"/>
      <c r="W282" s="107"/>
      <c r="X282" s="107"/>
      <c r="Y282" s="107"/>
      <c r="Z282" s="107"/>
    </row>
    <row r="283" ht="14.25" customHeight="1">
      <c r="A283" s="107"/>
      <c r="B283" s="107"/>
      <c r="C283" s="108">
        <v>45511.0</v>
      </c>
      <c r="D283" s="107"/>
      <c r="E283" s="107"/>
      <c r="F283" s="109"/>
      <c r="G283" s="109"/>
      <c r="H283" s="107"/>
      <c r="I283" s="107" t="str">
        <f t="shared" si="6"/>
        <v>FULLY PAID</v>
      </c>
      <c r="J283" s="107"/>
      <c r="K283" s="107"/>
      <c r="L283" s="107"/>
      <c r="M283" s="107"/>
      <c r="N283" s="107"/>
      <c r="O283" s="107"/>
      <c r="P283" s="107"/>
      <c r="Q283" s="107"/>
      <c r="R283" s="107"/>
      <c r="S283" s="107"/>
      <c r="T283" s="107"/>
      <c r="U283" s="107"/>
      <c r="V283" s="107"/>
      <c r="W283" s="107"/>
      <c r="X283" s="107"/>
      <c r="Y283" s="107"/>
      <c r="Z283" s="107"/>
    </row>
    <row r="284" ht="14.25" customHeight="1">
      <c r="A284" s="110">
        <v>45511.0</v>
      </c>
      <c r="B284" s="163" t="s">
        <v>152</v>
      </c>
      <c r="C284" s="164" t="s">
        <v>153</v>
      </c>
      <c r="D284" s="164" t="s">
        <v>67</v>
      </c>
      <c r="E284" s="207" t="s">
        <v>80</v>
      </c>
      <c r="F284" s="208">
        <v>94283.0</v>
      </c>
      <c r="G284" s="109"/>
      <c r="H284" s="111" t="s">
        <v>328</v>
      </c>
      <c r="I284" s="107" t="str">
        <f t="shared" si="6"/>
        <v>NOT PAID</v>
      </c>
      <c r="J284" s="107"/>
      <c r="K284" s="107"/>
      <c r="L284" s="107"/>
      <c r="M284" s="107"/>
      <c r="N284" s="107"/>
      <c r="O284" s="107"/>
      <c r="P284" s="107"/>
      <c r="Q284" s="107"/>
      <c r="R284" s="107"/>
      <c r="S284" s="107"/>
      <c r="T284" s="107"/>
      <c r="U284" s="107"/>
      <c r="V284" s="107"/>
      <c r="W284" s="107"/>
      <c r="X284" s="107"/>
      <c r="Y284" s="107"/>
      <c r="Z284" s="107"/>
    </row>
    <row r="285" ht="14.25" customHeight="1">
      <c r="A285" s="110">
        <v>45511.0</v>
      </c>
      <c r="B285" s="194" t="s">
        <v>209</v>
      </c>
      <c r="C285" s="195" t="s">
        <v>72</v>
      </c>
      <c r="D285" s="195" t="s">
        <v>54</v>
      </c>
      <c r="E285" s="207" t="s">
        <v>80</v>
      </c>
      <c r="F285" s="208">
        <v>425009.0</v>
      </c>
      <c r="G285" s="109"/>
      <c r="H285" s="111" t="s">
        <v>329</v>
      </c>
      <c r="I285" s="107" t="str">
        <f t="shared" si="6"/>
        <v>NOT PAID</v>
      </c>
      <c r="J285" s="107"/>
      <c r="K285" s="107"/>
      <c r="L285" s="107"/>
      <c r="M285" s="107"/>
      <c r="N285" s="107"/>
      <c r="O285" s="107"/>
      <c r="P285" s="107"/>
      <c r="Q285" s="107"/>
      <c r="R285" s="107"/>
      <c r="S285" s="107"/>
      <c r="T285" s="107"/>
      <c r="U285" s="107"/>
      <c r="V285" s="107"/>
      <c r="W285" s="107"/>
      <c r="X285" s="107"/>
      <c r="Y285" s="107"/>
      <c r="Z285" s="107"/>
    </row>
    <row r="286" ht="14.25" customHeight="1">
      <c r="A286" s="110">
        <v>45511.0</v>
      </c>
      <c r="B286" s="163" t="s">
        <v>71</v>
      </c>
      <c r="C286" s="195" t="s">
        <v>72</v>
      </c>
      <c r="D286" s="164" t="s">
        <v>54</v>
      </c>
      <c r="E286" s="207" t="s">
        <v>80</v>
      </c>
      <c r="F286" s="209">
        <v>1931349.0</v>
      </c>
      <c r="G286" s="109"/>
      <c r="H286" s="111" t="s">
        <v>329</v>
      </c>
      <c r="I286" s="107" t="str">
        <f t="shared" si="6"/>
        <v>NOT PAID</v>
      </c>
      <c r="J286" s="107"/>
      <c r="K286" s="107"/>
      <c r="L286" s="107"/>
      <c r="M286" s="107"/>
      <c r="N286" s="107"/>
      <c r="O286" s="107"/>
      <c r="P286" s="107"/>
      <c r="Q286" s="107"/>
      <c r="R286" s="107"/>
      <c r="S286" s="107"/>
      <c r="T286" s="107"/>
      <c r="U286" s="107"/>
      <c r="V286" s="107"/>
      <c r="W286" s="107"/>
      <c r="X286" s="107"/>
      <c r="Y286" s="107"/>
      <c r="Z286" s="107"/>
    </row>
    <row r="287" ht="14.25" customHeight="1">
      <c r="A287" s="110">
        <v>45511.0</v>
      </c>
      <c r="B287" s="163" t="s">
        <v>317</v>
      </c>
      <c r="C287" s="164" t="s">
        <v>318</v>
      </c>
      <c r="D287" s="164" t="s">
        <v>319</v>
      </c>
      <c r="E287" s="118" t="s">
        <v>80</v>
      </c>
      <c r="F287" s="168">
        <v>280392.5</v>
      </c>
      <c r="G287" s="109"/>
      <c r="H287" s="111" t="s">
        <v>330</v>
      </c>
      <c r="I287" s="107" t="str">
        <f t="shared" si="6"/>
        <v>NOT PAID</v>
      </c>
      <c r="J287" s="107"/>
      <c r="K287" s="107"/>
      <c r="L287" s="107"/>
      <c r="M287" s="107"/>
      <c r="N287" s="107"/>
      <c r="O287" s="107"/>
      <c r="P287" s="107"/>
      <c r="Q287" s="107"/>
      <c r="R287" s="107"/>
      <c r="S287" s="107"/>
      <c r="T287" s="107"/>
      <c r="U287" s="107"/>
      <c r="V287" s="107"/>
      <c r="W287" s="107"/>
      <c r="X287" s="107"/>
      <c r="Y287" s="107"/>
      <c r="Z287" s="107"/>
    </row>
    <row r="288" ht="14.25" customHeight="1">
      <c r="A288" s="110">
        <v>45511.0</v>
      </c>
      <c r="B288" s="163" t="s">
        <v>77</v>
      </c>
      <c r="C288" s="164" t="s">
        <v>74</v>
      </c>
      <c r="D288" s="164" t="s">
        <v>54</v>
      </c>
      <c r="E288" s="210" t="s">
        <v>80</v>
      </c>
      <c r="F288" s="113">
        <v>130011.0</v>
      </c>
      <c r="G288" s="113">
        <v>130011.0</v>
      </c>
      <c r="H288" s="111" t="s">
        <v>212</v>
      </c>
      <c r="I288" s="107" t="str">
        <f t="shared" si="6"/>
        <v>FULLY PAID</v>
      </c>
      <c r="J288" s="107"/>
      <c r="K288" s="107"/>
      <c r="L288" s="107"/>
      <c r="M288" s="107"/>
      <c r="N288" s="107"/>
      <c r="O288" s="107"/>
      <c r="P288" s="107"/>
      <c r="Q288" s="107"/>
      <c r="R288" s="107"/>
      <c r="S288" s="107"/>
      <c r="T288" s="107"/>
      <c r="U288" s="107"/>
      <c r="V288" s="107"/>
      <c r="W288" s="107"/>
      <c r="X288" s="107"/>
      <c r="Y288" s="107"/>
      <c r="Z288" s="107"/>
    </row>
    <row r="289" ht="14.25" customHeight="1">
      <c r="A289" s="110">
        <v>45511.0</v>
      </c>
      <c r="B289" s="163" t="s">
        <v>73</v>
      </c>
      <c r="C289" s="164" t="s">
        <v>74</v>
      </c>
      <c r="D289" s="164" t="s">
        <v>75</v>
      </c>
      <c r="E289" s="210" t="s">
        <v>80</v>
      </c>
      <c r="F289" s="209">
        <v>127837.5</v>
      </c>
      <c r="G289" s="113">
        <v>149989.0</v>
      </c>
      <c r="H289" s="111" t="s">
        <v>212</v>
      </c>
      <c r="I289" s="107" t="str">
        <f t="shared" si="6"/>
        <v>FULLY PAID</v>
      </c>
      <c r="J289" s="107"/>
      <c r="K289" s="107"/>
      <c r="L289" s="107"/>
      <c r="M289" s="107"/>
      <c r="N289" s="107"/>
      <c r="O289" s="107"/>
      <c r="P289" s="107"/>
      <c r="Q289" s="107"/>
      <c r="R289" s="107"/>
      <c r="S289" s="107"/>
      <c r="T289" s="107"/>
      <c r="U289" s="107"/>
      <c r="V289" s="107"/>
      <c r="W289" s="107"/>
      <c r="X289" s="107"/>
      <c r="Y289" s="107"/>
      <c r="Z289" s="107"/>
    </row>
    <row r="290" ht="14.25" customHeight="1">
      <c r="A290" s="110"/>
      <c r="B290" s="163"/>
      <c r="C290" s="164"/>
      <c r="D290" s="164"/>
      <c r="E290" s="207"/>
      <c r="F290" s="208"/>
      <c r="G290" s="109"/>
      <c r="H290" s="107"/>
      <c r="I290" s="107" t="str">
        <f t="shared" si="6"/>
        <v>FULLY PAID</v>
      </c>
      <c r="J290" s="107"/>
      <c r="K290" s="107"/>
      <c r="L290" s="107"/>
      <c r="M290" s="107"/>
      <c r="N290" s="107"/>
      <c r="O290" s="107"/>
      <c r="P290" s="107"/>
      <c r="Q290" s="107"/>
      <c r="R290" s="107"/>
      <c r="S290" s="107"/>
      <c r="T290" s="107"/>
      <c r="U290" s="107"/>
      <c r="V290" s="107"/>
      <c r="W290" s="107"/>
      <c r="X290" s="107"/>
      <c r="Y290" s="107"/>
      <c r="Z290" s="107"/>
    </row>
    <row r="291" ht="14.25" customHeight="1">
      <c r="A291" s="110"/>
      <c r="B291" s="163"/>
      <c r="C291" s="164"/>
      <c r="D291" s="164"/>
      <c r="E291" s="207"/>
      <c r="F291" s="208"/>
      <c r="G291" s="109"/>
      <c r="H291" s="107"/>
      <c r="I291" s="107" t="str">
        <f t="shared" si="6"/>
        <v>FULLY PAID</v>
      </c>
      <c r="J291" s="107"/>
      <c r="K291" s="107"/>
      <c r="L291" s="107"/>
      <c r="M291" s="107"/>
      <c r="N291" s="107"/>
      <c r="O291" s="107"/>
      <c r="P291" s="107"/>
      <c r="Q291" s="107"/>
      <c r="R291" s="107"/>
      <c r="S291" s="107"/>
      <c r="T291" s="107"/>
      <c r="U291" s="107"/>
      <c r="V291" s="107"/>
      <c r="W291" s="107"/>
      <c r="X291" s="107"/>
      <c r="Y291" s="107"/>
      <c r="Z291" s="107"/>
    </row>
    <row r="292" ht="14.25" customHeight="1">
      <c r="A292" s="110">
        <v>45511.0</v>
      </c>
      <c r="B292" s="163" t="s">
        <v>172</v>
      </c>
      <c r="C292" s="164" t="s">
        <v>79</v>
      </c>
      <c r="D292" s="164" t="s">
        <v>54</v>
      </c>
      <c r="E292" s="118" t="s">
        <v>70</v>
      </c>
      <c r="F292" s="208">
        <v>158684.0</v>
      </c>
      <c r="G292" s="113">
        <v>59000.0</v>
      </c>
      <c r="H292" s="111" t="s">
        <v>331</v>
      </c>
      <c r="I292" s="107" t="str">
        <f t="shared" si="6"/>
        <v>PARTIALLY PAID</v>
      </c>
      <c r="J292" s="107"/>
      <c r="K292" s="107"/>
      <c r="L292" s="107"/>
      <c r="M292" s="107"/>
      <c r="N292" s="107"/>
      <c r="O292" s="107"/>
      <c r="P292" s="107"/>
      <c r="Q292" s="107"/>
      <c r="R292" s="107"/>
      <c r="S292" s="107"/>
      <c r="T292" s="107"/>
      <c r="U292" s="107"/>
      <c r="V292" s="107"/>
      <c r="W292" s="107"/>
      <c r="X292" s="107"/>
      <c r="Y292" s="107"/>
      <c r="Z292" s="107"/>
    </row>
    <row r="293" ht="14.25" customHeight="1">
      <c r="A293" s="110">
        <v>45511.0</v>
      </c>
      <c r="B293" s="121" t="s">
        <v>266</v>
      </c>
      <c r="C293" s="163" t="s">
        <v>79</v>
      </c>
      <c r="D293" s="164" t="s">
        <v>54</v>
      </c>
      <c r="E293" s="118" t="s">
        <v>70</v>
      </c>
      <c r="F293" s="208">
        <v>230000.0</v>
      </c>
      <c r="G293" s="109"/>
      <c r="H293" s="111" t="s">
        <v>331</v>
      </c>
      <c r="I293" s="107" t="str">
        <f t="shared" si="6"/>
        <v>NOT PAID</v>
      </c>
      <c r="J293" s="107"/>
      <c r="K293" s="107"/>
      <c r="L293" s="107"/>
      <c r="M293" s="107"/>
      <c r="N293" s="107"/>
      <c r="O293" s="107"/>
      <c r="P293" s="107"/>
      <c r="Q293" s="107"/>
      <c r="R293" s="107"/>
      <c r="S293" s="107"/>
      <c r="T293" s="107"/>
      <c r="U293" s="107"/>
      <c r="V293" s="107"/>
      <c r="W293" s="107"/>
      <c r="X293" s="107"/>
      <c r="Y293" s="107"/>
      <c r="Z293" s="107"/>
    </row>
    <row r="294" ht="14.25" customHeight="1">
      <c r="A294" s="110">
        <v>45511.0</v>
      </c>
      <c r="B294" s="163" t="s">
        <v>271</v>
      </c>
      <c r="C294" s="164" t="s">
        <v>272</v>
      </c>
      <c r="D294" s="164" t="s">
        <v>75</v>
      </c>
      <c r="E294" s="118" t="s">
        <v>70</v>
      </c>
      <c r="F294" s="168">
        <v>482963.0</v>
      </c>
      <c r="G294" s="113">
        <v>482963.0</v>
      </c>
      <c r="H294" s="111" t="s">
        <v>185</v>
      </c>
      <c r="I294" s="107" t="str">
        <f t="shared" si="6"/>
        <v>FULLY PAID</v>
      </c>
      <c r="J294" s="107"/>
      <c r="K294" s="107"/>
      <c r="L294" s="107"/>
      <c r="M294" s="107"/>
      <c r="N294" s="107"/>
      <c r="O294" s="107"/>
      <c r="P294" s="107"/>
      <c r="Q294" s="107"/>
      <c r="R294" s="107"/>
      <c r="S294" s="107"/>
      <c r="T294" s="107"/>
      <c r="U294" s="107"/>
      <c r="V294" s="107"/>
      <c r="W294" s="107"/>
      <c r="X294" s="107"/>
      <c r="Y294" s="107"/>
      <c r="Z294" s="107"/>
    </row>
    <row r="295" ht="14.25" customHeight="1">
      <c r="A295" s="110">
        <v>45511.0</v>
      </c>
      <c r="B295" s="192" t="s">
        <v>253</v>
      </c>
      <c r="C295" s="195" t="s">
        <v>58</v>
      </c>
      <c r="D295" s="195" t="s">
        <v>75</v>
      </c>
      <c r="E295" s="118" t="s">
        <v>70</v>
      </c>
      <c r="F295" s="208">
        <v>724500.0</v>
      </c>
      <c r="G295" s="109"/>
      <c r="H295" s="111" t="s">
        <v>332</v>
      </c>
      <c r="I295" s="107" t="str">
        <f t="shared" si="6"/>
        <v>NOT PAID</v>
      </c>
      <c r="J295" s="107"/>
      <c r="K295" s="107"/>
      <c r="L295" s="107"/>
      <c r="M295" s="107"/>
      <c r="N295" s="107"/>
      <c r="O295" s="107"/>
      <c r="P295" s="107"/>
      <c r="Q295" s="107"/>
      <c r="R295" s="107"/>
      <c r="S295" s="107"/>
      <c r="T295" s="107"/>
      <c r="U295" s="107"/>
      <c r="V295" s="107"/>
      <c r="W295" s="107"/>
      <c r="X295" s="107"/>
      <c r="Y295" s="107"/>
      <c r="Z295" s="107"/>
    </row>
    <row r="296" ht="14.25" customHeight="1">
      <c r="A296" s="110">
        <v>45511.0</v>
      </c>
      <c r="B296" s="163" t="s">
        <v>135</v>
      </c>
      <c r="C296" s="164" t="s">
        <v>136</v>
      </c>
      <c r="D296" s="164" t="s">
        <v>54</v>
      </c>
      <c r="E296" s="118" t="s">
        <v>70</v>
      </c>
      <c r="F296" s="168">
        <v>931059.0</v>
      </c>
      <c r="G296" s="109"/>
      <c r="H296" s="111" t="s">
        <v>333</v>
      </c>
      <c r="I296" s="107" t="str">
        <f t="shared" si="6"/>
        <v>NOT PAID</v>
      </c>
      <c r="J296" s="107"/>
      <c r="K296" s="107"/>
      <c r="L296" s="107"/>
      <c r="M296" s="107"/>
      <c r="N296" s="107"/>
      <c r="O296" s="107"/>
      <c r="P296" s="107"/>
      <c r="Q296" s="107"/>
      <c r="R296" s="107"/>
      <c r="S296" s="107"/>
      <c r="T296" s="107"/>
      <c r="U296" s="107"/>
      <c r="V296" s="107"/>
      <c r="W296" s="107"/>
      <c r="X296" s="107"/>
      <c r="Y296" s="107"/>
      <c r="Z296" s="107"/>
    </row>
    <row r="297" ht="14.25" customHeight="1">
      <c r="A297" s="110">
        <v>45511.0</v>
      </c>
      <c r="B297" s="163" t="s">
        <v>334</v>
      </c>
      <c r="C297" s="164" t="s">
        <v>335</v>
      </c>
      <c r="D297" s="164" t="s">
        <v>336</v>
      </c>
      <c r="E297" s="118" t="s">
        <v>70</v>
      </c>
      <c r="F297" s="168">
        <v>20000.0</v>
      </c>
      <c r="G297" s="109"/>
      <c r="H297" s="111" t="s">
        <v>61</v>
      </c>
      <c r="I297" s="107" t="str">
        <f t="shared" si="6"/>
        <v>NOT PAID</v>
      </c>
      <c r="J297" s="107"/>
      <c r="K297" s="107"/>
      <c r="L297" s="107"/>
      <c r="M297" s="107"/>
      <c r="N297" s="107"/>
      <c r="O297" s="107"/>
      <c r="P297" s="107"/>
      <c r="Q297" s="107"/>
      <c r="R297" s="107"/>
      <c r="S297" s="107"/>
      <c r="T297" s="107"/>
      <c r="U297" s="107"/>
      <c r="V297" s="107"/>
      <c r="W297" s="107"/>
      <c r="X297" s="107"/>
      <c r="Y297" s="107"/>
      <c r="Z297" s="107"/>
    </row>
    <row r="298" ht="14.25" customHeight="1">
      <c r="A298" s="110">
        <v>45511.0</v>
      </c>
      <c r="B298" s="118" t="s">
        <v>162</v>
      </c>
      <c r="C298" s="119" t="s">
        <v>163</v>
      </c>
      <c r="D298" s="119" t="s">
        <v>54</v>
      </c>
      <c r="E298" s="118" t="s">
        <v>320</v>
      </c>
      <c r="F298" s="208">
        <v>78000.0</v>
      </c>
      <c r="G298" s="113"/>
      <c r="H298" s="111" t="s">
        <v>337</v>
      </c>
      <c r="I298" s="107" t="str">
        <f t="shared" si="6"/>
        <v>NOT PAID</v>
      </c>
      <c r="J298" s="107"/>
      <c r="K298" s="107"/>
      <c r="L298" s="107"/>
      <c r="M298" s="107"/>
      <c r="N298" s="107"/>
      <c r="O298" s="107"/>
      <c r="P298" s="107"/>
      <c r="Q298" s="107"/>
      <c r="R298" s="107"/>
      <c r="S298" s="107"/>
      <c r="T298" s="107"/>
      <c r="U298" s="107"/>
      <c r="V298" s="107"/>
      <c r="W298" s="107"/>
      <c r="X298" s="107"/>
      <c r="Y298" s="107"/>
      <c r="Z298" s="107"/>
    </row>
    <row r="299" ht="14.25" customHeight="1">
      <c r="A299" s="110">
        <v>45511.0</v>
      </c>
      <c r="B299" s="220" t="s">
        <v>338</v>
      </c>
      <c r="C299" s="221" t="s">
        <v>339</v>
      </c>
      <c r="D299" s="111" t="s">
        <v>54</v>
      </c>
      <c r="E299" s="118" t="s">
        <v>320</v>
      </c>
      <c r="F299" s="113">
        <v>123283.0</v>
      </c>
      <c r="G299" s="109"/>
      <c r="H299" s="111" t="s">
        <v>165</v>
      </c>
      <c r="I299" s="107" t="str">
        <f t="shared" si="6"/>
        <v>NOT PAID</v>
      </c>
      <c r="J299" s="107"/>
      <c r="K299" s="107"/>
      <c r="L299" s="107"/>
      <c r="M299" s="107"/>
      <c r="N299" s="107"/>
      <c r="O299" s="107"/>
      <c r="P299" s="107"/>
      <c r="Q299" s="107"/>
      <c r="R299" s="107"/>
      <c r="S299" s="107"/>
      <c r="T299" s="107"/>
      <c r="U299" s="107"/>
      <c r="V299" s="107"/>
      <c r="W299" s="107"/>
      <c r="X299" s="107"/>
      <c r="Y299" s="107"/>
      <c r="Z299" s="107"/>
    </row>
    <row r="300" ht="14.25" customHeight="1">
      <c r="A300" s="110"/>
      <c r="B300" s="220"/>
      <c r="C300" s="222"/>
      <c r="D300" s="111"/>
      <c r="E300" s="118"/>
      <c r="F300" s="113"/>
      <c r="G300" s="109"/>
      <c r="H300" s="107"/>
      <c r="I300" s="107" t="str">
        <f t="shared" si="6"/>
        <v>FULLY PAID</v>
      </c>
      <c r="J300" s="107"/>
      <c r="K300" s="107"/>
      <c r="L300" s="107"/>
      <c r="M300" s="107"/>
      <c r="N300" s="107"/>
      <c r="O300" s="107"/>
      <c r="P300" s="107"/>
      <c r="Q300" s="107"/>
      <c r="R300" s="107"/>
      <c r="S300" s="107"/>
      <c r="T300" s="107"/>
      <c r="U300" s="107"/>
      <c r="V300" s="107"/>
      <c r="W300" s="107"/>
      <c r="X300" s="107"/>
      <c r="Y300" s="107"/>
      <c r="Z300" s="107"/>
    </row>
    <row r="301" ht="15.0" customHeight="1">
      <c r="A301" s="110">
        <v>45511.0</v>
      </c>
      <c r="B301" s="163" t="s">
        <v>300</v>
      </c>
      <c r="C301" s="164" t="s">
        <v>301</v>
      </c>
      <c r="D301" s="164" t="s">
        <v>54</v>
      </c>
      <c r="E301" s="164" t="s">
        <v>199</v>
      </c>
      <c r="F301" s="168">
        <v>500000.0</v>
      </c>
      <c r="G301" s="109"/>
      <c r="H301" s="107"/>
      <c r="I301" s="107" t="str">
        <f t="shared" si="6"/>
        <v>NOT PAID</v>
      </c>
      <c r="J301" s="107"/>
      <c r="K301" s="107"/>
      <c r="L301" s="107"/>
      <c r="M301" s="107"/>
      <c r="N301" s="107"/>
      <c r="O301" s="107"/>
      <c r="P301" s="107"/>
      <c r="Q301" s="107"/>
      <c r="R301" s="107"/>
      <c r="S301" s="107"/>
      <c r="T301" s="107"/>
      <c r="U301" s="107"/>
      <c r="V301" s="107"/>
      <c r="W301" s="107"/>
      <c r="X301" s="107"/>
      <c r="Y301" s="107"/>
      <c r="Z301" s="107"/>
    </row>
    <row r="302" ht="18.0" customHeight="1">
      <c r="A302" s="110">
        <v>45511.0</v>
      </c>
      <c r="B302" s="163" t="s">
        <v>303</v>
      </c>
      <c r="C302" s="164" t="s">
        <v>304</v>
      </c>
      <c r="D302" s="164" t="s">
        <v>54</v>
      </c>
      <c r="E302" s="164" t="s">
        <v>199</v>
      </c>
      <c r="F302" s="168">
        <v>100000.0</v>
      </c>
      <c r="G302" s="113">
        <v>100000.0</v>
      </c>
      <c r="H302" s="111" t="s">
        <v>87</v>
      </c>
      <c r="I302" s="107" t="str">
        <f t="shared" si="6"/>
        <v>FULLY PAID</v>
      </c>
      <c r="J302" s="107"/>
      <c r="K302" s="107"/>
      <c r="L302" s="107"/>
      <c r="M302" s="107"/>
      <c r="N302" s="107"/>
      <c r="O302" s="107"/>
      <c r="P302" s="107"/>
      <c r="Q302" s="107"/>
      <c r="R302" s="107"/>
      <c r="S302" s="107"/>
      <c r="T302" s="107"/>
      <c r="U302" s="107"/>
      <c r="V302" s="107"/>
      <c r="W302" s="107"/>
      <c r="X302" s="107"/>
      <c r="Y302" s="107"/>
      <c r="Z302" s="107"/>
    </row>
    <row r="303" ht="14.25" customHeight="1">
      <c r="A303" s="110">
        <v>45511.0</v>
      </c>
      <c r="B303" s="163" t="s">
        <v>201</v>
      </c>
      <c r="C303" s="164" t="s">
        <v>202</v>
      </c>
      <c r="D303" s="164" t="s">
        <v>67</v>
      </c>
      <c r="E303" s="164" t="s">
        <v>199</v>
      </c>
      <c r="F303" s="168" t="s">
        <v>203</v>
      </c>
      <c r="G303" s="109"/>
      <c r="H303" s="107"/>
      <c r="I303" s="107" t="str">
        <f t="shared" si="6"/>
        <v>NOT PAID</v>
      </c>
      <c r="J303" s="107"/>
      <c r="K303" s="107"/>
      <c r="L303" s="107"/>
      <c r="M303" s="107"/>
      <c r="N303" s="107"/>
      <c r="O303" s="107"/>
      <c r="P303" s="107"/>
      <c r="Q303" s="107"/>
      <c r="R303" s="107"/>
      <c r="S303" s="107"/>
      <c r="T303" s="107"/>
      <c r="U303" s="107"/>
      <c r="V303" s="107"/>
      <c r="W303" s="107"/>
      <c r="X303" s="107"/>
      <c r="Y303" s="107"/>
      <c r="Z303" s="107"/>
    </row>
    <row r="304" ht="14.25" customHeight="1">
      <c r="A304" s="110"/>
      <c r="B304" s="220"/>
      <c r="C304" s="221"/>
      <c r="D304" s="111"/>
      <c r="E304" s="118"/>
      <c r="F304" s="113"/>
      <c r="G304" s="109"/>
      <c r="H304" s="107"/>
      <c r="I304" s="107" t="str">
        <f t="shared" si="6"/>
        <v>FULLY PAID</v>
      </c>
      <c r="J304" s="107"/>
      <c r="K304" s="107"/>
      <c r="L304" s="107"/>
      <c r="M304" s="107"/>
      <c r="N304" s="107"/>
      <c r="O304" s="107"/>
      <c r="P304" s="107"/>
      <c r="Q304" s="107"/>
      <c r="R304" s="107"/>
      <c r="S304" s="107"/>
      <c r="T304" s="107"/>
      <c r="U304" s="107"/>
      <c r="V304" s="107"/>
      <c r="W304" s="107"/>
      <c r="X304" s="107"/>
      <c r="Y304" s="107"/>
      <c r="Z304" s="107"/>
    </row>
    <row r="305" ht="14.25" customHeight="1">
      <c r="A305" s="110">
        <v>45511.0</v>
      </c>
      <c r="B305" s="111" t="s">
        <v>195</v>
      </c>
      <c r="C305" s="111" t="s">
        <v>196</v>
      </c>
      <c r="D305" s="111" t="s">
        <v>54</v>
      </c>
      <c r="E305" s="111" t="s">
        <v>110</v>
      </c>
      <c r="F305" s="113">
        <v>418381.86</v>
      </c>
      <c r="G305" s="109"/>
      <c r="H305" s="107"/>
      <c r="I305" s="107" t="str">
        <f t="shared" si="6"/>
        <v>NOT PAID</v>
      </c>
      <c r="J305" s="107"/>
      <c r="K305" s="107"/>
      <c r="L305" s="107"/>
      <c r="M305" s="107"/>
      <c r="N305" s="107"/>
      <c r="O305" s="107"/>
      <c r="P305" s="107"/>
      <c r="Q305" s="107"/>
      <c r="R305" s="107"/>
      <c r="S305" s="107"/>
      <c r="T305" s="107"/>
      <c r="U305" s="107"/>
      <c r="V305" s="107"/>
      <c r="W305" s="107"/>
      <c r="X305" s="107"/>
      <c r="Y305" s="107"/>
      <c r="Z305" s="107"/>
    </row>
    <row r="306" ht="14.25" customHeight="1">
      <c r="A306" s="110">
        <v>45511.0</v>
      </c>
      <c r="B306" s="163" t="s">
        <v>108</v>
      </c>
      <c r="C306" s="164" t="s">
        <v>109</v>
      </c>
      <c r="D306" s="164" t="s">
        <v>67</v>
      </c>
      <c r="E306" s="164" t="s">
        <v>110</v>
      </c>
      <c r="F306" s="168">
        <v>302529.21</v>
      </c>
      <c r="G306" s="113">
        <v>2000.0</v>
      </c>
      <c r="H306" s="107"/>
      <c r="I306" s="107" t="str">
        <f t="shared" si="6"/>
        <v>PARTIALLY PAID</v>
      </c>
      <c r="J306" s="107"/>
      <c r="K306" s="107"/>
      <c r="L306" s="107"/>
      <c r="M306" s="107"/>
      <c r="N306" s="107"/>
      <c r="O306" s="107"/>
      <c r="P306" s="107"/>
      <c r="Q306" s="107"/>
      <c r="R306" s="107"/>
      <c r="S306" s="107"/>
      <c r="T306" s="107"/>
      <c r="U306" s="107"/>
      <c r="V306" s="107"/>
      <c r="W306" s="107"/>
      <c r="X306" s="107"/>
      <c r="Y306" s="107"/>
      <c r="Z306" s="107"/>
    </row>
    <row r="307" ht="14.25" customHeight="1">
      <c r="A307" s="110"/>
      <c r="B307" s="111"/>
      <c r="C307" s="111"/>
      <c r="D307" s="111"/>
      <c r="E307" s="111"/>
      <c r="F307" s="113"/>
      <c r="G307" s="109"/>
      <c r="H307" s="107"/>
      <c r="I307" s="107" t="str">
        <f t="shared" si="6"/>
        <v>FULLY PAID</v>
      </c>
      <c r="J307" s="107"/>
      <c r="K307" s="107"/>
      <c r="L307" s="107"/>
      <c r="M307" s="107"/>
      <c r="N307" s="107"/>
      <c r="O307" s="107"/>
      <c r="P307" s="107"/>
      <c r="Q307" s="107"/>
      <c r="R307" s="107"/>
      <c r="S307" s="107"/>
      <c r="T307" s="107"/>
      <c r="U307" s="107"/>
      <c r="V307" s="107"/>
      <c r="W307" s="107"/>
      <c r="X307" s="107"/>
      <c r="Y307" s="107"/>
      <c r="Z307" s="107"/>
    </row>
    <row r="308">
      <c r="A308" s="110">
        <v>45511.0</v>
      </c>
      <c r="B308" s="111" t="s">
        <v>254</v>
      </c>
      <c r="C308" s="111" t="s">
        <v>255</v>
      </c>
      <c r="D308" s="111" t="s">
        <v>340</v>
      </c>
      <c r="E308" s="111" t="s">
        <v>341</v>
      </c>
      <c r="F308" s="113">
        <v>2300000.0</v>
      </c>
      <c r="G308" s="113">
        <v>800000.0</v>
      </c>
      <c r="H308" s="111" t="s">
        <v>342</v>
      </c>
      <c r="I308" s="107" t="str">
        <f t="shared" si="6"/>
        <v>PARTIALLY PAID</v>
      </c>
      <c r="J308" s="223"/>
      <c r="K308" s="223"/>
      <c r="L308" s="223"/>
      <c r="M308" s="223"/>
      <c r="N308" s="223"/>
      <c r="O308" s="223"/>
      <c r="P308" s="223"/>
      <c r="Q308" s="223"/>
      <c r="R308" s="223"/>
      <c r="S308" s="223"/>
      <c r="T308" s="223"/>
      <c r="U308" s="223"/>
      <c r="V308" s="223"/>
      <c r="W308" s="223"/>
      <c r="X308" s="223"/>
      <c r="Y308" s="223"/>
      <c r="Z308" s="223"/>
    </row>
    <row r="309" ht="14.25" customHeight="1">
      <c r="A309" s="110"/>
      <c r="B309" s="107"/>
      <c r="C309" s="107"/>
      <c r="D309" s="107"/>
      <c r="E309" s="113"/>
      <c r="F309" s="109"/>
      <c r="G309" s="109"/>
      <c r="H309" s="107"/>
      <c r="I309" s="107" t="str">
        <f t="shared" si="6"/>
        <v>FULLY PAID</v>
      </c>
      <c r="J309" s="107"/>
      <c r="K309" s="107"/>
      <c r="L309" s="107"/>
      <c r="M309" s="107"/>
      <c r="N309" s="107"/>
      <c r="O309" s="107"/>
      <c r="P309" s="107"/>
      <c r="Q309" s="107"/>
      <c r="R309" s="107"/>
      <c r="S309" s="107"/>
      <c r="T309" s="107"/>
      <c r="U309" s="107"/>
      <c r="V309" s="107"/>
      <c r="W309" s="107"/>
      <c r="X309" s="107"/>
      <c r="Y309" s="107"/>
      <c r="Z309" s="107"/>
    </row>
    <row r="310" ht="14.25" customHeight="1">
      <c r="A310" s="110"/>
      <c r="B310" s="107"/>
      <c r="C310" s="107"/>
      <c r="D310" s="107"/>
      <c r="E310" s="111"/>
      <c r="F310" s="109"/>
      <c r="G310" s="109"/>
      <c r="H310" s="107"/>
      <c r="I310" s="107" t="str">
        <f t="shared" si="6"/>
        <v>FULLY PAID</v>
      </c>
      <c r="J310" s="107"/>
      <c r="K310" s="107"/>
      <c r="L310" s="107"/>
      <c r="M310" s="107"/>
      <c r="N310" s="107"/>
      <c r="O310" s="107"/>
      <c r="P310" s="107"/>
      <c r="Q310" s="107"/>
      <c r="R310" s="107"/>
      <c r="S310" s="107"/>
      <c r="T310" s="107"/>
      <c r="U310" s="107"/>
      <c r="V310" s="107"/>
      <c r="W310" s="107"/>
      <c r="X310" s="107"/>
      <c r="Y310" s="107"/>
      <c r="Z310" s="107"/>
    </row>
    <row r="311" ht="14.25" customHeight="1">
      <c r="A311" s="110"/>
      <c r="B311" s="107"/>
      <c r="C311" s="108">
        <v>45512.0</v>
      </c>
      <c r="D311" s="107"/>
      <c r="E311" s="111"/>
      <c r="F311" s="109"/>
      <c r="G311" s="109"/>
      <c r="H311" s="107"/>
      <c r="I311" s="107" t="str">
        <f t="shared" si="6"/>
        <v>FULLY PAID</v>
      </c>
      <c r="J311" s="107"/>
      <c r="K311" s="107"/>
      <c r="L311" s="107"/>
      <c r="M311" s="107"/>
      <c r="N311" s="107"/>
      <c r="O311" s="107"/>
      <c r="P311" s="107"/>
      <c r="Q311" s="107"/>
      <c r="R311" s="107"/>
      <c r="S311" s="107"/>
      <c r="T311" s="107"/>
      <c r="U311" s="107"/>
      <c r="V311" s="107"/>
      <c r="W311" s="107"/>
      <c r="X311" s="107"/>
      <c r="Y311" s="107"/>
      <c r="Z311" s="107"/>
    </row>
    <row r="312" ht="14.25" customHeight="1">
      <c r="A312" s="110">
        <v>45512.0</v>
      </c>
      <c r="B312" s="194" t="s">
        <v>209</v>
      </c>
      <c r="C312" s="195" t="s">
        <v>72</v>
      </c>
      <c r="D312" s="195" t="s">
        <v>54</v>
      </c>
      <c r="E312" s="207" t="s">
        <v>80</v>
      </c>
      <c r="F312" s="208">
        <v>425009.0</v>
      </c>
      <c r="G312" s="109"/>
      <c r="H312" s="107"/>
      <c r="I312" s="107" t="str">
        <f t="shared" si="6"/>
        <v>NOT PAID</v>
      </c>
      <c r="J312" s="107"/>
      <c r="K312" s="107"/>
      <c r="L312" s="107"/>
      <c r="M312" s="107"/>
      <c r="N312" s="107"/>
      <c r="O312" s="107"/>
      <c r="P312" s="107"/>
      <c r="Q312" s="107"/>
      <c r="R312" s="107"/>
      <c r="S312" s="107"/>
      <c r="T312" s="107"/>
      <c r="U312" s="107"/>
      <c r="V312" s="107"/>
      <c r="W312" s="107"/>
      <c r="X312" s="107"/>
      <c r="Y312" s="107"/>
      <c r="Z312" s="107"/>
    </row>
    <row r="313" ht="14.25" customHeight="1">
      <c r="A313" s="110">
        <v>45512.0</v>
      </c>
      <c r="B313" s="163" t="s">
        <v>71</v>
      </c>
      <c r="C313" s="195" t="s">
        <v>72</v>
      </c>
      <c r="D313" s="164" t="s">
        <v>54</v>
      </c>
      <c r="E313" s="207" t="s">
        <v>80</v>
      </c>
      <c r="F313" s="209">
        <v>1931349.0</v>
      </c>
      <c r="G313" s="109"/>
      <c r="H313" s="107"/>
      <c r="I313" s="107" t="str">
        <f t="shared" si="6"/>
        <v>NOT PAID</v>
      </c>
      <c r="J313" s="107"/>
      <c r="K313" s="107"/>
      <c r="L313" s="107"/>
      <c r="M313" s="107"/>
      <c r="N313" s="107"/>
      <c r="O313" s="107"/>
      <c r="P313" s="107"/>
      <c r="Q313" s="107"/>
      <c r="R313" s="107"/>
      <c r="S313" s="107"/>
      <c r="T313" s="107"/>
      <c r="U313" s="107"/>
      <c r="V313" s="107"/>
      <c r="W313" s="107"/>
      <c r="X313" s="107"/>
      <c r="Y313" s="107"/>
      <c r="Z313" s="107"/>
    </row>
    <row r="314" ht="14.25" customHeight="1">
      <c r="A314" s="110">
        <v>45512.0</v>
      </c>
      <c r="B314" s="163" t="s">
        <v>317</v>
      </c>
      <c r="C314" s="164" t="s">
        <v>318</v>
      </c>
      <c r="D314" s="164" t="s">
        <v>319</v>
      </c>
      <c r="E314" s="118" t="s">
        <v>80</v>
      </c>
      <c r="F314" s="168">
        <v>280392.5</v>
      </c>
      <c r="G314" s="109"/>
      <c r="H314" s="107"/>
      <c r="I314" s="107" t="str">
        <f t="shared" si="6"/>
        <v>NOT PAID</v>
      </c>
      <c r="J314" s="107"/>
      <c r="K314" s="107"/>
      <c r="L314" s="107"/>
      <c r="M314" s="107"/>
      <c r="N314" s="107"/>
      <c r="O314" s="107"/>
      <c r="P314" s="107"/>
      <c r="Q314" s="107"/>
      <c r="R314" s="107"/>
      <c r="S314" s="107"/>
      <c r="T314" s="107"/>
      <c r="U314" s="107"/>
      <c r="V314" s="107"/>
      <c r="W314" s="107"/>
      <c r="X314" s="107"/>
      <c r="Y314" s="107"/>
      <c r="Z314" s="107"/>
    </row>
    <row r="315" ht="14.25" customHeight="1">
      <c r="A315" s="110">
        <v>45512.0</v>
      </c>
      <c r="B315" s="118" t="s">
        <v>162</v>
      </c>
      <c r="C315" s="119" t="s">
        <v>163</v>
      </c>
      <c r="D315" s="119" t="s">
        <v>54</v>
      </c>
      <c r="E315" s="118" t="s">
        <v>80</v>
      </c>
      <c r="F315" s="208">
        <v>78000.0</v>
      </c>
      <c r="G315" s="109"/>
      <c r="H315" s="107"/>
      <c r="I315" s="107" t="str">
        <f t="shared" si="6"/>
        <v>NOT PAID</v>
      </c>
      <c r="J315" s="107"/>
      <c r="K315" s="107"/>
      <c r="L315" s="107"/>
      <c r="M315" s="107"/>
      <c r="N315" s="107"/>
      <c r="O315" s="107"/>
      <c r="P315" s="107"/>
      <c r="Q315" s="107"/>
      <c r="R315" s="107"/>
      <c r="S315" s="107"/>
      <c r="T315" s="107"/>
      <c r="U315" s="107"/>
      <c r="V315" s="107"/>
      <c r="W315" s="107"/>
      <c r="X315" s="107"/>
      <c r="Y315" s="107"/>
      <c r="Z315" s="107"/>
    </row>
    <row r="316" ht="14.25" customHeight="1">
      <c r="A316" s="110">
        <v>45512.0</v>
      </c>
      <c r="B316" s="224" t="s">
        <v>343</v>
      </c>
      <c r="C316" s="225" t="s">
        <v>344</v>
      </c>
      <c r="D316" s="225" t="s">
        <v>67</v>
      </c>
      <c r="E316" s="118" t="s">
        <v>80</v>
      </c>
      <c r="F316" s="208">
        <v>189265.0</v>
      </c>
      <c r="G316" s="109"/>
      <c r="H316" s="107"/>
      <c r="I316" s="107" t="str">
        <f t="shared" si="6"/>
        <v>NOT PAID</v>
      </c>
      <c r="J316" s="107"/>
      <c r="K316" s="107"/>
      <c r="L316" s="107"/>
      <c r="M316" s="107"/>
      <c r="N316" s="107"/>
      <c r="O316" s="107"/>
      <c r="P316" s="107"/>
      <c r="Q316" s="107"/>
      <c r="R316" s="107"/>
      <c r="S316" s="107"/>
      <c r="T316" s="107"/>
      <c r="U316" s="107"/>
      <c r="V316" s="107"/>
      <c r="W316" s="107"/>
      <c r="X316" s="107"/>
      <c r="Y316" s="107"/>
      <c r="Z316" s="107"/>
    </row>
    <row r="317" ht="14.25" customHeight="1">
      <c r="A317" s="110">
        <v>45512.0</v>
      </c>
      <c r="B317" s="163" t="s">
        <v>172</v>
      </c>
      <c r="C317" s="164" t="s">
        <v>79</v>
      </c>
      <c r="D317" s="164" t="s">
        <v>54</v>
      </c>
      <c r="E317" s="118" t="s">
        <v>70</v>
      </c>
      <c r="F317" s="208">
        <v>100684.0</v>
      </c>
      <c r="G317" s="109"/>
      <c r="H317" s="107"/>
      <c r="I317" s="107" t="str">
        <f t="shared" si="6"/>
        <v>NOT PAID</v>
      </c>
      <c r="J317" s="107"/>
      <c r="K317" s="107"/>
      <c r="L317" s="107"/>
      <c r="M317" s="107"/>
      <c r="N317" s="107"/>
      <c r="O317" s="107"/>
      <c r="P317" s="107"/>
      <c r="Q317" s="107"/>
      <c r="R317" s="107"/>
      <c r="S317" s="107"/>
      <c r="T317" s="107"/>
      <c r="U317" s="107"/>
      <c r="V317" s="107"/>
      <c r="W317" s="107"/>
      <c r="X317" s="107"/>
      <c r="Y317" s="107"/>
      <c r="Z317" s="107"/>
    </row>
    <row r="318" ht="14.25" customHeight="1">
      <c r="A318" s="110">
        <v>45512.0</v>
      </c>
      <c r="B318" s="121" t="s">
        <v>266</v>
      </c>
      <c r="C318" s="163" t="s">
        <v>79</v>
      </c>
      <c r="D318" s="164" t="s">
        <v>54</v>
      </c>
      <c r="E318" s="118" t="s">
        <v>70</v>
      </c>
      <c r="F318" s="208">
        <v>230000.0</v>
      </c>
      <c r="G318" s="109"/>
      <c r="H318" s="107"/>
      <c r="I318" s="107" t="str">
        <f t="shared" si="6"/>
        <v>NOT PAID</v>
      </c>
      <c r="J318" s="107"/>
      <c r="K318" s="107"/>
      <c r="L318" s="107"/>
      <c r="M318" s="107"/>
      <c r="N318" s="107"/>
      <c r="O318" s="107"/>
      <c r="P318" s="107"/>
      <c r="Q318" s="107"/>
      <c r="R318" s="107"/>
      <c r="S318" s="107"/>
      <c r="T318" s="107"/>
      <c r="U318" s="107"/>
      <c r="V318" s="107"/>
      <c r="W318" s="107"/>
      <c r="X318" s="107"/>
      <c r="Y318" s="107"/>
      <c r="Z318" s="107"/>
    </row>
    <row r="319" ht="14.25" customHeight="1">
      <c r="A319" s="110">
        <v>45512.0</v>
      </c>
      <c r="B319" s="192" t="s">
        <v>253</v>
      </c>
      <c r="C319" s="195" t="s">
        <v>58</v>
      </c>
      <c r="D319" s="195" t="s">
        <v>75</v>
      </c>
      <c r="E319" s="118" t="s">
        <v>70</v>
      </c>
      <c r="F319" s="208">
        <v>724500.0</v>
      </c>
      <c r="G319" s="109"/>
      <c r="H319" s="107"/>
      <c r="I319" s="107" t="str">
        <f t="shared" si="6"/>
        <v>NOT PAID</v>
      </c>
      <c r="J319" s="107"/>
      <c r="K319" s="107"/>
      <c r="L319" s="107"/>
      <c r="M319" s="107"/>
      <c r="N319" s="107"/>
      <c r="O319" s="107"/>
      <c r="P319" s="107"/>
      <c r="Q319" s="107"/>
      <c r="R319" s="107"/>
      <c r="S319" s="107"/>
      <c r="T319" s="107"/>
      <c r="U319" s="107"/>
      <c r="V319" s="107"/>
      <c r="W319" s="107"/>
      <c r="X319" s="107"/>
      <c r="Y319" s="107"/>
      <c r="Z319" s="107"/>
    </row>
    <row r="320" ht="14.25" customHeight="1">
      <c r="A320" s="110">
        <v>45512.0</v>
      </c>
      <c r="B320" s="163" t="s">
        <v>135</v>
      </c>
      <c r="C320" s="164" t="s">
        <v>136</v>
      </c>
      <c r="D320" s="164" t="s">
        <v>54</v>
      </c>
      <c r="E320" s="118" t="s">
        <v>70</v>
      </c>
      <c r="F320" s="168">
        <v>931059.0</v>
      </c>
      <c r="G320" s="109"/>
      <c r="H320" s="107"/>
      <c r="I320" s="107" t="str">
        <f t="shared" si="6"/>
        <v>NOT PAID</v>
      </c>
      <c r="J320" s="107"/>
      <c r="K320" s="107"/>
      <c r="L320" s="107"/>
      <c r="M320" s="107"/>
      <c r="N320" s="107"/>
      <c r="O320" s="107"/>
      <c r="P320" s="107"/>
      <c r="Q320" s="107"/>
      <c r="R320" s="107"/>
      <c r="S320" s="107"/>
      <c r="T320" s="107"/>
      <c r="U320" s="107"/>
      <c r="V320" s="107"/>
      <c r="W320" s="107"/>
      <c r="X320" s="107"/>
      <c r="Y320" s="107"/>
      <c r="Z320" s="107"/>
    </row>
    <row r="321" ht="14.25" customHeight="1">
      <c r="A321" s="110">
        <v>45512.0</v>
      </c>
      <c r="B321" s="163" t="s">
        <v>334</v>
      </c>
      <c r="C321" s="164" t="s">
        <v>335</v>
      </c>
      <c r="D321" s="164" t="s">
        <v>336</v>
      </c>
      <c r="E321" s="118" t="s">
        <v>70</v>
      </c>
      <c r="F321" s="168">
        <v>20000.0</v>
      </c>
      <c r="G321" s="109"/>
      <c r="H321" s="107"/>
      <c r="I321" s="107" t="str">
        <f t="shared" si="6"/>
        <v>NOT PAID</v>
      </c>
      <c r="J321" s="107"/>
      <c r="K321" s="107"/>
      <c r="L321" s="107"/>
      <c r="M321" s="107"/>
      <c r="N321" s="107"/>
      <c r="O321" s="107"/>
      <c r="P321" s="107"/>
      <c r="Q321" s="107"/>
      <c r="R321" s="107"/>
      <c r="S321" s="107"/>
      <c r="T321" s="107"/>
      <c r="U321" s="107"/>
      <c r="V321" s="107"/>
      <c r="W321" s="107"/>
      <c r="X321" s="107"/>
      <c r="Y321" s="107"/>
      <c r="Z321" s="107"/>
    </row>
    <row r="322" ht="14.25" customHeight="1">
      <c r="A322" s="110">
        <v>45512.0</v>
      </c>
      <c r="B322" s="220" t="s">
        <v>338</v>
      </c>
      <c r="C322" s="221" t="s">
        <v>339</v>
      </c>
      <c r="D322" s="111" t="s">
        <v>54</v>
      </c>
      <c r="E322" s="118" t="s">
        <v>320</v>
      </c>
      <c r="F322" s="113">
        <v>123283.0</v>
      </c>
      <c r="G322" s="109"/>
      <c r="H322" s="107"/>
      <c r="I322" s="107" t="str">
        <f t="shared" si="6"/>
        <v>NOT PAID</v>
      </c>
      <c r="J322" s="107"/>
      <c r="K322" s="107"/>
      <c r="L322" s="107"/>
      <c r="M322" s="107"/>
      <c r="N322" s="107"/>
      <c r="O322" s="107"/>
      <c r="P322" s="107"/>
      <c r="Q322" s="107"/>
      <c r="R322" s="107"/>
      <c r="S322" s="107"/>
      <c r="T322" s="107"/>
      <c r="U322" s="107"/>
      <c r="V322" s="107"/>
      <c r="W322" s="107"/>
      <c r="X322" s="107"/>
      <c r="Y322" s="107"/>
      <c r="Z322" s="107"/>
    </row>
    <row r="323" ht="14.25" customHeight="1">
      <c r="A323" s="110">
        <v>45512.0</v>
      </c>
      <c r="B323" s="220" t="s">
        <v>345</v>
      </c>
      <c r="C323" s="221" t="s">
        <v>339</v>
      </c>
      <c r="D323" s="221" t="s">
        <v>346</v>
      </c>
      <c r="E323" s="111" t="s">
        <v>320</v>
      </c>
      <c r="F323" s="113">
        <v>14489.0</v>
      </c>
      <c r="G323" s="109"/>
      <c r="H323" s="107"/>
      <c r="I323" s="107" t="str">
        <f t="shared" si="6"/>
        <v>NOT PAID</v>
      </c>
      <c r="J323" s="107"/>
      <c r="K323" s="107"/>
      <c r="L323" s="107"/>
      <c r="M323" s="107"/>
      <c r="N323" s="107"/>
      <c r="O323" s="107"/>
      <c r="P323" s="107"/>
      <c r="Q323" s="107"/>
      <c r="R323" s="107"/>
      <c r="S323" s="107"/>
      <c r="T323" s="107"/>
      <c r="U323" s="107"/>
      <c r="V323" s="107"/>
      <c r="W323" s="107"/>
      <c r="X323" s="107"/>
      <c r="Y323" s="107"/>
      <c r="Z323" s="107"/>
    </row>
    <row r="324" ht="14.25" customHeight="1">
      <c r="A324" s="110">
        <v>45512.0</v>
      </c>
      <c r="B324" s="163" t="s">
        <v>88</v>
      </c>
      <c r="C324" s="164" t="s">
        <v>347</v>
      </c>
      <c r="D324" s="164" t="s">
        <v>54</v>
      </c>
      <c r="E324" s="164" t="s">
        <v>110</v>
      </c>
      <c r="F324" s="168">
        <v>400000.0</v>
      </c>
      <c r="G324" s="109"/>
      <c r="H324" s="107"/>
      <c r="I324" s="107" t="str">
        <f t="shared" si="6"/>
        <v>NOT PAID</v>
      </c>
      <c r="J324" s="107"/>
      <c r="K324" s="107"/>
      <c r="L324" s="107"/>
      <c r="M324" s="107"/>
      <c r="N324" s="107"/>
      <c r="O324" s="107"/>
      <c r="P324" s="107"/>
      <c r="Q324" s="107"/>
      <c r="R324" s="107"/>
      <c r="S324" s="107"/>
      <c r="T324" s="107"/>
      <c r="U324" s="107"/>
      <c r="V324" s="107"/>
      <c r="W324" s="107"/>
      <c r="X324" s="107"/>
      <c r="Y324" s="107"/>
      <c r="Z324" s="107"/>
    </row>
    <row r="325" ht="14.25" customHeight="1">
      <c r="A325" s="110">
        <v>45512.0</v>
      </c>
      <c r="B325" s="111" t="s">
        <v>195</v>
      </c>
      <c r="C325" s="111" t="s">
        <v>196</v>
      </c>
      <c r="D325" s="226" t="s">
        <v>54</v>
      </c>
      <c r="E325" s="226" t="s">
        <v>110</v>
      </c>
      <c r="F325" s="113">
        <v>418381.86</v>
      </c>
      <c r="G325" s="109"/>
      <c r="H325" s="107"/>
      <c r="I325" s="107" t="str">
        <f t="shared" si="6"/>
        <v>NOT PAID</v>
      </c>
      <c r="J325" s="107"/>
      <c r="K325" s="107"/>
      <c r="L325" s="107"/>
      <c r="M325" s="107"/>
      <c r="N325" s="107"/>
      <c r="O325" s="107"/>
      <c r="P325" s="107"/>
      <c r="Q325" s="107"/>
      <c r="R325" s="107"/>
      <c r="S325" s="107"/>
      <c r="T325" s="107"/>
      <c r="U325" s="107"/>
      <c r="V325" s="107"/>
      <c r="W325" s="107"/>
      <c r="X325" s="107"/>
      <c r="Y325" s="107"/>
      <c r="Z325" s="107"/>
    </row>
    <row r="326" ht="14.25" customHeight="1">
      <c r="A326" s="110">
        <v>45512.0</v>
      </c>
      <c r="B326" s="111" t="s">
        <v>108</v>
      </c>
      <c r="C326" s="111" t="s">
        <v>109</v>
      </c>
      <c r="D326" s="111" t="s">
        <v>67</v>
      </c>
      <c r="E326" s="226" t="s">
        <v>110</v>
      </c>
      <c r="F326" s="113">
        <v>302529.21</v>
      </c>
      <c r="G326" s="109"/>
      <c r="H326" s="107"/>
      <c r="I326" s="107" t="str">
        <f t="shared" si="6"/>
        <v>NOT PAID</v>
      </c>
      <c r="J326" s="107"/>
      <c r="K326" s="107"/>
      <c r="L326" s="107"/>
      <c r="M326" s="107"/>
      <c r="N326" s="107"/>
      <c r="O326" s="107"/>
      <c r="P326" s="107"/>
      <c r="Q326" s="107"/>
      <c r="R326" s="107"/>
      <c r="S326" s="107"/>
      <c r="T326" s="107"/>
      <c r="U326" s="107"/>
      <c r="V326" s="107"/>
      <c r="W326" s="107"/>
      <c r="X326" s="107"/>
      <c r="Y326" s="107"/>
      <c r="Z326" s="107"/>
    </row>
    <row r="327" ht="14.25" customHeight="1">
      <c r="A327" s="107"/>
      <c r="B327" s="107"/>
      <c r="C327" s="107"/>
      <c r="D327" s="107"/>
      <c r="E327" s="107"/>
      <c r="F327" s="109"/>
      <c r="G327" s="109"/>
      <c r="H327" s="107"/>
      <c r="I327" s="107" t="str">
        <f t="shared" si="6"/>
        <v>FULLY PAID</v>
      </c>
      <c r="J327" s="107"/>
      <c r="K327" s="107"/>
      <c r="L327" s="107"/>
      <c r="M327" s="107"/>
      <c r="N327" s="107"/>
      <c r="O327" s="107"/>
      <c r="P327" s="107"/>
      <c r="Q327" s="107"/>
      <c r="R327" s="107"/>
      <c r="S327" s="107"/>
      <c r="T327" s="107"/>
      <c r="U327" s="107"/>
      <c r="V327" s="107"/>
      <c r="W327" s="107"/>
      <c r="X327" s="107"/>
      <c r="Y327" s="107"/>
      <c r="Z327" s="107"/>
    </row>
    <row r="328" ht="14.25" customHeight="1">
      <c r="A328" s="107"/>
      <c r="B328" s="107"/>
      <c r="C328" s="108">
        <v>45513.0</v>
      </c>
      <c r="D328" s="107"/>
      <c r="E328" s="107"/>
      <c r="F328" s="109"/>
      <c r="G328" s="109"/>
      <c r="H328" s="107"/>
      <c r="I328" s="107" t="str">
        <f t="shared" si="6"/>
        <v>FULLY PAID</v>
      </c>
      <c r="J328" s="107"/>
      <c r="K328" s="107"/>
      <c r="L328" s="107"/>
      <c r="M328" s="107"/>
      <c r="N328" s="107"/>
      <c r="O328" s="107"/>
      <c r="P328" s="107"/>
      <c r="Q328" s="107"/>
      <c r="R328" s="107"/>
      <c r="S328" s="107"/>
      <c r="T328" s="107"/>
      <c r="U328" s="107"/>
      <c r="V328" s="107"/>
      <c r="W328" s="107"/>
      <c r="X328" s="107"/>
      <c r="Y328" s="107"/>
      <c r="Z328" s="107"/>
    </row>
    <row r="329" ht="14.25" customHeight="1">
      <c r="A329" s="110">
        <v>45513.0</v>
      </c>
      <c r="B329" s="118" t="s">
        <v>348</v>
      </c>
      <c r="C329" s="119" t="s">
        <v>349</v>
      </c>
      <c r="D329" s="119" t="s">
        <v>54</v>
      </c>
      <c r="E329" s="219" t="s">
        <v>70</v>
      </c>
      <c r="F329" s="227">
        <v>164274.0</v>
      </c>
      <c r="G329" s="113">
        <v>164274.0</v>
      </c>
      <c r="H329" s="111" t="s">
        <v>87</v>
      </c>
      <c r="I329" s="107" t="str">
        <f t="shared" si="6"/>
        <v>FULLY PAID</v>
      </c>
      <c r="J329" s="107"/>
      <c r="K329" s="107"/>
      <c r="L329" s="107"/>
      <c r="M329" s="107"/>
      <c r="N329" s="107"/>
      <c r="O329" s="107"/>
      <c r="P329" s="107"/>
      <c r="Q329" s="107"/>
      <c r="R329" s="107"/>
      <c r="S329" s="107"/>
      <c r="T329" s="107"/>
      <c r="U329" s="107"/>
      <c r="V329" s="107"/>
      <c r="W329" s="107"/>
      <c r="X329" s="107"/>
      <c r="Y329" s="107"/>
      <c r="Z329" s="107"/>
    </row>
    <row r="330" ht="14.25" customHeight="1">
      <c r="A330" s="110">
        <v>45513.0</v>
      </c>
      <c r="B330" s="163" t="s">
        <v>162</v>
      </c>
      <c r="C330" s="164" t="s">
        <v>163</v>
      </c>
      <c r="D330" s="164" t="s">
        <v>54</v>
      </c>
      <c r="E330" s="207" t="s">
        <v>80</v>
      </c>
      <c r="F330" s="228">
        <v>139354.0</v>
      </c>
      <c r="G330" s="109"/>
      <c r="H330" s="111" t="s">
        <v>350</v>
      </c>
      <c r="I330" s="107" t="str">
        <f t="shared" si="6"/>
        <v>NOT PAID</v>
      </c>
      <c r="J330" s="107"/>
      <c r="K330" s="107"/>
      <c r="L330" s="107"/>
      <c r="M330" s="107"/>
      <c r="N330" s="107"/>
      <c r="O330" s="107"/>
      <c r="P330" s="107"/>
      <c r="Q330" s="107"/>
      <c r="R330" s="107"/>
      <c r="S330" s="107"/>
      <c r="T330" s="107"/>
      <c r="U330" s="107"/>
      <c r="V330" s="107"/>
      <c r="W330" s="107"/>
      <c r="X330" s="107"/>
      <c r="Y330" s="107"/>
      <c r="Z330" s="107"/>
    </row>
    <row r="331" ht="14.25" customHeight="1">
      <c r="A331" s="110">
        <v>45513.0</v>
      </c>
      <c r="B331" s="163" t="s">
        <v>209</v>
      </c>
      <c r="C331" s="164" t="s">
        <v>72</v>
      </c>
      <c r="D331" s="164" t="s">
        <v>54</v>
      </c>
      <c r="E331" s="207" t="s">
        <v>70</v>
      </c>
      <c r="F331" s="228">
        <v>440828.0</v>
      </c>
      <c r="G331" s="109"/>
      <c r="H331" s="111" t="s">
        <v>351</v>
      </c>
      <c r="I331" s="107" t="str">
        <f t="shared" si="6"/>
        <v>NOT PAID</v>
      </c>
      <c r="J331" s="107"/>
      <c r="K331" s="107"/>
      <c r="L331" s="107"/>
      <c r="M331" s="107"/>
      <c r="N331" s="107"/>
      <c r="O331" s="107"/>
      <c r="P331" s="107"/>
      <c r="Q331" s="107"/>
      <c r="R331" s="107"/>
      <c r="S331" s="107"/>
      <c r="T331" s="107"/>
      <c r="U331" s="107"/>
      <c r="V331" s="107"/>
      <c r="W331" s="107"/>
      <c r="X331" s="107"/>
      <c r="Y331" s="107"/>
      <c r="Z331" s="107"/>
    </row>
    <row r="332" ht="14.25" customHeight="1">
      <c r="A332" s="110">
        <v>45513.0</v>
      </c>
      <c r="B332" s="163" t="s">
        <v>71</v>
      </c>
      <c r="C332" s="164" t="s">
        <v>72</v>
      </c>
      <c r="D332" s="164" t="s">
        <v>54</v>
      </c>
      <c r="E332" s="207" t="s">
        <v>158</v>
      </c>
      <c r="F332" s="229">
        <v>2016333.0</v>
      </c>
      <c r="G332" s="109"/>
      <c r="H332" s="111" t="s">
        <v>351</v>
      </c>
      <c r="I332" s="107" t="str">
        <f t="shared" si="6"/>
        <v>NOT PAID</v>
      </c>
      <c r="J332" s="107"/>
      <c r="K332" s="107"/>
      <c r="L332" s="107"/>
      <c r="M332" s="107"/>
      <c r="N332" s="107"/>
      <c r="O332" s="107"/>
      <c r="P332" s="107"/>
      <c r="Q332" s="107"/>
      <c r="R332" s="107"/>
      <c r="S332" s="107"/>
      <c r="T332" s="107"/>
      <c r="U332" s="107"/>
      <c r="V332" s="107"/>
      <c r="W332" s="107"/>
      <c r="X332" s="107"/>
      <c r="Y332" s="107"/>
      <c r="Z332" s="107"/>
    </row>
    <row r="333" ht="14.25" customHeight="1">
      <c r="A333" s="110">
        <v>45513.0</v>
      </c>
      <c r="B333" s="163" t="s">
        <v>111</v>
      </c>
      <c r="C333" s="164" t="s">
        <v>112</v>
      </c>
      <c r="D333" s="164" t="s">
        <v>54</v>
      </c>
      <c r="E333" s="207" t="s">
        <v>80</v>
      </c>
      <c r="F333" s="228">
        <v>17924.0</v>
      </c>
      <c r="G333" s="113">
        <v>8000.0</v>
      </c>
      <c r="H333" s="111" t="s">
        <v>352</v>
      </c>
      <c r="I333" s="107" t="str">
        <f t="shared" si="6"/>
        <v>PARTIALLY PAID</v>
      </c>
      <c r="J333" s="107"/>
      <c r="K333" s="107"/>
      <c r="L333" s="107"/>
      <c r="M333" s="107"/>
      <c r="N333" s="107"/>
      <c r="O333" s="107"/>
      <c r="P333" s="107"/>
      <c r="Q333" s="107"/>
      <c r="R333" s="107"/>
      <c r="S333" s="107"/>
      <c r="T333" s="107"/>
      <c r="U333" s="107"/>
      <c r="V333" s="107"/>
      <c r="W333" s="107"/>
      <c r="X333" s="107"/>
      <c r="Y333" s="107"/>
      <c r="Z333" s="107"/>
    </row>
    <row r="334" ht="14.25" customHeight="1">
      <c r="A334" s="110">
        <v>45513.0</v>
      </c>
      <c r="B334" s="163" t="s">
        <v>152</v>
      </c>
      <c r="C334" s="164" t="s">
        <v>153</v>
      </c>
      <c r="D334" s="164" t="s">
        <v>67</v>
      </c>
      <c r="E334" s="207" t="s">
        <v>154</v>
      </c>
      <c r="F334" s="228">
        <v>94283.0</v>
      </c>
      <c r="G334" s="109"/>
      <c r="H334" s="111" t="s">
        <v>353</v>
      </c>
      <c r="I334" s="107" t="str">
        <f t="shared" si="6"/>
        <v>NOT PAID</v>
      </c>
      <c r="J334" s="107"/>
      <c r="K334" s="107"/>
      <c r="L334" s="107"/>
      <c r="M334" s="107"/>
      <c r="N334" s="107"/>
      <c r="O334" s="107"/>
      <c r="P334" s="107"/>
      <c r="Q334" s="107"/>
      <c r="R334" s="107"/>
      <c r="S334" s="107"/>
      <c r="T334" s="107"/>
      <c r="U334" s="107"/>
      <c r="V334" s="107"/>
      <c r="W334" s="107"/>
      <c r="X334" s="107"/>
      <c r="Y334" s="107"/>
      <c r="Z334" s="107"/>
    </row>
    <row r="335" ht="14.25" customHeight="1">
      <c r="A335" s="110">
        <v>45513.0</v>
      </c>
      <c r="B335" s="163" t="s">
        <v>172</v>
      </c>
      <c r="C335" s="164" t="s">
        <v>79</v>
      </c>
      <c r="D335" s="164" t="s">
        <v>54</v>
      </c>
      <c r="E335" s="207" t="s">
        <v>80</v>
      </c>
      <c r="F335" s="228">
        <v>100000.0</v>
      </c>
      <c r="G335" s="109"/>
      <c r="H335" s="111" t="s">
        <v>61</v>
      </c>
      <c r="I335" s="107" t="str">
        <f t="shared" si="6"/>
        <v>NOT PAID</v>
      </c>
      <c r="J335" s="107"/>
      <c r="K335" s="107"/>
      <c r="L335" s="107"/>
      <c r="M335" s="107"/>
      <c r="N335" s="107"/>
      <c r="O335" s="107"/>
      <c r="P335" s="107"/>
      <c r="Q335" s="107"/>
      <c r="R335" s="107"/>
      <c r="S335" s="107"/>
      <c r="T335" s="107"/>
      <c r="U335" s="107"/>
      <c r="V335" s="107"/>
      <c r="W335" s="107"/>
      <c r="X335" s="107"/>
      <c r="Y335" s="107"/>
      <c r="Z335" s="107"/>
    </row>
    <row r="336" ht="14.25" customHeight="1">
      <c r="A336" s="110">
        <v>45513.0</v>
      </c>
      <c r="B336" s="212" t="s">
        <v>266</v>
      </c>
      <c r="C336" s="163" t="s">
        <v>79</v>
      </c>
      <c r="D336" s="164" t="s">
        <v>54</v>
      </c>
      <c r="E336" s="207" t="s">
        <v>80</v>
      </c>
      <c r="F336" s="228">
        <v>230000.0</v>
      </c>
      <c r="G336" s="109"/>
      <c r="H336" s="111" t="s">
        <v>61</v>
      </c>
      <c r="I336" s="107" t="str">
        <f t="shared" si="6"/>
        <v>NOT PAID</v>
      </c>
      <c r="J336" s="107"/>
      <c r="K336" s="107"/>
      <c r="L336" s="107"/>
      <c r="M336" s="107"/>
      <c r="N336" s="107"/>
      <c r="O336" s="107"/>
      <c r="P336" s="107"/>
      <c r="Q336" s="107"/>
      <c r="R336" s="107"/>
      <c r="S336" s="107"/>
      <c r="T336" s="107"/>
      <c r="U336" s="107"/>
      <c r="V336" s="107"/>
      <c r="W336" s="107"/>
      <c r="X336" s="107"/>
      <c r="Y336" s="107"/>
      <c r="Z336" s="107"/>
    </row>
    <row r="337" ht="14.25" customHeight="1">
      <c r="A337" s="110">
        <v>45513.0</v>
      </c>
      <c r="B337" s="118" t="s">
        <v>253</v>
      </c>
      <c r="C337" s="164" t="s">
        <v>58</v>
      </c>
      <c r="D337" s="164" t="s">
        <v>75</v>
      </c>
      <c r="E337" s="207" t="s">
        <v>70</v>
      </c>
      <c r="F337" s="228">
        <v>760725.0</v>
      </c>
      <c r="G337" s="113">
        <v>200000.0</v>
      </c>
      <c r="H337" s="111" t="s">
        <v>354</v>
      </c>
      <c r="I337" s="107" t="str">
        <f t="shared" si="6"/>
        <v>PARTIALLY PAID</v>
      </c>
      <c r="J337" s="107"/>
      <c r="K337" s="107"/>
      <c r="L337" s="107"/>
      <c r="M337" s="107"/>
      <c r="N337" s="107"/>
      <c r="O337" s="107"/>
      <c r="P337" s="107"/>
      <c r="Q337" s="107"/>
      <c r="R337" s="107"/>
      <c r="S337" s="107"/>
      <c r="T337" s="107"/>
      <c r="U337" s="107"/>
      <c r="V337" s="107"/>
      <c r="W337" s="107"/>
      <c r="X337" s="107"/>
      <c r="Y337" s="107"/>
      <c r="Z337" s="107"/>
    </row>
    <row r="338" ht="14.25" customHeight="1">
      <c r="A338" s="110">
        <v>45513.0</v>
      </c>
      <c r="B338" s="194" t="s">
        <v>300</v>
      </c>
      <c r="C338" s="164" t="s">
        <v>355</v>
      </c>
      <c r="D338" s="195" t="s">
        <v>54</v>
      </c>
      <c r="E338" s="195" t="s">
        <v>199</v>
      </c>
      <c r="F338" s="168">
        <v>500000.0</v>
      </c>
      <c r="G338" s="109"/>
      <c r="H338" s="111" t="s">
        <v>356</v>
      </c>
      <c r="I338" s="107" t="str">
        <f t="shared" si="6"/>
        <v>NOT PAID</v>
      </c>
      <c r="J338" s="107"/>
      <c r="K338" s="107"/>
      <c r="L338" s="107"/>
      <c r="M338" s="107"/>
      <c r="N338" s="107"/>
      <c r="O338" s="107"/>
      <c r="P338" s="107"/>
      <c r="Q338" s="107"/>
      <c r="R338" s="107"/>
      <c r="S338" s="107"/>
      <c r="T338" s="107"/>
      <c r="U338" s="107"/>
      <c r="V338" s="107"/>
      <c r="W338" s="107"/>
      <c r="X338" s="107"/>
      <c r="Y338" s="107"/>
      <c r="Z338" s="107"/>
    </row>
    <row r="339" ht="14.25" customHeight="1">
      <c r="A339" s="110">
        <v>45513.0</v>
      </c>
      <c r="B339" s="163" t="s">
        <v>108</v>
      </c>
      <c r="C339" s="164" t="s">
        <v>109</v>
      </c>
      <c r="D339" s="164" t="s">
        <v>67</v>
      </c>
      <c r="E339" s="164" t="s">
        <v>110</v>
      </c>
      <c r="F339" s="230">
        <v>302529.21</v>
      </c>
      <c r="G339" s="109"/>
      <c r="H339" s="111" t="s">
        <v>357</v>
      </c>
      <c r="I339" s="107" t="str">
        <f t="shared" si="6"/>
        <v>NOT PAID</v>
      </c>
      <c r="J339" s="107"/>
      <c r="K339" s="107"/>
      <c r="L339" s="107"/>
      <c r="M339" s="107"/>
      <c r="N339" s="107"/>
      <c r="O339" s="107"/>
      <c r="P339" s="107"/>
      <c r="Q339" s="107"/>
      <c r="R339" s="107"/>
      <c r="S339" s="107"/>
      <c r="T339" s="107"/>
      <c r="U339" s="107"/>
      <c r="V339" s="107"/>
      <c r="W339" s="107"/>
      <c r="X339" s="107"/>
      <c r="Y339" s="107"/>
      <c r="Z339" s="107"/>
    </row>
    <row r="340" ht="14.25" customHeight="1">
      <c r="A340" s="110">
        <v>45513.0</v>
      </c>
      <c r="B340" s="163" t="s">
        <v>195</v>
      </c>
      <c r="C340" s="164" t="s">
        <v>196</v>
      </c>
      <c r="D340" s="164" t="s">
        <v>54</v>
      </c>
      <c r="E340" s="164" t="s">
        <v>110</v>
      </c>
      <c r="F340" s="230">
        <v>418381.86</v>
      </c>
      <c r="G340" s="109"/>
      <c r="H340" s="111" t="s">
        <v>358</v>
      </c>
      <c r="I340" s="107" t="str">
        <f t="shared" si="6"/>
        <v>NOT PAID</v>
      </c>
      <c r="J340" s="107"/>
      <c r="K340" s="107"/>
      <c r="L340" s="107"/>
      <c r="M340" s="107"/>
      <c r="N340" s="107"/>
      <c r="O340" s="107"/>
      <c r="P340" s="107"/>
      <c r="Q340" s="107"/>
      <c r="R340" s="107"/>
      <c r="S340" s="107"/>
      <c r="T340" s="107"/>
      <c r="U340" s="107"/>
      <c r="V340" s="107"/>
      <c r="W340" s="107"/>
      <c r="X340" s="107"/>
      <c r="Y340" s="107"/>
      <c r="Z340" s="107"/>
    </row>
    <row r="341" ht="14.25" customHeight="1">
      <c r="A341" s="110">
        <v>45513.0</v>
      </c>
      <c r="B341" s="163" t="s">
        <v>317</v>
      </c>
      <c r="C341" s="164" t="s">
        <v>318</v>
      </c>
      <c r="D341" s="164" t="s">
        <v>319</v>
      </c>
      <c r="E341" s="164" t="s">
        <v>359</v>
      </c>
      <c r="F341" s="230">
        <v>280392.5</v>
      </c>
      <c r="G341" s="109"/>
      <c r="H341" s="111" t="s">
        <v>360</v>
      </c>
      <c r="I341" s="107" t="str">
        <f t="shared" si="6"/>
        <v>NOT PAID</v>
      </c>
      <c r="J341" s="107"/>
      <c r="K341" s="107"/>
      <c r="L341" s="107"/>
      <c r="M341" s="107"/>
      <c r="N341" s="107"/>
      <c r="O341" s="107"/>
      <c r="P341" s="107"/>
      <c r="Q341" s="107"/>
      <c r="R341" s="107"/>
      <c r="S341" s="107"/>
      <c r="T341" s="107"/>
      <c r="U341" s="107"/>
      <c r="V341" s="107"/>
      <c r="W341" s="107"/>
      <c r="X341" s="107"/>
      <c r="Y341" s="107"/>
      <c r="Z341" s="107"/>
    </row>
    <row r="342" ht="14.25" customHeight="1">
      <c r="A342" s="110">
        <v>45513.0</v>
      </c>
      <c r="B342" s="165" t="s">
        <v>135</v>
      </c>
      <c r="C342" s="166" t="s">
        <v>136</v>
      </c>
      <c r="D342" s="166" t="s">
        <v>54</v>
      </c>
      <c r="E342" s="166" t="s">
        <v>70</v>
      </c>
      <c r="F342" s="231">
        <v>931059.0</v>
      </c>
      <c r="G342" s="109"/>
      <c r="H342" s="111" t="s">
        <v>361</v>
      </c>
      <c r="I342" s="107" t="str">
        <f t="shared" si="6"/>
        <v>NOT PAID</v>
      </c>
      <c r="J342" s="107"/>
      <c r="K342" s="107"/>
      <c r="L342" s="107"/>
      <c r="M342" s="107"/>
      <c r="N342" s="107"/>
      <c r="O342" s="107"/>
      <c r="P342" s="107"/>
      <c r="Q342" s="107"/>
      <c r="R342" s="107"/>
      <c r="S342" s="107"/>
      <c r="T342" s="107"/>
      <c r="U342" s="107"/>
      <c r="V342" s="107"/>
      <c r="W342" s="107"/>
      <c r="X342" s="107"/>
      <c r="Y342" s="107"/>
      <c r="Z342" s="107"/>
    </row>
    <row r="343" ht="14.25" customHeight="1">
      <c r="A343" s="110">
        <v>45513.0</v>
      </c>
      <c r="B343" s="118" t="s">
        <v>338</v>
      </c>
      <c r="C343" s="119" t="s">
        <v>339</v>
      </c>
      <c r="D343" s="119" t="s">
        <v>54</v>
      </c>
      <c r="E343" s="119" t="s">
        <v>359</v>
      </c>
      <c r="F343" s="160">
        <v>123283.0</v>
      </c>
      <c r="G343" s="109"/>
      <c r="H343" s="111" t="s">
        <v>362</v>
      </c>
      <c r="I343" s="107" t="str">
        <f t="shared" si="6"/>
        <v>NOT PAID</v>
      </c>
      <c r="J343" s="107"/>
      <c r="K343" s="107"/>
      <c r="L343" s="107"/>
      <c r="M343" s="107"/>
      <c r="N343" s="107"/>
      <c r="O343" s="107"/>
      <c r="P343" s="107"/>
      <c r="Q343" s="107"/>
      <c r="R343" s="107"/>
      <c r="S343" s="107"/>
      <c r="T343" s="107"/>
      <c r="U343" s="107"/>
      <c r="V343" s="107"/>
      <c r="W343" s="107"/>
      <c r="X343" s="107"/>
      <c r="Y343" s="107"/>
      <c r="Z343" s="107"/>
    </row>
    <row r="344" ht="14.25" customHeight="1">
      <c r="A344" s="110">
        <v>45513.0</v>
      </c>
      <c r="B344" s="232" t="s">
        <v>204</v>
      </c>
      <c r="C344" s="233" t="s">
        <v>205</v>
      </c>
      <c r="D344" s="233" t="s">
        <v>59</v>
      </c>
      <c r="E344" s="233" t="s">
        <v>70</v>
      </c>
      <c r="F344" s="234">
        <v>21116.0</v>
      </c>
      <c r="G344" s="109"/>
      <c r="H344" s="111" t="s">
        <v>61</v>
      </c>
      <c r="I344" s="107" t="str">
        <f t="shared" si="6"/>
        <v>NOT PAID</v>
      </c>
      <c r="J344" s="107"/>
      <c r="K344" s="107"/>
      <c r="L344" s="107"/>
      <c r="M344" s="107"/>
      <c r="N344" s="107"/>
      <c r="O344" s="107"/>
      <c r="P344" s="107"/>
      <c r="Q344" s="107"/>
      <c r="R344" s="107"/>
      <c r="S344" s="107"/>
      <c r="T344" s="107"/>
      <c r="U344" s="107"/>
      <c r="V344" s="107"/>
      <c r="W344" s="107"/>
      <c r="X344" s="107"/>
      <c r="Y344" s="107"/>
      <c r="Z344" s="107"/>
    </row>
    <row r="345" ht="14.25" customHeight="1">
      <c r="A345" s="107"/>
      <c r="B345" s="107"/>
      <c r="C345" s="107"/>
      <c r="D345" s="107"/>
      <c r="E345" s="107"/>
      <c r="F345" s="109"/>
      <c r="G345" s="109"/>
      <c r="H345" s="107"/>
      <c r="I345" s="107" t="str">
        <f t="shared" si="6"/>
        <v>FULLY PAID</v>
      </c>
      <c r="J345" s="107"/>
      <c r="K345" s="107"/>
      <c r="L345" s="107"/>
      <c r="M345" s="107"/>
      <c r="N345" s="107"/>
      <c r="O345" s="107"/>
      <c r="P345" s="107"/>
      <c r="Q345" s="107"/>
      <c r="R345" s="107"/>
      <c r="S345" s="107"/>
      <c r="T345" s="107"/>
      <c r="U345" s="107"/>
      <c r="V345" s="107"/>
      <c r="W345" s="107"/>
      <c r="X345" s="107"/>
      <c r="Y345" s="107"/>
      <c r="Z345" s="107"/>
    </row>
    <row r="346" ht="14.25" customHeight="1">
      <c r="A346" s="107"/>
      <c r="B346" s="107"/>
      <c r="C346" s="107"/>
      <c r="D346" s="107"/>
      <c r="E346" s="107"/>
      <c r="F346" s="109"/>
      <c r="G346" s="109"/>
      <c r="H346" s="107"/>
      <c r="I346" s="107" t="str">
        <f t="shared" si="6"/>
        <v>FULLY PAID</v>
      </c>
      <c r="J346" s="107"/>
      <c r="K346" s="107"/>
      <c r="L346" s="107"/>
      <c r="M346" s="107"/>
      <c r="N346" s="107"/>
      <c r="O346" s="107"/>
      <c r="P346" s="107"/>
      <c r="Q346" s="107"/>
      <c r="R346" s="107"/>
      <c r="S346" s="107"/>
      <c r="T346" s="107"/>
      <c r="U346" s="107"/>
      <c r="V346" s="107"/>
      <c r="W346" s="107"/>
      <c r="X346" s="107"/>
      <c r="Y346" s="107"/>
      <c r="Z346" s="107"/>
    </row>
    <row r="347" ht="14.25" customHeight="1">
      <c r="A347" s="107"/>
      <c r="B347" s="107"/>
      <c r="C347" s="107"/>
      <c r="D347" s="107"/>
      <c r="E347" s="107"/>
      <c r="F347" s="109"/>
      <c r="G347" s="109"/>
      <c r="H347" s="107"/>
      <c r="I347" s="107" t="str">
        <f t="shared" si="6"/>
        <v>FULLY PAID</v>
      </c>
      <c r="J347" s="107"/>
      <c r="K347" s="107"/>
      <c r="L347" s="107"/>
      <c r="M347" s="107"/>
      <c r="N347" s="107"/>
      <c r="O347" s="107"/>
      <c r="P347" s="107"/>
      <c r="Q347" s="107"/>
      <c r="R347" s="107"/>
      <c r="S347" s="107"/>
      <c r="T347" s="107"/>
      <c r="U347" s="107"/>
      <c r="V347" s="107"/>
      <c r="W347" s="107"/>
      <c r="X347" s="107"/>
      <c r="Y347" s="107"/>
      <c r="Z347" s="107"/>
    </row>
    <row r="348" ht="14.25" customHeight="1">
      <c r="A348" s="110">
        <v>45513.0</v>
      </c>
      <c r="B348" s="111" t="s">
        <v>201</v>
      </c>
      <c r="C348" s="111" t="s">
        <v>202</v>
      </c>
      <c r="D348" s="111" t="s">
        <v>67</v>
      </c>
      <c r="E348" s="111" t="s">
        <v>199</v>
      </c>
      <c r="F348" s="113" t="s">
        <v>203</v>
      </c>
      <c r="G348" s="109"/>
      <c r="H348" s="111" t="s">
        <v>363</v>
      </c>
      <c r="I348" s="107" t="str">
        <f t="shared" si="6"/>
        <v>NOT PAID</v>
      </c>
      <c r="J348" s="107"/>
      <c r="K348" s="107"/>
      <c r="L348" s="107"/>
      <c r="M348" s="107"/>
      <c r="N348" s="107"/>
      <c r="O348" s="107"/>
      <c r="P348" s="107"/>
      <c r="Q348" s="107"/>
      <c r="R348" s="107"/>
      <c r="S348" s="107"/>
      <c r="T348" s="107"/>
      <c r="U348" s="107"/>
      <c r="V348" s="107"/>
      <c r="W348" s="107"/>
      <c r="X348" s="107"/>
      <c r="Y348" s="107"/>
      <c r="Z348" s="107"/>
    </row>
    <row r="349" ht="14.25" customHeight="1">
      <c r="A349" s="110">
        <v>45513.0</v>
      </c>
      <c r="B349" s="111" t="s">
        <v>88</v>
      </c>
      <c r="C349" s="111" t="s">
        <v>347</v>
      </c>
      <c r="D349" s="111" t="s">
        <v>54</v>
      </c>
      <c r="E349" s="111" t="s">
        <v>110</v>
      </c>
      <c r="F349" s="113">
        <v>400000.0</v>
      </c>
      <c r="G349" s="109"/>
      <c r="H349" s="111" t="s">
        <v>364</v>
      </c>
      <c r="I349" s="107" t="str">
        <f t="shared" si="6"/>
        <v>NOT PAID</v>
      </c>
      <c r="J349" s="107"/>
      <c r="K349" s="107"/>
      <c r="L349" s="107"/>
      <c r="M349" s="107"/>
      <c r="N349" s="107"/>
      <c r="O349" s="107"/>
      <c r="P349" s="107"/>
      <c r="Q349" s="107"/>
      <c r="R349" s="107"/>
      <c r="S349" s="107"/>
      <c r="T349" s="107"/>
      <c r="U349" s="107"/>
      <c r="V349" s="107"/>
      <c r="W349" s="107"/>
      <c r="X349" s="107"/>
      <c r="Y349" s="107"/>
      <c r="Z349" s="107"/>
    </row>
    <row r="350" ht="14.25" customHeight="1">
      <c r="A350" s="107"/>
      <c r="B350" s="107"/>
      <c r="C350" s="107"/>
      <c r="D350" s="107"/>
      <c r="E350" s="107"/>
      <c r="F350" s="109"/>
      <c r="G350" s="109"/>
      <c r="H350" s="107"/>
      <c r="I350" s="107" t="str">
        <f t="shared" si="6"/>
        <v>FULLY PAID</v>
      </c>
      <c r="J350" s="107"/>
      <c r="K350" s="107"/>
      <c r="L350" s="107"/>
      <c r="M350" s="107"/>
      <c r="N350" s="107"/>
      <c r="O350" s="107"/>
      <c r="P350" s="107"/>
      <c r="Q350" s="107"/>
      <c r="R350" s="107"/>
      <c r="S350" s="107"/>
      <c r="T350" s="107"/>
      <c r="U350" s="107"/>
      <c r="V350" s="107"/>
      <c r="W350" s="107"/>
      <c r="X350" s="107"/>
      <c r="Y350" s="107"/>
      <c r="Z350" s="107"/>
    </row>
    <row r="351" ht="14.25" customHeight="1">
      <c r="A351" s="107"/>
      <c r="B351" s="107"/>
      <c r="C351" s="108">
        <v>45573.0</v>
      </c>
      <c r="D351" s="107"/>
      <c r="E351" s="107"/>
      <c r="F351" s="109"/>
      <c r="G351" s="109"/>
      <c r="H351" s="107"/>
      <c r="I351" s="107" t="str">
        <f t="shared" si="6"/>
        <v>FULLY PAID</v>
      </c>
      <c r="J351" s="107"/>
      <c r="K351" s="107"/>
      <c r="L351" s="107"/>
      <c r="M351" s="107"/>
      <c r="N351" s="107"/>
      <c r="O351" s="107"/>
      <c r="P351" s="107"/>
      <c r="Q351" s="107"/>
      <c r="R351" s="107"/>
      <c r="S351" s="107"/>
      <c r="T351" s="107"/>
      <c r="U351" s="107"/>
      <c r="V351" s="107"/>
      <c r="W351" s="107"/>
      <c r="X351" s="107"/>
      <c r="Y351" s="107"/>
      <c r="Z351" s="107"/>
    </row>
    <row r="352" ht="14.25" customHeight="1">
      <c r="A352" s="110">
        <v>45514.0</v>
      </c>
      <c r="B352" s="235" t="s">
        <v>365</v>
      </c>
      <c r="C352" s="236" t="s">
        <v>366</v>
      </c>
      <c r="D352" s="236" t="s">
        <v>54</v>
      </c>
      <c r="E352" s="111" t="s">
        <v>367</v>
      </c>
      <c r="F352" s="113">
        <v>37449.0</v>
      </c>
      <c r="G352" s="113">
        <v>41050.0</v>
      </c>
      <c r="H352" s="111" t="s">
        <v>175</v>
      </c>
      <c r="I352" s="107" t="str">
        <f t="shared" si="6"/>
        <v>FULLY PAID</v>
      </c>
      <c r="J352" s="107"/>
      <c r="K352" s="107"/>
      <c r="L352" s="107"/>
      <c r="M352" s="107"/>
      <c r="N352" s="107"/>
      <c r="O352" s="107"/>
      <c r="P352" s="107"/>
      <c r="Q352" s="107"/>
      <c r="R352" s="107"/>
      <c r="S352" s="107"/>
      <c r="T352" s="107"/>
      <c r="U352" s="107"/>
      <c r="V352" s="107"/>
      <c r="W352" s="107"/>
      <c r="X352" s="107"/>
      <c r="Y352" s="107"/>
      <c r="Z352" s="107"/>
    </row>
    <row r="353" ht="14.25" customHeight="1">
      <c r="A353" s="110">
        <v>45514.0</v>
      </c>
      <c r="B353" s="235" t="s">
        <v>368</v>
      </c>
      <c r="C353" s="236" t="s">
        <v>369</v>
      </c>
      <c r="D353" s="236" t="s">
        <v>54</v>
      </c>
      <c r="E353" s="111" t="s">
        <v>367</v>
      </c>
      <c r="F353" s="113">
        <v>23865.0</v>
      </c>
      <c r="G353" s="109"/>
      <c r="H353" s="111" t="s">
        <v>370</v>
      </c>
      <c r="I353" s="107" t="str">
        <f t="shared" si="6"/>
        <v>NOT PAID</v>
      </c>
      <c r="J353" s="107"/>
      <c r="K353" s="107"/>
      <c r="L353" s="107"/>
      <c r="M353" s="107"/>
      <c r="N353" s="107"/>
      <c r="O353" s="107"/>
      <c r="P353" s="107"/>
      <c r="Q353" s="107"/>
      <c r="R353" s="107"/>
      <c r="S353" s="107"/>
      <c r="T353" s="107"/>
      <c r="U353" s="107"/>
      <c r="V353" s="107"/>
      <c r="W353" s="107"/>
      <c r="X353" s="107"/>
      <c r="Y353" s="107"/>
      <c r="Z353" s="107"/>
    </row>
    <row r="354" ht="14.25" customHeight="1">
      <c r="A354" s="110">
        <v>45514.0</v>
      </c>
      <c r="B354" s="163" t="s">
        <v>152</v>
      </c>
      <c r="C354" s="164" t="s">
        <v>153</v>
      </c>
      <c r="D354" s="164" t="s">
        <v>67</v>
      </c>
      <c r="E354" s="207" t="s">
        <v>367</v>
      </c>
      <c r="F354" s="228">
        <v>94283.0</v>
      </c>
      <c r="G354" s="109"/>
      <c r="H354" s="111" t="s">
        <v>371</v>
      </c>
      <c r="I354" s="107" t="str">
        <f t="shared" si="6"/>
        <v>NOT PAID</v>
      </c>
      <c r="J354" s="107"/>
      <c r="K354" s="107"/>
      <c r="L354" s="107"/>
      <c r="M354" s="107"/>
      <c r="N354" s="107"/>
      <c r="O354" s="107"/>
      <c r="P354" s="107"/>
      <c r="Q354" s="107"/>
      <c r="R354" s="107"/>
      <c r="S354" s="107"/>
      <c r="T354" s="107"/>
      <c r="U354" s="107"/>
      <c r="V354" s="107"/>
      <c r="W354" s="107"/>
      <c r="X354" s="107"/>
      <c r="Y354" s="107"/>
      <c r="Z354" s="107"/>
    </row>
    <row r="355" ht="14.25" customHeight="1">
      <c r="A355" s="110">
        <v>45514.0</v>
      </c>
      <c r="B355" s="163" t="s">
        <v>162</v>
      </c>
      <c r="C355" s="164" t="s">
        <v>163</v>
      </c>
      <c r="D355" s="164" t="s">
        <v>54</v>
      </c>
      <c r="E355" s="207" t="s">
        <v>80</v>
      </c>
      <c r="F355" s="228">
        <v>139354.0</v>
      </c>
      <c r="G355" s="109"/>
      <c r="H355" s="111" t="s">
        <v>372</v>
      </c>
      <c r="I355" s="107" t="str">
        <f t="shared" si="6"/>
        <v>NOT PAID</v>
      </c>
      <c r="J355" s="107"/>
      <c r="K355" s="107"/>
      <c r="L355" s="107"/>
      <c r="M355" s="107"/>
      <c r="N355" s="107"/>
      <c r="O355" s="107"/>
      <c r="P355" s="107"/>
      <c r="Q355" s="107"/>
      <c r="R355" s="107"/>
      <c r="S355" s="107"/>
      <c r="T355" s="107"/>
      <c r="U355" s="107"/>
      <c r="V355" s="107"/>
      <c r="W355" s="107"/>
      <c r="X355" s="107"/>
      <c r="Y355" s="107"/>
      <c r="Z355" s="107"/>
    </row>
    <row r="356" ht="14.25" customHeight="1">
      <c r="A356" s="110">
        <v>45514.0</v>
      </c>
      <c r="B356" s="163" t="s">
        <v>172</v>
      </c>
      <c r="C356" s="164" t="s">
        <v>79</v>
      </c>
      <c r="D356" s="164" t="s">
        <v>54</v>
      </c>
      <c r="E356" s="207" t="s">
        <v>70</v>
      </c>
      <c r="F356" s="228">
        <v>100000.0</v>
      </c>
      <c r="G356" s="109"/>
      <c r="H356" s="111" t="s">
        <v>373</v>
      </c>
      <c r="I356" s="107" t="str">
        <f t="shared" si="6"/>
        <v>NOT PAID</v>
      </c>
      <c r="J356" s="107"/>
      <c r="K356" s="107"/>
      <c r="L356" s="107"/>
      <c r="M356" s="107"/>
      <c r="N356" s="107"/>
      <c r="O356" s="107"/>
      <c r="P356" s="107"/>
      <c r="Q356" s="107"/>
      <c r="R356" s="107"/>
      <c r="S356" s="107"/>
      <c r="T356" s="107"/>
      <c r="U356" s="107"/>
      <c r="V356" s="107"/>
      <c r="W356" s="107"/>
      <c r="X356" s="107"/>
      <c r="Y356" s="107"/>
      <c r="Z356" s="107"/>
    </row>
    <row r="357" ht="14.25" customHeight="1">
      <c r="A357" s="110">
        <v>45514.0</v>
      </c>
      <c r="B357" s="212" t="s">
        <v>266</v>
      </c>
      <c r="C357" s="163" t="s">
        <v>79</v>
      </c>
      <c r="D357" s="164" t="s">
        <v>54</v>
      </c>
      <c r="E357" s="207" t="s">
        <v>70</v>
      </c>
      <c r="F357" s="228">
        <v>230000.0</v>
      </c>
      <c r="G357" s="109"/>
      <c r="H357" s="111" t="s">
        <v>373</v>
      </c>
      <c r="I357" s="107" t="str">
        <f t="shared" si="6"/>
        <v>NOT PAID</v>
      </c>
      <c r="J357" s="107"/>
      <c r="K357" s="107"/>
      <c r="L357" s="107"/>
      <c r="M357" s="107"/>
      <c r="N357" s="107"/>
      <c r="O357" s="107"/>
      <c r="P357" s="107"/>
      <c r="Q357" s="107"/>
      <c r="R357" s="107"/>
      <c r="S357" s="107"/>
      <c r="T357" s="107"/>
      <c r="U357" s="107"/>
      <c r="V357" s="107"/>
      <c r="W357" s="107"/>
      <c r="X357" s="107"/>
      <c r="Y357" s="107"/>
      <c r="Z357" s="107"/>
    </row>
    <row r="358" ht="14.25" customHeight="1">
      <c r="A358" s="110">
        <v>45514.0</v>
      </c>
      <c r="B358" s="118" t="s">
        <v>253</v>
      </c>
      <c r="C358" s="164" t="s">
        <v>58</v>
      </c>
      <c r="D358" s="164" t="s">
        <v>75</v>
      </c>
      <c r="E358" s="207" t="s">
        <v>70</v>
      </c>
      <c r="F358" s="228">
        <v>560725.0</v>
      </c>
      <c r="G358" s="109"/>
      <c r="H358" s="111" t="s">
        <v>370</v>
      </c>
      <c r="I358" s="107" t="str">
        <f t="shared" si="6"/>
        <v>NOT PAID</v>
      </c>
      <c r="J358" s="107"/>
      <c r="K358" s="107"/>
      <c r="L358" s="107"/>
      <c r="M358" s="107"/>
      <c r="N358" s="107"/>
      <c r="O358" s="107"/>
      <c r="P358" s="107"/>
      <c r="Q358" s="107"/>
      <c r="R358" s="107"/>
      <c r="S358" s="107"/>
      <c r="T358" s="107"/>
      <c r="U358" s="107"/>
      <c r="V358" s="107"/>
      <c r="W358" s="107"/>
      <c r="X358" s="107"/>
      <c r="Y358" s="107"/>
      <c r="Z358" s="107"/>
    </row>
    <row r="359" ht="14.25" customHeight="1">
      <c r="A359" s="110">
        <v>45514.0</v>
      </c>
      <c r="B359" s="118" t="s">
        <v>135</v>
      </c>
      <c r="C359" s="118" t="s">
        <v>136</v>
      </c>
      <c r="D359" s="118" t="s">
        <v>54</v>
      </c>
      <c r="E359" s="118" t="s">
        <v>70</v>
      </c>
      <c r="F359" s="227">
        <v>931059.0</v>
      </c>
      <c r="G359" s="109"/>
      <c r="H359" s="111" t="s">
        <v>373</v>
      </c>
      <c r="I359" s="107" t="str">
        <f t="shared" si="6"/>
        <v>NOT PAID</v>
      </c>
      <c r="J359" s="107"/>
      <c r="K359" s="107"/>
      <c r="L359" s="107"/>
      <c r="M359" s="107"/>
      <c r="N359" s="107"/>
      <c r="O359" s="107"/>
      <c r="P359" s="107"/>
      <c r="Q359" s="107"/>
      <c r="R359" s="107"/>
      <c r="S359" s="107"/>
      <c r="T359" s="107"/>
      <c r="U359" s="107"/>
      <c r="V359" s="107"/>
      <c r="W359" s="107"/>
      <c r="X359" s="107"/>
      <c r="Y359" s="107"/>
      <c r="Z359" s="107"/>
    </row>
    <row r="360" ht="14.25" customHeight="1">
      <c r="A360" s="110">
        <v>45514.0</v>
      </c>
      <c r="B360" s="155" t="s">
        <v>204</v>
      </c>
      <c r="C360" s="155" t="s">
        <v>205</v>
      </c>
      <c r="D360" s="155" t="s">
        <v>59</v>
      </c>
      <c r="E360" s="155" t="s">
        <v>70</v>
      </c>
      <c r="F360" s="237">
        <v>21116.0</v>
      </c>
      <c r="G360" s="109"/>
      <c r="H360" s="111" t="s">
        <v>374</v>
      </c>
      <c r="I360" s="107" t="str">
        <f t="shared" si="6"/>
        <v>NOT PAID</v>
      </c>
      <c r="J360" s="107"/>
      <c r="K360" s="107"/>
      <c r="L360" s="107"/>
      <c r="M360" s="107"/>
      <c r="N360" s="107"/>
      <c r="O360" s="107"/>
      <c r="P360" s="107"/>
      <c r="Q360" s="107"/>
      <c r="R360" s="107"/>
      <c r="S360" s="107"/>
      <c r="T360" s="107"/>
      <c r="U360" s="107"/>
      <c r="V360" s="107"/>
      <c r="W360" s="107"/>
      <c r="X360" s="107"/>
      <c r="Y360" s="107"/>
      <c r="Z360" s="107"/>
    </row>
    <row r="361" ht="14.25" customHeight="1">
      <c r="A361" s="110">
        <v>45514.0</v>
      </c>
      <c r="B361" s="118" t="s">
        <v>338</v>
      </c>
      <c r="C361" s="119" t="s">
        <v>339</v>
      </c>
      <c r="D361" s="119" t="s">
        <v>54</v>
      </c>
      <c r="E361" s="119" t="s">
        <v>359</v>
      </c>
      <c r="F361" s="160">
        <v>123283.0</v>
      </c>
      <c r="G361" s="109"/>
      <c r="H361" s="111" t="s">
        <v>375</v>
      </c>
      <c r="I361" s="107" t="str">
        <f t="shared" si="6"/>
        <v>NOT PAID</v>
      </c>
      <c r="J361" s="107"/>
      <c r="K361" s="107"/>
      <c r="L361" s="107"/>
      <c r="M361" s="107"/>
      <c r="N361" s="107"/>
      <c r="O361" s="107"/>
      <c r="P361" s="107"/>
      <c r="Q361" s="107"/>
      <c r="R361" s="107"/>
      <c r="S361" s="107"/>
      <c r="T361" s="107"/>
      <c r="U361" s="107"/>
      <c r="V361" s="107"/>
      <c r="W361" s="107"/>
      <c r="X361" s="107"/>
      <c r="Y361" s="107"/>
      <c r="Z361" s="107"/>
    </row>
    <row r="362" ht="14.25" customHeight="1">
      <c r="A362" s="110">
        <v>45514.0</v>
      </c>
      <c r="B362" s="111" t="s">
        <v>376</v>
      </c>
      <c r="C362" s="140" t="s">
        <v>377</v>
      </c>
      <c r="D362" s="140" t="s">
        <v>54</v>
      </c>
      <c r="E362" s="140" t="s">
        <v>359</v>
      </c>
      <c r="F362" s="174">
        <v>18406.0</v>
      </c>
      <c r="G362" s="113">
        <v>18406.0</v>
      </c>
      <c r="H362" s="111" t="s">
        <v>212</v>
      </c>
      <c r="I362" s="107" t="str">
        <f t="shared" si="6"/>
        <v>FULLY PAID</v>
      </c>
      <c r="J362" s="107"/>
      <c r="K362" s="107"/>
      <c r="L362" s="107"/>
      <c r="M362" s="107"/>
      <c r="N362" s="107"/>
      <c r="O362" s="107"/>
      <c r="P362" s="107"/>
      <c r="Q362" s="107"/>
      <c r="R362" s="107"/>
      <c r="S362" s="107"/>
      <c r="T362" s="107"/>
      <c r="U362" s="107"/>
      <c r="V362" s="107"/>
      <c r="W362" s="107"/>
      <c r="X362" s="107"/>
      <c r="Y362" s="107"/>
      <c r="Z362" s="107"/>
    </row>
    <row r="363" ht="14.25" customHeight="1">
      <c r="A363" s="110">
        <v>45514.0</v>
      </c>
      <c r="B363" s="111" t="s">
        <v>71</v>
      </c>
      <c r="C363" s="111" t="s">
        <v>128</v>
      </c>
      <c r="D363" s="111" t="s">
        <v>54</v>
      </c>
      <c r="E363" s="111" t="s">
        <v>199</v>
      </c>
      <c r="F363" s="113">
        <v>2300000.0</v>
      </c>
      <c r="G363" s="109"/>
      <c r="H363" s="111" t="s">
        <v>378</v>
      </c>
      <c r="I363" s="107" t="str">
        <f t="shared" si="6"/>
        <v>NOT PAID</v>
      </c>
      <c r="J363" s="107"/>
      <c r="K363" s="107"/>
      <c r="L363" s="107"/>
      <c r="M363" s="107"/>
      <c r="N363" s="107"/>
      <c r="O363" s="107"/>
      <c r="P363" s="107"/>
      <c r="Q363" s="107"/>
      <c r="R363" s="107"/>
      <c r="S363" s="107"/>
      <c r="T363" s="107"/>
      <c r="U363" s="107"/>
      <c r="V363" s="107"/>
      <c r="W363" s="107"/>
      <c r="X363" s="107"/>
      <c r="Y363" s="107"/>
      <c r="Z363" s="107"/>
    </row>
    <row r="364" ht="14.25" customHeight="1">
      <c r="A364" s="110"/>
      <c r="B364" s="111"/>
      <c r="C364" s="111"/>
      <c r="D364" s="107"/>
      <c r="E364" s="107"/>
      <c r="F364" s="109"/>
      <c r="G364" s="109"/>
      <c r="H364" s="107"/>
      <c r="I364" s="107" t="str">
        <f t="shared" si="6"/>
        <v>FULLY PAID</v>
      </c>
      <c r="J364" s="107"/>
      <c r="K364" s="107"/>
      <c r="L364" s="107"/>
      <c r="M364" s="107"/>
      <c r="N364" s="107"/>
      <c r="O364" s="107"/>
      <c r="P364" s="107"/>
      <c r="Q364" s="107"/>
      <c r="R364" s="107"/>
      <c r="S364" s="107"/>
      <c r="T364" s="107"/>
      <c r="U364" s="107"/>
      <c r="V364" s="107"/>
      <c r="W364" s="107"/>
      <c r="X364" s="107"/>
      <c r="Y364" s="107"/>
      <c r="Z364" s="107"/>
    </row>
    <row r="365" ht="14.25" customHeight="1">
      <c r="A365" s="107"/>
      <c r="B365" s="107"/>
      <c r="C365" s="107"/>
      <c r="D365" s="107"/>
      <c r="E365" s="107"/>
      <c r="F365" s="109"/>
      <c r="G365" s="109"/>
      <c r="H365" s="107"/>
      <c r="I365" s="107" t="str">
        <f t="shared" si="6"/>
        <v>FULLY PAID</v>
      </c>
      <c r="J365" s="107"/>
      <c r="K365" s="107"/>
      <c r="L365" s="107"/>
      <c r="M365" s="107"/>
      <c r="N365" s="107"/>
      <c r="O365" s="107"/>
      <c r="P365" s="107"/>
      <c r="Q365" s="107"/>
      <c r="R365" s="107"/>
      <c r="S365" s="107"/>
      <c r="T365" s="107"/>
      <c r="U365" s="107"/>
      <c r="V365" s="107"/>
      <c r="W365" s="107"/>
      <c r="X365" s="107"/>
      <c r="Y365" s="107"/>
      <c r="Z365" s="107"/>
    </row>
    <row r="366" ht="14.25" customHeight="1">
      <c r="A366" s="107"/>
      <c r="B366" s="107"/>
      <c r="C366" s="107"/>
      <c r="D366" s="107"/>
      <c r="E366" s="107"/>
      <c r="F366" s="109"/>
      <c r="G366" s="109"/>
      <c r="H366" s="107"/>
      <c r="I366" s="107" t="str">
        <f t="shared" si="6"/>
        <v>FULLY PAID</v>
      </c>
      <c r="J366" s="107"/>
      <c r="K366" s="107"/>
      <c r="L366" s="107"/>
      <c r="M366" s="107"/>
      <c r="N366" s="107"/>
      <c r="O366" s="107"/>
      <c r="P366" s="107"/>
      <c r="Q366" s="107"/>
      <c r="R366" s="107"/>
      <c r="S366" s="107"/>
      <c r="T366" s="107"/>
      <c r="U366" s="107"/>
      <c r="V366" s="107"/>
      <c r="W366" s="107"/>
      <c r="X366" s="107"/>
      <c r="Y366" s="107"/>
      <c r="Z366" s="107"/>
    </row>
    <row r="367" ht="14.25" customHeight="1">
      <c r="A367" s="107"/>
      <c r="B367" s="107"/>
      <c r="C367" s="107"/>
      <c r="D367" s="107"/>
      <c r="E367" s="107"/>
      <c r="F367" s="109"/>
      <c r="G367" s="109"/>
      <c r="H367" s="107"/>
      <c r="I367" s="107" t="str">
        <f t="shared" si="6"/>
        <v>FULLY PAID</v>
      </c>
      <c r="J367" s="107"/>
      <c r="K367" s="107"/>
      <c r="L367" s="107"/>
      <c r="M367" s="107"/>
      <c r="N367" s="107"/>
      <c r="O367" s="107"/>
      <c r="P367" s="107"/>
      <c r="Q367" s="107"/>
      <c r="R367" s="107"/>
      <c r="S367" s="107"/>
      <c r="T367" s="107"/>
      <c r="U367" s="107"/>
      <c r="V367" s="107"/>
      <c r="W367" s="107"/>
      <c r="X367" s="107"/>
      <c r="Y367" s="107"/>
      <c r="Z367" s="107"/>
    </row>
    <row r="368" ht="16.5" customHeight="1">
      <c r="A368" s="110">
        <v>45514.0</v>
      </c>
      <c r="B368" s="111" t="s">
        <v>300</v>
      </c>
      <c r="C368" s="111" t="s">
        <v>301</v>
      </c>
      <c r="D368" s="111" t="s">
        <v>54</v>
      </c>
      <c r="E368" s="111" t="s">
        <v>199</v>
      </c>
      <c r="F368" s="113">
        <v>500000.0</v>
      </c>
      <c r="G368" s="109"/>
      <c r="H368" s="111" t="s">
        <v>379</v>
      </c>
      <c r="I368" s="107" t="str">
        <f t="shared" si="6"/>
        <v>NOT PAID</v>
      </c>
      <c r="J368" s="107"/>
      <c r="K368" s="107"/>
      <c r="L368" s="107"/>
      <c r="M368" s="107"/>
      <c r="N368" s="107"/>
      <c r="O368" s="107"/>
      <c r="P368" s="107"/>
      <c r="Q368" s="107"/>
      <c r="R368" s="107"/>
      <c r="S368" s="107"/>
      <c r="T368" s="107"/>
      <c r="U368" s="107"/>
      <c r="V368" s="107"/>
      <c r="W368" s="107"/>
      <c r="X368" s="107"/>
      <c r="Y368" s="107"/>
      <c r="Z368" s="107"/>
    </row>
    <row r="369" ht="14.25" customHeight="1">
      <c r="A369" s="110">
        <v>45514.0</v>
      </c>
      <c r="B369" s="111" t="s">
        <v>88</v>
      </c>
      <c r="C369" s="111" t="s">
        <v>347</v>
      </c>
      <c r="D369" s="111" t="s">
        <v>54</v>
      </c>
      <c r="E369" s="111" t="s">
        <v>110</v>
      </c>
      <c r="F369" s="113">
        <v>400000.0</v>
      </c>
      <c r="G369" s="109"/>
      <c r="H369" s="111" t="s">
        <v>380</v>
      </c>
      <c r="I369" s="107" t="str">
        <f t="shared" si="6"/>
        <v>NOT PAID</v>
      </c>
      <c r="J369" s="107"/>
      <c r="K369" s="107"/>
      <c r="L369" s="107"/>
      <c r="M369" s="107"/>
      <c r="N369" s="107"/>
      <c r="O369" s="107"/>
      <c r="P369" s="107"/>
      <c r="Q369" s="107"/>
      <c r="R369" s="107"/>
      <c r="S369" s="107"/>
      <c r="T369" s="107"/>
      <c r="U369" s="107"/>
      <c r="V369" s="107"/>
      <c r="W369" s="107"/>
      <c r="X369" s="107"/>
      <c r="Y369" s="107"/>
      <c r="Z369" s="107"/>
    </row>
    <row r="370" ht="14.25" customHeight="1">
      <c r="A370" s="110">
        <v>45514.0</v>
      </c>
      <c r="B370" s="111" t="s">
        <v>195</v>
      </c>
      <c r="C370" s="111" t="s">
        <v>196</v>
      </c>
      <c r="D370" s="111" t="s">
        <v>54</v>
      </c>
      <c r="E370" s="111" t="s">
        <v>110</v>
      </c>
      <c r="F370" s="113">
        <v>418381.86</v>
      </c>
      <c r="G370" s="109"/>
      <c r="H370" s="111" t="s">
        <v>381</v>
      </c>
      <c r="I370" s="107" t="str">
        <f t="shared" si="6"/>
        <v>NOT PAID</v>
      </c>
      <c r="J370" s="107"/>
      <c r="K370" s="107"/>
      <c r="L370" s="107"/>
      <c r="M370" s="107"/>
      <c r="N370" s="107"/>
      <c r="O370" s="107"/>
      <c r="P370" s="107"/>
      <c r="Q370" s="107"/>
      <c r="R370" s="107"/>
      <c r="S370" s="107"/>
      <c r="T370" s="107"/>
      <c r="U370" s="107"/>
      <c r="V370" s="107"/>
      <c r="W370" s="107"/>
      <c r="X370" s="107"/>
      <c r="Y370" s="107"/>
      <c r="Z370" s="107"/>
    </row>
    <row r="371" ht="14.25" customHeight="1">
      <c r="A371" s="107"/>
      <c r="B371" s="107"/>
      <c r="C371" s="107"/>
      <c r="D371" s="107"/>
      <c r="E371" s="107"/>
      <c r="F371" s="109"/>
      <c r="G371" s="109"/>
      <c r="H371" s="107"/>
      <c r="I371" s="107" t="str">
        <f t="shared" si="6"/>
        <v>FULLY PAID</v>
      </c>
      <c r="J371" s="107"/>
      <c r="K371" s="107"/>
      <c r="L371" s="107"/>
      <c r="M371" s="107"/>
      <c r="N371" s="107"/>
      <c r="O371" s="107"/>
      <c r="P371" s="107"/>
      <c r="Q371" s="107"/>
      <c r="R371" s="107"/>
      <c r="S371" s="107"/>
      <c r="T371" s="107"/>
      <c r="U371" s="107"/>
      <c r="V371" s="107"/>
      <c r="W371" s="107"/>
      <c r="X371" s="107"/>
      <c r="Y371" s="107"/>
      <c r="Z371" s="107"/>
    </row>
    <row r="372" ht="14.25" customHeight="1">
      <c r="A372" s="107"/>
      <c r="B372" s="107"/>
      <c r="C372" s="108">
        <v>45634.0</v>
      </c>
      <c r="D372" s="107"/>
      <c r="E372" s="107"/>
      <c r="F372" s="109"/>
      <c r="G372" s="109"/>
      <c r="H372" s="107"/>
      <c r="I372" s="107" t="str">
        <f t="shared" si="6"/>
        <v>FULLY PAID</v>
      </c>
      <c r="J372" s="107"/>
      <c r="K372" s="107"/>
      <c r="L372" s="107"/>
      <c r="M372" s="107"/>
      <c r="N372" s="107"/>
      <c r="O372" s="107"/>
      <c r="P372" s="107"/>
      <c r="Q372" s="107"/>
      <c r="R372" s="107"/>
      <c r="S372" s="107"/>
      <c r="T372" s="107"/>
      <c r="U372" s="107"/>
      <c r="V372" s="107"/>
      <c r="W372" s="107"/>
      <c r="X372" s="107"/>
      <c r="Y372" s="107"/>
      <c r="Z372" s="107"/>
    </row>
    <row r="373" ht="14.25" customHeight="1">
      <c r="A373" s="110">
        <v>45516.0</v>
      </c>
      <c r="B373" s="118" t="s">
        <v>162</v>
      </c>
      <c r="C373" s="119" t="s">
        <v>163</v>
      </c>
      <c r="D373" s="119" t="s">
        <v>54</v>
      </c>
      <c r="E373" s="219" t="s">
        <v>80</v>
      </c>
      <c r="F373" s="206">
        <v>139354.0</v>
      </c>
      <c r="G373" s="109"/>
      <c r="H373" s="111" t="s">
        <v>382</v>
      </c>
      <c r="I373" s="107" t="str">
        <f t="shared" si="6"/>
        <v>NOT PAID</v>
      </c>
      <c r="J373" s="107"/>
      <c r="K373" s="107"/>
      <c r="L373" s="107"/>
      <c r="M373" s="107"/>
      <c r="N373" s="107"/>
      <c r="O373" s="107"/>
      <c r="P373" s="107"/>
      <c r="Q373" s="107"/>
      <c r="R373" s="107"/>
      <c r="S373" s="107"/>
      <c r="T373" s="107"/>
      <c r="U373" s="107"/>
      <c r="V373" s="107"/>
      <c r="W373" s="107"/>
      <c r="X373" s="107"/>
      <c r="Y373" s="107"/>
      <c r="Z373" s="107"/>
    </row>
    <row r="374" ht="14.25" customHeight="1">
      <c r="A374" s="110">
        <v>45516.0</v>
      </c>
      <c r="B374" s="163" t="s">
        <v>209</v>
      </c>
      <c r="C374" s="164" t="s">
        <v>72</v>
      </c>
      <c r="D374" s="164" t="s">
        <v>54</v>
      </c>
      <c r="E374" s="207" t="s">
        <v>70</v>
      </c>
      <c r="F374" s="208">
        <v>440828.0</v>
      </c>
      <c r="G374" s="109"/>
      <c r="H374" s="111" t="s">
        <v>383</v>
      </c>
      <c r="I374" s="107" t="str">
        <f t="shared" si="6"/>
        <v>NOT PAID</v>
      </c>
      <c r="J374" s="107"/>
      <c r="K374" s="107"/>
      <c r="L374" s="107"/>
      <c r="M374" s="107"/>
      <c r="N374" s="107"/>
      <c r="O374" s="107"/>
      <c r="P374" s="107"/>
      <c r="Q374" s="107"/>
      <c r="R374" s="107"/>
      <c r="S374" s="107"/>
      <c r="T374" s="107"/>
      <c r="U374" s="107"/>
      <c r="V374" s="107"/>
      <c r="W374" s="107"/>
      <c r="X374" s="107"/>
      <c r="Y374" s="107"/>
      <c r="Z374" s="107"/>
    </row>
    <row r="375" ht="14.25" customHeight="1">
      <c r="A375" s="110">
        <v>45516.0</v>
      </c>
      <c r="B375" s="163" t="s">
        <v>71</v>
      </c>
      <c r="C375" s="164" t="s">
        <v>72</v>
      </c>
      <c r="D375" s="164" t="s">
        <v>54</v>
      </c>
      <c r="E375" s="207" t="s">
        <v>158</v>
      </c>
      <c r="F375" s="209">
        <v>2567815.0</v>
      </c>
      <c r="G375" s="109"/>
      <c r="H375" s="111" t="s">
        <v>383</v>
      </c>
      <c r="I375" s="107" t="str">
        <f t="shared" si="6"/>
        <v>NOT PAID</v>
      </c>
      <c r="J375" s="107"/>
      <c r="K375" s="107"/>
      <c r="L375" s="107"/>
      <c r="M375" s="107"/>
      <c r="N375" s="107"/>
      <c r="O375" s="107"/>
      <c r="P375" s="107"/>
      <c r="Q375" s="107"/>
      <c r="R375" s="107"/>
      <c r="S375" s="107"/>
      <c r="T375" s="107"/>
      <c r="U375" s="107"/>
      <c r="V375" s="107"/>
      <c r="W375" s="107"/>
      <c r="X375" s="107"/>
      <c r="Y375" s="107"/>
      <c r="Z375" s="107"/>
    </row>
    <row r="376" ht="14.25" customHeight="1">
      <c r="A376" s="110">
        <v>45516.0</v>
      </c>
      <c r="B376" s="163" t="s">
        <v>384</v>
      </c>
      <c r="C376" s="164" t="s">
        <v>385</v>
      </c>
      <c r="D376" s="164" t="s">
        <v>54</v>
      </c>
      <c r="E376" s="207" t="s">
        <v>70</v>
      </c>
      <c r="F376" s="208">
        <v>54182.0</v>
      </c>
      <c r="G376" s="238">
        <v>54182.0</v>
      </c>
      <c r="H376" s="111" t="s">
        <v>155</v>
      </c>
      <c r="I376" s="107" t="str">
        <f t="shared" si="6"/>
        <v>FULLY PAID</v>
      </c>
      <c r="J376" s="107"/>
      <c r="K376" s="107"/>
      <c r="L376" s="107"/>
      <c r="M376" s="107"/>
      <c r="N376" s="107"/>
      <c r="O376" s="107"/>
      <c r="P376" s="107"/>
      <c r="Q376" s="107"/>
      <c r="R376" s="107"/>
      <c r="S376" s="107"/>
      <c r="T376" s="107"/>
      <c r="U376" s="107"/>
      <c r="V376" s="107"/>
      <c r="W376" s="107"/>
      <c r="X376" s="107"/>
      <c r="Y376" s="107"/>
      <c r="Z376" s="107"/>
    </row>
    <row r="377" ht="14.25" customHeight="1">
      <c r="A377" s="110">
        <v>45516.0</v>
      </c>
      <c r="B377" s="163" t="s">
        <v>152</v>
      </c>
      <c r="C377" s="164" t="s">
        <v>153</v>
      </c>
      <c r="D377" s="164" t="s">
        <v>67</v>
      </c>
      <c r="E377" s="207" t="s">
        <v>154</v>
      </c>
      <c r="F377" s="208">
        <v>94283.0</v>
      </c>
      <c r="G377" s="113">
        <v>100046.02</v>
      </c>
      <c r="H377" s="111" t="s">
        <v>155</v>
      </c>
      <c r="I377" s="107" t="str">
        <f t="shared" si="6"/>
        <v>FULLY PAID</v>
      </c>
      <c r="J377" s="107"/>
      <c r="K377" s="107"/>
      <c r="L377" s="107"/>
      <c r="M377" s="107"/>
      <c r="N377" s="107"/>
      <c r="O377" s="107"/>
      <c r="P377" s="107"/>
      <c r="Q377" s="107"/>
      <c r="R377" s="107"/>
      <c r="S377" s="107"/>
      <c r="T377" s="107"/>
      <c r="U377" s="107"/>
      <c r="V377" s="107"/>
      <c r="W377" s="107"/>
      <c r="X377" s="107"/>
      <c r="Y377" s="107"/>
      <c r="Z377" s="107"/>
    </row>
    <row r="378" ht="14.25" customHeight="1">
      <c r="A378" s="110">
        <v>45516.0</v>
      </c>
      <c r="B378" s="163" t="s">
        <v>172</v>
      </c>
      <c r="C378" s="164" t="s">
        <v>79</v>
      </c>
      <c r="D378" s="164" t="s">
        <v>54</v>
      </c>
      <c r="E378" s="239" t="s">
        <v>80</v>
      </c>
      <c r="F378" s="208">
        <v>100000.0</v>
      </c>
      <c r="G378" s="147"/>
      <c r="H378" s="111" t="s">
        <v>61</v>
      </c>
      <c r="I378" s="107" t="str">
        <f t="shared" si="6"/>
        <v>NOT PAID</v>
      </c>
      <c r="J378" s="107"/>
      <c r="K378" s="107"/>
      <c r="L378" s="107"/>
      <c r="M378" s="107"/>
      <c r="N378" s="107"/>
      <c r="O378" s="107"/>
      <c r="P378" s="107"/>
      <c r="Q378" s="107"/>
      <c r="R378" s="107"/>
      <c r="S378" s="107"/>
      <c r="T378" s="107"/>
      <c r="U378" s="107"/>
      <c r="V378" s="107"/>
      <c r="W378" s="107"/>
      <c r="X378" s="107"/>
      <c r="Y378" s="107"/>
      <c r="Z378" s="107"/>
    </row>
    <row r="379" ht="14.25" customHeight="1">
      <c r="A379" s="110">
        <v>45516.0</v>
      </c>
      <c r="B379" s="212" t="s">
        <v>266</v>
      </c>
      <c r="C379" s="163" t="s">
        <v>79</v>
      </c>
      <c r="D379" s="164" t="s">
        <v>54</v>
      </c>
      <c r="E379" s="239" t="s">
        <v>80</v>
      </c>
      <c r="F379" s="208">
        <v>230000.0</v>
      </c>
      <c r="G379" s="184"/>
      <c r="H379" s="111" t="s">
        <v>61</v>
      </c>
      <c r="I379" s="107" t="str">
        <f t="shared" si="6"/>
        <v>NOT PAID</v>
      </c>
      <c r="J379" s="107"/>
      <c r="K379" s="107"/>
      <c r="L379" s="107"/>
      <c r="M379" s="107"/>
      <c r="N379" s="107"/>
      <c r="O379" s="107"/>
      <c r="P379" s="107"/>
      <c r="Q379" s="107"/>
      <c r="R379" s="107"/>
      <c r="S379" s="107"/>
      <c r="T379" s="107"/>
      <c r="U379" s="107"/>
      <c r="V379" s="107"/>
      <c r="W379" s="107"/>
      <c r="X379" s="107"/>
      <c r="Y379" s="107"/>
      <c r="Z379" s="107"/>
    </row>
    <row r="380" ht="14.25" customHeight="1">
      <c r="A380" s="110">
        <v>45516.0</v>
      </c>
      <c r="B380" s="118" t="s">
        <v>386</v>
      </c>
      <c r="C380" s="164" t="s">
        <v>387</v>
      </c>
      <c r="D380" s="240"/>
      <c r="E380" s="239" t="s">
        <v>70</v>
      </c>
      <c r="F380" s="208">
        <v>238555.0</v>
      </c>
      <c r="G380" s="208">
        <v>238555.0</v>
      </c>
      <c r="H380" s="111" t="s">
        <v>155</v>
      </c>
      <c r="I380" s="107" t="str">
        <f t="shared" si="6"/>
        <v>FULLY PAID</v>
      </c>
      <c r="J380" s="107"/>
      <c r="K380" s="107"/>
      <c r="L380" s="107"/>
      <c r="M380" s="107"/>
      <c r="N380" s="107"/>
      <c r="O380" s="107"/>
      <c r="P380" s="107"/>
      <c r="Q380" s="107"/>
      <c r="R380" s="107"/>
      <c r="S380" s="107"/>
      <c r="T380" s="107"/>
      <c r="U380" s="107"/>
      <c r="V380" s="107"/>
      <c r="W380" s="107"/>
      <c r="X380" s="107"/>
      <c r="Y380" s="107"/>
      <c r="Z380" s="107"/>
    </row>
    <row r="381" ht="14.25" customHeight="1">
      <c r="A381" s="110">
        <v>45516.0</v>
      </c>
      <c r="B381" s="163" t="s">
        <v>253</v>
      </c>
      <c r="C381" s="164" t="s">
        <v>58</v>
      </c>
      <c r="D381" s="164" t="s">
        <v>75</v>
      </c>
      <c r="E381" s="239" t="s">
        <v>70</v>
      </c>
      <c r="F381" s="208">
        <v>561775.0</v>
      </c>
      <c r="G381" s="184"/>
      <c r="H381" s="111" t="s">
        <v>388</v>
      </c>
      <c r="I381" s="107" t="str">
        <f t="shared" si="6"/>
        <v>NOT PAID</v>
      </c>
      <c r="J381" s="107"/>
      <c r="K381" s="107"/>
      <c r="L381" s="107"/>
      <c r="M381" s="107"/>
      <c r="N381" s="107"/>
      <c r="O381" s="107"/>
      <c r="P381" s="107"/>
      <c r="Q381" s="107"/>
      <c r="R381" s="107"/>
      <c r="S381" s="107"/>
      <c r="T381" s="107"/>
      <c r="U381" s="107"/>
      <c r="V381" s="107"/>
      <c r="W381" s="107"/>
      <c r="X381" s="107"/>
      <c r="Y381" s="107"/>
      <c r="Z381" s="107"/>
    </row>
    <row r="382" ht="14.25" customHeight="1">
      <c r="A382" s="110">
        <v>45516.0</v>
      </c>
      <c r="B382" s="163" t="s">
        <v>57</v>
      </c>
      <c r="C382" s="164" t="s">
        <v>58</v>
      </c>
      <c r="D382" s="164" t="s">
        <v>59</v>
      </c>
      <c r="E382" s="230" t="s">
        <v>70</v>
      </c>
      <c r="F382" s="168">
        <v>326022.0</v>
      </c>
      <c r="G382" s="184"/>
      <c r="H382" s="111" t="s">
        <v>388</v>
      </c>
      <c r="I382" s="107" t="str">
        <f t="shared" si="6"/>
        <v>NOT PAID</v>
      </c>
      <c r="J382" s="107"/>
      <c r="K382" s="107"/>
      <c r="L382" s="107"/>
      <c r="M382" s="107"/>
      <c r="N382" s="107"/>
      <c r="O382" s="107"/>
      <c r="P382" s="107"/>
      <c r="Q382" s="107"/>
      <c r="R382" s="107"/>
      <c r="S382" s="107"/>
      <c r="T382" s="107"/>
      <c r="U382" s="107"/>
      <c r="V382" s="107"/>
      <c r="W382" s="107"/>
      <c r="X382" s="107"/>
      <c r="Y382" s="107"/>
      <c r="Z382" s="107"/>
    </row>
    <row r="383" ht="14.25" customHeight="1">
      <c r="A383" s="110">
        <v>45516.0</v>
      </c>
      <c r="B383" s="194" t="s">
        <v>65</v>
      </c>
      <c r="C383" s="164" t="s">
        <v>66</v>
      </c>
      <c r="D383" s="195" t="s">
        <v>67</v>
      </c>
      <c r="E383" s="195" t="s">
        <v>70</v>
      </c>
      <c r="F383" s="168">
        <v>433333.0</v>
      </c>
      <c r="G383" s="168">
        <v>433333.0</v>
      </c>
      <c r="H383" s="111" t="s">
        <v>212</v>
      </c>
      <c r="I383" s="107" t="str">
        <f t="shared" si="6"/>
        <v>FULLY PAID</v>
      </c>
      <c r="J383" s="107"/>
      <c r="K383" s="107"/>
      <c r="L383" s="107"/>
      <c r="M383" s="107"/>
      <c r="N383" s="107"/>
      <c r="O383" s="107"/>
      <c r="P383" s="107"/>
      <c r="Q383" s="107"/>
      <c r="R383" s="107"/>
      <c r="S383" s="107"/>
      <c r="T383" s="107"/>
      <c r="U383" s="107"/>
      <c r="V383" s="107"/>
      <c r="W383" s="107"/>
      <c r="X383" s="107"/>
      <c r="Y383" s="107"/>
      <c r="Z383" s="107"/>
    </row>
    <row r="384" ht="14.25" customHeight="1">
      <c r="A384" s="110">
        <v>45516.0</v>
      </c>
      <c r="B384" s="194" t="s">
        <v>389</v>
      </c>
      <c r="C384" s="164" t="s">
        <v>390</v>
      </c>
      <c r="D384" s="195" t="s">
        <v>67</v>
      </c>
      <c r="E384" s="195" t="s">
        <v>70</v>
      </c>
      <c r="F384" s="168">
        <v>360000.0</v>
      </c>
      <c r="G384" s="168">
        <v>360000.0</v>
      </c>
      <c r="H384" s="111" t="s">
        <v>212</v>
      </c>
      <c r="I384" s="107" t="str">
        <f t="shared" si="6"/>
        <v>FULLY PAID</v>
      </c>
      <c r="J384" s="107"/>
      <c r="K384" s="107"/>
      <c r="L384" s="107"/>
      <c r="M384" s="107"/>
      <c r="N384" s="107"/>
      <c r="O384" s="107"/>
      <c r="P384" s="107"/>
      <c r="Q384" s="107"/>
      <c r="R384" s="107"/>
      <c r="S384" s="107"/>
      <c r="T384" s="107"/>
      <c r="U384" s="107"/>
      <c r="V384" s="107"/>
      <c r="W384" s="107"/>
      <c r="X384" s="107"/>
      <c r="Y384" s="107"/>
      <c r="Z384" s="107"/>
    </row>
    <row r="385" ht="14.25" customHeight="1">
      <c r="A385" s="110">
        <v>45516.0</v>
      </c>
      <c r="B385" s="163" t="s">
        <v>108</v>
      </c>
      <c r="C385" s="164" t="s">
        <v>109</v>
      </c>
      <c r="D385" s="164" t="s">
        <v>67</v>
      </c>
      <c r="E385" s="164" t="s">
        <v>110</v>
      </c>
      <c r="F385" s="168">
        <v>302529.21</v>
      </c>
      <c r="G385" s="109"/>
      <c r="H385" s="111" t="s">
        <v>391</v>
      </c>
      <c r="I385" s="107" t="str">
        <f t="shared" si="6"/>
        <v>NOT PAID</v>
      </c>
      <c r="J385" s="107"/>
      <c r="K385" s="107"/>
      <c r="L385" s="107"/>
      <c r="M385" s="107"/>
      <c r="N385" s="107"/>
      <c r="O385" s="107"/>
      <c r="P385" s="107"/>
      <c r="Q385" s="107"/>
      <c r="R385" s="107"/>
      <c r="S385" s="107"/>
      <c r="T385" s="107"/>
      <c r="U385" s="107"/>
      <c r="V385" s="107"/>
      <c r="W385" s="107"/>
      <c r="X385" s="107"/>
      <c r="Y385" s="107"/>
      <c r="Z385" s="107"/>
    </row>
    <row r="386" ht="14.25" customHeight="1">
      <c r="A386" s="110">
        <v>45516.0</v>
      </c>
      <c r="B386" s="163" t="s">
        <v>195</v>
      </c>
      <c r="C386" s="164" t="s">
        <v>196</v>
      </c>
      <c r="D386" s="164" t="s">
        <v>54</v>
      </c>
      <c r="E386" s="164" t="s">
        <v>110</v>
      </c>
      <c r="F386" s="168">
        <v>418381.86</v>
      </c>
      <c r="G386" s="109"/>
      <c r="H386" s="111" t="s">
        <v>392</v>
      </c>
      <c r="I386" s="107" t="str">
        <f t="shared" si="6"/>
        <v>NOT PAID</v>
      </c>
      <c r="J386" s="107"/>
      <c r="K386" s="107"/>
      <c r="L386" s="107"/>
      <c r="M386" s="107"/>
      <c r="N386" s="107"/>
      <c r="O386" s="107"/>
      <c r="P386" s="107"/>
      <c r="Q386" s="107"/>
      <c r="R386" s="107"/>
      <c r="S386" s="107"/>
      <c r="T386" s="107"/>
      <c r="U386" s="107"/>
      <c r="V386" s="107"/>
      <c r="W386" s="107"/>
      <c r="X386" s="107"/>
      <c r="Y386" s="107"/>
      <c r="Z386" s="107"/>
    </row>
    <row r="387" ht="14.25" customHeight="1">
      <c r="A387" s="110">
        <v>45516.0</v>
      </c>
      <c r="B387" s="163" t="s">
        <v>317</v>
      </c>
      <c r="C387" s="164" t="s">
        <v>318</v>
      </c>
      <c r="D387" s="164" t="s">
        <v>319</v>
      </c>
      <c r="E387" s="164" t="s">
        <v>359</v>
      </c>
      <c r="F387" s="168">
        <v>280392.5</v>
      </c>
      <c r="G387" s="109"/>
      <c r="H387" s="111" t="s">
        <v>393</v>
      </c>
      <c r="I387" s="107" t="str">
        <f t="shared" si="6"/>
        <v>NOT PAID</v>
      </c>
      <c r="J387" s="107"/>
      <c r="K387" s="107"/>
      <c r="L387" s="107"/>
      <c r="M387" s="107"/>
      <c r="N387" s="107"/>
      <c r="O387" s="107"/>
      <c r="P387" s="107"/>
      <c r="Q387" s="107"/>
      <c r="R387" s="107"/>
      <c r="S387" s="107"/>
      <c r="T387" s="107"/>
      <c r="U387" s="107"/>
      <c r="V387" s="107"/>
      <c r="W387" s="107"/>
      <c r="X387" s="107"/>
      <c r="Y387" s="107"/>
      <c r="Z387" s="107"/>
    </row>
    <row r="388" ht="14.25" customHeight="1">
      <c r="A388" s="110">
        <v>45516.0</v>
      </c>
      <c r="B388" s="165" t="s">
        <v>135</v>
      </c>
      <c r="C388" s="166" t="s">
        <v>136</v>
      </c>
      <c r="D388" s="166" t="s">
        <v>54</v>
      </c>
      <c r="E388" s="166" t="s">
        <v>70</v>
      </c>
      <c r="F388" s="167">
        <v>931059.0</v>
      </c>
      <c r="G388" s="109"/>
      <c r="H388" s="111" t="s">
        <v>394</v>
      </c>
      <c r="I388" s="107" t="str">
        <f t="shared" si="6"/>
        <v>NOT PAID</v>
      </c>
      <c r="J388" s="107"/>
      <c r="K388" s="107"/>
      <c r="L388" s="107"/>
      <c r="M388" s="107"/>
      <c r="N388" s="107"/>
      <c r="O388" s="107"/>
      <c r="P388" s="107"/>
      <c r="Q388" s="107"/>
      <c r="R388" s="107"/>
      <c r="S388" s="107"/>
      <c r="T388" s="107"/>
      <c r="U388" s="107"/>
      <c r="V388" s="107"/>
      <c r="W388" s="107"/>
      <c r="X388" s="107"/>
      <c r="Y388" s="107"/>
      <c r="Z388" s="107"/>
    </row>
    <row r="389" ht="14.25" customHeight="1">
      <c r="A389" s="110">
        <v>45516.0</v>
      </c>
      <c r="B389" s="118" t="s">
        <v>338</v>
      </c>
      <c r="C389" s="119" t="s">
        <v>339</v>
      </c>
      <c r="D389" s="119" t="s">
        <v>54</v>
      </c>
      <c r="E389" s="119" t="s">
        <v>359</v>
      </c>
      <c r="F389" s="120">
        <v>123283.0</v>
      </c>
      <c r="G389" s="109"/>
      <c r="H389" s="111" t="s">
        <v>395</v>
      </c>
      <c r="I389" s="107" t="str">
        <f t="shared" si="6"/>
        <v>NOT PAID</v>
      </c>
      <c r="J389" s="107"/>
      <c r="K389" s="107"/>
      <c r="L389" s="107"/>
      <c r="M389" s="107"/>
      <c r="N389" s="107"/>
      <c r="O389" s="107"/>
      <c r="P389" s="107"/>
      <c r="Q389" s="107"/>
      <c r="R389" s="107"/>
      <c r="S389" s="107"/>
      <c r="T389" s="107"/>
      <c r="U389" s="107"/>
      <c r="V389" s="107"/>
      <c r="W389" s="107"/>
      <c r="X389" s="107"/>
      <c r="Y389" s="107"/>
      <c r="Z389" s="107"/>
    </row>
    <row r="390" ht="14.25" customHeight="1">
      <c r="A390" s="110">
        <v>45516.0</v>
      </c>
      <c r="B390" s="232" t="s">
        <v>204</v>
      </c>
      <c r="C390" s="233" t="s">
        <v>205</v>
      </c>
      <c r="D390" s="233" t="s">
        <v>59</v>
      </c>
      <c r="E390" s="233" t="s">
        <v>70</v>
      </c>
      <c r="F390" s="241">
        <v>22112.0</v>
      </c>
      <c r="G390" s="109"/>
      <c r="H390" s="111" t="s">
        <v>61</v>
      </c>
      <c r="I390" s="107" t="str">
        <f t="shared" si="6"/>
        <v>NOT PAID</v>
      </c>
      <c r="J390" s="107"/>
      <c r="K390" s="107"/>
      <c r="L390" s="107"/>
      <c r="M390" s="107"/>
      <c r="N390" s="107"/>
      <c r="O390" s="107"/>
      <c r="P390" s="107"/>
      <c r="Q390" s="107"/>
      <c r="R390" s="107"/>
      <c r="S390" s="107"/>
      <c r="T390" s="107"/>
      <c r="U390" s="107"/>
      <c r="V390" s="107"/>
      <c r="W390" s="107"/>
      <c r="X390" s="107"/>
      <c r="Y390" s="107"/>
      <c r="Z390" s="107"/>
    </row>
    <row r="391" ht="14.25" customHeight="1">
      <c r="A391" s="107"/>
      <c r="B391" s="107"/>
      <c r="C391" s="107"/>
      <c r="D391" s="107"/>
      <c r="E391" s="107"/>
      <c r="F391" s="218"/>
      <c r="G391" s="109"/>
      <c r="H391" s="107"/>
      <c r="I391" s="107" t="str">
        <f t="shared" si="6"/>
        <v>FULLY PAID</v>
      </c>
      <c r="J391" s="107"/>
      <c r="K391" s="107"/>
      <c r="L391" s="107"/>
      <c r="M391" s="107"/>
      <c r="N391" s="107"/>
      <c r="O391" s="107"/>
      <c r="P391" s="107"/>
      <c r="Q391" s="107"/>
      <c r="R391" s="107"/>
      <c r="S391" s="107"/>
      <c r="T391" s="107"/>
      <c r="U391" s="107"/>
      <c r="V391" s="107"/>
      <c r="W391" s="107"/>
      <c r="X391" s="107"/>
      <c r="Y391" s="107"/>
      <c r="Z391" s="107"/>
    </row>
    <row r="392" ht="14.25" customHeight="1">
      <c r="A392" s="107"/>
      <c r="B392" s="107"/>
      <c r="C392" s="132" t="s">
        <v>396</v>
      </c>
      <c r="D392" s="107"/>
      <c r="E392" s="107"/>
      <c r="F392" s="109"/>
      <c r="G392" s="109"/>
      <c r="H392" s="107"/>
      <c r="I392" s="107" t="str">
        <f t="shared" si="6"/>
        <v>FULLY PAID</v>
      </c>
      <c r="J392" s="107"/>
      <c r="K392" s="107"/>
      <c r="L392" s="107"/>
      <c r="M392" s="107"/>
      <c r="N392" s="107"/>
      <c r="O392" s="107"/>
      <c r="P392" s="107"/>
      <c r="Q392" s="107"/>
      <c r="R392" s="107"/>
      <c r="S392" s="107"/>
      <c r="T392" s="107"/>
      <c r="U392" s="107"/>
      <c r="V392" s="107"/>
      <c r="W392" s="107"/>
      <c r="X392" s="107"/>
      <c r="Y392" s="107"/>
      <c r="Z392" s="107"/>
    </row>
    <row r="393" ht="14.25" customHeight="1">
      <c r="A393" s="110">
        <v>45517.0</v>
      </c>
      <c r="B393" s="118" t="s">
        <v>162</v>
      </c>
      <c r="C393" s="119" t="s">
        <v>163</v>
      </c>
      <c r="D393" s="119" t="s">
        <v>54</v>
      </c>
      <c r="E393" s="219" t="s">
        <v>80</v>
      </c>
      <c r="F393" s="206">
        <v>139354.0</v>
      </c>
      <c r="G393" s="109"/>
      <c r="H393" s="111" t="s">
        <v>397</v>
      </c>
      <c r="I393" s="107" t="str">
        <f t="shared" si="6"/>
        <v>NOT PAID</v>
      </c>
      <c r="J393" s="107"/>
      <c r="K393" s="107"/>
      <c r="L393" s="107"/>
      <c r="M393" s="107"/>
      <c r="N393" s="107"/>
      <c r="O393" s="107"/>
      <c r="P393" s="107"/>
      <c r="Q393" s="107"/>
      <c r="R393" s="107"/>
      <c r="S393" s="107"/>
      <c r="T393" s="107"/>
      <c r="U393" s="107"/>
      <c r="V393" s="107"/>
      <c r="W393" s="107"/>
      <c r="X393" s="107"/>
      <c r="Y393" s="107"/>
      <c r="Z393" s="107"/>
    </row>
    <row r="394" ht="14.25" customHeight="1">
      <c r="A394" s="110">
        <v>45517.0</v>
      </c>
      <c r="B394" s="163" t="s">
        <v>209</v>
      </c>
      <c r="C394" s="164" t="s">
        <v>72</v>
      </c>
      <c r="D394" s="164" t="s">
        <v>54</v>
      </c>
      <c r="E394" s="207" t="s">
        <v>70</v>
      </c>
      <c r="F394" s="208">
        <v>440828.0</v>
      </c>
      <c r="G394" s="109"/>
      <c r="H394" s="142"/>
      <c r="I394" s="107" t="str">
        <f t="shared" si="6"/>
        <v>NOT PAID</v>
      </c>
      <c r="J394" s="107"/>
      <c r="K394" s="107"/>
      <c r="L394" s="107"/>
      <c r="M394" s="107"/>
      <c r="N394" s="107"/>
      <c r="O394" s="107"/>
      <c r="P394" s="107"/>
      <c r="Q394" s="107"/>
      <c r="R394" s="107"/>
      <c r="S394" s="107"/>
      <c r="T394" s="107"/>
      <c r="U394" s="107"/>
      <c r="V394" s="107"/>
      <c r="W394" s="107"/>
      <c r="X394" s="107"/>
      <c r="Y394" s="107"/>
      <c r="Z394" s="107"/>
    </row>
    <row r="395" ht="14.25" customHeight="1">
      <c r="A395" s="110">
        <v>45517.0</v>
      </c>
      <c r="B395" s="163" t="s">
        <v>71</v>
      </c>
      <c r="C395" s="164" t="s">
        <v>72</v>
      </c>
      <c r="D395" s="164" t="s">
        <v>54</v>
      </c>
      <c r="E395" s="207" t="s">
        <v>158</v>
      </c>
      <c r="F395" s="209">
        <v>2567815.0</v>
      </c>
      <c r="G395" s="109"/>
      <c r="H395" s="111" t="s">
        <v>398</v>
      </c>
      <c r="I395" s="107" t="str">
        <f t="shared" si="6"/>
        <v>NOT PAID</v>
      </c>
      <c r="J395" s="107"/>
      <c r="K395" s="107"/>
      <c r="L395" s="107"/>
      <c r="M395" s="107"/>
      <c r="N395" s="107"/>
      <c r="O395" s="107"/>
      <c r="P395" s="107"/>
      <c r="Q395" s="107"/>
      <c r="R395" s="107"/>
      <c r="S395" s="107"/>
      <c r="T395" s="107"/>
      <c r="U395" s="107"/>
      <c r="V395" s="107"/>
      <c r="W395" s="107"/>
      <c r="X395" s="107"/>
      <c r="Y395" s="107"/>
      <c r="Z395" s="107"/>
    </row>
    <row r="396" ht="14.25" customHeight="1">
      <c r="A396" s="110">
        <v>45517.0</v>
      </c>
      <c r="B396" s="163" t="s">
        <v>172</v>
      </c>
      <c r="C396" s="164" t="s">
        <v>79</v>
      </c>
      <c r="D396" s="164" t="s">
        <v>54</v>
      </c>
      <c r="E396" s="239" t="s">
        <v>80</v>
      </c>
      <c r="F396" s="208">
        <v>100000.0</v>
      </c>
      <c r="G396" s="113">
        <v>102000.0</v>
      </c>
      <c r="H396" s="111" t="s">
        <v>212</v>
      </c>
      <c r="I396" s="107" t="str">
        <f t="shared" si="6"/>
        <v>FULLY PAID</v>
      </c>
      <c r="J396" s="107"/>
      <c r="K396" s="107"/>
      <c r="L396" s="107"/>
      <c r="M396" s="107"/>
      <c r="N396" s="107"/>
      <c r="O396" s="107"/>
      <c r="P396" s="107"/>
      <c r="Q396" s="107"/>
      <c r="R396" s="107"/>
      <c r="S396" s="107"/>
      <c r="T396" s="107"/>
      <c r="U396" s="107"/>
      <c r="V396" s="107"/>
      <c r="W396" s="107"/>
      <c r="X396" s="107"/>
      <c r="Y396" s="107"/>
      <c r="Z396" s="107"/>
    </row>
    <row r="397" ht="14.25" customHeight="1">
      <c r="A397" s="110">
        <v>45517.0</v>
      </c>
      <c r="B397" s="212" t="s">
        <v>266</v>
      </c>
      <c r="C397" s="163" t="s">
        <v>79</v>
      </c>
      <c r="D397" s="164" t="s">
        <v>54</v>
      </c>
      <c r="E397" s="239" t="s">
        <v>80</v>
      </c>
      <c r="F397" s="208">
        <v>230000.0</v>
      </c>
      <c r="G397" s="109"/>
      <c r="H397" s="111" t="s">
        <v>61</v>
      </c>
      <c r="I397" s="107" t="str">
        <f t="shared" si="6"/>
        <v>NOT PAID</v>
      </c>
      <c r="J397" s="107"/>
      <c r="K397" s="107"/>
      <c r="L397" s="107"/>
      <c r="M397" s="107"/>
      <c r="N397" s="107"/>
      <c r="O397" s="107"/>
      <c r="P397" s="107"/>
      <c r="Q397" s="107"/>
      <c r="R397" s="107"/>
      <c r="S397" s="107"/>
      <c r="T397" s="107"/>
      <c r="U397" s="107"/>
      <c r="V397" s="107"/>
      <c r="W397" s="107"/>
      <c r="X397" s="107"/>
      <c r="Y397" s="107"/>
      <c r="Z397" s="107"/>
    </row>
    <row r="398" ht="14.25" customHeight="1">
      <c r="A398" s="110">
        <v>45517.0</v>
      </c>
      <c r="B398" s="165" t="s">
        <v>135</v>
      </c>
      <c r="C398" s="166" t="s">
        <v>136</v>
      </c>
      <c r="D398" s="166" t="s">
        <v>54</v>
      </c>
      <c r="E398" s="166" t="s">
        <v>70</v>
      </c>
      <c r="F398" s="167">
        <v>931059.0</v>
      </c>
      <c r="G398" s="109"/>
      <c r="H398" s="111" t="s">
        <v>399</v>
      </c>
      <c r="I398" s="107" t="str">
        <f t="shared" si="6"/>
        <v>NOT PAID</v>
      </c>
      <c r="J398" s="107"/>
      <c r="K398" s="107"/>
      <c r="L398" s="107"/>
      <c r="M398" s="107"/>
      <c r="N398" s="107"/>
      <c r="O398" s="107"/>
      <c r="P398" s="107"/>
      <c r="Q398" s="107"/>
      <c r="R398" s="107"/>
      <c r="S398" s="107"/>
      <c r="T398" s="107"/>
      <c r="U398" s="107"/>
      <c r="V398" s="107"/>
      <c r="W398" s="107"/>
      <c r="X398" s="107"/>
      <c r="Y398" s="107"/>
      <c r="Z398" s="107"/>
    </row>
    <row r="399" ht="12.0" customHeight="1">
      <c r="A399" s="110">
        <v>45517.0</v>
      </c>
      <c r="B399" s="118" t="s">
        <v>338</v>
      </c>
      <c r="C399" s="119" t="s">
        <v>339</v>
      </c>
      <c r="D399" s="119" t="s">
        <v>54</v>
      </c>
      <c r="E399" s="119" t="s">
        <v>359</v>
      </c>
      <c r="F399" s="120">
        <v>123283.0</v>
      </c>
      <c r="G399" s="109"/>
      <c r="H399" s="111" t="s">
        <v>400</v>
      </c>
      <c r="I399" s="107" t="str">
        <f t="shared" si="6"/>
        <v>NOT PAID</v>
      </c>
      <c r="J399" s="107"/>
      <c r="K399" s="107"/>
      <c r="L399" s="107"/>
      <c r="M399" s="107"/>
      <c r="N399" s="107"/>
      <c r="O399" s="107"/>
      <c r="P399" s="107"/>
      <c r="Q399" s="107"/>
      <c r="R399" s="107"/>
      <c r="S399" s="107"/>
      <c r="T399" s="107"/>
      <c r="U399" s="107"/>
      <c r="V399" s="107"/>
      <c r="W399" s="107"/>
      <c r="X399" s="107"/>
      <c r="Y399" s="107"/>
      <c r="Z399" s="107"/>
    </row>
    <row r="400" ht="16.5" customHeight="1">
      <c r="A400" s="110">
        <v>45517.0</v>
      </c>
      <c r="B400" s="232" t="s">
        <v>204</v>
      </c>
      <c r="C400" s="233" t="s">
        <v>205</v>
      </c>
      <c r="D400" s="233" t="s">
        <v>59</v>
      </c>
      <c r="E400" s="233" t="s">
        <v>70</v>
      </c>
      <c r="F400" s="241">
        <v>22112.0</v>
      </c>
      <c r="G400" s="113">
        <v>40512.0</v>
      </c>
      <c r="H400" s="111" t="s">
        <v>401</v>
      </c>
      <c r="I400" s="107" t="str">
        <f t="shared" si="6"/>
        <v>FULLY PAID</v>
      </c>
      <c r="J400" s="107"/>
      <c r="K400" s="107"/>
      <c r="L400" s="107"/>
      <c r="M400" s="107"/>
      <c r="N400" s="107"/>
      <c r="O400" s="107"/>
      <c r="P400" s="107"/>
      <c r="Q400" s="107"/>
      <c r="R400" s="107"/>
      <c r="S400" s="107"/>
      <c r="T400" s="107"/>
      <c r="U400" s="107"/>
      <c r="V400" s="107"/>
      <c r="W400" s="107"/>
      <c r="X400" s="107"/>
      <c r="Y400" s="107"/>
      <c r="Z400" s="107"/>
    </row>
    <row r="401" ht="14.25" customHeight="1">
      <c r="A401" s="110">
        <v>45517.0</v>
      </c>
      <c r="B401" s="163" t="s">
        <v>253</v>
      </c>
      <c r="C401" s="164" t="s">
        <v>58</v>
      </c>
      <c r="D401" s="164" t="s">
        <v>75</v>
      </c>
      <c r="E401" s="239" t="s">
        <v>70</v>
      </c>
      <c r="F401" s="208">
        <v>561775.0</v>
      </c>
      <c r="G401" s="109"/>
      <c r="H401" s="111" t="s">
        <v>402</v>
      </c>
      <c r="I401" s="107" t="str">
        <f t="shared" si="6"/>
        <v>NOT PAID</v>
      </c>
      <c r="J401" s="107"/>
      <c r="K401" s="107"/>
      <c r="L401" s="107"/>
      <c r="M401" s="107"/>
      <c r="N401" s="107"/>
      <c r="O401" s="107"/>
      <c r="P401" s="107"/>
      <c r="Q401" s="107"/>
      <c r="R401" s="107"/>
      <c r="S401" s="107"/>
      <c r="T401" s="107"/>
      <c r="U401" s="107"/>
      <c r="V401" s="107"/>
      <c r="W401" s="107"/>
      <c r="X401" s="107"/>
      <c r="Y401" s="107"/>
      <c r="Z401" s="107"/>
    </row>
    <row r="402" ht="14.25" customHeight="1">
      <c r="A402" s="110">
        <v>45517.0</v>
      </c>
      <c r="B402" s="111" t="s">
        <v>285</v>
      </c>
      <c r="C402" s="111" t="s">
        <v>403</v>
      </c>
      <c r="D402" s="111" t="s">
        <v>75</v>
      </c>
      <c r="E402" s="111" t="s">
        <v>70</v>
      </c>
      <c r="F402" s="113">
        <v>190969.0</v>
      </c>
      <c r="G402" s="113">
        <v>30000.0</v>
      </c>
      <c r="H402" s="111" t="s">
        <v>404</v>
      </c>
      <c r="I402" s="107" t="str">
        <f t="shared" si="6"/>
        <v>PARTIALLY PAID</v>
      </c>
      <c r="J402" s="107"/>
      <c r="K402" s="107"/>
      <c r="L402" s="107"/>
      <c r="M402" s="107"/>
      <c r="N402" s="107"/>
      <c r="O402" s="107"/>
      <c r="P402" s="107"/>
      <c r="Q402" s="107"/>
      <c r="R402" s="107"/>
      <c r="S402" s="107"/>
      <c r="T402" s="107"/>
      <c r="U402" s="107"/>
      <c r="V402" s="107"/>
      <c r="W402" s="107"/>
      <c r="X402" s="107"/>
      <c r="Y402" s="107"/>
      <c r="Z402" s="107"/>
    </row>
    <row r="403" ht="14.25" customHeight="1">
      <c r="A403" s="107"/>
      <c r="B403" s="107"/>
      <c r="C403" s="107"/>
      <c r="D403" s="107"/>
      <c r="E403" s="107"/>
      <c r="F403" s="109"/>
      <c r="G403" s="109"/>
      <c r="H403" s="107"/>
      <c r="I403" s="107" t="str">
        <f t="shared" si="6"/>
        <v>FULLY PAID</v>
      </c>
      <c r="J403" s="107"/>
      <c r="K403" s="107"/>
      <c r="L403" s="107"/>
      <c r="M403" s="107"/>
      <c r="N403" s="107"/>
      <c r="O403" s="107"/>
      <c r="P403" s="107"/>
      <c r="Q403" s="107"/>
      <c r="R403" s="107"/>
      <c r="S403" s="107"/>
      <c r="T403" s="107"/>
      <c r="U403" s="107"/>
      <c r="V403" s="107"/>
      <c r="W403" s="107"/>
      <c r="X403" s="107"/>
      <c r="Y403" s="107"/>
      <c r="Z403" s="107"/>
    </row>
    <row r="404" ht="14.25" customHeight="1">
      <c r="A404" s="107"/>
      <c r="B404" s="107"/>
      <c r="C404" s="107"/>
      <c r="D404" s="107"/>
      <c r="E404" s="107"/>
      <c r="F404" s="109"/>
      <c r="G404" s="109"/>
      <c r="H404" s="107"/>
      <c r="I404" s="107" t="str">
        <f t="shared" si="6"/>
        <v>FULLY PAID</v>
      </c>
      <c r="J404" s="107"/>
      <c r="K404" s="107"/>
      <c r="L404" s="107"/>
      <c r="M404" s="107"/>
      <c r="N404" s="107"/>
      <c r="O404" s="107"/>
      <c r="P404" s="107"/>
      <c r="Q404" s="107"/>
      <c r="R404" s="107"/>
      <c r="S404" s="107"/>
      <c r="T404" s="107"/>
      <c r="U404" s="107"/>
      <c r="V404" s="107"/>
      <c r="W404" s="107"/>
      <c r="X404" s="107"/>
      <c r="Y404" s="107"/>
      <c r="Z404" s="107"/>
    </row>
    <row r="405" ht="14.25" customHeight="1">
      <c r="A405" s="107"/>
      <c r="B405" s="111"/>
      <c r="C405" s="111"/>
      <c r="D405" s="111"/>
      <c r="E405" s="111"/>
      <c r="F405" s="113"/>
      <c r="G405" s="109"/>
      <c r="H405" s="107"/>
      <c r="I405" s="107" t="str">
        <f t="shared" si="6"/>
        <v>FULLY PAID</v>
      </c>
      <c r="J405" s="107"/>
      <c r="K405" s="107"/>
      <c r="L405" s="107"/>
      <c r="M405" s="107"/>
      <c r="N405" s="107"/>
      <c r="O405" s="107"/>
      <c r="P405" s="107"/>
      <c r="Q405" s="107"/>
      <c r="R405" s="107"/>
      <c r="S405" s="107"/>
      <c r="T405" s="107"/>
      <c r="U405" s="107"/>
      <c r="V405" s="107"/>
      <c r="W405" s="107"/>
      <c r="X405" s="107"/>
      <c r="Y405" s="107"/>
      <c r="Z405" s="107"/>
    </row>
    <row r="406" ht="14.25" customHeight="1">
      <c r="A406" s="110">
        <v>45517.0</v>
      </c>
      <c r="B406" s="111" t="s">
        <v>300</v>
      </c>
      <c r="C406" s="111" t="s">
        <v>301</v>
      </c>
      <c r="D406" s="111" t="s">
        <v>54</v>
      </c>
      <c r="E406" s="111" t="s">
        <v>199</v>
      </c>
      <c r="F406" s="113">
        <v>500000.0</v>
      </c>
      <c r="G406" s="109"/>
      <c r="H406" s="111" t="s">
        <v>405</v>
      </c>
      <c r="I406" s="107" t="str">
        <f t="shared" si="6"/>
        <v>NOT PAID</v>
      </c>
      <c r="J406" s="107"/>
      <c r="K406" s="107"/>
      <c r="L406" s="107"/>
      <c r="M406" s="107"/>
      <c r="N406" s="107"/>
      <c r="O406" s="107"/>
      <c r="P406" s="107"/>
      <c r="Q406" s="107"/>
      <c r="R406" s="107"/>
      <c r="S406" s="107"/>
      <c r="T406" s="107"/>
      <c r="U406" s="107"/>
      <c r="V406" s="107"/>
      <c r="W406" s="107"/>
      <c r="X406" s="107"/>
      <c r="Y406" s="107"/>
      <c r="Z406" s="107"/>
    </row>
    <row r="407" ht="14.25" customHeight="1">
      <c r="A407" s="110">
        <v>45517.0</v>
      </c>
      <c r="B407" s="111" t="s">
        <v>195</v>
      </c>
      <c r="C407" s="111" t="s">
        <v>196</v>
      </c>
      <c r="D407" s="111" t="s">
        <v>54</v>
      </c>
      <c r="E407" s="111" t="s">
        <v>110</v>
      </c>
      <c r="F407" s="113">
        <v>418381.86</v>
      </c>
      <c r="G407" s="109"/>
      <c r="H407" s="111" t="s">
        <v>406</v>
      </c>
      <c r="I407" s="107" t="str">
        <f t="shared" si="6"/>
        <v>NOT PAID</v>
      </c>
      <c r="J407" s="107"/>
      <c r="K407" s="107"/>
      <c r="L407" s="107"/>
      <c r="M407" s="107"/>
      <c r="N407" s="107"/>
      <c r="O407" s="107"/>
      <c r="P407" s="107"/>
      <c r="Q407" s="107"/>
      <c r="R407" s="107"/>
      <c r="S407" s="107"/>
      <c r="T407" s="107"/>
      <c r="U407" s="107"/>
      <c r="V407" s="107"/>
      <c r="W407" s="107"/>
      <c r="X407" s="107"/>
      <c r="Y407" s="107"/>
      <c r="Z407" s="107"/>
    </row>
    <row r="408" ht="14.25" customHeight="1">
      <c r="A408" s="110">
        <v>45517.0</v>
      </c>
      <c r="B408" s="111" t="s">
        <v>108</v>
      </c>
      <c r="C408" s="111" t="s">
        <v>109</v>
      </c>
      <c r="D408" s="111" t="s">
        <v>67</v>
      </c>
      <c r="E408" s="111" t="s">
        <v>110</v>
      </c>
      <c r="F408" s="113">
        <v>300529.21</v>
      </c>
      <c r="G408" s="109"/>
      <c r="H408" s="107"/>
      <c r="I408" s="107" t="str">
        <f t="shared" si="6"/>
        <v>NOT PAID</v>
      </c>
      <c r="J408" s="107"/>
      <c r="K408" s="107"/>
      <c r="L408" s="107"/>
      <c r="M408" s="107"/>
      <c r="N408" s="107"/>
      <c r="O408" s="107"/>
      <c r="P408" s="107"/>
      <c r="Q408" s="107"/>
      <c r="R408" s="107"/>
      <c r="S408" s="107"/>
      <c r="T408" s="107"/>
      <c r="U408" s="107"/>
      <c r="V408" s="107"/>
      <c r="W408" s="107"/>
      <c r="X408" s="107"/>
      <c r="Y408" s="107"/>
      <c r="Z408" s="107"/>
    </row>
    <row r="409" ht="14.25" customHeight="1">
      <c r="A409" s="110"/>
      <c r="B409" s="107"/>
      <c r="C409" s="107"/>
      <c r="D409" s="107"/>
      <c r="E409" s="107"/>
      <c r="F409" s="109"/>
      <c r="G409" s="109"/>
      <c r="H409" s="107"/>
      <c r="I409" s="107" t="str">
        <f t="shared" si="6"/>
        <v>FULLY PAID</v>
      </c>
      <c r="J409" s="107"/>
      <c r="K409" s="107"/>
      <c r="L409" s="107"/>
      <c r="M409" s="107"/>
      <c r="N409" s="107"/>
      <c r="O409" s="107"/>
      <c r="P409" s="107"/>
      <c r="Q409" s="107"/>
      <c r="R409" s="107"/>
      <c r="S409" s="107"/>
      <c r="T409" s="107"/>
      <c r="U409" s="107"/>
      <c r="V409" s="107"/>
      <c r="W409" s="107"/>
      <c r="X409" s="107"/>
      <c r="Y409" s="107"/>
      <c r="Z409" s="107"/>
    </row>
    <row r="410" ht="14.25" customHeight="1">
      <c r="A410" s="107"/>
      <c r="B410" s="107"/>
      <c r="C410" s="132" t="s">
        <v>407</v>
      </c>
      <c r="D410" s="107"/>
      <c r="E410" s="107"/>
      <c r="F410" s="109"/>
      <c r="G410" s="109"/>
      <c r="H410" s="107"/>
      <c r="I410" s="107" t="str">
        <f t="shared" si="6"/>
        <v>FULLY PAID</v>
      </c>
      <c r="J410" s="107"/>
      <c r="K410" s="107"/>
      <c r="L410" s="107"/>
      <c r="M410" s="107"/>
      <c r="N410" s="107"/>
      <c r="O410" s="107"/>
      <c r="P410" s="107"/>
      <c r="Q410" s="107"/>
      <c r="R410" s="107"/>
      <c r="S410" s="107"/>
      <c r="T410" s="107"/>
      <c r="U410" s="107"/>
      <c r="V410" s="107"/>
      <c r="W410" s="107"/>
      <c r="X410" s="107"/>
      <c r="Y410" s="107"/>
      <c r="Z410" s="107"/>
    </row>
    <row r="411" ht="14.25" customHeight="1">
      <c r="A411" s="110">
        <v>45518.0</v>
      </c>
      <c r="B411" s="118" t="s">
        <v>408</v>
      </c>
      <c r="C411" s="119" t="s">
        <v>409</v>
      </c>
      <c r="D411" s="119" t="s">
        <v>54</v>
      </c>
      <c r="E411" s="219" t="s">
        <v>55</v>
      </c>
      <c r="F411" s="227">
        <v>27699.0</v>
      </c>
      <c r="G411" s="109"/>
      <c r="H411" s="111" t="s">
        <v>61</v>
      </c>
      <c r="I411" s="107" t="str">
        <f t="shared" si="6"/>
        <v>NOT PAID</v>
      </c>
      <c r="J411" s="107"/>
      <c r="K411" s="107"/>
      <c r="L411" s="107"/>
      <c r="M411" s="107"/>
      <c r="N411" s="107"/>
      <c r="O411" s="107"/>
      <c r="P411" s="107"/>
      <c r="Q411" s="107"/>
      <c r="R411" s="107"/>
      <c r="S411" s="107"/>
      <c r="T411" s="107"/>
      <c r="U411" s="107"/>
      <c r="V411" s="107"/>
      <c r="W411" s="107"/>
      <c r="X411" s="107"/>
      <c r="Y411" s="107"/>
      <c r="Z411" s="107"/>
    </row>
    <row r="412" ht="14.25" customHeight="1">
      <c r="A412" s="110">
        <v>45518.0</v>
      </c>
      <c r="B412" s="163" t="s">
        <v>410</v>
      </c>
      <c r="C412" s="164" t="s">
        <v>411</v>
      </c>
      <c r="D412" s="164" t="s">
        <v>54</v>
      </c>
      <c r="E412" s="207" t="s">
        <v>80</v>
      </c>
      <c r="F412" s="229">
        <v>506763.0</v>
      </c>
      <c r="G412" s="109"/>
      <c r="H412" s="111" t="s">
        <v>412</v>
      </c>
      <c r="I412" s="107" t="str">
        <f t="shared" si="6"/>
        <v>NOT PAID</v>
      </c>
      <c r="J412" s="107"/>
      <c r="K412" s="107"/>
      <c r="L412" s="107"/>
      <c r="M412" s="107"/>
      <c r="N412" s="107"/>
      <c r="O412" s="107"/>
      <c r="P412" s="107"/>
      <c r="Q412" s="107"/>
      <c r="R412" s="107"/>
      <c r="S412" s="107"/>
      <c r="T412" s="107"/>
      <c r="U412" s="107"/>
      <c r="V412" s="107"/>
      <c r="W412" s="107"/>
      <c r="X412" s="107"/>
      <c r="Y412" s="107"/>
      <c r="Z412" s="107"/>
    </row>
    <row r="413" ht="14.25" customHeight="1">
      <c r="A413" s="110">
        <v>45518.0</v>
      </c>
      <c r="B413" s="114" t="s">
        <v>285</v>
      </c>
      <c r="C413" s="130" t="s">
        <v>286</v>
      </c>
      <c r="D413" s="164" t="s">
        <v>413</v>
      </c>
      <c r="E413" s="207" t="s">
        <v>70</v>
      </c>
      <c r="F413" s="228">
        <v>160969.0</v>
      </c>
      <c r="G413" s="109"/>
      <c r="H413" s="111" t="s">
        <v>414</v>
      </c>
      <c r="I413" s="107" t="str">
        <f t="shared" si="6"/>
        <v>NOT PAID</v>
      </c>
      <c r="J413" s="107"/>
      <c r="K413" s="107"/>
      <c r="L413" s="107"/>
      <c r="M413" s="107"/>
      <c r="N413" s="107"/>
      <c r="O413" s="107"/>
      <c r="P413" s="107"/>
      <c r="Q413" s="107"/>
      <c r="R413" s="107"/>
      <c r="S413" s="107"/>
      <c r="T413" s="107"/>
      <c r="U413" s="107"/>
      <c r="V413" s="107"/>
      <c r="W413" s="107"/>
      <c r="X413" s="107"/>
      <c r="Y413" s="107"/>
      <c r="Z413" s="107"/>
    </row>
    <row r="414" ht="14.25" customHeight="1">
      <c r="A414" s="110">
        <v>45518.0</v>
      </c>
      <c r="B414" s="163" t="s">
        <v>415</v>
      </c>
      <c r="C414" s="164" t="s">
        <v>79</v>
      </c>
      <c r="D414" s="164" t="s">
        <v>54</v>
      </c>
      <c r="E414" s="207" t="s">
        <v>80</v>
      </c>
      <c r="F414" s="228">
        <v>266698.0</v>
      </c>
      <c r="G414" s="109"/>
      <c r="H414" s="111" t="s">
        <v>61</v>
      </c>
      <c r="I414" s="107" t="str">
        <f t="shared" si="6"/>
        <v>NOT PAID</v>
      </c>
      <c r="J414" s="107"/>
      <c r="K414" s="107"/>
      <c r="L414" s="107"/>
      <c r="M414" s="107"/>
      <c r="N414" s="107"/>
      <c r="O414" s="107"/>
      <c r="P414" s="107"/>
      <c r="Q414" s="107"/>
      <c r="R414" s="107"/>
      <c r="S414" s="107"/>
      <c r="T414" s="107"/>
      <c r="U414" s="107"/>
      <c r="V414" s="107"/>
      <c r="W414" s="107"/>
      <c r="X414" s="107"/>
      <c r="Y414" s="107"/>
      <c r="Z414" s="107"/>
    </row>
    <row r="415" ht="14.25" customHeight="1">
      <c r="A415" s="110">
        <v>45518.0</v>
      </c>
      <c r="B415" s="212" t="s">
        <v>266</v>
      </c>
      <c r="C415" s="163" t="s">
        <v>79</v>
      </c>
      <c r="D415" s="164" t="s">
        <v>54</v>
      </c>
      <c r="E415" s="207" t="s">
        <v>80</v>
      </c>
      <c r="F415" s="228">
        <v>230000.0</v>
      </c>
      <c r="G415" s="109"/>
      <c r="H415" s="111" t="s">
        <v>61</v>
      </c>
      <c r="I415" s="107" t="str">
        <f t="shared" si="6"/>
        <v>NOT PAID</v>
      </c>
      <c r="J415" s="107"/>
      <c r="K415" s="107"/>
      <c r="L415" s="107"/>
      <c r="M415" s="107"/>
      <c r="N415" s="107"/>
      <c r="O415" s="107"/>
      <c r="P415" s="107"/>
      <c r="Q415" s="107"/>
      <c r="R415" s="107"/>
      <c r="S415" s="107"/>
      <c r="T415" s="107"/>
      <c r="U415" s="107"/>
      <c r="V415" s="107"/>
      <c r="W415" s="107"/>
      <c r="X415" s="107"/>
      <c r="Y415" s="107"/>
      <c r="Z415" s="107"/>
    </row>
    <row r="416" ht="14.25" customHeight="1">
      <c r="A416" s="110">
        <v>45518.0</v>
      </c>
      <c r="B416" s="118" t="s">
        <v>253</v>
      </c>
      <c r="C416" s="164" t="s">
        <v>58</v>
      </c>
      <c r="D416" s="164" t="s">
        <v>75</v>
      </c>
      <c r="E416" s="207" t="s">
        <v>70</v>
      </c>
      <c r="F416" s="228">
        <v>561775.0</v>
      </c>
      <c r="G416" s="109"/>
      <c r="H416" s="111" t="s">
        <v>416</v>
      </c>
      <c r="I416" s="107" t="str">
        <f t="shared" si="6"/>
        <v>NOT PAID</v>
      </c>
      <c r="J416" s="107"/>
      <c r="K416" s="107"/>
      <c r="L416" s="107"/>
      <c r="M416" s="107"/>
      <c r="N416" s="107"/>
      <c r="O416" s="107"/>
      <c r="P416" s="107"/>
      <c r="Q416" s="107"/>
      <c r="R416" s="107"/>
      <c r="S416" s="107"/>
      <c r="T416" s="107"/>
      <c r="U416" s="107"/>
      <c r="V416" s="107"/>
      <c r="W416" s="107"/>
      <c r="X416" s="107"/>
      <c r="Y416" s="107"/>
      <c r="Z416" s="107"/>
    </row>
    <row r="417" ht="14.25" customHeight="1">
      <c r="A417" s="110">
        <v>45518.0</v>
      </c>
      <c r="B417" s="163" t="s">
        <v>57</v>
      </c>
      <c r="C417" s="164" t="s">
        <v>58</v>
      </c>
      <c r="D417" s="164" t="s">
        <v>59</v>
      </c>
      <c r="E417" s="164" t="s">
        <v>70</v>
      </c>
      <c r="F417" s="230">
        <v>326022.0</v>
      </c>
      <c r="G417" s="109"/>
      <c r="H417" s="111" t="s">
        <v>416</v>
      </c>
      <c r="I417" s="107" t="str">
        <f t="shared" si="6"/>
        <v>NOT PAID</v>
      </c>
      <c r="J417" s="107"/>
      <c r="K417" s="107"/>
      <c r="L417" s="107"/>
      <c r="M417" s="107"/>
      <c r="N417" s="107"/>
      <c r="O417" s="107"/>
      <c r="P417" s="107"/>
      <c r="Q417" s="107"/>
      <c r="R417" s="107"/>
      <c r="S417" s="107"/>
      <c r="T417" s="107"/>
      <c r="U417" s="107"/>
      <c r="V417" s="107"/>
      <c r="W417" s="107"/>
      <c r="X417" s="107"/>
      <c r="Y417" s="107"/>
      <c r="Z417" s="107"/>
    </row>
    <row r="418" ht="18.75" customHeight="1">
      <c r="A418" s="110">
        <v>45518.0</v>
      </c>
      <c r="B418" s="163" t="s">
        <v>108</v>
      </c>
      <c r="C418" s="164" t="s">
        <v>109</v>
      </c>
      <c r="D418" s="164" t="s">
        <v>67</v>
      </c>
      <c r="E418" s="164" t="s">
        <v>110</v>
      </c>
      <c r="F418" s="230">
        <v>302529.21</v>
      </c>
      <c r="G418" s="109"/>
      <c r="H418" s="111" t="s">
        <v>357</v>
      </c>
      <c r="I418" s="107" t="str">
        <f t="shared" si="6"/>
        <v>NOT PAID</v>
      </c>
      <c r="J418" s="107"/>
      <c r="K418" s="107"/>
      <c r="L418" s="107"/>
      <c r="M418" s="107"/>
      <c r="N418" s="107"/>
      <c r="O418" s="107"/>
      <c r="P418" s="107"/>
      <c r="Q418" s="107"/>
      <c r="R418" s="107"/>
      <c r="S418" s="107"/>
      <c r="T418" s="107"/>
      <c r="U418" s="107"/>
      <c r="V418" s="107"/>
      <c r="W418" s="107"/>
      <c r="X418" s="107"/>
      <c r="Y418" s="107"/>
      <c r="Z418" s="107"/>
    </row>
    <row r="419" ht="14.25" customHeight="1">
      <c r="A419" s="110">
        <v>45518.0</v>
      </c>
      <c r="B419" s="163" t="s">
        <v>195</v>
      </c>
      <c r="C419" s="164" t="s">
        <v>196</v>
      </c>
      <c r="D419" s="164" t="s">
        <v>54</v>
      </c>
      <c r="E419" s="230" t="s">
        <v>110</v>
      </c>
      <c r="F419" s="230">
        <v>418381.86</v>
      </c>
      <c r="G419" s="109"/>
      <c r="H419" s="111" t="s">
        <v>417</v>
      </c>
      <c r="I419" s="107" t="str">
        <f t="shared" si="6"/>
        <v>NOT PAID</v>
      </c>
      <c r="J419" s="107"/>
      <c r="K419" s="107"/>
      <c r="L419" s="107"/>
      <c r="M419" s="107"/>
      <c r="N419" s="107"/>
      <c r="O419" s="107"/>
      <c r="P419" s="107"/>
      <c r="Q419" s="107"/>
      <c r="R419" s="107"/>
      <c r="S419" s="107"/>
      <c r="T419" s="107"/>
      <c r="U419" s="107"/>
      <c r="V419" s="107"/>
      <c r="W419" s="107"/>
      <c r="X419" s="107"/>
      <c r="Y419" s="107"/>
      <c r="Z419" s="107"/>
    </row>
    <row r="420" ht="14.25" customHeight="1">
      <c r="A420" s="110">
        <v>45518.0</v>
      </c>
      <c r="B420" s="165" t="s">
        <v>135</v>
      </c>
      <c r="C420" s="166" t="s">
        <v>136</v>
      </c>
      <c r="D420" s="166" t="s">
        <v>54</v>
      </c>
      <c r="E420" s="166" t="s">
        <v>70</v>
      </c>
      <c r="F420" s="231">
        <v>931059.0</v>
      </c>
      <c r="G420" s="109"/>
      <c r="H420" s="111" t="s">
        <v>418</v>
      </c>
      <c r="I420" s="107" t="str">
        <f t="shared" si="6"/>
        <v>NOT PAID</v>
      </c>
      <c r="J420" s="107"/>
      <c r="K420" s="107"/>
      <c r="L420" s="107"/>
      <c r="M420" s="107"/>
      <c r="N420" s="107"/>
      <c r="O420" s="107"/>
      <c r="P420" s="107"/>
      <c r="Q420" s="107"/>
      <c r="R420" s="107"/>
      <c r="S420" s="107"/>
      <c r="T420" s="107"/>
      <c r="U420" s="107"/>
      <c r="V420" s="107"/>
      <c r="W420" s="107"/>
      <c r="X420" s="107"/>
      <c r="Y420" s="107"/>
      <c r="Z420" s="107"/>
    </row>
    <row r="421" ht="14.25" customHeight="1">
      <c r="A421" s="110">
        <v>45518.0</v>
      </c>
      <c r="B421" s="118" t="s">
        <v>338</v>
      </c>
      <c r="C421" s="119" t="s">
        <v>339</v>
      </c>
      <c r="D421" s="119" t="s">
        <v>54</v>
      </c>
      <c r="E421" s="119" t="s">
        <v>359</v>
      </c>
      <c r="F421" s="160">
        <v>123283.0</v>
      </c>
      <c r="G421" s="113">
        <v>125000.0</v>
      </c>
      <c r="H421" s="111" t="s">
        <v>212</v>
      </c>
      <c r="I421" s="107" t="str">
        <f t="shared" si="6"/>
        <v>FULLY PAID</v>
      </c>
      <c r="J421" s="107"/>
      <c r="K421" s="107"/>
      <c r="L421" s="107"/>
      <c r="M421" s="107"/>
      <c r="N421" s="107"/>
      <c r="O421" s="107"/>
      <c r="P421" s="107"/>
      <c r="Q421" s="107"/>
      <c r="R421" s="107"/>
      <c r="S421" s="107"/>
      <c r="T421" s="107"/>
      <c r="U421" s="107"/>
      <c r="V421" s="107"/>
      <c r="W421" s="107"/>
      <c r="X421" s="107"/>
      <c r="Y421" s="107"/>
      <c r="Z421" s="107"/>
    </row>
    <row r="422" ht="14.25" customHeight="1">
      <c r="A422" s="110">
        <v>45518.0</v>
      </c>
      <c r="B422" s="111" t="s">
        <v>419</v>
      </c>
      <c r="C422" s="111" t="s">
        <v>420</v>
      </c>
      <c r="D422" s="226" t="s">
        <v>54</v>
      </c>
      <c r="E422" s="111" t="s">
        <v>70</v>
      </c>
      <c r="F422" s="113">
        <v>482963.0</v>
      </c>
      <c r="G422" s="113">
        <v>482963.0</v>
      </c>
      <c r="H422" s="111" t="s">
        <v>155</v>
      </c>
      <c r="I422" s="107" t="str">
        <f t="shared" si="6"/>
        <v>FULLY PAID</v>
      </c>
      <c r="J422" s="107"/>
      <c r="K422" s="107"/>
      <c r="L422" s="107"/>
      <c r="M422" s="107"/>
      <c r="N422" s="107"/>
      <c r="O422" s="107"/>
      <c r="P422" s="107"/>
      <c r="Q422" s="107"/>
      <c r="R422" s="107"/>
      <c r="S422" s="107"/>
      <c r="T422" s="107"/>
      <c r="U422" s="107"/>
      <c r="V422" s="107"/>
      <c r="W422" s="107"/>
      <c r="X422" s="107"/>
      <c r="Y422" s="107"/>
      <c r="Z422" s="107"/>
    </row>
    <row r="423" ht="14.25" customHeight="1">
      <c r="A423" s="107"/>
      <c r="B423" s="107"/>
      <c r="C423" s="128"/>
      <c r="D423" s="107"/>
      <c r="E423" s="107"/>
      <c r="F423" s="109"/>
      <c r="G423" s="109"/>
      <c r="H423" s="107"/>
      <c r="I423" s="107" t="str">
        <f t="shared" si="6"/>
        <v>FULLY PAID</v>
      </c>
      <c r="J423" s="107"/>
      <c r="K423" s="107"/>
      <c r="L423" s="107"/>
      <c r="M423" s="107"/>
      <c r="N423" s="107"/>
      <c r="O423" s="107"/>
      <c r="P423" s="107"/>
      <c r="Q423" s="107"/>
      <c r="R423" s="107"/>
      <c r="S423" s="107"/>
      <c r="T423" s="107"/>
      <c r="U423" s="107"/>
      <c r="V423" s="107"/>
      <c r="W423" s="107"/>
      <c r="X423" s="107"/>
      <c r="Y423" s="107"/>
      <c r="Z423" s="107"/>
    </row>
    <row r="424" ht="14.25" customHeight="1">
      <c r="A424" s="107"/>
      <c r="B424" s="107"/>
      <c r="C424" s="132" t="s">
        <v>421</v>
      </c>
      <c r="D424" s="107"/>
      <c r="E424" s="107"/>
      <c r="F424" s="109"/>
      <c r="G424" s="109"/>
      <c r="H424" s="107"/>
      <c r="I424" s="107" t="str">
        <f t="shared" si="6"/>
        <v>FULLY PAID</v>
      </c>
      <c r="J424" s="107"/>
      <c r="K424" s="107"/>
      <c r="L424" s="107"/>
      <c r="M424" s="107"/>
      <c r="N424" s="107"/>
      <c r="O424" s="107"/>
      <c r="P424" s="107"/>
      <c r="Q424" s="107"/>
      <c r="R424" s="107"/>
      <c r="S424" s="107"/>
      <c r="T424" s="107"/>
      <c r="U424" s="107"/>
      <c r="V424" s="107"/>
      <c r="W424" s="107"/>
      <c r="X424" s="107"/>
      <c r="Y424" s="107"/>
      <c r="Z424" s="107"/>
    </row>
    <row r="425" ht="14.25" customHeight="1">
      <c r="A425" s="110">
        <v>45519.0</v>
      </c>
      <c r="B425" s="118" t="s">
        <v>408</v>
      </c>
      <c r="C425" s="119" t="s">
        <v>409</v>
      </c>
      <c r="D425" s="119" t="s">
        <v>54</v>
      </c>
      <c r="E425" s="219" t="s">
        <v>80</v>
      </c>
      <c r="F425" s="227">
        <v>27699.0</v>
      </c>
      <c r="G425" s="113">
        <v>100000.0</v>
      </c>
      <c r="H425" s="111" t="s">
        <v>212</v>
      </c>
      <c r="I425" s="107" t="str">
        <f t="shared" si="6"/>
        <v>FULLY PAID</v>
      </c>
      <c r="J425" s="107"/>
      <c r="K425" s="107"/>
      <c r="L425" s="107"/>
      <c r="M425" s="107"/>
      <c r="N425" s="107"/>
      <c r="O425" s="107"/>
      <c r="P425" s="107"/>
      <c r="Q425" s="107"/>
      <c r="R425" s="107"/>
      <c r="S425" s="107"/>
      <c r="T425" s="107"/>
      <c r="U425" s="107"/>
      <c r="V425" s="107"/>
      <c r="W425" s="107"/>
      <c r="X425" s="107"/>
      <c r="Y425" s="107"/>
      <c r="Z425" s="107"/>
    </row>
    <row r="426" ht="14.25" customHeight="1">
      <c r="A426" s="110">
        <v>45519.0</v>
      </c>
      <c r="B426" s="163" t="s">
        <v>410</v>
      </c>
      <c r="C426" s="164" t="s">
        <v>411</v>
      </c>
      <c r="D426" s="164" t="s">
        <v>54</v>
      </c>
      <c r="E426" s="207" t="s">
        <v>80</v>
      </c>
      <c r="F426" s="229">
        <v>506763.0</v>
      </c>
      <c r="G426" s="113">
        <v>506000.0</v>
      </c>
      <c r="H426" s="111" t="s">
        <v>422</v>
      </c>
      <c r="I426" s="107" t="str">
        <f t="shared" si="6"/>
        <v>PARTIALLY PAID</v>
      </c>
      <c r="J426" s="107"/>
      <c r="K426" s="107"/>
      <c r="L426" s="107"/>
      <c r="M426" s="107"/>
      <c r="N426" s="107"/>
      <c r="O426" s="107"/>
      <c r="P426" s="107"/>
      <c r="Q426" s="107"/>
      <c r="R426" s="107"/>
      <c r="S426" s="107"/>
      <c r="T426" s="107"/>
      <c r="U426" s="107"/>
      <c r="V426" s="107"/>
      <c r="W426" s="107"/>
      <c r="X426" s="107"/>
      <c r="Y426" s="107"/>
      <c r="Z426" s="107"/>
    </row>
    <row r="427" ht="14.25" customHeight="1">
      <c r="A427" s="110">
        <v>45519.0</v>
      </c>
      <c r="B427" s="163" t="s">
        <v>423</v>
      </c>
      <c r="C427" s="164" t="s">
        <v>424</v>
      </c>
      <c r="D427" s="164" t="s">
        <v>413</v>
      </c>
      <c r="E427" s="207" t="s">
        <v>70</v>
      </c>
      <c r="F427" s="229">
        <v>880000.0</v>
      </c>
      <c r="G427" s="113">
        <v>44000.0</v>
      </c>
      <c r="H427" s="111" t="s">
        <v>425</v>
      </c>
      <c r="I427" s="107" t="str">
        <f t="shared" si="6"/>
        <v>PARTIALLY PAID</v>
      </c>
      <c r="J427" s="107"/>
      <c r="K427" s="107"/>
      <c r="L427" s="107"/>
      <c r="M427" s="107"/>
      <c r="N427" s="107"/>
      <c r="O427" s="107"/>
      <c r="P427" s="107"/>
      <c r="Q427" s="107"/>
      <c r="R427" s="107"/>
      <c r="S427" s="107"/>
      <c r="T427" s="107"/>
      <c r="U427" s="107"/>
      <c r="V427" s="107"/>
      <c r="W427" s="107"/>
      <c r="X427" s="107"/>
      <c r="Y427" s="107"/>
      <c r="Z427" s="107"/>
    </row>
    <row r="428" ht="14.25" customHeight="1">
      <c r="A428" s="110">
        <v>45519.0</v>
      </c>
      <c r="B428" s="163" t="s">
        <v>426</v>
      </c>
      <c r="C428" s="164" t="s">
        <v>427</v>
      </c>
      <c r="D428" s="230" t="s">
        <v>54</v>
      </c>
      <c r="E428" s="164" t="s">
        <v>428</v>
      </c>
      <c r="F428" s="168">
        <v>95051.0</v>
      </c>
      <c r="G428" s="147"/>
      <c r="H428" s="122" t="s">
        <v>61</v>
      </c>
      <c r="I428" s="107" t="str">
        <f t="shared" si="6"/>
        <v>NOT PAID</v>
      </c>
      <c r="J428" s="107"/>
      <c r="K428" s="107"/>
      <c r="L428" s="107"/>
      <c r="M428" s="107"/>
      <c r="N428" s="107"/>
      <c r="O428" s="107"/>
      <c r="P428" s="107"/>
      <c r="Q428" s="107"/>
      <c r="R428" s="107"/>
      <c r="S428" s="107"/>
      <c r="T428" s="107"/>
      <c r="U428" s="107"/>
      <c r="V428" s="107"/>
      <c r="W428" s="107"/>
      <c r="X428" s="107"/>
      <c r="Y428" s="107"/>
      <c r="Z428" s="107"/>
    </row>
    <row r="429" ht="14.25" customHeight="1">
      <c r="A429" s="110">
        <v>45519.0</v>
      </c>
      <c r="B429" s="114" t="s">
        <v>285</v>
      </c>
      <c r="C429" s="130" t="s">
        <v>286</v>
      </c>
      <c r="D429" s="230" t="s">
        <v>413</v>
      </c>
      <c r="E429" s="207" t="s">
        <v>70</v>
      </c>
      <c r="F429" s="228">
        <v>160969.0</v>
      </c>
      <c r="G429" s="184"/>
      <c r="H429" s="226" t="s">
        <v>429</v>
      </c>
      <c r="I429" s="107" t="str">
        <f t="shared" si="6"/>
        <v>NOT PAID</v>
      </c>
      <c r="J429" s="107"/>
      <c r="K429" s="107"/>
      <c r="L429" s="107"/>
      <c r="M429" s="107"/>
      <c r="N429" s="107"/>
      <c r="O429" s="107"/>
      <c r="P429" s="107"/>
      <c r="Q429" s="107"/>
      <c r="R429" s="107"/>
      <c r="S429" s="107"/>
      <c r="T429" s="107"/>
      <c r="U429" s="107"/>
      <c r="V429" s="107"/>
      <c r="W429" s="107"/>
      <c r="X429" s="107"/>
      <c r="Y429" s="107"/>
      <c r="Z429" s="107"/>
    </row>
    <row r="430" ht="14.25" customHeight="1">
      <c r="A430" s="110">
        <v>45519.0</v>
      </c>
      <c r="B430" s="163" t="s">
        <v>415</v>
      </c>
      <c r="C430" s="164" t="s">
        <v>79</v>
      </c>
      <c r="D430" s="230" t="s">
        <v>54</v>
      </c>
      <c r="E430" s="207" t="s">
        <v>80</v>
      </c>
      <c r="F430" s="228">
        <v>266698.0</v>
      </c>
      <c r="G430" s="184"/>
      <c r="H430" s="111" t="s">
        <v>61</v>
      </c>
      <c r="I430" s="107" t="str">
        <f t="shared" si="6"/>
        <v>NOT PAID</v>
      </c>
      <c r="J430" s="107"/>
      <c r="K430" s="107"/>
      <c r="L430" s="107"/>
      <c r="M430" s="107"/>
      <c r="N430" s="107"/>
      <c r="O430" s="107"/>
      <c r="P430" s="107"/>
      <c r="Q430" s="107"/>
      <c r="R430" s="107"/>
      <c r="S430" s="107"/>
      <c r="T430" s="107"/>
      <c r="U430" s="107"/>
      <c r="V430" s="107"/>
      <c r="W430" s="107"/>
      <c r="X430" s="107"/>
      <c r="Y430" s="107"/>
      <c r="Z430" s="107"/>
    </row>
    <row r="431" ht="14.25" customHeight="1">
      <c r="A431" s="110">
        <v>45519.0</v>
      </c>
      <c r="B431" s="212" t="s">
        <v>266</v>
      </c>
      <c r="C431" s="163" t="s">
        <v>79</v>
      </c>
      <c r="D431" s="230" t="s">
        <v>54</v>
      </c>
      <c r="E431" s="207" t="s">
        <v>80</v>
      </c>
      <c r="F431" s="228">
        <v>230000.0</v>
      </c>
      <c r="G431" s="184"/>
      <c r="H431" s="111" t="s">
        <v>61</v>
      </c>
      <c r="I431" s="107" t="str">
        <f t="shared" si="6"/>
        <v>NOT PAID</v>
      </c>
      <c r="J431" s="107"/>
      <c r="K431" s="107"/>
      <c r="L431" s="107"/>
      <c r="M431" s="107"/>
      <c r="N431" s="107"/>
      <c r="O431" s="107"/>
      <c r="P431" s="107"/>
      <c r="Q431" s="107"/>
      <c r="R431" s="107"/>
      <c r="S431" s="107"/>
      <c r="T431" s="107"/>
      <c r="U431" s="107"/>
      <c r="V431" s="107"/>
      <c r="W431" s="107"/>
      <c r="X431" s="107"/>
      <c r="Y431" s="107"/>
      <c r="Z431" s="107"/>
    </row>
    <row r="432" ht="14.25" customHeight="1">
      <c r="A432" s="110">
        <v>45519.0</v>
      </c>
      <c r="B432" s="118" t="s">
        <v>253</v>
      </c>
      <c r="C432" s="164" t="s">
        <v>58</v>
      </c>
      <c r="D432" s="164" t="s">
        <v>75</v>
      </c>
      <c r="E432" s="207" t="s">
        <v>70</v>
      </c>
      <c r="F432" s="228">
        <v>561775.0</v>
      </c>
      <c r="G432" s="109"/>
      <c r="H432" s="111" t="s">
        <v>430</v>
      </c>
      <c r="I432" s="107" t="str">
        <f t="shared" si="6"/>
        <v>NOT PAID</v>
      </c>
      <c r="J432" s="107"/>
      <c r="K432" s="107"/>
      <c r="L432" s="107"/>
      <c r="M432" s="107"/>
      <c r="N432" s="107"/>
      <c r="O432" s="107"/>
      <c r="P432" s="107"/>
      <c r="Q432" s="107"/>
      <c r="R432" s="107"/>
      <c r="S432" s="107"/>
      <c r="T432" s="107"/>
      <c r="U432" s="107"/>
      <c r="V432" s="107"/>
      <c r="W432" s="107"/>
      <c r="X432" s="107"/>
      <c r="Y432" s="107"/>
      <c r="Z432" s="107"/>
    </row>
    <row r="433" ht="14.25" customHeight="1">
      <c r="A433" s="110">
        <v>45519.0</v>
      </c>
      <c r="B433" s="163" t="s">
        <v>57</v>
      </c>
      <c r="C433" s="164" t="s">
        <v>58</v>
      </c>
      <c r="D433" s="164" t="s">
        <v>59</v>
      </c>
      <c r="E433" s="164" t="s">
        <v>70</v>
      </c>
      <c r="F433" s="230">
        <v>326022.0</v>
      </c>
      <c r="G433" s="109"/>
      <c r="H433" s="111" t="s">
        <v>431</v>
      </c>
      <c r="I433" s="107" t="str">
        <f t="shared" si="6"/>
        <v>NOT PAID</v>
      </c>
      <c r="J433" s="107"/>
      <c r="K433" s="107"/>
      <c r="L433" s="107"/>
      <c r="M433" s="107"/>
      <c r="N433" s="107"/>
      <c r="O433" s="107"/>
      <c r="P433" s="107"/>
      <c r="Q433" s="107"/>
      <c r="R433" s="107"/>
      <c r="S433" s="107"/>
      <c r="T433" s="107"/>
      <c r="U433" s="107"/>
      <c r="V433" s="107"/>
      <c r="W433" s="107"/>
      <c r="X433" s="107"/>
      <c r="Y433" s="107"/>
      <c r="Z433" s="107"/>
    </row>
    <row r="434" ht="14.25" customHeight="1">
      <c r="A434" s="110">
        <v>45519.0</v>
      </c>
      <c r="B434" s="165" t="s">
        <v>135</v>
      </c>
      <c r="C434" s="166" t="s">
        <v>136</v>
      </c>
      <c r="D434" s="166" t="s">
        <v>54</v>
      </c>
      <c r="E434" s="166" t="s">
        <v>70</v>
      </c>
      <c r="F434" s="231">
        <v>931059.0</v>
      </c>
      <c r="G434" s="109"/>
      <c r="H434" s="111" t="s">
        <v>429</v>
      </c>
      <c r="I434" s="107" t="str">
        <f t="shared" si="6"/>
        <v>NOT PAID</v>
      </c>
      <c r="J434" s="107"/>
      <c r="K434" s="107"/>
      <c r="L434" s="107"/>
      <c r="M434" s="107"/>
      <c r="N434" s="107"/>
      <c r="O434" s="107"/>
      <c r="P434" s="107"/>
      <c r="Q434" s="107"/>
      <c r="R434" s="107"/>
      <c r="S434" s="107"/>
      <c r="T434" s="107"/>
      <c r="U434" s="107"/>
      <c r="V434" s="107"/>
      <c r="W434" s="107"/>
      <c r="X434" s="107"/>
      <c r="Y434" s="107"/>
      <c r="Z434" s="107"/>
    </row>
    <row r="435" ht="14.25" customHeight="1">
      <c r="A435" s="110">
        <v>45519.0</v>
      </c>
      <c r="B435" s="118" t="s">
        <v>432</v>
      </c>
      <c r="C435" s="119" t="s">
        <v>433</v>
      </c>
      <c r="D435" s="119" t="s">
        <v>54</v>
      </c>
      <c r="E435" s="119" t="s">
        <v>428</v>
      </c>
      <c r="F435" s="120">
        <v>64500.0</v>
      </c>
      <c r="G435" s="113">
        <v>64500.0</v>
      </c>
      <c r="H435" s="111" t="s">
        <v>175</v>
      </c>
      <c r="I435" s="107" t="str">
        <f t="shared" si="6"/>
        <v>FULLY PAID</v>
      </c>
      <c r="J435" s="107"/>
      <c r="K435" s="107"/>
      <c r="L435" s="107"/>
      <c r="M435" s="107"/>
      <c r="N435" s="107"/>
      <c r="O435" s="107"/>
      <c r="P435" s="107"/>
      <c r="Q435" s="107"/>
      <c r="R435" s="107"/>
      <c r="S435" s="107"/>
      <c r="T435" s="107"/>
      <c r="U435" s="107"/>
      <c r="V435" s="107"/>
      <c r="W435" s="107"/>
      <c r="X435" s="107"/>
      <c r="Y435" s="107"/>
      <c r="Z435" s="107"/>
    </row>
    <row r="436" ht="14.25" customHeight="1">
      <c r="A436" s="110">
        <v>45519.0</v>
      </c>
      <c r="B436" s="111" t="s">
        <v>52</v>
      </c>
      <c r="C436" s="111" t="s">
        <v>434</v>
      </c>
      <c r="D436" s="111" t="s">
        <v>54</v>
      </c>
      <c r="E436" s="111" t="s">
        <v>70</v>
      </c>
      <c r="F436" s="113">
        <v>53137.0</v>
      </c>
      <c r="G436" s="109"/>
      <c r="H436" s="111" t="s">
        <v>435</v>
      </c>
      <c r="I436" s="107" t="str">
        <f t="shared" si="6"/>
        <v>NOT PAID</v>
      </c>
      <c r="J436" s="107"/>
      <c r="K436" s="107"/>
      <c r="L436" s="107"/>
      <c r="M436" s="107"/>
      <c r="N436" s="107"/>
      <c r="O436" s="107"/>
      <c r="P436" s="107"/>
      <c r="Q436" s="107"/>
      <c r="R436" s="107"/>
      <c r="S436" s="107"/>
      <c r="T436" s="107"/>
      <c r="U436" s="107"/>
      <c r="V436" s="107"/>
      <c r="W436" s="107"/>
      <c r="X436" s="107"/>
      <c r="Y436" s="107"/>
      <c r="Z436" s="107"/>
    </row>
    <row r="437" ht="14.25" customHeight="1">
      <c r="A437" s="107"/>
      <c r="B437" s="107"/>
      <c r="C437" s="107"/>
      <c r="D437" s="107"/>
      <c r="E437" s="107"/>
      <c r="F437" s="109"/>
      <c r="G437" s="109"/>
      <c r="H437" s="107"/>
      <c r="I437" s="107" t="str">
        <f t="shared" si="6"/>
        <v>FULLY PAID</v>
      </c>
      <c r="J437" s="107"/>
      <c r="K437" s="107"/>
      <c r="L437" s="107"/>
      <c r="M437" s="107"/>
      <c r="N437" s="107"/>
      <c r="O437" s="107"/>
      <c r="P437" s="107"/>
      <c r="Q437" s="107"/>
      <c r="R437" s="107"/>
      <c r="S437" s="107"/>
      <c r="T437" s="107"/>
      <c r="U437" s="107"/>
      <c r="V437" s="107"/>
      <c r="W437" s="107"/>
      <c r="X437" s="107"/>
      <c r="Y437" s="107"/>
      <c r="Z437" s="107"/>
    </row>
    <row r="438" ht="14.25" customHeight="1">
      <c r="A438" s="107"/>
      <c r="B438" s="107"/>
      <c r="C438" s="107"/>
      <c r="D438" s="107"/>
      <c r="E438" s="107"/>
      <c r="F438" s="109"/>
      <c r="G438" s="109"/>
      <c r="H438" s="107"/>
      <c r="I438" s="107" t="str">
        <f t="shared" si="6"/>
        <v>FULLY PAID</v>
      </c>
      <c r="J438" s="107"/>
      <c r="K438" s="107"/>
      <c r="L438" s="107"/>
      <c r="M438" s="107"/>
      <c r="N438" s="107"/>
      <c r="O438" s="107"/>
      <c r="P438" s="107"/>
      <c r="Q438" s="107"/>
      <c r="R438" s="107"/>
      <c r="S438" s="107"/>
      <c r="T438" s="107"/>
      <c r="U438" s="107"/>
      <c r="V438" s="107"/>
      <c r="W438" s="107"/>
      <c r="X438" s="107"/>
      <c r="Y438" s="107"/>
      <c r="Z438" s="107"/>
    </row>
    <row r="439" ht="14.25" customHeight="1">
      <c r="A439" s="107"/>
      <c r="B439" s="107"/>
      <c r="C439" s="111" t="s">
        <v>269</v>
      </c>
      <c r="D439" s="107"/>
      <c r="E439" s="107"/>
      <c r="F439" s="109"/>
      <c r="G439" s="109"/>
      <c r="H439" s="107"/>
      <c r="I439" s="107" t="str">
        <f t="shared" si="6"/>
        <v>FULLY PAID</v>
      </c>
      <c r="J439" s="107"/>
      <c r="K439" s="107"/>
      <c r="L439" s="107"/>
      <c r="M439" s="107"/>
      <c r="N439" s="107"/>
      <c r="O439" s="107"/>
      <c r="P439" s="107"/>
      <c r="Q439" s="107"/>
      <c r="R439" s="107"/>
      <c r="S439" s="107"/>
      <c r="T439" s="107"/>
      <c r="U439" s="107"/>
      <c r="V439" s="107"/>
      <c r="W439" s="107"/>
      <c r="X439" s="107"/>
      <c r="Y439" s="107"/>
      <c r="Z439" s="107"/>
    </row>
    <row r="440" ht="14.25" customHeight="1">
      <c r="A440" s="110">
        <v>45519.0</v>
      </c>
      <c r="B440" s="111" t="s">
        <v>108</v>
      </c>
      <c r="C440" s="111" t="s">
        <v>109</v>
      </c>
      <c r="D440" s="111" t="s">
        <v>67</v>
      </c>
      <c r="E440" s="111" t="s">
        <v>110</v>
      </c>
      <c r="F440" s="113">
        <v>302529.21</v>
      </c>
      <c r="G440" s="109"/>
      <c r="H440" s="107"/>
      <c r="I440" s="107" t="str">
        <f t="shared" si="6"/>
        <v>NOT PAID</v>
      </c>
      <c r="J440" s="107"/>
      <c r="K440" s="107"/>
      <c r="L440" s="107"/>
      <c r="M440" s="107"/>
      <c r="N440" s="107"/>
      <c r="O440" s="107"/>
      <c r="P440" s="107"/>
      <c r="Q440" s="107"/>
      <c r="R440" s="107"/>
      <c r="S440" s="107"/>
      <c r="T440" s="107"/>
      <c r="U440" s="107"/>
      <c r="V440" s="107"/>
      <c r="W440" s="107"/>
      <c r="X440" s="107"/>
      <c r="Y440" s="107"/>
      <c r="Z440" s="107"/>
    </row>
    <row r="441" ht="14.25" customHeight="1">
      <c r="A441" s="110">
        <v>45519.0</v>
      </c>
      <c r="B441" s="111" t="s">
        <v>195</v>
      </c>
      <c r="C441" s="111" t="s">
        <v>196</v>
      </c>
      <c r="D441" s="111" t="s">
        <v>54</v>
      </c>
      <c r="E441" s="111" t="s">
        <v>110</v>
      </c>
      <c r="F441" s="113">
        <v>418381.86</v>
      </c>
      <c r="G441" s="109"/>
      <c r="H441" s="107"/>
      <c r="I441" s="107" t="str">
        <f t="shared" si="6"/>
        <v>NOT PAID</v>
      </c>
      <c r="J441" s="107"/>
      <c r="K441" s="107"/>
      <c r="L441" s="107"/>
      <c r="M441" s="107"/>
      <c r="N441" s="107"/>
      <c r="O441" s="107"/>
      <c r="P441" s="107"/>
      <c r="Q441" s="107"/>
      <c r="R441" s="107"/>
      <c r="S441" s="107"/>
      <c r="T441" s="107"/>
      <c r="U441" s="107"/>
      <c r="V441" s="107"/>
      <c r="W441" s="107"/>
      <c r="X441" s="107"/>
      <c r="Y441" s="107"/>
      <c r="Z441" s="107"/>
    </row>
    <row r="442" ht="14.25" customHeight="1">
      <c r="A442" s="110">
        <v>45519.0</v>
      </c>
      <c r="B442" s="111" t="s">
        <v>419</v>
      </c>
      <c r="C442" s="111" t="s">
        <v>436</v>
      </c>
      <c r="D442" s="111" t="s">
        <v>54</v>
      </c>
      <c r="E442" s="111" t="s">
        <v>110</v>
      </c>
      <c r="F442" s="113">
        <v>400000.0</v>
      </c>
      <c r="G442" s="109"/>
      <c r="H442" s="107"/>
      <c r="I442" s="107" t="str">
        <f t="shared" si="6"/>
        <v>NOT PAID</v>
      </c>
      <c r="J442" s="107"/>
      <c r="K442" s="107"/>
      <c r="L442" s="107"/>
      <c r="M442" s="107"/>
      <c r="N442" s="107"/>
      <c r="O442" s="107"/>
      <c r="P442" s="107"/>
      <c r="Q442" s="107"/>
      <c r="R442" s="107"/>
      <c r="S442" s="107"/>
      <c r="T442" s="107"/>
      <c r="U442" s="107"/>
      <c r="V442" s="107"/>
      <c r="W442" s="107"/>
      <c r="X442" s="107"/>
      <c r="Y442" s="107"/>
      <c r="Z442" s="107"/>
    </row>
    <row r="443" ht="14.25" customHeight="1">
      <c r="A443" s="110">
        <v>45519.0</v>
      </c>
      <c r="B443" s="111" t="s">
        <v>437</v>
      </c>
      <c r="C443" s="187" t="s">
        <v>438</v>
      </c>
      <c r="D443" s="187" t="s">
        <v>439</v>
      </c>
      <c r="E443" s="111" t="s">
        <v>110</v>
      </c>
      <c r="F443" s="113">
        <v>100000.0</v>
      </c>
      <c r="G443" s="109"/>
      <c r="H443" s="107"/>
      <c r="I443" s="107" t="str">
        <f t="shared" si="6"/>
        <v>NOT PAID</v>
      </c>
      <c r="J443" s="107"/>
      <c r="K443" s="107"/>
      <c r="L443" s="107"/>
      <c r="M443" s="107"/>
      <c r="N443" s="107"/>
      <c r="O443" s="107"/>
      <c r="P443" s="107"/>
      <c r="Q443" s="107"/>
      <c r="R443" s="107"/>
      <c r="S443" s="107"/>
      <c r="T443" s="107"/>
      <c r="U443" s="107"/>
      <c r="V443" s="107"/>
      <c r="W443" s="107"/>
      <c r="X443" s="107"/>
      <c r="Y443" s="107"/>
      <c r="Z443" s="107"/>
    </row>
    <row r="444" ht="14.25" customHeight="1">
      <c r="A444" s="110">
        <v>45519.0</v>
      </c>
      <c r="B444" s="111" t="s">
        <v>440</v>
      </c>
      <c r="C444" s="187" t="s">
        <v>441</v>
      </c>
      <c r="D444" s="187" t="s">
        <v>54</v>
      </c>
      <c r="E444" s="111" t="s">
        <v>110</v>
      </c>
      <c r="F444" s="113">
        <v>100000.0</v>
      </c>
      <c r="G444" s="109"/>
      <c r="H444" s="107"/>
      <c r="I444" s="107" t="str">
        <f t="shared" si="6"/>
        <v>NOT PAID</v>
      </c>
      <c r="J444" s="107"/>
      <c r="K444" s="107"/>
      <c r="L444" s="107"/>
      <c r="M444" s="107"/>
      <c r="N444" s="107"/>
      <c r="O444" s="107"/>
      <c r="P444" s="107"/>
      <c r="Q444" s="107"/>
      <c r="R444" s="107"/>
      <c r="S444" s="107"/>
      <c r="T444" s="107"/>
      <c r="U444" s="107"/>
      <c r="V444" s="107"/>
      <c r="W444" s="107"/>
      <c r="X444" s="107"/>
      <c r="Y444" s="107"/>
      <c r="Z444" s="107"/>
    </row>
    <row r="445" ht="14.25" customHeight="1">
      <c r="A445" s="110">
        <v>45519.0</v>
      </c>
      <c r="B445" s="111" t="s">
        <v>442</v>
      </c>
      <c r="C445" s="236" t="s">
        <v>443</v>
      </c>
      <c r="D445" s="242" t="s">
        <v>67</v>
      </c>
      <c r="E445" s="111" t="s">
        <v>199</v>
      </c>
      <c r="F445" s="113">
        <v>360000.0</v>
      </c>
      <c r="G445" s="109"/>
      <c r="H445" s="111" t="s">
        <v>444</v>
      </c>
      <c r="I445" s="107" t="str">
        <f t="shared" si="6"/>
        <v>NOT PAID</v>
      </c>
      <c r="J445" s="107"/>
      <c r="K445" s="107"/>
      <c r="L445" s="107"/>
      <c r="M445" s="107"/>
      <c r="N445" s="107"/>
      <c r="O445" s="107"/>
      <c r="P445" s="107"/>
      <c r="Q445" s="107"/>
      <c r="R445" s="107"/>
      <c r="S445" s="107"/>
      <c r="T445" s="107"/>
      <c r="U445" s="107"/>
      <c r="V445" s="107"/>
      <c r="W445" s="107"/>
      <c r="X445" s="107"/>
      <c r="Y445" s="107"/>
      <c r="Z445" s="107"/>
    </row>
    <row r="446" ht="14.25" customHeight="1">
      <c r="A446" s="110">
        <v>45519.0</v>
      </c>
      <c r="B446" s="235" t="s">
        <v>445</v>
      </c>
      <c r="C446" s="236" t="s">
        <v>446</v>
      </c>
      <c r="D446" s="242" t="s">
        <v>67</v>
      </c>
      <c r="E446" s="111" t="s">
        <v>199</v>
      </c>
      <c r="F446" s="113">
        <v>50000.0</v>
      </c>
      <c r="G446" s="109"/>
      <c r="H446" s="111" t="s">
        <v>447</v>
      </c>
      <c r="I446" s="107" t="str">
        <f t="shared" si="6"/>
        <v>NOT PAID</v>
      </c>
      <c r="J446" s="107"/>
      <c r="K446" s="107"/>
      <c r="L446" s="107"/>
      <c r="M446" s="107"/>
      <c r="N446" s="107"/>
      <c r="O446" s="107"/>
      <c r="P446" s="107"/>
      <c r="Q446" s="107"/>
      <c r="R446" s="107"/>
      <c r="S446" s="107"/>
      <c r="T446" s="107"/>
      <c r="U446" s="107"/>
      <c r="V446" s="107"/>
      <c r="W446" s="107"/>
      <c r="X446" s="107"/>
      <c r="Y446" s="107"/>
      <c r="Z446" s="107"/>
    </row>
    <row r="447" ht="14.25" customHeight="1">
      <c r="A447" s="110">
        <v>45519.0</v>
      </c>
      <c r="B447" s="148" t="s">
        <v>448</v>
      </c>
      <c r="C447" s="148" t="s">
        <v>449</v>
      </c>
      <c r="D447" s="242" t="s">
        <v>67</v>
      </c>
      <c r="E447" s="111" t="s">
        <v>199</v>
      </c>
      <c r="F447" s="113">
        <v>65000.0</v>
      </c>
      <c r="G447" s="109"/>
      <c r="H447" s="111" t="s">
        <v>450</v>
      </c>
      <c r="I447" s="107" t="str">
        <f t="shared" si="6"/>
        <v>NOT PAID</v>
      </c>
      <c r="J447" s="107"/>
      <c r="K447" s="107"/>
      <c r="L447" s="107"/>
      <c r="M447" s="107"/>
      <c r="N447" s="107"/>
      <c r="O447" s="107"/>
      <c r="P447" s="107"/>
      <c r="Q447" s="107"/>
      <c r="R447" s="107"/>
      <c r="S447" s="107"/>
      <c r="T447" s="107"/>
      <c r="U447" s="107"/>
      <c r="V447" s="107"/>
      <c r="W447" s="107"/>
      <c r="X447" s="107"/>
      <c r="Y447" s="107"/>
      <c r="Z447" s="107"/>
    </row>
    <row r="448" ht="14.25" customHeight="1">
      <c r="A448" s="243">
        <v>45519.0</v>
      </c>
      <c r="B448" s="111" t="s">
        <v>451</v>
      </c>
      <c r="C448" s="111" t="s">
        <v>452</v>
      </c>
      <c r="D448" s="244" t="s">
        <v>59</v>
      </c>
      <c r="E448" s="113" t="s">
        <v>273</v>
      </c>
      <c r="F448" s="113">
        <v>1000000.0</v>
      </c>
      <c r="G448" s="113">
        <v>1000000.0</v>
      </c>
      <c r="H448" s="111" t="s">
        <v>453</v>
      </c>
      <c r="I448" s="107" t="str">
        <f t="shared" si="6"/>
        <v>FULLY PAID</v>
      </c>
      <c r="J448" s="107"/>
      <c r="K448" s="107"/>
      <c r="L448" s="107"/>
      <c r="M448" s="107"/>
      <c r="N448" s="107"/>
      <c r="O448" s="107"/>
      <c r="P448" s="107"/>
      <c r="Q448" s="107"/>
      <c r="R448" s="107"/>
      <c r="S448" s="107"/>
      <c r="T448" s="107"/>
      <c r="U448" s="107"/>
      <c r="V448" s="107"/>
      <c r="W448" s="107"/>
      <c r="X448" s="107"/>
      <c r="Y448" s="107"/>
      <c r="Z448" s="107"/>
    </row>
    <row r="449" ht="14.25" customHeight="1">
      <c r="A449" s="107"/>
      <c r="B449" s="107"/>
      <c r="C449" s="107"/>
      <c r="D449" s="107"/>
      <c r="E449" s="107"/>
      <c r="F449" s="109"/>
      <c r="G449" s="109"/>
      <c r="H449" s="107"/>
      <c r="I449" s="107" t="str">
        <f t="shared" si="6"/>
        <v>FULLY PAID</v>
      </c>
      <c r="J449" s="107"/>
      <c r="K449" s="107"/>
      <c r="L449" s="107"/>
      <c r="M449" s="107"/>
      <c r="N449" s="107"/>
      <c r="O449" s="107"/>
      <c r="P449" s="107"/>
      <c r="Q449" s="107"/>
      <c r="R449" s="107"/>
      <c r="S449" s="107"/>
      <c r="T449" s="107"/>
      <c r="U449" s="107"/>
      <c r="V449" s="107"/>
      <c r="W449" s="107"/>
      <c r="X449" s="107"/>
      <c r="Y449" s="107"/>
      <c r="Z449" s="107"/>
    </row>
    <row r="450" ht="14.25" customHeight="1">
      <c r="A450" s="107"/>
      <c r="B450" s="107"/>
      <c r="C450" s="132" t="s">
        <v>454</v>
      </c>
      <c r="D450" s="107"/>
      <c r="E450" s="107"/>
      <c r="F450" s="109"/>
      <c r="G450" s="109"/>
      <c r="H450" s="107"/>
      <c r="I450" s="107" t="str">
        <f t="shared" si="6"/>
        <v>FULLY PAID</v>
      </c>
      <c r="J450" s="107"/>
      <c r="K450" s="107"/>
      <c r="L450" s="107"/>
      <c r="M450" s="107"/>
      <c r="N450" s="107"/>
      <c r="O450" s="107"/>
      <c r="P450" s="107"/>
      <c r="Q450" s="107"/>
      <c r="R450" s="107"/>
      <c r="S450" s="107"/>
      <c r="T450" s="107"/>
      <c r="U450" s="107"/>
      <c r="V450" s="107"/>
      <c r="W450" s="107"/>
      <c r="X450" s="107"/>
      <c r="Y450" s="107"/>
      <c r="Z450" s="107"/>
    </row>
    <row r="451" ht="14.25" customHeight="1">
      <c r="A451" s="245">
        <v>45520.0</v>
      </c>
      <c r="B451" s="118" t="s">
        <v>253</v>
      </c>
      <c r="C451" s="164" t="s">
        <v>58</v>
      </c>
      <c r="D451" s="164" t="s">
        <v>75</v>
      </c>
      <c r="E451" s="207" t="s">
        <v>70</v>
      </c>
      <c r="F451" s="228">
        <v>561775.0</v>
      </c>
      <c r="G451" s="109"/>
      <c r="H451" s="111" t="s">
        <v>455</v>
      </c>
      <c r="I451" s="107" t="str">
        <f t="shared" si="6"/>
        <v>NOT PAID</v>
      </c>
      <c r="J451" s="107"/>
      <c r="K451" s="107"/>
      <c r="L451" s="107"/>
      <c r="M451" s="107"/>
      <c r="N451" s="107"/>
      <c r="O451" s="107"/>
      <c r="P451" s="107"/>
      <c r="Q451" s="107"/>
      <c r="R451" s="107"/>
      <c r="S451" s="107"/>
      <c r="T451" s="107"/>
      <c r="U451" s="107"/>
      <c r="V451" s="107"/>
      <c r="W451" s="107"/>
      <c r="X451" s="107"/>
      <c r="Y451" s="107"/>
      <c r="Z451" s="107"/>
    </row>
    <row r="452" ht="14.25" customHeight="1">
      <c r="A452" s="245">
        <v>45520.0</v>
      </c>
      <c r="B452" s="163" t="s">
        <v>57</v>
      </c>
      <c r="C452" s="164" t="s">
        <v>58</v>
      </c>
      <c r="D452" s="164" t="s">
        <v>59</v>
      </c>
      <c r="E452" s="164" t="s">
        <v>70</v>
      </c>
      <c r="F452" s="230">
        <v>326022.0</v>
      </c>
      <c r="G452" s="109"/>
      <c r="H452" s="111" t="s">
        <v>456</v>
      </c>
      <c r="I452" s="107" t="str">
        <f t="shared" si="6"/>
        <v>NOT PAID</v>
      </c>
      <c r="J452" s="107"/>
      <c r="K452" s="107"/>
      <c r="L452" s="107"/>
      <c r="M452" s="107"/>
      <c r="N452" s="107"/>
      <c r="O452" s="107"/>
      <c r="P452" s="107"/>
      <c r="Q452" s="107"/>
      <c r="R452" s="107"/>
      <c r="S452" s="107"/>
      <c r="T452" s="107"/>
      <c r="U452" s="107"/>
      <c r="V452" s="107"/>
      <c r="W452" s="107"/>
      <c r="X452" s="107"/>
      <c r="Y452" s="107"/>
      <c r="Z452" s="107"/>
    </row>
    <row r="453" ht="14.25" customHeight="1">
      <c r="A453" s="245">
        <v>45520.0</v>
      </c>
      <c r="B453" s="118" t="s">
        <v>135</v>
      </c>
      <c r="C453" s="118" t="s">
        <v>136</v>
      </c>
      <c r="D453" s="118" t="s">
        <v>54</v>
      </c>
      <c r="E453" s="166" t="s">
        <v>70</v>
      </c>
      <c r="F453" s="231">
        <v>931059.0</v>
      </c>
      <c r="G453" s="109"/>
      <c r="H453" s="111" t="s">
        <v>457</v>
      </c>
      <c r="I453" s="107" t="str">
        <f t="shared" si="6"/>
        <v>NOT PAID</v>
      </c>
      <c r="J453" s="107"/>
      <c r="K453" s="107"/>
      <c r="L453" s="107"/>
      <c r="M453" s="107"/>
      <c r="N453" s="107"/>
      <c r="O453" s="107"/>
      <c r="P453" s="107"/>
      <c r="Q453" s="107"/>
      <c r="R453" s="107"/>
      <c r="S453" s="107"/>
      <c r="T453" s="107"/>
      <c r="U453" s="107"/>
      <c r="V453" s="107"/>
      <c r="W453" s="107"/>
      <c r="X453" s="107"/>
      <c r="Y453" s="107"/>
      <c r="Z453" s="107"/>
    </row>
    <row r="454" ht="14.25" customHeight="1">
      <c r="A454" s="245">
        <v>45520.0</v>
      </c>
      <c r="B454" s="155" t="s">
        <v>345</v>
      </c>
      <c r="C454" s="155" t="s">
        <v>339</v>
      </c>
      <c r="D454" s="155" t="s">
        <v>458</v>
      </c>
      <c r="E454" s="119" t="s">
        <v>80</v>
      </c>
      <c r="F454" s="120">
        <v>14804.0</v>
      </c>
      <c r="G454" s="109"/>
      <c r="H454" s="111" t="s">
        <v>429</v>
      </c>
      <c r="I454" s="107" t="str">
        <f t="shared" si="6"/>
        <v>NOT PAID</v>
      </c>
      <c r="J454" s="107"/>
      <c r="K454" s="107"/>
      <c r="L454" s="107"/>
      <c r="M454" s="107"/>
      <c r="N454" s="107"/>
      <c r="O454" s="107"/>
      <c r="P454" s="107"/>
      <c r="Q454" s="107"/>
      <c r="R454" s="107"/>
      <c r="S454" s="107"/>
      <c r="T454" s="107"/>
      <c r="U454" s="107"/>
      <c r="V454" s="107"/>
      <c r="W454" s="107"/>
      <c r="X454" s="107"/>
      <c r="Y454" s="107"/>
      <c r="Z454" s="107"/>
    </row>
    <row r="455" ht="14.25" customHeight="1">
      <c r="A455" s="245">
        <v>45520.0</v>
      </c>
      <c r="B455" s="114" t="s">
        <v>285</v>
      </c>
      <c r="C455" s="130" t="s">
        <v>286</v>
      </c>
      <c r="D455" s="230" t="s">
        <v>413</v>
      </c>
      <c r="E455" s="207" t="s">
        <v>70</v>
      </c>
      <c r="F455" s="228">
        <v>160969.0</v>
      </c>
      <c r="G455" s="109"/>
      <c r="H455" s="111" t="s">
        <v>459</v>
      </c>
      <c r="I455" s="107" t="str">
        <f t="shared" si="6"/>
        <v>NOT PAID</v>
      </c>
      <c r="J455" s="107"/>
      <c r="K455" s="107"/>
      <c r="L455" s="107"/>
      <c r="M455" s="107"/>
      <c r="N455" s="107"/>
      <c r="O455" s="107"/>
      <c r="P455" s="107"/>
      <c r="Q455" s="107"/>
      <c r="R455" s="107"/>
      <c r="S455" s="107"/>
      <c r="T455" s="107"/>
      <c r="U455" s="107"/>
      <c r="V455" s="107"/>
      <c r="W455" s="107"/>
      <c r="X455" s="107"/>
      <c r="Y455" s="107"/>
      <c r="Z455" s="107"/>
    </row>
    <row r="456" ht="14.25" customHeight="1">
      <c r="A456" s="245">
        <v>45520.0</v>
      </c>
      <c r="B456" s="163" t="s">
        <v>415</v>
      </c>
      <c r="C456" s="164" t="s">
        <v>79</v>
      </c>
      <c r="D456" s="230" t="s">
        <v>54</v>
      </c>
      <c r="E456" s="207" t="s">
        <v>80</v>
      </c>
      <c r="F456" s="228">
        <v>266698.0</v>
      </c>
      <c r="G456" s="109"/>
      <c r="H456" s="111" t="s">
        <v>460</v>
      </c>
      <c r="I456" s="107" t="str">
        <f t="shared" si="6"/>
        <v>NOT PAID</v>
      </c>
      <c r="J456" s="107"/>
      <c r="K456" s="107"/>
      <c r="L456" s="107"/>
      <c r="M456" s="107"/>
      <c r="N456" s="107"/>
      <c r="O456" s="107"/>
      <c r="P456" s="107"/>
      <c r="Q456" s="107"/>
      <c r="R456" s="107"/>
      <c r="S456" s="107"/>
      <c r="T456" s="107"/>
      <c r="U456" s="107"/>
      <c r="V456" s="107"/>
      <c r="W456" s="107"/>
      <c r="X456" s="107"/>
      <c r="Y456" s="107"/>
      <c r="Z456" s="107"/>
    </row>
    <row r="457" ht="14.25" customHeight="1">
      <c r="A457" s="245">
        <v>45520.0</v>
      </c>
      <c r="B457" s="212" t="s">
        <v>266</v>
      </c>
      <c r="C457" s="163" t="s">
        <v>79</v>
      </c>
      <c r="D457" s="230" t="s">
        <v>54</v>
      </c>
      <c r="E457" s="207" t="s">
        <v>80</v>
      </c>
      <c r="F457" s="228">
        <v>230000.0</v>
      </c>
      <c r="G457" s="109"/>
      <c r="H457" s="111" t="s">
        <v>460</v>
      </c>
      <c r="I457" s="107" t="str">
        <f t="shared" si="6"/>
        <v>NOT PAID</v>
      </c>
      <c r="J457" s="107"/>
      <c r="K457" s="107"/>
      <c r="L457" s="107"/>
      <c r="M457" s="107"/>
      <c r="N457" s="107"/>
      <c r="O457" s="107"/>
      <c r="P457" s="107"/>
      <c r="Q457" s="107"/>
      <c r="R457" s="107"/>
      <c r="S457" s="107"/>
      <c r="T457" s="107"/>
      <c r="U457" s="107"/>
      <c r="V457" s="107"/>
      <c r="W457" s="107"/>
      <c r="X457" s="107"/>
      <c r="Y457" s="107"/>
      <c r="Z457" s="107"/>
    </row>
    <row r="458" ht="14.25" customHeight="1">
      <c r="A458" s="245">
        <v>45520.0</v>
      </c>
      <c r="B458" s="111" t="s">
        <v>52</v>
      </c>
      <c r="C458" s="111" t="s">
        <v>434</v>
      </c>
      <c r="D458" s="111" t="s">
        <v>54</v>
      </c>
      <c r="E458" s="111" t="s">
        <v>70</v>
      </c>
      <c r="F458" s="113">
        <v>53137.0</v>
      </c>
      <c r="G458" s="113">
        <v>53138.0</v>
      </c>
      <c r="H458" s="111" t="s">
        <v>241</v>
      </c>
      <c r="I458" s="107" t="str">
        <f t="shared" si="6"/>
        <v>FULLY PAID</v>
      </c>
      <c r="J458" s="107"/>
      <c r="K458" s="107"/>
      <c r="L458" s="107"/>
      <c r="M458" s="107"/>
      <c r="N458" s="107"/>
      <c r="O458" s="107"/>
      <c r="P458" s="107"/>
      <c r="Q458" s="107"/>
      <c r="R458" s="107"/>
      <c r="S458" s="107"/>
      <c r="T458" s="107"/>
      <c r="U458" s="107"/>
      <c r="V458" s="107"/>
      <c r="W458" s="107"/>
      <c r="X458" s="107"/>
      <c r="Y458" s="107"/>
      <c r="Z458" s="107"/>
    </row>
    <row r="459" ht="14.25" customHeight="1">
      <c r="A459" s="245">
        <v>45520.0</v>
      </c>
      <c r="B459" s="163" t="s">
        <v>423</v>
      </c>
      <c r="C459" s="164" t="s">
        <v>424</v>
      </c>
      <c r="D459" s="164" t="s">
        <v>413</v>
      </c>
      <c r="E459" s="207" t="s">
        <v>70</v>
      </c>
      <c r="F459" s="229">
        <v>836000.0</v>
      </c>
      <c r="G459" s="113">
        <v>931000.0</v>
      </c>
      <c r="H459" s="111" t="s">
        <v>212</v>
      </c>
      <c r="I459" s="107" t="str">
        <f t="shared" si="6"/>
        <v>FULLY PAID</v>
      </c>
      <c r="J459" s="107"/>
      <c r="K459" s="107"/>
      <c r="L459" s="107"/>
      <c r="M459" s="107"/>
      <c r="N459" s="107"/>
      <c r="O459" s="107"/>
      <c r="P459" s="107"/>
      <c r="Q459" s="107"/>
      <c r="R459" s="107"/>
      <c r="S459" s="107"/>
      <c r="T459" s="107"/>
      <c r="U459" s="107"/>
      <c r="V459" s="107"/>
      <c r="W459" s="107"/>
      <c r="X459" s="107"/>
      <c r="Y459" s="107"/>
      <c r="Z459" s="107"/>
    </row>
    <row r="460" ht="14.25" customHeight="1">
      <c r="A460" s="245">
        <v>45520.0</v>
      </c>
      <c r="B460" s="111" t="s">
        <v>108</v>
      </c>
      <c r="C460" s="111" t="s">
        <v>109</v>
      </c>
      <c r="D460" s="111" t="s">
        <v>67</v>
      </c>
      <c r="E460" s="111" t="s">
        <v>110</v>
      </c>
      <c r="F460" s="113">
        <v>302529.21</v>
      </c>
      <c r="G460" s="109"/>
      <c r="H460" s="111" t="s">
        <v>357</v>
      </c>
      <c r="I460" s="107" t="str">
        <f t="shared" si="6"/>
        <v>NOT PAID</v>
      </c>
      <c r="J460" s="107"/>
      <c r="K460" s="107"/>
      <c r="L460" s="107"/>
      <c r="M460" s="107"/>
      <c r="N460" s="107"/>
      <c r="O460" s="107"/>
      <c r="P460" s="107"/>
      <c r="Q460" s="107"/>
      <c r="R460" s="107"/>
      <c r="S460" s="107"/>
      <c r="T460" s="107"/>
      <c r="U460" s="107"/>
      <c r="V460" s="107"/>
      <c r="W460" s="107"/>
      <c r="X460" s="107"/>
      <c r="Y460" s="107"/>
      <c r="Z460" s="107"/>
    </row>
    <row r="461" ht="14.25" customHeight="1">
      <c r="A461" s="245">
        <v>45520.0</v>
      </c>
      <c r="B461" s="111" t="s">
        <v>195</v>
      </c>
      <c r="C461" s="111" t="s">
        <v>196</v>
      </c>
      <c r="D461" s="111" t="s">
        <v>54</v>
      </c>
      <c r="E461" s="111" t="s">
        <v>110</v>
      </c>
      <c r="F461" s="113">
        <v>418381.86</v>
      </c>
      <c r="G461" s="109"/>
      <c r="H461" s="111" t="s">
        <v>461</v>
      </c>
      <c r="I461" s="107" t="str">
        <f t="shared" si="6"/>
        <v>NOT PAID</v>
      </c>
      <c r="J461" s="107"/>
      <c r="K461" s="107"/>
      <c r="L461" s="107"/>
      <c r="M461" s="107"/>
      <c r="N461" s="107"/>
      <c r="O461" s="107"/>
      <c r="P461" s="107"/>
      <c r="Q461" s="107"/>
      <c r="R461" s="107"/>
      <c r="S461" s="107"/>
      <c r="T461" s="107"/>
      <c r="U461" s="107"/>
      <c r="V461" s="107"/>
      <c r="W461" s="107"/>
      <c r="X461" s="107"/>
      <c r="Y461" s="107"/>
      <c r="Z461" s="107"/>
    </row>
    <row r="462" ht="14.25" customHeight="1">
      <c r="A462" s="245">
        <v>45520.0</v>
      </c>
      <c r="B462" s="148" t="s">
        <v>448</v>
      </c>
      <c r="C462" s="148" t="s">
        <v>449</v>
      </c>
      <c r="D462" s="242" t="s">
        <v>67</v>
      </c>
      <c r="E462" s="111" t="s">
        <v>199</v>
      </c>
      <c r="F462" s="113">
        <v>65000.0</v>
      </c>
      <c r="G462" s="113">
        <v>5000.0</v>
      </c>
      <c r="H462" s="111" t="s">
        <v>462</v>
      </c>
      <c r="I462" s="107" t="str">
        <f t="shared" si="6"/>
        <v>PARTIALLY PAID</v>
      </c>
      <c r="J462" s="107"/>
      <c r="K462" s="107"/>
      <c r="L462" s="107"/>
      <c r="M462" s="107"/>
      <c r="N462" s="107"/>
      <c r="O462" s="107"/>
      <c r="P462" s="107"/>
      <c r="Q462" s="107"/>
      <c r="R462" s="107"/>
      <c r="S462" s="107"/>
      <c r="T462" s="107"/>
      <c r="U462" s="107"/>
      <c r="V462" s="107"/>
      <c r="W462" s="107"/>
      <c r="X462" s="107"/>
      <c r="Y462" s="107"/>
      <c r="Z462" s="107"/>
    </row>
    <row r="463" ht="14.25" customHeight="1">
      <c r="A463" s="245">
        <v>45520.0</v>
      </c>
      <c r="B463" s="111" t="s">
        <v>451</v>
      </c>
      <c r="C463" s="111" t="s">
        <v>452</v>
      </c>
      <c r="D463" s="244" t="s">
        <v>59</v>
      </c>
      <c r="E463" s="113" t="s">
        <v>273</v>
      </c>
      <c r="F463" s="113">
        <v>1000000.0</v>
      </c>
      <c r="G463" s="113">
        <v>1000000.0</v>
      </c>
      <c r="H463" s="111" t="s">
        <v>56</v>
      </c>
      <c r="I463" s="107" t="str">
        <f t="shared" si="6"/>
        <v>FULLY PAID</v>
      </c>
      <c r="J463" s="107"/>
      <c r="K463" s="107"/>
      <c r="L463" s="107"/>
      <c r="M463" s="107"/>
      <c r="N463" s="107"/>
      <c r="O463" s="107"/>
      <c r="P463" s="107"/>
      <c r="Q463" s="107"/>
      <c r="R463" s="107"/>
      <c r="S463" s="107"/>
      <c r="T463" s="107"/>
      <c r="U463" s="107"/>
      <c r="V463" s="107"/>
      <c r="W463" s="107"/>
      <c r="X463" s="107"/>
      <c r="Y463" s="107"/>
      <c r="Z463" s="107"/>
    </row>
    <row r="464" ht="14.25" customHeight="1">
      <c r="A464" s="245">
        <v>45520.0</v>
      </c>
      <c r="B464" s="111" t="s">
        <v>463</v>
      </c>
      <c r="C464" s="111" t="s">
        <v>464</v>
      </c>
      <c r="D464" s="111" t="s">
        <v>413</v>
      </c>
      <c r="E464" s="111" t="s">
        <v>70</v>
      </c>
      <c r="F464" s="113">
        <v>11000.0</v>
      </c>
      <c r="G464" s="113">
        <v>11000.0</v>
      </c>
      <c r="H464" s="111" t="s">
        <v>465</v>
      </c>
      <c r="I464" s="107" t="str">
        <f t="shared" si="6"/>
        <v>FULLY PAID</v>
      </c>
      <c r="J464" s="107"/>
      <c r="K464" s="107"/>
      <c r="L464" s="107"/>
      <c r="M464" s="107"/>
      <c r="N464" s="107"/>
      <c r="O464" s="107"/>
      <c r="P464" s="107"/>
      <c r="Q464" s="107"/>
      <c r="R464" s="107"/>
      <c r="S464" s="107"/>
      <c r="T464" s="107"/>
      <c r="U464" s="107"/>
      <c r="V464" s="107"/>
      <c r="W464" s="107"/>
      <c r="X464" s="107"/>
      <c r="Y464" s="107"/>
      <c r="Z464" s="107"/>
    </row>
    <row r="465" ht="14.25" customHeight="1">
      <c r="A465" s="107"/>
      <c r="B465" s="107"/>
      <c r="C465" s="107"/>
      <c r="D465" s="107"/>
      <c r="E465" s="107"/>
      <c r="F465" s="109"/>
      <c r="G465" s="109"/>
      <c r="H465" s="107"/>
      <c r="I465" s="107" t="str">
        <f t="shared" si="6"/>
        <v>FULLY PAID</v>
      </c>
      <c r="J465" s="107"/>
      <c r="K465" s="107"/>
      <c r="L465" s="107"/>
      <c r="M465" s="107"/>
      <c r="N465" s="107"/>
      <c r="O465" s="107"/>
      <c r="P465" s="107"/>
      <c r="Q465" s="107"/>
      <c r="R465" s="107"/>
      <c r="S465" s="107"/>
      <c r="T465" s="107"/>
      <c r="U465" s="107"/>
      <c r="V465" s="107"/>
      <c r="W465" s="107"/>
      <c r="X465" s="107"/>
      <c r="Y465" s="107"/>
      <c r="Z465" s="107"/>
    </row>
    <row r="466" ht="14.25" customHeight="1">
      <c r="A466" s="107"/>
      <c r="B466" s="107"/>
      <c r="C466" s="111" t="s">
        <v>466</v>
      </c>
      <c r="D466" s="107"/>
      <c r="E466" s="107"/>
      <c r="F466" s="109"/>
      <c r="G466" s="109"/>
      <c r="H466" s="107"/>
      <c r="I466" s="107" t="str">
        <f t="shared" si="6"/>
        <v>FULLY PAID</v>
      </c>
      <c r="J466" s="107"/>
      <c r="K466" s="107"/>
      <c r="L466" s="107"/>
      <c r="M466" s="107"/>
      <c r="N466" s="107"/>
      <c r="O466" s="107"/>
      <c r="P466" s="107"/>
      <c r="Q466" s="107"/>
      <c r="R466" s="107"/>
      <c r="S466" s="107"/>
      <c r="T466" s="107"/>
      <c r="U466" s="107"/>
      <c r="V466" s="107"/>
      <c r="W466" s="107"/>
      <c r="X466" s="107"/>
      <c r="Y466" s="107"/>
      <c r="Z466" s="107"/>
    </row>
    <row r="467" ht="14.25" customHeight="1">
      <c r="A467" s="110">
        <v>45521.0</v>
      </c>
      <c r="B467" s="155" t="s">
        <v>345</v>
      </c>
      <c r="C467" s="156" t="s">
        <v>339</v>
      </c>
      <c r="D467" s="156" t="s">
        <v>467</v>
      </c>
      <c r="E467" s="246" t="s">
        <v>80</v>
      </c>
      <c r="F467" s="247">
        <v>14804.0</v>
      </c>
      <c r="G467" s="113"/>
      <c r="H467" s="111" t="s">
        <v>468</v>
      </c>
      <c r="I467" s="107" t="str">
        <f t="shared" si="6"/>
        <v>NOT PAID</v>
      </c>
      <c r="J467" s="107"/>
      <c r="K467" s="107"/>
      <c r="L467" s="107"/>
      <c r="M467" s="107"/>
      <c r="N467" s="107"/>
      <c r="O467" s="107"/>
      <c r="P467" s="107"/>
      <c r="Q467" s="107"/>
      <c r="R467" s="107"/>
      <c r="S467" s="107"/>
      <c r="T467" s="107"/>
      <c r="U467" s="107"/>
      <c r="V467" s="107"/>
      <c r="W467" s="107"/>
      <c r="X467" s="107"/>
      <c r="Y467" s="107"/>
      <c r="Z467" s="107"/>
    </row>
    <row r="468" ht="14.25" customHeight="1">
      <c r="A468" s="110">
        <v>45521.0</v>
      </c>
      <c r="B468" s="232" t="s">
        <v>426</v>
      </c>
      <c r="C468" s="233" t="s">
        <v>427</v>
      </c>
      <c r="D468" s="233" t="s">
        <v>54</v>
      </c>
      <c r="E468" s="233" t="s">
        <v>55</v>
      </c>
      <c r="F468" s="211">
        <v>100803.55</v>
      </c>
      <c r="G468" s="113">
        <v>40000.0</v>
      </c>
      <c r="H468" s="111" t="s">
        <v>469</v>
      </c>
      <c r="I468" s="107" t="str">
        <f t="shared" si="6"/>
        <v>PARTIALLY PAID</v>
      </c>
      <c r="J468" s="107"/>
      <c r="K468" s="107"/>
      <c r="L468" s="107"/>
      <c r="M468" s="107"/>
      <c r="N468" s="107"/>
      <c r="O468" s="107"/>
      <c r="P468" s="107"/>
      <c r="Q468" s="107"/>
      <c r="R468" s="107"/>
      <c r="S468" s="107"/>
      <c r="T468" s="107"/>
      <c r="U468" s="107"/>
      <c r="V468" s="107"/>
      <c r="W468" s="107"/>
      <c r="X468" s="107"/>
      <c r="Y468" s="107"/>
      <c r="Z468" s="107"/>
    </row>
    <row r="469" ht="14.25" customHeight="1">
      <c r="A469" s="110">
        <v>45521.0</v>
      </c>
      <c r="B469" s="248" t="s">
        <v>285</v>
      </c>
      <c r="C469" s="249" t="s">
        <v>286</v>
      </c>
      <c r="D469" s="233" t="s">
        <v>413</v>
      </c>
      <c r="E469" s="250" t="s">
        <v>70</v>
      </c>
      <c r="F469" s="251">
        <v>160969.0</v>
      </c>
      <c r="G469" s="109"/>
      <c r="H469" s="111" t="s">
        <v>470</v>
      </c>
      <c r="I469" s="107" t="str">
        <f t="shared" si="6"/>
        <v>NOT PAID</v>
      </c>
      <c r="J469" s="107"/>
      <c r="K469" s="107"/>
      <c r="L469" s="107"/>
      <c r="M469" s="107"/>
      <c r="N469" s="107"/>
      <c r="O469" s="107"/>
      <c r="P469" s="107"/>
      <c r="Q469" s="107"/>
      <c r="R469" s="107"/>
      <c r="S469" s="107"/>
      <c r="T469" s="107"/>
      <c r="U469" s="107"/>
      <c r="V469" s="107"/>
      <c r="W469" s="107"/>
      <c r="X469" s="107"/>
      <c r="Y469" s="107"/>
      <c r="Z469" s="107"/>
    </row>
    <row r="470" ht="14.25" customHeight="1">
      <c r="A470" s="110">
        <v>45521.0</v>
      </c>
      <c r="B470" s="232" t="s">
        <v>415</v>
      </c>
      <c r="C470" s="233" t="s">
        <v>79</v>
      </c>
      <c r="D470" s="252" t="s">
        <v>54</v>
      </c>
      <c r="E470" s="250" t="s">
        <v>80</v>
      </c>
      <c r="F470" s="251">
        <v>266698.0</v>
      </c>
      <c r="G470" s="109"/>
      <c r="H470" s="111" t="s">
        <v>471</v>
      </c>
      <c r="I470" s="107" t="str">
        <f t="shared" si="6"/>
        <v>NOT PAID</v>
      </c>
      <c r="J470" s="107"/>
      <c r="K470" s="107"/>
      <c r="L470" s="107"/>
      <c r="M470" s="107"/>
      <c r="N470" s="107"/>
      <c r="O470" s="107"/>
      <c r="P470" s="107"/>
      <c r="Q470" s="107"/>
      <c r="R470" s="107"/>
      <c r="S470" s="107"/>
      <c r="T470" s="107"/>
      <c r="U470" s="107"/>
      <c r="V470" s="107"/>
      <c r="W470" s="107"/>
      <c r="X470" s="107"/>
      <c r="Y470" s="107"/>
      <c r="Z470" s="107"/>
    </row>
    <row r="471" ht="14.25" customHeight="1">
      <c r="A471" s="110">
        <v>45521.0</v>
      </c>
      <c r="B471" s="253" t="s">
        <v>266</v>
      </c>
      <c r="C471" s="232" t="s">
        <v>79</v>
      </c>
      <c r="D471" s="233" t="s">
        <v>54</v>
      </c>
      <c r="E471" s="250" t="s">
        <v>80</v>
      </c>
      <c r="F471" s="251">
        <v>230000.0</v>
      </c>
      <c r="G471" s="113"/>
      <c r="H471" s="111" t="s">
        <v>471</v>
      </c>
      <c r="I471" s="107" t="str">
        <f t="shared" si="6"/>
        <v>NOT PAID</v>
      </c>
      <c r="J471" s="107"/>
      <c r="K471" s="107"/>
      <c r="L471" s="107"/>
      <c r="M471" s="107"/>
      <c r="N471" s="107"/>
      <c r="O471" s="107"/>
      <c r="P471" s="107"/>
      <c r="Q471" s="107"/>
      <c r="R471" s="107"/>
      <c r="S471" s="107"/>
      <c r="T471" s="107"/>
      <c r="U471" s="107"/>
      <c r="V471" s="107"/>
      <c r="W471" s="107"/>
      <c r="X471" s="107"/>
      <c r="Y471" s="107"/>
      <c r="Z471" s="107"/>
    </row>
    <row r="472" ht="14.25" customHeight="1">
      <c r="A472" s="110">
        <v>45521.0</v>
      </c>
      <c r="B472" s="155" t="s">
        <v>253</v>
      </c>
      <c r="C472" s="233" t="s">
        <v>58</v>
      </c>
      <c r="D472" s="233" t="s">
        <v>75</v>
      </c>
      <c r="E472" s="250" t="s">
        <v>70</v>
      </c>
      <c r="F472" s="251">
        <v>561775.0</v>
      </c>
      <c r="G472" s="113"/>
      <c r="H472" s="111" t="s">
        <v>471</v>
      </c>
      <c r="I472" s="107" t="str">
        <f t="shared" si="6"/>
        <v>NOT PAID</v>
      </c>
      <c r="J472" s="107"/>
      <c r="K472" s="107"/>
      <c r="L472" s="107"/>
      <c r="M472" s="107"/>
      <c r="N472" s="107"/>
      <c r="O472" s="107"/>
      <c r="P472" s="107"/>
      <c r="Q472" s="107"/>
      <c r="R472" s="107"/>
      <c r="S472" s="107"/>
      <c r="T472" s="107"/>
      <c r="U472" s="107"/>
      <c r="V472" s="107"/>
      <c r="W472" s="107"/>
      <c r="X472" s="107"/>
      <c r="Y472" s="107"/>
      <c r="Z472" s="107"/>
    </row>
    <row r="473" ht="14.25" customHeight="1">
      <c r="A473" s="110">
        <v>45521.0</v>
      </c>
      <c r="B473" s="232" t="s">
        <v>57</v>
      </c>
      <c r="C473" s="233" t="s">
        <v>58</v>
      </c>
      <c r="D473" s="233" t="s">
        <v>59</v>
      </c>
      <c r="E473" s="233" t="s">
        <v>70</v>
      </c>
      <c r="F473" s="252">
        <v>326022.0</v>
      </c>
      <c r="G473" s="109"/>
      <c r="H473" s="111" t="s">
        <v>471</v>
      </c>
      <c r="I473" s="107" t="str">
        <f t="shared" si="6"/>
        <v>NOT PAID</v>
      </c>
      <c r="J473" s="107"/>
      <c r="K473" s="107"/>
      <c r="L473" s="107"/>
      <c r="M473" s="107"/>
      <c r="N473" s="107"/>
      <c r="O473" s="107"/>
      <c r="P473" s="107"/>
      <c r="Q473" s="107"/>
      <c r="R473" s="107"/>
      <c r="S473" s="107"/>
      <c r="T473" s="107"/>
      <c r="U473" s="107"/>
      <c r="V473" s="107"/>
      <c r="W473" s="107"/>
      <c r="X473" s="107"/>
      <c r="Y473" s="107"/>
      <c r="Z473" s="107"/>
    </row>
    <row r="474" ht="14.25" customHeight="1">
      <c r="A474" s="110">
        <v>45521.0</v>
      </c>
      <c r="B474" s="232" t="s">
        <v>472</v>
      </c>
      <c r="C474" s="233" t="s">
        <v>473</v>
      </c>
      <c r="D474" s="252" t="s">
        <v>54</v>
      </c>
      <c r="E474" s="250" t="s">
        <v>154</v>
      </c>
      <c r="F474" s="254">
        <v>39833.0</v>
      </c>
      <c r="G474" s="109"/>
      <c r="H474" s="111" t="s">
        <v>474</v>
      </c>
      <c r="I474" s="107" t="str">
        <f t="shared" si="6"/>
        <v>NOT PAID</v>
      </c>
      <c r="J474" s="107"/>
      <c r="K474" s="107"/>
      <c r="L474" s="107"/>
      <c r="M474" s="107"/>
      <c r="N474" s="107"/>
      <c r="O474" s="107"/>
      <c r="P474" s="107"/>
      <c r="Q474" s="107"/>
      <c r="R474" s="107"/>
      <c r="S474" s="107"/>
      <c r="T474" s="107"/>
      <c r="U474" s="107"/>
      <c r="V474" s="107"/>
      <c r="W474" s="107"/>
      <c r="X474" s="107"/>
      <c r="Y474" s="107"/>
      <c r="Z474" s="107"/>
    </row>
    <row r="475" ht="14.25" customHeight="1">
      <c r="A475" s="110">
        <v>45521.0</v>
      </c>
      <c r="B475" s="232" t="s">
        <v>108</v>
      </c>
      <c r="C475" s="233" t="s">
        <v>109</v>
      </c>
      <c r="D475" s="252" t="s">
        <v>67</v>
      </c>
      <c r="E475" s="233" t="s">
        <v>110</v>
      </c>
      <c r="F475" s="252">
        <v>302529.21</v>
      </c>
      <c r="G475" s="109"/>
      <c r="H475" s="111" t="s">
        <v>357</v>
      </c>
      <c r="I475" s="107" t="str">
        <f t="shared" si="6"/>
        <v>NOT PAID</v>
      </c>
      <c r="J475" s="107"/>
      <c r="K475" s="107"/>
      <c r="L475" s="107"/>
      <c r="M475" s="107"/>
      <c r="N475" s="107"/>
      <c r="O475" s="107"/>
      <c r="P475" s="107"/>
      <c r="Q475" s="107"/>
      <c r="R475" s="107"/>
      <c r="S475" s="107"/>
      <c r="T475" s="107"/>
      <c r="U475" s="107"/>
      <c r="V475" s="107"/>
      <c r="W475" s="107"/>
      <c r="X475" s="107"/>
      <c r="Y475" s="107"/>
      <c r="Z475" s="107"/>
    </row>
    <row r="476" ht="14.25" customHeight="1">
      <c r="A476" s="110">
        <v>45521.0</v>
      </c>
      <c r="B476" s="232" t="s">
        <v>195</v>
      </c>
      <c r="C476" s="233" t="s">
        <v>196</v>
      </c>
      <c r="D476" s="233" t="s">
        <v>54</v>
      </c>
      <c r="E476" s="233" t="s">
        <v>110</v>
      </c>
      <c r="F476" s="252">
        <v>418381.86</v>
      </c>
      <c r="G476" s="109"/>
      <c r="H476" s="111" t="s">
        <v>475</v>
      </c>
      <c r="I476" s="107" t="str">
        <f t="shared" si="6"/>
        <v>NOT PAID</v>
      </c>
      <c r="J476" s="107"/>
      <c r="K476" s="107"/>
      <c r="L476" s="107"/>
      <c r="M476" s="107"/>
      <c r="N476" s="107"/>
      <c r="O476" s="107"/>
      <c r="P476" s="107"/>
      <c r="Q476" s="107"/>
      <c r="R476" s="107"/>
      <c r="S476" s="107"/>
      <c r="T476" s="107"/>
      <c r="U476" s="107"/>
      <c r="V476" s="107"/>
      <c r="W476" s="107"/>
      <c r="X476" s="107"/>
      <c r="Y476" s="107"/>
      <c r="Z476" s="107"/>
    </row>
    <row r="477" ht="14.25" customHeight="1">
      <c r="A477" s="110">
        <v>45521.0</v>
      </c>
      <c r="B477" s="255" t="s">
        <v>135</v>
      </c>
      <c r="C477" s="256" t="s">
        <v>136</v>
      </c>
      <c r="D477" s="256" t="s">
        <v>54</v>
      </c>
      <c r="E477" s="256" t="s">
        <v>70</v>
      </c>
      <c r="F477" s="257">
        <v>931059.0</v>
      </c>
      <c r="G477" s="147"/>
      <c r="H477" s="122" t="s">
        <v>476</v>
      </c>
      <c r="I477" s="107" t="str">
        <f t="shared" si="6"/>
        <v>NOT PAID</v>
      </c>
      <c r="J477" s="107"/>
      <c r="K477" s="107"/>
      <c r="L477" s="107"/>
      <c r="M477" s="107"/>
      <c r="N477" s="107"/>
      <c r="O477" s="107"/>
      <c r="P477" s="107"/>
      <c r="Q477" s="107"/>
      <c r="R477" s="107"/>
      <c r="S477" s="107"/>
      <c r="T477" s="107"/>
      <c r="U477" s="107"/>
      <c r="V477" s="107"/>
      <c r="W477" s="107"/>
      <c r="X477" s="107"/>
      <c r="Y477" s="107"/>
      <c r="Z477" s="107"/>
    </row>
    <row r="478" ht="14.25" customHeight="1">
      <c r="A478" s="110">
        <v>45521.0</v>
      </c>
      <c r="B478" s="155" t="s">
        <v>477</v>
      </c>
      <c r="C478" s="156" t="s">
        <v>478</v>
      </c>
      <c r="D478" s="156" t="s">
        <v>413</v>
      </c>
      <c r="E478" s="156" t="s">
        <v>154</v>
      </c>
      <c r="F478" s="159">
        <v>115000.0</v>
      </c>
      <c r="G478" s="184"/>
      <c r="H478" s="130" t="s">
        <v>474</v>
      </c>
      <c r="I478" s="107" t="str">
        <f t="shared" si="6"/>
        <v>NOT PAID</v>
      </c>
      <c r="J478" s="107"/>
      <c r="K478" s="107"/>
      <c r="L478" s="107"/>
      <c r="M478" s="107"/>
      <c r="N478" s="107"/>
      <c r="O478" s="107"/>
      <c r="P478" s="107"/>
      <c r="Q478" s="107"/>
      <c r="R478" s="107"/>
      <c r="S478" s="107"/>
      <c r="T478" s="107"/>
      <c r="U478" s="107"/>
      <c r="V478" s="107"/>
      <c r="W478" s="107"/>
      <c r="X478" s="107"/>
      <c r="Y478" s="107"/>
      <c r="Z478" s="107"/>
    </row>
    <row r="479" ht="14.25" customHeight="1">
      <c r="A479" s="110">
        <v>45521.0</v>
      </c>
      <c r="B479" s="232" t="s">
        <v>479</v>
      </c>
      <c r="C479" s="233" t="s">
        <v>480</v>
      </c>
      <c r="D479" s="233" t="s">
        <v>481</v>
      </c>
      <c r="E479" s="233" t="s">
        <v>70</v>
      </c>
      <c r="F479" s="211">
        <v>875000.0</v>
      </c>
      <c r="G479" s="211">
        <v>875000.0</v>
      </c>
      <c r="H479" s="130" t="s">
        <v>212</v>
      </c>
      <c r="I479" s="107" t="str">
        <f t="shared" si="6"/>
        <v>FULLY PAID</v>
      </c>
      <c r="J479" s="107"/>
      <c r="K479" s="107"/>
      <c r="L479" s="107"/>
      <c r="M479" s="107"/>
      <c r="N479" s="107"/>
      <c r="O479" s="107"/>
      <c r="P479" s="107"/>
      <c r="Q479" s="107"/>
      <c r="R479" s="107"/>
      <c r="S479" s="107"/>
      <c r="T479" s="107"/>
      <c r="U479" s="107"/>
      <c r="V479" s="107"/>
      <c r="W479" s="107"/>
      <c r="X479" s="107"/>
      <c r="Y479" s="107"/>
      <c r="Z479" s="107"/>
    </row>
    <row r="480" ht="14.25" customHeight="1">
      <c r="A480" s="110">
        <v>45521.0</v>
      </c>
      <c r="B480" s="232" t="s">
        <v>448</v>
      </c>
      <c r="C480" s="233" t="s">
        <v>449</v>
      </c>
      <c r="D480" s="233" t="s">
        <v>67</v>
      </c>
      <c r="E480" s="233" t="s">
        <v>199</v>
      </c>
      <c r="F480" s="211">
        <v>60000.0</v>
      </c>
      <c r="G480" s="184"/>
      <c r="H480" s="130" t="s">
        <v>482</v>
      </c>
      <c r="I480" s="107" t="str">
        <f t="shared" si="6"/>
        <v>NOT PAID</v>
      </c>
      <c r="J480" s="111"/>
      <c r="K480" s="107"/>
      <c r="L480" s="107"/>
      <c r="M480" s="107"/>
      <c r="N480" s="107"/>
      <c r="O480" s="107"/>
      <c r="P480" s="107"/>
      <c r="Q480" s="107"/>
      <c r="R480" s="107"/>
      <c r="S480" s="107"/>
      <c r="T480" s="107"/>
      <c r="U480" s="107"/>
      <c r="V480" s="107"/>
      <c r="W480" s="107"/>
      <c r="X480" s="107"/>
      <c r="Y480" s="107"/>
      <c r="Z480" s="107"/>
    </row>
    <row r="481" ht="14.25" customHeight="1">
      <c r="A481" s="110"/>
      <c r="B481" s="114"/>
      <c r="C481" s="130"/>
      <c r="D481" s="130"/>
      <c r="E481" s="130"/>
      <c r="F481" s="258"/>
      <c r="G481" s="184"/>
      <c r="H481" s="130"/>
      <c r="I481" s="107" t="str">
        <f t="shared" si="6"/>
        <v>FULLY PAID</v>
      </c>
      <c r="J481" s="107"/>
      <c r="K481" s="107"/>
      <c r="L481" s="107"/>
      <c r="M481" s="107"/>
      <c r="N481" s="107"/>
      <c r="O481" s="107"/>
      <c r="P481" s="107"/>
      <c r="Q481" s="107"/>
      <c r="R481" s="107"/>
      <c r="S481" s="107"/>
      <c r="T481" s="107"/>
      <c r="U481" s="107"/>
      <c r="V481" s="107"/>
      <c r="W481" s="107"/>
      <c r="X481" s="107"/>
      <c r="Y481" s="107"/>
      <c r="Z481" s="107"/>
    </row>
    <row r="482" ht="14.25" customHeight="1">
      <c r="A482" s="107"/>
      <c r="B482" s="107"/>
      <c r="C482" s="103" t="s">
        <v>483</v>
      </c>
      <c r="D482" s="107"/>
      <c r="E482" s="107"/>
      <c r="F482" s="109"/>
      <c r="G482" s="109"/>
      <c r="H482" s="107"/>
      <c r="I482" s="107" t="str">
        <f t="shared" si="6"/>
        <v>FULLY PAID</v>
      </c>
      <c r="J482" s="107"/>
      <c r="K482" s="107"/>
      <c r="L482" s="107"/>
      <c r="M482" s="107"/>
      <c r="N482" s="107"/>
      <c r="O482" s="107"/>
      <c r="P482" s="107"/>
      <c r="Q482" s="107"/>
      <c r="R482" s="107"/>
      <c r="S482" s="107"/>
      <c r="T482" s="107"/>
      <c r="U482" s="107"/>
      <c r="V482" s="107"/>
      <c r="W482" s="107"/>
      <c r="X482" s="107"/>
      <c r="Y482" s="107"/>
      <c r="Z482" s="107"/>
    </row>
    <row r="483" ht="14.25" customHeight="1">
      <c r="A483" s="110">
        <v>45523.0</v>
      </c>
      <c r="B483" s="235" t="s">
        <v>77</v>
      </c>
      <c r="C483" s="236" t="s">
        <v>74</v>
      </c>
      <c r="D483" s="236" t="s">
        <v>54</v>
      </c>
      <c r="E483" s="111" t="s">
        <v>484</v>
      </c>
      <c r="F483" s="113">
        <v>237396.0</v>
      </c>
      <c r="G483" s="109"/>
      <c r="H483" s="111" t="s">
        <v>485</v>
      </c>
      <c r="I483" s="107" t="str">
        <f t="shared" si="6"/>
        <v>NOT PAID</v>
      </c>
      <c r="J483" s="107"/>
      <c r="K483" s="107"/>
      <c r="L483" s="107"/>
      <c r="M483" s="107"/>
      <c r="N483" s="107"/>
      <c r="O483" s="107"/>
      <c r="P483" s="107"/>
      <c r="Q483" s="107"/>
      <c r="R483" s="107"/>
      <c r="S483" s="107"/>
      <c r="T483" s="107"/>
      <c r="U483" s="107"/>
      <c r="V483" s="107"/>
      <c r="W483" s="107"/>
      <c r="X483" s="107"/>
      <c r="Y483" s="107"/>
      <c r="Z483" s="107"/>
    </row>
    <row r="484" ht="14.25" customHeight="1">
      <c r="A484" s="110">
        <v>45523.0</v>
      </c>
      <c r="B484" s="232" t="s">
        <v>415</v>
      </c>
      <c r="C484" s="233" t="s">
        <v>79</v>
      </c>
      <c r="D484" s="252" t="s">
        <v>54</v>
      </c>
      <c r="E484" s="250" t="s">
        <v>80</v>
      </c>
      <c r="F484" s="251">
        <v>266698.0</v>
      </c>
      <c r="G484" s="109"/>
      <c r="H484" s="111" t="s">
        <v>486</v>
      </c>
      <c r="I484" s="107" t="str">
        <f t="shared" si="6"/>
        <v>NOT PAID</v>
      </c>
      <c r="J484" s="107"/>
      <c r="K484" s="107"/>
      <c r="L484" s="107"/>
      <c r="M484" s="107"/>
      <c r="N484" s="107"/>
      <c r="O484" s="107"/>
      <c r="P484" s="107"/>
      <c r="Q484" s="107"/>
      <c r="R484" s="107"/>
      <c r="S484" s="107"/>
      <c r="T484" s="107"/>
      <c r="U484" s="107"/>
      <c r="V484" s="107"/>
      <c r="W484" s="107"/>
      <c r="X484" s="107"/>
      <c r="Y484" s="107"/>
      <c r="Z484" s="107"/>
    </row>
    <row r="485" ht="14.25" customHeight="1">
      <c r="A485" s="110">
        <v>45523.0</v>
      </c>
      <c r="B485" s="253" t="s">
        <v>266</v>
      </c>
      <c r="C485" s="232" t="s">
        <v>79</v>
      </c>
      <c r="D485" s="233" t="s">
        <v>54</v>
      </c>
      <c r="E485" s="250" t="s">
        <v>80</v>
      </c>
      <c r="F485" s="251">
        <v>230000.0</v>
      </c>
      <c r="G485" s="109"/>
      <c r="H485" s="111" t="s">
        <v>486</v>
      </c>
      <c r="I485" s="107" t="str">
        <f t="shared" si="6"/>
        <v>NOT PAID</v>
      </c>
      <c r="J485" s="107"/>
      <c r="K485" s="107"/>
      <c r="L485" s="107"/>
      <c r="M485" s="107"/>
      <c r="N485" s="107"/>
      <c r="O485" s="107"/>
      <c r="P485" s="107"/>
      <c r="Q485" s="107"/>
      <c r="R485" s="107"/>
      <c r="S485" s="107"/>
      <c r="T485" s="107"/>
      <c r="U485" s="107"/>
      <c r="V485" s="107"/>
      <c r="W485" s="107"/>
      <c r="X485" s="107"/>
      <c r="Y485" s="107"/>
      <c r="Z485" s="107"/>
    </row>
    <row r="486" ht="14.25" customHeight="1">
      <c r="A486" s="110">
        <v>45523.0</v>
      </c>
      <c r="B486" s="155" t="s">
        <v>253</v>
      </c>
      <c r="C486" s="233" t="s">
        <v>58</v>
      </c>
      <c r="D486" s="233" t="s">
        <v>75</v>
      </c>
      <c r="E486" s="250" t="s">
        <v>70</v>
      </c>
      <c r="F486" s="251">
        <v>561775.0</v>
      </c>
      <c r="G486" s="109"/>
      <c r="H486" s="111" t="s">
        <v>487</v>
      </c>
      <c r="I486" s="107" t="str">
        <f t="shared" si="6"/>
        <v>NOT PAID</v>
      </c>
      <c r="J486" s="107"/>
      <c r="K486" s="107"/>
      <c r="L486" s="107"/>
      <c r="M486" s="107"/>
      <c r="N486" s="107"/>
      <c r="O486" s="107"/>
      <c r="P486" s="107"/>
      <c r="Q486" s="107"/>
      <c r="R486" s="107"/>
      <c r="S486" s="107"/>
      <c r="T486" s="107"/>
      <c r="U486" s="107"/>
      <c r="V486" s="107"/>
      <c r="W486" s="107"/>
      <c r="X486" s="107"/>
      <c r="Y486" s="107"/>
      <c r="Z486" s="107"/>
    </row>
    <row r="487" ht="14.25" customHeight="1">
      <c r="A487" s="110">
        <v>45523.0</v>
      </c>
      <c r="B487" s="232" t="s">
        <v>57</v>
      </c>
      <c r="C487" s="233" t="s">
        <v>58</v>
      </c>
      <c r="D487" s="233" t="s">
        <v>59</v>
      </c>
      <c r="E487" s="233" t="s">
        <v>70</v>
      </c>
      <c r="F487" s="252">
        <v>326022.0</v>
      </c>
      <c r="G487" s="109"/>
      <c r="H487" s="111" t="s">
        <v>487</v>
      </c>
      <c r="I487" s="107" t="str">
        <f t="shared" si="6"/>
        <v>NOT PAID</v>
      </c>
      <c r="J487" s="107"/>
      <c r="K487" s="107"/>
      <c r="L487" s="107"/>
      <c r="M487" s="107"/>
      <c r="N487" s="107"/>
      <c r="O487" s="107"/>
      <c r="P487" s="107"/>
      <c r="Q487" s="107"/>
      <c r="R487" s="107"/>
      <c r="S487" s="107"/>
      <c r="T487" s="107"/>
      <c r="U487" s="107"/>
      <c r="V487" s="107"/>
      <c r="W487" s="107"/>
      <c r="X487" s="107"/>
      <c r="Y487" s="107"/>
      <c r="Z487" s="107"/>
    </row>
    <row r="488" ht="14.25" customHeight="1">
      <c r="A488" s="110">
        <v>45523.0</v>
      </c>
      <c r="B488" s="248" t="s">
        <v>285</v>
      </c>
      <c r="C488" s="249" t="s">
        <v>286</v>
      </c>
      <c r="D488" s="233" t="s">
        <v>413</v>
      </c>
      <c r="E488" s="250" t="s">
        <v>70</v>
      </c>
      <c r="F488" s="251">
        <v>160969.0</v>
      </c>
      <c r="G488" s="109"/>
      <c r="H488" s="111" t="s">
        <v>61</v>
      </c>
      <c r="I488" s="107" t="str">
        <f t="shared" si="6"/>
        <v>NOT PAID</v>
      </c>
      <c r="J488" s="107"/>
      <c r="K488" s="107"/>
      <c r="L488" s="107"/>
      <c r="M488" s="107"/>
      <c r="N488" s="107"/>
      <c r="O488" s="107"/>
      <c r="P488" s="107"/>
      <c r="Q488" s="107"/>
      <c r="R488" s="107"/>
      <c r="S488" s="107"/>
      <c r="T488" s="107"/>
      <c r="U488" s="107"/>
      <c r="V488" s="107"/>
      <c r="W488" s="107"/>
      <c r="X488" s="107"/>
      <c r="Y488" s="107"/>
      <c r="Z488" s="107"/>
    </row>
    <row r="489" ht="14.25" customHeight="1">
      <c r="A489" s="110">
        <v>45523.0</v>
      </c>
      <c r="B489" s="255" t="s">
        <v>135</v>
      </c>
      <c r="C489" s="256" t="s">
        <v>136</v>
      </c>
      <c r="D489" s="256" t="s">
        <v>54</v>
      </c>
      <c r="E489" s="256" t="s">
        <v>70</v>
      </c>
      <c r="F489" s="257">
        <v>931059.0</v>
      </c>
      <c r="G489" s="109"/>
      <c r="H489" s="111" t="s">
        <v>488</v>
      </c>
      <c r="I489" s="107" t="str">
        <f t="shared" si="6"/>
        <v>NOT PAID</v>
      </c>
      <c r="J489" s="107"/>
      <c r="K489" s="107"/>
      <c r="L489" s="107"/>
      <c r="M489" s="107"/>
      <c r="N489" s="107"/>
      <c r="O489" s="107"/>
      <c r="P489" s="107"/>
      <c r="Q489" s="107"/>
      <c r="R489" s="107"/>
      <c r="S489" s="107"/>
      <c r="T489" s="107"/>
      <c r="U489" s="107"/>
      <c r="V489" s="107"/>
      <c r="W489" s="107"/>
      <c r="X489" s="107"/>
      <c r="Y489" s="107"/>
      <c r="Z489" s="107"/>
    </row>
    <row r="490" ht="14.25" customHeight="1">
      <c r="A490" s="110">
        <v>45523.0</v>
      </c>
      <c r="B490" s="155" t="s">
        <v>477</v>
      </c>
      <c r="C490" s="156" t="s">
        <v>478</v>
      </c>
      <c r="D490" s="156" t="s">
        <v>413</v>
      </c>
      <c r="E490" s="156" t="s">
        <v>489</v>
      </c>
      <c r="F490" s="159">
        <v>115000.0</v>
      </c>
      <c r="G490" s="109"/>
      <c r="H490" s="111" t="s">
        <v>490</v>
      </c>
      <c r="I490" s="107" t="str">
        <f t="shared" si="6"/>
        <v>NOT PAID</v>
      </c>
      <c r="J490" s="107"/>
      <c r="K490" s="107"/>
      <c r="L490" s="107"/>
      <c r="M490" s="107"/>
      <c r="N490" s="107"/>
      <c r="O490" s="107"/>
      <c r="P490" s="107"/>
      <c r="Q490" s="107"/>
      <c r="R490" s="107"/>
      <c r="S490" s="107"/>
      <c r="T490" s="107"/>
      <c r="U490" s="107"/>
      <c r="V490" s="107"/>
      <c r="W490" s="107"/>
      <c r="X490" s="107"/>
      <c r="Y490" s="107"/>
      <c r="Z490" s="107"/>
    </row>
    <row r="491" ht="14.25" customHeight="1">
      <c r="A491" s="110">
        <v>45523.0</v>
      </c>
      <c r="B491" s="155" t="s">
        <v>345</v>
      </c>
      <c r="C491" s="156" t="s">
        <v>339</v>
      </c>
      <c r="D491" s="156" t="s">
        <v>467</v>
      </c>
      <c r="E491" s="246" t="s">
        <v>80</v>
      </c>
      <c r="F491" s="247">
        <v>14804.0</v>
      </c>
      <c r="G491" s="109"/>
      <c r="H491" s="111" t="s">
        <v>491</v>
      </c>
      <c r="I491" s="107" t="str">
        <f t="shared" si="6"/>
        <v>NOT PAID</v>
      </c>
      <c r="J491" s="107"/>
      <c r="K491" s="107"/>
      <c r="L491" s="107"/>
      <c r="M491" s="107"/>
      <c r="N491" s="107"/>
      <c r="O491" s="107"/>
      <c r="P491" s="107"/>
      <c r="Q491" s="107"/>
      <c r="R491" s="107"/>
      <c r="S491" s="107"/>
      <c r="T491" s="107"/>
      <c r="U491" s="107"/>
      <c r="V491" s="107"/>
      <c r="W491" s="107"/>
      <c r="X491" s="107"/>
      <c r="Y491" s="107"/>
      <c r="Z491" s="107"/>
    </row>
    <row r="492" ht="14.25" customHeight="1">
      <c r="A492" s="110">
        <v>45523.0</v>
      </c>
      <c r="B492" s="232" t="s">
        <v>426</v>
      </c>
      <c r="C492" s="233" t="s">
        <v>427</v>
      </c>
      <c r="D492" s="233" t="s">
        <v>54</v>
      </c>
      <c r="E492" s="233" t="s">
        <v>55</v>
      </c>
      <c r="F492" s="211">
        <v>100803.55</v>
      </c>
      <c r="G492" s="109"/>
      <c r="H492" s="111" t="s">
        <v>492</v>
      </c>
      <c r="I492" s="107" t="str">
        <f t="shared" si="6"/>
        <v>NOT PAID</v>
      </c>
      <c r="J492" s="107"/>
      <c r="K492" s="107"/>
      <c r="L492" s="107"/>
      <c r="M492" s="107"/>
      <c r="N492" s="107"/>
      <c r="O492" s="107"/>
      <c r="P492" s="107"/>
      <c r="Q492" s="107"/>
      <c r="R492" s="107"/>
      <c r="S492" s="107"/>
      <c r="T492" s="107"/>
      <c r="U492" s="107"/>
      <c r="V492" s="107"/>
      <c r="W492" s="107"/>
      <c r="X492" s="107"/>
      <c r="Y492" s="107"/>
      <c r="Z492" s="107"/>
    </row>
    <row r="493" ht="14.25" customHeight="1">
      <c r="A493" s="110">
        <v>45523.0</v>
      </c>
      <c r="B493" s="232" t="s">
        <v>493</v>
      </c>
      <c r="C493" s="233" t="s">
        <v>494</v>
      </c>
      <c r="D493" s="252" t="s">
        <v>67</v>
      </c>
      <c r="E493" s="233" t="s">
        <v>80</v>
      </c>
      <c r="F493" s="252">
        <v>195173.35</v>
      </c>
      <c r="G493" s="113">
        <v>40000.0</v>
      </c>
      <c r="H493" s="111" t="s">
        <v>495</v>
      </c>
      <c r="I493" s="107" t="str">
        <f t="shared" si="6"/>
        <v>PARTIALLY PAID</v>
      </c>
      <c r="J493" s="107"/>
      <c r="K493" s="107"/>
      <c r="L493" s="107"/>
      <c r="M493" s="107"/>
      <c r="N493" s="107"/>
      <c r="O493" s="107"/>
      <c r="P493" s="107"/>
      <c r="Q493" s="107"/>
      <c r="R493" s="107"/>
      <c r="S493" s="107"/>
      <c r="T493" s="107"/>
      <c r="U493" s="107"/>
      <c r="V493" s="107"/>
      <c r="W493" s="107"/>
      <c r="X493" s="107"/>
      <c r="Y493" s="107"/>
      <c r="Z493" s="107"/>
    </row>
    <row r="494" ht="14.25" customHeight="1">
      <c r="A494" s="110">
        <v>45523.0</v>
      </c>
      <c r="B494" s="232" t="s">
        <v>195</v>
      </c>
      <c r="C494" s="233" t="s">
        <v>196</v>
      </c>
      <c r="D494" s="233" t="s">
        <v>54</v>
      </c>
      <c r="E494" s="233" t="s">
        <v>110</v>
      </c>
      <c r="F494" s="252">
        <v>418381.86</v>
      </c>
      <c r="G494" s="109"/>
      <c r="H494" s="111" t="s">
        <v>496</v>
      </c>
      <c r="I494" s="107" t="str">
        <f t="shared" si="6"/>
        <v>NOT PAID</v>
      </c>
      <c r="J494" s="107"/>
      <c r="K494" s="107"/>
      <c r="L494" s="107"/>
      <c r="M494" s="107"/>
      <c r="N494" s="107"/>
      <c r="O494" s="107"/>
      <c r="P494" s="107"/>
      <c r="Q494" s="107"/>
      <c r="R494" s="107"/>
      <c r="S494" s="107"/>
      <c r="T494" s="107"/>
      <c r="U494" s="107"/>
      <c r="V494" s="107"/>
      <c r="W494" s="107"/>
      <c r="X494" s="107"/>
      <c r="Y494" s="107"/>
      <c r="Z494" s="107"/>
    </row>
    <row r="495" ht="14.25" customHeight="1">
      <c r="A495" s="110">
        <v>45523.0</v>
      </c>
      <c r="B495" s="232" t="s">
        <v>448</v>
      </c>
      <c r="C495" s="233" t="s">
        <v>449</v>
      </c>
      <c r="D495" s="233" t="s">
        <v>67</v>
      </c>
      <c r="E495" s="233" t="s">
        <v>199</v>
      </c>
      <c r="F495" s="211">
        <v>60000.0</v>
      </c>
      <c r="G495" s="109"/>
      <c r="H495" s="111" t="s">
        <v>497</v>
      </c>
      <c r="I495" s="107" t="str">
        <f t="shared" si="6"/>
        <v>NOT PAID</v>
      </c>
      <c r="J495" s="107"/>
      <c r="K495" s="107"/>
      <c r="L495" s="107"/>
      <c r="M495" s="107"/>
      <c r="N495" s="107"/>
      <c r="O495" s="107"/>
      <c r="P495" s="107"/>
      <c r="Q495" s="107"/>
      <c r="R495" s="107"/>
      <c r="S495" s="107"/>
      <c r="T495" s="107"/>
      <c r="U495" s="107"/>
      <c r="V495" s="107"/>
      <c r="W495" s="107"/>
      <c r="X495" s="107"/>
      <c r="Y495" s="107"/>
      <c r="Z495" s="107"/>
    </row>
    <row r="496" ht="14.25" customHeight="1">
      <c r="A496" s="110">
        <v>45523.0</v>
      </c>
      <c r="B496" s="111" t="s">
        <v>498</v>
      </c>
      <c r="C496" s="111" t="s">
        <v>499</v>
      </c>
      <c r="D496" s="111" t="s">
        <v>54</v>
      </c>
      <c r="E496" s="111" t="s">
        <v>359</v>
      </c>
      <c r="F496" s="113">
        <v>83494.0</v>
      </c>
      <c r="G496" s="109"/>
      <c r="H496" s="259" t="s">
        <v>500</v>
      </c>
      <c r="I496" s="107" t="str">
        <f t="shared" si="6"/>
        <v>NOT PAID</v>
      </c>
      <c r="J496" s="107"/>
      <c r="K496" s="107"/>
      <c r="L496" s="107"/>
      <c r="M496" s="107"/>
      <c r="N496" s="107"/>
      <c r="O496" s="107"/>
      <c r="P496" s="107"/>
      <c r="Q496" s="107"/>
      <c r="R496" s="107"/>
      <c r="S496" s="107"/>
      <c r="T496" s="107"/>
      <c r="U496" s="107"/>
      <c r="V496" s="107"/>
      <c r="W496" s="107"/>
      <c r="X496" s="107"/>
      <c r="Y496" s="107"/>
      <c r="Z496" s="107"/>
    </row>
    <row r="497" ht="14.25" customHeight="1">
      <c r="A497" s="110">
        <v>45523.0</v>
      </c>
      <c r="B497" s="111" t="s">
        <v>501</v>
      </c>
      <c r="C497" s="111" t="s">
        <v>499</v>
      </c>
      <c r="D497" s="111" t="s">
        <v>467</v>
      </c>
      <c r="E497" s="111" t="s">
        <v>359</v>
      </c>
      <c r="F497" s="113">
        <v>23880.0</v>
      </c>
      <c r="G497" s="109"/>
      <c r="H497" s="259" t="s">
        <v>500</v>
      </c>
      <c r="I497" s="107" t="str">
        <f t="shared" si="6"/>
        <v>NOT PAID</v>
      </c>
      <c r="J497" s="107"/>
      <c r="K497" s="107"/>
      <c r="L497" s="107"/>
      <c r="M497" s="107"/>
      <c r="N497" s="107"/>
      <c r="O497" s="107"/>
      <c r="P497" s="107"/>
      <c r="Q497" s="107"/>
      <c r="R497" s="107"/>
      <c r="S497" s="107"/>
      <c r="T497" s="107"/>
      <c r="U497" s="107"/>
      <c r="V497" s="107"/>
      <c r="W497" s="107"/>
      <c r="X497" s="107"/>
      <c r="Y497" s="107"/>
      <c r="Z497" s="107"/>
    </row>
    <row r="498" ht="14.25" customHeight="1">
      <c r="A498" s="110">
        <v>45523.0</v>
      </c>
      <c r="B498" s="260" t="s">
        <v>502</v>
      </c>
      <c r="C498" s="261" t="s">
        <v>503</v>
      </c>
      <c r="D498" s="233" t="s">
        <v>75</v>
      </c>
      <c r="E498" s="250" t="s">
        <v>70</v>
      </c>
      <c r="F498" s="113">
        <v>400000.0</v>
      </c>
      <c r="G498" s="113">
        <v>400000.0</v>
      </c>
      <c r="H498" s="111" t="s">
        <v>212</v>
      </c>
      <c r="I498" s="107" t="str">
        <f t="shared" si="6"/>
        <v>FULLY PAID</v>
      </c>
      <c r="J498" s="107"/>
      <c r="K498" s="107"/>
      <c r="L498" s="107"/>
      <c r="M498" s="107"/>
      <c r="N498" s="107"/>
      <c r="O498" s="107"/>
      <c r="P498" s="107"/>
      <c r="Q498" s="107"/>
      <c r="R498" s="107"/>
      <c r="S498" s="107"/>
      <c r="T498" s="107"/>
      <c r="U498" s="107"/>
      <c r="V498" s="107"/>
      <c r="W498" s="107"/>
      <c r="X498" s="107"/>
      <c r="Y498" s="107"/>
      <c r="Z498" s="107"/>
    </row>
    <row r="499" ht="14.25" customHeight="1">
      <c r="A499" s="107"/>
      <c r="B499" s="107"/>
      <c r="C499" s="107"/>
      <c r="D499" s="107"/>
      <c r="E499" s="107"/>
      <c r="F499" s="109"/>
      <c r="G499" s="109"/>
      <c r="H499" s="107"/>
      <c r="I499" s="107"/>
      <c r="J499" s="107"/>
      <c r="K499" s="107"/>
      <c r="L499" s="107"/>
      <c r="M499" s="107"/>
      <c r="N499" s="107"/>
      <c r="O499" s="107"/>
      <c r="P499" s="107"/>
      <c r="Q499" s="107"/>
      <c r="R499" s="107"/>
      <c r="S499" s="107"/>
      <c r="T499" s="107"/>
      <c r="U499" s="107"/>
      <c r="V499" s="107"/>
      <c r="W499" s="107"/>
      <c r="X499" s="107"/>
      <c r="Y499" s="107"/>
      <c r="Z499" s="107"/>
    </row>
    <row r="500" ht="14.25" customHeight="1">
      <c r="A500" s="107"/>
      <c r="B500" s="107"/>
      <c r="C500" s="107"/>
      <c r="D500" s="107"/>
      <c r="E500" s="107"/>
      <c r="F500" s="109"/>
      <c r="G500" s="109"/>
      <c r="H500" s="107"/>
      <c r="I500" s="107" t="str">
        <f t="shared" ref="I500:I511" si="7">IF(G500&gt;=F500,"FULLY PAID",IF(G500=0,"NOT PAID","PARTIALLY PAID"))</f>
        <v>FULLY PAID</v>
      </c>
      <c r="J500" s="107"/>
      <c r="K500" s="107"/>
      <c r="L500" s="107"/>
      <c r="M500" s="107"/>
      <c r="N500" s="107"/>
      <c r="O500" s="107"/>
      <c r="P500" s="107"/>
      <c r="Q500" s="107"/>
      <c r="R500" s="107"/>
      <c r="S500" s="107"/>
      <c r="T500" s="107"/>
      <c r="U500" s="107"/>
      <c r="V500" s="107"/>
      <c r="W500" s="107"/>
      <c r="X500" s="107"/>
      <c r="Y500" s="107"/>
      <c r="Z500" s="107"/>
    </row>
    <row r="501" ht="14.25" customHeight="1">
      <c r="A501" s="110">
        <v>45523.0</v>
      </c>
      <c r="B501" s="262" t="s">
        <v>445</v>
      </c>
      <c r="C501" s="263" t="s">
        <v>446</v>
      </c>
      <c r="D501" s="263" t="s">
        <v>67</v>
      </c>
      <c r="E501" s="263" t="s">
        <v>199</v>
      </c>
      <c r="F501" s="264">
        <v>102000.0</v>
      </c>
      <c r="G501" s="265"/>
      <c r="H501" s="266" t="s">
        <v>179</v>
      </c>
      <c r="I501" s="107" t="str">
        <f t="shared" si="7"/>
        <v>NOT PAID</v>
      </c>
      <c r="J501" s="107"/>
      <c r="K501" s="107"/>
      <c r="L501" s="107"/>
      <c r="M501" s="107"/>
      <c r="N501" s="107"/>
      <c r="O501" s="107"/>
      <c r="P501" s="107"/>
      <c r="Q501" s="107"/>
      <c r="R501" s="107"/>
      <c r="S501" s="107"/>
      <c r="T501" s="107"/>
      <c r="U501" s="107"/>
      <c r="V501" s="107"/>
      <c r="W501" s="107"/>
      <c r="X501" s="107"/>
      <c r="Y501" s="107"/>
      <c r="Z501" s="107"/>
    </row>
    <row r="502" ht="14.25" customHeight="1">
      <c r="A502" s="110">
        <v>45523.0</v>
      </c>
      <c r="B502" s="267" t="s">
        <v>442</v>
      </c>
      <c r="C502" s="268" t="s">
        <v>443</v>
      </c>
      <c r="D502" s="268" t="s">
        <v>67</v>
      </c>
      <c r="E502" s="268" t="s">
        <v>199</v>
      </c>
      <c r="F502" s="269">
        <v>360000.0</v>
      </c>
      <c r="G502" s="270"/>
      <c r="H502" s="271" t="s">
        <v>179</v>
      </c>
      <c r="I502" s="107" t="str">
        <f t="shared" si="7"/>
        <v>NOT PAID</v>
      </c>
      <c r="J502" s="107"/>
      <c r="K502" s="107"/>
      <c r="L502" s="107"/>
      <c r="M502" s="107"/>
      <c r="N502" s="107"/>
      <c r="O502" s="107"/>
      <c r="P502" s="107"/>
      <c r="Q502" s="107"/>
      <c r="R502" s="107"/>
      <c r="S502" s="107"/>
      <c r="T502" s="107"/>
      <c r="U502" s="107"/>
      <c r="V502" s="107"/>
      <c r="W502" s="107"/>
      <c r="X502" s="107"/>
      <c r="Y502" s="107"/>
      <c r="Z502" s="107"/>
    </row>
    <row r="503" ht="14.25" customHeight="1">
      <c r="A503" s="110">
        <v>45513.0</v>
      </c>
      <c r="B503" s="267" t="s">
        <v>419</v>
      </c>
      <c r="C503" s="268" t="s">
        <v>436</v>
      </c>
      <c r="D503" s="268" t="s">
        <v>54</v>
      </c>
      <c r="E503" s="268" t="s">
        <v>110</v>
      </c>
      <c r="F503" s="272">
        <v>400000.0</v>
      </c>
      <c r="G503" s="270"/>
      <c r="H503" s="271"/>
      <c r="I503" s="107" t="str">
        <f t="shared" si="7"/>
        <v>NOT PAID</v>
      </c>
      <c r="J503" s="107"/>
      <c r="K503" s="107"/>
      <c r="L503" s="107"/>
      <c r="M503" s="107"/>
      <c r="N503" s="107"/>
      <c r="O503" s="107"/>
      <c r="P503" s="107"/>
      <c r="Q503" s="107"/>
      <c r="R503" s="107"/>
      <c r="S503" s="107"/>
      <c r="T503" s="107"/>
      <c r="U503" s="107"/>
      <c r="V503" s="107"/>
      <c r="W503" s="107"/>
      <c r="X503" s="107"/>
      <c r="Y503" s="107"/>
      <c r="Z503" s="107"/>
    </row>
    <row r="504" ht="14.25" customHeight="1">
      <c r="A504" s="110">
        <v>45523.0</v>
      </c>
      <c r="B504" s="267" t="s">
        <v>108</v>
      </c>
      <c r="C504" s="268" t="s">
        <v>109</v>
      </c>
      <c r="D504" s="268" t="s">
        <v>67</v>
      </c>
      <c r="E504" s="268" t="s">
        <v>110</v>
      </c>
      <c r="F504" s="272">
        <v>300529.21</v>
      </c>
      <c r="G504" s="270"/>
      <c r="H504" s="273"/>
      <c r="I504" s="107" t="str">
        <f t="shared" si="7"/>
        <v>NOT PAID</v>
      </c>
      <c r="J504" s="107"/>
      <c r="K504" s="107"/>
      <c r="L504" s="107"/>
      <c r="M504" s="107"/>
      <c r="N504" s="107"/>
      <c r="O504" s="107"/>
      <c r="P504" s="107"/>
      <c r="Q504" s="107"/>
      <c r="R504" s="107"/>
      <c r="S504" s="107"/>
      <c r="T504" s="107"/>
      <c r="U504" s="107"/>
      <c r="V504" s="107"/>
      <c r="W504" s="107"/>
      <c r="X504" s="107"/>
      <c r="Y504" s="107"/>
      <c r="Z504" s="107"/>
    </row>
    <row r="505" ht="14.25" customHeight="1">
      <c r="A505" s="107"/>
      <c r="B505" s="107"/>
      <c r="C505" s="107"/>
      <c r="D505" s="107"/>
      <c r="E505" s="107"/>
      <c r="F505" s="109"/>
      <c r="G505" s="109"/>
      <c r="H505" s="107"/>
      <c r="I505" s="107" t="str">
        <f t="shared" si="7"/>
        <v>FULLY PAID</v>
      </c>
      <c r="J505" s="107"/>
      <c r="K505" s="107"/>
      <c r="L505" s="107"/>
      <c r="M505" s="107"/>
      <c r="N505" s="107"/>
      <c r="O505" s="107"/>
      <c r="P505" s="107"/>
      <c r="Q505" s="107"/>
      <c r="R505" s="107"/>
      <c r="S505" s="107"/>
      <c r="T505" s="107"/>
      <c r="U505" s="107"/>
      <c r="V505" s="107"/>
      <c r="W505" s="107"/>
      <c r="X505" s="107"/>
      <c r="Y505" s="107"/>
      <c r="Z505" s="107"/>
    </row>
    <row r="506" ht="14.25" customHeight="1">
      <c r="A506" s="107"/>
      <c r="B506" s="107"/>
      <c r="C506" s="103" t="s">
        <v>504</v>
      </c>
      <c r="D506" s="107"/>
      <c r="E506" s="107"/>
      <c r="F506" s="109"/>
      <c r="G506" s="109"/>
      <c r="H506" s="107"/>
      <c r="I506" s="107" t="str">
        <f t="shared" si="7"/>
        <v>FULLY PAID</v>
      </c>
      <c r="J506" s="107"/>
      <c r="K506" s="107"/>
      <c r="L506" s="107"/>
      <c r="M506" s="107"/>
      <c r="N506" s="107"/>
      <c r="O506" s="107"/>
      <c r="P506" s="107"/>
      <c r="Q506" s="107"/>
      <c r="R506" s="107"/>
      <c r="S506" s="107"/>
      <c r="T506" s="107"/>
      <c r="U506" s="107"/>
      <c r="V506" s="107"/>
      <c r="W506" s="107"/>
      <c r="X506" s="107"/>
      <c r="Y506" s="107"/>
      <c r="Z506" s="107"/>
    </row>
    <row r="507" ht="14.25" customHeight="1">
      <c r="A507" s="110">
        <v>45524.0</v>
      </c>
      <c r="B507" s="274" t="s">
        <v>345</v>
      </c>
      <c r="C507" s="275" t="s">
        <v>339</v>
      </c>
      <c r="D507" s="275" t="s">
        <v>467</v>
      </c>
      <c r="E507" s="276" t="s">
        <v>80</v>
      </c>
      <c r="F507" s="277">
        <v>14804.0</v>
      </c>
      <c r="G507" s="109"/>
      <c r="H507" s="111" t="s">
        <v>505</v>
      </c>
      <c r="I507" s="107" t="str">
        <f t="shared" si="7"/>
        <v>NOT PAID</v>
      </c>
      <c r="J507" s="107"/>
      <c r="K507" s="107"/>
      <c r="L507" s="107"/>
      <c r="M507" s="107"/>
      <c r="N507" s="107"/>
      <c r="O507" s="107"/>
      <c r="P507" s="107"/>
      <c r="Q507" s="107"/>
      <c r="R507" s="107"/>
      <c r="S507" s="107"/>
      <c r="T507" s="107"/>
      <c r="U507" s="107"/>
      <c r="V507" s="107"/>
      <c r="W507" s="107"/>
      <c r="X507" s="107"/>
      <c r="Y507" s="107"/>
      <c r="Z507" s="107"/>
    </row>
    <row r="508" ht="14.25" customHeight="1">
      <c r="A508" s="110">
        <v>45524.0</v>
      </c>
      <c r="B508" s="278" t="s">
        <v>426</v>
      </c>
      <c r="C508" s="279" t="s">
        <v>427</v>
      </c>
      <c r="D508" s="279" t="s">
        <v>54</v>
      </c>
      <c r="E508" s="279" t="s">
        <v>359</v>
      </c>
      <c r="F508" s="280">
        <v>60000.0</v>
      </c>
      <c r="G508" s="109"/>
      <c r="H508" s="111" t="s">
        <v>505</v>
      </c>
      <c r="I508" s="107" t="str">
        <f t="shared" si="7"/>
        <v>NOT PAID</v>
      </c>
      <c r="J508" s="107"/>
      <c r="K508" s="107"/>
      <c r="L508" s="107"/>
      <c r="M508" s="107"/>
      <c r="N508" s="107"/>
      <c r="O508" s="107"/>
      <c r="P508" s="107"/>
      <c r="Q508" s="107"/>
      <c r="R508" s="107"/>
      <c r="S508" s="107"/>
      <c r="T508" s="107"/>
      <c r="U508" s="107"/>
      <c r="V508" s="107"/>
      <c r="W508" s="107"/>
      <c r="X508" s="107"/>
      <c r="Y508" s="107"/>
      <c r="Z508" s="107"/>
    </row>
    <row r="509" ht="14.25" customHeight="1">
      <c r="A509" s="110">
        <v>45524.0</v>
      </c>
      <c r="B509" s="278" t="s">
        <v>493</v>
      </c>
      <c r="C509" s="279" t="s">
        <v>506</v>
      </c>
      <c r="D509" s="279" t="s">
        <v>67</v>
      </c>
      <c r="E509" s="281" t="s">
        <v>80</v>
      </c>
      <c r="F509" s="282">
        <v>155173.35</v>
      </c>
      <c r="G509" s="109"/>
      <c r="H509" s="111" t="s">
        <v>61</v>
      </c>
      <c r="I509" s="107" t="str">
        <f t="shared" si="7"/>
        <v>NOT PAID</v>
      </c>
      <c r="J509" s="107"/>
      <c r="K509" s="107"/>
      <c r="L509" s="107"/>
      <c r="M509" s="107"/>
      <c r="N509" s="107"/>
      <c r="O509" s="107"/>
      <c r="P509" s="107"/>
      <c r="Q509" s="107"/>
      <c r="R509" s="107"/>
      <c r="S509" s="107"/>
      <c r="T509" s="107"/>
      <c r="U509" s="107"/>
      <c r="V509" s="107"/>
      <c r="W509" s="107"/>
      <c r="X509" s="107"/>
      <c r="Y509" s="107"/>
      <c r="Z509" s="107"/>
    </row>
    <row r="510" ht="14.25" customHeight="1">
      <c r="A510" s="110">
        <v>45524.0</v>
      </c>
      <c r="B510" s="283" t="s">
        <v>285</v>
      </c>
      <c r="C510" s="284" t="s">
        <v>286</v>
      </c>
      <c r="D510" s="285" t="s">
        <v>413</v>
      </c>
      <c r="E510" s="281" t="s">
        <v>70</v>
      </c>
      <c r="F510" s="286">
        <v>160969.0</v>
      </c>
      <c r="G510" s="113"/>
      <c r="H510" s="111" t="s">
        <v>507</v>
      </c>
      <c r="I510" s="107" t="str">
        <f t="shared" si="7"/>
        <v>NOT PAID</v>
      </c>
      <c r="J510" s="107"/>
      <c r="K510" s="107"/>
      <c r="L510" s="107"/>
      <c r="M510" s="107"/>
      <c r="N510" s="107"/>
      <c r="O510" s="107"/>
      <c r="P510" s="107"/>
      <c r="Q510" s="107"/>
      <c r="R510" s="107"/>
      <c r="S510" s="107"/>
      <c r="T510" s="107"/>
      <c r="U510" s="107"/>
      <c r="V510" s="107"/>
      <c r="W510" s="107"/>
      <c r="X510" s="107"/>
      <c r="Y510" s="107"/>
      <c r="Z510" s="107"/>
    </row>
    <row r="511" ht="14.25" customHeight="1">
      <c r="A511" s="110">
        <v>45524.0</v>
      </c>
      <c r="B511" s="278" t="s">
        <v>415</v>
      </c>
      <c r="C511" s="279" t="s">
        <v>79</v>
      </c>
      <c r="D511" s="279" t="s">
        <v>54</v>
      </c>
      <c r="E511" s="281" t="s">
        <v>80</v>
      </c>
      <c r="F511" s="286">
        <v>266698.0</v>
      </c>
      <c r="G511" s="109"/>
      <c r="H511" s="111" t="s">
        <v>508</v>
      </c>
      <c r="I511" s="107" t="str">
        <f t="shared" si="7"/>
        <v>NOT PAID</v>
      </c>
      <c r="J511" s="107"/>
      <c r="K511" s="107"/>
      <c r="L511" s="107"/>
      <c r="M511" s="107"/>
      <c r="N511" s="107"/>
      <c r="O511" s="107"/>
      <c r="P511" s="107"/>
      <c r="Q511" s="107"/>
      <c r="R511" s="107"/>
      <c r="S511" s="107"/>
      <c r="T511" s="107"/>
      <c r="U511" s="107"/>
      <c r="V511" s="107"/>
      <c r="W511" s="107"/>
      <c r="X511" s="107"/>
      <c r="Y511" s="107"/>
      <c r="Z511" s="107"/>
    </row>
    <row r="512" ht="14.25" customHeight="1">
      <c r="A512" s="110">
        <v>45524.0</v>
      </c>
      <c r="B512" s="287" t="s">
        <v>266</v>
      </c>
      <c r="C512" s="278" t="s">
        <v>79</v>
      </c>
      <c r="D512" s="285" t="s">
        <v>54</v>
      </c>
      <c r="E512" s="281" t="s">
        <v>80</v>
      </c>
      <c r="F512" s="286">
        <v>230000.0</v>
      </c>
      <c r="G512" s="109"/>
      <c r="H512" s="111" t="s">
        <v>508</v>
      </c>
      <c r="I512" s="107"/>
      <c r="J512" s="107"/>
      <c r="K512" s="107"/>
      <c r="L512" s="107"/>
      <c r="M512" s="107"/>
      <c r="N512" s="107"/>
      <c r="O512" s="107"/>
      <c r="P512" s="107"/>
      <c r="Q512" s="107"/>
      <c r="R512" s="107"/>
      <c r="S512" s="107"/>
      <c r="T512" s="107"/>
      <c r="U512" s="107"/>
      <c r="V512" s="107"/>
      <c r="W512" s="107"/>
      <c r="X512" s="107"/>
      <c r="Y512" s="107"/>
      <c r="Z512" s="107"/>
    </row>
    <row r="513" ht="14.25" customHeight="1">
      <c r="A513" s="110">
        <v>45524.0</v>
      </c>
      <c r="B513" s="274" t="s">
        <v>253</v>
      </c>
      <c r="C513" s="279" t="s">
        <v>58</v>
      </c>
      <c r="D513" s="279" t="s">
        <v>75</v>
      </c>
      <c r="E513" s="281" t="s">
        <v>70</v>
      </c>
      <c r="F513" s="286">
        <v>561775.0</v>
      </c>
      <c r="G513" s="109"/>
      <c r="H513" s="111" t="s">
        <v>509</v>
      </c>
      <c r="I513" s="107"/>
      <c r="J513" s="107"/>
      <c r="K513" s="107"/>
      <c r="L513" s="107"/>
      <c r="M513" s="107"/>
      <c r="N513" s="107"/>
      <c r="O513" s="107"/>
      <c r="P513" s="107"/>
      <c r="Q513" s="107"/>
      <c r="R513" s="107"/>
      <c r="S513" s="107"/>
      <c r="T513" s="107"/>
      <c r="U513" s="107"/>
      <c r="V513" s="107"/>
      <c r="W513" s="107"/>
      <c r="X513" s="107"/>
      <c r="Y513" s="107"/>
      <c r="Z513" s="107"/>
    </row>
    <row r="514" ht="14.25" customHeight="1">
      <c r="A514" s="110">
        <v>45524.0</v>
      </c>
      <c r="B514" s="278" t="s">
        <v>57</v>
      </c>
      <c r="C514" s="279" t="s">
        <v>58</v>
      </c>
      <c r="D514" s="279" t="s">
        <v>59</v>
      </c>
      <c r="E514" s="279" t="s">
        <v>70</v>
      </c>
      <c r="F514" s="285">
        <v>326022.0</v>
      </c>
      <c r="G514" s="109"/>
      <c r="H514" s="111" t="s">
        <v>510</v>
      </c>
      <c r="I514" s="107"/>
      <c r="J514" s="107"/>
      <c r="K514" s="107"/>
      <c r="L514" s="107"/>
      <c r="M514" s="107"/>
      <c r="N514" s="107"/>
      <c r="O514" s="107"/>
      <c r="P514" s="107"/>
      <c r="Q514" s="107"/>
      <c r="R514" s="107"/>
      <c r="S514" s="107"/>
      <c r="T514" s="107"/>
      <c r="U514" s="107"/>
      <c r="V514" s="107"/>
      <c r="W514" s="107"/>
      <c r="X514" s="107"/>
      <c r="Y514" s="107"/>
      <c r="Z514" s="107"/>
    </row>
    <row r="515" ht="14.25" customHeight="1">
      <c r="A515" s="110">
        <v>45524.0</v>
      </c>
      <c r="B515" s="278" t="s">
        <v>77</v>
      </c>
      <c r="C515" s="279" t="s">
        <v>74</v>
      </c>
      <c r="D515" s="279" t="s">
        <v>54</v>
      </c>
      <c r="E515" s="281" t="s">
        <v>511</v>
      </c>
      <c r="F515" s="282">
        <v>237396.0</v>
      </c>
      <c r="G515" s="109"/>
      <c r="H515" s="111" t="s">
        <v>505</v>
      </c>
      <c r="I515" s="107"/>
      <c r="J515" s="107"/>
      <c r="K515" s="107"/>
      <c r="L515" s="107"/>
      <c r="M515" s="107"/>
      <c r="N515" s="107"/>
      <c r="O515" s="107"/>
      <c r="P515" s="107"/>
      <c r="Q515" s="107"/>
      <c r="R515" s="107"/>
      <c r="S515" s="107"/>
      <c r="T515" s="107"/>
      <c r="U515" s="107"/>
      <c r="V515" s="107"/>
      <c r="W515" s="107"/>
      <c r="X515" s="107"/>
      <c r="Y515" s="107"/>
      <c r="Z515" s="107"/>
    </row>
    <row r="516" ht="14.25" customHeight="1">
      <c r="A516" s="110">
        <v>45524.0</v>
      </c>
      <c r="B516" s="278" t="s">
        <v>502</v>
      </c>
      <c r="C516" s="279" t="s">
        <v>208</v>
      </c>
      <c r="D516" s="279" t="s">
        <v>54</v>
      </c>
      <c r="E516" s="281" t="s">
        <v>70</v>
      </c>
      <c r="F516" s="282">
        <v>500000.0</v>
      </c>
      <c r="G516" s="113">
        <v>300000.0</v>
      </c>
      <c r="H516" s="111" t="s">
        <v>512</v>
      </c>
      <c r="I516" s="107"/>
      <c r="J516" s="107"/>
      <c r="K516" s="107"/>
      <c r="L516" s="107"/>
      <c r="M516" s="107"/>
      <c r="N516" s="107"/>
      <c r="O516" s="107"/>
      <c r="P516" s="107"/>
      <c r="Q516" s="107"/>
      <c r="R516" s="107"/>
      <c r="S516" s="107"/>
      <c r="T516" s="107"/>
      <c r="U516" s="107"/>
      <c r="V516" s="107"/>
      <c r="W516" s="107"/>
      <c r="X516" s="107"/>
      <c r="Y516" s="107"/>
      <c r="Z516" s="107"/>
    </row>
    <row r="517" ht="14.25" customHeight="1">
      <c r="A517" s="110">
        <v>45524.0</v>
      </c>
      <c r="B517" s="278" t="s">
        <v>108</v>
      </c>
      <c r="C517" s="279" t="s">
        <v>109</v>
      </c>
      <c r="D517" s="279" t="s">
        <v>67</v>
      </c>
      <c r="E517" s="279" t="s">
        <v>110</v>
      </c>
      <c r="F517" s="285">
        <v>302529.21</v>
      </c>
      <c r="G517" s="109"/>
      <c r="H517" s="111" t="s">
        <v>513</v>
      </c>
      <c r="I517" s="107"/>
      <c r="J517" s="107"/>
      <c r="K517" s="107"/>
      <c r="L517" s="107"/>
      <c r="M517" s="107"/>
      <c r="N517" s="107"/>
      <c r="O517" s="107"/>
      <c r="P517" s="107"/>
      <c r="Q517" s="107"/>
      <c r="R517" s="107"/>
      <c r="S517" s="107"/>
      <c r="T517" s="107"/>
      <c r="U517" s="107"/>
      <c r="V517" s="107"/>
      <c r="W517" s="107"/>
      <c r="X517" s="107"/>
      <c r="Y517" s="107"/>
      <c r="Z517" s="107"/>
    </row>
    <row r="518" ht="14.25" customHeight="1">
      <c r="A518" s="110">
        <v>45524.0</v>
      </c>
      <c r="B518" s="278" t="s">
        <v>195</v>
      </c>
      <c r="C518" s="279" t="s">
        <v>196</v>
      </c>
      <c r="D518" s="279" t="s">
        <v>54</v>
      </c>
      <c r="E518" s="279" t="s">
        <v>110</v>
      </c>
      <c r="F518" s="285">
        <v>418381.86</v>
      </c>
      <c r="G518" s="109"/>
      <c r="H518" s="111" t="s">
        <v>514</v>
      </c>
      <c r="I518" s="107"/>
      <c r="J518" s="107"/>
      <c r="K518" s="107"/>
      <c r="L518" s="107"/>
      <c r="M518" s="107"/>
      <c r="N518" s="107"/>
      <c r="O518" s="107"/>
      <c r="P518" s="107"/>
      <c r="Q518" s="107"/>
      <c r="R518" s="107"/>
      <c r="S518" s="107"/>
      <c r="T518" s="107"/>
      <c r="U518" s="107"/>
      <c r="V518" s="107"/>
      <c r="W518" s="107"/>
      <c r="X518" s="107"/>
      <c r="Y518" s="107"/>
      <c r="Z518" s="107"/>
    </row>
    <row r="519" ht="14.25" customHeight="1">
      <c r="A519" s="110">
        <v>45524.0</v>
      </c>
      <c r="B519" s="288" t="s">
        <v>135</v>
      </c>
      <c r="C519" s="289" t="s">
        <v>136</v>
      </c>
      <c r="D519" s="289" t="s">
        <v>54</v>
      </c>
      <c r="E519" s="289" t="s">
        <v>70</v>
      </c>
      <c r="F519" s="290">
        <v>931059.0</v>
      </c>
      <c r="G519" s="109"/>
      <c r="H519" s="111" t="s">
        <v>515</v>
      </c>
      <c r="I519" s="107"/>
      <c r="J519" s="107"/>
      <c r="K519" s="107"/>
      <c r="L519" s="107"/>
      <c r="M519" s="107"/>
      <c r="N519" s="107"/>
      <c r="O519" s="107"/>
      <c r="P519" s="107"/>
      <c r="Q519" s="107"/>
      <c r="R519" s="107"/>
      <c r="S519" s="107"/>
      <c r="T519" s="107"/>
      <c r="U519" s="107"/>
      <c r="V519" s="107"/>
      <c r="W519" s="107"/>
      <c r="X519" s="107"/>
      <c r="Y519" s="107"/>
      <c r="Z519" s="107"/>
    </row>
    <row r="520" ht="14.25" customHeight="1">
      <c r="A520" s="110">
        <v>45524.0</v>
      </c>
      <c r="B520" s="291" t="s">
        <v>477</v>
      </c>
      <c r="C520" s="292" t="s">
        <v>478</v>
      </c>
      <c r="D520" s="292" t="s">
        <v>413</v>
      </c>
      <c r="E520" s="293" t="s">
        <v>359</v>
      </c>
      <c r="F520" s="294">
        <v>115000.0</v>
      </c>
      <c r="G520" s="109"/>
      <c r="H520" s="111" t="s">
        <v>61</v>
      </c>
      <c r="I520" s="107"/>
      <c r="J520" s="107"/>
      <c r="K520" s="107"/>
      <c r="L520" s="107"/>
      <c r="M520" s="107"/>
      <c r="N520" s="107"/>
      <c r="O520" s="107"/>
      <c r="P520" s="107"/>
      <c r="Q520" s="107"/>
      <c r="R520" s="107"/>
      <c r="S520" s="107"/>
      <c r="T520" s="107"/>
      <c r="U520" s="107"/>
      <c r="V520" s="107"/>
      <c r="W520" s="107"/>
      <c r="X520" s="107"/>
      <c r="Y520" s="107"/>
      <c r="Z520" s="107"/>
    </row>
    <row r="521" ht="14.25" customHeight="1">
      <c r="A521" s="110">
        <v>45524.0</v>
      </c>
      <c r="B521" s="295" t="s">
        <v>419</v>
      </c>
      <c r="C521" s="296" t="s">
        <v>516</v>
      </c>
      <c r="D521" s="296" t="s">
        <v>54</v>
      </c>
      <c r="E521" s="296" t="s">
        <v>110</v>
      </c>
      <c r="F521" s="297">
        <v>400000.0</v>
      </c>
      <c r="G521" s="109"/>
      <c r="H521" s="111" t="s">
        <v>517</v>
      </c>
      <c r="I521" s="107"/>
      <c r="J521" s="107"/>
      <c r="K521" s="107"/>
      <c r="L521" s="107"/>
      <c r="M521" s="107"/>
      <c r="N521" s="107"/>
      <c r="O521" s="107"/>
      <c r="P521" s="107"/>
      <c r="Q521" s="107"/>
      <c r="R521" s="107"/>
      <c r="S521" s="107"/>
      <c r="T521" s="107"/>
      <c r="U521" s="107"/>
      <c r="V521" s="107"/>
      <c r="W521" s="107"/>
      <c r="X521" s="107"/>
      <c r="Y521" s="107"/>
      <c r="Z521" s="107"/>
    </row>
    <row r="522" ht="14.25" customHeight="1">
      <c r="A522" s="110">
        <v>45524.0</v>
      </c>
      <c r="B522" s="278" t="s">
        <v>498</v>
      </c>
      <c r="C522" s="279" t="s">
        <v>499</v>
      </c>
      <c r="D522" s="279" t="s">
        <v>54</v>
      </c>
      <c r="E522" s="279" t="s">
        <v>359</v>
      </c>
      <c r="F522" s="280">
        <v>83494.0</v>
      </c>
      <c r="G522" s="109"/>
      <c r="H522" s="111" t="s">
        <v>518</v>
      </c>
      <c r="I522" s="107"/>
      <c r="J522" s="107"/>
      <c r="K522" s="107"/>
      <c r="L522" s="107"/>
      <c r="M522" s="107"/>
      <c r="N522" s="107"/>
      <c r="O522" s="107"/>
      <c r="P522" s="107"/>
      <c r="Q522" s="107"/>
      <c r="R522" s="107"/>
      <c r="S522" s="107"/>
      <c r="T522" s="107"/>
      <c r="U522" s="107"/>
      <c r="V522" s="107"/>
      <c r="W522" s="107"/>
      <c r="X522" s="107"/>
      <c r="Y522" s="107"/>
      <c r="Z522" s="107"/>
    </row>
    <row r="523" ht="14.25" customHeight="1">
      <c r="A523" s="110">
        <v>45524.0</v>
      </c>
      <c r="B523" s="278" t="s">
        <v>501</v>
      </c>
      <c r="C523" s="279" t="s">
        <v>499</v>
      </c>
      <c r="D523" s="279" t="s">
        <v>467</v>
      </c>
      <c r="E523" s="279" t="s">
        <v>359</v>
      </c>
      <c r="F523" s="280">
        <v>23880.0</v>
      </c>
      <c r="G523" s="109"/>
      <c r="H523" s="111" t="s">
        <v>518</v>
      </c>
      <c r="I523" s="107"/>
      <c r="J523" s="107"/>
      <c r="K523" s="107"/>
      <c r="L523" s="107"/>
      <c r="M523" s="107"/>
      <c r="N523" s="107"/>
      <c r="O523" s="107"/>
      <c r="P523" s="107"/>
      <c r="Q523" s="107"/>
      <c r="R523" s="107"/>
      <c r="S523" s="107"/>
      <c r="T523" s="107"/>
      <c r="U523" s="107"/>
      <c r="V523" s="107"/>
      <c r="W523" s="107"/>
      <c r="X523" s="107"/>
      <c r="Y523" s="107"/>
      <c r="Z523" s="107"/>
    </row>
    <row r="524" ht="14.25" customHeight="1">
      <c r="A524" s="110">
        <v>45524.0</v>
      </c>
      <c r="B524" s="298" t="s">
        <v>448</v>
      </c>
      <c r="C524" s="299" t="s">
        <v>449</v>
      </c>
      <c r="D524" s="299" t="s">
        <v>67</v>
      </c>
      <c r="E524" s="300" t="s">
        <v>199</v>
      </c>
      <c r="F524" s="301">
        <v>60000.0</v>
      </c>
      <c r="G524" s="109"/>
      <c r="H524" s="111" t="s">
        <v>357</v>
      </c>
      <c r="I524" s="107"/>
      <c r="J524" s="107"/>
      <c r="K524" s="107"/>
      <c r="L524" s="107"/>
      <c r="M524" s="107"/>
      <c r="N524" s="107"/>
      <c r="O524" s="107"/>
      <c r="P524" s="107"/>
      <c r="Q524" s="107"/>
      <c r="R524" s="107"/>
      <c r="S524" s="107"/>
      <c r="T524" s="107"/>
      <c r="U524" s="107"/>
      <c r="V524" s="107"/>
      <c r="W524" s="107"/>
      <c r="X524" s="107"/>
      <c r="Y524" s="107"/>
      <c r="Z524" s="107"/>
    </row>
    <row r="525" ht="14.25" customHeight="1">
      <c r="A525" s="110">
        <v>45524.0</v>
      </c>
      <c r="B525" s="298" t="s">
        <v>519</v>
      </c>
      <c r="C525" s="299" t="s">
        <v>478</v>
      </c>
      <c r="D525" s="299" t="s">
        <v>54</v>
      </c>
      <c r="E525" s="300" t="s">
        <v>359</v>
      </c>
      <c r="F525" s="301">
        <v>82674.5</v>
      </c>
      <c r="G525" s="109"/>
      <c r="H525" s="111" t="s">
        <v>61</v>
      </c>
      <c r="I525" s="107"/>
      <c r="J525" s="107"/>
      <c r="K525" s="107"/>
      <c r="L525" s="107"/>
      <c r="M525" s="107"/>
      <c r="N525" s="107"/>
      <c r="O525" s="107"/>
      <c r="P525" s="107"/>
      <c r="Q525" s="107"/>
      <c r="R525" s="107"/>
      <c r="S525" s="107"/>
      <c r="T525" s="107"/>
      <c r="U525" s="107"/>
      <c r="V525" s="107"/>
      <c r="W525" s="107"/>
      <c r="X525" s="107"/>
      <c r="Y525" s="107"/>
      <c r="Z525" s="107"/>
    </row>
    <row r="526" ht="14.25" customHeight="1">
      <c r="A526" s="110">
        <v>45524.0</v>
      </c>
      <c r="B526" s="298" t="s">
        <v>62</v>
      </c>
      <c r="C526" s="299" t="s">
        <v>63</v>
      </c>
      <c r="D526" s="299" t="s">
        <v>54</v>
      </c>
      <c r="E526" s="300" t="s">
        <v>359</v>
      </c>
      <c r="F526" s="301">
        <v>35733.0</v>
      </c>
      <c r="G526" s="109"/>
      <c r="H526" s="111" t="s">
        <v>61</v>
      </c>
      <c r="I526" s="107"/>
      <c r="J526" s="107"/>
      <c r="K526" s="107"/>
      <c r="L526" s="107"/>
      <c r="M526" s="107"/>
      <c r="N526" s="107"/>
      <c r="O526" s="107"/>
      <c r="P526" s="107"/>
      <c r="Q526" s="107"/>
      <c r="R526" s="107"/>
      <c r="S526" s="107"/>
      <c r="T526" s="107"/>
      <c r="U526" s="107"/>
      <c r="V526" s="107"/>
      <c r="W526" s="107"/>
      <c r="X526" s="107"/>
      <c r="Y526" s="107"/>
      <c r="Z526" s="107"/>
    </row>
    <row r="527" ht="14.25" customHeight="1">
      <c r="A527" s="110">
        <v>45524.0</v>
      </c>
      <c r="B527" s="111" t="s">
        <v>520</v>
      </c>
      <c r="C527" s="111" t="s">
        <v>521</v>
      </c>
      <c r="D527" s="111" t="s">
        <v>54</v>
      </c>
      <c r="E527" s="111" t="s">
        <v>70</v>
      </c>
      <c r="F527" s="113">
        <v>85257.0</v>
      </c>
      <c r="G527" s="109"/>
      <c r="H527" s="111" t="s">
        <v>61</v>
      </c>
      <c r="I527" s="107"/>
      <c r="J527" s="107"/>
      <c r="K527" s="107"/>
      <c r="L527" s="107"/>
      <c r="M527" s="107"/>
      <c r="N527" s="107"/>
      <c r="O527" s="107"/>
      <c r="P527" s="107"/>
      <c r="Q527" s="107"/>
      <c r="R527" s="107"/>
      <c r="S527" s="107"/>
      <c r="T527" s="107"/>
      <c r="U527" s="107"/>
      <c r="V527" s="107"/>
      <c r="W527" s="107"/>
      <c r="X527" s="107"/>
      <c r="Y527" s="107"/>
      <c r="Z527" s="107"/>
    </row>
    <row r="528" ht="14.25" customHeight="1">
      <c r="A528" s="110">
        <v>45524.0</v>
      </c>
      <c r="B528" s="111" t="s">
        <v>85</v>
      </c>
      <c r="C528" s="111" t="s">
        <v>522</v>
      </c>
      <c r="D528" s="111" t="s">
        <v>54</v>
      </c>
      <c r="E528" s="111" t="s">
        <v>70</v>
      </c>
      <c r="F528" s="113">
        <v>295238.0</v>
      </c>
      <c r="G528" s="302">
        <v>295238.0</v>
      </c>
      <c r="H528" s="111" t="s">
        <v>155</v>
      </c>
      <c r="I528" s="107"/>
      <c r="J528" s="107"/>
      <c r="K528" s="107"/>
      <c r="L528" s="107"/>
      <c r="M528" s="107"/>
      <c r="N528" s="107"/>
      <c r="O528" s="107"/>
      <c r="P528" s="107"/>
      <c r="Q528" s="107"/>
      <c r="R528" s="107"/>
      <c r="S528" s="107"/>
      <c r="T528" s="107"/>
      <c r="U528" s="107"/>
      <c r="V528" s="107"/>
      <c r="W528" s="107"/>
      <c r="X528" s="107"/>
      <c r="Y528" s="107"/>
      <c r="Z528" s="107"/>
    </row>
    <row r="529" ht="14.25" customHeight="1">
      <c r="A529" s="110">
        <v>45524.0</v>
      </c>
      <c r="B529" s="262" t="s">
        <v>523</v>
      </c>
      <c r="C529" s="263" t="s">
        <v>524</v>
      </c>
      <c r="D529" s="263" t="s">
        <v>59</v>
      </c>
      <c r="E529" s="263" t="s">
        <v>273</v>
      </c>
      <c r="F529" s="264">
        <v>8000000.0</v>
      </c>
      <c r="G529" s="265"/>
      <c r="H529" s="266" t="s">
        <v>525</v>
      </c>
      <c r="I529" s="107"/>
      <c r="J529" s="107"/>
      <c r="K529" s="107"/>
      <c r="L529" s="107"/>
      <c r="M529" s="107"/>
      <c r="N529" s="107"/>
      <c r="O529" s="107"/>
      <c r="P529" s="107"/>
      <c r="Q529" s="107"/>
      <c r="R529" s="107"/>
      <c r="S529" s="107"/>
      <c r="T529" s="107"/>
      <c r="U529" s="107"/>
      <c r="V529" s="107"/>
      <c r="W529" s="107"/>
      <c r="X529" s="107"/>
      <c r="Y529" s="107"/>
      <c r="Z529" s="107"/>
    </row>
    <row r="530" ht="14.25" customHeight="1">
      <c r="A530" s="273"/>
      <c r="B530" s="273"/>
      <c r="C530" s="273"/>
      <c r="D530" s="273"/>
      <c r="E530" s="273"/>
      <c r="F530" s="273"/>
      <c r="G530" s="270"/>
      <c r="H530" s="271"/>
      <c r="I530" s="107"/>
      <c r="J530" s="107"/>
      <c r="K530" s="107"/>
      <c r="L530" s="107"/>
      <c r="M530" s="107"/>
      <c r="N530" s="107"/>
      <c r="O530" s="107"/>
      <c r="P530" s="107"/>
      <c r="Q530" s="107"/>
      <c r="R530" s="107"/>
      <c r="S530" s="107"/>
      <c r="T530" s="107"/>
      <c r="U530" s="107"/>
      <c r="V530" s="107"/>
      <c r="W530" s="107"/>
      <c r="X530" s="107"/>
      <c r="Y530" s="107"/>
      <c r="Z530" s="107"/>
    </row>
    <row r="531" ht="14.25" customHeight="1">
      <c r="A531" s="110"/>
      <c r="B531" s="262"/>
      <c r="C531" s="303" t="s">
        <v>526</v>
      </c>
      <c r="D531" s="262"/>
      <c r="E531" s="262"/>
      <c r="F531" s="304"/>
      <c r="G531" s="270"/>
      <c r="H531" s="271"/>
      <c r="I531" s="107"/>
      <c r="J531" s="107"/>
      <c r="K531" s="107"/>
      <c r="L531" s="107"/>
      <c r="M531" s="107"/>
      <c r="N531" s="107"/>
      <c r="O531" s="107"/>
      <c r="P531" s="107"/>
      <c r="Q531" s="107"/>
      <c r="R531" s="107"/>
      <c r="S531" s="107"/>
      <c r="T531" s="107"/>
      <c r="U531" s="107"/>
      <c r="V531" s="107"/>
      <c r="W531" s="107"/>
      <c r="X531" s="107"/>
      <c r="Y531" s="107"/>
      <c r="Z531" s="107"/>
    </row>
    <row r="532" ht="14.25" customHeight="1">
      <c r="A532" s="110">
        <v>45525.0</v>
      </c>
      <c r="B532" s="274" t="s">
        <v>345</v>
      </c>
      <c r="C532" s="274" t="s">
        <v>339</v>
      </c>
      <c r="D532" s="274" t="s">
        <v>467</v>
      </c>
      <c r="E532" s="274" t="s">
        <v>80</v>
      </c>
      <c r="F532" s="277">
        <v>14804.0</v>
      </c>
      <c r="G532" s="270"/>
      <c r="H532" s="271" t="s">
        <v>61</v>
      </c>
      <c r="I532" s="107"/>
      <c r="J532" s="107"/>
      <c r="K532" s="107"/>
      <c r="L532" s="107"/>
      <c r="M532" s="107"/>
      <c r="N532" s="107"/>
      <c r="O532" s="107"/>
      <c r="P532" s="107"/>
      <c r="Q532" s="107"/>
      <c r="R532" s="107"/>
      <c r="S532" s="107"/>
      <c r="T532" s="107"/>
      <c r="U532" s="107"/>
      <c r="V532" s="107"/>
      <c r="W532" s="107"/>
      <c r="X532" s="107"/>
      <c r="Y532" s="107"/>
      <c r="Z532" s="107"/>
    </row>
    <row r="533" ht="14.25" customHeight="1">
      <c r="A533" s="110">
        <v>45525.0</v>
      </c>
      <c r="B533" s="278" t="s">
        <v>426</v>
      </c>
      <c r="C533" s="279" t="s">
        <v>427</v>
      </c>
      <c r="D533" s="279" t="s">
        <v>54</v>
      </c>
      <c r="E533" s="279" t="s">
        <v>359</v>
      </c>
      <c r="F533" s="280">
        <v>60000.0</v>
      </c>
      <c r="G533" s="270"/>
      <c r="H533" s="271"/>
      <c r="I533" s="107"/>
      <c r="J533" s="107"/>
      <c r="K533" s="107"/>
      <c r="L533" s="107"/>
      <c r="M533" s="107"/>
      <c r="N533" s="107"/>
      <c r="O533" s="107"/>
      <c r="P533" s="107"/>
      <c r="Q533" s="107"/>
      <c r="R533" s="107"/>
      <c r="S533" s="107"/>
      <c r="T533" s="107"/>
      <c r="U533" s="107"/>
      <c r="V533" s="107"/>
      <c r="W533" s="107"/>
      <c r="X533" s="107"/>
      <c r="Y533" s="107"/>
      <c r="Z533" s="107"/>
    </row>
    <row r="534" ht="14.25" customHeight="1">
      <c r="A534" s="110">
        <v>45525.0</v>
      </c>
      <c r="B534" s="278" t="s">
        <v>493</v>
      </c>
      <c r="C534" s="279" t="s">
        <v>506</v>
      </c>
      <c r="D534" s="279" t="s">
        <v>67</v>
      </c>
      <c r="E534" s="281" t="s">
        <v>80</v>
      </c>
      <c r="F534" s="282">
        <v>155173.35</v>
      </c>
      <c r="G534" s="109"/>
      <c r="H534" s="111" t="s">
        <v>527</v>
      </c>
      <c r="I534" s="107"/>
      <c r="J534" s="107"/>
      <c r="K534" s="107"/>
      <c r="L534" s="107"/>
      <c r="M534" s="107"/>
      <c r="N534" s="107"/>
      <c r="O534" s="107"/>
      <c r="P534" s="107"/>
      <c r="Q534" s="107"/>
      <c r="R534" s="107"/>
      <c r="S534" s="107"/>
      <c r="T534" s="107"/>
      <c r="U534" s="107"/>
      <c r="V534" s="107"/>
      <c r="W534" s="107"/>
      <c r="X534" s="107"/>
      <c r="Y534" s="107"/>
      <c r="Z534" s="107"/>
    </row>
    <row r="535" ht="14.25" customHeight="1">
      <c r="A535" s="110">
        <v>45525.0</v>
      </c>
      <c r="B535" s="283" t="s">
        <v>285</v>
      </c>
      <c r="C535" s="284" t="s">
        <v>286</v>
      </c>
      <c r="D535" s="285" t="s">
        <v>413</v>
      </c>
      <c r="E535" s="281" t="s">
        <v>70</v>
      </c>
      <c r="F535" s="286">
        <v>160969.0</v>
      </c>
      <c r="G535" s="109"/>
      <c r="H535" s="111" t="s">
        <v>528</v>
      </c>
      <c r="I535" s="107"/>
      <c r="J535" s="107"/>
      <c r="K535" s="107"/>
      <c r="L535" s="107"/>
      <c r="M535" s="107"/>
      <c r="N535" s="107"/>
      <c r="O535" s="107"/>
      <c r="P535" s="107"/>
      <c r="Q535" s="107"/>
      <c r="R535" s="107"/>
      <c r="S535" s="107"/>
      <c r="T535" s="107"/>
      <c r="U535" s="107"/>
      <c r="V535" s="107"/>
      <c r="W535" s="107"/>
      <c r="X535" s="107"/>
      <c r="Y535" s="107"/>
      <c r="Z535" s="107"/>
    </row>
    <row r="536" ht="14.25" customHeight="1">
      <c r="A536" s="110">
        <v>45525.0</v>
      </c>
      <c r="B536" s="278" t="s">
        <v>415</v>
      </c>
      <c r="C536" s="279" t="s">
        <v>79</v>
      </c>
      <c r="D536" s="279" t="s">
        <v>54</v>
      </c>
      <c r="E536" s="281" t="s">
        <v>80</v>
      </c>
      <c r="F536" s="286">
        <v>266698.0</v>
      </c>
      <c r="G536" s="109"/>
      <c r="H536" s="111" t="s">
        <v>529</v>
      </c>
      <c r="I536" s="107"/>
      <c r="J536" s="107"/>
      <c r="K536" s="107"/>
      <c r="L536" s="107"/>
      <c r="M536" s="107"/>
      <c r="N536" s="107"/>
      <c r="O536" s="107"/>
      <c r="P536" s="107"/>
      <c r="Q536" s="107"/>
      <c r="R536" s="107"/>
      <c r="S536" s="107"/>
      <c r="T536" s="107"/>
      <c r="U536" s="107"/>
      <c r="V536" s="107"/>
      <c r="W536" s="107"/>
      <c r="X536" s="107"/>
      <c r="Y536" s="107"/>
      <c r="Z536" s="107"/>
    </row>
    <row r="537" ht="14.25" customHeight="1">
      <c r="A537" s="110">
        <v>45525.0</v>
      </c>
      <c r="B537" s="287" t="s">
        <v>266</v>
      </c>
      <c r="C537" s="278" t="s">
        <v>79</v>
      </c>
      <c r="D537" s="285" t="s">
        <v>54</v>
      </c>
      <c r="E537" s="281" t="s">
        <v>80</v>
      </c>
      <c r="F537" s="286">
        <v>230000.0</v>
      </c>
      <c r="G537" s="113">
        <v>200000.0</v>
      </c>
      <c r="H537" s="111" t="s">
        <v>529</v>
      </c>
      <c r="I537" s="107"/>
      <c r="J537" s="107"/>
      <c r="K537" s="107"/>
      <c r="L537" s="107"/>
      <c r="M537" s="107"/>
      <c r="N537" s="107"/>
      <c r="O537" s="107"/>
      <c r="P537" s="107"/>
      <c r="Q537" s="107"/>
      <c r="R537" s="107"/>
      <c r="S537" s="107"/>
      <c r="T537" s="107"/>
      <c r="U537" s="107"/>
      <c r="V537" s="107"/>
      <c r="W537" s="107"/>
      <c r="X537" s="107"/>
      <c r="Y537" s="107"/>
      <c r="Z537" s="107"/>
    </row>
    <row r="538" ht="14.25" customHeight="1">
      <c r="A538" s="110">
        <v>45525.0</v>
      </c>
      <c r="B538" s="274" t="s">
        <v>253</v>
      </c>
      <c r="C538" s="279" t="s">
        <v>58</v>
      </c>
      <c r="D538" s="279" t="s">
        <v>75</v>
      </c>
      <c r="E538" s="281" t="s">
        <v>70</v>
      </c>
      <c r="F538" s="286">
        <v>561775.0</v>
      </c>
      <c r="G538" s="109"/>
      <c r="H538" s="111" t="s">
        <v>530</v>
      </c>
      <c r="I538" s="107"/>
      <c r="J538" s="107"/>
      <c r="K538" s="107"/>
      <c r="L538" s="107"/>
      <c r="M538" s="107"/>
      <c r="N538" s="107"/>
      <c r="O538" s="107"/>
      <c r="P538" s="107"/>
      <c r="Q538" s="107"/>
      <c r="R538" s="107"/>
      <c r="S538" s="107"/>
      <c r="T538" s="107"/>
      <c r="U538" s="107"/>
      <c r="V538" s="107"/>
      <c r="W538" s="107"/>
      <c r="X538" s="107"/>
      <c r="Y538" s="107"/>
      <c r="Z538" s="107"/>
    </row>
    <row r="539" ht="14.25" customHeight="1">
      <c r="A539" s="110">
        <v>45525.0</v>
      </c>
      <c r="B539" s="278" t="s">
        <v>57</v>
      </c>
      <c r="C539" s="279" t="s">
        <v>58</v>
      </c>
      <c r="D539" s="279" t="s">
        <v>59</v>
      </c>
      <c r="E539" s="279" t="s">
        <v>70</v>
      </c>
      <c r="F539" s="285">
        <v>326022.0</v>
      </c>
      <c r="G539" s="109"/>
      <c r="H539" s="111" t="s">
        <v>530</v>
      </c>
      <c r="I539" s="107"/>
      <c r="J539" s="107"/>
      <c r="K539" s="107"/>
      <c r="L539" s="107"/>
      <c r="M539" s="107"/>
      <c r="N539" s="107"/>
      <c r="O539" s="107"/>
      <c r="P539" s="107"/>
      <c r="Q539" s="107"/>
      <c r="R539" s="107"/>
      <c r="S539" s="107"/>
      <c r="T539" s="107"/>
      <c r="U539" s="107"/>
      <c r="V539" s="107"/>
      <c r="W539" s="107"/>
      <c r="X539" s="107"/>
      <c r="Y539" s="107"/>
      <c r="Z539" s="107"/>
    </row>
    <row r="540" ht="14.25" customHeight="1">
      <c r="A540" s="110">
        <v>45525.0</v>
      </c>
      <c r="B540" s="278" t="s">
        <v>77</v>
      </c>
      <c r="C540" s="279" t="s">
        <v>74</v>
      </c>
      <c r="D540" s="279" t="s">
        <v>54</v>
      </c>
      <c r="E540" s="281" t="s">
        <v>511</v>
      </c>
      <c r="F540" s="282">
        <v>237396.0</v>
      </c>
      <c r="G540" s="109"/>
      <c r="H540" s="111" t="s">
        <v>531</v>
      </c>
      <c r="I540" s="107"/>
      <c r="J540" s="107"/>
      <c r="K540" s="107"/>
      <c r="L540" s="107"/>
      <c r="M540" s="107"/>
      <c r="N540" s="107"/>
      <c r="O540" s="107"/>
      <c r="P540" s="107"/>
      <c r="Q540" s="107"/>
      <c r="R540" s="107"/>
      <c r="S540" s="107"/>
      <c r="T540" s="107"/>
      <c r="U540" s="107"/>
      <c r="V540" s="107"/>
      <c r="W540" s="107"/>
      <c r="X540" s="107"/>
      <c r="Y540" s="107"/>
      <c r="Z540" s="107"/>
    </row>
    <row r="541" ht="14.25" customHeight="1">
      <c r="A541" s="110">
        <v>45525.0</v>
      </c>
      <c r="B541" s="291" t="s">
        <v>477</v>
      </c>
      <c r="C541" s="292" t="s">
        <v>478</v>
      </c>
      <c r="D541" s="292" t="s">
        <v>413</v>
      </c>
      <c r="E541" s="293" t="s">
        <v>359</v>
      </c>
      <c r="F541" s="294">
        <v>115000.0</v>
      </c>
      <c r="G541" s="109"/>
      <c r="H541" s="111" t="s">
        <v>532</v>
      </c>
      <c r="I541" s="107"/>
      <c r="J541" s="107"/>
      <c r="K541" s="107"/>
      <c r="L541" s="107"/>
      <c r="M541" s="107"/>
      <c r="N541" s="107"/>
      <c r="O541" s="107"/>
      <c r="P541" s="107"/>
      <c r="Q541" s="107"/>
      <c r="R541" s="107"/>
      <c r="S541" s="107"/>
      <c r="T541" s="107"/>
      <c r="U541" s="107"/>
      <c r="V541" s="107"/>
      <c r="W541" s="107"/>
      <c r="X541" s="107"/>
      <c r="Y541" s="107"/>
      <c r="Z541" s="107"/>
    </row>
    <row r="542" ht="14.25" customHeight="1">
      <c r="A542" s="110">
        <v>45525.0</v>
      </c>
      <c r="B542" s="278" t="s">
        <v>498</v>
      </c>
      <c r="C542" s="279" t="s">
        <v>499</v>
      </c>
      <c r="D542" s="279" t="s">
        <v>54</v>
      </c>
      <c r="E542" s="279" t="s">
        <v>359</v>
      </c>
      <c r="F542" s="280">
        <v>83494.0</v>
      </c>
      <c r="G542" s="109"/>
      <c r="H542" s="111" t="s">
        <v>532</v>
      </c>
      <c r="I542" s="107"/>
      <c r="J542" s="107"/>
      <c r="K542" s="107"/>
      <c r="L542" s="107"/>
      <c r="M542" s="107"/>
      <c r="N542" s="107"/>
      <c r="O542" s="107"/>
      <c r="P542" s="107"/>
      <c r="Q542" s="107"/>
      <c r="R542" s="107"/>
      <c r="S542" s="107"/>
      <c r="T542" s="107"/>
      <c r="U542" s="107"/>
      <c r="V542" s="107"/>
      <c r="W542" s="107"/>
      <c r="X542" s="107"/>
      <c r="Y542" s="107"/>
      <c r="Z542" s="107"/>
    </row>
    <row r="543" ht="14.25" customHeight="1">
      <c r="A543" s="110">
        <v>45525.0</v>
      </c>
      <c r="B543" s="278" t="s">
        <v>501</v>
      </c>
      <c r="C543" s="279" t="s">
        <v>499</v>
      </c>
      <c r="D543" s="279" t="s">
        <v>467</v>
      </c>
      <c r="E543" s="279" t="s">
        <v>359</v>
      </c>
      <c r="F543" s="280">
        <v>23880.0</v>
      </c>
      <c r="G543" s="109"/>
      <c r="H543" s="111" t="s">
        <v>532</v>
      </c>
      <c r="I543" s="107"/>
      <c r="J543" s="107"/>
      <c r="K543" s="107"/>
      <c r="L543" s="107"/>
      <c r="M543" s="107"/>
      <c r="N543" s="107"/>
      <c r="O543" s="107"/>
      <c r="P543" s="107"/>
      <c r="Q543" s="107"/>
      <c r="R543" s="107"/>
      <c r="S543" s="107"/>
      <c r="T543" s="107"/>
      <c r="U543" s="107"/>
      <c r="V543" s="107"/>
      <c r="W543" s="107"/>
      <c r="X543" s="107"/>
      <c r="Y543" s="107"/>
      <c r="Z543" s="107"/>
    </row>
    <row r="544" ht="14.25" customHeight="1">
      <c r="A544" s="110">
        <v>45525.0</v>
      </c>
      <c r="B544" s="298" t="s">
        <v>62</v>
      </c>
      <c r="C544" s="299" t="s">
        <v>63</v>
      </c>
      <c r="D544" s="299" t="s">
        <v>54</v>
      </c>
      <c r="E544" s="300" t="s">
        <v>359</v>
      </c>
      <c r="F544" s="301">
        <v>35733.0</v>
      </c>
      <c r="G544" s="113"/>
      <c r="H544" s="111" t="s">
        <v>533</v>
      </c>
      <c r="I544" s="107"/>
      <c r="J544" s="107"/>
      <c r="K544" s="107"/>
      <c r="L544" s="107"/>
      <c r="M544" s="107"/>
      <c r="N544" s="107"/>
      <c r="O544" s="107"/>
      <c r="P544" s="107"/>
      <c r="Q544" s="107"/>
      <c r="R544" s="107"/>
      <c r="S544" s="107"/>
      <c r="T544" s="107"/>
      <c r="U544" s="107"/>
      <c r="V544" s="107"/>
      <c r="W544" s="107"/>
      <c r="X544" s="107"/>
      <c r="Y544" s="107"/>
      <c r="Z544" s="107"/>
    </row>
    <row r="545" ht="14.25" customHeight="1">
      <c r="A545" s="110">
        <v>45525.0</v>
      </c>
      <c r="B545" s="111" t="s">
        <v>520</v>
      </c>
      <c r="C545" s="111" t="s">
        <v>521</v>
      </c>
      <c r="D545" s="111" t="s">
        <v>54</v>
      </c>
      <c r="E545" s="111" t="s">
        <v>70</v>
      </c>
      <c r="F545" s="113">
        <v>85257.0</v>
      </c>
      <c r="G545" s="109"/>
      <c r="H545" s="111" t="s">
        <v>534</v>
      </c>
      <c r="I545" s="107"/>
      <c r="J545" s="107"/>
      <c r="K545" s="107"/>
      <c r="L545" s="107"/>
      <c r="M545" s="107"/>
      <c r="N545" s="107"/>
      <c r="O545" s="107"/>
      <c r="P545" s="107"/>
      <c r="Q545" s="107"/>
      <c r="R545" s="107"/>
      <c r="S545" s="107"/>
      <c r="T545" s="107"/>
      <c r="U545" s="107"/>
      <c r="V545" s="107"/>
      <c r="W545" s="107"/>
      <c r="X545" s="107"/>
      <c r="Y545" s="107"/>
      <c r="Z545" s="107"/>
    </row>
    <row r="546" ht="14.25" customHeight="1">
      <c r="A546" s="110">
        <v>45525.0</v>
      </c>
      <c r="B546" s="267" t="s">
        <v>94</v>
      </c>
      <c r="C546" s="268" t="s">
        <v>535</v>
      </c>
      <c r="D546" s="268" t="s">
        <v>54</v>
      </c>
      <c r="E546" s="268" t="s">
        <v>70</v>
      </c>
      <c r="F546" s="269">
        <v>19920.0</v>
      </c>
      <c r="G546" s="269">
        <v>19920.0</v>
      </c>
      <c r="H546" s="111" t="s">
        <v>155</v>
      </c>
      <c r="I546" s="107"/>
      <c r="J546" s="107"/>
      <c r="K546" s="107"/>
      <c r="L546" s="107"/>
      <c r="M546" s="107"/>
      <c r="N546" s="107"/>
      <c r="O546" s="107"/>
      <c r="P546" s="107"/>
      <c r="Q546" s="107"/>
      <c r="R546" s="107"/>
      <c r="S546" s="107"/>
      <c r="T546" s="107"/>
      <c r="U546" s="107"/>
      <c r="V546" s="107"/>
      <c r="W546" s="107"/>
      <c r="X546" s="107"/>
      <c r="Y546" s="107"/>
      <c r="Z546" s="107"/>
    </row>
    <row r="547" ht="14.25" customHeight="1">
      <c r="A547" s="110">
        <v>45525.0</v>
      </c>
      <c r="B547" s="111" t="s">
        <v>536</v>
      </c>
      <c r="C547" s="111" t="s">
        <v>537</v>
      </c>
      <c r="D547" s="111" t="s">
        <v>54</v>
      </c>
      <c r="E547" s="111" t="s">
        <v>80</v>
      </c>
      <c r="F547" s="113">
        <v>40000.0</v>
      </c>
      <c r="G547" s="113">
        <v>40000.0</v>
      </c>
      <c r="H547" s="111" t="s">
        <v>212</v>
      </c>
      <c r="I547" s="107"/>
      <c r="J547" s="107"/>
      <c r="K547" s="107"/>
      <c r="L547" s="107"/>
      <c r="M547" s="107"/>
      <c r="N547" s="107"/>
      <c r="O547" s="107"/>
      <c r="P547" s="107"/>
      <c r="Q547" s="107"/>
      <c r="R547" s="107"/>
      <c r="S547" s="107"/>
      <c r="T547" s="107"/>
      <c r="U547" s="107"/>
      <c r="V547" s="107"/>
      <c r="W547" s="107"/>
      <c r="X547" s="107"/>
      <c r="Y547" s="107"/>
      <c r="Z547" s="107"/>
    </row>
    <row r="548" ht="14.25" customHeight="1">
      <c r="A548" s="107"/>
      <c r="B548" s="107"/>
      <c r="C548" s="107"/>
      <c r="D548" s="107"/>
      <c r="E548" s="107"/>
      <c r="F548" s="109"/>
      <c r="G548" s="109"/>
      <c r="H548" s="107"/>
      <c r="I548" s="107"/>
      <c r="J548" s="107"/>
      <c r="K548" s="107"/>
      <c r="L548" s="107"/>
      <c r="M548" s="107"/>
      <c r="N548" s="107"/>
      <c r="O548" s="107"/>
      <c r="P548" s="107"/>
      <c r="Q548" s="107"/>
      <c r="R548" s="107"/>
      <c r="S548" s="107"/>
      <c r="T548" s="107"/>
      <c r="U548" s="107"/>
      <c r="V548" s="107"/>
      <c r="W548" s="107"/>
      <c r="X548" s="107"/>
      <c r="Y548" s="107"/>
      <c r="Z548" s="107"/>
    </row>
    <row r="549" ht="14.25" customHeight="1">
      <c r="A549" s="107"/>
      <c r="B549" s="107"/>
      <c r="C549" s="107"/>
      <c r="D549" s="107"/>
      <c r="E549" s="107"/>
      <c r="F549" s="109"/>
      <c r="G549" s="109"/>
      <c r="H549" s="107"/>
      <c r="I549" s="107"/>
      <c r="J549" s="107"/>
      <c r="K549" s="107"/>
      <c r="L549" s="107"/>
      <c r="M549" s="107"/>
      <c r="N549" s="107"/>
      <c r="O549" s="107"/>
      <c r="P549" s="107"/>
      <c r="Q549" s="107"/>
      <c r="R549" s="107"/>
      <c r="S549" s="107"/>
      <c r="T549" s="107"/>
      <c r="U549" s="107"/>
      <c r="V549" s="107"/>
      <c r="W549" s="107"/>
      <c r="X549" s="107"/>
      <c r="Y549" s="107"/>
      <c r="Z549" s="107"/>
    </row>
    <row r="550" ht="14.25" customHeight="1">
      <c r="A550" s="305">
        <v>45525.0</v>
      </c>
      <c r="B550" s="262" t="s">
        <v>445</v>
      </c>
      <c r="C550" s="263" t="s">
        <v>446</v>
      </c>
      <c r="D550" s="263" t="s">
        <v>67</v>
      </c>
      <c r="E550" s="263" t="s">
        <v>199</v>
      </c>
      <c r="F550" s="264">
        <v>102000.0</v>
      </c>
      <c r="G550" s="265"/>
      <c r="H550" s="266"/>
      <c r="I550" s="266"/>
      <c r="J550" s="107"/>
      <c r="K550" s="107"/>
      <c r="L550" s="107"/>
      <c r="M550" s="107"/>
      <c r="N550" s="107"/>
      <c r="O550" s="107"/>
      <c r="P550" s="107"/>
      <c r="Q550" s="107"/>
      <c r="R550" s="107"/>
      <c r="S550" s="107"/>
      <c r="T550" s="107"/>
      <c r="U550" s="107"/>
      <c r="V550" s="107"/>
      <c r="W550" s="107"/>
      <c r="X550" s="107"/>
      <c r="Y550" s="107"/>
      <c r="Z550" s="107"/>
    </row>
    <row r="551" ht="14.25" customHeight="1">
      <c r="A551" s="305">
        <v>45525.0</v>
      </c>
      <c r="B551" s="267" t="s">
        <v>442</v>
      </c>
      <c r="C551" s="268" t="s">
        <v>443</v>
      </c>
      <c r="D551" s="268" t="s">
        <v>67</v>
      </c>
      <c r="E551" s="268" t="s">
        <v>199</v>
      </c>
      <c r="F551" s="269">
        <v>360000.0</v>
      </c>
      <c r="G551" s="270"/>
      <c r="H551" s="271"/>
      <c r="I551" s="271"/>
      <c r="J551" s="107"/>
      <c r="K551" s="107"/>
      <c r="L551" s="107"/>
      <c r="M551" s="107"/>
      <c r="N551" s="107"/>
      <c r="O551" s="107"/>
      <c r="P551" s="107"/>
      <c r="Q551" s="107"/>
      <c r="R551" s="107"/>
      <c r="S551" s="107"/>
      <c r="T551" s="107"/>
      <c r="U551" s="107"/>
      <c r="V551" s="107"/>
      <c r="W551" s="107"/>
      <c r="X551" s="107"/>
      <c r="Y551" s="107"/>
      <c r="Z551" s="107"/>
    </row>
    <row r="552" ht="14.25" customHeight="1">
      <c r="A552" s="305">
        <v>45525.0</v>
      </c>
      <c r="B552" s="267" t="s">
        <v>162</v>
      </c>
      <c r="C552" s="268" t="s">
        <v>538</v>
      </c>
      <c r="D552" s="268" t="s">
        <v>54</v>
      </c>
      <c r="E552" s="268" t="s">
        <v>110</v>
      </c>
      <c r="F552" s="306">
        <v>200000.0</v>
      </c>
      <c r="G552" s="270"/>
      <c r="H552" s="271"/>
      <c r="I552" s="271"/>
      <c r="J552" s="107"/>
      <c r="K552" s="107"/>
      <c r="L552" s="107"/>
      <c r="M552" s="107"/>
      <c r="N552" s="107"/>
      <c r="O552" s="107"/>
      <c r="P552" s="107"/>
      <c r="Q552" s="107"/>
      <c r="R552" s="107"/>
      <c r="S552" s="107"/>
      <c r="T552" s="107"/>
      <c r="U552" s="107"/>
      <c r="V552" s="107"/>
      <c r="W552" s="107"/>
      <c r="X552" s="107"/>
      <c r="Y552" s="107"/>
      <c r="Z552" s="107"/>
    </row>
    <row r="553" ht="14.25" customHeight="1">
      <c r="A553" s="305">
        <v>45525.0</v>
      </c>
      <c r="B553" s="267" t="s">
        <v>419</v>
      </c>
      <c r="C553" s="268" t="s">
        <v>436</v>
      </c>
      <c r="D553" s="268" t="s">
        <v>54</v>
      </c>
      <c r="E553" s="268" t="s">
        <v>110</v>
      </c>
      <c r="F553" s="306">
        <v>400000.0</v>
      </c>
      <c r="G553" s="270"/>
      <c r="H553" s="271"/>
      <c r="I553" s="271"/>
      <c r="J553" s="107"/>
      <c r="K553" s="107"/>
      <c r="L553" s="107"/>
      <c r="M553" s="107"/>
      <c r="N553" s="107"/>
      <c r="O553" s="107"/>
      <c r="P553" s="107"/>
      <c r="Q553" s="107"/>
      <c r="R553" s="107"/>
      <c r="S553" s="107"/>
      <c r="T553" s="107"/>
      <c r="U553" s="107"/>
      <c r="V553" s="107"/>
      <c r="W553" s="107"/>
      <c r="X553" s="107"/>
      <c r="Y553" s="107"/>
      <c r="Z553" s="107"/>
    </row>
    <row r="554" ht="14.25" customHeight="1">
      <c r="A554" s="305">
        <v>45525.0</v>
      </c>
      <c r="B554" s="307" t="s">
        <v>523</v>
      </c>
      <c r="C554" s="308" t="s">
        <v>539</v>
      </c>
      <c r="D554" s="268" t="s">
        <v>59</v>
      </c>
      <c r="E554" s="309" t="s">
        <v>273</v>
      </c>
      <c r="F554" s="310">
        <v>8820000.0</v>
      </c>
      <c r="G554" s="311">
        <v>8820000.0</v>
      </c>
      <c r="H554" s="312" t="s">
        <v>56</v>
      </c>
      <c r="I554" s="271"/>
      <c r="J554" s="107"/>
      <c r="K554" s="107"/>
      <c r="L554" s="107"/>
      <c r="M554" s="107"/>
      <c r="N554" s="107"/>
      <c r="O554" s="107"/>
      <c r="P554" s="107"/>
      <c r="Q554" s="107"/>
      <c r="R554" s="107"/>
      <c r="S554" s="107"/>
      <c r="T554" s="107"/>
      <c r="U554" s="107"/>
      <c r="V554" s="107"/>
      <c r="W554" s="107"/>
      <c r="X554" s="107"/>
      <c r="Y554" s="107"/>
      <c r="Z554" s="107"/>
    </row>
    <row r="555" ht="14.25" customHeight="1">
      <c r="A555" s="305">
        <v>45525.0</v>
      </c>
      <c r="B555" s="313" t="s">
        <v>448</v>
      </c>
      <c r="C555" s="271" t="s">
        <v>449</v>
      </c>
      <c r="D555" s="271" t="s">
        <v>67</v>
      </c>
      <c r="E555" s="271" t="s">
        <v>199</v>
      </c>
      <c r="F555" s="314">
        <v>60000.0</v>
      </c>
      <c r="G555" s="109"/>
      <c r="H555" s="107"/>
      <c r="I555" s="107"/>
      <c r="J555" s="107"/>
      <c r="K555" s="107"/>
      <c r="L555" s="107"/>
      <c r="M555" s="107"/>
      <c r="N555" s="107"/>
      <c r="O555" s="107"/>
      <c r="P555" s="107"/>
      <c r="Q555" s="107"/>
      <c r="R555" s="107"/>
      <c r="S555" s="107"/>
      <c r="T555" s="107"/>
      <c r="U555" s="107"/>
      <c r="V555" s="107"/>
      <c r="W555" s="107"/>
      <c r="X555" s="107"/>
      <c r="Y555" s="107"/>
      <c r="Z555" s="107"/>
    </row>
    <row r="556" ht="14.25" customHeight="1">
      <c r="A556" s="107"/>
      <c r="B556" s="107"/>
      <c r="C556" s="107"/>
      <c r="D556" s="107"/>
      <c r="E556" s="107"/>
      <c r="F556" s="109"/>
      <c r="G556" s="109"/>
      <c r="H556" s="107"/>
      <c r="I556" s="107"/>
      <c r="J556" s="107"/>
      <c r="K556" s="107"/>
      <c r="L556" s="107"/>
      <c r="M556" s="107"/>
      <c r="N556" s="107"/>
      <c r="O556" s="107"/>
      <c r="P556" s="107"/>
      <c r="Q556" s="107"/>
      <c r="R556" s="107"/>
      <c r="S556" s="107"/>
      <c r="T556" s="107"/>
      <c r="U556" s="107"/>
      <c r="V556" s="107"/>
      <c r="W556" s="107"/>
      <c r="X556" s="107"/>
      <c r="Y556" s="107"/>
      <c r="Z556" s="107"/>
    </row>
    <row r="557" ht="14.25" customHeight="1">
      <c r="A557" s="107"/>
      <c r="B557" s="107"/>
      <c r="C557" s="103" t="s">
        <v>540</v>
      </c>
      <c r="D557" s="107"/>
      <c r="E557" s="107"/>
      <c r="F557" s="109"/>
      <c r="G557" s="109"/>
      <c r="H557" s="107"/>
      <c r="I557" s="107"/>
      <c r="J557" s="107"/>
      <c r="K557" s="107"/>
      <c r="L557" s="107"/>
      <c r="M557" s="107"/>
      <c r="N557" s="107"/>
      <c r="O557" s="107"/>
      <c r="P557" s="107"/>
      <c r="Q557" s="107"/>
      <c r="R557" s="107"/>
      <c r="S557" s="107"/>
      <c r="T557" s="107"/>
      <c r="U557" s="107"/>
      <c r="V557" s="107"/>
      <c r="W557" s="107"/>
      <c r="X557" s="107"/>
      <c r="Y557" s="107"/>
      <c r="Z557" s="107"/>
    </row>
    <row r="558" ht="14.25" customHeight="1">
      <c r="A558" s="110">
        <v>45526.0</v>
      </c>
      <c r="B558" s="274" t="s">
        <v>520</v>
      </c>
      <c r="C558" s="275" t="s">
        <v>521</v>
      </c>
      <c r="D558" s="275" t="s">
        <v>54</v>
      </c>
      <c r="E558" s="276" t="s">
        <v>70</v>
      </c>
      <c r="F558" s="277">
        <v>85257.0</v>
      </c>
      <c r="G558" s="109"/>
      <c r="H558" s="111" t="s">
        <v>541</v>
      </c>
      <c r="I558" s="107"/>
      <c r="J558" s="107"/>
      <c r="K558" s="107"/>
      <c r="L558" s="107"/>
      <c r="M558" s="107"/>
      <c r="N558" s="107"/>
      <c r="O558" s="107"/>
      <c r="P558" s="107"/>
      <c r="Q558" s="107"/>
      <c r="R558" s="107"/>
      <c r="S558" s="107"/>
      <c r="T558" s="107"/>
      <c r="U558" s="107"/>
      <c r="V558" s="107"/>
      <c r="W558" s="107"/>
      <c r="X558" s="107"/>
      <c r="Y558" s="107"/>
      <c r="Z558" s="107"/>
    </row>
    <row r="559" ht="14.25" customHeight="1">
      <c r="A559" s="110">
        <v>45526.0</v>
      </c>
      <c r="B559" s="278" t="s">
        <v>345</v>
      </c>
      <c r="C559" s="279" t="s">
        <v>339</v>
      </c>
      <c r="D559" s="279" t="s">
        <v>467</v>
      </c>
      <c r="E559" s="281" t="s">
        <v>80</v>
      </c>
      <c r="F559" s="286">
        <v>14804.0</v>
      </c>
      <c r="G559" s="109"/>
      <c r="H559" s="111" t="s">
        <v>542</v>
      </c>
      <c r="I559" s="107"/>
      <c r="J559" s="107"/>
      <c r="K559" s="107"/>
      <c r="L559" s="107"/>
      <c r="M559" s="107"/>
      <c r="N559" s="107"/>
      <c r="O559" s="107"/>
      <c r="P559" s="107"/>
      <c r="Q559" s="107"/>
      <c r="R559" s="107"/>
      <c r="S559" s="107"/>
      <c r="T559" s="107"/>
      <c r="U559" s="107"/>
      <c r="V559" s="107"/>
      <c r="W559" s="107"/>
      <c r="X559" s="107"/>
      <c r="Y559" s="107"/>
      <c r="Z559" s="107"/>
    </row>
    <row r="560" ht="14.25" customHeight="1">
      <c r="A560" s="110">
        <v>45526.0</v>
      </c>
      <c r="B560" s="278" t="s">
        <v>426</v>
      </c>
      <c r="C560" s="279" t="s">
        <v>427</v>
      </c>
      <c r="D560" s="279" t="s">
        <v>54</v>
      </c>
      <c r="E560" s="279" t="s">
        <v>70</v>
      </c>
      <c r="F560" s="280">
        <v>60000.0</v>
      </c>
      <c r="G560" s="109"/>
      <c r="H560" s="111" t="s">
        <v>543</v>
      </c>
      <c r="I560" s="107"/>
      <c r="J560" s="107"/>
      <c r="K560" s="107"/>
      <c r="L560" s="107"/>
      <c r="M560" s="107"/>
      <c r="N560" s="107"/>
      <c r="O560" s="107"/>
      <c r="P560" s="107"/>
      <c r="Q560" s="107"/>
      <c r="R560" s="107"/>
      <c r="S560" s="107"/>
      <c r="T560" s="107"/>
      <c r="U560" s="107"/>
      <c r="V560" s="107"/>
      <c r="W560" s="107"/>
      <c r="X560" s="107"/>
      <c r="Y560" s="107"/>
      <c r="Z560" s="107"/>
    </row>
    <row r="561" ht="14.25" customHeight="1">
      <c r="A561" s="110">
        <v>45526.0</v>
      </c>
      <c r="B561" s="278" t="s">
        <v>493</v>
      </c>
      <c r="C561" s="279" t="s">
        <v>506</v>
      </c>
      <c r="D561" s="279" t="s">
        <v>67</v>
      </c>
      <c r="E561" s="281" t="s">
        <v>70</v>
      </c>
      <c r="F561" s="282">
        <v>155173.35</v>
      </c>
      <c r="G561" s="109"/>
      <c r="H561" s="111" t="s">
        <v>544</v>
      </c>
      <c r="I561" s="107"/>
      <c r="J561" s="107"/>
      <c r="K561" s="107"/>
      <c r="L561" s="107"/>
      <c r="M561" s="107"/>
      <c r="N561" s="107"/>
      <c r="O561" s="107"/>
      <c r="P561" s="107"/>
      <c r="Q561" s="107"/>
      <c r="R561" s="107"/>
      <c r="S561" s="107"/>
      <c r="T561" s="107"/>
      <c r="U561" s="107"/>
      <c r="V561" s="107"/>
      <c r="W561" s="107"/>
      <c r="X561" s="107"/>
      <c r="Y561" s="107"/>
      <c r="Z561" s="107"/>
    </row>
    <row r="562" ht="14.25" customHeight="1">
      <c r="A562" s="110">
        <v>45526.0</v>
      </c>
      <c r="B562" s="283" t="s">
        <v>285</v>
      </c>
      <c r="C562" s="284" t="s">
        <v>286</v>
      </c>
      <c r="D562" s="279" t="s">
        <v>413</v>
      </c>
      <c r="E562" s="281" t="s">
        <v>511</v>
      </c>
      <c r="F562" s="286">
        <v>69000.0</v>
      </c>
      <c r="G562" s="109"/>
      <c r="H562" s="111" t="s">
        <v>545</v>
      </c>
      <c r="I562" s="107"/>
      <c r="J562" s="107"/>
      <c r="K562" s="107"/>
      <c r="L562" s="107"/>
      <c r="M562" s="107"/>
      <c r="N562" s="107"/>
      <c r="O562" s="107"/>
      <c r="P562" s="107"/>
      <c r="Q562" s="107"/>
      <c r="R562" s="107"/>
      <c r="S562" s="107"/>
      <c r="T562" s="107"/>
      <c r="U562" s="107"/>
      <c r="V562" s="107"/>
      <c r="W562" s="107"/>
      <c r="X562" s="107"/>
      <c r="Y562" s="107"/>
      <c r="Z562" s="107"/>
    </row>
    <row r="563" ht="14.25" customHeight="1">
      <c r="A563" s="110">
        <v>45526.0</v>
      </c>
      <c r="B563" s="278" t="s">
        <v>415</v>
      </c>
      <c r="C563" s="279" t="s">
        <v>79</v>
      </c>
      <c r="D563" s="279" t="s">
        <v>54</v>
      </c>
      <c r="E563" s="281" t="s">
        <v>70</v>
      </c>
      <c r="F563" s="286">
        <v>266698.0</v>
      </c>
      <c r="G563" s="109"/>
      <c r="H563" s="111" t="s">
        <v>546</v>
      </c>
      <c r="I563" s="107"/>
      <c r="J563" s="107"/>
      <c r="K563" s="107"/>
      <c r="L563" s="107"/>
      <c r="M563" s="107"/>
      <c r="N563" s="107"/>
      <c r="O563" s="107"/>
      <c r="P563" s="107"/>
      <c r="Q563" s="107"/>
      <c r="R563" s="107"/>
      <c r="S563" s="107"/>
      <c r="T563" s="107"/>
      <c r="U563" s="107"/>
      <c r="V563" s="107"/>
      <c r="W563" s="107"/>
      <c r="X563" s="107"/>
      <c r="Y563" s="107"/>
      <c r="Z563" s="107"/>
    </row>
    <row r="564" ht="14.25" customHeight="1">
      <c r="A564" s="110">
        <v>45526.0</v>
      </c>
      <c r="B564" s="287" t="s">
        <v>266</v>
      </c>
      <c r="C564" s="278" t="s">
        <v>79</v>
      </c>
      <c r="D564" s="279" t="s">
        <v>54</v>
      </c>
      <c r="E564" s="281" t="s">
        <v>70</v>
      </c>
      <c r="F564" s="286">
        <v>32000.0</v>
      </c>
      <c r="G564" s="109"/>
      <c r="H564" s="111" t="s">
        <v>546</v>
      </c>
      <c r="I564" s="107"/>
      <c r="J564" s="107"/>
      <c r="K564" s="107"/>
      <c r="L564" s="107"/>
      <c r="M564" s="107"/>
      <c r="N564" s="107"/>
      <c r="O564" s="107"/>
      <c r="P564" s="107"/>
      <c r="Q564" s="107"/>
      <c r="R564" s="107"/>
      <c r="S564" s="107"/>
      <c r="T564" s="107"/>
      <c r="U564" s="107"/>
      <c r="V564" s="107"/>
      <c r="W564" s="107"/>
      <c r="X564" s="107"/>
      <c r="Y564" s="107"/>
      <c r="Z564" s="107"/>
    </row>
    <row r="565" ht="14.25" customHeight="1">
      <c r="A565" s="110">
        <v>45526.0</v>
      </c>
      <c r="B565" s="274" t="s">
        <v>253</v>
      </c>
      <c r="C565" s="279" t="s">
        <v>58</v>
      </c>
      <c r="D565" s="279" t="s">
        <v>75</v>
      </c>
      <c r="E565" s="281" t="s">
        <v>70</v>
      </c>
      <c r="F565" s="286">
        <v>561775.0</v>
      </c>
      <c r="G565" s="109"/>
      <c r="H565" s="111" t="s">
        <v>547</v>
      </c>
      <c r="I565" s="107"/>
      <c r="J565" s="107"/>
      <c r="K565" s="107"/>
      <c r="L565" s="107"/>
      <c r="M565" s="107"/>
      <c r="N565" s="107"/>
      <c r="O565" s="107"/>
      <c r="P565" s="107"/>
      <c r="Q565" s="107"/>
      <c r="R565" s="107"/>
      <c r="S565" s="107"/>
      <c r="T565" s="107"/>
      <c r="U565" s="107"/>
      <c r="V565" s="107"/>
      <c r="W565" s="107"/>
      <c r="X565" s="107"/>
      <c r="Y565" s="107"/>
      <c r="Z565" s="107"/>
    </row>
    <row r="566" ht="14.25" customHeight="1">
      <c r="A566" s="110">
        <v>45526.0</v>
      </c>
      <c r="B566" s="278" t="s">
        <v>57</v>
      </c>
      <c r="C566" s="279" t="s">
        <v>58</v>
      </c>
      <c r="D566" s="279" t="s">
        <v>59</v>
      </c>
      <c r="E566" s="296" t="s">
        <v>70</v>
      </c>
      <c r="F566" s="285">
        <v>326022.0</v>
      </c>
      <c r="G566" s="109"/>
      <c r="H566" s="111" t="s">
        <v>547</v>
      </c>
      <c r="I566" s="107"/>
      <c r="J566" s="107"/>
      <c r="K566" s="107"/>
      <c r="L566" s="107"/>
      <c r="M566" s="107"/>
      <c r="N566" s="107"/>
      <c r="O566" s="107"/>
      <c r="P566" s="107"/>
      <c r="Q566" s="107"/>
      <c r="R566" s="107"/>
      <c r="S566" s="107"/>
      <c r="T566" s="107"/>
      <c r="U566" s="107"/>
      <c r="V566" s="107"/>
      <c r="W566" s="107"/>
      <c r="X566" s="107"/>
      <c r="Y566" s="107"/>
      <c r="Z566" s="107"/>
    </row>
    <row r="567" ht="14.25" customHeight="1">
      <c r="A567" s="110">
        <v>45526.0</v>
      </c>
      <c r="B567" s="278" t="s">
        <v>77</v>
      </c>
      <c r="C567" s="279" t="s">
        <v>74</v>
      </c>
      <c r="D567" s="279" t="s">
        <v>54</v>
      </c>
      <c r="E567" s="315" t="s">
        <v>70</v>
      </c>
      <c r="F567" s="282">
        <v>237396.0</v>
      </c>
      <c r="G567" s="109"/>
      <c r="H567" s="111" t="s">
        <v>548</v>
      </c>
      <c r="I567" s="107"/>
      <c r="J567" s="107"/>
      <c r="K567" s="107"/>
      <c r="L567" s="107"/>
      <c r="M567" s="107"/>
      <c r="N567" s="107"/>
      <c r="O567" s="107"/>
      <c r="P567" s="107"/>
      <c r="Q567" s="107"/>
      <c r="R567" s="107"/>
      <c r="S567" s="107"/>
      <c r="T567" s="107"/>
      <c r="U567" s="107"/>
      <c r="V567" s="107"/>
      <c r="W567" s="107"/>
      <c r="X567" s="107"/>
      <c r="Y567" s="107"/>
      <c r="Z567" s="107"/>
    </row>
    <row r="568" ht="14.25" customHeight="1">
      <c r="A568" s="110">
        <v>45526.0</v>
      </c>
      <c r="B568" s="278" t="s">
        <v>502</v>
      </c>
      <c r="C568" s="279" t="s">
        <v>208</v>
      </c>
      <c r="D568" s="279" t="s">
        <v>54</v>
      </c>
      <c r="E568" s="279" t="s">
        <v>80</v>
      </c>
      <c r="F568" s="282">
        <v>400000.0</v>
      </c>
      <c r="G568" s="109"/>
      <c r="H568" s="111" t="s">
        <v>549</v>
      </c>
      <c r="I568" s="107"/>
      <c r="J568" s="107"/>
      <c r="K568" s="107"/>
      <c r="L568" s="107"/>
      <c r="M568" s="107"/>
      <c r="N568" s="107"/>
      <c r="O568" s="107"/>
      <c r="P568" s="107"/>
      <c r="Q568" s="107"/>
      <c r="R568" s="107"/>
      <c r="S568" s="107"/>
      <c r="T568" s="107"/>
      <c r="U568" s="107"/>
      <c r="V568" s="107"/>
      <c r="W568" s="107"/>
      <c r="X568" s="107"/>
      <c r="Y568" s="107"/>
      <c r="Z568" s="107"/>
    </row>
    <row r="569" ht="14.25" customHeight="1">
      <c r="A569" s="110">
        <v>45526.0</v>
      </c>
      <c r="B569" s="278" t="s">
        <v>92</v>
      </c>
      <c r="C569" s="279" t="s">
        <v>93</v>
      </c>
      <c r="D569" s="279" t="s">
        <v>54</v>
      </c>
      <c r="E569" s="281" t="s">
        <v>80</v>
      </c>
      <c r="F569" s="282">
        <v>31872.0</v>
      </c>
      <c r="G569" s="113">
        <v>31872.0</v>
      </c>
      <c r="H569" s="111" t="s">
        <v>212</v>
      </c>
      <c r="I569" s="107"/>
      <c r="J569" s="107"/>
      <c r="K569" s="107"/>
      <c r="L569" s="107"/>
      <c r="M569" s="107"/>
      <c r="N569" s="107"/>
      <c r="O569" s="107"/>
      <c r="P569" s="107"/>
      <c r="Q569" s="107"/>
      <c r="R569" s="107"/>
      <c r="S569" s="107"/>
      <c r="T569" s="107"/>
      <c r="U569" s="107"/>
      <c r="V569" s="107"/>
      <c r="W569" s="107"/>
      <c r="X569" s="107"/>
      <c r="Y569" s="107"/>
      <c r="Z569" s="107"/>
    </row>
    <row r="570" ht="14.25" customHeight="1">
      <c r="A570" s="110">
        <v>45526.0</v>
      </c>
      <c r="B570" s="278" t="s">
        <v>195</v>
      </c>
      <c r="C570" s="279" t="s">
        <v>196</v>
      </c>
      <c r="D570" s="279" t="s">
        <v>54</v>
      </c>
      <c r="E570" s="279" t="s">
        <v>80</v>
      </c>
      <c r="F570" s="285">
        <v>418381.86</v>
      </c>
      <c r="G570" s="109"/>
      <c r="H570" s="111" t="s">
        <v>550</v>
      </c>
      <c r="I570" s="107"/>
      <c r="J570" s="107"/>
      <c r="K570" s="107"/>
      <c r="L570" s="107"/>
      <c r="M570" s="107"/>
      <c r="N570" s="107"/>
      <c r="O570" s="107"/>
      <c r="P570" s="107"/>
      <c r="Q570" s="107"/>
      <c r="R570" s="107"/>
      <c r="S570" s="107"/>
      <c r="T570" s="107"/>
      <c r="U570" s="107"/>
      <c r="V570" s="107"/>
      <c r="W570" s="107"/>
      <c r="X570" s="107"/>
      <c r="Y570" s="107"/>
      <c r="Z570" s="107"/>
    </row>
    <row r="571" ht="14.25" customHeight="1">
      <c r="A571" s="110">
        <v>45526.0</v>
      </c>
      <c r="B571" s="278" t="s">
        <v>477</v>
      </c>
      <c r="C571" s="279" t="s">
        <v>478</v>
      </c>
      <c r="D571" s="279" t="s">
        <v>413</v>
      </c>
      <c r="E571" s="296" t="s">
        <v>80</v>
      </c>
      <c r="F571" s="280">
        <v>115000.0</v>
      </c>
      <c r="G571" s="109"/>
      <c r="H571" s="111" t="s">
        <v>551</v>
      </c>
      <c r="I571" s="107"/>
      <c r="J571" s="107"/>
      <c r="K571" s="107"/>
      <c r="L571" s="107"/>
      <c r="M571" s="107"/>
      <c r="N571" s="107"/>
      <c r="O571" s="107"/>
      <c r="P571" s="107"/>
      <c r="Q571" s="107"/>
      <c r="R571" s="107"/>
      <c r="S571" s="107"/>
      <c r="T571" s="107"/>
      <c r="U571" s="107"/>
      <c r="V571" s="107"/>
      <c r="W571" s="107"/>
      <c r="X571" s="107"/>
      <c r="Y571" s="107"/>
      <c r="Z571" s="107"/>
    </row>
    <row r="572" ht="14.25" customHeight="1">
      <c r="A572" s="110">
        <v>45526.0</v>
      </c>
      <c r="B572" s="278" t="s">
        <v>519</v>
      </c>
      <c r="C572" s="279" t="s">
        <v>478</v>
      </c>
      <c r="D572" s="279" t="s">
        <v>54</v>
      </c>
      <c r="E572" s="279" t="s">
        <v>80</v>
      </c>
      <c r="F572" s="280">
        <v>82674.5</v>
      </c>
      <c r="G572" s="109"/>
      <c r="H572" s="111" t="s">
        <v>551</v>
      </c>
      <c r="I572" s="107"/>
      <c r="J572" s="107"/>
      <c r="K572" s="107"/>
      <c r="L572" s="107"/>
      <c r="M572" s="107"/>
      <c r="N572" s="107"/>
      <c r="O572" s="107"/>
      <c r="P572" s="107"/>
      <c r="Q572" s="107"/>
      <c r="R572" s="107"/>
      <c r="S572" s="107"/>
      <c r="T572" s="107"/>
      <c r="U572" s="107"/>
      <c r="V572" s="107"/>
      <c r="W572" s="107"/>
      <c r="X572" s="107"/>
      <c r="Y572" s="107"/>
      <c r="Z572" s="107"/>
    </row>
    <row r="573" ht="14.25" customHeight="1">
      <c r="A573" s="110">
        <v>45526.0</v>
      </c>
      <c r="B573" s="278" t="s">
        <v>552</v>
      </c>
      <c r="C573" s="279" t="s">
        <v>286</v>
      </c>
      <c r="D573" s="279" t="s">
        <v>54</v>
      </c>
      <c r="E573" s="279" t="s">
        <v>80</v>
      </c>
      <c r="F573" s="280">
        <v>35784.0</v>
      </c>
      <c r="G573" s="316">
        <v>35784.0</v>
      </c>
      <c r="H573" s="111" t="s">
        <v>212</v>
      </c>
      <c r="I573" s="107"/>
      <c r="J573" s="107"/>
      <c r="K573" s="107"/>
      <c r="L573" s="107"/>
      <c r="M573" s="107"/>
      <c r="N573" s="107"/>
      <c r="O573" s="107"/>
      <c r="P573" s="107"/>
      <c r="Q573" s="107"/>
      <c r="R573" s="107"/>
      <c r="S573" s="107"/>
      <c r="T573" s="107"/>
      <c r="U573" s="107"/>
      <c r="V573" s="107"/>
      <c r="W573" s="107"/>
      <c r="X573" s="107"/>
      <c r="Y573" s="107"/>
      <c r="Z573" s="107"/>
    </row>
    <row r="574" ht="14.25" customHeight="1">
      <c r="A574" s="110">
        <v>45526.0</v>
      </c>
      <c r="B574" s="295" t="s">
        <v>419</v>
      </c>
      <c r="C574" s="296" t="s">
        <v>516</v>
      </c>
      <c r="D574" s="296" t="s">
        <v>54</v>
      </c>
      <c r="E574" s="279" t="s">
        <v>359</v>
      </c>
      <c r="F574" s="297">
        <v>400000.0</v>
      </c>
      <c r="G574" s="109"/>
      <c r="H574" s="111" t="s">
        <v>553</v>
      </c>
      <c r="I574" s="107"/>
      <c r="J574" s="107"/>
      <c r="K574" s="107"/>
      <c r="L574" s="107"/>
      <c r="M574" s="107"/>
      <c r="N574" s="107"/>
      <c r="O574" s="107"/>
      <c r="P574" s="107"/>
      <c r="Q574" s="107"/>
      <c r="R574" s="107"/>
      <c r="S574" s="107"/>
      <c r="T574" s="107"/>
      <c r="U574" s="107"/>
      <c r="V574" s="107"/>
      <c r="W574" s="107"/>
      <c r="X574" s="107"/>
      <c r="Y574" s="107"/>
      <c r="Z574" s="107"/>
    </row>
    <row r="575" ht="14.25" customHeight="1">
      <c r="A575" s="110">
        <v>45526.0</v>
      </c>
      <c r="B575" s="278" t="s">
        <v>498</v>
      </c>
      <c r="C575" s="279" t="s">
        <v>499</v>
      </c>
      <c r="D575" s="279" t="s">
        <v>54</v>
      </c>
      <c r="E575" s="279" t="s">
        <v>359</v>
      </c>
      <c r="F575" s="280">
        <v>83494.0</v>
      </c>
      <c r="G575" s="109"/>
      <c r="H575" s="111" t="s">
        <v>554</v>
      </c>
      <c r="I575" s="107"/>
      <c r="J575" s="107"/>
      <c r="K575" s="107"/>
      <c r="L575" s="107"/>
      <c r="M575" s="107"/>
      <c r="N575" s="107"/>
      <c r="O575" s="107"/>
      <c r="P575" s="107"/>
      <c r="Q575" s="107"/>
      <c r="R575" s="107"/>
      <c r="S575" s="107"/>
      <c r="T575" s="107"/>
      <c r="U575" s="107"/>
      <c r="V575" s="107"/>
      <c r="W575" s="107"/>
      <c r="X575" s="107"/>
      <c r="Y575" s="107"/>
      <c r="Z575" s="107"/>
    </row>
    <row r="576" ht="14.25" customHeight="1">
      <c r="A576" s="110">
        <v>45526.0</v>
      </c>
      <c r="B576" s="278" t="s">
        <v>501</v>
      </c>
      <c r="C576" s="279" t="s">
        <v>499</v>
      </c>
      <c r="D576" s="279" t="s">
        <v>467</v>
      </c>
      <c r="E576" s="279" t="s">
        <v>359</v>
      </c>
      <c r="F576" s="280">
        <v>23880.0</v>
      </c>
      <c r="G576" s="109"/>
      <c r="H576" s="111" t="s">
        <v>554</v>
      </c>
      <c r="I576" s="107"/>
      <c r="J576" s="107"/>
      <c r="K576" s="107"/>
      <c r="L576" s="107"/>
      <c r="M576" s="107"/>
      <c r="N576" s="107"/>
      <c r="O576" s="107"/>
      <c r="P576" s="107"/>
      <c r="Q576" s="107"/>
      <c r="R576" s="107"/>
      <c r="S576" s="107"/>
      <c r="T576" s="107"/>
      <c r="U576" s="107"/>
      <c r="V576" s="107"/>
      <c r="W576" s="107"/>
      <c r="X576" s="107"/>
      <c r="Y576" s="107"/>
      <c r="Z576" s="107"/>
    </row>
    <row r="577" ht="14.25" customHeight="1">
      <c r="A577" s="110">
        <v>45526.0</v>
      </c>
      <c r="B577" s="295" t="s">
        <v>96</v>
      </c>
      <c r="C577" s="296" t="s">
        <v>97</v>
      </c>
      <c r="D577" s="296" t="s">
        <v>54</v>
      </c>
      <c r="E577" s="279" t="s">
        <v>359</v>
      </c>
      <c r="F577" s="317">
        <v>25764.0</v>
      </c>
      <c r="G577" s="109"/>
      <c r="H577" s="111" t="s">
        <v>555</v>
      </c>
      <c r="I577" s="107"/>
      <c r="J577" s="107"/>
      <c r="K577" s="107"/>
      <c r="L577" s="107"/>
      <c r="M577" s="107"/>
      <c r="N577" s="107"/>
      <c r="O577" s="107"/>
      <c r="P577" s="107"/>
      <c r="Q577" s="107"/>
      <c r="R577" s="107"/>
      <c r="S577" s="107"/>
      <c r="T577" s="107"/>
      <c r="U577" s="107"/>
      <c r="V577" s="107"/>
      <c r="W577" s="107"/>
      <c r="X577" s="107"/>
      <c r="Y577" s="107"/>
      <c r="Z577" s="107"/>
    </row>
    <row r="578" ht="14.25" customHeight="1">
      <c r="A578" s="110">
        <v>45526.0</v>
      </c>
      <c r="B578" s="278" t="s">
        <v>62</v>
      </c>
      <c r="C578" s="279" t="s">
        <v>63</v>
      </c>
      <c r="D578" s="279" t="s">
        <v>54</v>
      </c>
      <c r="E578" s="279" t="s">
        <v>359</v>
      </c>
      <c r="F578" s="280">
        <v>2450.0</v>
      </c>
      <c r="G578" s="280">
        <v>2450.0</v>
      </c>
      <c r="H578" s="111" t="s">
        <v>175</v>
      </c>
      <c r="I578" s="107"/>
      <c r="J578" s="107"/>
      <c r="K578" s="107"/>
      <c r="L578" s="107"/>
      <c r="M578" s="107"/>
      <c r="N578" s="107"/>
      <c r="O578" s="107"/>
      <c r="P578" s="107"/>
      <c r="Q578" s="107"/>
      <c r="R578" s="107"/>
      <c r="S578" s="107"/>
      <c r="T578" s="107"/>
      <c r="U578" s="107"/>
      <c r="V578" s="107"/>
      <c r="W578" s="107"/>
      <c r="X578" s="107"/>
      <c r="Y578" s="107"/>
      <c r="Z578" s="107"/>
    </row>
    <row r="579" ht="14.25" customHeight="1">
      <c r="A579" s="107"/>
      <c r="B579" s="107"/>
      <c r="C579" s="107"/>
      <c r="D579" s="107"/>
      <c r="E579" s="107"/>
      <c r="F579" s="109"/>
      <c r="G579" s="109"/>
      <c r="H579" s="107"/>
      <c r="I579" s="107"/>
      <c r="J579" s="107"/>
      <c r="K579" s="107"/>
      <c r="L579" s="107"/>
      <c r="M579" s="107"/>
      <c r="N579" s="107"/>
      <c r="O579" s="107"/>
      <c r="P579" s="107"/>
      <c r="Q579" s="107"/>
      <c r="R579" s="107"/>
      <c r="S579" s="107"/>
      <c r="T579" s="107"/>
      <c r="U579" s="107"/>
      <c r="V579" s="107"/>
      <c r="W579" s="107"/>
      <c r="X579" s="107"/>
      <c r="Y579" s="107"/>
      <c r="Z579" s="107"/>
    </row>
    <row r="580" ht="14.25" customHeight="1">
      <c r="A580" s="110">
        <v>45526.0</v>
      </c>
      <c r="B580" s="266" t="s">
        <v>162</v>
      </c>
      <c r="C580" s="266" t="s">
        <v>538</v>
      </c>
      <c r="D580" s="111" t="s">
        <v>54</v>
      </c>
      <c r="E580" s="111" t="s">
        <v>367</v>
      </c>
      <c r="F580" s="318">
        <v>200000.0</v>
      </c>
      <c r="G580" s="109"/>
      <c r="H580" s="111" t="s">
        <v>556</v>
      </c>
      <c r="I580" s="107"/>
      <c r="J580" s="107"/>
      <c r="K580" s="107"/>
      <c r="L580" s="107"/>
      <c r="M580" s="107"/>
      <c r="N580" s="107"/>
      <c r="O580" s="107"/>
      <c r="P580" s="107"/>
      <c r="Q580" s="107"/>
      <c r="R580" s="107"/>
      <c r="S580" s="107"/>
      <c r="T580" s="107"/>
      <c r="U580" s="107"/>
      <c r="V580" s="107"/>
      <c r="W580" s="107"/>
      <c r="X580" s="107"/>
      <c r="Y580" s="107"/>
      <c r="Z580" s="107"/>
    </row>
    <row r="581" ht="14.25" customHeight="1">
      <c r="A581" s="110">
        <v>45526.0</v>
      </c>
      <c r="B581" s="271" t="s">
        <v>419</v>
      </c>
      <c r="C581" s="271" t="s">
        <v>436</v>
      </c>
      <c r="D581" s="319" t="s">
        <v>54</v>
      </c>
      <c r="E581" s="111" t="s">
        <v>367</v>
      </c>
      <c r="F581" s="320">
        <v>962845.4</v>
      </c>
      <c r="G581" s="109"/>
      <c r="H581" s="111" t="s">
        <v>553</v>
      </c>
      <c r="I581" s="107"/>
      <c r="J581" s="107"/>
      <c r="K581" s="107"/>
      <c r="L581" s="107"/>
      <c r="M581" s="107"/>
      <c r="N581" s="107"/>
      <c r="O581" s="107"/>
      <c r="P581" s="107"/>
      <c r="Q581" s="107"/>
      <c r="R581" s="107"/>
      <c r="S581" s="107"/>
      <c r="T581" s="107"/>
      <c r="U581" s="107"/>
      <c r="V581" s="107"/>
      <c r="W581" s="107"/>
      <c r="X581" s="107"/>
      <c r="Y581" s="107"/>
      <c r="Z581" s="107"/>
    </row>
    <row r="582" ht="14.25" customHeight="1">
      <c r="A582" s="110"/>
      <c r="B582" s="321"/>
      <c r="C582" s="322"/>
      <c r="D582" s="322"/>
      <c r="E582" s="111"/>
      <c r="F582" s="109"/>
      <c r="G582" s="109"/>
      <c r="H582" s="107"/>
      <c r="I582" s="107"/>
      <c r="J582" s="107"/>
      <c r="K582" s="107"/>
      <c r="L582" s="107"/>
      <c r="M582" s="107"/>
      <c r="N582" s="107"/>
      <c r="O582" s="107"/>
      <c r="P582" s="107"/>
      <c r="Q582" s="107"/>
      <c r="R582" s="107"/>
      <c r="S582" s="107"/>
      <c r="T582" s="107"/>
      <c r="U582" s="107"/>
      <c r="V582" s="107"/>
      <c r="W582" s="107"/>
      <c r="X582" s="107"/>
      <c r="Y582" s="107"/>
      <c r="Z582" s="107"/>
    </row>
    <row r="583" ht="14.25" customHeight="1">
      <c r="A583" s="110"/>
      <c r="B583" s="321"/>
      <c r="C583" s="323" t="s">
        <v>557</v>
      </c>
      <c r="D583" s="322"/>
      <c r="E583" s="111"/>
      <c r="F583" s="109"/>
      <c r="G583" s="109"/>
      <c r="H583" s="107"/>
      <c r="I583" s="107"/>
      <c r="J583" s="107"/>
      <c r="K583" s="107"/>
      <c r="L583" s="107"/>
      <c r="M583" s="107"/>
      <c r="N583" s="107"/>
      <c r="O583" s="107"/>
      <c r="P583" s="107"/>
      <c r="Q583" s="107"/>
      <c r="R583" s="107"/>
      <c r="S583" s="107"/>
      <c r="T583" s="107"/>
      <c r="U583" s="107"/>
      <c r="V583" s="107"/>
      <c r="W583" s="107"/>
      <c r="X583" s="107"/>
      <c r="Y583" s="107"/>
      <c r="Z583" s="107"/>
    </row>
    <row r="584" ht="14.25" customHeight="1">
      <c r="A584" s="110">
        <v>45527.0</v>
      </c>
      <c r="B584" s="274" t="s">
        <v>520</v>
      </c>
      <c r="C584" s="275" t="s">
        <v>521</v>
      </c>
      <c r="D584" s="275" t="s">
        <v>54</v>
      </c>
      <c r="E584" s="276" t="s">
        <v>70</v>
      </c>
      <c r="F584" s="277">
        <v>85257.0</v>
      </c>
      <c r="G584" s="113">
        <v>85257.0</v>
      </c>
      <c r="H584" s="111" t="s">
        <v>558</v>
      </c>
      <c r="I584" s="107"/>
      <c r="J584" s="107"/>
      <c r="K584" s="107"/>
      <c r="L584" s="107"/>
      <c r="M584" s="107"/>
      <c r="N584" s="107"/>
      <c r="O584" s="107"/>
      <c r="P584" s="107"/>
      <c r="Q584" s="107"/>
      <c r="R584" s="107"/>
      <c r="S584" s="107"/>
      <c r="T584" s="107"/>
      <c r="U584" s="107"/>
      <c r="V584" s="107"/>
      <c r="W584" s="107"/>
      <c r="X584" s="107"/>
      <c r="Y584" s="107"/>
      <c r="Z584" s="107"/>
    </row>
    <row r="585" ht="14.25" customHeight="1">
      <c r="A585" s="110">
        <v>45527.0</v>
      </c>
      <c r="B585" s="278" t="s">
        <v>345</v>
      </c>
      <c r="C585" s="279" t="s">
        <v>339</v>
      </c>
      <c r="D585" s="279" t="s">
        <v>467</v>
      </c>
      <c r="E585" s="281" t="s">
        <v>80</v>
      </c>
      <c r="F585" s="286">
        <v>14804.0</v>
      </c>
      <c r="G585" s="109"/>
      <c r="H585" s="111" t="s">
        <v>61</v>
      </c>
      <c r="I585" s="107"/>
      <c r="J585" s="107"/>
      <c r="K585" s="107"/>
      <c r="L585" s="107"/>
      <c r="M585" s="107"/>
      <c r="N585" s="107"/>
      <c r="O585" s="107"/>
      <c r="P585" s="107"/>
      <c r="Q585" s="107"/>
      <c r="R585" s="107"/>
      <c r="S585" s="107"/>
      <c r="T585" s="107"/>
      <c r="U585" s="107"/>
      <c r="V585" s="107"/>
      <c r="W585" s="107"/>
      <c r="X585" s="107"/>
      <c r="Y585" s="107"/>
      <c r="Z585" s="107"/>
    </row>
    <row r="586" ht="14.25" customHeight="1">
      <c r="A586" s="110">
        <v>45527.0</v>
      </c>
      <c r="B586" s="278" t="s">
        <v>493</v>
      </c>
      <c r="C586" s="279" t="s">
        <v>506</v>
      </c>
      <c r="D586" s="279" t="s">
        <v>67</v>
      </c>
      <c r="E586" s="281" t="s">
        <v>70</v>
      </c>
      <c r="F586" s="282">
        <v>155173.35</v>
      </c>
      <c r="G586" s="113">
        <v>40000.0</v>
      </c>
      <c r="H586" s="111" t="s">
        <v>559</v>
      </c>
      <c r="I586" s="107"/>
      <c r="J586" s="107"/>
      <c r="K586" s="107"/>
      <c r="L586" s="107"/>
      <c r="M586" s="107"/>
      <c r="N586" s="107"/>
      <c r="O586" s="107"/>
      <c r="P586" s="107"/>
      <c r="Q586" s="107"/>
      <c r="R586" s="107"/>
      <c r="S586" s="107"/>
      <c r="T586" s="107"/>
      <c r="U586" s="107"/>
      <c r="V586" s="107"/>
      <c r="W586" s="107"/>
      <c r="X586" s="107"/>
      <c r="Y586" s="107"/>
      <c r="Z586" s="107"/>
    </row>
    <row r="587" ht="14.25" customHeight="1">
      <c r="A587" s="110">
        <v>45527.0</v>
      </c>
      <c r="B587" s="283" t="s">
        <v>285</v>
      </c>
      <c r="C587" s="284" t="s">
        <v>286</v>
      </c>
      <c r="D587" s="279" t="s">
        <v>413</v>
      </c>
      <c r="E587" s="281" t="s">
        <v>511</v>
      </c>
      <c r="F587" s="286">
        <v>69000.0</v>
      </c>
      <c r="G587" s="109"/>
      <c r="H587" s="111" t="s">
        <v>61</v>
      </c>
      <c r="I587" s="107"/>
      <c r="J587" s="107"/>
      <c r="K587" s="107"/>
      <c r="L587" s="107"/>
      <c r="M587" s="107"/>
      <c r="N587" s="107"/>
      <c r="O587" s="107"/>
      <c r="P587" s="107"/>
      <c r="Q587" s="107"/>
      <c r="R587" s="107"/>
      <c r="S587" s="107"/>
      <c r="T587" s="107"/>
      <c r="U587" s="107"/>
      <c r="V587" s="107"/>
      <c r="W587" s="107"/>
      <c r="X587" s="107"/>
      <c r="Y587" s="107"/>
      <c r="Z587" s="107"/>
    </row>
    <row r="588" ht="14.25" customHeight="1">
      <c r="A588" s="110">
        <v>45527.0</v>
      </c>
      <c r="B588" s="278" t="s">
        <v>415</v>
      </c>
      <c r="C588" s="279" t="s">
        <v>79</v>
      </c>
      <c r="D588" s="279" t="s">
        <v>54</v>
      </c>
      <c r="E588" s="281" t="s">
        <v>70</v>
      </c>
      <c r="F588" s="286">
        <v>266698.0</v>
      </c>
      <c r="G588" s="109"/>
      <c r="H588" s="111" t="s">
        <v>61</v>
      </c>
      <c r="I588" s="107"/>
      <c r="J588" s="107"/>
      <c r="K588" s="107"/>
      <c r="L588" s="107"/>
      <c r="M588" s="107"/>
      <c r="N588" s="107"/>
      <c r="O588" s="107"/>
      <c r="P588" s="107"/>
      <c r="Q588" s="107"/>
      <c r="R588" s="107"/>
      <c r="S588" s="107"/>
      <c r="T588" s="107"/>
      <c r="U588" s="107"/>
      <c r="V588" s="107"/>
      <c r="W588" s="107"/>
      <c r="X588" s="107"/>
      <c r="Y588" s="107"/>
      <c r="Z588" s="107"/>
    </row>
    <row r="589" ht="14.25" customHeight="1">
      <c r="A589" s="110">
        <v>45527.0</v>
      </c>
      <c r="B589" s="287" t="s">
        <v>266</v>
      </c>
      <c r="C589" s="278" t="s">
        <v>79</v>
      </c>
      <c r="D589" s="279" t="s">
        <v>54</v>
      </c>
      <c r="E589" s="281" t="s">
        <v>70</v>
      </c>
      <c r="F589" s="286">
        <v>32000.0</v>
      </c>
      <c r="G589" s="109"/>
      <c r="H589" s="111" t="s">
        <v>61</v>
      </c>
      <c r="I589" s="107"/>
      <c r="J589" s="107"/>
      <c r="K589" s="107"/>
      <c r="L589" s="107"/>
      <c r="M589" s="107"/>
      <c r="N589" s="107"/>
      <c r="O589" s="107"/>
      <c r="P589" s="107"/>
      <c r="Q589" s="107"/>
      <c r="R589" s="107"/>
      <c r="S589" s="107"/>
      <c r="T589" s="107"/>
      <c r="U589" s="107"/>
      <c r="V589" s="107"/>
      <c r="W589" s="107"/>
      <c r="X589" s="107"/>
      <c r="Y589" s="107"/>
      <c r="Z589" s="107"/>
    </row>
    <row r="590" ht="14.25" customHeight="1">
      <c r="A590" s="110">
        <v>45527.0</v>
      </c>
      <c r="B590" s="274" t="s">
        <v>253</v>
      </c>
      <c r="C590" s="279" t="s">
        <v>58</v>
      </c>
      <c r="D590" s="279" t="s">
        <v>75</v>
      </c>
      <c r="E590" s="281" t="s">
        <v>70</v>
      </c>
      <c r="F590" s="286">
        <v>561775.0</v>
      </c>
      <c r="G590" s="109"/>
      <c r="H590" s="111" t="s">
        <v>560</v>
      </c>
      <c r="I590" s="107"/>
      <c r="J590" s="107"/>
      <c r="K590" s="107"/>
      <c r="L590" s="107"/>
      <c r="M590" s="107"/>
      <c r="N590" s="107"/>
      <c r="O590" s="107"/>
      <c r="P590" s="107"/>
      <c r="Q590" s="107"/>
      <c r="R590" s="107"/>
      <c r="S590" s="107"/>
      <c r="T590" s="107"/>
      <c r="U590" s="107"/>
      <c r="V590" s="107"/>
      <c r="W590" s="107"/>
      <c r="X590" s="107"/>
      <c r="Y590" s="107"/>
      <c r="Z590" s="107"/>
    </row>
    <row r="591" ht="14.25" customHeight="1">
      <c r="A591" s="110">
        <v>45527.0</v>
      </c>
      <c r="B591" s="278" t="s">
        <v>57</v>
      </c>
      <c r="C591" s="279" t="s">
        <v>58</v>
      </c>
      <c r="D591" s="279" t="s">
        <v>59</v>
      </c>
      <c r="E591" s="296" t="s">
        <v>70</v>
      </c>
      <c r="F591" s="285">
        <v>326022.0</v>
      </c>
      <c r="G591" s="113">
        <v>100000.0</v>
      </c>
      <c r="H591" s="111" t="s">
        <v>560</v>
      </c>
      <c r="I591" s="107"/>
      <c r="J591" s="107"/>
      <c r="K591" s="107"/>
      <c r="L591" s="107"/>
      <c r="M591" s="107"/>
      <c r="N591" s="107"/>
      <c r="O591" s="107"/>
      <c r="P591" s="107"/>
      <c r="Q591" s="107"/>
      <c r="R591" s="107"/>
      <c r="S591" s="107"/>
      <c r="T591" s="107"/>
      <c r="U591" s="107"/>
      <c r="V591" s="107"/>
      <c r="W591" s="107"/>
      <c r="X591" s="107"/>
      <c r="Y591" s="107"/>
      <c r="Z591" s="107"/>
    </row>
    <row r="592" ht="14.25" customHeight="1">
      <c r="A592" s="110">
        <v>45527.0</v>
      </c>
      <c r="B592" s="278" t="s">
        <v>77</v>
      </c>
      <c r="C592" s="279" t="s">
        <v>74</v>
      </c>
      <c r="D592" s="279" t="s">
        <v>54</v>
      </c>
      <c r="E592" s="315" t="s">
        <v>70</v>
      </c>
      <c r="F592" s="282">
        <v>237396.0</v>
      </c>
      <c r="G592" s="109"/>
      <c r="H592" s="111" t="s">
        <v>561</v>
      </c>
      <c r="I592" s="107"/>
      <c r="J592" s="107"/>
      <c r="K592" s="107"/>
      <c r="L592" s="107"/>
      <c r="M592" s="107"/>
      <c r="N592" s="107"/>
      <c r="O592" s="107"/>
      <c r="P592" s="107"/>
      <c r="Q592" s="107"/>
      <c r="R592" s="107"/>
      <c r="S592" s="107"/>
      <c r="T592" s="107"/>
      <c r="U592" s="107"/>
      <c r="V592" s="107"/>
      <c r="W592" s="107"/>
      <c r="X592" s="107"/>
      <c r="Y592" s="107"/>
      <c r="Z592" s="107"/>
    </row>
    <row r="593" ht="14.25" customHeight="1">
      <c r="A593" s="110">
        <v>45527.0</v>
      </c>
      <c r="B593" s="278" t="s">
        <v>502</v>
      </c>
      <c r="C593" s="279" t="s">
        <v>208</v>
      </c>
      <c r="D593" s="279" t="s">
        <v>54</v>
      </c>
      <c r="E593" s="279" t="s">
        <v>80</v>
      </c>
      <c r="F593" s="282">
        <v>400000.0</v>
      </c>
      <c r="G593" s="109"/>
      <c r="H593" s="111" t="s">
        <v>61</v>
      </c>
      <c r="I593" s="107"/>
      <c r="J593" s="107"/>
      <c r="K593" s="107"/>
      <c r="L593" s="107"/>
      <c r="M593" s="107"/>
      <c r="N593" s="107"/>
      <c r="O593" s="107"/>
      <c r="P593" s="107"/>
      <c r="Q593" s="107"/>
      <c r="R593" s="107"/>
      <c r="S593" s="107"/>
      <c r="T593" s="107"/>
      <c r="U593" s="107"/>
      <c r="V593" s="107"/>
      <c r="W593" s="107"/>
      <c r="X593" s="107"/>
      <c r="Y593" s="107"/>
      <c r="Z593" s="107"/>
    </row>
    <row r="594" ht="14.25" customHeight="1">
      <c r="A594" s="110">
        <v>45527.0</v>
      </c>
      <c r="B594" s="278" t="s">
        <v>477</v>
      </c>
      <c r="C594" s="279" t="s">
        <v>478</v>
      </c>
      <c r="D594" s="279" t="s">
        <v>413</v>
      </c>
      <c r="E594" s="296" t="s">
        <v>80</v>
      </c>
      <c r="F594" s="280">
        <v>115000.0</v>
      </c>
      <c r="G594" s="109"/>
      <c r="H594" s="111" t="s">
        <v>562</v>
      </c>
      <c r="I594" s="107"/>
      <c r="J594" s="107"/>
      <c r="K594" s="107"/>
      <c r="L594" s="107"/>
      <c r="M594" s="107"/>
      <c r="N594" s="107"/>
      <c r="O594" s="107"/>
      <c r="P594" s="107"/>
      <c r="Q594" s="107"/>
      <c r="R594" s="107"/>
      <c r="S594" s="107"/>
      <c r="T594" s="107"/>
      <c r="U594" s="107"/>
      <c r="V594" s="107"/>
      <c r="W594" s="107"/>
      <c r="X594" s="107"/>
      <c r="Y594" s="107"/>
      <c r="Z594" s="107"/>
    </row>
    <row r="595" ht="14.25" customHeight="1">
      <c r="A595" s="110">
        <v>45527.0</v>
      </c>
      <c r="B595" s="278" t="s">
        <v>519</v>
      </c>
      <c r="C595" s="279" t="s">
        <v>478</v>
      </c>
      <c r="D595" s="279" t="s">
        <v>54</v>
      </c>
      <c r="E595" s="279" t="s">
        <v>80</v>
      </c>
      <c r="F595" s="280">
        <v>82674.5</v>
      </c>
      <c r="G595" s="109"/>
      <c r="H595" s="111" t="s">
        <v>562</v>
      </c>
      <c r="I595" s="107"/>
      <c r="J595" s="107"/>
      <c r="K595" s="107"/>
      <c r="L595" s="107"/>
      <c r="M595" s="107"/>
      <c r="N595" s="107"/>
      <c r="O595" s="107"/>
      <c r="P595" s="107"/>
      <c r="Q595" s="107"/>
      <c r="R595" s="107"/>
      <c r="S595" s="107"/>
      <c r="T595" s="107"/>
      <c r="U595" s="107"/>
      <c r="V595" s="107"/>
      <c r="W595" s="107"/>
      <c r="X595" s="107"/>
      <c r="Y595" s="107"/>
      <c r="Z595" s="107"/>
    </row>
    <row r="596" ht="14.25" customHeight="1">
      <c r="A596" s="110">
        <v>45527.0</v>
      </c>
      <c r="B596" s="278" t="s">
        <v>498</v>
      </c>
      <c r="C596" s="279" t="s">
        <v>499</v>
      </c>
      <c r="D596" s="279" t="s">
        <v>54</v>
      </c>
      <c r="E596" s="279" t="s">
        <v>359</v>
      </c>
      <c r="F596" s="280">
        <v>83494.0</v>
      </c>
      <c r="G596" s="109"/>
      <c r="H596" s="111" t="s">
        <v>563</v>
      </c>
      <c r="I596" s="107"/>
      <c r="J596" s="107"/>
      <c r="K596" s="107"/>
      <c r="L596" s="107"/>
      <c r="M596" s="107"/>
      <c r="N596" s="107"/>
      <c r="O596" s="107"/>
      <c r="P596" s="107"/>
      <c r="Q596" s="107"/>
      <c r="R596" s="107"/>
      <c r="S596" s="107"/>
      <c r="T596" s="107"/>
      <c r="U596" s="107"/>
      <c r="V596" s="107"/>
      <c r="W596" s="107"/>
      <c r="X596" s="107"/>
      <c r="Y596" s="107"/>
      <c r="Z596" s="107"/>
    </row>
    <row r="597" ht="14.25" customHeight="1">
      <c r="A597" s="110">
        <v>45527.0</v>
      </c>
      <c r="B597" s="278" t="s">
        <v>501</v>
      </c>
      <c r="C597" s="279" t="s">
        <v>499</v>
      </c>
      <c r="D597" s="279" t="s">
        <v>467</v>
      </c>
      <c r="E597" s="279" t="s">
        <v>359</v>
      </c>
      <c r="F597" s="280">
        <v>23880.0</v>
      </c>
      <c r="G597" s="109"/>
      <c r="H597" s="111" t="s">
        <v>563</v>
      </c>
      <c r="I597" s="107"/>
      <c r="J597" s="107"/>
      <c r="K597" s="107"/>
      <c r="L597" s="107"/>
      <c r="M597" s="107"/>
      <c r="N597" s="107"/>
      <c r="O597" s="107"/>
      <c r="P597" s="107"/>
      <c r="Q597" s="107"/>
      <c r="R597" s="107"/>
      <c r="S597" s="107"/>
      <c r="T597" s="107"/>
      <c r="U597" s="107"/>
      <c r="V597" s="107"/>
      <c r="W597" s="107"/>
      <c r="X597" s="107"/>
      <c r="Y597" s="107"/>
      <c r="Z597" s="107"/>
    </row>
    <row r="598" ht="14.25" customHeight="1">
      <c r="A598" s="110">
        <v>45527.0</v>
      </c>
      <c r="B598" s="295" t="s">
        <v>96</v>
      </c>
      <c r="C598" s="296" t="s">
        <v>97</v>
      </c>
      <c r="D598" s="296" t="s">
        <v>54</v>
      </c>
      <c r="E598" s="279" t="s">
        <v>359</v>
      </c>
      <c r="F598" s="317">
        <v>25764.0</v>
      </c>
      <c r="G598" s="109"/>
      <c r="H598" s="111" t="s">
        <v>61</v>
      </c>
      <c r="I598" s="107"/>
      <c r="J598" s="107"/>
      <c r="K598" s="107"/>
      <c r="L598" s="107"/>
      <c r="M598" s="107"/>
      <c r="N598" s="107"/>
      <c r="O598" s="107"/>
      <c r="P598" s="107"/>
      <c r="Q598" s="107"/>
      <c r="R598" s="107"/>
      <c r="S598" s="107"/>
      <c r="T598" s="107"/>
      <c r="U598" s="107"/>
      <c r="V598" s="107"/>
      <c r="W598" s="107"/>
      <c r="X598" s="107"/>
      <c r="Y598" s="107"/>
      <c r="Z598" s="107"/>
    </row>
    <row r="599" ht="14.25" customHeight="1">
      <c r="A599" s="110">
        <v>45527.0</v>
      </c>
      <c r="B599" s="266" t="s">
        <v>162</v>
      </c>
      <c r="C599" s="266" t="s">
        <v>538</v>
      </c>
      <c r="D599" s="111" t="s">
        <v>54</v>
      </c>
      <c r="E599" s="111" t="s">
        <v>367</v>
      </c>
      <c r="F599" s="318">
        <v>200000.0</v>
      </c>
      <c r="G599" s="109"/>
      <c r="H599" s="111" t="s">
        <v>564</v>
      </c>
      <c r="I599" s="107"/>
      <c r="J599" s="107"/>
      <c r="K599" s="107"/>
      <c r="L599" s="107"/>
      <c r="M599" s="107"/>
      <c r="N599" s="107"/>
      <c r="O599" s="107"/>
      <c r="P599" s="107"/>
      <c r="Q599" s="107"/>
      <c r="R599" s="107"/>
      <c r="S599" s="107"/>
      <c r="T599" s="107"/>
      <c r="U599" s="107"/>
      <c r="V599" s="107"/>
      <c r="W599" s="107"/>
      <c r="X599" s="107"/>
      <c r="Y599" s="107"/>
      <c r="Z599" s="107"/>
    </row>
    <row r="600" ht="14.25" customHeight="1">
      <c r="A600" s="110">
        <v>45527.0</v>
      </c>
      <c r="B600" s="271" t="s">
        <v>419</v>
      </c>
      <c r="C600" s="271" t="s">
        <v>436</v>
      </c>
      <c r="D600" s="319" t="s">
        <v>54</v>
      </c>
      <c r="E600" s="111" t="s">
        <v>367</v>
      </c>
      <c r="F600" s="320">
        <v>962845.4</v>
      </c>
      <c r="G600" s="109"/>
      <c r="H600" s="111" t="s">
        <v>565</v>
      </c>
      <c r="I600" s="107"/>
      <c r="J600" s="107"/>
      <c r="K600" s="107"/>
      <c r="L600" s="107"/>
      <c r="M600" s="107"/>
      <c r="N600" s="107"/>
      <c r="O600" s="107"/>
      <c r="P600" s="107"/>
      <c r="Q600" s="107"/>
      <c r="R600" s="107"/>
      <c r="S600" s="107"/>
      <c r="T600" s="107"/>
      <c r="U600" s="107"/>
      <c r="V600" s="107"/>
      <c r="W600" s="107"/>
      <c r="X600" s="107"/>
      <c r="Y600" s="107"/>
      <c r="Z600" s="107"/>
    </row>
    <row r="601" ht="14.25" customHeight="1">
      <c r="A601" s="107"/>
      <c r="B601" s="107"/>
      <c r="C601" s="107"/>
      <c r="D601" s="107"/>
      <c r="E601" s="107"/>
      <c r="F601" s="109"/>
      <c r="G601" s="109"/>
      <c r="H601" s="107"/>
      <c r="I601" s="107"/>
      <c r="J601" s="107"/>
      <c r="K601" s="107"/>
      <c r="L601" s="107"/>
      <c r="M601" s="107"/>
      <c r="N601" s="107"/>
      <c r="O601" s="107"/>
      <c r="P601" s="107"/>
      <c r="Q601" s="107"/>
      <c r="R601" s="107"/>
      <c r="S601" s="107"/>
      <c r="T601" s="107"/>
      <c r="U601" s="107"/>
      <c r="V601" s="107"/>
      <c r="W601" s="107"/>
      <c r="X601" s="107"/>
      <c r="Y601" s="107"/>
      <c r="Z601" s="107"/>
    </row>
    <row r="602" ht="14.25" customHeight="1">
      <c r="A602" s="107"/>
      <c r="B602" s="107"/>
      <c r="C602" s="103" t="s">
        <v>224</v>
      </c>
      <c r="D602" s="107"/>
      <c r="E602" s="107"/>
      <c r="F602" s="109"/>
      <c r="G602" s="109"/>
      <c r="H602" s="107"/>
      <c r="I602" s="107"/>
      <c r="J602" s="107"/>
      <c r="K602" s="107"/>
      <c r="L602" s="107"/>
      <c r="M602" s="107"/>
      <c r="N602" s="107"/>
      <c r="O602" s="107"/>
      <c r="P602" s="107"/>
      <c r="Q602" s="107"/>
      <c r="R602" s="107"/>
      <c r="S602" s="107"/>
      <c r="T602" s="107"/>
      <c r="U602" s="107"/>
      <c r="V602" s="107"/>
      <c r="W602" s="107"/>
      <c r="X602" s="107"/>
      <c r="Y602" s="107"/>
      <c r="Z602" s="107"/>
    </row>
    <row r="603" ht="14.25" customHeight="1">
      <c r="A603" s="110">
        <v>45527.0</v>
      </c>
      <c r="B603" s="324" t="s">
        <v>445</v>
      </c>
      <c r="C603" s="266" t="s">
        <v>446</v>
      </c>
      <c r="D603" s="266" t="s">
        <v>67</v>
      </c>
      <c r="E603" s="266" t="s">
        <v>199</v>
      </c>
      <c r="F603" s="325">
        <v>102000.0</v>
      </c>
      <c r="G603" s="265"/>
      <c r="H603" s="266"/>
      <c r="I603" s="107"/>
      <c r="J603" s="107"/>
      <c r="K603" s="107"/>
      <c r="L603" s="107"/>
      <c r="M603" s="107"/>
      <c r="N603" s="107"/>
      <c r="O603" s="107"/>
      <c r="P603" s="107"/>
      <c r="Q603" s="107"/>
      <c r="R603" s="107"/>
      <c r="S603" s="107"/>
      <c r="T603" s="107"/>
      <c r="U603" s="107"/>
      <c r="V603" s="107"/>
      <c r="W603" s="107"/>
      <c r="X603" s="107"/>
      <c r="Y603" s="107"/>
      <c r="Z603" s="107"/>
    </row>
    <row r="604" ht="14.25" customHeight="1">
      <c r="A604" s="110">
        <v>45527.0</v>
      </c>
      <c r="B604" s="313" t="s">
        <v>448</v>
      </c>
      <c r="C604" s="271" t="s">
        <v>449</v>
      </c>
      <c r="D604" s="271" t="s">
        <v>67</v>
      </c>
      <c r="E604" s="271" t="s">
        <v>199</v>
      </c>
      <c r="F604" s="314">
        <v>60000.0</v>
      </c>
      <c r="G604" s="270"/>
      <c r="H604" s="271"/>
      <c r="I604" s="107"/>
      <c r="J604" s="107"/>
      <c r="K604" s="107"/>
      <c r="L604" s="107"/>
      <c r="M604" s="107"/>
      <c r="N604" s="107"/>
      <c r="O604" s="107"/>
      <c r="P604" s="107"/>
      <c r="Q604" s="107"/>
      <c r="R604" s="107"/>
      <c r="S604" s="107"/>
      <c r="T604" s="107"/>
      <c r="U604" s="107"/>
      <c r="V604" s="107"/>
      <c r="W604" s="107"/>
      <c r="X604" s="107"/>
      <c r="Y604" s="107"/>
      <c r="Z604" s="107"/>
    </row>
    <row r="605" ht="14.25" customHeight="1">
      <c r="A605" s="110">
        <v>45527.0</v>
      </c>
      <c r="B605" s="313" t="s">
        <v>442</v>
      </c>
      <c r="C605" s="271" t="s">
        <v>443</v>
      </c>
      <c r="D605" s="271" t="s">
        <v>67</v>
      </c>
      <c r="E605" s="271" t="s">
        <v>199</v>
      </c>
      <c r="F605" s="314">
        <v>360000.0</v>
      </c>
      <c r="G605" s="270"/>
      <c r="H605" s="271"/>
      <c r="I605" s="107"/>
      <c r="J605" s="107"/>
      <c r="K605" s="107"/>
      <c r="L605" s="107"/>
      <c r="M605" s="107"/>
      <c r="N605" s="107"/>
      <c r="O605" s="107"/>
      <c r="P605" s="107"/>
      <c r="Q605" s="107"/>
      <c r="R605" s="107"/>
      <c r="S605" s="107"/>
      <c r="T605" s="107"/>
      <c r="U605" s="107"/>
      <c r="V605" s="107"/>
      <c r="W605" s="107"/>
      <c r="X605" s="107"/>
      <c r="Y605" s="107"/>
      <c r="Z605" s="107"/>
    </row>
    <row r="606" ht="14.25" customHeight="1">
      <c r="A606" s="110">
        <v>45527.0</v>
      </c>
      <c r="B606" s="326" t="s">
        <v>451</v>
      </c>
      <c r="C606" s="327" t="s">
        <v>452</v>
      </c>
      <c r="D606" s="271" t="s">
        <v>59</v>
      </c>
      <c r="E606" s="271" t="s">
        <v>273</v>
      </c>
      <c r="F606" s="328">
        <v>1000000.0</v>
      </c>
      <c r="G606" s="270">
        <v>1000000.0</v>
      </c>
      <c r="H606" s="271" t="s">
        <v>212</v>
      </c>
      <c r="I606" s="107"/>
      <c r="J606" s="107"/>
      <c r="K606" s="107"/>
      <c r="L606" s="107"/>
      <c r="M606" s="107"/>
      <c r="N606" s="107"/>
      <c r="O606" s="107"/>
      <c r="P606" s="107"/>
      <c r="Q606" s="107"/>
      <c r="R606" s="107"/>
      <c r="S606" s="107"/>
      <c r="T606" s="107"/>
      <c r="U606" s="107"/>
      <c r="V606" s="107"/>
      <c r="W606" s="107"/>
      <c r="X606" s="107"/>
      <c r="Y606" s="107"/>
      <c r="Z606" s="107"/>
    </row>
    <row r="607" ht="14.25" customHeight="1">
      <c r="A607" s="107"/>
      <c r="B607" s="107"/>
      <c r="C607" s="107"/>
      <c r="D607" s="107"/>
      <c r="E607" s="107"/>
      <c r="F607" s="109"/>
      <c r="G607" s="109"/>
      <c r="H607" s="107"/>
      <c r="I607" s="107"/>
      <c r="J607" s="107"/>
      <c r="K607" s="107"/>
      <c r="L607" s="107"/>
      <c r="M607" s="107"/>
      <c r="N607" s="107"/>
      <c r="O607" s="107"/>
      <c r="P607" s="107"/>
      <c r="Q607" s="107"/>
      <c r="R607" s="107"/>
      <c r="S607" s="107"/>
      <c r="T607" s="107"/>
      <c r="U607" s="107"/>
      <c r="V607" s="107"/>
      <c r="W607" s="107"/>
      <c r="X607" s="107"/>
      <c r="Y607" s="107"/>
      <c r="Z607" s="107"/>
    </row>
    <row r="608" ht="14.25" customHeight="1">
      <c r="A608" s="107"/>
      <c r="B608" s="107"/>
      <c r="C608" s="103" t="s">
        <v>566</v>
      </c>
      <c r="D608" s="107"/>
      <c r="E608" s="107"/>
      <c r="F608" s="109"/>
      <c r="G608" s="109"/>
      <c r="H608" s="107"/>
      <c r="I608" s="107"/>
      <c r="J608" s="107"/>
      <c r="K608" s="107"/>
      <c r="L608" s="107"/>
      <c r="M608" s="107"/>
      <c r="N608" s="107"/>
      <c r="O608" s="107"/>
      <c r="P608" s="107"/>
      <c r="Q608" s="107"/>
      <c r="R608" s="107"/>
      <c r="S608" s="107"/>
      <c r="T608" s="107"/>
      <c r="U608" s="107"/>
      <c r="V608" s="107"/>
      <c r="W608" s="107"/>
      <c r="X608" s="107"/>
      <c r="Y608" s="107"/>
      <c r="Z608" s="107"/>
    </row>
    <row r="609" ht="14.25" customHeight="1">
      <c r="A609" s="110">
        <v>45528.0</v>
      </c>
      <c r="B609" s="235" t="s">
        <v>285</v>
      </c>
      <c r="C609" s="236" t="s">
        <v>286</v>
      </c>
      <c r="D609" s="236" t="s">
        <v>413</v>
      </c>
      <c r="E609" s="329" t="s">
        <v>511</v>
      </c>
      <c r="F609" s="330">
        <v>69000.0</v>
      </c>
      <c r="G609" s="109"/>
      <c r="H609" s="107"/>
      <c r="I609" s="107"/>
      <c r="J609" s="107"/>
      <c r="K609" s="107"/>
      <c r="L609" s="107"/>
      <c r="M609" s="107"/>
      <c r="N609" s="107"/>
      <c r="O609" s="107"/>
      <c r="P609" s="107"/>
      <c r="Q609" s="107"/>
      <c r="R609" s="107"/>
      <c r="S609" s="107"/>
      <c r="T609" s="107"/>
      <c r="U609" s="107"/>
      <c r="V609" s="107"/>
      <c r="W609" s="107"/>
      <c r="X609" s="107"/>
      <c r="Y609" s="107"/>
      <c r="Z609" s="107"/>
    </row>
    <row r="610" ht="14.25" customHeight="1">
      <c r="A610" s="110">
        <v>45528.0</v>
      </c>
      <c r="B610" s="235" t="s">
        <v>415</v>
      </c>
      <c r="C610" s="236" t="s">
        <v>79</v>
      </c>
      <c r="D610" s="236" t="s">
        <v>54</v>
      </c>
      <c r="E610" s="329" t="s">
        <v>70</v>
      </c>
      <c r="F610" s="330">
        <v>266698.0</v>
      </c>
      <c r="G610" s="109"/>
      <c r="H610" s="107"/>
      <c r="I610" s="107"/>
      <c r="J610" s="107"/>
      <c r="K610" s="107"/>
      <c r="L610" s="107"/>
      <c r="M610" s="107"/>
      <c r="N610" s="107"/>
      <c r="O610" s="107"/>
      <c r="P610" s="107"/>
      <c r="Q610" s="107"/>
      <c r="R610" s="107"/>
      <c r="S610" s="107"/>
      <c r="T610" s="107"/>
      <c r="U610" s="107"/>
      <c r="V610" s="107"/>
      <c r="W610" s="107"/>
      <c r="X610" s="107"/>
      <c r="Y610" s="107"/>
      <c r="Z610" s="107"/>
    </row>
    <row r="611" ht="14.25" customHeight="1">
      <c r="A611" s="110">
        <v>45528.0</v>
      </c>
      <c r="B611" s="331" t="s">
        <v>266</v>
      </c>
      <c r="C611" s="235" t="s">
        <v>79</v>
      </c>
      <c r="D611" s="236" t="s">
        <v>54</v>
      </c>
      <c r="E611" s="329" t="s">
        <v>70</v>
      </c>
      <c r="F611" s="330">
        <v>32000.0</v>
      </c>
      <c r="G611" s="109"/>
      <c r="H611" s="107"/>
      <c r="I611" s="107"/>
      <c r="J611" s="107"/>
      <c r="K611" s="107"/>
      <c r="L611" s="107"/>
      <c r="M611" s="107"/>
      <c r="N611" s="107"/>
      <c r="O611" s="107"/>
      <c r="P611" s="107"/>
      <c r="Q611" s="107"/>
      <c r="R611" s="107"/>
      <c r="S611" s="107"/>
      <c r="T611" s="107"/>
      <c r="U611" s="107"/>
      <c r="V611" s="107"/>
      <c r="W611" s="107"/>
      <c r="X611" s="107"/>
      <c r="Y611" s="107"/>
      <c r="Z611" s="107"/>
    </row>
    <row r="612" ht="14.25" customHeight="1">
      <c r="A612" s="110">
        <v>45528.0</v>
      </c>
      <c r="B612" s="148" t="s">
        <v>253</v>
      </c>
      <c r="C612" s="236" t="s">
        <v>58</v>
      </c>
      <c r="D612" s="236" t="s">
        <v>75</v>
      </c>
      <c r="E612" s="329" t="s">
        <v>70</v>
      </c>
      <c r="F612" s="330">
        <v>561775.0</v>
      </c>
      <c r="G612" s="109"/>
      <c r="H612" s="107"/>
      <c r="I612" s="107"/>
      <c r="J612" s="107"/>
      <c r="K612" s="107"/>
      <c r="L612" s="107"/>
      <c r="M612" s="107"/>
      <c r="N612" s="107"/>
      <c r="O612" s="107"/>
      <c r="P612" s="107"/>
      <c r="Q612" s="107"/>
      <c r="R612" s="107"/>
      <c r="S612" s="107"/>
      <c r="T612" s="107"/>
      <c r="U612" s="107"/>
      <c r="V612" s="107"/>
      <c r="W612" s="107"/>
      <c r="X612" s="107"/>
      <c r="Y612" s="107"/>
      <c r="Z612" s="107"/>
    </row>
    <row r="613" ht="14.25" customHeight="1">
      <c r="A613" s="110">
        <v>45528.0</v>
      </c>
      <c r="B613" s="235" t="s">
        <v>57</v>
      </c>
      <c r="C613" s="236" t="s">
        <v>58</v>
      </c>
      <c r="D613" s="236" t="s">
        <v>59</v>
      </c>
      <c r="E613" s="236" t="s">
        <v>70</v>
      </c>
      <c r="F613" s="211">
        <v>226022.0</v>
      </c>
      <c r="G613" s="109"/>
      <c r="H613" s="107"/>
      <c r="I613" s="107"/>
      <c r="J613" s="107"/>
      <c r="K613" s="107"/>
      <c r="L613" s="107"/>
      <c r="M613" s="107"/>
      <c r="N613" s="107"/>
      <c r="O613" s="107"/>
      <c r="P613" s="107"/>
      <c r="Q613" s="107"/>
      <c r="R613" s="107"/>
      <c r="S613" s="107"/>
      <c r="T613" s="107"/>
      <c r="U613" s="107"/>
      <c r="V613" s="107"/>
      <c r="W613" s="107"/>
      <c r="X613" s="107"/>
      <c r="Y613" s="107"/>
      <c r="Z613" s="107"/>
    </row>
    <row r="614" ht="14.25" customHeight="1">
      <c r="A614" s="110">
        <v>45528.0</v>
      </c>
      <c r="B614" s="235" t="s">
        <v>77</v>
      </c>
      <c r="C614" s="236" t="s">
        <v>74</v>
      </c>
      <c r="D614" s="236" t="s">
        <v>54</v>
      </c>
      <c r="E614" s="329" t="s">
        <v>70</v>
      </c>
      <c r="F614" s="332">
        <v>237396.0</v>
      </c>
      <c r="G614" s="109"/>
      <c r="H614" s="107"/>
      <c r="I614" s="107"/>
      <c r="J614" s="107"/>
      <c r="K614" s="107"/>
      <c r="L614" s="107"/>
      <c r="M614" s="107"/>
      <c r="N614" s="107"/>
      <c r="O614" s="107"/>
      <c r="P614" s="107"/>
      <c r="Q614" s="107"/>
      <c r="R614" s="107"/>
      <c r="S614" s="107"/>
      <c r="T614" s="107"/>
      <c r="U614" s="107"/>
      <c r="V614" s="107"/>
      <c r="W614" s="107"/>
      <c r="X614" s="107"/>
      <c r="Y614" s="107"/>
      <c r="Z614" s="107"/>
    </row>
    <row r="615" ht="14.25" customHeight="1">
      <c r="A615" s="110">
        <v>45528.0</v>
      </c>
      <c r="B615" s="235" t="s">
        <v>502</v>
      </c>
      <c r="C615" s="236" t="s">
        <v>208</v>
      </c>
      <c r="D615" s="236" t="s">
        <v>54</v>
      </c>
      <c r="E615" s="236" t="s">
        <v>80</v>
      </c>
      <c r="F615" s="332">
        <v>400000.0</v>
      </c>
      <c r="G615" s="109"/>
      <c r="H615" s="107"/>
      <c r="I615" s="107"/>
      <c r="J615" s="107"/>
      <c r="K615" s="107"/>
      <c r="L615" s="107"/>
      <c r="M615" s="107"/>
      <c r="N615" s="107"/>
      <c r="O615" s="107"/>
      <c r="P615" s="107"/>
      <c r="Q615" s="107"/>
      <c r="R615" s="107"/>
      <c r="S615" s="107"/>
      <c r="T615" s="107"/>
      <c r="U615" s="107"/>
      <c r="V615" s="107"/>
      <c r="W615" s="107"/>
      <c r="X615" s="107"/>
      <c r="Y615" s="107"/>
      <c r="Z615" s="107"/>
    </row>
    <row r="616" ht="14.25" customHeight="1">
      <c r="A616" s="110">
        <v>45528.0</v>
      </c>
      <c r="B616" s="235" t="s">
        <v>477</v>
      </c>
      <c r="C616" s="236" t="s">
        <v>478</v>
      </c>
      <c r="D616" s="236" t="s">
        <v>413</v>
      </c>
      <c r="E616" s="236" t="s">
        <v>80</v>
      </c>
      <c r="F616" s="333">
        <v>115000.0</v>
      </c>
      <c r="G616" s="109"/>
      <c r="H616" s="107"/>
      <c r="I616" s="107"/>
      <c r="J616" s="107"/>
      <c r="K616" s="107"/>
      <c r="L616" s="107"/>
      <c r="M616" s="107"/>
      <c r="N616" s="107"/>
      <c r="O616" s="107"/>
      <c r="P616" s="107"/>
      <c r="Q616" s="107"/>
      <c r="R616" s="107"/>
      <c r="S616" s="107"/>
      <c r="T616" s="107"/>
      <c r="U616" s="107"/>
      <c r="V616" s="107"/>
      <c r="W616" s="107"/>
      <c r="X616" s="107"/>
      <c r="Y616" s="107"/>
      <c r="Z616" s="107"/>
    </row>
    <row r="617" ht="14.25" customHeight="1">
      <c r="A617" s="110">
        <v>45528.0</v>
      </c>
      <c r="B617" s="235" t="s">
        <v>519</v>
      </c>
      <c r="C617" s="236" t="s">
        <v>478</v>
      </c>
      <c r="D617" s="236" t="s">
        <v>54</v>
      </c>
      <c r="E617" s="236" t="s">
        <v>80</v>
      </c>
      <c r="F617" s="333">
        <v>82674.5</v>
      </c>
      <c r="G617" s="109"/>
      <c r="H617" s="107"/>
      <c r="I617" s="107"/>
      <c r="J617" s="107"/>
      <c r="K617" s="107"/>
      <c r="L617" s="107"/>
      <c r="M617" s="107"/>
      <c r="N617" s="107"/>
      <c r="O617" s="107"/>
      <c r="P617" s="107"/>
      <c r="Q617" s="107"/>
      <c r="R617" s="107"/>
      <c r="S617" s="107"/>
      <c r="T617" s="107"/>
      <c r="U617" s="107"/>
      <c r="V617" s="107"/>
      <c r="W617" s="107"/>
      <c r="X617" s="107"/>
      <c r="Y617" s="107"/>
      <c r="Z617" s="107"/>
    </row>
    <row r="618" ht="14.25" customHeight="1">
      <c r="A618" s="110">
        <v>45528.0</v>
      </c>
      <c r="B618" s="235" t="s">
        <v>498</v>
      </c>
      <c r="C618" s="236" t="s">
        <v>499</v>
      </c>
      <c r="D618" s="236" t="s">
        <v>54</v>
      </c>
      <c r="E618" s="236" t="s">
        <v>359</v>
      </c>
      <c r="F618" s="333">
        <v>83494.0</v>
      </c>
      <c r="G618" s="109"/>
      <c r="H618" s="107"/>
      <c r="I618" s="107"/>
      <c r="J618" s="107"/>
      <c r="K618" s="107"/>
      <c r="L618" s="107"/>
      <c r="M618" s="107"/>
      <c r="N618" s="107"/>
      <c r="O618" s="107"/>
      <c r="P618" s="107"/>
      <c r="Q618" s="107"/>
      <c r="R618" s="107"/>
      <c r="S618" s="107"/>
      <c r="T618" s="107"/>
      <c r="U618" s="107"/>
      <c r="V618" s="107"/>
      <c r="W618" s="107"/>
      <c r="X618" s="107"/>
      <c r="Y618" s="107"/>
      <c r="Z618" s="107"/>
    </row>
    <row r="619" ht="14.25" customHeight="1">
      <c r="A619" s="110">
        <v>45528.0</v>
      </c>
      <c r="B619" s="235" t="s">
        <v>501</v>
      </c>
      <c r="C619" s="236" t="s">
        <v>499</v>
      </c>
      <c r="D619" s="236" t="s">
        <v>467</v>
      </c>
      <c r="E619" s="236" t="s">
        <v>359</v>
      </c>
      <c r="F619" s="333">
        <v>23880.0</v>
      </c>
      <c r="G619" s="109"/>
      <c r="H619" s="107"/>
      <c r="I619" s="107"/>
      <c r="J619" s="107"/>
      <c r="K619" s="107"/>
      <c r="L619" s="107"/>
      <c r="M619" s="107"/>
      <c r="N619" s="107"/>
      <c r="O619" s="107"/>
      <c r="P619" s="107"/>
      <c r="Q619" s="107"/>
      <c r="R619" s="107"/>
      <c r="S619" s="107"/>
      <c r="T619" s="107"/>
      <c r="U619" s="107"/>
      <c r="V619" s="107"/>
      <c r="W619" s="107"/>
      <c r="X619" s="107"/>
      <c r="Y619" s="107"/>
      <c r="Z619" s="107"/>
    </row>
    <row r="620" ht="14.25" customHeight="1">
      <c r="A620" s="110">
        <v>45528.0</v>
      </c>
      <c r="B620" s="235" t="s">
        <v>96</v>
      </c>
      <c r="C620" s="236" t="s">
        <v>97</v>
      </c>
      <c r="D620" s="236" t="s">
        <v>54</v>
      </c>
      <c r="E620" s="236" t="s">
        <v>359</v>
      </c>
      <c r="F620" s="333">
        <v>25764.0</v>
      </c>
      <c r="G620" s="113">
        <v>10000.0</v>
      </c>
      <c r="H620" s="107"/>
      <c r="I620" s="107"/>
      <c r="J620" s="107"/>
      <c r="K620" s="107"/>
      <c r="L620" s="107"/>
      <c r="M620" s="107"/>
      <c r="N620" s="107"/>
      <c r="O620" s="107"/>
      <c r="P620" s="107"/>
      <c r="Q620" s="107"/>
      <c r="R620" s="107"/>
      <c r="S620" s="107"/>
      <c r="T620" s="107"/>
      <c r="U620" s="107"/>
      <c r="V620" s="107"/>
      <c r="W620" s="107"/>
      <c r="X620" s="107"/>
      <c r="Y620" s="107"/>
      <c r="Z620" s="107"/>
    </row>
    <row r="621" ht="14.25" customHeight="1">
      <c r="A621" s="110">
        <v>45528.0</v>
      </c>
      <c r="B621" s="278" t="s">
        <v>345</v>
      </c>
      <c r="C621" s="279" t="s">
        <v>339</v>
      </c>
      <c r="D621" s="279" t="s">
        <v>467</v>
      </c>
      <c r="E621" s="281" t="s">
        <v>80</v>
      </c>
      <c r="F621" s="286">
        <v>14804.0</v>
      </c>
      <c r="G621" s="109"/>
      <c r="H621" s="107"/>
      <c r="I621" s="107"/>
      <c r="J621" s="107"/>
      <c r="K621" s="107"/>
      <c r="L621" s="107"/>
      <c r="M621" s="107"/>
      <c r="N621" s="107"/>
      <c r="O621" s="107"/>
      <c r="P621" s="107"/>
      <c r="Q621" s="107"/>
      <c r="R621" s="107"/>
      <c r="S621" s="107"/>
      <c r="T621" s="107"/>
      <c r="U621" s="107"/>
      <c r="V621" s="107"/>
      <c r="W621" s="107"/>
      <c r="X621" s="107"/>
      <c r="Y621" s="107"/>
      <c r="Z621" s="107"/>
    </row>
    <row r="622" ht="14.25" customHeight="1">
      <c r="A622" s="110">
        <v>45528.0</v>
      </c>
      <c r="B622" s="278" t="s">
        <v>426</v>
      </c>
      <c r="C622" s="279" t="s">
        <v>427</v>
      </c>
      <c r="D622" s="279" t="s">
        <v>54</v>
      </c>
      <c r="E622" s="279" t="s">
        <v>80</v>
      </c>
      <c r="F622" s="280">
        <v>60000.0</v>
      </c>
      <c r="G622" s="109"/>
      <c r="H622" s="107"/>
      <c r="I622" s="107"/>
      <c r="J622" s="107"/>
      <c r="K622" s="107"/>
      <c r="L622" s="107"/>
      <c r="M622" s="107"/>
      <c r="N622" s="107"/>
      <c r="O622" s="107"/>
      <c r="P622" s="107"/>
      <c r="Q622" s="107"/>
      <c r="R622" s="107"/>
      <c r="S622" s="107"/>
      <c r="T622" s="107"/>
      <c r="U622" s="107"/>
      <c r="V622" s="107"/>
      <c r="W622" s="107"/>
      <c r="X622" s="107"/>
      <c r="Y622" s="107"/>
      <c r="Z622" s="107"/>
    </row>
    <row r="623" ht="14.25" customHeight="1">
      <c r="A623" s="110">
        <v>45528.0</v>
      </c>
      <c r="B623" s="321" t="s">
        <v>135</v>
      </c>
      <c r="C623" s="322" t="s">
        <v>136</v>
      </c>
      <c r="D623" s="322" t="s">
        <v>54</v>
      </c>
      <c r="E623" s="111" t="s">
        <v>80</v>
      </c>
      <c r="F623" s="290">
        <v>931059.0</v>
      </c>
      <c r="G623" s="109"/>
      <c r="H623" s="107"/>
      <c r="I623" s="107"/>
      <c r="J623" s="107"/>
      <c r="K623" s="107"/>
      <c r="L623" s="107"/>
      <c r="M623" s="107"/>
      <c r="N623" s="107"/>
      <c r="O623" s="107"/>
      <c r="P623" s="107"/>
      <c r="Q623" s="107"/>
      <c r="R623" s="107"/>
      <c r="S623" s="107"/>
      <c r="T623" s="107"/>
      <c r="U623" s="107"/>
      <c r="V623" s="107"/>
      <c r="W623" s="107"/>
      <c r="X623" s="107"/>
      <c r="Y623" s="107"/>
      <c r="Z623" s="107"/>
    </row>
    <row r="624" ht="14.25" customHeight="1">
      <c r="A624" s="107"/>
      <c r="B624" s="107"/>
      <c r="C624" s="103" t="s">
        <v>567</v>
      </c>
      <c r="D624" s="107"/>
      <c r="E624" s="107"/>
      <c r="F624" s="109"/>
      <c r="G624" s="109"/>
      <c r="H624" s="107"/>
      <c r="I624" s="107"/>
      <c r="J624" s="107"/>
      <c r="K624" s="107"/>
      <c r="L624" s="107"/>
      <c r="M624" s="107"/>
      <c r="N624" s="107"/>
      <c r="O624" s="107"/>
      <c r="P624" s="107"/>
      <c r="Q624" s="107"/>
      <c r="R624" s="107"/>
      <c r="S624" s="107"/>
      <c r="T624" s="107"/>
      <c r="U624" s="107"/>
      <c r="V624" s="107"/>
      <c r="W624" s="107"/>
      <c r="X624" s="107"/>
      <c r="Y624" s="107"/>
      <c r="Z624" s="107"/>
    </row>
    <row r="625" ht="14.25" customHeight="1">
      <c r="A625" s="110">
        <v>45530.0</v>
      </c>
      <c r="B625" s="235" t="s">
        <v>285</v>
      </c>
      <c r="C625" s="236" t="s">
        <v>286</v>
      </c>
      <c r="D625" s="236" t="s">
        <v>413</v>
      </c>
      <c r="E625" s="329" t="s">
        <v>511</v>
      </c>
      <c r="F625" s="330">
        <v>69000.0</v>
      </c>
      <c r="G625" s="113">
        <v>69018.0</v>
      </c>
      <c r="H625" s="111" t="s">
        <v>212</v>
      </c>
      <c r="I625" s="107"/>
      <c r="J625" s="107"/>
      <c r="K625" s="107"/>
      <c r="L625" s="107"/>
      <c r="M625" s="107"/>
      <c r="N625" s="107"/>
      <c r="O625" s="107"/>
      <c r="P625" s="107"/>
      <c r="Q625" s="107"/>
      <c r="R625" s="107"/>
      <c r="S625" s="107"/>
      <c r="T625" s="107"/>
      <c r="U625" s="107"/>
      <c r="V625" s="107"/>
      <c r="W625" s="107"/>
      <c r="X625" s="107"/>
      <c r="Y625" s="107"/>
      <c r="Z625" s="107"/>
    </row>
    <row r="626" ht="14.25" customHeight="1">
      <c r="A626" s="110">
        <v>45530.0</v>
      </c>
      <c r="B626" s="235" t="s">
        <v>415</v>
      </c>
      <c r="C626" s="236" t="s">
        <v>79</v>
      </c>
      <c r="D626" s="236" t="s">
        <v>54</v>
      </c>
      <c r="E626" s="329" t="s">
        <v>70</v>
      </c>
      <c r="F626" s="330">
        <v>266698.0</v>
      </c>
      <c r="G626" s="109"/>
      <c r="H626" s="111" t="s">
        <v>568</v>
      </c>
      <c r="I626" s="107"/>
      <c r="J626" s="107"/>
      <c r="K626" s="107"/>
      <c r="L626" s="107"/>
      <c r="M626" s="107"/>
      <c r="N626" s="107"/>
      <c r="O626" s="107"/>
      <c r="P626" s="107"/>
      <c r="Q626" s="107"/>
      <c r="R626" s="107"/>
      <c r="S626" s="107"/>
      <c r="T626" s="107"/>
      <c r="U626" s="107"/>
      <c r="V626" s="107"/>
      <c r="W626" s="107"/>
      <c r="X626" s="107"/>
      <c r="Y626" s="107"/>
      <c r="Z626" s="107"/>
    </row>
    <row r="627" ht="14.25" customHeight="1">
      <c r="A627" s="110">
        <v>45530.0</v>
      </c>
      <c r="B627" s="331" t="s">
        <v>266</v>
      </c>
      <c r="C627" s="235" t="s">
        <v>79</v>
      </c>
      <c r="D627" s="236" t="s">
        <v>54</v>
      </c>
      <c r="E627" s="329" t="s">
        <v>70</v>
      </c>
      <c r="F627" s="330">
        <v>32000.0</v>
      </c>
      <c r="G627" s="113">
        <v>35000.0</v>
      </c>
      <c r="H627" s="111" t="s">
        <v>212</v>
      </c>
      <c r="I627" s="107"/>
      <c r="J627" s="107"/>
      <c r="K627" s="107"/>
      <c r="L627" s="107"/>
      <c r="M627" s="107"/>
      <c r="N627" s="107"/>
      <c r="O627" s="107"/>
      <c r="P627" s="107"/>
      <c r="Q627" s="107"/>
      <c r="R627" s="107"/>
      <c r="S627" s="107"/>
      <c r="T627" s="107"/>
      <c r="U627" s="107"/>
      <c r="V627" s="107"/>
      <c r="W627" s="107"/>
      <c r="X627" s="107"/>
      <c r="Y627" s="107"/>
      <c r="Z627" s="107"/>
    </row>
    <row r="628" ht="14.25" customHeight="1">
      <c r="A628" s="110">
        <v>45530.0</v>
      </c>
      <c r="B628" s="148" t="s">
        <v>253</v>
      </c>
      <c r="C628" s="236" t="s">
        <v>58</v>
      </c>
      <c r="D628" s="236" t="s">
        <v>75</v>
      </c>
      <c r="E628" s="329" t="s">
        <v>70</v>
      </c>
      <c r="F628" s="330">
        <v>561775.0</v>
      </c>
      <c r="G628" s="109"/>
      <c r="H628" s="111" t="s">
        <v>569</v>
      </c>
      <c r="I628" s="107"/>
      <c r="J628" s="107"/>
      <c r="K628" s="107"/>
      <c r="L628" s="107"/>
      <c r="M628" s="107"/>
      <c r="N628" s="107"/>
      <c r="O628" s="107"/>
      <c r="P628" s="107"/>
      <c r="Q628" s="107"/>
      <c r="R628" s="107"/>
      <c r="S628" s="107"/>
      <c r="T628" s="107"/>
      <c r="U628" s="107"/>
      <c r="V628" s="107"/>
      <c r="W628" s="107"/>
      <c r="X628" s="107"/>
      <c r="Y628" s="107"/>
      <c r="Z628" s="107"/>
    </row>
    <row r="629" ht="14.25" customHeight="1">
      <c r="A629" s="110">
        <v>45530.0</v>
      </c>
      <c r="B629" s="274" t="s">
        <v>145</v>
      </c>
      <c r="C629" s="275" t="s">
        <v>86</v>
      </c>
      <c r="D629" s="275" t="s">
        <v>54</v>
      </c>
      <c r="E629" s="276" t="s">
        <v>70</v>
      </c>
      <c r="F629" s="334">
        <v>2627052.0</v>
      </c>
      <c r="G629" s="113">
        <v>1313526.0</v>
      </c>
      <c r="H629" s="111" t="s">
        <v>570</v>
      </c>
      <c r="I629" s="107"/>
      <c r="J629" s="107"/>
      <c r="K629" s="107"/>
      <c r="L629" s="107"/>
      <c r="M629" s="107"/>
      <c r="N629" s="107"/>
      <c r="O629" s="107"/>
      <c r="P629" s="107"/>
      <c r="Q629" s="107"/>
      <c r="R629" s="107"/>
      <c r="S629" s="107"/>
      <c r="T629" s="107"/>
      <c r="U629" s="107"/>
      <c r="V629" s="107"/>
      <c r="W629" s="107"/>
      <c r="X629" s="107"/>
      <c r="Y629" s="107"/>
      <c r="Z629" s="107"/>
    </row>
    <row r="630" ht="14.25" customHeight="1">
      <c r="A630" s="110">
        <v>45530.0</v>
      </c>
      <c r="B630" s="235" t="s">
        <v>57</v>
      </c>
      <c r="C630" s="236" t="s">
        <v>58</v>
      </c>
      <c r="D630" s="236" t="s">
        <v>59</v>
      </c>
      <c r="E630" s="236" t="s">
        <v>70</v>
      </c>
      <c r="F630" s="211">
        <v>226022.0</v>
      </c>
      <c r="G630" s="109"/>
      <c r="H630" s="111" t="s">
        <v>569</v>
      </c>
      <c r="I630" s="107"/>
      <c r="J630" s="107"/>
      <c r="K630" s="107"/>
      <c r="L630" s="107"/>
      <c r="M630" s="107"/>
      <c r="N630" s="107"/>
      <c r="O630" s="107"/>
      <c r="P630" s="107"/>
      <c r="Q630" s="107"/>
      <c r="R630" s="107"/>
      <c r="S630" s="107"/>
      <c r="T630" s="107"/>
      <c r="U630" s="107"/>
      <c r="V630" s="107"/>
      <c r="W630" s="107"/>
      <c r="X630" s="107"/>
      <c r="Y630" s="107"/>
      <c r="Z630" s="107"/>
    </row>
    <row r="631" ht="14.25" customHeight="1">
      <c r="A631" s="110">
        <v>45530.0</v>
      </c>
      <c r="B631" s="235" t="s">
        <v>77</v>
      </c>
      <c r="C631" s="236" t="s">
        <v>74</v>
      </c>
      <c r="D631" s="236" t="s">
        <v>54</v>
      </c>
      <c r="E631" s="329" t="s">
        <v>70</v>
      </c>
      <c r="F631" s="332">
        <v>237396.0</v>
      </c>
      <c r="G631" s="109"/>
      <c r="H631" s="111" t="s">
        <v>571</v>
      </c>
      <c r="I631" s="107"/>
      <c r="J631" s="107"/>
      <c r="K631" s="107"/>
      <c r="L631" s="107"/>
      <c r="M631" s="107"/>
      <c r="N631" s="107"/>
      <c r="O631" s="107"/>
      <c r="P631" s="107"/>
      <c r="Q631" s="107"/>
      <c r="R631" s="107"/>
      <c r="S631" s="107"/>
      <c r="T631" s="107"/>
      <c r="U631" s="107"/>
      <c r="V631" s="107"/>
      <c r="W631" s="107"/>
      <c r="X631" s="107"/>
      <c r="Y631" s="107"/>
      <c r="Z631" s="107"/>
    </row>
    <row r="632" ht="14.25" customHeight="1">
      <c r="A632" s="110">
        <v>45530.0</v>
      </c>
      <c r="B632" s="235" t="s">
        <v>502</v>
      </c>
      <c r="C632" s="236" t="s">
        <v>208</v>
      </c>
      <c r="D632" s="236" t="s">
        <v>54</v>
      </c>
      <c r="E632" s="236" t="s">
        <v>80</v>
      </c>
      <c r="F632" s="332">
        <v>400000.0</v>
      </c>
      <c r="G632" s="113">
        <v>400000.0</v>
      </c>
      <c r="H632" s="111" t="s">
        <v>212</v>
      </c>
      <c r="I632" s="107"/>
      <c r="J632" s="107"/>
      <c r="K632" s="107"/>
      <c r="L632" s="107"/>
      <c r="M632" s="107"/>
      <c r="N632" s="107"/>
      <c r="O632" s="107"/>
      <c r="P632" s="107"/>
      <c r="Q632" s="107"/>
      <c r="R632" s="107"/>
      <c r="S632" s="107"/>
      <c r="T632" s="107"/>
      <c r="U632" s="107"/>
      <c r="V632" s="107"/>
      <c r="W632" s="107"/>
      <c r="X632" s="107"/>
      <c r="Y632" s="107"/>
      <c r="Z632" s="107"/>
    </row>
    <row r="633" ht="14.25" customHeight="1">
      <c r="A633" s="110">
        <v>45530.0</v>
      </c>
      <c r="B633" s="235" t="s">
        <v>498</v>
      </c>
      <c r="C633" s="236" t="s">
        <v>499</v>
      </c>
      <c r="D633" s="236" t="s">
        <v>54</v>
      </c>
      <c r="E633" s="236" t="s">
        <v>359</v>
      </c>
      <c r="F633" s="333">
        <v>83494.0</v>
      </c>
      <c r="G633" s="109"/>
      <c r="H633" s="111" t="s">
        <v>572</v>
      </c>
      <c r="I633" s="107"/>
      <c r="J633" s="107"/>
      <c r="K633" s="107"/>
      <c r="L633" s="107"/>
      <c r="M633" s="107"/>
      <c r="N633" s="107"/>
      <c r="O633" s="107"/>
      <c r="P633" s="107"/>
      <c r="Q633" s="107"/>
      <c r="R633" s="107"/>
      <c r="S633" s="107"/>
      <c r="T633" s="107"/>
      <c r="U633" s="107"/>
      <c r="V633" s="107"/>
      <c r="W633" s="107"/>
      <c r="X633" s="107"/>
      <c r="Y633" s="107"/>
      <c r="Z633" s="107"/>
    </row>
    <row r="634" ht="14.25" customHeight="1">
      <c r="A634" s="110">
        <v>45530.0</v>
      </c>
      <c r="B634" s="277" t="s">
        <v>573</v>
      </c>
      <c r="C634" s="275" t="s">
        <v>574</v>
      </c>
      <c r="D634" s="275" t="s">
        <v>413</v>
      </c>
      <c r="E634" s="275" t="s">
        <v>80</v>
      </c>
      <c r="F634" s="294">
        <v>57500.0</v>
      </c>
      <c r="G634" s="109"/>
      <c r="H634" s="111" t="s">
        <v>575</v>
      </c>
      <c r="I634" s="107"/>
      <c r="J634" s="107"/>
      <c r="K634" s="107"/>
      <c r="L634" s="107"/>
      <c r="M634" s="107"/>
      <c r="N634" s="107"/>
      <c r="O634" s="107"/>
      <c r="P634" s="107"/>
      <c r="Q634" s="107"/>
      <c r="R634" s="107"/>
      <c r="S634" s="107"/>
      <c r="T634" s="107"/>
      <c r="U634" s="107"/>
      <c r="V634" s="107"/>
      <c r="W634" s="107"/>
      <c r="X634" s="107"/>
      <c r="Y634" s="107"/>
      <c r="Z634" s="107"/>
    </row>
    <row r="635" ht="14.25" customHeight="1">
      <c r="A635" s="110">
        <v>45530.0</v>
      </c>
      <c r="B635" s="235" t="s">
        <v>501</v>
      </c>
      <c r="C635" s="236" t="s">
        <v>499</v>
      </c>
      <c r="D635" s="236" t="s">
        <v>467</v>
      </c>
      <c r="E635" s="236" t="s">
        <v>359</v>
      </c>
      <c r="F635" s="333">
        <v>23880.0</v>
      </c>
      <c r="G635" s="109"/>
      <c r="H635" s="111" t="s">
        <v>61</v>
      </c>
      <c r="I635" s="107"/>
      <c r="J635" s="107"/>
      <c r="K635" s="107"/>
      <c r="L635" s="107"/>
      <c r="M635" s="107"/>
      <c r="N635" s="107"/>
      <c r="O635" s="107"/>
      <c r="P635" s="107"/>
      <c r="Q635" s="107"/>
      <c r="R635" s="107"/>
      <c r="S635" s="107"/>
      <c r="T635" s="107"/>
      <c r="U635" s="107"/>
      <c r="V635" s="107"/>
      <c r="W635" s="107"/>
      <c r="X635" s="107"/>
      <c r="Y635" s="107"/>
      <c r="Z635" s="107"/>
    </row>
    <row r="636" ht="14.25" customHeight="1">
      <c r="A636" s="110">
        <v>45530.0</v>
      </c>
      <c r="B636" s="278" t="s">
        <v>345</v>
      </c>
      <c r="C636" s="279" t="s">
        <v>339</v>
      </c>
      <c r="D636" s="279" t="s">
        <v>467</v>
      </c>
      <c r="E636" s="281" t="s">
        <v>80</v>
      </c>
      <c r="F636" s="286">
        <v>14804.0</v>
      </c>
      <c r="G636" s="109"/>
      <c r="H636" s="111" t="s">
        <v>61</v>
      </c>
      <c r="I636" s="107"/>
      <c r="J636" s="107"/>
      <c r="K636" s="107"/>
      <c r="L636" s="107"/>
      <c r="M636" s="107"/>
      <c r="N636" s="107"/>
      <c r="O636" s="107"/>
      <c r="P636" s="107"/>
      <c r="Q636" s="107"/>
      <c r="R636" s="107"/>
      <c r="S636" s="107"/>
      <c r="T636" s="107"/>
      <c r="U636" s="107"/>
      <c r="V636" s="107"/>
      <c r="W636" s="107"/>
      <c r="X636" s="107"/>
      <c r="Y636" s="107"/>
      <c r="Z636" s="107"/>
    </row>
    <row r="637" ht="14.25" customHeight="1">
      <c r="A637" s="110">
        <v>45530.0</v>
      </c>
      <c r="B637" s="278" t="s">
        <v>426</v>
      </c>
      <c r="C637" s="279" t="s">
        <v>427</v>
      </c>
      <c r="D637" s="279" t="s">
        <v>54</v>
      </c>
      <c r="E637" s="279" t="s">
        <v>80</v>
      </c>
      <c r="F637" s="280">
        <v>60000.0</v>
      </c>
      <c r="G637" s="109"/>
      <c r="H637" s="111" t="s">
        <v>61</v>
      </c>
      <c r="I637" s="107"/>
      <c r="J637" s="107"/>
      <c r="K637" s="107"/>
      <c r="L637" s="107"/>
      <c r="M637" s="107"/>
      <c r="N637" s="107"/>
      <c r="O637" s="107"/>
      <c r="P637" s="107"/>
      <c r="Q637" s="107"/>
      <c r="R637" s="107"/>
      <c r="S637" s="107"/>
      <c r="T637" s="107"/>
      <c r="U637" s="107"/>
      <c r="V637" s="107"/>
      <c r="W637" s="107"/>
      <c r="X637" s="107"/>
      <c r="Y637" s="107"/>
      <c r="Z637" s="107"/>
    </row>
    <row r="638" ht="14.25" customHeight="1">
      <c r="A638" s="110">
        <v>45530.0</v>
      </c>
      <c r="B638" s="321" t="s">
        <v>135</v>
      </c>
      <c r="C638" s="322" t="s">
        <v>136</v>
      </c>
      <c r="D638" s="322" t="s">
        <v>54</v>
      </c>
      <c r="E638" s="111" t="s">
        <v>80</v>
      </c>
      <c r="F638" s="277">
        <v>931059.0</v>
      </c>
      <c r="G638" s="109"/>
      <c r="H638" s="111" t="s">
        <v>576</v>
      </c>
      <c r="I638" s="107"/>
      <c r="J638" s="107"/>
      <c r="K638" s="107"/>
      <c r="L638" s="107"/>
      <c r="M638" s="107"/>
      <c r="N638" s="107"/>
      <c r="O638" s="107"/>
      <c r="P638" s="107"/>
      <c r="Q638" s="107"/>
      <c r="R638" s="107"/>
      <c r="S638" s="107"/>
      <c r="T638" s="107"/>
      <c r="U638" s="107"/>
      <c r="V638" s="107"/>
      <c r="W638" s="107"/>
      <c r="X638" s="107"/>
      <c r="Y638" s="107"/>
      <c r="Z638" s="107"/>
    </row>
    <row r="639" ht="14.25" customHeight="1">
      <c r="A639" s="110">
        <v>45530.0</v>
      </c>
      <c r="B639" s="278" t="s">
        <v>493</v>
      </c>
      <c r="C639" s="279" t="s">
        <v>506</v>
      </c>
      <c r="D639" s="279" t="s">
        <v>67</v>
      </c>
      <c r="E639" s="281" t="s">
        <v>70</v>
      </c>
      <c r="F639" s="334">
        <v>105173.35</v>
      </c>
      <c r="G639" s="113">
        <v>20000.0</v>
      </c>
      <c r="H639" s="111" t="s">
        <v>577</v>
      </c>
      <c r="I639" s="107"/>
      <c r="J639" s="107"/>
      <c r="K639" s="107"/>
      <c r="L639" s="107"/>
      <c r="M639" s="107"/>
      <c r="N639" s="107"/>
      <c r="O639" s="107"/>
      <c r="P639" s="107"/>
      <c r="Q639" s="107"/>
      <c r="R639" s="107"/>
      <c r="S639" s="107"/>
      <c r="T639" s="107"/>
      <c r="U639" s="107"/>
      <c r="V639" s="107"/>
      <c r="W639" s="107"/>
      <c r="X639" s="107"/>
      <c r="Y639" s="107"/>
      <c r="Z639" s="107"/>
    </row>
    <row r="640" ht="14.25" customHeight="1">
      <c r="A640" s="110">
        <v>45530.0</v>
      </c>
      <c r="B640" s="266" t="s">
        <v>162</v>
      </c>
      <c r="C640" s="266" t="s">
        <v>538</v>
      </c>
      <c r="D640" s="111" t="s">
        <v>54</v>
      </c>
      <c r="E640" s="111" t="s">
        <v>578</v>
      </c>
      <c r="F640" s="318">
        <v>200000.0</v>
      </c>
      <c r="G640" s="109"/>
      <c r="H640" s="111" t="s">
        <v>579</v>
      </c>
      <c r="I640" s="107"/>
      <c r="J640" s="107"/>
      <c r="K640" s="107"/>
      <c r="L640" s="107"/>
      <c r="M640" s="107"/>
      <c r="N640" s="107"/>
      <c r="O640" s="107"/>
      <c r="P640" s="107"/>
      <c r="Q640" s="107"/>
      <c r="R640" s="107"/>
      <c r="S640" s="107"/>
      <c r="T640" s="107"/>
      <c r="U640" s="107"/>
      <c r="V640" s="107"/>
      <c r="W640" s="107"/>
      <c r="X640" s="107"/>
      <c r="Y640" s="107"/>
      <c r="Z640" s="107"/>
    </row>
    <row r="641" ht="14.25" customHeight="1">
      <c r="A641" s="110">
        <v>45530.0</v>
      </c>
      <c r="B641" s="271" t="s">
        <v>419</v>
      </c>
      <c r="C641" s="271" t="s">
        <v>436</v>
      </c>
      <c r="D641" s="319" t="s">
        <v>54</v>
      </c>
      <c r="E641" s="111" t="s">
        <v>578</v>
      </c>
      <c r="F641" s="320">
        <v>962845.4</v>
      </c>
      <c r="G641" s="113">
        <v>103000.0</v>
      </c>
      <c r="H641" s="111" t="s">
        <v>580</v>
      </c>
      <c r="I641" s="107"/>
      <c r="J641" s="107"/>
      <c r="K641" s="107"/>
      <c r="L641" s="107"/>
      <c r="M641" s="107"/>
      <c r="N641" s="107"/>
      <c r="O641" s="107"/>
      <c r="P641" s="107"/>
      <c r="Q641" s="107"/>
      <c r="R641" s="107"/>
      <c r="S641" s="107"/>
      <c r="T641" s="107"/>
      <c r="U641" s="107"/>
      <c r="V641" s="107"/>
      <c r="W641" s="107"/>
      <c r="X641" s="107"/>
      <c r="Y641" s="107"/>
      <c r="Z641" s="107"/>
    </row>
    <row r="642" ht="14.25" customHeight="1">
      <c r="A642" s="305">
        <v>45530.0</v>
      </c>
      <c r="B642" s="307" t="s">
        <v>71</v>
      </c>
      <c r="C642" s="308" t="s">
        <v>128</v>
      </c>
      <c r="D642" s="268" t="s">
        <v>54</v>
      </c>
      <c r="E642" s="309" t="s">
        <v>578</v>
      </c>
      <c r="F642" s="310">
        <v>900000.0</v>
      </c>
      <c r="G642" s="310"/>
      <c r="H642" s="111" t="s">
        <v>581</v>
      </c>
      <c r="I642" s="107"/>
      <c r="J642" s="107"/>
      <c r="K642" s="107"/>
      <c r="L642" s="107"/>
      <c r="M642" s="107"/>
      <c r="N642" s="107"/>
      <c r="O642" s="107"/>
      <c r="P642" s="107"/>
      <c r="Q642" s="107"/>
      <c r="R642" s="107"/>
      <c r="S642" s="107"/>
      <c r="T642" s="107"/>
      <c r="U642" s="107"/>
      <c r="V642" s="107"/>
      <c r="W642" s="107"/>
      <c r="X642" s="107"/>
      <c r="Y642" s="107"/>
      <c r="Z642" s="107"/>
    </row>
    <row r="643" ht="14.25" customHeight="1">
      <c r="A643" s="107"/>
      <c r="B643" s="107"/>
      <c r="C643" s="107"/>
      <c r="D643" s="107"/>
      <c r="E643" s="107"/>
      <c r="F643" s="109"/>
      <c r="G643" s="109"/>
      <c r="H643" s="107"/>
      <c r="I643" s="107"/>
      <c r="J643" s="107"/>
      <c r="K643" s="107"/>
      <c r="L643" s="107"/>
      <c r="M643" s="107"/>
      <c r="N643" s="107"/>
      <c r="O643" s="107"/>
      <c r="P643" s="107"/>
      <c r="Q643" s="107"/>
      <c r="R643" s="107"/>
      <c r="S643" s="107"/>
      <c r="T643" s="107"/>
      <c r="U643" s="107"/>
      <c r="V643" s="107"/>
      <c r="W643" s="107"/>
      <c r="X643" s="107"/>
      <c r="Y643" s="107"/>
      <c r="Z643" s="107"/>
    </row>
    <row r="644" ht="14.25" customHeight="1">
      <c r="A644" s="305"/>
      <c r="B644" s="324"/>
      <c r="C644" s="335" t="s">
        <v>582</v>
      </c>
      <c r="D644" s="266"/>
      <c r="E644" s="275"/>
      <c r="F644" s="325"/>
      <c r="G644" s="265"/>
      <c r="H644" s="266"/>
      <c r="I644" s="107"/>
      <c r="J644" s="107"/>
      <c r="K644" s="107"/>
      <c r="L644" s="107"/>
      <c r="M644" s="107"/>
      <c r="N644" s="107"/>
      <c r="O644" s="107"/>
      <c r="P644" s="107"/>
      <c r="Q644" s="107"/>
      <c r="R644" s="107"/>
      <c r="S644" s="107"/>
      <c r="T644" s="107"/>
      <c r="U644" s="107"/>
      <c r="V644" s="107"/>
      <c r="W644" s="107"/>
      <c r="X644" s="107"/>
      <c r="Y644" s="107"/>
      <c r="Z644" s="107"/>
    </row>
    <row r="645" ht="14.25" customHeight="1">
      <c r="A645" s="305">
        <v>45531.0</v>
      </c>
      <c r="B645" s="274" t="s">
        <v>345</v>
      </c>
      <c r="C645" s="275" t="s">
        <v>339</v>
      </c>
      <c r="D645" s="275" t="s">
        <v>467</v>
      </c>
      <c r="E645" s="276" t="s">
        <v>70</v>
      </c>
      <c r="F645" s="277">
        <v>14804.0</v>
      </c>
      <c r="G645" s="270"/>
      <c r="H645" s="271"/>
      <c r="I645" s="107"/>
      <c r="J645" s="107"/>
      <c r="K645" s="107"/>
      <c r="L645" s="107"/>
      <c r="M645" s="107"/>
      <c r="N645" s="107"/>
      <c r="O645" s="107"/>
      <c r="P645" s="107"/>
      <c r="Q645" s="107"/>
      <c r="R645" s="107"/>
      <c r="S645" s="107"/>
      <c r="T645" s="107"/>
      <c r="U645" s="107"/>
      <c r="V645" s="107"/>
      <c r="W645" s="107"/>
      <c r="X645" s="107"/>
      <c r="Y645" s="107"/>
      <c r="Z645" s="107"/>
    </row>
    <row r="646" ht="14.25" customHeight="1">
      <c r="A646" s="305">
        <v>45531.0</v>
      </c>
      <c r="B646" s="278" t="s">
        <v>426</v>
      </c>
      <c r="C646" s="279" t="s">
        <v>427</v>
      </c>
      <c r="D646" s="279" t="s">
        <v>54</v>
      </c>
      <c r="E646" s="279" t="s">
        <v>70</v>
      </c>
      <c r="F646" s="280">
        <v>63791.0</v>
      </c>
      <c r="G646" s="270"/>
      <c r="H646" s="271" t="s">
        <v>583</v>
      </c>
      <c r="I646" s="107"/>
      <c r="J646" s="107"/>
      <c r="K646" s="107"/>
      <c r="L646" s="107"/>
      <c r="M646" s="107"/>
      <c r="N646" s="107"/>
      <c r="O646" s="107"/>
      <c r="P646" s="107"/>
      <c r="Q646" s="107"/>
      <c r="R646" s="107"/>
      <c r="S646" s="107"/>
      <c r="T646" s="107"/>
      <c r="U646" s="107"/>
      <c r="V646" s="107"/>
      <c r="W646" s="107"/>
      <c r="X646" s="107"/>
      <c r="Y646" s="107"/>
      <c r="Z646" s="107"/>
    </row>
    <row r="647" ht="14.25" customHeight="1">
      <c r="A647" s="305">
        <v>45531.0</v>
      </c>
      <c r="B647" s="278" t="s">
        <v>493</v>
      </c>
      <c r="C647" s="279" t="s">
        <v>506</v>
      </c>
      <c r="D647" s="279" t="s">
        <v>67</v>
      </c>
      <c r="E647" s="281" t="s">
        <v>70</v>
      </c>
      <c r="F647" s="282">
        <v>121076.0</v>
      </c>
      <c r="G647" s="270"/>
      <c r="H647" s="271" t="s">
        <v>584</v>
      </c>
      <c r="I647" s="107"/>
      <c r="J647" s="107"/>
      <c r="K647" s="107"/>
      <c r="L647" s="107"/>
      <c r="M647" s="107"/>
      <c r="N647" s="107"/>
      <c r="O647" s="107"/>
      <c r="P647" s="107"/>
      <c r="Q647" s="107"/>
      <c r="R647" s="107"/>
      <c r="S647" s="107"/>
      <c r="T647" s="107"/>
      <c r="U647" s="107"/>
      <c r="V647" s="107"/>
      <c r="W647" s="107"/>
      <c r="X647" s="107"/>
      <c r="Y647" s="107"/>
      <c r="Z647" s="107"/>
    </row>
    <row r="648" ht="14.25" customHeight="1">
      <c r="A648" s="305">
        <v>45531.0</v>
      </c>
      <c r="B648" s="278" t="s">
        <v>182</v>
      </c>
      <c r="C648" s="279" t="s">
        <v>187</v>
      </c>
      <c r="D648" s="279" t="s">
        <v>54</v>
      </c>
      <c r="E648" s="281" t="s">
        <v>70</v>
      </c>
      <c r="F648" s="282">
        <v>42889.0</v>
      </c>
      <c r="G648" s="336">
        <v>30889.0</v>
      </c>
      <c r="H648" s="312" t="s">
        <v>585</v>
      </c>
      <c r="I648" s="107"/>
      <c r="J648" s="107"/>
      <c r="K648" s="107"/>
      <c r="L648" s="107"/>
      <c r="M648" s="107"/>
      <c r="N648" s="107"/>
      <c r="O648" s="107"/>
      <c r="P648" s="107"/>
      <c r="Q648" s="107"/>
      <c r="R648" s="107"/>
      <c r="S648" s="107"/>
      <c r="T648" s="107"/>
      <c r="U648" s="107"/>
      <c r="V648" s="107"/>
      <c r="W648" s="107"/>
      <c r="X648" s="107"/>
      <c r="Y648" s="107"/>
      <c r="Z648" s="107"/>
    </row>
    <row r="649" ht="14.25" customHeight="1">
      <c r="A649" s="305">
        <v>45531.0</v>
      </c>
      <c r="B649" s="283" t="s">
        <v>586</v>
      </c>
      <c r="C649" s="284" t="s">
        <v>161</v>
      </c>
      <c r="D649" s="279" t="s">
        <v>413</v>
      </c>
      <c r="E649" s="281" t="s">
        <v>511</v>
      </c>
      <c r="F649" s="286">
        <v>402500.0</v>
      </c>
      <c r="G649" s="337"/>
      <c r="H649" s="187" t="s">
        <v>587</v>
      </c>
      <c r="I649" s="107"/>
      <c r="J649" s="107"/>
      <c r="K649" s="107"/>
      <c r="L649" s="107"/>
      <c r="M649" s="107"/>
      <c r="N649" s="107"/>
      <c r="O649" s="107"/>
      <c r="P649" s="107"/>
      <c r="Q649" s="107"/>
      <c r="R649" s="107"/>
      <c r="S649" s="107"/>
      <c r="T649" s="107"/>
      <c r="U649" s="107"/>
      <c r="V649" s="107"/>
      <c r="W649" s="107"/>
      <c r="X649" s="107"/>
      <c r="Y649" s="107"/>
      <c r="Z649" s="107"/>
    </row>
    <row r="650" ht="14.25" customHeight="1">
      <c r="A650" s="305">
        <v>45531.0</v>
      </c>
      <c r="B650" s="278" t="s">
        <v>415</v>
      </c>
      <c r="C650" s="279" t="s">
        <v>79</v>
      </c>
      <c r="D650" s="279" t="s">
        <v>54</v>
      </c>
      <c r="E650" s="281" t="s">
        <v>70</v>
      </c>
      <c r="F650" s="286">
        <v>280329.0</v>
      </c>
      <c r="G650" s="337"/>
      <c r="H650" s="271" t="s">
        <v>584</v>
      </c>
      <c r="I650" s="107"/>
      <c r="J650" s="107"/>
      <c r="K650" s="107"/>
      <c r="L650" s="107"/>
      <c r="M650" s="107"/>
      <c r="N650" s="107"/>
      <c r="O650" s="107"/>
      <c r="P650" s="107"/>
      <c r="Q650" s="107"/>
      <c r="R650" s="107"/>
      <c r="S650" s="107"/>
      <c r="T650" s="107"/>
      <c r="U650" s="107"/>
      <c r="V650" s="107"/>
      <c r="W650" s="107"/>
      <c r="X650" s="107"/>
      <c r="Y650" s="107"/>
      <c r="Z650" s="107"/>
    </row>
    <row r="651" ht="14.25" customHeight="1">
      <c r="A651" s="305">
        <v>45531.0</v>
      </c>
      <c r="B651" s="287" t="s">
        <v>588</v>
      </c>
      <c r="C651" s="278" t="s">
        <v>240</v>
      </c>
      <c r="D651" s="279" t="s">
        <v>59</v>
      </c>
      <c r="E651" s="315" t="s">
        <v>70</v>
      </c>
      <c r="F651" s="286">
        <v>1000000.0</v>
      </c>
      <c r="G651" s="109"/>
      <c r="H651" s="111" t="s">
        <v>589</v>
      </c>
      <c r="I651" s="107"/>
      <c r="J651" s="107"/>
      <c r="K651" s="107"/>
      <c r="L651" s="107"/>
      <c r="M651" s="107"/>
      <c r="N651" s="107"/>
      <c r="O651" s="107"/>
      <c r="P651" s="107"/>
      <c r="Q651" s="107"/>
      <c r="R651" s="107"/>
      <c r="S651" s="107"/>
      <c r="T651" s="107"/>
      <c r="U651" s="107"/>
      <c r="V651" s="107"/>
      <c r="W651" s="107"/>
      <c r="X651" s="107"/>
      <c r="Y651" s="107"/>
      <c r="Z651" s="107"/>
    </row>
    <row r="652" ht="14.25" customHeight="1">
      <c r="A652" s="305">
        <v>45531.0</v>
      </c>
      <c r="B652" s="274" t="s">
        <v>253</v>
      </c>
      <c r="C652" s="279" t="s">
        <v>58</v>
      </c>
      <c r="D652" s="279" t="s">
        <v>75</v>
      </c>
      <c r="E652" s="338" t="s">
        <v>70</v>
      </c>
      <c r="F652" s="286">
        <v>619357.0</v>
      </c>
      <c r="G652" s="109"/>
      <c r="H652" s="111" t="s">
        <v>590</v>
      </c>
      <c r="I652" s="107"/>
      <c r="J652" s="107"/>
      <c r="K652" s="107"/>
      <c r="L652" s="107"/>
      <c r="M652" s="107"/>
      <c r="N652" s="107"/>
      <c r="O652" s="107"/>
      <c r="P652" s="107"/>
      <c r="Q652" s="107"/>
      <c r="R652" s="107"/>
      <c r="S652" s="107"/>
      <c r="T652" s="107"/>
      <c r="U652" s="107"/>
      <c r="V652" s="107"/>
      <c r="W652" s="107"/>
      <c r="X652" s="107"/>
      <c r="Y652" s="107"/>
      <c r="Z652" s="107"/>
    </row>
    <row r="653" ht="14.25" customHeight="1">
      <c r="A653" s="305">
        <v>45531.0</v>
      </c>
      <c r="B653" s="278" t="s">
        <v>57</v>
      </c>
      <c r="C653" s="279" t="s">
        <v>58</v>
      </c>
      <c r="D653" s="279" t="s">
        <v>59</v>
      </c>
      <c r="E653" s="279" t="s">
        <v>80</v>
      </c>
      <c r="F653" s="285">
        <v>268590.32</v>
      </c>
      <c r="G653" s="109"/>
      <c r="H653" s="111" t="s">
        <v>590</v>
      </c>
      <c r="I653" s="107"/>
      <c r="J653" s="107"/>
      <c r="K653" s="107"/>
      <c r="L653" s="107"/>
      <c r="M653" s="107"/>
      <c r="N653" s="107"/>
      <c r="O653" s="107"/>
      <c r="P653" s="107"/>
      <c r="Q653" s="107"/>
      <c r="R653" s="107"/>
      <c r="S653" s="107"/>
      <c r="T653" s="107"/>
      <c r="U653" s="107"/>
      <c r="V653" s="107"/>
      <c r="W653" s="107"/>
      <c r="X653" s="107"/>
      <c r="Y653" s="107"/>
      <c r="Z653" s="107"/>
    </row>
    <row r="654" ht="14.25" customHeight="1">
      <c r="A654" s="305"/>
      <c r="B654" s="278"/>
      <c r="C654" s="279"/>
      <c r="D654" s="279"/>
      <c r="E654" s="281"/>
      <c r="F654" s="282"/>
      <c r="G654" s="109"/>
      <c r="H654" s="107"/>
      <c r="I654" s="107"/>
      <c r="J654" s="107"/>
      <c r="K654" s="107"/>
      <c r="L654" s="107"/>
      <c r="M654" s="107"/>
      <c r="N654" s="107"/>
      <c r="O654" s="107"/>
      <c r="P654" s="107"/>
      <c r="Q654" s="107"/>
      <c r="R654" s="107"/>
      <c r="S654" s="107"/>
      <c r="T654" s="107"/>
      <c r="U654" s="107"/>
      <c r="V654" s="107"/>
      <c r="W654" s="107"/>
      <c r="X654" s="107"/>
      <c r="Y654" s="107"/>
      <c r="Z654" s="107"/>
    </row>
    <row r="655" ht="14.25" customHeight="1">
      <c r="A655" s="305">
        <v>45531.0</v>
      </c>
      <c r="B655" s="278" t="s">
        <v>591</v>
      </c>
      <c r="C655" s="279" t="s">
        <v>189</v>
      </c>
      <c r="D655" s="279" t="s">
        <v>413</v>
      </c>
      <c r="E655" s="281" t="s">
        <v>80</v>
      </c>
      <c r="F655" s="282">
        <v>1060000.0</v>
      </c>
      <c r="G655" s="109"/>
      <c r="H655" s="107"/>
      <c r="I655" s="107"/>
      <c r="J655" s="107"/>
      <c r="K655" s="107"/>
      <c r="L655" s="107"/>
      <c r="M655" s="107"/>
      <c r="N655" s="107"/>
      <c r="O655" s="107"/>
      <c r="P655" s="107"/>
      <c r="Q655" s="107"/>
      <c r="R655" s="107"/>
      <c r="S655" s="107"/>
      <c r="T655" s="107"/>
      <c r="U655" s="107"/>
      <c r="V655" s="107"/>
      <c r="W655" s="107"/>
      <c r="X655" s="107"/>
      <c r="Y655" s="107"/>
      <c r="Z655" s="107"/>
    </row>
    <row r="656" ht="14.25" customHeight="1">
      <c r="A656" s="305">
        <v>45531.0</v>
      </c>
      <c r="B656" s="278" t="s">
        <v>195</v>
      </c>
      <c r="C656" s="279" t="s">
        <v>196</v>
      </c>
      <c r="D656" s="279" t="s">
        <v>54</v>
      </c>
      <c r="E656" s="279" t="s">
        <v>80</v>
      </c>
      <c r="F656" s="285">
        <v>418381.86</v>
      </c>
      <c r="G656" s="109"/>
      <c r="H656" s="111" t="s">
        <v>592</v>
      </c>
      <c r="I656" s="107"/>
      <c r="J656" s="107"/>
      <c r="K656" s="107"/>
      <c r="L656" s="107"/>
      <c r="M656" s="107"/>
      <c r="N656" s="107"/>
      <c r="O656" s="107"/>
      <c r="P656" s="107"/>
      <c r="Q656" s="107"/>
      <c r="R656" s="107"/>
      <c r="S656" s="107"/>
      <c r="T656" s="107"/>
      <c r="U656" s="107"/>
      <c r="V656" s="107"/>
      <c r="W656" s="107"/>
      <c r="X656" s="107"/>
      <c r="Y656" s="107"/>
      <c r="Z656" s="107"/>
    </row>
    <row r="657" ht="14.25" customHeight="1">
      <c r="A657" s="305">
        <v>45531.0</v>
      </c>
      <c r="B657" s="286" t="s">
        <v>477</v>
      </c>
      <c r="C657" s="279" t="s">
        <v>478</v>
      </c>
      <c r="D657" s="279" t="s">
        <v>413</v>
      </c>
      <c r="E657" s="279" t="s">
        <v>80</v>
      </c>
      <c r="F657" s="280">
        <v>6088.0</v>
      </c>
      <c r="G657" s="109"/>
      <c r="H657" s="111" t="s">
        <v>593</v>
      </c>
      <c r="I657" s="107"/>
      <c r="J657" s="107"/>
      <c r="K657" s="107"/>
      <c r="L657" s="107"/>
      <c r="M657" s="107"/>
      <c r="N657" s="107"/>
      <c r="O657" s="107"/>
      <c r="P657" s="107"/>
      <c r="Q657" s="107"/>
      <c r="R657" s="107"/>
      <c r="S657" s="107"/>
      <c r="T657" s="107"/>
      <c r="U657" s="107"/>
      <c r="V657" s="107"/>
      <c r="W657" s="107"/>
      <c r="X657" s="107"/>
      <c r="Y657" s="107"/>
      <c r="Z657" s="107"/>
    </row>
    <row r="658" ht="14.25" customHeight="1">
      <c r="A658" s="305">
        <v>45531.0</v>
      </c>
      <c r="B658" s="278" t="s">
        <v>573</v>
      </c>
      <c r="C658" s="279" t="s">
        <v>574</v>
      </c>
      <c r="D658" s="279" t="s">
        <v>413</v>
      </c>
      <c r="E658" s="259" t="s">
        <v>80</v>
      </c>
      <c r="F658" s="280">
        <v>57500.0</v>
      </c>
      <c r="G658" s="109"/>
      <c r="H658" s="111" t="s">
        <v>594</v>
      </c>
      <c r="I658" s="107"/>
      <c r="J658" s="107"/>
      <c r="K658" s="107"/>
      <c r="L658" s="107"/>
      <c r="M658" s="107"/>
      <c r="N658" s="107"/>
      <c r="O658" s="107"/>
      <c r="P658" s="107"/>
      <c r="Q658" s="107"/>
      <c r="R658" s="107"/>
      <c r="S658" s="107"/>
      <c r="T658" s="107"/>
      <c r="U658" s="107"/>
      <c r="V658" s="107"/>
      <c r="W658" s="107"/>
      <c r="X658" s="107"/>
      <c r="Y658" s="107"/>
      <c r="Z658" s="107"/>
    </row>
    <row r="659" ht="14.25" customHeight="1">
      <c r="A659" s="305">
        <v>45531.0</v>
      </c>
      <c r="B659" s="339" t="s">
        <v>595</v>
      </c>
      <c r="C659" s="259" t="s">
        <v>574</v>
      </c>
      <c r="D659" s="259" t="s">
        <v>54</v>
      </c>
      <c r="E659" s="279" t="s">
        <v>80</v>
      </c>
      <c r="F659" s="340">
        <v>2153.0</v>
      </c>
      <c r="G659" s="109"/>
      <c r="H659" s="111" t="s">
        <v>594</v>
      </c>
      <c r="I659" s="107"/>
      <c r="J659" s="107"/>
      <c r="K659" s="107"/>
      <c r="L659" s="107"/>
      <c r="M659" s="107"/>
      <c r="N659" s="107"/>
      <c r="O659" s="107"/>
      <c r="P659" s="107"/>
      <c r="Q659" s="107"/>
      <c r="R659" s="107"/>
      <c r="S659" s="107"/>
      <c r="T659" s="107"/>
      <c r="U659" s="107"/>
      <c r="V659" s="107"/>
      <c r="W659" s="107"/>
      <c r="X659" s="107"/>
      <c r="Y659" s="107"/>
      <c r="Z659" s="107"/>
    </row>
    <row r="660" ht="14.25" customHeight="1">
      <c r="A660" s="305">
        <v>45531.0</v>
      </c>
      <c r="B660" s="295" t="s">
        <v>419</v>
      </c>
      <c r="C660" s="296" t="s">
        <v>516</v>
      </c>
      <c r="D660" s="296" t="s">
        <v>54</v>
      </c>
      <c r="E660" s="279" t="s">
        <v>80</v>
      </c>
      <c r="F660" s="297">
        <v>400000.0</v>
      </c>
      <c r="G660" s="109"/>
      <c r="H660" s="341" t="s">
        <v>596</v>
      </c>
      <c r="I660" s="107"/>
      <c r="J660" s="107"/>
      <c r="K660" s="107"/>
      <c r="L660" s="107"/>
      <c r="M660" s="107"/>
      <c r="N660" s="107"/>
      <c r="O660" s="107"/>
      <c r="P660" s="107"/>
      <c r="Q660" s="107"/>
      <c r="R660" s="107"/>
      <c r="S660" s="107"/>
      <c r="T660" s="107"/>
      <c r="U660" s="107"/>
      <c r="V660" s="107"/>
      <c r="W660" s="107"/>
      <c r="X660" s="107"/>
      <c r="Y660" s="107"/>
      <c r="Z660" s="107"/>
    </row>
    <row r="661" ht="14.25" customHeight="1">
      <c r="A661" s="305">
        <v>45531.0</v>
      </c>
      <c r="B661" s="278" t="s">
        <v>498</v>
      </c>
      <c r="C661" s="279" t="s">
        <v>499</v>
      </c>
      <c r="D661" s="279" t="s">
        <v>54</v>
      </c>
      <c r="E661" s="279" t="s">
        <v>80</v>
      </c>
      <c r="F661" s="280">
        <v>93678.7</v>
      </c>
      <c r="G661" s="109"/>
      <c r="H661" s="111" t="s">
        <v>597</v>
      </c>
      <c r="I661" s="107"/>
      <c r="J661" s="107"/>
      <c r="K661" s="107"/>
      <c r="L661" s="107"/>
      <c r="M661" s="107"/>
      <c r="N661" s="107"/>
      <c r="O661" s="107"/>
      <c r="P661" s="107"/>
      <c r="Q661" s="107"/>
      <c r="R661" s="107"/>
      <c r="S661" s="107"/>
      <c r="T661" s="107"/>
      <c r="U661" s="107"/>
      <c r="V661" s="107"/>
      <c r="W661" s="107"/>
      <c r="X661" s="107"/>
      <c r="Y661" s="107"/>
      <c r="Z661" s="107"/>
    </row>
    <row r="662" ht="14.25" customHeight="1">
      <c r="A662" s="305">
        <v>45531.0</v>
      </c>
      <c r="B662" s="278" t="s">
        <v>501</v>
      </c>
      <c r="C662" s="279" t="s">
        <v>499</v>
      </c>
      <c r="D662" s="279" t="s">
        <v>467</v>
      </c>
      <c r="E662" s="259" t="s">
        <v>80</v>
      </c>
      <c r="F662" s="280">
        <v>24716.0</v>
      </c>
      <c r="G662" s="109"/>
      <c r="H662" s="111" t="s">
        <v>597</v>
      </c>
      <c r="I662" s="107"/>
      <c r="J662" s="107"/>
      <c r="K662" s="107"/>
      <c r="L662" s="107"/>
      <c r="M662" s="107"/>
      <c r="N662" s="107"/>
      <c r="O662" s="107"/>
      <c r="P662" s="107"/>
      <c r="Q662" s="107"/>
      <c r="R662" s="107"/>
      <c r="S662" s="107"/>
      <c r="T662" s="107"/>
      <c r="U662" s="107"/>
      <c r="V662" s="107"/>
      <c r="W662" s="107"/>
      <c r="X662" s="107"/>
      <c r="Y662" s="107"/>
      <c r="Z662" s="107"/>
    </row>
    <row r="663" ht="14.25" customHeight="1">
      <c r="A663" s="305">
        <v>45531.0</v>
      </c>
      <c r="B663" s="278" t="s">
        <v>147</v>
      </c>
      <c r="C663" s="279" t="s">
        <v>598</v>
      </c>
      <c r="D663" s="279" t="s">
        <v>54</v>
      </c>
      <c r="E663" s="279" t="s">
        <v>80</v>
      </c>
      <c r="F663" s="280">
        <v>60939.0</v>
      </c>
      <c r="G663" s="109"/>
      <c r="H663" s="111" t="s">
        <v>599</v>
      </c>
      <c r="I663" s="107"/>
      <c r="J663" s="107"/>
      <c r="K663" s="107"/>
      <c r="L663" s="107"/>
      <c r="M663" s="107"/>
      <c r="N663" s="107"/>
      <c r="O663" s="107"/>
      <c r="P663" s="107"/>
      <c r="Q663" s="107"/>
      <c r="R663" s="107"/>
      <c r="S663" s="107"/>
      <c r="T663" s="107"/>
      <c r="U663" s="107"/>
      <c r="V663" s="107"/>
      <c r="W663" s="107"/>
      <c r="X663" s="107"/>
      <c r="Y663" s="107"/>
      <c r="Z663" s="107"/>
    </row>
    <row r="664" ht="14.25" customHeight="1">
      <c r="A664" s="305">
        <v>45531.0</v>
      </c>
      <c r="B664" s="295" t="s">
        <v>96</v>
      </c>
      <c r="C664" s="296" t="s">
        <v>97</v>
      </c>
      <c r="D664" s="296" t="s">
        <v>54</v>
      </c>
      <c r="E664" s="296" t="s">
        <v>600</v>
      </c>
      <c r="F664" s="317">
        <v>6723.0</v>
      </c>
      <c r="G664" s="109"/>
      <c r="H664" s="111" t="s">
        <v>601</v>
      </c>
      <c r="I664" s="107"/>
      <c r="J664" s="107"/>
      <c r="K664" s="107"/>
      <c r="L664" s="107"/>
      <c r="M664" s="107"/>
      <c r="N664" s="107"/>
      <c r="O664" s="107"/>
      <c r="P664" s="107"/>
      <c r="Q664" s="107"/>
      <c r="R664" s="107"/>
      <c r="S664" s="107"/>
      <c r="T664" s="107"/>
      <c r="U664" s="107"/>
      <c r="V664" s="107"/>
      <c r="W664" s="107"/>
      <c r="X664" s="107"/>
      <c r="Y664" s="107"/>
      <c r="Z664" s="107"/>
    </row>
    <row r="665" ht="14.25" customHeight="1">
      <c r="A665" s="305">
        <v>45531.0</v>
      </c>
      <c r="B665" s="339" t="s">
        <v>162</v>
      </c>
      <c r="C665" s="259" t="s">
        <v>538</v>
      </c>
      <c r="D665" s="259" t="s">
        <v>54</v>
      </c>
      <c r="E665" s="296" t="s">
        <v>600</v>
      </c>
      <c r="F665" s="340">
        <v>166459.0</v>
      </c>
      <c r="G665" s="109"/>
      <c r="H665" s="111" t="s">
        <v>602</v>
      </c>
      <c r="I665" s="107"/>
      <c r="J665" s="107"/>
      <c r="K665" s="107"/>
      <c r="L665" s="107"/>
      <c r="M665" s="107"/>
      <c r="N665" s="107"/>
      <c r="O665" s="107"/>
      <c r="P665" s="107"/>
      <c r="Q665" s="107"/>
      <c r="R665" s="107"/>
      <c r="S665" s="107"/>
      <c r="T665" s="107"/>
      <c r="U665" s="107"/>
      <c r="V665" s="107"/>
      <c r="W665" s="107"/>
      <c r="X665" s="107"/>
      <c r="Y665" s="107"/>
      <c r="Z665" s="107"/>
    </row>
    <row r="666" ht="14.25" customHeight="1">
      <c r="A666" s="305">
        <v>45531.0</v>
      </c>
      <c r="B666" s="111" t="s">
        <v>603</v>
      </c>
      <c r="C666" s="111" t="s">
        <v>604</v>
      </c>
      <c r="D666" s="111" t="s">
        <v>54</v>
      </c>
      <c r="E666" s="342" t="s">
        <v>70</v>
      </c>
      <c r="F666" s="113">
        <v>2171954.0</v>
      </c>
      <c r="G666" s="113">
        <v>2171954.0</v>
      </c>
      <c r="H666" s="111" t="s">
        <v>605</v>
      </c>
      <c r="I666" s="107"/>
      <c r="J666" s="107"/>
      <c r="K666" s="107"/>
      <c r="L666" s="107"/>
      <c r="M666" s="107"/>
      <c r="N666" s="107"/>
      <c r="O666" s="107"/>
      <c r="P666" s="107"/>
      <c r="Q666" s="107"/>
      <c r="R666" s="107"/>
      <c r="S666" s="107"/>
      <c r="T666" s="107"/>
      <c r="U666" s="107"/>
      <c r="V666" s="107"/>
      <c r="W666" s="107"/>
      <c r="X666" s="107"/>
      <c r="Y666" s="107"/>
      <c r="Z666" s="107"/>
    </row>
    <row r="667" ht="14.25" customHeight="1">
      <c r="A667" s="305">
        <v>45531.0</v>
      </c>
      <c r="B667" s="307" t="s">
        <v>71</v>
      </c>
      <c r="C667" s="308" t="s">
        <v>128</v>
      </c>
      <c r="D667" s="268" t="s">
        <v>54</v>
      </c>
      <c r="E667" s="309" t="s">
        <v>578</v>
      </c>
      <c r="F667" s="310">
        <v>900000.0</v>
      </c>
      <c r="G667" s="109"/>
      <c r="H667" s="111" t="s">
        <v>606</v>
      </c>
      <c r="I667" s="107"/>
      <c r="J667" s="107"/>
      <c r="K667" s="107"/>
      <c r="L667" s="107"/>
      <c r="M667" s="107"/>
      <c r="N667" s="107"/>
      <c r="O667" s="107"/>
      <c r="P667" s="107"/>
      <c r="Q667" s="107"/>
      <c r="R667" s="107"/>
      <c r="S667" s="107"/>
      <c r="T667" s="107"/>
      <c r="U667" s="107"/>
      <c r="V667" s="107"/>
      <c r="W667" s="107"/>
      <c r="X667" s="107"/>
      <c r="Y667" s="107"/>
      <c r="Z667" s="107"/>
    </row>
    <row r="668" ht="14.25" customHeight="1">
      <c r="A668" s="107"/>
      <c r="B668" s="107"/>
      <c r="C668" s="107"/>
      <c r="D668" s="107"/>
      <c r="E668" s="107"/>
      <c r="F668" s="109"/>
      <c r="G668" s="109"/>
      <c r="H668" s="107"/>
      <c r="I668" s="107"/>
      <c r="J668" s="107"/>
      <c r="K668" s="107"/>
      <c r="L668" s="107"/>
      <c r="M668" s="107"/>
      <c r="N668" s="107"/>
      <c r="O668" s="107"/>
      <c r="P668" s="107"/>
      <c r="Q668" s="107"/>
      <c r="R668" s="107"/>
      <c r="S668" s="107"/>
      <c r="T668" s="107"/>
      <c r="U668" s="107"/>
      <c r="V668" s="107"/>
      <c r="W668" s="107"/>
      <c r="X668" s="107"/>
      <c r="Y668" s="107"/>
      <c r="Z668" s="107"/>
    </row>
    <row r="669" ht="14.25" customHeight="1">
      <c r="A669" s="107"/>
      <c r="B669" s="107"/>
      <c r="C669" s="103" t="s">
        <v>607</v>
      </c>
      <c r="D669" s="107"/>
      <c r="E669" s="107"/>
      <c r="F669" s="109"/>
      <c r="G669" s="109"/>
      <c r="H669" s="107"/>
      <c r="I669" s="107"/>
      <c r="J669" s="107"/>
      <c r="K669" s="107"/>
      <c r="L669" s="107"/>
      <c r="M669" s="107"/>
      <c r="N669" s="107"/>
      <c r="O669" s="107"/>
      <c r="P669" s="107"/>
      <c r="Q669" s="107"/>
      <c r="R669" s="107"/>
      <c r="S669" s="107"/>
      <c r="T669" s="107"/>
      <c r="U669" s="107"/>
      <c r="V669" s="107"/>
      <c r="W669" s="107"/>
      <c r="X669" s="107"/>
      <c r="Y669" s="107"/>
      <c r="Z669" s="107"/>
    </row>
    <row r="670" ht="14.25" customHeight="1">
      <c r="A670" s="110">
        <v>45532.0</v>
      </c>
      <c r="B670" s="274" t="s">
        <v>345</v>
      </c>
      <c r="C670" s="275" t="s">
        <v>339</v>
      </c>
      <c r="D670" s="275" t="s">
        <v>467</v>
      </c>
      <c r="E670" s="276" t="s">
        <v>70</v>
      </c>
      <c r="F670" s="277">
        <v>14804.0</v>
      </c>
      <c r="G670" s="109"/>
      <c r="H670" s="107"/>
      <c r="I670" s="107"/>
      <c r="J670" s="107"/>
      <c r="K670" s="107"/>
      <c r="L670" s="107"/>
      <c r="M670" s="107"/>
      <c r="N670" s="107"/>
      <c r="O670" s="107"/>
      <c r="P670" s="107"/>
      <c r="Q670" s="107"/>
      <c r="R670" s="107"/>
      <c r="S670" s="107"/>
      <c r="T670" s="107"/>
      <c r="U670" s="107"/>
      <c r="V670" s="107"/>
      <c r="W670" s="107"/>
      <c r="X670" s="107"/>
      <c r="Y670" s="107"/>
      <c r="Z670" s="107"/>
    </row>
    <row r="671" ht="14.25" customHeight="1">
      <c r="A671" s="110">
        <v>45532.0</v>
      </c>
      <c r="B671" s="278" t="s">
        <v>426</v>
      </c>
      <c r="C671" s="279" t="s">
        <v>427</v>
      </c>
      <c r="D671" s="279" t="s">
        <v>54</v>
      </c>
      <c r="E671" s="279" t="s">
        <v>70</v>
      </c>
      <c r="F671" s="280">
        <v>63791.0</v>
      </c>
      <c r="G671" s="109"/>
      <c r="H671" s="111" t="s">
        <v>608</v>
      </c>
      <c r="I671" s="107"/>
      <c r="J671" s="107"/>
      <c r="K671" s="107"/>
      <c r="L671" s="107"/>
      <c r="M671" s="107"/>
      <c r="N671" s="107"/>
      <c r="O671" s="107"/>
      <c r="P671" s="107"/>
      <c r="Q671" s="107"/>
      <c r="R671" s="107"/>
      <c r="S671" s="107"/>
      <c r="T671" s="107"/>
      <c r="U671" s="107"/>
      <c r="V671" s="107"/>
      <c r="W671" s="107"/>
      <c r="X671" s="107"/>
      <c r="Y671" s="107"/>
      <c r="Z671" s="107"/>
    </row>
    <row r="672" ht="14.25" customHeight="1">
      <c r="A672" s="110">
        <v>45532.0</v>
      </c>
      <c r="B672" s="278" t="s">
        <v>493</v>
      </c>
      <c r="C672" s="279" t="s">
        <v>506</v>
      </c>
      <c r="D672" s="279" t="s">
        <v>67</v>
      </c>
      <c r="E672" s="281" t="s">
        <v>70</v>
      </c>
      <c r="F672" s="282">
        <v>121076.0</v>
      </c>
      <c r="G672" s="109"/>
      <c r="H672" s="111" t="s">
        <v>609</v>
      </c>
      <c r="I672" s="107"/>
      <c r="J672" s="107"/>
      <c r="K672" s="107"/>
      <c r="L672" s="107"/>
      <c r="M672" s="107"/>
      <c r="N672" s="107"/>
      <c r="O672" s="107"/>
      <c r="P672" s="107"/>
      <c r="Q672" s="107"/>
      <c r="R672" s="107"/>
      <c r="S672" s="107"/>
      <c r="T672" s="107"/>
      <c r="U672" s="107"/>
      <c r="V672" s="107"/>
      <c r="W672" s="107"/>
      <c r="X672" s="107"/>
      <c r="Y672" s="107"/>
      <c r="Z672" s="107"/>
    </row>
    <row r="673" ht="14.25" customHeight="1">
      <c r="A673" s="110">
        <v>45532.0</v>
      </c>
      <c r="B673" s="283" t="s">
        <v>586</v>
      </c>
      <c r="C673" s="284" t="s">
        <v>161</v>
      </c>
      <c r="D673" s="279" t="s">
        <v>413</v>
      </c>
      <c r="E673" s="281" t="s">
        <v>511</v>
      </c>
      <c r="F673" s="286">
        <v>402500.0</v>
      </c>
      <c r="G673" s="109"/>
      <c r="H673" s="111" t="s">
        <v>610</v>
      </c>
      <c r="I673" s="107"/>
      <c r="J673" s="107"/>
      <c r="K673" s="107"/>
      <c r="L673" s="107"/>
      <c r="M673" s="107"/>
      <c r="N673" s="107"/>
      <c r="O673" s="107"/>
      <c r="P673" s="107"/>
      <c r="Q673" s="107"/>
      <c r="R673" s="107"/>
      <c r="S673" s="107"/>
      <c r="T673" s="107"/>
      <c r="U673" s="107"/>
      <c r="V673" s="107"/>
      <c r="W673" s="107"/>
      <c r="X673" s="107"/>
      <c r="Y673" s="107"/>
      <c r="Z673" s="107"/>
    </row>
    <row r="674" ht="14.25" customHeight="1">
      <c r="A674" s="110">
        <v>45532.0</v>
      </c>
      <c r="B674" s="278" t="s">
        <v>415</v>
      </c>
      <c r="C674" s="279" t="s">
        <v>79</v>
      </c>
      <c r="D674" s="279" t="s">
        <v>54</v>
      </c>
      <c r="E674" s="281" t="s">
        <v>70</v>
      </c>
      <c r="F674" s="286">
        <v>280329.0</v>
      </c>
      <c r="G674" s="109"/>
      <c r="H674" s="111" t="s">
        <v>611</v>
      </c>
      <c r="I674" s="107"/>
      <c r="J674" s="107"/>
      <c r="K674" s="107"/>
      <c r="L674" s="107"/>
      <c r="M674" s="107"/>
      <c r="N674" s="107"/>
      <c r="O674" s="107"/>
      <c r="P674" s="107"/>
      <c r="Q674" s="107"/>
      <c r="R674" s="107"/>
      <c r="S674" s="107"/>
      <c r="T674" s="107"/>
      <c r="U674" s="107"/>
      <c r="V674" s="107"/>
      <c r="W674" s="107"/>
      <c r="X674" s="107"/>
      <c r="Y674" s="107"/>
      <c r="Z674" s="107"/>
    </row>
    <row r="675" ht="14.25" customHeight="1">
      <c r="A675" s="110">
        <v>45532.0</v>
      </c>
      <c r="B675" s="287" t="s">
        <v>588</v>
      </c>
      <c r="C675" s="278" t="s">
        <v>240</v>
      </c>
      <c r="D675" s="279" t="s">
        <v>59</v>
      </c>
      <c r="E675" s="315" t="s">
        <v>70</v>
      </c>
      <c r="F675" s="286">
        <v>800000.0</v>
      </c>
      <c r="G675" s="113">
        <v>800000.0</v>
      </c>
      <c r="H675" s="111" t="s">
        <v>212</v>
      </c>
      <c r="I675" s="107"/>
      <c r="J675" s="107"/>
      <c r="K675" s="107"/>
      <c r="L675" s="107"/>
      <c r="M675" s="107"/>
      <c r="N675" s="107"/>
      <c r="O675" s="107"/>
      <c r="P675" s="107"/>
      <c r="Q675" s="107"/>
      <c r="R675" s="107"/>
      <c r="S675" s="107"/>
      <c r="T675" s="107"/>
      <c r="U675" s="107"/>
      <c r="V675" s="107"/>
      <c r="W675" s="107"/>
      <c r="X675" s="107"/>
      <c r="Y675" s="107"/>
      <c r="Z675" s="107"/>
    </row>
    <row r="676" ht="14.25" customHeight="1">
      <c r="A676" s="110">
        <v>45532.0</v>
      </c>
      <c r="B676" s="274" t="s">
        <v>253</v>
      </c>
      <c r="C676" s="279" t="s">
        <v>58</v>
      </c>
      <c r="D676" s="279" t="s">
        <v>75</v>
      </c>
      <c r="E676" s="111" t="s">
        <v>70</v>
      </c>
      <c r="F676" s="286">
        <v>619357.0</v>
      </c>
      <c r="G676" s="109"/>
      <c r="H676" s="111" t="s">
        <v>612</v>
      </c>
      <c r="I676" s="107"/>
      <c r="J676" s="107"/>
      <c r="K676" s="107"/>
      <c r="L676" s="107"/>
      <c r="M676" s="107"/>
      <c r="N676" s="107"/>
      <c r="O676" s="107"/>
      <c r="P676" s="107"/>
      <c r="Q676" s="107"/>
      <c r="R676" s="107"/>
      <c r="S676" s="107"/>
      <c r="T676" s="107"/>
      <c r="U676" s="107"/>
      <c r="V676" s="107"/>
      <c r="W676" s="107"/>
      <c r="X676" s="107"/>
      <c r="Y676" s="107"/>
      <c r="Z676" s="107"/>
    </row>
    <row r="677" ht="14.25" customHeight="1">
      <c r="A677" s="110">
        <v>45532.0</v>
      </c>
      <c r="B677" s="278" t="s">
        <v>57</v>
      </c>
      <c r="C677" s="279" t="s">
        <v>58</v>
      </c>
      <c r="D677" s="279" t="s">
        <v>59</v>
      </c>
      <c r="E677" s="111" t="s">
        <v>80</v>
      </c>
      <c r="F677" s="285">
        <v>268590.32</v>
      </c>
      <c r="G677" s="109"/>
      <c r="H677" s="111" t="s">
        <v>612</v>
      </c>
      <c r="I677" s="107"/>
      <c r="J677" s="107"/>
      <c r="K677" s="107"/>
      <c r="L677" s="107"/>
      <c r="M677" s="107"/>
      <c r="N677" s="107"/>
      <c r="O677" s="107"/>
      <c r="P677" s="107"/>
      <c r="Q677" s="107"/>
      <c r="R677" s="107"/>
      <c r="S677" s="107"/>
      <c r="T677" s="107"/>
      <c r="U677" s="107"/>
      <c r="V677" s="107"/>
      <c r="W677" s="107"/>
      <c r="X677" s="107"/>
      <c r="Y677" s="107"/>
      <c r="Z677" s="107"/>
    </row>
    <row r="678" ht="14.25" customHeight="1">
      <c r="A678" s="110">
        <v>45532.0</v>
      </c>
      <c r="B678" s="278" t="s">
        <v>591</v>
      </c>
      <c r="C678" s="279" t="s">
        <v>189</v>
      </c>
      <c r="D678" s="279" t="s">
        <v>413</v>
      </c>
      <c r="E678" s="111" t="s">
        <v>70</v>
      </c>
      <c r="F678" s="282">
        <v>1060000.0</v>
      </c>
      <c r="G678" s="113">
        <v>1060000.0</v>
      </c>
      <c r="H678" s="111" t="s">
        <v>212</v>
      </c>
      <c r="I678" s="107"/>
      <c r="J678" s="107"/>
      <c r="K678" s="107"/>
      <c r="L678" s="107"/>
      <c r="M678" s="107"/>
      <c r="N678" s="107"/>
      <c r="O678" s="107"/>
      <c r="P678" s="107"/>
      <c r="Q678" s="107"/>
      <c r="R678" s="107"/>
      <c r="S678" s="107"/>
      <c r="T678" s="107"/>
      <c r="U678" s="107"/>
      <c r="V678" s="107"/>
      <c r="W678" s="107"/>
      <c r="X678" s="107"/>
      <c r="Y678" s="107"/>
      <c r="Z678" s="107"/>
    </row>
    <row r="679" ht="14.25" customHeight="1">
      <c r="A679" s="110">
        <v>45532.0</v>
      </c>
      <c r="B679" s="286" t="s">
        <v>477</v>
      </c>
      <c r="C679" s="279" t="s">
        <v>478</v>
      </c>
      <c r="D679" s="279" t="s">
        <v>413</v>
      </c>
      <c r="E679" s="279" t="s">
        <v>80</v>
      </c>
      <c r="F679" s="280">
        <v>6088.0</v>
      </c>
      <c r="G679" s="109"/>
      <c r="H679" s="111" t="s">
        <v>613</v>
      </c>
      <c r="I679" s="107"/>
      <c r="J679" s="107"/>
      <c r="K679" s="107"/>
      <c r="L679" s="107"/>
      <c r="M679" s="107"/>
      <c r="N679" s="107"/>
      <c r="O679" s="107"/>
      <c r="P679" s="107"/>
      <c r="Q679" s="107"/>
      <c r="R679" s="107"/>
      <c r="S679" s="107"/>
      <c r="T679" s="107"/>
      <c r="U679" s="107"/>
      <c r="V679" s="107"/>
      <c r="W679" s="107"/>
      <c r="X679" s="107"/>
      <c r="Y679" s="107"/>
      <c r="Z679" s="107"/>
    </row>
    <row r="680" ht="14.25" customHeight="1">
      <c r="A680" s="110">
        <v>45532.0</v>
      </c>
      <c r="B680" s="278" t="s">
        <v>573</v>
      </c>
      <c r="C680" s="279" t="s">
        <v>574</v>
      </c>
      <c r="D680" s="279" t="s">
        <v>413</v>
      </c>
      <c r="E680" s="259" t="s">
        <v>80</v>
      </c>
      <c r="F680" s="280">
        <v>57500.0</v>
      </c>
      <c r="G680" s="113">
        <v>60380.0</v>
      </c>
      <c r="H680" s="111" t="s">
        <v>212</v>
      </c>
      <c r="I680" s="107"/>
      <c r="J680" s="107"/>
      <c r="K680" s="107"/>
      <c r="L680" s="107"/>
      <c r="M680" s="107"/>
      <c r="N680" s="107"/>
      <c r="O680" s="107"/>
      <c r="P680" s="107"/>
      <c r="Q680" s="107"/>
      <c r="R680" s="107"/>
      <c r="S680" s="107"/>
      <c r="T680" s="107"/>
      <c r="U680" s="107"/>
      <c r="V680" s="107"/>
      <c r="W680" s="107"/>
      <c r="X680" s="107"/>
      <c r="Y680" s="107"/>
      <c r="Z680" s="107"/>
    </row>
    <row r="681" ht="14.25" customHeight="1">
      <c r="A681" s="110">
        <v>45532.0</v>
      </c>
      <c r="B681" s="339" t="s">
        <v>595</v>
      </c>
      <c r="C681" s="259" t="s">
        <v>574</v>
      </c>
      <c r="D681" s="259" t="s">
        <v>54</v>
      </c>
      <c r="E681" s="279" t="s">
        <v>80</v>
      </c>
      <c r="F681" s="340">
        <v>2153.0</v>
      </c>
      <c r="G681" s="109"/>
      <c r="H681" s="111" t="s">
        <v>611</v>
      </c>
      <c r="I681" s="107"/>
      <c r="J681" s="107"/>
      <c r="K681" s="107"/>
      <c r="L681" s="107"/>
      <c r="M681" s="107"/>
      <c r="N681" s="107"/>
      <c r="O681" s="107"/>
      <c r="P681" s="107"/>
      <c r="Q681" s="107"/>
      <c r="R681" s="107"/>
      <c r="S681" s="107"/>
      <c r="T681" s="107"/>
      <c r="U681" s="107"/>
      <c r="V681" s="107"/>
      <c r="W681" s="107"/>
      <c r="X681" s="107"/>
      <c r="Y681" s="107"/>
      <c r="Z681" s="107"/>
    </row>
    <row r="682" ht="14.25" customHeight="1">
      <c r="A682" s="110">
        <v>45532.0</v>
      </c>
      <c r="B682" s="278" t="s">
        <v>498</v>
      </c>
      <c r="C682" s="279" t="s">
        <v>499</v>
      </c>
      <c r="D682" s="279" t="s">
        <v>54</v>
      </c>
      <c r="E682" s="279" t="s">
        <v>80</v>
      </c>
      <c r="F682" s="280">
        <v>93678.7</v>
      </c>
      <c r="G682" s="109"/>
      <c r="H682" s="111" t="s">
        <v>614</v>
      </c>
      <c r="I682" s="107"/>
      <c r="J682" s="107"/>
      <c r="K682" s="107"/>
      <c r="L682" s="107"/>
      <c r="M682" s="107"/>
      <c r="N682" s="107"/>
      <c r="O682" s="107"/>
      <c r="P682" s="107"/>
      <c r="Q682" s="107"/>
      <c r="R682" s="107"/>
      <c r="S682" s="107"/>
      <c r="T682" s="107"/>
      <c r="U682" s="107"/>
      <c r="V682" s="107"/>
      <c r="W682" s="107"/>
      <c r="X682" s="107"/>
      <c r="Y682" s="107"/>
      <c r="Z682" s="107"/>
    </row>
    <row r="683" ht="14.25" customHeight="1">
      <c r="A683" s="110">
        <v>45532.0</v>
      </c>
      <c r="B683" s="278" t="s">
        <v>501</v>
      </c>
      <c r="C683" s="279" t="s">
        <v>499</v>
      </c>
      <c r="D683" s="279" t="s">
        <v>467</v>
      </c>
      <c r="E683" s="259" t="s">
        <v>80</v>
      </c>
      <c r="F683" s="280">
        <v>24716.0</v>
      </c>
      <c r="G683" s="109"/>
      <c r="H683" s="111" t="s">
        <v>614</v>
      </c>
      <c r="I683" s="107"/>
      <c r="J683" s="107"/>
      <c r="K683" s="107"/>
      <c r="L683" s="107"/>
      <c r="M683" s="107"/>
      <c r="N683" s="107"/>
      <c r="O683" s="107"/>
      <c r="P683" s="107"/>
      <c r="Q683" s="107"/>
      <c r="R683" s="107"/>
      <c r="S683" s="107"/>
      <c r="T683" s="107"/>
      <c r="U683" s="107"/>
      <c r="V683" s="107"/>
      <c r="W683" s="107"/>
      <c r="X683" s="107"/>
      <c r="Y683" s="107"/>
      <c r="Z683" s="107"/>
    </row>
    <row r="684" ht="14.25" customHeight="1">
      <c r="A684" s="110">
        <v>45532.0</v>
      </c>
      <c r="B684" s="278" t="s">
        <v>147</v>
      </c>
      <c r="C684" s="279" t="s">
        <v>598</v>
      </c>
      <c r="D684" s="279" t="s">
        <v>54</v>
      </c>
      <c r="E684" s="279" t="s">
        <v>80</v>
      </c>
      <c r="F684" s="280">
        <v>60939.0</v>
      </c>
      <c r="G684" s="109"/>
      <c r="H684" s="111" t="s">
        <v>615</v>
      </c>
      <c r="I684" s="107"/>
      <c r="J684" s="107"/>
      <c r="K684" s="107"/>
      <c r="L684" s="107"/>
      <c r="M684" s="107"/>
      <c r="N684" s="107"/>
      <c r="O684" s="107"/>
      <c r="P684" s="107"/>
      <c r="Q684" s="107"/>
      <c r="R684" s="107"/>
      <c r="S684" s="107"/>
      <c r="T684" s="107"/>
      <c r="U684" s="107"/>
      <c r="V684" s="107"/>
      <c r="W684" s="107"/>
      <c r="X684" s="107"/>
      <c r="Y684" s="107"/>
      <c r="Z684" s="107"/>
    </row>
    <row r="685" ht="14.25" customHeight="1">
      <c r="A685" s="110">
        <v>45532.0</v>
      </c>
      <c r="B685" s="295" t="s">
        <v>96</v>
      </c>
      <c r="C685" s="296" t="s">
        <v>97</v>
      </c>
      <c r="D685" s="296" t="s">
        <v>54</v>
      </c>
      <c r="E685" s="296" t="s">
        <v>600</v>
      </c>
      <c r="F685" s="317">
        <v>6723.0</v>
      </c>
      <c r="G685" s="109"/>
      <c r="H685" s="111" t="s">
        <v>616</v>
      </c>
      <c r="I685" s="107"/>
      <c r="J685" s="107"/>
      <c r="K685" s="107"/>
      <c r="L685" s="107"/>
      <c r="M685" s="107"/>
      <c r="N685" s="107"/>
      <c r="O685" s="107"/>
      <c r="P685" s="107"/>
      <c r="Q685" s="107"/>
      <c r="R685" s="107"/>
      <c r="S685" s="107"/>
      <c r="T685" s="107"/>
      <c r="U685" s="107"/>
      <c r="V685" s="107"/>
      <c r="W685" s="107"/>
      <c r="X685" s="107"/>
      <c r="Y685" s="107"/>
      <c r="Z685" s="107"/>
    </row>
    <row r="686" ht="14.25" customHeight="1">
      <c r="A686" s="110">
        <v>45532.0</v>
      </c>
      <c r="B686" s="307" t="s">
        <v>71</v>
      </c>
      <c r="C686" s="308" t="s">
        <v>128</v>
      </c>
      <c r="D686" s="268" t="s">
        <v>54</v>
      </c>
      <c r="E686" s="309" t="s">
        <v>578</v>
      </c>
      <c r="F686" s="310">
        <v>900000.0</v>
      </c>
      <c r="G686" s="109"/>
      <c r="H686" s="111" t="s">
        <v>617</v>
      </c>
      <c r="I686" s="107"/>
      <c r="J686" s="107"/>
      <c r="K686" s="107"/>
      <c r="L686" s="107"/>
      <c r="M686" s="107"/>
      <c r="N686" s="107"/>
      <c r="O686" s="107"/>
      <c r="P686" s="107"/>
      <c r="Q686" s="107"/>
      <c r="R686" s="107"/>
      <c r="S686" s="107"/>
      <c r="T686" s="107"/>
      <c r="U686" s="107"/>
      <c r="V686" s="107"/>
      <c r="W686" s="107"/>
      <c r="X686" s="107"/>
      <c r="Y686" s="107"/>
      <c r="Z686" s="107"/>
    </row>
    <row r="687" ht="14.25" customHeight="1">
      <c r="A687" s="110">
        <v>45532.0</v>
      </c>
      <c r="B687" s="343" t="s">
        <v>618</v>
      </c>
      <c r="C687" s="344" t="s">
        <v>619</v>
      </c>
      <c r="D687" s="111" t="s">
        <v>54</v>
      </c>
      <c r="E687" s="309" t="s">
        <v>578</v>
      </c>
      <c r="F687" s="113">
        <v>150000.0</v>
      </c>
      <c r="G687" s="109"/>
      <c r="H687" s="111" t="s">
        <v>620</v>
      </c>
      <c r="I687" s="107"/>
      <c r="J687" s="107"/>
      <c r="K687" s="107"/>
      <c r="L687" s="107"/>
      <c r="M687" s="107"/>
      <c r="N687" s="107"/>
      <c r="O687" s="107"/>
      <c r="P687" s="107"/>
      <c r="Q687" s="107"/>
      <c r="R687" s="107"/>
      <c r="S687" s="107"/>
      <c r="T687" s="107"/>
      <c r="U687" s="107"/>
      <c r="V687" s="107"/>
      <c r="W687" s="107"/>
      <c r="X687" s="107"/>
      <c r="Y687" s="107"/>
      <c r="Z687" s="107"/>
    </row>
    <row r="688" ht="14.25" customHeight="1">
      <c r="A688" s="107"/>
      <c r="B688" s="107"/>
      <c r="C688" s="107"/>
      <c r="D688" s="107"/>
      <c r="E688" s="107"/>
      <c r="F688" s="109"/>
      <c r="G688" s="109"/>
      <c r="H688" s="107"/>
      <c r="I688" s="107"/>
      <c r="J688" s="107"/>
      <c r="K688" s="107"/>
      <c r="L688" s="107"/>
      <c r="M688" s="107"/>
      <c r="N688" s="107"/>
      <c r="O688" s="107"/>
      <c r="P688" s="107"/>
      <c r="Q688" s="107"/>
      <c r="R688" s="107"/>
      <c r="S688" s="107"/>
      <c r="T688" s="107"/>
      <c r="U688" s="107"/>
      <c r="V688" s="107"/>
      <c r="W688" s="107"/>
      <c r="X688" s="107"/>
      <c r="Y688" s="107"/>
      <c r="Z688" s="107"/>
    </row>
    <row r="689" ht="14.25" customHeight="1">
      <c r="A689" s="107"/>
      <c r="B689" s="107"/>
      <c r="C689" s="107"/>
      <c r="D689" s="107"/>
      <c r="E689" s="107"/>
      <c r="F689" s="109"/>
      <c r="G689" s="109"/>
      <c r="H689" s="107"/>
      <c r="I689" s="107"/>
      <c r="J689" s="107"/>
      <c r="K689" s="107"/>
      <c r="L689" s="107"/>
      <c r="M689" s="107"/>
      <c r="N689" s="107"/>
      <c r="O689" s="107"/>
      <c r="P689" s="107"/>
      <c r="Q689" s="107"/>
      <c r="R689" s="107"/>
      <c r="S689" s="107"/>
      <c r="T689" s="107"/>
      <c r="U689" s="107"/>
      <c r="V689" s="107"/>
      <c r="W689" s="107"/>
      <c r="X689" s="107"/>
      <c r="Y689" s="107"/>
      <c r="Z689" s="107"/>
    </row>
    <row r="690" ht="14.25" customHeight="1">
      <c r="A690" s="107"/>
      <c r="B690" s="107"/>
      <c r="C690" s="107"/>
      <c r="D690" s="107"/>
      <c r="E690" s="107"/>
      <c r="F690" s="109"/>
      <c r="G690" s="109"/>
      <c r="H690" s="107"/>
      <c r="I690" s="107"/>
      <c r="J690" s="107"/>
      <c r="K690" s="107"/>
      <c r="L690" s="107"/>
      <c r="M690" s="107"/>
      <c r="N690" s="107"/>
      <c r="O690" s="107"/>
      <c r="P690" s="107"/>
      <c r="Q690" s="107"/>
      <c r="R690" s="107"/>
      <c r="S690" s="107"/>
      <c r="T690" s="107"/>
      <c r="U690" s="107"/>
      <c r="V690" s="107"/>
      <c r="W690" s="107"/>
      <c r="X690" s="107"/>
      <c r="Y690" s="107"/>
      <c r="Z690" s="107"/>
    </row>
    <row r="691" ht="14.25" customHeight="1">
      <c r="A691" s="110">
        <v>45532.0</v>
      </c>
      <c r="B691" s="324" t="s">
        <v>162</v>
      </c>
      <c r="C691" s="266" t="s">
        <v>538</v>
      </c>
      <c r="D691" s="266" t="s">
        <v>54</v>
      </c>
      <c r="E691" s="266" t="s">
        <v>578</v>
      </c>
      <c r="F691" s="318">
        <v>251710.0</v>
      </c>
      <c r="G691" s="265"/>
      <c r="H691" s="266" t="s">
        <v>621</v>
      </c>
      <c r="I691" s="107"/>
      <c r="J691" s="107"/>
      <c r="K691" s="107"/>
      <c r="L691" s="107"/>
      <c r="M691" s="107"/>
      <c r="N691" s="107"/>
      <c r="O691" s="107"/>
      <c r="P691" s="107"/>
      <c r="Q691" s="107"/>
      <c r="R691" s="107"/>
      <c r="S691" s="107"/>
      <c r="T691" s="107"/>
      <c r="U691" s="107"/>
      <c r="V691" s="107"/>
      <c r="W691" s="107"/>
      <c r="X691" s="107"/>
      <c r="Y691" s="107"/>
      <c r="Z691" s="107"/>
    </row>
    <row r="692" ht="14.25" customHeight="1">
      <c r="A692" s="110">
        <v>45532.0</v>
      </c>
      <c r="B692" s="313" t="s">
        <v>419</v>
      </c>
      <c r="C692" s="271" t="s">
        <v>436</v>
      </c>
      <c r="D692" s="271" t="s">
        <v>54</v>
      </c>
      <c r="E692" s="271" t="s">
        <v>578</v>
      </c>
      <c r="F692" s="320">
        <v>962845.4</v>
      </c>
      <c r="G692" s="270"/>
      <c r="H692" s="271" t="s">
        <v>622</v>
      </c>
      <c r="I692" s="107"/>
      <c r="J692" s="107"/>
      <c r="K692" s="107"/>
      <c r="L692" s="107"/>
      <c r="M692" s="107"/>
      <c r="N692" s="107"/>
      <c r="O692" s="107"/>
      <c r="P692" s="107"/>
      <c r="Q692" s="107"/>
      <c r="R692" s="107"/>
      <c r="S692" s="107"/>
      <c r="T692" s="107"/>
      <c r="U692" s="107"/>
      <c r="V692" s="107"/>
      <c r="W692" s="107"/>
      <c r="X692" s="107"/>
      <c r="Y692" s="107"/>
      <c r="Z692" s="107"/>
    </row>
    <row r="693" ht="14.25" customHeight="1">
      <c r="A693" s="110">
        <v>45532.0</v>
      </c>
      <c r="B693" s="313" t="s">
        <v>271</v>
      </c>
      <c r="C693" s="271" t="s">
        <v>436</v>
      </c>
      <c r="D693" s="271" t="s">
        <v>75</v>
      </c>
      <c r="E693" s="271" t="s">
        <v>578</v>
      </c>
      <c r="F693" s="320">
        <v>200000.0</v>
      </c>
      <c r="G693" s="270"/>
      <c r="H693" s="271" t="s">
        <v>622</v>
      </c>
      <c r="I693" s="107"/>
      <c r="J693" s="107"/>
      <c r="K693" s="107"/>
      <c r="L693" s="107"/>
      <c r="M693" s="107"/>
      <c r="N693" s="107"/>
      <c r="O693" s="107"/>
      <c r="P693" s="107"/>
      <c r="Q693" s="107"/>
      <c r="R693" s="107"/>
      <c r="S693" s="107"/>
      <c r="T693" s="107"/>
      <c r="U693" s="107"/>
      <c r="V693" s="107"/>
      <c r="W693" s="107"/>
      <c r="X693" s="107"/>
      <c r="Y693" s="107"/>
      <c r="Z693" s="107"/>
    </row>
    <row r="694" ht="14.25" customHeight="1">
      <c r="A694" s="107"/>
      <c r="B694" s="107"/>
      <c r="C694" s="107"/>
      <c r="D694" s="107"/>
      <c r="E694" s="107"/>
      <c r="F694" s="109"/>
      <c r="G694" s="109"/>
      <c r="H694" s="107"/>
      <c r="I694" s="107"/>
      <c r="J694" s="107"/>
      <c r="K694" s="107"/>
      <c r="L694" s="107"/>
      <c r="M694" s="107"/>
      <c r="N694" s="107"/>
      <c r="O694" s="107"/>
      <c r="P694" s="107"/>
      <c r="Q694" s="107"/>
      <c r="R694" s="107"/>
      <c r="S694" s="107"/>
      <c r="T694" s="107"/>
      <c r="U694" s="107"/>
      <c r="V694" s="107"/>
      <c r="W694" s="107"/>
      <c r="X694" s="107"/>
      <c r="Y694" s="107"/>
      <c r="Z694" s="107"/>
    </row>
    <row r="695" ht="14.25" customHeight="1">
      <c r="A695" s="107"/>
      <c r="B695" s="107"/>
      <c r="C695" s="103" t="s">
        <v>623</v>
      </c>
      <c r="D695" s="107"/>
      <c r="E695" s="107"/>
      <c r="F695" s="109"/>
      <c r="G695" s="109"/>
      <c r="H695" s="107"/>
      <c r="I695" s="107"/>
      <c r="J695" s="107"/>
      <c r="K695" s="107"/>
      <c r="L695" s="107"/>
      <c r="M695" s="107"/>
      <c r="N695" s="107"/>
      <c r="O695" s="107"/>
      <c r="P695" s="107"/>
      <c r="Q695" s="107"/>
      <c r="R695" s="107"/>
      <c r="S695" s="107"/>
      <c r="T695" s="107"/>
      <c r="U695" s="107"/>
      <c r="V695" s="107"/>
      <c r="W695" s="107"/>
      <c r="X695" s="107"/>
      <c r="Y695" s="107"/>
      <c r="Z695" s="107"/>
    </row>
    <row r="696" ht="14.25" customHeight="1">
      <c r="A696" s="110">
        <v>45533.0</v>
      </c>
      <c r="B696" s="274" t="s">
        <v>345</v>
      </c>
      <c r="C696" s="275" t="s">
        <v>339</v>
      </c>
      <c r="D696" s="275" t="s">
        <v>467</v>
      </c>
      <c r="E696" s="276" t="s">
        <v>70</v>
      </c>
      <c r="F696" s="277">
        <v>14804.0</v>
      </c>
      <c r="G696" s="109"/>
      <c r="H696" s="107"/>
      <c r="I696" s="107"/>
      <c r="J696" s="107"/>
      <c r="K696" s="107"/>
      <c r="L696" s="107"/>
      <c r="M696" s="107"/>
      <c r="N696" s="107"/>
      <c r="O696" s="107"/>
      <c r="P696" s="107"/>
      <c r="Q696" s="107"/>
      <c r="R696" s="107"/>
      <c r="S696" s="107"/>
      <c r="T696" s="107"/>
      <c r="U696" s="107"/>
      <c r="V696" s="107"/>
      <c r="W696" s="107"/>
      <c r="X696" s="107"/>
      <c r="Y696" s="107"/>
      <c r="Z696" s="107"/>
    </row>
    <row r="697" ht="14.25" customHeight="1">
      <c r="A697" s="110">
        <v>45533.0</v>
      </c>
      <c r="B697" s="345" t="s">
        <v>588</v>
      </c>
      <c r="C697" s="278" t="s">
        <v>240</v>
      </c>
      <c r="D697" s="279" t="s">
        <v>59</v>
      </c>
      <c r="E697" s="315" t="s">
        <v>70</v>
      </c>
      <c r="F697" s="280">
        <v>200000.0</v>
      </c>
      <c r="G697" s="280">
        <v>200000.0</v>
      </c>
      <c r="H697" s="111" t="s">
        <v>212</v>
      </c>
      <c r="I697" s="107"/>
      <c r="J697" s="107"/>
      <c r="K697" s="107"/>
      <c r="L697" s="107"/>
      <c r="M697" s="107"/>
      <c r="N697" s="107"/>
      <c r="O697" s="107"/>
      <c r="P697" s="107"/>
      <c r="Q697" s="107"/>
      <c r="R697" s="107"/>
      <c r="S697" s="107"/>
      <c r="T697" s="107"/>
      <c r="U697" s="107"/>
      <c r="V697" s="107"/>
      <c r="W697" s="107"/>
      <c r="X697" s="107"/>
      <c r="Y697" s="107"/>
      <c r="Z697" s="107"/>
    </row>
    <row r="698" ht="14.25" customHeight="1">
      <c r="A698" s="110">
        <v>45533.0</v>
      </c>
      <c r="B698" s="274" t="s">
        <v>426</v>
      </c>
      <c r="C698" s="279" t="s">
        <v>427</v>
      </c>
      <c r="D698" s="279" t="s">
        <v>54</v>
      </c>
      <c r="E698" s="279" t="s">
        <v>70</v>
      </c>
      <c r="F698" s="280">
        <v>63791.0</v>
      </c>
      <c r="G698" s="109"/>
      <c r="H698" s="111" t="s">
        <v>608</v>
      </c>
      <c r="I698" s="107"/>
      <c r="J698" s="107"/>
      <c r="K698" s="107"/>
      <c r="L698" s="107"/>
      <c r="M698" s="107"/>
      <c r="N698" s="107"/>
      <c r="O698" s="107"/>
      <c r="P698" s="107"/>
      <c r="Q698" s="107"/>
      <c r="R698" s="107"/>
      <c r="S698" s="107"/>
      <c r="T698" s="107"/>
      <c r="U698" s="107"/>
      <c r="V698" s="107"/>
      <c r="W698" s="107"/>
      <c r="X698" s="107"/>
      <c r="Y698" s="107"/>
      <c r="Z698" s="107"/>
    </row>
    <row r="699" ht="14.25" customHeight="1">
      <c r="A699" s="110">
        <v>45533.0</v>
      </c>
      <c r="B699" s="1" t="s">
        <v>624</v>
      </c>
      <c r="C699" s="279" t="s">
        <v>625</v>
      </c>
      <c r="D699" s="279" t="s">
        <v>54</v>
      </c>
      <c r="E699" s="281" t="s">
        <v>70</v>
      </c>
      <c r="F699" s="282">
        <v>75000.0</v>
      </c>
      <c r="G699" s="282">
        <v>75000.0</v>
      </c>
      <c r="H699" s="111" t="s">
        <v>212</v>
      </c>
      <c r="I699" s="107"/>
      <c r="J699" s="107"/>
      <c r="K699" s="107"/>
      <c r="L699" s="107"/>
      <c r="M699" s="107"/>
      <c r="N699" s="107"/>
      <c r="O699" s="107"/>
      <c r="P699" s="107"/>
      <c r="Q699" s="107"/>
      <c r="R699" s="107"/>
      <c r="S699" s="107"/>
      <c r="T699" s="107"/>
      <c r="U699" s="107"/>
      <c r="V699" s="107"/>
      <c r="W699" s="107"/>
      <c r="X699" s="107"/>
      <c r="Y699" s="107"/>
      <c r="Z699" s="107"/>
    </row>
    <row r="700" ht="14.25" customHeight="1">
      <c r="A700" s="110">
        <v>45533.0</v>
      </c>
      <c r="B700" s="283" t="s">
        <v>586</v>
      </c>
      <c r="C700" s="284" t="s">
        <v>161</v>
      </c>
      <c r="D700" s="279" t="s">
        <v>413</v>
      </c>
      <c r="E700" s="281" t="s">
        <v>511</v>
      </c>
      <c r="F700" s="286">
        <v>402500.0</v>
      </c>
      <c r="G700" s="109"/>
      <c r="H700" s="111" t="s">
        <v>626</v>
      </c>
      <c r="I700" s="107"/>
      <c r="J700" s="107"/>
      <c r="K700" s="107"/>
      <c r="L700" s="107"/>
      <c r="M700" s="107"/>
      <c r="N700" s="107"/>
      <c r="O700" s="107"/>
      <c r="P700" s="107"/>
      <c r="Q700" s="107"/>
      <c r="R700" s="107"/>
      <c r="S700" s="107"/>
      <c r="T700" s="107"/>
      <c r="U700" s="107"/>
      <c r="V700" s="107"/>
      <c r="W700" s="107"/>
      <c r="X700" s="107"/>
      <c r="Y700" s="107"/>
      <c r="Z700" s="107"/>
    </row>
    <row r="701" ht="14.25" customHeight="1">
      <c r="A701" s="110">
        <v>45533.0</v>
      </c>
      <c r="B701" s="278" t="s">
        <v>415</v>
      </c>
      <c r="C701" s="279" t="s">
        <v>79</v>
      </c>
      <c r="D701" s="279" t="s">
        <v>54</v>
      </c>
      <c r="E701" s="281" t="s">
        <v>70</v>
      </c>
      <c r="F701" s="286">
        <v>500000.0</v>
      </c>
      <c r="G701" s="109"/>
      <c r="H701" s="111" t="s">
        <v>627</v>
      </c>
      <c r="I701" s="107"/>
      <c r="J701" s="107"/>
      <c r="K701" s="107"/>
      <c r="L701" s="107"/>
      <c r="M701" s="107"/>
      <c r="N701" s="107"/>
      <c r="O701" s="107"/>
      <c r="P701" s="107"/>
      <c r="Q701" s="107"/>
      <c r="R701" s="107"/>
      <c r="S701" s="107"/>
      <c r="T701" s="107"/>
      <c r="U701" s="107"/>
      <c r="V701" s="107"/>
      <c r="W701" s="107"/>
      <c r="X701" s="107"/>
      <c r="Y701" s="107"/>
      <c r="Z701" s="107"/>
    </row>
    <row r="702" ht="14.25" customHeight="1">
      <c r="A702" s="110">
        <v>45533.0</v>
      </c>
      <c r="B702" s="278" t="s">
        <v>498</v>
      </c>
      <c r="C702" s="279" t="s">
        <v>499</v>
      </c>
      <c r="D702" s="279" t="s">
        <v>54</v>
      </c>
      <c r="E702" s="279" t="s">
        <v>80</v>
      </c>
      <c r="F702" s="280">
        <v>93678.7</v>
      </c>
      <c r="G702" s="109"/>
      <c r="H702" s="111" t="s">
        <v>614</v>
      </c>
      <c r="I702" s="107"/>
      <c r="J702" s="107"/>
      <c r="K702" s="107"/>
      <c r="L702" s="107"/>
      <c r="M702" s="107"/>
      <c r="N702" s="107"/>
      <c r="O702" s="107"/>
      <c r="P702" s="107"/>
      <c r="Q702" s="107"/>
      <c r="R702" s="107"/>
      <c r="S702" s="107"/>
      <c r="T702" s="107"/>
      <c r="U702" s="107"/>
      <c r="V702" s="107"/>
      <c r="W702" s="107"/>
      <c r="X702" s="107"/>
      <c r="Y702" s="107"/>
      <c r="Z702" s="107"/>
    </row>
    <row r="703" ht="14.25" customHeight="1">
      <c r="A703" s="110">
        <v>45533.0</v>
      </c>
      <c r="B703" s="278" t="s">
        <v>501</v>
      </c>
      <c r="C703" s="279" t="s">
        <v>499</v>
      </c>
      <c r="D703" s="279" t="s">
        <v>467</v>
      </c>
      <c r="E703" s="259" t="s">
        <v>80</v>
      </c>
      <c r="F703" s="280">
        <v>24716.0</v>
      </c>
      <c r="G703" s="109"/>
      <c r="H703" s="111" t="s">
        <v>614</v>
      </c>
      <c r="I703" s="107"/>
      <c r="J703" s="107"/>
      <c r="K703" s="107"/>
      <c r="L703" s="107"/>
      <c r="M703" s="107"/>
      <c r="N703" s="107"/>
      <c r="O703" s="107"/>
      <c r="P703" s="107"/>
      <c r="Q703" s="107"/>
      <c r="R703" s="107"/>
      <c r="S703" s="107"/>
      <c r="T703" s="107"/>
      <c r="U703" s="107"/>
      <c r="V703" s="107"/>
      <c r="W703" s="107"/>
      <c r="X703" s="107"/>
      <c r="Y703" s="107"/>
      <c r="Z703" s="107"/>
    </row>
    <row r="704" ht="14.25" customHeight="1">
      <c r="A704" s="110">
        <v>45533.0</v>
      </c>
      <c r="B704" s="278" t="s">
        <v>147</v>
      </c>
      <c r="C704" s="279" t="s">
        <v>598</v>
      </c>
      <c r="D704" s="279" t="s">
        <v>54</v>
      </c>
      <c r="E704" s="279" t="s">
        <v>80</v>
      </c>
      <c r="F704" s="280">
        <v>60939.0</v>
      </c>
      <c r="G704" s="109"/>
      <c r="H704" s="111" t="s">
        <v>628</v>
      </c>
      <c r="I704" s="107"/>
      <c r="J704" s="107"/>
      <c r="K704" s="107"/>
      <c r="L704" s="107"/>
      <c r="M704" s="107"/>
      <c r="N704" s="107"/>
      <c r="O704" s="107"/>
      <c r="P704" s="107"/>
      <c r="Q704" s="107"/>
      <c r="R704" s="107"/>
      <c r="S704" s="107"/>
      <c r="T704" s="107"/>
      <c r="U704" s="107"/>
      <c r="V704" s="107"/>
      <c r="W704" s="107"/>
      <c r="X704" s="107"/>
      <c r="Y704" s="107"/>
      <c r="Z704" s="107"/>
    </row>
    <row r="705" ht="14.25" customHeight="1">
      <c r="A705" s="110">
        <v>45533.0</v>
      </c>
      <c r="B705" s="295" t="s">
        <v>96</v>
      </c>
      <c r="C705" s="296" t="s">
        <v>97</v>
      </c>
      <c r="D705" s="296" t="s">
        <v>54</v>
      </c>
      <c r="E705" s="296" t="s">
        <v>80</v>
      </c>
      <c r="F705" s="317">
        <v>6723.0</v>
      </c>
      <c r="G705" s="109"/>
      <c r="H705" s="111" t="s">
        <v>309</v>
      </c>
      <c r="I705" s="107"/>
      <c r="J705" s="107"/>
      <c r="K705" s="107"/>
      <c r="L705" s="107"/>
      <c r="M705" s="107"/>
      <c r="N705" s="107"/>
      <c r="O705" s="107"/>
      <c r="P705" s="107"/>
      <c r="Q705" s="107"/>
      <c r="R705" s="107"/>
      <c r="S705" s="107"/>
      <c r="T705" s="107"/>
      <c r="U705" s="107"/>
      <c r="V705" s="107"/>
      <c r="W705" s="107"/>
      <c r="X705" s="107"/>
      <c r="Y705" s="107"/>
      <c r="Z705" s="107"/>
    </row>
    <row r="706" ht="14.25" customHeight="1">
      <c r="A706" s="110">
        <v>45533.0</v>
      </c>
      <c r="B706" s="278" t="s">
        <v>493</v>
      </c>
      <c r="C706" s="279" t="s">
        <v>506</v>
      </c>
      <c r="D706" s="279" t="s">
        <v>67</v>
      </c>
      <c r="E706" s="281" t="s">
        <v>80</v>
      </c>
      <c r="F706" s="282">
        <v>121076.0</v>
      </c>
      <c r="G706" s="109"/>
      <c r="H706" s="111" t="s">
        <v>629</v>
      </c>
      <c r="I706" s="107"/>
      <c r="J706" s="107"/>
      <c r="K706" s="107"/>
      <c r="L706" s="107"/>
      <c r="M706" s="107"/>
      <c r="N706" s="107"/>
      <c r="O706" s="107"/>
      <c r="P706" s="107"/>
      <c r="Q706" s="107"/>
      <c r="R706" s="107"/>
      <c r="S706" s="107"/>
      <c r="T706" s="107"/>
      <c r="U706" s="107"/>
      <c r="V706" s="107"/>
      <c r="W706" s="107"/>
      <c r="X706" s="107"/>
      <c r="Y706" s="107"/>
      <c r="Z706" s="107"/>
    </row>
    <row r="707" ht="14.25" customHeight="1">
      <c r="A707" s="110">
        <v>45533.0</v>
      </c>
      <c r="B707" s="111" t="s">
        <v>630</v>
      </c>
      <c r="C707" s="111" t="s">
        <v>133</v>
      </c>
      <c r="D707" s="111" t="s">
        <v>631</v>
      </c>
      <c r="E707" s="111" t="s">
        <v>80</v>
      </c>
      <c r="F707" s="113">
        <v>2747684.0</v>
      </c>
      <c r="G707" s="113">
        <v>1800000.0</v>
      </c>
      <c r="H707" s="111" t="s">
        <v>570</v>
      </c>
      <c r="I707" s="107"/>
      <c r="J707" s="107"/>
      <c r="K707" s="107"/>
      <c r="L707" s="107"/>
      <c r="M707" s="107"/>
      <c r="N707" s="107"/>
      <c r="O707" s="107"/>
      <c r="P707" s="107"/>
      <c r="Q707" s="107"/>
      <c r="R707" s="107"/>
      <c r="S707" s="107"/>
      <c r="T707" s="107"/>
      <c r="U707" s="107"/>
      <c r="V707" s="107"/>
      <c r="W707" s="107"/>
      <c r="X707" s="107"/>
      <c r="Y707" s="107"/>
      <c r="Z707" s="107"/>
    </row>
    <row r="708" ht="14.25" customHeight="1">
      <c r="A708" s="110">
        <v>45533.0</v>
      </c>
      <c r="B708" s="346" t="s">
        <v>419</v>
      </c>
      <c r="C708" s="347" t="s">
        <v>436</v>
      </c>
      <c r="D708" s="347" t="s">
        <v>54</v>
      </c>
      <c r="E708" s="347" t="s">
        <v>578</v>
      </c>
      <c r="F708" s="348">
        <v>962845.4</v>
      </c>
      <c r="G708" s="109"/>
      <c r="H708" s="111" t="s">
        <v>632</v>
      </c>
      <c r="I708" s="107"/>
      <c r="J708" s="107"/>
      <c r="K708" s="107"/>
      <c r="L708" s="107"/>
      <c r="M708" s="107"/>
      <c r="N708" s="107"/>
      <c r="O708" s="107"/>
      <c r="P708" s="107"/>
      <c r="Q708" s="107"/>
      <c r="R708" s="107"/>
      <c r="S708" s="107"/>
      <c r="T708" s="107"/>
      <c r="U708" s="107"/>
      <c r="V708" s="107"/>
      <c r="W708" s="107"/>
      <c r="X708" s="107"/>
      <c r="Y708" s="107"/>
      <c r="Z708" s="107"/>
    </row>
    <row r="709" ht="14.25" customHeight="1">
      <c r="A709" s="110">
        <v>45533.0</v>
      </c>
      <c r="B709" s="346" t="s">
        <v>271</v>
      </c>
      <c r="C709" s="347" t="s">
        <v>436</v>
      </c>
      <c r="D709" s="347" t="s">
        <v>75</v>
      </c>
      <c r="E709" s="347" t="s">
        <v>578</v>
      </c>
      <c r="F709" s="348">
        <v>200000.0</v>
      </c>
      <c r="G709" s="109"/>
      <c r="H709" s="111" t="s">
        <v>632</v>
      </c>
      <c r="I709" s="107"/>
      <c r="J709" s="107"/>
      <c r="K709" s="107"/>
      <c r="L709" s="107"/>
      <c r="M709" s="107"/>
      <c r="N709" s="107"/>
      <c r="O709" s="107"/>
      <c r="P709" s="107"/>
      <c r="Q709" s="107"/>
      <c r="R709" s="107"/>
      <c r="S709" s="107"/>
      <c r="T709" s="107"/>
      <c r="U709" s="107"/>
      <c r="V709" s="107"/>
      <c r="W709" s="107"/>
      <c r="X709" s="107"/>
      <c r="Y709" s="107"/>
      <c r="Z709" s="107"/>
    </row>
    <row r="710" ht="14.25" customHeight="1">
      <c r="A710" s="110">
        <v>45533.0</v>
      </c>
      <c r="B710" s="111" t="s">
        <v>162</v>
      </c>
      <c r="C710" s="111" t="s">
        <v>538</v>
      </c>
      <c r="D710" s="111" t="s">
        <v>54</v>
      </c>
      <c r="E710" s="111" t="s">
        <v>578</v>
      </c>
      <c r="F710" s="113">
        <v>251710.0</v>
      </c>
      <c r="G710" s="109"/>
      <c r="H710" s="111" t="s">
        <v>633</v>
      </c>
      <c r="I710" s="107"/>
      <c r="J710" s="107"/>
      <c r="K710" s="107"/>
      <c r="L710" s="107"/>
      <c r="M710" s="107"/>
      <c r="N710" s="107"/>
      <c r="O710" s="107"/>
      <c r="P710" s="107"/>
      <c r="Q710" s="107"/>
      <c r="R710" s="107"/>
      <c r="S710" s="107"/>
      <c r="T710" s="107"/>
      <c r="U710" s="107"/>
      <c r="V710" s="107"/>
      <c r="W710" s="107"/>
      <c r="X710" s="107"/>
      <c r="Y710" s="107"/>
      <c r="Z710" s="107"/>
    </row>
    <row r="711" ht="14.25" customHeight="1">
      <c r="A711" s="110">
        <v>45533.0</v>
      </c>
      <c r="B711" s="111" t="s">
        <v>618</v>
      </c>
      <c r="C711" s="111" t="s">
        <v>634</v>
      </c>
      <c r="D711" s="111" t="s">
        <v>75</v>
      </c>
      <c r="E711" s="111" t="s">
        <v>578</v>
      </c>
      <c r="F711" s="113">
        <v>265973.33</v>
      </c>
      <c r="G711" s="109"/>
      <c r="H711" s="111" t="s">
        <v>635</v>
      </c>
      <c r="I711" s="107"/>
      <c r="J711" s="107"/>
      <c r="K711" s="107"/>
      <c r="L711" s="107"/>
      <c r="M711" s="107"/>
      <c r="N711" s="107"/>
      <c r="O711" s="107"/>
      <c r="P711" s="107"/>
      <c r="Q711" s="107"/>
      <c r="R711" s="107"/>
      <c r="S711" s="107"/>
      <c r="T711" s="107"/>
      <c r="U711" s="107"/>
      <c r="V711" s="107"/>
      <c r="W711" s="107"/>
      <c r="X711" s="107"/>
      <c r="Y711" s="107"/>
      <c r="Z711" s="107"/>
    </row>
    <row r="712" ht="14.25" customHeight="1">
      <c r="A712" s="107"/>
      <c r="B712" s="107"/>
      <c r="C712" s="107"/>
      <c r="D712" s="107"/>
      <c r="E712" s="107"/>
      <c r="F712" s="109"/>
      <c r="G712" s="109"/>
      <c r="H712" s="107"/>
      <c r="I712" s="107"/>
      <c r="J712" s="107"/>
      <c r="K712" s="107"/>
      <c r="L712" s="107"/>
      <c r="M712" s="107"/>
      <c r="N712" s="107"/>
      <c r="O712" s="107"/>
      <c r="P712" s="107"/>
      <c r="Q712" s="107"/>
      <c r="R712" s="107"/>
      <c r="S712" s="107"/>
      <c r="T712" s="107"/>
      <c r="U712" s="107"/>
      <c r="V712" s="107"/>
      <c r="W712" s="107"/>
      <c r="X712" s="107"/>
      <c r="Y712" s="107"/>
      <c r="Z712" s="107"/>
    </row>
    <row r="713" ht="14.25" customHeight="1">
      <c r="A713" s="107"/>
      <c r="B713" s="107"/>
      <c r="C713" s="103" t="s">
        <v>636</v>
      </c>
      <c r="D713" s="107"/>
      <c r="E713" s="107"/>
      <c r="F713" s="109"/>
      <c r="G713" s="109"/>
      <c r="H713" s="107"/>
      <c r="I713" s="107"/>
      <c r="J713" s="107"/>
      <c r="K713" s="107"/>
      <c r="L713" s="107"/>
      <c r="M713" s="107"/>
      <c r="N713" s="107"/>
      <c r="O713" s="107"/>
      <c r="P713" s="107"/>
      <c r="Q713" s="107"/>
      <c r="R713" s="107"/>
      <c r="S713" s="107"/>
      <c r="T713" s="107"/>
      <c r="U713" s="107"/>
      <c r="V713" s="107"/>
      <c r="W713" s="107"/>
      <c r="X713" s="107"/>
      <c r="Y713" s="107"/>
      <c r="Z713" s="107"/>
    </row>
    <row r="714" ht="14.25" customHeight="1">
      <c r="A714" s="110">
        <v>45534.0</v>
      </c>
      <c r="B714" s="343" t="s">
        <v>207</v>
      </c>
      <c r="C714" s="344" t="s">
        <v>208</v>
      </c>
      <c r="D714" s="344" t="s">
        <v>54</v>
      </c>
      <c r="E714" s="349" t="s">
        <v>637</v>
      </c>
      <c r="F714" s="113">
        <v>95422.0</v>
      </c>
      <c r="G714" s="109"/>
      <c r="H714" s="107"/>
      <c r="I714" s="107"/>
      <c r="J714" s="107"/>
      <c r="K714" s="107"/>
      <c r="L714" s="107"/>
      <c r="M714" s="107"/>
      <c r="N714" s="107"/>
      <c r="O714" s="107"/>
      <c r="P714" s="107"/>
      <c r="Q714" s="107"/>
      <c r="R714" s="107"/>
      <c r="S714" s="107"/>
      <c r="T714" s="107"/>
      <c r="U714" s="107"/>
      <c r="V714" s="107"/>
      <c r="W714" s="107"/>
      <c r="X714" s="107"/>
      <c r="Y714" s="107"/>
      <c r="Z714" s="107"/>
    </row>
    <row r="715" ht="14.25" customHeight="1">
      <c r="A715" s="110">
        <v>45534.0</v>
      </c>
      <c r="B715" s="283" t="s">
        <v>586</v>
      </c>
      <c r="C715" s="284" t="s">
        <v>161</v>
      </c>
      <c r="D715" s="279" t="s">
        <v>413</v>
      </c>
      <c r="E715" s="349" t="s">
        <v>637</v>
      </c>
      <c r="F715" s="286">
        <v>402500.0</v>
      </c>
      <c r="G715" s="109"/>
      <c r="H715" s="111" t="s">
        <v>638</v>
      </c>
      <c r="I715" s="107"/>
      <c r="J715" s="107"/>
      <c r="K715" s="107"/>
      <c r="L715" s="107"/>
      <c r="M715" s="107"/>
      <c r="N715" s="107"/>
      <c r="O715" s="107"/>
      <c r="P715" s="107"/>
      <c r="Q715" s="107"/>
      <c r="R715" s="107"/>
      <c r="S715" s="107"/>
      <c r="T715" s="107"/>
      <c r="U715" s="107"/>
      <c r="V715" s="107"/>
      <c r="W715" s="107"/>
      <c r="X715" s="107"/>
      <c r="Y715" s="107"/>
      <c r="Z715" s="107"/>
    </row>
    <row r="716" ht="14.25" customHeight="1">
      <c r="A716" s="110">
        <v>45534.0</v>
      </c>
      <c r="B716" s="274" t="s">
        <v>345</v>
      </c>
      <c r="C716" s="275" t="s">
        <v>339</v>
      </c>
      <c r="D716" s="275" t="s">
        <v>467</v>
      </c>
      <c r="E716" s="276" t="s">
        <v>70</v>
      </c>
      <c r="F716" s="277">
        <v>14804.0</v>
      </c>
      <c r="G716" s="109"/>
      <c r="H716" s="111" t="s">
        <v>639</v>
      </c>
      <c r="I716" s="107"/>
      <c r="J716" s="107"/>
      <c r="K716" s="107"/>
      <c r="L716" s="107"/>
      <c r="M716" s="107"/>
      <c r="N716" s="107"/>
      <c r="O716" s="107"/>
      <c r="P716" s="107"/>
      <c r="Q716" s="107"/>
      <c r="R716" s="107"/>
      <c r="S716" s="107"/>
      <c r="T716" s="107"/>
      <c r="U716" s="107"/>
      <c r="V716" s="107"/>
      <c r="W716" s="107"/>
      <c r="X716" s="107"/>
      <c r="Y716" s="107"/>
      <c r="Z716" s="107"/>
    </row>
    <row r="717" ht="14.25" customHeight="1">
      <c r="A717" s="110">
        <v>45534.0</v>
      </c>
      <c r="B717" s="235" t="s">
        <v>640</v>
      </c>
      <c r="C717" s="236" t="s">
        <v>82</v>
      </c>
      <c r="D717" s="236" t="s">
        <v>75</v>
      </c>
      <c r="E717" s="111" t="s">
        <v>637</v>
      </c>
      <c r="F717" s="113">
        <v>345000.0</v>
      </c>
      <c r="G717" s="109"/>
      <c r="H717" s="111" t="s">
        <v>641</v>
      </c>
      <c r="I717" s="107"/>
      <c r="J717" s="107"/>
      <c r="K717" s="107"/>
      <c r="L717" s="107"/>
      <c r="M717" s="107"/>
      <c r="N717" s="107"/>
      <c r="O717" s="107"/>
      <c r="P717" s="107"/>
      <c r="Q717" s="107"/>
      <c r="R717" s="107"/>
      <c r="S717" s="107"/>
      <c r="T717" s="107"/>
      <c r="U717" s="107"/>
      <c r="V717" s="107"/>
      <c r="W717" s="107"/>
      <c r="X717" s="107"/>
      <c r="Y717" s="107"/>
      <c r="Z717" s="107"/>
    </row>
    <row r="718" ht="14.25" customHeight="1">
      <c r="A718" s="110">
        <v>45534.0</v>
      </c>
      <c r="B718" s="235" t="s">
        <v>204</v>
      </c>
      <c r="C718" s="236" t="s">
        <v>205</v>
      </c>
      <c r="D718" s="236" t="s">
        <v>59</v>
      </c>
      <c r="E718" s="111" t="s">
        <v>637</v>
      </c>
      <c r="F718" s="113">
        <v>19920.0</v>
      </c>
      <c r="G718" s="109"/>
      <c r="H718" s="111" t="s">
        <v>642</v>
      </c>
      <c r="I718" s="107"/>
      <c r="J718" s="107"/>
      <c r="K718" s="107"/>
      <c r="L718" s="107"/>
      <c r="M718" s="107"/>
      <c r="N718" s="107"/>
      <c r="O718" s="107"/>
      <c r="P718" s="107"/>
      <c r="Q718" s="107"/>
      <c r="R718" s="107"/>
      <c r="S718" s="107"/>
      <c r="T718" s="107"/>
      <c r="U718" s="107"/>
      <c r="V718" s="107"/>
      <c r="W718" s="107"/>
      <c r="X718" s="107"/>
      <c r="Y718" s="107"/>
      <c r="Z718" s="107"/>
    </row>
    <row r="719" ht="14.25" customHeight="1">
      <c r="A719" s="110">
        <v>45534.0</v>
      </c>
      <c r="B719" s="111" t="s">
        <v>415</v>
      </c>
      <c r="C719" s="279" t="s">
        <v>79</v>
      </c>
      <c r="D719" s="111" t="s">
        <v>54</v>
      </c>
      <c r="E719" s="111" t="s">
        <v>80</v>
      </c>
      <c r="F719" s="113">
        <v>280378.75</v>
      </c>
      <c r="G719" s="113">
        <v>81000.0</v>
      </c>
      <c r="H719" s="111" t="s">
        <v>643</v>
      </c>
      <c r="I719" s="107"/>
      <c r="J719" s="107"/>
      <c r="K719" s="107"/>
      <c r="L719" s="107"/>
      <c r="M719" s="107"/>
      <c r="N719" s="107"/>
      <c r="O719" s="107"/>
      <c r="P719" s="107"/>
      <c r="Q719" s="107"/>
      <c r="R719" s="107"/>
      <c r="S719" s="107"/>
      <c r="T719" s="107"/>
      <c r="U719" s="107"/>
      <c r="V719" s="107"/>
      <c r="W719" s="107"/>
      <c r="X719" s="107"/>
      <c r="Y719" s="107"/>
      <c r="Z719" s="107"/>
    </row>
    <row r="720" ht="14.25" customHeight="1">
      <c r="A720" s="110">
        <v>45534.0</v>
      </c>
      <c r="B720" s="295" t="s">
        <v>96</v>
      </c>
      <c r="C720" s="296" t="s">
        <v>97</v>
      </c>
      <c r="D720" s="296" t="s">
        <v>54</v>
      </c>
      <c r="E720" s="296" t="s">
        <v>80</v>
      </c>
      <c r="F720" s="317">
        <v>6723.0</v>
      </c>
      <c r="G720" s="113">
        <v>7060.0</v>
      </c>
      <c r="H720" s="111" t="s">
        <v>212</v>
      </c>
      <c r="I720" s="107"/>
      <c r="J720" s="107"/>
      <c r="K720" s="107"/>
      <c r="L720" s="107"/>
      <c r="M720" s="107"/>
      <c r="N720" s="107"/>
      <c r="O720" s="107"/>
      <c r="P720" s="107"/>
      <c r="Q720" s="107"/>
      <c r="R720" s="107"/>
      <c r="S720" s="107"/>
      <c r="T720" s="107"/>
      <c r="U720" s="107"/>
      <c r="V720" s="107"/>
      <c r="W720" s="107"/>
      <c r="X720" s="107"/>
      <c r="Y720" s="107"/>
      <c r="Z720" s="107"/>
    </row>
    <row r="721" ht="14.25" customHeight="1">
      <c r="A721" s="110">
        <v>45534.0</v>
      </c>
      <c r="B721" s="278" t="s">
        <v>147</v>
      </c>
      <c r="C721" s="279" t="s">
        <v>598</v>
      </c>
      <c r="D721" s="279" t="s">
        <v>54</v>
      </c>
      <c r="E721" s="279" t="s">
        <v>80</v>
      </c>
      <c r="F721" s="280">
        <v>60939.0</v>
      </c>
      <c r="G721" s="113">
        <v>20000.0</v>
      </c>
      <c r="H721" s="111" t="s">
        <v>644</v>
      </c>
      <c r="I721" s="107"/>
      <c r="J721" s="107"/>
      <c r="K721" s="107"/>
      <c r="L721" s="107"/>
      <c r="M721" s="107"/>
      <c r="N721" s="107"/>
      <c r="O721" s="107"/>
      <c r="P721" s="107"/>
      <c r="Q721" s="107"/>
      <c r="R721" s="107"/>
      <c r="S721" s="107"/>
      <c r="T721" s="107"/>
      <c r="U721" s="107"/>
      <c r="V721" s="107"/>
      <c r="W721" s="107"/>
      <c r="X721" s="107"/>
      <c r="Y721" s="107"/>
      <c r="Z721" s="107"/>
    </row>
    <row r="722" ht="14.25" customHeight="1">
      <c r="A722" s="110">
        <v>45534.0</v>
      </c>
      <c r="B722" s="278" t="s">
        <v>493</v>
      </c>
      <c r="C722" s="279" t="s">
        <v>506</v>
      </c>
      <c r="D722" s="279" t="s">
        <v>67</v>
      </c>
      <c r="E722" s="281" t="s">
        <v>80</v>
      </c>
      <c r="F722" s="282">
        <v>121076.0</v>
      </c>
      <c r="G722" s="109"/>
      <c r="H722" s="111" t="s">
        <v>645</v>
      </c>
      <c r="I722" s="107"/>
      <c r="J722" s="107"/>
      <c r="K722" s="107"/>
      <c r="L722" s="107"/>
      <c r="M722" s="107"/>
      <c r="N722" s="107"/>
      <c r="O722" s="107"/>
      <c r="P722" s="107"/>
      <c r="Q722" s="107"/>
      <c r="R722" s="107"/>
      <c r="S722" s="107"/>
      <c r="T722" s="107"/>
      <c r="U722" s="107"/>
      <c r="V722" s="107"/>
      <c r="W722" s="107"/>
      <c r="X722" s="107"/>
      <c r="Y722" s="107"/>
      <c r="Z722" s="107"/>
    </row>
    <row r="723" ht="14.25" customHeight="1">
      <c r="A723" s="110">
        <v>45534.0</v>
      </c>
      <c r="B723" s="278" t="s">
        <v>498</v>
      </c>
      <c r="C723" s="279" t="s">
        <v>499</v>
      </c>
      <c r="D723" s="279" t="s">
        <v>54</v>
      </c>
      <c r="E723" s="279" t="s">
        <v>80</v>
      </c>
      <c r="F723" s="280">
        <v>93678.7</v>
      </c>
      <c r="G723" s="109"/>
      <c r="H723" s="111" t="s">
        <v>646</v>
      </c>
      <c r="I723" s="107"/>
      <c r="J723" s="107"/>
      <c r="K723" s="107"/>
      <c r="L723" s="107"/>
      <c r="M723" s="107"/>
      <c r="N723" s="107"/>
      <c r="O723" s="107"/>
      <c r="P723" s="107"/>
      <c r="Q723" s="107"/>
      <c r="R723" s="107"/>
      <c r="S723" s="107"/>
      <c r="T723" s="107"/>
      <c r="U723" s="107"/>
      <c r="V723" s="107"/>
      <c r="W723" s="107"/>
      <c r="X723" s="107"/>
      <c r="Y723" s="107"/>
      <c r="Z723" s="107"/>
    </row>
    <row r="724" ht="14.25" customHeight="1">
      <c r="A724" s="110">
        <v>45534.0</v>
      </c>
      <c r="B724" s="278" t="s">
        <v>501</v>
      </c>
      <c r="C724" s="279" t="s">
        <v>499</v>
      </c>
      <c r="D724" s="279" t="s">
        <v>467</v>
      </c>
      <c r="E724" s="259" t="s">
        <v>80</v>
      </c>
      <c r="F724" s="280">
        <v>24716.0</v>
      </c>
      <c r="G724" s="109"/>
      <c r="H724" s="111" t="s">
        <v>646</v>
      </c>
      <c r="I724" s="107"/>
      <c r="J724" s="107"/>
      <c r="K724" s="107"/>
      <c r="L724" s="107"/>
      <c r="M724" s="107"/>
      <c r="N724" s="107"/>
      <c r="O724" s="107"/>
      <c r="P724" s="107"/>
      <c r="Q724" s="107"/>
      <c r="R724" s="107"/>
      <c r="S724" s="107"/>
      <c r="T724" s="107"/>
      <c r="U724" s="107"/>
      <c r="V724" s="107"/>
      <c r="W724" s="107"/>
      <c r="X724" s="107"/>
      <c r="Y724" s="107"/>
      <c r="Z724" s="107"/>
    </row>
    <row r="725" ht="14.25" customHeight="1">
      <c r="A725" s="110">
        <v>45534.0</v>
      </c>
      <c r="B725" s="111" t="s">
        <v>162</v>
      </c>
      <c r="C725" s="111" t="s">
        <v>538</v>
      </c>
      <c r="D725" s="111" t="s">
        <v>54</v>
      </c>
      <c r="E725" s="111" t="s">
        <v>578</v>
      </c>
      <c r="F725" s="113">
        <v>251710.0</v>
      </c>
      <c r="G725" s="109"/>
      <c r="H725" s="111" t="s">
        <v>647</v>
      </c>
      <c r="I725" s="107"/>
      <c r="J725" s="107"/>
      <c r="K725" s="107"/>
      <c r="L725" s="107"/>
      <c r="M725" s="107"/>
      <c r="N725" s="107"/>
      <c r="O725" s="107"/>
      <c r="P725" s="107"/>
      <c r="Q725" s="107"/>
      <c r="R725" s="107"/>
      <c r="S725" s="107"/>
      <c r="T725" s="107"/>
      <c r="U725" s="107"/>
      <c r="V725" s="107"/>
      <c r="W725" s="107"/>
      <c r="X725" s="107"/>
      <c r="Y725" s="107"/>
      <c r="Z725" s="107"/>
    </row>
    <row r="726" ht="14.25" customHeight="1">
      <c r="A726" s="110">
        <v>45534.0</v>
      </c>
      <c r="B726" s="346" t="s">
        <v>419</v>
      </c>
      <c r="C726" s="347" t="s">
        <v>436</v>
      </c>
      <c r="D726" s="347" t="s">
        <v>54</v>
      </c>
      <c r="E726" s="347" t="s">
        <v>578</v>
      </c>
      <c r="F726" s="348">
        <v>962845.4</v>
      </c>
      <c r="G726" s="109"/>
      <c r="H726" s="111" t="s">
        <v>648</v>
      </c>
      <c r="I726" s="107"/>
      <c r="J726" s="107"/>
      <c r="K726" s="107"/>
      <c r="L726" s="107"/>
      <c r="M726" s="107"/>
      <c r="N726" s="107"/>
      <c r="O726" s="107"/>
      <c r="P726" s="107"/>
      <c r="Q726" s="107"/>
      <c r="R726" s="107"/>
      <c r="S726" s="107"/>
      <c r="T726" s="107"/>
      <c r="U726" s="107"/>
      <c r="V726" s="107"/>
      <c r="W726" s="107"/>
      <c r="X726" s="107"/>
      <c r="Y726" s="107"/>
      <c r="Z726" s="107"/>
    </row>
    <row r="727" ht="14.25" customHeight="1">
      <c r="A727" s="110">
        <v>45534.0</v>
      </c>
      <c r="B727" s="346" t="s">
        <v>271</v>
      </c>
      <c r="C727" s="347" t="s">
        <v>436</v>
      </c>
      <c r="D727" s="347" t="s">
        <v>75</v>
      </c>
      <c r="E727" s="347" t="s">
        <v>578</v>
      </c>
      <c r="F727" s="348">
        <v>200000.0</v>
      </c>
      <c r="G727" s="109"/>
      <c r="H727" s="111" t="s">
        <v>648</v>
      </c>
      <c r="I727" s="107"/>
      <c r="J727" s="107"/>
      <c r="K727" s="107"/>
      <c r="L727" s="107"/>
      <c r="M727" s="107"/>
      <c r="N727" s="107"/>
      <c r="O727" s="107"/>
      <c r="P727" s="107"/>
      <c r="Q727" s="107"/>
      <c r="R727" s="107"/>
      <c r="S727" s="107"/>
      <c r="T727" s="107"/>
      <c r="U727" s="107"/>
      <c r="V727" s="107"/>
      <c r="W727" s="107"/>
      <c r="X727" s="107"/>
      <c r="Y727" s="107"/>
      <c r="Z727" s="107"/>
    </row>
    <row r="728" ht="14.25" customHeight="1">
      <c r="A728" s="110">
        <v>45534.0</v>
      </c>
      <c r="B728" s="111" t="s">
        <v>303</v>
      </c>
      <c r="C728" s="111" t="s">
        <v>649</v>
      </c>
      <c r="D728" s="111" t="s">
        <v>54</v>
      </c>
      <c r="E728" s="111" t="s">
        <v>578</v>
      </c>
      <c r="F728" s="113">
        <v>100000.0</v>
      </c>
      <c r="G728" s="113">
        <v>100000.0</v>
      </c>
      <c r="H728" s="111" t="s">
        <v>650</v>
      </c>
      <c r="I728" s="107"/>
      <c r="J728" s="107"/>
      <c r="K728" s="107"/>
      <c r="L728" s="107"/>
      <c r="M728" s="107"/>
      <c r="N728" s="107"/>
      <c r="O728" s="107"/>
      <c r="P728" s="107"/>
      <c r="Q728" s="107"/>
      <c r="R728" s="107"/>
      <c r="S728" s="107"/>
      <c r="T728" s="107"/>
      <c r="U728" s="107"/>
      <c r="V728" s="107"/>
      <c r="W728" s="107"/>
      <c r="X728" s="107"/>
      <c r="Y728" s="107"/>
      <c r="Z728" s="107"/>
    </row>
    <row r="729" ht="14.25" customHeight="1">
      <c r="A729" s="110">
        <v>45534.0</v>
      </c>
      <c r="B729" s="326" t="s">
        <v>451</v>
      </c>
      <c r="C729" s="327" t="s">
        <v>452</v>
      </c>
      <c r="D729" s="271" t="s">
        <v>59</v>
      </c>
      <c r="E729" s="271" t="s">
        <v>273</v>
      </c>
      <c r="F729" s="328">
        <v>1000000.0</v>
      </c>
      <c r="G729" s="109"/>
      <c r="H729" s="111" t="s">
        <v>651</v>
      </c>
      <c r="I729" s="107"/>
      <c r="J729" s="107"/>
      <c r="K729" s="107"/>
      <c r="L729" s="107"/>
      <c r="M729" s="107"/>
      <c r="N729" s="107"/>
      <c r="O729" s="107"/>
      <c r="P729" s="107"/>
      <c r="Q729" s="107"/>
      <c r="R729" s="107"/>
      <c r="S729" s="107"/>
      <c r="T729" s="107"/>
      <c r="U729" s="107"/>
      <c r="V729" s="107"/>
      <c r="W729" s="107"/>
      <c r="X729" s="107"/>
      <c r="Y729" s="107"/>
      <c r="Z729" s="107"/>
    </row>
    <row r="730" ht="14.25" customHeight="1">
      <c r="A730" s="107"/>
      <c r="B730" s="107"/>
      <c r="C730" s="107"/>
      <c r="D730" s="107"/>
      <c r="E730" s="107"/>
      <c r="F730" s="109"/>
      <c r="G730" s="109"/>
      <c r="H730" s="107"/>
      <c r="I730" s="107"/>
      <c r="J730" s="107"/>
      <c r="K730" s="107"/>
      <c r="L730" s="107"/>
      <c r="M730" s="107"/>
      <c r="N730" s="107"/>
      <c r="O730" s="107"/>
      <c r="P730" s="107"/>
      <c r="Q730" s="107"/>
      <c r="R730" s="107"/>
      <c r="S730" s="107"/>
      <c r="T730" s="107"/>
      <c r="U730" s="107"/>
      <c r="V730" s="107"/>
      <c r="W730" s="107"/>
      <c r="X730" s="107"/>
      <c r="Y730" s="107"/>
      <c r="Z730" s="107"/>
    </row>
    <row r="731" ht="14.25" customHeight="1">
      <c r="A731" s="107"/>
      <c r="B731" s="107"/>
      <c r="C731" s="107"/>
      <c r="D731" s="107"/>
      <c r="E731" s="107"/>
      <c r="F731" s="109"/>
      <c r="G731" s="109"/>
      <c r="H731" s="107"/>
      <c r="I731" s="107"/>
      <c r="J731" s="107"/>
      <c r="K731" s="107"/>
      <c r="L731" s="107"/>
      <c r="M731" s="107"/>
      <c r="N731" s="107"/>
      <c r="O731" s="107"/>
      <c r="P731" s="107"/>
      <c r="Q731" s="107"/>
      <c r="R731" s="107"/>
      <c r="S731" s="107"/>
      <c r="T731" s="107"/>
      <c r="U731" s="107"/>
      <c r="V731" s="107"/>
      <c r="W731" s="107"/>
      <c r="X731" s="107"/>
      <c r="Y731" s="107"/>
      <c r="Z731" s="107"/>
    </row>
    <row r="732" ht="14.25" customHeight="1">
      <c r="A732" s="110">
        <v>45534.0</v>
      </c>
      <c r="B732" s="350" t="s">
        <v>652</v>
      </c>
      <c r="C732" s="351" t="s">
        <v>653</v>
      </c>
      <c r="D732" s="352" t="s">
        <v>59</v>
      </c>
      <c r="E732" s="353" t="s">
        <v>273</v>
      </c>
      <c r="F732" s="354">
        <v>52000.0</v>
      </c>
      <c r="G732" s="355"/>
      <c r="H732" s="107"/>
      <c r="I732" s="107"/>
      <c r="J732" s="107"/>
      <c r="K732" s="107"/>
      <c r="L732" s="107"/>
      <c r="M732" s="107"/>
      <c r="N732" s="107"/>
      <c r="O732" s="107"/>
      <c r="P732" s="107"/>
      <c r="Q732" s="107"/>
      <c r="R732" s="107"/>
      <c r="S732" s="107"/>
      <c r="T732" s="107"/>
      <c r="U732" s="107"/>
      <c r="V732" s="107"/>
      <c r="W732" s="107"/>
      <c r="X732" s="107"/>
      <c r="Y732" s="107"/>
      <c r="Z732" s="107"/>
    </row>
    <row r="733" ht="14.25" customHeight="1">
      <c r="A733" s="107"/>
      <c r="B733" s="107"/>
      <c r="C733" s="107"/>
      <c r="D733" s="107"/>
      <c r="E733" s="107"/>
      <c r="F733" s="109"/>
      <c r="G733" s="109"/>
      <c r="H733" s="107"/>
      <c r="I733" s="107"/>
      <c r="J733" s="107"/>
      <c r="K733" s="107"/>
      <c r="L733" s="107"/>
      <c r="M733" s="107"/>
      <c r="N733" s="107"/>
      <c r="O733" s="107"/>
      <c r="P733" s="107"/>
      <c r="Q733" s="107"/>
      <c r="R733" s="107"/>
      <c r="S733" s="107"/>
      <c r="T733" s="107"/>
      <c r="U733" s="107"/>
      <c r="V733" s="107"/>
      <c r="W733" s="107"/>
      <c r="X733" s="107"/>
      <c r="Y733" s="107"/>
      <c r="Z733" s="107"/>
    </row>
    <row r="734" ht="14.25" customHeight="1">
      <c r="A734" s="107"/>
      <c r="B734" s="107"/>
      <c r="C734" s="103" t="s">
        <v>654</v>
      </c>
      <c r="D734" s="107"/>
      <c r="E734" s="107"/>
      <c r="F734" s="109"/>
      <c r="G734" s="109"/>
      <c r="H734" s="107"/>
      <c r="I734" s="107"/>
      <c r="J734" s="107"/>
      <c r="K734" s="107"/>
      <c r="L734" s="107"/>
      <c r="M734" s="107"/>
      <c r="N734" s="107"/>
      <c r="O734" s="107"/>
      <c r="P734" s="107"/>
      <c r="Q734" s="107"/>
      <c r="R734" s="107"/>
      <c r="S734" s="107"/>
      <c r="T734" s="107"/>
      <c r="U734" s="107"/>
      <c r="V734" s="107"/>
      <c r="W734" s="107"/>
      <c r="X734" s="107"/>
      <c r="Y734" s="107"/>
      <c r="Z734" s="107"/>
    </row>
    <row r="735" ht="14.25" customHeight="1">
      <c r="A735" s="110">
        <v>45535.0</v>
      </c>
      <c r="B735" s="343" t="s">
        <v>207</v>
      </c>
      <c r="C735" s="344" t="s">
        <v>208</v>
      </c>
      <c r="D735" s="344" t="s">
        <v>54</v>
      </c>
      <c r="E735" s="349" t="s">
        <v>637</v>
      </c>
      <c r="F735" s="113">
        <v>95422.0</v>
      </c>
      <c r="G735" s="109"/>
      <c r="H735" s="111" t="s">
        <v>655</v>
      </c>
      <c r="I735" s="107"/>
      <c r="J735" s="107"/>
      <c r="K735" s="107"/>
      <c r="L735" s="107"/>
      <c r="M735" s="107"/>
      <c r="N735" s="107"/>
      <c r="O735" s="107"/>
      <c r="P735" s="107"/>
      <c r="Q735" s="107"/>
      <c r="R735" s="107"/>
      <c r="S735" s="107"/>
      <c r="T735" s="107"/>
      <c r="U735" s="107"/>
      <c r="V735" s="107"/>
      <c r="W735" s="107"/>
      <c r="X735" s="107"/>
      <c r="Y735" s="107"/>
      <c r="Z735" s="107"/>
    </row>
    <row r="736" ht="14.25" customHeight="1">
      <c r="A736" s="110">
        <v>45535.0</v>
      </c>
      <c r="B736" s="283" t="s">
        <v>586</v>
      </c>
      <c r="C736" s="284" t="s">
        <v>161</v>
      </c>
      <c r="D736" s="279" t="s">
        <v>413</v>
      </c>
      <c r="E736" s="349" t="s">
        <v>637</v>
      </c>
      <c r="F736" s="286">
        <v>402500.0</v>
      </c>
      <c r="G736" s="109"/>
      <c r="H736" s="111" t="s">
        <v>656</v>
      </c>
      <c r="I736" s="107"/>
      <c r="J736" s="107"/>
      <c r="K736" s="107"/>
      <c r="L736" s="107"/>
      <c r="M736" s="107"/>
      <c r="N736" s="107"/>
      <c r="O736" s="107"/>
      <c r="P736" s="107"/>
      <c r="Q736" s="107"/>
      <c r="R736" s="107"/>
      <c r="S736" s="107"/>
      <c r="T736" s="107"/>
      <c r="U736" s="107"/>
      <c r="V736" s="107"/>
      <c r="W736" s="107"/>
      <c r="X736" s="107"/>
      <c r="Y736" s="107"/>
      <c r="Z736" s="107"/>
    </row>
    <row r="737" ht="14.25" customHeight="1">
      <c r="A737" s="110">
        <v>45535.0</v>
      </c>
      <c r="B737" s="274" t="s">
        <v>345</v>
      </c>
      <c r="C737" s="275" t="s">
        <v>339</v>
      </c>
      <c r="D737" s="275" t="s">
        <v>467</v>
      </c>
      <c r="E737" s="276" t="s">
        <v>70</v>
      </c>
      <c r="F737" s="277">
        <v>14804.0</v>
      </c>
      <c r="G737" s="109"/>
      <c r="H737" s="111" t="s">
        <v>657</v>
      </c>
      <c r="I737" s="107"/>
      <c r="J737" s="107"/>
      <c r="K737" s="107"/>
      <c r="L737" s="107"/>
      <c r="M737" s="107"/>
      <c r="N737" s="107"/>
      <c r="O737" s="107"/>
      <c r="P737" s="107"/>
      <c r="Q737" s="107"/>
      <c r="R737" s="107"/>
      <c r="S737" s="107"/>
      <c r="T737" s="107"/>
      <c r="U737" s="107"/>
      <c r="V737" s="107"/>
      <c r="W737" s="107"/>
      <c r="X737" s="107"/>
      <c r="Y737" s="107"/>
      <c r="Z737" s="107"/>
    </row>
    <row r="738" ht="14.25" customHeight="1">
      <c r="A738" s="110">
        <v>45535.0</v>
      </c>
      <c r="B738" s="235" t="s">
        <v>640</v>
      </c>
      <c r="C738" s="236" t="s">
        <v>82</v>
      </c>
      <c r="D738" s="236" t="s">
        <v>75</v>
      </c>
      <c r="E738" s="111" t="s">
        <v>637</v>
      </c>
      <c r="F738" s="113">
        <v>345000.0</v>
      </c>
      <c r="G738" s="113">
        <v>100000.0</v>
      </c>
      <c r="H738" s="111" t="s">
        <v>658</v>
      </c>
      <c r="I738" s="107"/>
      <c r="J738" s="107"/>
      <c r="K738" s="107"/>
      <c r="L738" s="107"/>
      <c r="M738" s="107"/>
      <c r="N738" s="107"/>
      <c r="O738" s="107"/>
      <c r="P738" s="107"/>
      <c r="Q738" s="107"/>
      <c r="R738" s="107"/>
      <c r="S738" s="107"/>
      <c r="T738" s="107"/>
      <c r="U738" s="107"/>
      <c r="V738" s="107"/>
      <c r="W738" s="107"/>
      <c r="X738" s="107"/>
      <c r="Y738" s="107"/>
      <c r="Z738" s="107"/>
    </row>
    <row r="739" ht="14.25" customHeight="1">
      <c r="A739" s="110">
        <v>45535.0</v>
      </c>
      <c r="B739" s="235" t="s">
        <v>204</v>
      </c>
      <c r="C739" s="236" t="s">
        <v>205</v>
      </c>
      <c r="D739" s="236" t="s">
        <v>59</v>
      </c>
      <c r="E739" s="111" t="s">
        <v>637</v>
      </c>
      <c r="F739" s="113">
        <v>19920.0</v>
      </c>
      <c r="G739" s="109"/>
      <c r="H739" s="111" t="s">
        <v>642</v>
      </c>
      <c r="I739" s="107"/>
      <c r="J739" s="107"/>
      <c r="K739" s="107"/>
      <c r="L739" s="107"/>
      <c r="M739" s="107"/>
      <c r="N739" s="107"/>
      <c r="O739" s="107"/>
      <c r="P739" s="107"/>
      <c r="Q739" s="107"/>
      <c r="R739" s="107"/>
      <c r="S739" s="107"/>
      <c r="T739" s="107"/>
      <c r="U739" s="107"/>
      <c r="V739" s="107"/>
      <c r="W739" s="107"/>
      <c r="X739" s="107"/>
      <c r="Y739" s="107"/>
      <c r="Z739" s="107"/>
    </row>
    <row r="740" ht="14.25" customHeight="1">
      <c r="A740" s="110">
        <v>45535.0</v>
      </c>
      <c r="B740" s="111" t="s">
        <v>415</v>
      </c>
      <c r="C740" s="279" t="s">
        <v>79</v>
      </c>
      <c r="D740" s="111" t="s">
        <v>54</v>
      </c>
      <c r="E740" s="111" t="s">
        <v>80</v>
      </c>
      <c r="F740" s="113">
        <v>200378.75</v>
      </c>
      <c r="G740" s="109"/>
      <c r="H740" s="111" t="s">
        <v>659</v>
      </c>
      <c r="I740" s="107"/>
      <c r="J740" s="107"/>
      <c r="K740" s="107"/>
      <c r="L740" s="107"/>
      <c r="M740" s="107"/>
      <c r="N740" s="107"/>
      <c r="O740" s="107"/>
      <c r="P740" s="107"/>
      <c r="Q740" s="107"/>
      <c r="R740" s="107"/>
      <c r="S740" s="107"/>
      <c r="T740" s="107"/>
      <c r="U740" s="107"/>
      <c r="V740" s="107"/>
      <c r="W740" s="107"/>
      <c r="X740" s="107"/>
      <c r="Y740" s="107"/>
      <c r="Z740" s="107"/>
    </row>
    <row r="741" ht="14.25" customHeight="1">
      <c r="A741" s="110">
        <v>45535.0</v>
      </c>
      <c r="B741" s="278" t="s">
        <v>493</v>
      </c>
      <c r="C741" s="279" t="s">
        <v>506</v>
      </c>
      <c r="D741" s="279" t="s">
        <v>67</v>
      </c>
      <c r="E741" s="281" t="s">
        <v>80</v>
      </c>
      <c r="F741" s="282">
        <v>121076.0</v>
      </c>
      <c r="G741" s="109"/>
      <c r="H741" s="111" t="s">
        <v>660</v>
      </c>
      <c r="I741" s="107"/>
      <c r="J741" s="107"/>
      <c r="K741" s="107"/>
      <c r="L741" s="107"/>
      <c r="M741" s="107"/>
      <c r="N741" s="107"/>
      <c r="O741" s="107"/>
      <c r="P741" s="107"/>
      <c r="Q741" s="107"/>
      <c r="R741" s="107"/>
      <c r="S741" s="107"/>
      <c r="T741" s="107"/>
      <c r="U741" s="107"/>
      <c r="V741" s="107"/>
      <c r="W741" s="107"/>
      <c r="X741" s="107"/>
      <c r="Y741" s="107"/>
      <c r="Z741" s="107"/>
    </row>
    <row r="742" ht="14.25" customHeight="1">
      <c r="A742" s="110">
        <v>45535.0</v>
      </c>
      <c r="B742" s="274" t="s">
        <v>426</v>
      </c>
      <c r="C742" s="279" t="s">
        <v>427</v>
      </c>
      <c r="D742" s="279" t="s">
        <v>54</v>
      </c>
      <c r="E742" s="279" t="s">
        <v>70</v>
      </c>
      <c r="F742" s="280">
        <v>63791.0</v>
      </c>
      <c r="G742" s="109"/>
      <c r="H742" s="111" t="s">
        <v>661</v>
      </c>
      <c r="I742" s="107"/>
      <c r="J742" s="107"/>
      <c r="K742" s="107"/>
      <c r="L742" s="107"/>
      <c r="M742" s="107"/>
      <c r="N742" s="107"/>
      <c r="O742" s="107"/>
      <c r="P742" s="107"/>
      <c r="Q742" s="107"/>
      <c r="R742" s="107"/>
      <c r="S742" s="107"/>
      <c r="T742" s="107"/>
      <c r="U742" s="107"/>
      <c r="V742" s="107"/>
      <c r="W742" s="107"/>
      <c r="X742" s="107"/>
      <c r="Y742" s="107"/>
      <c r="Z742" s="107"/>
    </row>
    <row r="743" ht="14.25" customHeight="1">
      <c r="A743" s="110">
        <v>45535.0</v>
      </c>
      <c r="B743" s="278" t="s">
        <v>498</v>
      </c>
      <c r="C743" s="279" t="s">
        <v>499</v>
      </c>
      <c r="D743" s="279" t="s">
        <v>54</v>
      </c>
      <c r="E743" s="279" t="s">
        <v>80</v>
      </c>
      <c r="F743" s="280">
        <v>93678.7</v>
      </c>
      <c r="G743" s="109"/>
      <c r="H743" s="111" t="s">
        <v>662</v>
      </c>
      <c r="I743" s="107"/>
      <c r="J743" s="107"/>
      <c r="K743" s="107"/>
      <c r="L743" s="107"/>
      <c r="M743" s="107"/>
      <c r="N743" s="107"/>
      <c r="O743" s="107"/>
      <c r="P743" s="107"/>
      <c r="Q743" s="107"/>
      <c r="R743" s="107"/>
      <c r="S743" s="107"/>
      <c r="T743" s="107"/>
      <c r="U743" s="107"/>
      <c r="V743" s="107"/>
      <c r="W743" s="107"/>
      <c r="X743" s="107"/>
      <c r="Y743" s="107"/>
      <c r="Z743" s="107"/>
    </row>
    <row r="744" ht="14.25" customHeight="1">
      <c r="A744" s="110">
        <v>45535.0</v>
      </c>
      <c r="B744" s="278" t="s">
        <v>501</v>
      </c>
      <c r="C744" s="279" t="s">
        <v>499</v>
      </c>
      <c r="D744" s="279" t="s">
        <v>467</v>
      </c>
      <c r="E744" s="259" t="s">
        <v>80</v>
      </c>
      <c r="F744" s="280">
        <v>24716.0</v>
      </c>
      <c r="G744" s="109"/>
      <c r="H744" s="111" t="s">
        <v>662</v>
      </c>
      <c r="I744" s="107"/>
      <c r="J744" s="107"/>
      <c r="K744" s="107"/>
      <c r="L744" s="107"/>
      <c r="M744" s="107"/>
      <c r="N744" s="107"/>
      <c r="O744" s="107"/>
      <c r="P744" s="107"/>
      <c r="Q744" s="107"/>
      <c r="R744" s="107"/>
      <c r="S744" s="107"/>
      <c r="T744" s="107"/>
      <c r="U744" s="107"/>
      <c r="V744" s="107"/>
      <c r="W744" s="107"/>
      <c r="X744" s="107"/>
      <c r="Y744" s="107"/>
      <c r="Z744" s="107"/>
    </row>
    <row r="745" ht="14.25" customHeight="1">
      <c r="A745" s="110">
        <v>45535.0</v>
      </c>
      <c r="B745" s="111" t="s">
        <v>162</v>
      </c>
      <c r="C745" s="111" t="s">
        <v>538</v>
      </c>
      <c r="D745" s="111" t="s">
        <v>54</v>
      </c>
      <c r="E745" s="111" t="s">
        <v>578</v>
      </c>
      <c r="F745" s="113">
        <v>251710.0</v>
      </c>
      <c r="G745" s="109"/>
      <c r="H745" s="107"/>
      <c r="I745" s="107"/>
      <c r="J745" s="107"/>
      <c r="K745" s="107"/>
      <c r="L745" s="107"/>
      <c r="M745" s="107"/>
      <c r="N745" s="107"/>
      <c r="O745" s="107"/>
      <c r="P745" s="107"/>
      <c r="Q745" s="107"/>
      <c r="R745" s="107"/>
      <c r="S745" s="107"/>
      <c r="T745" s="107"/>
      <c r="U745" s="107"/>
      <c r="V745" s="107"/>
      <c r="W745" s="107"/>
      <c r="X745" s="107"/>
      <c r="Y745" s="107"/>
      <c r="Z745" s="107"/>
    </row>
    <row r="746" ht="14.25" customHeight="1">
      <c r="A746" s="110">
        <v>45535.0</v>
      </c>
      <c r="B746" s="346" t="s">
        <v>419</v>
      </c>
      <c r="C746" s="347" t="s">
        <v>436</v>
      </c>
      <c r="D746" s="347" t="s">
        <v>54</v>
      </c>
      <c r="E746" s="347" t="s">
        <v>578</v>
      </c>
      <c r="F746" s="348">
        <v>962845.4</v>
      </c>
      <c r="G746" s="109"/>
      <c r="H746" s="111" t="s">
        <v>663</v>
      </c>
      <c r="I746" s="107"/>
      <c r="J746" s="107"/>
      <c r="K746" s="107"/>
      <c r="L746" s="107"/>
      <c r="M746" s="107"/>
      <c r="N746" s="107"/>
      <c r="O746" s="107"/>
      <c r="P746" s="107"/>
      <c r="Q746" s="107"/>
      <c r="R746" s="107"/>
      <c r="S746" s="107"/>
      <c r="T746" s="107"/>
      <c r="U746" s="107"/>
      <c r="V746" s="107"/>
      <c r="W746" s="107"/>
      <c r="X746" s="107"/>
      <c r="Y746" s="107"/>
      <c r="Z746" s="107"/>
    </row>
    <row r="747" ht="14.25" customHeight="1">
      <c r="A747" s="110">
        <v>45535.0</v>
      </c>
      <c r="B747" s="346" t="s">
        <v>271</v>
      </c>
      <c r="C747" s="347" t="s">
        <v>436</v>
      </c>
      <c r="D747" s="347" t="s">
        <v>75</v>
      </c>
      <c r="E747" s="347" t="s">
        <v>578</v>
      </c>
      <c r="F747" s="348">
        <v>200000.0</v>
      </c>
      <c r="G747" s="273"/>
      <c r="H747" s="111" t="s">
        <v>664</v>
      </c>
      <c r="I747" s="107"/>
      <c r="J747" s="107"/>
      <c r="K747" s="107"/>
      <c r="L747" s="107"/>
      <c r="M747" s="107"/>
      <c r="N747" s="107"/>
      <c r="O747" s="107"/>
      <c r="P747" s="107"/>
      <c r="Q747" s="107"/>
      <c r="R747" s="107"/>
      <c r="S747" s="107"/>
      <c r="T747" s="107"/>
      <c r="U747" s="107"/>
      <c r="V747" s="107"/>
      <c r="W747" s="107"/>
      <c r="X747" s="107"/>
      <c r="Y747" s="107"/>
      <c r="Z747" s="107"/>
    </row>
    <row r="748" ht="14.25" customHeight="1">
      <c r="A748" s="110">
        <v>45535.0</v>
      </c>
      <c r="B748" s="111" t="s">
        <v>618</v>
      </c>
      <c r="C748" s="111" t="s">
        <v>634</v>
      </c>
      <c r="D748" s="111" t="s">
        <v>75</v>
      </c>
      <c r="E748" s="111" t="s">
        <v>578</v>
      </c>
      <c r="F748" s="113">
        <v>265973.33</v>
      </c>
      <c r="G748" s="356">
        <v>20000.0</v>
      </c>
      <c r="H748" s="357" t="s">
        <v>267</v>
      </c>
      <c r="I748" s="107"/>
      <c r="J748" s="107"/>
      <c r="K748" s="107"/>
      <c r="L748" s="107"/>
      <c r="M748" s="107"/>
      <c r="N748" s="107"/>
      <c r="O748" s="107"/>
      <c r="P748" s="107"/>
      <c r="Q748" s="107"/>
      <c r="R748" s="107"/>
      <c r="S748" s="358"/>
      <c r="T748" s="358"/>
      <c r="U748" s="358"/>
      <c r="V748" s="358"/>
      <c r="W748" s="358"/>
      <c r="X748" s="358"/>
      <c r="Y748" s="358"/>
      <c r="Z748" s="358"/>
    </row>
    <row r="749" ht="14.25" customHeight="1">
      <c r="A749" s="107"/>
      <c r="B749" s="359"/>
      <c r="C749" s="359"/>
      <c r="D749" s="359"/>
      <c r="E749" s="359"/>
      <c r="F749" s="360"/>
      <c r="G749" s="361"/>
      <c r="H749" s="361"/>
      <c r="I749" s="107"/>
      <c r="J749" s="107"/>
      <c r="K749" s="107"/>
      <c r="L749" s="107"/>
      <c r="M749" s="107"/>
      <c r="N749" s="107"/>
      <c r="O749" s="107"/>
      <c r="P749" s="107"/>
      <c r="Q749" s="107"/>
      <c r="R749" s="107"/>
      <c r="S749" s="358"/>
      <c r="T749" s="358"/>
      <c r="U749" s="358"/>
      <c r="V749" s="358"/>
      <c r="W749" s="358"/>
      <c r="X749" s="358"/>
      <c r="Y749" s="358"/>
      <c r="Z749" s="358"/>
    </row>
    <row r="750" ht="14.25" customHeight="1">
      <c r="A750" s="107"/>
      <c r="B750" s="359"/>
      <c r="C750" s="362">
        <v>45331.0</v>
      </c>
      <c r="D750" s="359"/>
      <c r="E750" s="359"/>
      <c r="F750" s="360"/>
      <c r="G750" s="361"/>
      <c r="H750" s="361"/>
      <c r="I750" s="107"/>
      <c r="J750" s="107"/>
      <c r="K750" s="107"/>
      <c r="L750" s="107"/>
      <c r="M750" s="107"/>
      <c r="N750" s="107"/>
      <c r="O750" s="107"/>
      <c r="P750" s="107"/>
      <c r="Q750" s="107"/>
      <c r="R750" s="107"/>
      <c r="S750" s="358"/>
      <c r="T750" s="358"/>
      <c r="U750" s="358"/>
      <c r="V750" s="358"/>
      <c r="W750" s="358"/>
      <c r="X750" s="358"/>
      <c r="Y750" s="358"/>
      <c r="Z750" s="358"/>
    </row>
    <row r="751" ht="14.25" customHeight="1">
      <c r="A751" s="110">
        <v>45537.0</v>
      </c>
      <c r="B751" s="363" t="s">
        <v>665</v>
      </c>
      <c r="C751" s="364" t="s">
        <v>189</v>
      </c>
      <c r="D751" s="364" t="s">
        <v>666</v>
      </c>
      <c r="E751" s="365" t="s">
        <v>667</v>
      </c>
      <c r="F751" s="366">
        <v>2200000.0</v>
      </c>
      <c r="G751" s="356">
        <v>2200000.0</v>
      </c>
      <c r="H751" s="357" t="s">
        <v>56</v>
      </c>
      <c r="I751" s="107"/>
      <c r="J751" s="107"/>
      <c r="K751" s="107"/>
      <c r="L751" s="107"/>
      <c r="M751" s="107"/>
      <c r="N751" s="107"/>
      <c r="O751" s="107"/>
      <c r="P751" s="107"/>
      <c r="Q751" s="107"/>
      <c r="R751" s="107"/>
      <c r="S751" s="358"/>
      <c r="T751" s="358"/>
      <c r="U751" s="358"/>
      <c r="V751" s="358"/>
      <c r="W751" s="358"/>
      <c r="X751" s="358"/>
      <c r="Y751" s="358"/>
      <c r="Z751" s="358"/>
    </row>
    <row r="752" ht="14.25" customHeight="1">
      <c r="A752" s="110">
        <v>45537.0</v>
      </c>
      <c r="B752" s="367" t="s">
        <v>247</v>
      </c>
      <c r="C752" s="368" t="s">
        <v>66</v>
      </c>
      <c r="D752" s="368" t="s">
        <v>668</v>
      </c>
      <c r="E752" s="368" t="s">
        <v>667</v>
      </c>
      <c r="F752" s="369">
        <v>388263.0</v>
      </c>
      <c r="G752" s="369">
        <v>388263.0</v>
      </c>
      <c r="H752" s="357" t="s">
        <v>56</v>
      </c>
      <c r="I752" s="107"/>
      <c r="J752" s="107"/>
      <c r="K752" s="107"/>
      <c r="L752" s="107"/>
      <c r="M752" s="107"/>
      <c r="N752" s="107"/>
      <c r="O752" s="107"/>
      <c r="P752" s="107"/>
      <c r="Q752" s="107"/>
      <c r="R752" s="107"/>
      <c r="S752" s="358"/>
      <c r="T752" s="358"/>
      <c r="U752" s="358"/>
      <c r="V752" s="358"/>
      <c r="W752" s="358"/>
      <c r="X752" s="358"/>
      <c r="Y752" s="358"/>
      <c r="Z752" s="358"/>
    </row>
    <row r="753" ht="14.25" customHeight="1">
      <c r="A753" s="110">
        <v>45537.0</v>
      </c>
      <c r="B753" s="367" t="s">
        <v>253</v>
      </c>
      <c r="C753" s="368" t="s">
        <v>58</v>
      </c>
      <c r="D753" s="368" t="s">
        <v>669</v>
      </c>
      <c r="E753" s="370" t="s">
        <v>670</v>
      </c>
      <c r="F753" s="371">
        <v>650324.79</v>
      </c>
      <c r="G753" s="361"/>
      <c r="H753" s="357" t="s">
        <v>671</v>
      </c>
      <c r="I753" s="107"/>
      <c r="J753" s="107"/>
      <c r="K753" s="107"/>
      <c r="L753" s="107"/>
      <c r="M753" s="107"/>
      <c r="N753" s="107"/>
      <c r="O753" s="107"/>
      <c r="P753" s="107"/>
      <c r="Q753" s="107"/>
      <c r="R753" s="107"/>
      <c r="S753" s="358"/>
      <c r="T753" s="358"/>
      <c r="U753" s="358"/>
      <c r="V753" s="358"/>
      <c r="W753" s="358"/>
      <c r="X753" s="358"/>
      <c r="Y753" s="358"/>
      <c r="Z753" s="358"/>
    </row>
    <row r="754" ht="14.25" customHeight="1">
      <c r="A754" s="110">
        <v>45537.0</v>
      </c>
      <c r="B754" s="367" t="s">
        <v>57</v>
      </c>
      <c r="C754" s="368" t="s">
        <v>58</v>
      </c>
      <c r="D754" s="368" t="s">
        <v>666</v>
      </c>
      <c r="E754" s="370" t="s">
        <v>670</v>
      </c>
      <c r="F754" s="371">
        <v>277821.0</v>
      </c>
      <c r="G754" s="361"/>
      <c r="H754" s="357" t="s">
        <v>671</v>
      </c>
      <c r="I754" s="107"/>
      <c r="J754" s="107"/>
      <c r="K754" s="107"/>
      <c r="L754" s="107"/>
      <c r="M754" s="107"/>
      <c r="N754" s="107"/>
      <c r="O754" s="107"/>
      <c r="P754" s="107"/>
      <c r="Q754" s="107"/>
      <c r="R754" s="107"/>
      <c r="S754" s="358"/>
      <c r="T754" s="358"/>
      <c r="U754" s="358"/>
      <c r="V754" s="358"/>
      <c r="W754" s="358"/>
      <c r="X754" s="358"/>
      <c r="Y754" s="358"/>
      <c r="Z754" s="358"/>
    </row>
    <row r="755" ht="14.25" customHeight="1">
      <c r="A755" s="110">
        <v>45537.0</v>
      </c>
      <c r="B755" s="367" t="s">
        <v>672</v>
      </c>
      <c r="C755" s="368" t="s">
        <v>673</v>
      </c>
      <c r="D755" s="368" t="s">
        <v>669</v>
      </c>
      <c r="E755" s="370" t="s">
        <v>667</v>
      </c>
      <c r="F755" s="372">
        <v>460000.0</v>
      </c>
      <c r="G755" s="361"/>
      <c r="H755" s="357" t="s">
        <v>674</v>
      </c>
      <c r="I755" s="107"/>
      <c r="J755" s="107"/>
      <c r="K755" s="107"/>
      <c r="L755" s="107"/>
      <c r="M755" s="107"/>
      <c r="N755" s="107"/>
      <c r="O755" s="107"/>
      <c r="P755" s="107"/>
      <c r="Q755" s="107"/>
      <c r="R755" s="107"/>
      <c r="S755" s="358"/>
      <c r="T755" s="358"/>
      <c r="U755" s="358"/>
      <c r="V755" s="358"/>
      <c r="W755" s="358"/>
      <c r="X755" s="358"/>
      <c r="Y755" s="358"/>
      <c r="Z755" s="358"/>
    </row>
    <row r="756" ht="14.25" customHeight="1">
      <c r="A756" s="110">
        <v>45537.0</v>
      </c>
      <c r="B756" s="373" t="s">
        <v>675</v>
      </c>
      <c r="C756" s="374" t="s">
        <v>240</v>
      </c>
      <c r="D756" s="375" t="s">
        <v>669</v>
      </c>
      <c r="E756" s="376" t="s">
        <v>667</v>
      </c>
      <c r="F756" s="377">
        <v>230000.0</v>
      </c>
      <c r="G756" s="361"/>
      <c r="H756" s="361"/>
      <c r="I756" s="107"/>
      <c r="J756" s="107"/>
      <c r="K756" s="107"/>
      <c r="L756" s="107"/>
      <c r="M756" s="107"/>
      <c r="N756" s="107"/>
      <c r="O756" s="107"/>
      <c r="P756" s="107"/>
      <c r="Q756" s="107"/>
      <c r="R756" s="107"/>
      <c r="S756" s="358"/>
      <c r="T756" s="358"/>
      <c r="U756" s="358"/>
      <c r="V756" s="358"/>
      <c r="W756" s="358"/>
      <c r="X756" s="358"/>
      <c r="Y756" s="358"/>
      <c r="Z756" s="358"/>
    </row>
    <row r="757" ht="14.25" customHeight="1">
      <c r="A757" s="110">
        <v>45537.0</v>
      </c>
      <c r="B757" s="378" t="s">
        <v>261</v>
      </c>
      <c r="C757" s="379" t="s">
        <v>262</v>
      </c>
      <c r="D757" s="379" t="s">
        <v>263</v>
      </c>
      <c r="E757" s="379" t="s">
        <v>670</v>
      </c>
      <c r="F757" s="380">
        <v>26100.0</v>
      </c>
      <c r="G757" s="361"/>
      <c r="H757" s="357" t="s">
        <v>676</v>
      </c>
      <c r="I757" s="107"/>
      <c r="J757" s="107"/>
      <c r="K757" s="107"/>
      <c r="L757" s="107"/>
      <c r="M757" s="107"/>
      <c r="N757" s="107"/>
      <c r="O757" s="107"/>
      <c r="P757" s="107"/>
      <c r="Q757" s="107"/>
      <c r="R757" s="107"/>
      <c r="S757" s="358"/>
      <c r="T757" s="358"/>
      <c r="U757" s="358"/>
      <c r="V757" s="358"/>
      <c r="W757" s="358"/>
      <c r="X757" s="358"/>
      <c r="Y757" s="358"/>
      <c r="Z757" s="358"/>
    </row>
    <row r="758" ht="14.25" customHeight="1">
      <c r="A758" s="110">
        <v>45537.0</v>
      </c>
      <c r="B758" s="367" t="s">
        <v>207</v>
      </c>
      <c r="C758" s="368" t="s">
        <v>208</v>
      </c>
      <c r="D758" s="368" t="s">
        <v>439</v>
      </c>
      <c r="E758" s="370" t="s">
        <v>670</v>
      </c>
      <c r="F758" s="371">
        <v>70086.8</v>
      </c>
      <c r="G758" s="361"/>
      <c r="H758" s="357" t="s">
        <v>676</v>
      </c>
      <c r="I758" s="107"/>
      <c r="J758" s="107"/>
      <c r="K758" s="107"/>
      <c r="L758" s="107"/>
      <c r="M758" s="107"/>
      <c r="N758" s="107"/>
      <c r="O758" s="107"/>
      <c r="P758" s="107"/>
      <c r="Q758" s="107"/>
      <c r="R758" s="107"/>
      <c r="S758" s="358"/>
      <c r="T758" s="358"/>
      <c r="U758" s="358"/>
      <c r="V758" s="358"/>
      <c r="W758" s="358"/>
      <c r="X758" s="358"/>
      <c r="Y758" s="358"/>
      <c r="Z758" s="358"/>
    </row>
    <row r="759" ht="14.25" customHeight="1">
      <c r="A759" s="110">
        <v>45537.0</v>
      </c>
      <c r="B759" s="367" t="s">
        <v>204</v>
      </c>
      <c r="C759" s="368" t="s">
        <v>205</v>
      </c>
      <c r="D759" s="368" t="s">
        <v>666</v>
      </c>
      <c r="E759" s="368" t="s">
        <v>670</v>
      </c>
      <c r="F759" s="369">
        <v>21012.0</v>
      </c>
      <c r="G759" s="356">
        <v>20000.0</v>
      </c>
      <c r="H759" s="357" t="s">
        <v>677</v>
      </c>
      <c r="I759" s="107"/>
      <c r="J759" s="107"/>
      <c r="K759" s="107"/>
      <c r="L759" s="107"/>
      <c r="M759" s="107"/>
      <c r="N759" s="107"/>
      <c r="O759" s="107"/>
      <c r="P759" s="107"/>
      <c r="Q759" s="107"/>
      <c r="R759" s="107"/>
      <c r="S759" s="358"/>
      <c r="T759" s="358"/>
      <c r="U759" s="358"/>
      <c r="V759" s="358"/>
      <c r="W759" s="358"/>
      <c r="X759" s="358"/>
      <c r="Y759" s="358"/>
      <c r="Z759" s="358"/>
    </row>
    <row r="760" ht="14.25" customHeight="1">
      <c r="A760" s="110">
        <v>45537.0</v>
      </c>
      <c r="B760" s="367" t="s">
        <v>640</v>
      </c>
      <c r="C760" s="368" t="s">
        <v>82</v>
      </c>
      <c r="D760" s="368" t="s">
        <v>669</v>
      </c>
      <c r="E760" s="368" t="s">
        <v>670</v>
      </c>
      <c r="F760" s="381">
        <v>257250.0</v>
      </c>
      <c r="G760" s="361"/>
      <c r="H760" s="357" t="s">
        <v>678</v>
      </c>
      <c r="I760" s="107"/>
      <c r="J760" s="107"/>
      <c r="K760" s="107"/>
      <c r="L760" s="107"/>
      <c r="M760" s="107"/>
      <c r="N760" s="107"/>
      <c r="O760" s="107"/>
      <c r="P760" s="107"/>
      <c r="Q760" s="107"/>
      <c r="R760" s="107"/>
      <c r="S760" s="358"/>
      <c r="T760" s="358"/>
      <c r="U760" s="358"/>
      <c r="V760" s="358"/>
      <c r="W760" s="358"/>
      <c r="X760" s="358"/>
      <c r="Y760" s="358"/>
      <c r="Z760" s="358"/>
    </row>
    <row r="761" ht="14.25" customHeight="1">
      <c r="A761" s="110">
        <v>45537.0</v>
      </c>
      <c r="B761" s="367" t="s">
        <v>586</v>
      </c>
      <c r="C761" s="368" t="s">
        <v>161</v>
      </c>
      <c r="D761" s="368" t="s">
        <v>669</v>
      </c>
      <c r="E761" s="368" t="s">
        <v>670</v>
      </c>
      <c r="F761" s="369">
        <v>423625.0</v>
      </c>
      <c r="G761" s="361"/>
      <c r="H761" s="357" t="s">
        <v>679</v>
      </c>
      <c r="I761" s="107"/>
      <c r="J761" s="107"/>
      <c r="K761" s="107"/>
      <c r="L761" s="107"/>
      <c r="M761" s="107"/>
      <c r="N761" s="107"/>
      <c r="O761" s="107"/>
      <c r="P761" s="107"/>
      <c r="Q761" s="107"/>
      <c r="R761" s="107"/>
      <c r="S761" s="358"/>
      <c r="T761" s="358"/>
      <c r="U761" s="358"/>
      <c r="V761" s="358"/>
      <c r="W761" s="358"/>
      <c r="X761" s="358"/>
      <c r="Y761" s="358"/>
      <c r="Z761" s="358"/>
    </row>
    <row r="762" ht="14.25" customHeight="1">
      <c r="A762" s="110">
        <v>45537.0</v>
      </c>
      <c r="B762" s="382" t="s">
        <v>415</v>
      </c>
      <c r="C762" s="375" t="s">
        <v>173</v>
      </c>
      <c r="D762" s="375" t="s">
        <v>439</v>
      </c>
      <c r="E762" s="375" t="s">
        <v>670</v>
      </c>
      <c r="F762" s="383">
        <v>200379.0</v>
      </c>
      <c r="G762" s="361"/>
      <c r="H762" s="357" t="s">
        <v>678</v>
      </c>
      <c r="I762" s="107"/>
      <c r="J762" s="107"/>
      <c r="K762" s="107"/>
      <c r="L762" s="107"/>
      <c r="M762" s="107"/>
      <c r="N762" s="107"/>
      <c r="O762" s="107"/>
      <c r="P762" s="107"/>
      <c r="Q762" s="107"/>
      <c r="R762" s="107"/>
      <c r="S762" s="358"/>
      <c r="T762" s="358"/>
      <c r="U762" s="358"/>
      <c r="V762" s="358"/>
      <c r="W762" s="358"/>
      <c r="X762" s="358"/>
      <c r="Y762" s="358"/>
      <c r="Z762" s="358"/>
    </row>
    <row r="763" ht="14.25" customHeight="1">
      <c r="A763" s="110">
        <v>45537.0</v>
      </c>
      <c r="B763" s="378" t="s">
        <v>498</v>
      </c>
      <c r="C763" s="379" t="s">
        <v>499</v>
      </c>
      <c r="D763" s="379" t="s">
        <v>439</v>
      </c>
      <c r="E763" s="379" t="s">
        <v>670</v>
      </c>
      <c r="F763" s="380">
        <v>102768.0</v>
      </c>
      <c r="G763" s="361"/>
      <c r="H763" s="357" t="s">
        <v>680</v>
      </c>
      <c r="I763" s="107"/>
      <c r="J763" s="107"/>
      <c r="K763" s="107"/>
      <c r="L763" s="107"/>
      <c r="M763" s="107"/>
      <c r="N763" s="107"/>
      <c r="O763" s="107"/>
      <c r="P763" s="107"/>
      <c r="Q763" s="107"/>
      <c r="R763" s="107"/>
      <c r="S763" s="358"/>
      <c r="T763" s="358"/>
      <c r="U763" s="358"/>
      <c r="V763" s="358"/>
      <c r="W763" s="358"/>
      <c r="X763" s="358"/>
      <c r="Y763" s="358"/>
      <c r="Z763" s="358"/>
    </row>
    <row r="764" ht="14.25" customHeight="1">
      <c r="A764" s="110">
        <v>45537.0</v>
      </c>
      <c r="B764" s="367" t="s">
        <v>147</v>
      </c>
      <c r="C764" s="384" t="s">
        <v>148</v>
      </c>
      <c r="D764" s="368" t="s">
        <v>439</v>
      </c>
      <c r="E764" s="368" t="s">
        <v>670</v>
      </c>
      <c r="F764" s="369">
        <v>43984.9</v>
      </c>
      <c r="G764" s="361"/>
      <c r="H764" s="357" t="s">
        <v>681</v>
      </c>
      <c r="I764" s="107"/>
      <c r="J764" s="107"/>
      <c r="K764" s="107"/>
      <c r="L764" s="107"/>
      <c r="M764" s="107"/>
      <c r="N764" s="107"/>
      <c r="O764" s="107"/>
      <c r="P764" s="107"/>
      <c r="Q764" s="107"/>
      <c r="R764" s="107"/>
      <c r="S764" s="358"/>
      <c r="T764" s="358"/>
      <c r="U764" s="358"/>
      <c r="V764" s="358"/>
      <c r="W764" s="358"/>
      <c r="X764" s="358"/>
      <c r="Y764" s="358"/>
      <c r="Z764" s="358"/>
    </row>
    <row r="765" ht="14.25" customHeight="1">
      <c r="A765" s="110">
        <v>45537.0</v>
      </c>
      <c r="B765" s="367" t="s">
        <v>426</v>
      </c>
      <c r="C765" s="368" t="s">
        <v>682</v>
      </c>
      <c r="D765" s="368" t="s">
        <v>439</v>
      </c>
      <c r="E765" s="368" t="s">
        <v>670</v>
      </c>
      <c r="F765" s="369">
        <v>66931.0</v>
      </c>
      <c r="G765" s="361"/>
      <c r="H765" s="357" t="s">
        <v>683</v>
      </c>
      <c r="I765" s="107"/>
      <c r="J765" s="107"/>
      <c r="K765" s="107"/>
      <c r="L765" s="107"/>
      <c r="M765" s="107"/>
      <c r="N765" s="107"/>
      <c r="O765" s="107"/>
      <c r="P765" s="107"/>
      <c r="Q765" s="107"/>
      <c r="R765" s="107"/>
      <c r="S765" s="358"/>
      <c r="T765" s="358"/>
      <c r="U765" s="358"/>
      <c r="V765" s="358"/>
      <c r="W765" s="358"/>
      <c r="X765" s="358"/>
      <c r="Y765" s="358"/>
      <c r="Z765" s="358"/>
    </row>
    <row r="766" ht="14.25" customHeight="1">
      <c r="A766" s="110">
        <v>45537.0</v>
      </c>
      <c r="B766" s="385" t="s">
        <v>345</v>
      </c>
      <c r="C766" s="386" t="s">
        <v>339</v>
      </c>
      <c r="D766" s="386" t="s">
        <v>467</v>
      </c>
      <c r="E766" s="386" t="s">
        <v>670</v>
      </c>
      <c r="F766" s="387">
        <v>15804.0</v>
      </c>
      <c r="G766" s="361"/>
      <c r="H766" s="357" t="s">
        <v>684</v>
      </c>
      <c r="I766" s="107"/>
      <c r="J766" s="107"/>
      <c r="K766" s="107"/>
      <c r="L766" s="107"/>
      <c r="M766" s="107"/>
      <c r="N766" s="107"/>
      <c r="O766" s="107"/>
      <c r="P766" s="107"/>
      <c r="Q766" s="107"/>
      <c r="R766" s="107"/>
      <c r="S766" s="358"/>
      <c r="T766" s="358"/>
      <c r="U766" s="358"/>
      <c r="V766" s="358"/>
      <c r="W766" s="358"/>
      <c r="X766" s="358"/>
      <c r="Y766" s="358"/>
      <c r="Z766" s="358"/>
    </row>
    <row r="767" ht="14.25" customHeight="1">
      <c r="A767" s="110">
        <v>45537.0</v>
      </c>
      <c r="B767" s="385" t="s">
        <v>493</v>
      </c>
      <c r="C767" s="386" t="s">
        <v>685</v>
      </c>
      <c r="D767" s="386" t="s">
        <v>668</v>
      </c>
      <c r="E767" s="386" t="s">
        <v>670</v>
      </c>
      <c r="F767" s="387">
        <v>64079.92</v>
      </c>
      <c r="G767" s="356">
        <v>50000.0</v>
      </c>
      <c r="H767" s="357" t="s">
        <v>686</v>
      </c>
      <c r="I767" s="107"/>
      <c r="J767" s="107"/>
      <c r="K767" s="107"/>
      <c r="L767" s="107"/>
      <c r="M767" s="107"/>
      <c r="N767" s="107"/>
      <c r="O767" s="107"/>
      <c r="P767" s="107"/>
      <c r="Q767" s="107"/>
      <c r="R767" s="107"/>
      <c r="S767" s="358"/>
      <c r="T767" s="358"/>
      <c r="U767" s="358"/>
      <c r="V767" s="358"/>
      <c r="W767" s="358"/>
      <c r="X767" s="358"/>
      <c r="Y767" s="358"/>
      <c r="Z767" s="358"/>
    </row>
    <row r="768" ht="14.25" customHeight="1">
      <c r="A768" s="110">
        <v>45537.0</v>
      </c>
      <c r="B768" s="385" t="s">
        <v>182</v>
      </c>
      <c r="C768" s="386" t="s">
        <v>187</v>
      </c>
      <c r="D768" s="386" t="s">
        <v>439</v>
      </c>
      <c r="E768" s="386" t="s">
        <v>670</v>
      </c>
      <c r="F768" s="387">
        <v>13282.0</v>
      </c>
      <c r="G768" s="361"/>
      <c r="H768" s="357" t="s">
        <v>687</v>
      </c>
      <c r="I768" s="107"/>
      <c r="J768" s="107"/>
      <c r="K768" s="107"/>
      <c r="L768" s="107"/>
      <c r="M768" s="107"/>
      <c r="N768" s="107"/>
      <c r="O768" s="107"/>
      <c r="P768" s="107"/>
      <c r="Q768" s="107"/>
      <c r="R768" s="107"/>
      <c r="S768" s="358"/>
      <c r="T768" s="358"/>
      <c r="U768" s="358"/>
      <c r="V768" s="358"/>
      <c r="W768" s="358"/>
      <c r="X768" s="358"/>
      <c r="Y768" s="358"/>
      <c r="Z768" s="358"/>
    </row>
    <row r="769" ht="14.25" customHeight="1">
      <c r="A769" s="110">
        <v>45537.0</v>
      </c>
      <c r="B769" s="385" t="s">
        <v>477</v>
      </c>
      <c r="C769" s="386" t="s">
        <v>478</v>
      </c>
      <c r="D769" s="386" t="s">
        <v>439</v>
      </c>
      <c r="E769" s="386" t="s">
        <v>670</v>
      </c>
      <c r="F769" s="387">
        <v>6392.0</v>
      </c>
      <c r="G769" s="361"/>
      <c r="H769" s="361"/>
      <c r="I769" s="107"/>
      <c r="J769" s="107"/>
      <c r="K769" s="107"/>
      <c r="L769" s="107"/>
      <c r="M769" s="107"/>
      <c r="N769" s="107"/>
      <c r="O769" s="107"/>
      <c r="P769" s="107"/>
      <c r="Q769" s="107"/>
      <c r="R769" s="107"/>
      <c r="S769" s="358"/>
      <c r="T769" s="358"/>
      <c r="U769" s="358"/>
      <c r="V769" s="358"/>
      <c r="W769" s="358"/>
      <c r="X769" s="358"/>
      <c r="Y769" s="358"/>
      <c r="Z769" s="358"/>
    </row>
    <row r="770" ht="14.25" customHeight="1">
      <c r="A770" s="110">
        <v>45537.0</v>
      </c>
      <c r="B770" s="388" t="s">
        <v>162</v>
      </c>
      <c r="C770" s="388" t="s">
        <v>538</v>
      </c>
      <c r="D770" s="388" t="s">
        <v>54</v>
      </c>
      <c r="E770" s="388" t="s">
        <v>578</v>
      </c>
      <c r="F770" s="389">
        <v>251710.0</v>
      </c>
      <c r="G770" s="361"/>
      <c r="H770" s="357" t="s">
        <v>688</v>
      </c>
      <c r="I770" s="107"/>
      <c r="J770" s="107"/>
      <c r="K770" s="107"/>
      <c r="L770" s="107"/>
      <c r="M770" s="107"/>
      <c r="N770" s="107"/>
      <c r="O770" s="107"/>
      <c r="P770" s="107"/>
      <c r="Q770" s="107"/>
      <c r="R770" s="107"/>
      <c r="S770" s="358"/>
      <c r="T770" s="358"/>
      <c r="U770" s="358"/>
      <c r="V770" s="358"/>
      <c r="W770" s="358"/>
      <c r="X770" s="358"/>
      <c r="Y770" s="358"/>
      <c r="Z770" s="358"/>
    </row>
    <row r="771" ht="14.25" customHeight="1">
      <c r="A771" s="110">
        <v>45537.0</v>
      </c>
      <c r="B771" s="390" t="s">
        <v>419</v>
      </c>
      <c r="C771" s="391" t="s">
        <v>436</v>
      </c>
      <c r="D771" s="391" t="s">
        <v>54</v>
      </c>
      <c r="E771" s="391" t="s">
        <v>578</v>
      </c>
      <c r="F771" s="392">
        <v>962845.4</v>
      </c>
      <c r="G771" s="361"/>
      <c r="H771" s="357" t="s">
        <v>689</v>
      </c>
      <c r="I771" s="107"/>
      <c r="J771" s="107"/>
      <c r="K771" s="107"/>
      <c r="L771" s="107"/>
      <c r="M771" s="107"/>
      <c r="N771" s="107"/>
      <c r="O771" s="107"/>
      <c r="P771" s="107"/>
      <c r="Q771" s="107"/>
      <c r="R771" s="107"/>
      <c r="S771" s="358"/>
      <c r="T771" s="358"/>
      <c r="U771" s="358"/>
      <c r="V771" s="358"/>
      <c r="W771" s="358"/>
      <c r="X771" s="358"/>
      <c r="Y771" s="358"/>
      <c r="Z771" s="358"/>
    </row>
    <row r="772" ht="14.25" customHeight="1">
      <c r="A772" s="107"/>
      <c r="B772" s="359"/>
      <c r="C772" s="359"/>
      <c r="D772" s="359"/>
      <c r="E772" s="359"/>
      <c r="F772" s="360"/>
      <c r="G772" s="361"/>
      <c r="H772" s="361"/>
      <c r="I772" s="107"/>
      <c r="J772" s="107"/>
      <c r="K772" s="107"/>
      <c r="L772" s="107"/>
      <c r="M772" s="107"/>
      <c r="N772" s="107"/>
      <c r="O772" s="107"/>
      <c r="P772" s="107"/>
      <c r="Q772" s="107"/>
      <c r="R772" s="107"/>
      <c r="S772" s="358"/>
      <c r="T772" s="358"/>
      <c r="U772" s="358"/>
      <c r="V772" s="358"/>
      <c r="W772" s="358"/>
      <c r="X772" s="358"/>
      <c r="Y772" s="358"/>
      <c r="Z772" s="358"/>
    </row>
    <row r="773" ht="14.25" customHeight="1">
      <c r="A773" s="107"/>
      <c r="B773" s="359"/>
      <c r="C773" s="359"/>
      <c r="D773" s="359"/>
      <c r="E773" s="359"/>
      <c r="F773" s="360"/>
      <c r="G773" s="361"/>
      <c r="H773" s="361"/>
      <c r="I773" s="107"/>
      <c r="J773" s="107"/>
      <c r="K773" s="107"/>
      <c r="L773" s="107"/>
      <c r="M773" s="107"/>
      <c r="N773" s="107"/>
      <c r="O773" s="107"/>
      <c r="P773" s="107"/>
      <c r="Q773" s="107"/>
      <c r="R773" s="107"/>
      <c r="S773" s="107"/>
      <c r="T773" s="107"/>
      <c r="U773" s="107"/>
      <c r="V773" s="107"/>
      <c r="W773" s="107"/>
      <c r="X773" s="107"/>
      <c r="Y773" s="107"/>
      <c r="Z773" s="107"/>
    </row>
    <row r="774" ht="14.25" customHeight="1">
      <c r="A774" s="305">
        <v>45537.0</v>
      </c>
      <c r="B774" s="393" t="s">
        <v>271</v>
      </c>
      <c r="C774" s="352" t="s">
        <v>436</v>
      </c>
      <c r="D774" s="352" t="s">
        <v>75</v>
      </c>
      <c r="E774" s="352" t="s">
        <v>578</v>
      </c>
      <c r="F774" s="394">
        <v>200000.0</v>
      </c>
      <c r="G774" s="395"/>
      <c r="H774" s="357" t="s">
        <v>689</v>
      </c>
      <c r="I774" s="107"/>
      <c r="J774" s="107"/>
      <c r="K774" s="107"/>
      <c r="L774" s="107"/>
      <c r="M774" s="107"/>
      <c r="N774" s="107"/>
      <c r="O774" s="107"/>
      <c r="P774" s="107"/>
      <c r="Q774" s="107"/>
      <c r="R774" s="107"/>
      <c r="S774" s="107"/>
      <c r="T774" s="107"/>
      <c r="U774" s="107"/>
      <c r="V774" s="107"/>
      <c r="W774" s="107"/>
      <c r="X774" s="107"/>
      <c r="Y774" s="107"/>
      <c r="Z774" s="107"/>
    </row>
    <row r="775" ht="14.25" customHeight="1">
      <c r="A775" s="305">
        <v>45537.0</v>
      </c>
      <c r="B775" s="350" t="s">
        <v>690</v>
      </c>
      <c r="C775" s="351" t="s">
        <v>452</v>
      </c>
      <c r="D775" s="352" t="s">
        <v>59</v>
      </c>
      <c r="E775" s="396" t="s">
        <v>273</v>
      </c>
      <c r="F775" s="354">
        <v>1000000.0</v>
      </c>
      <c r="G775" s="397">
        <v>1.0E7</v>
      </c>
      <c r="H775" s="398" t="s">
        <v>56</v>
      </c>
      <c r="I775" s="107"/>
      <c r="J775" s="107"/>
      <c r="K775" s="107"/>
      <c r="L775" s="107"/>
      <c r="M775" s="107"/>
      <c r="N775" s="107"/>
      <c r="O775" s="107"/>
      <c r="P775" s="107"/>
      <c r="Q775" s="107"/>
      <c r="R775" s="107"/>
      <c r="S775" s="107"/>
      <c r="T775" s="107"/>
      <c r="U775" s="107"/>
      <c r="V775" s="107"/>
      <c r="W775" s="107"/>
      <c r="X775" s="107"/>
      <c r="Y775" s="107"/>
      <c r="Z775" s="107"/>
    </row>
    <row r="776" ht="14.25" customHeight="1">
      <c r="A776" s="107"/>
      <c r="B776" s="359"/>
      <c r="C776" s="359"/>
      <c r="D776" s="359"/>
      <c r="E776" s="359"/>
      <c r="F776" s="360"/>
      <c r="G776" s="361"/>
      <c r="H776" s="361"/>
      <c r="I776" s="107"/>
      <c r="J776" s="107"/>
      <c r="K776" s="107"/>
      <c r="L776" s="107"/>
      <c r="M776" s="107"/>
      <c r="N776" s="107"/>
      <c r="O776" s="107"/>
      <c r="P776" s="107"/>
      <c r="Q776" s="107"/>
      <c r="R776" s="107"/>
      <c r="S776" s="107"/>
      <c r="T776" s="107"/>
      <c r="U776" s="107"/>
      <c r="V776" s="107"/>
      <c r="W776" s="107"/>
      <c r="X776" s="107"/>
      <c r="Y776" s="107"/>
      <c r="Z776" s="107"/>
    </row>
    <row r="777" ht="14.25" customHeight="1">
      <c r="A777" s="107"/>
      <c r="B777" s="359"/>
      <c r="C777" s="359"/>
      <c r="D777" s="359"/>
      <c r="E777" s="359"/>
      <c r="F777" s="360"/>
      <c r="G777" s="361"/>
      <c r="H777" s="361"/>
      <c r="I777" s="107"/>
      <c r="J777" s="107"/>
      <c r="K777" s="107"/>
      <c r="L777" s="107"/>
      <c r="M777" s="107"/>
      <c r="N777" s="107"/>
      <c r="O777" s="107"/>
      <c r="P777" s="107"/>
      <c r="Q777" s="107"/>
      <c r="R777" s="107"/>
      <c r="S777" s="107"/>
      <c r="T777" s="107"/>
      <c r="U777" s="107"/>
      <c r="V777" s="107"/>
      <c r="W777" s="107"/>
      <c r="X777" s="107"/>
      <c r="Y777" s="107"/>
      <c r="Z777" s="107"/>
    </row>
    <row r="778" ht="14.25" customHeight="1">
      <c r="A778" s="107"/>
      <c r="B778" s="359"/>
      <c r="C778" s="359"/>
      <c r="D778" s="359"/>
      <c r="E778" s="359"/>
      <c r="F778" s="360"/>
      <c r="G778" s="361"/>
      <c r="H778" s="361"/>
      <c r="I778" s="107"/>
      <c r="J778" s="107"/>
      <c r="K778" s="107"/>
      <c r="L778" s="107"/>
      <c r="M778" s="107"/>
      <c r="N778" s="107"/>
      <c r="O778" s="107"/>
      <c r="P778" s="107"/>
      <c r="Q778" s="107"/>
      <c r="R778" s="107"/>
      <c r="S778" s="107"/>
      <c r="T778" s="107"/>
      <c r="U778" s="107"/>
      <c r="V778" s="107"/>
      <c r="W778" s="107"/>
      <c r="X778" s="107"/>
      <c r="Y778" s="107"/>
      <c r="Z778" s="107"/>
    </row>
    <row r="779" ht="14.25" customHeight="1">
      <c r="A779" s="107"/>
      <c r="B779" s="359"/>
      <c r="C779" s="359"/>
      <c r="D779" s="359"/>
      <c r="E779" s="359"/>
      <c r="F779" s="360"/>
      <c r="G779" s="361"/>
      <c r="H779" s="361"/>
      <c r="I779" s="107"/>
      <c r="J779" s="107"/>
      <c r="K779" s="107"/>
      <c r="L779" s="107"/>
      <c r="M779" s="107"/>
      <c r="N779" s="107"/>
      <c r="O779" s="107"/>
      <c r="P779" s="107"/>
      <c r="Q779" s="107"/>
      <c r="R779" s="107"/>
      <c r="S779" s="107"/>
      <c r="T779" s="107"/>
      <c r="U779" s="107"/>
      <c r="V779" s="107"/>
      <c r="W779" s="107"/>
      <c r="X779" s="107"/>
      <c r="Y779" s="107"/>
      <c r="Z779" s="107"/>
    </row>
    <row r="780" ht="14.25" customHeight="1">
      <c r="A780" s="107"/>
      <c r="B780" s="359"/>
      <c r="C780" s="359"/>
      <c r="D780" s="359"/>
      <c r="E780" s="359"/>
      <c r="F780" s="360"/>
      <c r="G780" s="361"/>
      <c r="H780" s="361"/>
      <c r="I780" s="107"/>
      <c r="J780" s="107"/>
      <c r="K780" s="107"/>
      <c r="L780" s="107"/>
      <c r="M780" s="107"/>
      <c r="N780" s="107"/>
      <c r="O780" s="107"/>
      <c r="P780" s="107"/>
      <c r="Q780" s="107"/>
      <c r="R780" s="107"/>
      <c r="S780" s="107"/>
      <c r="T780" s="107"/>
      <c r="U780" s="107"/>
      <c r="V780" s="107"/>
      <c r="W780" s="107"/>
      <c r="X780" s="107"/>
      <c r="Y780" s="107"/>
      <c r="Z780" s="107"/>
    </row>
    <row r="781" ht="14.25" customHeight="1">
      <c r="A781" s="107"/>
      <c r="B781" s="359"/>
      <c r="C781" s="359"/>
      <c r="D781" s="359"/>
      <c r="E781" s="359"/>
      <c r="F781" s="360"/>
      <c r="G781" s="361"/>
      <c r="H781" s="361"/>
      <c r="I781" s="107"/>
      <c r="J781" s="107"/>
      <c r="K781" s="107"/>
      <c r="L781" s="107"/>
      <c r="M781" s="107"/>
      <c r="N781" s="107"/>
      <c r="O781" s="107"/>
      <c r="P781" s="107"/>
      <c r="Q781" s="107"/>
      <c r="R781" s="107"/>
      <c r="S781" s="107"/>
      <c r="T781" s="107"/>
      <c r="U781" s="107"/>
      <c r="V781" s="107"/>
      <c r="W781" s="107"/>
      <c r="X781" s="107"/>
      <c r="Y781" s="107"/>
      <c r="Z781" s="107"/>
    </row>
    <row r="782" ht="14.25" customHeight="1">
      <c r="A782" s="107"/>
      <c r="B782" s="359"/>
      <c r="C782" s="359"/>
      <c r="D782" s="359"/>
      <c r="E782" s="359"/>
      <c r="F782" s="360"/>
      <c r="G782" s="361"/>
      <c r="H782" s="361"/>
      <c r="I782" s="107"/>
      <c r="J782" s="107"/>
      <c r="K782" s="107"/>
      <c r="L782" s="107"/>
      <c r="M782" s="107"/>
      <c r="N782" s="107"/>
      <c r="O782" s="107"/>
      <c r="P782" s="107"/>
      <c r="Q782" s="107"/>
      <c r="R782" s="107"/>
      <c r="S782" s="107"/>
      <c r="T782" s="107"/>
      <c r="U782" s="107"/>
      <c r="V782" s="107"/>
      <c r="W782" s="107"/>
      <c r="X782" s="107"/>
      <c r="Y782" s="107"/>
      <c r="Z782" s="107"/>
    </row>
    <row r="783" ht="14.25" customHeight="1">
      <c r="A783" s="107"/>
      <c r="B783" s="359"/>
      <c r="C783" s="359"/>
      <c r="D783" s="359"/>
      <c r="E783" s="359"/>
      <c r="F783" s="360"/>
      <c r="G783" s="361"/>
      <c r="H783" s="361"/>
      <c r="I783" s="107"/>
      <c r="J783" s="107"/>
      <c r="K783" s="107"/>
      <c r="L783" s="107"/>
      <c r="M783" s="107"/>
      <c r="N783" s="107"/>
      <c r="O783" s="107"/>
      <c r="P783" s="107"/>
      <c r="Q783" s="107"/>
      <c r="R783" s="107"/>
      <c r="S783" s="107"/>
      <c r="T783" s="107"/>
      <c r="U783" s="107"/>
      <c r="V783" s="107"/>
      <c r="W783" s="107"/>
      <c r="X783" s="107"/>
      <c r="Y783" s="107"/>
      <c r="Z783" s="107"/>
    </row>
    <row r="784" ht="14.25" customHeight="1">
      <c r="A784" s="107"/>
      <c r="B784" s="359"/>
      <c r="C784" s="359"/>
      <c r="D784" s="359"/>
      <c r="E784" s="359"/>
      <c r="F784" s="360"/>
      <c r="G784" s="361"/>
      <c r="H784" s="361"/>
      <c r="I784" s="107"/>
      <c r="J784" s="107"/>
      <c r="K784" s="107"/>
      <c r="L784" s="107"/>
      <c r="M784" s="107"/>
      <c r="N784" s="107"/>
      <c r="O784" s="107"/>
      <c r="P784" s="107"/>
      <c r="Q784" s="107"/>
      <c r="R784" s="107"/>
      <c r="S784" s="107"/>
      <c r="T784" s="107"/>
      <c r="U784" s="107"/>
      <c r="V784" s="107"/>
      <c r="W784" s="107"/>
      <c r="X784" s="107"/>
      <c r="Y784" s="107"/>
      <c r="Z784" s="107"/>
    </row>
    <row r="785" ht="14.25" customHeight="1">
      <c r="A785" s="107"/>
      <c r="B785" s="359"/>
      <c r="C785" s="359"/>
      <c r="D785" s="359"/>
      <c r="E785" s="359"/>
      <c r="F785" s="360"/>
      <c r="G785" s="361"/>
      <c r="H785" s="361"/>
      <c r="I785" s="107"/>
      <c r="J785" s="107"/>
      <c r="K785" s="107"/>
      <c r="L785" s="107"/>
      <c r="M785" s="107"/>
      <c r="N785" s="107"/>
      <c r="O785" s="107"/>
      <c r="P785" s="107"/>
      <c r="Q785" s="107"/>
      <c r="R785" s="107"/>
      <c r="S785" s="107"/>
      <c r="T785" s="107"/>
      <c r="U785" s="107"/>
      <c r="V785" s="107"/>
      <c r="W785" s="107"/>
      <c r="X785" s="107"/>
      <c r="Y785" s="107"/>
      <c r="Z785" s="107"/>
    </row>
    <row r="786" ht="14.25" customHeight="1">
      <c r="A786" s="107"/>
      <c r="B786" s="359"/>
      <c r="C786" s="359"/>
      <c r="D786" s="359"/>
      <c r="E786" s="359"/>
      <c r="F786" s="360"/>
      <c r="G786" s="361"/>
      <c r="H786" s="361"/>
      <c r="I786" s="107"/>
      <c r="J786" s="107"/>
      <c r="K786" s="107"/>
      <c r="L786" s="107"/>
      <c r="M786" s="107"/>
      <c r="N786" s="107"/>
      <c r="O786" s="107"/>
      <c r="P786" s="107"/>
      <c r="Q786" s="107"/>
      <c r="R786" s="107"/>
      <c r="S786" s="107"/>
      <c r="T786" s="107"/>
      <c r="U786" s="107"/>
      <c r="V786" s="107"/>
      <c r="W786" s="107"/>
      <c r="X786" s="107"/>
      <c r="Y786" s="107"/>
      <c r="Z786" s="107"/>
    </row>
    <row r="787" ht="14.25" customHeight="1">
      <c r="A787" s="107"/>
      <c r="B787" s="359"/>
      <c r="C787" s="359"/>
      <c r="D787" s="359"/>
      <c r="E787" s="359"/>
      <c r="F787" s="360"/>
      <c r="G787" s="361"/>
      <c r="H787" s="361"/>
      <c r="I787" s="107"/>
      <c r="J787" s="107"/>
      <c r="K787" s="107"/>
      <c r="L787" s="107"/>
      <c r="M787" s="107"/>
      <c r="N787" s="107"/>
      <c r="O787" s="107"/>
      <c r="P787" s="107"/>
      <c r="Q787" s="107"/>
      <c r="R787" s="107"/>
      <c r="S787" s="107"/>
      <c r="T787" s="107"/>
      <c r="U787" s="107"/>
      <c r="V787" s="107"/>
      <c r="W787" s="107"/>
      <c r="X787" s="107"/>
      <c r="Y787" s="107"/>
      <c r="Z787" s="107"/>
    </row>
    <row r="788" ht="14.25" customHeight="1">
      <c r="A788" s="107"/>
      <c r="B788" s="359"/>
      <c r="C788" s="359"/>
      <c r="D788" s="359"/>
      <c r="E788" s="359"/>
      <c r="F788" s="360"/>
      <c r="G788" s="361"/>
      <c r="H788" s="361"/>
      <c r="I788" s="107"/>
      <c r="J788" s="107"/>
      <c r="K788" s="107"/>
      <c r="L788" s="107"/>
      <c r="M788" s="107"/>
      <c r="N788" s="107"/>
      <c r="O788" s="107"/>
      <c r="P788" s="107"/>
      <c r="Q788" s="107"/>
      <c r="R788" s="107"/>
      <c r="S788" s="107"/>
      <c r="T788" s="107"/>
      <c r="U788" s="107"/>
      <c r="V788" s="107"/>
      <c r="W788" s="107"/>
      <c r="X788" s="107"/>
      <c r="Y788" s="107"/>
      <c r="Z788" s="107"/>
    </row>
    <row r="789" ht="14.25" customHeight="1">
      <c r="A789" s="107"/>
      <c r="B789" s="359"/>
      <c r="C789" s="359"/>
      <c r="D789" s="359"/>
      <c r="E789" s="359"/>
      <c r="F789" s="360"/>
      <c r="G789" s="361"/>
      <c r="H789" s="361"/>
      <c r="I789" s="107"/>
      <c r="J789" s="107"/>
      <c r="K789" s="107"/>
      <c r="L789" s="107"/>
      <c r="M789" s="107"/>
      <c r="N789" s="107"/>
      <c r="O789" s="107"/>
      <c r="P789" s="107"/>
      <c r="Q789" s="107"/>
      <c r="R789" s="107"/>
      <c r="S789" s="107"/>
      <c r="T789" s="107"/>
      <c r="U789" s="107"/>
      <c r="V789" s="107"/>
      <c r="W789" s="107"/>
      <c r="X789" s="107"/>
      <c r="Y789" s="107"/>
      <c r="Z789" s="107"/>
    </row>
    <row r="790" ht="14.25" customHeight="1">
      <c r="A790" s="107"/>
      <c r="B790" s="359"/>
      <c r="C790" s="359"/>
      <c r="D790" s="359"/>
      <c r="E790" s="359"/>
      <c r="F790" s="360"/>
      <c r="G790" s="361"/>
      <c r="H790" s="361"/>
      <c r="I790" s="107"/>
      <c r="J790" s="107"/>
      <c r="K790" s="107"/>
      <c r="L790" s="107"/>
      <c r="M790" s="107"/>
      <c r="N790" s="107"/>
      <c r="O790" s="107"/>
      <c r="P790" s="107"/>
      <c r="Q790" s="107"/>
      <c r="R790" s="107"/>
      <c r="S790" s="107"/>
      <c r="T790" s="107"/>
      <c r="U790" s="107"/>
      <c r="V790" s="107"/>
      <c r="W790" s="107"/>
      <c r="X790" s="107"/>
      <c r="Y790" s="107"/>
      <c r="Z790" s="107"/>
    </row>
    <row r="791" ht="14.25" customHeight="1">
      <c r="A791" s="107"/>
      <c r="B791" s="359"/>
      <c r="C791" s="359"/>
      <c r="D791" s="359"/>
      <c r="E791" s="359"/>
      <c r="F791" s="360"/>
      <c r="G791" s="361"/>
      <c r="H791" s="361"/>
      <c r="I791" s="107"/>
      <c r="J791" s="107"/>
      <c r="K791" s="107"/>
      <c r="L791" s="107"/>
      <c r="M791" s="107"/>
      <c r="N791" s="107"/>
      <c r="O791" s="107"/>
      <c r="P791" s="107"/>
      <c r="Q791" s="107"/>
      <c r="R791" s="107"/>
      <c r="S791" s="107"/>
      <c r="T791" s="107"/>
      <c r="U791" s="107"/>
      <c r="V791" s="107"/>
      <c r="W791" s="107"/>
      <c r="X791" s="107"/>
      <c r="Y791" s="107"/>
      <c r="Z791" s="107"/>
    </row>
    <row r="792" ht="14.25" customHeight="1">
      <c r="A792" s="107"/>
      <c r="B792" s="359"/>
      <c r="C792" s="359"/>
      <c r="D792" s="359"/>
      <c r="E792" s="359"/>
      <c r="F792" s="360"/>
      <c r="G792" s="361"/>
      <c r="H792" s="361"/>
      <c r="I792" s="107"/>
      <c r="J792" s="107"/>
      <c r="K792" s="107"/>
      <c r="L792" s="107"/>
      <c r="M792" s="107"/>
      <c r="N792" s="107"/>
      <c r="O792" s="107"/>
      <c r="P792" s="107"/>
      <c r="Q792" s="107"/>
      <c r="R792" s="107"/>
      <c r="S792" s="107"/>
      <c r="T792" s="107"/>
      <c r="U792" s="107"/>
      <c r="V792" s="107"/>
      <c r="W792" s="107"/>
      <c r="X792" s="107"/>
      <c r="Y792" s="107"/>
      <c r="Z792" s="107"/>
    </row>
    <row r="793" ht="14.25" customHeight="1">
      <c r="A793" s="107"/>
      <c r="B793" s="359"/>
      <c r="C793" s="359"/>
      <c r="D793" s="359"/>
      <c r="E793" s="359"/>
      <c r="F793" s="360"/>
      <c r="G793" s="361"/>
      <c r="H793" s="361"/>
      <c r="I793" s="107"/>
      <c r="J793" s="107"/>
      <c r="K793" s="107"/>
      <c r="L793" s="107"/>
      <c r="M793" s="107"/>
      <c r="N793" s="107"/>
      <c r="O793" s="107"/>
      <c r="P793" s="107"/>
      <c r="Q793" s="107"/>
      <c r="R793" s="107"/>
      <c r="S793" s="107"/>
      <c r="T793" s="107"/>
      <c r="U793" s="107"/>
      <c r="V793" s="107"/>
      <c r="W793" s="107"/>
      <c r="X793" s="107"/>
      <c r="Y793" s="107"/>
      <c r="Z793" s="107"/>
    </row>
    <row r="794" ht="14.25" customHeight="1">
      <c r="A794" s="107"/>
      <c r="B794" s="359"/>
      <c r="C794" s="359"/>
      <c r="D794" s="359"/>
      <c r="E794" s="359"/>
      <c r="F794" s="360"/>
      <c r="G794" s="361"/>
      <c r="H794" s="361"/>
      <c r="I794" s="107"/>
      <c r="J794" s="107"/>
      <c r="K794" s="107"/>
      <c r="L794" s="107"/>
      <c r="M794" s="107"/>
      <c r="N794" s="107"/>
      <c r="O794" s="107"/>
      <c r="P794" s="107"/>
      <c r="Q794" s="107"/>
      <c r="R794" s="107"/>
      <c r="S794" s="107"/>
      <c r="T794" s="107"/>
      <c r="U794" s="107"/>
      <c r="V794" s="107"/>
      <c r="W794" s="107"/>
      <c r="X794" s="107"/>
      <c r="Y794" s="107"/>
      <c r="Z794" s="107"/>
    </row>
    <row r="795" ht="14.25" customHeight="1">
      <c r="A795" s="107"/>
      <c r="B795" s="359"/>
      <c r="C795" s="359"/>
      <c r="D795" s="359"/>
      <c r="E795" s="359"/>
      <c r="F795" s="360"/>
      <c r="G795" s="361"/>
      <c r="H795" s="361"/>
      <c r="I795" s="107"/>
      <c r="J795" s="107"/>
      <c r="K795" s="107"/>
      <c r="L795" s="107"/>
      <c r="M795" s="107"/>
      <c r="N795" s="107"/>
      <c r="O795" s="107"/>
      <c r="P795" s="107"/>
      <c r="Q795" s="107"/>
      <c r="R795" s="107"/>
      <c r="S795" s="107"/>
      <c r="T795" s="107"/>
      <c r="U795" s="107"/>
      <c r="V795" s="107"/>
      <c r="W795" s="107"/>
      <c r="X795" s="107"/>
      <c r="Y795" s="107"/>
      <c r="Z795" s="107"/>
    </row>
    <row r="796" ht="14.25" customHeight="1">
      <c r="A796" s="107"/>
      <c r="B796" s="359"/>
      <c r="C796" s="359"/>
      <c r="D796" s="359"/>
      <c r="E796" s="359"/>
      <c r="F796" s="360"/>
      <c r="G796" s="361"/>
      <c r="H796" s="361"/>
      <c r="I796" s="107"/>
      <c r="J796" s="107"/>
      <c r="K796" s="107"/>
      <c r="L796" s="107"/>
      <c r="M796" s="107"/>
      <c r="N796" s="107"/>
      <c r="O796" s="107"/>
      <c r="P796" s="107"/>
      <c r="Q796" s="107"/>
      <c r="R796" s="107"/>
      <c r="S796" s="107"/>
      <c r="T796" s="107"/>
      <c r="U796" s="107"/>
      <c r="V796" s="107"/>
      <c r="W796" s="107"/>
      <c r="X796" s="107"/>
      <c r="Y796" s="107"/>
      <c r="Z796" s="107"/>
    </row>
    <row r="797" ht="14.25" customHeight="1">
      <c r="A797" s="107"/>
      <c r="B797" s="359"/>
      <c r="C797" s="359"/>
      <c r="D797" s="359"/>
      <c r="E797" s="359"/>
      <c r="F797" s="360"/>
      <c r="G797" s="361"/>
      <c r="H797" s="361"/>
      <c r="I797" s="107"/>
      <c r="J797" s="107"/>
      <c r="K797" s="107"/>
      <c r="L797" s="107"/>
      <c r="M797" s="107"/>
      <c r="N797" s="107"/>
      <c r="O797" s="107"/>
      <c r="P797" s="107"/>
      <c r="Q797" s="107"/>
      <c r="R797" s="107"/>
      <c r="S797" s="107"/>
      <c r="T797" s="107"/>
      <c r="U797" s="107"/>
      <c r="V797" s="107"/>
      <c r="W797" s="107"/>
      <c r="X797" s="107"/>
      <c r="Y797" s="107"/>
      <c r="Z797" s="107"/>
    </row>
    <row r="798" ht="14.25" customHeight="1">
      <c r="A798" s="107"/>
      <c r="B798" s="359"/>
      <c r="C798" s="359"/>
      <c r="D798" s="359"/>
      <c r="E798" s="359"/>
      <c r="F798" s="360"/>
      <c r="G798" s="361"/>
      <c r="H798" s="361"/>
      <c r="I798" s="107"/>
      <c r="J798" s="107"/>
      <c r="K798" s="107"/>
      <c r="L798" s="107"/>
      <c r="M798" s="107"/>
      <c r="N798" s="107"/>
      <c r="O798" s="107"/>
      <c r="P798" s="107"/>
      <c r="Q798" s="107"/>
      <c r="R798" s="107"/>
      <c r="S798" s="107"/>
      <c r="T798" s="107"/>
      <c r="U798" s="107"/>
      <c r="V798" s="107"/>
      <c r="W798" s="107"/>
      <c r="X798" s="107"/>
      <c r="Y798" s="107"/>
      <c r="Z798" s="107"/>
    </row>
    <row r="799" ht="14.25" customHeight="1">
      <c r="A799" s="107"/>
      <c r="B799" s="359"/>
      <c r="C799" s="359"/>
      <c r="D799" s="359"/>
      <c r="E799" s="359"/>
      <c r="F799" s="360"/>
      <c r="G799" s="361"/>
      <c r="H799" s="361"/>
      <c r="I799" s="107"/>
      <c r="J799" s="107"/>
      <c r="K799" s="107"/>
      <c r="L799" s="107"/>
      <c r="M799" s="107"/>
      <c r="N799" s="107"/>
      <c r="O799" s="107"/>
      <c r="P799" s="107"/>
      <c r="Q799" s="107"/>
      <c r="R799" s="107"/>
      <c r="S799" s="107"/>
      <c r="T799" s="107"/>
      <c r="U799" s="107"/>
      <c r="V799" s="107"/>
      <c r="W799" s="107"/>
      <c r="X799" s="107"/>
      <c r="Y799" s="107"/>
      <c r="Z799" s="107"/>
    </row>
    <row r="800" ht="14.25" customHeight="1">
      <c r="A800" s="107"/>
      <c r="B800" s="359"/>
      <c r="C800" s="359"/>
      <c r="D800" s="359"/>
      <c r="E800" s="359"/>
      <c r="F800" s="360"/>
      <c r="G800" s="361"/>
      <c r="H800" s="361"/>
      <c r="I800" s="107"/>
      <c r="J800" s="107"/>
      <c r="K800" s="107"/>
      <c r="L800" s="107"/>
      <c r="M800" s="107"/>
      <c r="N800" s="107"/>
      <c r="O800" s="107"/>
      <c r="P800" s="107"/>
      <c r="Q800" s="107"/>
      <c r="R800" s="107"/>
      <c r="S800" s="107"/>
      <c r="T800" s="107"/>
      <c r="U800" s="107"/>
      <c r="V800" s="107"/>
      <c r="W800" s="107"/>
      <c r="X800" s="107"/>
      <c r="Y800" s="107"/>
      <c r="Z800" s="107"/>
    </row>
    <row r="801" ht="14.25" customHeight="1">
      <c r="A801" s="107"/>
      <c r="B801" s="359"/>
      <c r="C801" s="359"/>
      <c r="D801" s="359"/>
      <c r="E801" s="359"/>
      <c r="F801" s="360"/>
      <c r="G801" s="361"/>
      <c r="H801" s="361"/>
      <c r="I801" s="107"/>
      <c r="J801" s="107"/>
      <c r="K801" s="107"/>
      <c r="L801" s="107"/>
      <c r="M801" s="107"/>
      <c r="N801" s="107"/>
      <c r="O801" s="107"/>
      <c r="P801" s="107"/>
      <c r="Q801" s="107"/>
      <c r="R801" s="107"/>
      <c r="S801" s="107"/>
      <c r="T801" s="107"/>
      <c r="U801" s="107"/>
      <c r="V801" s="107"/>
      <c r="W801" s="107"/>
      <c r="X801" s="107"/>
      <c r="Y801" s="107"/>
      <c r="Z801" s="107"/>
    </row>
    <row r="802" ht="14.25" customHeight="1">
      <c r="A802" s="107"/>
      <c r="B802" s="359"/>
      <c r="C802" s="359"/>
      <c r="D802" s="359"/>
      <c r="E802" s="359"/>
      <c r="F802" s="360"/>
      <c r="G802" s="361"/>
      <c r="H802" s="361"/>
      <c r="I802" s="107"/>
      <c r="J802" s="107"/>
      <c r="K802" s="107"/>
      <c r="L802" s="107"/>
      <c r="M802" s="107"/>
      <c r="N802" s="107"/>
      <c r="O802" s="107"/>
      <c r="P802" s="107"/>
      <c r="Q802" s="107"/>
      <c r="R802" s="107"/>
      <c r="S802" s="107"/>
      <c r="T802" s="107"/>
      <c r="U802" s="107"/>
      <c r="V802" s="107"/>
      <c r="W802" s="107"/>
      <c r="X802" s="107"/>
      <c r="Y802" s="107"/>
      <c r="Z802" s="107"/>
    </row>
    <row r="803" ht="14.25" customHeight="1">
      <c r="A803" s="107"/>
      <c r="B803" s="359"/>
      <c r="C803" s="359"/>
      <c r="D803" s="359"/>
      <c r="E803" s="359"/>
      <c r="F803" s="360"/>
      <c r="G803" s="361"/>
      <c r="H803" s="361"/>
      <c r="I803" s="107"/>
      <c r="J803" s="107"/>
      <c r="K803" s="107"/>
      <c r="L803" s="107"/>
      <c r="M803" s="107"/>
      <c r="N803" s="107"/>
      <c r="O803" s="107"/>
      <c r="P803" s="107"/>
      <c r="Q803" s="107"/>
      <c r="R803" s="107"/>
      <c r="S803" s="107"/>
      <c r="T803" s="107"/>
      <c r="U803" s="107"/>
      <c r="V803" s="107"/>
      <c r="W803" s="107"/>
      <c r="X803" s="107"/>
      <c r="Y803" s="107"/>
      <c r="Z803" s="107"/>
    </row>
    <row r="804" ht="14.25" customHeight="1">
      <c r="A804" s="107"/>
      <c r="B804" s="359"/>
      <c r="C804" s="359"/>
      <c r="D804" s="359"/>
      <c r="E804" s="359"/>
      <c r="F804" s="360"/>
      <c r="G804" s="361"/>
      <c r="H804" s="361"/>
      <c r="I804" s="107"/>
      <c r="J804" s="107"/>
      <c r="K804" s="107"/>
      <c r="L804" s="107"/>
      <c r="M804" s="107"/>
      <c r="N804" s="107"/>
      <c r="O804" s="107"/>
      <c r="P804" s="107"/>
      <c r="Q804" s="107"/>
      <c r="R804" s="107"/>
      <c r="S804" s="107"/>
      <c r="T804" s="107"/>
      <c r="U804" s="107"/>
      <c r="V804" s="107"/>
      <c r="W804" s="107"/>
      <c r="X804" s="107"/>
      <c r="Y804" s="107"/>
      <c r="Z804" s="107"/>
    </row>
    <row r="805" ht="14.25" customHeight="1">
      <c r="A805" s="107"/>
      <c r="B805" s="359"/>
      <c r="C805" s="359"/>
      <c r="D805" s="359"/>
      <c r="E805" s="359"/>
      <c r="F805" s="360"/>
      <c r="G805" s="361"/>
      <c r="H805" s="361"/>
      <c r="I805" s="107"/>
      <c r="J805" s="107"/>
      <c r="K805" s="107"/>
      <c r="L805" s="107"/>
      <c r="M805" s="107"/>
      <c r="N805" s="107"/>
      <c r="O805" s="107"/>
      <c r="P805" s="107"/>
      <c r="Q805" s="107"/>
      <c r="R805" s="107"/>
      <c r="S805" s="107"/>
      <c r="T805" s="107"/>
      <c r="U805" s="107"/>
      <c r="V805" s="107"/>
      <c r="W805" s="107"/>
      <c r="X805" s="107"/>
      <c r="Y805" s="107"/>
      <c r="Z805" s="107"/>
    </row>
    <row r="806" ht="14.25" customHeight="1">
      <c r="A806" s="107"/>
      <c r="B806" s="359"/>
      <c r="C806" s="359"/>
      <c r="D806" s="359"/>
      <c r="E806" s="359"/>
      <c r="F806" s="360"/>
      <c r="G806" s="361"/>
      <c r="H806" s="361"/>
      <c r="I806" s="107"/>
      <c r="J806" s="107"/>
      <c r="K806" s="107"/>
      <c r="L806" s="107"/>
      <c r="M806" s="107"/>
      <c r="N806" s="107"/>
      <c r="O806" s="107"/>
      <c r="P806" s="107"/>
      <c r="Q806" s="107"/>
      <c r="R806" s="107"/>
      <c r="S806" s="107"/>
      <c r="T806" s="107"/>
      <c r="U806" s="107"/>
      <c r="V806" s="107"/>
      <c r="W806" s="107"/>
      <c r="X806" s="107"/>
      <c r="Y806" s="107"/>
      <c r="Z806" s="107"/>
    </row>
    <row r="807" ht="14.25" customHeight="1">
      <c r="A807" s="107"/>
      <c r="B807" s="359"/>
      <c r="C807" s="359"/>
      <c r="D807" s="359"/>
      <c r="E807" s="359"/>
      <c r="F807" s="360"/>
      <c r="G807" s="361"/>
      <c r="H807" s="361"/>
      <c r="I807" s="107"/>
      <c r="J807" s="107"/>
      <c r="K807" s="107"/>
      <c r="L807" s="107"/>
      <c r="M807" s="107"/>
      <c r="N807" s="107"/>
      <c r="O807" s="107"/>
      <c r="P807" s="107"/>
      <c r="Q807" s="107"/>
      <c r="R807" s="107"/>
      <c r="S807" s="107"/>
      <c r="T807" s="107"/>
      <c r="U807" s="107"/>
      <c r="V807" s="107"/>
      <c r="W807" s="107"/>
      <c r="X807" s="107"/>
      <c r="Y807" s="107"/>
      <c r="Z807" s="107"/>
    </row>
    <row r="808" ht="14.25" customHeight="1">
      <c r="A808" s="107"/>
      <c r="B808" s="359"/>
      <c r="C808" s="359"/>
      <c r="D808" s="359"/>
      <c r="E808" s="359"/>
      <c r="F808" s="360"/>
      <c r="G808" s="361"/>
      <c r="H808" s="361"/>
      <c r="I808" s="107"/>
      <c r="J808" s="107"/>
      <c r="K808" s="107"/>
      <c r="L808" s="107"/>
      <c r="M808" s="107"/>
      <c r="N808" s="107"/>
      <c r="O808" s="107"/>
      <c r="P808" s="107"/>
      <c r="Q808" s="107"/>
      <c r="R808" s="107"/>
      <c r="S808" s="107"/>
      <c r="T808" s="107"/>
      <c r="U808" s="107"/>
      <c r="V808" s="107"/>
      <c r="W808" s="107"/>
      <c r="X808" s="107"/>
      <c r="Y808" s="107"/>
      <c r="Z808" s="107"/>
    </row>
    <row r="809" ht="14.25" customHeight="1">
      <c r="A809" s="107"/>
      <c r="B809" s="359"/>
      <c r="C809" s="359"/>
      <c r="D809" s="359"/>
      <c r="E809" s="359"/>
      <c r="F809" s="360"/>
      <c r="G809" s="361"/>
      <c r="H809" s="361"/>
      <c r="I809" s="107"/>
      <c r="J809" s="107"/>
      <c r="K809" s="107"/>
      <c r="L809" s="107"/>
      <c r="M809" s="107"/>
      <c r="N809" s="107"/>
      <c r="O809" s="107"/>
      <c r="P809" s="107"/>
      <c r="Q809" s="107"/>
      <c r="R809" s="107"/>
      <c r="S809" s="107"/>
      <c r="T809" s="107"/>
      <c r="U809" s="107"/>
      <c r="V809" s="107"/>
      <c r="W809" s="107"/>
      <c r="X809" s="107"/>
      <c r="Y809" s="107"/>
      <c r="Z809" s="107"/>
    </row>
    <row r="810" ht="14.25" customHeight="1">
      <c r="A810" s="107"/>
      <c r="B810" s="359"/>
      <c r="C810" s="359"/>
      <c r="D810" s="359"/>
      <c r="E810" s="359"/>
      <c r="F810" s="360"/>
      <c r="G810" s="361"/>
      <c r="H810" s="361"/>
      <c r="I810" s="107"/>
      <c r="J810" s="107"/>
      <c r="K810" s="107"/>
      <c r="L810" s="107"/>
      <c r="M810" s="107"/>
      <c r="N810" s="107"/>
      <c r="O810" s="107"/>
      <c r="P810" s="107"/>
      <c r="Q810" s="107"/>
      <c r="R810" s="107"/>
      <c r="S810" s="107"/>
      <c r="T810" s="107"/>
      <c r="U810" s="107"/>
      <c r="V810" s="107"/>
      <c r="W810" s="107"/>
      <c r="X810" s="107"/>
      <c r="Y810" s="107"/>
      <c r="Z810" s="107"/>
    </row>
    <row r="811" ht="14.25" customHeight="1">
      <c r="A811" s="107"/>
      <c r="B811" s="359"/>
      <c r="C811" s="359"/>
      <c r="D811" s="359"/>
      <c r="E811" s="359"/>
      <c r="F811" s="360"/>
      <c r="G811" s="361"/>
      <c r="H811" s="361"/>
      <c r="I811" s="107"/>
      <c r="J811" s="107"/>
      <c r="K811" s="107"/>
      <c r="L811" s="107"/>
      <c r="M811" s="107"/>
      <c r="N811" s="107"/>
      <c r="O811" s="107"/>
      <c r="P811" s="107"/>
      <c r="Q811" s="107"/>
      <c r="R811" s="107"/>
      <c r="S811" s="107"/>
      <c r="T811" s="107"/>
      <c r="U811" s="107"/>
      <c r="V811" s="107"/>
      <c r="W811" s="107"/>
      <c r="X811" s="107"/>
      <c r="Y811" s="107"/>
      <c r="Z811" s="107"/>
    </row>
    <row r="812" ht="14.25" customHeight="1">
      <c r="A812" s="107"/>
      <c r="B812" s="359"/>
      <c r="C812" s="359"/>
      <c r="D812" s="359"/>
      <c r="E812" s="359"/>
      <c r="F812" s="360"/>
      <c r="G812" s="361"/>
      <c r="H812" s="361"/>
      <c r="I812" s="107"/>
      <c r="J812" s="107"/>
      <c r="K812" s="107"/>
      <c r="L812" s="107"/>
      <c r="M812" s="107"/>
      <c r="N812" s="107"/>
      <c r="O812" s="107"/>
      <c r="P812" s="107"/>
      <c r="Q812" s="107"/>
      <c r="R812" s="107"/>
      <c r="S812" s="107"/>
      <c r="T812" s="107"/>
      <c r="U812" s="107"/>
      <c r="V812" s="107"/>
      <c r="W812" s="107"/>
      <c r="X812" s="107"/>
      <c r="Y812" s="107"/>
      <c r="Z812" s="107"/>
    </row>
    <row r="813" ht="14.25" customHeight="1">
      <c r="A813" s="107"/>
      <c r="B813" s="359"/>
      <c r="C813" s="359"/>
      <c r="D813" s="359"/>
      <c r="E813" s="359"/>
      <c r="F813" s="360"/>
      <c r="G813" s="361"/>
      <c r="H813" s="361"/>
      <c r="I813" s="107"/>
      <c r="J813" s="107"/>
      <c r="K813" s="107"/>
      <c r="L813" s="107"/>
      <c r="M813" s="107"/>
      <c r="N813" s="107"/>
      <c r="O813" s="107"/>
      <c r="P813" s="107"/>
      <c r="Q813" s="107"/>
      <c r="R813" s="107"/>
      <c r="S813" s="107"/>
      <c r="T813" s="107"/>
      <c r="U813" s="107"/>
      <c r="V813" s="107"/>
      <c r="W813" s="107"/>
      <c r="X813" s="107"/>
      <c r="Y813" s="107"/>
      <c r="Z813" s="107"/>
    </row>
    <row r="814" ht="14.25" customHeight="1">
      <c r="A814" s="107"/>
      <c r="B814" s="359"/>
      <c r="C814" s="359"/>
      <c r="D814" s="359"/>
      <c r="E814" s="359"/>
      <c r="F814" s="360"/>
      <c r="G814" s="361"/>
      <c r="H814" s="361"/>
      <c r="I814" s="107"/>
      <c r="J814" s="107"/>
      <c r="K814" s="107"/>
      <c r="L814" s="107"/>
      <c r="M814" s="107"/>
      <c r="N814" s="107"/>
      <c r="O814" s="107"/>
      <c r="P814" s="107"/>
      <c r="Q814" s="107"/>
      <c r="R814" s="107"/>
      <c r="S814" s="107"/>
      <c r="T814" s="107"/>
      <c r="U814" s="107"/>
      <c r="V814" s="107"/>
      <c r="W814" s="107"/>
      <c r="X814" s="107"/>
      <c r="Y814" s="107"/>
      <c r="Z814" s="107"/>
    </row>
    <row r="815" ht="14.25" customHeight="1">
      <c r="A815" s="107"/>
      <c r="B815" s="359"/>
      <c r="C815" s="359"/>
      <c r="D815" s="359"/>
      <c r="E815" s="359"/>
      <c r="F815" s="360"/>
      <c r="G815" s="361"/>
      <c r="H815" s="361"/>
      <c r="I815" s="107"/>
      <c r="J815" s="107"/>
      <c r="K815" s="107"/>
      <c r="L815" s="107"/>
      <c r="M815" s="107"/>
      <c r="N815" s="107"/>
      <c r="O815" s="107"/>
      <c r="P815" s="107"/>
      <c r="Q815" s="107"/>
      <c r="R815" s="107"/>
      <c r="S815" s="107"/>
      <c r="T815" s="107"/>
      <c r="U815" s="107"/>
      <c r="V815" s="107"/>
      <c r="W815" s="107"/>
      <c r="X815" s="107"/>
      <c r="Y815" s="107"/>
      <c r="Z815" s="107"/>
    </row>
    <row r="816" ht="14.25" customHeight="1">
      <c r="A816" s="107"/>
      <c r="B816" s="359"/>
      <c r="C816" s="359"/>
      <c r="D816" s="359"/>
      <c r="E816" s="359"/>
      <c r="F816" s="360"/>
      <c r="G816" s="361"/>
      <c r="H816" s="361"/>
      <c r="I816" s="107"/>
      <c r="J816" s="107"/>
      <c r="K816" s="107"/>
      <c r="L816" s="107"/>
      <c r="M816" s="107"/>
      <c r="N816" s="107"/>
      <c r="O816" s="107"/>
      <c r="P816" s="107"/>
      <c r="Q816" s="107"/>
      <c r="R816" s="107"/>
      <c r="S816" s="107"/>
      <c r="T816" s="107"/>
      <c r="U816" s="107"/>
      <c r="V816" s="107"/>
      <c r="W816" s="107"/>
      <c r="X816" s="107"/>
      <c r="Y816" s="107"/>
      <c r="Z816" s="107"/>
    </row>
    <row r="817" ht="14.25" customHeight="1">
      <c r="A817" s="107"/>
      <c r="B817" s="359"/>
      <c r="C817" s="359"/>
      <c r="D817" s="359"/>
      <c r="E817" s="359"/>
      <c r="F817" s="360"/>
      <c r="G817" s="361"/>
      <c r="H817" s="361"/>
      <c r="I817" s="107"/>
      <c r="J817" s="107"/>
      <c r="K817" s="107"/>
      <c r="L817" s="107"/>
      <c r="M817" s="107"/>
      <c r="N817" s="107"/>
      <c r="O817" s="107"/>
      <c r="P817" s="107"/>
      <c r="Q817" s="107"/>
      <c r="R817" s="107"/>
      <c r="S817" s="107"/>
      <c r="T817" s="107"/>
      <c r="U817" s="107"/>
      <c r="V817" s="107"/>
      <c r="W817" s="107"/>
      <c r="X817" s="107"/>
      <c r="Y817" s="107"/>
      <c r="Z817" s="107"/>
    </row>
    <row r="818" ht="14.25" customHeight="1">
      <c r="A818" s="107"/>
      <c r="B818" s="359"/>
      <c r="C818" s="359"/>
      <c r="D818" s="359"/>
      <c r="E818" s="359"/>
      <c r="F818" s="360"/>
      <c r="G818" s="361"/>
      <c r="H818" s="361"/>
      <c r="I818" s="107"/>
      <c r="J818" s="107"/>
      <c r="K818" s="107"/>
      <c r="L818" s="107"/>
      <c r="M818" s="107"/>
      <c r="N818" s="107"/>
      <c r="O818" s="107"/>
      <c r="P818" s="107"/>
      <c r="Q818" s="107"/>
      <c r="R818" s="107"/>
      <c r="S818" s="107"/>
      <c r="T818" s="107"/>
      <c r="U818" s="107"/>
      <c r="V818" s="107"/>
      <c r="W818" s="107"/>
      <c r="X818" s="107"/>
      <c r="Y818" s="107"/>
      <c r="Z818" s="107"/>
    </row>
    <row r="819" ht="14.25" customHeight="1">
      <c r="A819" s="107"/>
      <c r="B819" s="359"/>
      <c r="C819" s="359"/>
      <c r="D819" s="359"/>
      <c r="E819" s="359"/>
      <c r="F819" s="360"/>
      <c r="G819" s="361"/>
      <c r="H819" s="361"/>
      <c r="I819" s="107"/>
      <c r="J819" s="107"/>
      <c r="K819" s="107"/>
      <c r="L819" s="107"/>
      <c r="M819" s="107"/>
      <c r="N819" s="107"/>
      <c r="O819" s="107"/>
      <c r="P819" s="107"/>
      <c r="Q819" s="107"/>
      <c r="R819" s="107"/>
      <c r="S819" s="107"/>
      <c r="T819" s="107"/>
      <c r="U819" s="107"/>
      <c r="V819" s="107"/>
      <c r="W819" s="107"/>
      <c r="X819" s="107"/>
      <c r="Y819" s="107"/>
      <c r="Z819" s="107"/>
    </row>
    <row r="820" ht="14.25" customHeight="1">
      <c r="A820" s="107"/>
      <c r="B820" s="359"/>
      <c r="C820" s="359"/>
      <c r="D820" s="359"/>
      <c r="E820" s="359"/>
      <c r="F820" s="360"/>
      <c r="G820" s="361"/>
      <c r="H820" s="361"/>
      <c r="I820" s="107"/>
      <c r="J820" s="107"/>
      <c r="K820" s="107"/>
      <c r="L820" s="107"/>
      <c r="M820" s="107"/>
      <c r="N820" s="107"/>
      <c r="O820" s="107"/>
      <c r="P820" s="107"/>
      <c r="Q820" s="107"/>
      <c r="R820" s="107"/>
      <c r="S820" s="107"/>
      <c r="T820" s="107"/>
      <c r="U820" s="107"/>
      <c r="V820" s="107"/>
      <c r="W820" s="107"/>
      <c r="X820" s="107"/>
      <c r="Y820" s="107"/>
      <c r="Z820" s="107"/>
    </row>
    <row r="821" ht="14.25" customHeight="1">
      <c r="A821" s="107"/>
      <c r="B821" s="359"/>
      <c r="C821" s="359"/>
      <c r="D821" s="359"/>
      <c r="E821" s="359"/>
      <c r="F821" s="360"/>
      <c r="G821" s="361"/>
      <c r="H821" s="361"/>
      <c r="I821" s="107"/>
      <c r="J821" s="107"/>
      <c r="K821" s="107"/>
      <c r="L821" s="107"/>
      <c r="M821" s="107"/>
      <c r="N821" s="107"/>
      <c r="O821" s="107"/>
      <c r="P821" s="107"/>
      <c r="Q821" s="107"/>
      <c r="R821" s="107"/>
      <c r="S821" s="107"/>
      <c r="T821" s="107"/>
      <c r="U821" s="107"/>
      <c r="V821" s="107"/>
      <c r="W821" s="107"/>
      <c r="X821" s="107"/>
      <c r="Y821" s="107"/>
      <c r="Z821" s="107"/>
    </row>
    <row r="822" ht="14.25" customHeight="1">
      <c r="A822" s="107"/>
      <c r="B822" s="359"/>
      <c r="C822" s="359"/>
      <c r="D822" s="359"/>
      <c r="E822" s="359"/>
      <c r="F822" s="360"/>
      <c r="G822" s="361"/>
      <c r="H822" s="361"/>
      <c r="I822" s="107"/>
      <c r="J822" s="107"/>
      <c r="K822" s="107"/>
      <c r="L822" s="107"/>
      <c r="M822" s="107"/>
      <c r="N822" s="107"/>
      <c r="O822" s="107"/>
      <c r="P822" s="107"/>
      <c r="Q822" s="107"/>
      <c r="R822" s="107"/>
      <c r="S822" s="107"/>
      <c r="T822" s="107"/>
      <c r="U822" s="107"/>
      <c r="V822" s="107"/>
      <c r="W822" s="107"/>
      <c r="X822" s="107"/>
      <c r="Y822" s="107"/>
      <c r="Z822" s="107"/>
    </row>
    <row r="823" ht="14.25" customHeight="1">
      <c r="A823" s="107"/>
      <c r="B823" s="359"/>
      <c r="C823" s="359"/>
      <c r="D823" s="359"/>
      <c r="E823" s="359"/>
      <c r="F823" s="360"/>
      <c r="G823" s="361"/>
      <c r="H823" s="361"/>
      <c r="I823" s="107"/>
      <c r="J823" s="107"/>
      <c r="K823" s="107"/>
      <c r="L823" s="107"/>
      <c r="M823" s="107"/>
      <c r="N823" s="107"/>
      <c r="O823" s="107"/>
      <c r="P823" s="107"/>
      <c r="Q823" s="107"/>
      <c r="R823" s="107"/>
      <c r="S823" s="107"/>
      <c r="T823" s="107"/>
      <c r="U823" s="107"/>
      <c r="V823" s="107"/>
      <c r="W823" s="107"/>
      <c r="X823" s="107"/>
      <c r="Y823" s="107"/>
      <c r="Z823" s="107"/>
    </row>
    <row r="824" ht="14.25" customHeight="1">
      <c r="A824" s="107"/>
      <c r="B824" s="359"/>
      <c r="C824" s="359"/>
      <c r="D824" s="359"/>
      <c r="E824" s="359"/>
      <c r="F824" s="360"/>
      <c r="G824" s="361"/>
      <c r="H824" s="361"/>
      <c r="I824" s="107"/>
      <c r="J824" s="107"/>
      <c r="K824" s="107"/>
      <c r="L824" s="107"/>
      <c r="M824" s="107"/>
      <c r="N824" s="107"/>
      <c r="O824" s="107"/>
      <c r="P824" s="107"/>
      <c r="Q824" s="107"/>
      <c r="R824" s="107"/>
      <c r="S824" s="107"/>
      <c r="T824" s="107"/>
      <c r="U824" s="107"/>
      <c r="V824" s="107"/>
      <c r="W824" s="107"/>
      <c r="X824" s="107"/>
      <c r="Y824" s="107"/>
      <c r="Z824" s="107"/>
    </row>
    <row r="825" ht="14.25" customHeight="1">
      <c r="A825" s="107"/>
      <c r="B825" s="359"/>
      <c r="C825" s="359"/>
      <c r="D825" s="359"/>
      <c r="E825" s="359"/>
      <c r="F825" s="360"/>
      <c r="G825" s="361"/>
      <c r="H825" s="361"/>
      <c r="I825" s="107"/>
      <c r="J825" s="107"/>
      <c r="K825" s="107"/>
      <c r="L825" s="107"/>
      <c r="M825" s="107"/>
      <c r="N825" s="107"/>
      <c r="O825" s="107"/>
      <c r="P825" s="107"/>
      <c r="Q825" s="107"/>
      <c r="R825" s="107"/>
      <c r="S825" s="107"/>
      <c r="T825" s="107"/>
      <c r="U825" s="107"/>
      <c r="V825" s="107"/>
      <c r="W825" s="107"/>
      <c r="X825" s="107"/>
      <c r="Y825" s="107"/>
      <c r="Z825" s="107"/>
    </row>
    <row r="826" ht="14.25" customHeight="1">
      <c r="A826" s="107"/>
      <c r="B826" s="359"/>
      <c r="C826" s="359"/>
      <c r="D826" s="359"/>
      <c r="E826" s="359"/>
      <c r="F826" s="360"/>
      <c r="G826" s="361"/>
      <c r="H826" s="361"/>
      <c r="I826" s="107"/>
      <c r="J826" s="107"/>
      <c r="K826" s="107"/>
      <c r="L826" s="107"/>
      <c r="M826" s="107"/>
      <c r="N826" s="107"/>
      <c r="O826" s="107"/>
      <c r="P826" s="107"/>
      <c r="Q826" s="107"/>
      <c r="R826" s="107"/>
      <c r="S826" s="107"/>
      <c r="T826" s="107"/>
      <c r="U826" s="107"/>
      <c r="V826" s="107"/>
      <c r="W826" s="107"/>
      <c r="X826" s="107"/>
      <c r="Y826" s="107"/>
      <c r="Z826" s="107"/>
    </row>
    <row r="827" ht="14.25" customHeight="1">
      <c r="A827" s="107"/>
      <c r="B827" s="359"/>
      <c r="C827" s="359"/>
      <c r="D827" s="359"/>
      <c r="E827" s="359"/>
      <c r="F827" s="360"/>
      <c r="G827" s="361"/>
      <c r="H827" s="361"/>
      <c r="I827" s="107"/>
      <c r="J827" s="107"/>
      <c r="K827" s="107"/>
      <c r="L827" s="107"/>
      <c r="M827" s="107"/>
      <c r="N827" s="107"/>
      <c r="O827" s="107"/>
      <c r="P827" s="107"/>
      <c r="Q827" s="107"/>
      <c r="R827" s="107"/>
      <c r="S827" s="107"/>
      <c r="T827" s="107"/>
      <c r="U827" s="107"/>
      <c r="V827" s="107"/>
      <c r="W827" s="107"/>
      <c r="X827" s="107"/>
      <c r="Y827" s="107"/>
      <c r="Z827" s="107"/>
    </row>
    <row r="828" ht="14.25" customHeight="1">
      <c r="A828" s="107"/>
      <c r="B828" s="359"/>
      <c r="C828" s="359"/>
      <c r="D828" s="359"/>
      <c r="E828" s="359"/>
      <c r="F828" s="360"/>
      <c r="G828" s="361"/>
      <c r="H828" s="361"/>
      <c r="I828" s="107"/>
      <c r="J828" s="107"/>
      <c r="K828" s="107"/>
      <c r="L828" s="107"/>
      <c r="M828" s="107"/>
      <c r="N828" s="107"/>
      <c r="O828" s="107"/>
      <c r="P828" s="107"/>
      <c r="Q828" s="107"/>
      <c r="R828" s="107"/>
      <c r="S828" s="107"/>
      <c r="T828" s="107"/>
      <c r="U828" s="107"/>
      <c r="V828" s="107"/>
      <c r="W828" s="107"/>
      <c r="X828" s="107"/>
      <c r="Y828" s="107"/>
      <c r="Z828" s="107"/>
    </row>
    <row r="829" ht="14.25" customHeight="1">
      <c r="A829" s="107"/>
      <c r="B829" s="359"/>
      <c r="C829" s="359"/>
      <c r="D829" s="359"/>
      <c r="E829" s="359"/>
      <c r="F829" s="360"/>
      <c r="G829" s="361"/>
      <c r="H829" s="361"/>
      <c r="I829" s="107"/>
      <c r="J829" s="107"/>
      <c r="K829" s="107"/>
      <c r="L829" s="107"/>
      <c r="M829" s="107"/>
      <c r="N829" s="107"/>
      <c r="O829" s="107"/>
      <c r="P829" s="107"/>
      <c r="Q829" s="107"/>
      <c r="R829" s="107"/>
      <c r="S829" s="107"/>
      <c r="T829" s="107"/>
      <c r="U829" s="107"/>
      <c r="V829" s="107"/>
      <c r="W829" s="107"/>
      <c r="X829" s="107"/>
      <c r="Y829" s="107"/>
      <c r="Z829" s="107"/>
    </row>
    <row r="830" ht="14.25" customHeight="1">
      <c r="A830" s="107"/>
      <c r="B830" s="359"/>
      <c r="C830" s="359"/>
      <c r="D830" s="359"/>
      <c r="E830" s="359"/>
      <c r="F830" s="360"/>
      <c r="G830" s="361"/>
      <c r="H830" s="361"/>
      <c r="I830" s="107"/>
      <c r="J830" s="107"/>
      <c r="K830" s="107"/>
      <c r="L830" s="107"/>
      <c r="M830" s="107"/>
      <c r="N830" s="107"/>
      <c r="O830" s="107"/>
      <c r="P830" s="107"/>
      <c r="Q830" s="107"/>
      <c r="R830" s="107"/>
      <c r="S830" s="107"/>
      <c r="T830" s="107"/>
      <c r="U830" s="107"/>
      <c r="V830" s="107"/>
      <c r="W830" s="107"/>
      <c r="X830" s="107"/>
      <c r="Y830" s="107"/>
      <c r="Z830" s="107"/>
    </row>
    <row r="831" ht="14.25" customHeight="1">
      <c r="A831" s="107"/>
      <c r="B831" s="359"/>
      <c r="C831" s="359"/>
      <c r="D831" s="359"/>
      <c r="E831" s="359"/>
      <c r="F831" s="360"/>
      <c r="G831" s="361"/>
      <c r="H831" s="361"/>
      <c r="I831" s="107"/>
      <c r="J831" s="107"/>
      <c r="K831" s="107"/>
      <c r="L831" s="107"/>
      <c r="M831" s="107"/>
      <c r="N831" s="107"/>
      <c r="O831" s="107"/>
      <c r="P831" s="107"/>
      <c r="Q831" s="107"/>
      <c r="R831" s="107"/>
      <c r="S831" s="107"/>
      <c r="T831" s="107"/>
      <c r="U831" s="107"/>
      <c r="V831" s="107"/>
      <c r="W831" s="107"/>
      <c r="X831" s="107"/>
      <c r="Y831" s="107"/>
      <c r="Z831" s="107"/>
    </row>
    <row r="832" ht="14.25" customHeight="1">
      <c r="A832" s="107"/>
      <c r="B832" s="359"/>
      <c r="C832" s="359"/>
      <c r="D832" s="359"/>
      <c r="E832" s="359"/>
      <c r="F832" s="360"/>
      <c r="G832" s="361"/>
      <c r="H832" s="361"/>
      <c r="I832" s="107"/>
      <c r="J832" s="107"/>
      <c r="K832" s="107"/>
      <c r="L832" s="107"/>
      <c r="M832" s="107"/>
      <c r="N832" s="107"/>
      <c r="O832" s="107"/>
      <c r="P832" s="107"/>
      <c r="Q832" s="107"/>
      <c r="R832" s="107"/>
      <c r="S832" s="107"/>
      <c r="T832" s="107"/>
      <c r="U832" s="107"/>
      <c r="V832" s="107"/>
      <c r="W832" s="107"/>
      <c r="X832" s="107"/>
      <c r="Y832" s="107"/>
      <c r="Z832" s="107"/>
    </row>
    <row r="833" ht="14.25" customHeight="1">
      <c r="A833" s="107"/>
      <c r="B833" s="359"/>
      <c r="C833" s="359"/>
      <c r="D833" s="359"/>
      <c r="E833" s="359"/>
      <c r="F833" s="360"/>
      <c r="G833" s="361"/>
      <c r="H833" s="361"/>
      <c r="I833" s="107"/>
      <c r="J833" s="107"/>
      <c r="K833" s="107"/>
      <c r="L833" s="107"/>
      <c r="M833" s="107"/>
      <c r="N833" s="107"/>
      <c r="O833" s="107"/>
      <c r="P833" s="107"/>
      <c r="Q833" s="107"/>
      <c r="R833" s="107"/>
      <c r="S833" s="107"/>
      <c r="T833" s="107"/>
      <c r="U833" s="107"/>
      <c r="V833" s="107"/>
      <c r="W833" s="107"/>
      <c r="X833" s="107"/>
      <c r="Y833" s="107"/>
      <c r="Z833" s="107"/>
    </row>
    <row r="834" ht="14.25" customHeight="1">
      <c r="A834" s="107"/>
      <c r="B834" s="359"/>
      <c r="C834" s="359"/>
      <c r="D834" s="359"/>
      <c r="E834" s="359"/>
      <c r="F834" s="360"/>
      <c r="G834" s="361"/>
      <c r="H834" s="361"/>
      <c r="I834" s="107"/>
      <c r="J834" s="107"/>
      <c r="K834" s="107"/>
      <c r="L834" s="107"/>
      <c r="M834" s="107"/>
      <c r="N834" s="107"/>
      <c r="O834" s="107"/>
      <c r="P834" s="107"/>
      <c r="Q834" s="107"/>
      <c r="R834" s="107"/>
      <c r="S834" s="107"/>
      <c r="T834" s="107"/>
      <c r="U834" s="107"/>
      <c r="V834" s="107"/>
      <c r="W834" s="107"/>
      <c r="X834" s="107"/>
      <c r="Y834" s="107"/>
      <c r="Z834" s="107"/>
    </row>
    <row r="835" ht="14.25" customHeight="1">
      <c r="A835" s="107"/>
      <c r="B835" s="359"/>
      <c r="C835" s="359"/>
      <c r="D835" s="359"/>
      <c r="E835" s="359"/>
      <c r="F835" s="360"/>
      <c r="G835" s="361"/>
      <c r="H835" s="361"/>
      <c r="I835" s="107"/>
      <c r="J835" s="107"/>
      <c r="K835" s="107"/>
      <c r="L835" s="107"/>
      <c r="M835" s="107"/>
      <c r="N835" s="107"/>
      <c r="O835" s="107"/>
      <c r="P835" s="107"/>
      <c r="Q835" s="107"/>
      <c r="R835" s="107"/>
      <c r="S835" s="107"/>
      <c r="T835" s="107"/>
      <c r="U835" s="107"/>
      <c r="V835" s="107"/>
      <c r="W835" s="107"/>
      <c r="X835" s="107"/>
      <c r="Y835" s="107"/>
      <c r="Z835" s="107"/>
    </row>
    <row r="836" ht="14.25" customHeight="1">
      <c r="A836" s="107"/>
      <c r="B836" s="359"/>
      <c r="C836" s="359"/>
      <c r="D836" s="359"/>
      <c r="E836" s="359"/>
      <c r="F836" s="360"/>
      <c r="G836" s="361"/>
      <c r="H836" s="361"/>
      <c r="I836" s="107"/>
      <c r="J836" s="107"/>
      <c r="K836" s="107"/>
      <c r="L836" s="107"/>
      <c r="M836" s="107"/>
      <c r="N836" s="107"/>
      <c r="O836" s="107"/>
      <c r="P836" s="107"/>
      <c r="Q836" s="107"/>
      <c r="R836" s="107"/>
      <c r="S836" s="107"/>
      <c r="T836" s="107"/>
      <c r="U836" s="107"/>
      <c r="V836" s="107"/>
      <c r="W836" s="107"/>
      <c r="X836" s="107"/>
      <c r="Y836" s="107"/>
      <c r="Z836" s="107"/>
    </row>
    <row r="837" ht="14.25" customHeight="1">
      <c r="A837" s="107"/>
      <c r="B837" s="359"/>
      <c r="C837" s="359"/>
      <c r="D837" s="359"/>
      <c r="E837" s="359"/>
      <c r="F837" s="360"/>
      <c r="G837" s="361"/>
      <c r="H837" s="361"/>
      <c r="I837" s="107"/>
      <c r="J837" s="107"/>
      <c r="K837" s="107"/>
      <c r="L837" s="107"/>
      <c r="M837" s="107"/>
      <c r="N837" s="107"/>
      <c r="O837" s="107"/>
      <c r="P837" s="107"/>
      <c r="Q837" s="107"/>
      <c r="R837" s="107"/>
      <c r="S837" s="107"/>
      <c r="T837" s="107"/>
      <c r="U837" s="107"/>
      <c r="V837" s="107"/>
      <c r="W837" s="107"/>
      <c r="X837" s="107"/>
      <c r="Y837" s="107"/>
      <c r="Z837" s="107"/>
    </row>
    <row r="838" ht="14.25" customHeight="1">
      <c r="A838" s="107"/>
      <c r="B838" s="359"/>
      <c r="C838" s="359"/>
      <c r="D838" s="359"/>
      <c r="E838" s="359"/>
      <c r="F838" s="360"/>
      <c r="G838" s="361"/>
      <c r="H838" s="361"/>
      <c r="I838" s="107"/>
      <c r="J838" s="107"/>
      <c r="K838" s="107"/>
      <c r="L838" s="107"/>
      <c r="M838" s="107"/>
      <c r="N838" s="107"/>
      <c r="O838" s="107"/>
      <c r="P838" s="107"/>
      <c r="Q838" s="107"/>
      <c r="R838" s="107"/>
      <c r="S838" s="107"/>
      <c r="T838" s="107"/>
      <c r="U838" s="107"/>
      <c r="V838" s="107"/>
      <c r="W838" s="107"/>
      <c r="X838" s="107"/>
      <c r="Y838" s="107"/>
      <c r="Z838" s="107"/>
    </row>
    <row r="839" ht="14.25" customHeight="1">
      <c r="A839" s="107"/>
      <c r="B839" s="359"/>
      <c r="C839" s="359"/>
      <c r="D839" s="359"/>
      <c r="E839" s="359"/>
      <c r="F839" s="360"/>
      <c r="G839" s="361"/>
      <c r="H839" s="361"/>
      <c r="I839" s="107"/>
      <c r="J839" s="107"/>
      <c r="K839" s="107"/>
      <c r="L839" s="107"/>
      <c r="M839" s="107"/>
      <c r="N839" s="107"/>
      <c r="O839" s="107"/>
      <c r="P839" s="107"/>
      <c r="Q839" s="107"/>
      <c r="R839" s="107"/>
      <c r="S839" s="107"/>
      <c r="T839" s="107"/>
      <c r="U839" s="107"/>
      <c r="V839" s="107"/>
      <c r="W839" s="107"/>
      <c r="X839" s="107"/>
      <c r="Y839" s="107"/>
      <c r="Z839" s="107"/>
    </row>
    <row r="840" ht="14.25" customHeight="1">
      <c r="A840" s="107"/>
      <c r="B840" s="359"/>
      <c r="C840" s="359"/>
      <c r="D840" s="359"/>
      <c r="E840" s="359"/>
      <c r="F840" s="360"/>
      <c r="G840" s="361"/>
      <c r="H840" s="361"/>
      <c r="I840" s="107"/>
      <c r="J840" s="107"/>
      <c r="K840" s="107"/>
      <c r="L840" s="107"/>
      <c r="M840" s="107"/>
      <c r="N840" s="107"/>
      <c r="O840" s="107"/>
      <c r="P840" s="107"/>
      <c r="Q840" s="107"/>
      <c r="R840" s="107"/>
      <c r="S840" s="107"/>
      <c r="T840" s="107"/>
      <c r="U840" s="107"/>
      <c r="V840" s="107"/>
      <c r="W840" s="107"/>
      <c r="X840" s="107"/>
      <c r="Y840" s="107"/>
      <c r="Z840" s="107"/>
    </row>
    <row r="841" ht="14.25" customHeight="1">
      <c r="A841" s="107"/>
      <c r="B841" s="359"/>
      <c r="C841" s="359"/>
      <c r="D841" s="359"/>
      <c r="E841" s="359"/>
      <c r="F841" s="360"/>
      <c r="G841" s="361"/>
      <c r="H841" s="361"/>
      <c r="I841" s="107"/>
      <c r="J841" s="107"/>
      <c r="K841" s="107"/>
      <c r="L841" s="107"/>
      <c r="M841" s="107"/>
      <c r="N841" s="107"/>
      <c r="O841" s="107"/>
      <c r="P841" s="107"/>
      <c r="Q841" s="107"/>
      <c r="R841" s="107"/>
      <c r="S841" s="107"/>
      <c r="T841" s="107"/>
      <c r="U841" s="107"/>
      <c r="V841" s="107"/>
      <c r="W841" s="107"/>
      <c r="X841" s="107"/>
      <c r="Y841" s="107"/>
      <c r="Z841" s="107"/>
    </row>
    <row r="842" ht="14.25" customHeight="1">
      <c r="A842" s="107"/>
      <c r="B842" s="359"/>
      <c r="C842" s="359"/>
      <c r="D842" s="359"/>
      <c r="E842" s="359"/>
      <c r="F842" s="360"/>
      <c r="G842" s="361"/>
      <c r="H842" s="361"/>
      <c r="I842" s="107"/>
      <c r="J842" s="107"/>
      <c r="K842" s="107"/>
      <c r="L842" s="107"/>
      <c r="M842" s="107"/>
      <c r="N842" s="107"/>
      <c r="O842" s="107"/>
      <c r="P842" s="107"/>
      <c r="Q842" s="107"/>
      <c r="R842" s="107"/>
      <c r="S842" s="107"/>
      <c r="T842" s="107"/>
      <c r="U842" s="107"/>
      <c r="V842" s="107"/>
      <c r="W842" s="107"/>
      <c r="X842" s="107"/>
      <c r="Y842" s="107"/>
      <c r="Z842" s="107"/>
    </row>
    <row r="843" ht="14.25" customHeight="1">
      <c r="A843" s="107"/>
      <c r="B843" s="359"/>
      <c r="C843" s="359"/>
      <c r="D843" s="359"/>
      <c r="E843" s="359"/>
      <c r="F843" s="360"/>
      <c r="G843" s="361"/>
      <c r="H843" s="361"/>
      <c r="I843" s="107"/>
      <c r="J843" s="107"/>
      <c r="K843" s="107"/>
      <c r="L843" s="107"/>
      <c r="M843" s="107"/>
      <c r="N843" s="107"/>
      <c r="O843" s="107"/>
      <c r="P843" s="107"/>
      <c r="Q843" s="107"/>
      <c r="R843" s="107"/>
      <c r="S843" s="107"/>
      <c r="T843" s="107"/>
      <c r="U843" s="107"/>
      <c r="V843" s="107"/>
      <c r="W843" s="107"/>
      <c r="X843" s="107"/>
      <c r="Y843" s="107"/>
      <c r="Z843" s="107"/>
    </row>
    <row r="844" ht="14.25" customHeight="1">
      <c r="A844" s="107"/>
      <c r="B844" s="359"/>
      <c r="C844" s="359"/>
      <c r="D844" s="359"/>
      <c r="E844" s="359"/>
      <c r="F844" s="360"/>
      <c r="G844" s="361"/>
      <c r="H844" s="361"/>
      <c r="I844" s="107"/>
      <c r="J844" s="107"/>
      <c r="K844" s="107"/>
      <c r="L844" s="107"/>
      <c r="M844" s="107"/>
      <c r="N844" s="107"/>
      <c r="O844" s="107"/>
      <c r="P844" s="107"/>
      <c r="Q844" s="107"/>
      <c r="R844" s="107"/>
      <c r="S844" s="107"/>
      <c r="T844" s="107"/>
      <c r="U844" s="107"/>
      <c r="V844" s="107"/>
      <c r="W844" s="107"/>
      <c r="X844" s="107"/>
      <c r="Y844" s="107"/>
      <c r="Z844" s="107"/>
    </row>
    <row r="845" ht="14.25" customHeight="1">
      <c r="A845" s="358"/>
      <c r="B845" s="399"/>
      <c r="C845" s="399"/>
      <c r="D845" s="399"/>
      <c r="E845" s="399"/>
      <c r="F845" s="400"/>
      <c r="G845" s="273"/>
      <c r="H845" s="273"/>
      <c r="I845" s="358"/>
      <c r="J845" s="358"/>
      <c r="K845" s="358"/>
      <c r="L845" s="358"/>
      <c r="M845" s="358"/>
      <c r="N845" s="358"/>
      <c r="O845" s="358"/>
      <c r="P845" s="358"/>
      <c r="Q845" s="358"/>
      <c r="R845" s="358"/>
      <c r="S845" s="358"/>
      <c r="T845" s="358"/>
      <c r="U845" s="358"/>
      <c r="V845" s="358"/>
      <c r="W845" s="358"/>
      <c r="X845" s="358"/>
      <c r="Y845" s="358"/>
      <c r="Z845" s="358"/>
    </row>
    <row r="846" ht="14.25" customHeight="1">
      <c r="A846" s="358"/>
      <c r="B846" s="399"/>
      <c r="C846" s="399"/>
      <c r="D846" s="399"/>
      <c r="E846" s="399"/>
      <c r="F846" s="400"/>
      <c r="G846" s="273"/>
      <c r="H846" s="273"/>
      <c r="I846" s="358"/>
      <c r="J846" s="358"/>
      <c r="K846" s="358"/>
      <c r="L846" s="358"/>
      <c r="M846" s="358"/>
      <c r="N846" s="358"/>
      <c r="O846" s="358"/>
      <c r="P846" s="358"/>
      <c r="Q846" s="358"/>
      <c r="R846" s="358"/>
      <c r="S846" s="358"/>
      <c r="T846" s="358"/>
      <c r="U846" s="358"/>
      <c r="V846" s="358"/>
      <c r="W846" s="358"/>
      <c r="X846" s="358"/>
      <c r="Y846" s="358"/>
      <c r="Z846" s="358"/>
    </row>
    <row r="847" ht="14.25" customHeight="1">
      <c r="A847" s="358"/>
      <c r="B847" s="399"/>
      <c r="C847" s="399"/>
      <c r="D847" s="399"/>
      <c r="E847" s="399"/>
      <c r="F847" s="400"/>
      <c r="G847" s="273"/>
      <c r="H847" s="273"/>
      <c r="I847" s="358"/>
      <c r="J847" s="358"/>
      <c r="K847" s="358"/>
      <c r="L847" s="358"/>
      <c r="M847" s="358"/>
      <c r="N847" s="358"/>
      <c r="O847" s="358"/>
      <c r="P847" s="358"/>
      <c r="Q847" s="358"/>
      <c r="R847" s="358"/>
      <c r="S847" s="358"/>
      <c r="T847" s="358"/>
      <c r="U847" s="358"/>
      <c r="V847" s="358"/>
      <c r="W847" s="358"/>
      <c r="X847" s="358"/>
      <c r="Y847" s="358"/>
      <c r="Z847" s="358"/>
    </row>
    <row r="848" ht="14.25" customHeight="1">
      <c r="A848" s="358"/>
      <c r="B848" s="399"/>
      <c r="C848" s="399"/>
      <c r="D848" s="399"/>
      <c r="E848" s="399"/>
      <c r="F848" s="400"/>
      <c r="G848" s="273"/>
      <c r="H848" s="273"/>
      <c r="I848" s="358"/>
      <c r="J848" s="358"/>
      <c r="K848" s="358"/>
      <c r="L848" s="358"/>
      <c r="M848" s="358"/>
      <c r="N848" s="358"/>
      <c r="O848" s="358"/>
      <c r="P848" s="358"/>
      <c r="Q848" s="358"/>
      <c r="R848" s="358"/>
      <c r="S848" s="358"/>
      <c r="T848" s="358"/>
      <c r="U848" s="358"/>
      <c r="V848" s="358"/>
      <c r="W848" s="358"/>
      <c r="X848" s="358"/>
      <c r="Y848" s="358"/>
      <c r="Z848" s="358"/>
    </row>
    <row r="849" ht="14.25" customHeight="1">
      <c r="A849" s="358"/>
      <c r="B849" s="399"/>
      <c r="C849" s="399"/>
      <c r="D849" s="399"/>
      <c r="E849" s="399"/>
      <c r="F849" s="400"/>
      <c r="G849" s="273"/>
      <c r="H849" s="273"/>
      <c r="I849" s="358"/>
      <c r="J849" s="358"/>
      <c r="K849" s="358"/>
      <c r="L849" s="358"/>
      <c r="M849" s="358"/>
      <c r="N849" s="358"/>
      <c r="O849" s="358"/>
      <c r="P849" s="358"/>
      <c r="Q849" s="358"/>
      <c r="R849" s="358"/>
      <c r="S849" s="358"/>
      <c r="T849" s="358"/>
      <c r="U849" s="358"/>
      <c r="V849" s="358"/>
      <c r="W849" s="358"/>
      <c r="X849" s="358"/>
      <c r="Y849" s="358"/>
      <c r="Z849" s="358"/>
    </row>
    <row r="850" ht="14.25" customHeight="1">
      <c r="A850" s="358"/>
      <c r="B850" s="399"/>
      <c r="C850" s="399"/>
      <c r="D850" s="399"/>
      <c r="E850" s="399"/>
      <c r="F850" s="400"/>
      <c r="G850" s="273"/>
      <c r="H850" s="273"/>
      <c r="I850" s="358"/>
      <c r="J850" s="358"/>
      <c r="K850" s="358"/>
      <c r="L850" s="358"/>
      <c r="M850" s="358"/>
      <c r="N850" s="358"/>
      <c r="O850" s="358"/>
      <c r="P850" s="358"/>
      <c r="Q850" s="358"/>
      <c r="R850" s="358"/>
      <c r="S850" s="358"/>
      <c r="T850" s="358"/>
      <c r="U850" s="358"/>
      <c r="V850" s="358"/>
      <c r="W850" s="358"/>
      <c r="X850" s="358"/>
      <c r="Y850" s="358"/>
      <c r="Z850" s="358"/>
    </row>
    <row r="851" ht="14.25" customHeight="1">
      <c r="A851" s="358"/>
      <c r="B851" s="399"/>
      <c r="C851" s="399"/>
      <c r="D851" s="399"/>
      <c r="E851" s="399"/>
      <c r="F851" s="400"/>
      <c r="G851" s="273"/>
      <c r="H851" s="273"/>
      <c r="I851" s="358"/>
      <c r="J851" s="358"/>
      <c r="K851" s="358"/>
      <c r="L851" s="358"/>
      <c r="M851" s="358"/>
      <c r="N851" s="358"/>
      <c r="O851" s="358"/>
      <c r="P851" s="358"/>
      <c r="Q851" s="358"/>
      <c r="R851" s="358"/>
      <c r="S851" s="358"/>
      <c r="T851" s="358"/>
      <c r="U851" s="358"/>
      <c r="V851" s="358"/>
      <c r="W851" s="358"/>
      <c r="X851" s="358"/>
      <c r="Y851" s="358"/>
      <c r="Z851" s="358"/>
    </row>
    <row r="852" ht="14.25" customHeight="1">
      <c r="A852" s="358"/>
      <c r="B852" s="399"/>
      <c r="C852" s="399"/>
      <c r="D852" s="399"/>
      <c r="E852" s="399"/>
      <c r="F852" s="400"/>
      <c r="G852" s="273"/>
      <c r="H852" s="273"/>
      <c r="I852" s="358"/>
      <c r="J852" s="358"/>
      <c r="K852" s="358"/>
      <c r="L852" s="358"/>
      <c r="M852" s="358"/>
      <c r="N852" s="358"/>
      <c r="O852" s="358"/>
      <c r="P852" s="358"/>
      <c r="Q852" s="358"/>
      <c r="R852" s="358"/>
      <c r="S852" s="358"/>
      <c r="T852" s="358"/>
      <c r="U852" s="358"/>
      <c r="V852" s="358"/>
      <c r="W852" s="358"/>
      <c r="X852" s="358"/>
      <c r="Y852" s="358"/>
      <c r="Z852" s="358"/>
    </row>
    <row r="853" ht="14.25" customHeight="1">
      <c r="A853" s="358"/>
      <c r="B853" s="399"/>
      <c r="C853" s="399"/>
      <c r="D853" s="399"/>
      <c r="E853" s="399"/>
      <c r="F853" s="400"/>
      <c r="G853" s="273"/>
      <c r="H853" s="273"/>
      <c r="I853" s="358"/>
      <c r="J853" s="358"/>
      <c r="K853" s="358"/>
      <c r="L853" s="358"/>
      <c r="M853" s="358"/>
      <c r="N853" s="358"/>
      <c r="O853" s="358"/>
      <c r="P853" s="358"/>
      <c r="Q853" s="358"/>
      <c r="R853" s="358"/>
      <c r="S853" s="358"/>
      <c r="T853" s="358"/>
      <c r="U853" s="358"/>
      <c r="V853" s="358"/>
      <c r="W853" s="358"/>
      <c r="X853" s="358"/>
      <c r="Y853" s="358"/>
      <c r="Z853" s="358"/>
    </row>
    <row r="854" ht="14.25" customHeight="1">
      <c r="A854" s="358"/>
      <c r="B854" s="399"/>
      <c r="C854" s="399"/>
      <c r="D854" s="399"/>
      <c r="E854" s="399"/>
      <c r="F854" s="400"/>
      <c r="G854" s="273"/>
      <c r="H854" s="273"/>
      <c r="I854" s="358"/>
      <c r="J854" s="358"/>
      <c r="K854" s="358"/>
      <c r="L854" s="358"/>
      <c r="M854" s="358"/>
      <c r="N854" s="358"/>
      <c r="O854" s="358"/>
      <c r="P854" s="358"/>
      <c r="Q854" s="358"/>
      <c r="R854" s="358"/>
      <c r="S854" s="358"/>
      <c r="T854" s="358"/>
      <c r="U854" s="358"/>
      <c r="V854" s="358"/>
      <c r="W854" s="358"/>
      <c r="X854" s="358"/>
      <c r="Y854" s="358"/>
      <c r="Z854" s="358"/>
    </row>
    <row r="855" ht="14.25" customHeight="1">
      <c r="A855" s="358"/>
      <c r="B855" s="399"/>
      <c r="C855" s="399"/>
      <c r="D855" s="399"/>
      <c r="E855" s="399"/>
      <c r="F855" s="400"/>
      <c r="G855" s="273"/>
      <c r="H855" s="273"/>
      <c r="I855" s="358"/>
      <c r="J855" s="358"/>
      <c r="K855" s="358"/>
      <c r="L855" s="358"/>
      <c r="M855" s="358"/>
      <c r="N855" s="358"/>
      <c r="O855" s="358"/>
      <c r="P855" s="358"/>
      <c r="Q855" s="358"/>
      <c r="R855" s="358"/>
      <c r="S855" s="358"/>
      <c r="T855" s="358"/>
      <c r="U855" s="358"/>
      <c r="V855" s="358"/>
      <c r="W855" s="358"/>
      <c r="X855" s="358"/>
      <c r="Y855" s="358"/>
      <c r="Z855" s="358"/>
    </row>
    <row r="856" ht="14.25" customHeight="1">
      <c r="A856" s="358"/>
      <c r="B856" s="399"/>
      <c r="C856" s="399"/>
      <c r="D856" s="399"/>
      <c r="E856" s="399"/>
      <c r="F856" s="400"/>
      <c r="G856" s="273"/>
      <c r="H856" s="273"/>
      <c r="I856" s="358"/>
      <c r="J856" s="358"/>
      <c r="K856" s="358"/>
      <c r="L856" s="358"/>
      <c r="M856" s="358"/>
      <c r="N856" s="358"/>
      <c r="O856" s="358"/>
      <c r="P856" s="358"/>
      <c r="Q856" s="358"/>
      <c r="R856" s="358"/>
      <c r="S856" s="358"/>
      <c r="T856" s="358"/>
      <c r="U856" s="358"/>
      <c r="V856" s="358"/>
      <c r="W856" s="358"/>
      <c r="X856" s="358"/>
      <c r="Y856" s="358"/>
      <c r="Z856" s="358"/>
    </row>
    <row r="857" ht="14.25" customHeight="1">
      <c r="A857" s="358"/>
      <c r="B857" s="399"/>
      <c r="C857" s="399"/>
      <c r="D857" s="399"/>
      <c r="E857" s="399"/>
      <c r="F857" s="400"/>
      <c r="G857" s="273"/>
      <c r="H857" s="273"/>
      <c r="I857" s="358"/>
      <c r="J857" s="358"/>
      <c r="K857" s="358"/>
      <c r="L857" s="358"/>
      <c r="M857" s="358"/>
      <c r="N857" s="358"/>
      <c r="O857" s="358"/>
      <c r="P857" s="358"/>
      <c r="Q857" s="358"/>
      <c r="R857" s="358"/>
      <c r="S857" s="358"/>
      <c r="T857" s="358"/>
      <c r="U857" s="358"/>
      <c r="V857" s="358"/>
      <c r="W857" s="358"/>
      <c r="X857" s="358"/>
      <c r="Y857" s="358"/>
      <c r="Z857" s="358"/>
    </row>
    <row r="858" ht="14.25" customHeight="1">
      <c r="A858" s="358"/>
      <c r="B858" s="399"/>
      <c r="C858" s="399"/>
      <c r="D858" s="399"/>
      <c r="E858" s="399"/>
      <c r="F858" s="400"/>
      <c r="G858" s="273"/>
      <c r="H858" s="273"/>
      <c r="I858" s="358"/>
      <c r="J858" s="358"/>
      <c r="K858" s="358"/>
      <c r="L858" s="358"/>
      <c r="M858" s="358"/>
      <c r="N858" s="358"/>
      <c r="O858" s="358"/>
      <c r="P858" s="358"/>
      <c r="Q858" s="358"/>
      <c r="R858" s="358"/>
      <c r="S858" s="358"/>
      <c r="T858" s="358"/>
      <c r="U858" s="358"/>
      <c r="V858" s="358"/>
      <c r="W858" s="358"/>
      <c r="X858" s="358"/>
      <c r="Y858" s="358"/>
      <c r="Z858" s="358"/>
    </row>
    <row r="859" ht="14.25" customHeight="1">
      <c r="A859" s="358"/>
      <c r="B859" s="399"/>
      <c r="C859" s="399"/>
      <c r="D859" s="399"/>
      <c r="E859" s="399"/>
      <c r="F859" s="400"/>
      <c r="G859" s="273"/>
      <c r="H859" s="273"/>
      <c r="I859" s="358"/>
      <c r="J859" s="358"/>
      <c r="K859" s="358"/>
      <c r="L859" s="358"/>
      <c r="M859" s="358"/>
      <c r="N859" s="358"/>
      <c r="O859" s="358"/>
      <c r="P859" s="358"/>
      <c r="Q859" s="358"/>
      <c r="R859" s="358"/>
      <c r="S859" s="358"/>
      <c r="T859" s="358"/>
      <c r="U859" s="358"/>
      <c r="V859" s="358"/>
      <c r="W859" s="358"/>
      <c r="X859" s="358"/>
      <c r="Y859" s="358"/>
      <c r="Z859" s="358"/>
    </row>
    <row r="860" ht="14.25" customHeight="1">
      <c r="A860" s="358"/>
      <c r="B860" s="399"/>
      <c r="C860" s="399"/>
      <c r="D860" s="399"/>
      <c r="E860" s="399"/>
      <c r="F860" s="400"/>
      <c r="G860" s="273"/>
      <c r="H860" s="273"/>
      <c r="I860" s="358"/>
      <c r="J860" s="358"/>
      <c r="K860" s="358"/>
      <c r="L860" s="358"/>
      <c r="M860" s="358"/>
      <c r="N860" s="358"/>
      <c r="O860" s="358"/>
      <c r="P860" s="358"/>
      <c r="Q860" s="358"/>
      <c r="R860" s="358"/>
      <c r="S860" s="358"/>
      <c r="T860" s="358"/>
      <c r="U860" s="358"/>
      <c r="V860" s="358"/>
      <c r="W860" s="358"/>
      <c r="X860" s="358"/>
      <c r="Y860" s="358"/>
      <c r="Z860" s="358"/>
    </row>
    <row r="861" ht="14.25" customHeight="1">
      <c r="A861" s="358"/>
      <c r="B861" s="399"/>
      <c r="C861" s="399"/>
      <c r="D861" s="399"/>
      <c r="E861" s="399"/>
      <c r="F861" s="400"/>
      <c r="G861" s="273"/>
      <c r="H861" s="273"/>
      <c r="I861" s="358"/>
      <c r="J861" s="358"/>
      <c r="K861" s="358"/>
      <c r="L861" s="358"/>
      <c r="M861" s="358"/>
      <c r="N861" s="358"/>
      <c r="O861" s="358"/>
      <c r="P861" s="358"/>
      <c r="Q861" s="358"/>
      <c r="R861" s="358"/>
      <c r="S861" s="358"/>
      <c r="T861" s="358"/>
      <c r="U861" s="358"/>
      <c r="V861" s="358"/>
      <c r="W861" s="358"/>
      <c r="X861" s="358"/>
      <c r="Y861" s="358"/>
      <c r="Z861" s="358"/>
    </row>
    <row r="862" ht="14.25" customHeight="1">
      <c r="A862" s="358"/>
      <c r="B862" s="399"/>
      <c r="C862" s="399"/>
      <c r="D862" s="399"/>
      <c r="E862" s="399"/>
      <c r="F862" s="400"/>
      <c r="G862" s="273"/>
      <c r="H862" s="273"/>
      <c r="I862" s="358"/>
      <c r="J862" s="358"/>
      <c r="K862" s="358"/>
      <c r="L862" s="358"/>
      <c r="M862" s="358"/>
      <c r="N862" s="358"/>
      <c r="O862" s="358"/>
      <c r="P862" s="358"/>
      <c r="Q862" s="358"/>
      <c r="R862" s="358"/>
      <c r="S862" s="358"/>
      <c r="T862" s="358"/>
      <c r="U862" s="358"/>
      <c r="V862" s="358"/>
      <c r="W862" s="358"/>
      <c r="X862" s="358"/>
      <c r="Y862" s="358"/>
      <c r="Z862" s="358"/>
    </row>
    <row r="863" ht="14.25" customHeight="1">
      <c r="A863" s="358"/>
      <c r="B863" s="399"/>
      <c r="C863" s="399"/>
      <c r="D863" s="399"/>
      <c r="E863" s="399"/>
      <c r="F863" s="400"/>
      <c r="G863" s="273"/>
      <c r="H863" s="273"/>
      <c r="I863" s="358"/>
      <c r="J863" s="358"/>
      <c r="K863" s="358"/>
      <c r="L863" s="358"/>
      <c r="M863" s="358"/>
      <c r="N863" s="358"/>
      <c r="O863" s="358"/>
      <c r="P863" s="358"/>
      <c r="Q863" s="358"/>
      <c r="R863" s="358"/>
      <c r="S863" s="358"/>
      <c r="T863" s="358"/>
      <c r="U863" s="358"/>
      <c r="V863" s="358"/>
      <c r="W863" s="358"/>
      <c r="X863" s="358"/>
      <c r="Y863" s="358"/>
      <c r="Z863" s="358"/>
    </row>
    <row r="864" ht="14.25" customHeight="1">
      <c r="A864" s="358"/>
      <c r="B864" s="399"/>
      <c r="C864" s="399"/>
      <c r="D864" s="399"/>
      <c r="E864" s="399"/>
      <c r="F864" s="400"/>
      <c r="G864" s="273"/>
      <c r="H864" s="273"/>
      <c r="I864" s="358"/>
      <c r="J864" s="358"/>
      <c r="K864" s="358"/>
      <c r="L864" s="358"/>
      <c r="M864" s="358"/>
      <c r="N864" s="358"/>
      <c r="O864" s="358"/>
      <c r="P864" s="358"/>
      <c r="Q864" s="358"/>
      <c r="R864" s="358"/>
      <c r="S864" s="358"/>
      <c r="T864" s="358"/>
      <c r="U864" s="358"/>
      <c r="V864" s="358"/>
      <c r="W864" s="358"/>
      <c r="X864" s="358"/>
      <c r="Y864" s="358"/>
      <c r="Z864" s="358"/>
    </row>
    <row r="865" ht="14.25" customHeight="1">
      <c r="A865" s="358"/>
      <c r="B865" s="399"/>
      <c r="C865" s="399"/>
      <c r="D865" s="399"/>
      <c r="E865" s="399"/>
      <c r="F865" s="400"/>
      <c r="G865" s="273"/>
      <c r="H865" s="273"/>
      <c r="I865" s="358"/>
      <c r="J865" s="358"/>
      <c r="K865" s="358"/>
      <c r="L865" s="358"/>
      <c r="M865" s="358"/>
      <c r="N865" s="358"/>
      <c r="O865" s="358"/>
      <c r="P865" s="358"/>
      <c r="Q865" s="358"/>
      <c r="R865" s="358"/>
      <c r="S865" s="358"/>
      <c r="T865" s="358"/>
      <c r="U865" s="358"/>
      <c r="V865" s="358"/>
      <c r="W865" s="358"/>
      <c r="X865" s="358"/>
      <c r="Y865" s="358"/>
      <c r="Z865" s="358"/>
    </row>
    <row r="866" ht="14.25" customHeight="1">
      <c r="A866" s="358"/>
      <c r="B866" s="399"/>
      <c r="C866" s="399"/>
      <c r="D866" s="399"/>
      <c r="E866" s="399"/>
      <c r="F866" s="400"/>
      <c r="G866" s="273"/>
      <c r="H866" s="273"/>
      <c r="I866" s="358"/>
      <c r="J866" s="358"/>
      <c r="K866" s="358"/>
      <c r="L866" s="358"/>
      <c r="M866" s="358"/>
      <c r="N866" s="358"/>
      <c r="O866" s="358"/>
      <c r="P866" s="358"/>
      <c r="Q866" s="358"/>
      <c r="R866" s="358"/>
      <c r="S866" s="358"/>
      <c r="T866" s="358"/>
      <c r="U866" s="358"/>
      <c r="V866" s="358"/>
      <c r="W866" s="358"/>
      <c r="X866" s="358"/>
      <c r="Y866" s="358"/>
      <c r="Z866" s="358"/>
    </row>
    <row r="867" ht="14.25" customHeight="1">
      <c r="A867" s="358"/>
      <c r="B867" s="399"/>
      <c r="C867" s="399"/>
      <c r="D867" s="399"/>
      <c r="E867" s="399"/>
      <c r="F867" s="400"/>
      <c r="G867" s="273"/>
      <c r="H867" s="273"/>
      <c r="I867" s="358"/>
      <c r="J867" s="358"/>
      <c r="K867" s="358"/>
      <c r="L867" s="358"/>
      <c r="M867" s="358"/>
      <c r="N867" s="358"/>
      <c r="O867" s="358"/>
      <c r="P867" s="358"/>
      <c r="Q867" s="358"/>
      <c r="R867" s="358"/>
      <c r="S867" s="358"/>
      <c r="T867" s="358"/>
      <c r="U867" s="358"/>
      <c r="V867" s="358"/>
      <c r="W867" s="358"/>
      <c r="X867" s="358"/>
      <c r="Y867" s="358"/>
      <c r="Z867" s="358"/>
    </row>
    <row r="868" ht="14.25" customHeight="1">
      <c r="A868" s="358"/>
      <c r="B868" s="399"/>
      <c r="C868" s="399"/>
      <c r="D868" s="399"/>
      <c r="E868" s="399"/>
      <c r="F868" s="400"/>
      <c r="G868" s="273"/>
      <c r="H868" s="273"/>
      <c r="I868" s="358"/>
      <c r="J868" s="358"/>
      <c r="K868" s="358"/>
      <c r="L868" s="358"/>
      <c r="M868" s="358"/>
      <c r="N868" s="358"/>
      <c r="O868" s="358"/>
      <c r="P868" s="358"/>
      <c r="Q868" s="358"/>
      <c r="R868" s="358"/>
      <c r="S868" s="358"/>
      <c r="T868" s="358"/>
      <c r="U868" s="358"/>
      <c r="V868" s="358"/>
      <c r="W868" s="358"/>
      <c r="X868" s="358"/>
      <c r="Y868" s="358"/>
      <c r="Z868" s="358"/>
    </row>
    <row r="869" ht="14.25" customHeight="1">
      <c r="A869" s="358"/>
      <c r="B869" s="399"/>
      <c r="C869" s="399"/>
      <c r="D869" s="399"/>
      <c r="E869" s="399"/>
      <c r="F869" s="400"/>
      <c r="G869" s="273"/>
      <c r="H869" s="273"/>
      <c r="I869" s="358"/>
      <c r="J869" s="358"/>
      <c r="K869" s="358"/>
      <c r="L869" s="358"/>
      <c r="M869" s="358"/>
      <c r="N869" s="358"/>
      <c r="O869" s="358"/>
      <c r="P869" s="358"/>
      <c r="Q869" s="358"/>
      <c r="R869" s="358"/>
      <c r="S869" s="358"/>
      <c r="T869" s="358"/>
      <c r="U869" s="358"/>
      <c r="V869" s="358"/>
      <c r="W869" s="358"/>
      <c r="X869" s="358"/>
      <c r="Y869" s="358"/>
      <c r="Z869" s="358"/>
    </row>
    <row r="870" ht="14.25" customHeight="1">
      <c r="A870" s="358"/>
      <c r="B870" s="399"/>
      <c r="C870" s="399"/>
      <c r="D870" s="399"/>
      <c r="E870" s="399"/>
      <c r="F870" s="400"/>
      <c r="G870" s="273"/>
      <c r="H870" s="273"/>
      <c r="I870" s="358"/>
      <c r="J870" s="358"/>
      <c r="K870" s="358"/>
      <c r="L870" s="358"/>
      <c r="M870" s="358"/>
      <c r="N870" s="358"/>
      <c r="O870" s="358"/>
      <c r="P870" s="358"/>
      <c r="Q870" s="358"/>
      <c r="R870" s="358"/>
      <c r="S870" s="358"/>
      <c r="T870" s="358"/>
      <c r="U870" s="358"/>
      <c r="V870" s="358"/>
      <c r="W870" s="358"/>
      <c r="X870" s="358"/>
      <c r="Y870" s="358"/>
      <c r="Z870" s="358"/>
    </row>
    <row r="871" ht="14.25" customHeight="1">
      <c r="A871" s="358"/>
      <c r="B871" s="399"/>
      <c r="C871" s="399"/>
      <c r="D871" s="399"/>
      <c r="E871" s="399"/>
      <c r="F871" s="400"/>
      <c r="G871" s="273"/>
      <c r="H871" s="273"/>
      <c r="I871" s="358"/>
      <c r="J871" s="358"/>
      <c r="K871" s="358"/>
      <c r="L871" s="358"/>
      <c r="M871" s="358"/>
      <c r="N871" s="358"/>
      <c r="O871" s="358"/>
      <c r="P871" s="358"/>
      <c r="Q871" s="358"/>
      <c r="R871" s="358"/>
      <c r="S871" s="358"/>
      <c r="T871" s="358"/>
      <c r="U871" s="358"/>
      <c r="V871" s="358"/>
      <c r="W871" s="358"/>
      <c r="X871" s="358"/>
      <c r="Y871" s="358"/>
      <c r="Z871" s="358"/>
    </row>
    <row r="872" ht="14.25" customHeight="1">
      <c r="A872" s="358"/>
      <c r="B872" s="399"/>
      <c r="C872" s="399"/>
      <c r="D872" s="399"/>
      <c r="E872" s="399"/>
      <c r="F872" s="400"/>
      <c r="G872" s="273"/>
      <c r="H872" s="273"/>
      <c r="I872" s="358"/>
      <c r="J872" s="358"/>
      <c r="K872" s="358"/>
      <c r="L872" s="358"/>
      <c r="M872" s="358"/>
      <c r="N872" s="358"/>
      <c r="O872" s="358"/>
      <c r="P872" s="358"/>
      <c r="Q872" s="358"/>
      <c r="R872" s="358"/>
      <c r="S872" s="358"/>
      <c r="T872" s="358"/>
      <c r="U872" s="358"/>
      <c r="V872" s="358"/>
      <c r="W872" s="358"/>
      <c r="X872" s="358"/>
      <c r="Y872" s="358"/>
      <c r="Z872" s="358"/>
    </row>
    <row r="873" ht="14.25" customHeight="1">
      <c r="A873" s="358"/>
      <c r="B873" s="399"/>
      <c r="C873" s="399"/>
      <c r="D873" s="399"/>
      <c r="E873" s="399"/>
      <c r="F873" s="400"/>
      <c r="G873" s="273"/>
      <c r="H873" s="273"/>
      <c r="I873" s="358"/>
      <c r="J873" s="358"/>
      <c r="K873" s="358"/>
      <c r="L873" s="358"/>
      <c r="M873" s="358"/>
      <c r="N873" s="358"/>
      <c r="O873" s="358"/>
      <c r="P873" s="358"/>
      <c r="Q873" s="358"/>
      <c r="R873" s="358"/>
      <c r="S873" s="358"/>
      <c r="T873" s="358"/>
      <c r="U873" s="358"/>
      <c r="V873" s="358"/>
      <c r="W873" s="358"/>
      <c r="X873" s="358"/>
      <c r="Y873" s="358"/>
      <c r="Z873" s="358"/>
    </row>
    <row r="874" ht="14.25" customHeight="1">
      <c r="A874" s="358"/>
      <c r="B874" s="399"/>
      <c r="C874" s="399"/>
      <c r="D874" s="399"/>
      <c r="E874" s="399"/>
      <c r="F874" s="400"/>
      <c r="G874" s="273"/>
      <c r="H874" s="273"/>
      <c r="I874" s="358"/>
      <c r="J874" s="358"/>
      <c r="K874" s="358"/>
      <c r="L874" s="358"/>
      <c r="M874" s="358"/>
      <c r="N874" s="358"/>
      <c r="O874" s="358"/>
      <c r="P874" s="358"/>
      <c r="Q874" s="358"/>
      <c r="R874" s="358"/>
      <c r="S874" s="358"/>
      <c r="T874" s="358"/>
      <c r="U874" s="358"/>
      <c r="V874" s="358"/>
      <c r="W874" s="358"/>
      <c r="X874" s="358"/>
      <c r="Y874" s="358"/>
      <c r="Z874" s="358"/>
    </row>
    <row r="875" ht="14.25" customHeight="1">
      <c r="A875" s="358"/>
      <c r="B875" s="399"/>
      <c r="C875" s="399"/>
      <c r="D875" s="399"/>
      <c r="E875" s="399"/>
      <c r="F875" s="400"/>
      <c r="G875" s="273"/>
      <c r="H875" s="273"/>
      <c r="I875" s="358"/>
      <c r="J875" s="358"/>
      <c r="K875" s="358"/>
      <c r="L875" s="358"/>
      <c r="M875" s="358"/>
      <c r="N875" s="358"/>
      <c r="O875" s="358"/>
      <c r="P875" s="358"/>
      <c r="Q875" s="358"/>
      <c r="R875" s="358"/>
      <c r="S875" s="358"/>
      <c r="T875" s="358"/>
      <c r="U875" s="358"/>
      <c r="V875" s="358"/>
      <c r="W875" s="358"/>
      <c r="X875" s="358"/>
      <c r="Y875" s="358"/>
      <c r="Z875" s="358"/>
    </row>
    <row r="876" ht="14.25" customHeight="1">
      <c r="A876" s="358"/>
      <c r="B876" s="399"/>
      <c r="C876" s="399"/>
      <c r="D876" s="399"/>
      <c r="E876" s="399"/>
      <c r="F876" s="400"/>
      <c r="G876" s="273"/>
      <c r="H876" s="273"/>
      <c r="I876" s="358"/>
      <c r="J876" s="358"/>
      <c r="K876" s="358"/>
      <c r="L876" s="358"/>
      <c r="M876" s="358"/>
      <c r="N876" s="358"/>
      <c r="O876" s="358"/>
      <c r="P876" s="358"/>
      <c r="Q876" s="358"/>
      <c r="R876" s="358"/>
      <c r="S876" s="358"/>
      <c r="T876" s="358"/>
      <c r="U876" s="358"/>
      <c r="V876" s="358"/>
      <c r="W876" s="358"/>
      <c r="X876" s="358"/>
      <c r="Y876" s="358"/>
      <c r="Z876" s="358"/>
    </row>
    <row r="877" ht="14.25" customHeight="1">
      <c r="A877" s="358"/>
      <c r="B877" s="399"/>
      <c r="C877" s="399"/>
      <c r="D877" s="399"/>
      <c r="E877" s="399"/>
      <c r="F877" s="400"/>
      <c r="G877" s="273"/>
      <c r="H877" s="273"/>
      <c r="I877" s="358"/>
      <c r="J877" s="358"/>
      <c r="K877" s="358"/>
      <c r="L877" s="358"/>
      <c r="M877" s="358"/>
      <c r="N877" s="358"/>
      <c r="O877" s="358"/>
      <c r="P877" s="358"/>
      <c r="Q877" s="358"/>
      <c r="R877" s="358"/>
      <c r="S877" s="358"/>
      <c r="T877" s="358"/>
      <c r="U877" s="358"/>
      <c r="V877" s="358"/>
      <c r="W877" s="358"/>
      <c r="X877" s="358"/>
      <c r="Y877" s="358"/>
      <c r="Z877" s="358"/>
    </row>
    <row r="878" ht="14.25" customHeight="1">
      <c r="A878" s="358"/>
      <c r="B878" s="399"/>
      <c r="C878" s="399"/>
      <c r="D878" s="399"/>
      <c r="E878" s="399"/>
      <c r="F878" s="400"/>
      <c r="G878" s="273"/>
      <c r="H878" s="273"/>
      <c r="I878" s="358"/>
      <c r="J878" s="358"/>
      <c r="K878" s="358"/>
      <c r="L878" s="358"/>
      <c r="M878" s="358"/>
      <c r="N878" s="358"/>
      <c r="O878" s="358"/>
      <c r="P878" s="358"/>
      <c r="Q878" s="358"/>
      <c r="R878" s="358"/>
      <c r="S878" s="358"/>
      <c r="T878" s="358"/>
      <c r="U878" s="358"/>
      <c r="V878" s="358"/>
      <c r="W878" s="358"/>
      <c r="X878" s="358"/>
      <c r="Y878" s="358"/>
      <c r="Z878" s="358"/>
    </row>
    <row r="879" ht="14.25" customHeight="1">
      <c r="A879" s="358"/>
      <c r="B879" s="399"/>
      <c r="C879" s="399"/>
      <c r="D879" s="399"/>
      <c r="E879" s="399"/>
      <c r="F879" s="400"/>
      <c r="G879" s="273"/>
      <c r="H879" s="273"/>
      <c r="I879" s="358"/>
      <c r="J879" s="358"/>
      <c r="K879" s="358"/>
      <c r="L879" s="358"/>
      <c r="M879" s="358"/>
      <c r="N879" s="358"/>
      <c r="O879" s="358"/>
      <c r="P879" s="358"/>
      <c r="Q879" s="358"/>
      <c r="R879" s="358"/>
      <c r="S879" s="358"/>
      <c r="T879" s="358"/>
      <c r="U879" s="358"/>
      <c r="V879" s="358"/>
      <c r="W879" s="358"/>
      <c r="X879" s="358"/>
      <c r="Y879" s="358"/>
      <c r="Z879" s="358"/>
    </row>
    <row r="880" ht="14.25" customHeight="1">
      <c r="A880" s="358"/>
      <c r="B880" s="399"/>
      <c r="C880" s="399"/>
      <c r="D880" s="399"/>
      <c r="E880" s="399"/>
      <c r="F880" s="400"/>
      <c r="G880" s="273"/>
      <c r="H880" s="273"/>
      <c r="I880" s="358"/>
      <c r="J880" s="358"/>
      <c r="K880" s="358"/>
      <c r="L880" s="358"/>
      <c r="M880" s="358"/>
      <c r="N880" s="358"/>
      <c r="O880" s="358"/>
      <c r="P880" s="358"/>
      <c r="Q880" s="358"/>
      <c r="R880" s="358"/>
      <c r="S880" s="358"/>
      <c r="T880" s="358"/>
      <c r="U880" s="358"/>
      <c r="V880" s="358"/>
      <c r="W880" s="358"/>
      <c r="X880" s="358"/>
      <c r="Y880" s="358"/>
      <c r="Z880" s="358"/>
    </row>
    <row r="881" ht="14.25" customHeight="1">
      <c r="A881" s="358"/>
      <c r="B881" s="399"/>
      <c r="C881" s="399"/>
      <c r="D881" s="399"/>
      <c r="E881" s="399"/>
      <c r="F881" s="400"/>
      <c r="G881" s="273"/>
      <c r="H881" s="273"/>
      <c r="I881" s="358"/>
      <c r="J881" s="358"/>
      <c r="K881" s="358"/>
      <c r="L881" s="358"/>
      <c r="M881" s="358"/>
      <c r="N881" s="358"/>
      <c r="O881" s="358"/>
      <c r="P881" s="358"/>
      <c r="Q881" s="358"/>
      <c r="R881" s="358"/>
      <c r="S881" s="358"/>
      <c r="T881" s="358"/>
      <c r="U881" s="358"/>
      <c r="V881" s="358"/>
      <c r="W881" s="358"/>
      <c r="X881" s="358"/>
      <c r="Y881" s="358"/>
      <c r="Z881" s="358"/>
    </row>
    <row r="882" ht="14.25" customHeight="1">
      <c r="A882" s="358"/>
      <c r="B882" s="399"/>
      <c r="C882" s="399"/>
      <c r="D882" s="399"/>
      <c r="E882" s="399"/>
      <c r="F882" s="400"/>
      <c r="G882" s="273"/>
      <c r="H882" s="273"/>
      <c r="I882" s="358"/>
      <c r="J882" s="358"/>
      <c r="K882" s="358"/>
      <c r="L882" s="358"/>
      <c r="M882" s="358"/>
      <c r="N882" s="358"/>
      <c r="O882" s="358"/>
      <c r="P882" s="358"/>
      <c r="Q882" s="358"/>
      <c r="R882" s="358"/>
      <c r="S882" s="358"/>
      <c r="T882" s="358"/>
      <c r="U882" s="358"/>
      <c r="V882" s="358"/>
      <c r="W882" s="358"/>
      <c r="X882" s="358"/>
      <c r="Y882" s="358"/>
      <c r="Z882" s="358"/>
    </row>
    <row r="883" ht="14.25" customHeight="1">
      <c r="A883" s="358"/>
      <c r="B883" s="399"/>
      <c r="C883" s="399"/>
      <c r="D883" s="399"/>
      <c r="E883" s="399"/>
      <c r="F883" s="400"/>
      <c r="G883" s="273"/>
      <c r="H883" s="273"/>
      <c r="I883" s="358"/>
      <c r="J883" s="358"/>
      <c r="K883" s="358"/>
      <c r="L883" s="358"/>
      <c r="M883" s="358"/>
      <c r="N883" s="358"/>
      <c r="O883" s="358"/>
      <c r="P883" s="358"/>
      <c r="Q883" s="358"/>
      <c r="R883" s="358"/>
      <c r="S883" s="358"/>
      <c r="T883" s="358"/>
      <c r="U883" s="358"/>
      <c r="V883" s="358"/>
      <c r="W883" s="358"/>
      <c r="X883" s="358"/>
      <c r="Y883" s="358"/>
      <c r="Z883" s="358"/>
    </row>
    <row r="884" ht="14.25" customHeight="1">
      <c r="A884" s="358"/>
      <c r="B884" s="399"/>
      <c r="C884" s="399"/>
      <c r="D884" s="399"/>
      <c r="E884" s="399"/>
      <c r="F884" s="400"/>
      <c r="G884" s="273"/>
      <c r="H884" s="273"/>
      <c r="I884" s="358"/>
      <c r="J884" s="358"/>
      <c r="K884" s="358"/>
      <c r="L884" s="358"/>
      <c r="M884" s="358"/>
      <c r="N884" s="358"/>
      <c r="O884" s="358"/>
      <c r="P884" s="358"/>
      <c r="Q884" s="358"/>
      <c r="R884" s="358"/>
      <c r="S884" s="358"/>
      <c r="T884" s="358"/>
      <c r="U884" s="358"/>
      <c r="V884" s="358"/>
      <c r="W884" s="358"/>
      <c r="X884" s="358"/>
      <c r="Y884" s="358"/>
      <c r="Z884" s="358"/>
    </row>
    <row r="885" ht="14.25" customHeight="1">
      <c r="A885" s="358"/>
      <c r="B885" s="399"/>
      <c r="C885" s="399"/>
      <c r="D885" s="399"/>
      <c r="E885" s="399"/>
      <c r="F885" s="400"/>
      <c r="G885" s="273"/>
      <c r="H885" s="273"/>
      <c r="I885" s="358"/>
      <c r="J885" s="358"/>
      <c r="K885" s="358"/>
      <c r="L885" s="358"/>
      <c r="M885" s="358"/>
      <c r="N885" s="358"/>
      <c r="O885" s="358"/>
      <c r="P885" s="358"/>
      <c r="Q885" s="358"/>
      <c r="R885" s="358"/>
      <c r="S885" s="358"/>
      <c r="T885" s="358"/>
      <c r="U885" s="358"/>
      <c r="V885" s="358"/>
      <c r="W885" s="358"/>
      <c r="X885" s="358"/>
      <c r="Y885" s="358"/>
      <c r="Z885" s="358"/>
    </row>
    <row r="886" ht="14.25" customHeight="1">
      <c r="A886" s="358"/>
      <c r="B886" s="399"/>
      <c r="C886" s="399"/>
      <c r="D886" s="399"/>
      <c r="E886" s="399"/>
      <c r="F886" s="400"/>
      <c r="G886" s="273"/>
      <c r="H886" s="273"/>
      <c r="I886" s="358"/>
      <c r="J886" s="358"/>
      <c r="K886" s="358"/>
      <c r="L886" s="358"/>
      <c r="M886" s="358"/>
      <c r="N886" s="358"/>
      <c r="O886" s="358"/>
      <c r="P886" s="358"/>
      <c r="Q886" s="358"/>
      <c r="R886" s="358"/>
      <c r="S886" s="358"/>
      <c r="T886" s="358"/>
      <c r="U886" s="358"/>
      <c r="V886" s="358"/>
      <c r="W886" s="358"/>
      <c r="X886" s="358"/>
      <c r="Y886" s="358"/>
      <c r="Z886" s="358"/>
    </row>
    <row r="887" ht="14.25" customHeight="1">
      <c r="A887" s="358"/>
      <c r="B887" s="399"/>
      <c r="C887" s="399"/>
      <c r="D887" s="399"/>
      <c r="E887" s="399"/>
      <c r="F887" s="400"/>
      <c r="G887" s="273"/>
      <c r="H887" s="273"/>
      <c r="I887" s="358"/>
      <c r="J887" s="358"/>
      <c r="K887" s="358"/>
      <c r="L887" s="358"/>
      <c r="M887" s="358"/>
      <c r="N887" s="358"/>
      <c r="O887" s="358"/>
      <c r="P887" s="358"/>
      <c r="Q887" s="358"/>
      <c r="R887" s="358"/>
      <c r="S887" s="358"/>
      <c r="T887" s="358"/>
      <c r="U887" s="358"/>
      <c r="V887" s="358"/>
      <c r="W887" s="358"/>
      <c r="X887" s="358"/>
      <c r="Y887" s="358"/>
      <c r="Z887" s="358"/>
    </row>
    <row r="888" ht="14.25" customHeight="1">
      <c r="A888" s="358"/>
      <c r="B888" s="399"/>
      <c r="C888" s="399"/>
      <c r="D888" s="399"/>
      <c r="E888" s="399"/>
      <c r="F888" s="400"/>
      <c r="G888" s="273"/>
      <c r="H888" s="273"/>
      <c r="I888" s="358"/>
      <c r="J888" s="358"/>
      <c r="K888" s="358"/>
      <c r="L888" s="358"/>
      <c r="M888" s="358"/>
      <c r="N888" s="358"/>
      <c r="O888" s="358"/>
      <c r="P888" s="358"/>
      <c r="Q888" s="358"/>
      <c r="R888" s="358"/>
      <c r="S888" s="358"/>
      <c r="T888" s="358"/>
      <c r="U888" s="358"/>
      <c r="V888" s="358"/>
      <c r="W888" s="358"/>
      <c r="X888" s="358"/>
      <c r="Y888" s="358"/>
      <c r="Z888" s="358"/>
    </row>
    <row r="889" ht="14.25" customHeight="1">
      <c r="A889" s="358"/>
      <c r="B889" s="399"/>
      <c r="C889" s="399"/>
      <c r="D889" s="399"/>
      <c r="E889" s="399"/>
      <c r="F889" s="400"/>
      <c r="G889" s="273"/>
      <c r="H889" s="273"/>
      <c r="I889" s="358"/>
      <c r="J889" s="358"/>
      <c r="K889" s="358"/>
      <c r="L889" s="358"/>
      <c r="M889" s="358"/>
      <c r="N889" s="358"/>
      <c r="O889" s="358"/>
      <c r="P889" s="358"/>
      <c r="Q889" s="358"/>
      <c r="R889" s="358"/>
      <c r="S889" s="358"/>
      <c r="T889" s="358"/>
      <c r="U889" s="358"/>
      <c r="V889" s="358"/>
      <c r="W889" s="358"/>
      <c r="X889" s="358"/>
      <c r="Y889" s="358"/>
      <c r="Z889" s="358"/>
    </row>
    <row r="890" ht="14.25" customHeight="1">
      <c r="A890" s="358"/>
      <c r="B890" s="399"/>
      <c r="C890" s="399"/>
      <c r="D890" s="399"/>
      <c r="E890" s="399"/>
      <c r="F890" s="400"/>
      <c r="G890" s="273"/>
      <c r="H890" s="273"/>
      <c r="I890" s="358"/>
      <c r="J890" s="358"/>
      <c r="K890" s="358"/>
      <c r="L890" s="358"/>
      <c r="M890" s="358"/>
      <c r="N890" s="358"/>
      <c r="O890" s="358"/>
      <c r="P890" s="358"/>
      <c r="Q890" s="358"/>
      <c r="R890" s="358"/>
      <c r="S890" s="358"/>
      <c r="T890" s="358"/>
      <c r="U890" s="358"/>
      <c r="V890" s="358"/>
      <c r="W890" s="358"/>
      <c r="X890" s="358"/>
      <c r="Y890" s="358"/>
      <c r="Z890" s="358"/>
    </row>
    <row r="891" ht="14.25" customHeight="1">
      <c r="A891" s="358"/>
      <c r="B891" s="399"/>
      <c r="C891" s="399"/>
      <c r="D891" s="399"/>
      <c r="E891" s="399"/>
      <c r="F891" s="400"/>
      <c r="G891" s="273"/>
      <c r="H891" s="273"/>
      <c r="I891" s="358"/>
      <c r="J891" s="358"/>
      <c r="K891" s="358"/>
      <c r="L891" s="358"/>
      <c r="M891" s="358"/>
      <c r="N891" s="358"/>
      <c r="O891" s="358"/>
      <c r="P891" s="358"/>
      <c r="Q891" s="358"/>
      <c r="R891" s="358"/>
      <c r="S891" s="358"/>
      <c r="T891" s="358"/>
      <c r="U891" s="358"/>
      <c r="V891" s="358"/>
      <c r="W891" s="358"/>
      <c r="X891" s="358"/>
      <c r="Y891" s="358"/>
      <c r="Z891" s="358"/>
    </row>
    <row r="892" ht="14.25" customHeight="1">
      <c r="A892" s="358"/>
      <c r="B892" s="399"/>
      <c r="C892" s="399"/>
      <c r="D892" s="399"/>
      <c r="E892" s="399"/>
      <c r="F892" s="400"/>
      <c r="G892" s="273"/>
      <c r="H892" s="273"/>
      <c r="I892" s="358"/>
      <c r="J892" s="358"/>
      <c r="K892" s="358"/>
      <c r="L892" s="358"/>
      <c r="M892" s="358"/>
      <c r="N892" s="358"/>
      <c r="O892" s="358"/>
      <c r="P892" s="358"/>
      <c r="Q892" s="358"/>
      <c r="R892" s="358"/>
      <c r="S892" s="358"/>
      <c r="T892" s="358"/>
      <c r="U892" s="358"/>
      <c r="V892" s="358"/>
      <c r="W892" s="358"/>
      <c r="X892" s="358"/>
      <c r="Y892" s="358"/>
      <c r="Z892" s="358"/>
    </row>
    <row r="893" ht="14.25" customHeight="1">
      <c r="A893" s="358"/>
      <c r="B893" s="399"/>
      <c r="C893" s="399"/>
      <c r="D893" s="399"/>
      <c r="E893" s="399"/>
      <c r="F893" s="400"/>
      <c r="G893" s="273"/>
      <c r="H893" s="273"/>
      <c r="I893" s="358"/>
      <c r="J893" s="358"/>
      <c r="K893" s="358"/>
      <c r="L893" s="358"/>
      <c r="M893" s="358"/>
      <c r="N893" s="358"/>
      <c r="O893" s="358"/>
      <c r="P893" s="358"/>
      <c r="Q893" s="358"/>
      <c r="R893" s="358"/>
      <c r="S893" s="358"/>
      <c r="T893" s="358"/>
      <c r="U893" s="358"/>
      <c r="V893" s="358"/>
      <c r="W893" s="358"/>
      <c r="X893" s="358"/>
      <c r="Y893" s="358"/>
      <c r="Z893" s="358"/>
    </row>
    <row r="894" ht="14.25" customHeight="1">
      <c r="A894" s="358"/>
      <c r="B894" s="399"/>
      <c r="C894" s="399"/>
      <c r="D894" s="399"/>
      <c r="E894" s="399"/>
      <c r="F894" s="400"/>
      <c r="G894" s="273"/>
      <c r="H894" s="273"/>
      <c r="I894" s="358"/>
      <c r="J894" s="358"/>
      <c r="K894" s="358"/>
      <c r="L894" s="358"/>
      <c r="M894" s="358"/>
      <c r="N894" s="358"/>
      <c r="O894" s="358"/>
      <c r="P894" s="358"/>
      <c r="Q894" s="358"/>
      <c r="R894" s="358"/>
      <c r="S894" s="358"/>
      <c r="T894" s="358"/>
      <c r="U894" s="358"/>
      <c r="V894" s="358"/>
      <c r="W894" s="358"/>
      <c r="X894" s="358"/>
      <c r="Y894" s="358"/>
      <c r="Z894" s="358"/>
    </row>
    <row r="895" ht="14.25" customHeight="1">
      <c r="A895" s="358"/>
      <c r="B895" s="399"/>
      <c r="C895" s="399"/>
      <c r="D895" s="399"/>
      <c r="E895" s="399"/>
      <c r="F895" s="400"/>
      <c r="G895" s="273"/>
      <c r="H895" s="273"/>
      <c r="I895" s="358"/>
      <c r="J895" s="358"/>
      <c r="K895" s="358"/>
      <c r="L895" s="358"/>
      <c r="M895" s="358"/>
      <c r="N895" s="358"/>
      <c r="O895" s="358"/>
      <c r="P895" s="358"/>
      <c r="Q895" s="358"/>
      <c r="R895" s="358"/>
      <c r="S895" s="358"/>
      <c r="T895" s="358"/>
      <c r="U895" s="358"/>
      <c r="V895" s="358"/>
      <c r="W895" s="358"/>
      <c r="X895" s="358"/>
      <c r="Y895" s="358"/>
      <c r="Z895" s="358"/>
    </row>
    <row r="896" ht="14.25" customHeight="1">
      <c r="A896" s="358"/>
      <c r="B896" s="399"/>
      <c r="C896" s="399"/>
      <c r="D896" s="399"/>
      <c r="E896" s="399"/>
      <c r="F896" s="400"/>
      <c r="G896" s="273"/>
      <c r="H896" s="273"/>
      <c r="I896" s="358"/>
      <c r="J896" s="358"/>
      <c r="K896" s="358"/>
      <c r="L896" s="358"/>
      <c r="M896" s="358"/>
      <c r="N896" s="358"/>
      <c r="O896" s="358"/>
      <c r="P896" s="358"/>
      <c r="Q896" s="358"/>
      <c r="R896" s="358"/>
      <c r="S896" s="358"/>
      <c r="T896" s="358"/>
      <c r="U896" s="358"/>
      <c r="V896" s="358"/>
      <c r="W896" s="358"/>
      <c r="X896" s="358"/>
      <c r="Y896" s="358"/>
      <c r="Z896" s="358"/>
    </row>
    <row r="897" ht="14.25" customHeight="1">
      <c r="A897" s="358"/>
      <c r="B897" s="399"/>
      <c r="C897" s="399"/>
      <c r="D897" s="399"/>
      <c r="E897" s="399"/>
      <c r="F897" s="400"/>
      <c r="G897" s="273"/>
      <c r="H897" s="273"/>
      <c r="I897" s="358"/>
      <c r="J897" s="358"/>
      <c r="K897" s="358"/>
      <c r="L897" s="358"/>
      <c r="M897" s="358"/>
      <c r="N897" s="358"/>
      <c r="O897" s="358"/>
      <c r="P897" s="358"/>
      <c r="Q897" s="358"/>
      <c r="R897" s="358"/>
      <c r="S897" s="358"/>
      <c r="T897" s="358"/>
      <c r="U897" s="358"/>
      <c r="V897" s="358"/>
      <c r="W897" s="358"/>
      <c r="X897" s="358"/>
      <c r="Y897" s="358"/>
      <c r="Z897" s="358"/>
    </row>
    <row r="898" ht="14.25" customHeight="1">
      <c r="A898" s="358"/>
      <c r="B898" s="399"/>
      <c r="C898" s="399"/>
      <c r="D898" s="399"/>
      <c r="E898" s="399"/>
      <c r="F898" s="400"/>
      <c r="G898" s="273"/>
      <c r="H898" s="273"/>
      <c r="I898" s="358"/>
      <c r="J898" s="358"/>
      <c r="K898" s="358"/>
      <c r="L898" s="358"/>
      <c r="M898" s="358"/>
      <c r="N898" s="358"/>
      <c r="O898" s="358"/>
      <c r="P898" s="358"/>
      <c r="Q898" s="358"/>
      <c r="R898" s="358"/>
      <c r="S898" s="358"/>
      <c r="T898" s="358"/>
      <c r="U898" s="358"/>
      <c r="V898" s="358"/>
      <c r="W898" s="358"/>
      <c r="X898" s="358"/>
      <c r="Y898" s="358"/>
      <c r="Z898" s="358"/>
    </row>
    <row r="899" ht="14.25" customHeight="1">
      <c r="A899" s="358"/>
      <c r="B899" s="399"/>
      <c r="C899" s="399"/>
      <c r="D899" s="399"/>
      <c r="E899" s="399"/>
      <c r="F899" s="400"/>
      <c r="G899" s="273"/>
      <c r="H899" s="273"/>
      <c r="I899" s="358"/>
      <c r="J899" s="358"/>
      <c r="K899" s="358"/>
      <c r="L899" s="358"/>
      <c r="M899" s="358"/>
      <c r="N899" s="358"/>
      <c r="O899" s="358"/>
      <c r="P899" s="358"/>
      <c r="Q899" s="358"/>
      <c r="R899" s="358"/>
      <c r="S899" s="358"/>
      <c r="T899" s="358"/>
      <c r="U899" s="358"/>
      <c r="V899" s="358"/>
      <c r="W899" s="358"/>
      <c r="X899" s="358"/>
      <c r="Y899" s="358"/>
      <c r="Z899" s="358"/>
    </row>
    <row r="900" ht="14.25" customHeight="1">
      <c r="A900" s="358"/>
      <c r="B900" s="399"/>
      <c r="C900" s="399"/>
      <c r="D900" s="399"/>
      <c r="E900" s="399"/>
      <c r="F900" s="400"/>
      <c r="G900" s="273"/>
      <c r="H900" s="273"/>
      <c r="I900" s="358"/>
      <c r="J900" s="358"/>
      <c r="K900" s="358"/>
      <c r="L900" s="358"/>
      <c r="M900" s="358"/>
      <c r="N900" s="358"/>
      <c r="O900" s="358"/>
      <c r="P900" s="358"/>
      <c r="Q900" s="358"/>
      <c r="R900" s="358"/>
      <c r="S900" s="358"/>
      <c r="T900" s="358"/>
      <c r="U900" s="358"/>
      <c r="V900" s="358"/>
      <c r="W900" s="358"/>
      <c r="X900" s="358"/>
      <c r="Y900" s="358"/>
      <c r="Z900" s="358"/>
    </row>
    <row r="901" ht="14.25" customHeight="1">
      <c r="A901" s="358"/>
      <c r="B901" s="399"/>
      <c r="C901" s="399"/>
      <c r="D901" s="399"/>
      <c r="E901" s="399"/>
      <c r="F901" s="400"/>
      <c r="G901" s="273"/>
      <c r="H901" s="273"/>
      <c r="I901" s="358"/>
      <c r="J901" s="358"/>
      <c r="K901" s="358"/>
      <c r="L901" s="358"/>
      <c r="M901" s="358"/>
      <c r="N901" s="358"/>
      <c r="O901" s="358"/>
      <c r="P901" s="358"/>
      <c r="Q901" s="358"/>
      <c r="R901" s="358"/>
      <c r="S901" s="358"/>
      <c r="T901" s="358"/>
      <c r="U901" s="358"/>
      <c r="V901" s="358"/>
      <c r="W901" s="358"/>
      <c r="X901" s="358"/>
      <c r="Y901" s="358"/>
      <c r="Z901" s="358"/>
    </row>
    <row r="902" ht="14.25" customHeight="1">
      <c r="A902" s="358"/>
      <c r="B902" s="399"/>
      <c r="C902" s="399"/>
      <c r="D902" s="399"/>
      <c r="E902" s="399"/>
      <c r="F902" s="400"/>
      <c r="G902" s="273"/>
      <c r="H902" s="273"/>
      <c r="I902" s="358"/>
      <c r="J902" s="358"/>
      <c r="K902" s="358"/>
      <c r="L902" s="358"/>
      <c r="M902" s="358"/>
      <c r="N902" s="358"/>
      <c r="O902" s="358"/>
      <c r="P902" s="358"/>
      <c r="Q902" s="358"/>
      <c r="R902" s="358"/>
      <c r="S902" s="358"/>
      <c r="T902" s="358"/>
      <c r="U902" s="358"/>
      <c r="V902" s="358"/>
      <c r="W902" s="358"/>
      <c r="X902" s="358"/>
      <c r="Y902" s="358"/>
      <c r="Z902" s="358"/>
    </row>
    <row r="903" ht="14.25" customHeight="1">
      <c r="A903" s="358"/>
      <c r="B903" s="399"/>
      <c r="C903" s="399"/>
      <c r="D903" s="399"/>
      <c r="E903" s="399"/>
      <c r="F903" s="400"/>
      <c r="G903" s="273"/>
      <c r="H903" s="273"/>
      <c r="I903" s="358"/>
      <c r="J903" s="358"/>
      <c r="K903" s="358"/>
      <c r="L903" s="358"/>
      <c r="M903" s="358"/>
      <c r="N903" s="358"/>
      <c r="O903" s="358"/>
      <c r="P903" s="358"/>
      <c r="Q903" s="358"/>
      <c r="R903" s="358"/>
      <c r="S903" s="358"/>
      <c r="T903" s="358"/>
      <c r="U903" s="358"/>
      <c r="V903" s="358"/>
      <c r="W903" s="358"/>
      <c r="X903" s="358"/>
      <c r="Y903" s="358"/>
      <c r="Z903" s="358"/>
    </row>
    <row r="904" ht="14.25" customHeight="1">
      <c r="A904" s="358"/>
      <c r="B904" s="399"/>
      <c r="C904" s="399"/>
      <c r="D904" s="399"/>
      <c r="E904" s="399"/>
      <c r="F904" s="400"/>
      <c r="G904" s="273"/>
      <c r="H904" s="273"/>
      <c r="I904" s="358"/>
      <c r="J904" s="358"/>
      <c r="K904" s="358"/>
      <c r="L904" s="358"/>
      <c r="M904" s="358"/>
      <c r="N904" s="358"/>
      <c r="O904" s="358"/>
      <c r="P904" s="358"/>
      <c r="Q904" s="358"/>
      <c r="R904" s="358"/>
      <c r="S904" s="358"/>
      <c r="T904" s="358"/>
      <c r="U904" s="358"/>
      <c r="V904" s="358"/>
      <c r="W904" s="358"/>
      <c r="X904" s="358"/>
      <c r="Y904" s="358"/>
      <c r="Z904" s="358"/>
    </row>
    <row r="905" ht="14.25" customHeight="1">
      <c r="A905" s="358"/>
      <c r="B905" s="399"/>
      <c r="C905" s="399"/>
      <c r="D905" s="399"/>
      <c r="E905" s="399"/>
      <c r="F905" s="400"/>
      <c r="G905" s="273"/>
      <c r="H905" s="273"/>
      <c r="I905" s="358"/>
      <c r="J905" s="358"/>
      <c r="K905" s="358"/>
      <c r="L905" s="358"/>
      <c r="M905" s="358"/>
      <c r="N905" s="358"/>
      <c r="O905" s="358"/>
      <c r="P905" s="358"/>
      <c r="Q905" s="358"/>
      <c r="R905" s="358"/>
      <c r="S905" s="358"/>
      <c r="T905" s="358"/>
      <c r="U905" s="358"/>
      <c r="V905" s="358"/>
      <c r="W905" s="358"/>
      <c r="X905" s="358"/>
      <c r="Y905" s="358"/>
      <c r="Z905" s="358"/>
    </row>
    <row r="906" ht="14.25" customHeight="1">
      <c r="A906" s="358"/>
      <c r="B906" s="399"/>
      <c r="C906" s="399"/>
      <c r="D906" s="399"/>
      <c r="E906" s="399"/>
      <c r="F906" s="400"/>
      <c r="G906" s="273"/>
      <c r="H906" s="273"/>
      <c r="I906" s="358"/>
      <c r="J906" s="358"/>
      <c r="K906" s="358"/>
      <c r="L906" s="358"/>
      <c r="M906" s="358"/>
      <c r="N906" s="358"/>
      <c r="O906" s="358"/>
      <c r="P906" s="358"/>
      <c r="Q906" s="358"/>
      <c r="R906" s="358"/>
      <c r="S906" s="358"/>
      <c r="T906" s="358"/>
      <c r="U906" s="358"/>
      <c r="V906" s="358"/>
      <c r="W906" s="358"/>
      <c r="X906" s="358"/>
      <c r="Y906" s="358"/>
      <c r="Z906" s="358"/>
    </row>
    <row r="907" ht="14.25" customHeight="1">
      <c r="A907" s="358"/>
      <c r="B907" s="399"/>
      <c r="C907" s="399"/>
      <c r="D907" s="399"/>
      <c r="E907" s="399"/>
      <c r="F907" s="400"/>
      <c r="G907" s="273"/>
      <c r="H907" s="273"/>
      <c r="I907" s="358"/>
      <c r="J907" s="358"/>
      <c r="K907" s="358"/>
      <c r="L907" s="358"/>
      <c r="M907" s="358"/>
      <c r="N907" s="358"/>
      <c r="O907" s="358"/>
      <c r="P907" s="358"/>
      <c r="Q907" s="358"/>
      <c r="R907" s="358"/>
      <c r="S907" s="358"/>
      <c r="T907" s="358"/>
      <c r="U907" s="358"/>
      <c r="V907" s="358"/>
      <c r="W907" s="358"/>
      <c r="X907" s="358"/>
      <c r="Y907" s="358"/>
      <c r="Z907" s="358"/>
    </row>
    <row r="908" ht="14.25" customHeight="1">
      <c r="A908" s="358"/>
      <c r="B908" s="399"/>
      <c r="C908" s="399"/>
      <c r="D908" s="399"/>
      <c r="E908" s="399"/>
      <c r="F908" s="400"/>
      <c r="G908" s="273"/>
      <c r="H908" s="273"/>
      <c r="I908" s="358"/>
      <c r="J908" s="358"/>
      <c r="K908" s="358"/>
      <c r="L908" s="358"/>
      <c r="M908" s="358"/>
      <c r="N908" s="358"/>
      <c r="O908" s="358"/>
      <c r="P908" s="358"/>
      <c r="Q908" s="358"/>
      <c r="R908" s="358"/>
      <c r="S908" s="358"/>
      <c r="T908" s="358"/>
      <c r="U908" s="358"/>
      <c r="V908" s="358"/>
      <c r="W908" s="358"/>
      <c r="X908" s="358"/>
      <c r="Y908" s="358"/>
      <c r="Z908" s="358"/>
    </row>
    <row r="909" ht="14.25" customHeight="1">
      <c r="A909" s="358"/>
      <c r="B909" s="399"/>
      <c r="C909" s="399"/>
      <c r="D909" s="399"/>
      <c r="E909" s="399"/>
      <c r="F909" s="400"/>
      <c r="G909" s="273"/>
      <c r="H909" s="273"/>
      <c r="I909" s="358"/>
      <c r="J909" s="358"/>
      <c r="K909" s="358"/>
      <c r="L909" s="358"/>
      <c r="M909" s="358"/>
      <c r="N909" s="358"/>
      <c r="O909" s="358"/>
      <c r="P909" s="358"/>
      <c r="Q909" s="358"/>
      <c r="R909" s="358"/>
      <c r="S909" s="358"/>
      <c r="T909" s="358"/>
      <c r="U909" s="358"/>
      <c r="V909" s="358"/>
      <c r="W909" s="358"/>
      <c r="X909" s="358"/>
      <c r="Y909" s="358"/>
      <c r="Z909" s="358"/>
    </row>
    <row r="910" ht="14.25" customHeight="1">
      <c r="A910" s="358"/>
      <c r="B910" s="399"/>
      <c r="C910" s="399"/>
      <c r="D910" s="399"/>
      <c r="E910" s="399"/>
      <c r="F910" s="400"/>
      <c r="G910" s="273"/>
      <c r="H910" s="273"/>
      <c r="I910" s="358"/>
      <c r="J910" s="358"/>
      <c r="K910" s="358"/>
      <c r="L910" s="358"/>
      <c r="M910" s="358"/>
      <c r="N910" s="358"/>
      <c r="O910" s="358"/>
      <c r="P910" s="358"/>
      <c r="Q910" s="358"/>
      <c r="R910" s="358"/>
      <c r="S910" s="358"/>
      <c r="T910" s="358"/>
      <c r="U910" s="358"/>
      <c r="V910" s="358"/>
      <c r="W910" s="358"/>
      <c r="X910" s="358"/>
      <c r="Y910" s="358"/>
      <c r="Z910" s="358"/>
    </row>
    <row r="911" ht="14.25" customHeight="1">
      <c r="A911" s="358"/>
      <c r="B911" s="399"/>
      <c r="C911" s="399"/>
      <c r="D911" s="399"/>
      <c r="E911" s="399"/>
      <c r="F911" s="400"/>
      <c r="G911" s="273"/>
      <c r="H911" s="273"/>
      <c r="I911" s="358"/>
      <c r="J911" s="358"/>
      <c r="K911" s="358"/>
      <c r="L911" s="358"/>
      <c r="M911" s="358"/>
      <c r="N911" s="358"/>
      <c r="O911" s="358"/>
      <c r="P911" s="358"/>
      <c r="Q911" s="358"/>
      <c r="R911" s="358"/>
      <c r="S911" s="358"/>
      <c r="T911" s="358"/>
      <c r="U911" s="358"/>
      <c r="V911" s="358"/>
      <c r="W911" s="358"/>
      <c r="X911" s="358"/>
      <c r="Y911" s="358"/>
      <c r="Z911" s="358"/>
    </row>
    <row r="912" ht="14.25" customHeight="1">
      <c r="A912" s="358"/>
      <c r="B912" s="399"/>
      <c r="C912" s="399"/>
      <c r="D912" s="399"/>
      <c r="E912" s="399"/>
      <c r="F912" s="400"/>
      <c r="G912" s="273"/>
      <c r="H912" s="273"/>
      <c r="I912" s="358"/>
      <c r="J912" s="358"/>
      <c r="K912" s="358"/>
      <c r="L912" s="358"/>
      <c r="M912" s="358"/>
      <c r="N912" s="358"/>
      <c r="O912" s="358"/>
      <c r="P912" s="358"/>
      <c r="Q912" s="358"/>
      <c r="R912" s="358"/>
      <c r="S912" s="358"/>
      <c r="T912" s="358"/>
      <c r="U912" s="358"/>
      <c r="V912" s="358"/>
      <c r="W912" s="358"/>
      <c r="X912" s="358"/>
      <c r="Y912" s="358"/>
      <c r="Z912" s="358"/>
    </row>
    <row r="913" ht="14.25" customHeight="1">
      <c r="A913" s="358"/>
      <c r="B913" s="399"/>
      <c r="C913" s="399"/>
      <c r="D913" s="399"/>
      <c r="E913" s="399"/>
      <c r="F913" s="400"/>
      <c r="G913" s="273"/>
      <c r="H913" s="273"/>
      <c r="I913" s="358"/>
      <c r="J913" s="358"/>
      <c r="K913" s="358"/>
      <c r="L913" s="358"/>
      <c r="M913" s="358"/>
      <c r="N913" s="358"/>
      <c r="O913" s="358"/>
      <c r="P913" s="358"/>
      <c r="Q913" s="358"/>
      <c r="R913" s="358"/>
      <c r="S913" s="358"/>
      <c r="T913" s="358"/>
      <c r="U913" s="358"/>
      <c r="V913" s="358"/>
      <c r="W913" s="358"/>
      <c r="X913" s="358"/>
      <c r="Y913" s="358"/>
      <c r="Z913" s="358"/>
    </row>
    <row r="914" ht="14.25" customHeight="1">
      <c r="A914" s="358"/>
      <c r="B914" s="399"/>
      <c r="C914" s="399"/>
      <c r="D914" s="399"/>
      <c r="E914" s="399"/>
      <c r="F914" s="400"/>
      <c r="G914" s="273"/>
      <c r="H914" s="273"/>
      <c r="I914" s="358"/>
      <c r="J914" s="358"/>
      <c r="K914" s="358"/>
      <c r="L914" s="358"/>
      <c r="M914" s="358"/>
      <c r="N914" s="358"/>
      <c r="O914" s="358"/>
      <c r="P914" s="358"/>
      <c r="Q914" s="358"/>
      <c r="R914" s="358"/>
      <c r="S914" s="358"/>
      <c r="T914" s="358"/>
      <c r="U914" s="358"/>
      <c r="V914" s="358"/>
      <c r="W914" s="358"/>
      <c r="X914" s="358"/>
      <c r="Y914" s="358"/>
      <c r="Z914" s="358"/>
    </row>
    <row r="915" ht="14.25" customHeight="1">
      <c r="A915" s="358"/>
      <c r="B915" s="399"/>
      <c r="C915" s="399"/>
      <c r="D915" s="399"/>
      <c r="E915" s="399"/>
      <c r="F915" s="400"/>
      <c r="G915" s="273"/>
      <c r="H915" s="273"/>
      <c r="I915" s="358"/>
      <c r="J915" s="358"/>
      <c r="K915" s="358"/>
      <c r="L915" s="358"/>
      <c r="M915" s="358"/>
      <c r="N915" s="358"/>
      <c r="O915" s="358"/>
      <c r="P915" s="358"/>
      <c r="Q915" s="358"/>
      <c r="R915" s="358"/>
      <c r="S915" s="358"/>
      <c r="T915" s="358"/>
      <c r="U915" s="358"/>
      <c r="V915" s="358"/>
      <c r="W915" s="358"/>
      <c r="X915" s="358"/>
      <c r="Y915" s="358"/>
      <c r="Z915" s="358"/>
    </row>
    <row r="916" ht="14.25" customHeight="1">
      <c r="A916" s="358"/>
      <c r="B916" s="399"/>
      <c r="C916" s="399"/>
      <c r="D916" s="399"/>
      <c r="E916" s="399"/>
      <c r="F916" s="400"/>
      <c r="G916" s="273"/>
      <c r="H916" s="273"/>
      <c r="I916" s="358"/>
      <c r="J916" s="358"/>
      <c r="K916" s="358"/>
      <c r="L916" s="358"/>
      <c r="M916" s="358"/>
      <c r="N916" s="358"/>
      <c r="O916" s="358"/>
      <c r="P916" s="358"/>
      <c r="Q916" s="358"/>
      <c r="R916" s="358"/>
      <c r="S916" s="358"/>
      <c r="T916" s="358"/>
      <c r="U916" s="358"/>
      <c r="V916" s="358"/>
      <c r="W916" s="358"/>
      <c r="X916" s="358"/>
      <c r="Y916" s="358"/>
      <c r="Z916" s="358"/>
    </row>
    <row r="917" ht="14.25" customHeight="1">
      <c r="A917" s="358"/>
      <c r="B917" s="399"/>
      <c r="C917" s="399"/>
      <c r="D917" s="399"/>
      <c r="E917" s="399"/>
      <c r="F917" s="400"/>
      <c r="G917" s="273"/>
      <c r="H917" s="273"/>
      <c r="I917" s="358"/>
      <c r="J917" s="358"/>
      <c r="K917" s="358"/>
      <c r="L917" s="358"/>
      <c r="M917" s="358"/>
      <c r="N917" s="358"/>
      <c r="O917" s="358"/>
      <c r="P917" s="358"/>
      <c r="Q917" s="358"/>
      <c r="R917" s="358"/>
      <c r="S917" s="358"/>
      <c r="T917" s="358"/>
      <c r="U917" s="358"/>
      <c r="V917" s="358"/>
      <c r="W917" s="358"/>
      <c r="X917" s="358"/>
      <c r="Y917" s="358"/>
      <c r="Z917" s="358"/>
    </row>
    <row r="918" ht="14.25" customHeight="1">
      <c r="A918" s="358"/>
      <c r="B918" s="399"/>
      <c r="C918" s="399"/>
      <c r="D918" s="399"/>
      <c r="E918" s="399"/>
      <c r="F918" s="400"/>
      <c r="G918" s="273"/>
      <c r="H918" s="273"/>
      <c r="I918" s="358"/>
      <c r="J918" s="358"/>
      <c r="K918" s="358"/>
      <c r="L918" s="358"/>
      <c r="M918" s="358"/>
      <c r="N918" s="358"/>
      <c r="O918" s="358"/>
      <c r="P918" s="358"/>
      <c r="Q918" s="358"/>
      <c r="R918" s="358"/>
      <c r="S918" s="358"/>
      <c r="T918" s="358"/>
      <c r="U918" s="358"/>
      <c r="V918" s="358"/>
      <c r="W918" s="358"/>
      <c r="X918" s="358"/>
      <c r="Y918" s="358"/>
      <c r="Z918" s="358"/>
    </row>
    <row r="919" ht="14.25" customHeight="1">
      <c r="A919" s="358"/>
      <c r="B919" s="399"/>
      <c r="C919" s="399"/>
      <c r="D919" s="399"/>
      <c r="E919" s="399"/>
      <c r="F919" s="400"/>
      <c r="G919" s="273"/>
      <c r="H919" s="273"/>
      <c r="I919" s="358"/>
      <c r="J919" s="358"/>
      <c r="K919" s="358"/>
      <c r="L919" s="358"/>
      <c r="M919" s="358"/>
      <c r="N919" s="358"/>
      <c r="O919" s="358"/>
      <c r="P919" s="358"/>
      <c r="Q919" s="358"/>
      <c r="R919" s="358"/>
      <c r="S919" s="358"/>
      <c r="T919" s="358"/>
      <c r="U919" s="358"/>
      <c r="V919" s="358"/>
      <c r="W919" s="358"/>
      <c r="X919" s="358"/>
      <c r="Y919" s="358"/>
      <c r="Z919" s="358"/>
    </row>
    <row r="920" ht="14.25" customHeight="1">
      <c r="A920" s="358"/>
      <c r="B920" s="399"/>
      <c r="C920" s="399"/>
      <c r="D920" s="399"/>
      <c r="E920" s="399"/>
      <c r="F920" s="400"/>
      <c r="G920" s="273"/>
      <c r="H920" s="273"/>
      <c r="I920" s="358"/>
      <c r="J920" s="358"/>
      <c r="K920" s="358"/>
      <c r="L920" s="358"/>
      <c r="M920" s="358"/>
      <c r="N920" s="358"/>
      <c r="O920" s="358"/>
      <c r="P920" s="358"/>
      <c r="Q920" s="358"/>
      <c r="R920" s="358"/>
      <c r="S920" s="358"/>
      <c r="T920" s="358"/>
      <c r="U920" s="358"/>
      <c r="V920" s="358"/>
      <c r="W920" s="358"/>
      <c r="X920" s="358"/>
      <c r="Y920" s="358"/>
      <c r="Z920" s="358"/>
    </row>
    <row r="921" ht="14.25" customHeight="1">
      <c r="A921" s="358"/>
      <c r="B921" s="399"/>
      <c r="C921" s="399"/>
      <c r="D921" s="399"/>
      <c r="E921" s="399"/>
      <c r="F921" s="400"/>
      <c r="G921" s="273"/>
      <c r="H921" s="273"/>
      <c r="I921" s="358"/>
      <c r="J921" s="358"/>
      <c r="K921" s="358"/>
      <c r="L921" s="358"/>
      <c r="M921" s="358"/>
      <c r="N921" s="358"/>
      <c r="O921" s="358"/>
      <c r="P921" s="358"/>
      <c r="Q921" s="358"/>
      <c r="R921" s="358"/>
      <c r="S921" s="358"/>
      <c r="T921" s="358"/>
      <c r="U921" s="358"/>
      <c r="V921" s="358"/>
      <c r="W921" s="358"/>
      <c r="X921" s="358"/>
      <c r="Y921" s="358"/>
      <c r="Z921" s="358"/>
    </row>
    <row r="922" ht="14.25" customHeight="1">
      <c r="A922" s="358"/>
      <c r="B922" s="399"/>
      <c r="C922" s="399"/>
      <c r="D922" s="399"/>
      <c r="E922" s="399"/>
      <c r="F922" s="400"/>
      <c r="G922" s="273"/>
      <c r="H922" s="273"/>
      <c r="I922" s="358"/>
      <c r="J922" s="358"/>
      <c r="K922" s="358"/>
      <c r="L922" s="358"/>
      <c r="M922" s="358"/>
      <c r="N922" s="358"/>
      <c r="O922" s="358"/>
      <c r="P922" s="358"/>
      <c r="Q922" s="358"/>
      <c r="R922" s="358"/>
      <c r="S922" s="358"/>
      <c r="T922" s="358"/>
      <c r="U922" s="358"/>
      <c r="V922" s="358"/>
      <c r="W922" s="358"/>
      <c r="X922" s="358"/>
      <c r="Y922" s="358"/>
      <c r="Z922" s="358"/>
    </row>
    <row r="923" ht="14.25" customHeight="1">
      <c r="A923" s="358"/>
      <c r="B923" s="399"/>
      <c r="C923" s="399"/>
      <c r="D923" s="399"/>
      <c r="E923" s="399"/>
      <c r="F923" s="400"/>
      <c r="G923" s="273"/>
      <c r="H923" s="273"/>
      <c r="I923" s="358"/>
      <c r="J923" s="358"/>
      <c r="K923" s="358"/>
      <c r="L923" s="358"/>
      <c r="M923" s="358"/>
      <c r="N923" s="358"/>
      <c r="O923" s="358"/>
      <c r="P923" s="358"/>
      <c r="Q923" s="358"/>
      <c r="R923" s="358"/>
      <c r="S923" s="358"/>
      <c r="T923" s="358"/>
      <c r="U923" s="358"/>
      <c r="V923" s="358"/>
      <c r="W923" s="358"/>
      <c r="X923" s="358"/>
      <c r="Y923" s="358"/>
      <c r="Z923" s="358"/>
    </row>
    <row r="924" ht="14.25" customHeight="1">
      <c r="A924" s="358"/>
      <c r="B924" s="399"/>
      <c r="C924" s="399"/>
      <c r="D924" s="399"/>
      <c r="E924" s="399"/>
      <c r="F924" s="400"/>
      <c r="G924" s="273"/>
      <c r="H924" s="273"/>
      <c r="I924" s="358"/>
      <c r="J924" s="358"/>
      <c r="K924" s="358"/>
      <c r="L924" s="358"/>
      <c r="M924" s="358"/>
      <c r="N924" s="358"/>
      <c r="O924" s="358"/>
      <c r="P924" s="358"/>
      <c r="Q924" s="358"/>
      <c r="R924" s="358"/>
      <c r="S924" s="358"/>
      <c r="T924" s="358"/>
      <c r="U924" s="358"/>
      <c r="V924" s="358"/>
      <c r="W924" s="358"/>
      <c r="X924" s="358"/>
      <c r="Y924" s="358"/>
      <c r="Z924" s="358"/>
    </row>
    <row r="925" ht="14.25" customHeight="1">
      <c r="A925" s="358"/>
      <c r="B925" s="399"/>
      <c r="C925" s="399"/>
      <c r="D925" s="399"/>
      <c r="E925" s="399"/>
      <c r="F925" s="400"/>
      <c r="G925" s="273"/>
      <c r="H925" s="273"/>
      <c r="I925" s="358"/>
      <c r="J925" s="358"/>
      <c r="K925" s="358"/>
      <c r="L925" s="358"/>
      <c r="M925" s="358"/>
      <c r="N925" s="358"/>
      <c r="O925" s="358"/>
      <c r="P925" s="358"/>
      <c r="Q925" s="358"/>
      <c r="R925" s="358"/>
      <c r="S925" s="358"/>
      <c r="T925" s="358"/>
      <c r="U925" s="358"/>
      <c r="V925" s="358"/>
      <c r="W925" s="358"/>
      <c r="X925" s="358"/>
      <c r="Y925" s="358"/>
      <c r="Z925" s="358"/>
    </row>
    <row r="926" ht="14.25" customHeight="1">
      <c r="A926" s="358"/>
      <c r="B926" s="399"/>
      <c r="C926" s="399"/>
      <c r="D926" s="399"/>
      <c r="E926" s="399"/>
      <c r="F926" s="400"/>
      <c r="G926" s="273"/>
      <c r="H926" s="273"/>
      <c r="I926" s="358"/>
      <c r="J926" s="358"/>
      <c r="K926" s="358"/>
      <c r="L926" s="358"/>
      <c r="M926" s="358"/>
      <c r="N926" s="358"/>
      <c r="O926" s="358"/>
      <c r="P926" s="358"/>
      <c r="Q926" s="358"/>
      <c r="R926" s="358"/>
      <c r="S926" s="358"/>
      <c r="T926" s="358"/>
      <c r="U926" s="358"/>
      <c r="V926" s="358"/>
      <c r="W926" s="358"/>
      <c r="X926" s="358"/>
      <c r="Y926" s="358"/>
      <c r="Z926" s="358"/>
    </row>
    <row r="927" ht="14.25" customHeight="1">
      <c r="A927" s="358"/>
      <c r="B927" s="399"/>
      <c r="C927" s="399"/>
      <c r="D927" s="399"/>
      <c r="E927" s="399"/>
      <c r="F927" s="400"/>
      <c r="G927" s="273"/>
      <c r="H927" s="273"/>
      <c r="I927" s="358"/>
      <c r="J927" s="358"/>
      <c r="K927" s="358"/>
      <c r="L927" s="358"/>
      <c r="M927" s="358"/>
      <c r="N927" s="358"/>
      <c r="O927" s="358"/>
      <c r="P927" s="358"/>
      <c r="Q927" s="358"/>
      <c r="R927" s="358"/>
      <c r="S927" s="358"/>
      <c r="T927" s="358"/>
      <c r="U927" s="358"/>
      <c r="V927" s="358"/>
      <c r="W927" s="358"/>
      <c r="X927" s="358"/>
      <c r="Y927" s="358"/>
      <c r="Z927" s="358"/>
    </row>
    <row r="928" ht="14.25" customHeight="1">
      <c r="A928" s="358"/>
      <c r="B928" s="399"/>
      <c r="C928" s="399"/>
      <c r="D928" s="399"/>
      <c r="E928" s="399"/>
      <c r="F928" s="400"/>
      <c r="G928" s="273"/>
      <c r="H928" s="273"/>
      <c r="I928" s="358"/>
      <c r="J928" s="358"/>
      <c r="K928" s="358"/>
      <c r="L928" s="358"/>
      <c r="M928" s="358"/>
      <c r="N928" s="358"/>
      <c r="O928" s="358"/>
      <c r="P928" s="358"/>
      <c r="Q928" s="358"/>
      <c r="R928" s="358"/>
      <c r="S928" s="358"/>
      <c r="T928" s="358"/>
      <c r="U928" s="358"/>
      <c r="V928" s="358"/>
      <c r="W928" s="358"/>
      <c r="X928" s="358"/>
      <c r="Y928" s="358"/>
      <c r="Z928" s="358"/>
    </row>
    <row r="929" ht="14.25" customHeight="1">
      <c r="A929" s="358"/>
      <c r="B929" s="399"/>
      <c r="C929" s="399"/>
      <c r="D929" s="399"/>
      <c r="E929" s="399"/>
      <c r="F929" s="400"/>
      <c r="G929" s="273"/>
      <c r="H929" s="273"/>
      <c r="I929" s="358"/>
      <c r="J929" s="358"/>
      <c r="K929" s="358"/>
      <c r="L929" s="358"/>
      <c r="M929" s="358"/>
      <c r="N929" s="358"/>
      <c r="O929" s="358"/>
      <c r="P929" s="358"/>
      <c r="Q929" s="358"/>
      <c r="R929" s="358"/>
      <c r="S929" s="358"/>
      <c r="T929" s="358"/>
      <c r="U929" s="358"/>
      <c r="V929" s="358"/>
      <c r="W929" s="358"/>
      <c r="X929" s="358"/>
      <c r="Y929" s="358"/>
      <c r="Z929" s="358"/>
    </row>
    <row r="930" ht="14.25" customHeight="1">
      <c r="A930" s="358"/>
      <c r="B930" s="399"/>
      <c r="C930" s="399"/>
      <c r="D930" s="399"/>
      <c r="E930" s="399"/>
      <c r="F930" s="400"/>
      <c r="G930" s="273"/>
      <c r="H930" s="273"/>
      <c r="I930" s="358"/>
      <c r="J930" s="358"/>
      <c r="K930" s="358"/>
      <c r="L930" s="358"/>
      <c r="M930" s="358"/>
      <c r="N930" s="358"/>
      <c r="O930" s="358"/>
      <c r="P930" s="358"/>
      <c r="Q930" s="358"/>
      <c r="R930" s="358"/>
      <c r="S930" s="358"/>
      <c r="T930" s="358"/>
      <c r="U930" s="358"/>
      <c r="V930" s="358"/>
      <c r="W930" s="358"/>
      <c r="X930" s="358"/>
      <c r="Y930" s="358"/>
      <c r="Z930" s="358"/>
    </row>
    <row r="931" ht="14.25" customHeight="1">
      <c r="A931" s="358"/>
      <c r="B931" s="399"/>
      <c r="C931" s="399"/>
      <c r="D931" s="399"/>
      <c r="E931" s="399"/>
      <c r="F931" s="400"/>
      <c r="G931" s="273"/>
      <c r="H931" s="273"/>
      <c r="I931" s="358"/>
      <c r="J931" s="358"/>
      <c r="K931" s="358"/>
      <c r="L931" s="358"/>
      <c r="M931" s="358"/>
      <c r="N931" s="358"/>
      <c r="O931" s="358"/>
      <c r="P931" s="358"/>
      <c r="Q931" s="358"/>
      <c r="R931" s="358"/>
      <c r="S931" s="358"/>
      <c r="T931" s="358"/>
      <c r="U931" s="358"/>
      <c r="V931" s="358"/>
      <c r="W931" s="358"/>
      <c r="X931" s="358"/>
      <c r="Y931" s="358"/>
      <c r="Z931" s="358"/>
    </row>
    <row r="932" ht="14.25" customHeight="1">
      <c r="A932" s="358"/>
      <c r="B932" s="399"/>
      <c r="C932" s="399"/>
      <c r="D932" s="399"/>
      <c r="E932" s="399"/>
      <c r="F932" s="400"/>
      <c r="G932" s="273"/>
      <c r="H932" s="273"/>
      <c r="I932" s="358"/>
      <c r="J932" s="358"/>
      <c r="K932" s="358"/>
      <c r="L932" s="358"/>
      <c r="M932" s="358"/>
      <c r="N932" s="358"/>
      <c r="O932" s="358"/>
      <c r="P932" s="358"/>
      <c r="Q932" s="358"/>
      <c r="R932" s="358"/>
      <c r="S932" s="358"/>
      <c r="T932" s="358"/>
      <c r="U932" s="358"/>
      <c r="V932" s="358"/>
      <c r="W932" s="358"/>
      <c r="X932" s="358"/>
      <c r="Y932" s="358"/>
      <c r="Z932" s="358"/>
    </row>
    <row r="933" ht="14.25" customHeight="1">
      <c r="A933" s="358"/>
      <c r="B933" s="399"/>
      <c r="C933" s="399"/>
      <c r="D933" s="399"/>
      <c r="E933" s="399"/>
      <c r="F933" s="400"/>
      <c r="G933" s="273"/>
      <c r="H933" s="273"/>
      <c r="I933" s="358"/>
      <c r="J933" s="358"/>
      <c r="K933" s="358"/>
      <c r="L933" s="358"/>
      <c r="M933" s="358"/>
      <c r="N933" s="358"/>
      <c r="O933" s="358"/>
      <c r="P933" s="358"/>
      <c r="Q933" s="358"/>
      <c r="R933" s="358"/>
      <c r="S933" s="358"/>
      <c r="T933" s="358"/>
      <c r="U933" s="358"/>
      <c r="V933" s="358"/>
      <c r="W933" s="358"/>
      <c r="X933" s="358"/>
      <c r="Y933" s="358"/>
      <c r="Z933" s="358"/>
    </row>
    <row r="934" ht="14.25" customHeight="1">
      <c r="A934" s="358"/>
      <c r="B934" s="399"/>
      <c r="C934" s="399"/>
      <c r="D934" s="399"/>
      <c r="E934" s="399"/>
      <c r="F934" s="400"/>
      <c r="G934" s="273"/>
      <c r="H934" s="273"/>
      <c r="I934" s="358"/>
      <c r="J934" s="358"/>
      <c r="K934" s="358"/>
      <c r="L934" s="358"/>
      <c r="M934" s="358"/>
      <c r="N934" s="358"/>
      <c r="O934" s="358"/>
      <c r="P934" s="358"/>
      <c r="Q934" s="358"/>
      <c r="R934" s="358"/>
      <c r="S934" s="358"/>
      <c r="T934" s="358"/>
      <c r="U934" s="358"/>
      <c r="V934" s="358"/>
      <c r="W934" s="358"/>
      <c r="X934" s="358"/>
      <c r="Y934" s="358"/>
      <c r="Z934" s="358"/>
    </row>
    <row r="935" ht="14.25" customHeight="1">
      <c r="A935" s="358"/>
      <c r="B935" s="399"/>
      <c r="C935" s="399"/>
      <c r="D935" s="399"/>
      <c r="E935" s="399"/>
      <c r="F935" s="400"/>
      <c r="G935" s="273"/>
      <c r="H935" s="273"/>
      <c r="I935" s="358"/>
      <c r="J935" s="358"/>
      <c r="K935" s="358"/>
      <c r="L935" s="358"/>
      <c r="M935" s="358"/>
      <c r="N935" s="358"/>
      <c r="O935" s="358"/>
      <c r="P935" s="358"/>
      <c r="Q935" s="358"/>
      <c r="R935" s="358"/>
      <c r="S935" s="358"/>
      <c r="T935" s="358"/>
      <c r="U935" s="358"/>
      <c r="V935" s="358"/>
      <c r="W935" s="358"/>
      <c r="X935" s="358"/>
      <c r="Y935" s="358"/>
      <c r="Z935" s="358"/>
    </row>
    <row r="936" ht="14.25" customHeight="1">
      <c r="A936" s="358"/>
      <c r="B936" s="399"/>
      <c r="C936" s="399"/>
      <c r="D936" s="399"/>
      <c r="E936" s="399"/>
      <c r="F936" s="400"/>
      <c r="G936" s="273"/>
      <c r="H936" s="273"/>
      <c r="I936" s="358"/>
      <c r="J936" s="358"/>
      <c r="K936" s="358"/>
      <c r="L936" s="358"/>
      <c r="M936" s="358"/>
      <c r="N936" s="358"/>
      <c r="O936" s="358"/>
      <c r="P936" s="358"/>
      <c r="Q936" s="358"/>
      <c r="R936" s="358"/>
      <c r="S936" s="358"/>
      <c r="T936" s="358"/>
      <c r="U936" s="358"/>
      <c r="V936" s="358"/>
      <c r="W936" s="358"/>
      <c r="X936" s="358"/>
      <c r="Y936" s="358"/>
      <c r="Z936" s="358"/>
    </row>
    <row r="937" ht="14.25" customHeight="1">
      <c r="A937" s="358"/>
      <c r="B937" s="399"/>
      <c r="C937" s="399"/>
      <c r="D937" s="399"/>
      <c r="E937" s="399"/>
      <c r="F937" s="400"/>
      <c r="G937" s="273"/>
      <c r="H937" s="273"/>
      <c r="I937" s="358"/>
      <c r="J937" s="358"/>
      <c r="K937" s="358"/>
      <c r="L937" s="358"/>
      <c r="M937" s="358"/>
      <c r="N937" s="358"/>
      <c r="O937" s="358"/>
      <c r="P937" s="358"/>
      <c r="Q937" s="358"/>
      <c r="R937" s="358"/>
      <c r="S937" s="358"/>
      <c r="T937" s="358"/>
      <c r="U937" s="358"/>
      <c r="V937" s="358"/>
      <c r="W937" s="358"/>
      <c r="X937" s="358"/>
      <c r="Y937" s="358"/>
      <c r="Z937" s="358"/>
    </row>
    <row r="938" ht="14.25" customHeight="1">
      <c r="A938" s="358"/>
      <c r="B938" s="399"/>
      <c r="C938" s="399"/>
      <c r="D938" s="399"/>
      <c r="E938" s="399"/>
      <c r="F938" s="400"/>
      <c r="G938" s="273"/>
      <c r="H938" s="273"/>
      <c r="I938" s="358"/>
      <c r="J938" s="358"/>
      <c r="K938" s="358"/>
      <c r="L938" s="358"/>
      <c r="M938" s="358"/>
      <c r="N938" s="358"/>
      <c r="O938" s="358"/>
      <c r="P938" s="358"/>
      <c r="Q938" s="358"/>
      <c r="R938" s="358"/>
      <c r="S938" s="358"/>
      <c r="T938" s="358"/>
      <c r="U938" s="358"/>
      <c r="V938" s="358"/>
      <c r="W938" s="358"/>
      <c r="X938" s="358"/>
      <c r="Y938" s="358"/>
      <c r="Z938" s="358"/>
    </row>
    <row r="939" ht="14.25" customHeight="1">
      <c r="A939" s="358"/>
      <c r="B939" s="399"/>
      <c r="C939" s="399"/>
      <c r="D939" s="399"/>
      <c r="E939" s="399"/>
      <c r="F939" s="400"/>
      <c r="G939" s="273"/>
      <c r="H939" s="273"/>
      <c r="I939" s="358"/>
      <c r="J939" s="358"/>
      <c r="K939" s="358"/>
      <c r="L939" s="358"/>
      <c r="M939" s="358"/>
      <c r="N939" s="358"/>
      <c r="O939" s="358"/>
      <c r="P939" s="358"/>
      <c r="Q939" s="358"/>
      <c r="R939" s="358"/>
      <c r="S939" s="358"/>
      <c r="T939" s="358"/>
      <c r="U939" s="358"/>
      <c r="V939" s="358"/>
      <c r="W939" s="358"/>
      <c r="X939" s="358"/>
      <c r="Y939" s="358"/>
      <c r="Z939" s="358"/>
    </row>
    <row r="940" ht="14.25" customHeight="1">
      <c r="A940" s="358"/>
      <c r="B940" s="399"/>
      <c r="C940" s="399"/>
      <c r="D940" s="399"/>
      <c r="E940" s="399"/>
      <c r="F940" s="400"/>
      <c r="G940" s="273"/>
      <c r="H940" s="273"/>
      <c r="I940" s="358"/>
      <c r="J940" s="358"/>
      <c r="K940" s="358"/>
      <c r="L940" s="358"/>
      <c r="M940" s="358"/>
      <c r="N940" s="358"/>
      <c r="O940" s="358"/>
      <c r="P940" s="358"/>
      <c r="Q940" s="358"/>
      <c r="R940" s="358"/>
      <c r="S940" s="358"/>
      <c r="T940" s="358"/>
      <c r="U940" s="358"/>
      <c r="V940" s="358"/>
      <c r="W940" s="358"/>
      <c r="X940" s="358"/>
      <c r="Y940" s="358"/>
      <c r="Z940" s="358"/>
    </row>
    <row r="941" ht="14.25" customHeight="1">
      <c r="A941" s="358"/>
      <c r="B941" s="399"/>
      <c r="C941" s="399"/>
      <c r="D941" s="399"/>
      <c r="E941" s="399"/>
      <c r="F941" s="400"/>
      <c r="G941" s="273"/>
      <c r="H941" s="273"/>
      <c r="I941" s="358"/>
      <c r="J941" s="358"/>
      <c r="K941" s="358"/>
      <c r="L941" s="358"/>
      <c r="M941" s="358"/>
      <c r="N941" s="358"/>
      <c r="O941" s="358"/>
      <c r="P941" s="358"/>
      <c r="Q941" s="358"/>
      <c r="R941" s="358"/>
      <c r="S941" s="358"/>
      <c r="T941" s="358"/>
      <c r="U941" s="358"/>
      <c r="V941" s="358"/>
      <c r="W941" s="358"/>
      <c r="X941" s="358"/>
      <c r="Y941" s="358"/>
      <c r="Z941" s="358"/>
    </row>
    <row r="942" ht="14.25" customHeight="1">
      <c r="A942" s="358"/>
      <c r="B942" s="399"/>
      <c r="C942" s="399"/>
      <c r="D942" s="399"/>
      <c r="E942" s="399"/>
      <c r="F942" s="400"/>
      <c r="G942" s="273"/>
      <c r="H942" s="273"/>
      <c r="I942" s="358"/>
      <c r="J942" s="358"/>
      <c r="K942" s="358"/>
      <c r="L942" s="358"/>
      <c r="M942" s="358"/>
      <c r="N942" s="358"/>
      <c r="O942" s="358"/>
      <c r="P942" s="358"/>
      <c r="Q942" s="358"/>
      <c r="R942" s="358"/>
      <c r="S942" s="358"/>
      <c r="T942" s="358"/>
      <c r="U942" s="358"/>
      <c r="V942" s="358"/>
      <c r="W942" s="358"/>
      <c r="X942" s="358"/>
      <c r="Y942" s="358"/>
      <c r="Z942" s="358"/>
    </row>
    <row r="943" ht="14.25" customHeight="1">
      <c r="A943" s="358"/>
      <c r="B943" s="399"/>
      <c r="C943" s="399"/>
      <c r="D943" s="399"/>
      <c r="E943" s="399"/>
      <c r="F943" s="400"/>
      <c r="G943" s="273"/>
      <c r="H943" s="273"/>
      <c r="I943" s="358"/>
      <c r="J943" s="358"/>
      <c r="K943" s="358"/>
      <c r="L943" s="358"/>
      <c r="M943" s="358"/>
      <c r="N943" s="358"/>
      <c r="O943" s="358"/>
      <c r="P943" s="358"/>
      <c r="Q943" s="358"/>
      <c r="R943" s="358"/>
      <c r="S943" s="358"/>
      <c r="T943" s="358"/>
      <c r="U943" s="358"/>
      <c r="V943" s="358"/>
      <c r="W943" s="358"/>
      <c r="X943" s="358"/>
      <c r="Y943" s="358"/>
      <c r="Z943" s="358"/>
    </row>
    <row r="944" ht="14.25" customHeight="1">
      <c r="A944" s="358"/>
      <c r="B944" s="399"/>
      <c r="C944" s="399"/>
      <c r="D944" s="399"/>
      <c r="E944" s="399"/>
      <c r="F944" s="400"/>
      <c r="G944" s="273"/>
      <c r="H944" s="273"/>
      <c r="I944" s="358"/>
      <c r="J944" s="358"/>
      <c r="K944" s="358"/>
      <c r="L944" s="358"/>
      <c r="M944" s="358"/>
      <c r="N944" s="358"/>
      <c r="O944" s="358"/>
      <c r="P944" s="358"/>
      <c r="Q944" s="358"/>
      <c r="R944" s="358"/>
      <c r="S944" s="358"/>
      <c r="T944" s="358"/>
      <c r="U944" s="358"/>
      <c r="V944" s="358"/>
      <c r="W944" s="358"/>
      <c r="X944" s="358"/>
      <c r="Y944" s="358"/>
      <c r="Z944" s="358"/>
    </row>
    <row r="945" ht="14.25" customHeight="1">
      <c r="A945" s="358"/>
      <c r="B945" s="399"/>
      <c r="C945" s="399"/>
      <c r="D945" s="399"/>
      <c r="E945" s="399"/>
      <c r="F945" s="400"/>
      <c r="G945" s="273"/>
      <c r="H945" s="273"/>
      <c r="I945" s="358"/>
      <c r="J945" s="358"/>
      <c r="K945" s="358"/>
      <c r="L945" s="358"/>
      <c r="M945" s="358"/>
      <c r="N945" s="358"/>
      <c r="O945" s="358"/>
      <c r="P945" s="358"/>
      <c r="Q945" s="358"/>
      <c r="R945" s="358"/>
      <c r="S945" s="358"/>
      <c r="T945" s="358"/>
      <c r="U945" s="358"/>
      <c r="V945" s="358"/>
      <c r="W945" s="358"/>
      <c r="X945" s="358"/>
      <c r="Y945" s="358"/>
      <c r="Z945" s="358"/>
    </row>
    <row r="946" ht="14.25" customHeight="1">
      <c r="A946" s="358"/>
      <c r="B946" s="399"/>
      <c r="C946" s="399"/>
      <c r="D946" s="399"/>
      <c r="E946" s="399"/>
      <c r="F946" s="400"/>
      <c r="G946" s="273"/>
      <c r="H946" s="273"/>
      <c r="I946" s="358"/>
      <c r="J946" s="358"/>
      <c r="K946" s="358"/>
      <c r="L946" s="358"/>
      <c r="M946" s="358"/>
      <c r="N946" s="358"/>
      <c r="O946" s="358"/>
      <c r="P946" s="358"/>
      <c r="Q946" s="358"/>
      <c r="R946" s="358"/>
      <c r="S946" s="358"/>
      <c r="T946" s="358"/>
      <c r="U946" s="358"/>
      <c r="V946" s="358"/>
      <c r="W946" s="358"/>
      <c r="X946" s="358"/>
      <c r="Y946" s="358"/>
      <c r="Z946" s="358"/>
    </row>
    <row r="947" ht="14.25" customHeight="1">
      <c r="A947" s="358"/>
      <c r="B947" s="399"/>
      <c r="C947" s="399"/>
      <c r="D947" s="399"/>
      <c r="E947" s="399"/>
      <c r="F947" s="400"/>
      <c r="G947" s="273"/>
      <c r="H947" s="273"/>
      <c r="I947" s="358"/>
      <c r="J947" s="358"/>
      <c r="K947" s="358"/>
      <c r="L947" s="358"/>
      <c r="M947" s="358"/>
      <c r="N947" s="358"/>
      <c r="O947" s="358"/>
      <c r="P947" s="358"/>
      <c r="Q947" s="358"/>
      <c r="R947" s="358"/>
      <c r="S947" s="358"/>
      <c r="T947" s="358"/>
      <c r="U947" s="358"/>
      <c r="V947" s="358"/>
      <c r="W947" s="358"/>
      <c r="X947" s="358"/>
      <c r="Y947" s="358"/>
      <c r="Z947" s="358"/>
    </row>
    <row r="948" ht="14.25" customHeight="1">
      <c r="A948" s="358"/>
      <c r="B948" s="399"/>
      <c r="C948" s="399"/>
      <c r="D948" s="399"/>
      <c r="E948" s="399"/>
      <c r="F948" s="400"/>
      <c r="G948" s="273"/>
      <c r="H948" s="273"/>
      <c r="I948" s="358"/>
      <c r="J948" s="358"/>
      <c r="K948" s="358"/>
      <c r="L948" s="358"/>
      <c r="M948" s="358"/>
      <c r="N948" s="358"/>
      <c r="O948" s="358"/>
      <c r="P948" s="358"/>
      <c r="Q948" s="358"/>
      <c r="R948" s="358"/>
      <c r="S948" s="358"/>
      <c r="T948" s="358"/>
      <c r="U948" s="358"/>
      <c r="V948" s="358"/>
      <c r="W948" s="358"/>
      <c r="X948" s="358"/>
      <c r="Y948" s="358"/>
      <c r="Z948" s="358"/>
    </row>
    <row r="949" ht="14.25" customHeight="1">
      <c r="A949" s="358"/>
      <c r="B949" s="399"/>
      <c r="C949" s="399"/>
      <c r="D949" s="399"/>
      <c r="E949" s="399"/>
      <c r="F949" s="400"/>
      <c r="G949" s="273"/>
      <c r="H949" s="273"/>
      <c r="I949" s="358"/>
      <c r="J949" s="358"/>
      <c r="K949" s="358"/>
      <c r="L949" s="358"/>
      <c r="M949" s="358"/>
      <c r="N949" s="358"/>
      <c r="O949" s="358"/>
      <c r="P949" s="358"/>
      <c r="Q949" s="358"/>
      <c r="R949" s="358"/>
      <c r="S949" s="358"/>
      <c r="T949" s="358"/>
      <c r="U949" s="358"/>
      <c r="V949" s="358"/>
      <c r="W949" s="358"/>
      <c r="X949" s="358"/>
      <c r="Y949" s="358"/>
      <c r="Z949" s="358"/>
    </row>
    <row r="950" ht="14.25" customHeight="1">
      <c r="A950" s="358"/>
      <c r="B950" s="399"/>
      <c r="C950" s="399"/>
      <c r="D950" s="399"/>
      <c r="E950" s="399"/>
      <c r="F950" s="400"/>
      <c r="G950" s="273"/>
      <c r="H950" s="273"/>
      <c r="I950" s="358"/>
      <c r="J950" s="358"/>
      <c r="K950" s="358"/>
      <c r="L950" s="358"/>
      <c r="M950" s="358"/>
      <c r="N950" s="358"/>
      <c r="O950" s="358"/>
      <c r="P950" s="358"/>
      <c r="Q950" s="358"/>
      <c r="R950" s="358"/>
      <c r="S950" s="358"/>
      <c r="T950" s="358"/>
      <c r="U950" s="358"/>
      <c r="V950" s="358"/>
      <c r="W950" s="358"/>
      <c r="X950" s="358"/>
      <c r="Y950" s="358"/>
      <c r="Z950" s="358"/>
    </row>
    <row r="951" ht="14.25" customHeight="1">
      <c r="A951" s="358"/>
      <c r="B951" s="399"/>
      <c r="C951" s="399"/>
      <c r="D951" s="399"/>
      <c r="E951" s="399"/>
      <c r="F951" s="400"/>
      <c r="G951" s="273"/>
      <c r="H951" s="273"/>
      <c r="I951" s="358"/>
      <c r="J951" s="358"/>
      <c r="K951" s="358"/>
      <c r="L951" s="358"/>
      <c r="M951" s="358"/>
      <c r="N951" s="358"/>
      <c r="O951" s="358"/>
      <c r="P951" s="358"/>
      <c r="Q951" s="358"/>
      <c r="R951" s="358"/>
      <c r="S951" s="358"/>
      <c r="T951" s="358"/>
      <c r="U951" s="358"/>
      <c r="V951" s="358"/>
      <c r="W951" s="358"/>
      <c r="X951" s="358"/>
      <c r="Y951" s="358"/>
      <c r="Z951" s="358"/>
    </row>
    <row r="952" ht="14.25" customHeight="1">
      <c r="A952" s="358"/>
      <c r="B952" s="399"/>
      <c r="C952" s="399"/>
      <c r="D952" s="399"/>
      <c r="E952" s="399"/>
      <c r="F952" s="400"/>
      <c r="G952" s="273"/>
      <c r="H952" s="273"/>
      <c r="I952" s="358"/>
      <c r="J952" s="358"/>
      <c r="K952" s="358"/>
      <c r="L952" s="358"/>
      <c r="M952" s="358"/>
      <c r="N952" s="358"/>
      <c r="O952" s="358"/>
      <c r="P952" s="358"/>
      <c r="Q952" s="358"/>
      <c r="R952" s="358"/>
      <c r="S952" s="358"/>
      <c r="T952" s="358"/>
      <c r="U952" s="358"/>
      <c r="V952" s="358"/>
      <c r="W952" s="358"/>
      <c r="X952" s="358"/>
      <c r="Y952" s="358"/>
      <c r="Z952" s="358"/>
    </row>
    <row r="953" ht="14.25" customHeight="1">
      <c r="A953" s="358"/>
      <c r="B953" s="399"/>
      <c r="C953" s="399"/>
      <c r="D953" s="399"/>
      <c r="E953" s="399"/>
      <c r="F953" s="400"/>
      <c r="G953" s="273"/>
      <c r="H953" s="273"/>
      <c r="I953" s="358"/>
      <c r="J953" s="358"/>
      <c r="K953" s="358"/>
      <c r="L953" s="358"/>
      <c r="M953" s="358"/>
      <c r="N953" s="358"/>
      <c r="O953" s="358"/>
      <c r="P953" s="358"/>
      <c r="Q953" s="358"/>
      <c r="R953" s="358"/>
      <c r="S953" s="358"/>
      <c r="T953" s="358"/>
      <c r="U953" s="358"/>
      <c r="V953" s="358"/>
      <c r="W953" s="358"/>
      <c r="X953" s="358"/>
      <c r="Y953" s="358"/>
      <c r="Z953" s="358"/>
    </row>
    <row r="954" ht="14.25" customHeight="1">
      <c r="A954" s="358"/>
      <c r="B954" s="399"/>
      <c r="C954" s="399"/>
      <c r="D954" s="399"/>
      <c r="E954" s="399"/>
      <c r="F954" s="400"/>
      <c r="G954" s="273"/>
      <c r="H954" s="273"/>
      <c r="I954" s="358"/>
      <c r="J954" s="358"/>
      <c r="K954" s="358"/>
      <c r="L954" s="358"/>
      <c r="M954" s="358"/>
      <c r="N954" s="358"/>
      <c r="O954" s="358"/>
      <c r="P954" s="358"/>
      <c r="Q954" s="358"/>
      <c r="R954" s="358"/>
      <c r="S954" s="358"/>
      <c r="T954" s="358"/>
      <c r="U954" s="358"/>
      <c r="V954" s="358"/>
      <c r="W954" s="358"/>
      <c r="X954" s="358"/>
      <c r="Y954" s="358"/>
      <c r="Z954" s="358"/>
    </row>
    <row r="955" ht="14.25" customHeight="1">
      <c r="A955" s="358"/>
      <c r="B955" s="399"/>
      <c r="C955" s="399"/>
      <c r="D955" s="399"/>
      <c r="E955" s="399"/>
      <c r="F955" s="400"/>
      <c r="G955" s="273"/>
      <c r="H955" s="273"/>
      <c r="I955" s="358"/>
      <c r="J955" s="358"/>
      <c r="K955" s="358"/>
      <c r="L955" s="358"/>
      <c r="M955" s="358"/>
      <c r="N955" s="358"/>
      <c r="O955" s="358"/>
      <c r="P955" s="358"/>
      <c r="Q955" s="358"/>
      <c r="R955" s="358"/>
      <c r="S955" s="358"/>
      <c r="T955" s="358"/>
      <c r="U955" s="358"/>
      <c r="V955" s="358"/>
      <c r="W955" s="358"/>
      <c r="X955" s="358"/>
      <c r="Y955" s="358"/>
      <c r="Z955" s="358"/>
    </row>
    <row r="956" ht="14.25" customHeight="1">
      <c r="A956" s="358"/>
      <c r="B956" s="399"/>
      <c r="C956" s="399"/>
      <c r="D956" s="399"/>
      <c r="E956" s="399"/>
      <c r="F956" s="400"/>
      <c r="G956" s="273"/>
      <c r="H956" s="273"/>
      <c r="I956" s="358"/>
      <c r="J956" s="358"/>
      <c r="K956" s="358"/>
      <c r="L956" s="358"/>
      <c r="M956" s="358"/>
      <c r="N956" s="358"/>
      <c r="O956" s="358"/>
      <c r="P956" s="358"/>
      <c r="Q956" s="358"/>
      <c r="R956" s="358"/>
      <c r="S956" s="358"/>
      <c r="T956" s="358"/>
      <c r="U956" s="358"/>
      <c r="V956" s="358"/>
      <c r="W956" s="358"/>
      <c r="X956" s="358"/>
      <c r="Y956" s="358"/>
      <c r="Z956" s="358"/>
    </row>
    <row r="957" ht="14.25" customHeight="1">
      <c r="A957" s="358"/>
      <c r="B957" s="399"/>
      <c r="C957" s="399"/>
      <c r="D957" s="399"/>
      <c r="E957" s="399"/>
      <c r="F957" s="400"/>
      <c r="G957" s="273"/>
      <c r="H957" s="273"/>
      <c r="I957" s="358"/>
      <c r="J957" s="358"/>
      <c r="K957" s="358"/>
      <c r="L957" s="358"/>
      <c r="M957" s="358"/>
      <c r="N957" s="358"/>
      <c r="O957" s="358"/>
      <c r="P957" s="358"/>
      <c r="Q957" s="358"/>
      <c r="R957" s="358"/>
      <c r="S957" s="358"/>
      <c r="T957" s="358"/>
      <c r="U957" s="358"/>
      <c r="V957" s="358"/>
      <c r="W957" s="358"/>
      <c r="X957" s="358"/>
      <c r="Y957" s="358"/>
      <c r="Z957" s="358"/>
    </row>
    <row r="958" ht="14.25" customHeight="1">
      <c r="A958" s="358"/>
      <c r="B958" s="399"/>
      <c r="C958" s="399"/>
      <c r="D958" s="399"/>
      <c r="E958" s="399"/>
      <c r="F958" s="400"/>
      <c r="G958" s="273"/>
      <c r="H958" s="273"/>
      <c r="I958" s="358"/>
      <c r="J958" s="358"/>
      <c r="K958" s="358"/>
      <c r="L958" s="358"/>
      <c r="M958" s="358"/>
      <c r="N958" s="358"/>
      <c r="O958" s="358"/>
      <c r="P958" s="358"/>
      <c r="Q958" s="358"/>
      <c r="R958" s="358"/>
      <c r="S958" s="358"/>
      <c r="T958" s="358"/>
      <c r="U958" s="358"/>
      <c r="V958" s="358"/>
      <c r="W958" s="358"/>
      <c r="X958" s="358"/>
      <c r="Y958" s="358"/>
      <c r="Z958" s="358"/>
    </row>
    <row r="959" ht="14.25" customHeight="1">
      <c r="A959" s="358"/>
      <c r="B959" s="399"/>
      <c r="C959" s="399"/>
      <c r="D959" s="399"/>
      <c r="E959" s="399"/>
      <c r="F959" s="400"/>
      <c r="G959" s="273"/>
      <c r="H959" s="273"/>
      <c r="I959" s="358"/>
      <c r="J959" s="358"/>
      <c r="K959" s="358"/>
      <c r="L959" s="358"/>
      <c r="M959" s="358"/>
      <c r="N959" s="358"/>
      <c r="O959" s="358"/>
      <c r="P959" s="358"/>
      <c r="Q959" s="358"/>
      <c r="R959" s="358"/>
      <c r="S959" s="358"/>
      <c r="T959" s="358"/>
      <c r="U959" s="358"/>
      <c r="V959" s="358"/>
      <c r="W959" s="358"/>
      <c r="X959" s="358"/>
      <c r="Y959" s="358"/>
      <c r="Z959" s="358"/>
    </row>
    <row r="960" ht="14.25" customHeight="1">
      <c r="A960" s="358"/>
      <c r="B960" s="399"/>
      <c r="C960" s="399"/>
      <c r="D960" s="399"/>
      <c r="E960" s="399"/>
      <c r="F960" s="400"/>
      <c r="G960" s="273"/>
      <c r="H960" s="273"/>
      <c r="I960" s="358"/>
      <c r="J960" s="358"/>
      <c r="K960" s="358"/>
      <c r="L960" s="358"/>
      <c r="M960" s="358"/>
      <c r="N960" s="358"/>
      <c r="O960" s="358"/>
      <c r="P960" s="358"/>
      <c r="Q960" s="358"/>
      <c r="R960" s="358"/>
      <c r="S960" s="358"/>
      <c r="T960" s="358"/>
      <c r="U960" s="358"/>
      <c r="V960" s="358"/>
      <c r="W960" s="358"/>
      <c r="X960" s="358"/>
      <c r="Y960" s="358"/>
      <c r="Z960" s="358"/>
    </row>
    <row r="961" ht="14.25" customHeight="1">
      <c r="A961" s="358"/>
      <c r="B961" s="399"/>
      <c r="C961" s="399"/>
      <c r="D961" s="399"/>
      <c r="E961" s="399"/>
      <c r="F961" s="400"/>
      <c r="G961" s="273"/>
      <c r="H961" s="273"/>
      <c r="I961" s="358"/>
      <c r="J961" s="358"/>
      <c r="K961" s="358"/>
      <c r="L961" s="358"/>
      <c r="M961" s="358"/>
      <c r="N961" s="358"/>
      <c r="O961" s="358"/>
      <c r="P961" s="358"/>
      <c r="Q961" s="358"/>
      <c r="R961" s="358"/>
      <c r="S961" s="358"/>
      <c r="T961" s="358"/>
      <c r="U961" s="358"/>
      <c r="V961" s="358"/>
      <c r="W961" s="358"/>
      <c r="X961" s="358"/>
      <c r="Y961" s="358"/>
      <c r="Z961" s="358"/>
    </row>
    <row r="962" ht="14.25" customHeight="1">
      <c r="A962" s="358"/>
      <c r="B962" s="399"/>
      <c r="C962" s="399"/>
      <c r="D962" s="399"/>
      <c r="E962" s="399"/>
      <c r="F962" s="400"/>
      <c r="G962" s="273"/>
      <c r="H962" s="273"/>
      <c r="I962" s="358"/>
      <c r="J962" s="358"/>
      <c r="K962" s="358"/>
      <c r="L962" s="358"/>
      <c r="M962" s="358"/>
      <c r="N962" s="358"/>
      <c r="O962" s="358"/>
      <c r="P962" s="358"/>
      <c r="Q962" s="358"/>
      <c r="R962" s="358"/>
      <c r="S962" s="358"/>
      <c r="T962" s="358"/>
      <c r="U962" s="358"/>
      <c r="V962" s="358"/>
      <c r="W962" s="358"/>
      <c r="X962" s="358"/>
      <c r="Y962" s="358"/>
      <c r="Z962" s="358"/>
    </row>
    <row r="963" ht="14.25" customHeight="1">
      <c r="A963" s="358"/>
      <c r="B963" s="399"/>
      <c r="C963" s="399"/>
      <c r="D963" s="399"/>
      <c r="E963" s="399"/>
      <c r="F963" s="400"/>
      <c r="G963" s="273"/>
      <c r="H963" s="273"/>
      <c r="I963" s="358"/>
      <c r="J963" s="358"/>
      <c r="K963" s="358"/>
      <c r="L963" s="358"/>
      <c r="M963" s="358"/>
      <c r="N963" s="358"/>
      <c r="O963" s="358"/>
      <c r="P963" s="358"/>
      <c r="Q963" s="358"/>
      <c r="R963" s="358"/>
      <c r="S963" s="358"/>
      <c r="T963" s="358"/>
      <c r="U963" s="358"/>
      <c r="V963" s="358"/>
      <c r="W963" s="358"/>
      <c r="X963" s="358"/>
      <c r="Y963" s="358"/>
      <c r="Z963" s="358"/>
    </row>
    <row r="964" ht="14.25" customHeight="1">
      <c r="A964" s="358"/>
      <c r="B964" s="399"/>
      <c r="C964" s="399"/>
      <c r="D964" s="399"/>
      <c r="E964" s="399"/>
      <c r="F964" s="400"/>
      <c r="G964" s="273"/>
      <c r="H964" s="273"/>
      <c r="I964" s="358"/>
      <c r="J964" s="358"/>
      <c r="K964" s="358"/>
      <c r="L964" s="358"/>
      <c r="M964" s="358"/>
      <c r="N964" s="358"/>
      <c r="O964" s="358"/>
      <c r="P964" s="358"/>
      <c r="Q964" s="358"/>
      <c r="R964" s="358"/>
      <c r="S964" s="358"/>
      <c r="T964" s="358"/>
      <c r="U964" s="358"/>
      <c r="V964" s="358"/>
      <c r="W964" s="358"/>
      <c r="X964" s="358"/>
      <c r="Y964" s="358"/>
      <c r="Z964" s="358"/>
    </row>
    <row r="965" ht="14.25" customHeight="1">
      <c r="A965" s="358"/>
      <c r="B965" s="399"/>
      <c r="C965" s="399"/>
      <c r="D965" s="399"/>
      <c r="E965" s="399"/>
      <c r="F965" s="400"/>
      <c r="G965" s="273"/>
      <c r="H965" s="273"/>
      <c r="I965" s="358"/>
      <c r="J965" s="358"/>
      <c r="K965" s="358"/>
      <c r="L965" s="358"/>
      <c r="M965" s="358"/>
      <c r="N965" s="358"/>
      <c r="O965" s="358"/>
      <c r="P965" s="358"/>
      <c r="Q965" s="358"/>
      <c r="R965" s="358"/>
      <c r="S965" s="358"/>
      <c r="T965" s="358"/>
      <c r="U965" s="358"/>
      <c r="V965" s="358"/>
      <c r="W965" s="358"/>
      <c r="X965" s="358"/>
      <c r="Y965" s="358"/>
      <c r="Z965" s="358"/>
    </row>
    <row r="966" ht="14.25" customHeight="1">
      <c r="A966" s="358"/>
      <c r="B966" s="399"/>
      <c r="C966" s="399"/>
      <c r="D966" s="399"/>
      <c r="E966" s="399"/>
      <c r="F966" s="400"/>
      <c r="G966" s="273"/>
      <c r="H966" s="273"/>
      <c r="I966" s="358"/>
      <c r="J966" s="358"/>
      <c r="K966" s="358"/>
      <c r="L966" s="358"/>
      <c r="M966" s="358"/>
      <c r="N966" s="358"/>
      <c r="O966" s="358"/>
      <c r="P966" s="358"/>
      <c r="Q966" s="358"/>
      <c r="R966" s="358"/>
      <c r="S966" s="358"/>
      <c r="T966" s="358"/>
      <c r="U966" s="358"/>
      <c r="V966" s="358"/>
      <c r="W966" s="358"/>
      <c r="X966" s="358"/>
      <c r="Y966" s="358"/>
      <c r="Z966" s="358"/>
    </row>
    <row r="967" ht="14.25" customHeight="1">
      <c r="A967" s="358"/>
      <c r="B967" s="399"/>
      <c r="C967" s="399"/>
      <c r="D967" s="399"/>
      <c r="E967" s="399"/>
      <c r="F967" s="400"/>
      <c r="G967" s="273"/>
      <c r="H967" s="273"/>
      <c r="I967" s="358"/>
      <c r="J967" s="358"/>
      <c r="K967" s="358"/>
      <c r="L967" s="358"/>
      <c r="M967" s="358"/>
      <c r="N967" s="358"/>
      <c r="O967" s="358"/>
      <c r="P967" s="358"/>
      <c r="Q967" s="358"/>
      <c r="R967" s="358"/>
      <c r="S967" s="358"/>
      <c r="T967" s="358"/>
      <c r="U967" s="358"/>
      <c r="V967" s="358"/>
      <c r="W967" s="358"/>
      <c r="X967" s="358"/>
      <c r="Y967" s="358"/>
      <c r="Z967" s="358"/>
    </row>
    <row r="968" ht="14.25" customHeight="1">
      <c r="A968" s="358"/>
      <c r="B968" s="399"/>
      <c r="C968" s="399"/>
      <c r="D968" s="399"/>
      <c r="E968" s="399"/>
      <c r="F968" s="400"/>
      <c r="G968" s="273"/>
      <c r="H968" s="273"/>
      <c r="I968" s="358"/>
      <c r="J968" s="358"/>
      <c r="K968" s="358"/>
      <c r="L968" s="358"/>
      <c r="M968" s="358"/>
      <c r="N968" s="358"/>
      <c r="O968" s="358"/>
      <c r="P968" s="358"/>
      <c r="Q968" s="358"/>
      <c r="R968" s="358"/>
      <c r="S968" s="358"/>
      <c r="T968" s="358"/>
      <c r="U968" s="358"/>
      <c r="V968" s="358"/>
      <c r="W968" s="358"/>
      <c r="X968" s="358"/>
      <c r="Y968" s="358"/>
      <c r="Z968" s="358"/>
    </row>
    <row r="969" ht="14.25" customHeight="1">
      <c r="A969" s="358"/>
      <c r="B969" s="399"/>
      <c r="C969" s="399"/>
      <c r="D969" s="399"/>
      <c r="E969" s="399"/>
      <c r="F969" s="400"/>
      <c r="G969" s="273"/>
      <c r="H969" s="273"/>
      <c r="I969" s="358"/>
      <c r="J969" s="358"/>
      <c r="K969" s="358"/>
      <c r="L969" s="358"/>
      <c r="M969" s="358"/>
      <c r="N969" s="358"/>
      <c r="O969" s="358"/>
      <c r="P969" s="358"/>
      <c r="Q969" s="358"/>
      <c r="R969" s="358"/>
      <c r="S969" s="358"/>
      <c r="T969" s="358"/>
      <c r="U969" s="358"/>
      <c r="V969" s="358"/>
      <c r="W969" s="358"/>
      <c r="X969" s="358"/>
      <c r="Y969" s="358"/>
      <c r="Z969" s="358"/>
    </row>
    <row r="970" ht="14.25" customHeight="1">
      <c r="A970" s="358"/>
      <c r="B970" s="399"/>
      <c r="C970" s="399"/>
      <c r="D970" s="399"/>
      <c r="E970" s="399"/>
      <c r="F970" s="400"/>
      <c r="G970" s="273"/>
      <c r="H970" s="273"/>
      <c r="I970" s="358"/>
      <c r="J970" s="358"/>
      <c r="K970" s="358"/>
      <c r="L970" s="358"/>
      <c r="M970" s="358"/>
      <c r="N970" s="358"/>
      <c r="O970" s="358"/>
      <c r="P970" s="358"/>
      <c r="Q970" s="358"/>
      <c r="R970" s="358"/>
      <c r="S970" s="358"/>
      <c r="T970" s="358"/>
      <c r="U970" s="358"/>
      <c r="V970" s="358"/>
      <c r="W970" s="358"/>
      <c r="X970" s="358"/>
      <c r="Y970" s="358"/>
      <c r="Z970" s="358"/>
    </row>
    <row r="971" ht="14.25" customHeight="1">
      <c r="A971" s="358"/>
      <c r="B971" s="399"/>
      <c r="C971" s="399"/>
      <c r="D971" s="399"/>
      <c r="E971" s="399"/>
      <c r="F971" s="400"/>
      <c r="G971" s="273"/>
      <c r="H971" s="273"/>
      <c r="I971" s="358"/>
      <c r="J971" s="358"/>
      <c r="K971" s="358"/>
      <c r="L971" s="358"/>
      <c r="M971" s="358"/>
      <c r="N971" s="358"/>
      <c r="O971" s="358"/>
      <c r="P971" s="358"/>
      <c r="Q971" s="358"/>
      <c r="R971" s="358"/>
      <c r="S971" s="358"/>
      <c r="T971" s="358"/>
      <c r="U971" s="358"/>
      <c r="V971" s="358"/>
      <c r="W971" s="358"/>
      <c r="X971" s="358"/>
      <c r="Y971" s="358"/>
      <c r="Z971" s="358"/>
    </row>
    <row r="972" ht="14.25" customHeight="1">
      <c r="A972" s="358"/>
      <c r="B972" s="399"/>
      <c r="C972" s="399"/>
      <c r="D972" s="399"/>
      <c r="E972" s="399"/>
      <c r="F972" s="400"/>
      <c r="G972" s="273"/>
      <c r="H972" s="273"/>
      <c r="I972" s="358"/>
      <c r="J972" s="358"/>
      <c r="K972" s="358"/>
      <c r="L972" s="358"/>
      <c r="M972" s="358"/>
      <c r="N972" s="358"/>
      <c r="O972" s="358"/>
      <c r="P972" s="358"/>
      <c r="Q972" s="358"/>
      <c r="R972" s="358"/>
      <c r="S972" s="358"/>
      <c r="T972" s="358"/>
      <c r="U972" s="358"/>
      <c r="V972" s="358"/>
      <c r="W972" s="358"/>
      <c r="X972" s="358"/>
      <c r="Y972" s="358"/>
      <c r="Z972" s="358"/>
    </row>
    <row r="973" ht="14.25" customHeight="1">
      <c r="A973" s="358"/>
      <c r="B973" s="399"/>
      <c r="C973" s="399"/>
      <c r="D973" s="399"/>
      <c r="E973" s="399"/>
      <c r="F973" s="400"/>
      <c r="G973" s="273"/>
      <c r="H973" s="273"/>
      <c r="I973" s="358"/>
      <c r="J973" s="358"/>
      <c r="K973" s="358"/>
      <c r="L973" s="358"/>
      <c r="M973" s="358"/>
      <c r="N973" s="358"/>
      <c r="O973" s="358"/>
      <c r="P973" s="358"/>
      <c r="Q973" s="358"/>
      <c r="R973" s="358"/>
      <c r="S973" s="358"/>
      <c r="T973" s="358"/>
      <c r="U973" s="358"/>
      <c r="V973" s="358"/>
      <c r="W973" s="358"/>
      <c r="X973" s="358"/>
      <c r="Y973" s="358"/>
      <c r="Z973" s="358"/>
    </row>
    <row r="974" ht="14.25" customHeight="1">
      <c r="A974" s="358"/>
      <c r="B974" s="399"/>
      <c r="C974" s="399"/>
      <c r="D974" s="399"/>
      <c r="E974" s="399"/>
      <c r="F974" s="400"/>
      <c r="G974" s="273"/>
      <c r="H974" s="273"/>
      <c r="I974" s="358"/>
      <c r="J974" s="358"/>
      <c r="K974" s="358"/>
      <c r="L974" s="358"/>
      <c r="M974" s="358"/>
      <c r="N974" s="358"/>
      <c r="O974" s="358"/>
      <c r="P974" s="358"/>
      <c r="Q974" s="358"/>
      <c r="R974" s="358"/>
      <c r="S974" s="358"/>
      <c r="T974" s="358"/>
      <c r="U974" s="358"/>
      <c r="V974" s="358"/>
      <c r="W974" s="358"/>
      <c r="X974" s="358"/>
      <c r="Y974" s="358"/>
      <c r="Z974" s="358"/>
    </row>
    <row r="975" ht="14.25" customHeight="1">
      <c r="A975" s="358"/>
      <c r="B975" s="399"/>
      <c r="C975" s="399"/>
      <c r="D975" s="399"/>
      <c r="E975" s="399"/>
      <c r="F975" s="400"/>
      <c r="G975" s="273"/>
      <c r="H975" s="273"/>
      <c r="I975" s="358"/>
      <c r="J975" s="358"/>
      <c r="K975" s="358"/>
      <c r="L975" s="358"/>
      <c r="M975" s="358"/>
      <c r="N975" s="358"/>
      <c r="O975" s="358"/>
      <c r="P975" s="358"/>
      <c r="Q975" s="358"/>
      <c r="R975" s="358"/>
      <c r="S975" s="358"/>
      <c r="T975" s="358"/>
      <c r="U975" s="358"/>
      <c r="V975" s="358"/>
      <c r="W975" s="358"/>
      <c r="X975" s="358"/>
      <c r="Y975" s="358"/>
      <c r="Z975" s="358"/>
    </row>
    <row r="976" ht="14.25" customHeight="1">
      <c r="A976" s="358"/>
      <c r="B976" s="399"/>
      <c r="C976" s="399"/>
      <c r="D976" s="399"/>
      <c r="E976" s="399"/>
      <c r="F976" s="400"/>
      <c r="G976" s="273"/>
      <c r="H976" s="273"/>
      <c r="I976" s="358"/>
      <c r="J976" s="358"/>
      <c r="K976" s="358"/>
      <c r="L976" s="358"/>
      <c r="M976" s="358"/>
      <c r="N976" s="358"/>
      <c r="O976" s="358"/>
      <c r="P976" s="358"/>
      <c r="Q976" s="358"/>
      <c r="R976" s="358"/>
      <c r="S976" s="358"/>
      <c r="T976" s="358"/>
      <c r="U976" s="358"/>
      <c r="V976" s="358"/>
      <c r="W976" s="358"/>
      <c r="X976" s="358"/>
      <c r="Y976" s="358"/>
      <c r="Z976" s="358"/>
    </row>
    <row r="977" ht="14.25" customHeight="1">
      <c r="A977" s="358"/>
      <c r="B977" s="399"/>
      <c r="C977" s="399"/>
      <c r="D977" s="399"/>
      <c r="E977" s="399"/>
      <c r="F977" s="400"/>
      <c r="G977" s="273"/>
      <c r="H977" s="273"/>
      <c r="I977" s="358"/>
      <c r="J977" s="358"/>
      <c r="K977" s="358"/>
      <c r="L977" s="358"/>
      <c r="M977" s="358"/>
      <c r="N977" s="358"/>
      <c r="O977" s="358"/>
      <c r="P977" s="358"/>
      <c r="Q977" s="358"/>
      <c r="R977" s="358"/>
      <c r="S977" s="358"/>
      <c r="T977" s="358"/>
      <c r="U977" s="358"/>
      <c r="V977" s="358"/>
      <c r="W977" s="358"/>
      <c r="X977" s="358"/>
      <c r="Y977" s="358"/>
      <c r="Z977" s="358"/>
    </row>
    <row r="978" ht="14.25" customHeight="1">
      <c r="A978" s="358"/>
      <c r="B978" s="399"/>
      <c r="C978" s="399"/>
      <c r="D978" s="399"/>
      <c r="E978" s="399"/>
      <c r="F978" s="400"/>
      <c r="G978" s="273"/>
      <c r="H978" s="273"/>
      <c r="I978" s="358"/>
      <c r="J978" s="358"/>
      <c r="K978" s="358"/>
      <c r="L978" s="358"/>
      <c r="M978" s="358"/>
      <c r="N978" s="358"/>
      <c r="O978" s="358"/>
      <c r="P978" s="358"/>
      <c r="Q978" s="358"/>
      <c r="R978" s="358"/>
      <c r="S978" s="358"/>
      <c r="T978" s="358"/>
      <c r="U978" s="358"/>
      <c r="V978" s="358"/>
      <c r="W978" s="358"/>
      <c r="X978" s="358"/>
      <c r="Y978" s="358"/>
      <c r="Z978" s="358"/>
    </row>
    <row r="979" ht="14.25" customHeight="1">
      <c r="A979" s="358"/>
      <c r="B979" s="399"/>
      <c r="C979" s="399"/>
      <c r="D979" s="399"/>
      <c r="E979" s="399"/>
      <c r="F979" s="400"/>
      <c r="G979" s="273"/>
      <c r="H979" s="273"/>
      <c r="I979" s="358"/>
      <c r="J979" s="358"/>
      <c r="K979" s="358"/>
      <c r="L979" s="358"/>
      <c r="M979" s="358"/>
      <c r="N979" s="358"/>
      <c r="O979" s="358"/>
      <c r="P979" s="358"/>
      <c r="Q979" s="358"/>
      <c r="R979" s="358"/>
      <c r="S979" s="358"/>
      <c r="T979" s="358"/>
      <c r="U979" s="358"/>
      <c r="V979" s="358"/>
      <c r="W979" s="358"/>
      <c r="X979" s="358"/>
      <c r="Y979" s="358"/>
      <c r="Z979" s="358"/>
    </row>
    <row r="980" ht="14.25" customHeight="1">
      <c r="A980" s="358"/>
      <c r="B980" s="399"/>
      <c r="C980" s="399"/>
      <c r="D980" s="399"/>
      <c r="E980" s="399"/>
      <c r="F980" s="400"/>
      <c r="G980" s="273"/>
      <c r="H980" s="273"/>
      <c r="I980" s="358"/>
      <c r="J980" s="358"/>
      <c r="K980" s="358"/>
      <c r="L980" s="358"/>
      <c r="M980" s="358"/>
      <c r="N980" s="358"/>
      <c r="O980" s="358"/>
      <c r="P980" s="358"/>
      <c r="Q980" s="358"/>
      <c r="R980" s="358"/>
      <c r="S980" s="358"/>
      <c r="T980" s="358"/>
      <c r="U980" s="358"/>
      <c r="V980" s="358"/>
      <c r="W980" s="358"/>
      <c r="X980" s="358"/>
      <c r="Y980" s="358"/>
      <c r="Z980" s="358"/>
    </row>
    <row r="981" ht="14.25" customHeight="1">
      <c r="A981" s="358"/>
      <c r="B981" s="399"/>
      <c r="C981" s="399"/>
      <c r="D981" s="399"/>
      <c r="E981" s="399"/>
      <c r="F981" s="400"/>
      <c r="G981" s="273"/>
      <c r="H981" s="273"/>
      <c r="I981" s="358"/>
      <c r="J981" s="358"/>
      <c r="K981" s="358"/>
      <c r="L981" s="358"/>
      <c r="M981" s="358"/>
      <c r="N981" s="358"/>
      <c r="O981" s="358"/>
      <c r="P981" s="358"/>
      <c r="Q981" s="358"/>
      <c r="R981" s="358"/>
      <c r="S981" s="358"/>
      <c r="T981" s="358"/>
      <c r="U981" s="358"/>
      <c r="V981" s="358"/>
      <c r="W981" s="358"/>
      <c r="X981" s="358"/>
      <c r="Y981" s="358"/>
      <c r="Z981" s="358"/>
    </row>
    <row r="982" ht="14.25" customHeight="1">
      <c r="A982" s="358"/>
      <c r="B982" s="399"/>
      <c r="C982" s="399"/>
      <c r="D982" s="399"/>
      <c r="E982" s="399"/>
      <c r="F982" s="400"/>
      <c r="G982" s="273"/>
      <c r="H982" s="273"/>
      <c r="I982" s="358"/>
      <c r="J982" s="358"/>
      <c r="K982" s="358"/>
      <c r="L982" s="358"/>
      <c r="M982" s="358"/>
      <c r="N982" s="358"/>
      <c r="O982" s="358"/>
      <c r="P982" s="358"/>
      <c r="Q982" s="358"/>
      <c r="R982" s="358"/>
      <c r="S982" s="358"/>
      <c r="T982" s="358"/>
      <c r="U982" s="358"/>
      <c r="V982" s="358"/>
      <c r="W982" s="358"/>
      <c r="X982" s="358"/>
      <c r="Y982" s="358"/>
      <c r="Z982" s="358"/>
    </row>
    <row r="983" ht="14.25" customHeight="1">
      <c r="A983" s="358"/>
      <c r="B983" s="399"/>
      <c r="C983" s="399"/>
      <c r="D983" s="399"/>
      <c r="E983" s="399"/>
      <c r="F983" s="400"/>
      <c r="G983" s="273"/>
      <c r="H983" s="273"/>
      <c r="I983" s="358"/>
      <c r="J983" s="358"/>
      <c r="K983" s="358"/>
      <c r="L983" s="358"/>
      <c r="M983" s="358"/>
      <c r="N983" s="358"/>
      <c r="O983" s="358"/>
      <c r="P983" s="358"/>
      <c r="Q983" s="358"/>
      <c r="R983" s="358"/>
      <c r="S983" s="358"/>
      <c r="T983" s="358"/>
      <c r="U983" s="358"/>
      <c r="V983" s="358"/>
      <c r="W983" s="358"/>
      <c r="X983" s="358"/>
      <c r="Y983" s="358"/>
      <c r="Z983" s="358"/>
    </row>
    <row r="984" ht="14.25" customHeight="1">
      <c r="A984" s="358"/>
      <c r="B984" s="399"/>
      <c r="C984" s="399"/>
      <c r="D984" s="399"/>
      <c r="E984" s="399"/>
      <c r="F984" s="400"/>
      <c r="G984" s="273"/>
      <c r="H984" s="273"/>
      <c r="I984" s="358"/>
      <c r="J984" s="358"/>
      <c r="K984" s="358"/>
      <c r="L984" s="358"/>
      <c r="M984" s="358"/>
      <c r="N984" s="358"/>
      <c r="O984" s="358"/>
      <c r="P984" s="358"/>
      <c r="Q984" s="358"/>
      <c r="R984" s="358"/>
      <c r="S984" s="358"/>
      <c r="T984" s="358"/>
      <c r="U984" s="358"/>
      <c r="V984" s="358"/>
      <c r="W984" s="358"/>
      <c r="X984" s="358"/>
      <c r="Y984" s="358"/>
      <c r="Z984" s="358"/>
    </row>
    <row r="985" ht="14.25" customHeight="1">
      <c r="A985" s="358"/>
      <c r="B985" s="399"/>
      <c r="C985" s="399"/>
      <c r="D985" s="399"/>
      <c r="E985" s="399"/>
      <c r="F985" s="400"/>
      <c r="G985" s="273"/>
      <c r="H985" s="273"/>
      <c r="I985" s="358"/>
      <c r="J985" s="358"/>
      <c r="K985" s="358"/>
      <c r="L985" s="358"/>
      <c r="M985" s="358"/>
      <c r="N985" s="358"/>
      <c r="O985" s="358"/>
      <c r="P985" s="358"/>
      <c r="Q985" s="358"/>
      <c r="R985" s="358"/>
      <c r="S985" s="358"/>
      <c r="T985" s="358"/>
      <c r="U985" s="358"/>
      <c r="V985" s="358"/>
      <c r="W985" s="358"/>
      <c r="X985" s="358"/>
      <c r="Y985" s="358"/>
      <c r="Z985" s="358"/>
    </row>
    <row r="986" ht="14.25" customHeight="1">
      <c r="A986" s="358"/>
      <c r="B986" s="399"/>
      <c r="C986" s="399"/>
      <c r="D986" s="399"/>
      <c r="E986" s="399"/>
      <c r="F986" s="400"/>
      <c r="G986" s="273"/>
      <c r="H986" s="273"/>
      <c r="I986" s="358"/>
      <c r="J986" s="358"/>
      <c r="K986" s="358"/>
      <c r="L986" s="358"/>
      <c r="M986" s="358"/>
      <c r="N986" s="358"/>
      <c r="O986" s="358"/>
      <c r="P986" s="358"/>
      <c r="Q986" s="358"/>
      <c r="R986" s="358"/>
      <c r="S986" s="358"/>
      <c r="T986" s="358"/>
      <c r="U986" s="358"/>
      <c r="V986" s="358"/>
      <c r="W986" s="358"/>
      <c r="X986" s="358"/>
      <c r="Y986" s="358"/>
      <c r="Z986" s="358"/>
    </row>
    <row r="987" ht="14.25" customHeight="1">
      <c r="A987" s="358"/>
      <c r="B987" s="399"/>
      <c r="C987" s="399"/>
      <c r="D987" s="399"/>
      <c r="E987" s="399"/>
      <c r="F987" s="400"/>
      <c r="G987" s="273"/>
      <c r="H987" s="273"/>
      <c r="I987" s="358"/>
      <c r="J987" s="358"/>
      <c r="K987" s="358"/>
      <c r="L987" s="358"/>
      <c r="M987" s="358"/>
      <c r="N987" s="358"/>
      <c r="O987" s="358"/>
      <c r="P987" s="358"/>
      <c r="Q987" s="358"/>
      <c r="R987" s="358"/>
      <c r="S987" s="358"/>
      <c r="T987" s="358"/>
      <c r="U987" s="358"/>
      <c r="V987" s="358"/>
      <c r="W987" s="358"/>
      <c r="X987" s="358"/>
      <c r="Y987" s="358"/>
      <c r="Z987" s="358"/>
    </row>
    <row r="988" ht="14.25" customHeight="1">
      <c r="A988" s="358"/>
      <c r="B988" s="399"/>
      <c r="C988" s="399"/>
      <c r="D988" s="399"/>
      <c r="E988" s="399"/>
      <c r="F988" s="400"/>
      <c r="G988" s="273"/>
      <c r="H988" s="273"/>
      <c r="I988" s="358"/>
      <c r="J988" s="358"/>
      <c r="K988" s="358"/>
      <c r="L988" s="358"/>
      <c r="M988" s="358"/>
      <c r="N988" s="358"/>
      <c r="O988" s="358"/>
      <c r="P988" s="358"/>
      <c r="Q988" s="358"/>
      <c r="R988" s="358"/>
      <c r="S988" s="358"/>
      <c r="T988" s="358"/>
      <c r="U988" s="358"/>
      <c r="V988" s="358"/>
      <c r="W988" s="358"/>
      <c r="X988" s="358"/>
      <c r="Y988" s="358"/>
      <c r="Z988" s="358"/>
    </row>
    <row r="989" ht="14.25" customHeight="1">
      <c r="A989" s="358"/>
      <c r="B989" s="399"/>
      <c r="C989" s="399"/>
      <c r="D989" s="399"/>
      <c r="E989" s="399"/>
      <c r="F989" s="400"/>
      <c r="G989" s="273"/>
      <c r="H989" s="273"/>
      <c r="I989" s="358"/>
      <c r="J989" s="358"/>
      <c r="K989" s="358"/>
      <c r="L989" s="358"/>
      <c r="M989" s="358"/>
      <c r="N989" s="358"/>
      <c r="O989" s="358"/>
      <c r="P989" s="358"/>
      <c r="Q989" s="358"/>
      <c r="R989" s="358"/>
      <c r="S989" s="358"/>
      <c r="T989" s="358"/>
      <c r="U989" s="358"/>
      <c r="V989" s="358"/>
      <c r="W989" s="358"/>
      <c r="X989" s="358"/>
      <c r="Y989" s="358"/>
      <c r="Z989" s="358"/>
    </row>
    <row r="990" ht="14.25" customHeight="1">
      <c r="A990" s="358"/>
      <c r="B990" s="399"/>
      <c r="C990" s="399"/>
      <c r="D990" s="399"/>
      <c r="E990" s="399"/>
      <c r="F990" s="400"/>
      <c r="G990" s="273"/>
      <c r="H990" s="273"/>
      <c r="I990" s="358"/>
      <c r="J990" s="358"/>
      <c r="K990" s="358"/>
      <c r="L990" s="358"/>
      <c r="M990" s="358"/>
      <c r="N990" s="358"/>
      <c r="O990" s="358"/>
      <c r="P990" s="358"/>
      <c r="Q990" s="358"/>
      <c r="R990" s="358"/>
      <c r="S990" s="358"/>
      <c r="T990" s="358"/>
      <c r="U990" s="358"/>
      <c r="V990" s="358"/>
      <c r="W990" s="358"/>
      <c r="X990" s="358"/>
      <c r="Y990" s="358"/>
      <c r="Z990" s="358"/>
    </row>
    <row r="991" ht="14.25" customHeight="1">
      <c r="A991" s="358"/>
      <c r="B991" s="399"/>
      <c r="C991" s="399"/>
      <c r="D991" s="399"/>
      <c r="E991" s="399"/>
      <c r="F991" s="400"/>
      <c r="G991" s="273"/>
      <c r="H991" s="273"/>
      <c r="I991" s="358"/>
      <c r="J991" s="358"/>
      <c r="K991" s="358"/>
      <c r="L991" s="358"/>
      <c r="M991" s="358"/>
      <c r="N991" s="358"/>
      <c r="O991" s="358"/>
      <c r="P991" s="358"/>
      <c r="Q991" s="358"/>
      <c r="R991" s="358"/>
      <c r="S991" s="358"/>
      <c r="T991" s="358"/>
      <c r="U991" s="358"/>
      <c r="V991" s="358"/>
      <c r="W991" s="358"/>
      <c r="X991" s="358"/>
      <c r="Y991" s="358"/>
      <c r="Z991" s="358"/>
    </row>
    <row r="992" ht="14.25" customHeight="1">
      <c r="A992" s="358"/>
      <c r="B992" s="399"/>
      <c r="C992" s="399"/>
      <c r="D992" s="399"/>
      <c r="E992" s="399"/>
      <c r="F992" s="400"/>
      <c r="G992" s="273"/>
      <c r="H992" s="273"/>
      <c r="I992" s="358"/>
      <c r="J992" s="358"/>
      <c r="K992" s="358"/>
      <c r="L992" s="358"/>
      <c r="M992" s="358"/>
      <c r="N992" s="358"/>
      <c r="O992" s="358"/>
      <c r="P992" s="358"/>
      <c r="Q992" s="358"/>
      <c r="R992" s="358"/>
      <c r="S992" s="358"/>
      <c r="T992" s="358"/>
      <c r="U992" s="358"/>
      <c r="V992" s="358"/>
      <c r="W992" s="358"/>
      <c r="X992" s="358"/>
      <c r="Y992" s="358"/>
      <c r="Z992" s="358"/>
    </row>
    <row r="993" ht="14.25" customHeight="1">
      <c r="A993" s="358"/>
      <c r="B993" s="399"/>
      <c r="C993" s="399"/>
      <c r="D993" s="399"/>
      <c r="E993" s="399"/>
      <c r="F993" s="400"/>
      <c r="G993" s="273"/>
      <c r="H993" s="273"/>
      <c r="I993" s="358"/>
      <c r="J993" s="358"/>
      <c r="K993" s="358"/>
      <c r="L993" s="358"/>
      <c r="M993" s="358"/>
      <c r="N993" s="358"/>
      <c r="O993" s="358"/>
      <c r="P993" s="358"/>
      <c r="Q993" s="358"/>
      <c r="R993" s="358"/>
      <c r="S993" s="358"/>
      <c r="T993" s="358"/>
      <c r="U993" s="358"/>
      <c r="V993" s="358"/>
      <c r="W993" s="358"/>
      <c r="X993" s="358"/>
      <c r="Y993" s="358"/>
      <c r="Z993" s="358"/>
    </row>
    <row r="994" ht="14.25" customHeight="1">
      <c r="A994" s="358"/>
      <c r="B994" s="399"/>
      <c r="C994" s="399"/>
      <c r="D994" s="399"/>
      <c r="E994" s="399"/>
      <c r="F994" s="400"/>
      <c r="G994" s="273"/>
      <c r="H994" s="273"/>
      <c r="I994" s="358"/>
      <c r="J994" s="358"/>
      <c r="K994" s="358"/>
      <c r="L994" s="358"/>
      <c r="M994" s="358"/>
      <c r="N994" s="358"/>
      <c r="O994" s="358"/>
      <c r="P994" s="358"/>
      <c r="Q994" s="358"/>
      <c r="R994" s="358"/>
      <c r="S994" s="358"/>
      <c r="T994" s="358"/>
      <c r="U994" s="358"/>
      <c r="V994" s="358"/>
      <c r="W994" s="358"/>
      <c r="X994" s="358"/>
      <c r="Y994" s="358"/>
      <c r="Z994" s="358"/>
    </row>
    <row r="995" ht="14.25" customHeight="1">
      <c r="A995" s="358"/>
      <c r="B995" s="399"/>
      <c r="C995" s="399"/>
      <c r="D995" s="399"/>
      <c r="E995" s="399"/>
      <c r="F995" s="400"/>
      <c r="G995" s="273"/>
      <c r="H995" s="273"/>
      <c r="I995" s="358"/>
      <c r="J995" s="358"/>
      <c r="K995" s="358"/>
      <c r="L995" s="358"/>
      <c r="M995" s="358"/>
      <c r="N995" s="358"/>
      <c r="O995" s="358"/>
      <c r="P995" s="358"/>
      <c r="Q995" s="358"/>
      <c r="R995" s="358"/>
      <c r="S995" s="358"/>
      <c r="T995" s="358"/>
      <c r="U995" s="358"/>
      <c r="V995" s="358"/>
      <c r="W995" s="358"/>
      <c r="X995" s="358"/>
      <c r="Y995" s="358"/>
      <c r="Z995" s="358"/>
    </row>
    <row r="996" ht="14.25" customHeight="1">
      <c r="A996" s="358"/>
      <c r="B996" s="399"/>
      <c r="C996" s="399"/>
      <c r="D996" s="399"/>
      <c r="E996" s="399"/>
      <c r="F996" s="400"/>
      <c r="G996" s="273"/>
      <c r="H996" s="273"/>
      <c r="I996" s="358"/>
      <c r="J996" s="358"/>
      <c r="K996" s="358"/>
      <c r="L996" s="358"/>
      <c r="M996" s="358"/>
      <c r="N996" s="358"/>
      <c r="O996" s="358"/>
      <c r="P996" s="358"/>
      <c r="Q996" s="358"/>
      <c r="R996" s="358"/>
      <c r="S996" s="358"/>
      <c r="T996" s="358"/>
      <c r="U996" s="358"/>
      <c r="V996" s="358"/>
      <c r="W996" s="358"/>
      <c r="X996" s="358"/>
      <c r="Y996" s="358"/>
      <c r="Z996" s="358"/>
    </row>
    <row r="997" ht="14.25" customHeight="1">
      <c r="A997" s="358"/>
      <c r="B997" s="399"/>
      <c r="C997" s="399"/>
      <c r="D997" s="399"/>
      <c r="E997" s="399"/>
      <c r="F997" s="400"/>
      <c r="G997" s="273"/>
      <c r="H997" s="273"/>
      <c r="I997" s="358"/>
      <c r="J997" s="358"/>
      <c r="K997" s="358"/>
      <c r="L997" s="358"/>
      <c r="M997" s="358"/>
      <c r="N997" s="358"/>
      <c r="O997" s="358"/>
      <c r="P997" s="358"/>
      <c r="Q997" s="358"/>
      <c r="R997" s="358"/>
      <c r="S997" s="358"/>
      <c r="T997" s="358"/>
      <c r="U997" s="358"/>
      <c r="V997" s="358"/>
      <c r="W997" s="358"/>
      <c r="X997" s="358"/>
      <c r="Y997" s="358"/>
      <c r="Z997" s="358"/>
    </row>
    <row r="998" ht="14.25" customHeight="1">
      <c r="A998" s="358"/>
      <c r="B998" s="399"/>
      <c r="C998" s="399"/>
      <c r="D998" s="399"/>
      <c r="E998" s="399"/>
      <c r="F998" s="400"/>
      <c r="G998" s="273"/>
      <c r="H998" s="273"/>
      <c r="I998" s="358"/>
      <c r="J998" s="358"/>
      <c r="K998" s="358"/>
      <c r="L998" s="358"/>
      <c r="M998" s="358"/>
      <c r="N998" s="358"/>
      <c r="O998" s="358"/>
      <c r="P998" s="358"/>
      <c r="Q998" s="358"/>
      <c r="R998" s="358"/>
      <c r="S998" s="358"/>
      <c r="T998" s="358"/>
      <c r="U998" s="358"/>
      <c r="V998" s="358"/>
      <c r="W998" s="358"/>
      <c r="X998" s="358"/>
      <c r="Y998" s="358"/>
      <c r="Z998" s="358"/>
    </row>
    <row r="999" ht="14.25" customHeight="1">
      <c r="A999" s="358"/>
      <c r="B999" s="399"/>
      <c r="C999" s="399"/>
      <c r="D999" s="399"/>
      <c r="E999" s="399"/>
      <c r="F999" s="400"/>
      <c r="G999" s="273"/>
      <c r="H999" s="273"/>
      <c r="I999" s="358"/>
      <c r="J999" s="358"/>
      <c r="K999" s="358"/>
      <c r="L999" s="358"/>
      <c r="M999" s="358"/>
      <c r="N999" s="358"/>
      <c r="O999" s="358"/>
      <c r="P999" s="358"/>
      <c r="Q999" s="358"/>
      <c r="R999" s="358"/>
      <c r="S999" s="358"/>
      <c r="T999" s="358"/>
      <c r="U999" s="358"/>
      <c r="V999" s="358"/>
      <c r="W999" s="358"/>
      <c r="X999" s="358"/>
      <c r="Y999" s="358"/>
      <c r="Z999" s="358"/>
    </row>
    <row r="1000" ht="14.25" customHeight="1">
      <c r="A1000" s="358"/>
      <c r="B1000" s="399"/>
      <c r="C1000" s="399"/>
      <c r="D1000" s="399"/>
      <c r="E1000" s="399"/>
      <c r="F1000" s="400"/>
      <c r="G1000" s="273"/>
      <c r="H1000" s="273"/>
      <c r="I1000" s="358"/>
      <c r="J1000" s="358"/>
      <c r="K1000" s="358"/>
      <c r="L1000" s="358"/>
      <c r="M1000" s="358"/>
      <c r="N1000" s="358"/>
      <c r="O1000" s="358"/>
      <c r="P1000" s="358"/>
      <c r="Q1000" s="358"/>
      <c r="R1000" s="358"/>
      <c r="S1000" s="358"/>
      <c r="T1000" s="358"/>
      <c r="U1000" s="358"/>
      <c r="V1000" s="358"/>
      <c r="W1000" s="358"/>
      <c r="X1000" s="358"/>
      <c r="Y1000" s="358"/>
      <c r="Z1000" s="358"/>
    </row>
    <row r="1001" ht="14.25" customHeight="1">
      <c r="A1001" s="358"/>
      <c r="B1001" s="399"/>
      <c r="C1001" s="399"/>
      <c r="D1001" s="399"/>
      <c r="E1001" s="399"/>
      <c r="F1001" s="400"/>
      <c r="G1001" s="273"/>
      <c r="H1001" s="273"/>
      <c r="I1001" s="358"/>
      <c r="J1001" s="358"/>
      <c r="K1001" s="358"/>
      <c r="L1001" s="358"/>
      <c r="M1001" s="358"/>
      <c r="N1001" s="358"/>
      <c r="O1001" s="358"/>
      <c r="P1001" s="358"/>
      <c r="Q1001" s="358"/>
      <c r="R1001" s="358"/>
      <c r="S1001" s="358"/>
      <c r="T1001" s="358"/>
      <c r="U1001" s="358"/>
      <c r="V1001" s="358"/>
      <c r="W1001" s="358"/>
      <c r="X1001" s="358"/>
      <c r="Y1001" s="358"/>
      <c r="Z1001" s="358"/>
    </row>
    <row r="1002" ht="14.25" customHeight="1">
      <c r="A1002" s="358"/>
      <c r="B1002" s="399"/>
      <c r="C1002" s="399"/>
      <c r="D1002" s="399"/>
      <c r="E1002" s="399"/>
      <c r="F1002" s="400"/>
      <c r="G1002" s="273"/>
      <c r="H1002" s="273"/>
      <c r="I1002" s="358"/>
      <c r="J1002" s="358"/>
      <c r="K1002" s="358"/>
      <c r="L1002" s="358"/>
      <c r="M1002" s="358"/>
      <c r="N1002" s="358"/>
      <c r="O1002" s="358"/>
      <c r="P1002" s="358"/>
      <c r="Q1002" s="358"/>
      <c r="R1002" s="358"/>
      <c r="S1002" s="358"/>
      <c r="T1002" s="358"/>
      <c r="U1002" s="358"/>
      <c r="V1002" s="358"/>
      <c r="W1002" s="358"/>
      <c r="X1002" s="358"/>
      <c r="Y1002" s="358"/>
      <c r="Z1002" s="358"/>
    </row>
    <row r="1003" ht="14.25" customHeight="1">
      <c r="A1003" s="358"/>
      <c r="B1003" s="399"/>
      <c r="C1003" s="399"/>
      <c r="D1003" s="399"/>
      <c r="E1003" s="399"/>
      <c r="F1003" s="400"/>
      <c r="G1003" s="273"/>
      <c r="H1003" s="273"/>
      <c r="I1003" s="358"/>
      <c r="J1003" s="358"/>
      <c r="K1003" s="358"/>
      <c r="L1003" s="358"/>
      <c r="M1003" s="358"/>
      <c r="N1003" s="358"/>
      <c r="O1003" s="358"/>
      <c r="P1003" s="358"/>
      <c r="Q1003" s="358"/>
      <c r="R1003" s="358"/>
      <c r="S1003" s="358"/>
      <c r="T1003" s="358"/>
      <c r="U1003" s="358"/>
      <c r="V1003" s="358"/>
      <c r="W1003" s="358"/>
      <c r="X1003" s="358"/>
      <c r="Y1003" s="358"/>
      <c r="Z1003" s="358"/>
    </row>
    <row r="1004" ht="14.25" customHeight="1">
      <c r="A1004" s="358"/>
      <c r="B1004" s="399"/>
      <c r="C1004" s="399"/>
      <c r="D1004" s="399"/>
      <c r="E1004" s="399"/>
      <c r="F1004" s="400"/>
      <c r="G1004" s="273"/>
      <c r="H1004" s="273"/>
      <c r="I1004" s="358"/>
      <c r="J1004" s="358"/>
      <c r="K1004" s="358"/>
      <c r="L1004" s="358"/>
      <c r="M1004" s="358"/>
      <c r="N1004" s="358"/>
      <c r="O1004" s="358"/>
      <c r="P1004" s="358"/>
      <c r="Q1004" s="358"/>
      <c r="R1004" s="358"/>
      <c r="S1004" s="358"/>
      <c r="T1004" s="358"/>
      <c r="U1004" s="358"/>
      <c r="V1004" s="358"/>
      <c r="W1004" s="358"/>
      <c r="X1004" s="358"/>
      <c r="Y1004" s="358"/>
      <c r="Z1004" s="358"/>
    </row>
    <row r="1005" ht="14.25" customHeight="1">
      <c r="A1005" s="358"/>
      <c r="B1005" s="399"/>
      <c r="C1005" s="399"/>
      <c r="D1005" s="399"/>
      <c r="E1005" s="399"/>
      <c r="F1005" s="400"/>
      <c r="G1005" s="273"/>
      <c r="H1005" s="273"/>
      <c r="I1005" s="358"/>
      <c r="J1005" s="358"/>
      <c r="K1005" s="358"/>
      <c r="L1005" s="358"/>
      <c r="M1005" s="358"/>
      <c r="N1005" s="358"/>
      <c r="O1005" s="358"/>
      <c r="P1005" s="358"/>
      <c r="Q1005" s="358"/>
      <c r="R1005" s="358"/>
      <c r="S1005" s="358"/>
      <c r="T1005" s="358"/>
      <c r="U1005" s="358"/>
      <c r="V1005" s="358"/>
      <c r="W1005" s="358"/>
      <c r="X1005" s="358"/>
      <c r="Y1005" s="358"/>
      <c r="Z1005" s="358"/>
    </row>
    <row r="1006" ht="14.25" customHeight="1">
      <c r="A1006" s="358"/>
      <c r="B1006" s="399"/>
      <c r="C1006" s="399"/>
      <c r="D1006" s="399"/>
      <c r="E1006" s="399"/>
      <c r="F1006" s="400"/>
      <c r="G1006" s="273"/>
      <c r="H1006" s="273"/>
      <c r="I1006" s="358"/>
      <c r="J1006" s="358"/>
      <c r="K1006" s="358"/>
      <c r="L1006" s="358"/>
      <c r="M1006" s="358"/>
      <c r="N1006" s="358"/>
      <c r="O1006" s="358"/>
      <c r="P1006" s="358"/>
      <c r="Q1006" s="358"/>
      <c r="R1006" s="358"/>
      <c r="S1006" s="358"/>
      <c r="T1006" s="358"/>
      <c r="U1006" s="358"/>
      <c r="V1006" s="358"/>
      <c r="W1006" s="358"/>
      <c r="X1006" s="358"/>
      <c r="Y1006" s="358"/>
      <c r="Z1006" s="358"/>
    </row>
    <row r="1007" ht="14.25" customHeight="1">
      <c r="A1007" s="358"/>
      <c r="B1007" s="399"/>
      <c r="C1007" s="399"/>
      <c r="D1007" s="399"/>
      <c r="E1007" s="399"/>
      <c r="F1007" s="400"/>
      <c r="G1007" s="273"/>
      <c r="H1007" s="273"/>
      <c r="I1007" s="358"/>
      <c r="J1007" s="358"/>
      <c r="K1007" s="358"/>
      <c r="L1007" s="358"/>
      <c r="M1007" s="358"/>
      <c r="N1007" s="358"/>
      <c r="O1007" s="358"/>
      <c r="P1007" s="358"/>
      <c r="Q1007" s="358"/>
      <c r="R1007" s="358"/>
      <c r="S1007" s="358"/>
      <c r="T1007" s="358"/>
      <c r="U1007" s="358"/>
      <c r="V1007" s="358"/>
      <c r="W1007" s="358"/>
      <c r="X1007" s="358"/>
      <c r="Y1007" s="358"/>
      <c r="Z1007" s="358"/>
    </row>
    <row r="1008" ht="14.25" customHeight="1">
      <c r="A1008" s="358"/>
      <c r="B1008" s="399"/>
      <c r="C1008" s="399"/>
      <c r="D1008" s="399"/>
      <c r="E1008" s="399"/>
      <c r="F1008" s="400"/>
      <c r="G1008" s="273"/>
      <c r="H1008" s="273"/>
      <c r="I1008" s="358"/>
      <c r="J1008" s="358"/>
      <c r="K1008" s="358"/>
      <c r="L1008" s="358"/>
      <c r="M1008" s="358"/>
      <c r="N1008" s="358"/>
      <c r="O1008" s="358"/>
      <c r="P1008" s="358"/>
      <c r="Q1008" s="358"/>
      <c r="R1008" s="358"/>
      <c r="S1008" s="358"/>
      <c r="T1008" s="358"/>
      <c r="U1008" s="358"/>
      <c r="V1008" s="358"/>
      <c r="W1008" s="358"/>
      <c r="X1008" s="358"/>
      <c r="Y1008" s="358"/>
      <c r="Z1008" s="358"/>
    </row>
    <row r="1009" ht="14.25" customHeight="1">
      <c r="A1009" s="358"/>
      <c r="B1009" s="399"/>
      <c r="C1009" s="399"/>
      <c r="D1009" s="399"/>
      <c r="E1009" s="399"/>
      <c r="F1009" s="400"/>
      <c r="G1009" s="273"/>
      <c r="H1009" s="273"/>
      <c r="I1009" s="358"/>
      <c r="J1009" s="358"/>
      <c r="K1009" s="358"/>
      <c r="L1009" s="358"/>
      <c r="M1009" s="358"/>
      <c r="N1009" s="358"/>
      <c r="O1009" s="358"/>
      <c r="P1009" s="358"/>
      <c r="Q1009" s="358"/>
      <c r="R1009" s="358"/>
      <c r="S1009" s="358"/>
      <c r="T1009" s="358"/>
      <c r="U1009" s="358"/>
      <c r="V1009" s="358"/>
      <c r="W1009" s="358"/>
      <c r="X1009" s="358"/>
      <c r="Y1009" s="358"/>
      <c r="Z1009" s="358"/>
    </row>
    <row r="1010" ht="14.25" customHeight="1">
      <c r="A1010" s="358"/>
      <c r="B1010" s="399"/>
      <c r="C1010" s="399"/>
      <c r="D1010" s="399"/>
      <c r="E1010" s="399"/>
      <c r="F1010" s="400"/>
      <c r="G1010" s="273"/>
      <c r="H1010" s="273"/>
      <c r="I1010" s="358"/>
      <c r="J1010" s="358"/>
      <c r="K1010" s="358"/>
      <c r="L1010" s="358"/>
      <c r="M1010" s="358"/>
      <c r="N1010" s="358"/>
      <c r="O1010" s="358"/>
      <c r="P1010" s="358"/>
      <c r="Q1010" s="358"/>
      <c r="R1010" s="358"/>
      <c r="S1010" s="358"/>
      <c r="T1010" s="358"/>
      <c r="U1010" s="358"/>
      <c r="V1010" s="358"/>
      <c r="W1010" s="358"/>
      <c r="X1010" s="358"/>
      <c r="Y1010" s="358"/>
      <c r="Z1010" s="358"/>
    </row>
    <row r="1011" ht="14.25" customHeight="1">
      <c r="A1011" s="358"/>
      <c r="B1011" s="399"/>
      <c r="C1011" s="399"/>
      <c r="D1011" s="399"/>
      <c r="E1011" s="399"/>
      <c r="F1011" s="400"/>
      <c r="G1011" s="273"/>
      <c r="H1011" s="273"/>
      <c r="I1011" s="358"/>
      <c r="J1011" s="358"/>
      <c r="K1011" s="358"/>
      <c r="L1011" s="358"/>
      <c r="M1011" s="358"/>
      <c r="N1011" s="358"/>
      <c r="O1011" s="358"/>
      <c r="P1011" s="358"/>
      <c r="Q1011" s="358"/>
      <c r="R1011" s="358"/>
      <c r="S1011" s="358"/>
      <c r="T1011" s="358"/>
      <c r="U1011" s="358"/>
      <c r="V1011" s="358"/>
      <c r="W1011" s="358"/>
      <c r="X1011" s="358"/>
      <c r="Y1011" s="358"/>
      <c r="Z1011" s="358"/>
    </row>
    <row r="1012" ht="14.25" customHeight="1">
      <c r="A1012" s="358"/>
      <c r="B1012" s="399"/>
      <c r="C1012" s="399"/>
      <c r="D1012" s="399"/>
      <c r="E1012" s="399"/>
      <c r="F1012" s="400"/>
      <c r="G1012" s="273"/>
      <c r="H1012" s="273"/>
      <c r="I1012" s="358"/>
      <c r="J1012" s="358"/>
      <c r="K1012" s="358"/>
      <c r="L1012" s="358"/>
      <c r="M1012" s="358"/>
      <c r="N1012" s="358"/>
      <c r="O1012" s="358"/>
      <c r="P1012" s="358"/>
      <c r="Q1012" s="358"/>
      <c r="R1012" s="358"/>
      <c r="S1012" s="358"/>
      <c r="T1012" s="358"/>
      <c r="U1012" s="358"/>
      <c r="V1012" s="358"/>
      <c r="W1012" s="358"/>
      <c r="X1012" s="358"/>
      <c r="Y1012" s="358"/>
      <c r="Z1012" s="358"/>
    </row>
    <row r="1013" ht="14.25" customHeight="1">
      <c r="A1013" s="358"/>
      <c r="B1013" s="399"/>
      <c r="C1013" s="399"/>
      <c r="D1013" s="399"/>
      <c r="E1013" s="399"/>
      <c r="F1013" s="400"/>
      <c r="G1013" s="273"/>
      <c r="H1013" s="273"/>
      <c r="I1013" s="358"/>
      <c r="J1013" s="358"/>
      <c r="K1013" s="358"/>
      <c r="L1013" s="358"/>
      <c r="M1013" s="358"/>
      <c r="N1013" s="358"/>
      <c r="O1013" s="358"/>
      <c r="P1013" s="358"/>
      <c r="Q1013" s="358"/>
      <c r="R1013" s="358"/>
      <c r="S1013" s="358"/>
      <c r="T1013" s="358"/>
      <c r="U1013" s="358"/>
      <c r="V1013" s="358"/>
      <c r="W1013" s="358"/>
      <c r="X1013" s="358"/>
      <c r="Y1013" s="358"/>
      <c r="Z1013" s="358"/>
    </row>
    <row r="1014" ht="14.25" customHeight="1">
      <c r="A1014" s="358"/>
      <c r="B1014" s="399"/>
      <c r="C1014" s="399"/>
      <c r="D1014" s="399"/>
      <c r="E1014" s="399"/>
      <c r="F1014" s="400"/>
      <c r="G1014" s="273"/>
      <c r="H1014" s="273"/>
      <c r="I1014" s="358"/>
      <c r="J1014" s="358"/>
      <c r="K1014" s="358"/>
      <c r="L1014" s="358"/>
      <c r="M1014" s="358"/>
      <c r="N1014" s="358"/>
      <c r="O1014" s="358"/>
      <c r="P1014" s="358"/>
      <c r="Q1014" s="358"/>
      <c r="R1014" s="358"/>
      <c r="S1014" s="358"/>
      <c r="T1014" s="358"/>
      <c r="U1014" s="358"/>
      <c r="V1014" s="358"/>
      <c r="W1014" s="358"/>
      <c r="X1014" s="358"/>
      <c r="Y1014" s="358"/>
      <c r="Z1014" s="358"/>
    </row>
    <row r="1015" ht="14.25" customHeight="1">
      <c r="A1015" s="358"/>
      <c r="B1015" s="399"/>
      <c r="C1015" s="399"/>
      <c r="D1015" s="399"/>
      <c r="E1015" s="399"/>
      <c r="F1015" s="400"/>
      <c r="G1015" s="273"/>
      <c r="H1015" s="273"/>
      <c r="I1015" s="358"/>
      <c r="J1015" s="358"/>
      <c r="K1015" s="358"/>
      <c r="L1015" s="358"/>
      <c r="M1015" s="358"/>
      <c r="N1015" s="358"/>
      <c r="O1015" s="358"/>
      <c r="P1015" s="358"/>
      <c r="Q1015" s="358"/>
      <c r="R1015" s="358"/>
      <c r="S1015" s="358"/>
      <c r="T1015" s="358"/>
      <c r="U1015" s="358"/>
      <c r="V1015" s="358"/>
      <c r="W1015" s="358"/>
      <c r="X1015" s="358"/>
      <c r="Y1015" s="358"/>
      <c r="Z1015" s="358"/>
    </row>
    <row r="1016" ht="14.25" customHeight="1">
      <c r="A1016" s="358"/>
      <c r="B1016" s="399"/>
      <c r="C1016" s="399"/>
      <c r="D1016" s="399"/>
      <c r="E1016" s="399"/>
      <c r="F1016" s="400"/>
      <c r="G1016" s="273"/>
      <c r="H1016" s="273"/>
      <c r="I1016" s="358"/>
      <c r="J1016" s="358"/>
      <c r="K1016" s="358"/>
      <c r="L1016" s="358"/>
      <c r="M1016" s="358"/>
      <c r="N1016" s="358"/>
      <c r="O1016" s="358"/>
      <c r="P1016" s="358"/>
      <c r="Q1016" s="358"/>
      <c r="R1016" s="358"/>
      <c r="S1016" s="358"/>
      <c r="T1016" s="358"/>
      <c r="U1016" s="358"/>
      <c r="V1016" s="358"/>
      <c r="W1016" s="358"/>
      <c r="X1016" s="358"/>
      <c r="Y1016" s="358"/>
      <c r="Z1016" s="358"/>
    </row>
    <row r="1017" ht="14.25" customHeight="1">
      <c r="A1017" s="358"/>
      <c r="B1017" s="399"/>
      <c r="C1017" s="399"/>
      <c r="D1017" s="399"/>
      <c r="E1017" s="399"/>
      <c r="F1017" s="400"/>
      <c r="G1017" s="273"/>
      <c r="H1017" s="273"/>
      <c r="I1017" s="358"/>
      <c r="J1017" s="358"/>
      <c r="K1017" s="358"/>
      <c r="L1017" s="358"/>
      <c r="M1017" s="358"/>
      <c r="N1017" s="358"/>
      <c r="O1017" s="358"/>
      <c r="P1017" s="358"/>
      <c r="Q1017" s="358"/>
      <c r="R1017" s="358"/>
      <c r="S1017" s="358"/>
      <c r="T1017" s="358"/>
      <c r="U1017" s="358"/>
      <c r="V1017" s="358"/>
      <c r="W1017" s="358"/>
      <c r="X1017" s="358"/>
      <c r="Y1017" s="358"/>
      <c r="Z1017" s="358"/>
    </row>
    <row r="1018" ht="14.25" customHeight="1">
      <c r="A1018" s="358"/>
      <c r="B1018" s="399"/>
      <c r="C1018" s="399"/>
      <c r="D1018" s="399"/>
      <c r="E1018" s="399"/>
      <c r="F1018" s="400"/>
      <c r="G1018" s="273"/>
      <c r="H1018" s="273"/>
      <c r="I1018" s="358"/>
      <c r="J1018" s="358"/>
      <c r="K1018" s="358"/>
      <c r="L1018" s="358"/>
      <c r="M1018" s="358"/>
      <c r="N1018" s="358"/>
      <c r="O1018" s="358"/>
      <c r="P1018" s="358"/>
      <c r="Q1018" s="358"/>
      <c r="R1018" s="358"/>
      <c r="S1018" s="358"/>
      <c r="T1018" s="358"/>
      <c r="U1018" s="358"/>
      <c r="V1018" s="358"/>
      <c r="W1018" s="358"/>
      <c r="X1018" s="358"/>
      <c r="Y1018" s="358"/>
      <c r="Z1018" s="358"/>
    </row>
    <row r="1019" ht="14.25" customHeight="1">
      <c r="A1019" s="358"/>
      <c r="B1019" s="399"/>
      <c r="C1019" s="399"/>
      <c r="D1019" s="399"/>
      <c r="E1019" s="399"/>
      <c r="F1019" s="400"/>
      <c r="G1019" s="273"/>
      <c r="H1019" s="273"/>
      <c r="I1019" s="358"/>
      <c r="J1019" s="358"/>
      <c r="K1019" s="358"/>
      <c r="L1019" s="358"/>
      <c r="M1019" s="358"/>
      <c r="N1019" s="358"/>
      <c r="O1019" s="358"/>
      <c r="P1019" s="358"/>
      <c r="Q1019" s="358"/>
      <c r="R1019" s="358"/>
      <c r="S1019" s="358"/>
      <c r="T1019" s="358"/>
      <c r="U1019" s="358"/>
      <c r="V1019" s="358"/>
      <c r="W1019" s="358"/>
      <c r="X1019" s="358"/>
      <c r="Y1019" s="358"/>
      <c r="Z1019" s="358"/>
    </row>
    <row r="1020" ht="14.25" customHeight="1">
      <c r="A1020" s="358"/>
      <c r="B1020" s="399"/>
      <c r="C1020" s="399"/>
      <c r="D1020" s="399"/>
      <c r="E1020" s="399"/>
      <c r="F1020" s="400"/>
      <c r="G1020" s="273"/>
      <c r="H1020" s="273"/>
      <c r="I1020" s="358"/>
      <c r="J1020" s="358"/>
      <c r="K1020" s="358"/>
      <c r="L1020" s="358"/>
      <c r="M1020" s="358"/>
      <c r="N1020" s="358"/>
      <c r="O1020" s="358"/>
      <c r="P1020" s="358"/>
      <c r="Q1020" s="358"/>
      <c r="R1020" s="358"/>
      <c r="S1020" s="358"/>
      <c r="T1020" s="358"/>
      <c r="U1020" s="358"/>
      <c r="V1020" s="358"/>
      <c r="W1020" s="358"/>
      <c r="X1020" s="358"/>
      <c r="Y1020" s="358"/>
      <c r="Z1020" s="358"/>
    </row>
    <row r="1021" ht="14.25" customHeight="1">
      <c r="A1021" s="358"/>
      <c r="B1021" s="399"/>
      <c r="C1021" s="399"/>
      <c r="D1021" s="399"/>
      <c r="E1021" s="399"/>
      <c r="F1021" s="400"/>
      <c r="G1021" s="273"/>
      <c r="H1021" s="273"/>
      <c r="I1021" s="358"/>
      <c r="J1021" s="358"/>
      <c r="K1021" s="358"/>
      <c r="L1021" s="358"/>
      <c r="M1021" s="358"/>
      <c r="N1021" s="358"/>
      <c r="O1021" s="358"/>
      <c r="P1021" s="358"/>
      <c r="Q1021" s="358"/>
      <c r="R1021" s="358"/>
      <c r="S1021" s="358"/>
      <c r="T1021" s="358"/>
      <c r="U1021" s="358"/>
      <c r="V1021" s="358"/>
      <c r="W1021" s="358"/>
      <c r="X1021" s="358"/>
      <c r="Y1021" s="358"/>
      <c r="Z1021" s="358"/>
    </row>
    <row r="1022" ht="14.25" customHeight="1">
      <c r="A1022" s="358"/>
      <c r="B1022" s="399"/>
      <c r="C1022" s="399"/>
      <c r="D1022" s="399"/>
      <c r="E1022" s="399"/>
      <c r="F1022" s="400"/>
      <c r="G1022" s="273"/>
      <c r="H1022" s="273"/>
      <c r="I1022" s="358"/>
      <c r="J1022" s="358"/>
      <c r="K1022" s="358"/>
      <c r="L1022" s="358"/>
      <c r="M1022" s="358"/>
      <c r="N1022" s="358"/>
      <c r="O1022" s="358"/>
      <c r="P1022" s="358"/>
      <c r="Q1022" s="358"/>
      <c r="R1022" s="358"/>
      <c r="S1022" s="358"/>
      <c r="T1022" s="358"/>
      <c r="U1022" s="358"/>
      <c r="V1022" s="358"/>
      <c r="W1022" s="358"/>
      <c r="X1022" s="358"/>
      <c r="Y1022" s="358"/>
      <c r="Z1022" s="358"/>
    </row>
    <row r="1023" ht="14.25" customHeight="1">
      <c r="A1023" s="358"/>
      <c r="B1023" s="399"/>
      <c r="C1023" s="399"/>
      <c r="D1023" s="399"/>
      <c r="E1023" s="399"/>
      <c r="F1023" s="400"/>
      <c r="G1023" s="273"/>
      <c r="H1023" s="273"/>
      <c r="I1023" s="358"/>
      <c r="J1023" s="358"/>
      <c r="K1023" s="358"/>
      <c r="L1023" s="358"/>
      <c r="M1023" s="358"/>
      <c r="N1023" s="358"/>
      <c r="O1023" s="358"/>
      <c r="P1023" s="358"/>
      <c r="Q1023" s="358"/>
      <c r="R1023" s="358"/>
      <c r="S1023" s="358"/>
      <c r="T1023" s="358"/>
      <c r="U1023" s="358"/>
      <c r="V1023" s="358"/>
      <c r="W1023" s="358"/>
      <c r="X1023" s="358"/>
      <c r="Y1023" s="358"/>
      <c r="Z1023" s="358"/>
    </row>
    <row r="1024" ht="14.25" customHeight="1">
      <c r="A1024" s="358"/>
      <c r="B1024" s="399"/>
      <c r="C1024" s="399"/>
      <c r="D1024" s="399"/>
      <c r="E1024" s="399"/>
      <c r="F1024" s="400"/>
      <c r="G1024" s="273"/>
      <c r="H1024" s="273"/>
      <c r="I1024" s="358"/>
      <c r="J1024" s="358"/>
      <c r="K1024" s="358"/>
      <c r="L1024" s="358"/>
      <c r="M1024" s="358"/>
      <c r="N1024" s="358"/>
      <c r="O1024" s="358"/>
      <c r="P1024" s="358"/>
      <c r="Q1024" s="358"/>
      <c r="R1024" s="358"/>
      <c r="S1024" s="358"/>
      <c r="T1024" s="358"/>
      <c r="U1024" s="358"/>
      <c r="V1024" s="358"/>
      <c r="W1024" s="358"/>
      <c r="X1024" s="358"/>
      <c r="Y1024" s="358"/>
      <c r="Z1024" s="358"/>
    </row>
    <row r="1025" ht="14.25" customHeight="1">
      <c r="A1025" s="358"/>
      <c r="B1025" s="399"/>
      <c r="C1025" s="399"/>
      <c r="D1025" s="399"/>
      <c r="E1025" s="399"/>
      <c r="F1025" s="400"/>
      <c r="G1025" s="273"/>
      <c r="H1025" s="273"/>
      <c r="I1025" s="358"/>
      <c r="J1025" s="358"/>
      <c r="K1025" s="358"/>
      <c r="L1025" s="358"/>
      <c r="M1025" s="358"/>
      <c r="N1025" s="358"/>
      <c r="O1025" s="358"/>
      <c r="P1025" s="358"/>
      <c r="Q1025" s="358"/>
      <c r="R1025" s="358"/>
      <c r="S1025" s="358"/>
      <c r="T1025" s="358"/>
      <c r="U1025" s="358"/>
      <c r="V1025" s="358"/>
      <c r="W1025" s="358"/>
      <c r="X1025" s="358"/>
      <c r="Y1025" s="358"/>
      <c r="Z1025" s="358"/>
    </row>
    <row r="1026" ht="14.25" customHeight="1">
      <c r="A1026" s="358"/>
      <c r="B1026" s="399"/>
      <c r="C1026" s="399"/>
      <c r="D1026" s="399"/>
      <c r="E1026" s="399"/>
      <c r="F1026" s="400"/>
      <c r="G1026" s="273"/>
      <c r="H1026" s="273"/>
      <c r="I1026" s="358"/>
      <c r="J1026" s="358"/>
      <c r="K1026" s="358"/>
      <c r="L1026" s="358"/>
      <c r="M1026" s="358"/>
      <c r="N1026" s="358"/>
      <c r="O1026" s="358"/>
      <c r="P1026" s="358"/>
      <c r="Q1026" s="358"/>
      <c r="R1026" s="358"/>
      <c r="S1026" s="358"/>
      <c r="T1026" s="358"/>
      <c r="U1026" s="358"/>
      <c r="V1026" s="358"/>
      <c r="W1026" s="358"/>
      <c r="X1026" s="358"/>
      <c r="Y1026" s="358"/>
      <c r="Z1026" s="358"/>
    </row>
    <row r="1027" ht="14.25" customHeight="1">
      <c r="A1027" s="358"/>
      <c r="B1027" s="399"/>
      <c r="C1027" s="399"/>
      <c r="D1027" s="399"/>
      <c r="E1027" s="399"/>
      <c r="F1027" s="400"/>
      <c r="G1027" s="273"/>
      <c r="H1027" s="273"/>
      <c r="I1027" s="358"/>
      <c r="J1027" s="358"/>
      <c r="K1027" s="358"/>
      <c r="L1027" s="358"/>
      <c r="M1027" s="358"/>
      <c r="N1027" s="358"/>
      <c r="O1027" s="358"/>
      <c r="P1027" s="358"/>
      <c r="Q1027" s="358"/>
      <c r="R1027" s="358"/>
      <c r="S1027" s="358"/>
      <c r="T1027" s="358"/>
      <c r="U1027" s="358"/>
      <c r="V1027" s="358"/>
      <c r="W1027" s="358"/>
      <c r="X1027" s="358"/>
      <c r="Y1027" s="358"/>
      <c r="Z1027" s="358"/>
    </row>
    <row r="1028" ht="14.25" customHeight="1">
      <c r="A1028" s="358"/>
      <c r="B1028" s="399"/>
      <c r="C1028" s="399"/>
      <c r="D1028" s="399"/>
      <c r="E1028" s="399"/>
      <c r="F1028" s="400"/>
      <c r="G1028" s="273"/>
      <c r="H1028" s="273"/>
      <c r="I1028" s="358"/>
      <c r="J1028" s="358"/>
      <c r="K1028" s="358"/>
      <c r="L1028" s="358"/>
      <c r="M1028" s="358"/>
      <c r="N1028" s="358"/>
      <c r="O1028" s="358"/>
      <c r="P1028" s="358"/>
      <c r="Q1028" s="358"/>
      <c r="R1028" s="358"/>
      <c r="S1028" s="358"/>
      <c r="T1028" s="358"/>
      <c r="U1028" s="358"/>
      <c r="V1028" s="358"/>
      <c r="W1028" s="358"/>
      <c r="X1028" s="358"/>
      <c r="Y1028" s="358"/>
      <c r="Z1028" s="358"/>
    </row>
    <row r="1029" ht="14.25" customHeight="1">
      <c r="A1029" s="358"/>
      <c r="B1029" s="399"/>
      <c r="C1029" s="399"/>
      <c r="D1029" s="399"/>
      <c r="E1029" s="399"/>
      <c r="F1029" s="400"/>
      <c r="G1029" s="273"/>
      <c r="H1029" s="273"/>
      <c r="I1029" s="358"/>
      <c r="J1029" s="358"/>
      <c r="K1029" s="358"/>
      <c r="L1029" s="358"/>
      <c r="M1029" s="358"/>
      <c r="N1029" s="358"/>
      <c r="O1029" s="358"/>
      <c r="P1029" s="358"/>
      <c r="Q1029" s="358"/>
      <c r="R1029" s="358"/>
      <c r="S1029" s="358"/>
      <c r="T1029" s="358"/>
      <c r="U1029" s="358"/>
      <c r="V1029" s="358"/>
      <c r="W1029" s="358"/>
      <c r="X1029" s="358"/>
      <c r="Y1029" s="358"/>
      <c r="Z1029" s="358"/>
    </row>
    <row r="1030" ht="14.25" customHeight="1">
      <c r="A1030" s="358"/>
      <c r="B1030" s="399"/>
      <c r="C1030" s="399"/>
      <c r="D1030" s="399"/>
      <c r="E1030" s="399"/>
      <c r="F1030" s="400"/>
      <c r="G1030" s="273"/>
      <c r="H1030" s="273"/>
      <c r="I1030" s="358"/>
      <c r="J1030" s="358"/>
      <c r="K1030" s="358"/>
      <c r="L1030" s="358"/>
      <c r="M1030" s="358"/>
      <c r="N1030" s="358"/>
      <c r="O1030" s="358"/>
      <c r="P1030" s="358"/>
      <c r="Q1030" s="358"/>
      <c r="R1030" s="358"/>
      <c r="S1030" s="358"/>
      <c r="T1030" s="358"/>
      <c r="U1030" s="358"/>
      <c r="V1030" s="358"/>
      <c r="W1030" s="358"/>
      <c r="X1030" s="358"/>
      <c r="Y1030" s="358"/>
      <c r="Z1030" s="358"/>
    </row>
    <row r="1031" ht="14.25" customHeight="1">
      <c r="A1031" s="358"/>
      <c r="B1031" s="399"/>
      <c r="C1031" s="399"/>
      <c r="D1031" s="399"/>
      <c r="E1031" s="399"/>
      <c r="F1031" s="400"/>
      <c r="G1031" s="273"/>
      <c r="H1031" s="273"/>
      <c r="I1031" s="358"/>
      <c r="J1031" s="358"/>
      <c r="K1031" s="358"/>
      <c r="L1031" s="358"/>
      <c r="M1031" s="358"/>
      <c r="N1031" s="358"/>
      <c r="O1031" s="358"/>
      <c r="P1031" s="358"/>
      <c r="Q1031" s="358"/>
      <c r="R1031" s="358"/>
      <c r="S1031" s="358"/>
      <c r="T1031" s="358"/>
      <c r="U1031" s="358"/>
      <c r="V1031" s="358"/>
      <c r="W1031" s="358"/>
      <c r="X1031" s="358"/>
      <c r="Y1031" s="358"/>
      <c r="Z1031" s="358"/>
    </row>
    <row r="1032" ht="14.25" customHeight="1">
      <c r="A1032" s="358"/>
      <c r="B1032" s="399"/>
      <c r="C1032" s="399"/>
      <c r="D1032" s="399"/>
      <c r="E1032" s="399"/>
      <c r="F1032" s="400"/>
      <c r="G1032" s="273"/>
      <c r="H1032" s="273"/>
      <c r="I1032" s="358"/>
      <c r="J1032" s="358"/>
      <c r="K1032" s="358"/>
      <c r="L1032" s="358"/>
      <c r="M1032" s="358"/>
      <c r="N1032" s="358"/>
      <c r="O1032" s="358"/>
      <c r="P1032" s="358"/>
      <c r="Q1032" s="358"/>
      <c r="R1032" s="358"/>
      <c r="S1032" s="358"/>
      <c r="T1032" s="358"/>
      <c r="U1032" s="358"/>
      <c r="V1032" s="358"/>
      <c r="W1032" s="358"/>
      <c r="X1032" s="358"/>
      <c r="Y1032" s="358"/>
      <c r="Z1032" s="358"/>
    </row>
    <row r="1033" ht="14.25" customHeight="1">
      <c r="A1033" s="358"/>
      <c r="B1033" s="399"/>
      <c r="C1033" s="399"/>
      <c r="D1033" s="399"/>
      <c r="E1033" s="399"/>
      <c r="F1033" s="400"/>
      <c r="G1033" s="273"/>
      <c r="H1033" s="273"/>
      <c r="I1033" s="358"/>
      <c r="J1033" s="358"/>
      <c r="K1033" s="358"/>
      <c r="L1033" s="358"/>
      <c r="M1033" s="358"/>
      <c r="N1033" s="358"/>
      <c r="O1033" s="358"/>
      <c r="P1033" s="358"/>
      <c r="Q1033" s="358"/>
      <c r="R1033" s="358"/>
      <c r="S1033" s="358"/>
      <c r="T1033" s="358"/>
      <c r="U1033" s="358"/>
      <c r="V1033" s="358"/>
      <c r="W1033" s="358"/>
      <c r="X1033" s="358"/>
      <c r="Y1033" s="358"/>
      <c r="Z1033" s="358"/>
    </row>
    <row r="1034" ht="14.25" customHeight="1">
      <c r="A1034" s="358"/>
      <c r="B1034" s="399"/>
      <c r="C1034" s="399"/>
      <c r="D1034" s="399"/>
      <c r="E1034" s="399"/>
      <c r="F1034" s="400"/>
      <c r="G1034" s="273"/>
      <c r="H1034" s="273"/>
      <c r="I1034" s="358"/>
      <c r="J1034" s="358"/>
      <c r="K1034" s="358"/>
      <c r="L1034" s="358"/>
      <c r="M1034" s="358"/>
      <c r="N1034" s="358"/>
      <c r="O1034" s="358"/>
      <c r="P1034" s="358"/>
      <c r="Q1034" s="358"/>
      <c r="R1034" s="358"/>
      <c r="S1034" s="358"/>
      <c r="T1034" s="358"/>
      <c r="U1034" s="358"/>
      <c r="V1034" s="358"/>
      <c r="W1034" s="358"/>
      <c r="X1034" s="358"/>
      <c r="Y1034" s="358"/>
      <c r="Z1034" s="358"/>
    </row>
    <row r="1035" ht="14.25" customHeight="1">
      <c r="A1035" s="358"/>
      <c r="B1035" s="399"/>
      <c r="C1035" s="399"/>
      <c r="D1035" s="399"/>
      <c r="E1035" s="399"/>
      <c r="F1035" s="400"/>
      <c r="G1035" s="273"/>
      <c r="H1035" s="273"/>
      <c r="I1035" s="358"/>
      <c r="J1035" s="358"/>
      <c r="K1035" s="358"/>
      <c r="L1035" s="358"/>
      <c r="M1035" s="358"/>
      <c r="N1035" s="358"/>
      <c r="O1035" s="358"/>
      <c r="P1035" s="358"/>
      <c r="Q1035" s="358"/>
      <c r="R1035" s="358"/>
      <c r="S1035" s="358"/>
      <c r="T1035" s="358"/>
      <c r="U1035" s="358"/>
      <c r="V1035" s="358"/>
      <c r="W1035" s="358"/>
      <c r="X1035" s="358"/>
      <c r="Y1035" s="358"/>
      <c r="Z1035" s="358"/>
    </row>
    <row r="1036" ht="14.25" customHeight="1">
      <c r="A1036" s="358"/>
      <c r="B1036" s="399"/>
      <c r="C1036" s="399"/>
      <c r="D1036" s="399"/>
      <c r="E1036" s="399"/>
      <c r="F1036" s="400"/>
      <c r="G1036" s="273"/>
      <c r="H1036" s="273"/>
      <c r="I1036" s="358"/>
      <c r="J1036" s="358"/>
      <c r="K1036" s="358"/>
      <c r="L1036" s="358"/>
      <c r="M1036" s="358"/>
      <c r="N1036" s="358"/>
      <c r="O1036" s="358"/>
      <c r="P1036" s="358"/>
      <c r="Q1036" s="358"/>
      <c r="R1036" s="358"/>
      <c r="S1036" s="358"/>
      <c r="T1036" s="358"/>
      <c r="U1036" s="358"/>
      <c r="V1036" s="358"/>
      <c r="W1036" s="358"/>
      <c r="X1036" s="358"/>
      <c r="Y1036" s="358"/>
      <c r="Z1036" s="358"/>
    </row>
    <row r="1037" ht="14.25" customHeight="1">
      <c r="A1037" s="358"/>
      <c r="B1037" s="399"/>
      <c r="C1037" s="399"/>
      <c r="D1037" s="399"/>
      <c r="E1037" s="399"/>
      <c r="F1037" s="400"/>
      <c r="G1037" s="273"/>
      <c r="H1037" s="273"/>
      <c r="I1037" s="358"/>
      <c r="J1037" s="358"/>
      <c r="K1037" s="358"/>
      <c r="L1037" s="358"/>
      <c r="M1037" s="358"/>
      <c r="N1037" s="358"/>
      <c r="O1037" s="358"/>
      <c r="P1037" s="358"/>
      <c r="Q1037" s="358"/>
      <c r="R1037" s="358"/>
      <c r="S1037" s="358"/>
      <c r="T1037" s="358"/>
      <c r="U1037" s="358"/>
      <c r="V1037" s="358"/>
      <c r="W1037" s="358"/>
      <c r="X1037" s="358"/>
      <c r="Y1037" s="358"/>
      <c r="Z1037" s="358"/>
    </row>
    <row r="1038" ht="14.25" customHeight="1">
      <c r="A1038" s="358"/>
      <c r="B1038" s="399"/>
      <c r="C1038" s="399"/>
      <c r="D1038" s="399"/>
      <c r="E1038" s="399"/>
      <c r="F1038" s="400"/>
      <c r="G1038" s="273"/>
      <c r="H1038" s="273"/>
      <c r="I1038" s="358"/>
      <c r="J1038" s="358"/>
      <c r="K1038" s="358"/>
      <c r="L1038" s="358"/>
      <c r="M1038" s="358"/>
      <c r="N1038" s="358"/>
      <c r="O1038" s="358"/>
      <c r="P1038" s="358"/>
      <c r="Q1038" s="358"/>
      <c r="R1038" s="358"/>
      <c r="S1038" s="358"/>
      <c r="T1038" s="358"/>
      <c r="U1038" s="358"/>
      <c r="V1038" s="358"/>
      <c r="W1038" s="358"/>
      <c r="X1038" s="358"/>
      <c r="Y1038" s="358"/>
      <c r="Z1038" s="358"/>
    </row>
    <row r="1039" ht="14.25" customHeight="1">
      <c r="A1039" s="358"/>
      <c r="B1039" s="399"/>
      <c r="C1039" s="399"/>
      <c r="D1039" s="399"/>
      <c r="E1039" s="399"/>
      <c r="F1039" s="400"/>
      <c r="G1039" s="273"/>
      <c r="H1039" s="273"/>
      <c r="I1039" s="358"/>
      <c r="J1039" s="358"/>
      <c r="K1039" s="358"/>
      <c r="L1039" s="358"/>
      <c r="M1039" s="358"/>
      <c r="N1039" s="358"/>
      <c r="O1039" s="358"/>
      <c r="P1039" s="358"/>
      <c r="Q1039" s="358"/>
      <c r="R1039" s="358"/>
      <c r="S1039" s="358"/>
      <c r="T1039" s="358"/>
      <c r="U1039" s="358"/>
      <c r="V1039" s="358"/>
      <c r="W1039" s="358"/>
      <c r="X1039" s="358"/>
      <c r="Y1039" s="358"/>
      <c r="Z1039" s="358"/>
    </row>
    <row r="1040" ht="14.25" customHeight="1">
      <c r="A1040" s="358"/>
      <c r="B1040" s="399"/>
      <c r="C1040" s="399"/>
      <c r="D1040" s="399"/>
      <c r="E1040" s="399"/>
      <c r="F1040" s="400"/>
      <c r="G1040" s="273"/>
      <c r="H1040" s="273"/>
      <c r="I1040" s="358"/>
      <c r="J1040" s="358"/>
      <c r="K1040" s="358"/>
      <c r="L1040" s="358"/>
      <c r="M1040" s="358"/>
      <c r="N1040" s="358"/>
      <c r="O1040" s="358"/>
      <c r="P1040" s="358"/>
      <c r="Q1040" s="358"/>
      <c r="R1040" s="358"/>
      <c r="S1040" s="358"/>
      <c r="T1040" s="358"/>
      <c r="U1040" s="358"/>
      <c r="V1040" s="358"/>
      <c r="W1040" s="358"/>
      <c r="X1040" s="358"/>
      <c r="Y1040" s="358"/>
      <c r="Z1040" s="358"/>
    </row>
    <row r="1041" ht="14.25" customHeight="1">
      <c r="A1041" s="358"/>
      <c r="B1041" s="399"/>
      <c r="C1041" s="399"/>
      <c r="D1041" s="399"/>
      <c r="E1041" s="399"/>
      <c r="F1041" s="400"/>
      <c r="G1041" s="273"/>
      <c r="H1041" s="273"/>
      <c r="I1041" s="358"/>
      <c r="J1041" s="358"/>
      <c r="K1041" s="358"/>
      <c r="L1041" s="358"/>
      <c r="M1041" s="358"/>
      <c r="N1041" s="358"/>
      <c r="O1041" s="358"/>
      <c r="P1041" s="358"/>
      <c r="Q1041" s="358"/>
      <c r="R1041" s="358"/>
      <c r="S1041" s="358"/>
      <c r="T1041" s="358"/>
      <c r="U1041" s="358"/>
      <c r="V1041" s="358"/>
      <c r="W1041" s="358"/>
      <c r="X1041" s="358"/>
      <c r="Y1041" s="358"/>
      <c r="Z1041" s="358"/>
    </row>
    <row r="1042" ht="14.25" customHeight="1">
      <c r="A1042" s="358"/>
      <c r="B1042" s="399"/>
      <c r="C1042" s="399"/>
      <c r="D1042" s="399"/>
      <c r="E1042" s="399"/>
      <c r="F1042" s="400"/>
      <c r="G1042" s="273"/>
      <c r="H1042" s="273"/>
      <c r="I1042" s="358"/>
      <c r="J1042" s="358"/>
      <c r="K1042" s="358"/>
      <c r="L1042" s="358"/>
      <c r="M1042" s="358"/>
      <c r="N1042" s="358"/>
      <c r="O1042" s="358"/>
      <c r="P1042" s="358"/>
      <c r="Q1042" s="358"/>
      <c r="R1042" s="358"/>
      <c r="S1042" s="358"/>
      <c r="T1042" s="358"/>
      <c r="U1042" s="358"/>
      <c r="V1042" s="358"/>
      <c r="W1042" s="358"/>
      <c r="X1042" s="358"/>
      <c r="Y1042" s="358"/>
      <c r="Z1042" s="358"/>
    </row>
    <row r="1043" ht="14.25" customHeight="1">
      <c r="A1043" s="358"/>
      <c r="B1043" s="399"/>
      <c r="C1043" s="399"/>
      <c r="D1043" s="399"/>
      <c r="E1043" s="399"/>
      <c r="F1043" s="400"/>
      <c r="G1043" s="273"/>
      <c r="H1043" s="273"/>
      <c r="I1043" s="358"/>
      <c r="J1043" s="358"/>
      <c r="K1043" s="358"/>
      <c r="L1043" s="358"/>
      <c r="M1043" s="358"/>
      <c r="N1043" s="358"/>
      <c r="O1043" s="358"/>
      <c r="P1043" s="358"/>
      <c r="Q1043" s="358"/>
      <c r="R1043" s="358"/>
      <c r="S1043" s="358"/>
      <c r="T1043" s="358"/>
      <c r="U1043" s="358"/>
      <c r="V1043" s="358"/>
      <c r="W1043" s="358"/>
      <c r="X1043" s="358"/>
      <c r="Y1043" s="358"/>
      <c r="Z1043" s="358"/>
    </row>
    <row r="1044" ht="14.25" customHeight="1">
      <c r="A1044" s="358"/>
      <c r="B1044" s="399"/>
      <c r="C1044" s="399"/>
      <c r="D1044" s="399"/>
      <c r="E1044" s="399"/>
      <c r="F1044" s="400"/>
      <c r="G1044" s="273"/>
      <c r="H1044" s="273"/>
      <c r="I1044" s="358"/>
      <c r="J1044" s="358"/>
      <c r="K1044" s="358"/>
      <c r="L1044" s="358"/>
      <c r="M1044" s="358"/>
      <c r="N1044" s="358"/>
      <c r="O1044" s="358"/>
      <c r="P1044" s="358"/>
      <c r="Q1044" s="358"/>
      <c r="R1044" s="358"/>
      <c r="S1044" s="358"/>
      <c r="T1044" s="358"/>
      <c r="U1044" s="358"/>
      <c r="V1044" s="358"/>
      <c r="W1044" s="358"/>
      <c r="X1044" s="358"/>
      <c r="Y1044" s="358"/>
      <c r="Z1044" s="358"/>
    </row>
    <row r="1045" ht="14.25" customHeight="1">
      <c r="A1045" s="358"/>
      <c r="B1045" s="399"/>
      <c r="C1045" s="399"/>
      <c r="D1045" s="399"/>
      <c r="E1045" s="399"/>
      <c r="F1045" s="400"/>
      <c r="G1045" s="273"/>
      <c r="H1045" s="273"/>
      <c r="I1045" s="358"/>
      <c r="J1045" s="358"/>
      <c r="K1045" s="358"/>
      <c r="L1045" s="358"/>
      <c r="M1045" s="358"/>
      <c r="N1045" s="358"/>
      <c r="O1045" s="358"/>
      <c r="P1045" s="358"/>
      <c r="Q1045" s="358"/>
      <c r="R1045" s="358"/>
      <c r="S1045" s="358"/>
      <c r="T1045" s="358"/>
      <c r="U1045" s="358"/>
      <c r="V1045" s="358"/>
      <c r="W1045" s="358"/>
      <c r="X1045" s="358"/>
      <c r="Y1045" s="358"/>
      <c r="Z1045" s="358"/>
    </row>
    <row r="1046" ht="14.25" customHeight="1">
      <c r="A1046" s="358"/>
      <c r="B1046" s="399"/>
      <c r="C1046" s="399"/>
      <c r="D1046" s="399"/>
      <c r="E1046" s="399"/>
      <c r="F1046" s="400"/>
      <c r="G1046" s="273"/>
      <c r="H1046" s="273"/>
      <c r="I1046" s="358"/>
      <c r="J1046" s="358"/>
      <c r="K1046" s="358"/>
      <c r="L1046" s="358"/>
      <c r="M1046" s="358"/>
      <c r="N1046" s="358"/>
      <c r="O1046" s="358"/>
      <c r="P1046" s="358"/>
      <c r="Q1046" s="358"/>
      <c r="R1046" s="358"/>
      <c r="S1046" s="358"/>
      <c r="T1046" s="358"/>
      <c r="U1046" s="358"/>
      <c r="V1046" s="358"/>
      <c r="W1046" s="358"/>
      <c r="X1046" s="358"/>
      <c r="Y1046" s="358"/>
      <c r="Z1046" s="358"/>
    </row>
    <row r="1047" ht="14.25" customHeight="1">
      <c r="A1047" s="358"/>
      <c r="B1047" s="399"/>
      <c r="C1047" s="399"/>
      <c r="D1047" s="399"/>
      <c r="E1047" s="399"/>
      <c r="F1047" s="400"/>
      <c r="G1047" s="273"/>
      <c r="H1047" s="273"/>
      <c r="I1047" s="358"/>
      <c r="J1047" s="358"/>
      <c r="K1047" s="358"/>
      <c r="L1047" s="358"/>
      <c r="M1047" s="358"/>
      <c r="N1047" s="358"/>
      <c r="O1047" s="358"/>
      <c r="P1047" s="358"/>
      <c r="Q1047" s="358"/>
      <c r="R1047" s="358"/>
      <c r="S1047" s="358"/>
      <c r="T1047" s="358"/>
      <c r="U1047" s="358"/>
      <c r="V1047" s="358"/>
      <c r="W1047" s="358"/>
      <c r="X1047" s="358"/>
      <c r="Y1047" s="358"/>
      <c r="Z1047" s="358"/>
    </row>
    <row r="1048" ht="14.25" customHeight="1">
      <c r="A1048" s="358"/>
      <c r="B1048" s="399"/>
      <c r="C1048" s="399"/>
      <c r="D1048" s="399"/>
      <c r="E1048" s="399"/>
      <c r="F1048" s="400"/>
      <c r="G1048" s="273"/>
      <c r="H1048" s="273"/>
      <c r="I1048" s="358"/>
      <c r="J1048" s="358"/>
      <c r="K1048" s="358"/>
      <c r="L1048" s="358"/>
      <c r="M1048" s="358"/>
      <c r="N1048" s="358"/>
      <c r="O1048" s="358"/>
      <c r="P1048" s="358"/>
      <c r="Q1048" s="358"/>
      <c r="R1048" s="358"/>
      <c r="S1048" s="358"/>
      <c r="T1048" s="358"/>
      <c r="U1048" s="358"/>
      <c r="V1048" s="358"/>
      <c r="W1048" s="358"/>
      <c r="X1048" s="358"/>
      <c r="Y1048" s="358"/>
      <c r="Z1048" s="358"/>
    </row>
    <row r="1049" ht="14.25" customHeight="1">
      <c r="A1049" s="358"/>
      <c r="B1049" s="399"/>
      <c r="C1049" s="399"/>
      <c r="D1049" s="399"/>
      <c r="E1049" s="399"/>
      <c r="F1049" s="400"/>
      <c r="G1049" s="273"/>
      <c r="H1049" s="273"/>
      <c r="I1049" s="358"/>
      <c r="J1049" s="358"/>
      <c r="K1049" s="358"/>
      <c r="L1049" s="358"/>
      <c r="M1049" s="358"/>
      <c r="N1049" s="358"/>
      <c r="O1049" s="358"/>
      <c r="P1049" s="358"/>
      <c r="Q1049" s="358"/>
      <c r="R1049" s="358"/>
      <c r="S1049" s="358"/>
      <c r="T1049" s="358"/>
      <c r="U1049" s="358"/>
      <c r="V1049" s="358"/>
      <c r="W1049" s="358"/>
      <c r="X1049" s="358"/>
      <c r="Y1049" s="358"/>
      <c r="Z1049" s="358"/>
    </row>
    <row r="1050" ht="14.25" customHeight="1">
      <c r="A1050" s="358"/>
      <c r="B1050" s="399"/>
      <c r="C1050" s="399"/>
      <c r="D1050" s="399"/>
      <c r="E1050" s="399"/>
      <c r="F1050" s="400"/>
      <c r="G1050" s="273"/>
      <c r="H1050" s="273"/>
      <c r="I1050" s="358"/>
      <c r="J1050" s="358"/>
      <c r="K1050" s="358"/>
      <c r="L1050" s="358"/>
      <c r="M1050" s="358"/>
      <c r="N1050" s="358"/>
      <c r="O1050" s="358"/>
      <c r="P1050" s="358"/>
      <c r="Q1050" s="358"/>
      <c r="R1050" s="358"/>
      <c r="S1050" s="358"/>
      <c r="T1050" s="358"/>
      <c r="U1050" s="358"/>
      <c r="V1050" s="358"/>
      <c r="W1050" s="358"/>
      <c r="X1050" s="358"/>
      <c r="Y1050" s="358"/>
      <c r="Z1050" s="358"/>
    </row>
    <row r="1051" ht="14.25" customHeight="1">
      <c r="A1051" s="358"/>
      <c r="B1051" s="399"/>
      <c r="C1051" s="399"/>
      <c r="D1051" s="399"/>
      <c r="E1051" s="399"/>
      <c r="F1051" s="400"/>
      <c r="G1051" s="273"/>
      <c r="H1051" s="273"/>
      <c r="I1051" s="358"/>
      <c r="J1051" s="358"/>
      <c r="K1051" s="358"/>
      <c r="L1051" s="358"/>
      <c r="M1051" s="358"/>
      <c r="N1051" s="358"/>
      <c r="O1051" s="358"/>
      <c r="P1051" s="358"/>
      <c r="Q1051" s="358"/>
      <c r="R1051" s="358"/>
      <c r="S1051" s="358"/>
      <c r="T1051" s="358"/>
      <c r="U1051" s="358"/>
      <c r="V1051" s="358"/>
      <c r="W1051" s="358"/>
      <c r="X1051" s="358"/>
      <c r="Y1051" s="358"/>
      <c r="Z1051" s="358"/>
    </row>
    <row r="1052" ht="14.25" customHeight="1">
      <c r="A1052" s="358"/>
      <c r="B1052" s="399"/>
      <c r="C1052" s="399"/>
      <c r="D1052" s="399"/>
      <c r="E1052" s="399"/>
      <c r="F1052" s="400"/>
      <c r="G1052" s="273"/>
      <c r="H1052" s="273"/>
      <c r="I1052" s="358"/>
      <c r="J1052" s="358"/>
      <c r="K1052" s="358"/>
      <c r="L1052" s="358"/>
      <c r="M1052" s="358"/>
      <c r="N1052" s="358"/>
      <c r="O1052" s="358"/>
      <c r="P1052" s="358"/>
      <c r="Q1052" s="358"/>
      <c r="R1052" s="358"/>
      <c r="S1052" s="358"/>
      <c r="T1052" s="358"/>
      <c r="U1052" s="358"/>
      <c r="V1052" s="358"/>
      <c r="W1052" s="358"/>
      <c r="X1052" s="358"/>
      <c r="Y1052" s="358"/>
      <c r="Z1052" s="358"/>
    </row>
    <row r="1053" ht="14.25" customHeight="1">
      <c r="A1053" s="358"/>
      <c r="B1053" s="399"/>
      <c r="C1053" s="399"/>
      <c r="D1053" s="399"/>
      <c r="E1053" s="399"/>
      <c r="F1053" s="400"/>
      <c r="G1053" s="273"/>
      <c r="H1053" s="273"/>
      <c r="I1053" s="358"/>
      <c r="J1053" s="358"/>
      <c r="K1053" s="358"/>
      <c r="L1053" s="358"/>
      <c r="M1053" s="358"/>
      <c r="N1053" s="358"/>
      <c r="O1053" s="358"/>
      <c r="P1053" s="358"/>
      <c r="Q1053" s="358"/>
      <c r="R1053" s="358"/>
      <c r="S1053" s="358"/>
      <c r="T1053" s="358"/>
      <c r="U1053" s="358"/>
      <c r="V1053" s="358"/>
      <c r="W1053" s="358"/>
      <c r="X1053" s="358"/>
      <c r="Y1053" s="358"/>
      <c r="Z1053" s="358"/>
    </row>
    <row r="1054" ht="14.25" customHeight="1">
      <c r="A1054" s="358"/>
      <c r="B1054" s="399"/>
      <c r="C1054" s="399"/>
      <c r="D1054" s="399"/>
      <c r="E1054" s="399"/>
      <c r="F1054" s="400"/>
      <c r="G1054" s="273"/>
      <c r="H1054" s="273"/>
      <c r="I1054" s="358"/>
      <c r="J1054" s="358"/>
      <c r="K1054" s="358"/>
      <c r="L1054" s="358"/>
      <c r="M1054" s="358"/>
      <c r="N1054" s="358"/>
      <c r="O1054" s="358"/>
      <c r="P1054" s="358"/>
      <c r="Q1054" s="358"/>
      <c r="R1054" s="358"/>
      <c r="S1054" s="358"/>
      <c r="T1054" s="358"/>
      <c r="U1054" s="358"/>
      <c r="V1054" s="358"/>
      <c r="W1054" s="358"/>
      <c r="X1054" s="358"/>
      <c r="Y1054" s="358"/>
      <c r="Z1054" s="358"/>
    </row>
    <row r="1055" ht="14.25" customHeight="1">
      <c r="A1055" s="358"/>
      <c r="B1055" s="399"/>
      <c r="C1055" s="399"/>
      <c r="D1055" s="399"/>
      <c r="E1055" s="399"/>
      <c r="F1055" s="400"/>
      <c r="G1055" s="273"/>
      <c r="H1055" s="273"/>
      <c r="I1055" s="358"/>
      <c r="J1055" s="358"/>
      <c r="K1055" s="358"/>
      <c r="L1055" s="358"/>
      <c r="M1055" s="358"/>
      <c r="N1055" s="358"/>
      <c r="O1055" s="358"/>
      <c r="P1055" s="358"/>
      <c r="Q1055" s="358"/>
      <c r="R1055" s="358"/>
      <c r="S1055" s="358"/>
      <c r="T1055" s="358"/>
      <c r="U1055" s="358"/>
      <c r="V1055" s="358"/>
      <c r="W1055" s="358"/>
      <c r="X1055" s="358"/>
      <c r="Y1055" s="358"/>
      <c r="Z1055" s="358"/>
    </row>
    <row r="1056" ht="14.25" customHeight="1">
      <c r="A1056" s="358"/>
      <c r="B1056" s="399"/>
      <c r="C1056" s="399"/>
      <c r="D1056" s="399"/>
      <c r="E1056" s="399"/>
      <c r="F1056" s="400"/>
      <c r="G1056" s="273"/>
      <c r="H1056" s="273"/>
      <c r="I1056" s="358"/>
      <c r="J1056" s="358"/>
      <c r="K1056" s="358"/>
      <c r="L1056" s="358"/>
      <c r="M1056" s="358"/>
      <c r="N1056" s="358"/>
      <c r="O1056" s="358"/>
      <c r="P1056" s="358"/>
      <c r="Q1056" s="358"/>
      <c r="R1056" s="358"/>
      <c r="S1056" s="358"/>
      <c r="T1056" s="358"/>
      <c r="U1056" s="358"/>
      <c r="V1056" s="358"/>
      <c r="W1056" s="358"/>
      <c r="X1056" s="358"/>
      <c r="Y1056" s="358"/>
      <c r="Z1056" s="358"/>
    </row>
    <row r="1057" ht="14.25" customHeight="1">
      <c r="A1057" s="358"/>
      <c r="B1057" s="399"/>
      <c r="C1057" s="399"/>
      <c r="D1057" s="399"/>
      <c r="E1057" s="399"/>
      <c r="F1057" s="400"/>
      <c r="G1057" s="273"/>
      <c r="H1057" s="273"/>
      <c r="I1057" s="358"/>
      <c r="J1057" s="358"/>
      <c r="K1057" s="358"/>
      <c r="L1057" s="358"/>
      <c r="M1057" s="358"/>
      <c r="N1057" s="358"/>
      <c r="O1057" s="358"/>
      <c r="P1057" s="358"/>
      <c r="Q1057" s="358"/>
      <c r="R1057" s="358"/>
      <c r="S1057" s="358"/>
      <c r="T1057" s="358"/>
      <c r="U1057" s="358"/>
      <c r="V1057" s="358"/>
      <c r="W1057" s="358"/>
      <c r="X1057" s="358"/>
      <c r="Y1057" s="358"/>
      <c r="Z1057" s="358"/>
    </row>
    <row r="1058" ht="14.25" customHeight="1">
      <c r="A1058" s="358"/>
      <c r="B1058" s="399"/>
      <c r="C1058" s="399"/>
      <c r="D1058" s="399"/>
      <c r="E1058" s="399"/>
      <c r="F1058" s="400"/>
      <c r="G1058" s="273"/>
      <c r="H1058" s="273"/>
      <c r="I1058" s="358"/>
      <c r="J1058" s="358"/>
      <c r="K1058" s="358"/>
      <c r="L1058" s="358"/>
      <c r="M1058" s="358"/>
      <c r="N1058" s="358"/>
      <c r="O1058" s="358"/>
      <c r="P1058" s="358"/>
      <c r="Q1058" s="358"/>
      <c r="R1058" s="358"/>
      <c r="S1058" s="358"/>
      <c r="T1058" s="358"/>
      <c r="U1058" s="358"/>
      <c r="V1058" s="358"/>
      <c r="W1058" s="358"/>
      <c r="X1058" s="358"/>
      <c r="Y1058" s="358"/>
      <c r="Z1058" s="358"/>
    </row>
    <row r="1059" ht="14.25" customHeight="1">
      <c r="A1059" s="358"/>
      <c r="B1059" s="399"/>
      <c r="C1059" s="399"/>
      <c r="D1059" s="399"/>
      <c r="E1059" s="399"/>
      <c r="F1059" s="400"/>
      <c r="G1059" s="273"/>
      <c r="H1059" s="273"/>
      <c r="I1059" s="358"/>
      <c r="J1059" s="358"/>
      <c r="K1059" s="358"/>
      <c r="L1059" s="358"/>
      <c r="M1059" s="358"/>
      <c r="N1059" s="358"/>
      <c r="O1059" s="358"/>
      <c r="P1059" s="358"/>
      <c r="Q1059" s="358"/>
      <c r="R1059" s="358"/>
      <c r="S1059" s="358"/>
      <c r="T1059" s="358"/>
      <c r="U1059" s="358"/>
      <c r="V1059" s="358"/>
      <c r="W1059" s="358"/>
      <c r="X1059" s="358"/>
      <c r="Y1059" s="358"/>
      <c r="Z1059" s="358"/>
    </row>
    <row r="1060" ht="14.25" customHeight="1">
      <c r="A1060" s="358"/>
      <c r="B1060" s="399"/>
      <c r="C1060" s="399"/>
      <c r="D1060" s="399"/>
      <c r="E1060" s="399"/>
      <c r="F1060" s="400"/>
      <c r="G1060" s="273"/>
      <c r="H1060" s="273"/>
      <c r="I1060" s="358"/>
      <c r="J1060" s="358"/>
      <c r="K1060" s="358"/>
      <c r="L1060" s="358"/>
      <c r="M1060" s="358"/>
      <c r="N1060" s="358"/>
      <c r="O1060" s="358"/>
      <c r="P1060" s="358"/>
      <c r="Q1060" s="358"/>
      <c r="R1060" s="358"/>
      <c r="S1060" s="358"/>
      <c r="T1060" s="358"/>
      <c r="U1060" s="358"/>
      <c r="V1060" s="358"/>
      <c r="W1060" s="358"/>
      <c r="X1060" s="358"/>
      <c r="Y1060" s="358"/>
      <c r="Z1060" s="358"/>
    </row>
    <row r="1061" ht="14.25" customHeight="1">
      <c r="A1061" s="358"/>
      <c r="B1061" s="399"/>
      <c r="C1061" s="399"/>
      <c r="D1061" s="399"/>
      <c r="E1061" s="399"/>
      <c r="F1061" s="400"/>
      <c r="G1061" s="273"/>
      <c r="H1061" s="273"/>
      <c r="I1061" s="358"/>
      <c r="J1061" s="358"/>
      <c r="K1061" s="358"/>
      <c r="L1061" s="358"/>
      <c r="M1061" s="358"/>
      <c r="N1061" s="358"/>
      <c r="O1061" s="358"/>
      <c r="P1061" s="358"/>
      <c r="Q1061" s="358"/>
      <c r="R1061" s="358"/>
      <c r="S1061" s="358"/>
      <c r="T1061" s="358"/>
      <c r="U1061" s="358"/>
      <c r="V1061" s="358"/>
      <c r="W1061" s="358"/>
      <c r="X1061" s="358"/>
      <c r="Y1061" s="358"/>
      <c r="Z1061" s="358"/>
    </row>
    <row r="1062" ht="14.25" customHeight="1">
      <c r="A1062" s="358"/>
      <c r="B1062" s="399"/>
      <c r="C1062" s="399"/>
      <c r="D1062" s="399"/>
      <c r="E1062" s="399"/>
      <c r="F1062" s="400"/>
      <c r="G1062" s="273"/>
      <c r="H1062" s="273"/>
      <c r="I1062" s="358"/>
      <c r="J1062" s="358"/>
      <c r="K1062" s="358"/>
      <c r="L1062" s="358"/>
      <c r="M1062" s="358"/>
      <c r="N1062" s="358"/>
      <c r="O1062" s="358"/>
      <c r="P1062" s="358"/>
      <c r="Q1062" s="358"/>
      <c r="R1062" s="358"/>
      <c r="S1062" s="358"/>
      <c r="T1062" s="358"/>
      <c r="U1062" s="358"/>
      <c r="V1062" s="358"/>
      <c r="W1062" s="358"/>
      <c r="X1062" s="358"/>
      <c r="Y1062" s="358"/>
      <c r="Z1062" s="358"/>
    </row>
    <row r="1063" ht="14.25" customHeight="1">
      <c r="A1063" s="358"/>
      <c r="B1063" s="399"/>
      <c r="C1063" s="399"/>
      <c r="D1063" s="399"/>
      <c r="E1063" s="399"/>
      <c r="F1063" s="400"/>
      <c r="G1063" s="273"/>
      <c r="H1063" s="273"/>
      <c r="I1063" s="358"/>
      <c r="J1063" s="358"/>
      <c r="K1063" s="358"/>
      <c r="L1063" s="358"/>
      <c r="M1063" s="358"/>
      <c r="N1063" s="358"/>
      <c r="O1063" s="358"/>
      <c r="P1063" s="358"/>
      <c r="Q1063" s="358"/>
      <c r="R1063" s="358"/>
      <c r="S1063" s="358"/>
      <c r="T1063" s="358"/>
      <c r="U1063" s="358"/>
      <c r="V1063" s="358"/>
      <c r="W1063" s="358"/>
      <c r="X1063" s="358"/>
      <c r="Y1063" s="358"/>
      <c r="Z1063" s="358"/>
    </row>
    <row r="1064" ht="14.25" customHeight="1">
      <c r="A1064" s="358"/>
      <c r="B1064" s="399"/>
      <c r="C1064" s="399"/>
      <c r="D1064" s="399"/>
      <c r="E1064" s="399"/>
      <c r="F1064" s="400"/>
      <c r="G1064" s="273"/>
      <c r="H1064" s="273"/>
      <c r="I1064" s="358"/>
      <c r="J1064" s="358"/>
      <c r="K1064" s="358"/>
      <c r="L1064" s="358"/>
      <c r="M1064" s="358"/>
      <c r="N1064" s="358"/>
      <c r="O1064" s="358"/>
      <c r="P1064" s="358"/>
      <c r="Q1064" s="358"/>
      <c r="R1064" s="358"/>
      <c r="S1064" s="358"/>
      <c r="T1064" s="358"/>
      <c r="U1064" s="358"/>
      <c r="V1064" s="358"/>
      <c r="W1064" s="358"/>
      <c r="X1064" s="358"/>
      <c r="Y1064" s="358"/>
      <c r="Z1064" s="358"/>
    </row>
    <row r="1065" ht="14.25" customHeight="1">
      <c r="A1065" s="358"/>
      <c r="B1065" s="399"/>
      <c r="C1065" s="399"/>
      <c r="D1065" s="399"/>
      <c r="E1065" s="399"/>
      <c r="F1065" s="400"/>
      <c r="G1065" s="273"/>
      <c r="H1065" s="273"/>
      <c r="I1065" s="358"/>
      <c r="J1065" s="358"/>
      <c r="K1065" s="358"/>
      <c r="L1065" s="358"/>
      <c r="M1065" s="358"/>
      <c r="N1065" s="358"/>
      <c r="O1065" s="358"/>
      <c r="P1065" s="358"/>
      <c r="Q1065" s="358"/>
      <c r="R1065" s="358"/>
      <c r="S1065" s="358"/>
      <c r="T1065" s="358"/>
      <c r="U1065" s="358"/>
      <c r="V1065" s="358"/>
      <c r="W1065" s="358"/>
      <c r="X1065" s="358"/>
      <c r="Y1065" s="358"/>
      <c r="Z1065" s="358"/>
    </row>
    <row r="1066" ht="14.25" customHeight="1">
      <c r="A1066" s="358"/>
      <c r="B1066" s="399"/>
      <c r="C1066" s="399"/>
      <c r="D1066" s="399"/>
      <c r="E1066" s="399"/>
      <c r="F1066" s="400"/>
      <c r="G1066" s="273"/>
      <c r="H1066" s="273"/>
      <c r="I1066" s="358"/>
      <c r="J1066" s="358"/>
      <c r="K1066" s="358"/>
      <c r="L1066" s="358"/>
      <c r="M1066" s="358"/>
      <c r="N1066" s="358"/>
      <c r="O1066" s="358"/>
      <c r="P1066" s="358"/>
      <c r="Q1066" s="358"/>
      <c r="R1066" s="358"/>
      <c r="S1066" s="358"/>
      <c r="T1066" s="358"/>
      <c r="U1066" s="358"/>
      <c r="V1066" s="358"/>
      <c r="W1066" s="358"/>
      <c r="X1066" s="358"/>
      <c r="Y1066" s="358"/>
      <c r="Z1066" s="358"/>
    </row>
    <row r="1067" ht="14.25" customHeight="1">
      <c r="A1067" s="358"/>
      <c r="B1067" s="399"/>
      <c r="C1067" s="399"/>
      <c r="D1067" s="399"/>
      <c r="E1067" s="399"/>
      <c r="F1067" s="400"/>
      <c r="G1067" s="273"/>
      <c r="H1067" s="273"/>
      <c r="I1067" s="358"/>
      <c r="J1067" s="358"/>
      <c r="K1067" s="358"/>
      <c r="L1067" s="358"/>
      <c r="M1067" s="358"/>
      <c r="N1067" s="358"/>
      <c r="O1067" s="358"/>
      <c r="P1067" s="358"/>
      <c r="Q1067" s="358"/>
      <c r="R1067" s="358"/>
      <c r="S1067" s="358"/>
      <c r="T1067" s="358"/>
      <c r="U1067" s="358"/>
      <c r="V1067" s="358"/>
      <c r="W1067" s="358"/>
      <c r="X1067" s="358"/>
      <c r="Y1067" s="358"/>
      <c r="Z1067" s="358"/>
    </row>
    <row r="1068" ht="14.25" customHeight="1">
      <c r="A1068" s="358"/>
      <c r="B1068" s="399"/>
      <c r="C1068" s="399"/>
      <c r="D1068" s="399"/>
      <c r="E1068" s="399"/>
      <c r="F1068" s="400"/>
      <c r="G1068" s="273"/>
      <c r="H1068" s="273"/>
      <c r="I1068" s="358"/>
      <c r="J1068" s="358"/>
      <c r="K1068" s="358"/>
      <c r="L1068" s="358"/>
      <c r="M1068" s="358"/>
      <c r="N1068" s="358"/>
      <c r="O1068" s="358"/>
      <c r="P1068" s="358"/>
      <c r="Q1068" s="358"/>
      <c r="R1068" s="358"/>
      <c r="S1068" s="358"/>
      <c r="T1068" s="358"/>
      <c r="U1068" s="358"/>
      <c r="V1068" s="358"/>
      <c r="W1068" s="358"/>
      <c r="X1068" s="358"/>
      <c r="Y1068" s="358"/>
      <c r="Z1068" s="358"/>
    </row>
    <row r="1069" ht="14.25" customHeight="1">
      <c r="A1069" s="358"/>
      <c r="B1069" s="399"/>
      <c r="C1069" s="399"/>
      <c r="D1069" s="399"/>
      <c r="E1069" s="399"/>
      <c r="F1069" s="400"/>
      <c r="G1069" s="273"/>
      <c r="H1069" s="273"/>
      <c r="I1069" s="358"/>
      <c r="J1069" s="358"/>
      <c r="K1069" s="358"/>
      <c r="L1069" s="358"/>
      <c r="M1069" s="358"/>
      <c r="N1069" s="358"/>
      <c r="O1069" s="358"/>
      <c r="P1069" s="358"/>
      <c r="Q1069" s="358"/>
      <c r="R1069" s="358"/>
      <c r="S1069" s="358"/>
      <c r="T1069" s="358"/>
      <c r="U1069" s="358"/>
      <c r="V1069" s="358"/>
      <c r="W1069" s="358"/>
      <c r="X1069" s="358"/>
      <c r="Y1069" s="358"/>
      <c r="Z1069" s="358"/>
    </row>
    <row r="1070" ht="14.25" customHeight="1">
      <c r="A1070" s="358"/>
      <c r="B1070" s="399"/>
      <c r="C1070" s="399"/>
      <c r="D1070" s="399"/>
      <c r="E1070" s="399"/>
      <c r="F1070" s="400"/>
      <c r="G1070" s="273"/>
      <c r="H1070" s="273"/>
      <c r="I1070" s="358"/>
      <c r="J1070" s="358"/>
      <c r="K1070" s="358"/>
      <c r="L1070" s="358"/>
      <c r="M1070" s="358"/>
      <c r="N1070" s="358"/>
      <c r="O1070" s="358"/>
      <c r="P1070" s="358"/>
      <c r="Q1070" s="358"/>
      <c r="R1070" s="358"/>
      <c r="S1070" s="358"/>
      <c r="T1070" s="358"/>
      <c r="U1070" s="358"/>
      <c r="V1070" s="358"/>
      <c r="W1070" s="358"/>
      <c r="X1070" s="358"/>
      <c r="Y1070" s="358"/>
      <c r="Z1070" s="358"/>
    </row>
    <row r="1071" ht="14.25" customHeight="1">
      <c r="A1071" s="358"/>
      <c r="B1071" s="399"/>
      <c r="C1071" s="399"/>
      <c r="D1071" s="399"/>
      <c r="E1071" s="399"/>
      <c r="F1071" s="400"/>
      <c r="G1071" s="273"/>
      <c r="H1071" s="273"/>
      <c r="I1071" s="358"/>
      <c r="J1071" s="358"/>
      <c r="K1071" s="358"/>
      <c r="L1071" s="358"/>
      <c r="M1071" s="358"/>
      <c r="N1071" s="358"/>
      <c r="O1071" s="358"/>
      <c r="P1071" s="358"/>
      <c r="Q1071" s="358"/>
      <c r="R1071" s="358"/>
      <c r="S1071" s="358"/>
      <c r="T1071" s="358"/>
      <c r="U1071" s="358"/>
      <c r="V1071" s="358"/>
      <c r="W1071" s="358"/>
      <c r="X1071" s="358"/>
      <c r="Y1071" s="358"/>
      <c r="Z1071" s="358"/>
    </row>
    <row r="1072" ht="14.25" customHeight="1">
      <c r="A1072" s="358"/>
      <c r="B1072" s="399"/>
      <c r="C1072" s="399"/>
      <c r="D1072" s="399"/>
      <c r="E1072" s="399"/>
      <c r="F1072" s="400"/>
      <c r="G1072" s="273"/>
      <c r="H1072" s="273"/>
      <c r="I1072" s="358"/>
      <c r="J1072" s="358"/>
      <c r="K1072" s="358"/>
      <c r="L1072" s="358"/>
      <c r="M1072" s="358"/>
      <c r="N1072" s="358"/>
      <c r="O1072" s="358"/>
      <c r="P1072" s="358"/>
      <c r="Q1072" s="358"/>
      <c r="R1072" s="358"/>
      <c r="S1072" s="358"/>
      <c r="T1072" s="358"/>
      <c r="U1072" s="358"/>
      <c r="V1072" s="358"/>
      <c r="W1072" s="358"/>
      <c r="X1072" s="358"/>
      <c r="Y1072" s="358"/>
      <c r="Z1072" s="358"/>
    </row>
    <row r="1073" ht="14.25" customHeight="1">
      <c r="A1073" s="358"/>
      <c r="B1073" s="399"/>
      <c r="C1073" s="399"/>
      <c r="D1073" s="399"/>
      <c r="E1073" s="399"/>
      <c r="F1073" s="400"/>
      <c r="G1073" s="273"/>
      <c r="H1073" s="273"/>
      <c r="I1073" s="358"/>
      <c r="J1073" s="358"/>
      <c r="K1073" s="358"/>
      <c r="L1073" s="358"/>
      <c r="M1073" s="358"/>
      <c r="N1073" s="358"/>
      <c r="O1073" s="358"/>
      <c r="P1073" s="358"/>
      <c r="Q1073" s="358"/>
      <c r="R1073" s="358"/>
      <c r="S1073" s="358"/>
      <c r="T1073" s="358"/>
      <c r="U1073" s="358"/>
      <c r="V1073" s="358"/>
      <c r="W1073" s="358"/>
      <c r="X1073" s="358"/>
      <c r="Y1073" s="358"/>
      <c r="Z1073" s="358"/>
    </row>
    <row r="1074" ht="14.25" customHeight="1">
      <c r="A1074" s="358"/>
      <c r="B1074" s="399"/>
      <c r="C1074" s="399"/>
      <c r="D1074" s="399"/>
      <c r="E1074" s="399"/>
      <c r="F1074" s="400"/>
      <c r="G1074" s="273"/>
      <c r="H1074" s="273"/>
      <c r="I1074" s="358"/>
      <c r="J1074" s="358"/>
      <c r="K1074" s="358"/>
      <c r="L1074" s="358"/>
      <c r="M1074" s="358"/>
      <c r="N1074" s="358"/>
      <c r="O1074" s="358"/>
      <c r="P1074" s="358"/>
      <c r="Q1074" s="358"/>
      <c r="R1074" s="358"/>
      <c r="S1074" s="358"/>
      <c r="T1074" s="358"/>
      <c r="U1074" s="358"/>
      <c r="V1074" s="358"/>
      <c r="W1074" s="358"/>
      <c r="X1074" s="358"/>
      <c r="Y1074" s="358"/>
      <c r="Z1074" s="358"/>
    </row>
    <row r="1075" ht="14.25" customHeight="1">
      <c r="A1075" s="358"/>
      <c r="B1075" s="399"/>
      <c r="C1075" s="399"/>
      <c r="D1075" s="399"/>
      <c r="E1075" s="399"/>
      <c r="F1075" s="400"/>
      <c r="G1075" s="273"/>
      <c r="H1075" s="273"/>
      <c r="I1075" s="358"/>
      <c r="J1075" s="358"/>
      <c r="K1075" s="358"/>
      <c r="L1075" s="358"/>
      <c r="M1075" s="358"/>
      <c r="N1075" s="358"/>
      <c r="O1075" s="358"/>
      <c r="P1075" s="358"/>
      <c r="Q1075" s="358"/>
      <c r="R1075" s="358"/>
      <c r="S1075" s="358"/>
      <c r="T1075" s="358"/>
      <c r="U1075" s="358"/>
      <c r="V1075" s="358"/>
      <c r="W1075" s="358"/>
      <c r="X1075" s="358"/>
      <c r="Y1075" s="358"/>
      <c r="Z1075" s="358"/>
    </row>
    <row r="1076" ht="14.25" customHeight="1">
      <c r="A1076" s="358"/>
      <c r="B1076" s="399"/>
      <c r="C1076" s="399"/>
      <c r="D1076" s="399"/>
      <c r="E1076" s="399"/>
      <c r="F1076" s="400"/>
      <c r="G1076" s="273"/>
      <c r="H1076" s="273"/>
      <c r="I1076" s="358"/>
      <c r="J1076" s="358"/>
      <c r="K1076" s="358"/>
      <c r="L1076" s="358"/>
      <c r="M1076" s="358"/>
      <c r="N1076" s="358"/>
      <c r="O1076" s="358"/>
      <c r="P1076" s="358"/>
      <c r="Q1076" s="358"/>
      <c r="R1076" s="358"/>
      <c r="S1076" s="358"/>
      <c r="T1076" s="358"/>
      <c r="U1076" s="358"/>
      <c r="V1076" s="358"/>
      <c r="W1076" s="358"/>
      <c r="X1076" s="358"/>
      <c r="Y1076" s="358"/>
      <c r="Z1076" s="358"/>
    </row>
    <row r="1077" ht="14.25" customHeight="1">
      <c r="A1077" s="358"/>
      <c r="B1077" s="399"/>
      <c r="C1077" s="399"/>
      <c r="D1077" s="399"/>
      <c r="E1077" s="399"/>
      <c r="F1077" s="400"/>
      <c r="G1077" s="273"/>
      <c r="H1077" s="273"/>
      <c r="I1077" s="358"/>
      <c r="J1077" s="358"/>
      <c r="K1077" s="358"/>
      <c r="L1077" s="358"/>
      <c r="M1077" s="358"/>
      <c r="N1077" s="358"/>
      <c r="O1077" s="358"/>
      <c r="P1077" s="358"/>
      <c r="Q1077" s="358"/>
      <c r="R1077" s="358"/>
      <c r="S1077" s="358"/>
      <c r="T1077" s="358"/>
      <c r="U1077" s="358"/>
      <c r="V1077" s="358"/>
      <c r="W1077" s="358"/>
      <c r="X1077" s="358"/>
      <c r="Y1077" s="358"/>
      <c r="Z1077" s="358"/>
    </row>
    <row r="1078" ht="14.25" customHeight="1">
      <c r="A1078" s="358"/>
      <c r="B1078" s="399"/>
      <c r="C1078" s="399"/>
      <c r="D1078" s="399"/>
      <c r="E1078" s="399"/>
      <c r="F1078" s="400"/>
      <c r="G1078" s="273"/>
      <c r="H1078" s="273"/>
      <c r="I1078" s="358"/>
      <c r="J1078" s="358"/>
      <c r="K1078" s="358"/>
      <c r="L1078" s="358"/>
      <c r="M1078" s="358"/>
      <c r="N1078" s="358"/>
      <c r="O1078" s="358"/>
      <c r="P1078" s="358"/>
      <c r="Q1078" s="358"/>
      <c r="R1078" s="358"/>
      <c r="S1078" s="358"/>
      <c r="T1078" s="358"/>
      <c r="U1078" s="358"/>
      <c r="V1078" s="358"/>
      <c r="W1078" s="358"/>
      <c r="X1078" s="358"/>
      <c r="Y1078" s="358"/>
      <c r="Z1078" s="358"/>
    </row>
    <row r="1079" ht="14.25" customHeight="1">
      <c r="A1079" s="358"/>
      <c r="B1079" s="399"/>
      <c r="C1079" s="399"/>
      <c r="D1079" s="399"/>
      <c r="E1079" s="399"/>
      <c r="F1079" s="400"/>
      <c r="G1079" s="273"/>
      <c r="H1079" s="273"/>
      <c r="I1079" s="358"/>
      <c r="J1079" s="358"/>
      <c r="K1079" s="358"/>
      <c r="L1079" s="358"/>
      <c r="M1079" s="358"/>
      <c r="N1079" s="358"/>
      <c r="O1079" s="358"/>
      <c r="P1079" s="358"/>
      <c r="Q1079" s="358"/>
      <c r="R1079" s="358"/>
      <c r="S1079" s="358"/>
      <c r="T1079" s="358"/>
      <c r="U1079" s="358"/>
      <c r="V1079" s="358"/>
      <c r="W1079" s="358"/>
      <c r="X1079" s="358"/>
      <c r="Y1079" s="358"/>
      <c r="Z1079" s="358"/>
    </row>
    <row r="1080" ht="14.25" customHeight="1">
      <c r="A1080" s="358"/>
      <c r="B1080" s="399"/>
      <c r="C1080" s="399"/>
      <c r="D1080" s="399"/>
      <c r="E1080" s="399"/>
      <c r="F1080" s="400"/>
      <c r="G1080" s="273"/>
      <c r="H1080" s="273"/>
      <c r="I1080" s="358"/>
      <c r="J1080" s="358"/>
      <c r="K1080" s="358"/>
      <c r="L1080" s="358"/>
      <c r="M1080" s="358"/>
      <c r="N1080" s="358"/>
      <c r="O1080" s="358"/>
      <c r="P1080" s="358"/>
      <c r="Q1080" s="358"/>
      <c r="R1080" s="358"/>
      <c r="S1080" s="358"/>
      <c r="T1080" s="358"/>
      <c r="U1080" s="358"/>
      <c r="V1080" s="358"/>
      <c r="W1080" s="358"/>
      <c r="X1080" s="358"/>
      <c r="Y1080" s="358"/>
      <c r="Z1080" s="358"/>
    </row>
    <row r="1081" ht="14.25" customHeight="1">
      <c r="A1081" s="358"/>
      <c r="B1081" s="399"/>
      <c r="C1081" s="399"/>
      <c r="D1081" s="399"/>
      <c r="E1081" s="399"/>
      <c r="F1081" s="400"/>
      <c r="G1081" s="273"/>
      <c r="H1081" s="273"/>
      <c r="I1081" s="358"/>
      <c r="J1081" s="358"/>
      <c r="K1081" s="358"/>
      <c r="L1081" s="358"/>
      <c r="M1081" s="358"/>
      <c r="N1081" s="358"/>
      <c r="O1081" s="358"/>
      <c r="P1081" s="358"/>
      <c r="Q1081" s="358"/>
      <c r="R1081" s="358"/>
      <c r="S1081" s="358"/>
      <c r="T1081" s="358"/>
      <c r="U1081" s="358"/>
      <c r="V1081" s="358"/>
      <c r="W1081" s="358"/>
      <c r="X1081" s="358"/>
      <c r="Y1081" s="358"/>
      <c r="Z1081" s="358"/>
    </row>
    <row r="1082" ht="14.25" customHeight="1">
      <c r="A1082" s="358"/>
      <c r="B1082" s="399"/>
      <c r="C1082" s="399"/>
      <c r="D1082" s="399"/>
      <c r="E1082" s="399"/>
      <c r="F1082" s="400"/>
      <c r="G1082" s="273"/>
      <c r="H1082" s="273"/>
      <c r="I1082" s="358"/>
      <c r="J1082" s="358"/>
      <c r="K1082" s="358"/>
      <c r="L1082" s="358"/>
      <c r="M1082" s="358"/>
      <c r="N1082" s="358"/>
      <c r="O1082" s="358"/>
      <c r="P1082" s="358"/>
      <c r="Q1082" s="358"/>
      <c r="R1082" s="358"/>
      <c r="S1082" s="358"/>
      <c r="T1082" s="358"/>
      <c r="U1082" s="358"/>
      <c r="V1082" s="358"/>
      <c r="W1082" s="358"/>
      <c r="X1082" s="358"/>
      <c r="Y1082" s="358"/>
      <c r="Z1082" s="358"/>
    </row>
    <row r="1083" ht="14.25" customHeight="1">
      <c r="A1083" s="358"/>
      <c r="B1083" s="399"/>
      <c r="C1083" s="399"/>
      <c r="D1083" s="399"/>
      <c r="E1083" s="399"/>
      <c r="F1083" s="400"/>
      <c r="G1083" s="273"/>
      <c r="H1083" s="273"/>
      <c r="I1083" s="358"/>
      <c r="J1083" s="358"/>
      <c r="K1083" s="358"/>
      <c r="L1083" s="358"/>
      <c r="M1083" s="358"/>
      <c r="N1083" s="358"/>
      <c r="O1083" s="358"/>
      <c r="P1083" s="358"/>
      <c r="Q1083" s="358"/>
      <c r="R1083" s="358"/>
      <c r="S1083" s="358"/>
      <c r="T1083" s="358"/>
      <c r="U1083" s="358"/>
      <c r="V1083" s="358"/>
      <c r="W1083" s="358"/>
      <c r="X1083" s="358"/>
      <c r="Y1083" s="358"/>
      <c r="Z1083" s="358"/>
    </row>
    <row r="1084" ht="14.25" customHeight="1">
      <c r="A1084" s="358"/>
      <c r="B1084" s="399"/>
      <c r="C1084" s="399"/>
      <c r="D1084" s="399"/>
      <c r="E1084" s="399"/>
      <c r="F1084" s="400"/>
      <c r="G1084" s="273"/>
      <c r="H1084" s="273"/>
      <c r="I1084" s="358"/>
      <c r="J1084" s="358"/>
      <c r="K1084" s="358"/>
      <c r="L1084" s="358"/>
      <c r="M1084" s="358"/>
      <c r="N1084" s="358"/>
      <c r="O1084" s="358"/>
      <c r="P1084" s="358"/>
      <c r="Q1084" s="358"/>
      <c r="R1084" s="358"/>
      <c r="S1084" s="358"/>
      <c r="T1084" s="358"/>
      <c r="U1084" s="358"/>
      <c r="V1084" s="358"/>
      <c r="W1084" s="358"/>
      <c r="X1084" s="358"/>
      <c r="Y1084" s="358"/>
      <c r="Z1084" s="358"/>
    </row>
    <row r="1085" ht="14.25" customHeight="1">
      <c r="A1085" s="358"/>
      <c r="B1085" s="399"/>
      <c r="C1085" s="399"/>
      <c r="D1085" s="399"/>
      <c r="E1085" s="399"/>
      <c r="F1085" s="400"/>
      <c r="G1085" s="273"/>
      <c r="H1085" s="273"/>
      <c r="I1085" s="358"/>
      <c r="J1085" s="358"/>
      <c r="K1085" s="358"/>
      <c r="L1085" s="358"/>
      <c r="M1085" s="358"/>
      <c r="N1085" s="358"/>
      <c r="O1085" s="358"/>
      <c r="P1085" s="358"/>
      <c r="Q1085" s="358"/>
      <c r="R1085" s="358"/>
      <c r="S1085" s="358"/>
      <c r="T1085" s="358"/>
      <c r="U1085" s="358"/>
      <c r="V1085" s="358"/>
      <c r="W1085" s="358"/>
      <c r="X1085" s="358"/>
      <c r="Y1085" s="358"/>
      <c r="Z1085" s="358"/>
    </row>
    <row r="1086" ht="14.25" customHeight="1">
      <c r="A1086" s="358"/>
      <c r="B1086" s="399"/>
      <c r="C1086" s="399"/>
      <c r="D1086" s="399"/>
      <c r="E1086" s="399"/>
      <c r="F1086" s="400"/>
      <c r="G1086" s="273"/>
      <c r="H1086" s="273"/>
      <c r="I1086" s="358"/>
      <c r="J1086" s="358"/>
      <c r="K1086" s="358"/>
      <c r="L1086" s="358"/>
      <c r="M1086" s="358"/>
      <c r="N1086" s="358"/>
      <c r="O1086" s="358"/>
      <c r="P1086" s="358"/>
      <c r="Q1086" s="358"/>
      <c r="R1086" s="358"/>
      <c r="S1086" s="358"/>
      <c r="T1086" s="358"/>
      <c r="U1086" s="358"/>
      <c r="V1086" s="358"/>
      <c r="W1086" s="358"/>
      <c r="X1086" s="358"/>
      <c r="Y1086" s="358"/>
      <c r="Z1086" s="358"/>
    </row>
    <row r="1087" ht="14.25" customHeight="1">
      <c r="A1087" s="358"/>
      <c r="B1087" s="399"/>
      <c r="C1087" s="399"/>
      <c r="D1087" s="399"/>
      <c r="E1087" s="399"/>
      <c r="F1087" s="400"/>
      <c r="G1087" s="273"/>
      <c r="H1087" s="273"/>
      <c r="I1087" s="358"/>
      <c r="J1087" s="358"/>
      <c r="K1087" s="358"/>
      <c r="L1087" s="358"/>
      <c r="M1087" s="358"/>
      <c r="N1087" s="358"/>
      <c r="O1087" s="358"/>
      <c r="P1087" s="358"/>
      <c r="Q1087" s="358"/>
      <c r="R1087" s="358"/>
      <c r="S1087" s="358"/>
      <c r="T1087" s="358"/>
      <c r="U1087" s="358"/>
      <c r="V1087" s="358"/>
      <c r="W1087" s="358"/>
      <c r="X1087" s="358"/>
      <c r="Y1087" s="358"/>
      <c r="Z1087" s="358"/>
    </row>
    <row r="1088" ht="14.25" customHeight="1">
      <c r="A1088" s="358"/>
      <c r="B1088" s="399"/>
      <c r="C1088" s="399"/>
      <c r="D1088" s="399"/>
      <c r="E1088" s="399"/>
      <c r="F1088" s="400"/>
      <c r="G1088" s="273"/>
      <c r="H1088" s="273"/>
      <c r="I1088" s="358"/>
      <c r="J1088" s="358"/>
      <c r="K1088" s="358"/>
      <c r="L1088" s="358"/>
      <c r="M1088" s="358"/>
      <c r="N1088" s="358"/>
      <c r="O1088" s="358"/>
      <c r="P1088" s="358"/>
      <c r="Q1088" s="358"/>
      <c r="R1088" s="358"/>
      <c r="S1088" s="358"/>
      <c r="T1088" s="358"/>
      <c r="U1088" s="358"/>
      <c r="V1088" s="358"/>
      <c r="W1088" s="358"/>
      <c r="X1088" s="358"/>
      <c r="Y1088" s="358"/>
      <c r="Z1088" s="358"/>
    </row>
    <row r="1089" ht="14.25" customHeight="1">
      <c r="A1089" s="358"/>
      <c r="B1089" s="399"/>
      <c r="C1089" s="399"/>
      <c r="D1089" s="399"/>
      <c r="E1089" s="399"/>
      <c r="F1089" s="400"/>
      <c r="G1089" s="273"/>
      <c r="H1089" s="273"/>
      <c r="I1089" s="358"/>
      <c r="J1089" s="358"/>
      <c r="K1089" s="358"/>
      <c r="L1089" s="358"/>
      <c r="M1089" s="358"/>
      <c r="N1089" s="358"/>
      <c r="O1089" s="358"/>
      <c r="P1089" s="358"/>
      <c r="Q1089" s="358"/>
      <c r="R1089" s="358"/>
      <c r="S1089" s="358"/>
      <c r="T1089" s="358"/>
      <c r="U1089" s="358"/>
      <c r="V1089" s="358"/>
      <c r="W1089" s="358"/>
      <c r="X1089" s="358"/>
      <c r="Y1089" s="358"/>
      <c r="Z1089" s="358"/>
    </row>
    <row r="1090" ht="14.25" customHeight="1">
      <c r="A1090" s="358"/>
      <c r="B1090" s="399"/>
      <c r="C1090" s="399"/>
      <c r="D1090" s="399"/>
      <c r="E1090" s="399"/>
      <c r="F1090" s="400"/>
      <c r="G1090" s="273"/>
      <c r="H1090" s="273"/>
      <c r="I1090" s="358"/>
      <c r="J1090" s="358"/>
      <c r="K1090" s="358"/>
      <c r="L1090" s="358"/>
      <c r="M1090" s="358"/>
      <c r="N1090" s="358"/>
      <c r="O1090" s="358"/>
      <c r="P1090" s="358"/>
      <c r="Q1090" s="358"/>
      <c r="R1090" s="358"/>
      <c r="S1090" s="358"/>
      <c r="T1090" s="358"/>
      <c r="U1090" s="358"/>
      <c r="V1090" s="358"/>
      <c r="W1090" s="358"/>
      <c r="X1090" s="358"/>
      <c r="Y1090" s="358"/>
      <c r="Z1090" s="358"/>
    </row>
    <row r="1091" ht="14.25" customHeight="1">
      <c r="A1091" s="358"/>
      <c r="B1091" s="399"/>
      <c r="C1091" s="399"/>
      <c r="D1091" s="399"/>
      <c r="E1091" s="399"/>
      <c r="F1091" s="400"/>
      <c r="G1091" s="273"/>
      <c r="H1091" s="273"/>
      <c r="I1091" s="358"/>
      <c r="J1091" s="358"/>
      <c r="K1091" s="358"/>
      <c r="L1091" s="358"/>
      <c r="M1091" s="358"/>
      <c r="N1091" s="358"/>
      <c r="O1091" s="358"/>
      <c r="P1091" s="358"/>
      <c r="Q1091" s="358"/>
      <c r="R1091" s="358"/>
      <c r="S1091" s="358"/>
      <c r="T1091" s="358"/>
      <c r="U1091" s="358"/>
      <c r="V1091" s="358"/>
      <c r="W1091" s="358"/>
      <c r="X1091" s="358"/>
      <c r="Y1091" s="358"/>
      <c r="Z1091" s="358"/>
    </row>
    <row r="1092" ht="14.25" customHeight="1">
      <c r="A1092" s="358"/>
      <c r="B1092" s="399"/>
      <c r="C1092" s="399"/>
      <c r="D1092" s="399"/>
      <c r="E1092" s="399"/>
      <c r="F1092" s="400"/>
      <c r="G1092" s="273"/>
      <c r="H1092" s="273"/>
      <c r="I1092" s="358"/>
      <c r="J1092" s="358"/>
      <c r="K1092" s="358"/>
      <c r="L1092" s="358"/>
      <c r="M1092" s="358"/>
      <c r="N1092" s="358"/>
      <c r="O1092" s="358"/>
      <c r="P1092" s="358"/>
      <c r="Q1092" s="358"/>
      <c r="R1092" s="358"/>
      <c r="S1092" s="358"/>
      <c r="T1092" s="358"/>
      <c r="U1092" s="358"/>
      <c r="V1092" s="358"/>
      <c r="W1092" s="358"/>
      <c r="X1092" s="358"/>
      <c r="Y1092" s="358"/>
      <c r="Z1092" s="358"/>
    </row>
    <row r="1093" ht="14.25" customHeight="1">
      <c r="A1093" s="358"/>
      <c r="B1093" s="399"/>
      <c r="C1093" s="399"/>
      <c r="D1093" s="399"/>
      <c r="E1093" s="399"/>
      <c r="F1093" s="400"/>
      <c r="G1093" s="273"/>
      <c r="H1093" s="273"/>
      <c r="I1093" s="358"/>
      <c r="J1093" s="358"/>
      <c r="K1093" s="358"/>
      <c r="L1093" s="358"/>
      <c r="M1093" s="358"/>
      <c r="N1093" s="358"/>
      <c r="O1093" s="358"/>
      <c r="P1093" s="358"/>
      <c r="Q1093" s="358"/>
      <c r="R1093" s="358"/>
      <c r="S1093" s="358"/>
      <c r="T1093" s="358"/>
      <c r="U1093" s="358"/>
      <c r="V1093" s="358"/>
      <c r="W1093" s="358"/>
      <c r="X1093" s="358"/>
      <c r="Y1093" s="358"/>
      <c r="Z1093" s="358"/>
    </row>
    <row r="1094" ht="14.25" customHeight="1">
      <c r="A1094" s="358"/>
      <c r="B1094" s="399"/>
      <c r="C1094" s="399"/>
      <c r="D1094" s="399"/>
      <c r="E1094" s="399"/>
      <c r="F1094" s="400"/>
      <c r="G1094" s="273"/>
      <c r="H1094" s="273"/>
      <c r="I1094" s="358"/>
      <c r="J1094" s="358"/>
      <c r="K1094" s="358"/>
      <c r="L1094" s="358"/>
      <c r="M1094" s="358"/>
      <c r="N1094" s="358"/>
      <c r="O1094" s="358"/>
      <c r="P1094" s="358"/>
      <c r="Q1094" s="358"/>
      <c r="R1094" s="358"/>
      <c r="S1094" s="358"/>
      <c r="T1094" s="358"/>
      <c r="U1094" s="358"/>
      <c r="V1094" s="358"/>
      <c r="W1094" s="358"/>
      <c r="X1094" s="358"/>
      <c r="Y1094" s="358"/>
      <c r="Z1094" s="358"/>
    </row>
    <row r="1095" ht="14.25" customHeight="1">
      <c r="A1095" s="358"/>
      <c r="B1095" s="399"/>
      <c r="C1095" s="399"/>
      <c r="D1095" s="399"/>
      <c r="E1095" s="399"/>
      <c r="F1095" s="400"/>
      <c r="G1095" s="273"/>
      <c r="H1095" s="273"/>
      <c r="I1095" s="358"/>
      <c r="J1095" s="358"/>
      <c r="K1095" s="358"/>
      <c r="L1095" s="358"/>
      <c r="M1095" s="358"/>
      <c r="N1095" s="358"/>
      <c r="O1095" s="358"/>
      <c r="P1095" s="358"/>
      <c r="Q1095" s="358"/>
      <c r="R1095" s="358"/>
      <c r="S1095" s="358"/>
      <c r="T1095" s="358"/>
      <c r="U1095" s="358"/>
      <c r="V1095" s="358"/>
      <c r="W1095" s="358"/>
      <c r="X1095" s="358"/>
      <c r="Y1095" s="358"/>
      <c r="Z1095" s="358"/>
    </row>
    <row r="1096" ht="14.25" customHeight="1">
      <c r="A1096" s="358"/>
      <c r="B1096" s="399"/>
      <c r="C1096" s="399"/>
      <c r="D1096" s="399"/>
      <c r="E1096" s="399"/>
      <c r="F1096" s="400"/>
      <c r="G1096" s="273"/>
      <c r="H1096" s="273"/>
      <c r="I1096" s="358"/>
      <c r="J1096" s="358"/>
      <c r="K1096" s="358"/>
      <c r="L1096" s="358"/>
      <c r="M1096" s="358"/>
      <c r="N1096" s="358"/>
      <c r="O1096" s="358"/>
      <c r="P1096" s="358"/>
      <c r="Q1096" s="358"/>
      <c r="R1096" s="358"/>
      <c r="S1096" s="358"/>
      <c r="T1096" s="358"/>
      <c r="U1096" s="358"/>
      <c r="V1096" s="358"/>
      <c r="W1096" s="358"/>
      <c r="X1096" s="358"/>
      <c r="Y1096" s="358"/>
      <c r="Z1096" s="358"/>
    </row>
    <row r="1097" ht="14.25" customHeight="1">
      <c r="A1097" s="358"/>
      <c r="B1097" s="399"/>
      <c r="C1097" s="399"/>
      <c r="D1097" s="399"/>
      <c r="E1097" s="399"/>
      <c r="F1097" s="400"/>
      <c r="G1097" s="273"/>
      <c r="H1097" s="273"/>
      <c r="I1097" s="358"/>
      <c r="J1097" s="358"/>
      <c r="K1097" s="358"/>
      <c r="L1097" s="358"/>
      <c r="M1097" s="358"/>
      <c r="N1097" s="358"/>
      <c r="O1097" s="358"/>
      <c r="P1097" s="358"/>
      <c r="Q1097" s="358"/>
      <c r="R1097" s="358"/>
      <c r="S1097" s="358"/>
      <c r="T1097" s="358"/>
      <c r="U1097" s="358"/>
      <c r="V1097" s="358"/>
      <c r="W1097" s="358"/>
      <c r="X1097" s="358"/>
      <c r="Y1097" s="358"/>
      <c r="Z1097" s="358"/>
    </row>
    <row r="1098" ht="14.25" customHeight="1">
      <c r="A1098" s="358"/>
      <c r="B1098" s="399"/>
      <c r="C1098" s="399"/>
      <c r="D1098" s="399"/>
      <c r="E1098" s="399"/>
      <c r="F1098" s="400"/>
      <c r="G1098" s="273"/>
      <c r="H1098" s="273"/>
      <c r="I1098" s="358"/>
      <c r="J1098" s="358"/>
      <c r="K1098" s="358"/>
      <c r="L1098" s="358"/>
      <c r="M1098" s="358"/>
      <c r="N1098" s="358"/>
      <c r="O1098" s="358"/>
      <c r="P1098" s="358"/>
      <c r="Q1098" s="358"/>
      <c r="R1098" s="358"/>
      <c r="S1098" s="358"/>
      <c r="T1098" s="358"/>
      <c r="U1098" s="358"/>
      <c r="V1098" s="358"/>
      <c r="W1098" s="358"/>
      <c r="X1098" s="358"/>
      <c r="Y1098" s="358"/>
      <c r="Z1098" s="358"/>
    </row>
    <row r="1099" ht="14.25" customHeight="1">
      <c r="A1099" s="358"/>
      <c r="B1099" s="399"/>
      <c r="C1099" s="399"/>
      <c r="D1099" s="399"/>
      <c r="E1099" s="399"/>
      <c r="F1099" s="400"/>
      <c r="G1099" s="273"/>
      <c r="H1099" s="273"/>
      <c r="I1099" s="358"/>
      <c r="J1099" s="358"/>
      <c r="K1099" s="358"/>
      <c r="L1099" s="358"/>
      <c r="M1099" s="358"/>
      <c r="N1099" s="358"/>
      <c r="O1099" s="358"/>
      <c r="P1099" s="358"/>
      <c r="Q1099" s="358"/>
      <c r="R1099" s="358"/>
      <c r="S1099" s="358"/>
      <c r="T1099" s="358"/>
      <c r="U1099" s="358"/>
      <c r="V1099" s="358"/>
      <c r="W1099" s="358"/>
      <c r="X1099" s="358"/>
      <c r="Y1099" s="358"/>
      <c r="Z1099" s="358"/>
    </row>
    <row r="1100" ht="14.25" customHeight="1">
      <c r="A1100" s="358"/>
      <c r="B1100" s="399"/>
      <c r="C1100" s="399"/>
      <c r="D1100" s="399"/>
      <c r="E1100" s="399"/>
      <c r="F1100" s="400"/>
      <c r="G1100" s="273"/>
      <c r="H1100" s="273"/>
      <c r="I1100" s="358"/>
      <c r="J1100" s="358"/>
      <c r="K1100" s="358"/>
      <c r="L1100" s="358"/>
      <c r="M1100" s="358"/>
      <c r="N1100" s="358"/>
      <c r="O1100" s="358"/>
      <c r="P1100" s="358"/>
      <c r="Q1100" s="358"/>
      <c r="R1100" s="358"/>
      <c r="S1100" s="358"/>
      <c r="T1100" s="358"/>
      <c r="U1100" s="358"/>
      <c r="V1100" s="358"/>
      <c r="W1100" s="358"/>
      <c r="X1100" s="358"/>
      <c r="Y1100" s="358"/>
      <c r="Z1100" s="358"/>
    </row>
    <row r="1101" ht="14.25" customHeight="1">
      <c r="A1101" s="358"/>
      <c r="B1101" s="399"/>
      <c r="C1101" s="399"/>
      <c r="D1101" s="399"/>
      <c r="E1101" s="399"/>
      <c r="F1101" s="400"/>
      <c r="G1101" s="273"/>
      <c r="H1101" s="273"/>
      <c r="I1101" s="358"/>
      <c r="J1101" s="358"/>
      <c r="K1101" s="358"/>
      <c r="L1101" s="358"/>
      <c r="M1101" s="358"/>
      <c r="N1101" s="358"/>
      <c r="O1101" s="358"/>
      <c r="P1101" s="358"/>
      <c r="Q1101" s="358"/>
      <c r="R1101" s="358"/>
      <c r="S1101" s="358"/>
      <c r="T1101" s="358"/>
      <c r="U1101" s="358"/>
      <c r="V1101" s="358"/>
      <c r="W1101" s="358"/>
      <c r="X1101" s="358"/>
      <c r="Y1101" s="358"/>
      <c r="Z1101" s="358"/>
    </row>
    <row r="1102" ht="14.25" customHeight="1">
      <c r="A1102" s="358"/>
      <c r="B1102" s="399"/>
      <c r="C1102" s="399"/>
      <c r="D1102" s="399"/>
      <c r="E1102" s="399"/>
      <c r="F1102" s="400"/>
      <c r="G1102" s="273"/>
      <c r="H1102" s="273"/>
      <c r="I1102" s="358"/>
      <c r="J1102" s="358"/>
      <c r="K1102" s="358"/>
      <c r="L1102" s="358"/>
      <c r="M1102" s="358"/>
      <c r="N1102" s="358"/>
      <c r="O1102" s="358"/>
      <c r="P1102" s="358"/>
      <c r="Q1102" s="358"/>
      <c r="R1102" s="358"/>
      <c r="S1102" s="358"/>
      <c r="T1102" s="358"/>
      <c r="U1102" s="358"/>
      <c r="V1102" s="358"/>
      <c r="W1102" s="358"/>
      <c r="X1102" s="358"/>
      <c r="Y1102" s="358"/>
      <c r="Z1102" s="358"/>
    </row>
    <row r="1103" ht="14.25" customHeight="1">
      <c r="A1103" s="358"/>
      <c r="B1103" s="399"/>
      <c r="C1103" s="399"/>
      <c r="D1103" s="399"/>
      <c r="E1103" s="399"/>
      <c r="F1103" s="400"/>
      <c r="G1103" s="273"/>
      <c r="H1103" s="273"/>
      <c r="I1103" s="358"/>
      <c r="J1103" s="358"/>
      <c r="K1103" s="358"/>
      <c r="L1103" s="358"/>
      <c r="M1103" s="358"/>
      <c r="N1103" s="358"/>
      <c r="O1103" s="358"/>
      <c r="P1103" s="358"/>
      <c r="Q1103" s="358"/>
      <c r="R1103" s="358"/>
      <c r="S1103" s="358"/>
      <c r="T1103" s="358"/>
      <c r="U1103" s="358"/>
      <c r="V1103" s="358"/>
      <c r="W1103" s="358"/>
      <c r="X1103" s="358"/>
      <c r="Y1103" s="358"/>
      <c r="Z1103" s="358"/>
    </row>
    <row r="1104" ht="14.25" customHeight="1">
      <c r="A1104" s="358"/>
      <c r="B1104" s="399"/>
      <c r="C1104" s="399"/>
      <c r="D1104" s="399"/>
      <c r="E1104" s="399"/>
      <c r="F1104" s="400"/>
      <c r="G1104" s="273"/>
      <c r="H1104" s="273"/>
      <c r="I1104" s="358"/>
      <c r="J1104" s="358"/>
      <c r="K1104" s="358"/>
      <c r="L1104" s="358"/>
      <c r="M1104" s="358"/>
      <c r="N1104" s="358"/>
      <c r="O1104" s="358"/>
      <c r="P1104" s="358"/>
      <c r="Q1104" s="358"/>
      <c r="R1104" s="358"/>
      <c r="S1104" s="358"/>
      <c r="T1104" s="358"/>
      <c r="U1104" s="358"/>
      <c r="V1104" s="358"/>
      <c r="W1104" s="358"/>
      <c r="X1104" s="358"/>
      <c r="Y1104" s="358"/>
      <c r="Z1104" s="358"/>
    </row>
    <row r="1105" ht="14.25" customHeight="1">
      <c r="A1105" s="358"/>
      <c r="B1105" s="399"/>
      <c r="C1105" s="399"/>
      <c r="D1105" s="399"/>
      <c r="E1105" s="399"/>
      <c r="F1105" s="400"/>
      <c r="G1105" s="273"/>
      <c r="H1105" s="273"/>
      <c r="I1105" s="358"/>
      <c r="J1105" s="358"/>
      <c r="K1105" s="358"/>
      <c r="L1105" s="358"/>
      <c r="M1105" s="358"/>
      <c r="N1105" s="358"/>
      <c r="O1105" s="358"/>
      <c r="P1105" s="358"/>
      <c r="Q1105" s="358"/>
      <c r="R1105" s="358"/>
      <c r="S1105" s="358"/>
      <c r="T1105" s="358"/>
      <c r="U1105" s="358"/>
      <c r="V1105" s="358"/>
      <c r="W1105" s="358"/>
      <c r="X1105" s="358"/>
      <c r="Y1105" s="358"/>
      <c r="Z1105" s="358"/>
    </row>
    <row r="1106" ht="14.25" customHeight="1">
      <c r="A1106" s="358"/>
      <c r="B1106" s="399"/>
      <c r="C1106" s="399"/>
      <c r="D1106" s="399"/>
      <c r="E1106" s="399"/>
      <c r="F1106" s="400"/>
      <c r="G1106" s="273"/>
      <c r="H1106" s="273"/>
      <c r="I1106" s="358"/>
      <c r="J1106" s="358"/>
      <c r="K1106" s="358"/>
      <c r="L1106" s="358"/>
      <c r="M1106" s="358"/>
      <c r="N1106" s="358"/>
      <c r="O1106" s="358"/>
      <c r="P1106" s="358"/>
      <c r="Q1106" s="358"/>
      <c r="R1106" s="358"/>
      <c r="S1106" s="358"/>
      <c r="T1106" s="358"/>
      <c r="U1106" s="358"/>
      <c r="V1106" s="358"/>
      <c r="W1106" s="358"/>
      <c r="X1106" s="358"/>
      <c r="Y1106" s="358"/>
      <c r="Z1106" s="358"/>
    </row>
    <row r="1107" ht="14.25" customHeight="1">
      <c r="A1107" s="358"/>
      <c r="B1107" s="399"/>
      <c r="C1107" s="399"/>
      <c r="D1107" s="399"/>
      <c r="E1107" s="399"/>
      <c r="F1107" s="400"/>
      <c r="G1107" s="273"/>
      <c r="H1107" s="273"/>
      <c r="I1107" s="358"/>
      <c r="J1107" s="358"/>
      <c r="K1107" s="358"/>
      <c r="L1107" s="358"/>
      <c r="M1107" s="358"/>
      <c r="N1107" s="358"/>
      <c r="O1107" s="358"/>
      <c r="P1107" s="358"/>
      <c r="Q1107" s="358"/>
      <c r="R1107" s="358"/>
      <c r="S1107" s="358"/>
      <c r="T1107" s="358"/>
      <c r="U1107" s="358"/>
      <c r="V1107" s="358"/>
      <c r="W1107" s="358"/>
      <c r="X1107" s="358"/>
      <c r="Y1107" s="358"/>
      <c r="Z1107" s="358"/>
    </row>
    <row r="1108" ht="14.25" customHeight="1">
      <c r="A1108" s="358"/>
      <c r="B1108" s="399"/>
      <c r="C1108" s="399"/>
      <c r="D1108" s="399"/>
      <c r="E1108" s="399"/>
      <c r="F1108" s="400"/>
      <c r="G1108" s="273"/>
      <c r="H1108" s="273"/>
      <c r="I1108" s="358"/>
      <c r="J1108" s="358"/>
      <c r="K1108" s="358"/>
      <c r="L1108" s="358"/>
      <c r="M1108" s="358"/>
      <c r="N1108" s="358"/>
      <c r="O1108" s="358"/>
      <c r="P1108" s="358"/>
      <c r="Q1108" s="358"/>
      <c r="R1108" s="358"/>
      <c r="S1108" s="358"/>
      <c r="T1108" s="358"/>
      <c r="U1108" s="358"/>
      <c r="V1108" s="358"/>
      <c r="W1108" s="358"/>
      <c r="X1108" s="358"/>
      <c r="Y1108" s="358"/>
      <c r="Z1108" s="358"/>
    </row>
    <row r="1109" ht="14.25" customHeight="1">
      <c r="A1109" s="358"/>
      <c r="B1109" s="399"/>
      <c r="C1109" s="399"/>
      <c r="D1109" s="399"/>
      <c r="E1109" s="399"/>
      <c r="F1109" s="400"/>
      <c r="G1109" s="273"/>
      <c r="H1109" s="273"/>
      <c r="I1109" s="358"/>
      <c r="J1109" s="358"/>
      <c r="K1109" s="358"/>
      <c r="L1109" s="358"/>
      <c r="M1109" s="358"/>
      <c r="N1109" s="358"/>
      <c r="O1109" s="358"/>
      <c r="P1109" s="358"/>
      <c r="Q1109" s="358"/>
      <c r="R1109" s="358"/>
      <c r="S1109" s="358"/>
      <c r="T1109" s="358"/>
      <c r="U1109" s="358"/>
      <c r="V1109" s="358"/>
      <c r="W1109" s="358"/>
      <c r="X1109" s="358"/>
      <c r="Y1109" s="358"/>
      <c r="Z1109" s="358"/>
    </row>
    <row r="1110" ht="14.25" customHeight="1">
      <c r="A1110" s="358"/>
      <c r="B1110" s="399"/>
      <c r="C1110" s="399"/>
      <c r="D1110" s="399"/>
      <c r="E1110" s="399"/>
      <c r="F1110" s="400"/>
      <c r="G1110" s="273"/>
      <c r="H1110" s="273"/>
      <c r="I1110" s="358"/>
      <c r="J1110" s="358"/>
      <c r="K1110" s="358"/>
      <c r="L1110" s="358"/>
      <c r="M1110" s="358"/>
      <c r="N1110" s="358"/>
      <c r="O1110" s="358"/>
      <c r="P1110" s="358"/>
      <c r="Q1110" s="358"/>
      <c r="R1110" s="358"/>
      <c r="S1110" s="358"/>
      <c r="T1110" s="358"/>
      <c r="U1110" s="358"/>
      <c r="V1110" s="358"/>
      <c r="W1110" s="358"/>
      <c r="X1110" s="358"/>
      <c r="Y1110" s="358"/>
      <c r="Z1110" s="358"/>
    </row>
    <row r="1111" ht="14.25" customHeight="1">
      <c r="A1111" s="358"/>
      <c r="B1111" s="399"/>
      <c r="C1111" s="399"/>
      <c r="D1111" s="399"/>
      <c r="E1111" s="399"/>
      <c r="F1111" s="400"/>
      <c r="G1111" s="273"/>
      <c r="H1111" s="273"/>
      <c r="I1111" s="358"/>
      <c r="J1111" s="358"/>
      <c r="K1111" s="358"/>
      <c r="L1111" s="358"/>
      <c r="M1111" s="358"/>
      <c r="N1111" s="358"/>
      <c r="O1111" s="358"/>
      <c r="P1111" s="358"/>
      <c r="Q1111" s="358"/>
      <c r="R1111" s="358"/>
      <c r="S1111" s="358"/>
      <c r="T1111" s="358"/>
      <c r="U1111" s="358"/>
      <c r="V1111" s="358"/>
      <c r="W1111" s="358"/>
      <c r="X1111" s="358"/>
      <c r="Y1111" s="358"/>
      <c r="Z1111" s="358"/>
    </row>
    <row r="1112" ht="14.25" customHeight="1">
      <c r="A1112" s="358"/>
      <c r="B1112" s="399"/>
      <c r="C1112" s="399"/>
      <c r="D1112" s="399"/>
      <c r="E1112" s="399"/>
      <c r="F1112" s="400"/>
      <c r="G1112" s="273"/>
      <c r="H1112" s="273"/>
      <c r="I1112" s="358"/>
      <c r="J1112" s="358"/>
      <c r="K1112" s="358"/>
      <c r="L1112" s="358"/>
      <c r="M1112" s="358"/>
      <c r="N1112" s="358"/>
      <c r="O1112" s="358"/>
      <c r="P1112" s="358"/>
      <c r="Q1112" s="358"/>
      <c r="R1112" s="358"/>
      <c r="S1112" s="358"/>
      <c r="T1112" s="358"/>
      <c r="U1112" s="358"/>
      <c r="V1112" s="358"/>
      <c r="W1112" s="358"/>
      <c r="X1112" s="358"/>
      <c r="Y1112" s="358"/>
      <c r="Z1112" s="358"/>
    </row>
    <row r="1113" ht="14.25" customHeight="1">
      <c r="A1113" s="358"/>
      <c r="B1113" s="399"/>
      <c r="C1113" s="399"/>
      <c r="D1113" s="399"/>
      <c r="E1113" s="399"/>
      <c r="F1113" s="400"/>
      <c r="G1113" s="273"/>
      <c r="H1113" s="273"/>
      <c r="I1113" s="358"/>
      <c r="J1113" s="358"/>
      <c r="K1113" s="358"/>
      <c r="L1113" s="358"/>
      <c r="M1113" s="358"/>
      <c r="N1113" s="358"/>
      <c r="O1113" s="358"/>
      <c r="P1113" s="358"/>
      <c r="Q1113" s="358"/>
      <c r="R1113" s="358"/>
      <c r="S1113" s="358"/>
      <c r="T1113" s="358"/>
      <c r="U1113" s="358"/>
      <c r="V1113" s="358"/>
      <c r="W1113" s="358"/>
      <c r="X1113" s="358"/>
      <c r="Y1113" s="358"/>
      <c r="Z1113" s="358"/>
    </row>
    <row r="1114" ht="14.25" customHeight="1">
      <c r="A1114" s="358"/>
      <c r="B1114" s="399"/>
      <c r="C1114" s="399"/>
      <c r="D1114" s="399"/>
      <c r="E1114" s="399"/>
      <c r="F1114" s="400"/>
      <c r="G1114" s="273"/>
      <c r="H1114" s="273"/>
      <c r="I1114" s="358"/>
      <c r="J1114" s="358"/>
      <c r="K1114" s="358"/>
      <c r="L1114" s="358"/>
      <c r="M1114" s="358"/>
      <c r="N1114" s="358"/>
      <c r="O1114" s="358"/>
      <c r="P1114" s="358"/>
      <c r="Q1114" s="358"/>
      <c r="R1114" s="358"/>
      <c r="S1114" s="358"/>
      <c r="T1114" s="358"/>
      <c r="U1114" s="358"/>
      <c r="V1114" s="358"/>
      <c r="W1114" s="358"/>
      <c r="X1114" s="358"/>
      <c r="Y1114" s="358"/>
      <c r="Z1114" s="358"/>
    </row>
    <row r="1115" ht="14.25" customHeight="1">
      <c r="A1115" s="358"/>
      <c r="B1115" s="399"/>
      <c r="C1115" s="399"/>
      <c r="D1115" s="399"/>
      <c r="E1115" s="399"/>
      <c r="F1115" s="400"/>
      <c r="G1115" s="273"/>
      <c r="H1115" s="273"/>
      <c r="I1115" s="358"/>
      <c r="J1115" s="358"/>
      <c r="K1115" s="358"/>
      <c r="L1115" s="358"/>
      <c r="M1115" s="358"/>
      <c r="N1115" s="358"/>
      <c r="O1115" s="358"/>
      <c r="P1115" s="358"/>
      <c r="Q1115" s="358"/>
      <c r="R1115" s="358"/>
      <c r="S1115" s="358"/>
      <c r="T1115" s="358"/>
      <c r="U1115" s="358"/>
      <c r="V1115" s="358"/>
      <c r="W1115" s="358"/>
      <c r="X1115" s="358"/>
      <c r="Y1115" s="358"/>
      <c r="Z1115" s="358"/>
    </row>
    <row r="1116" ht="14.25" customHeight="1">
      <c r="A1116" s="358"/>
      <c r="B1116" s="399"/>
      <c r="C1116" s="399"/>
      <c r="D1116" s="399"/>
      <c r="E1116" s="399"/>
      <c r="F1116" s="400"/>
      <c r="G1116" s="273"/>
      <c r="H1116" s="273"/>
      <c r="I1116" s="358"/>
      <c r="J1116" s="358"/>
      <c r="K1116" s="358"/>
      <c r="L1116" s="358"/>
      <c r="M1116" s="358"/>
      <c r="N1116" s="358"/>
      <c r="O1116" s="358"/>
      <c r="P1116" s="358"/>
      <c r="Q1116" s="358"/>
      <c r="R1116" s="358"/>
      <c r="S1116" s="358"/>
      <c r="T1116" s="358"/>
      <c r="U1116" s="358"/>
      <c r="V1116" s="358"/>
      <c r="W1116" s="358"/>
      <c r="X1116" s="358"/>
      <c r="Y1116" s="358"/>
      <c r="Z1116" s="358"/>
    </row>
    <row r="1117" ht="14.25" customHeight="1">
      <c r="A1117" s="358"/>
      <c r="B1117" s="399"/>
      <c r="C1117" s="399"/>
      <c r="D1117" s="399"/>
      <c r="E1117" s="399"/>
      <c r="F1117" s="400"/>
      <c r="G1117" s="273"/>
      <c r="H1117" s="273"/>
      <c r="I1117" s="358"/>
      <c r="J1117" s="358"/>
      <c r="K1117" s="358"/>
      <c r="L1117" s="358"/>
      <c r="M1117" s="358"/>
      <c r="N1117" s="358"/>
      <c r="O1117" s="358"/>
      <c r="P1117" s="358"/>
      <c r="Q1117" s="358"/>
      <c r="R1117" s="358"/>
      <c r="S1117" s="358"/>
      <c r="T1117" s="358"/>
      <c r="U1117" s="358"/>
      <c r="V1117" s="358"/>
      <c r="W1117" s="358"/>
      <c r="X1117" s="358"/>
      <c r="Y1117" s="358"/>
      <c r="Z1117" s="358"/>
    </row>
    <row r="1118" ht="14.25" customHeight="1">
      <c r="A1118" s="358"/>
      <c r="B1118" s="399"/>
      <c r="C1118" s="399"/>
      <c r="D1118" s="399"/>
      <c r="E1118" s="399"/>
      <c r="F1118" s="400"/>
      <c r="G1118" s="273"/>
      <c r="H1118" s="273"/>
      <c r="I1118" s="358"/>
      <c r="J1118" s="358"/>
      <c r="K1118" s="358"/>
      <c r="L1118" s="358"/>
      <c r="M1118" s="358"/>
      <c r="N1118" s="358"/>
      <c r="O1118" s="358"/>
      <c r="P1118" s="358"/>
      <c r="Q1118" s="358"/>
      <c r="R1118" s="358"/>
      <c r="S1118" s="358"/>
      <c r="T1118" s="358"/>
      <c r="U1118" s="358"/>
      <c r="V1118" s="358"/>
      <c r="W1118" s="358"/>
      <c r="X1118" s="358"/>
      <c r="Y1118" s="358"/>
      <c r="Z1118" s="358"/>
    </row>
    <row r="1119" ht="14.25" customHeight="1">
      <c r="A1119" s="358"/>
      <c r="B1119" s="399"/>
      <c r="C1119" s="399"/>
      <c r="D1119" s="399"/>
      <c r="E1119" s="399"/>
      <c r="F1119" s="400"/>
      <c r="G1119" s="273"/>
      <c r="H1119" s="273"/>
      <c r="I1119" s="358"/>
      <c r="J1119" s="358"/>
      <c r="K1119" s="358"/>
      <c r="L1119" s="358"/>
      <c r="M1119" s="358"/>
      <c r="N1119" s="358"/>
      <c r="O1119" s="358"/>
      <c r="P1119" s="358"/>
      <c r="Q1119" s="358"/>
      <c r="R1119" s="358"/>
      <c r="S1119" s="358"/>
      <c r="T1119" s="358"/>
      <c r="U1119" s="358"/>
      <c r="V1119" s="358"/>
      <c r="W1119" s="358"/>
      <c r="X1119" s="358"/>
      <c r="Y1119" s="358"/>
      <c r="Z1119" s="358"/>
    </row>
    <row r="1120" ht="14.25" customHeight="1">
      <c r="A1120" s="358"/>
      <c r="B1120" s="399"/>
      <c r="C1120" s="399"/>
      <c r="D1120" s="399"/>
      <c r="E1120" s="399"/>
      <c r="F1120" s="400"/>
      <c r="G1120" s="273"/>
      <c r="H1120" s="273"/>
      <c r="I1120" s="358"/>
      <c r="J1120" s="358"/>
      <c r="K1120" s="358"/>
      <c r="L1120" s="358"/>
      <c r="M1120" s="358"/>
      <c r="N1120" s="358"/>
      <c r="O1120" s="358"/>
      <c r="P1120" s="358"/>
      <c r="Q1120" s="358"/>
      <c r="R1120" s="358"/>
      <c r="S1120" s="358"/>
      <c r="T1120" s="358"/>
      <c r="U1120" s="358"/>
      <c r="V1120" s="358"/>
      <c r="W1120" s="358"/>
      <c r="X1120" s="358"/>
      <c r="Y1120" s="358"/>
      <c r="Z1120" s="358"/>
    </row>
    <row r="1121" ht="14.25" customHeight="1">
      <c r="A1121" s="358"/>
      <c r="B1121" s="399"/>
      <c r="C1121" s="399"/>
      <c r="D1121" s="399"/>
      <c r="E1121" s="399"/>
      <c r="F1121" s="400"/>
      <c r="G1121" s="273"/>
      <c r="H1121" s="273"/>
      <c r="I1121" s="358"/>
      <c r="J1121" s="358"/>
      <c r="K1121" s="358"/>
      <c r="L1121" s="358"/>
      <c r="M1121" s="358"/>
      <c r="N1121" s="358"/>
      <c r="O1121" s="358"/>
      <c r="P1121" s="358"/>
      <c r="Q1121" s="358"/>
      <c r="R1121" s="358"/>
      <c r="S1121" s="358"/>
      <c r="T1121" s="358"/>
      <c r="U1121" s="358"/>
      <c r="V1121" s="358"/>
      <c r="W1121" s="358"/>
      <c r="X1121" s="358"/>
      <c r="Y1121" s="358"/>
      <c r="Z1121" s="358"/>
    </row>
    <row r="1122" ht="14.25" customHeight="1">
      <c r="A1122" s="358"/>
      <c r="B1122" s="399"/>
      <c r="C1122" s="399"/>
      <c r="D1122" s="399"/>
      <c r="E1122" s="399"/>
      <c r="F1122" s="400"/>
      <c r="G1122" s="273"/>
      <c r="H1122" s="273"/>
      <c r="I1122" s="358"/>
      <c r="J1122" s="358"/>
      <c r="K1122" s="358"/>
      <c r="L1122" s="358"/>
      <c r="M1122" s="358"/>
      <c r="N1122" s="358"/>
      <c r="O1122" s="358"/>
      <c r="P1122" s="358"/>
      <c r="Q1122" s="358"/>
      <c r="R1122" s="358"/>
      <c r="S1122" s="358"/>
      <c r="T1122" s="358"/>
      <c r="U1122" s="358"/>
      <c r="V1122" s="358"/>
      <c r="W1122" s="358"/>
      <c r="X1122" s="358"/>
      <c r="Y1122" s="358"/>
      <c r="Z1122" s="358"/>
    </row>
    <row r="1123" ht="14.25" customHeight="1">
      <c r="A1123" s="358"/>
      <c r="B1123" s="399"/>
      <c r="C1123" s="399"/>
      <c r="D1123" s="399"/>
      <c r="E1123" s="399"/>
      <c r="F1123" s="400"/>
      <c r="G1123" s="273"/>
      <c r="H1123" s="273"/>
      <c r="I1123" s="358"/>
      <c r="J1123" s="358"/>
      <c r="K1123" s="358"/>
      <c r="L1123" s="358"/>
      <c r="M1123" s="358"/>
      <c r="N1123" s="358"/>
      <c r="O1123" s="358"/>
      <c r="P1123" s="358"/>
      <c r="Q1123" s="358"/>
      <c r="R1123" s="358"/>
      <c r="S1123" s="358"/>
      <c r="T1123" s="358"/>
      <c r="U1123" s="358"/>
      <c r="V1123" s="358"/>
      <c r="W1123" s="358"/>
      <c r="X1123" s="358"/>
      <c r="Y1123" s="358"/>
      <c r="Z1123" s="358"/>
    </row>
    <row r="1124" ht="14.25" customHeight="1">
      <c r="A1124" s="358"/>
      <c r="B1124" s="399"/>
      <c r="C1124" s="399"/>
      <c r="D1124" s="399"/>
      <c r="E1124" s="399"/>
      <c r="F1124" s="400"/>
      <c r="G1124" s="273"/>
      <c r="H1124" s="273"/>
      <c r="I1124" s="358"/>
      <c r="J1124" s="358"/>
      <c r="K1124" s="358"/>
      <c r="L1124" s="358"/>
      <c r="M1124" s="358"/>
      <c r="N1124" s="358"/>
      <c r="O1124" s="358"/>
      <c r="P1124" s="358"/>
      <c r="Q1124" s="358"/>
      <c r="R1124" s="358"/>
      <c r="S1124" s="358"/>
      <c r="T1124" s="358"/>
      <c r="U1124" s="358"/>
      <c r="V1124" s="358"/>
      <c r="W1124" s="358"/>
      <c r="X1124" s="358"/>
      <c r="Y1124" s="358"/>
      <c r="Z1124" s="358"/>
    </row>
    <row r="1125" ht="14.25" customHeight="1">
      <c r="A1125" s="358"/>
      <c r="B1125" s="399"/>
      <c r="C1125" s="399"/>
      <c r="D1125" s="399"/>
      <c r="E1125" s="399"/>
      <c r="F1125" s="400"/>
      <c r="G1125" s="273"/>
      <c r="H1125" s="273"/>
      <c r="I1125" s="358"/>
      <c r="J1125" s="358"/>
      <c r="K1125" s="358"/>
      <c r="L1125" s="358"/>
      <c r="M1125" s="358"/>
      <c r="N1125" s="358"/>
      <c r="O1125" s="358"/>
      <c r="P1125" s="358"/>
      <c r="Q1125" s="358"/>
      <c r="R1125" s="358"/>
      <c r="S1125" s="358"/>
      <c r="T1125" s="358"/>
      <c r="U1125" s="358"/>
      <c r="V1125" s="358"/>
      <c r="W1125" s="358"/>
      <c r="X1125" s="358"/>
      <c r="Y1125" s="358"/>
      <c r="Z1125" s="358"/>
    </row>
    <row r="1126" ht="14.25" customHeight="1">
      <c r="A1126" s="358"/>
      <c r="B1126" s="399"/>
      <c r="C1126" s="399"/>
      <c r="D1126" s="399"/>
      <c r="E1126" s="399"/>
      <c r="F1126" s="400"/>
      <c r="G1126" s="273"/>
      <c r="H1126" s="273"/>
      <c r="I1126" s="358"/>
      <c r="J1126" s="358"/>
      <c r="K1126" s="358"/>
      <c r="L1126" s="358"/>
      <c r="M1126" s="358"/>
      <c r="N1126" s="358"/>
      <c r="O1126" s="358"/>
      <c r="P1126" s="358"/>
      <c r="Q1126" s="358"/>
      <c r="R1126" s="358"/>
      <c r="S1126" s="358"/>
      <c r="T1126" s="358"/>
      <c r="U1126" s="358"/>
      <c r="V1126" s="358"/>
      <c r="W1126" s="358"/>
      <c r="X1126" s="358"/>
      <c r="Y1126" s="358"/>
      <c r="Z1126" s="358"/>
    </row>
    <row r="1127" ht="14.25" customHeight="1">
      <c r="A1127" s="358"/>
      <c r="B1127" s="399"/>
      <c r="C1127" s="399"/>
      <c r="D1127" s="399"/>
      <c r="E1127" s="399"/>
      <c r="F1127" s="400"/>
      <c r="G1127" s="273"/>
      <c r="H1127" s="273"/>
      <c r="I1127" s="358"/>
      <c r="J1127" s="358"/>
      <c r="K1127" s="358"/>
      <c r="L1127" s="358"/>
      <c r="M1127" s="358"/>
      <c r="N1127" s="358"/>
      <c r="O1127" s="358"/>
      <c r="P1127" s="358"/>
      <c r="Q1127" s="358"/>
      <c r="R1127" s="358"/>
      <c r="S1127" s="358"/>
      <c r="T1127" s="358"/>
      <c r="U1127" s="358"/>
      <c r="V1127" s="358"/>
      <c r="W1127" s="358"/>
      <c r="X1127" s="358"/>
      <c r="Y1127" s="358"/>
      <c r="Z1127" s="358"/>
    </row>
    <row r="1128" ht="14.25" customHeight="1">
      <c r="A1128" s="358"/>
      <c r="B1128" s="399"/>
      <c r="C1128" s="399"/>
      <c r="D1128" s="399"/>
      <c r="E1128" s="399"/>
      <c r="F1128" s="400"/>
      <c r="G1128" s="273"/>
      <c r="H1128" s="273"/>
      <c r="I1128" s="358"/>
      <c r="J1128" s="358"/>
      <c r="K1128" s="358"/>
      <c r="L1128" s="358"/>
      <c r="M1128" s="358"/>
      <c r="N1128" s="358"/>
      <c r="O1128" s="358"/>
      <c r="P1128" s="358"/>
      <c r="Q1128" s="358"/>
      <c r="R1128" s="358"/>
      <c r="S1128" s="358"/>
      <c r="T1128" s="358"/>
      <c r="U1128" s="358"/>
      <c r="V1128" s="358"/>
      <c r="W1128" s="358"/>
      <c r="X1128" s="358"/>
      <c r="Y1128" s="358"/>
      <c r="Z1128" s="358"/>
    </row>
    <row r="1129" ht="14.25" customHeight="1">
      <c r="A1129" s="358"/>
      <c r="B1129" s="399"/>
      <c r="C1129" s="399"/>
      <c r="D1129" s="399"/>
      <c r="E1129" s="399"/>
      <c r="F1129" s="400"/>
      <c r="G1129" s="273"/>
      <c r="H1129" s="273"/>
      <c r="I1129" s="358"/>
      <c r="J1129" s="358"/>
      <c r="K1129" s="358"/>
      <c r="L1129" s="358"/>
      <c r="M1129" s="358"/>
      <c r="N1129" s="358"/>
      <c r="O1129" s="358"/>
      <c r="P1129" s="358"/>
      <c r="Q1129" s="358"/>
      <c r="R1129" s="358"/>
      <c r="S1129" s="358"/>
      <c r="T1129" s="358"/>
      <c r="U1129" s="358"/>
      <c r="V1129" s="358"/>
      <c r="W1129" s="358"/>
      <c r="X1129" s="358"/>
      <c r="Y1129" s="358"/>
      <c r="Z1129" s="358"/>
    </row>
    <row r="1130" ht="14.25" customHeight="1">
      <c r="A1130" s="358"/>
      <c r="B1130" s="399"/>
      <c r="C1130" s="399"/>
      <c r="D1130" s="399"/>
      <c r="E1130" s="399"/>
      <c r="F1130" s="400"/>
      <c r="G1130" s="273"/>
      <c r="H1130" s="273"/>
      <c r="I1130" s="358"/>
      <c r="J1130" s="358"/>
      <c r="K1130" s="358"/>
      <c r="L1130" s="358"/>
      <c r="M1130" s="358"/>
      <c r="N1130" s="358"/>
      <c r="O1130" s="358"/>
      <c r="P1130" s="358"/>
      <c r="Q1130" s="358"/>
      <c r="R1130" s="358"/>
      <c r="S1130" s="358"/>
      <c r="T1130" s="358"/>
      <c r="U1130" s="358"/>
      <c r="V1130" s="358"/>
      <c r="W1130" s="358"/>
      <c r="X1130" s="358"/>
      <c r="Y1130" s="358"/>
      <c r="Z1130" s="358"/>
    </row>
    <row r="1131" ht="14.25" customHeight="1">
      <c r="A1131" s="358"/>
      <c r="B1131" s="399"/>
      <c r="C1131" s="399"/>
      <c r="D1131" s="399"/>
      <c r="E1131" s="399"/>
      <c r="F1131" s="400"/>
      <c r="G1131" s="273"/>
      <c r="H1131" s="273"/>
      <c r="I1131" s="358"/>
      <c r="J1131" s="358"/>
      <c r="K1131" s="358"/>
      <c r="L1131" s="358"/>
      <c r="M1131" s="358"/>
      <c r="N1131" s="358"/>
      <c r="O1131" s="358"/>
      <c r="P1131" s="358"/>
      <c r="Q1131" s="358"/>
      <c r="R1131" s="358"/>
      <c r="S1131" s="358"/>
      <c r="T1131" s="358"/>
      <c r="U1131" s="358"/>
      <c r="V1131" s="358"/>
      <c r="W1131" s="358"/>
      <c r="X1131" s="358"/>
      <c r="Y1131" s="358"/>
      <c r="Z1131" s="358"/>
    </row>
    <row r="1132" ht="14.25" customHeight="1">
      <c r="A1132" s="358"/>
      <c r="B1132" s="399"/>
      <c r="C1132" s="399"/>
      <c r="D1132" s="399"/>
      <c r="E1132" s="399"/>
      <c r="F1132" s="400"/>
      <c r="G1132" s="273"/>
      <c r="H1132" s="273"/>
      <c r="I1132" s="358"/>
      <c r="J1132" s="358"/>
      <c r="K1132" s="358"/>
      <c r="L1132" s="358"/>
      <c r="M1132" s="358"/>
      <c r="N1132" s="358"/>
      <c r="O1132" s="358"/>
      <c r="P1132" s="358"/>
      <c r="Q1132" s="358"/>
      <c r="R1132" s="358"/>
      <c r="S1132" s="358"/>
      <c r="T1132" s="358"/>
      <c r="U1132" s="358"/>
      <c r="V1132" s="358"/>
      <c r="W1132" s="358"/>
      <c r="X1132" s="358"/>
      <c r="Y1132" s="358"/>
      <c r="Z1132" s="358"/>
    </row>
    <row r="1133" ht="14.25" customHeight="1">
      <c r="A1133" s="358"/>
      <c r="B1133" s="399"/>
      <c r="C1133" s="399"/>
      <c r="D1133" s="399"/>
      <c r="E1133" s="399"/>
      <c r="F1133" s="400"/>
      <c r="G1133" s="273"/>
      <c r="H1133" s="273"/>
      <c r="I1133" s="358"/>
      <c r="J1133" s="358"/>
      <c r="K1133" s="358"/>
      <c r="L1133" s="358"/>
      <c r="M1133" s="358"/>
      <c r="N1133" s="358"/>
      <c r="O1133" s="358"/>
      <c r="P1133" s="358"/>
      <c r="Q1133" s="358"/>
      <c r="R1133" s="358"/>
      <c r="S1133" s="358"/>
      <c r="T1133" s="358"/>
      <c r="U1133" s="358"/>
      <c r="V1133" s="358"/>
      <c r="W1133" s="358"/>
      <c r="X1133" s="358"/>
      <c r="Y1133" s="358"/>
      <c r="Z1133" s="358"/>
    </row>
    <row r="1134" ht="14.25" customHeight="1">
      <c r="A1134" s="358"/>
      <c r="B1134" s="399"/>
      <c r="C1134" s="399"/>
      <c r="D1134" s="399"/>
      <c r="E1134" s="399"/>
      <c r="F1134" s="400"/>
      <c r="G1134" s="273"/>
      <c r="H1134" s="273"/>
      <c r="I1134" s="358"/>
      <c r="J1134" s="358"/>
      <c r="K1134" s="358"/>
      <c r="L1134" s="358"/>
      <c r="M1134" s="358"/>
      <c r="N1134" s="358"/>
      <c r="O1134" s="358"/>
      <c r="P1134" s="358"/>
      <c r="Q1134" s="358"/>
      <c r="R1134" s="358"/>
      <c r="S1134" s="358"/>
      <c r="T1134" s="358"/>
      <c r="U1134" s="358"/>
      <c r="V1134" s="358"/>
      <c r="W1134" s="358"/>
      <c r="X1134" s="358"/>
      <c r="Y1134" s="358"/>
      <c r="Z1134" s="358"/>
    </row>
    <row r="1135" ht="14.25" customHeight="1">
      <c r="A1135" s="358"/>
      <c r="B1135" s="399"/>
      <c r="C1135" s="399"/>
      <c r="D1135" s="399"/>
      <c r="E1135" s="399"/>
      <c r="F1135" s="400"/>
      <c r="G1135" s="273"/>
      <c r="H1135" s="273"/>
      <c r="I1135" s="358"/>
      <c r="J1135" s="358"/>
      <c r="K1135" s="358"/>
      <c r="L1135" s="358"/>
      <c r="M1135" s="358"/>
      <c r="N1135" s="358"/>
      <c r="O1135" s="358"/>
      <c r="P1135" s="358"/>
      <c r="Q1135" s="358"/>
      <c r="R1135" s="358"/>
      <c r="S1135" s="358"/>
      <c r="T1135" s="358"/>
      <c r="U1135" s="358"/>
      <c r="V1135" s="358"/>
      <c r="W1135" s="358"/>
      <c r="X1135" s="358"/>
      <c r="Y1135" s="358"/>
      <c r="Z1135" s="358"/>
    </row>
    <row r="1136" ht="14.25" customHeight="1">
      <c r="A1136" s="358"/>
      <c r="B1136" s="399"/>
      <c r="C1136" s="399"/>
      <c r="D1136" s="399"/>
      <c r="E1136" s="399"/>
      <c r="F1136" s="400"/>
      <c r="G1136" s="273"/>
      <c r="H1136" s="273"/>
      <c r="I1136" s="358"/>
      <c r="J1136" s="358"/>
      <c r="K1136" s="358"/>
      <c r="L1136" s="358"/>
      <c r="M1136" s="358"/>
      <c r="N1136" s="358"/>
      <c r="O1136" s="358"/>
      <c r="P1136" s="358"/>
      <c r="Q1136" s="358"/>
      <c r="R1136" s="358"/>
      <c r="S1136" s="358"/>
      <c r="T1136" s="358"/>
      <c r="U1136" s="358"/>
      <c r="V1136" s="358"/>
      <c r="W1136" s="358"/>
      <c r="X1136" s="358"/>
      <c r="Y1136" s="358"/>
      <c r="Z1136" s="358"/>
    </row>
    <row r="1137" ht="14.25" customHeight="1">
      <c r="A1137" s="358"/>
      <c r="B1137" s="399"/>
      <c r="C1137" s="399"/>
      <c r="D1137" s="399"/>
      <c r="E1137" s="399"/>
      <c r="F1137" s="400"/>
      <c r="G1137" s="273"/>
      <c r="H1137" s="273"/>
      <c r="I1137" s="358"/>
      <c r="J1137" s="358"/>
      <c r="K1137" s="358"/>
      <c r="L1137" s="358"/>
      <c r="M1137" s="358"/>
      <c r="N1137" s="358"/>
      <c r="O1137" s="358"/>
      <c r="P1137" s="358"/>
      <c r="Q1137" s="358"/>
      <c r="R1137" s="358"/>
      <c r="S1137" s="358"/>
      <c r="T1137" s="358"/>
      <c r="U1137" s="358"/>
      <c r="V1137" s="358"/>
      <c r="W1137" s="358"/>
      <c r="X1137" s="358"/>
      <c r="Y1137" s="358"/>
      <c r="Z1137" s="358"/>
    </row>
    <row r="1138" ht="14.25" customHeight="1">
      <c r="A1138" s="358"/>
      <c r="B1138" s="399"/>
      <c r="C1138" s="399"/>
      <c r="D1138" s="399"/>
      <c r="E1138" s="399"/>
      <c r="F1138" s="400"/>
      <c r="G1138" s="273"/>
      <c r="H1138" s="273"/>
      <c r="I1138" s="358"/>
      <c r="J1138" s="358"/>
      <c r="K1138" s="358"/>
      <c r="L1138" s="358"/>
      <c r="M1138" s="358"/>
      <c r="N1138" s="358"/>
      <c r="O1138" s="358"/>
      <c r="P1138" s="358"/>
      <c r="Q1138" s="358"/>
      <c r="R1138" s="358"/>
      <c r="S1138" s="358"/>
      <c r="T1138" s="358"/>
      <c r="U1138" s="358"/>
      <c r="V1138" s="358"/>
      <c r="W1138" s="358"/>
      <c r="X1138" s="358"/>
      <c r="Y1138" s="358"/>
      <c r="Z1138" s="358"/>
    </row>
    <row r="1139" ht="14.25" customHeight="1">
      <c r="A1139" s="358"/>
      <c r="B1139" s="399"/>
      <c r="C1139" s="399"/>
      <c r="D1139" s="399"/>
      <c r="E1139" s="399"/>
      <c r="F1139" s="400"/>
      <c r="G1139" s="273"/>
      <c r="H1139" s="273"/>
      <c r="I1139" s="358"/>
      <c r="J1139" s="358"/>
      <c r="K1139" s="358"/>
      <c r="L1139" s="358"/>
      <c r="M1139" s="358"/>
      <c r="N1139" s="358"/>
      <c r="O1139" s="358"/>
      <c r="P1139" s="358"/>
      <c r="Q1139" s="358"/>
      <c r="R1139" s="358"/>
      <c r="S1139" s="358"/>
      <c r="T1139" s="358"/>
      <c r="U1139" s="358"/>
      <c r="V1139" s="358"/>
      <c r="W1139" s="358"/>
      <c r="X1139" s="358"/>
      <c r="Y1139" s="358"/>
      <c r="Z1139" s="358"/>
    </row>
    <row r="1140" ht="14.25" customHeight="1">
      <c r="A1140" s="358"/>
      <c r="B1140" s="399"/>
      <c r="C1140" s="399"/>
      <c r="D1140" s="399"/>
      <c r="E1140" s="399"/>
      <c r="F1140" s="400"/>
      <c r="G1140" s="273"/>
      <c r="H1140" s="273"/>
      <c r="I1140" s="358"/>
      <c r="J1140" s="358"/>
      <c r="K1140" s="358"/>
      <c r="L1140" s="358"/>
      <c r="M1140" s="358"/>
      <c r="N1140" s="358"/>
      <c r="O1140" s="358"/>
      <c r="P1140" s="358"/>
      <c r="Q1140" s="358"/>
      <c r="R1140" s="358"/>
      <c r="S1140" s="358"/>
      <c r="T1140" s="358"/>
      <c r="U1140" s="358"/>
      <c r="V1140" s="358"/>
      <c r="W1140" s="358"/>
      <c r="X1140" s="358"/>
      <c r="Y1140" s="358"/>
      <c r="Z1140" s="358"/>
    </row>
    <row r="1141" ht="14.25" customHeight="1">
      <c r="A1141" s="358"/>
      <c r="B1141" s="399"/>
      <c r="C1141" s="399"/>
      <c r="D1141" s="399"/>
      <c r="E1141" s="399"/>
      <c r="F1141" s="400"/>
      <c r="G1141" s="273"/>
      <c r="H1141" s="273"/>
      <c r="I1141" s="358"/>
      <c r="J1141" s="358"/>
      <c r="K1141" s="358"/>
      <c r="L1141" s="358"/>
      <c r="M1141" s="358"/>
      <c r="N1141" s="358"/>
      <c r="O1141" s="358"/>
      <c r="P1141" s="358"/>
      <c r="Q1141" s="358"/>
      <c r="R1141" s="358"/>
      <c r="S1141" s="358"/>
      <c r="T1141" s="358"/>
      <c r="U1141" s="358"/>
      <c r="V1141" s="358"/>
      <c r="W1141" s="358"/>
      <c r="X1141" s="358"/>
      <c r="Y1141" s="358"/>
      <c r="Z1141" s="358"/>
    </row>
    <row r="1142" ht="14.25" customHeight="1">
      <c r="A1142" s="358"/>
      <c r="B1142" s="399"/>
      <c r="C1142" s="399"/>
      <c r="D1142" s="399"/>
      <c r="E1142" s="399"/>
      <c r="F1142" s="400"/>
      <c r="G1142" s="273"/>
      <c r="H1142" s="273"/>
      <c r="I1142" s="358"/>
      <c r="J1142" s="358"/>
      <c r="K1142" s="358"/>
      <c r="L1142" s="358"/>
      <c r="M1142" s="358"/>
      <c r="N1142" s="358"/>
      <c r="O1142" s="358"/>
      <c r="P1142" s="358"/>
      <c r="Q1142" s="358"/>
      <c r="R1142" s="358"/>
      <c r="S1142" s="358"/>
      <c r="T1142" s="358"/>
      <c r="U1142" s="358"/>
      <c r="V1142" s="358"/>
      <c r="W1142" s="358"/>
      <c r="X1142" s="358"/>
      <c r="Y1142" s="358"/>
      <c r="Z1142" s="358"/>
    </row>
    <row r="1143" ht="14.25" customHeight="1">
      <c r="A1143" s="358"/>
      <c r="B1143" s="399"/>
      <c r="C1143" s="399"/>
      <c r="D1143" s="399"/>
      <c r="E1143" s="399"/>
      <c r="F1143" s="400"/>
      <c r="G1143" s="273"/>
      <c r="H1143" s="273"/>
      <c r="I1143" s="358"/>
      <c r="J1143" s="358"/>
      <c r="K1143" s="358"/>
      <c r="L1143" s="358"/>
      <c r="M1143" s="358"/>
      <c r="N1143" s="358"/>
      <c r="O1143" s="358"/>
      <c r="P1143" s="358"/>
      <c r="Q1143" s="358"/>
      <c r="R1143" s="358"/>
      <c r="S1143" s="358"/>
      <c r="T1143" s="358"/>
      <c r="U1143" s="358"/>
      <c r="V1143" s="358"/>
      <c r="W1143" s="358"/>
      <c r="X1143" s="358"/>
      <c r="Y1143" s="358"/>
      <c r="Z1143" s="358"/>
    </row>
    <row r="1144" ht="14.25" customHeight="1">
      <c r="A1144" s="358"/>
      <c r="B1144" s="399"/>
      <c r="C1144" s="399"/>
      <c r="D1144" s="399"/>
      <c r="E1144" s="399"/>
      <c r="F1144" s="400"/>
      <c r="G1144" s="273"/>
      <c r="H1144" s="273"/>
      <c r="I1144" s="358"/>
      <c r="J1144" s="358"/>
      <c r="K1144" s="358"/>
      <c r="L1144" s="358"/>
      <c r="M1144" s="358"/>
      <c r="N1144" s="358"/>
      <c r="O1144" s="358"/>
      <c r="P1144" s="358"/>
      <c r="Q1144" s="358"/>
      <c r="R1144" s="358"/>
      <c r="S1144" s="358"/>
      <c r="T1144" s="358"/>
      <c r="U1144" s="358"/>
      <c r="V1144" s="358"/>
      <c r="W1144" s="358"/>
      <c r="X1144" s="358"/>
      <c r="Y1144" s="358"/>
      <c r="Z1144" s="358"/>
    </row>
    <row r="1145" ht="14.25" customHeight="1">
      <c r="A1145" s="358"/>
      <c r="B1145" s="399"/>
      <c r="C1145" s="399"/>
      <c r="D1145" s="399"/>
      <c r="E1145" s="399"/>
      <c r="F1145" s="400"/>
      <c r="G1145" s="273"/>
      <c r="H1145" s="273"/>
      <c r="I1145" s="358"/>
      <c r="J1145" s="358"/>
      <c r="K1145" s="358"/>
      <c r="L1145" s="358"/>
      <c r="M1145" s="358"/>
      <c r="N1145" s="358"/>
      <c r="O1145" s="358"/>
      <c r="P1145" s="358"/>
      <c r="Q1145" s="358"/>
      <c r="R1145" s="358"/>
      <c r="S1145" s="358"/>
      <c r="T1145" s="358"/>
      <c r="U1145" s="358"/>
      <c r="V1145" s="358"/>
      <c r="W1145" s="358"/>
      <c r="X1145" s="358"/>
      <c r="Y1145" s="358"/>
      <c r="Z1145" s="358"/>
    </row>
    <row r="1146" ht="14.25" customHeight="1">
      <c r="A1146" s="358"/>
      <c r="B1146" s="399"/>
      <c r="C1146" s="399"/>
      <c r="D1146" s="399"/>
      <c r="E1146" s="399"/>
      <c r="F1146" s="400"/>
      <c r="G1146" s="273"/>
      <c r="H1146" s="273"/>
      <c r="I1146" s="358"/>
      <c r="J1146" s="358"/>
      <c r="K1146" s="358"/>
      <c r="L1146" s="358"/>
      <c r="M1146" s="358"/>
      <c r="N1146" s="358"/>
      <c r="O1146" s="358"/>
      <c r="P1146" s="358"/>
      <c r="Q1146" s="358"/>
      <c r="R1146" s="358"/>
      <c r="S1146" s="358"/>
      <c r="T1146" s="358"/>
      <c r="U1146" s="358"/>
      <c r="V1146" s="358"/>
      <c r="W1146" s="358"/>
      <c r="X1146" s="358"/>
      <c r="Y1146" s="358"/>
      <c r="Z1146" s="358"/>
    </row>
    <row r="1147" ht="14.25" customHeight="1">
      <c r="A1147" s="358"/>
      <c r="B1147" s="399"/>
      <c r="C1147" s="399"/>
      <c r="D1147" s="399"/>
      <c r="E1147" s="399"/>
      <c r="F1147" s="400"/>
      <c r="G1147" s="273"/>
      <c r="H1147" s="273"/>
      <c r="I1147" s="358"/>
      <c r="J1147" s="358"/>
      <c r="K1147" s="358"/>
      <c r="L1147" s="358"/>
      <c r="M1147" s="358"/>
      <c r="N1147" s="358"/>
      <c r="O1147" s="358"/>
      <c r="P1147" s="358"/>
      <c r="Q1147" s="358"/>
      <c r="R1147" s="358"/>
      <c r="S1147" s="358"/>
      <c r="T1147" s="358"/>
      <c r="U1147" s="358"/>
      <c r="V1147" s="358"/>
      <c r="W1147" s="358"/>
      <c r="X1147" s="358"/>
      <c r="Y1147" s="358"/>
      <c r="Z1147" s="358"/>
    </row>
    <row r="1148" ht="14.25" customHeight="1">
      <c r="A1148" s="358"/>
      <c r="B1148" s="399"/>
      <c r="C1148" s="399"/>
      <c r="D1148" s="399"/>
      <c r="E1148" s="399"/>
      <c r="F1148" s="400"/>
      <c r="G1148" s="273"/>
      <c r="H1148" s="273"/>
      <c r="I1148" s="358"/>
      <c r="J1148" s="358"/>
      <c r="K1148" s="358"/>
      <c r="L1148" s="358"/>
      <c r="M1148" s="358"/>
      <c r="N1148" s="358"/>
      <c r="O1148" s="358"/>
      <c r="P1148" s="358"/>
      <c r="Q1148" s="358"/>
      <c r="R1148" s="358"/>
      <c r="S1148" s="358"/>
      <c r="T1148" s="358"/>
      <c r="U1148" s="358"/>
      <c r="V1148" s="358"/>
      <c r="W1148" s="358"/>
      <c r="X1148" s="358"/>
      <c r="Y1148" s="358"/>
      <c r="Z1148" s="358"/>
    </row>
    <row r="1149" ht="14.25" customHeight="1">
      <c r="A1149" s="358"/>
      <c r="B1149" s="399"/>
      <c r="C1149" s="399"/>
      <c r="D1149" s="399"/>
      <c r="E1149" s="399"/>
      <c r="F1149" s="400"/>
      <c r="G1149" s="273"/>
      <c r="H1149" s="273"/>
      <c r="I1149" s="358"/>
      <c r="J1149" s="358"/>
      <c r="K1149" s="358"/>
      <c r="L1149" s="358"/>
      <c r="M1149" s="358"/>
      <c r="N1149" s="358"/>
      <c r="O1149" s="358"/>
      <c r="P1149" s="358"/>
      <c r="Q1149" s="358"/>
      <c r="R1149" s="358"/>
      <c r="S1149" s="358"/>
      <c r="T1149" s="358"/>
      <c r="U1149" s="358"/>
      <c r="V1149" s="358"/>
      <c r="W1149" s="358"/>
      <c r="X1149" s="358"/>
      <c r="Y1149" s="358"/>
      <c r="Z1149" s="358"/>
    </row>
    <row r="1150" ht="14.25" customHeight="1">
      <c r="A1150" s="358"/>
      <c r="B1150" s="399"/>
      <c r="C1150" s="399"/>
      <c r="D1150" s="399"/>
      <c r="E1150" s="399"/>
      <c r="F1150" s="400"/>
      <c r="G1150" s="273"/>
      <c r="H1150" s="273"/>
      <c r="I1150" s="358"/>
      <c r="J1150" s="358"/>
      <c r="K1150" s="358"/>
      <c r="L1150" s="358"/>
      <c r="M1150" s="358"/>
      <c r="N1150" s="358"/>
      <c r="O1150" s="358"/>
      <c r="P1150" s="358"/>
      <c r="Q1150" s="358"/>
      <c r="R1150" s="358"/>
      <c r="S1150" s="358"/>
      <c r="T1150" s="358"/>
      <c r="U1150" s="358"/>
      <c r="V1150" s="358"/>
      <c r="W1150" s="358"/>
      <c r="X1150" s="358"/>
      <c r="Y1150" s="358"/>
      <c r="Z1150" s="358"/>
    </row>
    <row r="1151" ht="14.25" customHeight="1">
      <c r="A1151" s="358"/>
      <c r="B1151" s="399"/>
      <c r="C1151" s="399"/>
      <c r="D1151" s="399"/>
      <c r="E1151" s="399"/>
      <c r="F1151" s="400"/>
      <c r="G1151" s="273"/>
      <c r="H1151" s="273"/>
      <c r="I1151" s="358"/>
      <c r="J1151" s="358"/>
      <c r="K1151" s="358"/>
      <c r="L1151" s="358"/>
      <c r="M1151" s="358"/>
      <c r="N1151" s="358"/>
      <c r="O1151" s="358"/>
      <c r="P1151" s="358"/>
      <c r="Q1151" s="358"/>
      <c r="R1151" s="358"/>
      <c r="S1151" s="358"/>
      <c r="T1151" s="358"/>
      <c r="U1151" s="358"/>
      <c r="V1151" s="358"/>
      <c r="W1151" s="358"/>
      <c r="X1151" s="358"/>
      <c r="Y1151" s="358"/>
      <c r="Z1151" s="358"/>
    </row>
    <row r="1152" ht="14.25" customHeight="1">
      <c r="A1152" s="358"/>
      <c r="B1152" s="399"/>
      <c r="C1152" s="399"/>
      <c r="D1152" s="399"/>
      <c r="E1152" s="399"/>
      <c r="F1152" s="400"/>
      <c r="G1152" s="273"/>
      <c r="H1152" s="273"/>
      <c r="I1152" s="358"/>
      <c r="J1152" s="358"/>
      <c r="K1152" s="358"/>
      <c r="L1152" s="358"/>
      <c r="M1152" s="358"/>
      <c r="N1152" s="358"/>
      <c r="O1152" s="358"/>
      <c r="P1152" s="358"/>
      <c r="Q1152" s="358"/>
      <c r="R1152" s="358"/>
      <c r="S1152" s="358"/>
      <c r="T1152" s="358"/>
      <c r="U1152" s="358"/>
      <c r="V1152" s="358"/>
      <c r="W1152" s="358"/>
      <c r="X1152" s="358"/>
      <c r="Y1152" s="358"/>
      <c r="Z1152" s="358"/>
    </row>
    <row r="1153" ht="14.25" customHeight="1">
      <c r="A1153" s="358"/>
      <c r="B1153" s="399"/>
      <c r="C1153" s="399"/>
      <c r="D1153" s="399"/>
      <c r="E1153" s="399"/>
      <c r="F1153" s="400"/>
      <c r="G1153" s="273"/>
      <c r="H1153" s="273"/>
      <c r="I1153" s="358"/>
      <c r="J1153" s="358"/>
      <c r="K1153" s="358"/>
      <c r="L1153" s="358"/>
      <c r="M1153" s="358"/>
      <c r="N1153" s="358"/>
      <c r="O1153" s="358"/>
      <c r="P1153" s="358"/>
      <c r="Q1153" s="358"/>
      <c r="R1153" s="358"/>
      <c r="S1153" s="358"/>
      <c r="T1153" s="358"/>
      <c r="U1153" s="358"/>
      <c r="V1153" s="358"/>
      <c r="W1153" s="358"/>
      <c r="X1153" s="358"/>
      <c r="Y1153" s="358"/>
      <c r="Z1153" s="358"/>
    </row>
    <row r="1154" ht="14.25" customHeight="1">
      <c r="A1154" s="358"/>
      <c r="B1154" s="399"/>
      <c r="C1154" s="399"/>
      <c r="D1154" s="399"/>
      <c r="E1154" s="399"/>
      <c r="F1154" s="400"/>
      <c r="G1154" s="273"/>
      <c r="H1154" s="273"/>
      <c r="I1154" s="358"/>
      <c r="J1154" s="358"/>
      <c r="K1154" s="358"/>
      <c r="L1154" s="358"/>
      <c r="M1154" s="358"/>
      <c r="N1154" s="358"/>
      <c r="O1154" s="358"/>
      <c r="P1154" s="358"/>
      <c r="Q1154" s="358"/>
      <c r="R1154" s="358"/>
      <c r="S1154" s="358"/>
      <c r="T1154" s="358"/>
      <c r="U1154" s="358"/>
      <c r="V1154" s="358"/>
      <c r="W1154" s="358"/>
      <c r="X1154" s="358"/>
      <c r="Y1154" s="358"/>
      <c r="Z1154" s="358"/>
    </row>
    <row r="1155" ht="14.25" customHeight="1">
      <c r="A1155" s="358"/>
      <c r="B1155" s="399"/>
      <c r="C1155" s="399"/>
      <c r="D1155" s="399"/>
      <c r="E1155" s="399"/>
      <c r="F1155" s="400"/>
      <c r="G1155" s="273"/>
      <c r="H1155" s="273"/>
      <c r="I1155" s="358"/>
      <c r="J1155" s="358"/>
      <c r="K1155" s="358"/>
      <c r="L1155" s="358"/>
      <c r="M1155" s="358"/>
      <c r="N1155" s="358"/>
      <c r="O1155" s="358"/>
      <c r="P1155" s="358"/>
      <c r="Q1155" s="358"/>
      <c r="R1155" s="358"/>
      <c r="S1155" s="358"/>
      <c r="T1155" s="358"/>
      <c r="U1155" s="358"/>
      <c r="V1155" s="358"/>
      <c r="W1155" s="358"/>
      <c r="X1155" s="358"/>
      <c r="Y1155" s="358"/>
      <c r="Z1155" s="358"/>
    </row>
    <row r="1156" ht="14.25" customHeight="1">
      <c r="A1156" s="358"/>
      <c r="B1156" s="399"/>
      <c r="C1156" s="399"/>
      <c r="D1156" s="399"/>
      <c r="E1156" s="399"/>
      <c r="F1156" s="400"/>
      <c r="G1156" s="273"/>
      <c r="H1156" s="273"/>
      <c r="I1156" s="358"/>
      <c r="J1156" s="358"/>
      <c r="K1156" s="358"/>
      <c r="L1156" s="358"/>
      <c r="M1156" s="358"/>
      <c r="N1156" s="358"/>
      <c r="O1156" s="358"/>
      <c r="P1156" s="358"/>
      <c r="Q1156" s="358"/>
      <c r="R1156" s="358"/>
      <c r="S1156" s="358"/>
      <c r="T1156" s="358"/>
      <c r="U1156" s="358"/>
      <c r="V1156" s="358"/>
      <c r="W1156" s="358"/>
      <c r="X1156" s="358"/>
      <c r="Y1156" s="358"/>
      <c r="Z1156" s="358"/>
    </row>
    <row r="1157" ht="14.25" customHeight="1">
      <c r="A1157" s="358"/>
      <c r="B1157" s="399"/>
      <c r="C1157" s="399"/>
      <c r="D1157" s="399"/>
      <c r="E1157" s="399"/>
      <c r="F1157" s="400"/>
      <c r="G1157" s="273"/>
      <c r="H1157" s="273"/>
      <c r="I1157" s="358"/>
      <c r="J1157" s="358"/>
      <c r="K1157" s="358"/>
      <c r="L1157" s="358"/>
      <c r="M1157" s="358"/>
      <c r="N1157" s="358"/>
      <c r="O1157" s="358"/>
      <c r="P1157" s="358"/>
      <c r="Q1157" s="358"/>
      <c r="R1157" s="358"/>
      <c r="S1157" s="358"/>
      <c r="T1157" s="358"/>
      <c r="U1157" s="358"/>
      <c r="V1157" s="358"/>
      <c r="W1157" s="358"/>
      <c r="X1157" s="358"/>
      <c r="Y1157" s="358"/>
      <c r="Z1157" s="358"/>
    </row>
    <row r="1158" ht="14.25" customHeight="1">
      <c r="A1158" s="358"/>
      <c r="B1158" s="399"/>
      <c r="C1158" s="399"/>
      <c r="D1158" s="399"/>
      <c r="E1158" s="399"/>
      <c r="F1158" s="400"/>
      <c r="G1158" s="273"/>
      <c r="H1158" s="273"/>
      <c r="I1158" s="358"/>
      <c r="J1158" s="358"/>
      <c r="K1158" s="358"/>
      <c r="L1158" s="358"/>
      <c r="M1158" s="358"/>
      <c r="N1158" s="358"/>
      <c r="O1158" s="358"/>
      <c r="P1158" s="358"/>
      <c r="Q1158" s="358"/>
      <c r="R1158" s="358"/>
      <c r="S1158" s="358"/>
      <c r="T1158" s="358"/>
      <c r="U1158" s="358"/>
      <c r="V1158" s="358"/>
      <c r="W1158" s="358"/>
      <c r="X1158" s="358"/>
      <c r="Y1158" s="358"/>
      <c r="Z1158" s="358"/>
    </row>
    <row r="1159" ht="14.25" customHeight="1">
      <c r="A1159" s="358"/>
      <c r="B1159" s="399"/>
      <c r="C1159" s="399"/>
      <c r="D1159" s="399"/>
      <c r="E1159" s="399"/>
      <c r="F1159" s="400"/>
      <c r="G1159" s="273"/>
      <c r="H1159" s="273"/>
      <c r="I1159" s="358"/>
      <c r="J1159" s="358"/>
      <c r="K1159" s="358"/>
      <c r="L1159" s="358"/>
      <c r="M1159" s="358"/>
      <c r="N1159" s="358"/>
      <c r="O1159" s="358"/>
      <c r="P1159" s="358"/>
      <c r="Q1159" s="358"/>
      <c r="R1159" s="358"/>
      <c r="S1159" s="358"/>
      <c r="T1159" s="358"/>
      <c r="U1159" s="358"/>
      <c r="V1159" s="358"/>
      <c r="W1159" s="358"/>
      <c r="X1159" s="358"/>
      <c r="Y1159" s="358"/>
      <c r="Z1159" s="358"/>
    </row>
    <row r="1160" ht="14.25" customHeight="1">
      <c r="A1160" s="358"/>
      <c r="B1160" s="399"/>
      <c r="C1160" s="399"/>
      <c r="D1160" s="399"/>
      <c r="E1160" s="399"/>
      <c r="F1160" s="400"/>
      <c r="G1160" s="273"/>
      <c r="H1160" s="273"/>
      <c r="I1160" s="358"/>
      <c r="J1160" s="358"/>
      <c r="K1160" s="358"/>
      <c r="L1160" s="358"/>
      <c r="M1160" s="358"/>
      <c r="N1160" s="358"/>
      <c r="O1160" s="358"/>
      <c r="P1160" s="358"/>
      <c r="Q1160" s="358"/>
      <c r="R1160" s="358"/>
      <c r="S1160" s="358"/>
      <c r="T1160" s="358"/>
      <c r="U1160" s="358"/>
      <c r="V1160" s="358"/>
      <c r="W1160" s="358"/>
      <c r="X1160" s="358"/>
      <c r="Y1160" s="358"/>
      <c r="Z1160" s="358"/>
    </row>
    <row r="1161" ht="14.25" customHeight="1">
      <c r="A1161" s="358"/>
      <c r="B1161" s="399"/>
      <c r="C1161" s="399"/>
      <c r="D1161" s="399"/>
      <c r="E1161" s="399"/>
      <c r="F1161" s="400"/>
      <c r="G1161" s="273"/>
      <c r="H1161" s="273"/>
      <c r="I1161" s="358"/>
      <c r="J1161" s="358"/>
      <c r="K1161" s="358"/>
      <c r="L1161" s="358"/>
      <c r="M1161" s="358"/>
      <c r="N1161" s="358"/>
      <c r="O1161" s="358"/>
      <c r="P1161" s="358"/>
      <c r="Q1161" s="358"/>
      <c r="R1161" s="358"/>
      <c r="S1161" s="358"/>
      <c r="T1161" s="358"/>
      <c r="U1161" s="358"/>
      <c r="V1161" s="358"/>
      <c r="W1161" s="358"/>
      <c r="X1161" s="358"/>
      <c r="Y1161" s="358"/>
      <c r="Z1161" s="358"/>
    </row>
    <row r="1162" ht="14.25" customHeight="1">
      <c r="A1162" s="358"/>
      <c r="B1162" s="399"/>
      <c r="C1162" s="399"/>
      <c r="D1162" s="399"/>
      <c r="E1162" s="399"/>
      <c r="F1162" s="400"/>
      <c r="G1162" s="273"/>
      <c r="H1162" s="273"/>
      <c r="I1162" s="358"/>
      <c r="J1162" s="358"/>
      <c r="K1162" s="358"/>
      <c r="L1162" s="358"/>
      <c r="M1162" s="358"/>
      <c r="N1162" s="358"/>
      <c r="O1162" s="358"/>
      <c r="P1162" s="358"/>
      <c r="Q1162" s="358"/>
      <c r="R1162" s="358"/>
      <c r="S1162" s="358"/>
      <c r="T1162" s="358"/>
      <c r="U1162" s="358"/>
      <c r="V1162" s="358"/>
      <c r="W1162" s="358"/>
      <c r="X1162" s="358"/>
      <c r="Y1162" s="358"/>
      <c r="Z1162" s="358"/>
    </row>
    <row r="1163" ht="14.25" customHeight="1">
      <c r="A1163" s="358"/>
      <c r="B1163" s="399"/>
      <c r="C1163" s="399"/>
      <c r="D1163" s="399"/>
      <c r="E1163" s="399"/>
      <c r="F1163" s="400"/>
      <c r="G1163" s="273"/>
      <c r="H1163" s="273"/>
      <c r="I1163" s="358"/>
      <c r="J1163" s="358"/>
      <c r="K1163" s="358"/>
      <c r="L1163" s="358"/>
      <c r="M1163" s="358"/>
      <c r="N1163" s="358"/>
      <c r="O1163" s="358"/>
      <c r="P1163" s="358"/>
      <c r="Q1163" s="358"/>
      <c r="R1163" s="358"/>
      <c r="S1163" s="358"/>
      <c r="T1163" s="358"/>
      <c r="U1163" s="358"/>
      <c r="V1163" s="358"/>
      <c r="W1163" s="358"/>
      <c r="X1163" s="358"/>
      <c r="Y1163" s="358"/>
      <c r="Z1163" s="358"/>
    </row>
    <row r="1164" ht="14.25" customHeight="1">
      <c r="A1164" s="358"/>
      <c r="B1164" s="399"/>
      <c r="C1164" s="399"/>
      <c r="D1164" s="399"/>
      <c r="E1164" s="399"/>
      <c r="F1164" s="400"/>
      <c r="G1164" s="273"/>
      <c r="H1164" s="273"/>
      <c r="I1164" s="358"/>
      <c r="J1164" s="358"/>
      <c r="K1164" s="358"/>
      <c r="L1164" s="358"/>
      <c r="M1164" s="358"/>
      <c r="N1164" s="358"/>
      <c r="O1164" s="358"/>
      <c r="P1164" s="358"/>
      <c r="Q1164" s="358"/>
      <c r="R1164" s="358"/>
      <c r="S1164" s="358"/>
      <c r="T1164" s="358"/>
      <c r="U1164" s="358"/>
      <c r="V1164" s="358"/>
      <c r="W1164" s="358"/>
      <c r="X1164" s="358"/>
      <c r="Y1164" s="358"/>
      <c r="Z1164" s="358"/>
    </row>
    <row r="1165" ht="14.25" customHeight="1">
      <c r="A1165" s="358"/>
      <c r="B1165" s="399"/>
      <c r="C1165" s="399"/>
      <c r="D1165" s="399"/>
      <c r="E1165" s="399"/>
      <c r="F1165" s="400"/>
      <c r="G1165" s="273"/>
      <c r="H1165" s="273"/>
      <c r="I1165" s="358"/>
      <c r="J1165" s="358"/>
      <c r="K1165" s="358"/>
      <c r="L1165" s="358"/>
      <c r="M1165" s="358"/>
      <c r="N1165" s="358"/>
      <c r="O1165" s="358"/>
      <c r="P1165" s="358"/>
      <c r="Q1165" s="358"/>
      <c r="R1165" s="358"/>
      <c r="S1165" s="358"/>
      <c r="T1165" s="358"/>
      <c r="U1165" s="358"/>
      <c r="V1165" s="358"/>
      <c r="W1165" s="358"/>
      <c r="X1165" s="358"/>
      <c r="Y1165" s="358"/>
      <c r="Z1165" s="358"/>
    </row>
    <row r="1166" ht="14.25" customHeight="1">
      <c r="A1166" s="358"/>
      <c r="B1166" s="399"/>
      <c r="C1166" s="399"/>
      <c r="D1166" s="399"/>
      <c r="E1166" s="399"/>
      <c r="F1166" s="400"/>
      <c r="G1166" s="273"/>
      <c r="H1166" s="273"/>
      <c r="I1166" s="358"/>
      <c r="J1166" s="358"/>
      <c r="K1166" s="358"/>
      <c r="L1166" s="358"/>
      <c r="M1166" s="358"/>
      <c r="N1166" s="358"/>
      <c r="O1166" s="358"/>
      <c r="P1166" s="358"/>
      <c r="Q1166" s="358"/>
      <c r="R1166" s="358"/>
      <c r="S1166" s="358"/>
      <c r="T1166" s="358"/>
      <c r="U1166" s="358"/>
      <c r="V1166" s="358"/>
      <c r="W1166" s="358"/>
      <c r="X1166" s="358"/>
      <c r="Y1166" s="358"/>
      <c r="Z1166" s="358"/>
    </row>
    <row r="1167" ht="14.25" customHeight="1">
      <c r="A1167" s="358"/>
      <c r="B1167" s="399"/>
      <c r="C1167" s="399"/>
      <c r="D1167" s="399"/>
      <c r="E1167" s="399"/>
      <c r="F1167" s="400"/>
      <c r="G1167" s="273"/>
      <c r="H1167" s="273"/>
      <c r="I1167" s="358"/>
      <c r="J1167" s="358"/>
      <c r="K1167" s="358"/>
      <c r="L1167" s="358"/>
      <c r="M1167" s="358"/>
      <c r="N1167" s="358"/>
      <c r="O1167" s="358"/>
      <c r="P1167" s="358"/>
      <c r="Q1167" s="358"/>
      <c r="R1167" s="358"/>
      <c r="S1167" s="358"/>
      <c r="T1167" s="358"/>
      <c r="U1167" s="358"/>
      <c r="V1167" s="358"/>
      <c r="W1167" s="358"/>
      <c r="X1167" s="358"/>
      <c r="Y1167" s="358"/>
      <c r="Z1167" s="358"/>
    </row>
    <row r="1168" ht="14.25" customHeight="1">
      <c r="A1168" s="358"/>
      <c r="B1168" s="399"/>
      <c r="C1168" s="399"/>
      <c r="D1168" s="399"/>
      <c r="E1168" s="399"/>
      <c r="F1168" s="400"/>
      <c r="G1168" s="273"/>
      <c r="H1168" s="273"/>
      <c r="I1168" s="358"/>
      <c r="J1168" s="358"/>
      <c r="K1168" s="358"/>
      <c r="L1168" s="358"/>
      <c r="M1168" s="358"/>
      <c r="N1168" s="358"/>
      <c r="O1168" s="358"/>
      <c r="P1168" s="358"/>
      <c r="Q1168" s="358"/>
      <c r="R1168" s="358"/>
      <c r="S1168" s="358"/>
      <c r="T1168" s="358"/>
      <c r="U1168" s="358"/>
      <c r="V1168" s="358"/>
      <c r="W1168" s="358"/>
      <c r="X1168" s="358"/>
      <c r="Y1168" s="358"/>
      <c r="Z1168" s="358"/>
    </row>
    <row r="1169" ht="14.25" customHeight="1">
      <c r="A1169" s="358"/>
      <c r="B1169" s="399"/>
      <c r="C1169" s="399"/>
      <c r="D1169" s="399"/>
      <c r="E1169" s="399"/>
      <c r="F1169" s="400"/>
      <c r="G1169" s="273"/>
      <c r="H1169" s="273"/>
      <c r="I1169" s="358"/>
      <c r="J1169" s="358"/>
      <c r="K1169" s="358"/>
      <c r="L1169" s="358"/>
      <c r="M1169" s="358"/>
      <c r="N1169" s="358"/>
      <c r="O1169" s="358"/>
      <c r="P1169" s="358"/>
      <c r="Q1169" s="358"/>
      <c r="R1169" s="358"/>
      <c r="S1169" s="358"/>
      <c r="T1169" s="358"/>
      <c r="U1169" s="358"/>
      <c r="V1169" s="358"/>
      <c r="W1169" s="358"/>
      <c r="X1169" s="358"/>
      <c r="Y1169" s="358"/>
      <c r="Z1169" s="358"/>
    </row>
    <row r="1170" ht="14.25" customHeight="1">
      <c r="A1170" s="358"/>
      <c r="B1170" s="399"/>
      <c r="C1170" s="399"/>
      <c r="D1170" s="399"/>
      <c r="E1170" s="399"/>
      <c r="F1170" s="400"/>
      <c r="G1170" s="273"/>
      <c r="H1170" s="273"/>
      <c r="I1170" s="358"/>
      <c r="J1170" s="358"/>
      <c r="K1170" s="358"/>
      <c r="L1170" s="358"/>
      <c r="M1170" s="358"/>
      <c r="N1170" s="358"/>
      <c r="O1170" s="358"/>
      <c r="P1170" s="358"/>
      <c r="Q1170" s="358"/>
      <c r="R1170" s="358"/>
      <c r="S1170" s="358"/>
      <c r="T1170" s="358"/>
      <c r="U1170" s="358"/>
      <c r="V1170" s="358"/>
      <c r="W1170" s="358"/>
      <c r="X1170" s="358"/>
      <c r="Y1170" s="358"/>
      <c r="Z1170" s="358"/>
    </row>
    <row r="1171" ht="14.25" customHeight="1">
      <c r="A1171" s="358"/>
      <c r="B1171" s="399"/>
      <c r="C1171" s="399"/>
      <c r="D1171" s="399"/>
      <c r="E1171" s="399"/>
      <c r="F1171" s="400"/>
      <c r="G1171" s="273"/>
      <c r="H1171" s="273"/>
      <c r="I1171" s="358"/>
      <c r="J1171" s="358"/>
      <c r="K1171" s="358"/>
      <c r="L1171" s="358"/>
      <c r="M1171" s="358"/>
      <c r="N1171" s="358"/>
      <c r="O1171" s="358"/>
      <c r="P1171" s="358"/>
      <c r="Q1171" s="358"/>
      <c r="R1171" s="358"/>
      <c r="S1171" s="358"/>
      <c r="T1171" s="358"/>
      <c r="U1171" s="358"/>
      <c r="V1171" s="358"/>
      <c r="W1171" s="358"/>
      <c r="X1171" s="358"/>
      <c r="Y1171" s="358"/>
      <c r="Z1171" s="358"/>
    </row>
    <row r="1172" ht="14.25" customHeight="1">
      <c r="A1172" s="358"/>
      <c r="B1172" s="399"/>
      <c r="C1172" s="399"/>
      <c r="D1172" s="399"/>
      <c r="E1172" s="399"/>
      <c r="F1172" s="400"/>
      <c r="G1172" s="273"/>
      <c r="H1172" s="273"/>
      <c r="I1172" s="358"/>
      <c r="J1172" s="358"/>
      <c r="K1172" s="358"/>
      <c r="L1172" s="358"/>
      <c r="M1172" s="358"/>
      <c r="N1172" s="358"/>
      <c r="O1172" s="358"/>
      <c r="P1172" s="358"/>
      <c r="Q1172" s="358"/>
      <c r="R1172" s="358"/>
      <c r="S1172" s="358"/>
      <c r="T1172" s="358"/>
      <c r="U1172" s="358"/>
      <c r="V1172" s="358"/>
      <c r="W1172" s="358"/>
      <c r="X1172" s="358"/>
      <c r="Y1172" s="358"/>
      <c r="Z1172" s="358"/>
    </row>
    <row r="1173" ht="14.25" customHeight="1">
      <c r="A1173" s="358"/>
      <c r="B1173" s="399"/>
      <c r="C1173" s="399"/>
      <c r="D1173" s="399"/>
      <c r="E1173" s="399"/>
      <c r="F1173" s="400"/>
      <c r="G1173" s="273"/>
      <c r="H1173" s="273"/>
      <c r="I1173" s="358"/>
      <c r="J1173" s="358"/>
      <c r="K1173" s="358"/>
      <c r="L1173" s="358"/>
      <c r="M1173" s="358"/>
      <c r="N1173" s="358"/>
      <c r="O1173" s="358"/>
      <c r="P1173" s="358"/>
      <c r="Q1173" s="358"/>
      <c r="R1173" s="358"/>
      <c r="S1173" s="358"/>
      <c r="T1173" s="358"/>
      <c r="U1173" s="358"/>
      <c r="V1173" s="358"/>
      <c r="W1173" s="358"/>
      <c r="X1173" s="358"/>
      <c r="Y1173" s="358"/>
      <c r="Z1173" s="358"/>
    </row>
    <row r="1174" ht="14.25" customHeight="1">
      <c r="A1174" s="358"/>
      <c r="B1174" s="399"/>
      <c r="C1174" s="399"/>
      <c r="D1174" s="399"/>
      <c r="E1174" s="399"/>
      <c r="F1174" s="400"/>
      <c r="G1174" s="273"/>
      <c r="H1174" s="273"/>
      <c r="I1174" s="358"/>
      <c r="J1174" s="358"/>
      <c r="K1174" s="358"/>
      <c r="L1174" s="358"/>
      <c r="M1174" s="358"/>
      <c r="N1174" s="358"/>
      <c r="O1174" s="358"/>
      <c r="P1174" s="358"/>
      <c r="Q1174" s="358"/>
      <c r="R1174" s="358"/>
      <c r="S1174" s="358"/>
      <c r="T1174" s="358"/>
      <c r="U1174" s="358"/>
      <c r="V1174" s="358"/>
      <c r="W1174" s="358"/>
      <c r="X1174" s="358"/>
      <c r="Y1174" s="358"/>
      <c r="Z1174" s="358"/>
    </row>
    <row r="1175" ht="14.25" customHeight="1">
      <c r="A1175" s="358"/>
      <c r="B1175" s="399"/>
      <c r="C1175" s="399"/>
      <c r="D1175" s="399"/>
      <c r="E1175" s="399"/>
      <c r="F1175" s="400"/>
      <c r="G1175" s="273"/>
      <c r="H1175" s="273"/>
      <c r="I1175" s="358"/>
      <c r="J1175" s="358"/>
      <c r="K1175" s="358"/>
      <c r="L1175" s="358"/>
      <c r="M1175" s="358"/>
      <c r="N1175" s="358"/>
      <c r="O1175" s="358"/>
      <c r="P1175" s="358"/>
      <c r="Q1175" s="358"/>
      <c r="R1175" s="358"/>
      <c r="S1175" s="358"/>
      <c r="T1175" s="358"/>
      <c r="U1175" s="358"/>
      <c r="V1175" s="358"/>
      <c r="W1175" s="358"/>
      <c r="X1175" s="358"/>
      <c r="Y1175" s="358"/>
      <c r="Z1175" s="358"/>
    </row>
    <row r="1176" ht="14.25" customHeight="1">
      <c r="A1176" s="358"/>
      <c r="B1176" s="399"/>
      <c r="C1176" s="399"/>
      <c r="D1176" s="399"/>
      <c r="E1176" s="399"/>
      <c r="F1176" s="400"/>
      <c r="G1176" s="273"/>
      <c r="H1176" s="273"/>
      <c r="I1176" s="358"/>
      <c r="J1176" s="358"/>
      <c r="K1176" s="358"/>
      <c r="L1176" s="358"/>
      <c r="M1176" s="358"/>
      <c r="N1176" s="358"/>
      <c r="O1176" s="358"/>
      <c r="P1176" s="358"/>
      <c r="Q1176" s="358"/>
      <c r="R1176" s="358"/>
      <c r="S1176" s="358"/>
      <c r="T1176" s="358"/>
      <c r="U1176" s="358"/>
      <c r="V1176" s="358"/>
      <c r="W1176" s="358"/>
      <c r="X1176" s="358"/>
      <c r="Y1176" s="358"/>
      <c r="Z1176" s="358"/>
    </row>
    <row r="1177" ht="14.25" customHeight="1">
      <c r="A1177" s="358"/>
      <c r="B1177" s="399"/>
      <c r="C1177" s="399"/>
      <c r="D1177" s="399"/>
      <c r="E1177" s="399"/>
      <c r="F1177" s="400"/>
      <c r="G1177" s="273"/>
      <c r="H1177" s="273"/>
      <c r="I1177" s="358"/>
      <c r="J1177" s="358"/>
      <c r="K1177" s="358"/>
      <c r="L1177" s="358"/>
      <c r="M1177" s="358"/>
      <c r="N1177" s="358"/>
      <c r="O1177" s="358"/>
      <c r="P1177" s="358"/>
      <c r="Q1177" s="358"/>
      <c r="R1177" s="358"/>
      <c r="S1177" s="358"/>
      <c r="T1177" s="358"/>
      <c r="U1177" s="358"/>
      <c r="V1177" s="358"/>
      <c r="W1177" s="358"/>
      <c r="X1177" s="358"/>
      <c r="Y1177" s="358"/>
      <c r="Z1177" s="358"/>
    </row>
    <row r="1178" ht="14.25" customHeight="1">
      <c r="A1178" s="358"/>
      <c r="B1178" s="399"/>
      <c r="C1178" s="399"/>
      <c r="D1178" s="399"/>
      <c r="E1178" s="399"/>
      <c r="F1178" s="400"/>
      <c r="G1178" s="273"/>
      <c r="H1178" s="273"/>
      <c r="I1178" s="358"/>
      <c r="J1178" s="358"/>
      <c r="K1178" s="358"/>
      <c r="L1178" s="358"/>
      <c r="M1178" s="358"/>
      <c r="N1178" s="358"/>
      <c r="O1178" s="358"/>
      <c r="P1178" s="358"/>
      <c r="Q1178" s="358"/>
      <c r="R1178" s="358"/>
      <c r="S1178" s="358"/>
      <c r="T1178" s="358"/>
      <c r="U1178" s="358"/>
      <c r="V1178" s="358"/>
      <c r="W1178" s="358"/>
      <c r="X1178" s="358"/>
      <c r="Y1178" s="358"/>
      <c r="Z1178" s="358"/>
    </row>
    <row r="1179" ht="14.25" customHeight="1">
      <c r="A1179" s="358"/>
      <c r="B1179" s="399"/>
      <c r="C1179" s="399"/>
      <c r="D1179" s="399"/>
      <c r="E1179" s="399"/>
      <c r="F1179" s="400"/>
      <c r="G1179" s="273"/>
      <c r="H1179" s="273"/>
      <c r="I1179" s="358"/>
      <c r="J1179" s="358"/>
      <c r="K1179" s="358"/>
      <c r="L1179" s="358"/>
      <c r="M1179" s="358"/>
      <c r="N1179" s="358"/>
      <c r="O1179" s="358"/>
      <c r="P1179" s="358"/>
      <c r="Q1179" s="358"/>
      <c r="R1179" s="358"/>
      <c r="S1179" s="358"/>
      <c r="T1179" s="358"/>
      <c r="U1179" s="358"/>
      <c r="V1179" s="358"/>
      <c r="W1179" s="358"/>
      <c r="X1179" s="358"/>
      <c r="Y1179" s="358"/>
      <c r="Z1179" s="358"/>
    </row>
    <row r="1180" ht="14.25" customHeight="1">
      <c r="A1180" s="358"/>
      <c r="B1180" s="399"/>
      <c r="C1180" s="399"/>
      <c r="D1180" s="399"/>
      <c r="E1180" s="399"/>
      <c r="F1180" s="400"/>
      <c r="G1180" s="273"/>
      <c r="H1180" s="273"/>
      <c r="I1180" s="358"/>
      <c r="J1180" s="358"/>
      <c r="K1180" s="358"/>
      <c r="L1180" s="358"/>
      <c r="M1180" s="358"/>
      <c r="N1180" s="358"/>
      <c r="O1180" s="358"/>
      <c r="P1180" s="358"/>
      <c r="Q1180" s="358"/>
      <c r="R1180" s="358"/>
      <c r="S1180" s="358"/>
      <c r="T1180" s="358"/>
      <c r="U1180" s="358"/>
      <c r="V1180" s="358"/>
      <c r="W1180" s="358"/>
      <c r="X1180" s="358"/>
      <c r="Y1180" s="358"/>
      <c r="Z1180" s="358"/>
    </row>
    <row r="1181" ht="14.25" customHeight="1">
      <c r="A1181" s="358"/>
      <c r="B1181" s="399"/>
      <c r="C1181" s="399"/>
      <c r="D1181" s="399"/>
      <c r="E1181" s="399"/>
      <c r="F1181" s="400"/>
      <c r="G1181" s="273"/>
      <c r="H1181" s="273"/>
      <c r="I1181" s="358"/>
      <c r="J1181" s="358"/>
      <c r="K1181" s="358"/>
      <c r="L1181" s="358"/>
      <c r="M1181" s="358"/>
      <c r="N1181" s="358"/>
      <c r="O1181" s="358"/>
      <c r="P1181" s="358"/>
      <c r="Q1181" s="358"/>
      <c r="R1181" s="358"/>
      <c r="S1181" s="358"/>
      <c r="T1181" s="358"/>
      <c r="U1181" s="358"/>
      <c r="V1181" s="358"/>
      <c r="W1181" s="358"/>
      <c r="X1181" s="358"/>
      <c r="Y1181" s="358"/>
      <c r="Z1181" s="358"/>
    </row>
    <row r="1182" ht="14.25" customHeight="1">
      <c r="A1182" s="358"/>
      <c r="B1182" s="399"/>
      <c r="C1182" s="399"/>
      <c r="D1182" s="399"/>
      <c r="E1182" s="399"/>
      <c r="F1182" s="400"/>
      <c r="G1182" s="273"/>
      <c r="H1182" s="273"/>
      <c r="I1182" s="358"/>
      <c r="J1182" s="358"/>
      <c r="K1182" s="358"/>
      <c r="L1182" s="358"/>
      <c r="M1182" s="358"/>
      <c r="N1182" s="358"/>
      <c r="O1182" s="358"/>
      <c r="P1182" s="358"/>
      <c r="Q1182" s="358"/>
      <c r="R1182" s="358"/>
      <c r="S1182" s="358"/>
      <c r="T1182" s="358"/>
      <c r="U1182" s="358"/>
      <c r="V1182" s="358"/>
      <c r="W1182" s="358"/>
      <c r="X1182" s="358"/>
      <c r="Y1182" s="358"/>
      <c r="Z1182" s="358"/>
    </row>
    <row r="1183" ht="14.25" customHeight="1">
      <c r="A1183" s="358"/>
      <c r="B1183" s="399"/>
      <c r="C1183" s="399"/>
      <c r="D1183" s="399"/>
      <c r="E1183" s="399"/>
      <c r="F1183" s="400"/>
      <c r="G1183" s="273"/>
      <c r="H1183" s="273"/>
      <c r="I1183" s="358"/>
      <c r="J1183" s="358"/>
      <c r="K1183" s="358"/>
      <c r="L1183" s="358"/>
      <c r="M1183" s="358"/>
      <c r="N1183" s="358"/>
      <c r="O1183" s="358"/>
      <c r="P1183" s="358"/>
      <c r="Q1183" s="358"/>
      <c r="R1183" s="358"/>
      <c r="S1183" s="358"/>
      <c r="T1183" s="358"/>
      <c r="U1183" s="358"/>
      <c r="V1183" s="358"/>
      <c r="W1183" s="358"/>
      <c r="X1183" s="358"/>
      <c r="Y1183" s="358"/>
      <c r="Z1183" s="358"/>
    </row>
    <row r="1184" ht="14.25" customHeight="1">
      <c r="A1184" s="358"/>
      <c r="B1184" s="399"/>
      <c r="C1184" s="399"/>
      <c r="D1184" s="399"/>
      <c r="E1184" s="399"/>
      <c r="F1184" s="400"/>
      <c r="G1184" s="273"/>
      <c r="H1184" s="273"/>
      <c r="I1184" s="358"/>
      <c r="J1184" s="358"/>
      <c r="K1184" s="358"/>
      <c r="L1184" s="358"/>
      <c r="M1184" s="358"/>
      <c r="N1184" s="358"/>
      <c r="O1184" s="358"/>
      <c r="P1184" s="358"/>
      <c r="Q1184" s="358"/>
      <c r="R1184" s="358"/>
      <c r="S1184" s="358"/>
      <c r="T1184" s="358"/>
      <c r="U1184" s="358"/>
      <c r="V1184" s="358"/>
      <c r="W1184" s="358"/>
      <c r="X1184" s="358"/>
      <c r="Y1184" s="358"/>
      <c r="Z1184" s="358"/>
    </row>
    <row r="1185" ht="14.25" customHeight="1">
      <c r="A1185" s="358"/>
      <c r="B1185" s="399"/>
      <c r="C1185" s="399"/>
      <c r="D1185" s="399"/>
      <c r="E1185" s="399"/>
      <c r="F1185" s="400"/>
      <c r="G1185" s="273"/>
      <c r="H1185" s="273"/>
      <c r="I1185" s="358"/>
      <c r="J1185" s="358"/>
      <c r="K1185" s="358"/>
      <c r="L1185" s="358"/>
      <c r="M1185" s="358"/>
      <c r="N1185" s="358"/>
      <c r="O1185" s="358"/>
      <c r="P1185" s="358"/>
      <c r="Q1185" s="358"/>
      <c r="R1185" s="358"/>
      <c r="S1185" s="358"/>
      <c r="T1185" s="358"/>
      <c r="U1185" s="358"/>
      <c r="V1185" s="358"/>
      <c r="W1185" s="358"/>
      <c r="X1185" s="358"/>
      <c r="Y1185" s="358"/>
      <c r="Z1185" s="358"/>
    </row>
    <row r="1186" ht="14.25" customHeight="1">
      <c r="A1186" s="358"/>
      <c r="B1186" s="399"/>
      <c r="C1186" s="399"/>
      <c r="D1186" s="399"/>
      <c r="E1186" s="399"/>
      <c r="F1186" s="400"/>
      <c r="G1186" s="273"/>
      <c r="H1186" s="273"/>
      <c r="I1186" s="358"/>
      <c r="J1186" s="358"/>
      <c r="K1186" s="358"/>
      <c r="L1186" s="358"/>
      <c r="M1186" s="358"/>
      <c r="N1186" s="358"/>
      <c r="O1186" s="358"/>
      <c r="P1186" s="358"/>
      <c r="Q1186" s="358"/>
      <c r="R1186" s="358"/>
      <c r="S1186" s="358"/>
      <c r="T1186" s="358"/>
      <c r="U1186" s="358"/>
      <c r="V1186" s="358"/>
      <c r="W1186" s="358"/>
      <c r="X1186" s="358"/>
      <c r="Y1186" s="358"/>
      <c r="Z1186" s="358"/>
    </row>
    <row r="1187" ht="14.25" customHeight="1">
      <c r="A1187" s="358"/>
      <c r="B1187" s="399"/>
      <c r="C1187" s="399"/>
      <c r="D1187" s="399"/>
      <c r="E1187" s="399"/>
      <c r="F1187" s="400"/>
      <c r="G1187" s="273"/>
      <c r="H1187" s="273"/>
      <c r="I1187" s="358"/>
      <c r="J1187" s="358"/>
      <c r="K1187" s="358"/>
      <c r="L1187" s="358"/>
      <c r="M1187" s="358"/>
      <c r="N1187" s="358"/>
      <c r="O1187" s="358"/>
      <c r="P1187" s="358"/>
      <c r="Q1187" s="358"/>
      <c r="R1187" s="358"/>
      <c r="S1187" s="358"/>
      <c r="T1187" s="358"/>
      <c r="U1187" s="358"/>
      <c r="V1187" s="358"/>
      <c r="W1187" s="358"/>
      <c r="X1187" s="358"/>
      <c r="Y1187" s="358"/>
      <c r="Z1187" s="358"/>
    </row>
    <row r="1188" ht="14.25" customHeight="1">
      <c r="A1188" s="358"/>
      <c r="B1188" s="399"/>
      <c r="C1188" s="399"/>
      <c r="D1188" s="399"/>
      <c r="E1188" s="399"/>
      <c r="F1188" s="400"/>
      <c r="G1188" s="273"/>
      <c r="H1188" s="273"/>
      <c r="I1188" s="358"/>
      <c r="J1188" s="358"/>
      <c r="K1188" s="358"/>
      <c r="L1188" s="358"/>
      <c r="M1188" s="358"/>
      <c r="N1188" s="358"/>
      <c r="O1188" s="358"/>
      <c r="P1188" s="358"/>
      <c r="Q1188" s="358"/>
      <c r="R1188" s="358"/>
      <c r="S1188" s="358"/>
      <c r="T1188" s="358"/>
      <c r="U1188" s="358"/>
      <c r="V1188" s="358"/>
      <c r="W1188" s="358"/>
      <c r="X1188" s="358"/>
      <c r="Y1188" s="358"/>
      <c r="Z1188" s="358"/>
    </row>
    <row r="1189" ht="14.25" customHeight="1">
      <c r="A1189" s="358"/>
      <c r="B1189" s="399"/>
      <c r="C1189" s="399"/>
      <c r="D1189" s="399"/>
      <c r="E1189" s="399"/>
      <c r="F1189" s="400"/>
      <c r="G1189" s="273"/>
      <c r="H1189" s="273"/>
      <c r="I1189" s="358"/>
      <c r="J1189" s="358"/>
      <c r="K1189" s="358"/>
      <c r="L1189" s="358"/>
      <c r="M1189" s="358"/>
      <c r="N1189" s="358"/>
      <c r="O1189" s="358"/>
      <c r="P1189" s="358"/>
      <c r="Q1189" s="358"/>
      <c r="R1189" s="358"/>
      <c r="S1189" s="358"/>
      <c r="T1189" s="358"/>
      <c r="U1189" s="358"/>
      <c r="V1189" s="358"/>
      <c r="W1189" s="358"/>
      <c r="X1189" s="358"/>
      <c r="Y1189" s="358"/>
      <c r="Z1189" s="358"/>
    </row>
    <row r="1190" ht="14.25" customHeight="1">
      <c r="A1190" s="358"/>
      <c r="B1190" s="399"/>
      <c r="C1190" s="399"/>
      <c r="D1190" s="399"/>
      <c r="E1190" s="399"/>
      <c r="F1190" s="400"/>
      <c r="G1190" s="273"/>
      <c r="H1190" s="273"/>
      <c r="I1190" s="358"/>
      <c r="J1190" s="358"/>
      <c r="K1190" s="358"/>
      <c r="L1190" s="358"/>
      <c r="M1190" s="358"/>
      <c r="N1190" s="358"/>
      <c r="O1190" s="358"/>
      <c r="P1190" s="358"/>
      <c r="Q1190" s="358"/>
      <c r="R1190" s="358"/>
      <c r="S1190" s="358"/>
      <c r="T1190" s="358"/>
      <c r="U1190" s="358"/>
      <c r="V1190" s="358"/>
      <c r="W1190" s="358"/>
      <c r="X1190" s="358"/>
      <c r="Y1190" s="358"/>
      <c r="Z1190" s="358"/>
    </row>
    <row r="1191" ht="14.25" customHeight="1">
      <c r="A1191" s="358"/>
      <c r="B1191" s="399"/>
      <c r="C1191" s="399"/>
      <c r="D1191" s="399"/>
      <c r="E1191" s="399"/>
      <c r="F1191" s="400"/>
      <c r="G1191" s="273"/>
      <c r="H1191" s="273"/>
      <c r="I1191" s="358"/>
      <c r="J1191" s="358"/>
      <c r="K1191" s="358"/>
      <c r="L1191" s="358"/>
      <c r="M1191" s="358"/>
      <c r="N1191" s="358"/>
      <c r="O1191" s="358"/>
      <c r="P1191" s="358"/>
      <c r="Q1191" s="358"/>
      <c r="R1191" s="358"/>
      <c r="S1191" s="358"/>
      <c r="T1191" s="358"/>
      <c r="U1191" s="358"/>
      <c r="V1191" s="358"/>
      <c r="W1191" s="358"/>
      <c r="X1191" s="358"/>
      <c r="Y1191" s="358"/>
      <c r="Z1191" s="358"/>
    </row>
    <row r="1192" ht="14.25" customHeight="1">
      <c r="A1192" s="358"/>
      <c r="B1192" s="399"/>
      <c r="C1192" s="399"/>
      <c r="D1192" s="399"/>
      <c r="E1192" s="399"/>
      <c r="F1192" s="400"/>
      <c r="G1192" s="273"/>
      <c r="H1192" s="273"/>
      <c r="I1192" s="358"/>
      <c r="J1192" s="358"/>
      <c r="K1192" s="358"/>
      <c r="L1192" s="358"/>
      <c r="M1192" s="358"/>
      <c r="N1192" s="358"/>
      <c r="O1192" s="358"/>
      <c r="P1192" s="358"/>
      <c r="Q1192" s="358"/>
      <c r="R1192" s="358"/>
      <c r="S1192" s="358"/>
      <c r="T1192" s="358"/>
      <c r="U1192" s="358"/>
      <c r="V1192" s="358"/>
      <c r="W1192" s="358"/>
      <c r="X1192" s="358"/>
      <c r="Y1192" s="358"/>
      <c r="Z1192" s="358"/>
    </row>
    <row r="1193" ht="14.25" customHeight="1">
      <c r="A1193" s="358"/>
      <c r="B1193" s="399"/>
      <c r="C1193" s="399"/>
      <c r="D1193" s="399"/>
      <c r="E1193" s="399"/>
      <c r="F1193" s="400"/>
      <c r="G1193" s="273"/>
      <c r="H1193" s="273"/>
      <c r="I1193" s="358"/>
      <c r="J1193" s="358"/>
      <c r="K1193" s="358"/>
      <c r="L1193" s="358"/>
      <c r="M1193" s="358"/>
      <c r="N1193" s="358"/>
      <c r="O1193" s="358"/>
      <c r="P1193" s="358"/>
      <c r="Q1193" s="358"/>
      <c r="R1193" s="358"/>
      <c r="S1193" s="358"/>
      <c r="T1193" s="358"/>
      <c r="U1193" s="358"/>
      <c r="V1193" s="358"/>
      <c r="W1193" s="358"/>
      <c r="X1193" s="358"/>
      <c r="Y1193" s="358"/>
      <c r="Z1193" s="358"/>
    </row>
    <row r="1194" ht="14.25" customHeight="1">
      <c r="A1194" s="358"/>
      <c r="B1194" s="399"/>
      <c r="C1194" s="399"/>
      <c r="D1194" s="399"/>
      <c r="E1194" s="399"/>
      <c r="F1194" s="400"/>
      <c r="G1194" s="273"/>
      <c r="H1194" s="273"/>
      <c r="I1194" s="358"/>
      <c r="J1194" s="358"/>
      <c r="K1194" s="358"/>
      <c r="L1194" s="358"/>
      <c r="M1194" s="358"/>
      <c r="N1194" s="358"/>
      <c r="O1194" s="358"/>
      <c r="P1194" s="358"/>
      <c r="Q1194" s="358"/>
      <c r="R1194" s="358"/>
      <c r="S1194" s="358"/>
      <c r="T1194" s="358"/>
      <c r="U1194" s="358"/>
      <c r="V1194" s="358"/>
      <c r="W1194" s="358"/>
      <c r="X1194" s="358"/>
      <c r="Y1194" s="358"/>
      <c r="Z1194" s="358"/>
    </row>
    <row r="1195" ht="14.25" customHeight="1">
      <c r="A1195" s="358"/>
      <c r="B1195" s="399"/>
      <c r="C1195" s="399"/>
      <c r="D1195" s="399"/>
      <c r="E1195" s="399"/>
      <c r="F1195" s="400"/>
      <c r="G1195" s="273"/>
      <c r="H1195" s="273"/>
      <c r="I1195" s="358"/>
      <c r="J1195" s="358"/>
      <c r="K1195" s="358"/>
      <c r="L1195" s="358"/>
      <c r="M1195" s="358"/>
      <c r="N1195" s="358"/>
      <c r="O1195" s="358"/>
      <c r="P1195" s="358"/>
      <c r="Q1195" s="358"/>
      <c r="R1195" s="358"/>
      <c r="S1195" s="358"/>
      <c r="T1195" s="358"/>
      <c r="U1195" s="358"/>
      <c r="V1195" s="358"/>
      <c r="W1195" s="358"/>
      <c r="X1195" s="358"/>
      <c r="Y1195" s="358"/>
      <c r="Z1195" s="358"/>
    </row>
    <row r="1196" ht="14.25" customHeight="1">
      <c r="A1196" s="358"/>
      <c r="B1196" s="399"/>
      <c r="C1196" s="399"/>
      <c r="D1196" s="399"/>
      <c r="E1196" s="399"/>
      <c r="F1196" s="400"/>
      <c r="G1196" s="273"/>
      <c r="H1196" s="273"/>
      <c r="I1196" s="358"/>
      <c r="J1196" s="358"/>
      <c r="K1196" s="358"/>
      <c r="L1196" s="358"/>
      <c r="M1196" s="358"/>
      <c r="N1196" s="358"/>
      <c r="O1196" s="358"/>
      <c r="P1196" s="358"/>
      <c r="Q1196" s="358"/>
      <c r="R1196" s="358"/>
      <c r="S1196" s="358"/>
      <c r="T1196" s="358"/>
      <c r="U1196" s="358"/>
      <c r="V1196" s="358"/>
      <c r="W1196" s="358"/>
      <c r="X1196" s="358"/>
      <c r="Y1196" s="358"/>
      <c r="Z1196" s="358"/>
    </row>
    <row r="1197" ht="14.25" customHeight="1">
      <c r="A1197" s="358"/>
      <c r="B1197" s="399"/>
      <c r="C1197" s="399"/>
      <c r="D1197" s="399"/>
      <c r="E1197" s="399"/>
      <c r="F1197" s="400"/>
      <c r="G1197" s="273"/>
      <c r="H1197" s="273"/>
      <c r="I1197" s="358"/>
      <c r="J1197" s="358"/>
      <c r="K1197" s="358"/>
      <c r="L1197" s="358"/>
      <c r="M1197" s="358"/>
      <c r="N1197" s="358"/>
      <c r="O1197" s="358"/>
      <c r="P1197" s="358"/>
      <c r="Q1197" s="358"/>
      <c r="R1197" s="358"/>
      <c r="S1197" s="358"/>
      <c r="T1197" s="358"/>
      <c r="U1197" s="358"/>
      <c r="V1197" s="358"/>
      <c r="W1197" s="358"/>
      <c r="X1197" s="358"/>
      <c r="Y1197" s="358"/>
      <c r="Z1197" s="358"/>
    </row>
    <row r="1198" ht="14.25" customHeight="1">
      <c r="A1198" s="358"/>
      <c r="B1198" s="399"/>
      <c r="C1198" s="399"/>
      <c r="D1198" s="399"/>
      <c r="E1198" s="399"/>
      <c r="F1198" s="400"/>
      <c r="G1198" s="273"/>
      <c r="H1198" s="273"/>
      <c r="I1198" s="358"/>
      <c r="J1198" s="358"/>
      <c r="K1198" s="358"/>
      <c r="L1198" s="358"/>
      <c r="M1198" s="358"/>
      <c r="N1198" s="358"/>
      <c r="O1198" s="358"/>
      <c r="P1198" s="358"/>
      <c r="Q1198" s="358"/>
      <c r="R1198" s="358"/>
      <c r="S1198" s="358"/>
      <c r="T1198" s="358"/>
      <c r="U1198" s="358"/>
      <c r="V1198" s="358"/>
      <c r="W1198" s="358"/>
      <c r="X1198" s="358"/>
      <c r="Y1198" s="358"/>
      <c r="Z1198" s="358"/>
    </row>
    <row r="1199" ht="14.25" customHeight="1">
      <c r="A1199" s="358"/>
      <c r="B1199" s="399"/>
      <c r="C1199" s="399"/>
      <c r="D1199" s="399"/>
      <c r="E1199" s="399"/>
      <c r="F1199" s="400"/>
      <c r="G1199" s="273"/>
      <c r="H1199" s="273"/>
      <c r="I1199" s="358"/>
      <c r="J1199" s="358"/>
      <c r="K1199" s="358"/>
      <c r="L1199" s="358"/>
      <c r="M1199" s="358"/>
      <c r="N1199" s="358"/>
      <c r="O1199" s="358"/>
      <c r="P1199" s="358"/>
      <c r="Q1199" s="358"/>
      <c r="R1199" s="358"/>
      <c r="S1199" s="358"/>
      <c r="T1199" s="358"/>
      <c r="U1199" s="358"/>
      <c r="V1199" s="358"/>
      <c r="W1199" s="358"/>
      <c r="X1199" s="358"/>
      <c r="Y1199" s="358"/>
      <c r="Z1199" s="358"/>
    </row>
    <row r="1200" ht="14.25" customHeight="1">
      <c r="A1200" s="358"/>
      <c r="B1200" s="399"/>
      <c r="C1200" s="399"/>
      <c r="D1200" s="399"/>
      <c r="E1200" s="399"/>
      <c r="F1200" s="400"/>
      <c r="G1200" s="273"/>
      <c r="H1200" s="273"/>
      <c r="I1200" s="358"/>
      <c r="J1200" s="358"/>
      <c r="K1200" s="358"/>
      <c r="L1200" s="358"/>
      <c r="M1200" s="358"/>
      <c r="N1200" s="358"/>
      <c r="O1200" s="358"/>
      <c r="P1200" s="358"/>
      <c r="Q1200" s="358"/>
      <c r="R1200" s="358"/>
      <c r="S1200" s="358"/>
      <c r="T1200" s="358"/>
      <c r="U1200" s="358"/>
      <c r="V1200" s="358"/>
      <c r="W1200" s="358"/>
      <c r="X1200" s="358"/>
      <c r="Y1200" s="358"/>
      <c r="Z1200" s="358"/>
    </row>
    <row r="1201" ht="14.25" customHeight="1">
      <c r="A1201" s="358"/>
      <c r="B1201" s="399"/>
      <c r="C1201" s="399"/>
      <c r="D1201" s="399"/>
      <c r="E1201" s="399"/>
      <c r="F1201" s="400"/>
      <c r="G1201" s="273"/>
      <c r="H1201" s="273"/>
      <c r="I1201" s="358"/>
      <c r="J1201" s="358"/>
      <c r="K1201" s="358"/>
      <c r="L1201" s="358"/>
      <c r="M1201" s="358"/>
      <c r="N1201" s="358"/>
      <c r="O1201" s="358"/>
      <c r="P1201" s="358"/>
      <c r="Q1201" s="358"/>
      <c r="R1201" s="358"/>
      <c r="S1201" s="358"/>
      <c r="T1201" s="358"/>
      <c r="U1201" s="358"/>
      <c r="V1201" s="358"/>
      <c r="W1201" s="358"/>
      <c r="X1201" s="358"/>
      <c r="Y1201" s="358"/>
      <c r="Z1201" s="358"/>
    </row>
    <row r="1202" ht="14.25" customHeight="1">
      <c r="A1202" s="358"/>
      <c r="B1202" s="399"/>
      <c r="C1202" s="399"/>
      <c r="D1202" s="399"/>
      <c r="E1202" s="399"/>
      <c r="F1202" s="400"/>
      <c r="G1202" s="273"/>
      <c r="H1202" s="273"/>
      <c r="I1202" s="358"/>
      <c r="J1202" s="358"/>
      <c r="K1202" s="358"/>
      <c r="L1202" s="358"/>
      <c r="M1202" s="358"/>
      <c r="N1202" s="358"/>
      <c r="O1202" s="358"/>
      <c r="P1202" s="358"/>
      <c r="Q1202" s="358"/>
      <c r="R1202" s="358"/>
      <c r="S1202" s="358"/>
      <c r="T1202" s="358"/>
      <c r="U1202" s="358"/>
      <c r="V1202" s="358"/>
      <c r="W1202" s="358"/>
      <c r="X1202" s="358"/>
      <c r="Y1202" s="358"/>
      <c r="Z1202" s="358"/>
    </row>
    <row r="1203" ht="14.25" customHeight="1">
      <c r="A1203" s="358"/>
      <c r="B1203" s="399"/>
      <c r="C1203" s="399"/>
      <c r="D1203" s="399"/>
      <c r="E1203" s="399"/>
      <c r="F1203" s="400"/>
      <c r="G1203" s="273"/>
      <c r="H1203" s="273"/>
      <c r="I1203" s="358"/>
      <c r="J1203" s="358"/>
      <c r="K1203" s="358"/>
      <c r="L1203" s="358"/>
      <c r="M1203" s="358"/>
      <c r="N1203" s="358"/>
      <c r="O1203" s="358"/>
      <c r="P1203" s="358"/>
      <c r="Q1203" s="358"/>
      <c r="R1203" s="358"/>
      <c r="S1203" s="358"/>
      <c r="T1203" s="358"/>
      <c r="U1203" s="358"/>
      <c r="V1203" s="358"/>
      <c r="W1203" s="358"/>
      <c r="X1203" s="358"/>
      <c r="Y1203" s="358"/>
      <c r="Z1203" s="358"/>
    </row>
    <row r="1204" ht="14.25" customHeight="1">
      <c r="A1204" s="358"/>
      <c r="B1204" s="399"/>
      <c r="C1204" s="399"/>
      <c r="D1204" s="399"/>
      <c r="E1204" s="399"/>
      <c r="F1204" s="400"/>
      <c r="G1204" s="273"/>
      <c r="H1204" s="273"/>
      <c r="I1204" s="358"/>
      <c r="J1204" s="358"/>
      <c r="K1204" s="358"/>
      <c r="L1204" s="358"/>
      <c r="M1204" s="358"/>
      <c r="N1204" s="358"/>
      <c r="O1204" s="358"/>
      <c r="P1204" s="358"/>
      <c r="Q1204" s="358"/>
      <c r="R1204" s="358"/>
      <c r="S1204" s="358"/>
      <c r="T1204" s="358"/>
      <c r="U1204" s="358"/>
      <c r="V1204" s="358"/>
      <c r="W1204" s="358"/>
      <c r="X1204" s="358"/>
      <c r="Y1204" s="358"/>
      <c r="Z1204" s="358"/>
    </row>
    <row r="1205" ht="14.25" customHeight="1">
      <c r="A1205" s="358"/>
      <c r="B1205" s="399"/>
      <c r="C1205" s="399"/>
      <c r="D1205" s="399"/>
      <c r="E1205" s="399"/>
      <c r="F1205" s="400"/>
      <c r="G1205" s="273"/>
      <c r="H1205" s="273"/>
      <c r="I1205" s="358"/>
      <c r="J1205" s="358"/>
      <c r="K1205" s="358"/>
      <c r="L1205" s="358"/>
      <c r="M1205" s="358"/>
      <c r="N1205" s="358"/>
      <c r="O1205" s="358"/>
      <c r="P1205" s="358"/>
      <c r="Q1205" s="358"/>
      <c r="R1205" s="358"/>
      <c r="S1205" s="358"/>
      <c r="T1205" s="358"/>
      <c r="U1205" s="358"/>
      <c r="V1205" s="358"/>
      <c r="W1205" s="358"/>
      <c r="X1205" s="358"/>
      <c r="Y1205" s="358"/>
      <c r="Z1205" s="358"/>
    </row>
    <row r="1206" ht="14.25" customHeight="1">
      <c r="A1206" s="358"/>
      <c r="B1206" s="399"/>
      <c r="C1206" s="399"/>
      <c r="D1206" s="399"/>
      <c r="E1206" s="399"/>
      <c r="F1206" s="400"/>
      <c r="G1206" s="273"/>
      <c r="H1206" s="273"/>
      <c r="I1206" s="358"/>
      <c r="J1206" s="358"/>
      <c r="K1206" s="358"/>
      <c r="L1206" s="358"/>
      <c r="M1206" s="358"/>
      <c r="N1206" s="358"/>
      <c r="O1206" s="358"/>
      <c r="P1206" s="358"/>
      <c r="Q1206" s="358"/>
      <c r="R1206" s="358"/>
      <c r="S1206" s="358"/>
      <c r="T1206" s="358"/>
      <c r="U1206" s="358"/>
      <c r="V1206" s="358"/>
      <c r="W1206" s="358"/>
      <c r="X1206" s="358"/>
      <c r="Y1206" s="358"/>
      <c r="Z1206" s="358"/>
    </row>
    <row r="1207" ht="14.25" customHeight="1">
      <c r="A1207" s="358"/>
      <c r="B1207" s="399"/>
      <c r="C1207" s="399"/>
      <c r="D1207" s="399"/>
      <c r="E1207" s="399"/>
      <c r="F1207" s="400"/>
      <c r="G1207" s="273"/>
      <c r="H1207" s="273"/>
      <c r="I1207" s="358"/>
      <c r="J1207" s="358"/>
      <c r="K1207" s="358"/>
      <c r="L1207" s="358"/>
      <c r="M1207" s="358"/>
      <c r="N1207" s="358"/>
      <c r="O1207" s="358"/>
      <c r="P1207" s="358"/>
      <c r="Q1207" s="358"/>
      <c r="R1207" s="358"/>
      <c r="S1207" s="358"/>
      <c r="T1207" s="358"/>
      <c r="U1207" s="358"/>
      <c r="V1207" s="358"/>
      <c r="W1207" s="358"/>
      <c r="X1207" s="358"/>
      <c r="Y1207" s="358"/>
      <c r="Z1207" s="358"/>
    </row>
    <row r="1208" ht="14.25" customHeight="1">
      <c r="A1208" s="358"/>
      <c r="B1208" s="399"/>
      <c r="C1208" s="399"/>
      <c r="D1208" s="399"/>
      <c r="E1208" s="399"/>
      <c r="F1208" s="400"/>
      <c r="G1208" s="273"/>
      <c r="H1208" s="273"/>
      <c r="I1208" s="358"/>
      <c r="J1208" s="358"/>
      <c r="K1208" s="358"/>
      <c r="L1208" s="358"/>
      <c r="M1208" s="358"/>
      <c r="N1208" s="358"/>
      <c r="O1208" s="358"/>
      <c r="P1208" s="358"/>
      <c r="Q1208" s="358"/>
      <c r="R1208" s="358"/>
      <c r="S1208" s="358"/>
      <c r="T1208" s="358"/>
      <c r="U1208" s="358"/>
      <c r="V1208" s="358"/>
      <c r="W1208" s="358"/>
      <c r="X1208" s="358"/>
      <c r="Y1208" s="358"/>
      <c r="Z1208" s="358"/>
    </row>
    <row r="1209" ht="14.25" customHeight="1">
      <c r="A1209" s="358"/>
      <c r="B1209" s="399"/>
      <c r="C1209" s="399"/>
      <c r="D1209" s="399"/>
      <c r="E1209" s="399"/>
      <c r="F1209" s="400"/>
      <c r="G1209" s="273"/>
      <c r="H1209" s="273"/>
      <c r="I1209" s="358"/>
      <c r="J1209" s="358"/>
      <c r="K1209" s="358"/>
      <c r="L1209" s="358"/>
      <c r="M1209" s="358"/>
      <c r="N1209" s="358"/>
      <c r="O1209" s="358"/>
      <c r="P1209" s="358"/>
      <c r="Q1209" s="358"/>
      <c r="R1209" s="358"/>
      <c r="S1209" s="358"/>
      <c r="T1209" s="358"/>
      <c r="U1209" s="358"/>
      <c r="V1209" s="358"/>
      <c r="W1209" s="358"/>
      <c r="X1209" s="358"/>
      <c r="Y1209" s="358"/>
      <c r="Z1209" s="358"/>
    </row>
    <row r="1210" ht="14.25" customHeight="1">
      <c r="A1210" s="358"/>
      <c r="B1210" s="399"/>
      <c r="C1210" s="399"/>
      <c r="D1210" s="399"/>
      <c r="E1210" s="399"/>
      <c r="F1210" s="400"/>
      <c r="G1210" s="273"/>
      <c r="H1210" s="273"/>
      <c r="I1210" s="358"/>
      <c r="J1210" s="358"/>
      <c r="K1210" s="358"/>
      <c r="L1210" s="358"/>
      <c r="M1210" s="358"/>
      <c r="N1210" s="358"/>
      <c r="O1210" s="358"/>
      <c r="P1210" s="358"/>
      <c r="Q1210" s="358"/>
      <c r="R1210" s="358"/>
      <c r="S1210" s="358"/>
      <c r="T1210" s="358"/>
      <c r="U1210" s="358"/>
      <c r="V1210" s="358"/>
      <c r="W1210" s="358"/>
      <c r="X1210" s="358"/>
      <c r="Y1210" s="358"/>
      <c r="Z1210" s="358"/>
    </row>
    <row r="1211" ht="14.25" customHeight="1">
      <c r="A1211" s="358"/>
      <c r="B1211" s="399"/>
      <c r="C1211" s="399"/>
      <c r="D1211" s="399"/>
      <c r="E1211" s="399"/>
      <c r="F1211" s="400"/>
      <c r="G1211" s="273"/>
      <c r="H1211" s="273"/>
      <c r="I1211" s="358"/>
      <c r="J1211" s="358"/>
      <c r="K1211" s="358"/>
      <c r="L1211" s="358"/>
      <c r="M1211" s="358"/>
      <c r="N1211" s="358"/>
      <c r="O1211" s="358"/>
      <c r="P1211" s="358"/>
      <c r="Q1211" s="358"/>
      <c r="R1211" s="358"/>
      <c r="S1211" s="358"/>
      <c r="T1211" s="358"/>
      <c r="U1211" s="358"/>
      <c r="V1211" s="358"/>
      <c r="W1211" s="358"/>
      <c r="X1211" s="358"/>
      <c r="Y1211" s="358"/>
      <c r="Z1211" s="358"/>
    </row>
    <row r="1212" ht="14.25" customHeight="1">
      <c r="A1212" s="358"/>
      <c r="B1212" s="399"/>
      <c r="C1212" s="399"/>
      <c r="D1212" s="399"/>
      <c r="E1212" s="399"/>
      <c r="F1212" s="400"/>
      <c r="G1212" s="273"/>
      <c r="H1212" s="273"/>
      <c r="I1212" s="358"/>
      <c r="J1212" s="358"/>
      <c r="K1212" s="358"/>
      <c r="L1212" s="358"/>
      <c r="M1212" s="358"/>
      <c r="N1212" s="358"/>
      <c r="O1212" s="358"/>
      <c r="P1212" s="358"/>
      <c r="Q1212" s="358"/>
      <c r="R1212" s="358"/>
      <c r="S1212" s="358"/>
      <c r="T1212" s="358"/>
      <c r="U1212" s="358"/>
      <c r="V1212" s="358"/>
      <c r="W1212" s="358"/>
      <c r="X1212" s="358"/>
      <c r="Y1212" s="358"/>
      <c r="Z1212" s="358"/>
    </row>
    <row r="1213" ht="14.25" customHeight="1">
      <c r="A1213" s="358"/>
      <c r="B1213" s="399"/>
      <c r="C1213" s="399"/>
      <c r="D1213" s="399"/>
      <c r="E1213" s="399"/>
      <c r="F1213" s="400"/>
      <c r="G1213" s="273"/>
      <c r="H1213" s="273"/>
      <c r="I1213" s="358"/>
      <c r="J1213" s="358"/>
      <c r="K1213" s="358"/>
      <c r="L1213" s="358"/>
      <c r="M1213" s="358"/>
      <c r="N1213" s="358"/>
      <c r="O1213" s="358"/>
      <c r="P1213" s="358"/>
      <c r="Q1213" s="358"/>
      <c r="R1213" s="358"/>
      <c r="S1213" s="358"/>
      <c r="T1213" s="358"/>
      <c r="U1213" s="358"/>
      <c r="V1213" s="358"/>
      <c r="W1213" s="358"/>
      <c r="X1213" s="358"/>
      <c r="Y1213" s="358"/>
      <c r="Z1213" s="358"/>
    </row>
    <row r="1214" ht="14.25" customHeight="1">
      <c r="A1214" s="358"/>
      <c r="B1214" s="399"/>
      <c r="C1214" s="399"/>
      <c r="D1214" s="399"/>
      <c r="E1214" s="399"/>
      <c r="F1214" s="400"/>
      <c r="G1214" s="273"/>
      <c r="H1214" s="273"/>
      <c r="I1214" s="358"/>
      <c r="J1214" s="358"/>
      <c r="K1214" s="358"/>
      <c r="L1214" s="358"/>
      <c r="M1214" s="358"/>
      <c r="N1214" s="358"/>
      <c r="O1214" s="358"/>
      <c r="P1214" s="358"/>
      <c r="Q1214" s="358"/>
      <c r="R1214" s="358"/>
      <c r="S1214" s="358"/>
      <c r="T1214" s="358"/>
      <c r="U1214" s="358"/>
      <c r="V1214" s="358"/>
      <c r="W1214" s="358"/>
      <c r="X1214" s="358"/>
      <c r="Y1214" s="358"/>
      <c r="Z1214" s="358"/>
    </row>
    <row r="1215" ht="14.25" customHeight="1">
      <c r="A1215" s="358"/>
      <c r="B1215" s="399"/>
      <c r="C1215" s="399"/>
      <c r="D1215" s="399"/>
      <c r="E1215" s="399"/>
      <c r="F1215" s="400"/>
      <c r="G1215" s="273"/>
      <c r="H1215" s="273"/>
      <c r="I1215" s="358"/>
      <c r="J1215" s="358"/>
      <c r="K1215" s="358"/>
      <c r="L1215" s="358"/>
      <c r="M1215" s="358"/>
      <c r="N1215" s="358"/>
      <c r="O1215" s="358"/>
      <c r="P1215" s="358"/>
      <c r="Q1215" s="358"/>
      <c r="R1215" s="358"/>
      <c r="S1215" s="358"/>
      <c r="T1215" s="358"/>
      <c r="U1215" s="358"/>
      <c r="V1215" s="358"/>
      <c r="W1215" s="358"/>
      <c r="X1215" s="358"/>
      <c r="Y1215" s="358"/>
      <c r="Z1215" s="358"/>
    </row>
    <row r="1216" ht="14.25" customHeight="1">
      <c r="A1216" s="358"/>
      <c r="B1216" s="399"/>
      <c r="C1216" s="399"/>
      <c r="D1216" s="399"/>
      <c r="E1216" s="399"/>
      <c r="F1216" s="400"/>
      <c r="G1216" s="273"/>
      <c r="H1216" s="273"/>
      <c r="I1216" s="358"/>
      <c r="J1216" s="358"/>
      <c r="K1216" s="358"/>
      <c r="L1216" s="358"/>
      <c r="M1216" s="358"/>
      <c r="N1216" s="358"/>
      <c r="O1216" s="358"/>
      <c r="P1216" s="358"/>
      <c r="Q1216" s="358"/>
      <c r="R1216" s="358"/>
      <c r="S1216" s="358"/>
      <c r="T1216" s="358"/>
      <c r="U1216" s="358"/>
      <c r="V1216" s="358"/>
      <c r="W1216" s="358"/>
      <c r="X1216" s="358"/>
      <c r="Y1216" s="358"/>
      <c r="Z1216" s="358"/>
    </row>
    <row r="1217" ht="14.25" customHeight="1">
      <c r="A1217" s="358"/>
      <c r="B1217" s="399"/>
      <c r="C1217" s="399"/>
      <c r="D1217" s="399"/>
      <c r="E1217" s="399"/>
      <c r="F1217" s="400"/>
      <c r="G1217" s="273"/>
      <c r="H1217" s="273"/>
      <c r="I1217" s="358"/>
      <c r="J1217" s="358"/>
      <c r="K1217" s="358"/>
      <c r="L1217" s="358"/>
      <c r="M1217" s="358"/>
      <c r="N1217" s="358"/>
      <c r="O1217" s="358"/>
      <c r="P1217" s="358"/>
      <c r="Q1217" s="358"/>
      <c r="R1217" s="358"/>
      <c r="S1217" s="358"/>
      <c r="T1217" s="358"/>
      <c r="U1217" s="358"/>
      <c r="V1217" s="358"/>
      <c r="W1217" s="358"/>
      <c r="X1217" s="358"/>
      <c r="Y1217" s="358"/>
      <c r="Z1217" s="358"/>
    </row>
    <row r="1218" ht="14.25" customHeight="1">
      <c r="A1218" s="358"/>
      <c r="B1218" s="399"/>
      <c r="C1218" s="399"/>
      <c r="D1218" s="399"/>
      <c r="E1218" s="399"/>
      <c r="F1218" s="400"/>
      <c r="G1218" s="273"/>
      <c r="H1218" s="273"/>
      <c r="I1218" s="358"/>
      <c r="J1218" s="358"/>
      <c r="K1218" s="358"/>
      <c r="L1218" s="358"/>
      <c r="M1218" s="358"/>
      <c r="N1218" s="358"/>
      <c r="O1218" s="358"/>
      <c r="P1218" s="358"/>
      <c r="Q1218" s="358"/>
      <c r="R1218" s="358"/>
      <c r="S1218" s="358"/>
      <c r="T1218" s="358"/>
      <c r="U1218" s="358"/>
      <c r="V1218" s="358"/>
      <c r="W1218" s="358"/>
      <c r="X1218" s="358"/>
      <c r="Y1218" s="358"/>
      <c r="Z1218" s="358"/>
    </row>
    <row r="1219" ht="14.25" customHeight="1">
      <c r="A1219" s="358"/>
      <c r="B1219" s="399"/>
      <c r="C1219" s="399"/>
      <c r="D1219" s="399"/>
      <c r="E1219" s="399"/>
      <c r="F1219" s="400"/>
      <c r="G1219" s="273"/>
      <c r="H1219" s="273"/>
      <c r="I1219" s="358"/>
      <c r="J1219" s="358"/>
      <c r="K1219" s="358"/>
      <c r="L1219" s="358"/>
      <c r="M1219" s="358"/>
      <c r="N1219" s="358"/>
      <c r="O1219" s="358"/>
      <c r="P1219" s="358"/>
      <c r="Q1219" s="358"/>
      <c r="R1219" s="358"/>
      <c r="S1219" s="358"/>
      <c r="T1219" s="358"/>
      <c r="U1219" s="358"/>
      <c r="V1219" s="358"/>
      <c r="W1219" s="358"/>
      <c r="X1219" s="358"/>
      <c r="Y1219" s="358"/>
      <c r="Z1219" s="358"/>
    </row>
    <row r="1220" ht="14.25" customHeight="1">
      <c r="A1220" s="358"/>
      <c r="B1220" s="399"/>
      <c r="C1220" s="399"/>
      <c r="D1220" s="399"/>
      <c r="E1220" s="399"/>
      <c r="F1220" s="400"/>
      <c r="G1220" s="273"/>
      <c r="H1220" s="273"/>
      <c r="I1220" s="358"/>
      <c r="J1220" s="358"/>
      <c r="K1220" s="358"/>
      <c r="L1220" s="358"/>
      <c r="M1220" s="358"/>
      <c r="N1220" s="358"/>
      <c r="O1220" s="358"/>
      <c r="P1220" s="358"/>
      <c r="Q1220" s="358"/>
      <c r="R1220" s="358"/>
      <c r="S1220" s="358"/>
      <c r="T1220" s="358"/>
      <c r="U1220" s="358"/>
      <c r="V1220" s="358"/>
      <c r="W1220" s="358"/>
      <c r="X1220" s="358"/>
      <c r="Y1220" s="358"/>
      <c r="Z1220" s="358"/>
    </row>
    <row r="1221" ht="14.25" customHeight="1">
      <c r="A1221" s="358"/>
      <c r="B1221" s="399"/>
      <c r="C1221" s="399"/>
      <c r="D1221" s="399"/>
      <c r="E1221" s="399"/>
      <c r="F1221" s="400"/>
      <c r="G1221" s="273"/>
      <c r="H1221" s="273"/>
      <c r="I1221" s="358"/>
      <c r="J1221" s="358"/>
      <c r="K1221" s="358"/>
      <c r="L1221" s="358"/>
      <c r="M1221" s="358"/>
      <c r="N1221" s="358"/>
      <c r="O1221" s="358"/>
      <c r="P1221" s="358"/>
      <c r="Q1221" s="358"/>
      <c r="R1221" s="358"/>
      <c r="S1221" s="358"/>
      <c r="T1221" s="358"/>
      <c r="U1221" s="358"/>
      <c r="V1221" s="358"/>
      <c r="W1221" s="358"/>
      <c r="X1221" s="358"/>
      <c r="Y1221" s="358"/>
      <c r="Z1221" s="358"/>
    </row>
    <row r="1222" ht="14.25" customHeight="1">
      <c r="A1222" s="358"/>
      <c r="B1222" s="399"/>
      <c r="C1222" s="399"/>
      <c r="D1222" s="399"/>
      <c r="E1222" s="399"/>
      <c r="F1222" s="400"/>
      <c r="G1222" s="273"/>
      <c r="H1222" s="273"/>
      <c r="I1222" s="358"/>
      <c r="J1222" s="358"/>
      <c r="K1222" s="358"/>
      <c r="L1222" s="358"/>
      <c r="M1222" s="358"/>
      <c r="N1222" s="358"/>
      <c r="O1222" s="358"/>
      <c r="P1222" s="358"/>
      <c r="Q1222" s="358"/>
      <c r="R1222" s="358"/>
      <c r="S1222" s="358"/>
      <c r="T1222" s="358"/>
      <c r="U1222" s="358"/>
      <c r="V1222" s="358"/>
      <c r="W1222" s="358"/>
      <c r="X1222" s="358"/>
      <c r="Y1222" s="358"/>
      <c r="Z1222" s="358"/>
    </row>
    <row r="1223" ht="14.25" customHeight="1">
      <c r="A1223" s="358"/>
      <c r="B1223" s="399"/>
      <c r="C1223" s="399"/>
      <c r="D1223" s="399"/>
      <c r="E1223" s="399"/>
      <c r="F1223" s="400"/>
      <c r="G1223" s="273"/>
      <c r="H1223" s="273"/>
      <c r="I1223" s="358"/>
      <c r="J1223" s="358"/>
      <c r="K1223" s="358"/>
      <c r="L1223" s="358"/>
      <c r="M1223" s="358"/>
      <c r="N1223" s="358"/>
      <c r="O1223" s="358"/>
      <c r="P1223" s="358"/>
      <c r="Q1223" s="358"/>
      <c r="R1223" s="358"/>
      <c r="S1223" s="358"/>
      <c r="T1223" s="358"/>
      <c r="U1223" s="358"/>
      <c r="V1223" s="358"/>
      <c r="W1223" s="358"/>
      <c r="X1223" s="358"/>
      <c r="Y1223" s="358"/>
      <c r="Z1223" s="358"/>
    </row>
    <row r="1224" ht="14.25" customHeight="1">
      <c r="A1224" s="358"/>
      <c r="B1224" s="399"/>
      <c r="C1224" s="399"/>
      <c r="D1224" s="399"/>
      <c r="E1224" s="399"/>
      <c r="F1224" s="400"/>
      <c r="G1224" s="273"/>
      <c r="H1224" s="273"/>
      <c r="I1224" s="358"/>
      <c r="J1224" s="358"/>
      <c r="K1224" s="358"/>
      <c r="L1224" s="358"/>
      <c r="M1224" s="358"/>
      <c r="N1224" s="358"/>
      <c r="O1224" s="358"/>
      <c r="P1224" s="358"/>
      <c r="Q1224" s="358"/>
      <c r="R1224" s="358"/>
      <c r="S1224" s="358"/>
      <c r="T1224" s="358"/>
      <c r="U1224" s="358"/>
      <c r="V1224" s="358"/>
      <c r="W1224" s="358"/>
      <c r="X1224" s="358"/>
      <c r="Y1224" s="358"/>
      <c r="Z1224" s="358"/>
    </row>
    <row r="1225" ht="14.25" customHeight="1">
      <c r="A1225" s="358"/>
      <c r="B1225" s="399"/>
      <c r="C1225" s="399"/>
      <c r="D1225" s="399"/>
      <c r="E1225" s="399"/>
      <c r="F1225" s="400"/>
      <c r="G1225" s="273"/>
      <c r="H1225" s="273"/>
      <c r="I1225" s="358"/>
      <c r="J1225" s="358"/>
      <c r="K1225" s="358"/>
      <c r="L1225" s="358"/>
      <c r="M1225" s="358"/>
      <c r="N1225" s="358"/>
      <c r="O1225" s="358"/>
      <c r="P1225" s="358"/>
      <c r="Q1225" s="358"/>
      <c r="R1225" s="358"/>
      <c r="S1225" s="358"/>
      <c r="T1225" s="358"/>
      <c r="U1225" s="358"/>
      <c r="V1225" s="358"/>
      <c r="W1225" s="358"/>
      <c r="X1225" s="358"/>
      <c r="Y1225" s="358"/>
      <c r="Z1225" s="358"/>
    </row>
    <row r="1226" ht="14.25" customHeight="1">
      <c r="A1226" s="358"/>
      <c r="B1226" s="399"/>
      <c r="C1226" s="399"/>
      <c r="D1226" s="399"/>
      <c r="E1226" s="399"/>
      <c r="F1226" s="400"/>
      <c r="G1226" s="273"/>
      <c r="H1226" s="273"/>
      <c r="I1226" s="358"/>
      <c r="J1226" s="358"/>
      <c r="K1226" s="358"/>
      <c r="L1226" s="358"/>
      <c r="M1226" s="358"/>
      <c r="N1226" s="358"/>
      <c r="O1226" s="358"/>
      <c r="P1226" s="358"/>
      <c r="Q1226" s="358"/>
      <c r="R1226" s="358"/>
      <c r="S1226" s="358"/>
      <c r="T1226" s="358"/>
      <c r="U1226" s="358"/>
      <c r="V1226" s="358"/>
      <c r="W1226" s="358"/>
      <c r="X1226" s="358"/>
      <c r="Y1226" s="358"/>
      <c r="Z1226" s="358"/>
    </row>
    <row r="1227" ht="14.25" customHeight="1">
      <c r="A1227" s="358"/>
      <c r="B1227" s="399"/>
      <c r="C1227" s="399"/>
      <c r="D1227" s="399"/>
      <c r="E1227" s="399"/>
      <c r="F1227" s="400"/>
      <c r="G1227" s="273"/>
      <c r="H1227" s="273"/>
      <c r="I1227" s="358"/>
      <c r="J1227" s="358"/>
      <c r="K1227" s="358"/>
      <c r="L1227" s="358"/>
      <c r="M1227" s="358"/>
      <c r="N1227" s="358"/>
      <c r="O1227" s="358"/>
      <c r="P1227" s="358"/>
      <c r="Q1227" s="358"/>
      <c r="R1227" s="358"/>
      <c r="S1227" s="358"/>
      <c r="T1227" s="358"/>
      <c r="U1227" s="358"/>
      <c r="V1227" s="358"/>
      <c r="W1227" s="358"/>
      <c r="X1227" s="358"/>
      <c r="Y1227" s="358"/>
      <c r="Z1227" s="358"/>
    </row>
    <row r="1228" ht="14.25" customHeight="1">
      <c r="A1228" s="358"/>
      <c r="B1228" s="399"/>
      <c r="C1228" s="399"/>
      <c r="D1228" s="399"/>
      <c r="E1228" s="399"/>
      <c r="F1228" s="400"/>
      <c r="G1228" s="273"/>
      <c r="H1228" s="273"/>
      <c r="I1228" s="358"/>
      <c r="J1228" s="358"/>
      <c r="K1228" s="358"/>
      <c r="L1228" s="358"/>
      <c r="M1228" s="358"/>
      <c r="N1228" s="358"/>
      <c r="O1228" s="358"/>
      <c r="P1228" s="358"/>
      <c r="Q1228" s="358"/>
      <c r="R1228" s="358"/>
      <c r="S1228" s="358"/>
      <c r="T1228" s="358"/>
      <c r="U1228" s="358"/>
      <c r="V1228" s="358"/>
      <c r="W1228" s="358"/>
      <c r="X1228" s="358"/>
      <c r="Y1228" s="358"/>
      <c r="Z1228" s="358"/>
    </row>
    <row r="1229" ht="14.25" customHeight="1">
      <c r="A1229" s="358"/>
      <c r="B1229" s="399"/>
      <c r="C1229" s="399"/>
      <c r="D1229" s="399"/>
      <c r="E1229" s="399"/>
      <c r="F1229" s="400"/>
      <c r="G1229" s="273"/>
      <c r="H1229" s="273"/>
      <c r="I1229" s="358"/>
      <c r="J1229" s="358"/>
      <c r="K1229" s="358"/>
      <c r="L1229" s="358"/>
      <c r="M1229" s="358"/>
      <c r="N1229" s="358"/>
      <c r="O1229" s="358"/>
      <c r="P1229" s="358"/>
      <c r="Q1229" s="358"/>
      <c r="R1229" s="358"/>
      <c r="S1229" s="358"/>
      <c r="T1229" s="358"/>
      <c r="U1229" s="358"/>
      <c r="V1229" s="358"/>
      <c r="W1229" s="358"/>
      <c r="X1229" s="358"/>
      <c r="Y1229" s="358"/>
      <c r="Z1229" s="358"/>
    </row>
    <row r="1230" ht="14.25" customHeight="1">
      <c r="A1230" s="358"/>
      <c r="B1230" s="399"/>
      <c r="C1230" s="399"/>
      <c r="D1230" s="399"/>
      <c r="E1230" s="399"/>
      <c r="F1230" s="400"/>
      <c r="G1230" s="273"/>
      <c r="H1230" s="273"/>
      <c r="I1230" s="358"/>
      <c r="J1230" s="358"/>
      <c r="K1230" s="358"/>
      <c r="L1230" s="358"/>
      <c r="M1230" s="358"/>
      <c r="N1230" s="358"/>
      <c r="O1230" s="358"/>
      <c r="P1230" s="358"/>
      <c r="Q1230" s="358"/>
      <c r="R1230" s="358"/>
      <c r="S1230" s="358"/>
      <c r="T1230" s="358"/>
      <c r="U1230" s="358"/>
      <c r="V1230" s="358"/>
      <c r="W1230" s="358"/>
      <c r="X1230" s="358"/>
      <c r="Y1230" s="358"/>
      <c r="Z1230" s="358"/>
    </row>
    <row r="1231" ht="14.25" customHeight="1">
      <c r="A1231" s="358"/>
      <c r="B1231" s="399"/>
      <c r="C1231" s="399"/>
      <c r="D1231" s="399"/>
      <c r="E1231" s="399"/>
      <c r="F1231" s="400"/>
      <c r="G1231" s="273"/>
      <c r="H1231" s="273"/>
      <c r="I1231" s="358"/>
      <c r="J1231" s="358"/>
      <c r="K1231" s="358"/>
      <c r="L1231" s="358"/>
      <c r="M1231" s="358"/>
      <c r="N1231" s="358"/>
      <c r="O1231" s="358"/>
      <c r="P1231" s="358"/>
      <c r="Q1231" s="358"/>
      <c r="R1231" s="358"/>
      <c r="S1231" s="358"/>
      <c r="T1231" s="358"/>
      <c r="U1231" s="358"/>
      <c r="V1231" s="358"/>
      <c r="W1231" s="358"/>
      <c r="X1231" s="358"/>
      <c r="Y1231" s="358"/>
      <c r="Z1231" s="358"/>
    </row>
    <row r="1232" ht="14.25" customHeight="1">
      <c r="A1232" s="358"/>
      <c r="B1232" s="399"/>
      <c r="C1232" s="399"/>
      <c r="D1232" s="399"/>
      <c r="E1232" s="399"/>
      <c r="F1232" s="400"/>
      <c r="G1232" s="273"/>
      <c r="H1232" s="273"/>
      <c r="I1232" s="358"/>
      <c r="J1232" s="358"/>
      <c r="K1232" s="358"/>
      <c r="L1232" s="358"/>
      <c r="M1232" s="358"/>
      <c r="N1232" s="358"/>
      <c r="O1232" s="358"/>
      <c r="P1232" s="358"/>
      <c r="Q1232" s="358"/>
      <c r="R1232" s="358"/>
      <c r="S1232" s="358"/>
      <c r="T1232" s="358"/>
      <c r="U1232" s="358"/>
      <c r="V1232" s="358"/>
      <c r="W1232" s="358"/>
      <c r="X1232" s="358"/>
      <c r="Y1232" s="358"/>
      <c r="Z1232" s="358"/>
    </row>
    <row r="1233" ht="14.25" customHeight="1">
      <c r="A1233" s="358"/>
      <c r="B1233" s="399"/>
      <c r="C1233" s="399"/>
      <c r="D1233" s="399"/>
      <c r="E1233" s="399"/>
      <c r="F1233" s="400"/>
      <c r="G1233" s="273"/>
      <c r="H1233" s="273"/>
      <c r="I1233" s="358"/>
      <c r="J1233" s="358"/>
      <c r="K1233" s="358"/>
      <c r="L1233" s="358"/>
      <c r="M1233" s="358"/>
      <c r="N1233" s="358"/>
      <c r="O1233" s="358"/>
      <c r="P1233" s="358"/>
      <c r="Q1233" s="358"/>
      <c r="R1233" s="358"/>
      <c r="S1233" s="358"/>
      <c r="T1233" s="358"/>
      <c r="U1233" s="358"/>
      <c r="V1233" s="358"/>
      <c r="W1233" s="358"/>
      <c r="X1233" s="358"/>
      <c r="Y1233" s="358"/>
      <c r="Z1233" s="358"/>
    </row>
    <row r="1234" ht="14.25" customHeight="1">
      <c r="A1234" s="358"/>
      <c r="B1234" s="399"/>
      <c r="C1234" s="399"/>
      <c r="D1234" s="399"/>
      <c r="E1234" s="399"/>
      <c r="F1234" s="400"/>
      <c r="G1234" s="273"/>
      <c r="H1234" s="273"/>
      <c r="I1234" s="358"/>
      <c r="J1234" s="358"/>
      <c r="K1234" s="358"/>
      <c r="L1234" s="358"/>
      <c r="M1234" s="358"/>
      <c r="N1234" s="358"/>
      <c r="O1234" s="358"/>
      <c r="P1234" s="358"/>
      <c r="Q1234" s="358"/>
      <c r="R1234" s="358"/>
      <c r="S1234" s="358"/>
      <c r="T1234" s="358"/>
      <c r="U1234" s="358"/>
      <c r="V1234" s="358"/>
      <c r="W1234" s="358"/>
      <c r="X1234" s="358"/>
      <c r="Y1234" s="358"/>
      <c r="Z1234" s="358"/>
    </row>
    <row r="1235" ht="14.25" customHeight="1">
      <c r="A1235" s="358"/>
      <c r="B1235" s="399"/>
      <c r="C1235" s="399"/>
      <c r="D1235" s="399"/>
      <c r="E1235" s="399"/>
      <c r="F1235" s="400"/>
      <c r="G1235" s="273"/>
      <c r="H1235" s="273"/>
      <c r="I1235" s="358"/>
      <c r="J1235" s="358"/>
      <c r="K1235" s="358"/>
      <c r="L1235" s="358"/>
      <c r="M1235" s="358"/>
      <c r="N1235" s="358"/>
      <c r="O1235" s="358"/>
      <c r="P1235" s="358"/>
      <c r="Q1235" s="358"/>
      <c r="R1235" s="358"/>
      <c r="S1235" s="358"/>
      <c r="T1235" s="358"/>
      <c r="U1235" s="358"/>
      <c r="V1235" s="358"/>
      <c r="W1235" s="358"/>
      <c r="X1235" s="358"/>
      <c r="Y1235" s="358"/>
      <c r="Z1235" s="358"/>
    </row>
    <row r="1236" ht="14.25" customHeight="1">
      <c r="A1236" s="358"/>
      <c r="B1236" s="399"/>
      <c r="C1236" s="399"/>
      <c r="D1236" s="399"/>
      <c r="E1236" s="399"/>
      <c r="F1236" s="400"/>
      <c r="G1236" s="273"/>
      <c r="H1236" s="273"/>
      <c r="I1236" s="358"/>
      <c r="J1236" s="358"/>
      <c r="K1236" s="358"/>
      <c r="L1236" s="358"/>
      <c r="M1236" s="358"/>
      <c r="N1236" s="358"/>
      <c r="O1236" s="358"/>
      <c r="P1236" s="358"/>
      <c r="Q1236" s="358"/>
      <c r="R1236" s="358"/>
      <c r="S1236" s="358"/>
      <c r="T1236" s="358"/>
      <c r="U1236" s="358"/>
      <c r="V1236" s="358"/>
      <c r="W1236" s="358"/>
      <c r="X1236" s="358"/>
      <c r="Y1236" s="358"/>
      <c r="Z1236" s="358"/>
    </row>
    <row r="1237" ht="14.25" customHeight="1">
      <c r="A1237" s="358"/>
      <c r="B1237" s="399"/>
      <c r="C1237" s="399"/>
      <c r="D1237" s="399"/>
      <c r="E1237" s="399"/>
      <c r="F1237" s="400"/>
      <c r="G1237" s="273"/>
      <c r="H1237" s="273"/>
      <c r="I1237" s="358"/>
      <c r="J1237" s="358"/>
      <c r="K1237" s="358"/>
      <c r="L1237" s="358"/>
      <c r="M1237" s="358"/>
      <c r="N1237" s="358"/>
      <c r="O1237" s="358"/>
      <c r="P1237" s="358"/>
      <c r="Q1237" s="358"/>
      <c r="R1237" s="358"/>
      <c r="S1237" s="358"/>
      <c r="T1237" s="358"/>
      <c r="U1237" s="358"/>
      <c r="V1237" s="358"/>
      <c r="W1237" s="358"/>
      <c r="X1237" s="358"/>
      <c r="Y1237" s="358"/>
      <c r="Z1237" s="358"/>
    </row>
    <row r="1238" ht="14.25" customHeight="1">
      <c r="A1238" s="358"/>
      <c r="B1238" s="399"/>
      <c r="C1238" s="399"/>
      <c r="D1238" s="399"/>
      <c r="E1238" s="399"/>
      <c r="F1238" s="400"/>
      <c r="G1238" s="273"/>
      <c r="H1238" s="273"/>
      <c r="I1238" s="358"/>
      <c r="J1238" s="358"/>
      <c r="K1238" s="358"/>
      <c r="L1238" s="358"/>
      <c r="M1238" s="358"/>
      <c r="N1238" s="358"/>
      <c r="O1238" s="358"/>
      <c r="P1238" s="358"/>
      <c r="Q1238" s="358"/>
      <c r="R1238" s="358"/>
      <c r="S1238" s="358"/>
      <c r="T1238" s="358"/>
      <c r="U1238" s="358"/>
      <c r="V1238" s="358"/>
      <c r="W1238" s="358"/>
      <c r="X1238" s="358"/>
      <c r="Y1238" s="358"/>
      <c r="Z1238" s="358"/>
    </row>
    <row r="1239" ht="14.25" customHeight="1">
      <c r="A1239" s="358"/>
      <c r="B1239" s="399"/>
      <c r="C1239" s="399"/>
      <c r="D1239" s="399"/>
      <c r="E1239" s="399"/>
      <c r="F1239" s="400"/>
      <c r="G1239" s="273"/>
      <c r="H1239" s="273"/>
      <c r="I1239" s="358"/>
      <c r="J1239" s="358"/>
      <c r="K1239" s="358"/>
      <c r="L1239" s="358"/>
      <c r="M1239" s="358"/>
      <c r="N1239" s="358"/>
      <c r="O1239" s="358"/>
      <c r="P1239" s="358"/>
      <c r="Q1239" s="358"/>
      <c r="R1239" s="358"/>
      <c r="S1239" s="358"/>
      <c r="T1239" s="358"/>
      <c r="U1239" s="358"/>
      <c r="V1239" s="358"/>
      <c r="W1239" s="358"/>
      <c r="X1239" s="358"/>
      <c r="Y1239" s="358"/>
      <c r="Z1239" s="358"/>
    </row>
    <row r="1240" ht="14.25" customHeight="1">
      <c r="A1240" s="358"/>
      <c r="B1240" s="399"/>
      <c r="C1240" s="399"/>
      <c r="D1240" s="399"/>
      <c r="E1240" s="399"/>
      <c r="F1240" s="400"/>
      <c r="G1240" s="273"/>
      <c r="H1240" s="273"/>
      <c r="I1240" s="358"/>
      <c r="J1240" s="358"/>
      <c r="K1240" s="358"/>
      <c r="L1240" s="358"/>
      <c r="M1240" s="358"/>
      <c r="N1240" s="358"/>
      <c r="O1240" s="358"/>
      <c r="P1240" s="358"/>
      <c r="Q1240" s="358"/>
      <c r="R1240" s="358"/>
      <c r="S1240" s="358"/>
      <c r="T1240" s="358"/>
      <c r="U1240" s="358"/>
      <c r="V1240" s="358"/>
      <c r="W1240" s="358"/>
      <c r="X1240" s="358"/>
      <c r="Y1240" s="358"/>
      <c r="Z1240" s="358"/>
    </row>
    <row r="1241" ht="14.25" customHeight="1">
      <c r="A1241" s="358"/>
      <c r="B1241" s="399"/>
      <c r="C1241" s="399"/>
      <c r="D1241" s="399"/>
      <c r="E1241" s="399"/>
      <c r="F1241" s="400"/>
      <c r="G1241" s="273"/>
      <c r="H1241" s="273"/>
      <c r="I1241" s="358"/>
      <c r="J1241" s="358"/>
      <c r="K1241" s="358"/>
      <c r="L1241" s="358"/>
      <c r="M1241" s="358"/>
      <c r="N1241" s="358"/>
      <c r="O1241" s="358"/>
      <c r="P1241" s="358"/>
      <c r="Q1241" s="358"/>
      <c r="R1241" s="358"/>
      <c r="S1241" s="358"/>
      <c r="T1241" s="358"/>
      <c r="U1241" s="358"/>
      <c r="V1241" s="358"/>
      <c r="W1241" s="358"/>
      <c r="X1241" s="358"/>
      <c r="Y1241" s="358"/>
      <c r="Z1241" s="358"/>
    </row>
    <row r="1242" ht="14.25" customHeight="1">
      <c r="A1242" s="358"/>
      <c r="B1242" s="399"/>
      <c r="C1242" s="399"/>
      <c r="D1242" s="399"/>
      <c r="E1242" s="399"/>
      <c r="F1242" s="400"/>
      <c r="G1242" s="273"/>
      <c r="H1242" s="273"/>
      <c r="I1242" s="358"/>
      <c r="J1242" s="358"/>
      <c r="K1242" s="358"/>
      <c r="L1242" s="358"/>
      <c r="M1242" s="358"/>
      <c r="N1242" s="358"/>
      <c r="O1242" s="358"/>
      <c r="P1242" s="358"/>
      <c r="Q1242" s="358"/>
      <c r="R1242" s="358"/>
      <c r="S1242" s="358"/>
      <c r="T1242" s="358"/>
      <c r="U1242" s="358"/>
      <c r="V1242" s="358"/>
      <c r="W1242" s="358"/>
      <c r="X1242" s="358"/>
      <c r="Y1242" s="358"/>
      <c r="Z1242" s="358"/>
    </row>
    <row r="1243" ht="14.25" customHeight="1">
      <c r="A1243" s="358"/>
      <c r="B1243" s="399"/>
      <c r="C1243" s="399"/>
      <c r="D1243" s="399"/>
      <c r="E1243" s="399"/>
      <c r="F1243" s="400"/>
      <c r="G1243" s="273"/>
      <c r="H1243" s="273"/>
      <c r="I1243" s="358"/>
      <c r="J1243" s="358"/>
      <c r="K1243" s="358"/>
      <c r="L1243" s="358"/>
      <c r="M1243" s="358"/>
      <c r="N1243" s="358"/>
      <c r="O1243" s="358"/>
      <c r="P1243" s="358"/>
      <c r="Q1243" s="358"/>
      <c r="R1243" s="358"/>
      <c r="S1243" s="358"/>
      <c r="T1243" s="358"/>
      <c r="U1243" s="358"/>
      <c r="V1243" s="358"/>
      <c r="W1243" s="358"/>
      <c r="X1243" s="358"/>
      <c r="Y1243" s="358"/>
      <c r="Z1243" s="358"/>
    </row>
    <row r="1244" ht="14.25" customHeight="1">
      <c r="A1244" s="358"/>
      <c r="B1244" s="399"/>
      <c r="C1244" s="399"/>
      <c r="D1244" s="399"/>
      <c r="E1244" s="399"/>
      <c r="F1244" s="400"/>
      <c r="G1244" s="273"/>
      <c r="H1244" s="273"/>
      <c r="I1244" s="358"/>
      <c r="J1244" s="358"/>
      <c r="K1244" s="358"/>
      <c r="L1244" s="358"/>
      <c r="M1244" s="358"/>
      <c r="N1244" s="358"/>
      <c r="O1244" s="358"/>
      <c r="P1244" s="358"/>
      <c r="Q1244" s="358"/>
      <c r="R1244" s="358"/>
      <c r="S1244" s="358"/>
      <c r="T1244" s="358"/>
      <c r="U1244" s="358"/>
      <c r="V1244" s="358"/>
      <c r="W1244" s="358"/>
      <c r="X1244" s="358"/>
      <c r="Y1244" s="358"/>
      <c r="Z1244" s="358"/>
    </row>
    <row r="1245" ht="14.25" customHeight="1">
      <c r="A1245" s="358"/>
      <c r="B1245" s="399"/>
      <c r="C1245" s="399"/>
      <c r="D1245" s="399"/>
      <c r="E1245" s="399"/>
      <c r="F1245" s="400"/>
      <c r="G1245" s="273"/>
      <c r="H1245" s="273"/>
      <c r="I1245" s="358"/>
      <c r="J1245" s="358"/>
      <c r="K1245" s="358"/>
      <c r="L1245" s="358"/>
      <c r="M1245" s="358"/>
      <c r="N1245" s="358"/>
      <c r="O1245" s="358"/>
      <c r="P1245" s="358"/>
      <c r="Q1245" s="358"/>
      <c r="R1245" s="358"/>
      <c r="S1245" s="358"/>
      <c r="T1245" s="358"/>
      <c r="U1245" s="358"/>
      <c r="V1245" s="358"/>
      <c r="W1245" s="358"/>
      <c r="X1245" s="358"/>
      <c r="Y1245" s="358"/>
      <c r="Z1245" s="358"/>
    </row>
    <row r="1246" ht="14.25" customHeight="1">
      <c r="A1246" s="358"/>
      <c r="B1246" s="399"/>
      <c r="C1246" s="399"/>
      <c r="D1246" s="399"/>
      <c r="E1246" s="399"/>
      <c r="F1246" s="400"/>
      <c r="G1246" s="273"/>
      <c r="H1246" s="273"/>
      <c r="I1246" s="358"/>
      <c r="J1246" s="358"/>
      <c r="K1246" s="358"/>
      <c r="L1246" s="358"/>
      <c r="M1246" s="358"/>
      <c r="N1246" s="358"/>
      <c r="O1246" s="358"/>
      <c r="P1246" s="358"/>
      <c r="Q1246" s="358"/>
      <c r="R1246" s="358"/>
      <c r="S1246" s="358"/>
      <c r="T1246" s="358"/>
      <c r="U1246" s="358"/>
      <c r="V1246" s="358"/>
      <c r="W1246" s="358"/>
      <c r="X1246" s="358"/>
      <c r="Y1246" s="358"/>
      <c r="Z1246" s="358"/>
    </row>
    <row r="1247" ht="14.25" customHeight="1">
      <c r="A1247" s="358"/>
      <c r="B1247" s="399"/>
      <c r="C1247" s="399"/>
      <c r="D1247" s="399"/>
      <c r="E1247" s="399"/>
      <c r="F1247" s="400"/>
      <c r="G1247" s="273"/>
      <c r="H1247" s="273"/>
      <c r="I1247" s="358"/>
      <c r="J1247" s="358"/>
      <c r="K1247" s="358"/>
      <c r="L1247" s="358"/>
      <c r="M1247" s="358"/>
      <c r="N1247" s="358"/>
      <c r="O1247" s="358"/>
      <c r="P1247" s="358"/>
      <c r="Q1247" s="358"/>
      <c r="R1247" s="358"/>
      <c r="S1247" s="358"/>
      <c r="T1247" s="358"/>
      <c r="U1247" s="358"/>
      <c r="V1247" s="358"/>
      <c r="W1247" s="358"/>
      <c r="X1247" s="358"/>
      <c r="Y1247" s="358"/>
      <c r="Z1247" s="358"/>
    </row>
    <row r="1248" ht="14.25" customHeight="1">
      <c r="A1248" s="358"/>
      <c r="B1248" s="399"/>
      <c r="C1248" s="399"/>
      <c r="D1248" s="399"/>
      <c r="E1248" s="399"/>
      <c r="F1248" s="400"/>
      <c r="G1248" s="273"/>
      <c r="H1248" s="273"/>
      <c r="I1248" s="358"/>
      <c r="J1248" s="358"/>
      <c r="K1248" s="358"/>
      <c r="L1248" s="358"/>
      <c r="M1248" s="358"/>
      <c r="N1248" s="358"/>
      <c r="O1248" s="358"/>
      <c r="P1248" s="358"/>
      <c r="Q1248" s="358"/>
      <c r="R1248" s="358"/>
      <c r="S1248" s="358"/>
      <c r="T1248" s="358"/>
      <c r="U1248" s="358"/>
      <c r="V1248" s="358"/>
      <c r="W1248" s="358"/>
      <c r="X1248" s="358"/>
      <c r="Y1248" s="358"/>
      <c r="Z1248" s="358"/>
    </row>
    <row r="1249" ht="14.25" customHeight="1">
      <c r="A1249" s="358"/>
      <c r="B1249" s="399"/>
      <c r="C1249" s="399"/>
      <c r="D1249" s="399"/>
      <c r="E1249" s="399"/>
      <c r="F1249" s="400"/>
      <c r="G1249" s="273"/>
      <c r="H1249" s="273"/>
      <c r="I1249" s="358"/>
      <c r="J1249" s="358"/>
      <c r="K1249" s="358"/>
      <c r="L1249" s="358"/>
      <c r="M1249" s="358"/>
      <c r="N1249" s="358"/>
      <c r="O1249" s="358"/>
      <c r="P1249" s="358"/>
      <c r="Q1249" s="358"/>
      <c r="R1249" s="358"/>
      <c r="S1249" s="358"/>
      <c r="T1249" s="358"/>
      <c r="U1249" s="358"/>
      <c r="V1249" s="358"/>
      <c r="W1249" s="358"/>
      <c r="X1249" s="358"/>
      <c r="Y1249" s="358"/>
      <c r="Z1249" s="358"/>
    </row>
    <row r="1250" ht="14.25" customHeight="1">
      <c r="A1250" s="358"/>
      <c r="B1250" s="399"/>
      <c r="C1250" s="399"/>
      <c r="D1250" s="399"/>
      <c r="E1250" s="399"/>
      <c r="F1250" s="400"/>
      <c r="G1250" s="273"/>
      <c r="H1250" s="273"/>
      <c r="I1250" s="358"/>
      <c r="J1250" s="358"/>
      <c r="K1250" s="358"/>
      <c r="L1250" s="358"/>
      <c r="M1250" s="358"/>
      <c r="N1250" s="358"/>
      <c r="O1250" s="358"/>
      <c r="P1250" s="358"/>
      <c r="Q1250" s="358"/>
      <c r="R1250" s="358"/>
      <c r="S1250" s="358"/>
      <c r="T1250" s="358"/>
      <c r="U1250" s="358"/>
      <c r="V1250" s="358"/>
      <c r="W1250" s="358"/>
      <c r="X1250" s="358"/>
      <c r="Y1250" s="358"/>
      <c r="Z1250" s="358"/>
    </row>
    <row r="1251" ht="14.25" customHeight="1">
      <c r="A1251" s="358"/>
      <c r="B1251" s="399"/>
      <c r="C1251" s="399"/>
      <c r="D1251" s="399"/>
      <c r="E1251" s="399"/>
      <c r="F1251" s="400"/>
      <c r="G1251" s="273"/>
      <c r="H1251" s="273"/>
      <c r="I1251" s="358"/>
      <c r="J1251" s="358"/>
      <c r="K1251" s="358"/>
      <c r="L1251" s="358"/>
      <c r="M1251" s="358"/>
      <c r="N1251" s="358"/>
      <c r="O1251" s="358"/>
      <c r="P1251" s="358"/>
      <c r="Q1251" s="358"/>
      <c r="R1251" s="358"/>
      <c r="S1251" s="358"/>
      <c r="T1251" s="358"/>
      <c r="U1251" s="358"/>
      <c r="V1251" s="358"/>
      <c r="W1251" s="358"/>
      <c r="X1251" s="358"/>
      <c r="Y1251" s="358"/>
      <c r="Z1251" s="358"/>
    </row>
    <row r="1252" ht="14.25" customHeight="1">
      <c r="A1252" s="358"/>
      <c r="B1252" s="399"/>
      <c r="C1252" s="399"/>
      <c r="D1252" s="399"/>
      <c r="E1252" s="399"/>
      <c r="F1252" s="400"/>
      <c r="G1252" s="273"/>
      <c r="H1252" s="273"/>
      <c r="I1252" s="358"/>
      <c r="J1252" s="358"/>
      <c r="K1252" s="358"/>
      <c r="L1252" s="358"/>
      <c r="M1252" s="358"/>
      <c r="N1252" s="358"/>
      <c r="O1252" s="358"/>
      <c r="P1252" s="358"/>
      <c r="Q1252" s="358"/>
      <c r="R1252" s="358"/>
      <c r="S1252" s="358"/>
      <c r="T1252" s="358"/>
      <c r="U1252" s="358"/>
      <c r="V1252" s="358"/>
      <c r="W1252" s="358"/>
      <c r="X1252" s="358"/>
      <c r="Y1252" s="358"/>
      <c r="Z1252" s="358"/>
    </row>
    <row r="1253" ht="14.25" customHeight="1">
      <c r="A1253" s="358"/>
      <c r="B1253" s="399"/>
      <c r="C1253" s="399"/>
      <c r="D1253" s="399"/>
      <c r="E1253" s="399"/>
      <c r="F1253" s="400"/>
      <c r="G1253" s="273"/>
      <c r="H1253" s="273"/>
      <c r="I1253" s="358"/>
      <c r="J1253" s="358"/>
      <c r="K1253" s="358"/>
      <c r="L1253" s="358"/>
      <c r="M1253" s="358"/>
      <c r="N1253" s="358"/>
      <c r="O1253" s="358"/>
      <c r="P1253" s="358"/>
      <c r="Q1253" s="358"/>
      <c r="R1253" s="358"/>
      <c r="S1253" s="358"/>
      <c r="T1253" s="358"/>
      <c r="U1253" s="358"/>
      <c r="V1253" s="358"/>
      <c r="W1253" s="358"/>
      <c r="X1253" s="358"/>
      <c r="Y1253" s="358"/>
      <c r="Z1253" s="358"/>
    </row>
    <row r="1254" ht="14.25" customHeight="1">
      <c r="A1254" s="358"/>
      <c r="B1254" s="399"/>
      <c r="C1254" s="399"/>
      <c r="D1254" s="399"/>
      <c r="E1254" s="399"/>
      <c r="F1254" s="400"/>
      <c r="G1254" s="273"/>
      <c r="H1254" s="273"/>
      <c r="I1254" s="358"/>
      <c r="J1254" s="358"/>
      <c r="K1254" s="358"/>
      <c r="L1254" s="358"/>
      <c r="M1254" s="358"/>
      <c r="N1254" s="358"/>
      <c r="O1254" s="358"/>
      <c r="P1254" s="358"/>
      <c r="Q1254" s="358"/>
      <c r="R1254" s="358"/>
      <c r="S1254" s="358"/>
      <c r="T1254" s="358"/>
      <c r="U1254" s="358"/>
      <c r="V1254" s="358"/>
      <c r="W1254" s="358"/>
      <c r="X1254" s="358"/>
      <c r="Y1254" s="358"/>
      <c r="Z1254" s="358"/>
    </row>
    <row r="1255" ht="14.25" customHeight="1">
      <c r="A1255" s="358"/>
      <c r="B1255" s="399"/>
      <c r="C1255" s="399"/>
      <c r="D1255" s="399"/>
      <c r="E1255" s="399"/>
      <c r="F1255" s="400"/>
      <c r="G1255" s="273"/>
      <c r="H1255" s="273"/>
      <c r="I1255" s="358"/>
      <c r="J1255" s="358"/>
      <c r="K1255" s="358"/>
      <c r="L1255" s="358"/>
      <c r="M1255" s="358"/>
      <c r="N1255" s="358"/>
      <c r="O1255" s="358"/>
      <c r="P1255" s="358"/>
      <c r="Q1255" s="358"/>
      <c r="R1255" s="358"/>
      <c r="S1255" s="358"/>
      <c r="T1255" s="358"/>
      <c r="U1255" s="358"/>
      <c r="V1255" s="358"/>
      <c r="W1255" s="358"/>
      <c r="X1255" s="358"/>
      <c r="Y1255" s="358"/>
      <c r="Z1255" s="358"/>
    </row>
    <row r="1256" ht="14.25" customHeight="1">
      <c r="A1256" s="358"/>
      <c r="B1256" s="399"/>
      <c r="C1256" s="399"/>
      <c r="D1256" s="399"/>
      <c r="E1256" s="399"/>
      <c r="F1256" s="400"/>
      <c r="G1256" s="273"/>
      <c r="H1256" s="273"/>
      <c r="I1256" s="358"/>
      <c r="J1256" s="358"/>
      <c r="K1256" s="358"/>
      <c r="L1256" s="358"/>
      <c r="M1256" s="358"/>
      <c r="N1256" s="358"/>
      <c r="O1256" s="358"/>
      <c r="P1256" s="358"/>
      <c r="Q1256" s="358"/>
      <c r="R1256" s="358"/>
      <c r="S1256" s="358"/>
      <c r="T1256" s="358"/>
      <c r="U1256" s="358"/>
      <c r="V1256" s="358"/>
      <c r="W1256" s="358"/>
      <c r="X1256" s="358"/>
      <c r="Y1256" s="358"/>
      <c r="Z1256" s="358"/>
    </row>
    <row r="1257" ht="14.25" customHeight="1">
      <c r="A1257" s="358"/>
      <c r="B1257" s="399"/>
      <c r="C1257" s="399"/>
      <c r="D1257" s="399"/>
      <c r="E1257" s="399"/>
      <c r="F1257" s="400"/>
      <c r="G1257" s="273"/>
      <c r="H1257" s="273"/>
      <c r="I1257" s="358"/>
      <c r="J1257" s="358"/>
      <c r="K1257" s="358"/>
      <c r="L1257" s="358"/>
      <c r="M1257" s="358"/>
      <c r="N1257" s="358"/>
      <c r="O1257" s="358"/>
      <c r="P1257" s="358"/>
      <c r="Q1257" s="358"/>
      <c r="R1257" s="358"/>
      <c r="S1257" s="358"/>
      <c r="T1257" s="358"/>
      <c r="U1257" s="358"/>
      <c r="V1257" s="358"/>
      <c r="W1257" s="358"/>
      <c r="X1257" s="358"/>
      <c r="Y1257" s="358"/>
      <c r="Z1257" s="358"/>
    </row>
    <row r="1258" ht="14.25" customHeight="1">
      <c r="A1258" s="358"/>
      <c r="B1258" s="399"/>
      <c r="C1258" s="399"/>
      <c r="D1258" s="399"/>
      <c r="E1258" s="399"/>
      <c r="F1258" s="400"/>
      <c r="G1258" s="273"/>
      <c r="H1258" s="273"/>
      <c r="I1258" s="358"/>
      <c r="J1258" s="358"/>
      <c r="K1258" s="358"/>
      <c r="L1258" s="358"/>
      <c r="M1258" s="358"/>
      <c r="N1258" s="358"/>
      <c r="O1258" s="358"/>
      <c r="P1258" s="358"/>
      <c r="Q1258" s="358"/>
      <c r="R1258" s="358"/>
      <c r="S1258" s="358"/>
      <c r="T1258" s="358"/>
      <c r="U1258" s="358"/>
      <c r="V1258" s="358"/>
      <c r="W1258" s="358"/>
      <c r="X1258" s="358"/>
      <c r="Y1258" s="358"/>
      <c r="Z1258" s="358"/>
    </row>
    <row r="1259" ht="14.25" customHeight="1">
      <c r="A1259" s="358"/>
      <c r="B1259" s="399"/>
      <c r="C1259" s="399"/>
      <c r="D1259" s="399"/>
      <c r="E1259" s="399"/>
      <c r="F1259" s="400"/>
      <c r="G1259" s="273"/>
      <c r="H1259" s="273"/>
      <c r="I1259" s="358"/>
      <c r="J1259" s="358"/>
      <c r="K1259" s="358"/>
      <c r="L1259" s="358"/>
      <c r="M1259" s="358"/>
      <c r="N1259" s="358"/>
      <c r="O1259" s="358"/>
      <c r="P1259" s="358"/>
      <c r="Q1259" s="358"/>
      <c r="R1259" s="358"/>
      <c r="S1259" s="358"/>
      <c r="T1259" s="358"/>
      <c r="U1259" s="358"/>
      <c r="V1259" s="358"/>
      <c r="W1259" s="358"/>
      <c r="X1259" s="358"/>
      <c r="Y1259" s="358"/>
      <c r="Z1259" s="358"/>
    </row>
    <row r="1260" ht="14.25" customHeight="1">
      <c r="A1260" s="358"/>
      <c r="B1260" s="399"/>
      <c r="C1260" s="399"/>
      <c r="D1260" s="399"/>
      <c r="E1260" s="399"/>
      <c r="F1260" s="400"/>
      <c r="G1260" s="273"/>
      <c r="H1260" s="273"/>
      <c r="I1260" s="358"/>
      <c r="J1260" s="358"/>
      <c r="K1260" s="358"/>
      <c r="L1260" s="358"/>
      <c r="M1260" s="358"/>
      <c r="N1260" s="358"/>
      <c r="O1260" s="358"/>
      <c r="P1260" s="358"/>
      <c r="Q1260" s="358"/>
      <c r="R1260" s="358"/>
      <c r="S1260" s="358"/>
      <c r="T1260" s="358"/>
      <c r="U1260" s="358"/>
      <c r="V1260" s="358"/>
      <c r="W1260" s="358"/>
      <c r="X1260" s="358"/>
      <c r="Y1260" s="358"/>
      <c r="Z1260" s="358"/>
    </row>
    <row r="1261" ht="14.25" customHeight="1">
      <c r="A1261" s="358"/>
      <c r="B1261" s="399"/>
      <c r="C1261" s="399"/>
      <c r="D1261" s="399"/>
      <c r="E1261" s="399"/>
      <c r="F1261" s="400"/>
      <c r="G1261" s="273"/>
      <c r="H1261" s="273"/>
      <c r="I1261" s="358"/>
      <c r="J1261" s="358"/>
      <c r="K1261" s="358"/>
      <c r="L1261" s="358"/>
      <c r="M1261" s="358"/>
      <c r="N1261" s="358"/>
      <c r="O1261" s="358"/>
      <c r="P1261" s="358"/>
      <c r="Q1261" s="358"/>
      <c r="R1261" s="358"/>
      <c r="S1261" s="358"/>
      <c r="T1261" s="358"/>
      <c r="U1261" s="358"/>
      <c r="V1261" s="358"/>
      <c r="W1261" s="358"/>
      <c r="X1261" s="358"/>
      <c r="Y1261" s="358"/>
      <c r="Z1261" s="358"/>
    </row>
    <row r="1262" ht="14.25" customHeight="1">
      <c r="A1262" s="358"/>
      <c r="B1262" s="399"/>
      <c r="C1262" s="399"/>
      <c r="D1262" s="399"/>
      <c r="E1262" s="399"/>
      <c r="F1262" s="400"/>
      <c r="G1262" s="273"/>
      <c r="H1262" s="273"/>
      <c r="I1262" s="358"/>
      <c r="J1262" s="358"/>
      <c r="K1262" s="358"/>
      <c r="L1262" s="358"/>
      <c r="M1262" s="358"/>
      <c r="N1262" s="358"/>
      <c r="O1262" s="358"/>
      <c r="P1262" s="358"/>
      <c r="Q1262" s="358"/>
      <c r="R1262" s="358"/>
      <c r="S1262" s="358"/>
      <c r="T1262" s="358"/>
      <c r="U1262" s="358"/>
      <c r="V1262" s="358"/>
      <c r="W1262" s="358"/>
      <c r="X1262" s="358"/>
      <c r="Y1262" s="358"/>
      <c r="Z1262" s="358"/>
    </row>
    <row r="1263" ht="14.25" customHeight="1">
      <c r="A1263" s="358"/>
      <c r="B1263" s="399"/>
      <c r="C1263" s="399"/>
      <c r="D1263" s="399"/>
      <c r="E1263" s="399"/>
      <c r="F1263" s="400"/>
      <c r="G1263" s="273"/>
      <c r="H1263" s="273"/>
      <c r="I1263" s="358"/>
      <c r="J1263" s="358"/>
      <c r="K1263" s="358"/>
      <c r="L1263" s="358"/>
      <c r="M1263" s="358"/>
      <c r="N1263" s="358"/>
      <c r="O1263" s="358"/>
      <c r="P1263" s="358"/>
      <c r="Q1263" s="358"/>
      <c r="R1263" s="358"/>
      <c r="S1263" s="358"/>
      <c r="T1263" s="358"/>
      <c r="U1263" s="358"/>
      <c r="V1263" s="358"/>
      <c r="W1263" s="358"/>
      <c r="X1263" s="358"/>
      <c r="Y1263" s="358"/>
      <c r="Z1263" s="358"/>
    </row>
    <row r="1264" ht="14.25" customHeight="1">
      <c r="A1264" s="358"/>
      <c r="B1264" s="399"/>
      <c r="C1264" s="399"/>
      <c r="D1264" s="399"/>
      <c r="E1264" s="399"/>
      <c r="F1264" s="400"/>
      <c r="G1264" s="273"/>
      <c r="H1264" s="273"/>
      <c r="I1264" s="358"/>
      <c r="J1264" s="358"/>
      <c r="K1264" s="358"/>
      <c r="L1264" s="358"/>
      <c r="M1264" s="358"/>
      <c r="N1264" s="358"/>
      <c r="O1264" s="358"/>
      <c r="P1264" s="358"/>
      <c r="Q1264" s="358"/>
      <c r="R1264" s="358"/>
      <c r="S1264" s="358"/>
      <c r="T1264" s="358"/>
      <c r="U1264" s="358"/>
      <c r="V1264" s="358"/>
      <c r="W1264" s="358"/>
      <c r="X1264" s="358"/>
      <c r="Y1264" s="358"/>
      <c r="Z1264" s="358"/>
    </row>
    <row r="1265" ht="14.25" customHeight="1">
      <c r="A1265" s="358"/>
      <c r="B1265" s="399"/>
      <c r="C1265" s="399"/>
      <c r="D1265" s="399"/>
      <c r="E1265" s="399"/>
      <c r="F1265" s="400"/>
      <c r="G1265" s="273"/>
      <c r="H1265" s="273"/>
      <c r="I1265" s="358"/>
      <c r="J1265" s="358"/>
      <c r="K1265" s="358"/>
      <c r="L1265" s="358"/>
      <c r="M1265" s="358"/>
      <c r="N1265" s="358"/>
      <c r="O1265" s="358"/>
      <c r="P1265" s="358"/>
      <c r="Q1265" s="358"/>
      <c r="R1265" s="358"/>
      <c r="S1265" s="358"/>
      <c r="T1265" s="358"/>
      <c r="U1265" s="358"/>
      <c r="V1265" s="358"/>
      <c r="W1265" s="358"/>
      <c r="X1265" s="358"/>
      <c r="Y1265" s="358"/>
      <c r="Z1265" s="358"/>
    </row>
    <row r="1266" ht="14.25" customHeight="1">
      <c r="A1266" s="358"/>
      <c r="B1266" s="399"/>
      <c r="C1266" s="399"/>
      <c r="D1266" s="399"/>
      <c r="E1266" s="399"/>
      <c r="F1266" s="400"/>
      <c r="G1266" s="273"/>
      <c r="H1266" s="273"/>
      <c r="I1266" s="358"/>
      <c r="J1266" s="358"/>
      <c r="K1266" s="358"/>
      <c r="L1266" s="358"/>
      <c r="M1266" s="358"/>
      <c r="N1266" s="358"/>
      <c r="O1266" s="358"/>
      <c r="P1266" s="358"/>
      <c r="Q1266" s="358"/>
      <c r="R1266" s="358"/>
      <c r="S1266" s="358"/>
      <c r="T1266" s="358"/>
      <c r="U1266" s="358"/>
      <c r="V1266" s="358"/>
      <c r="W1266" s="358"/>
      <c r="X1266" s="358"/>
      <c r="Y1266" s="358"/>
      <c r="Z1266" s="358"/>
    </row>
    <row r="1267" ht="14.25" customHeight="1">
      <c r="A1267" s="358"/>
      <c r="B1267" s="399"/>
      <c r="C1267" s="399"/>
      <c r="D1267" s="399"/>
      <c r="E1267" s="399"/>
      <c r="F1267" s="400"/>
      <c r="G1267" s="273"/>
      <c r="H1267" s="273"/>
      <c r="I1267" s="358"/>
      <c r="J1267" s="358"/>
      <c r="K1267" s="358"/>
      <c r="L1267" s="358"/>
      <c r="M1267" s="358"/>
      <c r="N1267" s="358"/>
      <c r="O1267" s="358"/>
      <c r="P1267" s="358"/>
      <c r="Q1267" s="358"/>
      <c r="R1267" s="358"/>
      <c r="S1267" s="358"/>
      <c r="T1267" s="358"/>
      <c r="U1267" s="358"/>
      <c r="V1267" s="358"/>
      <c r="W1267" s="358"/>
      <c r="X1267" s="358"/>
      <c r="Y1267" s="358"/>
      <c r="Z1267" s="358"/>
    </row>
    <row r="1268" ht="14.25" customHeight="1">
      <c r="A1268" s="358"/>
      <c r="B1268" s="399"/>
      <c r="C1268" s="399"/>
      <c r="D1268" s="399"/>
      <c r="E1268" s="399"/>
      <c r="F1268" s="400"/>
      <c r="G1268" s="273"/>
      <c r="H1268" s="273"/>
      <c r="I1268" s="358"/>
      <c r="J1268" s="358"/>
      <c r="K1268" s="358"/>
      <c r="L1268" s="358"/>
      <c r="M1268" s="358"/>
      <c r="N1268" s="358"/>
      <c r="O1268" s="358"/>
      <c r="P1268" s="358"/>
      <c r="Q1268" s="358"/>
      <c r="R1268" s="358"/>
      <c r="S1268" s="358"/>
      <c r="T1268" s="358"/>
      <c r="U1268" s="358"/>
      <c r="V1268" s="358"/>
      <c r="W1268" s="358"/>
      <c r="X1268" s="358"/>
      <c r="Y1268" s="358"/>
      <c r="Z1268" s="358"/>
    </row>
    <row r="1269" ht="14.25" customHeight="1">
      <c r="A1269" s="358"/>
      <c r="B1269" s="399"/>
      <c r="C1269" s="399"/>
      <c r="D1269" s="399"/>
      <c r="E1269" s="399"/>
      <c r="F1269" s="400"/>
      <c r="G1269" s="273"/>
      <c r="H1269" s="273"/>
      <c r="I1269" s="358"/>
      <c r="J1269" s="358"/>
      <c r="K1269" s="358"/>
      <c r="L1269" s="358"/>
      <c r="M1269" s="358"/>
      <c r="N1269" s="358"/>
      <c r="O1269" s="358"/>
      <c r="P1269" s="358"/>
      <c r="Q1269" s="358"/>
      <c r="R1269" s="358"/>
      <c r="S1269" s="358"/>
      <c r="T1269" s="358"/>
      <c r="U1269" s="358"/>
      <c r="V1269" s="358"/>
      <c r="W1269" s="358"/>
      <c r="X1269" s="358"/>
      <c r="Y1269" s="358"/>
      <c r="Z1269" s="358"/>
    </row>
    <row r="1270" ht="14.25" customHeight="1">
      <c r="A1270" s="358"/>
      <c r="B1270" s="399"/>
      <c r="C1270" s="399"/>
      <c r="D1270" s="399"/>
      <c r="E1270" s="399"/>
      <c r="F1270" s="400"/>
      <c r="G1270" s="273"/>
      <c r="H1270" s="273"/>
      <c r="I1270" s="358"/>
      <c r="J1270" s="358"/>
      <c r="K1270" s="358"/>
      <c r="L1270" s="358"/>
      <c r="M1270" s="358"/>
      <c r="N1270" s="358"/>
      <c r="O1270" s="358"/>
      <c r="P1270" s="358"/>
      <c r="Q1270" s="358"/>
      <c r="R1270" s="358"/>
      <c r="S1270" s="358"/>
      <c r="T1270" s="358"/>
      <c r="U1270" s="358"/>
      <c r="V1270" s="358"/>
      <c r="W1270" s="358"/>
      <c r="X1270" s="358"/>
      <c r="Y1270" s="358"/>
      <c r="Z1270" s="358"/>
    </row>
    <row r="1271" ht="14.25" customHeight="1">
      <c r="A1271" s="358"/>
      <c r="B1271" s="399"/>
      <c r="C1271" s="399"/>
      <c r="D1271" s="399"/>
      <c r="E1271" s="399"/>
      <c r="F1271" s="400"/>
      <c r="G1271" s="273"/>
      <c r="H1271" s="273"/>
      <c r="I1271" s="358"/>
      <c r="J1271" s="358"/>
      <c r="K1271" s="358"/>
      <c r="L1271" s="358"/>
      <c r="M1271" s="358"/>
      <c r="N1271" s="358"/>
      <c r="O1271" s="358"/>
      <c r="P1271" s="358"/>
      <c r="Q1271" s="358"/>
      <c r="R1271" s="358"/>
      <c r="S1271" s="358"/>
      <c r="T1271" s="358"/>
      <c r="U1271" s="358"/>
      <c r="V1271" s="358"/>
      <c r="W1271" s="358"/>
      <c r="X1271" s="358"/>
      <c r="Y1271" s="358"/>
      <c r="Z1271" s="358"/>
    </row>
    <row r="1272" ht="14.25" customHeight="1">
      <c r="A1272" s="358"/>
      <c r="B1272" s="399"/>
      <c r="C1272" s="399"/>
      <c r="D1272" s="399"/>
      <c r="E1272" s="399"/>
      <c r="F1272" s="400"/>
      <c r="G1272" s="273"/>
      <c r="H1272" s="273"/>
      <c r="I1272" s="358"/>
      <c r="J1272" s="358"/>
      <c r="K1272" s="358"/>
      <c r="L1272" s="358"/>
      <c r="M1272" s="358"/>
      <c r="N1272" s="358"/>
      <c r="O1272" s="358"/>
      <c r="P1272" s="358"/>
      <c r="Q1272" s="358"/>
      <c r="R1272" s="358"/>
      <c r="S1272" s="358"/>
      <c r="T1272" s="358"/>
      <c r="U1272" s="358"/>
      <c r="V1272" s="358"/>
      <c r="W1272" s="358"/>
      <c r="X1272" s="358"/>
      <c r="Y1272" s="358"/>
      <c r="Z1272" s="358"/>
    </row>
    <row r="1273" ht="14.25" customHeight="1">
      <c r="A1273" s="358"/>
      <c r="B1273" s="399"/>
      <c r="C1273" s="399"/>
      <c r="D1273" s="399"/>
      <c r="E1273" s="399"/>
      <c r="F1273" s="400"/>
      <c r="G1273" s="273"/>
      <c r="H1273" s="273"/>
      <c r="I1273" s="358"/>
      <c r="J1273" s="358"/>
      <c r="K1273" s="358"/>
      <c r="L1273" s="358"/>
      <c r="M1273" s="358"/>
      <c r="N1273" s="358"/>
      <c r="O1273" s="358"/>
      <c r="P1273" s="358"/>
      <c r="Q1273" s="358"/>
      <c r="R1273" s="358"/>
      <c r="S1273" s="358"/>
      <c r="T1273" s="358"/>
      <c r="U1273" s="358"/>
      <c r="V1273" s="358"/>
      <c r="W1273" s="358"/>
      <c r="X1273" s="358"/>
      <c r="Y1273" s="358"/>
      <c r="Z1273" s="358"/>
    </row>
    <row r="1274" ht="14.25" customHeight="1">
      <c r="A1274" s="358"/>
      <c r="B1274" s="399"/>
      <c r="C1274" s="399"/>
      <c r="D1274" s="399"/>
      <c r="E1274" s="399"/>
      <c r="F1274" s="400"/>
      <c r="G1274" s="273"/>
      <c r="H1274" s="273"/>
      <c r="I1274" s="358"/>
      <c r="J1274" s="358"/>
      <c r="K1274" s="358"/>
      <c r="L1274" s="358"/>
      <c r="M1274" s="358"/>
      <c r="N1274" s="358"/>
      <c r="O1274" s="358"/>
      <c r="P1274" s="358"/>
      <c r="Q1274" s="358"/>
      <c r="R1274" s="358"/>
      <c r="S1274" s="358"/>
      <c r="T1274" s="358"/>
      <c r="U1274" s="358"/>
      <c r="V1274" s="358"/>
      <c r="W1274" s="358"/>
      <c r="X1274" s="358"/>
      <c r="Y1274" s="358"/>
      <c r="Z1274" s="358"/>
    </row>
    <row r="1275" ht="14.25" customHeight="1">
      <c r="A1275" s="358"/>
      <c r="B1275" s="399"/>
      <c r="C1275" s="399"/>
      <c r="D1275" s="399"/>
      <c r="E1275" s="399"/>
      <c r="F1275" s="400"/>
      <c r="G1275" s="273"/>
      <c r="H1275" s="273"/>
      <c r="I1275" s="358"/>
      <c r="J1275" s="358"/>
      <c r="K1275" s="358"/>
      <c r="L1275" s="358"/>
      <c r="M1275" s="358"/>
      <c r="N1275" s="358"/>
      <c r="O1275" s="358"/>
      <c r="P1275" s="358"/>
      <c r="Q1275" s="358"/>
      <c r="R1275" s="358"/>
      <c r="S1275" s="358"/>
      <c r="T1275" s="358"/>
      <c r="U1275" s="358"/>
      <c r="V1275" s="358"/>
      <c r="W1275" s="358"/>
      <c r="X1275" s="358"/>
      <c r="Y1275" s="358"/>
      <c r="Z1275" s="358"/>
    </row>
    <row r="1276" ht="14.25" customHeight="1">
      <c r="A1276" s="358"/>
      <c r="B1276" s="399"/>
      <c r="C1276" s="399"/>
      <c r="D1276" s="399"/>
      <c r="E1276" s="399"/>
      <c r="F1276" s="400"/>
      <c r="G1276" s="273"/>
      <c r="H1276" s="273"/>
      <c r="I1276" s="358"/>
      <c r="J1276" s="358"/>
      <c r="K1276" s="358"/>
      <c r="L1276" s="358"/>
      <c r="M1276" s="358"/>
      <c r="N1276" s="358"/>
      <c r="O1276" s="358"/>
      <c r="P1276" s="358"/>
      <c r="Q1276" s="358"/>
      <c r="R1276" s="358"/>
      <c r="S1276" s="358"/>
      <c r="T1276" s="358"/>
      <c r="U1276" s="358"/>
      <c r="V1276" s="358"/>
      <c r="W1276" s="358"/>
      <c r="X1276" s="358"/>
      <c r="Y1276" s="358"/>
      <c r="Z1276" s="358"/>
    </row>
    <row r="1277" ht="14.25" customHeight="1">
      <c r="A1277" s="358"/>
      <c r="B1277" s="399"/>
      <c r="C1277" s="399"/>
      <c r="D1277" s="399"/>
      <c r="E1277" s="399"/>
      <c r="F1277" s="400"/>
      <c r="G1277" s="273"/>
      <c r="H1277" s="273"/>
      <c r="I1277" s="358"/>
      <c r="J1277" s="358"/>
      <c r="K1277" s="358"/>
      <c r="L1277" s="358"/>
      <c r="M1277" s="358"/>
      <c r="N1277" s="358"/>
      <c r="O1277" s="358"/>
      <c r="P1277" s="358"/>
      <c r="Q1277" s="358"/>
      <c r="R1277" s="358"/>
      <c r="S1277" s="358"/>
      <c r="T1277" s="358"/>
      <c r="U1277" s="358"/>
      <c r="V1277" s="358"/>
      <c r="W1277" s="358"/>
      <c r="X1277" s="358"/>
      <c r="Y1277" s="358"/>
      <c r="Z1277" s="358"/>
    </row>
    <row r="1278" ht="14.25" customHeight="1">
      <c r="A1278" s="358"/>
      <c r="B1278" s="399"/>
      <c r="C1278" s="399"/>
      <c r="D1278" s="399"/>
      <c r="E1278" s="399"/>
      <c r="F1278" s="400"/>
      <c r="G1278" s="273"/>
      <c r="H1278" s="273"/>
      <c r="I1278" s="358"/>
      <c r="J1278" s="358"/>
      <c r="K1278" s="358"/>
      <c r="L1278" s="358"/>
      <c r="M1278" s="358"/>
      <c r="N1278" s="358"/>
      <c r="O1278" s="358"/>
      <c r="P1278" s="358"/>
      <c r="Q1278" s="358"/>
      <c r="R1278" s="358"/>
      <c r="S1278" s="358"/>
      <c r="T1278" s="358"/>
      <c r="U1278" s="358"/>
      <c r="V1278" s="358"/>
      <c r="W1278" s="358"/>
      <c r="X1278" s="358"/>
      <c r="Y1278" s="358"/>
      <c r="Z1278" s="358"/>
    </row>
    <row r="1279" ht="14.25" customHeight="1">
      <c r="A1279" s="358"/>
      <c r="B1279" s="399"/>
      <c r="C1279" s="399"/>
      <c r="D1279" s="399"/>
      <c r="E1279" s="399"/>
      <c r="F1279" s="400"/>
      <c r="G1279" s="273"/>
      <c r="H1279" s="273"/>
      <c r="I1279" s="358"/>
      <c r="J1279" s="358"/>
      <c r="K1279" s="358"/>
      <c r="L1279" s="358"/>
      <c r="M1279" s="358"/>
      <c r="N1279" s="358"/>
      <c r="O1279" s="358"/>
      <c r="P1279" s="358"/>
      <c r="Q1279" s="358"/>
      <c r="R1279" s="358"/>
      <c r="S1279" s="358"/>
      <c r="T1279" s="358"/>
      <c r="U1279" s="358"/>
      <c r="V1279" s="358"/>
      <c r="W1279" s="358"/>
      <c r="X1279" s="358"/>
      <c r="Y1279" s="358"/>
      <c r="Z1279" s="358"/>
    </row>
    <row r="1280" ht="14.25" customHeight="1">
      <c r="A1280" s="358"/>
      <c r="B1280" s="399"/>
      <c r="C1280" s="399"/>
      <c r="D1280" s="399"/>
      <c r="E1280" s="399"/>
      <c r="F1280" s="400"/>
      <c r="G1280" s="273"/>
      <c r="H1280" s="273"/>
      <c r="I1280" s="358"/>
      <c r="J1280" s="358"/>
      <c r="K1280" s="358"/>
      <c r="L1280" s="358"/>
      <c r="M1280" s="358"/>
      <c r="N1280" s="358"/>
      <c r="O1280" s="358"/>
      <c r="P1280" s="358"/>
      <c r="Q1280" s="358"/>
      <c r="R1280" s="358"/>
      <c r="S1280" s="358"/>
      <c r="T1280" s="358"/>
      <c r="U1280" s="358"/>
      <c r="V1280" s="358"/>
      <c r="W1280" s="358"/>
      <c r="X1280" s="358"/>
      <c r="Y1280" s="358"/>
      <c r="Z1280" s="358"/>
    </row>
    <row r="1281" ht="14.25" customHeight="1">
      <c r="A1281" s="358"/>
      <c r="B1281" s="399"/>
      <c r="C1281" s="399"/>
      <c r="D1281" s="399"/>
      <c r="E1281" s="399"/>
      <c r="F1281" s="400"/>
      <c r="G1281" s="273"/>
      <c r="H1281" s="273"/>
      <c r="I1281" s="358"/>
      <c r="J1281" s="358"/>
      <c r="K1281" s="358"/>
      <c r="L1281" s="358"/>
      <c r="M1281" s="358"/>
      <c r="N1281" s="358"/>
      <c r="O1281" s="358"/>
      <c r="P1281" s="358"/>
      <c r="Q1281" s="358"/>
      <c r="R1281" s="358"/>
      <c r="S1281" s="358"/>
      <c r="T1281" s="358"/>
      <c r="U1281" s="358"/>
      <c r="V1281" s="358"/>
      <c r="W1281" s="358"/>
      <c r="X1281" s="358"/>
      <c r="Y1281" s="358"/>
      <c r="Z1281" s="358"/>
    </row>
    <row r="1282" ht="14.25" customHeight="1">
      <c r="A1282" s="358"/>
      <c r="B1282" s="399"/>
      <c r="C1282" s="399"/>
      <c r="D1282" s="399"/>
      <c r="E1282" s="399"/>
      <c r="F1282" s="400"/>
      <c r="G1282" s="273"/>
      <c r="H1282" s="273"/>
      <c r="I1282" s="358"/>
      <c r="J1282" s="358"/>
      <c r="K1282" s="358"/>
      <c r="L1282" s="358"/>
      <c r="M1282" s="358"/>
      <c r="N1282" s="358"/>
      <c r="O1282" s="358"/>
      <c r="P1282" s="358"/>
      <c r="Q1282" s="358"/>
      <c r="R1282" s="358"/>
      <c r="S1282" s="358"/>
      <c r="T1282" s="358"/>
      <c r="U1282" s="358"/>
      <c r="V1282" s="358"/>
      <c r="W1282" s="358"/>
      <c r="X1282" s="358"/>
      <c r="Y1282" s="358"/>
      <c r="Z1282" s="358"/>
    </row>
    <row r="1283" ht="14.25" customHeight="1">
      <c r="A1283" s="358"/>
      <c r="B1283" s="399"/>
      <c r="C1283" s="399"/>
      <c r="D1283" s="399"/>
      <c r="E1283" s="399"/>
      <c r="F1283" s="400"/>
      <c r="G1283" s="273"/>
      <c r="H1283" s="273"/>
      <c r="I1283" s="358"/>
      <c r="J1283" s="358"/>
      <c r="K1283" s="358"/>
      <c r="L1283" s="358"/>
      <c r="M1283" s="358"/>
      <c r="N1283" s="358"/>
      <c r="O1283" s="358"/>
      <c r="P1283" s="358"/>
      <c r="Q1283" s="358"/>
      <c r="R1283" s="358"/>
      <c r="S1283" s="358"/>
      <c r="T1283" s="358"/>
      <c r="U1283" s="358"/>
      <c r="V1283" s="358"/>
      <c r="W1283" s="358"/>
      <c r="X1283" s="358"/>
      <c r="Y1283" s="358"/>
      <c r="Z1283" s="358"/>
    </row>
    <row r="1284" ht="14.25" customHeight="1">
      <c r="A1284" s="358"/>
      <c r="B1284" s="399"/>
      <c r="C1284" s="399"/>
      <c r="D1284" s="399"/>
      <c r="E1284" s="399"/>
      <c r="F1284" s="400"/>
      <c r="G1284" s="273"/>
      <c r="H1284" s="273"/>
      <c r="I1284" s="358"/>
      <c r="J1284" s="358"/>
      <c r="K1284" s="358"/>
      <c r="L1284" s="358"/>
      <c r="M1284" s="358"/>
      <c r="N1284" s="358"/>
      <c r="O1284" s="358"/>
      <c r="P1284" s="358"/>
      <c r="Q1284" s="358"/>
      <c r="R1284" s="358"/>
      <c r="S1284" s="358"/>
      <c r="T1284" s="358"/>
      <c r="U1284" s="358"/>
      <c r="V1284" s="358"/>
      <c r="W1284" s="358"/>
      <c r="X1284" s="358"/>
      <c r="Y1284" s="358"/>
      <c r="Z1284" s="358"/>
    </row>
    <row r="1285" ht="14.25" customHeight="1">
      <c r="A1285" s="358"/>
      <c r="B1285" s="399"/>
      <c r="C1285" s="399"/>
      <c r="D1285" s="399"/>
      <c r="E1285" s="399"/>
      <c r="F1285" s="400"/>
      <c r="G1285" s="273"/>
      <c r="H1285" s="273"/>
      <c r="I1285" s="358"/>
      <c r="J1285" s="358"/>
      <c r="K1285" s="358"/>
      <c r="L1285" s="358"/>
      <c r="M1285" s="358"/>
      <c r="N1285" s="358"/>
      <c r="O1285" s="358"/>
      <c r="P1285" s="358"/>
      <c r="Q1285" s="358"/>
      <c r="R1285" s="358"/>
      <c r="S1285" s="358"/>
      <c r="T1285" s="358"/>
      <c r="U1285" s="358"/>
      <c r="V1285" s="358"/>
      <c r="W1285" s="358"/>
      <c r="X1285" s="358"/>
      <c r="Y1285" s="358"/>
      <c r="Z1285" s="358"/>
    </row>
    <row r="1286" ht="14.25" customHeight="1">
      <c r="A1286" s="358"/>
      <c r="B1286" s="399"/>
      <c r="C1286" s="399"/>
      <c r="D1286" s="399"/>
      <c r="E1286" s="399"/>
      <c r="F1286" s="400"/>
      <c r="G1286" s="273"/>
      <c r="H1286" s="273"/>
      <c r="I1286" s="358"/>
      <c r="J1286" s="358"/>
      <c r="K1286" s="358"/>
      <c r="L1286" s="358"/>
      <c r="M1286" s="358"/>
      <c r="N1286" s="358"/>
      <c r="O1286" s="358"/>
      <c r="P1286" s="358"/>
      <c r="Q1286" s="358"/>
      <c r="R1286" s="358"/>
      <c r="S1286" s="358"/>
      <c r="T1286" s="358"/>
      <c r="U1286" s="358"/>
      <c r="V1286" s="358"/>
      <c r="W1286" s="358"/>
      <c r="X1286" s="358"/>
      <c r="Y1286" s="358"/>
      <c r="Z1286" s="358"/>
    </row>
    <row r="1287" ht="14.25" customHeight="1">
      <c r="A1287" s="358"/>
      <c r="B1287" s="399"/>
      <c r="C1287" s="399"/>
      <c r="D1287" s="399"/>
      <c r="E1287" s="399"/>
      <c r="F1287" s="400"/>
      <c r="G1287" s="273"/>
      <c r="H1287" s="273"/>
      <c r="I1287" s="358"/>
      <c r="J1287" s="358"/>
      <c r="K1287" s="358"/>
      <c r="L1287" s="358"/>
      <c r="M1287" s="358"/>
      <c r="N1287" s="358"/>
      <c r="O1287" s="358"/>
      <c r="P1287" s="358"/>
      <c r="Q1287" s="358"/>
      <c r="R1287" s="358"/>
      <c r="S1287" s="358"/>
      <c r="T1287" s="358"/>
      <c r="U1287" s="358"/>
      <c r="V1287" s="358"/>
      <c r="W1287" s="358"/>
      <c r="X1287" s="358"/>
      <c r="Y1287" s="358"/>
      <c r="Z1287" s="358"/>
    </row>
    <row r="1288" ht="14.25" customHeight="1">
      <c r="A1288" s="358"/>
      <c r="B1288" s="399"/>
      <c r="C1288" s="399"/>
      <c r="D1288" s="399"/>
      <c r="E1288" s="399"/>
      <c r="F1288" s="400"/>
      <c r="G1288" s="273"/>
      <c r="H1288" s="273"/>
      <c r="I1288" s="358"/>
      <c r="J1288" s="358"/>
      <c r="K1288" s="358"/>
      <c r="L1288" s="358"/>
      <c r="M1288" s="358"/>
      <c r="N1288" s="358"/>
      <c r="O1288" s="358"/>
      <c r="P1288" s="358"/>
      <c r="Q1288" s="358"/>
      <c r="R1288" s="358"/>
      <c r="S1288" s="358"/>
      <c r="T1288" s="358"/>
      <c r="U1288" s="358"/>
      <c r="V1288" s="358"/>
      <c r="W1288" s="358"/>
      <c r="X1288" s="358"/>
      <c r="Y1288" s="358"/>
      <c r="Z1288" s="358"/>
    </row>
    <row r="1289" ht="14.25" customHeight="1">
      <c r="A1289" s="358"/>
      <c r="B1289" s="399"/>
      <c r="C1289" s="399"/>
      <c r="D1289" s="399"/>
      <c r="E1289" s="399"/>
      <c r="F1289" s="400"/>
      <c r="G1289" s="273"/>
      <c r="H1289" s="273"/>
      <c r="I1289" s="358"/>
      <c r="J1289" s="358"/>
      <c r="K1289" s="358"/>
      <c r="L1289" s="358"/>
      <c r="M1289" s="358"/>
      <c r="N1289" s="358"/>
      <c r="O1289" s="358"/>
      <c r="P1289" s="358"/>
      <c r="Q1289" s="358"/>
      <c r="R1289" s="358"/>
      <c r="S1289" s="358"/>
      <c r="T1289" s="358"/>
      <c r="U1289" s="358"/>
      <c r="V1289" s="358"/>
      <c r="W1289" s="358"/>
      <c r="X1289" s="358"/>
      <c r="Y1289" s="358"/>
      <c r="Z1289" s="358"/>
    </row>
    <row r="1290" ht="14.25" customHeight="1">
      <c r="A1290" s="358"/>
      <c r="B1290" s="399"/>
      <c r="C1290" s="399"/>
      <c r="D1290" s="399"/>
      <c r="E1290" s="399"/>
      <c r="F1290" s="400"/>
      <c r="G1290" s="273"/>
      <c r="H1290" s="273"/>
      <c r="I1290" s="358"/>
      <c r="J1290" s="358"/>
      <c r="K1290" s="358"/>
      <c r="L1290" s="358"/>
      <c r="M1290" s="358"/>
      <c r="N1290" s="358"/>
      <c r="O1290" s="358"/>
      <c r="P1290" s="358"/>
      <c r="Q1290" s="358"/>
      <c r="R1290" s="358"/>
      <c r="S1290" s="358"/>
      <c r="T1290" s="358"/>
      <c r="U1290" s="358"/>
      <c r="V1290" s="358"/>
      <c r="W1290" s="358"/>
      <c r="X1290" s="358"/>
      <c r="Y1290" s="358"/>
      <c r="Z1290" s="358"/>
    </row>
    <row r="1291" ht="14.25" customHeight="1">
      <c r="A1291" s="358"/>
      <c r="B1291" s="399"/>
      <c r="C1291" s="399"/>
      <c r="D1291" s="399"/>
      <c r="E1291" s="399"/>
      <c r="F1291" s="400"/>
      <c r="G1291" s="273"/>
      <c r="H1291" s="273"/>
      <c r="I1291" s="358"/>
      <c r="J1291" s="358"/>
      <c r="K1291" s="358"/>
      <c r="L1291" s="358"/>
      <c r="M1291" s="358"/>
      <c r="N1291" s="358"/>
      <c r="O1291" s="358"/>
      <c r="P1291" s="358"/>
      <c r="Q1291" s="358"/>
      <c r="R1291" s="358"/>
      <c r="S1291" s="358"/>
      <c r="T1291" s="358"/>
      <c r="U1291" s="358"/>
      <c r="V1291" s="358"/>
      <c r="W1291" s="358"/>
      <c r="X1291" s="358"/>
      <c r="Y1291" s="358"/>
      <c r="Z1291" s="358"/>
    </row>
    <row r="1292" ht="14.25" customHeight="1">
      <c r="A1292" s="358"/>
      <c r="B1292" s="399"/>
      <c r="C1292" s="399"/>
      <c r="D1292" s="399"/>
      <c r="E1292" s="399"/>
      <c r="F1292" s="400"/>
      <c r="G1292" s="273"/>
      <c r="H1292" s="273"/>
      <c r="I1292" s="358"/>
      <c r="J1292" s="358"/>
      <c r="K1292" s="358"/>
      <c r="L1292" s="358"/>
      <c r="M1292" s="358"/>
      <c r="N1292" s="358"/>
      <c r="O1292" s="358"/>
      <c r="P1292" s="358"/>
      <c r="Q1292" s="358"/>
      <c r="R1292" s="358"/>
      <c r="S1292" s="358"/>
      <c r="T1292" s="358"/>
      <c r="U1292" s="358"/>
      <c r="V1292" s="358"/>
      <c r="W1292" s="358"/>
      <c r="X1292" s="358"/>
      <c r="Y1292" s="358"/>
      <c r="Z1292" s="358"/>
    </row>
    <row r="1293" ht="14.25" customHeight="1">
      <c r="A1293" s="358"/>
      <c r="B1293" s="399"/>
      <c r="C1293" s="399"/>
      <c r="D1293" s="399"/>
      <c r="E1293" s="399"/>
      <c r="F1293" s="400"/>
      <c r="G1293" s="273"/>
      <c r="H1293" s="273"/>
      <c r="I1293" s="358"/>
      <c r="J1293" s="358"/>
      <c r="K1293" s="358"/>
      <c r="L1293" s="358"/>
      <c r="M1293" s="358"/>
      <c r="N1293" s="358"/>
      <c r="O1293" s="358"/>
      <c r="P1293" s="358"/>
      <c r="Q1293" s="358"/>
      <c r="R1293" s="358"/>
      <c r="S1293" s="358"/>
      <c r="T1293" s="358"/>
      <c r="U1293" s="358"/>
      <c r="V1293" s="358"/>
      <c r="W1293" s="358"/>
      <c r="X1293" s="358"/>
      <c r="Y1293" s="358"/>
      <c r="Z1293" s="358"/>
    </row>
    <row r="1294" ht="14.25" customHeight="1">
      <c r="A1294" s="358"/>
      <c r="B1294" s="399"/>
      <c r="C1294" s="399"/>
      <c r="D1294" s="399"/>
      <c r="E1294" s="399"/>
      <c r="F1294" s="400"/>
      <c r="G1294" s="273"/>
      <c r="H1294" s="273"/>
      <c r="I1294" s="358"/>
      <c r="J1294" s="358"/>
      <c r="K1294" s="358"/>
      <c r="L1294" s="358"/>
      <c r="M1294" s="358"/>
      <c r="N1294" s="358"/>
      <c r="O1294" s="358"/>
      <c r="P1294" s="358"/>
      <c r="Q1294" s="358"/>
      <c r="R1294" s="358"/>
      <c r="S1294" s="358"/>
      <c r="T1294" s="358"/>
      <c r="U1294" s="358"/>
      <c r="V1294" s="358"/>
      <c r="W1294" s="358"/>
      <c r="X1294" s="358"/>
      <c r="Y1294" s="358"/>
      <c r="Z1294" s="358"/>
    </row>
    <row r="1295" ht="14.25" customHeight="1">
      <c r="A1295" s="358"/>
      <c r="B1295" s="399"/>
      <c r="C1295" s="399"/>
      <c r="D1295" s="399"/>
      <c r="E1295" s="399"/>
      <c r="F1295" s="400"/>
      <c r="G1295" s="273"/>
      <c r="H1295" s="273"/>
      <c r="I1295" s="358"/>
      <c r="J1295" s="358"/>
      <c r="K1295" s="358"/>
      <c r="L1295" s="358"/>
      <c r="M1295" s="358"/>
      <c r="N1295" s="358"/>
      <c r="O1295" s="358"/>
      <c r="P1295" s="358"/>
      <c r="Q1295" s="358"/>
      <c r="R1295" s="358"/>
      <c r="S1295" s="358"/>
      <c r="T1295" s="358"/>
      <c r="U1295" s="358"/>
      <c r="V1295" s="358"/>
      <c r="W1295" s="358"/>
      <c r="X1295" s="358"/>
      <c r="Y1295" s="358"/>
      <c r="Z1295" s="358"/>
    </row>
    <row r="1296" ht="14.25" customHeight="1">
      <c r="A1296" s="358"/>
      <c r="B1296" s="399"/>
      <c r="C1296" s="399"/>
      <c r="D1296" s="399"/>
      <c r="E1296" s="399"/>
      <c r="F1296" s="400"/>
      <c r="G1296" s="273"/>
      <c r="H1296" s="273"/>
      <c r="I1296" s="358"/>
      <c r="J1296" s="358"/>
      <c r="K1296" s="358"/>
      <c r="L1296" s="358"/>
      <c r="M1296" s="358"/>
      <c r="N1296" s="358"/>
      <c r="O1296" s="358"/>
      <c r="P1296" s="358"/>
      <c r="Q1296" s="358"/>
      <c r="R1296" s="358"/>
      <c r="S1296" s="358"/>
      <c r="T1296" s="358"/>
      <c r="U1296" s="358"/>
      <c r="V1296" s="358"/>
      <c r="W1296" s="358"/>
      <c r="X1296" s="358"/>
      <c r="Y1296" s="358"/>
      <c r="Z1296" s="358"/>
    </row>
    <row r="1297" ht="14.25" customHeight="1">
      <c r="A1297" s="358"/>
      <c r="B1297" s="399"/>
      <c r="C1297" s="399"/>
      <c r="D1297" s="399"/>
      <c r="E1297" s="399"/>
      <c r="F1297" s="400"/>
      <c r="G1297" s="273"/>
      <c r="H1297" s="273"/>
      <c r="I1297" s="358"/>
      <c r="J1297" s="358"/>
      <c r="K1297" s="358"/>
      <c r="L1297" s="358"/>
      <c r="M1297" s="358"/>
      <c r="N1297" s="358"/>
      <c r="O1297" s="358"/>
      <c r="P1297" s="358"/>
      <c r="Q1297" s="358"/>
      <c r="R1297" s="358"/>
      <c r="S1297" s="358"/>
      <c r="T1297" s="358"/>
      <c r="U1297" s="358"/>
      <c r="V1297" s="358"/>
      <c r="W1297" s="358"/>
      <c r="X1297" s="358"/>
      <c r="Y1297" s="358"/>
      <c r="Z1297" s="358"/>
    </row>
    <row r="1298" ht="14.25" customHeight="1">
      <c r="A1298" s="358"/>
      <c r="B1298" s="399"/>
      <c r="C1298" s="399"/>
      <c r="D1298" s="399"/>
      <c r="E1298" s="399"/>
      <c r="F1298" s="400"/>
      <c r="G1298" s="273"/>
      <c r="H1298" s="273"/>
      <c r="I1298" s="358"/>
      <c r="J1298" s="358"/>
      <c r="K1298" s="358"/>
      <c r="L1298" s="358"/>
      <c r="M1298" s="358"/>
      <c r="N1298" s="358"/>
      <c r="O1298" s="358"/>
      <c r="P1298" s="358"/>
      <c r="Q1298" s="358"/>
      <c r="R1298" s="358"/>
      <c r="S1298" s="358"/>
      <c r="T1298" s="358"/>
      <c r="U1298" s="358"/>
      <c r="V1298" s="358"/>
      <c r="W1298" s="358"/>
      <c r="X1298" s="358"/>
      <c r="Y1298" s="358"/>
      <c r="Z1298" s="358"/>
    </row>
    <row r="1299" ht="14.25" customHeight="1">
      <c r="A1299" s="358"/>
      <c r="B1299" s="399"/>
      <c r="C1299" s="399"/>
      <c r="D1299" s="399"/>
      <c r="E1299" s="399"/>
      <c r="F1299" s="400"/>
      <c r="G1299" s="273"/>
      <c r="H1299" s="273"/>
      <c r="I1299" s="358"/>
      <c r="J1299" s="358"/>
      <c r="K1299" s="358"/>
      <c r="L1299" s="358"/>
      <c r="M1299" s="358"/>
      <c r="N1299" s="358"/>
      <c r="O1299" s="358"/>
      <c r="P1299" s="358"/>
      <c r="Q1299" s="358"/>
      <c r="R1299" s="358"/>
      <c r="S1299" s="358"/>
      <c r="T1299" s="358"/>
      <c r="U1299" s="358"/>
      <c r="V1299" s="358"/>
      <c r="W1299" s="358"/>
      <c r="X1299" s="358"/>
      <c r="Y1299" s="358"/>
      <c r="Z1299" s="358"/>
    </row>
    <row r="1300" ht="14.25" customHeight="1">
      <c r="A1300" s="358"/>
      <c r="B1300" s="399"/>
      <c r="C1300" s="399"/>
      <c r="D1300" s="399"/>
      <c r="E1300" s="399"/>
      <c r="F1300" s="400"/>
      <c r="G1300" s="273"/>
      <c r="H1300" s="273"/>
      <c r="I1300" s="358"/>
      <c r="J1300" s="358"/>
      <c r="K1300" s="358"/>
      <c r="L1300" s="358"/>
      <c r="M1300" s="358"/>
      <c r="N1300" s="358"/>
      <c r="O1300" s="358"/>
      <c r="P1300" s="358"/>
      <c r="Q1300" s="358"/>
      <c r="R1300" s="358"/>
      <c r="S1300" s="358"/>
      <c r="T1300" s="358"/>
      <c r="U1300" s="358"/>
      <c r="V1300" s="358"/>
      <c r="W1300" s="358"/>
      <c r="X1300" s="358"/>
      <c r="Y1300" s="358"/>
      <c r="Z1300" s="358"/>
    </row>
    <row r="1301" ht="14.25" customHeight="1">
      <c r="A1301" s="358"/>
      <c r="B1301" s="399"/>
      <c r="C1301" s="399"/>
      <c r="D1301" s="399"/>
      <c r="E1301" s="399"/>
      <c r="F1301" s="400"/>
      <c r="G1301" s="273"/>
      <c r="H1301" s="273"/>
      <c r="I1301" s="358"/>
      <c r="J1301" s="358"/>
      <c r="K1301" s="358"/>
      <c r="L1301" s="358"/>
      <c r="M1301" s="358"/>
      <c r="N1301" s="358"/>
      <c r="O1301" s="358"/>
      <c r="P1301" s="358"/>
      <c r="Q1301" s="358"/>
      <c r="R1301" s="358"/>
      <c r="S1301" s="358"/>
      <c r="T1301" s="358"/>
      <c r="U1301" s="358"/>
      <c r="V1301" s="358"/>
      <c r="W1301" s="358"/>
      <c r="X1301" s="358"/>
      <c r="Y1301" s="358"/>
      <c r="Z1301" s="358"/>
    </row>
    <row r="1302" ht="14.25" customHeight="1">
      <c r="A1302" s="358"/>
      <c r="B1302" s="399"/>
      <c r="C1302" s="399"/>
      <c r="D1302" s="399"/>
      <c r="E1302" s="399"/>
      <c r="F1302" s="400"/>
      <c r="G1302" s="273"/>
      <c r="H1302" s="273"/>
      <c r="I1302" s="358"/>
      <c r="J1302" s="358"/>
      <c r="K1302" s="358"/>
      <c r="L1302" s="358"/>
      <c r="M1302" s="358"/>
      <c r="N1302" s="358"/>
      <c r="O1302" s="358"/>
      <c r="P1302" s="358"/>
      <c r="Q1302" s="358"/>
      <c r="R1302" s="358"/>
      <c r="S1302" s="358"/>
      <c r="T1302" s="358"/>
      <c r="U1302" s="358"/>
      <c r="V1302" s="358"/>
      <c r="W1302" s="358"/>
      <c r="X1302" s="358"/>
      <c r="Y1302" s="358"/>
      <c r="Z1302" s="358"/>
    </row>
    <row r="1303" ht="14.25" customHeight="1">
      <c r="A1303" s="358"/>
      <c r="B1303" s="399"/>
      <c r="C1303" s="399"/>
      <c r="D1303" s="399"/>
      <c r="E1303" s="399"/>
      <c r="F1303" s="400"/>
      <c r="G1303" s="273"/>
      <c r="H1303" s="273"/>
      <c r="I1303" s="358"/>
      <c r="J1303" s="358"/>
      <c r="K1303" s="358"/>
      <c r="L1303" s="358"/>
      <c r="M1303" s="358"/>
      <c r="N1303" s="358"/>
      <c r="O1303" s="358"/>
      <c r="P1303" s="358"/>
      <c r="Q1303" s="358"/>
      <c r="R1303" s="358"/>
      <c r="S1303" s="358"/>
      <c r="T1303" s="358"/>
      <c r="U1303" s="358"/>
      <c r="V1303" s="358"/>
      <c r="W1303" s="358"/>
      <c r="X1303" s="358"/>
      <c r="Y1303" s="358"/>
      <c r="Z1303" s="358"/>
    </row>
    <row r="1304" ht="14.25" customHeight="1">
      <c r="A1304" s="358"/>
      <c r="B1304" s="399"/>
      <c r="C1304" s="399"/>
      <c r="D1304" s="399"/>
      <c r="E1304" s="399"/>
      <c r="F1304" s="400"/>
      <c r="G1304" s="273"/>
      <c r="H1304" s="273"/>
      <c r="I1304" s="358"/>
      <c r="J1304" s="358"/>
      <c r="K1304" s="358"/>
      <c r="L1304" s="358"/>
      <c r="M1304" s="358"/>
      <c r="N1304" s="358"/>
      <c r="O1304" s="358"/>
      <c r="P1304" s="358"/>
      <c r="Q1304" s="358"/>
      <c r="R1304" s="358"/>
      <c r="S1304" s="358"/>
      <c r="T1304" s="358"/>
      <c r="U1304" s="358"/>
      <c r="V1304" s="358"/>
      <c r="W1304" s="358"/>
      <c r="X1304" s="358"/>
      <c r="Y1304" s="358"/>
      <c r="Z1304" s="358"/>
    </row>
    <row r="1305" ht="14.25" customHeight="1">
      <c r="A1305" s="358"/>
      <c r="B1305" s="399"/>
      <c r="C1305" s="399"/>
      <c r="D1305" s="399"/>
      <c r="E1305" s="399"/>
      <c r="F1305" s="400"/>
      <c r="G1305" s="273"/>
      <c r="H1305" s="273"/>
      <c r="I1305" s="358"/>
      <c r="J1305" s="358"/>
      <c r="K1305" s="358"/>
      <c r="L1305" s="358"/>
      <c r="M1305" s="358"/>
      <c r="N1305" s="358"/>
      <c r="O1305" s="358"/>
      <c r="P1305" s="358"/>
      <c r="Q1305" s="358"/>
      <c r="R1305" s="358"/>
      <c r="S1305" s="358"/>
      <c r="T1305" s="358"/>
      <c r="U1305" s="358"/>
      <c r="V1305" s="358"/>
      <c r="W1305" s="358"/>
      <c r="X1305" s="358"/>
      <c r="Y1305" s="358"/>
      <c r="Z1305" s="358"/>
    </row>
    <row r="1306" ht="14.25" customHeight="1">
      <c r="A1306" s="358"/>
      <c r="B1306" s="399"/>
      <c r="C1306" s="399"/>
      <c r="D1306" s="399"/>
      <c r="E1306" s="399"/>
      <c r="F1306" s="400"/>
      <c r="G1306" s="273"/>
      <c r="H1306" s="273"/>
      <c r="I1306" s="358"/>
      <c r="J1306" s="358"/>
      <c r="K1306" s="358"/>
      <c r="L1306" s="358"/>
      <c r="M1306" s="358"/>
      <c r="N1306" s="358"/>
      <c r="O1306" s="358"/>
      <c r="P1306" s="358"/>
      <c r="Q1306" s="358"/>
      <c r="R1306" s="358"/>
      <c r="S1306" s="358"/>
      <c r="T1306" s="358"/>
      <c r="U1306" s="358"/>
      <c r="V1306" s="358"/>
      <c r="W1306" s="358"/>
      <c r="X1306" s="358"/>
      <c r="Y1306" s="358"/>
      <c r="Z1306" s="358"/>
    </row>
    <row r="1307" ht="14.25" customHeight="1">
      <c r="A1307" s="358"/>
      <c r="B1307" s="399"/>
      <c r="C1307" s="399"/>
      <c r="D1307" s="399"/>
      <c r="E1307" s="399"/>
      <c r="F1307" s="400"/>
      <c r="G1307" s="273"/>
      <c r="H1307" s="273"/>
      <c r="I1307" s="358"/>
      <c r="J1307" s="358"/>
      <c r="K1307" s="358"/>
      <c r="L1307" s="358"/>
      <c r="M1307" s="358"/>
      <c r="N1307" s="358"/>
      <c r="O1307" s="358"/>
      <c r="P1307" s="358"/>
      <c r="Q1307" s="358"/>
      <c r="R1307" s="358"/>
      <c r="S1307" s="358"/>
      <c r="T1307" s="358"/>
      <c r="U1307" s="358"/>
      <c r="V1307" s="358"/>
      <c r="W1307" s="358"/>
      <c r="X1307" s="358"/>
      <c r="Y1307" s="358"/>
      <c r="Z1307" s="358"/>
    </row>
    <row r="1308" ht="14.25" customHeight="1">
      <c r="A1308" s="358"/>
      <c r="B1308" s="399"/>
      <c r="C1308" s="399"/>
      <c r="D1308" s="399"/>
      <c r="E1308" s="399"/>
      <c r="F1308" s="400"/>
      <c r="G1308" s="273"/>
      <c r="H1308" s="273"/>
      <c r="I1308" s="358"/>
      <c r="J1308" s="358"/>
      <c r="K1308" s="358"/>
      <c r="L1308" s="358"/>
      <c r="M1308" s="358"/>
      <c r="N1308" s="358"/>
      <c r="O1308" s="358"/>
      <c r="P1308" s="358"/>
      <c r="Q1308" s="358"/>
      <c r="R1308" s="358"/>
      <c r="S1308" s="358"/>
      <c r="T1308" s="358"/>
      <c r="U1308" s="358"/>
      <c r="V1308" s="358"/>
      <c r="W1308" s="358"/>
      <c r="X1308" s="358"/>
      <c r="Y1308" s="358"/>
      <c r="Z1308" s="358"/>
    </row>
    <row r="1309" ht="14.25" customHeight="1">
      <c r="A1309" s="358"/>
      <c r="B1309" s="399"/>
      <c r="C1309" s="399"/>
      <c r="D1309" s="399"/>
      <c r="E1309" s="399"/>
      <c r="F1309" s="400"/>
      <c r="G1309" s="273"/>
      <c r="H1309" s="273"/>
      <c r="I1309" s="358"/>
      <c r="J1309" s="358"/>
      <c r="K1309" s="358"/>
      <c r="L1309" s="358"/>
      <c r="M1309" s="358"/>
      <c r="N1309" s="358"/>
      <c r="O1309" s="358"/>
      <c r="P1309" s="358"/>
      <c r="Q1309" s="358"/>
      <c r="R1309" s="358"/>
      <c r="S1309" s="358"/>
      <c r="T1309" s="358"/>
      <c r="U1309" s="358"/>
      <c r="V1309" s="358"/>
      <c r="W1309" s="358"/>
      <c r="X1309" s="358"/>
      <c r="Y1309" s="358"/>
      <c r="Z1309" s="358"/>
    </row>
    <row r="1310" ht="14.25" customHeight="1">
      <c r="A1310" s="358"/>
      <c r="B1310" s="399"/>
      <c r="C1310" s="399"/>
      <c r="D1310" s="399"/>
      <c r="E1310" s="399"/>
      <c r="F1310" s="400"/>
      <c r="G1310" s="273"/>
      <c r="H1310" s="273"/>
      <c r="I1310" s="358"/>
      <c r="J1310" s="358"/>
      <c r="K1310" s="358"/>
      <c r="L1310" s="358"/>
      <c r="M1310" s="358"/>
      <c r="N1310" s="358"/>
      <c r="O1310" s="358"/>
      <c r="P1310" s="358"/>
      <c r="Q1310" s="358"/>
      <c r="R1310" s="358"/>
      <c r="S1310" s="358"/>
      <c r="T1310" s="358"/>
      <c r="U1310" s="358"/>
      <c r="V1310" s="358"/>
      <c r="W1310" s="358"/>
      <c r="X1310" s="358"/>
      <c r="Y1310" s="358"/>
      <c r="Z1310" s="358"/>
    </row>
    <row r="1311" ht="14.25" customHeight="1">
      <c r="A1311" s="358"/>
      <c r="B1311" s="399"/>
      <c r="C1311" s="399"/>
      <c r="D1311" s="399"/>
      <c r="E1311" s="399"/>
      <c r="F1311" s="400"/>
      <c r="G1311" s="273"/>
      <c r="H1311" s="273"/>
      <c r="I1311" s="358"/>
      <c r="J1311" s="358"/>
      <c r="K1311" s="358"/>
      <c r="L1311" s="358"/>
      <c r="M1311" s="358"/>
      <c r="N1311" s="358"/>
      <c r="O1311" s="358"/>
      <c r="P1311" s="358"/>
      <c r="Q1311" s="358"/>
      <c r="R1311" s="358"/>
      <c r="S1311" s="358"/>
      <c r="T1311" s="358"/>
      <c r="U1311" s="358"/>
      <c r="V1311" s="358"/>
      <c r="W1311" s="358"/>
      <c r="X1311" s="358"/>
      <c r="Y1311" s="358"/>
      <c r="Z1311" s="358"/>
    </row>
    <row r="1312" ht="14.25" customHeight="1">
      <c r="A1312" s="358"/>
      <c r="B1312" s="399"/>
      <c r="C1312" s="399"/>
      <c r="D1312" s="399"/>
      <c r="E1312" s="399"/>
      <c r="F1312" s="400"/>
      <c r="G1312" s="273"/>
      <c r="H1312" s="273"/>
      <c r="I1312" s="358"/>
      <c r="J1312" s="358"/>
      <c r="K1312" s="358"/>
      <c r="L1312" s="358"/>
      <c r="M1312" s="358"/>
      <c r="N1312" s="358"/>
      <c r="O1312" s="358"/>
      <c r="P1312" s="358"/>
      <c r="Q1312" s="358"/>
      <c r="R1312" s="358"/>
      <c r="S1312" s="358"/>
      <c r="T1312" s="358"/>
      <c r="U1312" s="358"/>
      <c r="V1312" s="358"/>
      <c r="W1312" s="358"/>
      <c r="X1312" s="358"/>
      <c r="Y1312" s="358"/>
      <c r="Z1312" s="358"/>
    </row>
    <row r="1313" ht="14.25" customHeight="1">
      <c r="A1313" s="358"/>
      <c r="B1313" s="399"/>
      <c r="C1313" s="399"/>
      <c r="D1313" s="399"/>
      <c r="E1313" s="399"/>
      <c r="F1313" s="400"/>
      <c r="G1313" s="273"/>
      <c r="H1313" s="273"/>
      <c r="I1313" s="358"/>
      <c r="J1313" s="358"/>
      <c r="K1313" s="358"/>
      <c r="L1313" s="358"/>
      <c r="M1313" s="358"/>
      <c r="N1313" s="358"/>
      <c r="O1313" s="358"/>
      <c r="P1313" s="358"/>
      <c r="Q1313" s="358"/>
      <c r="R1313" s="358"/>
      <c r="S1313" s="358"/>
      <c r="T1313" s="358"/>
      <c r="U1313" s="358"/>
      <c r="V1313" s="358"/>
      <c r="W1313" s="358"/>
      <c r="X1313" s="358"/>
      <c r="Y1313" s="358"/>
      <c r="Z1313" s="358"/>
    </row>
    <row r="1314" ht="14.25" customHeight="1">
      <c r="A1314" s="358"/>
      <c r="B1314" s="399"/>
      <c r="C1314" s="399"/>
      <c r="D1314" s="399"/>
      <c r="E1314" s="399"/>
      <c r="F1314" s="400"/>
      <c r="G1314" s="273"/>
      <c r="H1314" s="273"/>
      <c r="I1314" s="358"/>
      <c r="J1314" s="358"/>
      <c r="K1314" s="358"/>
      <c r="L1314" s="358"/>
      <c r="M1314" s="358"/>
      <c r="N1314" s="358"/>
      <c r="O1314" s="358"/>
      <c r="P1314" s="358"/>
      <c r="Q1314" s="358"/>
      <c r="R1314" s="358"/>
      <c r="S1314" s="358"/>
      <c r="T1314" s="358"/>
      <c r="U1314" s="358"/>
      <c r="V1314" s="358"/>
      <c r="W1314" s="358"/>
      <c r="X1314" s="358"/>
      <c r="Y1314" s="358"/>
      <c r="Z1314" s="358"/>
    </row>
    <row r="1315" ht="14.25" customHeight="1">
      <c r="A1315" s="358"/>
      <c r="B1315" s="399"/>
      <c r="C1315" s="399"/>
      <c r="D1315" s="399"/>
      <c r="E1315" s="399"/>
      <c r="F1315" s="400"/>
      <c r="G1315" s="273"/>
      <c r="H1315" s="273"/>
      <c r="I1315" s="358"/>
      <c r="J1315" s="358"/>
      <c r="K1315" s="358"/>
      <c r="L1315" s="358"/>
      <c r="M1315" s="358"/>
      <c r="N1315" s="358"/>
      <c r="O1315" s="358"/>
      <c r="P1315" s="358"/>
      <c r="Q1315" s="358"/>
      <c r="R1315" s="358"/>
      <c r="S1315" s="358"/>
      <c r="T1315" s="358"/>
      <c r="U1315" s="358"/>
      <c r="V1315" s="358"/>
      <c r="W1315" s="358"/>
      <c r="X1315" s="358"/>
      <c r="Y1315" s="358"/>
      <c r="Z1315" s="358"/>
    </row>
    <row r="1316" ht="14.25" customHeight="1">
      <c r="A1316" s="358"/>
      <c r="B1316" s="399"/>
      <c r="C1316" s="399"/>
      <c r="D1316" s="399"/>
      <c r="E1316" s="399"/>
      <c r="F1316" s="400"/>
      <c r="G1316" s="273"/>
      <c r="H1316" s="273"/>
      <c r="I1316" s="358"/>
      <c r="J1316" s="358"/>
      <c r="K1316" s="358"/>
      <c r="L1316" s="358"/>
      <c r="M1316" s="358"/>
      <c r="N1316" s="358"/>
      <c r="O1316" s="358"/>
      <c r="P1316" s="358"/>
      <c r="Q1316" s="358"/>
      <c r="R1316" s="358"/>
      <c r="S1316" s="358"/>
      <c r="T1316" s="358"/>
      <c r="U1316" s="358"/>
      <c r="V1316" s="358"/>
      <c r="W1316" s="358"/>
      <c r="X1316" s="358"/>
      <c r="Y1316" s="358"/>
      <c r="Z1316" s="358"/>
    </row>
    <row r="1317" ht="14.25" customHeight="1">
      <c r="A1317" s="358"/>
      <c r="B1317" s="399"/>
      <c r="C1317" s="399"/>
      <c r="D1317" s="399"/>
      <c r="E1317" s="399"/>
      <c r="F1317" s="400"/>
      <c r="G1317" s="273"/>
      <c r="H1317" s="273"/>
      <c r="I1317" s="358"/>
      <c r="J1317" s="358"/>
      <c r="K1317" s="358"/>
      <c r="L1317" s="358"/>
      <c r="M1317" s="358"/>
      <c r="N1317" s="358"/>
      <c r="O1317" s="358"/>
      <c r="P1317" s="358"/>
      <c r="Q1317" s="358"/>
      <c r="R1317" s="358"/>
      <c r="S1317" s="358"/>
      <c r="T1317" s="358"/>
      <c r="U1317" s="358"/>
      <c r="V1317" s="358"/>
      <c r="W1317" s="358"/>
      <c r="X1317" s="358"/>
      <c r="Y1317" s="358"/>
      <c r="Z1317" s="358"/>
    </row>
    <row r="1318" ht="14.25" customHeight="1">
      <c r="A1318" s="358"/>
      <c r="B1318" s="399"/>
      <c r="C1318" s="399"/>
      <c r="D1318" s="399"/>
      <c r="E1318" s="399"/>
      <c r="F1318" s="400"/>
      <c r="G1318" s="273"/>
      <c r="H1318" s="273"/>
      <c r="I1318" s="358"/>
      <c r="J1318" s="358"/>
      <c r="K1318" s="358"/>
      <c r="L1318" s="358"/>
      <c r="M1318" s="358"/>
      <c r="N1318" s="358"/>
      <c r="O1318" s="358"/>
      <c r="P1318" s="358"/>
      <c r="Q1318" s="358"/>
      <c r="R1318" s="358"/>
      <c r="S1318" s="358"/>
      <c r="T1318" s="358"/>
      <c r="U1318" s="358"/>
      <c r="V1318" s="358"/>
      <c r="W1318" s="358"/>
      <c r="X1318" s="358"/>
      <c r="Y1318" s="358"/>
      <c r="Z1318" s="358"/>
    </row>
    <row r="1319" ht="14.25" customHeight="1">
      <c r="A1319" s="358"/>
      <c r="B1319" s="399"/>
      <c r="C1319" s="399"/>
      <c r="D1319" s="399"/>
      <c r="E1319" s="399"/>
      <c r="F1319" s="400"/>
      <c r="G1319" s="273"/>
      <c r="H1319" s="273"/>
      <c r="I1319" s="358"/>
      <c r="J1319" s="358"/>
      <c r="K1319" s="358"/>
      <c r="L1319" s="358"/>
      <c r="M1319" s="358"/>
      <c r="N1319" s="358"/>
      <c r="O1319" s="358"/>
      <c r="P1319" s="358"/>
      <c r="Q1319" s="358"/>
      <c r="R1319" s="358"/>
      <c r="S1319" s="358"/>
      <c r="T1319" s="358"/>
      <c r="U1319" s="358"/>
      <c r="V1319" s="358"/>
      <c r="W1319" s="358"/>
      <c r="X1319" s="358"/>
      <c r="Y1319" s="358"/>
      <c r="Z1319" s="358"/>
    </row>
    <row r="1320" ht="14.25" customHeight="1">
      <c r="A1320" s="358"/>
      <c r="B1320" s="399"/>
      <c r="C1320" s="399"/>
      <c r="D1320" s="399"/>
      <c r="E1320" s="399"/>
      <c r="F1320" s="400"/>
      <c r="G1320" s="273"/>
      <c r="H1320" s="273"/>
      <c r="I1320" s="358"/>
      <c r="J1320" s="358"/>
      <c r="K1320" s="358"/>
      <c r="L1320" s="358"/>
      <c r="M1320" s="358"/>
      <c r="N1320" s="358"/>
      <c r="O1320" s="358"/>
      <c r="P1320" s="358"/>
      <c r="Q1320" s="358"/>
      <c r="R1320" s="358"/>
      <c r="S1320" s="358"/>
      <c r="T1320" s="358"/>
      <c r="U1320" s="358"/>
      <c r="V1320" s="358"/>
      <c r="W1320" s="358"/>
      <c r="X1320" s="358"/>
      <c r="Y1320" s="358"/>
      <c r="Z1320" s="358"/>
    </row>
    <row r="1321" ht="14.25" customHeight="1">
      <c r="A1321" s="358"/>
      <c r="B1321" s="399"/>
      <c r="C1321" s="399"/>
      <c r="D1321" s="399"/>
      <c r="E1321" s="399"/>
      <c r="F1321" s="400"/>
      <c r="G1321" s="273"/>
      <c r="H1321" s="273"/>
      <c r="I1321" s="358"/>
      <c r="J1321" s="358"/>
      <c r="K1321" s="358"/>
      <c r="L1321" s="358"/>
      <c r="M1321" s="358"/>
      <c r="N1321" s="358"/>
      <c r="O1321" s="358"/>
      <c r="P1321" s="358"/>
      <c r="Q1321" s="358"/>
      <c r="R1321" s="358"/>
      <c r="S1321" s="358"/>
      <c r="T1321" s="358"/>
      <c r="U1321" s="358"/>
      <c r="V1321" s="358"/>
      <c r="W1321" s="358"/>
      <c r="X1321" s="358"/>
      <c r="Y1321" s="358"/>
      <c r="Z1321" s="358"/>
    </row>
    <row r="1322" ht="14.25" customHeight="1">
      <c r="A1322" s="358"/>
      <c r="B1322" s="399"/>
      <c r="C1322" s="399"/>
      <c r="D1322" s="399"/>
      <c r="E1322" s="399"/>
      <c r="F1322" s="400"/>
      <c r="G1322" s="273"/>
      <c r="H1322" s="273"/>
      <c r="I1322" s="358"/>
      <c r="J1322" s="358"/>
      <c r="K1322" s="358"/>
      <c r="L1322" s="358"/>
      <c r="M1322" s="358"/>
      <c r="N1322" s="358"/>
      <c r="O1322" s="358"/>
      <c r="P1322" s="358"/>
      <c r="Q1322" s="358"/>
      <c r="R1322" s="358"/>
      <c r="S1322" s="358"/>
      <c r="T1322" s="358"/>
      <c r="U1322" s="358"/>
      <c r="V1322" s="358"/>
      <c r="W1322" s="358"/>
      <c r="X1322" s="358"/>
      <c r="Y1322" s="358"/>
      <c r="Z1322" s="358"/>
    </row>
    <row r="1323" ht="14.25" customHeight="1">
      <c r="A1323" s="358"/>
      <c r="B1323" s="399"/>
      <c r="C1323" s="399"/>
      <c r="D1323" s="399"/>
      <c r="E1323" s="399"/>
      <c r="F1323" s="400"/>
      <c r="G1323" s="273"/>
      <c r="H1323" s="273"/>
      <c r="I1323" s="358"/>
      <c r="J1323" s="358"/>
      <c r="K1323" s="358"/>
      <c r="L1323" s="358"/>
      <c r="M1323" s="358"/>
      <c r="N1323" s="358"/>
      <c r="O1323" s="358"/>
      <c r="P1323" s="358"/>
      <c r="Q1323" s="358"/>
      <c r="R1323" s="358"/>
      <c r="S1323" s="358"/>
      <c r="T1323" s="358"/>
      <c r="U1323" s="358"/>
      <c r="V1323" s="358"/>
      <c r="W1323" s="358"/>
      <c r="X1323" s="358"/>
      <c r="Y1323" s="358"/>
      <c r="Z1323" s="358"/>
    </row>
    <row r="1324" ht="14.25" customHeight="1">
      <c r="A1324" s="358"/>
      <c r="B1324" s="399"/>
      <c r="C1324" s="399"/>
      <c r="D1324" s="399"/>
      <c r="E1324" s="399"/>
      <c r="F1324" s="400"/>
      <c r="G1324" s="273"/>
      <c r="H1324" s="273"/>
      <c r="I1324" s="358"/>
      <c r="J1324" s="358"/>
      <c r="K1324" s="358"/>
      <c r="L1324" s="358"/>
      <c r="M1324" s="358"/>
      <c r="N1324" s="358"/>
      <c r="O1324" s="358"/>
      <c r="P1324" s="358"/>
      <c r="Q1324" s="358"/>
      <c r="R1324" s="358"/>
      <c r="S1324" s="358"/>
      <c r="T1324" s="358"/>
      <c r="U1324" s="358"/>
      <c r="V1324" s="358"/>
      <c r="W1324" s="358"/>
      <c r="X1324" s="358"/>
      <c r="Y1324" s="358"/>
      <c r="Z1324" s="358"/>
    </row>
    <row r="1325" ht="14.25" customHeight="1">
      <c r="A1325" s="358"/>
      <c r="B1325" s="399"/>
      <c r="C1325" s="399"/>
      <c r="D1325" s="399"/>
      <c r="E1325" s="399"/>
      <c r="F1325" s="400"/>
      <c r="G1325" s="273"/>
      <c r="H1325" s="273"/>
      <c r="I1325" s="358"/>
      <c r="J1325" s="358"/>
      <c r="K1325" s="358"/>
      <c r="L1325" s="358"/>
      <c r="M1325" s="358"/>
      <c r="N1325" s="358"/>
      <c r="O1325" s="358"/>
      <c r="P1325" s="358"/>
      <c r="Q1325" s="358"/>
      <c r="R1325" s="358"/>
      <c r="S1325" s="358"/>
      <c r="T1325" s="358"/>
      <c r="U1325" s="358"/>
      <c r="V1325" s="358"/>
      <c r="W1325" s="358"/>
      <c r="X1325" s="358"/>
      <c r="Y1325" s="358"/>
      <c r="Z1325" s="358"/>
    </row>
    <row r="1326" ht="14.25" customHeight="1">
      <c r="A1326" s="358"/>
      <c r="B1326" s="399"/>
      <c r="C1326" s="399"/>
      <c r="D1326" s="399"/>
      <c r="E1326" s="399"/>
      <c r="F1326" s="400"/>
      <c r="G1326" s="273"/>
      <c r="H1326" s="273"/>
      <c r="I1326" s="358"/>
      <c r="J1326" s="358"/>
      <c r="K1326" s="358"/>
      <c r="L1326" s="358"/>
      <c r="M1326" s="358"/>
      <c r="N1326" s="358"/>
      <c r="O1326" s="358"/>
      <c r="P1326" s="358"/>
      <c r="Q1326" s="358"/>
      <c r="R1326" s="358"/>
      <c r="S1326" s="358"/>
      <c r="T1326" s="358"/>
      <c r="U1326" s="358"/>
      <c r="V1326" s="358"/>
      <c r="W1326" s="358"/>
      <c r="X1326" s="358"/>
      <c r="Y1326" s="358"/>
      <c r="Z1326" s="358"/>
    </row>
    <row r="1327" ht="14.25" customHeight="1">
      <c r="A1327" s="358"/>
      <c r="B1327" s="399"/>
      <c r="C1327" s="399"/>
      <c r="D1327" s="399"/>
      <c r="E1327" s="399"/>
      <c r="F1327" s="400"/>
      <c r="G1327" s="273"/>
      <c r="H1327" s="273"/>
      <c r="I1327" s="358"/>
      <c r="J1327" s="358"/>
      <c r="K1327" s="358"/>
      <c r="L1327" s="358"/>
      <c r="M1327" s="358"/>
      <c r="N1327" s="358"/>
      <c r="O1327" s="358"/>
      <c r="P1327" s="358"/>
      <c r="Q1327" s="358"/>
      <c r="R1327" s="358"/>
      <c r="S1327" s="358"/>
      <c r="T1327" s="358"/>
      <c r="U1327" s="358"/>
      <c r="V1327" s="358"/>
      <c r="W1327" s="358"/>
      <c r="X1327" s="358"/>
      <c r="Y1327" s="358"/>
      <c r="Z1327" s="358"/>
    </row>
    <row r="1328" ht="14.25" customHeight="1">
      <c r="A1328" s="358"/>
      <c r="B1328" s="399"/>
      <c r="C1328" s="399"/>
      <c r="D1328" s="399"/>
      <c r="E1328" s="399"/>
      <c r="F1328" s="400"/>
      <c r="G1328" s="273"/>
      <c r="H1328" s="273"/>
      <c r="I1328" s="358"/>
      <c r="J1328" s="358"/>
      <c r="K1328" s="358"/>
      <c r="L1328" s="358"/>
      <c r="M1328" s="358"/>
      <c r="N1328" s="358"/>
      <c r="O1328" s="358"/>
      <c r="P1328" s="358"/>
      <c r="Q1328" s="358"/>
      <c r="R1328" s="358"/>
      <c r="S1328" s="358"/>
      <c r="T1328" s="358"/>
      <c r="U1328" s="358"/>
      <c r="V1328" s="358"/>
      <c r="W1328" s="358"/>
      <c r="X1328" s="358"/>
      <c r="Y1328" s="358"/>
      <c r="Z1328" s="358"/>
    </row>
    <row r="1329" ht="14.25" customHeight="1">
      <c r="A1329" s="358"/>
      <c r="B1329" s="399"/>
      <c r="C1329" s="399"/>
      <c r="D1329" s="399"/>
      <c r="E1329" s="399"/>
      <c r="F1329" s="400"/>
      <c r="G1329" s="273"/>
      <c r="H1329" s="273"/>
      <c r="I1329" s="358"/>
      <c r="J1329" s="358"/>
      <c r="K1329" s="358"/>
      <c r="L1329" s="358"/>
      <c r="M1329" s="358"/>
      <c r="N1329" s="358"/>
      <c r="O1329" s="358"/>
      <c r="P1329" s="358"/>
      <c r="Q1329" s="358"/>
      <c r="R1329" s="358"/>
      <c r="S1329" s="358"/>
      <c r="T1329" s="358"/>
      <c r="U1329" s="358"/>
      <c r="V1329" s="358"/>
      <c r="W1329" s="358"/>
      <c r="X1329" s="358"/>
      <c r="Y1329" s="358"/>
      <c r="Z1329" s="358"/>
    </row>
    <row r="1330" ht="14.25" customHeight="1">
      <c r="A1330" s="358"/>
      <c r="B1330" s="399"/>
      <c r="C1330" s="399"/>
      <c r="D1330" s="399"/>
      <c r="E1330" s="399"/>
      <c r="F1330" s="400"/>
      <c r="G1330" s="273"/>
      <c r="H1330" s="273"/>
      <c r="I1330" s="358"/>
      <c r="J1330" s="358"/>
      <c r="K1330" s="358"/>
      <c r="L1330" s="358"/>
      <c r="M1330" s="358"/>
      <c r="N1330" s="358"/>
      <c r="O1330" s="358"/>
      <c r="P1330" s="358"/>
      <c r="Q1330" s="358"/>
      <c r="R1330" s="358"/>
      <c r="S1330" s="358"/>
      <c r="T1330" s="358"/>
      <c r="U1330" s="358"/>
      <c r="V1330" s="358"/>
      <c r="W1330" s="358"/>
      <c r="X1330" s="358"/>
      <c r="Y1330" s="358"/>
      <c r="Z1330" s="358"/>
    </row>
    <row r="1331" ht="14.25" customHeight="1">
      <c r="A1331" s="358"/>
      <c r="B1331" s="399"/>
      <c r="C1331" s="399"/>
      <c r="D1331" s="399"/>
      <c r="E1331" s="399"/>
      <c r="F1331" s="400"/>
      <c r="G1331" s="273"/>
      <c r="H1331" s="273"/>
      <c r="I1331" s="358"/>
      <c r="J1331" s="358"/>
      <c r="K1331" s="358"/>
      <c r="L1331" s="358"/>
      <c r="M1331" s="358"/>
      <c r="N1331" s="358"/>
      <c r="O1331" s="358"/>
      <c r="P1331" s="358"/>
      <c r="Q1331" s="358"/>
      <c r="R1331" s="358"/>
      <c r="S1331" s="358"/>
      <c r="T1331" s="358"/>
      <c r="U1331" s="358"/>
      <c r="V1331" s="358"/>
      <c r="W1331" s="358"/>
      <c r="X1331" s="358"/>
      <c r="Y1331" s="358"/>
      <c r="Z1331" s="358"/>
    </row>
    <row r="1332" ht="14.25" customHeight="1">
      <c r="A1332" s="358"/>
      <c r="B1332" s="399"/>
      <c r="C1332" s="399"/>
      <c r="D1332" s="399"/>
      <c r="E1332" s="399"/>
      <c r="F1332" s="400"/>
      <c r="G1332" s="273"/>
      <c r="H1332" s="273"/>
      <c r="I1332" s="358"/>
      <c r="J1332" s="358"/>
      <c r="K1332" s="358"/>
      <c r="L1332" s="358"/>
      <c r="M1332" s="358"/>
      <c r="N1332" s="358"/>
      <c r="O1332" s="358"/>
      <c r="P1332" s="358"/>
      <c r="Q1332" s="358"/>
      <c r="R1332" s="358"/>
      <c r="S1332" s="358"/>
      <c r="T1332" s="358"/>
      <c r="U1332" s="358"/>
      <c r="V1332" s="358"/>
      <c r="W1332" s="358"/>
      <c r="X1332" s="358"/>
      <c r="Y1332" s="358"/>
      <c r="Z1332" s="358"/>
    </row>
    <row r="1333" ht="14.25" customHeight="1">
      <c r="A1333" s="358"/>
      <c r="B1333" s="399"/>
      <c r="C1333" s="399"/>
      <c r="D1333" s="399"/>
      <c r="E1333" s="399"/>
      <c r="F1333" s="400"/>
      <c r="G1333" s="273"/>
      <c r="H1333" s="273"/>
      <c r="I1333" s="358"/>
      <c r="J1333" s="358"/>
      <c r="K1333" s="358"/>
      <c r="L1333" s="358"/>
      <c r="M1333" s="358"/>
      <c r="N1333" s="358"/>
      <c r="O1333" s="358"/>
      <c r="P1333" s="358"/>
      <c r="Q1333" s="358"/>
      <c r="R1333" s="358"/>
      <c r="S1333" s="358"/>
      <c r="T1333" s="358"/>
      <c r="U1333" s="358"/>
      <c r="V1333" s="358"/>
      <c r="W1333" s="358"/>
      <c r="X1333" s="358"/>
      <c r="Y1333" s="358"/>
      <c r="Z1333" s="358"/>
    </row>
    <row r="1334" ht="14.25" customHeight="1">
      <c r="A1334" s="358"/>
      <c r="B1334" s="399"/>
      <c r="C1334" s="399"/>
      <c r="D1334" s="399"/>
      <c r="E1334" s="399"/>
      <c r="F1334" s="400"/>
      <c r="G1334" s="273"/>
      <c r="H1334" s="273"/>
      <c r="I1334" s="358"/>
      <c r="J1334" s="358"/>
      <c r="K1334" s="358"/>
      <c r="L1334" s="358"/>
      <c r="M1334" s="358"/>
      <c r="N1334" s="358"/>
      <c r="O1334" s="358"/>
      <c r="P1334" s="358"/>
      <c r="Q1334" s="358"/>
      <c r="R1334" s="358"/>
      <c r="S1334" s="358"/>
      <c r="T1334" s="358"/>
      <c r="U1334" s="358"/>
      <c r="V1334" s="358"/>
      <c r="W1334" s="358"/>
      <c r="X1334" s="358"/>
      <c r="Y1334" s="358"/>
      <c r="Z1334" s="358"/>
    </row>
    <row r="1335" ht="14.25" customHeight="1">
      <c r="A1335" s="358"/>
      <c r="B1335" s="399"/>
      <c r="C1335" s="399"/>
      <c r="D1335" s="399"/>
      <c r="E1335" s="399"/>
      <c r="F1335" s="400"/>
      <c r="G1335" s="273"/>
      <c r="H1335" s="273"/>
      <c r="I1335" s="358"/>
      <c r="J1335" s="358"/>
      <c r="K1335" s="358"/>
      <c r="L1335" s="358"/>
      <c r="M1335" s="358"/>
      <c r="N1335" s="358"/>
      <c r="O1335" s="358"/>
      <c r="P1335" s="358"/>
      <c r="Q1335" s="358"/>
      <c r="R1335" s="358"/>
      <c r="S1335" s="358"/>
      <c r="T1335" s="358"/>
      <c r="U1335" s="358"/>
      <c r="V1335" s="358"/>
      <c r="W1335" s="358"/>
      <c r="X1335" s="358"/>
      <c r="Y1335" s="358"/>
      <c r="Z1335" s="358"/>
    </row>
    <row r="1336" ht="14.25" customHeight="1">
      <c r="A1336" s="358"/>
      <c r="B1336" s="399"/>
      <c r="C1336" s="399"/>
      <c r="D1336" s="399"/>
      <c r="E1336" s="399"/>
      <c r="F1336" s="400"/>
      <c r="G1336" s="273"/>
      <c r="H1336" s="273"/>
      <c r="I1336" s="358"/>
      <c r="J1336" s="358"/>
      <c r="K1336" s="358"/>
      <c r="L1336" s="358"/>
      <c r="M1336" s="358"/>
      <c r="N1336" s="358"/>
      <c r="O1336" s="358"/>
      <c r="P1336" s="358"/>
      <c r="Q1336" s="358"/>
      <c r="R1336" s="358"/>
      <c r="S1336" s="358"/>
      <c r="T1336" s="358"/>
      <c r="U1336" s="358"/>
      <c r="V1336" s="358"/>
      <c r="W1336" s="358"/>
      <c r="X1336" s="358"/>
      <c r="Y1336" s="358"/>
      <c r="Z1336" s="358"/>
    </row>
    <row r="1337" ht="14.25" customHeight="1">
      <c r="A1337" s="358"/>
      <c r="B1337" s="399"/>
      <c r="C1337" s="399"/>
      <c r="D1337" s="399"/>
      <c r="E1337" s="399"/>
      <c r="F1337" s="400"/>
      <c r="G1337" s="273"/>
      <c r="H1337" s="273"/>
      <c r="I1337" s="358"/>
      <c r="J1337" s="358"/>
      <c r="K1337" s="358"/>
      <c r="L1337" s="358"/>
      <c r="M1337" s="358"/>
      <c r="N1337" s="358"/>
      <c r="O1337" s="358"/>
      <c r="P1337" s="358"/>
      <c r="Q1337" s="358"/>
      <c r="R1337" s="358"/>
      <c r="S1337" s="358"/>
      <c r="T1337" s="358"/>
      <c r="U1337" s="358"/>
      <c r="V1337" s="358"/>
      <c r="W1337" s="358"/>
      <c r="X1337" s="358"/>
      <c r="Y1337" s="358"/>
      <c r="Z1337" s="358"/>
    </row>
    <row r="1338" ht="14.25" customHeight="1">
      <c r="A1338" s="358"/>
      <c r="B1338" s="399"/>
      <c r="C1338" s="399"/>
      <c r="D1338" s="399"/>
      <c r="E1338" s="399"/>
      <c r="F1338" s="400"/>
      <c r="G1338" s="273"/>
      <c r="H1338" s="273"/>
      <c r="I1338" s="358"/>
      <c r="J1338" s="358"/>
      <c r="K1338" s="358"/>
      <c r="L1338" s="358"/>
      <c r="M1338" s="358"/>
      <c r="N1338" s="358"/>
      <c r="O1338" s="358"/>
      <c r="P1338" s="358"/>
      <c r="Q1338" s="358"/>
      <c r="R1338" s="358"/>
      <c r="S1338" s="358"/>
      <c r="T1338" s="358"/>
      <c r="U1338" s="358"/>
      <c r="V1338" s="358"/>
      <c r="W1338" s="358"/>
      <c r="X1338" s="358"/>
      <c r="Y1338" s="358"/>
      <c r="Z1338" s="358"/>
    </row>
    <row r="1339" ht="14.25" customHeight="1">
      <c r="A1339" s="358"/>
      <c r="B1339" s="399"/>
      <c r="C1339" s="399"/>
      <c r="D1339" s="399"/>
      <c r="E1339" s="399"/>
      <c r="F1339" s="400"/>
      <c r="G1339" s="273"/>
      <c r="H1339" s="273"/>
      <c r="I1339" s="358"/>
      <c r="J1339" s="358"/>
      <c r="K1339" s="358"/>
      <c r="L1339" s="358"/>
      <c r="M1339" s="358"/>
      <c r="N1339" s="358"/>
      <c r="O1339" s="358"/>
      <c r="P1339" s="358"/>
      <c r="Q1339" s="358"/>
      <c r="R1339" s="358"/>
      <c r="S1339" s="358"/>
      <c r="T1339" s="358"/>
      <c r="U1339" s="358"/>
      <c r="V1339" s="358"/>
      <c r="W1339" s="358"/>
      <c r="X1339" s="358"/>
      <c r="Y1339" s="358"/>
      <c r="Z1339" s="358"/>
    </row>
    <row r="1340" ht="14.25" customHeight="1">
      <c r="A1340" s="358"/>
      <c r="B1340" s="399"/>
      <c r="C1340" s="399"/>
      <c r="D1340" s="399"/>
      <c r="E1340" s="399"/>
      <c r="F1340" s="400"/>
      <c r="G1340" s="273"/>
      <c r="H1340" s="273"/>
      <c r="I1340" s="358"/>
      <c r="J1340" s="358"/>
      <c r="K1340" s="358"/>
      <c r="L1340" s="358"/>
      <c r="M1340" s="358"/>
      <c r="N1340" s="358"/>
      <c r="O1340" s="358"/>
      <c r="P1340" s="358"/>
      <c r="Q1340" s="358"/>
      <c r="R1340" s="358"/>
      <c r="S1340" s="358"/>
      <c r="T1340" s="358"/>
      <c r="U1340" s="358"/>
      <c r="V1340" s="358"/>
      <c r="W1340" s="358"/>
      <c r="X1340" s="358"/>
      <c r="Y1340" s="358"/>
      <c r="Z1340" s="358"/>
    </row>
    <row r="1341" ht="14.25" customHeight="1">
      <c r="A1341" s="358"/>
      <c r="B1341" s="399"/>
      <c r="C1341" s="399"/>
      <c r="D1341" s="399"/>
      <c r="E1341" s="399"/>
      <c r="F1341" s="400"/>
      <c r="G1341" s="273"/>
      <c r="H1341" s="273"/>
      <c r="I1341" s="358"/>
      <c r="J1341" s="358"/>
      <c r="K1341" s="358"/>
      <c r="L1341" s="358"/>
      <c r="M1341" s="358"/>
      <c r="N1341" s="358"/>
      <c r="O1341" s="358"/>
      <c r="P1341" s="358"/>
      <c r="Q1341" s="358"/>
      <c r="R1341" s="358"/>
      <c r="S1341" s="358"/>
      <c r="T1341" s="358"/>
      <c r="U1341" s="358"/>
      <c r="V1341" s="358"/>
      <c r="W1341" s="358"/>
      <c r="X1341" s="358"/>
      <c r="Y1341" s="358"/>
      <c r="Z1341" s="358"/>
    </row>
    <row r="1342" ht="14.25" customHeight="1">
      <c r="A1342" s="358"/>
      <c r="B1342" s="399"/>
      <c r="C1342" s="399"/>
      <c r="D1342" s="399"/>
      <c r="E1342" s="399"/>
      <c r="F1342" s="400"/>
      <c r="G1342" s="273"/>
      <c r="H1342" s="273"/>
      <c r="I1342" s="358"/>
      <c r="J1342" s="358"/>
      <c r="K1342" s="358"/>
      <c r="L1342" s="358"/>
      <c r="M1342" s="358"/>
      <c r="N1342" s="358"/>
      <c r="O1342" s="358"/>
      <c r="P1342" s="358"/>
      <c r="Q1342" s="358"/>
      <c r="R1342" s="358"/>
      <c r="S1342" s="358"/>
      <c r="T1342" s="358"/>
      <c r="U1342" s="358"/>
      <c r="V1342" s="358"/>
      <c r="W1342" s="358"/>
      <c r="X1342" s="358"/>
      <c r="Y1342" s="358"/>
      <c r="Z1342" s="358"/>
    </row>
    <row r="1343" ht="14.25" customHeight="1">
      <c r="A1343" s="358"/>
      <c r="B1343" s="399"/>
      <c r="C1343" s="399"/>
      <c r="D1343" s="399"/>
      <c r="E1343" s="399"/>
      <c r="F1343" s="400"/>
      <c r="G1343" s="273"/>
      <c r="H1343" s="273"/>
      <c r="I1343" s="358"/>
      <c r="J1343" s="358"/>
      <c r="K1343" s="358"/>
      <c r="L1343" s="358"/>
      <c r="M1343" s="358"/>
      <c r="N1343" s="358"/>
      <c r="O1343" s="358"/>
      <c r="P1343" s="358"/>
      <c r="Q1343" s="358"/>
      <c r="R1343" s="358"/>
      <c r="S1343" s="358"/>
      <c r="T1343" s="358"/>
      <c r="U1343" s="358"/>
      <c r="V1343" s="358"/>
      <c r="W1343" s="358"/>
      <c r="X1343" s="358"/>
      <c r="Y1343" s="358"/>
      <c r="Z1343" s="358"/>
    </row>
    <row r="1344" ht="14.25" customHeight="1">
      <c r="A1344" s="358"/>
      <c r="B1344" s="399"/>
      <c r="C1344" s="399"/>
      <c r="D1344" s="399"/>
      <c r="E1344" s="399"/>
      <c r="F1344" s="400"/>
      <c r="G1344" s="273"/>
      <c r="H1344" s="273"/>
      <c r="I1344" s="358"/>
      <c r="J1344" s="358"/>
      <c r="K1344" s="358"/>
      <c r="L1344" s="358"/>
      <c r="M1344" s="358"/>
      <c r="N1344" s="358"/>
      <c r="O1344" s="358"/>
      <c r="P1344" s="358"/>
      <c r="Q1344" s="358"/>
      <c r="R1344" s="358"/>
      <c r="S1344" s="358"/>
      <c r="T1344" s="358"/>
      <c r="U1344" s="358"/>
      <c r="V1344" s="358"/>
      <c r="W1344" s="358"/>
      <c r="X1344" s="358"/>
      <c r="Y1344" s="358"/>
      <c r="Z1344" s="358"/>
    </row>
    <row r="1345" ht="14.25" customHeight="1">
      <c r="A1345" s="358"/>
      <c r="B1345" s="399"/>
      <c r="C1345" s="399"/>
      <c r="D1345" s="399"/>
      <c r="E1345" s="399"/>
      <c r="F1345" s="400"/>
      <c r="G1345" s="273"/>
      <c r="H1345" s="273"/>
      <c r="I1345" s="358"/>
      <c r="J1345" s="358"/>
      <c r="K1345" s="358"/>
      <c r="L1345" s="358"/>
      <c r="M1345" s="358"/>
      <c r="N1345" s="358"/>
      <c r="O1345" s="358"/>
      <c r="P1345" s="358"/>
      <c r="Q1345" s="358"/>
      <c r="R1345" s="358"/>
      <c r="S1345" s="358"/>
      <c r="T1345" s="358"/>
      <c r="U1345" s="358"/>
      <c r="V1345" s="358"/>
      <c r="W1345" s="358"/>
      <c r="X1345" s="358"/>
      <c r="Y1345" s="358"/>
      <c r="Z1345" s="358"/>
    </row>
    <row r="1346" ht="14.25" customHeight="1">
      <c r="A1346" s="358"/>
      <c r="B1346" s="399"/>
      <c r="C1346" s="399"/>
      <c r="D1346" s="399"/>
      <c r="E1346" s="399"/>
      <c r="F1346" s="400"/>
      <c r="G1346" s="273"/>
      <c r="H1346" s="273"/>
      <c r="I1346" s="358"/>
      <c r="J1346" s="358"/>
      <c r="K1346" s="358"/>
      <c r="L1346" s="358"/>
      <c r="M1346" s="358"/>
      <c r="N1346" s="358"/>
      <c r="O1346" s="358"/>
      <c r="P1346" s="358"/>
      <c r="Q1346" s="358"/>
      <c r="R1346" s="358"/>
      <c r="S1346" s="358"/>
      <c r="T1346" s="358"/>
      <c r="U1346" s="358"/>
      <c r="V1346" s="358"/>
      <c r="W1346" s="358"/>
      <c r="X1346" s="358"/>
      <c r="Y1346" s="358"/>
      <c r="Z1346" s="358"/>
    </row>
    <row r="1347" ht="14.25" customHeight="1">
      <c r="A1347" s="358"/>
      <c r="B1347" s="399"/>
      <c r="C1347" s="399"/>
      <c r="D1347" s="399"/>
      <c r="E1347" s="399"/>
      <c r="F1347" s="400"/>
      <c r="G1347" s="273"/>
      <c r="H1347" s="273"/>
      <c r="I1347" s="358"/>
      <c r="J1347" s="358"/>
      <c r="K1347" s="358"/>
      <c r="L1347" s="358"/>
      <c r="M1347" s="358"/>
      <c r="N1347" s="358"/>
      <c r="O1347" s="358"/>
      <c r="P1347" s="358"/>
      <c r="Q1347" s="358"/>
      <c r="R1347" s="358"/>
      <c r="S1347" s="358"/>
      <c r="T1347" s="358"/>
      <c r="U1347" s="358"/>
      <c r="V1347" s="358"/>
      <c r="W1347" s="358"/>
      <c r="X1347" s="358"/>
      <c r="Y1347" s="358"/>
      <c r="Z1347" s="358"/>
    </row>
    <row r="1348" ht="14.25" customHeight="1">
      <c r="A1348" s="358"/>
      <c r="B1348" s="399"/>
      <c r="C1348" s="399"/>
      <c r="D1348" s="399"/>
      <c r="E1348" s="399"/>
      <c r="F1348" s="400"/>
      <c r="G1348" s="273"/>
      <c r="H1348" s="273"/>
      <c r="I1348" s="358"/>
      <c r="J1348" s="358"/>
      <c r="K1348" s="358"/>
      <c r="L1348" s="358"/>
      <c r="M1348" s="358"/>
      <c r="N1348" s="358"/>
      <c r="O1348" s="358"/>
      <c r="P1348" s="358"/>
      <c r="Q1348" s="358"/>
      <c r="R1348" s="358"/>
      <c r="S1348" s="358"/>
      <c r="T1348" s="358"/>
      <c r="U1348" s="358"/>
      <c r="V1348" s="358"/>
      <c r="W1348" s="358"/>
      <c r="X1348" s="358"/>
      <c r="Y1348" s="358"/>
      <c r="Z1348" s="358"/>
    </row>
    <row r="1349" ht="14.25" customHeight="1">
      <c r="A1349" s="358"/>
      <c r="B1349" s="399"/>
      <c r="C1349" s="399"/>
      <c r="D1349" s="399"/>
      <c r="E1349" s="399"/>
      <c r="F1349" s="400"/>
      <c r="G1349" s="273"/>
      <c r="H1349" s="273"/>
      <c r="I1349" s="358"/>
      <c r="J1349" s="358"/>
      <c r="K1349" s="358"/>
      <c r="L1349" s="358"/>
      <c r="M1349" s="358"/>
      <c r="N1349" s="358"/>
      <c r="O1349" s="358"/>
      <c r="P1349" s="358"/>
      <c r="Q1349" s="358"/>
      <c r="R1349" s="358"/>
      <c r="S1349" s="358"/>
      <c r="T1349" s="358"/>
      <c r="U1349" s="358"/>
      <c r="V1349" s="358"/>
      <c r="W1349" s="358"/>
      <c r="X1349" s="358"/>
      <c r="Y1349" s="358"/>
      <c r="Z1349" s="358"/>
    </row>
    <row r="1350" ht="14.25" customHeight="1">
      <c r="A1350" s="358"/>
      <c r="B1350" s="399"/>
      <c r="C1350" s="399"/>
      <c r="D1350" s="399"/>
      <c r="E1350" s="399"/>
      <c r="F1350" s="400"/>
      <c r="G1350" s="273"/>
      <c r="H1350" s="273"/>
      <c r="I1350" s="358"/>
      <c r="J1350" s="358"/>
      <c r="K1350" s="358"/>
      <c r="L1350" s="358"/>
      <c r="M1350" s="358"/>
      <c r="N1350" s="358"/>
      <c r="O1350" s="358"/>
      <c r="P1350" s="358"/>
      <c r="Q1350" s="358"/>
      <c r="R1350" s="358"/>
      <c r="S1350" s="358"/>
      <c r="T1350" s="358"/>
      <c r="U1350" s="358"/>
      <c r="V1350" s="358"/>
      <c r="W1350" s="358"/>
      <c r="X1350" s="358"/>
      <c r="Y1350" s="358"/>
      <c r="Z1350" s="358"/>
    </row>
    <row r="1351" ht="14.25" customHeight="1">
      <c r="A1351" s="358"/>
      <c r="B1351" s="399"/>
      <c r="C1351" s="399"/>
      <c r="D1351" s="399"/>
      <c r="E1351" s="399"/>
      <c r="F1351" s="400"/>
      <c r="G1351" s="273"/>
      <c r="H1351" s="273"/>
      <c r="I1351" s="358"/>
      <c r="J1351" s="358"/>
      <c r="K1351" s="358"/>
      <c r="L1351" s="358"/>
      <c r="M1351" s="358"/>
      <c r="N1351" s="358"/>
      <c r="O1351" s="358"/>
      <c r="P1351" s="358"/>
      <c r="Q1351" s="358"/>
      <c r="R1351" s="358"/>
      <c r="S1351" s="358"/>
      <c r="T1351" s="358"/>
      <c r="U1351" s="358"/>
      <c r="V1351" s="358"/>
      <c r="W1351" s="358"/>
      <c r="X1351" s="358"/>
      <c r="Y1351" s="358"/>
      <c r="Z1351" s="358"/>
    </row>
    <row r="1352" ht="14.25" customHeight="1">
      <c r="A1352" s="358"/>
      <c r="B1352" s="399"/>
      <c r="C1352" s="399"/>
      <c r="D1352" s="399"/>
      <c r="E1352" s="399"/>
      <c r="F1352" s="400"/>
      <c r="G1352" s="273"/>
      <c r="H1352" s="273"/>
      <c r="I1352" s="358"/>
      <c r="J1352" s="358"/>
      <c r="K1352" s="358"/>
      <c r="L1352" s="358"/>
      <c r="M1352" s="358"/>
      <c r="N1352" s="358"/>
      <c r="O1352" s="358"/>
      <c r="P1352" s="358"/>
      <c r="Q1352" s="358"/>
      <c r="R1352" s="358"/>
      <c r="S1352" s="358"/>
      <c r="T1352" s="358"/>
      <c r="U1352" s="358"/>
      <c r="V1352" s="358"/>
      <c r="W1352" s="358"/>
      <c r="X1352" s="358"/>
      <c r="Y1352" s="358"/>
      <c r="Z1352" s="358"/>
    </row>
    <row r="1353" ht="14.25" customHeight="1">
      <c r="A1353" s="358"/>
      <c r="B1353" s="399"/>
      <c r="C1353" s="399"/>
      <c r="D1353" s="399"/>
      <c r="E1353" s="399"/>
      <c r="F1353" s="400"/>
      <c r="G1353" s="273"/>
      <c r="H1353" s="273"/>
      <c r="I1353" s="358"/>
      <c r="J1353" s="358"/>
      <c r="K1353" s="358"/>
      <c r="L1353" s="358"/>
      <c r="M1353" s="358"/>
      <c r="N1353" s="358"/>
      <c r="O1353" s="358"/>
      <c r="P1353" s="358"/>
      <c r="Q1353" s="358"/>
      <c r="R1353" s="358"/>
      <c r="S1353" s="358"/>
      <c r="T1353" s="358"/>
      <c r="U1353" s="358"/>
      <c r="V1353" s="358"/>
      <c r="W1353" s="358"/>
      <c r="X1353" s="358"/>
      <c r="Y1353" s="358"/>
      <c r="Z1353" s="358"/>
    </row>
    <row r="1354" ht="14.25" customHeight="1">
      <c r="A1354" s="358"/>
      <c r="B1354" s="399"/>
      <c r="C1354" s="399"/>
      <c r="D1354" s="399"/>
      <c r="E1354" s="399"/>
      <c r="F1354" s="400"/>
      <c r="G1354" s="273"/>
      <c r="H1354" s="273"/>
      <c r="I1354" s="358"/>
      <c r="J1354" s="358"/>
      <c r="K1354" s="358"/>
      <c r="L1354" s="358"/>
      <c r="M1354" s="358"/>
      <c r="N1354" s="358"/>
      <c r="O1354" s="358"/>
      <c r="P1354" s="358"/>
      <c r="Q1354" s="358"/>
      <c r="R1354" s="358"/>
      <c r="S1354" s="358"/>
      <c r="T1354" s="358"/>
      <c r="U1354" s="358"/>
      <c r="V1354" s="358"/>
      <c r="W1354" s="358"/>
      <c r="X1354" s="358"/>
      <c r="Y1354" s="358"/>
      <c r="Z1354" s="358"/>
    </row>
    <row r="1355" ht="14.25" customHeight="1">
      <c r="A1355" s="358"/>
      <c r="B1355" s="399"/>
      <c r="C1355" s="399"/>
      <c r="D1355" s="399"/>
      <c r="E1355" s="399"/>
      <c r="F1355" s="400"/>
      <c r="G1355" s="273"/>
      <c r="H1355" s="273"/>
      <c r="I1355" s="358"/>
      <c r="J1355" s="358"/>
      <c r="K1355" s="358"/>
      <c r="L1355" s="358"/>
      <c r="M1355" s="358"/>
      <c r="N1355" s="358"/>
      <c r="O1355" s="358"/>
      <c r="P1355" s="358"/>
      <c r="Q1355" s="358"/>
      <c r="R1355" s="358"/>
      <c r="S1355" s="358"/>
      <c r="T1355" s="358"/>
      <c r="U1355" s="358"/>
      <c r="V1355" s="358"/>
      <c r="W1355" s="358"/>
      <c r="X1355" s="358"/>
      <c r="Y1355" s="358"/>
      <c r="Z1355" s="358"/>
    </row>
    <row r="1356" ht="14.25" customHeight="1">
      <c r="A1356" s="358"/>
      <c r="B1356" s="399"/>
      <c r="C1356" s="399"/>
      <c r="D1356" s="399"/>
      <c r="E1356" s="399"/>
      <c r="F1356" s="400"/>
      <c r="G1356" s="273"/>
      <c r="H1356" s="273"/>
      <c r="I1356" s="358"/>
      <c r="J1356" s="358"/>
      <c r="K1356" s="358"/>
      <c r="L1356" s="358"/>
      <c r="M1356" s="358"/>
      <c r="N1356" s="358"/>
      <c r="O1356" s="358"/>
      <c r="P1356" s="358"/>
      <c r="Q1356" s="358"/>
      <c r="R1356" s="358"/>
      <c r="S1356" s="358"/>
      <c r="T1356" s="358"/>
      <c r="U1356" s="358"/>
      <c r="V1356" s="358"/>
      <c r="W1356" s="358"/>
      <c r="X1356" s="358"/>
      <c r="Y1356" s="358"/>
      <c r="Z1356" s="358"/>
    </row>
    <row r="1357" ht="14.25" customHeight="1">
      <c r="A1357" s="358"/>
      <c r="B1357" s="399"/>
      <c r="C1357" s="399"/>
      <c r="D1357" s="399"/>
      <c r="E1357" s="399"/>
      <c r="F1357" s="400"/>
      <c r="G1357" s="273"/>
      <c r="H1357" s="273"/>
      <c r="I1357" s="358"/>
      <c r="J1357" s="358"/>
      <c r="K1357" s="358"/>
      <c r="L1357" s="358"/>
      <c r="M1357" s="358"/>
      <c r="N1357" s="358"/>
      <c r="O1357" s="358"/>
      <c r="P1357" s="358"/>
      <c r="Q1357" s="358"/>
      <c r="R1357" s="358"/>
      <c r="S1357" s="358"/>
      <c r="T1357" s="358"/>
      <c r="U1357" s="358"/>
      <c r="V1357" s="358"/>
      <c r="W1357" s="358"/>
      <c r="X1357" s="358"/>
      <c r="Y1357" s="358"/>
      <c r="Z1357" s="358"/>
    </row>
    <row r="1358" ht="14.25" customHeight="1">
      <c r="A1358" s="358"/>
      <c r="B1358" s="399"/>
      <c r="C1358" s="399"/>
      <c r="D1358" s="399"/>
      <c r="E1358" s="399"/>
      <c r="F1358" s="400"/>
      <c r="G1358" s="273"/>
      <c r="H1358" s="273"/>
      <c r="I1358" s="358"/>
      <c r="J1358" s="358"/>
      <c r="K1358" s="358"/>
      <c r="L1358" s="358"/>
      <c r="M1358" s="358"/>
      <c r="N1358" s="358"/>
      <c r="O1358" s="358"/>
      <c r="P1358" s="358"/>
      <c r="Q1358" s="358"/>
      <c r="R1358" s="358"/>
      <c r="S1358" s="358"/>
      <c r="T1358" s="358"/>
      <c r="U1358" s="358"/>
      <c r="V1358" s="358"/>
      <c r="W1358" s="358"/>
      <c r="X1358" s="358"/>
      <c r="Y1358" s="358"/>
      <c r="Z1358" s="358"/>
    </row>
    <row r="1359" ht="14.25" customHeight="1">
      <c r="A1359" s="358"/>
      <c r="B1359" s="399"/>
      <c r="C1359" s="399"/>
      <c r="D1359" s="399"/>
      <c r="E1359" s="399"/>
      <c r="F1359" s="400"/>
      <c r="G1359" s="273"/>
      <c r="H1359" s="273"/>
      <c r="I1359" s="358"/>
      <c r="J1359" s="358"/>
      <c r="K1359" s="358"/>
      <c r="L1359" s="358"/>
      <c r="M1359" s="358"/>
      <c r="N1359" s="358"/>
      <c r="O1359" s="358"/>
      <c r="P1359" s="358"/>
      <c r="Q1359" s="358"/>
      <c r="R1359" s="358"/>
      <c r="S1359" s="358"/>
      <c r="T1359" s="358"/>
      <c r="U1359" s="358"/>
      <c r="V1359" s="358"/>
      <c r="W1359" s="358"/>
      <c r="X1359" s="358"/>
      <c r="Y1359" s="358"/>
      <c r="Z1359" s="358"/>
    </row>
    <row r="1360" ht="14.25" customHeight="1">
      <c r="A1360" s="358"/>
      <c r="B1360" s="399"/>
      <c r="C1360" s="399"/>
      <c r="D1360" s="399"/>
      <c r="E1360" s="399"/>
      <c r="F1360" s="400"/>
      <c r="G1360" s="273"/>
      <c r="H1360" s="273"/>
      <c r="I1360" s="358"/>
      <c r="J1360" s="358"/>
      <c r="K1360" s="358"/>
      <c r="L1360" s="358"/>
      <c r="M1360" s="358"/>
      <c r="N1360" s="358"/>
      <c r="O1360" s="358"/>
      <c r="P1360" s="358"/>
      <c r="Q1360" s="358"/>
      <c r="R1360" s="358"/>
      <c r="S1360" s="358"/>
      <c r="T1360" s="358"/>
      <c r="U1360" s="358"/>
      <c r="V1360" s="358"/>
      <c r="W1360" s="358"/>
      <c r="X1360" s="358"/>
      <c r="Y1360" s="358"/>
      <c r="Z1360" s="358"/>
    </row>
    <row r="1361" ht="14.25" customHeight="1">
      <c r="A1361" s="358"/>
      <c r="B1361" s="399"/>
      <c r="C1361" s="399"/>
      <c r="D1361" s="399"/>
      <c r="E1361" s="399"/>
      <c r="F1361" s="400"/>
      <c r="G1361" s="273"/>
      <c r="H1361" s="273"/>
      <c r="I1361" s="358"/>
      <c r="J1361" s="358"/>
      <c r="K1361" s="358"/>
      <c r="L1361" s="358"/>
      <c r="M1361" s="358"/>
      <c r="N1361" s="358"/>
      <c r="O1361" s="358"/>
      <c r="P1361" s="358"/>
      <c r="Q1361" s="358"/>
      <c r="R1361" s="358"/>
      <c r="S1361" s="358"/>
      <c r="T1361" s="358"/>
      <c r="U1361" s="358"/>
      <c r="V1361" s="358"/>
      <c r="W1361" s="358"/>
      <c r="X1361" s="358"/>
      <c r="Y1361" s="358"/>
      <c r="Z1361" s="358"/>
    </row>
    <row r="1362" ht="14.25" customHeight="1">
      <c r="A1362" s="358"/>
      <c r="B1362" s="399"/>
      <c r="C1362" s="399"/>
      <c r="D1362" s="399"/>
      <c r="E1362" s="399"/>
      <c r="F1362" s="400"/>
      <c r="G1362" s="273"/>
      <c r="H1362" s="273"/>
      <c r="I1362" s="358"/>
      <c r="J1362" s="358"/>
      <c r="K1362" s="358"/>
      <c r="L1362" s="358"/>
      <c r="M1362" s="358"/>
      <c r="N1362" s="358"/>
      <c r="O1362" s="358"/>
      <c r="P1362" s="358"/>
      <c r="Q1362" s="358"/>
      <c r="R1362" s="358"/>
      <c r="S1362" s="358"/>
      <c r="T1362" s="358"/>
      <c r="U1362" s="358"/>
      <c r="V1362" s="358"/>
      <c r="W1362" s="358"/>
      <c r="X1362" s="358"/>
      <c r="Y1362" s="358"/>
      <c r="Z1362" s="358"/>
    </row>
    <row r="1363" ht="14.25" customHeight="1">
      <c r="A1363" s="358"/>
      <c r="B1363" s="399"/>
      <c r="C1363" s="399"/>
      <c r="D1363" s="399"/>
      <c r="E1363" s="399"/>
      <c r="F1363" s="400"/>
      <c r="G1363" s="273"/>
      <c r="H1363" s="273"/>
      <c r="I1363" s="358"/>
      <c r="J1363" s="358"/>
      <c r="K1363" s="358"/>
      <c r="L1363" s="358"/>
      <c r="M1363" s="358"/>
      <c r="N1363" s="358"/>
      <c r="O1363" s="358"/>
      <c r="P1363" s="358"/>
      <c r="Q1363" s="358"/>
      <c r="R1363" s="358"/>
      <c r="S1363" s="358"/>
      <c r="T1363" s="358"/>
      <c r="U1363" s="358"/>
      <c r="V1363" s="358"/>
      <c r="W1363" s="358"/>
      <c r="X1363" s="358"/>
      <c r="Y1363" s="358"/>
      <c r="Z1363" s="358"/>
    </row>
    <row r="1364" ht="14.25" customHeight="1">
      <c r="A1364" s="358"/>
      <c r="B1364" s="399"/>
      <c r="C1364" s="399"/>
      <c r="D1364" s="399"/>
      <c r="E1364" s="399"/>
      <c r="F1364" s="400"/>
      <c r="G1364" s="273"/>
      <c r="H1364" s="273"/>
      <c r="I1364" s="358"/>
      <c r="J1364" s="358"/>
      <c r="K1364" s="358"/>
      <c r="L1364" s="358"/>
      <c r="M1364" s="358"/>
      <c r="N1364" s="358"/>
      <c r="O1364" s="358"/>
      <c r="P1364" s="358"/>
      <c r="Q1364" s="358"/>
      <c r="R1364" s="358"/>
      <c r="S1364" s="358"/>
      <c r="T1364" s="358"/>
      <c r="U1364" s="358"/>
      <c r="V1364" s="358"/>
      <c r="W1364" s="358"/>
      <c r="X1364" s="358"/>
      <c r="Y1364" s="358"/>
      <c r="Z1364" s="358"/>
    </row>
    <row r="1365" ht="14.25" customHeight="1">
      <c r="A1365" s="358"/>
      <c r="B1365" s="399"/>
      <c r="C1365" s="399"/>
      <c r="D1365" s="399"/>
      <c r="E1365" s="399"/>
      <c r="F1365" s="400"/>
      <c r="G1365" s="273"/>
      <c r="H1365" s="273"/>
      <c r="I1365" s="358"/>
      <c r="J1365" s="358"/>
      <c r="K1365" s="358"/>
      <c r="L1365" s="358"/>
      <c r="M1365" s="358"/>
      <c r="N1365" s="358"/>
      <c r="O1365" s="358"/>
      <c r="P1365" s="358"/>
      <c r="Q1365" s="358"/>
      <c r="R1365" s="358"/>
      <c r="S1365" s="358"/>
      <c r="T1365" s="358"/>
      <c r="U1365" s="358"/>
      <c r="V1365" s="358"/>
      <c r="W1365" s="358"/>
      <c r="X1365" s="358"/>
      <c r="Y1365" s="358"/>
      <c r="Z1365" s="358"/>
    </row>
    <row r="1366" ht="14.25" customHeight="1">
      <c r="A1366" s="358"/>
      <c r="B1366" s="399"/>
      <c r="C1366" s="399"/>
      <c r="D1366" s="399"/>
      <c r="E1366" s="399"/>
      <c r="F1366" s="400"/>
      <c r="G1366" s="273"/>
      <c r="H1366" s="273"/>
      <c r="I1366" s="358"/>
      <c r="J1366" s="358"/>
      <c r="K1366" s="358"/>
      <c r="L1366" s="358"/>
      <c r="M1366" s="358"/>
      <c r="N1366" s="358"/>
      <c r="O1366" s="358"/>
      <c r="P1366" s="358"/>
      <c r="Q1366" s="358"/>
      <c r="R1366" s="358"/>
      <c r="S1366" s="358"/>
      <c r="T1366" s="358"/>
      <c r="U1366" s="358"/>
      <c r="V1366" s="358"/>
      <c r="W1366" s="358"/>
      <c r="X1366" s="358"/>
      <c r="Y1366" s="358"/>
      <c r="Z1366" s="358"/>
    </row>
    <row r="1367" ht="14.25" customHeight="1">
      <c r="A1367" s="358"/>
      <c r="B1367" s="399"/>
      <c r="C1367" s="399"/>
      <c r="D1367" s="399"/>
      <c r="E1367" s="399"/>
      <c r="F1367" s="400"/>
      <c r="G1367" s="273"/>
      <c r="H1367" s="273"/>
      <c r="I1367" s="358"/>
      <c r="J1367" s="358"/>
      <c r="K1367" s="358"/>
      <c r="L1367" s="358"/>
      <c r="M1367" s="358"/>
      <c r="N1367" s="358"/>
      <c r="O1367" s="358"/>
      <c r="P1367" s="358"/>
      <c r="Q1367" s="358"/>
      <c r="R1367" s="358"/>
      <c r="S1367" s="358"/>
      <c r="T1367" s="358"/>
      <c r="U1367" s="358"/>
      <c r="V1367" s="358"/>
      <c r="W1367" s="358"/>
      <c r="X1367" s="358"/>
      <c r="Y1367" s="358"/>
      <c r="Z1367" s="358"/>
    </row>
    <row r="1368" ht="14.25" customHeight="1">
      <c r="A1368" s="358"/>
      <c r="B1368" s="399"/>
      <c r="C1368" s="399"/>
      <c r="D1368" s="399"/>
      <c r="E1368" s="399"/>
      <c r="F1368" s="400"/>
      <c r="G1368" s="273"/>
      <c r="H1368" s="273"/>
      <c r="I1368" s="358"/>
      <c r="J1368" s="358"/>
      <c r="K1368" s="358"/>
      <c r="L1368" s="358"/>
      <c r="M1368" s="358"/>
      <c r="N1368" s="358"/>
      <c r="O1368" s="358"/>
      <c r="P1368" s="358"/>
      <c r="Q1368" s="358"/>
      <c r="R1368" s="358"/>
      <c r="S1368" s="358"/>
      <c r="T1368" s="358"/>
      <c r="U1368" s="358"/>
      <c r="V1368" s="358"/>
      <c r="W1368" s="358"/>
      <c r="X1368" s="358"/>
      <c r="Y1368" s="358"/>
      <c r="Z1368" s="358"/>
    </row>
    <row r="1369" ht="14.25" customHeight="1">
      <c r="A1369" s="358"/>
      <c r="B1369" s="399"/>
      <c r="C1369" s="399"/>
      <c r="D1369" s="399"/>
      <c r="E1369" s="399"/>
      <c r="F1369" s="400"/>
      <c r="G1369" s="273"/>
      <c r="H1369" s="273"/>
      <c r="I1369" s="358"/>
      <c r="J1369" s="358"/>
      <c r="K1369" s="358"/>
      <c r="L1369" s="358"/>
      <c r="M1369" s="358"/>
      <c r="N1369" s="358"/>
      <c r="O1369" s="358"/>
      <c r="P1369" s="358"/>
      <c r="Q1369" s="358"/>
      <c r="R1369" s="358"/>
      <c r="S1369" s="358"/>
      <c r="T1369" s="358"/>
      <c r="U1369" s="358"/>
      <c r="V1369" s="358"/>
      <c r="W1369" s="358"/>
      <c r="X1369" s="358"/>
      <c r="Y1369" s="358"/>
      <c r="Z1369" s="358"/>
    </row>
    <row r="1370" ht="14.25" customHeight="1">
      <c r="A1370" s="358"/>
      <c r="B1370" s="399"/>
      <c r="C1370" s="399"/>
      <c r="D1370" s="399"/>
      <c r="E1370" s="399"/>
      <c r="F1370" s="400"/>
      <c r="G1370" s="273"/>
      <c r="H1370" s="273"/>
      <c r="I1370" s="358"/>
      <c r="J1370" s="358"/>
      <c r="K1370" s="358"/>
      <c r="L1370" s="358"/>
      <c r="M1370" s="358"/>
      <c r="N1370" s="358"/>
      <c r="O1370" s="358"/>
      <c r="P1370" s="358"/>
      <c r="Q1370" s="358"/>
      <c r="R1370" s="358"/>
      <c r="S1370" s="358"/>
      <c r="T1370" s="358"/>
      <c r="U1370" s="358"/>
      <c r="V1370" s="358"/>
      <c r="W1370" s="358"/>
      <c r="X1370" s="358"/>
      <c r="Y1370" s="358"/>
      <c r="Z1370" s="358"/>
    </row>
    <row r="1371" ht="14.25" customHeight="1">
      <c r="A1371" s="358"/>
      <c r="B1371" s="399"/>
      <c r="C1371" s="399"/>
      <c r="D1371" s="399"/>
      <c r="E1371" s="399"/>
      <c r="F1371" s="400"/>
      <c r="G1371" s="273"/>
      <c r="H1371" s="273"/>
      <c r="I1371" s="358"/>
      <c r="J1371" s="358"/>
      <c r="K1371" s="358"/>
      <c r="L1371" s="358"/>
      <c r="M1371" s="358"/>
      <c r="N1371" s="358"/>
      <c r="O1371" s="358"/>
      <c r="P1371" s="358"/>
      <c r="Q1371" s="358"/>
      <c r="R1371" s="358"/>
      <c r="S1371" s="358"/>
      <c r="T1371" s="358"/>
      <c r="U1371" s="358"/>
      <c r="V1371" s="358"/>
      <c r="W1371" s="358"/>
      <c r="X1371" s="358"/>
      <c r="Y1371" s="358"/>
      <c r="Z1371" s="358"/>
    </row>
    <row r="1372" ht="14.25" customHeight="1">
      <c r="A1372" s="358"/>
      <c r="B1372" s="399"/>
      <c r="C1372" s="399"/>
      <c r="D1372" s="399"/>
      <c r="E1372" s="399"/>
      <c r="F1372" s="400"/>
      <c r="G1372" s="273"/>
      <c r="H1372" s="273"/>
      <c r="I1372" s="358"/>
      <c r="J1372" s="358"/>
      <c r="K1372" s="358"/>
      <c r="L1372" s="358"/>
      <c r="M1372" s="358"/>
      <c r="N1372" s="358"/>
      <c r="O1372" s="358"/>
      <c r="P1372" s="358"/>
      <c r="Q1372" s="358"/>
      <c r="R1372" s="358"/>
      <c r="S1372" s="358"/>
      <c r="T1372" s="358"/>
      <c r="U1372" s="358"/>
      <c r="V1372" s="358"/>
      <c r="W1372" s="358"/>
      <c r="X1372" s="358"/>
      <c r="Y1372" s="358"/>
      <c r="Z1372" s="358"/>
    </row>
    <row r="1373" ht="14.25" customHeight="1">
      <c r="A1373" s="358"/>
      <c r="B1373" s="399"/>
      <c r="C1373" s="399"/>
      <c r="D1373" s="399"/>
      <c r="E1373" s="399"/>
      <c r="F1373" s="400"/>
      <c r="G1373" s="273"/>
      <c r="H1373" s="273"/>
      <c r="I1373" s="358"/>
      <c r="J1373" s="358"/>
      <c r="K1373" s="358"/>
      <c r="L1373" s="358"/>
      <c r="M1373" s="358"/>
      <c r="N1373" s="358"/>
      <c r="O1373" s="358"/>
      <c r="P1373" s="358"/>
      <c r="Q1373" s="358"/>
      <c r="R1373" s="358"/>
      <c r="S1373" s="358"/>
      <c r="T1373" s="358"/>
      <c r="U1373" s="358"/>
      <c r="V1373" s="358"/>
      <c r="W1373" s="358"/>
      <c r="X1373" s="358"/>
      <c r="Y1373" s="358"/>
      <c r="Z1373" s="358"/>
    </row>
    <row r="1374" ht="14.25" customHeight="1">
      <c r="A1374" s="358"/>
      <c r="B1374" s="399"/>
      <c r="C1374" s="399"/>
      <c r="D1374" s="399"/>
      <c r="E1374" s="399"/>
      <c r="F1374" s="400"/>
      <c r="G1374" s="273"/>
      <c r="H1374" s="273"/>
      <c r="I1374" s="358"/>
      <c r="J1374" s="358"/>
      <c r="K1374" s="358"/>
      <c r="L1374" s="358"/>
      <c r="M1374" s="358"/>
      <c r="N1374" s="358"/>
      <c r="O1374" s="358"/>
      <c r="P1374" s="358"/>
      <c r="Q1374" s="358"/>
      <c r="R1374" s="358"/>
      <c r="S1374" s="358"/>
      <c r="T1374" s="358"/>
      <c r="U1374" s="358"/>
      <c r="V1374" s="358"/>
      <c r="W1374" s="358"/>
      <c r="X1374" s="358"/>
      <c r="Y1374" s="358"/>
      <c r="Z1374" s="358"/>
    </row>
    <row r="1375" ht="14.25" customHeight="1">
      <c r="A1375" s="358"/>
      <c r="B1375" s="399"/>
      <c r="C1375" s="399"/>
      <c r="D1375" s="399"/>
      <c r="E1375" s="399"/>
      <c r="F1375" s="400"/>
      <c r="G1375" s="273"/>
      <c r="H1375" s="273"/>
      <c r="I1375" s="358"/>
      <c r="J1375" s="358"/>
      <c r="K1375" s="358"/>
      <c r="L1375" s="358"/>
      <c r="M1375" s="358"/>
      <c r="N1375" s="358"/>
      <c r="O1375" s="358"/>
      <c r="P1375" s="358"/>
      <c r="Q1375" s="358"/>
      <c r="R1375" s="358"/>
      <c r="S1375" s="358"/>
      <c r="T1375" s="358"/>
      <c r="U1375" s="358"/>
      <c r="V1375" s="358"/>
      <c r="W1375" s="358"/>
      <c r="X1375" s="358"/>
      <c r="Y1375" s="358"/>
      <c r="Z1375" s="358"/>
    </row>
    <row r="1376" ht="14.25" customHeight="1">
      <c r="A1376" s="358"/>
      <c r="B1376" s="399"/>
      <c r="C1376" s="399"/>
      <c r="D1376" s="399"/>
      <c r="E1376" s="399"/>
      <c r="F1376" s="400"/>
      <c r="G1376" s="273"/>
      <c r="H1376" s="273"/>
      <c r="I1376" s="358"/>
      <c r="J1376" s="358"/>
      <c r="K1376" s="358"/>
      <c r="L1376" s="358"/>
      <c r="M1376" s="358"/>
      <c r="N1376" s="358"/>
      <c r="O1376" s="358"/>
      <c r="P1376" s="358"/>
      <c r="Q1376" s="358"/>
      <c r="R1376" s="358"/>
      <c r="S1376" s="358"/>
      <c r="T1376" s="358"/>
      <c r="U1376" s="358"/>
      <c r="V1376" s="358"/>
      <c r="W1376" s="358"/>
      <c r="X1376" s="358"/>
      <c r="Y1376" s="358"/>
      <c r="Z1376" s="358"/>
    </row>
    <row r="1377" ht="14.25" customHeight="1">
      <c r="A1377" s="358"/>
      <c r="B1377" s="399"/>
      <c r="C1377" s="399"/>
      <c r="D1377" s="399"/>
      <c r="E1377" s="399"/>
      <c r="F1377" s="400"/>
      <c r="G1377" s="273"/>
      <c r="H1377" s="273"/>
      <c r="I1377" s="358"/>
      <c r="J1377" s="358"/>
      <c r="K1377" s="358"/>
      <c r="L1377" s="358"/>
      <c r="M1377" s="358"/>
      <c r="N1377" s="358"/>
      <c r="O1377" s="358"/>
      <c r="P1377" s="358"/>
      <c r="Q1377" s="358"/>
      <c r="R1377" s="358"/>
      <c r="S1377" s="358"/>
      <c r="T1377" s="358"/>
      <c r="U1377" s="358"/>
      <c r="V1377" s="358"/>
      <c r="W1377" s="358"/>
      <c r="X1377" s="358"/>
      <c r="Y1377" s="358"/>
      <c r="Z1377" s="358"/>
    </row>
    <row r="1378" ht="14.25" customHeight="1">
      <c r="A1378" s="358"/>
      <c r="B1378" s="399"/>
      <c r="C1378" s="399"/>
      <c r="D1378" s="399"/>
      <c r="E1378" s="399"/>
      <c r="F1378" s="400"/>
      <c r="G1378" s="273"/>
      <c r="H1378" s="273"/>
      <c r="I1378" s="358"/>
      <c r="J1378" s="358"/>
      <c r="K1378" s="358"/>
      <c r="L1378" s="358"/>
      <c r="M1378" s="358"/>
      <c r="N1378" s="358"/>
      <c r="O1378" s="358"/>
      <c r="P1378" s="358"/>
      <c r="Q1378" s="358"/>
      <c r="R1378" s="358"/>
      <c r="S1378" s="358"/>
      <c r="T1378" s="358"/>
      <c r="U1378" s="358"/>
      <c r="V1378" s="358"/>
      <c r="W1378" s="358"/>
      <c r="X1378" s="358"/>
      <c r="Y1378" s="358"/>
      <c r="Z1378" s="358"/>
    </row>
    <row r="1379" ht="14.25" customHeight="1">
      <c r="A1379" s="358"/>
      <c r="B1379" s="399"/>
      <c r="C1379" s="399"/>
      <c r="D1379" s="399"/>
      <c r="E1379" s="399"/>
      <c r="F1379" s="400"/>
      <c r="G1379" s="273"/>
      <c r="H1379" s="273"/>
      <c r="I1379" s="358"/>
      <c r="J1379" s="358"/>
      <c r="K1379" s="358"/>
      <c r="L1379" s="358"/>
      <c r="M1379" s="358"/>
      <c r="N1379" s="358"/>
      <c r="O1379" s="358"/>
      <c r="P1379" s="358"/>
      <c r="Q1379" s="358"/>
      <c r="R1379" s="358"/>
      <c r="S1379" s="358"/>
      <c r="T1379" s="358"/>
      <c r="U1379" s="358"/>
      <c r="V1379" s="358"/>
      <c r="W1379" s="358"/>
      <c r="X1379" s="358"/>
      <c r="Y1379" s="358"/>
      <c r="Z1379" s="358"/>
    </row>
    <row r="1380" ht="14.25" customHeight="1">
      <c r="A1380" s="358"/>
      <c r="B1380" s="399"/>
      <c r="C1380" s="399"/>
      <c r="D1380" s="399"/>
      <c r="E1380" s="399"/>
      <c r="F1380" s="400"/>
      <c r="G1380" s="273"/>
      <c r="H1380" s="273"/>
      <c r="I1380" s="358"/>
      <c r="J1380" s="358"/>
      <c r="K1380" s="358"/>
      <c r="L1380" s="358"/>
      <c r="M1380" s="358"/>
      <c r="N1380" s="358"/>
      <c r="O1380" s="358"/>
      <c r="P1380" s="358"/>
      <c r="Q1380" s="358"/>
      <c r="R1380" s="358"/>
      <c r="S1380" s="358"/>
      <c r="T1380" s="358"/>
      <c r="U1380" s="358"/>
      <c r="V1380" s="358"/>
      <c r="W1380" s="358"/>
      <c r="X1380" s="358"/>
      <c r="Y1380" s="358"/>
      <c r="Z1380" s="358"/>
    </row>
    <row r="1381" ht="14.25" customHeight="1">
      <c r="A1381" s="358"/>
      <c r="B1381" s="399"/>
      <c r="C1381" s="399"/>
      <c r="D1381" s="399"/>
      <c r="E1381" s="399"/>
      <c r="F1381" s="400"/>
      <c r="G1381" s="273"/>
      <c r="H1381" s="273"/>
      <c r="I1381" s="358"/>
      <c r="J1381" s="358"/>
      <c r="K1381" s="358"/>
      <c r="L1381" s="358"/>
      <c r="M1381" s="358"/>
      <c r="N1381" s="358"/>
      <c r="O1381" s="358"/>
      <c r="P1381" s="358"/>
      <c r="Q1381" s="358"/>
      <c r="R1381" s="358"/>
      <c r="S1381" s="358"/>
      <c r="T1381" s="358"/>
      <c r="U1381" s="358"/>
      <c r="V1381" s="358"/>
      <c r="W1381" s="358"/>
      <c r="X1381" s="358"/>
      <c r="Y1381" s="358"/>
      <c r="Z1381" s="358"/>
    </row>
    <row r="1382" ht="14.25" customHeight="1">
      <c r="A1382" s="358"/>
      <c r="B1382" s="399"/>
      <c r="C1382" s="399"/>
      <c r="D1382" s="399"/>
      <c r="E1382" s="399"/>
      <c r="F1382" s="400"/>
      <c r="G1382" s="273"/>
      <c r="H1382" s="273"/>
      <c r="I1382" s="358"/>
      <c r="J1382" s="358"/>
      <c r="K1382" s="358"/>
      <c r="L1382" s="358"/>
      <c r="M1382" s="358"/>
      <c r="N1382" s="358"/>
      <c r="O1382" s="358"/>
      <c r="P1382" s="358"/>
      <c r="Q1382" s="358"/>
      <c r="R1382" s="358"/>
      <c r="S1382" s="358"/>
      <c r="T1382" s="358"/>
      <c r="U1382" s="358"/>
      <c r="V1382" s="358"/>
      <c r="W1382" s="358"/>
      <c r="X1382" s="358"/>
      <c r="Y1382" s="358"/>
      <c r="Z1382" s="358"/>
    </row>
    <row r="1383" ht="14.25" customHeight="1">
      <c r="A1383" s="358"/>
      <c r="B1383" s="399"/>
      <c r="C1383" s="399"/>
      <c r="D1383" s="399"/>
      <c r="E1383" s="399"/>
      <c r="F1383" s="400"/>
      <c r="G1383" s="273"/>
      <c r="H1383" s="273"/>
      <c r="I1383" s="358"/>
      <c r="J1383" s="358"/>
      <c r="K1383" s="358"/>
      <c r="L1383" s="358"/>
      <c r="M1383" s="358"/>
      <c r="N1383" s="358"/>
      <c r="O1383" s="358"/>
      <c r="P1383" s="358"/>
      <c r="Q1383" s="358"/>
      <c r="R1383" s="358"/>
      <c r="S1383" s="358"/>
      <c r="T1383" s="358"/>
      <c r="U1383" s="358"/>
      <c r="V1383" s="358"/>
      <c r="W1383" s="358"/>
      <c r="X1383" s="358"/>
      <c r="Y1383" s="358"/>
      <c r="Z1383" s="358"/>
    </row>
    <row r="1384" ht="14.25" customHeight="1">
      <c r="A1384" s="358"/>
      <c r="B1384" s="399"/>
      <c r="C1384" s="399"/>
      <c r="D1384" s="399"/>
      <c r="E1384" s="399"/>
      <c r="F1384" s="400"/>
      <c r="G1384" s="273"/>
      <c r="H1384" s="273"/>
      <c r="I1384" s="358"/>
      <c r="J1384" s="358"/>
      <c r="K1384" s="358"/>
      <c r="L1384" s="358"/>
      <c r="M1384" s="358"/>
      <c r="N1384" s="358"/>
      <c r="O1384" s="358"/>
      <c r="P1384" s="358"/>
      <c r="Q1384" s="358"/>
      <c r="R1384" s="358"/>
      <c r="S1384" s="358"/>
      <c r="T1384" s="358"/>
      <c r="U1384" s="358"/>
      <c r="V1384" s="358"/>
      <c r="W1384" s="358"/>
      <c r="X1384" s="358"/>
      <c r="Y1384" s="358"/>
      <c r="Z1384" s="358"/>
    </row>
    <row r="1385" ht="14.25" customHeight="1">
      <c r="A1385" s="358"/>
      <c r="B1385" s="399"/>
      <c r="C1385" s="399"/>
      <c r="D1385" s="399"/>
      <c r="E1385" s="399"/>
      <c r="F1385" s="400"/>
      <c r="G1385" s="273"/>
      <c r="H1385" s="273"/>
      <c r="I1385" s="358"/>
      <c r="J1385" s="358"/>
      <c r="K1385" s="358"/>
      <c r="L1385" s="358"/>
      <c r="M1385" s="358"/>
      <c r="N1385" s="358"/>
      <c r="O1385" s="358"/>
      <c r="P1385" s="358"/>
      <c r="Q1385" s="358"/>
      <c r="R1385" s="358"/>
      <c r="S1385" s="358"/>
      <c r="T1385" s="358"/>
      <c r="U1385" s="358"/>
      <c r="V1385" s="358"/>
      <c r="W1385" s="358"/>
      <c r="X1385" s="358"/>
      <c r="Y1385" s="358"/>
      <c r="Z1385" s="358"/>
    </row>
    <row r="1386" ht="14.25" customHeight="1">
      <c r="A1386" s="358"/>
      <c r="B1386" s="399"/>
      <c r="C1386" s="399"/>
      <c r="D1386" s="399"/>
      <c r="E1386" s="399"/>
      <c r="F1386" s="400"/>
      <c r="G1386" s="273"/>
      <c r="H1386" s="273"/>
      <c r="I1386" s="358"/>
      <c r="J1386" s="358"/>
      <c r="K1386" s="358"/>
      <c r="L1386" s="358"/>
      <c r="M1386" s="358"/>
      <c r="N1386" s="358"/>
      <c r="O1386" s="358"/>
      <c r="P1386" s="358"/>
      <c r="Q1386" s="358"/>
      <c r="R1386" s="358"/>
      <c r="S1386" s="358"/>
      <c r="T1386" s="358"/>
      <c r="U1386" s="358"/>
      <c r="V1386" s="358"/>
      <c r="W1386" s="358"/>
      <c r="X1386" s="358"/>
      <c r="Y1386" s="358"/>
      <c r="Z1386" s="358"/>
    </row>
    <row r="1387" ht="14.25" customHeight="1">
      <c r="A1387" s="358"/>
      <c r="B1387" s="399"/>
      <c r="C1387" s="399"/>
      <c r="D1387" s="399"/>
      <c r="E1387" s="399"/>
      <c r="F1387" s="400"/>
      <c r="G1387" s="273"/>
      <c r="H1387" s="273"/>
      <c r="I1387" s="358"/>
      <c r="J1387" s="358"/>
      <c r="K1387" s="358"/>
      <c r="L1387" s="358"/>
      <c r="M1387" s="358"/>
      <c r="N1387" s="358"/>
      <c r="O1387" s="358"/>
      <c r="P1387" s="358"/>
      <c r="Q1387" s="358"/>
      <c r="R1387" s="358"/>
      <c r="S1387" s="358"/>
      <c r="T1387" s="358"/>
      <c r="U1387" s="358"/>
      <c r="V1387" s="358"/>
      <c r="W1387" s="358"/>
      <c r="X1387" s="358"/>
      <c r="Y1387" s="358"/>
      <c r="Z1387" s="358"/>
    </row>
    <row r="1388" ht="14.25" customHeight="1">
      <c r="A1388" s="358"/>
      <c r="B1388" s="399"/>
      <c r="C1388" s="399"/>
      <c r="D1388" s="399"/>
      <c r="E1388" s="399"/>
      <c r="F1388" s="400"/>
      <c r="G1388" s="273"/>
      <c r="H1388" s="273"/>
      <c r="I1388" s="358"/>
      <c r="J1388" s="358"/>
      <c r="K1388" s="358"/>
      <c r="L1388" s="358"/>
      <c r="M1388" s="358"/>
      <c r="N1388" s="358"/>
      <c r="O1388" s="358"/>
      <c r="P1388" s="358"/>
      <c r="Q1388" s="358"/>
      <c r="R1388" s="358"/>
      <c r="S1388" s="358"/>
      <c r="T1388" s="358"/>
      <c r="U1388" s="358"/>
      <c r="V1388" s="358"/>
      <c r="W1388" s="358"/>
      <c r="X1388" s="358"/>
      <c r="Y1388" s="358"/>
      <c r="Z1388" s="358"/>
    </row>
    <row r="1389" ht="14.25" customHeight="1">
      <c r="A1389" s="358"/>
      <c r="B1389" s="399"/>
      <c r="C1389" s="399"/>
      <c r="D1389" s="399"/>
      <c r="E1389" s="399"/>
      <c r="F1389" s="400"/>
      <c r="G1389" s="273"/>
      <c r="H1389" s="273"/>
      <c r="I1389" s="358"/>
      <c r="J1389" s="358"/>
      <c r="K1389" s="358"/>
      <c r="L1389" s="358"/>
      <c r="M1389" s="358"/>
      <c r="N1389" s="358"/>
      <c r="O1389" s="358"/>
      <c r="P1389" s="358"/>
      <c r="Q1389" s="358"/>
      <c r="R1389" s="358"/>
      <c r="S1389" s="358"/>
      <c r="T1389" s="358"/>
      <c r="U1389" s="358"/>
      <c r="V1389" s="358"/>
      <c r="W1389" s="358"/>
      <c r="X1389" s="358"/>
      <c r="Y1389" s="358"/>
      <c r="Z1389" s="358"/>
    </row>
    <row r="1390" ht="14.25" customHeight="1">
      <c r="A1390" s="358"/>
      <c r="B1390" s="399"/>
      <c r="C1390" s="399"/>
      <c r="D1390" s="399"/>
      <c r="E1390" s="399"/>
      <c r="F1390" s="400"/>
      <c r="G1390" s="273"/>
      <c r="H1390" s="273"/>
      <c r="I1390" s="358"/>
      <c r="J1390" s="358"/>
      <c r="K1390" s="358"/>
      <c r="L1390" s="358"/>
      <c r="M1390" s="358"/>
      <c r="N1390" s="358"/>
      <c r="O1390" s="358"/>
      <c r="P1390" s="358"/>
      <c r="Q1390" s="358"/>
      <c r="R1390" s="358"/>
      <c r="S1390" s="358"/>
      <c r="T1390" s="358"/>
      <c r="U1390" s="358"/>
      <c r="V1390" s="358"/>
      <c r="W1390" s="358"/>
      <c r="X1390" s="358"/>
      <c r="Y1390" s="358"/>
      <c r="Z1390" s="358"/>
    </row>
    <row r="1391" ht="14.25" customHeight="1">
      <c r="A1391" s="358"/>
      <c r="B1391" s="399"/>
      <c r="C1391" s="399"/>
      <c r="D1391" s="399"/>
      <c r="E1391" s="399"/>
      <c r="F1391" s="400"/>
      <c r="G1391" s="273"/>
      <c r="H1391" s="273"/>
      <c r="I1391" s="358"/>
      <c r="J1391" s="358"/>
      <c r="K1391" s="358"/>
      <c r="L1391" s="358"/>
      <c r="M1391" s="358"/>
      <c r="N1391" s="358"/>
      <c r="O1391" s="358"/>
      <c r="P1391" s="358"/>
      <c r="Q1391" s="358"/>
      <c r="R1391" s="358"/>
      <c r="S1391" s="358"/>
      <c r="T1391" s="358"/>
      <c r="U1391" s="358"/>
      <c r="V1391" s="358"/>
      <c r="W1391" s="358"/>
      <c r="X1391" s="358"/>
      <c r="Y1391" s="358"/>
      <c r="Z1391" s="358"/>
    </row>
    <row r="1392" ht="14.25" customHeight="1">
      <c r="A1392" s="358"/>
      <c r="B1392" s="399"/>
      <c r="C1392" s="399"/>
      <c r="D1392" s="399"/>
      <c r="E1392" s="399"/>
      <c r="F1392" s="400"/>
      <c r="G1392" s="273"/>
      <c r="H1392" s="273"/>
      <c r="I1392" s="358"/>
      <c r="J1392" s="358"/>
      <c r="K1392" s="358"/>
      <c r="L1392" s="358"/>
      <c r="M1392" s="358"/>
      <c r="N1392" s="358"/>
      <c r="O1392" s="358"/>
      <c r="P1392" s="358"/>
      <c r="Q1392" s="358"/>
      <c r="R1392" s="358"/>
      <c r="S1392" s="358"/>
      <c r="T1392" s="358"/>
      <c r="U1392" s="358"/>
      <c r="V1392" s="358"/>
      <c r="W1392" s="358"/>
      <c r="X1392" s="358"/>
      <c r="Y1392" s="358"/>
      <c r="Z1392" s="358"/>
    </row>
    <row r="1393" ht="14.25" customHeight="1">
      <c r="A1393" s="358"/>
      <c r="B1393" s="399"/>
      <c r="C1393" s="399"/>
      <c r="D1393" s="399"/>
      <c r="E1393" s="399"/>
      <c r="F1393" s="400"/>
      <c r="G1393" s="273"/>
      <c r="H1393" s="273"/>
      <c r="I1393" s="358"/>
      <c r="J1393" s="358"/>
      <c r="K1393" s="358"/>
      <c r="L1393" s="358"/>
      <c r="M1393" s="358"/>
      <c r="N1393" s="358"/>
      <c r="O1393" s="358"/>
      <c r="P1393" s="358"/>
      <c r="Q1393" s="358"/>
      <c r="R1393" s="358"/>
      <c r="S1393" s="358"/>
      <c r="T1393" s="358"/>
      <c r="U1393" s="358"/>
      <c r="V1393" s="358"/>
      <c r="W1393" s="358"/>
      <c r="X1393" s="358"/>
      <c r="Y1393" s="358"/>
      <c r="Z1393" s="358"/>
    </row>
    <row r="1394" ht="14.25" customHeight="1">
      <c r="A1394" s="358"/>
      <c r="B1394" s="399"/>
      <c r="C1394" s="399"/>
      <c r="D1394" s="399"/>
      <c r="E1394" s="399"/>
      <c r="F1394" s="400"/>
      <c r="G1394" s="273"/>
      <c r="H1394" s="273"/>
      <c r="I1394" s="358"/>
      <c r="J1394" s="358"/>
      <c r="K1394" s="358"/>
      <c r="L1394" s="358"/>
      <c r="M1394" s="358"/>
      <c r="N1394" s="358"/>
      <c r="O1394" s="358"/>
      <c r="P1394" s="358"/>
      <c r="Q1394" s="358"/>
      <c r="R1394" s="358"/>
      <c r="S1394" s="358"/>
      <c r="T1394" s="358"/>
      <c r="U1394" s="358"/>
      <c r="V1394" s="358"/>
      <c r="W1394" s="358"/>
      <c r="X1394" s="358"/>
      <c r="Y1394" s="358"/>
      <c r="Z1394" s="358"/>
    </row>
    <row r="1395" ht="14.25" customHeight="1">
      <c r="A1395" s="358"/>
      <c r="B1395" s="399"/>
      <c r="C1395" s="399"/>
      <c r="D1395" s="399"/>
      <c r="E1395" s="399"/>
      <c r="F1395" s="400"/>
      <c r="G1395" s="273"/>
      <c r="H1395" s="273"/>
      <c r="I1395" s="358"/>
      <c r="J1395" s="358"/>
      <c r="K1395" s="358"/>
      <c r="L1395" s="358"/>
      <c r="M1395" s="358"/>
      <c r="N1395" s="358"/>
      <c r="O1395" s="358"/>
      <c r="P1395" s="358"/>
      <c r="Q1395" s="358"/>
      <c r="R1395" s="358"/>
      <c r="S1395" s="358"/>
      <c r="T1395" s="358"/>
      <c r="U1395" s="358"/>
      <c r="V1395" s="358"/>
      <c r="W1395" s="358"/>
      <c r="X1395" s="358"/>
      <c r="Y1395" s="358"/>
      <c r="Z1395" s="358"/>
    </row>
    <row r="1396" ht="14.25" customHeight="1">
      <c r="A1396" s="358"/>
      <c r="B1396" s="399"/>
      <c r="C1396" s="399"/>
      <c r="D1396" s="399"/>
      <c r="E1396" s="399"/>
      <c r="F1396" s="400"/>
      <c r="G1396" s="273"/>
      <c r="H1396" s="273"/>
      <c r="I1396" s="358"/>
      <c r="J1396" s="358"/>
      <c r="K1396" s="358"/>
      <c r="L1396" s="358"/>
      <c r="M1396" s="358"/>
      <c r="N1396" s="358"/>
      <c r="O1396" s="358"/>
      <c r="P1396" s="358"/>
      <c r="Q1396" s="358"/>
      <c r="R1396" s="358"/>
      <c r="S1396" s="358"/>
      <c r="T1396" s="358"/>
      <c r="U1396" s="358"/>
      <c r="V1396" s="358"/>
      <c r="W1396" s="358"/>
      <c r="X1396" s="358"/>
      <c r="Y1396" s="358"/>
      <c r="Z1396" s="358"/>
    </row>
    <row r="1397" ht="14.25" customHeight="1">
      <c r="A1397" s="358"/>
      <c r="B1397" s="399"/>
      <c r="C1397" s="399"/>
      <c r="D1397" s="399"/>
      <c r="E1397" s="399"/>
      <c r="F1397" s="400"/>
      <c r="G1397" s="273"/>
      <c r="H1397" s="273"/>
      <c r="I1397" s="358"/>
      <c r="J1397" s="358"/>
      <c r="K1397" s="358"/>
      <c r="L1397" s="358"/>
      <c r="M1397" s="358"/>
      <c r="N1397" s="358"/>
      <c r="O1397" s="358"/>
      <c r="P1397" s="358"/>
      <c r="Q1397" s="358"/>
      <c r="R1397" s="358"/>
      <c r="S1397" s="358"/>
      <c r="T1397" s="358"/>
      <c r="U1397" s="358"/>
      <c r="V1397" s="358"/>
      <c r="W1397" s="358"/>
      <c r="X1397" s="358"/>
      <c r="Y1397" s="358"/>
      <c r="Z1397" s="358"/>
    </row>
    <row r="1398" ht="14.25" customHeight="1">
      <c r="A1398" s="358"/>
      <c r="B1398" s="399"/>
      <c r="C1398" s="399"/>
      <c r="D1398" s="399"/>
      <c r="E1398" s="399"/>
      <c r="F1398" s="400"/>
      <c r="G1398" s="273"/>
      <c r="H1398" s="273"/>
      <c r="I1398" s="358"/>
      <c r="J1398" s="358"/>
      <c r="K1398" s="358"/>
      <c r="L1398" s="358"/>
      <c r="M1398" s="358"/>
      <c r="N1398" s="358"/>
      <c r="O1398" s="358"/>
      <c r="P1398" s="358"/>
      <c r="Q1398" s="358"/>
      <c r="R1398" s="358"/>
      <c r="S1398" s="358"/>
      <c r="T1398" s="358"/>
      <c r="U1398" s="358"/>
      <c r="V1398" s="358"/>
      <c r="W1398" s="358"/>
      <c r="X1398" s="358"/>
      <c r="Y1398" s="358"/>
      <c r="Z1398" s="358"/>
    </row>
    <row r="1399" ht="14.25" customHeight="1">
      <c r="A1399" s="358"/>
      <c r="B1399" s="399"/>
      <c r="C1399" s="399"/>
      <c r="D1399" s="399"/>
      <c r="E1399" s="399"/>
      <c r="F1399" s="400"/>
      <c r="G1399" s="273"/>
      <c r="H1399" s="273"/>
      <c r="I1399" s="358"/>
      <c r="J1399" s="358"/>
      <c r="K1399" s="358"/>
      <c r="L1399" s="358"/>
      <c r="M1399" s="358"/>
      <c r="N1399" s="358"/>
      <c r="O1399" s="358"/>
      <c r="P1399" s="358"/>
      <c r="Q1399" s="358"/>
      <c r="R1399" s="358"/>
      <c r="S1399" s="358"/>
      <c r="T1399" s="358"/>
      <c r="U1399" s="358"/>
      <c r="V1399" s="358"/>
      <c r="W1399" s="358"/>
      <c r="X1399" s="358"/>
      <c r="Y1399" s="358"/>
      <c r="Z1399" s="358"/>
    </row>
    <row r="1400" ht="14.25" customHeight="1">
      <c r="A1400" s="358"/>
      <c r="B1400" s="399"/>
      <c r="C1400" s="399"/>
      <c r="D1400" s="399"/>
      <c r="E1400" s="399"/>
      <c r="F1400" s="400"/>
      <c r="G1400" s="273"/>
      <c r="H1400" s="273"/>
      <c r="I1400" s="358"/>
      <c r="J1400" s="358"/>
      <c r="K1400" s="358"/>
      <c r="L1400" s="358"/>
      <c r="M1400" s="358"/>
      <c r="N1400" s="358"/>
      <c r="O1400" s="358"/>
      <c r="P1400" s="358"/>
      <c r="Q1400" s="358"/>
      <c r="R1400" s="358"/>
      <c r="S1400" s="358"/>
      <c r="T1400" s="358"/>
      <c r="U1400" s="358"/>
      <c r="V1400" s="358"/>
      <c r="W1400" s="358"/>
      <c r="X1400" s="358"/>
      <c r="Y1400" s="358"/>
      <c r="Z1400" s="358"/>
    </row>
    <row r="1401" ht="14.25" customHeight="1">
      <c r="A1401" s="358"/>
      <c r="B1401" s="399"/>
      <c r="C1401" s="399"/>
      <c r="D1401" s="399"/>
      <c r="E1401" s="399"/>
      <c r="F1401" s="400"/>
      <c r="G1401" s="273"/>
      <c r="H1401" s="273"/>
      <c r="I1401" s="358"/>
      <c r="J1401" s="358"/>
      <c r="K1401" s="358"/>
      <c r="L1401" s="358"/>
      <c r="M1401" s="358"/>
      <c r="N1401" s="358"/>
      <c r="O1401" s="358"/>
      <c r="P1401" s="358"/>
      <c r="Q1401" s="358"/>
      <c r="R1401" s="358"/>
      <c r="S1401" s="358"/>
      <c r="T1401" s="358"/>
      <c r="U1401" s="358"/>
      <c r="V1401" s="358"/>
      <c r="W1401" s="358"/>
      <c r="X1401" s="358"/>
      <c r="Y1401" s="358"/>
      <c r="Z1401" s="358"/>
    </row>
    <row r="1402" ht="14.25" customHeight="1">
      <c r="A1402" s="358"/>
      <c r="B1402" s="399"/>
      <c r="C1402" s="399"/>
      <c r="D1402" s="399"/>
      <c r="E1402" s="399"/>
      <c r="F1402" s="400"/>
      <c r="G1402" s="273"/>
      <c r="H1402" s="273"/>
      <c r="I1402" s="358"/>
      <c r="J1402" s="358"/>
      <c r="K1402" s="358"/>
      <c r="L1402" s="358"/>
      <c r="M1402" s="358"/>
      <c r="N1402" s="358"/>
      <c r="O1402" s="358"/>
      <c r="P1402" s="358"/>
      <c r="Q1402" s="358"/>
      <c r="R1402" s="358"/>
      <c r="S1402" s="358"/>
      <c r="T1402" s="358"/>
      <c r="U1402" s="358"/>
      <c r="V1402" s="358"/>
      <c r="W1402" s="358"/>
      <c r="X1402" s="358"/>
      <c r="Y1402" s="358"/>
      <c r="Z1402" s="358"/>
    </row>
    <row r="1403" ht="14.25" customHeight="1">
      <c r="A1403" s="358"/>
      <c r="B1403" s="399"/>
      <c r="C1403" s="399"/>
      <c r="D1403" s="399"/>
      <c r="E1403" s="399"/>
      <c r="F1403" s="400"/>
      <c r="G1403" s="273"/>
      <c r="H1403" s="273"/>
      <c r="I1403" s="358"/>
      <c r="J1403" s="358"/>
      <c r="K1403" s="358"/>
      <c r="L1403" s="358"/>
      <c r="M1403" s="358"/>
      <c r="N1403" s="358"/>
      <c r="O1403" s="358"/>
      <c r="P1403" s="358"/>
      <c r="Q1403" s="358"/>
      <c r="R1403" s="358"/>
      <c r="S1403" s="358"/>
      <c r="T1403" s="358"/>
      <c r="U1403" s="358"/>
      <c r="V1403" s="358"/>
      <c r="W1403" s="358"/>
      <c r="X1403" s="358"/>
      <c r="Y1403" s="358"/>
      <c r="Z1403" s="358"/>
    </row>
    <row r="1404" ht="14.25" customHeight="1">
      <c r="A1404" s="358"/>
      <c r="B1404" s="399"/>
      <c r="C1404" s="399"/>
      <c r="D1404" s="399"/>
      <c r="E1404" s="399"/>
      <c r="F1404" s="400"/>
      <c r="G1404" s="273"/>
      <c r="H1404" s="273"/>
      <c r="I1404" s="358"/>
      <c r="J1404" s="358"/>
      <c r="K1404" s="358"/>
      <c r="L1404" s="358"/>
      <c r="M1404" s="358"/>
      <c r="N1404" s="358"/>
      <c r="O1404" s="358"/>
      <c r="P1404" s="358"/>
      <c r="Q1404" s="358"/>
      <c r="R1404" s="358"/>
      <c r="S1404" s="358"/>
      <c r="T1404" s="358"/>
      <c r="U1404" s="358"/>
      <c r="V1404" s="358"/>
      <c r="W1404" s="358"/>
      <c r="X1404" s="358"/>
      <c r="Y1404" s="358"/>
      <c r="Z1404" s="358"/>
    </row>
    <row r="1405" ht="14.25" customHeight="1">
      <c r="A1405" s="358"/>
      <c r="B1405" s="399"/>
      <c r="C1405" s="399"/>
      <c r="D1405" s="399"/>
      <c r="E1405" s="399"/>
      <c r="F1405" s="400"/>
      <c r="G1405" s="273"/>
      <c r="H1405" s="273"/>
      <c r="I1405" s="358"/>
      <c r="J1405" s="358"/>
      <c r="K1405" s="358"/>
      <c r="L1405" s="358"/>
      <c r="M1405" s="358"/>
      <c r="N1405" s="358"/>
      <c r="O1405" s="358"/>
      <c r="P1405" s="358"/>
      <c r="Q1405" s="358"/>
      <c r="R1405" s="358"/>
      <c r="S1405" s="358"/>
      <c r="T1405" s="358"/>
      <c r="U1405" s="358"/>
      <c r="V1405" s="358"/>
      <c r="W1405" s="358"/>
      <c r="X1405" s="358"/>
      <c r="Y1405" s="358"/>
      <c r="Z1405" s="358"/>
    </row>
    <row r="1406" ht="14.25" customHeight="1">
      <c r="A1406" s="358"/>
      <c r="B1406" s="399"/>
      <c r="C1406" s="399"/>
      <c r="D1406" s="399"/>
      <c r="E1406" s="399"/>
      <c r="F1406" s="400"/>
      <c r="G1406" s="273"/>
      <c r="H1406" s="273"/>
      <c r="I1406" s="358"/>
      <c r="J1406" s="358"/>
      <c r="K1406" s="358"/>
      <c r="L1406" s="358"/>
      <c r="M1406" s="358"/>
      <c r="N1406" s="358"/>
      <c r="O1406" s="358"/>
      <c r="P1406" s="358"/>
      <c r="Q1406" s="358"/>
      <c r="R1406" s="358"/>
      <c r="S1406" s="358"/>
      <c r="T1406" s="358"/>
      <c r="U1406" s="358"/>
      <c r="V1406" s="358"/>
      <c r="W1406" s="358"/>
      <c r="X1406" s="358"/>
      <c r="Y1406" s="358"/>
      <c r="Z1406" s="358"/>
    </row>
    <row r="1407" ht="14.25" customHeight="1">
      <c r="A1407" s="358"/>
      <c r="B1407" s="399"/>
      <c r="C1407" s="399"/>
      <c r="D1407" s="399"/>
      <c r="E1407" s="399"/>
      <c r="F1407" s="400"/>
      <c r="G1407" s="273"/>
      <c r="H1407" s="273"/>
      <c r="I1407" s="358"/>
      <c r="J1407" s="358"/>
      <c r="K1407" s="358"/>
      <c r="L1407" s="358"/>
      <c r="M1407" s="358"/>
      <c r="N1407" s="358"/>
      <c r="O1407" s="358"/>
      <c r="P1407" s="358"/>
      <c r="Q1407" s="358"/>
      <c r="R1407" s="358"/>
      <c r="S1407" s="358"/>
      <c r="T1407" s="358"/>
      <c r="U1407" s="358"/>
      <c r="V1407" s="358"/>
      <c r="W1407" s="358"/>
      <c r="X1407" s="358"/>
      <c r="Y1407" s="358"/>
      <c r="Z1407" s="358"/>
    </row>
    <row r="1408" ht="14.25" customHeight="1">
      <c r="A1408" s="358"/>
      <c r="B1408" s="399"/>
      <c r="C1408" s="399"/>
      <c r="D1408" s="399"/>
      <c r="E1408" s="399"/>
      <c r="F1408" s="400"/>
      <c r="G1408" s="273"/>
      <c r="H1408" s="273"/>
      <c r="I1408" s="358"/>
      <c r="J1408" s="358"/>
      <c r="K1408" s="358"/>
      <c r="L1408" s="358"/>
      <c r="M1408" s="358"/>
      <c r="N1408" s="358"/>
      <c r="O1408" s="358"/>
      <c r="P1408" s="358"/>
      <c r="Q1408" s="358"/>
      <c r="R1408" s="358"/>
      <c r="S1408" s="358"/>
      <c r="T1408" s="358"/>
      <c r="U1408" s="358"/>
      <c r="V1408" s="358"/>
      <c r="W1408" s="358"/>
      <c r="X1408" s="358"/>
      <c r="Y1408" s="358"/>
      <c r="Z1408" s="358"/>
    </row>
    <row r="1409" ht="14.25" customHeight="1">
      <c r="A1409" s="358"/>
      <c r="B1409" s="399"/>
      <c r="C1409" s="399"/>
      <c r="D1409" s="399"/>
      <c r="E1409" s="399"/>
      <c r="F1409" s="400"/>
      <c r="G1409" s="273"/>
      <c r="H1409" s="273"/>
      <c r="I1409" s="358"/>
      <c r="J1409" s="358"/>
      <c r="K1409" s="358"/>
      <c r="L1409" s="358"/>
      <c r="M1409" s="358"/>
      <c r="N1409" s="358"/>
      <c r="O1409" s="358"/>
      <c r="P1409" s="358"/>
      <c r="Q1409" s="358"/>
      <c r="R1409" s="358"/>
      <c r="S1409" s="358"/>
      <c r="T1409" s="358"/>
      <c r="U1409" s="358"/>
      <c r="V1409" s="358"/>
      <c r="W1409" s="358"/>
      <c r="X1409" s="358"/>
      <c r="Y1409" s="358"/>
      <c r="Z1409" s="358"/>
    </row>
    <row r="1410" ht="14.25" customHeight="1">
      <c r="A1410" s="358"/>
      <c r="B1410" s="399"/>
      <c r="C1410" s="399"/>
      <c r="D1410" s="399"/>
      <c r="E1410" s="399"/>
      <c r="F1410" s="400"/>
      <c r="G1410" s="273"/>
      <c r="H1410" s="273"/>
      <c r="I1410" s="358"/>
      <c r="J1410" s="358"/>
      <c r="K1410" s="358"/>
      <c r="L1410" s="358"/>
      <c r="M1410" s="358"/>
      <c r="N1410" s="358"/>
      <c r="O1410" s="358"/>
      <c r="P1410" s="358"/>
      <c r="Q1410" s="358"/>
      <c r="R1410" s="358"/>
      <c r="S1410" s="358"/>
      <c r="T1410" s="358"/>
      <c r="U1410" s="358"/>
      <c r="V1410" s="358"/>
      <c r="W1410" s="358"/>
      <c r="X1410" s="358"/>
      <c r="Y1410" s="358"/>
      <c r="Z1410" s="358"/>
    </row>
    <row r="1411" ht="14.25" customHeight="1">
      <c r="A1411" s="358"/>
      <c r="B1411" s="399"/>
      <c r="C1411" s="399"/>
      <c r="D1411" s="399"/>
      <c r="E1411" s="399"/>
      <c r="F1411" s="400"/>
      <c r="G1411" s="273"/>
      <c r="H1411" s="273"/>
      <c r="I1411" s="358"/>
      <c r="J1411" s="358"/>
      <c r="K1411" s="358"/>
      <c r="L1411" s="358"/>
      <c r="M1411" s="358"/>
      <c r="N1411" s="358"/>
      <c r="O1411" s="358"/>
      <c r="P1411" s="358"/>
      <c r="Q1411" s="358"/>
      <c r="R1411" s="358"/>
      <c r="S1411" s="358"/>
      <c r="T1411" s="358"/>
      <c r="U1411" s="358"/>
      <c r="V1411" s="358"/>
      <c r="W1411" s="358"/>
      <c r="X1411" s="358"/>
      <c r="Y1411" s="358"/>
      <c r="Z1411" s="358"/>
    </row>
    <row r="1412" ht="14.25" customHeight="1">
      <c r="A1412" s="358"/>
      <c r="B1412" s="399"/>
      <c r="C1412" s="399"/>
      <c r="D1412" s="399"/>
      <c r="E1412" s="399"/>
      <c r="F1412" s="400"/>
      <c r="G1412" s="273"/>
      <c r="H1412" s="273"/>
      <c r="I1412" s="358"/>
      <c r="J1412" s="358"/>
      <c r="K1412" s="358"/>
      <c r="L1412" s="358"/>
      <c r="M1412" s="358"/>
      <c r="N1412" s="358"/>
      <c r="O1412" s="358"/>
      <c r="P1412" s="358"/>
      <c r="Q1412" s="358"/>
      <c r="R1412" s="358"/>
      <c r="S1412" s="358"/>
      <c r="T1412" s="358"/>
      <c r="U1412" s="358"/>
      <c r="V1412" s="358"/>
      <c r="W1412" s="358"/>
      <c r="X1412" s="358"/>
      <c r="Y1412" s="358"/>
      <c r="Z1412" s="358"/>
    </row>
    <row r="1413" ht="14.25" customHeight="1">
      <c r="A1413" s="358"/>
      <c r="B1413" s="399"/>
      <c r="C1413" s="399"/>
      <c r="D1413" s="399"/>
      <c r="E1413" s="399"/>
      <c r="F1413" s="400"/>
      <c r="G1413" s="273"/>
      <c r="H1413" s="273"/>
      <c r="I1413" s="358"/>
      <c r="J1413" s="358"/>
      <c r="K1413" s="358"/>
      <c r="L1413" s="358"/>
      <c r="M1413" s="358"/>
      <c r="N1413" s="358"/>
      <c r="O1413" s="358"/>
      <c r="P1413" s="358"/>
      <c r="Q1413" s="358"/>
      <c r="R1413" s="358"/>
      <c r="S1413" s="358"/>
      <c r="T1413" s="358"/>
      <c r="U1413" s="358"/>
      <c r="V1413" s="358"/>
      <c r="W1413" s="358"/>
      <c r="X1413" s="358"/>
      <c r="Y1413" s="358"/>
      <c r="Z1413" s="358"/>
    </row>
    <row r="1414" ht="14.25" customHeight="1">
      <c r="A1414" s="358"/>
      <c r="B1414" s="399"/>
      <c r="C1414" s="399"/>
      <c r="D1414" s="399"/>
      <c r="E1414" s="399"/>
      <c r="F1414" s="400"/>
      <c r="G1414" s="273"/>
      <c r="H1414" s="273"/>
      <c r="I1414" s="358"/>
      <c r="J1414" s="358"/>
      <c r="K1414" s="358"/>
      <c r="L1414" s="358"/>
      <c r="M1414" s="358"/>
      <c r="N1414" s="358"/>
      <c r="O1414" s="358"/>
      <c r="P1414" s="358"/>
      <c r="Q1414" s="358"/>
      <c r="R1414" s="358"/>
      <c r="S1414" s="358"/>
      <c r="T1414" s="358"/>
      <c r="U1414" s="358"/>
      <c r="V1414" s="358"/>
      <c r="W1414" s="358"/>
      <c r="X1414" s="358"/>
      <c r="Y1414" s="358"/>
      <c r="Z1414" s="358"/>
    </row>
    <row r="1415" ht="14.25" customHeight="1">
      <c r="A1415" s="358"/>
      <c r="B1415" s="399"/>
      <c r="C1415" s="399"/>
      <c r="D1415" s="399"/>
      <c r="E1415" s="399"/>
      <c r="F1415" s="400"/>
      <c r="G1415" s="273"/>
      <c r="H1415" s="273"/>
      <c r="I1415" s="358"/>
      <c r="J1415" s="358"/>
      <c r="K1415" s="358"/>
      <c r="L1415" s="358"/>
      <c r="M1415" s="358"/>
      <c r="N1415" s="358"/>
      <c r="O1415" s="358"/>
      <c r="P1415" s="358"/>
      <c r="Q1415" s="358"/>
      <c r="R1415" s="358"/>
      <c r="S1415" s="358"/>
      <c r="T1415" s="358"/>
      <c r="U1415" s="358"/>
      <c r="V1415" s="358"/>
      <c r="W1415" s="358"/>
      <c r="X1415" s="358"/>
      <c r="Y1415" s="358"/>
      <c r="Z1415" s="358"/>
    </row>
    <row r="1416" ht="14.25" customHeight="1">
      <c r="A1416" s="358"/>
      <c r="B1416" s="399"/>
      <c r="C1416" s="399"/>
      <c r="D1416" s="399"/>
      <c r="E1416" s="399"/>
      <c r="F1416" s="400"/>
      <c r="G1416" s="273"/>
      <c r="H1416" s="273"/>
      <c r="I1416" s="358"/>
      <c r="J1416" s="358"/>
      <c r="K1416" s="358"/>
      <c r="L1416" s="358"/>
      <c r="M1416" s="358"/>
      <c r="N1416" s="358"/>
      <c r="O1416" s="358"/>
      <c r="P1416" s="358"/>
      <c r="Q1416" s="358"/>
      <c r="R1416" s="358"/>
      <c r="S1416" s="358"/>
      <c r="T1416" s="358"/>
      <c r="U1416" s="358"/>
      <c r="V1416" s="358"/>
      <c r="W1416" s="358"/>
      <c r="X1416" s="358"/>
      <c r="Y1416" s="358"/>
      <c r="Z1416" s="358"/>
    </row>
    <row r="1417" ht="14.25" customHeight="1">
      <c r="A1417" s="358"/>
      <c r="B1417" s="399"/>
      <c r="C1417" s="399"/>
      <c r="D1417" s="399"/>
      <c r="E1417" s="399"/>
      <c r="F1417" s="400"/>
      <c r="G1417" s="273"/>
      <c r="H1417" s="273"/>
      <c r="I1417" s="358"/>
      <c r="J1417" s="358"/>
      <c r="K1417" s="358"/>
      <c r="L1417" s="358"/>
      <c r="M1417" s="358"/>
      <c r="N1417" s="358"/>
      <c r="O1417" s="358"/>
      <c r="P1417" s="358"/>
      <c r="Q1417" s="358"/>
      <c r="R1417" s="358"/>
      <c r="S1417" s="358"/>
      <c r="T1417" s="358"/>
      <c r="U1417" s="358"/>
      <c r="V1417" s="358"/>
      <c r="W1417" s="358"/>
      <c r="X1417" s="358"/>
      <c r="Y1417" s="358"/>
      <c r="Z1417" s="358"/>
    </row>
    <row r="1418" ht="14.25" customHeight="1">
      <c r="A1418" s="358"/>
      <c r="B1418" s="399"/>
      <c r="C1418" s="399"/>
      <c r="D1418" s="399"/>
      <c r="E1418" s="399"/>
      <c r="F1418" s="400"/>
      <c r="G1418" s="273"/>
      <c r="H1418" s="273"/>
      <c r="I1418" s="358"/>
      <c r="J1418" s="358"/>
      <c r="K1418" s="358"/>
      <c r="L1418" s="358"/>
      <c r="M1418" s="358"/>
      <c r="N1418" s="358"/>
      <c r="O1418" s="358"/>
      <c r="P1418" s="358"/>
      <c r="Q1418" s="358"/>
      <c r="R1418" s="358"/>
      <c r="S1418" s="358"/>
      <c r="T1418" s="358"/>
      <c r="U1418" s="358"/>
      <c r="V1418" s="358"/>
      <c r="W1418" s="358"/>
      <c r="X1418" s="358"/>
      <c r="Y1418" s="358"/>
      <c r="Z1418" s="358"/>
    </row>
    <row r="1419" ht="14.25" customHeight="1">
      <c r="A1419" s="358"/>
      <c r="B1419" s="399"/>
      <c r="C1419" s="399"/>
      <c r="D1419" s="399"/>
      <c r="E1419" s="399"/>
      <c r="F1419" s="400"/>
      <c r="G1419" s="273"/>
      <c r="H1419" s="273"/>
      <c r="I1419" s="358"/>
      <c r="J1419" s="358"/>
      <c r="K1419" s="358"/>
      <c r="L1419" s="358"/>
      <c r="M1419" s="358"/>
      <c r="N1419" s="358"/>
      <c r="O1419" s="358"/>
      <c r="P1419" s="358"/>
      <c r="Q1419" s="358"/>
      <c r="R1419" s="358"/>
      <c r="S1419" s="358"/>
      <c r="T1419" s="358"/>
      <c r="U1419" s="358"/>
      <c r="V1419" s="358"/>
      <c r="W1419" s="358"/>
      <c r="X1419" s="358"/>
      <c r="Y1419" s="358"/>
      <c r="Z1419" s="358"/>
    </row>
    <row r="1420" ht="14.25" customHeight="1">
      <c r="A1420" s="358"/>
      <c r="B1420" s="399"/>
      <c r="C1420" s="399"/>
      <c r="D1420" s="399"/>
      <c r="E1420" s="399"/>
      <c r="F1420" s="400"/>
      <c r="G1420" s="273"/>
      <c r="H1420" s="273"/>
      <c r="I1420" s="358"/>
      <c r="J1420" s="358"/>
      <c r="K1420" s="358"/>
      <c r="L1420" s="358"/>
      <c r="M1420" s="358"/>
      <c r="N1420" s="358"/>
      <c r="O1420" s="358"/>
      <c r="P1420" s="358"/>
      <c r="Q1420" s="358"/>
      <c r="R1420" s="358"/>
      <c r="S1420" s="358"/>
      <c r="T1420" s="358"/>
      <c r="U1420" s="358"/>
      <c r="V1420" s="358"/>
      <c r="W1420" s="358"/>
      <c r="X1420" s="358"/>
      <c r="Y1420" s="358"/>
      <c r="Z1420" s="358"/>
    </row>
    <row r="1421" ht="14.25" customHeight="1">
      <c r="A1421" s="358"/>
      <c r="B1421" s="399"/>
      <c r="C1421" s="399"/>
      <c r="D1421" s="399"/>
      <c r="E1421" s="399"/>
      <c r="F1421" s="400"/>
      <c r="G1421" s="273"/>
      <c r="H1421" s="273"/>
      <c r="I1421" s="358"/>
      <c r="J1421" s="358"/>
      <c r="K1421" s="358"/>
      <c r="L1421" s="358"/>
      <c r="M1421" s="358"/>
      <c r="N1421" s="358"/>
      <c r="O1421" s="358"/>
      <c r="P1421" s="358"/>
      <c r="Q1421" s="358"/>
      <c r="R1421" s="358"/>
      <c r="S1421" s="358"/>
      <c r="T1421" s="358"/>
      <c r="U1421" s="358"/>
      <c r="V1421" s="358"/>
      <c r="W1421" s="358"/>
      <c r="X1421" s="358"/>
      <c r="Y1421" s="358"/>
      <c r="Z1421" s="358"/>
    </row>
    <row r="1422" ht="14.25" customHeight="1">
      <c r="A1422" s="358"/>
      <c r="B1422" s="399"/>
      <c r="C1422" s="399"/>
      <c r="D1422" s="399"/>
      <c r="E1422" s="399"/>
      <c r="F1422" s="400"/>
      <c r="G1422" s="273"/>
      <c r="H1422" s="273"/>
      <c r="I1422" s="358"/>
      <c r="J1422" s="358"/>
      <c r="K1422" s="358"/>
      <c r="L1422" s="358"/>
      <c r="M1422" s="358"/>
      <c r="N1422" s="358"/>
      <c r="O1422" s="358"/>
      <c r="P1422" s="358"/>
      <c r="Q1422" s="358"/>
      <c r="R1422" s="358"/>
      <c r="S1422" s="358"/>
      <c r="T1422" s="358"/>
      <c r="U1422" s="358"/>
      <c r="V1422" s="358"/>
      <c r="W1422" s="358"/>
      <c r="X1422" s="358"/>
      <c r="Y1422" s="358"/>
      <c r="Z1422" s="358"/>
    </row>
    <row r="1423" ht="14.25" customHeight="1">
      <c r="A1423" s="358"/>
      <c r="B1423" s="399"/>
      <c r="C1423" s="399"/>
      <c r="D1423" s="399"/>
      <c r="E1423" s="399"/>
      <c r="F1423" s="400"/>
      <c r="G1423" s="273"/>
      <c r="H1423" s="273"/>
      <c r="I1423" s="358"/>
      <c r="J1423" s="358"/>
      <c r="K1423" s="358"/>
      <c r="L1423" s="358"/>
      <c r="M1423" s="358"/>
      <c r="N1423" s="358"/>
      <c r="O1423" s="358"/>
      <c r="P1423" s="358"/>
      <c r="Q1423" s="358"/>
      <c r="R1423" s="358"/>
      <c r="S1423" s="358"/>
      <c r="T1423" s="358"/>
      <c r="U1423" s="358"/>
      <c r="V1423" s="358"/>
      <c r="W1423" s="358"/>
      <c r="X1423" s="358"/>
      <c r="Y1423" s="358"/>
      <c r="Z1423" s="358"/>
    </row>
    <row r="1424" ht="14.25" customHeight="1">
      <c r="A1424" s="358"/>
      <c r="B1424" s="399"/>
      <c r="C1424" s="399"/>
      <c r="D1424" s="399"/>
      <c r="E1424" s="399"/>
      <c r="F1424" s="400"/>
      <c r="G1424" s="273"/>
      <c r="H1424" s="273"/>
      <c r="I1424" s="358"/>
      <c r="J1424" s="358"/>
      <c r="K1424" s="358"/>
      <c r="L1424" s="358"/>
      <c r="M1424" s="358"/>
      <c r="N1424" s="358"/>
      <c r="O1424" s="358"/>
      <c r="P1424" s="358"/>
      <c r="Q1424" s="358"/>
      <c r="R1424" s="358"/>
      <c r="S1424" s="358"/>
      <c r="T1424" s="358"/>
      <c r="U1424" s="358"/>
      <c r="V1424" s="358"/>
      <c r="W1424" s="358"/>
      <c r="X1424" s="358"/>
      <c r="Y1424" s="358"/>
      <c r="Z1424" s="358"/>
    </row>
    <row r="1425" ht="14.25" customHeight="1">
      <c r="A1425" s="358"/>
      <c r="B1425" s="399"/>
      <c r="C1425" s="399"/>
      <c r="D1425" s="399"/>
      <c r="E1425" s="399"/>
      <c r="F1425" s="400"/>
      <c r="G1425" s="273"/>
      <c r="H1425" s="273"/>
      <c r="I1425" s="358"/>
      <c r="J1425" s="358"/>
      <c r="K1425" s="358"/>
      <c r="L1425" s="358"/>
      <c r="M1425" s="358"/>
      <c r="N1425" s="358"/>
      <c r="O1425" s="358"/>
      <c r="P1425" s="358"/>
      <c r="Q1425" s="358"/>
      <c r="R1425" s="358"/>
      <c r="S1425" s="358"/>
      <c r="T1425" s="358"/>
      <c r="U1425" s="358"/>
      <c r="V1425" s="358"/>
      <c r="W1425" s="358"/>
      <c r="X1425" s="358"/>
      <c r="Y1425" s="358"/>
      <c r="Z1425" s="358"/>
    </row>
    <row r="1426" ht="14.25" customHeight="1">
      <c r="A1426" s="358"/>
      <c r="B1426" s="399"/>
      <c r="C1426" s="399"/>
      <c r="D1426" s="399"/>
      <c r="E1426" s="399"/>
      <c r="F1426" s="400"/>
      <c r="G1426" s="273"/>
      <c r="H1426" s="273"/>
      <c r="I1426" s="358"/>
      <c r="J1426" s="358"/>
      <c r="K1426" s="358"/>
      <c r="L1426" s="358"/>
      <c r="M1426" s="358"/>
      <c r="N1426" s="358"/>
      <c r="O1426" s="358"/>
      <c r="P1426" s="358"/>
      <c r="Q1426" s="358"/>
      <c r="R1426" s="358"/>
      <c r="S1426" s="358"/>
      <c r="T1426" s="358"/>
      <c r="U1426" s="358"/>
      <c r="V1426" s="358"/>
      <c r="W1426" s="358"/>
      <c r="X1426" s="358"/>
      <c r="Y1426" s="358"/>
      <c r="Z1426" s="358"/>
    </row>
    <row r="1427" ht="14.25" customHeight="1">
      <c r="A1427" s="358"/>
      <c r="B1427" s="399"/>
      <c r="C1427" s="399"/>
      <c r="D1427" s="399"/>
      <c r="E1427" s="399"/>
      <c r="F1427" s="400"/>
      <c r="G1427" s="273"/>
      <c r="H1427" s="273"/>
      <c r="I1427" s="358"/>
      <c r="J1427" s="358"/>
      <c r="K1427" s="358"/>
      <c r="L1427" s="358"/>
      <c r="M1427" s="358"/>
      <c r="N1427" s="358"/>
      <c r="O1427" s="358"/>
      <c r="P1427" s="358"/>
      <c r="Q1427" s="358"/>
      <c r="R1427" s="358"/>
      <c r="S1427" s="358"/>
      <c r="T1427" s="358"/>
      <c r="U1427" s="358"/>
      <c r="V1427" s="358"/>
      <c r="W1427" s="358"/>
      <c r="X1427" s="358"/>
      <c r="Y1427" s="358"/>
      <c r="Z1427" s="358"/>
    </row>
    <row r="1428" ht="14.25" customHeight="1">
      <c r="A1428" s="358"/>
      <c r="B1428" s="399"/>
      <c r="C1428" s="399"/>
      <c r="D1428" s="399"/>
      <c r="E1428" s="399"/>
      <c r="F1428" s="400"/>
      <c r="G1428" s="273"/>
      <c r="H1428" s="273"/>
      <c r="I1428" s="358"/>
      <c r="J1428" s="358"/>
      <c r="K1428" s="358"/>
      <c r="L1428" s="358"/>
      <c r="M1428" s="358"/>
      <c r="N1428" s="358"/>
      <c r="O1428" s="358"/>
      <c r="P1428" s="358"/>
      <c r="Q1428" s="358"/>
      <c r="R1428" s="358"/>
      <c r="S1428" s="358"/>
      <c r="T1428" s="358"/>
      <c r="U1428" s="358"/>
      <c r="V1428" s="358"/>
      <c r="W1428" s="358"/>
      <c r="X1428" s="358"/>
      <c r="Y1428" s="358"/>
      <c r="Z1428" s="358"/>
    </row>
    <row r="1429" ht="14.25" customHeight="1">
      <c r="A1429" s="358"/>
      <c r="B1429" s="399"/>
      <c r="C1429" s="399"/>
      <c r="D1429" s="399"/>
      <c r="E1429" s="399"/>
      <c r="F1429" s="400"/>
      <c r="G1429" s="273"/>
      <c r="H1429" s="273"/>
      <c r="I1429" s="358"/>
      <c r="J1429" s="358"/>
      <c r="K1429" s="358"/>
      <c r="L1429" s="358"/>
      <c r="M1429" s="358"/>
      <c r="N1429" s="358"/>
      <c r="O1429" s="358"/>
      <c r="P1429" s="358"/>
      <c r="Q1429" s="358"/>
      <c r="R1429" s="358"/>
      <c r="S1429" s="358"/>
      <c r="T1429" s="358"/>
      <c r="U1429" s="358"/>
      <c r="V1429" s="358"/>
      <c r="W1429" s="358"/>
      <c r="X1429" s="358"/>
      <c r="Y1429" s="358"/>
      <c r="Z1429" s="358"/>
    </row>
    <row r="1430" ht="14.25" customHeight="1">
      <c r="A1430" s="358"/>
      <c r="B1430" s="399"/>
      <c r="C1430" s="399"/>
      <c r="D1430" s="399"/>
      <c r="E1430" s="399"/>
      <c r="F1430" s="400"/>
      <c r="G1430" s="273"/>
      <c r="H1430" s="273"/>
      <c r="I1430" s="358"/>
      <c r="J1430" s="358"/>
      <c r="K1430" s="358"/>
      <c r="L1430" s="358"/>
      <c r="M1430" s="358"/>
      <c r="N1430" s="358"/>
      <c r="O1430" s="358"/>
      <c r="P1430" s="358"/>
      <c r="Q1430" s="358"/>
      <c r="R1430" s="358"/>
      <c r="S1430" s="358"/>
      <c r="T1430" s="358"/>
      <c r="U1430" s="358"/>
      <c r="V1430" s="358"/>
      <c r="W1430" s="358"/>
      <c r="X1430" s="358"/>
      <c r="Y1430" s="358"/>
      <c r="Z1430" s="358"/>
    </row>
    <row r="1431" ht="14.25" customHeight="1">
      <c r="A1431" s="358"/>
      <c r="B1431" s="399"/>
      <c r="C1431" s="399"/>
      <c r="D1431" s="399"/>
      <c r="E1431" s="399"/>
      <c r="F1431" s="400"/>
      <c r="G1431" s="273"/>
      <c r="H1431" s="273"/>
      <c r="I1431" s="358"/>
      <c r="J1431" s="358"/>
      <c r="K1431" s="358"/>
      <c r="L1431" s="358"/>
      <c r="M1431" s="358"/>
      <c r="N1431" s="358"/>
      <c r="O1431" s="358"/>
      <c r="P1431" s="358"/>
      <c r="Q1431" s="358"/>
      <c r="R1431" s="358"/>
      <c r="S1431" s="358"/>
      <c r="T1431" s="358"/>
      <c r="U1431" s="358"/>
      <c r="V1431" s="358"/>
      <c r="W1431" s="358"/>
      <c r="X1431" s="358"/>
      <c r="Y1431" s="358"/>
      <c r="Z1431" s="358"/>
    </row>
    <row r="1432" ht="14.25" customHeight="1">
      <c r="A1432" s="358"/>
      <c r="B1432" s="399"/>
      <c r="C1432" s="399"/>
      <c r="D1432" s="399"/>
      <c r="E1432" s="399"/>
      <c r="F1432" s="400"/>
      <c r="G1432" s="273"/>
      <c r="H1432" s="273"/>
      <c r="I1432" s="358"/>
      <c r="J1432" s="358"/>
      <c r="K1432" s="358"/>
      <c r="L1432" s="358"/>
      <c r="M1432" s="358"/>
      <c r="N1432" s="358"/>
      <c r="O1432" s="358"/>
      <c r="P1432" s="358"/>
      <c r="Q1432" s="358"/>
      <c r="R1432" s="358"/>
      <c r="S1432" s="358"/>
      <c r="T1432" s="358"/>
      <c r="U1432" s="358"/>
      <c r="V1432" s="358"/>
      <c r="W1432" s="358"/>
      <c r="X1432" s="358"/>
      <c r="Y1432" s="358"/>
      <c r="Z1432" s="358"/>
    </row>
    <row r="1433" ht="14.25" customHeight="1">
      <c r="A1433" s="358"/>
      <c r="B1433" s="399"/>
      <c r="C1433" s="399"/>
      <c r="D1433" s="399"/>
      <c r="E1433" s="399"/>
      <c r="F1433" s="400"/>
      <c r="G1433" s="273"/>
      <c r="H1433" s="273"/>
      <c r="I1433" s="358"/>
      <c r="J1433" s="358"/>
      <c r="K1433" s="358"/>
      <c r="L1433" s="358"/>
      <c r="M1433" s="358"/>
      <c r="N1433" s="358"/>
      <c r="O1433" s="358"/>
      <c r="P1433" s="358"/>
      <c r="Q1433" s="358"/>
      <c r="R1433" s="358"/>
      <c r="S1433" s="358"/>
      <c r="T1433" s="358"/>
      <c r="U1433" s="358"/>
      <c r="V1433" s="358"/>
      <c r="W1433" s="358"/>
      <c r="X1433" s="358"/>
      <c r="Y1433" s="358"/>
      <c r="Z1433" s="358"/>
    </row>
    <row r="1434" ht="14.25" customHeight="1">
      <c r="A1434" s="358"/>
      <c r="B1434" s="399"/>
      <c r="C1434" s="399"/>
      <c r="D1434" s="399"/>
      <c r="E1434" s="399"/>
      <c r="F1434" s="400"/>
      <c r="G1434" s="273"/>
      <c r="H1434" s="273"/>
      <c r="I1434" s="358"/>
      <c r="J1434" s="358"/>
      <c r="K1434" s="358"/>
      <c r="L1434" s="358"/>
      <c r="M1434" s="358"/>
      <c r="N1434" s="358"/>
      <c r="O1434" s="358"/>
      <c r="P1434" s="358"/>
      <c r="Q1434" s="358"/>
      <c r="R1434" s="358"/>
      <c r="S1434" s="358"/>
      <c r="T1434" s="358"/>
      <c r="U1434" s="358"/>
      <c r="V1434" s="358"/>
      <c r="W1434" s="358"/>
      <c r="X1434" s="358"/>
      <c r="Y1434" s="358"/>
      <c r="Z1434" s="358"/>
    </row>
    <row r="1435" ht="14.25" customHeight="1">
      <c r="A1435" s="358"/>
      <c r="B1435" s="399"/>
      <c r="C1435" s="399"/>
      <c r="D1435" s="399"/>
      <c r="E1435" s="399"/>
      <c r="F1435" s="400"/>
      <c r="G1435" s="273"/>
      <c r="H1435" s="273"/>
      <c r="I1435" s="358"/>
      <c r="J1435" s="358"/>
      <c r="K1435" s="358"/>
      <c r="L1435" s="358"/>
      <c r="M1435" s="358"/>
      <c r="N1435" s="358"/>
      <c r="O1435" s="358"/>
      <c r="P1435" s="358"/>
      <c r="Q1435" s="358"/>
      <c r="R1435" s="358"/>
      <c r="S1435" s="358"/>
      <c r="T1435" s="358"/>
      <c r="U1435" s="358"/>
      <c r="V1435" s="358"/>
      <c r="W1435" s="358"/>
      <c r="X1435" s="358"/>
      <c r="Y1435" s="358"/>
      <c r="Z1435" s="358"/>
    </row>
    <row r="1436" ht="14.25" customHeight="1">
      <c r="A1436" s="358"/>
      <c r="B1436" s="399"/>
      <c r="C1436" s="399"/>
      <c r="D1436" s="399"/>
      <c r="E1436" s="399"/>
      <c r="F1436" s="400"/>
      <c r="G1436" s="273"/>
      <c r="H1436" s="273"/>
      <c r="I1436" s="358"/>
      <c r="J1436" s="358"/>
      <c r="K1436" s="358"/>
      <c r="L1436" s="358"/>
      <c r="M1436" s="358"/>
      <c r="N1436" s="358"/>
      <c r="O1436" s="358"/>
      <c r="P1436" s="358"/>
      <c r="Q1436" s="358"/>
      <c r="R1436" s="358"/>
      <c r="S1436" s="358"/>
      <c r="T1436" s="358"/>
      <c r="U1436" s="358"/>
      <c r="V1436" s="358"/>
      <c r="W1436" s="358"/>
      <c r="X1436" s="358"/>
      <c r="Y1436" s="358"/>
      <c r="Z1436" s="358"/>
    </row>
    <row r="1437" ht="14.25" customHeight="1">
      <c r="A1437" s="358"/>
      <c r="B1437" s="399"/>
      <c r="C1437" s="399"/>
      <c r="D1437" s="399"/>
      <c r="E1437" s="399"/>
      <c r="F1437" s="400"/>
      <c r="G1437" s="273"/>
      <c r="H1437" s="273"/>
      <c r="I1437" s="358"/>
      <c r="J1437" s="358"/>
      <c r="K1437" s="358"/>
      <c r="L1437" s="358"/>
      <c r="M1437" s="358"/>
      <c r="N1437" s="358"/>
      <c r="O1437" s="358"/>
      <c r="P1437" s="358"/>
      <c r="Q1437" s="358"/>
      <c r="R1437" s="358"/>
      <c r="S1437" s="358"/>
      <c r="T1437" s="358"/>
      <c r="U1437" s="358"/>
      <c r="V1437" s="358"/>
      <c r="W1437" s="358"/>
      <c r="X1437" s="358"/>
      <c r="Y1437" s="358"/>
      <c r="Z1437" s="358"/>
    </row>
    <row r="1438" ht="14.25" customHeight="1">
      <c r="A1438" s="358"/>
      <c r="B1438" s="399"/>
      <c r="C1438" s="399"/>
      <c r="D1438" s="399"/>
      <c r="E1438" s="399"/>
      <c r="F1438" s="400"/>
      <c r="G1438" s="273"/>
      <c r="H1438" s="273"/>
      <c r="I1438" s="358"/>
      <c r="J1438" s="358"/>
      <c r="K1438" s="358"/>
      <c r="L1438" s="358"/>
      <c r="M1438" s="358"/>
      <c r="N1438" s="358"/>
      <c r="O1438" s="358"/>
      <c r="P1438" s="358"/>
      <c r="Q1438" s="358"/>
      <c r="R1438" s="358"/>
      <c r="S1438" s="358"/>
      <c r="T1438" s="358"/>
      <c r="U1438" s="358"/>
      <c r="V1438" s="358"/>
      <c r="W1438" s="358"/>
      <c r="X1438" s="358"/>
      <c r="Y1438" s="358"/>
      <c r="Z1438" s="358"/>
    </row>
    <row r="1439" ht="14.25" customHeight="1">
      <c r="A1439" s="358"/>
      <c r="B1439" s="399"/>
      <c r="C1439" s="399"/>
      <c r="D1439" s="399"/>
      <c r="E1439" s="399"/>
      <c r="F1439" s="400"/>
      <c r="G1439" s="273"/>
      <c r="H1439" s="273"/>
      <c r="I1439" s="358"/>
      <c r="J1439" s="358"/>
      <c r="K1439" s="358"/>
      <c r="L1439" s="358"/>
      <c r="M1439" s="358"/>
      <c r="N1439" s="358"/>
      <c r="O1439" s="358"/>
      <c r="P1439" s="358"/>
      <c r="Q1439" s="358"/>
      <c r="R1439" s="358"/>
      <c r="S1439" s="358"/>
      <c r="T1439" s="358"/>
      <c r="U1439" s="358"/>
      <c r="V1439" s="358"/>
      <c r="W1439" s="358"/>
      <c r="X1439" s="358"/>
      <c r="Y1439" s="358"/>
      <c r="Z1439" s="358"/>
    </row>
    <row r="1440" ht="14.25" customHeight="1">
      <c r="A1440" s="358"/>
      <c r="B1440" s="399"/>
      <c r="C1440" s="399"/>
      <c r="D1440" s="399"/>
      <c r="E1440" s="399"/>
      <c r="F1440" s="400"/>
      <c r="G1440" s="273"/>
      <c r="H1440" s="273"/>
      <c r="I1440" s="358"/>
      <c r="J1440" s="358"/>
      <c r="K1440" s="358"/>
      <c r="L1440" s="358"/>
      <c r="M1440" s="358"/>
      <c r="N1440" s="358"/>
      <c r="O1440" s="358"/>
      <c r="P1440" s="358"/>
      <c r="Q1440" s="358"/>
      <c r="R1440" s="358"/>
      <c r="S1440" s="358"/>
      <c r="T1440" s="358"/>
      <c r="U1440" s="358"/>
      <c r="V1440" s="358"/>
      <c r="W1440" s="358"/>
      <c r="X1440" s="358"/>
      <c r="Y1440" s="358"/>
      <c r="Z1440" s="358"/>
    </row>
    <row r="1441" ht="14.25" customHeight="1">
      <c r="A1441" s="358"/>
      <c r="B1441" s="399"/>
      <c r="C1441" s="399"/>
      <c r="D1441" s="399"/>
      <c r="E1441" s="399"/>
      <c r="F1441" s="400"/>
      <c r="G1441" s="273"/>
      <c r="H1441" s="273"/>
      <c r="I1441" s="358"/>
      <c r="J1441" s="358"/>
      <c r="K1441" s="358"/>
      <c r="L1441" s="358"/>
      <c r="M1441" s="358"/>
      <c r="N1441" s="358"/>
      <c r="O1441" s="358"/>
      <c r="P1441" s="358"/>
      <c r="Q1441" s="358"/>
      <c r="R1441" s="358"/>
      <c r="S1441" s="358"/>
      <c r="T1441" s="358"/>
      <c r="U1441" s="358"/>
      <c r="V1441" s="358"/>
      <c r="W1441" s="358"/>
      <c r="X1441" s="358"/>
      <c r="Y1441" s="358"/>
      <c r="Z1441" s="358"/>
    </row>
    <row r="1442" ht="14.25" customHeight="1">
      <c r="A1442" s="358"/>
      <c r="B1442" s="399"/>
      <c r="C1442" s="399"/>
      <c r="D1442" s="399"/>
      <c r="E1442" s="399"/>
      <c r="F1442" s="400"/>
      <c r="G1442" s="273"/>
      <c r="H1442" s="273"/>
      <c r="I1442" s="358"/>
      <c r="J1442" s="358"/>
      <c r="K1442" s="358"/>
      <c r="L1442" s="358"/>
      <c r="M1442" s="358"/>
      <c r="N1442" s="358"/>
      <c r="O1442" s="358"/>
      <c r="P1442" s="358"/>
      <c r="Q1442" s="358"/>
      <c r="R1442" s="358"/>
      <c r="S1442" s="358"/>
      <c r="T1442" s="358"/>
      <c r="U1442" s="358"/>
      <c r="V1442" s="358"/>
      <c r="W1442" s="358"/>
      <c r="X1442" s="358"/>
      <c r="Y1442" s="358"/>
      <c r="Z1442" s="358"/>
    </row>
    <row r="1443" ht="14.25" customHeight="1">
      <c r="A1443" s="358"/>
      <c r="B1443" s="399"/>
      <c r="C1443" s="399"/>
      <c r="D1443" s="399"/>
      <c r="E1443" s="399"/>
      <c r="F1443" s="400"/>
      <c r="G1443" s="273"/>
      <c r="H1443" s="273"/>
      <c r="I1443" s="358"/>
      <c r="J1443" s="358"/>
      <c r="K1443" s="358"/>
      <c r="L1443" s="358"/>
      <c r="M1443" s="358"/>
      <c r="N1443" s="358"/>
      <c r="O1443" s="358"/>
      <c r="P1443" s="358"/>
      <c r="Q1443" s="358"/>
      <c r="R1443" s="358"/>
      <c r="S1443" s="358"/>
      <c r="T1443" s="358"/>
      <c r="U1443" s="358"/>
      <c r="V1443" s="358"/>
      <c r="W1443" s="358"/>
      <c r="X1443" s="358"/>
      <c r="Y1443" s="358"/>
      <c r="Z1443" s="358"/>
    </row>
    <row r="1444" ht="14.25" customHeight="1">
      <c r="A1444" s="358"/>
      <c r="B1444" s="399"/>
      <c r="C1444" s="399"/>
      <c r="D1444" s="399"/>
      <c r="E1444" s="399"/>
      <c r="F1444" s="400"/>
      <c r="G1444" s="273"/>
      <c r="H1444" s="273"/>
      <c r="I1444" s="358"/>
      <c r="J1444" s="358"/>
      <c r="K1444" s="358"/>
      <c r="L1444" s="358"/>
      <c r="M1444" s="358"/>
      <c r="N1444" s="358"/>
      <c r="O1444" s="358"/>
      <c r="P1444" s="358"/>
      <c r="Q1444" s="358"/>
      <c r="R1444" s="358"/>
      <c r="S1444" s="358"/>
      <c r="T1444" s="358"/>
      <c r="U1444" s="358"/>
      <c r="V1444" s="358"/>
      <c r="W1444" s="358"/>
      <c r="X1444" s="358"/>
      <c r="Y1444" s="358"/>
      <c r="Z1444" s="358"/>
    </row>
    <row r="1445" ht="14.25" customHeight="1">
      <c r="A1445" s="358"/>
      <c r="B1445" s="399"/>
      <c r="C1445" s="399"/>
      <c r="D1445" s="399"/>
      <c r="E1445" s="399"/>
      <c r="F1445" s="400"/>
      <c r="G1445" s="273"/>
      <c r="H1445" s="273"/>
      <c r="I1445" s="358"/>
      <c r="J1445" s="358"/>
      <c r="K1445" s="358"/>
      <c r="L1445" s="358"/>
      <c r="M1445" s="358"/>
      <c r="N1445" s="358"/>
      <c r="O1445" s="358"/>
      <c r="P1445" s="358"/>
      <c r="Q1445" s="358"/>
      <c r="R1445" s="358"/>
      <c r="S1445" s="358"/>
      <c r="T1445" s="358"/>
      <c r="U1445" s="358"/>
      <c r="V1445" s="358"/>
      <c r="W1445" s="358"/>
      <c r="X1445" s="358"/>
      <c r="Y1445" s="358"/>
      <c r="Z1445" s="358"/>
    </row>
    <row r="1446" ht="14.25" customHeight="1">
      <c r="A1446" s="358"/>
      <c r="B1446" s="399"/>
      <c r="C1446" s="399"/>
      <c r="D1446" s="399"/>
      <c r="E1446" s="399"/>
      <c r="F1446" s="400"/>
      <c r="G1446" s="273"/>
      <c r="H1446" s="273"/>
      <c r="I1446" s="358"/>
      <c r="J1446" s="358"/>
      <c r="K1446" s="358"/>
      <c r="L1446" s="358"/>
      <c r="M1446" s="358"/>
      <c r="N1446" s="358"/>
      <c r="O1446" s="358"/>
      <c r="P1446" s="358"/>
      <c r="Q1446" s="358"/>
      <c r="R1446" s="358"/>
      <c r="S1446" s="358"/>
      <c r="T1446" s="358"/>
      <c r="U1446" s="358"/>
      <c r="V1446" s="358"/>
      <c r="W1446" s="358"/>
      <c r="X1446" s="358"/>
      <c r="Y1446" s="358"/>
      <c r="Z1446" s="358"/>
    </row>
    <row r="1447" ht="14.25" customHeight="1">
      <c r="A1447" s="358"/>
      <c r="B1447" s="399"/>
      <c r="C1447" s="399"/>
      <c r="D1447" s="399"/>
      <c r="E1447" s="399"/>
      <c r="F1447" s="400"/>
      <c r="G1447" s="273"/>
      <c r="H1447" s="273"/>
      <c r="I1447" s="358"/>
      <c r="J1447" s="358"/>
      <c r="K1447" s="358"/>
      <c r="L1447" s="358"/>
      <c r="M1447" s="358"/>
      <c r="N1447" s="358"/>
      <c r="O1447" s="358"/>
      <c r="P1447" s="358"/>
      <c r="Q1447" s="358"/>
      <c r="R1447" s="358"/>
      <c r="S1447" s="358"/>
      <c r="T1447" s="358"/>
      <c r="U1447" s="358"/>
      <c r="V1447" s="358"/>
      <c r="W1447" s="358"/>
      <c r="X1447" s="358"/>
      <c r="Y1447" s="358"/>
      <c r="Z1447" s="358"/>
    </row>
    <row r="1448" ht="14.25" customHeight="1">
      <c r="A1448" s="358"/>
      <c r="B1448" s="399"/>
      <c r="C1448" s="399"/>
      <c r="D1448" s="399"/>
      <c r="E1448" s="399"/>
      <c r="F1448" s="400"/>
      <c r="G1448" s="273"/>
      <c r="H1448" s="273"/>
      <c r="I1448" s="358"/>
      <c r="J1448" s="358"/>
      <c r="K1448" s="358"/>
      <c r="L1448" s="358"/>
      <c r="M1448" s="358"/>
      <c r="N1448" s="358"/>
      <c r="O1448" s="358"/>
      <c r="P1448" s="358"/>
      <c r="Q1448" s="358"/>
      <c r="R1448" s="358"/>
      <c r="S1448" s="358"/>
      <c r="T1448" s="358"/>
      <c r="U1448" s="358"/>
      <c r="V1448" s="358"/>
      <c r="W1448" s="358"/>
      <c r="X1448" s="358"/>
      <c r="Y1448" s="358"/>
      <c r="Z1448" s="358"/>
    </row>
    <row r="1449" ht="14.25" customHeight="1">
      <c r="A1449" s="358"/>
      <c r="B1449" s="399"/>
      <c r="C1449" s="399"/>
      <c r="D1449" s="399"/>
      <c r="E1449" s="399"/>
      <c r="F1449" s="400"/>
      <c r="G1449" s="273"/>
      <c r="H1449" s="273"/>
      <c r="I1449" s="358"/>
      <c r="J1449" s="358"/>
      <c r="K1449" s="358"/>
      <c r="L1449" s="358"/>
      <c r="M1449" s="358"/>
      <c r="N1449" s="358"/>
      <c r="O1449" s="358"/>
      <c r="P1449" s="358"/>
      <c r="Q1449" s="358"/>
      <c r="R1449" s="358"/>
      <c r="S1449" s="358"/>
      <c r="T1449" s="358"/>
      <c r="U1449" s="358"/>
      <c r="V1449" s="358"/>
      <c r="W1449" s="358"/>
      <c r="X1449" s="358"/>
      <c r="Y1449" s="358"/>
      <c r="Z1449" s="358"/>
    </row>
    <row r="1450" ht="14.25" customHeight="1">
      <c r="A1450" s="358"/>
      <c r="B1450" s="399"/>
      <c r="C1450" s="399"/>
      <c r="D1450" s="399"/>
      <c r="E1450" s="399"/>
      <c r="F1450" s="400"/>
      <c r="G1450" s="273"/>
      <c r="H1450" s="273"/>
      <c r="I1450" s="358"/>
      <c r="J1450" s="358"/>
      <c r="K1450" s="358"/>
      <c r="L1450" s="358"/>
      <c r="M1450" s="358"/>
      <c r="N1450" s="358"/>
      <c r="O1450" s="358"/>
      <c r="P1450" s="358"/>
      <c r="Q1450" s="358"/>
      <c r="R1450" s="358"/>
      <c r="S1450" s="358"/>
      <c r="T1450" s="358"/>
      <c r="U1450" s="358"/>
      <c r="V1450" s="358"/>
      <c r="W1450" s="358"/>
      <c r="X1450" s="358"/>
      <c r="Y1450" s="358"/>
      <c r="Z1450" s="358"/>
    </row>
    <row r="1451" ht="14.25" customHeight="1">
      <c r="A1451" s="358"/>
      <c r="B1451" s="399"/>
      <c r="C1451" s="399"/>
      <c r="D1451" s="399"/>
      <c r="E1451" s="399"/>
      <c r="F1451" s="400"/>
      <c r="G1451" s="273"/>
      <c r="H1451" s="273"/>
      <c r="I1451" s="358"/>
      <c r="J1451" s="358"/>
      <c r="K1451" s="358"/>
      <c r="L1451" s="358"/>
      <c r="M1451" s="358"/>
      <c r="N1451" s="358"/>
      <c r="O1451" s="358"/>
      <c r="P1451" s="358"/>
      <c r="Q1451" s="358"/>
      <c r="R1451" s="358"/>
      <c r="S1451" s="358"/>
      <c r="T1451" s="358"/>
      <c r="U1451" s="358"/>
      <c r="V1451" s="358"/>
      <c r="W1451" s="358"/>
      <c r="X1451" s="358"/>
      <c r="Y1451" s="358"/>
      <c r="Z1451" s="358"/>
    </row>
    <row r="1452" ht="14.25" customHeight="1">
      <c r="A1452" s="358"/>
      <c r="B1452" s="399"/>
      <c r="C1452" s="399"/>
      <c r="D1452" s="399"/>
      <c r="E1452" s="399"/>
      <c r="F1452" s="400"/>
      <c r="G1452" s="273"/>
      <c r="H1452" s="273"/>
      <c r="I1452" s="358"/>
      <c r="J1452" s="358"/>
      <c r="K1452" s="358"/>
      <c r="L1452" s="358"/>
      <c r="M1452" s="358"/>
      <c r="N1452" s="358"/>
      <c r="O1452" s="358"/>
      <c r="P1452" s="358"/>
      <c r="Q1452" s="358"/>
      <c r="R1452" s="358"/>
      <c r="S1452" s="358"/>
      <c r="T1452" s="358"/>
      <c r="U1452" s="358"/>
      <c r="V1452" s="358"/>
      <c r="W1452" s="358"/>
      <c r="X1452" s="358"/>
      <c r="Y1452" s="358"/>
      <c r="Z1452" s="358"/>
    </row>
    <row r="1453" ht="14.25" customHeight="1">
      <c r="A1453" s="358"/>
      <c r="B1453" s="399"/>
      <c r="C1453" s="399"/>
      <c r="D1453" s="399"/>
      <c r="E1453" s="399"/>
      <c r="F1453" s="400"/>
      <c r="G1453" s="273"/>
      <c r="H1453" s="273"/>
      <c r="I1453" s="358"/>
      <c r="J1453" s="358"/>
      <c r="K1453" s="358"/>
      <c r="L1453" s="358"/>
      <c r="M1453" s="358"/>
      <c r="N1453" s="358"/>
      <c r="O1453" s="358"/>
      <c r="P1453" s="358"/>
      <c r="Q1453" s="358"/>
      <c r="R1453" s="358"/>
      <c r="S1453" s="358"/>
      <c r="T1453" s="358"/>
      <c r="U1453" s="358"/>
      <c r="V1453" s="358"/>
      <c r="W1453" s="358"/>
      <c r="X1453" s="358"/>
      <c r="Y1453" s="358"/>
      <c r="Z1453" s="358"/>
    </row>
    <row r="1454" ht="14.25" customHeight="1">
      <c r="A1454" s="358"/>
      <c r="B1454" s="399"/>
      <c r="C1454" s="399"/>
      <c r="D1454" s="399"/>
      <c r="E1454" s="399"/>
      <c r="F1454" s="400"/>
      <c r="G1454" s="273"/>
      <c r="H1454" s="273"/>
      <c r="I1454" s="358"/>
      <c r="J1454" s="358"/>
      <c r="K1454" s="358"/>
      <c r="L1454" s="358"/>
      <c r="M1454" s="358"/>
      <c r="N1454" s="358"/>
      <c r="O1454" s="358"/>
      <c r="P1454" s="358"/>
      <c r="Q1454" s="358"/>
      <c r="R1454" s="358"/>
      <c r="S1454" s="358"/>
      <c r="T1454" s="358"/>
      <c r="U1454" s="358"/>
      <c r="V1454" s="358"/>
      <c r="W1454" s="358"/>
      <c r="X1454" s="358"/>
      <c r="Y1454" s="358"/>
      <c r="Z1454" s="358"/>
    </row>
    <row r="1455" ht="14.25" customHeight="1">
      <c r="A1455" s="358"/>
      <c r="B1455" s="399"/>
      <c r="C1455" s="399"/>
      <c r="D1455" s="399"/>
      <c r="E1455" s="399"/>
      <c r="F1455" s="400"/>
      <c r="G1455" s="273"/>
      <c r="H1455" s="273"/>
      <c r="I1455" s="358"/>
      <c r="J1455" s="358"/>
      <c r="K1455" s="358"/>
      <c r="L1455" s="358"/>
      <c r="M1455" s="358"/>
      <c r="N1455" s="358"/>
      <c r="O1455" s="358"/>
      <c r="P1455" s="358"/>
      <c r="Q1455" s="358"/>
      <c r="R1455" s="358"/>
      <c r="S1455" s="358"/>
      <c r="T1455" s="358"/>
      <c r="U1455" s="358"/>
      <c r="V1455" s="358"/>
      <c r="W1455" s="358"/>
      <c r="X1455" s="358"/>
      <c r="Y1455" s="358"/>
      <c r="Z1455" s="358"/>
    </row>
    <row r="1456" ht="14.25" customHeight="1">
      <c r="A1456" s="358"/>
      <c r="B1456" s="399"/>
      <c r="C1456" s="399"/>
      <c r="D1456" s="399"/>
      <c r="E1456" s="399"/>
      <c r="F1456" s="400"/>
      <c r="G1456" s="273"/>
      <c r="H1456" s="273"/>
      <c r="I1456" s="358"/>
      <c r="J1456" s="358"/>
      <c r="K1456" s="358"/>
      <c r="L1456" s="358"/>
      <c r="M1456" s="358"/>
      <c r="N1456" s="358"/>
      <c r="O1456" s="358"/>
      <c r="P1456" s="358"/>
      <c r="Q1456" s="358"/>
      <c r="R1456" s="358"/>
      <c r="S1456" s="358"/>
      <c r="T1456" s="358"/>
      <c r="U1456" s="358"/>
      <c r="V1456" s="358"/>
      <c r="W1456" s="358"/>
      <c r="X1456" s="358"/>
      <c r="Y1456" s="358"/>
      <c r="Z1456" s="358"/>
    </row>
    <row r="1457" ht="14.25" customHeight="1">
      <c r="A1457" s="358"/>
      <c r="B1457" s="399"/>
      <c r="C1457" s="399"/>
      <c r="D1457" s="399"/>
      <c r="E1457" s="399"/>
      <c r="F1457" s="400"/>
      <c r="G1457" s="273"/>
      <c r="H1457" s="273"/>
      <c r="I1457" s="358"/>
      <c r="J1457" s="358"/>
      <c r="K1457" s="358"/>
      <c r="L1457" s="358"/>
      <c r="M1457" s="358"/>
      <c r="N1457" s="358"/>
      <c r="O1457" s="358"/>
      <c r="P1457" s="358"/>
      <c r="Q1457" s="358"/>
      <c r="R1457" s="358"/>
      <c r="S1457" s="358"/>
      <c r="T1457" s="358"/>
      <c r="U1457" s="358"/>
      <c r="V1457" s="358"/>
      <c r="W1457" s="358"/>
      <c r="X1457" s="358"/>
      <c r="Y1457" s="358"/>
      <c r="Z1457" s="358"/>
    </row>
    <row r="1458" ht="14.25" customHeight="1">
      <c r="A1458" s="358"/>
      <c r="B1458" s="399"/>
      <c r="C1458" s="399"/>
      <c r="D1458" s="399"/>
      <c r="E1458" s="399"/>
      <c r="F1458" s="400"/>
      <c r="G1458" s="273"/>
      <c r="H1458" s="273"/>
      <c r="I1458" s="358"/>
      <c r="J1458" s="358"/>
      <c r="K1458" s="358"/>
      <c r="L1458" s="358"/>
      <c r="M1458" s="358"/>
      <c r="N1458" s="358"/>
      <c r="O1458" s="358"/>
      <c r="P1458" s="358"/>
      <c r="Q1458" s="358"/>
      <c r="R1458" s="358"/>
      <c r="S1458" s="358"/>
      <c r="T1458" s="358"/>
      <c r="U1458" s="358"/>
      <c r="V1458" s="358"/>
      <c r="W1458" s="358"/>
      <c r="X1458" s="358"/>
      <c r="Y1458" s="358"/>
      <c r="Z1458" s="358"/>
    </row>
    <row r="1459" ht="14.25" customHeight="1">
      <c r="A1459" s="358"/>
      <c r="B1459" s="399"/>
      <c r="C1459" s="399"/>
      <c r="D1459" s="399"/>
      <c r="E1459" s="399"/>
      <c r="F1459" s="400"/>
      <c r="G1459" s="273"/>
      <c r="H1459" s="273"/>
      <c r="I1459" s="358"/>
      <c r="J1459" s="358"/>
      <c r="K1459" s="358"/>
      <c r="L1459" s="358"/>
      <c r="M1459" s="358"/>
      <c r="N1459" s="358"/>
      <c r="O1459" s="358"/>
      <c r="P1459" s="358"/>
      <c r="Q1459" s="358"/>
      <c r="R1459" s="358"/>
      <c r="S1459" s="358"/>
      <c r="T1459" s="358"/>
      <c r="U1459" s="358"/>
      <c r="V1459" s="358"/>
      <c r="W1459" s="358"/>
      <c r="X1459" s="358"/>
      <c r="Y1459" s="358"/>
      <c r="Z1459" s="358"/>
    </row>
    <row r="1460" ht="14.25" customHeight="1">
      <c r="A1460" s="358"/>
      <c r="B1460" s="399"/>
      <c r="C1460" s="399"/>
      <c r="D1460" s="399"/>
      <c r="E1460" s="399"/>
      <c r="F1460" s="400"/>
      <c r="G1460" s="273"/>
      <c r="H1460" s="273"/>
      <c r="I1460" s="358"/>
      <c r="J1460" s="358"/>
      <c r="K1460" s="358"/>
      <c r="L1460" s="358"/>
      <c r="M1460" s="358"/>
      <c r="N1460" s="358"/>
      <c r="O1460" s="358"/>
      <c r="P1460" s="358"/>
      <c r="Q1460" s="358"/>
      <c r="R1460" s="358"/>
      <c r="S1460" s="358"/>
      <c r="T1460" s="358"/>
      <c r="U1460" s="358"/>
      <c r="V1460" s="358"/>
      <c r="W1460" s="358"/>
      <c r="X1460" s="358"/>
      <c r="Y1460" s="358"/>
      <c r="Z1460" s="358"/>
    </row>
    <row r="1461" ht="14.25" customHeight="1">
      <c r="A1461" s="358"/>
      <c r="B1461" s="399"/>
      <c r="C1461" s="399"/>
      <c r="D1461" s="399"/>
      <c r="E1461" s="399"/>
      <c r="F1461" s="400"/>
      <c r="G1461" s="273"/>
      <c r="H1461" s="273"/>
      <c r="I1461" s="358"/>
      <c r="J1461" s="358"/>
      <c r="K1461" s="358"/>
      <c r="L1461" s="358"/>
      <c r="M1461" s="358"/>
      <c r="N1461" s="358"/>
      <c r="O1461" s="358"/>
      <c r="P1461" s="358"/>
      <c r="Q1461" s="358"/>
      <c r="R1461" s="358"/>
      <c r="S1461" s="358"/>
      <c r="T1461" s="358"/>
      <c r="U1461" s="358"/>
      <c r="V1461" s="358"/>
      <c r="W1461" s="358"/>
      <c r="X1461" s="358"/>
      <c r="Y1461" s="358"/>
      <c r="Z1461" s="358"/>
    </row>
    <row r="1462" ht="14.25" customHeight="1">
      <c r="A1462" s="358"/>
      <c r="B1462" s="399"/>
      <c r="C1462" s="399"/>
      <c r="D1462" s="399"/>
      <c r="E1462" s="399"/>
      <c r="F1462" s="400"/>
      <c r="G1462" s="273"/>
      <c r="H1462" s="273"/>
      <c r="I1462" s="358"/>
      <c r="J1462" s="358"/>
      <c r="K1462" s="358"/>
      <c r="L1462" s="358"/>
      <c r="M1462" s="358"/>
      <c r="N1462" s="358"/>
      <c r="O1462" s="358"/>
      <c r="P1462" s="358"/>
      <c r="Q1462" s="358"/>
      <c r="R1462" s="358"/>
      <c r="S1462" s="358"/>
      <c r="T1462" s="358"/>
      <c r="U1462" s="358"/>
      <c r="V1462" s="358"/>
      <c r="W1462" s="358"/>
      <c r="X1462" s="358"/>
      <c r="Y1462" s="358"/>
      <c r="Z1462" s="358"/>
    </row>
    <row r="1463" ht="14.25" customHeight="1">
      <c r="A1463" s="358"/>
      <c r="B1463" s="399"/>
      <c r="C1463" s="399"/>
      <c r="D1463" s="399"/>
      <c r="E1463" s="399"/>
      <c r="F1463" s="400"/>
      <c r="G1463" s="273"/>
      <c r="H1463" s="273"/>
      <c r="I1463" s="358"/>
      <c r="J1463" s="358"/>
      <c r="K1463" s="358"/>
      <c r="L1463" s="358"/>
      <c r="M1463" s="358"/>
      <c r="N1463" s="358"/>
      <c r="O1463" s="358"/>
      <c r="P1463" s="358"/>
      <c r="Q1463" s="358"/>
      <c r="R1463" s="358"/>
      <c r="S1463" s="358"/>
      <c r="T1463" s="358"/>
      <c r="U1463" s="358"/>
      <c r="V1463" s="358"/>
      <c r="W1463" s="358"/>
      <c r="X1463" s="358"/>
      <c r="Y1463" s="358"/>
      <c r="Z1463" s="358"/>
    </row>
    <row r="1464" ht="14.25" customHeight="1">
      <c r="A1464" s="358"/>
      <c r="B1464" s="399"/>
      <c r="C1464" s="399"/>
      <c r="D1464" s="399"/>
      <c r="E1464" s="399"/>
      <c r="F1464" s="400"/>
      <c r="G1464" s="273"/>
      <c r="H1464" s="273"/>
      <c r="I1464" s="358"/>
      <c r="J1464" s="358"/>
      <c r="K1464" s="358"/>
      <c r="L1464" s="358"/>
      <c r="M1464" s="358"/>
      <c r="N1464" s="358"/>
      <c r="O1464" s="358"/>
      <c r="P1464" s="358"/>
      <c r="Q1464" s="358"/>
      <c r="R1464" s="358"/>
      <c r="S1464" s="358"/>
      <c r="T1464" s="358"/>
      <c r="U1464" s="358"/>
      <c r="V1464" s="358"/>
      <c r="W1464" s="358"/>
      <c r="X1464" s="358"/>
      <c r="Y1464" s="358"/>
      <c r="Z1464" s="358"/>
    </row>
    <row r="1465" ht="14.25" customHeight="1">
      <c r="A1465" s="358"/>
      <c r="B1465" s="399"/>
      <c r="C1465" s="399"/>
      <c r="D1465" s="399"/>
      <c r="E1465" s="399"/>
      <c r="F1465" s="400"/>
      <c r="G1465" s="273"/>
      <c r="H1465" s="273"/>
      <c r="I1465" s="358"/>
      <c r="J1465" s="358"/>
      <c r="K1465" s="358"/>
      <c r="L1465" s="358"/>
      <c r="M1465" s="358"/>
      <c r="N1465" s="358"/>
      <c r="O1465" s="358"/>
      <c r="P1465" s="358"/>
      <c r="Q1465" s="358"/>
      <c r="R1465" s="358"/>
      <c r="S1465" s="358"/>
      <c r="T1465" s="358"/>
      <c r="U1465" s="358"/>
      <c r="V1465" s="358"/>
      <c r="W1465" s="358"/>
      <c r="X1465" s="358"/>
      <c r="Y1465" s="358"/>
      <c r="Z1465" s="358"/>
    </row>
    <row r="1466" ht="14.25" customHeight="1">
      <c r="A1466" s="358"/>
      <c r="B1466" s="399"/>
      <c r="C1466" s="399"/>
      <c r="D1466" s="399"/>
      <c r="E1466" s="399"/>
      <c r="F1466" s="400"/>
      <c r="G1466" s="273"/>
      <c r="H1466" s="273"/>
      <c r="I1466" s="358"/>
      <c r="J1466" s="358"/>
      <c r="K1466" s="358"/>
      <c r="L1466" s="358"/>
      <c r="M1466" s="358"/>
      <c r="N1466" s="358"/>
      <c r="O1466" s="358"/>
      <c r="P1466" s="358"/>
      <c r="Q1466" s="358"/>
      <c r="R1466" s="358"/>
      <c r="S1466" s="358"/>
      <c r="T1466" s="358"/>
      <c r="U1466" s="358"/>
      <c r="V1466" s="358"/>
      <c r="W1466" s="358"/>
      <c r="X1466" s="358"/>
      <c r="Y1466" s="358"/>
      <c r="Z1466" s="358"/>
    </row>
    <row r="1467" ht="14.25" customHeight="1">
      <c r="A1467" s="358"/>
      <c r="B1467" s="399"/>
      <c r="C1467" s="399"/>
      <c r="D1467" s="399"/>
      <c r="E1467" s="399"/>
      <c r="F1467" s="400"/>
      <c r="G1467" s="273"/>
      <c r="H1467" s="273"/>
      <c r="I1467" s="358"/>
      <c r="J1467" s="358"/>
      <c r="K1467" s="358"/>
      <c r="L1467" s="358"/>
      <c r="M1467" s="358"/>
      <c r="N1467" s="358"/>
      <c r="O1467" s="358"/>
      <c r="P1467" s="358"/>
      <c r="Q1467" s="358"/>
      <c r="R1467" s="358"/>
      <c r="S1467" s="358"/>
      <c r="T1467" s="358"/>
      <c r="U1467" s="358"/>
      <c r="V1467" s="358"/>
      <c r="W1467" s="358"/>
      <c r="X1467" s="358"/>
      <c r="Y1467" s="358"/>
      <c r="Z1467" s="358"/>
    </row>
    <row r="1468" ht="14.25" customHeight="1">
      <c r="A1468" s="358"/>
      <c r="B1468" s="399"/>
      <c r="C1468" s="399"/>
      <c r="D1468" s="399"/>
      <c r="E1468" s="399"/>
      <c r="F1468" s="400"/>
      <c r="G1468" s="273"/>
      <c r="H1468" s="273"/>
      <c r="I1468" s="358"/>
      <c r="J1468" s="358"/>
      <c r="K1468" s="358"/>
      <c r="L1468" s="358"/>
      <c r="M1468" s="358"/>
      <c r="N1468" s="358"/>
      <c r="O1468" s="358"/>
      <c r="P1468" s="358"/>
      <c r="Q1468" s="358"/>
      <c r="R1468" s="358"/>
      <c r="S1468" s="358"/>
      <c r="T1468" s="358"/>
      <c r="U1468" s="358"/>
      <c r="V1468" s="358"/>
      <c r="W1468" s="358"/>
      <c r="X1468" s="358"/>
      <c r="Y1468" s="358"/>
      <c r="Z1468" s="358"/>
    </row>
    <row r="1469" ht="14.25" customHeight="1">
      <c r="A1469" s="358"/>
      <c r="B1469" s="399"/>
      <c r="C1469" s="399"/>
      <c r="D1469" s="399"/>
      <c r="E1469" s="399"/>
      <c r="F1469" s="400"/>
      <c r="G1469" s="273"/>
      <c r="H1469" s="273"/>
      <c r="I1469" s="358"/>
      <c r="J1469" s="358"/>
      <c r="K1469" s="358"/>
      <c r="L1469" s="358"/>
      <c r="M1469" s="358"/>
      <c r="N1469" s="358"/>
      <c r="O1469" s="358"/>
      <c r="P1469" s="358"/>
      <c r="Q1469" s="358"/>
      <c r="R1469" s="358"/>
      <c r="S1469" s="358"/>
      <c r="T1469" s="358"/>
      <c r="U1469" s="358"/>
      <c r="V1469" s="358"/>
      <c r="W1469" s="358"/>
      <c r="X1469" s="358"/>
      <c r="Y1469" s="358"/>
      <c r="Z1469" s="358"/>
    </row>
    <row r="1470" ht="14.25" customHeight="1">
      <c r="A1470" s="358"/>
      <c r="B1470" s="399"/>
      <c r="C1470" s="399"/>
      <c r="D1470" s="399"/>
      <c r="E1470" s="399"/>
      <c r="F1470" s="400"/>
      <c r="G1470" s="273"/>
      <c r="H1470" s="273"/>
      <c r="I1470" s="358"/>
      <c r="J1470" s="358"/>
      <c r="K1470" s="358"/>
      <c r="L1470" s="358"/>
      <c r="M1470" s="358"/>
      <c r="N1470" s="358"/>
      <c r="O1470" s="358"/>
      <c r="P1470" s="358"/>
      <c r="Q1470" s="358"/>
      <c r="R1470" s="358"/>
      <c r="S1470" s="358"/>
      <c r="T1470" s="358"/>
      <c r="U1470" s="358"/>
      <c r="V1470" s="358"/>
      <c r="W1470" s="358"/>
      <c r="X1470" s="358"/>
      <c r="Y1470" s="358"/>
      <c r="Z1470" s="358"/>
    </row>
    <row r="1471" ht="14.25" customHeight="1">
      <c r="A1471" s="358"/>
      <c r="B1471" s="399"/>
      <c r="C1471" s="399"/>
      <c r="D1471" s="399"/>
      <c r="E1471" s="399"/>
      <c r="F1471" s="400"/>
      <c r="G1471" s="273"/>
      <c r="H1471" s="273"/>
      <c r="I1471" s="358"/>
      <c r="J1471" s="358"/>
      <c r="K1471" s="358"/>
      <c r="L1471" s="358"/>
      <c r="M1471" s="358"/>
      <c r="N1471" s="358"/>
      <c r="O1471" s="358"/>
      <c r="P1471" s="358"/>
      <c r="Q1471" s="358"/>
      <c r="R1471" s="358"/>
      <c r="S1471" s="358"/>
      <c r="T1471" s="358"/>
      <c r="U1471" s="358"/>
      <c r="V1471" s="358"/>
      <c r="W1471" s="358"/>
      <c r="X1471" s="358"/>
      <c r="Y1471" s="358"/>
      <c r="Z1471" s="358"/>
    </row>
    <row r="1472" ht="14.25" customHeight="1">
      <c r="A1472" s="358"/>
      <c r="B1472" s="399"/>
      <c r="C1472" s="399"/>
      <c r="D1472" s="399"/>
      <c r="E1472" s="399"/>
      <c r="F1472" s="400"/>
      <c r="G1472" s="273"/>
      <c r="H1472" s="273"/>
      <c r="I1472" s="358"/>
      <c r="J1472" s="358"/>
      <c r="K1472" s="358"/>
      <c r="L1472" s="358"/>
      <c r="M1472" s="358"/>
      <c r="N1472" s="358"/>
      <c r="O1472" s="358"/>
      <c r="P1472" s="358"/>
      <c r="Q1472" s="358"/>
      <c r="R1472" s="358"/>
      <c r="S1472" s="358"/>
      <c r="T1472" s="358"/>
      <c r="U1472" s="358"/>
      <c r="V1472" s="358"/>
      <c r="W1472" s="358"/>
      <c r="X1472" s="358"/>
      <c r="Y1472" s="358"/>
      <c r="Z1472" s="358"/>
    </row>
    <row r="1473" ht="14.25" customHeight="1">
      <c r="A1473" s="358"/>
      <c r="B1473" s="399"/>
      <c r="C1473" s="399"/>
      <c r="D1473" s="399"/>
      <c r="E1473" s="399"/>
      <c r="F1473" s="400"/>
      <c r="G1473" s="273"/>
      <c r="H1473" s="273"/>
      <c r="I1473" s="358"/>
      <c r="J1473" s="358"/>
      <c r="K1473" s="358"/>
      <c r="L1473" s="358"/>
      <c r="M1473" s="358"/>
      <c r="N1473" s="358"/>
      <c r="O1473" s="358"/>
      <c r="P1473" s="358"/>
      <c r="Q1473" s="358"/>
      <c r="R1473" s="358"/>
      <c r="S1473" s="358"/>
      <c r="T1473" s="358"/>
      <c r="U1473" s="358"/>
      <c r="V1473" s="358"/>
      <c r="W1473" s="358"/>
      <c r="X1473" s="358"/>
      <c r="Y1473" s="358"/>
      <c r="Z1473" s="358"/>
    </row>
    <row r="1474" ht="14.25" customHeight="1">
      <c r="A1474" s="358"/>
      <c r="B1474" s="399"/>
      <c r="C1474" s="399"/>
      <c r="D1474" s="399"/>
      <c r="E1474" s="399"/>
      <c r="F1474" s="400"/>
      <c r="G1474" s="273"/>
      <c r="H1474" s="273"/>
      <c r="I1474" s="358"/>
      <c r="J1474" s="358"/>
      <c r="K1474" s="358"/>
      <c r="L1474" s="358"/>
      <c r="M1474" s="358"/>
      <c r="N1474" s="358"/>
      <c r="O1474" s="358"/>
      <c r="P1474" s="358"/>
      <c r="Q1474" s="358"/>
      <c r="R1474" s="358"/>
      <c r="S1474" s="358"/>
      <c r="T1474" s="358"/>
      <c r="U1474" s="358"/>
      <c r="V1474" s="358"/>
      <c r="W1474" s="358"/>
      <c r="X1474" s="358"/>
      <c r="Y1474" s="358"/>
      <c r="Z1474" s="358"/>
    </row>
    <row r="1475" ht="14.25" customHeight="1">
      <c r="A1475" s="358"/>
      <c r="B1475" s="399"/>
      <c r="C1475" s="399"/>
      <c r="D1475" s="399"/>
      <c r="E1475" s="399"/>
      <c r="F1475" s="400"/>
      <c r="G1475" s="273"/>
      <c r="H1475" s="273"/>
      <c r="I1475" s="358"/>
      <c r="J1475" s="358"/>
      <c r="K1475" s="358"/>
      <c r="L1475" s="358"/>
      <c r="M1475" s="358"/>
      <c r="N1475" s="358"/>
      <c r="O1475" s="358"/>
      <c r="P1475" s="358"/>
      <c r="Q1475" s="358"/>
      <c r="R1475" s="358"/>
      <c r="S1475" s="358"/>
      <c r="T1475" s="358"/>
      <c r="U1475" s="358"/>
      <c r="V1475" s="358"/>
      <c r="W1475" s="358"/>
      <c r="X1475" s="358"/>
      <c r="Y1475" s="358"/>
      <c r="Z1475" s="358"/>
    </row>
    <row r="1476" ht="14.25" customHeight="1">
      <c r="A1476" s="358"/>
      <c r="B1476" s="399"/>
      <c r="C1476" s="399"/>
      <c r="D1476" s="399"/>
      <c r="E1476" s="399"/>
      <c r="F1476" s="400"/>
      <c r="G1476" s="273"/>
      <c r="H1476" s="273"/>
      <c r="I1476" s="358"/>
      <c r="J1476" s="358"/>
      <c r="K1476" s="358"/>
      <c r="L1476" s="358"/>
      <c r="M1476" s="358"/>
      <c r="N1476" s="358"/>
      <c r="O1476" s="358"/>
      <c r="P1476" s="358"/>
      <c r="Q1476" s="358"/>
      <c r="R1476" s="358"/>
      <c r="S1476" s="358"/>
      <c r="T1476" s="358"/>
      <c r="U1476" s="358"/>
      <c r="V1476" s="358"/>
      <c r="W1476" s="358"/>
      <c r="X1476" s="358"/>
      <c r="Y1476" s="358"/>
      <c r="Z1476" s="358"/>
    </row>
    <row r="1477" ht="14.25" customHeight="1">
      <c r="A1477" s="358"/>
      <c r="B1477" s="399"/>
      <c r="C1477" s="399"/>
      <c r="D1477" s="399"/>
      <c r="E1477" s="399"/>
      <c r="F1477" s="400"/>
      <c r="G1477" s="273"/>
      <c r="H1477" s="273"/>
      <c r="I1477" s="358"/>
      <c r="J1477" s="358"/>
      <c r="K1477" s="358"/>
      <c r="L1477" s="358"/>
      <c r="M1477" s="358"/>
      <c r="N1477" s="358"/>
      <c r="O1477" s="358"/>
      <c r="P1477" s="358"/>
      <c r="Q1477" s="358"/>
      <c r="R1477" s="358"/>
      <c r="S1477" s="358"/>
      <c r="T1477" s="358"/>
      <c r="U1477" s="358"/>
      <c r="V1477" s="358"/>
      <c r="W1477" s="358"/>
      <c r="X1477" s="358"/>
      <c r="Y1477" s="358"/>
      <c r="Z1477" s="358"/>
    </row>
    <row r="1478" ht="14.25" customHeight="1">
      <c r="A1478" s="358"/>
      <c r="B1478" s="399"/>
      <c r="C1478" s="399"/>
      <c r="D1478" s="399"/>
      <c r="E1478" s="399"/>
      <c r="F1478" s="400"/>
      <c r="G1478" s="273"/>
      <c r="H1478" s="273"/>
      <c r="I1478" s="358"/>
      <c r="J1478" s="358"/>
      <c r="K1478" s="358"/>
      <c r="L1478" s="358"/>
      <c r="M1478" s="358"/>
      <c r="N1478" s="358"/>
      <c r="O1478" s="358"/>
      <c r="P1478" s="358"/>
      <c r="Q1478" s="358"/>
      <c r="R1478" s="358"/>
      <c r="S1478" s="358"/>
      <c r="T1478" s="358"/>
      <c r="U1478" s="358"/>
      <c r="V1478" s="358"/>
      <c r="W1478" s="358"/>
      <c r="X1478" s="358"/>
      <c r="Y1478" s="358"/>
      <c r="Z1478" s="358"/>
    </row>
    <row r="1479" ht="14.25" customHeight="1">
      <c r="A1479" s="358"/>
      <c r="B1479" s="399"/>
      <c r="C1479" s="399"/>
      <c r="D1479" s="399"/>
      <c r="E1479" s="399"/>
      <c r="F1479" s="400"/>
      <c r="G1479" s="273"/>
      <c r="H1479" s="273"/>
      <c r="I1479" s="358"/>
      <c r="J1479" s="358"/>
      <c r="K1479" s="358"/>
      <c r="L1479" s="358"/>
      <c r="M1479" s="358"/>
      <c r="N1479" s="358"/>
      <c r="O1479" s="358"/>
      <c r="P1479" s="358"/>
      <c r="Q1479" s="358"/>
      <c r="R1479" s="358"/>
      <c r="S1479" s="358"/>
      <c r="T1479" s="358"/>
      <c r="U1479" s="358"/>
      <c r="V1479" s="358"/>
      <c r="W1479" s="358"/>
      <c r="X1479" s="358"/>
      <c r="Y1479" s="358"/>
      <c r="Z1479" s="358"/>
    </row>
    <row r="1480" ht="14.25" customHeight="1">
      <c r="A1480" s="358"/>
      <c r="B1480" s="399"/>
      <c r="C1480" s="399"/>
      <c r="D1480" s="399"/>
      <c r="E1480" s="399"/>
      <c r="F1480" s="400"/>
      <c r="G1480" s="273"/>
      <c r="H1480" s="273"/>
      <c r="I1480" s="358"/>
      <c r="J1480" s="358"/>
      <c r="K1480" s="358"/>
      <c r="L1480" s="358"/>
      <c r="M1480" s="358"/>
      <c r="N1480" s="358"/>
      <c r="O1480" s="358"/>
      <c r="P1480" s="358"/>
      <c r="Q1480" s="358"/>
      <c r="R1480" s="358"/>
      <c r="S1480" s="358"/>
      <c r="T1480" s="358"/>
      <c r="U1480" s="358"/>
      <c r="V1480" s="358"/>
      <c r="W1480" s="358"/>
      <c r="X1480" s="358"/>
      <c r="Y1480" s="358"/>
      <c r="Z1480" s="358"/>
    </row>
    <row r="1481" ht="14.25" customHeight="1">
      <c r="A1481" s="358"/>
      <c r="B1481" s="399"/>
      <c r="C1481" s="399"/>
      <c r="D1481" s="399"/>
      <c r="E1481" s="399"/>
      <c r="F1481" s="400"/>
      <c r="G1481" s="273"/>
      <c r="H1481" s="273"/>
      <c r="I1481" s="358"/>
      <c r="J1481" s="358"/>
      <c r="K1481" s="358"/>
      <c r="L1481" s="358"/>
      <c r="M1481" s="358"/>
      <c r="N1481" s="358"/>
      <c r="O1481" s="358"/>
      <c r="P1481" s="358"/>
      <c r="Q1481" s="358"/>
      <c r="R1481" s="358"/>
      <c r="S1481" s="358"/>
      <c r="T1481" s="358"/>
      <c r="U1481" s="358"/>
      <c r="V1481" s="358"/>
      <c r="W1481" s="358"/>
      <c r="X1481" s="358"/>
      <c r="Y1481" s="358"/>
      <c r="Z1481" s="358"/>
    </row>
    <row r="1482" ht="14.25" customHeight="1">
      <c r="A1482" s="358"/>
      <c r="B1482" s="399"/>
      <c r="C1482" s="399"/>
      <c r="D1482" s="399"/>
      <c r="E1482" s="399"/>
      <c r="F1482" s="400"/>
      <c r="G1482" s="273"/>
      <c r="H1482" s="273"/>
      <c r="I1482" s="358"/>
      <c r="J1482" s="358"/>
      <c r="K1482" s="358"/>
      <c r="L1482" s="358"/>
      <c r="M1482" s="358"/>
      <c r="N1482" s="358"/>
      <c r="O1482" s="358"/>
      <c r="P1482" s="358"/>
      <c r="Q1482" s="358"/>
      <c r="R1482" s="358"/>
      <c r="S1482" s="358"/>
      <c r="T1482" s="358"/>
      <c r="U1482" s="358"/>
      <c r="V1482" s="358"/>
      <c r="W1482" s="358"/>
      <c r="X1482" s="358"/>
      <c r="Y1482" s="358"/>
      <c r="Z1482" s="358"/>
    </row>
    <row r="1483" ht="14.25" customHeight="1">
      <c r="A1483" s="358"/>
      <c r="B1483" s="399"/>
      <c r="C1483" s="399"/>
      <c r="D1483" s="399"/>
      <c r="E1483" s="399"/>
      <c r="F1483" s="400"/>
      <c r="G1483" s="273"/>
      <c r="H1483" s="273"/>
      <c r="I1483" s="358"/>
      <c r="J1483" s="358"/>
      <c r="K1483" s="358"/>
      <c r="L1483" s="358"/>
      <c r="M1483" s="358"/>
      <c r="N1483" s="358"/>
      <c r="O1483" s="358"/>
      <c r="P1483" s="358"/>
      <c r="Q1483" s="358"/>
      <c r="R1483" s="358"/>
      <c r="S1483" s="358"/>
      <c r="T1483" s="358"/>
      <c r="U1483" s="358"/>
      <c r="V1483" s="358"/>
      <c r="W1483" s="358"/>
      <c r="X1483" s="358"/>
      <c r="Y1483" s="358"/>
      <c r="Z1483" s="358"/>
    </row>
    <row r="1484" ht="14.25" customHeight="1">
      <c r="A1484" s="358"/>
      <c r="B1484" s="399"/>
      <c r="C1484" s="399"/>
      <c r="D1484" s="399"/>
      <c r="E1484" s="399"/>
      <c r="F1484" s="400"/>
      <c r="G1484" s="273"/>
      <c r="H1484" s="273"/>
      <c r="I1484" s="358"/>
      <c r="J1484" s="358"/>
      <c r="K1484" s="358"/>
      <c r="L1484" s="358"/>
      <c r="M1484" s="358"/>
      <c r="N1484" s="358"/>
      <c r="O1484" s="358"/>
      <c r="P1484" s="358"/>
      <c r="Q1484" s="358"/>
      <c r="R1484" s="358"/>
      <c r="S1484" s="358"/>
      <c r="T1484" s="358"/>
      <c r="U1484" s="358"/>
      <c r="V1484" s="358"/>
      <c r="W1484" s="358"/>
      <c r="X1484" s="358"/>
      <c r="Y1484" s="358"/>
      <c r="Z1484" s="358"/>
    </row>
    <row r="1485" ht="14.25" customHeight="1">
      <c r="A1485" s="358"/>
      <c r="B1485" s="399"/>
      <c r="C1485" s="399"/>
      <c r="D1485" s="399"/>
      <c r="E1485" s="399"/>
      <c r="F1485" s="400"/>
      <c r="G1485" s="273"/>
      <c r="H1485" s="273"/>
      <c r="I1485" s="358"/>
      <c r="J1485" s="358"/>
      <c r="K1485" s="358"/>
      <c r="L1485" s="358"/>
      <c r="M1485" s="358"/>
      <c r="N1485" s="358"/>
      <c r="O1485" s="358"/>
      <c r="P1485" s="358"/>
      <c r="Q1485" s="358"/>
      <c r="R1485" s="358"/>
      <c r="S1485" s="358"/>
      <c r="T1485" s="358"/>
      <c r="U1485" s="358"/>
      <c r="V1485" s="358"/>
      <c r="W1485" s="358"/>
      <c r="X1485" s="358"/>
      <c r="Y1485" s="358"/>
      <c r="Z1485" s="358"/>
    </row>
    <row r="1486" ht="14.25" customHeight="1">
      <c r="A1486" s="358"/>
      <c r="B1486" s="399"/>
      <c r="C1486" s="399"/>
      <c r="D1486" s="399"/>
      <c r="E1486" s="399"/>
      <c r="F1486" s="400"/>
      <c r="G1486" s="273"/>
      <c r="H1486" s="273"/>
      <c r="I1486" s="358"/>
      <c r="J1486" s="358"/>
      <c r="K1486" s="358"/>
      <c r="L1486" s="358"/>
      <c r="M1486" s="358"/>
      <c r="N1486" s="358"/>
      <c r="O1486" s="358"/>
      <c r="P1486" s="358"/>
      <c r="Q1486" s="358"/>
      <c r="R1486" s="358"/>
      <c r="S1486" s="358"/>
      <c r="T1486" s="358"/>
      <c r="U1486" s="358"/>
      <c r="V1486" s="358"/>
      <c r="W1486" s="358"/>
      <c r="X1486" s="358"/>
      <c r="Y1486" s="358"/>
      <c r="Z1486" s="358"/>
    </row>
    <row r="1487" ht="14.25" customHeight="1">
      <c r="A1487" s="358"/>
      <c r="B1487" s="399"/>
      <c r="C1487" s="399"/>
      <c r="D1487" s="399"/>
      <c r="E1487" s="399"/>
      <c r="F1487" s="400"/>
      <c r="G1487" s="273"/>
      <c r="H1487" s="273"/>
      <c r="I1487" s="358"/>
      <c r="J1487" s="358"/>
      <c r="K1487" s="358"/>
      <c r="L1487" s="358"/>
      <c r="M1487" s="358"/>
      <c r="N1487" s="358"/>
      <c r="O1487" s="358"/>
      <c r="P1487" s="358"/>
      <c r="Q1487" s="358"/>
      <c r="R1487" s="358"/>
      <c r="S1487" s="358"/>
      <c r="T1487" s="358"/>
      <c r="U1487" s="358"/>
      <c r="V1487" s="358"/>
      <c r="W1487" s="358"/>
      <c r="X1487" s="358"/>
      <c r="Y1487" s="358"/>
      <c r="Z1487" s="358"/>
    </row>
    <row r="1488" ht="14.25" customHeight="1">
      <c r="A1488" s="358"/>
      <c r="B1488" s="399"/>
      <c r="C1488" s="399"/>
      <c r="D1488" s="399"/>
      <c r="E1488" s="399"/>
      <c r="F1488" s="400"/>
      <c r="G1488" s="273"/>
      <c r="H1488" s="273"/>
      <c r="I1488" s="358"/>
      <c r="J1488" s="358"/>
      <c r="K1488" s="358"/>
      <c r="L1488" s="358"/>
      <c r="M1488" s="358"/>
      <c r="N1488" s="358"/>
      <c r="O1488" s="358"/>
      <c r="P1488" s="358"/>
      <c r="Q1488" s="358"/>
      <c r="R1488" s="358"/>
      <c r="S1488" s="358"/>
      <c r="T1488" s="358"/>
      <c r="U1488" s="358"/>
      <c r="V1488" s="358"/>
      <c r="W1488" s="358"/>
      <c r="X1488" s="358"/>
      <c r="Y1488" s="358"/>
      <c r="Z1488" s="358"/>
    </row>
    <row r="1489" ht="14.25" customHeight="1">
      <c r="A1489" s="358"/>
      <c r="B1489" s="399"/>
      <c r="C1489" s="399"/>
      <c r="D1489" s="399"/>
      <c r="E1489" s="399"/>
      <c r="F1489" s="400"/>
      <c r="G1489" s="273"/>
      <c r="H1489" s="273"/>
      <c r="I1489" s="358"/>
      <c r="J1489" s="358"/>
      <c r="K1489" s="358"/>
      <c r="L1489" s="358"/>
      <c r="M1489" s="358"/>
      <c r="N1489" s="358"/>
      <c r="O1489" s="358"/>
      <c r="P1489" s="358"/>
      <c r="Q1489" s="358"/>
      <c r="R1489" s="358"/>
      <c r="S1489" s="358"/>
      <c r="T1489" s="358"/>
      <c r="U1489" s="358"/>
      <c r="V1489" s="358"/>
      <c r="W1489" s="358"/>
      <c r="X1489" s="358"/>
      <c r="Y1489" s="358"/>
      <c r="Z1489" s="358"/>
    </row>
    <row r="1490" ht="14.25" customHeight="1">
      <c r="A1490" s="358"/>
      <c r="B1490" s="399"/>
      <c r="C1490" s="399"/>
      <c r="D1490" s="399"/>
      <c r="E1490" s="399"/>
      <c r="F1490" s="400"/>
      <c r="G1490" s="273"/>
      <c r="H1490" s="273"/>
      <c r="I1490" s="358"/>
      <c r="J1490" s="358"/>
      <c r="K1490" s="358"/>
      <c r="L1490" s="358"/>
      <c r="M1490" s="358"/>
      <c r="N1490" s="358"/>
      <c r="O1490" s="358"/>
      <c r="P1490" s="358"/>
      <c r="Q1490" s="358"/>
      <c r="R1490" s="358"/>
      <c r="S1490" s="358"/>
      <c r="T1490" s="358"/>
      <c r="U1490" s="358"/>
      <c r="V1490" s="358"/>
      <c r="W1490" s="358"/>
      <c r="X1490" s="358"/>
      <c r="Y1490" s="358"/>
      <c r="Z1490" s="358"/>
    </row>
    <row r="1491" ht="14.25" customHeight="1">
      <c r="A1491" s="358"/>
      <c r="B1491" s="399"/>
      <c r="C1491" s="399"/>
      <c r="D1491" s="399"/>
      <c r="E1491" s="399"/>
      <c r="F1491" s="400"/>
      <c r="G1491" s="273"/>
      <c r="H1491" s="273"/>
      <c r="I1491" s="358"/>
      <c r="J1491" s="358"/>
      <c r="K1491" s="358"/>
      <c r="L1491" s="358"/>
      <c r="M1491" s="358"/>
      <c r="N1491" s="358"/>
      <c r="O1491" s="358"/>
      <c r="P1491" s="358"/>
      <c r="Q1491" s="358"/>
      <c r="R1491" s="358"/>
      <c r="S1491" s="358"/>
      <c r="T1491" s="358"/>
      <c r="U1491" s="358"/>
      <c r="V1491" s="358"/>
      <c r="W1491" s="358"/>
      <c r="X1491" s="358"/>
      <c r="Y1491" s="358"/>
      <c r="Z1491" s="358"/>
    </row>
    <row r="1492" ht="14.25" customHeight="1">
      <c r="A1492" s="358"/>
      <c r="B1492" s="399"/>
      <c r="C1492" s="399"/>
      <c r="D1492" s="399"/>
      <c r="E1492" s="399"/>
      <c r="F1492" s="400"/>
      <c r="G1492" s="273"/>
      <c r="H1492" s="273"/>
      <c r="I1492" s="358"/>
      <c r="J1492" s="358"/>
      <c r="K1492" s="358"/>
      <c r="L1492" s="358"/>
      <c r="M1492" s="358"/>
      <c r="N1492" s="358"/>
      <c r="O1492" s="358"/>
      <c r="P1492" s="358"/>
      <c r="Q1492" s="358"/>
      <c r="R1492" s="358"/>
      <c r="S1492" s="358"/>
      <c r="T1492" s="358"/>
      <c r="U1492" s="358"/>
      <c r="V1492" s="358"/>
      <c r="W1492" s="358"/>
      <c r="X1492" s="358"/>
      <c r="Y1492" s="358"/>
      <c r="Z1492" s="358"/>
    </row>
    <row r="1493" ht="14.25" customHeight="1">
      <c r="A1493" s="358"/>
      <c r="B1493" s="399"/>
      <c r="C1493" s="399"/>
      <c r="D1493" s="399"/>
      <c r="E1493" s="399"/>
      <c r="F1493" s="400"/>
      <c r="G1493" s="273"/>
      <c r="H1493" s="273"/>
      <c r="I1493" s="358"/>
      <c r="J1493" s="358"/>
      <c r="K1493" s="358"/>
      <c r="L1493" s="358"/>
      <c r="M1493" s="358"/>
      <c r="N1493" s="358"/>
      <c r="O1493" s="358"/>
      <c r="P1493" s="358"/>
      <c r="Q1493" s="358"/>
      <c r="R1493" s="358"/>
      <c r="S1493" s="358"/>
      <c r="T1493" s="358"/>
      <c r="U1493" s="358"/>
      <c r="V1493" s="358"/>
      <c r="W1493" s="358"/>
      <c r="X1493" s="358"/>
      <c r="Y1493" s="358"/>
      <c r="Z1493" s="358"/>
    </row>
    <row r="1494" ht="14.25" customHeight="1">
      <c r="A1494" s="358"/>
      <c r="B1494" s="399"/>
      <c r="C1494" s="399"/>
      <c r="D1494" s="399"/>
      <c r="E1494" s="399"/>
      <c r="F1494" s="400"/>
      <c r="G1494" s="273"/>
      <c r="H1494" s="273"/>
      <c r="I1494" s="358"/>
      <c r="J1494" s="358"/>
      <c r="K1494" s="358"/>
      <c r="L1494" s="358"/>
      <c r="M1494" s="358"/>
      <c r="N1494" s="358"/>
      <c r="O1494" s="358"/>
      <c r="P1494" s="358"/>
      <c r="Q1494" s="358"/>
      <c r="R1494" s="358"/>
      <c r="S1494" s="358"/>
      <c r="T1494" s="358"/>
      <c r="U1494" s="358"/>
      <c r="V1494" s="358"/>
      <c r="W1494" s="358"/>
      <c r="X1494" s="358"/>
      <c r="Y1494" s="358"/>
      <c r="Z1494" s="358"/>
    </row>
    <row r="1495" ht="14.25" customHeight="1">
      <c r="A1495" s="358"/>
      <c r="B1495" s="399"/>
      <c r="C1495" s="399"/>
      <c r="D1495" s="399"/>
      <c r="E1495" s="399"/>
      <c r="F1495" s="400"/>
      <c r="G1495" s="273"/>
      <c r="H1495" s="273"/>
      <c r="I1495" s="358"/>
      <c r="J1495" s="358"/>
      <c r="K1495" s="358"/>
      <c r="L1495" s="358"/>
      <c r="M1495" s="358"/>
      <c r="N1495" s="358"/>
      <c r="O1495" s="358"/>
      <c r="P1495" s="358"/>
      <c r="Q1495" s="358"/>
      <c r="R1495" s="358"/>
      <c r="S1495" s="358"/>
      <c r="T1495" s="358"/>
      <c r="U1495" s="358"/>
      <c r="V1495" s="358"/>
      <c r="W1495" s="358"/>
      <c r="X1495" s="358"/>
      <c r="Y1495" s="358"/>
      <c r="Z1495" s="358"/>
    </row>
    <row r="1496" ht="14.25" customHeight="1">
      <c r="A1496" s="358"/>
      <c r="B1496" s="399"/>
      <c r="C1496" s="399"/>
      <c r="D1496" s="399"/>
      <c r="E1496" s="399"/>
      <c r="F1496" s="400"/>
      <c r="G1496" s="273"/>
      <c r="H1496" s="273"/>
      <c r="I1496" s="358"/>
      <c r="J1496" s="358"/>
      <c r="K1496" s="358"/>
      <c r="L1496" s="358"/>
      <c r="M1496" s="358"/>
      <c r="N1496" s="358"/>
      <c r="O1496" s="358"/>
      <c r="P1496" s="358"/>
      <c r="Q1496" s="358"/>
      <c r="R1496" s="358"/>
      <c r="S1496" s="358"/>
      <c r="T1496" s="358"/>
      <c r="U1496" s="358"/>
      <c r="V1496" s="358"/>
      <c r="W1496" s="358"/>
      <c r="X1496" s="358"/>
      <c r="Y1496" s="358"/>
      <c r="Z1496" s="358"/>
    </row>
    <row r="1497" ht="14.25" customHeight="1">
      <c r="A1497" s="358"/>
      <c r="B1497" s="399"/>
      <c r="C1497" s="399"/>
      <c r="D1497" s="399"/>
      <c r="E1497" s="399"/>
      <c r="F1497" s="400"/>
      <c r="G1497" s="273"/>
      <c r="H1497" s="273"/>
      <c r="I1497" s="358"/>
      <c r="J1497" s="358"/>
      <c r="K1497" s="358"/>
      <c r="L1497" s="358"/>
      <c r="M1497" s="358"/>
      <c r="N1497" s="358"/>
      <c r="O1497" s="358"/>
      <c r="P1497" s="358"/>
      <c r="Q1497" s="358"/>
      <c r="R1497" s="358"/>
      <c r="S1497" s="358"/>
      <c r="T1497" s="358"/>
      <c r="U1497" s="358"/>
      <c r="V1497" s="358"/>
      <c r="W1497" s="358"/>
      <c r="X1497" s="358"/>
      <c r="Y1497" s="358"/>
      <c r="Z1497" s="358"/>
    </row>
    <row r="1498" ht="14.25" customHeight="1">
      <c r="A1498" s="358"/>
      <c r="B1498" s="399"/>
      <c r="C1498" s="399"/>
      <c r="D1498" s="399"/>
      <c r="E1498" s="399"/>
      <c r="F1498" s="400"/>
      <c r="G1498" s="273"/>
      <c r="H1498" s="273"/>
      <c r="I1498" s="358"/>
      <c r="J1498" s="358"/>
      <c r="K1498" s="358"/>
      <c r="L1498" s="358"/>
      <c r="M1498" s="358"/>
      <c r="N1498" s="358"/>
      <c r="O1498" s="358"/>
      <c r="P1498" s="358"/>
      <c r="Q1498" s="358"/>
      <c r="R1498" s="358"/>
      <c r="S1498" s="358"/>
      <c r="T1498" s="358"/>
      <c r="U1498" s="358"/>
      <c r="V1498" s="358"/>
      <c r="W1498" s="358"/>
      <c r="X1498" s="358"/>
      <c r="Y1498" s="358"/>
      <c r="Z1498" s="358"/>
    </row>
    <row r="1499" ht="14.25" customHeight="1">
      <c r="A1499" s="358"/>
      <c r="B1499" s="399"/>
      <c r="C1499" s="399"/>
      <c r="D1499" s="399"/>
      <c r="E1499" s="399"/>
      <c r="F1499" s="400"/>
      <c r="G1499" s="273"/>
      <c r="H1499" s="273"/>
      <c r="I1499" s="358"/>
      <c r="J1499" s="358"/>
      <c r="K1499" s="358"/>
      <c r="L1499" s="358"/>
      <c r="M1499" s="358"/>
      <c r="N1499" s="358"/>
      <c r="O1499" s="358"/>
      <c r="P1499" s="358"/>
      <c r="Q1499" s="358"/>
      <c r="R1499" s="358"/>
      <c r="S1499" s="358"/>
      <c r="T1499" s="358"/>
      <c r="U1499" s="358"/>
      <c r="V1499" s="358"/>
      <c r="W1499" s="358"/>
      <c r="X1499" s="358"/>
      <c r="Y1499" s="358"/>
      <c r="Z1499" s="358"/>
    </row>
    <row r="1500" ht="14.25" customHeight="1">
      <c r="A1500" s="358"/>
      <c r="B1500" s="399"/>
      <c r="C1500" s="399"/>
      <c r="D1500" s="399"/>
      <c r="E1500" s="399"/>
      <c r="F1500" s="400"/>
      <c r="G1500" s="273"/>
      <c r="H1500" s="273"/>
      <c r="I1500" s="358"/>
      <c r="J1500" s="358"/>
      <c r="K1500" s="358"/>
      <c r="L1500" s="358"/>
      <c r="M1500" s="358"/>
      <c r="N1500" s="358"/>
      <c r="O1500" s="358"/>
      <c r="P1500" s="358"/>
      <c r="Q1500" s="358"/>
      <c r="R1500" s="358"/>
      <c r="S1500" s="358"/>
      <c r="T1500" s="358"/>
      <c r="U1500" s="358"/>
      <c r="V1500" s="358"/>
      <c r="W1500" s="358"/>
      <c r="X1500" s="358"/>
      <c r="Y1500" s="358"/>
      <c r="Z1500" s="358"/>
    </row>
    <row r="1501" ht="14.25" customHeight="1">
      <c r="A1501" s="358"/>
      <c r="B1501" s="399"/>
      <c r="C1501" s="399"/>
      <c r="D1501" s="399"/>
      <c r="E1501" s="399"/>
      <c r="F1501" s="400"/>
      <c r="G1501" s="273"/>
      <c r="H1501" s="273"/>
      <c r="I1501" s="358"/>
      <c r="J1501" s="358"/>
      <c r="K1501" s="358"/>
      <c r="L1501" s="358"/>
      <c r="M1501" s="358"/>
      <c r="N1501" s="358"/>
      <c r="O1501" s="358"/>
      <c r="P1501" s="358"/>
      <c r="Q1501" s="358"/>
      <c r="R1501" s="358"/>
      <c r="S1501" s="358"/>
      <c r="T1501" s="358"/>
      <c r="U1501" s="358"/>
      <c r="V1501" s="358"/>
      <c r="W1501" s="358"/>
      <c r="X1501" s="358"/>
      <c r="Y1501" s="358"/>
      <c r="Z1501" s="358"/>
    </row>
    <row r="1502" ht="14.25" customHeight="1">
      <c r="A1502" s="358"/>
      <c r="B1502" s="399"/>
      <c r="C1502" s="399"/>
      <c r="D1502" s="399"/>
      <c r="E1502" s="399"/>
      <c r="F1502" s="400"/>
      <c r="G1502" s="273"/>
      <c r="H1502" s="273"/>
      <c r="I1502" s="358"/>
      <c r="J1502" s="358"/>
      <c r="K1502" s="358"/>
      <c r="L1502" s="358"/>
      <c r="M1502" s="358"/>
      <c r="N1502" s="358"/>
      <c r="O1502" s="358"/>
      <c r="P1502" s="358"/>
      <c r="Q1502" s="358"/>
      <c r="R1502" s="358"/>
      <c r="S1502" s="358"/>
      <c r="T1502" s="358"/>
      <c r="U1502" s="358"/>
      <c r="V1502" s="358"/>
      <c r="W1502" s="358"/>
      <c r="X1502" s="358"/>
      <c r="Y1502" s="358"/>
      <c r="Z1502" s="358"/>
    </row>
    <row r="1503" ht="14.25" customHeight="1">
      <c r="A1503" s="358"/>
      <c r="B1503" s="399"/>
      <c r="C1503" s="399"/>
      <c r="D1503" s="399"/>
      <c r="E1503" s="399"/>
      <c r="F1503" s="400"/>
      <c r="G1503" s="273"/>
      <c r="H1503" s="273"/>
      <c r="I1503" s="358"/>
      <c r="J1503" s="358"/>
      <c r="K1503" s="358"/>
      <c r="L1503" s="358"/>
      <c r="M1503" s="358"/>
      <c r="N1503" s="358"/>
      <c r="O1503" s="358"/>
      <c r="P1503" s="358"/>
      <c r="Q1503" s="358"/>
      <c r="R1503" s="358"/>
      <c r="S1503" s="358"/>
      <c r="T1503" s="358"/>
      <c r="U1503" s="358"/>
      <c r="V1503" s="358"/>
      <c r="W1503" s="358"/>
      <c r="X1503" s="358"/>
      <c r="Y1503" s="358"/>
      <c r="Z1503" s="358"/>
    </row>
    <row r="1504" ht="14.25" customHeight="1">
      <c r="A1504" s="358"/>
      <c r="B1504" s="399"/>
      <c r="C1504" s="399"/>
      <c r="D1504" s="399"/>
      <c r="E1504" s="399"/>
      <c r="F1504" s="400"/>
      <c r="G1504" s="273"/>
      <c r="H1504" s="273"/>
      <c r="I1504" s="358"/>
      <c r="J1504" s="358"/>
      <c r="K1504" s="358"/>
      <c r="L1504" s="358"/>
      <c r="M1504" s="358"/>
      <c r="N1504" s="358"/>
      <c r="O1504" s="358"/>
      <c r="P1504" s="358"/>
      <c r="Q1504" s="358"/>
      <c r="R1504" s="358"/>
      <c r="S1504" s="358"/>
      <c r="T1504" s="358"/>
      <c r="U1504" s="358"/>
      <c r="V1504" s="358"/>
      <c r="W1504" s="358"/>
      <c r="X1504" s="358"/>
      <c r="Y1504" s="358"/>
      <c r="Z1504" s="358"/>
    </row>
    <row r="1505" ht="14.25" customHeight="1">
      <c r="A1505" s="358"/>
      <c r="B1505" s="399"/>
      <c r="C1505" s="399"/>
      <c r="D1505" s="399"/>
      <c r="E1505" s="399"/>
      <c r="F1505" s="400"/>
      <c r="G1505" s="273"/>
      <c r="H1505" s="273"/>
      <c r="I1505" s="358"/>
      <c r="J1505" s="358"/>
      <c r="K1505" s="358"/>
      <c r="L1505" s="358"/>
      <c r="M1505" s="358"/>
      <c r="N1505" s="358"/>
      <c r="O1505" s="358"/>
      <c r="P1505" s="358"/>
      <c r="Q1505" s="358"/>
      <c r="R1505" s="358"/>
      <c r="S1505" s="358"/>
      <c r="T1505" s="358"/>
      <c r="U1505" s="358"/>
      <c r="V1505" s="358"/>
      <c r="W1505" s="358"/>
      <c r="X1505" s="358"/>
      <c r="Y1505" s="358"/>
      <c r="Z1505" s="358"/>
    </row>
    <row r="1506" ht="14.25" customHeight="1">
      <c r="A1506" s="358"/>
      <c r="B1506" s="399"/>
      <c r="C1506" s="399"/>
      <c r="D1506" s="399"/>
      <c r="E1506" s="399"/>
      <c r="F1506" s="400"/>
      <c r="G1506" s="273"/>
      <c r="H1506" s="273"/>
      <c r="I1506" s="358"/>
      <c r="J1506" s="358"/>
      <c r="K1506" s="358"/>
      <c r="L1506" s="358"/>
      <c r="M1506" s="358"/>
      <c r="N1506" s="358"/>
      <c r="O1506" s="358"/>
      <c r="P1506" s="358"/>
      <c r="Q1506" s="358"/>
      <c r="R1506" s="358"/>
      <c r="S1506" s="358"/>
      <c r="T1506" s="358"/>
      <c r="U1506" s="358"/>
      <c r="V1506" s="358"/>
      <c r="W1506" s="358"/>
      <c r="X1506" s="358"/>
      <c r="Y1506" s="358"/>
      <c r="Z1506" s="358"/>
    </row>
    <row r="1507" ht="14.25" customHeight="1">
      <c r="A1507" s="358"/>
      <c r="B1507" s="399"/>
      <c r="C1507" s="399"/>
      <c r="D1507" s="399"/>
      <c r="E1507" s="399"/>
      <c r="F1507" s="400"/>
      <c r="G1507" s="273"/>
      <c r="H1507" s="273"/>
      <c r="I1507" s="358"/>
      <c r="J1507" s="358"/>
      <c r="K1507" s="358"/>
      <c r="L1507" s="358"/>
      <c r="M1507" s="358"/>
      <c r="N1507" s="358"/>
      <c r="O1507" s="358"/>
      <c r="P1507" s="358"/>
      <c r="Q1507" s="358"/>
      <c r="R1507" s="358"/>
      <c r="S1507" s="358"/>
      <c r="T1507" s="358"/>
      <c r="U1507" s="358"/>
      <c r="V1507" s="358"/>
      <c r="W1507" s="358"/>
      <c r="X1507" s="358"/>
      <c r="Y1507" s="358"/>
      <c r="Z1507" s="358"/>
    </row>
    <row r="1508" ht="14.25" customHeight="1">
      <c r="A1508" s="358"/>
      <c r="B1508" s="399"/>
      <c r="C1508" s="399"/>
      <c r="D1508" s="399"/>
      <c r="E1508" s="399"/>
      <c r="F1508" s="400"/>
      <c r="G1508" s="273"/>
      <c r="H1508" s="273"/>
      <c r="I1508" s="358"/>
      <c r="J1508" s="358"/>
      <c r="K1508" s="358"/>
      <c r="L1508" s="358"/>
      <c r="M1508" s="358"/>
      <c r="N1508" s="358"/>
      <c r="O1508" s="358"/>
      <c r="P1508" s="358"/>
      <c r="Q1508" s="358"/>
      <c r="R1508" s="358"/>
      <c r="S1508" s="358"/>
      <c r="T1508" s="358"/>
      <c r="U1508" s="358"/>
      <c r="V1508" s="358"/>
      <c r="W1508" s="358"/>
      <c r="X1508" s="358"/>
      <c r="Y1508" s="358"/>
      <c r="Z1508" s="358"/>
    </row>
    <row r="1509" ht="14.25" customHeight="1">
      <c r="A1509" s="358"/>
      <c r="B1509" s="399"/>
      <c r="C1509" s="399"/>
      <c r="D1509" s="399"/>
      <c r="E1509" s="399"/>
      <c r="F1509" s="400"/>
      <c r="G1509" s="273"/>
      <c r="H1509" s="273"/>
      <c r="I1509" s="358"/>
      <c r="J1509" s="358"/>
      <c r="K1509" s="358"/>
      <c r="L1509" s="358"/>
      <c r="M1509" s="358"/>
      <c r="N1509" s="358"/>
      <c r="O1509" s="358"/>
      <c r="P1509" s="358"/>
      <c r="Q1509" s="358"/>
      <c r="R1509" s="358"/>
      <c r="S1509" s="358"/>
      <c r="T1509" s="358"/>
      <c r="U1509" s="358"/>
      <c r="V1509" s="358"/>
      <c r="W1509" s="358"/>
      <c r="X1509" s="358"/>
      <c r="Y1509" s="358"/>
      <c r="Z1509" s="358"/>
    </row>
    <row r="1510" ht="14.25" customHeight="1">
      <c r="A1510" s="358"/>
      <c r="B1510" s="399"/>
      <c r="C1510" s="399"/>
      <c r="D1510" s="399"/>
      <c r="E1510" s="399"/>
      <c r="F1510" s="400"/>
      <c r="G1510" s="273"/>
      <c r="H1510" s="273"/>
      <c r="I1510" s="358"/>
      <c r="J1510" s="358"/>
      <c r="K1510" s="358"/>
      <c r="L1510" s="358"/>
      <c r="M1510" s="358"/>
      <c r="N1510" s="358"/>
      <c r="O1510" s="358"/>
      <c r="P1510" s="358"/>
      <c r="Q1510" s="358"/>
      <c r="R1510" s="358"/>
      <c r="S1510" s="358"/>
      <c r="T1510" s="358"/>
      <c r="U1510" s="358"/>
      <c r="V1510" s="358"/>
      <c r="W1510" s="358"/>
      <c r="X1510" s="358"/>
      <c r="Y1510" s="358"/>
      <c r="Z1510" s="358"/>
    </row>
    <row r="1511" ht="14.25" customHeight="1">
      <c r="A1511" s="358"/>
      <c r="B1511" s="399"/>
      <c r="C1511" s="399"/>
      <c r="D1511" s="399"/>
      <c r="E1511" s="399"/>
      <c r="F1511" s="400"/>
      <c r="G1511" s="273"/>
      <c r="H1511" s="273"/>
      <c r="I1511" s="358"/>
      <c r="J1511" s="358"/>
      <c r="K1511" s="358"/>
      <c r="L1511" s="358"/>
      <c r="M1511" s="358"/>
      <c r="N1511" s="358"/>
      <c r="O1511" s="358"/>
      <c r="P1511" s="358"/>
      <c r="Q1511" s="358"/>
      <c r="R1511" s="358"/>
      <c r="S1511" s="358"/>
      <c r="T1511" s="358"/>
      <c r="U1511" s="358"/>
      <c r="V1511" s="358"/>
      <c r="W1511" s="358"/>
      <c r="X1511" s="358"/>
      <c r="Y1511" s="358"/>
      <c r="Z1511" s="358"/>
    </row>
    <row r="1512" ht="14.25" customHeight="1">
      <c r="A1512" s="358"/>
      <c r="B1512" s="399"/>
      <c r="C1512" s="399"/>
      <c r="D1512" s="399"/>
      <c r="E1512" s="399"/>
      <c r="F1512" s="400"/>
      <c r="G1512" s="273"/>
      <c r="H1512" s="273"/>
      <c r="I1512" s="358"/>
      <c r="J1512" s="358"/>
      <c r="K1512" s="358"/>
      <c r="L1512" s="358"/>
      <c r="M1512" s="358"/>
      <c r="N1512" s="358"/>
      <c r="O1512" s="358"/>
      <c r="P1512" s="358"/>
      <c r="Q1512" s="358"/>
      <c r="R1512" s="358"/>
      <c r="S1512" s="358"/>
      <c r="T1512" s="358"/>
      <c r="U1512" s="358"/>
      <c r="V1512" s="358"/>
      <c r="W1512" s="358"/>
      <c r="X1512" s="358"/>
      <c r="Y1512" s="358"/>
      <c r="Z1512" s="358"/>
    </row>
    <row r="1513" ht="14.25" customHeight="1">
      <c r="A1513" s="358"/>
      <c r="B1513" s="399"/>
      <c r="C1513" s="399"/>
      <c r="D1513" s="399"/>
      <c r="E1513" s="399"/>
      <c r="F1513" s="400"/>
      <c r="G1513" s="273"/>
      <c r="H1513" s="273"/>
      <c r="I1513" s="358"/>
      <c r="J1513" s="358"/>
      <c r="K1513" s="358"/>
      <c r="L1513" s="358"/>
      <c r="M1513" s="358"/>
      <c r="N1513" s="358"/>
      <c r="O1513" s="358"/>
      <c r="P1513" s="358"/>
      <c r="Q1513" s="358"/>
      <c r="R1513" s="358"/>
      <c r="S1513" s="358"/>
      <c r="T1513" s="358"/>
      <c r="U1513" s="358"/>
      <c r="V1513" s="358"/>
      <c r="W1513" s="358"/>
      <c r="X1513" s="358"/>
      <c r="Y1513" s="358"/>
      <c r="Z1513" s="358"/>
    </row>
    <row r="1514" ht="14.25" customHeight="1">
      <c r="A1514" s="358"/>
      <c r="B1514" s="399"/>
      <c r="C1514" s="399"/>
      <c r="D1514" s="399"/>
      <c r="E1514" s="399"/>
      <c r="F1514" s="400"/>
      <c r="G1514" s="273"/>
      <c r="H1514" s="273"/>
      <c r="I1514" s="358"/>
      <c r="J1514" s="358"/>
      <c r="K1514" s="358"/>
      <c r="L1514" s="358"/>
      <c r="M1514" s="358"/>
      <c r="N1514" s="358"/>
      <c r="O1514" s="358"/>
      <c r="P1514" s="358"/>
      <c r="Q1514" s="358"/>
      <c r="R1514" s="358"/>
      <c r="S1514" s="358"/>
      <c r="T1514" s="358"/>
      <c r="U1514" s="358"/>
      <c r="V1514" s="358"/>
      <c r="W1514" s="358"/>
      <c r="X1514" s="358"/>
      <c r="Y1514" s="358"/>
      <c r="Z1514" s="358"/>
    </row>
    <row r="1515" ht="14.25" customHeight="1">
      <c r="A1515" s="358"/>
      <c r="B1515" s="399"/>
      <c r="C1515" s="399"/>
      <c r="D1515" s="399"/>
      <c r="E1515" s="399"/>
      <c r="F1515" s="400"/>
      <c r="G1515" s="273"/>
      <c r="H1515" s="273"/>
      <c r="I1515" s="358"/>
      <c r="J1515" s="358"/>
      <c r="K1515" s="358"/>
      <c r="L1515" s="358"/>
      <c r="M1515" s="358"/>
      <c r="N1515" s="358"/>
      <c r="O1515" s="358"/>
      <c r="P1515" s="358"/>
      <c r="Q1515" s="358"/>
      <c r="R1515" s="358"/>
      <c r="S1515" s="358"/>
      <c r="T1515" s="358"/>
      <c r="U1515" s="358"/>
      <c r="V1515" s="358"/>
      <c r="W1515" s="358"/>
      <c r="X1515" s="358"/>
      <c r="Y1515" s="358"/>
      <c r="Z1515" s="358"/>
    </row>
    <row r="1516" ht="14.25" customHeight="1">
      <c r="A1516" s="358"/>
      <c r="B1516" s="399"/>
      <c r="C1516" s="399"/>
      <c r="D1516" s="399"/>
      <c r="E1516" s="399"/>
      <c r="F1516" s="400"/>
      <c r="G1516" s="273"/>
      <c r="H1516" s="273"/>
      <c r="I1516" s="358"/>
      <c r="J1516" s="358"/>
      <c r="K1516" s="358"/>
      <c r="L1516" s="358"/>
      <c r="M1516" s="358"/>
      <c r="N1516" s="358"/>
      <c r="O1516" s="358"/>
      <c r="P1516" s="358"/>
      <c r="Q1516" s="358"/>
      <c r="R1516" s="358"/>
      <c r="S1516" s="358"/>
      <c r="T1516" s="358"/>
      <c r="U1516" s="358"/>
      <c r="V1516" s="358"/>
      <c r="W1516" s="358"/>
      <c r="X1516" s="358"/>
      <c r="Y1516" s="358"/>
      <c r="Z1516" s="358"/>
    </row>
    <row r="1517" ht="14.25" customHeight="1">
      <c r="A1517" s="358"/>
      <c r="B1517" s="399"/>
      <c r="C1517" s="399"/>
      <c r="D1517" s="399"/>
      <c r="E1517" s="399"/>
      <c r="F1517" s="400"/>
      <c r="G1517" s="273"/>
      <c r="H1517" s="273"/>
      <c r="I1517" s="358"/>
      <c r="J1517" s="358"/>
      <c r="K1517" s="358"/>
      <c r="L1517" s="358"/>
      <c r="M1517" s="358"/>
      <c r="N1517" s="358"/>
      <c r="O1517" s="358"/>
      <c r="P1517" s="358"/>
      <c r="Q1517" s="358"/>
      <c r="R1517" s="358"/>
      <c r="S1517" s="358"/>
      <c r="T1517" s="358"/>
      <c r="U1517" s="358"/>
      <c r="V1517" s="358"/>
      <c r="W1517" s="358"/>
      <c r="X1517" s="358"/>
      <c r="Y1517" s="358"/>
      <c r="Z1517" s="358"/>
    </row>
    <row r="1518" ht="14.25" customHeight="1">
      <c r="A1518" s="358"/>
      <c r="B1518" s="399"/>
      <c r="C1518" s="399"/>
      <c r="D1518" s="399"/>
      <c r="E1518" s="399"/>
      <c r="F1518" s="400"/>
      <c r="G1518" s="273"/>
      <c r="H1518" s="273"/>
      <c r="I1518" s="358"/>
      <c r="J1518" s="358"/>
      <c r="K1518" s="358"/>
      <c r="L1518" s="358"/>
      <c r="M1518" s="358"/>
      <c r="N1518" s="358"/>
      <c r="O1518" s="358"/>
      <c r="P1518" s="358"/>
      <c r="Q1518" s="358"/>
      <c r="R1518" s="358"/>
      <c r="S1518" s="358"/>
      <c r="T1518" s="358"/>
      <c r="U1518" s="358"/>
      <c r="V1518" s="358"/>
      <c r="W1518" s="358"/>
      <c r="X1518" s="358"/>
      <c r="Y1518" s="358"/>
      <c r="Z1518" s="358"/>
    </row>
    <row r="1519" ht="14.25" customHeight="1">
      <c r="A1519" s="358"/>
      <c r="B1519" s="399"/>
      <c r="C1519" s="399"/>
      <c r="D1519" s="399"/>
      <c r="E1519" s="399"/>
      <c r="F1519" s="400"/>
      <c r="G1519" s="273"/>
      <c r="H1519" s="273"/>
      <c r="I1519" s="358"/>
      <c r="J1519" s="358"/>
      <c r="K1519" s="358"/>
      <c r="L1519" s="358"/>
      <c r="M1519" s="358"/>
      <c r="N1519" s="358"/>
      <c r="O1519" s="358"/>
      <c r="P1519" s="358"/>
      <c r="Q1519" s="358"/>
      <c r="R1519" s="358"/>
      <c r="S1519" s="358"/>
      <c r="T1519" s="358"/>
      <c r="U1519" s="358"/>
      <c r="V1519" s="358"/>
      <c r="W1519" s="358"/>
      <c r="X1519" s="358"/>
      <c r="Y1519" s="358"/>
      <c r="Z1519" s="358"/>
    </row>
    <row r="1520" ht="14.25" customHeight="1">
      <c r="A1520" s="358"/>
      <c r="B1520" s="399"/>
      <c r="C1520" s="399"/>
      <c r="D1520" s="399"/>
      <c r="E1520" s="399"/>
      <c r="F1520" s="400"/>
      <c r="G1520" s="273"/>
      <c r="H1520" s="273"/>
      <c r="I1520" s="358"/>
      <c r="J1520" s="358"/>
      <c r="K1520" s="358"/>
      <c r="L1520" s="358"/>
      <c r="M1520" s="358"/>
      <c r="N1520" s="358"/>
      <c r="O1520" s="358"/>
      <c r="P1520" s="358"/>
      <c r="Q1520" s="358"/>
      <c r="R1520" s="358"/>
      <c r="S1520" s="358"/>
      <c r="T1520" s="358"/>
      <c r="U1520" s="358"/>
      <c r="V1520" s="358"/>
      <c r="W1520" s="358"/>
      <c r="X1520" s="358"/>
      <c r="Y1520" s="358"/>
      <c r="Z1520" s="358"/>
    </row>
    <row r="1521" ht="14.25" customHeight="1">
      <c r="A1521" s="358"/>
      <c r="B1521" s="399"/>
      <c r="C1521" s="399"/>
      <c r="D1521" s="399"/>
      <c r="E1521" s="399"/>
      <c r="F1521" s="400"/>
      <c r="G1521" s="273"/>
      <c r="H1521" s="273"/>
      <c r="I1521" s="358"/>
      <c r="J1521" s="358"/>
      <c r="K1521" s="358"/>
      <c r="L1521" s="358"/>
      <c r="M1521" s="358"/>
      <c r="N1521" s="358"/>
      <c r="O1521" s="358"/>
      <c r="P1521" s="358"/>
      <c r="Q1521" s="358"/>
      <c r="R1521" s="358"/>
      <c r="S1521" s="358"/>
      <c r="T1521" s="358"/>
      <c r="U1521" s="358"/>
      <c r="V1521" s="358"/>
      <c r="W1521" s="358"/>
      <c r="X1521" s="358"/>
      <c r="Y1521" s="358"/>
      <c r="Z1521" s="358"/>
    </row>
    <row r="1522" ht="14.25" customHeight="1">
      <c r="A1522" s="358"/>
      <c r="B1522" s="399"/>
      <c r="C1522" s="399"/>
      <c r="D1522" s="399"/>
      <c r="E1522" s="399"/>
      <c r="F1522" s="400"/>
      <c r="G1522" s="273"/>
      <c r="H1522" s="273"/>
      <c r="I1522" s="358"/>
      <c r="J1522" s="358"/>
      <c r="K1522" s="358"/>
      <c r="L1522" s="358"/>
      <c r="M1522" s="358"/>
      <c r="N1522" s="358"/>
      <c r="O1522" s="358"/>
      <c r="P1522" s="358"/>
      <c r="Q1522" s="358"/>
      <c r="R1522" s="358"/>
      <c r="S1522" s="358"/>
      <c r="T1522" s="358"/>
      <c r="U1522" s="358"/>
      <c r="V1522" s="358"/>
      <c r="W1522" s="358"/>
      <c r="X1522" s="358"/>
      <c r="Y1522" s="358"/>
      <c r="Z1522" s="358"/>
    </row>
    <row r="1523" ht="14.25" customHeight="1">
      <c r="A1523" s="358"/>
      <c r="B1523" s="399"/>
      <c r="C1523" s="399"/>
      <c r="D1523" s="399"/>
      <c r="E1523" s="399"/>
      <c r="F1523" s="400"/>
      <c r="G1523" s="273"/>
      <c r="H1523" s="273"/>
      <c r="I1523" s="358"/>
      <c r="J1523" s="358"/>
      <c r="K1523" s="358"/>
      <c r="L1523" s="358"/>
      <c r="M1523" s="358"/>
      <c r="N1523" s="358"/>
      <c r="O1523" s="358"/>
      <c r="P1523" s="358"/>
      <c r="Q1523" s="358"/>
      <c r="R1523" s="358"/>
      <c r="S1523" s="358"/>
      <c r="T1523" s="358"/>
      <c r="U1523" s="358"/>
      <c r="V1523" s="358"/>
      <c r="W1523" s="358"/>
      <c r="X1523" s="358"/>
      <c r="Y1523" s="358"/>
      <c r="Z1523" s="358"/>
    </row>
    <row r="1524" ht="14.25" customHeight="1">
      <c r="A1524" s="358"/>
      <c r="B1524" s="399"/>
      <c r="C1524" s="399"/>
      <c r="D1524" s="399"/>
      <c r="E1524" s="399"/>
      <c r="F1524" s="400"/>
      <c r="G1524" s="273"/>
      <c r="H1524" s="273"/>
      <c r="I1524" s="358"/>
      <c r="J1524" s="358"/>
      <c r="K1524" s="358"/>
      <c r="L1524" s="358"/>
      <c r="M1524" s="358"/>
      <c r="N1524" s="358"/>
      <c r="O1524" s="358"/>
      <c r="P1524" s="358"/>
      <c r="Q1524" s="358"/>
      <c r="R1524" s="358"/>
      <c r="S1524" s="358"/>
      <c r="T1524" s="358"/>
      <c r="U1524" s="358"/>
      <c r="V1524" s="358"/>
      <c r="W1524" s="358"/>
      <c r="X1524" s="358"/>
      <c r="Y1524" s="358"/>
      <c r="Z1524" s="358"/>
    </row>
    <row r="1525" ht="14.25" customHeight="1">
      <c r="A1525" s="358"/>
      <c r="B1525" s="399"/>
      <c r="C1525" s="399"/>
      <c r="D1525" s="399"/>
      <c r="E1525" s="399"/>
      <c r="F1525" s="400"/>
      <c r="G1525" s="273"/>
      <c r="H1525" s="273"/>
      <c r="I1525" s="358"/>
      <c r="J1525" s="358"/>
      <c r="K1525" s="358"/>
      <c r="L1525" s="358"/>
      <c r="M1525" s="358"/>
      <c r="N1525" s="358"/>
      <c r="O1525" s="358"/>
      <c r="P1525" s="358"/>
      <c r="Q1525" s="358"/>
      <c r="R1525" s="358"/>
      <c r="S1525" s="358"/>
      <c r="T1525" s="358"/>
      <c r="U1525" s="358"/>
      <c r="V1525" s="358"/>
      <c r="W1525" s="358"/>
      <c r="X1525" s="358"/>
      <c r="Y1525" s="358"/>
      <c r="Z1525" s="358"/>
    </row>
    <row r="1526" ht="14.25" customHeight="1">
      <c r="A1526" s="358"/>
      <c r="B1526" s="399"/>
      <c r="C1526" s="399"/>
      <c r="D1526" s="399"/>
      <c r="E1526" s="399"/>
      <c r="F1526" s="400"/>
      <c r="G1526" s="273"/>
      <c r="H1526" s="273"/>
      <c r="I1526" s="358"/>
      <c r="J1526" s="358"/>
      <c r="K1526" s="358"/>
      <c r="L1526" s="358"/>
      <c r="M1526" s="358"/>
      <c r="N1526" s="358"/>
      <c r="O1526" s="358"/>
      <c r="P1526" s="358"/>
      <c r="Q1526" s="358"/>
      <c r="R1526" s="358"/>
      <c r="S1526" s="358"/>
      <c r="T1526" s="358"/>
      <c r="U1526" s="358"/>
      <c r="V1526" s="358"/>
      <c r="W1526" s="358"/>
      <c r="X1526" s="358"/>
      <c r="Y1526" s="358"/>
      <c r="Z1526" s="358"/>
    </row>
    <row r="1527" ht="14.25" customHeight="1">
      <c r="A1527" s="358"/>
      <c r="B1527" s="399"/>
      <c r="C1527" s="399"/>
      <c r="D1527" s="399"/>
      <c r="E1527" s="399"/>
      <c r="F1527" s="400"/>
      <c r="G1527" s="273"/>
      <c r="H1527" s="273"/>
      <c r="I1527" s="358"/>
      <c r="J1527" s="358"/>
      <c r="K1527" s="358"/>
      <c r="L1527" s="358"/>
      <c r="M1527" s="358"/>
      <c r="N1527" s="358"/>
      <c r="O1527" s="358"/>
      <c r="P1527" s="358"/>
      <c r="Q1527" s="358"/>
      <c r="R1527" s="358"/>
      <c r="S1527" s="358"/>
      <c r="T1527" s="358"/>
      <c r="U1527" s="358"/>
      <c r="V1527" s="358"/>
      <c r="W1527" s="358"/>
      <c r="X1527" s="358"/>
      <c r="Y1527" s="358"/>
      <c r="Z1527" s="358"/>
    </row>
    <row r="1528" ht="14.25" customHeight="1">
      <c r="A1528" s="358"/>
      <c r="B1528" s="399"/>
      <c r="C1528" s="399"/>
      <c r="D1528" s="399"/>
      <c r="E1528" s="399"/>
      <c r="F1528" s="400"/>
      <c r="G1528" s="273"/>
      <c r="H1528" s="273"/>
      <c r="I1528" s="358"/>
      <c r="J1528" s="358"/>
      <c r="K1528" s="358"/>
      <c r="L1528" s="358"/>
      <c r="M1528" s="358"/>
      <c r="N1528" s="358"/>
      <c r="O1528" s="358"/>
      <c r="P1528" s="358"/>
      <c r="Q1528" s="358"/>
      <c r="R1528" s="358"/>
      <c r="S1528" s="358"/>
      <c r="T1528" s="358"/>
      <c r="U1528" s="358"/>
      <c r="V1528" s="358"/>
      <c r="W1528" s="358"/>
      <c r="X1528" s="358"/>
      <c r="Y1528" s="358"/>
      <c r="Z1528" s="358"/>
    </row>
    <row r="1529" ht="14.25" customHeight="1">
      <c r="A1529" s="358"/>
      <c r="B1529" s="399"/>
      <c r="C1529" s="399"/>
      <c r="D1529" s="399"/>
      <c r="E1529" s="399"/>
      <c r="F1529" s="400"/>
      <c r="G1529" s="273"/>
      <c r="H1529" s="273"/>
      <c r="I1529" s="358"/>
      <c r="J1529" s="358"/>
      <c r="K1529" s="358"/>
      <c r="L1529" s="358"/>
      <c r="M1529" s="358"/>
      <c r="N1529" s="358"/>
      <c r="O1529" s="358"/>
      <c r="P1529" s="358"/>
      <c r="Q1529" s="358"/>
      <c r="R1529" s="358"/>
      <c r="S1529" s="358"/>
      <c r="T1529" s="358"/>
      <c r="U1529" s="358"/>
      <c r="V1529" s="358"/>
      <c r="W1529" s="358"/>
      <c r="X1529" s="358"/>
      <c r="Y1529" s="358"/>
      <c r="Z1529" s="358"/>
    </row>
    <row r="1530" ht="14.25" customHeight="1">
      <c r="A1530" s="358"/>
      <c r="B1530" s="399"/>
      <c r="C1530" s="399"/>
      <c r="D1530" s="399"/>
      <c r="E1530" s="399"/>
      <c r="F1530" s="400"/>
      <c r="G1530" s="273"/>
      <c r="H1530" s="273"/>
      <c r="I1530" s="358"/>
      <c r="J1530" s="358"/>
      <c r="K1530" s="358"/>
      <c r="L1530" s="358"/>
      <c r="M1530" s="358"/>
      <c r="N1530" s="358"/>
      <c r="O1530" s="358"/>
      <c r="P1530" s="358"/>
      <c r="Q1530" s="358"/>
      <c r="R1530" s="358"/>
      <c r="S1530" s="358"/>
      <c r="T1530" s="358"/>
      <c r="U1530" s="358"/>
      <c r="V1530" s="358"/>
      <c r="W1530" s="358"/>
      <c r="X1530" s="358"/>
      <c r="Y1530" s="358"/>
      <c r="Z1530" s="358"/>
    </row>
    <row r="1531" ht="14.25" customHeight="1">
      <c r="A1531" s="358"/>
      <c r="B1531" s="399"/>
      <c r="C1531" s="399"/>
      <c r="D1531" s="399"/>
      <c r="E1531" s="399"/>
      <c r="F1531" s="400"/>
      <c r="G1531" s="273"/>
      <c r="H1531" s="273"/>
      <c r="I1531" s="358"/>
      <c r="J1531" s="358"/>
      <c r="K1531" s="358"/>
      <c r="L1531" s="358"/>
      <c r="M1531" s="358"/>
      <c r="N1531" s="358"/>
      <c r="O1531" s="358"/>
      <c r="P1531" s="358"/>
      <c r="Q1531" s="358"/>
      <c r="R1531" s="358"/>
      <c r="S1531" s="358"/>
      <c r="T1531" s="358"/>
      <c r="U1531" s="358"/>
      <c r="V1531" s="358"/>
      <c r="W1531" s="358"/>
      <c r="X1531" s="358"/>
      <c r="Y1531" s="358"/>
      <c r="Z1531" s="358"/>
    </row>
    <row r="1532" ht="14.25" customHeight="1">
      <c r="A1532" s="358"/>
      <c r="B1532" s="399"/>
      <c r="C1532" s="399"/>
      <c r="D1532" s="399"/>
      <c r="E1532" s="399"/>
      <c r="F1532" s="400"/>
      <c r="G1532" s="273"/>
      <c r="H1532" s="273"/>
      <c r="I1532" s="358"/>
      <c r="J1532" s="358"/>
      <c r="K1532" s="358"/>
      <c r="L1532" s="358"/>
      <c r="M1532" s="358"/>
      <c r="N1532" s="358"/>
      <c r="O1532" s="358"/>
      <c r="P1532" s="358"/>
      <c r="Q1532" s="358"/>
      <c r="R1532" s="358"/>
      <c r="S1532" s="358"/>
      <c r="T1532" s="358"/>
      <c r="U1532" s="358"/>
      <c r="V1532" s="358"/>
      <c r="W1532" s="358"/>
      <c r="X1532" s="358"/>
      <c r="Y1532" s="358"/>
      <c r="Z1532" s="358"/>
    </row>
    <row r="1533" ht="14.25" customHeight="1">
      <c r="A1533" s="358"/>
      <c r="B1533" s="399"/>
      <c r="C1533" s="399"/>
      <c r="D1533" s="399"/>
      <c r="E1533" s="399"/>
      <c r="F1533" s="400"/>
      <c r="G1533" s="273"/>
      <c r="H1533" s="273"/>
      <c r="I1533" s="358"/>
      <c r="J1533" s="358"/>
      <c r="K1533" s="358"/>
      <c r="L1533" s="358"/>
      <c r="M1533" s="358"/>
      <c r="N1533" s="358"/>
      <c r="O1533" s="358"/>
      <c r="P1533" s="358"/>
      <c r="Q1533" s="358"/>
      <c r="R1533" s="358"/>
      <c r="S1533" s="358"/>
      <c r="T1533" s="358"/>
      <c r="U1533" s="358"/>
      <c r="V1533" s="358"/>
      <c r="W1533" s="358"/>
      <c r="X1533" s="358"/>
      <c r="Y1533" s="358"/>
      <c r="Z1533" s="358"/>
    </row>
    <row r="1534" ht="14.25" customHeight="1">
      <c r="A1534" s="358"/>
      <c r="B1534" s="399"/>
      <c r="C1534" s="399"/>
      <c r="D1534" s="399"/>
      <c r="E1534" s="399"/>
      <c r="F1534" s="400"/>
      <c r="G1534" s="273"/>
      <c r="H1534" s="273"/>
      <c r="I1534" s="358"/>
      <c r="J1534" s="358"/>
      <c r="K1534" s="358"/>
      <c r="L1534" s="358"/>
      <c r="M1534" s="358"/>
      <c r="N1534" s="358"/>
      <c r="O1534" s="358"/>
      <c r="P1534" s="358"/>
      <c r="Q1534" s="358"/>
      <c r="R1534" s="358"/>
      <c r="S1534" s="358"/>
      <c r="T1534" s="358"/>
      <c r="U1534" s="358"/>
      <c r="V1534" s="358"/>
      <c r="W1534" s="358"/>
      <c r="X1534" s="358"/>
      <c r="Y1534" s="358"/>
      <c r="Z1534" s="358"/>
    </row>
    <row r="1535" ht="14.25" customHeight="1">
      <c r="A1535" s="358"/>
      <c r="B1535" s="399"/>
      <c r="C1535" s="399"/>
      <c r="D1535" s="399"/>
      <c r="E1535" s="399"/>
      <c r="F1535" s="400"/>
      <c r="G1535" s="273"/>
      <c r="H1535" s="273"/>
      <c r="I1535" s="358"/>
      <c r="J1535" s="358"/>
      <c r="K1535" s="358"/>
      <c r="L1535" s="358"/>
      <c r="M1535" s="358"/>
      <c r="N1535" s="358"/>
      <c r="O1535" s="358"/>
      <c r="P1535" s="358"/>
      <c r="Q1535" s="358"/>
      <c r="R1535" s="358"/>
      <c r="S1535" s="358"/>
      <c r="T1535" s="358"/>
      <c r="U1535" s="358"/>
      <c r="V1535" s="358"/>
      <c r="W1535" s="358"/>
      <c r="X1535" s="358"/>
      <c r="Y1535" s="358"/>
      <c r="Z1535" s="358"/>
    </row>
    <row r="1536" ht="14.25" customHeight="1">
      <c r="A1536" s="358"/>
      <c r="B1536" s="399"/>
      <c r="C1536" s="399"/>
      <c r="D1536" s="399"/>
      <c r="E1536" s="399"/>
      <c r="F1536" s="400"/>
      <c r="G1536" s="273"/>
      <c r="H1536" s="273"/>
      <c r="I1536" s="358"/>
      <c r="J1536" s="358"/>
      <c r="K1536" s="358"/>
      <c r="L1536" s="358"/>
      <c r="M1536" s="358"/>
      <c r="N1536" s="358"/>
      <c r="O1536" s="358"/>
      <c r="P1536" s="358"/>
      <c r="Q1536" s="358"/>
      <c r="R1536" s="358"/>
      <c r="S1536" s="358"/>
      <c r="T1536" s="358"/>
      <c r="U1536" s="358"/>
      <c r="V1536" s="358"/>
      <c r="W1536" s="358"/>
      <c r="X1536" s="358"/>
      <c r="Y1536" s="358"/>
      <c r="Z1536" s="358"/>
    </row>
    <row r="1537" ht="14.25" customHeight="1">
      <c r="A1537" s="358"/>
      <c r="B1537" s="399"/>
      <c r="C1537" s="399"/>
      <c r="D1537" s="399"/>
      <c r="E1537" s="399"/>
      <c r="F1537" s="400"/>
      <c r="G1537" s="273"/>
      <c r="H1537" s="273"/>
      <c r="I1537" s="358"/>
      <c r="J1537" s="358"/>
      <c r="K1537" s="358"/>
      <c r="L1537" s="358"/>
      <c r="M1537" s="358"/>
      <c r="N1537" s="358"/>
      <c r="O1537" s="358"/>
      <c r="P1537" s="358"/>
      <c r="Q1537" s="358"/>
      <c r="R1537" s="358"/>
      <c r="S1537" s="358"/>
      <c r="T1537" s="358"/>
      <c r="U1537" s="358"/>
      <c r="V1537" s="358"/>
      <c r="W1537" s="358"/>
      <c r="X1537" s="358"/>
      <c r="Y1537" s="358"/>
      <c r="Z1537" s="358"/>
    </row>
    <row r="1538" ht="14.25" customHeight="1">
      <c r="A1538" s="358"/>
      <c r="B1538" s="399"/>
      <c r="C1538" s="399"/>
      <c r="D1538" s="399"/>
      <c r="E1538" s="399"/>
      <c r="F1538" s="400"/>
      <c r="G1538" s="273"/>
      <c r="H1538" s="273"/>
      <c r="I1538" s="358"/>
      <c r="J1538" s="358"/>
      <c r="K1538" s="358"/>
      <c r="L1538" s="358"/>
      <c r="M1538" s="358"/>
      <c r="N1538" s="358"/>
      <c r="O1538" s="358"/>
      <c r="P1538" s="358"/>
      <c r="Q1538" s="358"/>
      <c r="R1538" s="358"/>
      <c r="S1538" s="358"/>
      <c r="T1538" s="358"/>
      <c r="U1538" s="358"/>
      <c r="V1538" s="358"/>
      <c r="W1538" s="358"/>
      <c r="X1538" s="358"/>
      <c r="Y1538" s="358"/>
      <c r="Z1538" s="358"/>
    </row>
    <row r="1539" ht="14.25" customHeight="1">
      <c r="A1539" s="358"/>
      <c r="B1539" s="399"/>
      <c r="C1539" s="399"/>
      <c r="D1539" s="399"/>
      <c r="E1539" s="399"/>
      <c r="F1539" s="400"/>
      <c r="G1539" s="273"/>
      <c r="H1539" s="273"/>
      <c r="I1539" s="358"/>
      <c r="J1539" s="358"/>
      <c r="K1539" s="358"/>
      <c r="L1539" s="358"/>
      <c r="M1539" s="358"/>
      <c r="N1539" s="358"/>
      <c r="O1539" s="358"/>
      <c r="P1539" s="358"/>
      <c r="Q1539" s="358"/>
      <c r="R1539" s="358"/>
      <c r="S1539" s="358"/>
      <c r="T1539" s="358"/>
      <c r="U1539" s="358"/>
      <c r="V1539" s="358"/>
      <c r="W1539" s="358"/>
      <c r="X1539" s="358"/>
      <c r="Y1539" s="358"/>
      <c r="Z1539" s="358"/>
    </row>
    <row r="1540" ht="14.25" customHeight="1">
      <c r="A1540" s="358"/>
      <c r="B1540" s="399"/>
      <c r="C1540" s="399"/>
      <c r="D1540" s="399"/>
      <c r="E1540" s="399"/>
      <c r="F1540" s="400"/>
      <c r="G1540" s="273"/>
      <c r="H1540" s="273"/>
      <c r="I1540" s="358"/>
      <c r="J1540" s="358"/>
      <c r="K1540" s="358"/>
      <c r="L1540" s="358"/>
      <c r="M1540" s="358"/>
      <c r="N1540" s="358"/>
      <c r="O1540" s="358"/>
      <c r="P1540" s="358"/>
      <c r="Q1540" s="358"/>
      <c r="R1540" s="358"/>
      <c r="S1540" s="358"/>
      <c r="T1540" s="358"/>
      <c r="U1540" s="358"/>
      <c r="V1540" s="358"/>
      <c r="W1540" s="358"/>
      <c r="X1540" s="358"/>
      <c r="Y1540" s="358"/>
      <c r="Z1540" s="358"/>
    </row>
    <row r="1541" ht="14.25" customHeight="1">
      <c r="A1541" s="358"/>
      <c r="B1541" s="399"/>
      <c r="C1541" s="399"/>
      <c r="D1541" s="399"/>
      <c r="E1541" s="399"/>
      <c r="F1541" s="400"/>
      <c r="G1541" s="273"/>
      <c r="H1541" s="273"/>
      <c r="I1541" s="358"/>
      <c r="J1541" s="358"/>
      <c r="K1541" s="358"/>
      <c r="L1541" s="358"/>
      <c r="M1541" s="358"/>
      <c r="N1541" s="358"/>
      <c r="O1541" s="358"/>
      <c r="P1541" s="358"/>
      <c r="Q1541" s="358"/>
      <c r="R1541" s="358"/>
      <c r="S1541" s="358"/>
      <c r="T1541" s="358"/>
      <c r="U1541" s="358"/>
      <c r="V1541" s="358"/>
      <c r="W1541" s="358"/>
      <c r="X1541" s="358"/>
      <c r="Y1541" s="358"/>
      <c r="Z1541" s="358"/>
    </row>
    <row r="1542" ht="14.25" customHeight="1">
      <c r="A1542" s="358"/>
      <c r="B1542" s="399"/>
      <c r="C1542" s="399"/>
      <c r="D1542" s="399"/>
      <c r="E1542" s="399"/>
      <c r="F1542" s="400"/>
      <c r="G1542" s="273"/>
      <c r="H1542" s="273"/>
      <c r="I1542" s="358"/>
      <c r="J1542" s="358"/>
      <c r="K1542" s="358"/>
      <c r="L1542" s="358"/>
      <c r="M1542" s="358"/>
      <c r="N1542" s="358"/>
      <c r="O1542" s="358"/>
      <c r="P1542" s="358"/>
      <c r="Q1542" s="358"/>
      <c r="R1542" s="358"/>
      <c r="S1542" s="358"/>
      <c r="T1542" s="358"/>
      <c r="U1542" s="358"/>
      <c r="V1542" s="358"/>
      <c r="W1542" s="358"/>
      <c r="X1542" s="358"/>
      <c r="Y1542" s="358"/>
      <c r="Z1542" s="358"/>
    </row>
    <row r="1543" ht="14.25" customHeight="1">
      <c r="A1543" s="358"/>
      <c r="B1543" s="399"/>
      <c r="C1543" s="399"/>
      <c r="D1543" s="399"/>
      <c r="E1543" s="399"/>
      <c r="F1543" s="400"/>
      <c r="G1543" s="273"/>
      <c r="H1543" s="273"/>
      <c r="I1543" s="358"/>
      <c r="J1543" s="358"/>
      <c r="K1543" s="358"/>
      <c r="L1543" s="358"/>
      <c r="M1543" s="358"/>
      <c r="N1543" s="358"/>
      <c r="O1543" s="358"/>
      <c r="P1543" s="358"/>
      <c r="Q1543" s="358"/>
      <c r="R1543" s="358"/>
      <c r="S1543" s="358"/>
      <c r="T1543" s="358"/>
      <c r="U1543" s="358"/>
      <c r="V1543" s="358"/>
      <c r="W1543" s="358"/>
      <c r="X1543" s="358"/>
      <c r="Y1543" s="358"/>
      <c r="Z1543" s="358"/>
    </row>
    <row r="1544" ht="14.25" customHeight="1">
      <c r="A1544" s="358"/>
      <c r="B1544" s="399"/>
      <c r="C1544" s="399"/>
      <c r="D1544" s="399"/>
      <c r="E1544" s="399"/>
      <c r="F1544" s="400"/>
      <c r="G1544" s="273"/>
      <c r="H1544" s="273"/>
      <c r="I1544" s="358"/>
      <c r="J1544" s="358"/>
      <c r="K1544" s="358"/>
      <c r="L1544" s="358"/>
      <c r="M1544" s="358"/>
      <c r="N1544" s="358"/>
      <c r="O1544" s="358"/>
      <c r="P1544" s="358"/>
      <c r="Q1544" s="358"/>
      <c r="R1544" s="358"/>
      <c r="S1544" s="358"/>
      <c r="T1544" s="358"/>
      <c r="U1544" s="358"/>
      <c r="V1544" s="358"/>
      <c r="W1544" s="358"/>
      <c r="X1544" s="358"/>
      <c r="Y1544" s="358"/>
      <c r="Z1544" s="358"/>
    </row>
    <row r="1545" ht="14.25" customHeight="1">
      <c r="A1545" s="358"/>
      <c r="B1545" s="399"/>
      <c r="C1545" s="399"/>
      <c r="D1545" s="399"/>
      <c r="E1545" s="399"/>
      <c r="F1545" s="400"/>
      <c r="G1545" s="273"/>
      <c r="H1545" s="273"/>
      <c r="I1545" s="358"/>
      <c r="J1545" s="358"/>
      <c r="K1545" s="358"/>
      <c r="L1545" s="358"/>
      <c r="M1545" s="358"/>
      <c r="N1545" s="358"/>
      <c r="O1545" s="358"/>
      <c r="P1545" s="358"/>
      <c r="Q1545" s="358"/>
      <c r="R1545" s="358"/>
      <c r="S1545" s="358"/>
      <c r="T1545" s="358"/>
      <c r="U1545" s="358"/>
      <c r="V1545" s="358"/>
      <c r="W1545" s="358"/>
      <c r="X1545" s="358"/>
      <c r="Y1545" s="358"/>
      <c r="Z1545" s="358"/>
    </row>
    <row r="1546" ht="14.25" customHeight="1">
      <c r="A1546" s="358"/>
      <c r="B1546" s="399"/>
      <c r="C1546" s="399"/>
      <c r="D1546" s="399"/>
      <c r="E1546" s="399"/>
      <c r="F1546" s="400"/>
      <c r="G1546" s="273"/>
      <c r="H1546" s="273"/>
      <c r="I1546" s="358"/>
      <c r="J1546" s="358"/>
      <c r="K1546" s="358"/>
      <c r="L1546" s="358"/>
      <c r="M1546" s="358"/>
      <c r="N1546" s="358"/>
      <c r="O1546" s="358"/>
      <c r="P1546" s="358"/>
      <c r="Q1546" s="358"/>
      <c r="R1546" s="358"/>
      <c r="S1546" s="358"/>
      <c r="T1546" s="358"/>
      <c r="U1546" s="358"/>
      <c r="V1546" s="358"/>
      <c r="W1546" s="358"/>
      <c r="X1546" s="358"/>
      <c r="Y1546" s="358"/>
      <c r="Z1546" s="358"/>
    </row>
    <row r="1547" ht="14.25" customHeight="1">
      <c r="A1547" s="358"/>
      <c r="B1547" s="399"/>
      <c r="C1547" s="399"/>
      <c r="D1547" s="399"/>
      <c r="E1547" s="399"/>
      <c r="F1547" s="400"/>
      <c r="G1547" s="273"/>
      <c r="H1547" s="273"/>
      <c r="I1547" s="358"/>
      <c r="J1547" s="358"/>
      <c r="K1547" s="358"/>
      <c r="L1547" s="358"/>
      <c r="M1547" s="358"/>
      <c r="N1547" s="358"/>
      <c r="O1547" s="358"/>
      <c r="P1547" s="358"/>
      <c r="Q1547" s="358"/>
      <c r="R1547" s="358"/>
      <c r="S1547" s="358"/>
      <c r="T1547" s="358"/>
      <c r="U1547" s="358"/>
      <c r="V1547" s="358"/>
      <c r="W1547" s="358"/>
      <c r="X1547" s="358"/>
      <c r="Y1547" s="358"/>
      <c r="Z1547" s="358"/>
    </row>
    <row r="1548" ht="14.25" customHeight="1">
      <c r="A1548" s="358"/>
      <c r="B1548" s="399"/>
      <c r="C1548" s="399"/>
      <c r="D1548" s="399"/>
      <c r="E1548" s="399"/>
      <c r="F1548" s="400"/>
      <c r="G1548" s="273"/>
      <c r="H1548" s="273"/>
      <c r="I1548" s="358"/>
      <c r="J1548" s="358"/>
      <c r="K1548" s="358"/>
      <c r="L1548" s="358"/>
      <c r="M1548" s="358"/>
      <c r="N1548" s="358"/>
      <c r="O1548" s="358"/>
      <c r="P1548" s="358"/>
      <c r="Q1548" s="358"/>
      <c r="R1548" s="358"/>
      <c r="S1548" s="358"/>
      <c r="T1548" s="358"/>
      <c r="U1548" s="358"/>
      <c r="V1548" s="358"/>
      <c r="W1548" s="358"/>
      <c r="X1548" s="358"/>
      <c r="Y1548" s="358"/>
      <c r="Z1548" s="358"/>
    </row>
    <row r="1549" ht="14.25" customHeight="1">
      <c r="A1549" s="358"/>
      <c r="B1549" s="399"/>
      <c r="C1549" s="399"/>
      <c r="D1549" s="399"/>
      <c r="E1549" s="399"/>
      <c r="F1549" s="400"/>
      <c r="G1549" s="273"/>
      <c r="H1549" s="273"/>
      <c r="I1549" s="358"/>
      <c r="J1549" s="358"/>
      <c r="K1549" s="358"/>
      <c r="L1549" s="358"/>
      <c r="M1549" s="358"/>
      <c r="N1549" s="358"/>
      <c r="O1549" s="358"/>
      <c r="P1549" s="358"/>
      <c r="Q1549" s="358"/>
      <c r="R1549" s="358"/>
      <c r="S1549" s="358"/>
      <c r="T1549" s="358"/>
      <c r="U1549" s="358"/>
      <c r="V1549" s="358"/>
      <c r="W1549" s="358"/>
      <c r="X1549" s="358"/>
      <c r="Y1549" s="358"/>
      <c r="Z1549" s="358"/>
    </row>
    <row r="1550" ht="14.25" customHeight="1">
      <c r="A1550" s="358"/>
      <c r="B1550" s="399"/>
      <c r="C1550" s="399"/>
      <c r="D1550" s="399"/>
      <c r="E1550" s="399"/>
      <c r="F1550" s="400"/>
      <c r="G1550" s="273"/>
      <c r="H1550" s="273"/>
      <c r="I1550" s="358"/>
      <c r="J1550" s="358"/>
      <c r="K1550" s="358"/>
      <c r="L1550" s="358"/>
      <c r="M1550" s="358"/>
      <c r="N1550" s="358"/>
      <c r="O1550" s="358"/>
      <c r="P1550" s="358"/>
      <c r="Q1550" s="358"/>
      <c r="R1550" s="358"/>
      <c r="S1550" s="358"/>
      <c r="T1550" s="358"/>
      <c r="U1550" s="358"/>
      <c r="V1550" s="358"/>
      <c r="W1550" s="358"/>
      <c r="X1550" s="358"/>
      <c r="Y1550" s="358"/>
      <c r="Z1550" s="358"/>
    </row>
    <row r="1551" ht="14.25" customHeight="1">
      <c r="A1551" s="358"/>
      <c r="B1551" s="399"/>
      <c r="C1551" s="399"/>
      <c r="D1551" s="399"/>
      <c r="E1551" s="399"/>
      <c r="F1551" s="400"/>
      <c r="G1551" s="273"/>
      <c r="H1551" s="273"/>
      <c r="I1551" s="358"/>
      <c r="J1551" s="358"/>
      <c r="K1551" s="358"/>
      <c r="L1551" s="358"/>
      <c r="M1551" s="358"/>
      <c r="N1551" s="358"/>
      <c r="O1551" s="358"/>
      <c r="P1551" s="358"/>
      <c r="Q1551" s="358"/>
      <c r="R1551" s="358"/>
      <c r="S1551" s="358"/>
      <c r="T1551" s="358"/>
      <c r="U1551" s="358"/>
      <c r="V1551" s="358"/>
      <c r="W1551" s="358"/>
      <c r="X1551" s="358"/>
      <c r="Y1551" s="358"/>
      <c r="Z1551" s="358"/>
    </row>
    <row r="1552" ht="14.25" customHeight="1">
      <c r="A1552" s="358"/>
      <c r="B1552" s="399"/>
      <c r="C1552" s="399"/>
      <c r="D1552" s="399"/>
      <c r="E1552" s="399"/>
      <c r="F1552" s="400"/>
      <c r="G1552" s="273"/>
      <c r="H1552" s="273"/>
      <c r="I1552" s="358"/>
      <c r="J1552" s="358"/>
      <c r="K1552" s="358"/>
      <c r="L1552" s="358"/>
      <c r="M1552" s="358"/>
      <c r="N1552" s="358"/>
      <c r="O1552" s="358"/>
      <c r="P1552" s="358"/>
      <c r="Q1552" s="358"/>
      <c r="R1552" s="358"/>
      <c r="S1552" s="358"/>
      <c r="T1552" s="358"/>
      <c r="U1552" s="358"/>
      <c r="V1552" s="358"/>
      <c r="W1552" s="358"/>
      <c r="X1552" s="358"/>
      <c r="Y1552" s="358"/>
      <c r="Z1552" s="358"/>
    </row>
    <row r="1553" ht="14.25" customHeight="1">
      <c r="A1553" s="358"/>
      <c r="B1553" s="399"/>
      <c r="C1553" s="399"/>
      <c r="D1553" s="399"/>
      <c r="E1553" s="399"/>
      <c r="F1553" s="400"/>
      <c r="G1553" s="273"/>
      <c r="H1553" s="273"/>
      <c r="I1553" s="358"/>
      <c r="J1553" s="358"/>
      <c r="K1553" s="358"/>
      <c r="L1553" s="358"/>
      <c r="M1553" s="358"/>
      <c r="N1553" s="358"/>
      <c r="O1553" s="358"/>
      <c r="P1553" s="358"/>
      <c r="Q1553" s="358"/>
      <c r="R1553" s="358"/>
      <c r="S1553" s="358"/>
      <c r="T1553" s="358"/>
      <c r="U1553" s="358"/>
      <c r="V1553" s="358"/>
      <c r="W1553" s="358"/>
      <c r="X1553" s="358"/>
      <c r="Y1553" s="358"/>
      <c r="Z1553" s="358"/>
    </row>
    <row r="1554" ht="14.25" customHeight="1">
      <c r="A1554" s="358"/>
      <c r="B1554" s="399"/>
      <c r="C1554" s="399"/>
      <c r="D1554" s="399"/>
      <c r="E1554" s="399"/>
      <c r="F1554" s="400"/>
      <c r="G1554" s="273"/>
      <c r="H1554" s="273"/>
      <c r="I1554" s="358"/>
      <c r="J1554" s="358"/>
      <c r="K1554" s="358"/>
      <c r="L1554" s="358"/>
      <c r="M1554" s="358"/>
      <c r="N1554" s="358"/>
      <c r="O1554" s="358"/>
      <c r="P1554" s="358"/>
      <c r="Q1554" s="358"/>
      <c r="R1554" s="358"/>
      <c r="S1554" s="358"/>
      <c r="T1554" s="358"/>
      <c r="U1554" s="358"/>
      <c r="V1554" s="358"/>
      <c r="W1554" s="358"/>
      <c r="X1554" s="358"/>
      <c r="Y1554" s="358"/>
      <c r="Z1554" s="358"/>
    </row>
    <row r="1555" ht="14.25" customHeight="1">
      <c r="A1555" s="358"/>
      <c r="B1555" s="399"/>
      <c r="C1555" s="399"/>
      <c r="D1555" s="399"/>
      <c r="E1555" s="399"/>
      <c r="F1555" s="400"/>
      <c r="G1555" s="273"/>
      <c r="H1555" s="273"/>
      <c r="I1555" s="358"/>
      <c r="J1555" s="358"/>
      <c r="K1555" s="358"/>
      <c r="L1555" s="358"/>
      <c r="M1555" s="358"/>
      <c r="N1555" s="358"/>
      <c r="O1555" s="358"/>
      <c r="P1555" s="358"/>
      <c r="Q1555" s="358"/>
      <c r="R1555" s="358"/>
      <c r="S1555" s="358"/>
      <c r="T1555" s="358"/>
      <c r="U1555" s="358"/>
      <c r="V1555" s="358"/>
      <c r="W1555" s="358"/>
      <c r="X1555" s="358"/>
      <c r="Y1555" s="358"/>
      <c r="Z1555" s="358"/>
    </row>
    <row r="1556" ht="14.25" customHeight="1">
      <c r="A1556" s="358"/>
      <c r="B1556" s="399"/>
      <c r="C1556" s="399"/>
      <c r="D1556" s="399"/>
      <c r="E1556" s="399"/>
      <c r="F1556" s="400"/>
      <c r="G1556" s="273"/>
      <c r="H1556" s="273"/>
      <c r="I1556" s="358"/>
      <c r="J1556" s="358"/>
      <c r="K1556" s="358"/>
      <c r="L1556" s="358"/>
      <c r="M1556" s="358"/>
      <c r="N1556" s="358"/>
      <c r="O1556" s="358"/>
      <c r="P1556" s="358"/>
      <c r="Q1556" s="358"/>
      <c r="R1556" s="358"/>
      <c r="S1556" s="358"/>
      <c r="T1556" s="358"/>
      <c r="U1556" s="358"/>
      <c r="V1556" s="358"/>
      <c r="W1556" s="358"/>
      <c r="X1556" s="358"/>
      <c r="Y1556" s="358"/>
      <c r="Z1556" s="358"/>
    </row>
    <row r="1557" ht="14.25" customHeight="1">
      <c r="A1557" s="358"/>
      <c r="B1557" s="399"/>
      <c r="C1557" s="399"/>
      <c r="D1557" s="399"/>
      <c r="E1557" s="399"/>
      <c r="F1557" s="400"/>
      <c r="G1557" s="273"/>
      <c r="H1557" s="273"/>
      <c r="I1557" s="358"/>
      <c r="J1557" s="358"/>
      <c r="K1557" s="358"/>
      <c r="L1557" s="358"/>
      <c r="M1557" s="358"/>
      <c r="N1557" s="358"/>
      <c r="O1557" s="358"/>
      <c r="P1557" s="358"/>
      <c r="Q1557" s="358"/>
      <c r="R1557" s="358"/>
      <c r="S1557" s="358"/>
      <c r="T1557" s="358"/>
      <c r="U1557" s="358"/>
      <c r="V1557" s="358"/>
      <c r="W1557" s="358"/>
      <c r="X1557" s="358"/>
      <c r="Y1557" s="358"/>
      <c r="Z1557" s="358"/>
    </row>
    <row r="1558" ht="14.25" customHeight="1">
      <c r="A1558" s="358"/>
      <c r="B1558" s="399"/>
      <c r="C1558" s="399"/>
      <c r="D1558" s="399"/>
      <c r="E1558" s="399"/>
      <c r="F1558" s="400"/>
      <c r="G1558" s="273"/>
      <c r="H1558" s="273"/>
      <c r="I1558" s="358"/>
      <c r="J1558" s="358"/>
      <c r="K1558" s="358"/>
      <c r="L1558" s="358"/>
      <c r="M1558" s="358"/>
      <c r="N1558" s="358"/>
      <c r="O1558" s="358"/>
      <c r="P1558" s="358"/>
      <c r="Q1558" s="358"/>
      <c r="R1558" s="358"/>
      <c r="S1558" s="358"/>
      <c r="T1558" s="358"/>
      <c r="U1558" s="358"/>
      <c r="V1558" s="358"/>
      <c r="W1558" s="358"/>
      <c r="X1558" s="358"/>
      <c r="Y1558" s="358"/>
      <c r="Z1558" s="358"/>
    </row>
    <row r="1559" ht="14.25" customHeight="1">
      <c r="A1559" s="358"/>
      <c r="B1559" s="399"/>
      <c r="C1559" s="399"/>
      <c r="D1559" s="399"/>
      <c r="E1559" s="399"/>
      <c r="F1559" s="400"/>
      <c r="G1559" s="273"/>
      <c r="H1559" s="273"/>
      <c r="I1559" s="358"/>
      <c r="J1559" s="358"/>
      <c r="K1559" s="358"/>
      <c r="L1559" s="358"/>
      <c r="M1559" s="358"/>
      <c r="N1559" s="358"/>
      <c r="O1559" s="358"/>
      <c r="P1559" s="358"/>
      <c r="Q1559" s="358"/>
      <c r="R1559" s="358"/>
      <c r="S1559" s="358"/>
      <c r="T1559" s="358"/>
      <c r="U1559" s="358"/>
      <c r="V1559" s="358"/>
      <c r="W1559" s="358"/>
      <c r="X1559" s="358"/>
      <c r="Y1559" s="358"/>
      <c r="Z1559" s="358"/>
    </row>
    <row r="1560" ht="14.25" customHeight="1">
      <c r="A1560" s="358"/>
      <c r="B1560" s="399"/>
      <c r="C1560" s="399"/>
      <c r="D1560" s="399"/>
      <c r="E1560" s="399"/>
      <c r="F1560" s="400"/>
      <c r="G1560" s="273"/>
      <c r="H1560" s="273"/>
      <c r="I1560" s="358"/>
      <c r="J1560" s="358"/>
      <c r="K1560" s="358"/>
      <c r="L1560" s="358"/>
      <c r="M1560" s="358"/>
      <c r="N1560" s="358"/>
      <c r="O1560" s="358"/>
      <c r="P1560" s="358"/>
      <c r="Q1560" s="358"/>
      <c r="R1560" s="358"/>
      <c r="S1560" s="358"/>
      <c r="T1560" s="358"/>
      <c r="U1560" s="358"/>
      <c r="V1560" s="358"/>
      <c r="W1560" s="358"/>
      <c r="X1560" s="358"/>
      <c r="Y1560" s="358"/>
      <c r="Z1560" s="358"/>
    </row>
    <row r="1561" ht="14.25" customHeight="1">
      <c r="A1561" s="358"/>
      <c r="B1561" s="399"/>
      <c r="C1561" s="399"/>
      <c r="D1561" s="399"/>
      <c r="E1561" s="399"/>
      <c r="F1561" s="400"/>
      <c r="G1561" s="273"/>
      <c r="H1561" s="273"/>
      <c r="I1561" s="358"/>
      <c r="J1561" s="358"/>
      <c r="K1561" s="358"/>
      <c r="L1561" s="358"/>
      <c r="M1561" s="358"/>
      <c r="N1561" s="358"/>
      <c r="O1561" s="358"/>
      <c r="P1561" s="358"/>
      <c r="Q1561" s="358"/>
      <c r="R1561" s="358"/>
      <c r="S1561" s="358"/>
      <c r="T1561" s="358"/>
      <c r="U1561" s="358"/>
      <c r="V1561" s="358"/>
      <c r="W1561" s="358"/>
      <c r="X1561" s="358"/>
      <c r="Y1561" s="358"/>
      <c r="Z1561" s="358"/>
    </row>
    <row r="1562" ht="14.25" customHeight="1">
      <c r="A1562" s="358"/>
      <c r="B1562" s="399"/>
      <c r="C1562" s="399"/>
      <c r="D1562" s="399"/>
      <c r="E1562" s="399"/>
      <c r="F1562" s="400"/>
      <c r="G1562" s="273"/>
      <c r="H1562" s="273"/>
      <c r="I1562" s="358"/>
      <c r="J1562" s="358"/>
      <c r="K1562" s="358"/>
      <c r="L1562" s="358"/>
      <c r="M1562" s="358"/>
      <c r="N1562" s="358"/>
      <c r="O1562" s="358"/>
      <c r="P1562" s="358"/>
      <c r="Q1562" s="358"/>
      <c r="R1562" s="358"/>
      <c r="S1562" s="358"/>
      <c r="T1562" s="358"/>
      <c r="U1562" s="358"/>
      <c r="V1562" s="358"/>
      <c r="W1562" s="358"/>
      <c r="X1562" s="358"/>
      <c r="Y1562" s="358"/>
      <c r="Z1562" s="358"/>
    </row>
    <row r="1563" ht="14.25" customHeight="1">
      <c r="A1563" s="358"/>
      <c r="B1563" s="399"/>
      <c r="C1563" s="399"/>
      <c r="D1563" s="399"/>
      <c r="E1563" s="399"/>
      <c r="F1563" s="400"/>
      <c r="G1563" s="273"/>
      <c r="H1563" s="273"/>
      <c r="I1563" s="358"/>
      <c r="J1563" s="358"/>
      <c r="K1563" s="358"/>
      <c r="L1563" s="358"/>
      <c r="M1563" s="358"/>
      <c r="N1563" s="358"/>
      <c r="O1563" s="358"/>
      <c r="P1563" s="358"/>
      <c r="Q1563" s="358"/>
      <c r="R1563" s="358"/>
      <c r="S1563" s="358"/>
      <c r="T1563" s="358"/>
      <c r="U1563" s="358"/>
      <c r="V1563" s="358"/>
      <c r="W1563" s="358"/>
      <c r="X1563" s="358"/>
      <c r="Y1563" s="358"/>
      <c r="Z1563" s="358"/>
    </row>
    <row r="1564" ht="14.25" customHeight="1">
      <c r="A1564" s="358"/>
      <c r="B1564" s="399"/>
      <c r="C1564" s="399"/>
      <c r="D1564" s="399"/>
      <c r="E1564" s="399"/>
      <c r="F1564" s="400"/>
      <c r="G1564" s="273"/>
      <c r="H1564" s="273"/>
      <c r="I1564" s="358"/>
      <c r="J1564" s="358"/>
      <c r="K1564" s="358"/>
      <c r="L1564" s="358"/>
      <c r="M1564" s="358"/>
      <c r="N1564" s="358"/>
      <c r="O1564" s="358"/>
      <c r="P1564" s="358"/>
      <c r="Q1564" s="358"/>
      <c r="R1564" s="358"/>
      <c r="S1564" s="358"/>
      <c r="T1564" s="358"/>
      <c r="U1564" s="358"/>
      <c r="V1564" s="358"/>
      <c r="W1564" s="358"/>
      <c r="X1564" s="358"/>
      <c r="Y1564" s="358"/>
      <c r="Z1564" s="358"/>
    </row>
    <row r="1565" ht="14.25" customHeight="1">
      <c r="A1565" s="358"/>
      <c r="B1565" s="399"/>
      <c r="C1565" s="399"/>
      <c r="D1565" s="399"/>
      <c r="E1565" s="399"/>
      <c r="F1565" s="400"/>
      <c r="G1565" s="273"/>
      <c r="H1565" s="273"/>
      <c r="I1565" s="358"/>
      <c r="J1565" s="358"/>
      <c r="K1565" s="358"/>
      <c r="L1565" s="358"/>
      <c r="M1565" s="358"/>
      <c r="N1565" s="358"/>
      <c r="O1565" s="358"/>
      <c r="P1565" s="358"/>
      <c r="Q1565" s="358"/>
      <c r="R1565" s="358"/>
      <c r="S1565" s="358"/>
      <c r="T1565" s="358"/>
      <c r="U1565" s="358"/>
      <c r="V1565" s="358"/>
      <c r="W1565" s="358"/>
      <c r="X1565" s="358"/>
      <c r="Y1565" s="358"/>
      <c r="Z1565" s="358"/>
    </row>
    <row r="1566" ht="14.25" customHeight="1">
      <c r="A1566" s="358"/>
      <c r="B1566" s="399"/>
      <c r="C1566" s="399"/>
      <c r="D1566" s="399"/>
      <c r="E1566" s="399"/>
      <c r="F1566" s="400"/>
      <c r="G1566" s="273"/>
      <c r="H1566" s="273"/>
      <c r="I1566" s="358"/>
      <c r="J1566" s="358"/>
      <c r="K1566" s="358"/>
      <c r="L1566" s="358"/>
      <c r="M1566" s="358"/>
      <c r="N1566" s="358"/>
      <c r="O1566" s="358"/>
      <c r="P1566" s="358"/>
      <c r="Q1566" s="358"/>
      <c r="R1566" s="358"/>
      <c r="S1566" s="358"/>
      <c r="T1566" s="358"/>
      <c r="U1566" s="358"/>
      <c r="V1566" s="358"/>
      <c r="W1566" s="358"/>
      <c r="X1566" s="358"/>
      <c r="Y1566" s="358"/>
      <c r="Z1566" s="358"/>
    </row>
    <row r="1567" ht="14.25" customHeight="1">
      <c r="A1567" s="358"/>
      <c r="B1567" s="399"/>
      <c r="C1567" s="399"/>
      <c r="D1567" s="399"/>
      <c r="E1567" s="399"/>
      <c r="F1567" s="400"/>
      <c r="G1567" s="273"/>
      <c r="H1567" s="273"/>
      <c r="I1567" s="358"/>
      <c r="J1567" s="358"/>
      <c r="K1567" s="358"/>
      <c r="L1567" s="358"/>
      <c r="M1567" s="358"/>
      <c r="N1567" s="358"/>
      <c r="O1567" s="358"/>
      <c r="P1567" s="358"/>
      <c r="Q1567" s="358"/>
      <c r="R1567" s="358"/>
      <c r="S1567" s="358"/>
      <c r="T1567" s="358"/>
      <c r="U1567" s="358"/>
      <c r="V1567" s="358"/>
      <c r="W1567" s="358"/>
      <c r="X1567" s="358"/>
      <c r="Y1567" s="358"/>
      <c r="Z1567" s="358"/>
    </row>
    <row r="1568" ht="14.25" customHeight="1">
      <c r="A1568" s="358"/>
      <c r="B1568" s="399"/>
      <c r="C1568" s="399"/>
      <c r="D1568" s="399"/>
      <c r="E1568" s="399"/>
      <c r="F1568" s="400"/>
      <c r="G1568" s="273"/>
      <c r="H1568" s="273"/>
      <c r="I1568" s="358"/>
      <c r="J1568" s="358"/>
      <c r="K1568" s="358"/>
      <c r="L1568" s="358"/>
      <c r="M1568" s="358"/>
      <c r="N1568" s="358"/>
      <c r="O1568" s="358"/>
      <c r="P1568" s="358"/>
      <c r="Q1568" s="358"/>
      <c r="R1568" s="358"/>
      <c r="S1568" s="358"/>
      <c r="T1568" s="358"/>
      <c r="U1568" s="358"/>
      <c r="V1568" s="358"/>
      <c r="W1568" s="358"/>
      <c r="X1568" s="358"/>
      <c r="Y1568" s="358"/>
      <c r="Z1568" s="358"/>
    </row>
    <row r="1569" ht="14.25" customHeight="1">
      <c r="A1569" s="358"/>
      <c r="B1569" s="399"/>
      <c r="C1569" s="399"/>
      <c r="D1569" s="399"/>
      <c r="E1569" s="399"/>
      <c r="F1569" s="400"/>
      <c r="G1569" s="273"/>
      <c r="H1569" s="273"/>
      <c r="I1569" s="358"/>
      <c r="J1569" s="358"/>
      <c r="K1569" s="358"/>
      <c r="L1569" s="358"/>
      <c r="M1569" s="358"/>
      <c r="N1569" s="358"/>
      <c r="O1569" s="358"/>
      <c r="P1569" s="358"/>
      <c r="Q1569" s="358"/>
      <c r="R1569" s="358"/>
      <c r="S1569" s="358"/>
      <c r="T1569" s="358"/>
      <c r="U1569" s="358"/>
      <c r="V1569" s="358"/>
      <c r="W1569" s="358"/>
      <c r="X1569" s="358"/>
      <c r="Y1569" s="358"/>
      <c r="Z1569" s="358"/>
    </row>
    <row r="1570" ht="14.25" customHeight="1">
      <c r="A1570" s="358"/>
      <c r="B1570" s="399"/>
      <c r="C1570" s="399"/>
      <c r="D1570" s="399"/>
      <c r="E1570" s="399"/>
      <c r="F1570" s="400"/>
      <c r="G1570" s="273"/>
      <c r="H1570" s="273"/>
      <c r="I1570" s="358"/>
      <c r="J1570" s="358"/>
      <c r="K1570" s="358"/>
      <c r="L1570" s="358"/>
      <c r="M1570" s="358"/>
      <c r="N1570" s="358"/>
      <c r="O1570" s="358"/>
      <c r="P1570" s="358"/>
      <c r="Q1570" s="358"/>
      <c r="R1570" s="358"/>
      <c r="S1570" s="358"/>
      <c r="T1570" s="358"/>
      <c r="U1570" s="358"/>
      <c r="V1570" s="358"/>
      <c r="W1570" s="358"/>
      <c r="X1570" s="358"/>
      <c r="Y1570" s="358"/>
      <c r="Z1570" s="358"/>
    </row>
    <row r="1571" ht="14.25" customHeight="1">
      <c r="A1571" s="358"/>
      <c r="B1571" s="399"/>
      <c r="C1571" s="399"/>
      <c r="D1571" s="399"/>
      <c r="E1571" s="399"/>
      <c r="F1571" s="400"/>
      <c r="G1571" s="273"/>
      <c r="H1571" s="273"/>
      <c r="I1571" s="358"/>
      <c r="J1571" s="358"/>
      <c r="K1571" s="358"/>
      <c r="L1571" s="358"/>
      <c r="M1571" s="358"/>
      <c r="N1571" s="358"/>
      <c r="O1571" s="358"/>
      <c r="P1571" s="358"/>
      <c r="Q1571" s="358"/>
      <c r="R1571" s="358"/>
      <c r="S1571" s="358"/>
      <c r="T1571" s="358"/>
      <c r="U1571" s="358"/>
      <c r="V1571" s="358"/>
      <c r="W1571" s="358"/>
      <c r="X1571" s="358"/>
      <c r="Y1571" s="358"/>
      <c r="Z1571" s="358"/>
    </row>
    <row r="1572" ht="14.25" customHeight="1">
      <c r="A1572" s="358"/>
      <c r="B1572" s="399"/>
      <c r="C1572" s="399"/>
      <c r="D1572" s="399"/>
      <c r="E1572" s="399"/>
      <c r="F1572" s="400"/>
      <c r="G1572" s="273"/>
      <c r="H1572" s="273"/>
      <c r="I1572" s="358"/>
      <c r="J1572" s="358"/>
      <c r="K1572" s="358"/>
      <c r="L1572" s="358"/>
      <c r="M1572" s="358"/>
      <c r="N1572" s="358"/>
      <c r="O1572" s="358"/>
      <c r="P1572" s="358"/>
      <c r="Q1572" s="358"/>
      <c r="R1572" s="358"/>
      <c r="S1572" s="358"/>
      <c r="T1572" s="358"/>
      <c r="U1572" s="358"/>
      <c r="V1572" s="358"/>
      <c r="W1572" s="358"/>
      <c r="X1572" s="358"/>
      <c r="Y1572" s="358"/>
      <c r="Z1572" s="358"/>
    </row>
    <row r="1573" ht="14.25" customHeight="1">
      <c r="A1573" s="358"/>
      <c r="B1573" s="399"/>
      <c r="C1573" s="399"/>
      <c r="D1573" s="399"/>
      <c r="E1573" s="399"/>
      <c r="F1573" s="400"/>
      <c r="G1573" s="273"/>
      <c r="H1573" s="273"/>
      <c r="I1573" s="358"/>
      <c r="J1573" s="358"/>
      <c r="K1573" s="358"/>
      <c r="L1573" s="358"/>
      <c r="M1573" s="358"/>
      <c r="N1573" s="358"/>
      <c r="O1573" s="358"/>
      <c r="P1573" s="358"/>
      <c r="Q1573" s="358"/>
      <c r="R1573" s="358"/>
      <c r="S1573" s="358"/>
      <c r="T1573" s="358"/>
      <c r="U1573" s="358"/>
      <c r="V1573" s="358"/>
      <c r="W1573" s="358"/>
      <c r="X1573" s="358"/>
      <c r="Y1573" s="358"/>
      <c r="Z1573" s="358"/>
    </row>
    <row r="1574" ht="14.25" customHeight="1">
      <c r="A1574" s="358"/>
      <c r="B1574" s="399"/>
      <c r="C1574" s="399"/>
      <c r="D1574" s="399"/>
      <c r="E1574" s="399"/>
      <c r="F1574" s="400"/>
      <c r="G1574" s="273"/>
      <c r="H1574" s="273"/>
      <c r="I1574" s="358"/>
      <c r="J1574" s="358"/>
      <c r="K1574" s="358"/>
      <c r="L1574" s="358"/>
      <c r="M1574" s="358"/>
      <c r="N1574" s="358"/>
      <c r="O1574" s="358"/>
      <c r="P1574" s="358"/>
      <c r="Q1574" s="358"/>
      <c r="R1574" s="358"/>
      <c r="S1574" s="358"/>
      <c r="T1574" s="358"/>
      <c r="U1574" s="358"/>
      <c r="V1574" s="358"/>
      <c r="W1574" s="358"/>
      <c r="X1574" s="358"/>
      <c r="Y1574" s="358"/>
      <c r="Z1574" s="358"/>
    </row>
    <row r="1575" ht="14.25" customHeight="1">
      <c r="A1575" s="358"/>
      <c r="B1575" s="399"/>
      <c r="C1575" s="399"/>
      <c r="D1575" s="399"/>
      <c r="E1575" s="399"/>
      <c r="F1575" s="400"/>
      <c r="G1575" s="273"/>
      <c r="H1575" s="273"/>
      <c r="I1575" s="358"/>
      <c r="J1575" s="358"/>
      <c r="K1575" s="358"/>
      <c r="L1575" s="358"/>
      <c r="M1575" s="358"/>
      <c r="N1575" s="358"/>
      <c r="O1575" s="358"/>
      <c r="P1575" s="358"/>
      <c r="Q1575" s="358"/>
      <c r="R1575" s="358"/>
      <c r="S1575" s="358"/>
      <c r="T1575" s="358"/>
      <c r="U1575" s="358"/>
      <c r="V1575" s="358"/>
      <c r="W1575" s="358"/>
      <c r="X1575" s="358"/>
      <c r="Y1575" s="358"/>
      <c r="Z1575" s="358"/>
    </row>
    <row r="1576" ht="14.25" customHeight="1">
      <c r="A1576" s="358"/>
      <c r="B1576" s="399"/>
      <c r="C1576" s="399"/>
      <c r="D1576" s="399"/>
      <c r="E1576" s="399"/>
      <c r="F1576" s="400"/>
      <c r="G1576" s="273"/>
      <c r="H1576" s="273"/>
      <c r="I1576" s="358"/>
      <c r="J1576" s="358"/>
      <c r="K1576" s="358"/>
      <c r="L1576" s="358"/>
      <c r="M1576" s="358"/>
      <c r="N1576" s="358"/>
      <c r="O1576" s="358"/>
      <c r="P1576" s="358"/>
      <c r="Q1576" s="358"/>
      <c r="R1576" s="358"/>
      <c r="S1576" s="358"/>
      <c r="T1576" s="358"/>
      <c r="U1576" s="358"/>
      <c r="V1576" s="358"/>
      <c r="W1576" s="358"/>
      <c r="X1576" s="358"/>
      <c r="Y1576" s="358"/>
      <c r="Z1576" s="358"/>
    </row>
    <row r="1577" ht="14.25" customHeight="1">
      <c r="A1577" s="358"/>
      <c r="B1577" s="399"/>
      <c r="C1577" s="399"/>
      <c r="D1577" s="399"/>
      <c r="E1577" s="399"/>
      <c r="F1577" s="400"/>
      <c r="G1577" s="273"/>
      <c r="H1577" s="273"/>
      <c r="I1577" s="358"/>
      <c r="J1577" s="358"/>
      <c r="K1577" s="358"/>
      <c r="L1577" s="358"/>
      <c r="M1577" s="358"/>
      <c r="N1577" s="358"/>
      <c r="O1577" s="358"/>
      <c r="P1577" s="358"/>
      <c r="Q1577" s="358"/>
      <c r="R1577" s="358"/>
      <c r="S1577" s="358"/>
      <c r="T1577" s="358"/>
      <c r="U1577" s="358"/>
      <c r="V1577" s="358"/>
      <c r="W1577" s="358"/>
      <c r="X1577" s="358"/>
      <c r="Y1577" s="358"/>
      <c r="Z1577" s="358"/>
    </row>
    <row r="1578" ht="14.25" customHeight="1">
      <c r="A1578" s="358"/>
      <c r="B1578" s="399"/>
      <c r="C1578" s="399"/>
      <c r="D1578" s="399"/>
      <c r="E1578" s="399"/>
      <c r="F1578" s="400"/>
      <c r="G1578" s="273"/>
      <c r="H1578" s="273"/>
      <c r="I1578" s="358"/>
      <c r="J1578" s="358"/>
      <c r="K1578" s="358"/>
      <c r="L1578" s="358"/>
      <c r="M1578" s="358"/>
      <c r="N1578" s="358"/>
      <c r="O1578" s="358"/>
      <c r="P1578" s="358"/>
      <c r="Q1578" s="358"/>
      <c r="R1578" s="358"/>
      <c r="S1578" s="358"/>
      <c r="T1578" s="358"/>
      <c r="U1578" s="358"/>
      <c r="V1578" s="358"/>
      <c r="W1578" s="358"/>
      <c r="X1578" s="358"/>
      <c r="Y1578" s="358"/>
      <c r="Z1578" s="358"/>
    </row>
    <row r="1579" ht="14.25" customHeight="1">
      <c r="A1579" s="358"/>
      <c r="B1579" s="399"/>
      <c r="C1579" s="399"/>
      <c r="D1579" s="399"/>
      <c r="E1579" s="399"/>
      <c r="F1579" s="400"/>
      <c r="G1579" s="273"/>
      <c r="H1579" s="273"/>
      <c r="I1579" s="358"/>
      <c r="J1579" s="358"/>
      <c r="K1579" s="358"/>
      <c r="L1579" s="358"/>
      <c r="M1579" s="358"/>
      <c r="N1579" s="358"/>
      <c r="O1579" s="358"/>
      <c r="P1579" s="358"/>
      <c r="Q1579" s="358"/>
      <c r="R1579" s="358"/>
      <c r="S1579" s="358"/>
      <c r="T1579" s="358"/>
      <c r="U1579" s="358"/>
      <c r="V1579" s="358"/>
      <c r="W1579" s="358"/>
      <c r="X1579" s="358"/>
      <c r="Y1579" s="358"/>
      <c r="Z1579" s="358"/>
    </row>
    <row r="1580" ht="14.25" customHeight="1">
      <c r="A1580" s="358"/>
      <c r="B1580" s="399"/>
      <c r="C1580" s="399"/>
      <c r="D1580" s="399"/>
      <c r="E1580" s="399"/>
      <c r="F1580" s="400"/>
      <c r="G1580" s="273"/>
      <c r="H1580" s="273"/>
      <c r="I1580" s="358"/>
      <c r="J1580" s="358"/>
      <c r="K1580" s="358"/>
      <c r="L1580" s="358"/>
      <c r="M1580" s="358"/>
      <c r="N1580" s="358"/>
      <c r="O1580" s="358"/>
      <c r="P1580" s="358"/>
      <c r="Q1580" s="358"/>
      <c r="R1580" s="358"/>
      <c r="S1580" s="358"/>
      <c r="T1580" s="358"/>
      <c r="U1580" s="358"/>
      <c r="V1580" s="358"/>
      <c r="W1580" s="358"/>
      <c r="X1580" s="358"/>
      <c r="Y1580" s="358"/>
      <c r="Z1580" s="358"/>
    </row>
    <row r="1581" ht="14.25" customHeight="1">
      <c r="A1581" s="358"/>
      <c r="B1581" s="399"/>
      <c r="C1581" s="399"/>
      <c r="D1581" s="399"/>
      <c r="E1581" s="399"/>
      <c r="F1581" s="400"/>
      <c r="G1581" s="273"/>
      <c r="H1581" s="273"/>
      <c r="I1581" s="358"/>
      <c r="J1581" s="358"/>
      <c r="K1581" s="358"/>
      <c r="L1581" s="358"/>
      <c r="M1581" s="358"/>
      <c r="N1581" s="358"/>
      <c r="O1581" s="358"/>
      <c r="P1581" s="358"/>
      <c r="Q1581" s="358"/>
      <c r="R1581" s="358"/>
      <c r="S1581" s="358"/>
      <c r="T1581" s="358"/>
      <c r="U1581" s="358"/>
      <c r="V1581" s="358"/>
      <c r="W1581" s="358"/>
      <c r="X1581" s="358"/>
      <c r="Y1581" s="358"/>
      <c r="Z1581" s="358"/>
    </row>
    <row r="1582" ht="14.25" customHeight="1">
      <c r="A1582" s="358"/>
      <c r="B1582" s="399"/>
      <c r="C1582" s="399"/>
      <c r="D1582" s="399"/>
      <c r="E1582" s="399"/>
      <c r="F1582" s="400"/>
      <c r="G1582" s="273"/>
      <c r="H1582" s="273"/>
      <c r="I1582" s="358"/>
      <c r="J1582" s="358"/>
      <c r="K1582" s="358"/>
      <c r="L1582" s="358"/>
      <c r="M1582" s="358"/>
      <c r="N1582" s="358"/>
      <c r="O1582" s="358"/>
      <c r="P1582" s="358"/>
      <c r="Q1582" s="358"/>
      <c r="R1582" s="358"/>
      <c r="S1582" s="358"/>
      <c r="T1582" s="358"/>
      <c r="U1582" s="358"/>
      <c r="V1582" s="358"/>
      <c r="W1582" s="358"/>
      <c r="X1582" s="358"/>
      <c r="Y1582" s="358"/>
      <c r="Z1582" s="358"/>
    </row>
    <row r="1583" ht="14.25" customHeight="1">
      <c r="A1583" s="358"/>
      <c r="B1583" s="399"/>
      <c r="C1583" s="399"/>
      <c r="D1583" s="399"/>
      <c r="E1583" s="399"/>
      <c r="F1583" s="400"/>
      <c r="G1583" s="273"/>
      <c r="H1583" s="273"/>
      <c r="I1583" s="358"/>
      <c r="J1583" s="358"/>
      <c r="K1583" s="358"/>
      <c r="L1583" s="358"/>
      <c r="M1583" s="358"/>
      <c r="N1583" s="358"/>
      <c r="O1583" s="358"/>
      <c r="P1583" s="358"/>
      <c r="Q1583" s="358"/>
      <c r="R1583" s="358"/>
      <c r="S1583" s="358"/>
      <c r="T1583" s="358"/>
      <c r="U1583" s="358"/>
      <c r="V1583" s="358"/>
      <c r="W1583" s="358"/>
      <c r="X1583" s="358"/>
      <c r="Y1583" s="358"/>
      <c r="Z1583" s="358"/>
    </row>
    <row r="1584" ht="14.25" customHeight="1">
      <c r="A1584" s="358"/>
      <c r="B1584" s="399"/>
      <c r="C1584" s="399"/>
      <c r="D1584" s="399"/>
      <c r="E1584" s="399"/>
      <c r="F1584" s="400"/>
      <c r="G1584" s="273"/>
      <c r="H1584" s="273"/>
      <c r="I1584" s="358"/>
      <c r="J1584" s="358"/>
      <c r="K1584" s="358"/>
      <c r="L1584" s="358"/>
      <c r="M1584" s="358"/>
      <c r="N1584" s="358"/>
      <c r="O1584" s="358"/>
      <c r="P1584" s="358"/>
      <c r="Q1584" s="358"/>
      <c r="R1584" s="358"/>
      <c r="S1584" s="358"/>
      <c r="T1584" s="358"/>
      <c r="U1584" s="358"/>
      <c r="V1584" s="358"/>
      <c r="W1584" s="358"/>
      <c r="X1584" s="358"/>
      <c r="Y1584" s="358"/>
      <c r="Z1584" s="358"/>
    </row>
    <row r="1585" ht="14.25" customHeight="1">
      <c r="A1585" s="358"/>
      <c r="B1585" s="399"/>
      <c r="C1585" s="399"/>
      <c r="D1585" s="399"/>
      <c r="E1585" s="399"/>
      <c r="F1585" s="400"/>
      <c r="G1585" s="273"/>
      <c r="H1585" s="273"/>
      <c r="I1585" s="358"/>
      <c r="J1585" s="358"/>
      <c r="K1585" s="358"/>
      <c r="L1585" s="358"/>
      <c r="M1585" s="358"/>
      <c r="N1585" s="358"/>
      <c r="O1585" s="358"/>
      <c r="P1585" s="358"/>
      <c r="Q1585" s="358"/>
      <c r="R1585" s="358"/>
      <c r="S1585" s="358"/>
      <c r="T1585" s="358"/>
      <c r="U1585" s="358"/>
      <c r="V1585" s="358"/>
      <c r="W1585" s="358"/>
      <c r="X1585" s="358"/>
      <c r="Y1585" s="358"/>
      <c r="Z1585" s="358"/>
    </row>
    <row r="1586" ht="14.25" customHeight="1">
      <c r="A1586" s="358"/>
      <c r="B1586" s="399"/>
      <c r="C1586" s="399"/>
      <c r="D1586" s="399"/>
      <c r="E1586" s="399"/>
      <c r="F1586" s="400"/>
      <c r="G1586" s="273"/>
      <c r="H1586" s="273"/>
      <c r="I1586" s="358"/>
      <c r="J1586" s="358"/>
      <c r="K1586" s="358"/>
      <c r="L1586" s="358"/>
      <c r="M1586" s="358"/>
      <c r="N1586" s="358"/>
      <c r="O1586" s="358"/>
      <c r="P1586" s="358"/>
      <c r="Q1586" s="358"/>
      <c r="R1586" s="358"/>
      <c r="S1586" s="358"/>
      <c r="T1586" s="358"/>
      <c r="U1586" s="358"/>
      <c r="V1586" s="358"/>
      <c r="W1586" s="358"/>
      <c r="X1586" s="358"/>
      <c r="Y1586" s="358"/>
      <c r="Z1586" s="358"/>
    </row>
    <row r="1587" ht="14.25" customHeight="1">
      <c r="A1587" s="358"/>
      <c r="B1587" s="399"/>
      <c r="C1587" s="399"/>
      <c r="D1587" s="399"/>
      <c r="E1587" s="399"/>
      <c r="F1587" s="400"/>
      <c r="G1587" s="273"/>
      <c r="H1587" s="273"/>
      <c r="I1587" s="358"/>
      <c r="J1587" s="358"/>
      <c r="K1587" s="358"/>
      <c r="L1587" s="358"/>
      <c r="M1587" s="358"/>
      <c r="N1587" s="358"/>
      <c r="O1587" s="358"/>
      <c r="P1587" s="358"/>
      <c r="Q1587" s="358"/>
      <c r="R1587" s="358"/>
      <c r="S1587" s="358"/>
      <c r="T1587" s="358"/>
      <c r="U1587" s="358"/>
      <c r="V1587" s="358"/>
      <c r="W1587" s="358"/>
      <c r="X1587" s="358"/>
      <c r="Y1587" s="358"/>
      <c r="Z1587" s="358"/>
    </row>
    <row r="1588" ht="14.25" customHeight="1">
      <c r="A1588" s="358"/>
      <c r="B1588" s="399"/>
      <c r="C1588" s="399"/>
      <c r="D1588" s="399"/>
      <c r="E1588" s="399"/>
      <c r="F1588" s="400"/>
      <c r="G1588" s="273"/>
      <c r="H1588" s="273"/>
      <c r="I1588" s="358"/>
      <c r="J1588" s="358"/>
      <c r="K1588" s="358"/>
      <c r="L1588" s="358"/>
      <c r="M1588" s="358"/>
      <c r="N1588" s="358"/>
      <c r="O1588" s="358"/>
      <c r="P1588" s="358"/>
      <c r="Q1588" s="358"/>
      <c r="R1588" s="358"/>
      <c r="S1588" s="358"/>
      <c r="T1588" s="358"/>
      <c r="U1588" s="358"/>
      <c r="V1588" s="358"/>
      <c r="W1588" s="358"/>
      <c r="X1588" s="358"/>
      <c r="Y1588" s="358"/>
      <c r="Z1588" s="358"/>
    </row>
    <row r="1589" ht="14.25" customHeight="1">
      <c r="A1589" s="358"/>
      <c r="B1589" s="399"/>
      <c r="C1589" s="399"/>
      <c r="D1589" s="399"/>
      <c r="E1589" s="399"/>
      <c r="F1589" s="400"/>
      <c r="G1589" s="273"/>
      <c r="H1589" s="273"/>
      <c r="I1589" s="358"/>
      <c r="J1589" s="358"/>
      <c r="K1589" s="358"/>
      <c r="L1589" s="358"/>
      <c r="M1589" s="358"/>
      <c r="N1589" s="358"/>
      <c r="O1589" s="358"/>
      <c r="P1589" s="358"/>
      <c r="Q1589" s="358"/>
      <c r="R1589" s="358"/>
      <c r="S1589" s="358"/>
      <c r="T1589" s="358"/>
      <c r="U1589" s="358"/>
      <c r="V1589" s="358"/>
      <c r="W1589" s="358"/>
      <c r="X1589" s="358"/>
      <c r="Y1589" s="358"/>
      <c r="Z1589" s="358"/>
    </row>
    <row r="1590" ht="14.25" customHeight="1">
      <c r="A1590" s="358"/>
      <c r="B1590" s="399"/>
      <c r="C1590" s="399"/>
      <c r="D1590" s="399"/>
      <c r="E1590" s="399"/>
      <c r="F1590" s="400"/>
      <c r="G1590" s="273"/>
      <c r="H1590" s="273"/>
      <c r="I1590" s="358"/>
      <c r="J1590" s="358"/>
      <c r="K1590" s="358"/>
      <c r="L1590" s="358"/>
      <c r="M1590" s="358"/>
      <c r="N1590" s="358"/>
      <c r="O1590" s="358"/>
      <c r="P1590" s="358"/>
      <c r="Q1590" s="358"/>
      <c r="R1590" s="358"/>
      <c r="S1590" s="358"/>
      <c r="T1590" s="358"/>
      <c r="U1590" s="358"/>
      <c r="V1590" s="358"/>
      <c r="W1590" s="358"/>
      <c r="X1590" s="358"/>
      <c r="Y1590" s="358"/>
      <c r="Z1590" s="358"/>
    </row>
    <row r="1591" ht="14.25" customHeight="1">
      <c r="A1591" s="358"/>
      <c r="B1591" s="399"/>
      <c r="C1591" s="399"/>
      <c r="D1591" s="399"/>
      <c r="E1591" s="399"/>
      <c r="F1591" s="400"/>
      <c r="G1591" s="273"/>
      <c r="H1591" s="273"/>
      <c r="I1591" s="358"/>
      <c r="J1591" s="358"/>
      <c r="K1591" s="358"/>
      <c r="L1591" s="358"/>
      <c r="M1591" s="358"/>
      <c r="N1591" s="358"/>
      <c r="O1591" s="358"/>
      <c r="P1591" s="358"/>
      <c r="Q1591" s="358"/>
      <c r="R1591" s="358"/>
      <c r="S1591" s="358"/>
      <c r="T1591" s="358"/>
      <c r="U1591" s="358"/>
      <c r="V1591" s="358"/>
      <c r="W1591" s="358"/>
      <c r="X1591" s="358"/>
      <c r="Y1591" s="358"/>
      <c r="Z1591" s="358"/>
    </row>
    <row r="1592" ht="14.25" customHeight="1">
      <c r="A1592" s="358"/>
      <c r="B1592" s="399"/>
      <c r="C1592" s="399"/>
      <c r="D1592" s="399"/>
      <c r="E1592" s="399"/>
      <c r="F1592" s="400"/>
      <c r="G1592" s="273"/>
      <c r="H1592" s="273"/>
      <c r="I1592" s="358"/>
      <c r="J1592" s="358"/>
      <c r="K1592" s="358"/>
      <c r="L1592" s="358"/>
      <c r="M1592" s="358"/>
      <c r="N1592" s="358"/>
      <c r="O1592" s="358"/>
      <c r="P1592" s="358"/>
      <c r="Q1592" s="358"/>
      <c r="R1592" s="358"/>
      <c r="S1592" s="358"/>
      <c r="T1592" s="358"/>
      <c r="U1592" s="358"/>
      <c r="V1592" s="358"/>
      <c r="W1592" s="358"/>
      <c r="X1592" s="358"/>
      <c r="Y1592" s="358"/>
      <c r="Z1592" s="358"/>
    </row>
    <row r="1593" ht="14.25" customHeight="1">
      <c r="A1593" s="358"/>
      <c r="B1593" s="399"/>
      <c r="C1593" s="399"/>
      <c r="D1593" s="399"/>
      <c r="E1593" s="399"/>
      <c r="F1593" s="400"/>
      <c r="G1593" s="273"/>
      <c r="H1593" s="273"/>
      <c r="I1593" s="358"/>
      <c r="J1593" s="358"/>
      <c r="K1593" s="358"/>
      <c r="L1593" s="358"/>
      <c r="M1593" s="358"/>
      <c r="N1593" s="358"/>
      <c r="O1593" s="358"/>
      <c r="P1593" s="358"/>
      <c r="Q1593" s="358"/>
      <c r="R1593" s="358"/>
      <c r="S1593" s="358"/>
      <c r="T1593" s="358"/>
      <c r="U1593" s="358"/>
      <c r="V1593" s="358"/>
      <c r="W1593" s="358"/>
      <c r="X1593" s="358"/>
      <c r="Y1593" s="358"/>
      <c r="Z1593" s="358"/>
    </row>
    <row r="1594" ht="14.25" customHeight="1">
      <c r="A1594" s="358"/>
      <c r="B1594" s="399"/>
      <c r="C1594" s="399"/>
      <c r="D1594" s="399"/>
      <c r="E1594" s="399"/>
      <c r="F1594" s="400"/>
      <c r="G1594" s="273"/>
      <c r="H1594" s="273"/>
      <c r="I1594" s="358"/>
      <c r="J1594" s="358"/>
      <c r="K1594" s="358"/>
      <c r="L1594" s="358"/>
      <c r="M1594" s="358"/>
      <c r="N1594" s="358"/>
      <c r="O1594" s="358"/>
      <c r="P1594" s="358"/>
      <c r="Q1594" s="358"/>
      <c r="R1594" s="358"/>
      <c r="S1594" s="358"/>
      <c r="T1594" s="358"/>
      <c r="U1594" s="358"/>
      <c r="V1594" s="358"/>
      <c r="W1594" s="358"/>
      <c r="X1594" s="358"/>
      <c r="Y1594" s="358"/>
      <c r="Z1594" s="358"/>
    </row>
    <row r="1595" ht="14.25" customHeight="1">
      <c r="A1595" s="358"/>
      <c r="B1595" s="399"/>
      <c r="C1595" s="399"/>
      <c r="D1595" s="399"/>
      <c r="E1595" s="399"/>
      <c r="F1595" s="400"/>
      <c r="G1595" s="273"/>
      <c r="H1595" s="273"/>
      <c r="I1595" s="358"/>
      <c r="J1595" s="358"/>
      <c r="K1595" s="358"/>
      <c r="L1595" s="358"/>
      <c r="M1595" s="358"/>
      <c r="N1595" s="358"/>
      <c r="O1595" s="358"/>
      <c r="P1595" s="358"/>
      <c r="Q1595" s="358"/>
      <c r="R1595" s="358"/>
      <c r="S1595" s="358"/>
      <c r="T1595" s="358"/>
      <c r="U1595" s="358"/>
      <c r="V1595" s="358"/>
      <c r="W1595" s="358"/>
      <c r="X1595" s="358"/>
      <c r="Y1595" s="358"/>
      <c r="Z1595" s="358"/>
    </row>
    <row r="1596" ht="14.25" customHeight="1">
      <c r="A1596" s="358"/>
      <c r="B1596" s="399"/>
      <c r="C1596" s="399"/>
      <c r="D1596" s="399"/>
      <c r="E1596" s="399"/>
      <c r="F1596" s="400"/>
      <c r="G1596" s="273"/>
      <c r="H1596" s="273"/>
      <c r="I1596" s="358"/>
      <c r="J1596" s="358"/>
      <c r="K1596" s="358"/>
      <c r="L1596" s="358"/>
      <c r="M1596" s="358"/>
      <c r="N1596" s="358"/>
      <c r="O1596" s="358"/>
      <c r="P1596" s="358"/>
      <c r="Q1596" s="358"/>
      <c r="R1596" s="358"/>
      <c r="S1596" s="358"/>
      <c r="T1596" s="358"/>
      <c r="U1596" s="358"/>
      <c r="V1596" s="358"/>
      <c r="W1596" s="358"/>
      <c r="X1596" s="358"/>
      <c r="Y1596" s="358"/>
      <c r="Z1596" s="358"/>
    </row>
    <row r="1597" ht="14.25" customHeight="1">
      <c r="A1597" s="358"/>
      <c r="B1597" s="399"/>
      <c r="C1597" s="399"/>
      <c r="D1597" s="399"/>
      <c r="E1597" s="399"/>
      <c r="F1597" s="400"/>
      <c r="G1597" s="273"/>
      <c r="H1597" s="273"/>
      <c r="I1597" s="358"/>
      <c r="J1597" s="358"/>
      <c r="K1597" s="358"/>
      <c r="L1597" s="358"/>
      <c r="M1597" s="358"/>
      <c r="N1597" s="358"/>
      <c r="O1597" s="358"/>
      <c r="P1597" s="358"/>
      <c r="Q1597" s="358"/>
      <c r="R1597" s="358"/>
      <c r="S1597" s="358"/>
      <c r="T1597" s="358"/>
      <c r="U1597" s="358"/>
      <c r="V1597" s="358"/>
      <c r="W1597" s="358"/>
      <c r="X1597" s="358"/>
      <c r="Y1597" s="358"/>
      <c r="Z1597" s="358"/>
    </row>
    <row r="1598" ht="14.25" customHeight="1">
      <c r="A1598" s="358"/>
      <c r="B1598" s="399"/>
      <c r="C1598" s="399"/>
      <c r="D1598" s="399"/>
      <c r="E1598" s="399"/>
      <c r="F1598" s="400"/>
      <c r="G1598" s="273"/>
      <c r="H1598" s="273"/>
      <c r="I1598" s="358"/>
      <c r="J1598" s="358"/>
      <c r="K1598" s="358"/>
      <c r="L1598" s="358"/>
      <c r="M1598" s="358"/>
      <c r="N1598" s="358"/>
      <c r="O1598" s="358"/>
      <c r="P1598" s="358"/>
      <c r="Q1598" s="358"/>
      <c r="R1598" s="358"/>
      <c r="S1598" s="358"/>
      <c r="T1598" s="358"/>
      <c r="U1598" s="358"/>
      <c r="V1598" s="358"/>
      <c r="W1598" s="358"/>
      <c r="X1598" s="358"/>
      <c r="Y1598" s="358"/>
      <c r="Z1598" s="358"/>
    </row>
    <row r="1599" ht="14.25" customHeight="1">
      <c r="A1599" s="358"/>
      <c r="B1599" s="399"/>
      <c r="C1599" s="399"/>
      <c r="D1599" s="399"/>
      <c r="E1599" s="399"/>
      <c r="F1599" s="400"/>
      <c r="G1599" s="273"/>
      <c r="H1599" s="273"/>
      <c r="I1599" s="358"/>
      <c r="J1599" s="358"/>
      <c r="K1599" s="358"/>
      <c r="L1599" s="358"/>
      <c r="M1599" s="358"/>
      <c r="N1599" s="358"/>
      <c r="O1599" s="358"/>
      <c r="P1599" s="358"/>
      <c r="Q1599" s="358"/>
      <c r="R1599" s="358"/>
      <c r="S1599" s="358"/>
      <c r="T1599" s="358"/>
      <c r="U1599" s="358"/>
      <c r="V1599" s="358"/>
      <c r="W1599" s="358"/>
      <c r="X1599" s="358"/>
      <c r="Y1599" s="358"/>
      <c r="Z1599" s="358"/>
    </row>
    <row r="1600" ht="14.25" customHeight="1">
      <c r="A1600" s="358"/>
      <c r="B1600" s="399"/>
      <c r="C1600" s="399"/>
      <c r="D1600" s="399"/>
      <c r="E1600" s="399"/>
      <c r="F1600" s="400"/>
      <c r="G1600" s="273"/>
      <c r="H1600" s="273"/>
      <c r="I1600" s="358"/>
      <c r="J1600" s="358"/>
      <c r="K1600" s="358"/>
      <c r="L1600" s="358"/>
      <c r="M1600" s="358"/>
      <c r="N1600" s="358"/>
      <c r="O1600" s="358"/>
      <c r="P1600" s="358"/>
      <c r="Q1600" s="358"/>
      <c r="R1600" s="358"/>
      <c r="S1600" s="358"/>
      <c r="T1600" s="358"/>
      <c r="U1600" s="358"/>
      <c r="V1600" s="358"/>
      <c r="W1600" s="358"/>
      <c r="X1600" s="358"/>
      <c r="Y1600" s="358"/>
      <c r="Z1600" s="358"/>
    </row>
    <row r="1601" ht="14.25" customHeight="1">
      <c r="A1601" s="358"/>
      <c r="B1601" s="399"/>
      <c r="C1601" s="399"/>
      <c r="D1601" s="399"/>
      <c r="E1601" s="399"/>
      <c r="F1601" s="400"/>
      <c r="G1601" s="273"/>
      <c r="H1601" s="273"/>
      <c r="I1601" s="358"/>
      <c r="J1601" s="358"/>
      <c r="K1601" s="358"/>
      <c r="L1601" s="358"/>
      <c r="M1601" s="358"/>
      <c r="N1601" s="358"/>
      <c r="O1601" s="358"/>
      <c r="P1601" s="358"/>
      <c r="Q1601" s="358"/>
      <c r="R1601" s="358"/>
      <c r="S1601" s="358"/>
      <c r="T1601" s="358"/>
      <c r="U1601" s="358"/>
      <c r="V1601" s="358"/>
      <c r="W1601" s="358"/>
      <c r="X1601" s="358"/>
      <c r="Y1601" s="358"/>
      <c r="Z1601" s="358"/>
    </row>
    <row r="1602" ht="14.25" customHeight="1">
      <c r="A1602" s="358"/>
      <c r="B1602" s="399"/>
      <c r="C1602" s="399"/>
      <c r="D1602" s="399"/>
      <c r="E1602" s="399"/>
      <c r="F1602" s="400"/>
      <c r="G1602" s="273"/>
      <c r="H1602" s="273"/>
      <c r="I1602" s="358"/>
      <c r="J1602" s="358"/>
      <c r="K1602" s="358"/>
      <c r="L1602" s="358"/>
      <c r="M1602" s="358"/>
      <c r="N1602" s="358"/>
      <c r="O1602" s="358"/>
      <c r="P1602" s="358"/>
      <c r="Q1602" s="358"/>
      <c r="R1602" s="358"/>
      <c r="S1602" s="358"/>
      <c r="T1602" s="358"/>
      <c r="U1602" s="358"/>
      <c r="V1602" s="358"/>
      <c r="W1602" s="358"/>
      <c r="X1602" s="358"/>
      <c r="Y1602" s="358"/>
      <c r="Z1602" s="358"/>
    </row>
    <row r="1603" ht="14.25" customHeight="1">
      <c r="A1603" s="358"/>
      <c r="B1603" s="399"/>
      <c r="C1603" s="399"/>
      <c r="D1603" s="399"/>
      <c r="E1603" s="399"/>
      <c r="F1603" s="400"/>
      <c r="G1603" s="273"/>
      <c r="H1603" s="273"/>
      <c r="I1603" s="358"/>
      <c r="J1603" s="358"/>
      <c r="K1603" s="358"/>
      <c r="L1603" s="358"/>
      <c r="M1603" s="358"/>
      <c r="N1603" s="358"/>
      <c r="O1603" s="358"/>
      <c r="P1603" s="358"/>
      <c r="Q1603" s="358"/>
      <c r="R1603" s="358"/>
      <c r="S1603" s="358"/>
      <c r="T1603" s="358"/>
      <c r="U1603" s="358"/>
      <c r="V1603" s="358"/>
      <c r="W1603" s="358"/>
      <c r="X1603" s="358"/>
      <c r="Y1603" s="358"/>
      <c r="Z1603" s="358"/>
    </row>
    <row r="1604" ht="14.25" customHeight="1">
      <c r="A1604" s="358"/>
      <c r="B1604" s="399"/>
      <c r="C1604" s="399"/>
      <c r="D1604" s="399"/>
      <c r="E1604" s="399"/>
      <c r="F1604" s="400"/>
      <c r="G1604" s="273"/>
      <c r="H1604" s="273"/>
      <c r="I1604" s="358"/>
      <c r="J1604" s="358"/>
      <c r="K1604" s="358"/>
      <c r="L1604" s="358"/>
      <c r="M1604" s="358"/>
      <c r="N1604" s="358"/>
      <c r="O1604" s="358"/>
      <c r="P1604" s="358"/>
      <c r="Q1604" s="358"/>
      <c r="R1604" s="358"/>
      <c r="S1604" s="358"/>
      <c r="T1604" s="358"/>
      <c r="U1604" s="358"/>
      <c r="V1604" s="358"/>
      <c r="W1604" s="358"/>
      <c r="X1604" s="358"/>
      <c r="Y1604" s="358"/>
      <c r="Z1604" s="358"/>
    </row>
    <row r="1605" ht="14.25" customHeight="1">
      <c r="A1605" s="358"/>
      <c r="B1605" s="399"/>
      <c r="C1605" s="399"/>
      <c r="D1605" s="399"/>
      <c r="E1605" s="399"/>
      <c r="F1605" s="400"/>
      <c r="G1605" s="273"/>
      <c r="H1605" s="273"/>
      <c r="I1605" s="358"/>
      <c r="J1605" s="358"/>
      <c r="K1605" s="358"/>
      <c r="L1605" s="358"/>
      <c r="M1605" s="358"/>
      <c r="N1605" s="358"/>
      <c r="O1605" s="358"/>
      <c r="P1605" s="358"/>
      <c r="Q1605" s="358"/>
      <c r="R1605" s="358"/>
      <c r="S1605" s="358"/>
      <c r="T1605" s="358"/>
      <c r="U1605" s="358"/>
      <c r="V1605" s="358"/>
      <c r="W1605" s="358"/>
      <c r="X1605" s="358"/>
      <c r="Y1605" s="358"/>
      <c r="Z1605" s="358"/>
    </row>
    <row r="1606" ht="14.25" customHeight="1">
      <c r="A1606" s="358"/>
      <c r="B1606" s="399"/>
      <c r="C1606" s="399"/>
      <c r="D1606" s="399"/>
      <c r="E1606" s="399"/>
      <c r="F1606" s="400"/>
      <c r="G1606" s="273"/>
      <c r="H1606" s="273"/>
      <c r="I1606" s="358"/>
      <c r="J1606" s="358"/>
      <c r="K1606" s="358"/>
      <c r="L1606" s="358"/>
      <c r="M1606" s="358"/>
      <c r="N1606" s="358"/>
      <c r="O1606" s="358"/>
      <c r="P1606" s="358"/>
      <c r="Q1606" s="358"/>
      <c r="R1606" s="358"/>
      <c r="S1606" s="358"/>
      <c r="T1606" s="358"/>
      <c r="U1606" s="358"/>
      <c r="V1606" s="358"/>
      <c r="W1606" s="358"/>
      <c r="X1606" s="358"/>
      <c r="Y1606" s="358"/>
      <c r="Z1606" s="358"/>
    </row>
    <row r="1607" ht="14.25" customHeight="1">
      <c r="A1607" s="358"/>
      <c r="B1607" s="399"/>
      <c r="C1607" s="399"/>
      <c r="D1607" s="399"/>
      <c r="E1607" s="399"/>
      <c r="F1607" s="400"/>
      <c r="G1607" s="273"/>
      <c r="H1607" s="273"/>
      <c r="I1607" s="358"/>
      <c r="J1607" s="358"/>
      <c r="K1607" s="358"/>
      <c r="L1607" s="358"/>
      <c r="M1607" s="358"/>
      <c r="N1607" s="358"/>
      <c r="O1607" s="358"/>
      <c r="P1607" s="358"/>
      <c r="Q1607" s="358"/>
      <c r="R1607" s="358"/>
      <c r="S1607" s="358"/>
      <c r="T1607" s="358"/>
      <c r="U1607" s="358"/>
      <c r="V1607" s="358"/>
      <c r="W1607" s="358"/>
      <c r="X1607" s="358"/>
      <c r="Y1607" s="358"/>
      <c r="Z1607" s="358"/>
    </row>
    <row r="1608" ht="14.25" customHeight="1">
      <c r="A1608" s="358"/>
      <c r="B1608" s="399"/>
      <c r="C1608" s="399"/>
      <c r="D1608" s="399"/>
      <c r="E1608" s="399"/>
      <c r="F1608" s="400"/>
      <c r="G1608" s="273"/>
      <c r="H1608" s="273"/>
      <c r="I1608" s="358"/>
      <c r="J1608" s="358"/>
      <c r="K1608" s="358"/>
      <c r="L1608" s="358"/>
      <c r="M1608" s="358"/>
      <c r="N1608" s="358"/>
      <c r="O1608" s="358"/>
      <c r="P1608" s="358"/>
      <c r="Q1608" s="358"/>
      <c r="R1608" s="358"/>
      <c r="S1608" s="358"/>
      <c r="T1608" s="358"/>
      <c r="U1608" s="358"/>
      <c r="V1608" s="358"/>
      <c r="W1608" s="358"/>
      <c r="X1608" s="358"/>
      <c r="Y1608" s="358"/>
      <c r="Z1608" s="358"/>
    </row>
    <row r="1609" ht="14.25" customHeight="1">
      <c r="A1609" s="358"/>
      <c r="B1609" s="399"/>
      <c r="C1609" s="399"/>
      <c r="D1609" s="399"/>
      <c r="E1609" s="399"/>
      <c r="F1609" s="400"/>
      <c r="G1609" s="273"/>
      <c r="H1609" s="273"/>
      <c r="I1609" s="358"/>
      <c r="J1609" s="358"/>
      <c r="K1609" s="358"/>
      <c r="L1609" s="358"/>
      <c r="M1609" s="358"/>
      <c r="N1609" s="358"/>
      <c r="O1609" s="358"/>
      <c r="P1609" s="358"/>
      <c r="Q1609" s="358"/>
      <c r="R1609" s="358"/>
      <c r="S1609" s="358"/>
      <c r="T1609" s="358"/>
      <c r="U1609" s="358"/>
      <c r="V1609" s="358"/>
      <c r="W1609" s="358"/>
      <c r="X1609" s="358"/>
      <c r="Y1609" s="358"/>
      <c r="Z1609" s="358"/>
    </row>
    <row r="1610" ht="14.25" customHeight="1">
      <c r="A1610" s="358"/>
      <c r="B1610" s="399"/>
      <c r="C1610" s="399"/>
      <c r="D1610" s="399"/>
      <c r="E1610" s="399"/>
      <c r="F1610" s="400"/>
      <c r="G1610" s="273"/>
      <c r="H1610" s="273"/>
      <c r="I1610" s="358"/>
      <c r="J1610" s="358"/>
      <c r="K1610" s="358"/>
      <c r="L1610" s="358"/>
      <c r="M1610" s="358"/>
      <c r="N1610" s="358"/>
      <c r="O1610" s="358"/>
      <c r="P1610" s="358"/>
      <c r="Q1610" s="358"/>
      <c r="R1610" s="358"/>
      <c r="S1610" s="358"/>
      <c r="T1610" s="358"/>
      <c r="U1610" s="358"/>
      <c r="V1610" s="358"/>
      <c r="W1610" s="358"/>
      <c r="X1610" s="358"/>
      <c r="Y1610" s="358"/>
      <c r="Z1610" s="358"/>
    </row>
    <row r="1611" ht="14.25" customHeight="1">
      <c r="A1611" s="358"/>
      <c r="B1611" s="399"/>
      <c r="C1611" s="399"/>
      <c r="D1611" s="399"/>
      <c r="E1611" s="399"/>
      <c r="F1611" s="400"/>
      <c r="G1611" s="273"/>
      <c r="H1611" s="273"/>
      <c r="I1611" s="358"/>
      <c r="J1611" s="358"/>
      <c r="K1611" s="358"/>
      <c r="L1611" s="358"/>
      <c r="M1611" s="358"/>
      <c r="N1611" s="358"/>
      <c r="O1611" s="358"/>
      <c r="P1611" s="358"/>
      <c r="Q1611" s="358"/>
      <c r="R1611" s="358"/>
      <c r="S1611" s="358"/>
      <c r="T1611" s="358"/>
      <c r="U1611" s="358"/>
      <c r="V1611" s="358"/>
      <c r="W1611" s="358"/>
      <c r="X1611" s="358"/>
      <c r="Y1611" s="358"/>
      <c r="Z1611" s="358"/>
    </row>
    <row r="1612" ht="14.25" customHeight="1">
      <c r="A1612" s="358"/>
      <c r="B1612" s="399"/>
      <c r="C1612" s="399"/>
      <c r="D1612" s="399"/>
      <c r="E1612" s="399"/>
      <c r="F1612" s="400"/>
      <c r="G1612" s="273"/>
      <c r="H1612" s="273"/>
      <c r="I1612" s="358"/>
      <c r="J1612" s="358"/>
      <c r="K1612" s="358"/>
      <c r="L1612" s="358"/>
      <c r="M1612" s="358"/>
      <c r="N1612" s="358"/>
      <c r="O1612" s="358"/>
      <c r="P1612" s="358"/>
      <c r="Q1612" s="358"/>
      <c r="R1612" s="358"/>
      <c r="S1612" s="358"/>
      <c r="T1612" s="358"/>
      <c r="U1612" s="358"/>
      <c r="V1612" s="358"/>
      <c r="W1612" s="358"/>
      <c r="X1612" s="358"/>
      <c r="Y1612" s="358"/>
      <c r="Z1612" s="358"/>
    </row>
    <row r="1613" ht="14.25" customHeight="1">
      <c r="A1613" s="358"/>
      <c r="B1613" s="399"/>
      <c r="C1613" s="399"/>
      <c r="D1613" s="399"/>
      <c r="E1613" s="399"/>
      <c r="F1613" s="400"/>
      <c r="G1613" s="273"/>
      <c r="H1613" s="273"/>
      <c r="I1613" s="358"/>
      <c r="J1613" s="358"/>
      <c r="K1613" s="358"/>
      <c r="L1613" s="358"/>
      <c r="M1613" s="358"/>
      <c r="N1613" s="358"/>
      <c r="O1613" s="358"/>
      <c r="P1613" s="358"/>
      <c r="Q1613" s="358"/>
      <c r="R1613" s="358"/>
      <c r="S1613" s="358"/>
      <c r="T1613" s="358"/>
      <c r="U1613" s="358"/>
      <c r="V1613" s="358"/>
      <c r="W1613" s="358"/>
      <c r="X1613" s="358"/>
      <c r="Y1613" s="358"/>
      <c r="Z1613" s="358"/>
    </row>
    <row r="1614" ht="14.25" customHeight="1">
      <c r="A1614" s="358"/>
      <c r="B1614" s="399"/>
      <c r="C1614" s="399"/>
      <c r="D1614" s="399"/>
      <c r="E1614" s="399"/>
      <c r="F1614" s="400"/>
      <c r="G1614" s="273"/>
      <c r="H1614" s="273"/>
      <c r="I1614" s="358"/>
      <c r="J1614" s="358"/>
      <c r="K1614" s="358"/>
      <c r="L1614" s="358"/>
      <c r="M1614" s="358"/>
      <c r="N1614" s="358"/>
      <c r="O1614" s="358"/>
      <c r="P1614" s="358"/>
      <c r="Q1614" s="358"/>
      <c r="R1614" s="358"/>
      <c r="S1614" s="358"/>
      <c r="T1614" s="358"/>
      <c r="U1614" s="358"/>
      <c r="V1614" s="358"/>
      <c r="W1614" s="358"/>
      <c r="X1614" s="358"/>
      <c r="Y1614" s="358"/>
      <c r="Z1614" s="358"/>
    </row>
    <row r="1615" ht="14.25" customHeight="1">
      <c r="A1615" s="358"/>
      <c r="B1615" s="399"/>
      <c r="C1615" s="399"/>
      <c r="D1615" s="399"/>
      <c r="E1615" s="399"/>
      <c r="F1615" s="400"/>
      <c r="G1615" s="273"/>
      <c r="H1615" s="273"/>
      <c r="I1615" s="358"/>
      <c r="J1615" s="358"/>
      <c r="K1615" s="358"/>
      <c r="L1615" s="358"/>
      <c r="M1615" s="358"/>
      <c r="N1615" s="358"/>
      <c r="O1615" s="358"/>
      <c r="P1615" s="358"/>
      <c r="Q1615" s="358"/>
      <c r="R1615" s="358"/>
      <c r="S1615" s="358"/>
      <c r="T1615" s="358"/>
      <c r="U1615" s="358"/>
      <c r="V1615" s="358"/>
      <c r="W1615" s="358"/>
      <c r="X1615" s="358"/>
      <c r="Y1615" s="358"/>
      <c r="Z1615" s="358"/>
    </row>
    <row r="1616" ht="14.25" customHeight="1">
      <c r="A1616" s="358"/>
      <c r="B1616" s="399"/>
      <c r="C1616" s="399"/>
      <c r="D1616" s="399"/>
      <c r="E1616" s="399"/>
      <c r="F1616" s="400"/>
      <c r="G1616" s="273"/>
      <c r="H1616" s="273"/>
      <c r="I1616" s="358"/>
      <c r="J1616" s="358"/>
      <c r="K1616" s="358"/>
      <c r="L1616" s="358"/>
      <c r="M1616" s="358"/>
      <c r="N1616" s="358"/>
      <c r="O1616" s="358"/>
      <c r="P1616" s="358"/>
      <c r="Q1616" s="358"/>
      <c r="R1616" s="358"/>
      <c r="S1616" s="358"/>
      <c r="T1616" s="358"/>
      <c r="U1616" s="358"/>
      <c r="V1616" s="358"/>
      <c r="W1616" s="358"/>
      <c r="X1616" s="358"/>
      <c r="Y1616" s="358"/>
      <c r="Z1616" s="358"/>
    </row>
    <row r="1617" ht="14.25" customHeight="1">
      <c r="A1617" s="358"/>
      <c r="B1617" s="399"/>
      <c r="C1617" s="399"/>
      <c r="D1617" s="399"/>
      <c r="E1617" s="399"/>
      <c r="F1617" s="400"/>
      <c r="G1617" s="273"/>
      <c r="H1617" s="273"/>
      <c r="I1617" s="358"/>
      <c r="J1617" s="358"/>
      <c r="K1617" s="358"/>
      <c r="L1617" s="358"/>
      <c r="M1617" s="358"/>
      <c r="N1617" s="358"/>
      <c r="O1617" s="358"/>
      <c r="P1617" s="358"/>
      <c r="Q1617" s="358"/>
      <c r="R1617" s="358"/>
      <c r="S1617" s="358"/>
      <c r="T1617" s="358"/>
      <c r="U1617" s="358"/>
      <c r="V1617" s="358"/>
      <c r="W1617" s="358"/>
      <c r="X1617" s="358"/>
      <c r="Y1617" s="358"/>
      <c r="Z1617" s="358"/>
    </row>
    <row r="1618" ht="14.25" customHeight="1">
      <c r="A1618" s="358"/>
      <c r="B1618" s="399"/>
      <c r="C1618" s="399"/>
      <c r="D1618" s="399"/>
      <c r="E1618" s="399"/>
      <c r="F1618" s="400"/>
      <c r="G1618" s="273"/>
      <c r="H1618" s="273"/>
      <c r="I1618" s="358"/>
      <c r="J1618" s="358"/>
      <c r="K1618" s="358"/>
      <c r="L1618" s="358"/>
      <c r="M1618" s="358"/>
      <c r="N1618" s="358"/>
      <c r="O1618" s="358"/>
      <c r="P1618" s="358"/>
      <c r="Q1618" s="358"/>
      <c r="R1618" s="358"/>
      <c r="S1618" s="358"/>
      <c r="T1618" s="358"/>
      <c r="U1618" s="358"/>
      <c r="V1618" s="358"/>
      <c r="W1618" s="358"/>
      <c r="X1618" s="358"/>
      <c r="Y1618" s="358"/>
      <c r="Z1618" s="358"/>
    </row>
    <row r="1619" ht="14.25" customHeight="1">
      <c r="A1619" s="358"/>
      <c r="B1619" s="399"/>
      <c r="C1619" s="399"/>
      <c r="D1619" s="399"/>
      <c r="E1619" s="399"/>
      <c r="F1619" s="400"/>
      <c r="G1619" s="273"/>
      <c r="H1619" s="273"/>
      <c r="I1619" s="358"/>
      <c r="J1619" s="358"/>
      <c r="K1619" s="358"/>
      <c r="L1619" s="358"/>
      <c r="M1619" s="358"/>
      <c r="N1619" s="358"/>
      <c r="O1619" s="358"/>
      <c r="P1619" s="358"/>
      <c r="Q1619" s="358"/>
      <c r="R1619" s="358"/>
      <c r="S1619" s="358"/>
      <c r="T1619" s="358"/>
      <c r="U1619" s="358"/>
      <c r="V1619" s="358"/>
      <c r="W1619" s="358"/>
      <c r="X1619" s="358"/>
      <c r="Y1619" s="358"/>
      <c r="Z1619" s="358"/>
    </row>
    <row r="1620" ht="14.25" customHeight="1">
      <c r="A1620" s="358"/>
      <c r="B1620" s="399"/>
      <c r="C1620" s="399"/>
      <c r="D1620" s="399"/>
      <c r="E1620" s="399"/>
      <c r="F1620" s="400"/>
      <c r="G1620" s="273"/>
      <c r="H1620" s="273"/>
      <c r="I1620" s="358"/>
      <c r="J1620" s="358"/>
      <c r="K1620" s="358"/>
      <c r="L1620" s="358"/>
      <c r="M1620" s="358"/>
      <c r="N1620" s="358"/>
      <c r="O1620" s="358"/>
      <c r="P1620" s="358"/>
      <c r="Q1620" s="358"/>
      <c r="R1620" s="358"/>
      <c r="S1620" s="358"/>
      <c r="T1620" s="358"/>
      <c r="U1620" s="358"/>
      <c r="V1620" s="358"/>
      <c r="W1620" s="358"/>
      <c r="X1620" s="358"/>
      <c r="Y1620" s="358"/>
      <c r="Z1620" s="358"/>
    </row>
    <row r="1621" ht="14.25" customHeight="1">
      <c r="A1621" s="358"/>
      <c r="B1621" s="399"/>
      <c r="C1621" s="399"/>
      <c r="D1621" s="399"/>
      <c r="E1621" s="399"/>
      <c r="F1621" s="400"/>
      <c r="G1621" s="273"/>
      <c r="H1621" s="273"/>
      <c r="I1621" s="358"/>
      <c r="J1621" s="358"/>
      <c r="K1621" s="358"/>
      <c r="L1621" s="358"/>
      <c r="M1621" s="358"/>
      <c r="N1621" s="358"/>
      <c r="O1621" s="358"/>
      <c r="P1621" s="358"/>
      <c r="Q1621" s="358"/>
      <c r="R1621" s="358"/>
      <c r="S1621" s="358"/>
      <c r="T1621" s="358"/>
      <c r="U1621" s="358"/>
      <c r="V1621" s="358"/>
      <c r="W1621" s="358"/>
      <c r="X1621" s="358"/>
      <c r="Y1621" s="358"/>
      <c r="Z1621" s="358"/>
    </row>
    <row r="1622" ht="14.25" customHeight="1">
      <c r="A1622" s="358"/>
      <c r="B1622" s="399"/>
      <c r="C1622" s="399"/>
      <c r="D1622" s="399"/>
      <c r="E1622" s="399"/>
      <c r="F1622" s="400"/>
      <c r="G1622" s="273"/>
      <c r="H1622" s="273"/>
      <c r="I1622" s="358"/>
      <c r="J1622" s="358"/>
      <c r="K1622" s="358"/>
      <c r="L1622" s="358"/>
      <c r="M1622" s="358"/>
      <c r="N1622" s="358"/>
      <c r="O1622" s="358"/>
      <c r="P1622" s="358"/>
      <c r="Q1622" s="358"/>
      <c r="R1622" s="358"/>
      <c r="S1622" s="358"/>
      <c r="T1622" s="358"/>
      <c r="U1622" s="358"/>
      <c r="V1622" s="358"/>
      <c r="W1622" s="358"/>
      <c r="X1622" s="358"/>
      <c r="Y1622" s="358"/>
      <c r="Z1622" s="358"/>
    </row>
    <row r="1623" ht="14.25" customHeight="1">
      <c r="A1623" s="358"/>
      <c r="B1623" s="399"/>
      <c r="C1623" s="399"/>
      <c r="D1623" s="399"/>
      <c r="E1623" s="399"/>
      <c r="F1623" s="400"/>
      <c r="G1623" s="273"/>
      <c r="H1623" s="273"/>
      <c r="I1623" s="358"/>
      <c r="J1623" s="358"/>
      <c r="K1623" s="358"/>
      <c r="L1623" s="358"/>
      <c r="M1623" s="358"/>
      <c r="N1623" s="358"/>
      <c r="O1623" s="358"/>
      <c r="P1623" s="358"/>
      <c r="Q1623" s="358"/>
      <c r="R1623" s="358"/>
      <c r="S1623" s="358"/>
      <c r="T1623" s="358"/>
      <c r="U1623" s="358"/>
      <c r="V1623" s="358"/>
      <c r="W1623" s="358"/>
      <c r="X1623" s="358"/>
      <c r="Y1623" s="358"/>
      <c r="Z1623" s="358"/>
    </row>
    <row r="1624" ht="14.25" customHeight="1">
      <c r="A1624" s="358"/>
      <c r="B1624" s="399"/>
      <c r="C1624" s="399"/>
      <c r="D1624" s="399"/>
      <c r="E1624" s="399"/>
      <c r="F1624" s="400"/>
      <c r="G1624" s="273"/>
      <c r="H1624" s="273"/>
      <c r="I1624" s="358"/>
      <c r="J1624" s="358"/>
      <c r="K1624" s="358"/>
      <c r="L1624" s="358"/>
      <c r="M1624" s="358"/>
      <c r="N1624" s="358"/>
      <c r="O1624" s="358"/>
      <c r="P1624" s="358"/>
      <c r="Q1624" s="358"/>
      <c r="R1624" s="358"/>
      <c r="S1624" s="358"/>
      <c r="T1624" s="358"/>
      <c r="U1624" s="358"/>
      <c r="V1624" s="358"/>
      <c r="W1624" s="358"/>
      <c r="X1624" s="358"/>
      <c r="Y1624" s="358"/>
      <c r="Z1624" s="358"/>
    </row>
    <row r="1625" ht="14.25" customHeight="1">
      <c r="A1625" s="358"/>
      <c r="B1625" s="399"/>
      <c r="C1625" s="399"/>
      <c r="D1625" s="399"/>
      <c r="E1625" s="399"/>
      <c r="F1625" s="400"/>
      <c r="G1625" s="273"/>
      <c r="H1625" s="273"/>
      <c r="I1625" s="358"/>
      <c r="J1625" s="358"/>
      <c r="K1625" s="358"/>
      <c r="L1625" s="358"/>
      <c r="M1625" s="358"/>
      <c r="N1625" s="358"/>
      <c r="O1625" s="358"/>
      <c r="P1625" s="358"/>
      <c r="Q1625" s="358"/>
      <c r="R1625" s="358"/>
      <c r="S1625" s="358"/>
      <c r="T1625" s="358"/>
      <c r="U1625" s="358"/>
      <c r="V1625" s="358"/>
      <c r="W1625" s="358"/>
      <c r="X1625" s="358"/>
      <c r="Y1625" s="358"/>
      <c r="Z1625" s="358"/>
    </row>
    <row r="1626" ht="14.25" customHeight="1">
      <c r="A1626" s="358"/>
      <c r="B1626" s="399"/>
      <c r="C1626" s="399"/>
      <c r="D1626" s="399"/>
      <c r="E1626" s="399"/>
      <c r="F1626" s="400"/>
      <c r="G1626" s="273"/>
      <c r="H1626" s="273"/>
      <c r="I1626" s="358"/>
      <c r="J1626" s="358"/>
      <c r="K1626" s="358"/>
      <c r="L1626" s="358"/>
      <c r="M1626" s="358"/>
      <c r="N1626" s="358"/>
      <c r="O1626" s="358"/>
      <c r="P1626" s="358"/>
      <c r="Q1626" s="358"/>
      <c r="R1626" s="358"/>
      <c r="S1626" s="358"/>
      <c r="T1626" s="358"/>
      <c r="U1626" s="358"/>
      <c r="V1626" s="358"/>
      <c r="W1626" s="358"/>
      <c r="X1626" s="358"/>
      <c r="Y1626" s="358"/>
      <c r="Z1626" s="358"/>
    </row>
    <row r="1627" ht="14.25" customHeight="1">
      <c r="A1627" s="358"/>
      <c r="B1627" s="399"/>
      <c r="C1627" s="399"/>
      <c r="D1627" s="399"/>
      <c r="E1627" s="399"/>
      <c r="F1627" s="400"/>
      <c r="G1627" s="273"/>
      <c r="H1627" s="273"/>
      <c r="I1627" s="358"/>
      <c r="J1627" s="358"/>
      <c r="K1627" s="358"/>
      <c r="L1627" s="358"/>
      <c r="M1627" s="358"/>
      <c r="N1627" s="358"/>
      <c r="O1627" s="358"/>
      <c r="P1627" s="358"/>
      <c r="Q1627" s="358"/>
      <c r="R1627" s="358"/>
      <c r="S1627" s="358"/>
      <c r="T1627" s="358"/>
      <c r="U1627" s="358"/>
      <c r="V1627" s="358"/>
      <c r="W1627" s="358"/>
      <c r="X1627" s="358"/>
      <c r="Y1627" s="358"/>
      <c r="Z1627" s="358"/>
    </row>
    <row r="1628" ht="14.25" customHeight="1">
      <c r="A1628" s="358"/>
      <c r="B1628" s="399"/>
      <c r="C1628" s="399"/>
      <c r="D1628" s="399"/>
      <c r="E1628" s="399"/>
      <c r="F1628" s="400"/>
      <c r="G1628" s="273"/>
      <c r="H1628" s="273"/>
      <c r="I1628" s="358"/>
      <c r="J1628" s="358"/>
      <c r="K1628" s="358"/>
      <c r="L1628" s="358"/>
      <c r="M1628" s="358"/>
      <c r="N1628" s="358"/>
      <c r="O1628" s="358"/>
      <c r="P1628" s="358"/>
      <c r="Q1628" s="358"/>
      <c r="R1628" s="358"/>
      <c r="S1628" s="358"/>
      <c r="T1628" s="358"/>
      <c r="U1628" s="358"/>
      <c r="V1628" s="358"/>
      <c r="W1628" s="358"/>
      <c r="X1628" s="358"/>
      <c r="Y1628" s="358"/>
      <c r="Z1628" s="358"/>
    </row>
    <row r="1629" ht="14.25" customHeight="1">
      <c r="A1629" s="358"/>
      <c r="B1629" s="399"/>
      <c r="C1629" s="399"/>
      <c r="D1629" s="399"/>
      <c r="E1629" s="399"/>
      <c r="F1629" s="400"/>
      <c r="G1629" s="273"/>
      <c r="H1629" s="273"/>
      <c r="I1629" s="358"/>
      <c r="J1629" s="358"/>
      <c r="K1629" s="358"/>
      <c r="L1629" s="358"/>
      <c r="M1629" s="358"/>
      <c r="N1629" s="358"/>
      <c r="O1629" s="358"/>
      <c r="P1629" s="358"/>
      <c r="Q1629" s="358"/>
      <c r="R1629" s="358"/>
      <c r="S1629" s="358"/>
      <c r="T1629" s="358"/>
      <c r="U1629" s="358"/>
      <c r="V1629" s="358"/>
      <c r="W1629" s="358"/>
      <c r="X1629" s="358"/>
      <c r="Y1629" s="358"/>
      <c r="Z1629" s="358"/>
    </row>
    <row r="1630" ht="14.25" customHeight="1">
      <c r="A1630" s="358"/>
      <c r="B1630" s="399"/>
      <c r="C1630" s="399"/>
      <c r="D1630" s="399"/>
      <c r="E1630" s="399"/>
      <c r="F1630" s="400"/>
      <c r="G1630" s="273"/>
      <c r="H1630" s="273"/>
      <c r="I1630" s="358"/>
      <c r="J1630" s="358"/>
      <c r="K1630" s="358"/>
      <c r="L1630" s="358"/>
      <c r="M1630" s="358"/>
      <c r="N1630" s="358"/>
      <c r="O1630" s="358"/>
      <c r="P1630" s="358"/>
      <c r="Q1630" s="358"/>
      <c r="R1630" s="358"/>
      <c r="S1630" s="358"/>
      <c r="T1630" s="358"/>
      <c r="U1630" s="358"/>
      <c r="V1630" s="358"/>
      <c r="W1630" s="358"/>
      <c r="X1630" s="358"/>
      <c r="Y1630" s="358"/>
      <c r="Z1630" s="358"/>
    </row>
    <row r="1631" ht="14.25" customHeight="1">
      <c r="A1631" s="358"/>
      <c r="B1631" s="399"/>
      <c r="C1631" s="399"/>
      <c r="D1631" s="399"/>
      <c r="E1631" s="399"/>
      <c r="F1631" s="400"/>
      <c r="G1631" s="273"/>
      <c r="H1631" s="273"/>
      <c r="I1631" s="358"/>
      <c r="J1631" s="358"/>
      <c r="K1631" s="358"/>
      <c r="L1631" s="358"/>
      <c r="M1631" s="358"/>
      <c r="N1631" s="358"/>
      <c r="O1631" s="358"/>
      <c r="P1631" s="358"/>
      <c r="Q1631" s="358"/>
      <c r="R1631" s="358"/>
      <c r="S1631" s="358"/>
      <c r="T1631" s="358"/>
      <c r="U1631" s="358"/>
      <c r="V1631" s="358"/>
      <c r="W1631" s="358"/>
      <c r="X1631" s="358"/>
      <c r="Y1631" s="358"/>
      <c r="Z1631" s="358"/>
    </row>
    <row r="1632" ht="14.25" customHeight="1">
      <c r="A1632" s="358"/>
      <c r="B1632" s="399"/>
      <c r="C1632" s="399"/>
      <c r="D1632" s="399"/>
      <c r="E1632" s="399"/>
      <c r="F1632" s="400"/>
      <c r="G1632" s="273"/>
      <c r="H1632" s="273"/>
      <c r="I1632" s="358"/>
      <c r="J1632" s="358"/>
      <c r="K1632" s="358"/>
      <c r="L1632" s="358"/>
      <c r="M1632" s="358"/>
      <c r="N1632" s="358"/>
      <c r="O1632" s="358"/>
      <c r="P1632" s="358"/>
      <c r="Q1632" s="358"/>
      <c r="R1632" s="358"/>
      <c r="S1632" s="358"/>
      <c r="T1632" s="358"/>
      <c r="U1632" s="358"/>
      <c r="V1632" s="358"/>
      <c r="W1632" s="358"/>
      <c r="X1632" s="358"/>
      <c r="Y1632" s="358"/>
      <c r="Z1632" s="358"/>
    </row>
    <row r="1633" ht="14.25" customHeight="1">
      <c r="A1633" s="358"/>
      <c r="B1633" s="399"/>
      <c r="C1633" s="399"/>
      <c r="D1633" s="399"/>
      <c r="E1633" s="399"/>
      <c r="F1633" s="400"/>
      <c r="G1633" s="273"/>
      <c r="H1633" s="273"/>
      <c r="I1633" s="358"/>
      <c r="J1633" s="358"/>
      <c r="K1633" s="358"/>
      <c r="L1633" s="358"/>
      <c r="M1633" s="358"/>
      <c r="N1633" s="358"/>
      <c r="O1633" s="358"/>
      <c r="P1633" s="358"/>
      <c r="Q1633" s="358"/>
      <c r="R1633" s="358"/>
      <c r="S1633" s="358"/>
      <c r="T1633" s="358"/>
      <c r="U1633" s="358"/>
      <c r="V1633" s="358"/>
      <c r="W1633" s="358"/>
      <c r="X1633" s="358"/>
      <c r="Y1633" s="358"/>
      <c r="Z1633" s="358"/>
    </row>
    <row r="1634" ht="14.25" customHeight="1">
      <c r="A1634" s="358"/>
      <c r="B1634" s="399"/>
      <c r="C1634" s="399"/>
      <c r="D1634" s="399"/>
      <c r="E1634" s="399"/>
      <c r="F1634" s="400"/>
      <c r="G1634" s="273"/>
      <c r="H1634" s="273"/>
      <c r="I1634" s="358"/>
      <c r="J1634" s="358"/>
      <c r="K1634" s="358"/>
      <c r="L1634" s="358"/>
      <c r="M1634" s="358"/>
      <c r="N1634" s="358"/>
      <c r="O1634" s="358"/>
      <c r="P1634" s="358"/>
      <c r="Q1634" s="358"/>
      <c r="R1634" s="358"/>
      <c r="S1634" s="358"/>
      <c r="T1634" s="358"/>
      <c r="U1634" s="358"/>
      <c r="V1634" s="358"/>
      <c r="W1634" s="358"/>
      <c r="X1634" s="358"/>
      <c r="Y1634" s="358"/>
      <c r="Z1634" s="358"/>
    </row>
    <row r="1635" ht="14.25" customHeight="1">
      <c r="A1635" s="358"/>
      <c r="B1635" s="399"/>
      <c r="C1635" s="399"/>
      <c r="D1635" s="399"/>
      <c r="E1635" s="399"/>
      <c r="F1635" s="400"/>
      <c r="G1635" s="273"/>
      <c r="H1635" s="273"/>
      <c r="I1635" s="358"/>
      <c r="J1635" s="358"/>
      <c r="K1635" s="358"/>
      <c r="L1635" s="358"/>
      <c r="M1635" s="358"/>
      <c r="N1635" s="358"/>
      <c r="O1635" s="358"/>
      <c r="P1635" s="358"/>
      <c r="Q1635" s="358"/>
      <c r="R1635" s="358"/>
      <c r="S1635" s="358"/>
      <c r="T1635" s="358"/>
      <c r="U1635" s="358"/>
      <c r="V1635" s="358"/>
      <c r="W1635" s="358"/>
      <c r="X1635" s="358"/>
      <c r="Y1635" s="358"/>
      <c r="Z1635" s="358"/>
    </row>
    <row r="1636" ht="14.25" customHeight="1">
      <c r="A1636" s="358"/>
      <c r="B1636" s="399"/>
      <c r="C1636" s="399"/>
      <c r="D1636" s="399"/>
      <c r="E1636" s="399"/>
      <c r="F1636" s="400"/>
      <c r="G1636" s="273"/>
      <c r="H1636" s="273"/>
      <c r="I1636" s="358"/>
      <c r="J1636" s="358"/>
      <c r="K1636" s="358"/>
      <c r="L1636" s="358"/>
      <c r="M1636" s="358"/>
      <c r="N1636" s="358"/>
      <c r="O1636" s="358"/>
      <c r="P1636" s="358"/>
      <c r="Q1636" s="358"/>
      <c r="R1636" s="358"/>
      <c r="S1636" s="358"/>
      <c r="T1636" s="358"/>
      <c r="U1636" s="358"/>
      <c r="V1636" s="358"/>
      <c r="W1636" s="358"/>
      <c r="X1636" s="358"/>
      <c r="Y1636" s="358"/>
      <c r="Z1636" s="358"/>
    </row>
    <row r="1637" ht="14.25" customHeight="1">
      <c r="A1637" s="358"/>
      <c r="B1637" s="399"/>
      <c r="C1637" s="399"/>
      <c r="D1637" s="399"/>
      <c r="E1637" s="399"/>
      <c r="F1637" s="400"/>
      <c r="G1637" s="273"/>
      <c r="H1637" s="273"/>
      <c r="I1637" s="358"/>
      <c r="J1637" s="358"/>
      <c r="K1637" s="358"/>
      <c r="L1637" s="358"/>
      <c r="M1637" s="358"/>
      <c r="N1637" s="358"/>
      <c r="O1637" s="358"/>
      <c r="P1637" s="358"/>
      <c r="Q1637" s="358"/>
      <c r="R1637" s="358"/>
      <c r="S1637" s="358"/>
      <c r="T1637" s="358"/>
      <c r="U1637" s="358"/>
      <c r="V1637" s="358"/>
      <c r="W1637" s="358"/>
      <c r="X1637" s="358"/>
      <c r="Y1637" s="358"/>
      <c r="Z1637" s="358"/>
    </row>
    <row r="1638" ht="14.25" customHeight="1">
      <c r="A1638" s="358"/>
      <c r="B1638" s="399"/>
      <c r="C1638" s="399"/>
      <c r="D1638" s="399"/>
      <c r="E1638" s="399"/>
      <c r="F1638" s="400"/>
      <c r="G1638" s="273"/>
      <c r="H1638" s="273"/>
      <c r="I1638" s="358"/>
      <c r="J1638" s="358"/>
      <c r="K1638" s="358"/>
      <c r="L1638" s="358"/>
      <c r="M1638" s="358"/>
      <c r="N1638" s="358"/>
      <c r="O1638" s="358"/>
      <c r="P1638" s="358"/>
      <c r="Q1638" s="358"/>
      <c r="R1638" s="358"/>
      <c r="S1638" s="358"/>
      <c r="T1638" s="358"/>
      <c r="U1638" s="358"/>
      <c r="V1638" s="358"/>
      <c r="W1638" s="358"/>
      <c r="X1638" s="358"/>
      <c r="Y1638" s="358"/>
      <c r="Z1638" s="358"/>
    </row>
    <row r="1639" ht="14.25" customHeight="1">
      <c r="A1639" s="358"/>
      <c r="B1639" s="399"/>
      <c r="C1639" s="399"/>
      <c r="D1639" s="399"/>
      <c r="E1639" s="399"/>
      <c r="F1639" s="400"/>
      <c r="G1639" s="273"/>
      <c r="H1639" s="273"/>
      <c r="I1639" s="358"/>
      <c r="J1639" s="358"/>
      <c r="K1639" s="358"/>
      <c r="L1639" s="358"/>
      <c r="M1639" s="358"/>
      <c r="N1639" s="358"/>
      <c r="O1639" s="358"/>
      <c r="P1639" s="358"/>
      <c r="Q1639" s="358"/>
      <c r="R1639" s="358"/>
      <c r="S1639" s="358"/>
      <c r="T1639" s="358"/>
      <c r="U1639" s="358"/>
      <c r="V1639" s="358"/>
      <c r="W1639" s="358"/>
      <c r="X1639" s="358"/>
      <c r="Y1639" s="358"/>
      <c r="Z1639" s="358"/>
    </row>
    <row r="1640" ht="14.25" customHeight="1">
      <c r="A1640" s="358"/>
      <c r="B1640" s="399"/>
      <c r="C1640" s="399"/>
      <c r="D1640" s="399"/>
      <c r="E1640" s="399"/>
      <c r="F1640" s="400"/>
      <c r="G1640" s="273"/>
      <c r="H1640" s="273"/>
      <c r="I1640" s="358"/>
      <c r="J1640" s="358"/>
      <c r="K1640" s="358"/>
      <c r="L1640" s="358"/>
      <c r="M1640" s="358"/>
      <c r="N1640" s="358"/>
      <c r="O1640" s="358"/>
      <c r="P1640" s="358"/>
      <c r="Q1640" s="358"/>
      <c r="R1640" s="358"/>
      <c r="S1640" s="358"/>
      <c r="T1640" s="358"/>
      <c r="U1640" s="358"/>
      <c r="V1640" s="358"/>
      <c r="W1640" s="358"/>
      <c r="X1640" s="358"/>
      <c r="Y1640" s="358"/>
      <c r="Z1640" s="358"/>
    </row>
    <row r="1641" ht="14.25" customHeight="1">
      <c r="A1641" s="358"/>
      <c r="B1641" s="399"/>
      <c r="C1641" s="399"/>
      <c r="D1641" s="399"/>
      <c r="E1641" s="399"/>
      <c r="F1641" s="400"/>
      <c r="G1641" s="273"/>
      <c r="H1641" s="273"/>
      <c r="I1641" s="358"/>
      <c r="J1641" s="358"/>
      <c r="K1641" s="358"/>
      <c r="L1641" s="358"/>
      <c r="M1641" s="358"/>
      <c r="N1641" s="358"/>
      <c r="O1641" s="358"/>
      <c r="P1641" s="358"/>
      <c r="Q1641" s="358"/>
      <c r="R1641" s="358"/>
      <c r="S1641" s="358"/>
      <c r="T1641" s="358"/>
      <c r="U1641" s="358"/>
      <c r="V1641" s="358"/>
      <c r="W1641" s="358"/>
      <c r="X1641" s="358"/>
      <c r="Y1641" s="358"/>
      <c r="Z1641" s="358"/>
    </row>
    <row r="1642" ht="14.25" customHeight="1">
      <c r="A1642" s="358"/>
      <c r="B1642" s="399"/>
      <c r="C1642" s="399"/>
      <c r="D1642" s="399"/>
      <c r="E1642" s="399"/>
      <c r="F1642" s="400"/>
      <c r="G1642" s="273"/>
      <c r="H1642" s="273"/>
      <c r="I1642" s="358"/>
      <c r="J1642" s="358"/>
      <c r="K1642" s="358"/>
      <c r="L1642" s="358"/>
      <c r="M1642" s="358"/>
      <c r="N1642" s="358"/>
      <c r="O1642" s="358"/>
      <c r="P1642" s="358"/>
      <c r="Q1642" s="358"/>
      <c r="R1642" s="358"/>
      <c r="S1642" s="358"/>
      <c r="T1642" s="358"/>
      <c r="U1642" s="358"/>
      <c r="V1642" s="358"/>
      <c r="W1642" s="358"/>
      <c r="X1642" s="358"/>
      <c r="Y1642" s="358"/>
      <c r="Z1642" s="358"/>
    </row>
    <row r="1643" ht="14.25" customHeight="1">
      <c r="A1643" s="358"/>
      <c r="B1643" s="399"/>
      <c r="C1643" s="399"/>
      <c r="D1643" s="399"/>
      <c r="E1643" s="399"/>
      <c r="F1643" s="400"/>
      <c r="G1643" s="273"/>
      <c r="H1643" s="273"/>
      <c r="I1643" s="358"/>
      <c r="J1643" s="358"/>
      <c r="K1643" s="358"/>
      <c r="L1643" s="358"/>
      <c r="M1643" s="358"/>
      <c r="N1643" s="358"/>
      <c r="O1643" s="358"/>
      <c r="P1643" s="358"/>
      <c r="Q1643" s="358"/>
      <c r="R1643" s="358"/>
      <c r="S1643" s="358"/>
      <c r="T1643" s="358"/>
      <c r="U1643" s="358"/>
      <c r="V1643" s="358"/>
      <c r="W1643" s="358"/>
      <c r="X1643" s="358"/>
      <c r="Y1643" s="358"/>
      <c r="Z1643" s="358"/>
    </row>
    <row r="1644" ht="14.25" customHeight="1">
      <c r="A1644" s="358"/>
      <c r="B1644" s="399"/>
      <c r="C1644" s="399"/>
      <c r="D1644" s="399"/>
      <c r="E1644" s="399"/>
      <c r="F1644" s="400"/>
      <c r="G1644" s="273"/>
      <c r="H1644" s="273"/>
      <c r="I1644" s="358"/>
      <c r="J1644" s="358"/>
      <c r="K1644" s="358"/>
      <c r="L1644" s="358"/>
      <c r="M1644" s="358"/>
      <c r="N1644" s="358"/>
      <c r="O1644" s="358"/>
      <c r="P1644" s="358"/>
      <c r="Q1644" s="358"/>
      <c r="R1644" s="358"/>
      <c r="S1644" s="358"/>
      <c r="T1644" s="358"/>
      <c r="U1644" s="358"/>
      <c r="V1644" s="358"/>
      <c r="W1644" s="358"/>
      <c r="X1644" s="358"/>
      <c r="Y1644" s="358"/>
      <c r="Z1644" s="358"/>
    </row>
    <row r="1645" ht="14.25" customHeight="1">
      <c r="A1645" s="358"/>
      <c r="B1645" s="399"/>
      <c r="C1645" s="399"/>
      <c r="D1645" s="399"/>
      <c r="E1645" s="399"/>
      <c r="F1645" s="400"/>
      <c r="G1645" s="273"/>
      <c r="H1645" s="273"/>
      <c r="I1645" s="358"/>
      <c r="J1645" s="358"/>
      <c r="K1645" s="358"/>
      <c r="L1645" s="358"/>
      <c r="M1645" s="358"/>
      <c r="N1645" s="358"/>
      <c r="O1645" s="358"/>
      <c r="P1645" s="358"/>
      <c r="Q1645" s="358"/>
      <c r="R1645" s="358"/>
      <c r="S1645" s="358"/>
      <c r="T1645" s="358"/>
      <c r="U1645" s="358"/>
      <c r="V1645" s="358"/>
      <c r="W1645" s="358"/>
      <c r="X1645" s="358"/>
      <c r="Y1645" s="358"/>
      <c r="Z1645" s="358"/>
    </row>
    <row r="1646" ht="14.25" customHeight="1">
      <c r="A1646" s="358"/>
      <c r="B1646" s="399"/>
      <c r="C1646" s="399"/>
      <c r="D1646" s="399"/>
      <c r="E1646" s="399"/>
      <c r="F1646" s="400"/>
      <c r="G1646" s="273"/>
      <c r="H1646" s="273"/>
      <c r="I1646" s="358"/>
      <c r="J1646" s="358"/>
      <c r="K1646" s="358"/>
      <c r="L1646" s="358"/>
      <c r="M1646" s="358"/>
      <c r="N1646" s="358"/>
      <c r="O1646" s="358"/>
      <c r="P1646" s="358"/>
      <c r="Q1646" s="358"/>
      <c r="R1646" s="358"/>
      <c r="S1646" s="358"/>
      <c r="T1646" s="358"/>
      <c r="U1646" s="358"/>
      <c r="V1646" s="358"/>
      <c r="W1646" s="358"/>
      <c r="X1646" s="358"/>
      <c r="Y1646" s="358"/>
      <c r="Z1646" s="358"/>
    </row>
    <row r="1647" ht="14.25" customHeight="1">
      <c r="A1647" s="358"/>
      <c r="B1647" s="399"/>
      <c r="C1647" s="399"/>
      <c r="D1647" s="399"/>
      <c r="E1647" s="399"/>
      <c r="F1647" s="400"/>
      <c r="G1647" s="273"/>
      <c r="H1647" s="273"/>
      <c r="I1647" s="358"/>
      <c r="J1647" s="358"/>
      <c r="K1647" s="358"/>
      <c r="L1647" s="358"/>
      <c r="M1647" s="358"/>
      <c r="N1647" s="358"/>
      <c r="O1647" s="358"/>
      <c r="P1647" s="358"/>
      <c r="Q1647" s="358"/>
      <c r="R1647" s="358"/>
      <c r="S1647" s="358"/>
      <c r="T1647" s="358"/>
      <c r="U1647" s="358"/>
      <c r="V1647" s="358"/>
      <c r="W1647" s="358"/>
      <c r="X1647" s="358"/>
      <c r="Y1647" s="358"/>
      <c r="Z1647" s="358"/>
    </row>
    <row r="1648" ht="14.25" customHeight="1">
      <c r="A1648" s="358"/>
      <c r="B1648" s="399"/>
      <c r="C1648" s="399"/>
      <c r="D1648" s="399"/>
      <c r="E1648" s="399"/>
      <c r="F1648" s="400"/>
      <c r="G1648" s="273"/>
      <c r="H1648" s="273"/>
      <c r="I1648" s="358"/>
      <c r="J1648" s="358"/>
      <c r="K1648" s="358"/>
      <c r="L1648" s="358"/>
      <c r="M1648" s="358"/>
      <c r="N1648" s="358"/>
      <c r="O1648" s="358"/>
      <c r="P1648" s="358"/>
      <c r="Q1648" s="358"/>
      <c r="R1648" s="358"/>
      <c r="S1648" s="358"/>
      <c r="T1648" s="358"/>
      <c r="U1648" s="358"/>
      <c r="V1648" s="358"/>
      <c r="W1648" s="358"/>
      <c r="X1648" s="358"/>
      <c r="Y1648" s="358"/>
      <c r="Z1648" s="358"/>
    </row>
    <row r="1649" ht="14.25" customHeight="1">
      <c r="A1649" s="358"/>
      <c r="B1649" s="399"/>
      <c r="C1649" s="399"/>
      <c r="D1649" s="399"/>
      <c r="E1649" s="399"/>
      <c r="F1649" s="400"/>
      <c r="G1649" s="273"/>
      <c r="H1649" s="273"/>
      <c r="I1649" s="358"/>
      <c r="J1649" s="358"/>
      <c r="K1649" s="358"/>
      <c r="L1649" s="358"/>
      <c r="M1649" s="358"/>
      <c r="N1649" s="358"/>
      <c r="O1649" s="358"/>
      <c r="P1649" s="358"/>
      <c r="Q1649" s="358"/>
      <c r="R1649" s="358"/>
      <c r="S1649" s="358"/>
      <c r="T1649" s="358"/>
      <c r="U1649" s="358"/>
      <c r="V1649" s="358"/>
      <c r="W1649" s="358"/>
      <c r="X1649" s="358"/>
      <c r="Y1649" s="358"/>
      <c r="Z1649" s="358"/>
    </row>
    <row r="1650" ht="14.25" customHeight="1">
      <c r="A1650" s="358"/>
      <c r="B1650" s="399"/>
      <c r="C1650" s="399"/>
      <c r="D1650" s="399"/>
      <c r="E1650" s="399"/>
      <c r="F1650" s="400"/>
      <c r="G1650" s="273"/>
      <c r="H1650" s="273"/>
      <c r="I1650" s="358"/>
      <c r="J1650" s="358"/>
      <c r="K1650" s="358"/>
      <c r="L1650" s="358"/>
      <c r="M1650" s="358"/>
      <c r="N1650" s="358"/>
      <c r="O1650" s="358"/>
      <c r="P1650" s="358"/>
      <c r="Q1650" s="358"/>
      <c r="R1650" s="358"/>
      <c r="S1650" s="358"/>
      <c r="T1650" s="358"/>
      <c r="U1650" s="358"/>
      <c r="V1650" s="358"/>
      <c r="W1650" s="358"/>
      <c r="X1650" s="358"/>
      <c r="Y1650" s="358"/>
      <c r="Z1650" s="358"/>
    </row>
    <row r="1651" ht="14.25" customHeight="1">
      <c r="A1651" s="358"/>
      <c r="B1651" s="399"/>
      <c r="C1651" s="399"/>
      <c r="D1651" s="399"/>
      <c r="E1651" s="399"/>
      <c r="F1651" s="400"/>
      <c r="G1651" s="273"/>
      <c r="H1651" s="273"/>
      <c r="I1651" s="358"/>
      <c r="J1651" s="358"/>
      <c r="K1651" s="358"/>
      <c r="L1651" s="358"/>
      <c r="M1651" s="358"/>
      <c r="N1651" s="358"/>
      <c r="O1651" s="358"/>
      <c r="P1651" s="358"/>
      <c r="Q1651" s="358"/>
      <c r="R1651" s="358"/>
      <c r="S1651" s="358"/>
      <c r="T1651" s="358"/>
      <c r="U1651" s="358"/>
      <c r="V1651" s="358"/>
      <c r="W1651" s="358"/>
      <c r="X1651" s="358"/>
      <c r="Y1651" s="358"/>
      <c r="Z1651" s="358"/>
    </row>
    <row r="1652" ht="14.25" customHeight="1">
      <c r="A1652" s="358"/>
      <c r="B1652" s="399"/>
      <c r="C1652" s="399"/>
      <c r="D1652" s="399"/>
      <c r="E1652" s="399"/>
      <c r="F1652" s="400"/>
      <c r="G1652" s="273"/>
      <c r="H1652" s="273"/>
      <c r="I1652" s="358"/>
      <c r="J1652" s="358"/>
      <c r="K1652" s="358"/>
      <c r="L1652" s="358"/>
      <c r="M1652" s="358"/>
      <c r="N1652" s="358"/>
      <c r="O1652" s="358"/>
      <c r="P1652" s="358"/>
      <c r="Q1652" s="358"/>
      <c r="R1652" s="358"/>
      <c r="S1652" s="358"/>
      <c r="T1652" s="358"/>
      <c r="U1652" s="358"/>
      <c r="V1652" s="358"/>
      <c r="W1652" s="358"/>
      <c r="X1652" s="358"/>
      <c r="Y1652" s="358"/>
      <c r="Z1652" s="358"/>
    </row>
    <row r="1653" ht="14.25" customHeight="1">
      <c r="A1653" s="358"/>
      <c r="B1653" s="399"/>
      <c r="C1653" s="399"/>
      <c r="D1653" s="399"/>
      <c r="E1653" s="399"/>
      <c r="F1653" s="400"/>
      <c r="G1653" s="273"/>
      <c r="H1653" s="273"/>
      <c r="I1653" s="358"/>
      <c r="J1653" s="358"/>
      <c r="K1653" s="358"/>
      <c r="L1653" s="358"/>
      <c r="M1653" s="358"/>
      <c r="N1653" s="358"/>
      <c r="O1653" s="358"/>
      <c r="P1653" s="358"/>
      <c r="Q1653" s="358"/>
      <c r="R1653" s="358"/>
      <c r="S1653" s="358"/>
      <c r="T1653" s="358"/>
      <c r="U1653" s="358"/>
      <c r="V1653" s="358"/>
      <c r="W1653" s="358"/>
      <c r="X1653" s="358"/>
      <c r="Y1653" s="358"/>
      <c r="Z1653" s="358"/>
    </row>
    <row r="1654" ht="14.25" customHeight="1">
      <c r="A1654" s="358"/>
      <c r="B1654" s="399"/>
      <c r="C1654" s="399"/>
      <c r="D1654" s="399"/>
      <c r="E1654" s="399"/>
      <c r="F1654" s="400"/>
      <c r="G1654" s="273"/>
      <c r="H1654" s="273"/>
      <c r="I1654" s="358"/>
      <c r="J1654" s="358"/>
      <c r="K1654" s="358"/>
      <c r="L1654" s="358"/>
      <c r="M1654" s="358"/>
      <c r="N1654" s="358"/>
      <c r="O1654" s="358"/>
      <c r="P1654" s="358"/>
      <c r="Q1654" s="358"/>
      <c r="R1654" s="358"/>
      <c r="S1654" s="358"/>
      <c r="T1654" s="358"/>
      <c r="U1654" s="358"/>
      <c r="V1654" s="358"/>
      <c r="W1654" s="358"/>
      <c r="X1654" s="358"/>
      <c r="Y1654" s="358"/>
      <c r="Z1654" s="358"/>
    </row>
    <row r="1655" ht="14.25" customHeight="1">
      <c r="A1655" s="358"/>
      <c r="B1655" s="399"/>
      <c r="C1655" s="399"/>
      <c r="D1655" s="399"/>
      <c r="E1655" s="399"/>
      <c r="F1655" s="400"/>
      <c r="G1655" s="273"/>
      <c r="H1655" s="273"/>
      <c r="I1655" s="358"/>
      <c r="J1655" s="358"/>
      <c r="K1655" s="358"/>
      <c r="L1655" s="358"/>
      <c r="M1655" s="358"/>
      <c r="N1655" s="358"/>
      <c r="O1655" s="358"/>
      <c r="P1655" s="358"/>
      <c r="Q1655" s="358"/>
      <c r="R1655" s="358"/>
      <c r="S1655" s="358"/>
      <c r="T1655" s="358"/>
      <c r="U1655" s="358"/>
      <c r="V1655" s="358"/>
      <c r="W1655" s="358"/>
      <c r="X1655" s="358"/>
      <c r="Y1655" s="358"/>
      <c r="Z1655" s="358"/>
    </row>
    <row r="1656" ht="14.25" customHeight="1">
      <c r="A1656" s="358"/>
      <c r="B1656" s="399"/>
      <c r="C1656" s="399"/>
      <c r="D1656" s="399"/>
      <c r="E1656" s="399"/>
      <c r="F1656" s="400"/>
      <c r="G1656" s="273"/>
      <c r="H1656" s="273"/>
      <c r="I1656" s="358"/>
      <c r="J1656" s="358"/>
      <c r="K1656" s="358"/>
      <c r="L1656" s="358"/>
      <c r="M1656" s="358"/>
      <c r="N1656" s="358"/>
      <c r="O1656" s="358"/>
      <c r="P1656" s="358"/>
      <c r="Q1656" s="358"/>
      <c r="R1656" s="358"/>
      <c r="S1656" s="358"/>
      <c r="T1656" s="358"/>
      <c r="U1656" s="358"/>
      <c r="V1656" s="358"/>
      <c r="W1656" s="358"/>
      <c r="X1656" s="358"/>
      <c r="Y1656" s="358"/>
      <c r="Z1656" s="358"/>
    </row>
    <row r="1657" ht="14.25" customHeight="1">
      <c r="A1657" s="358"/>
      <c r="B1657" s="399"/>
      <c r="C1657" s="399"/>
      <c r="D1657" s="399"/>
      <c r="E1657" s="399"/>
      <c r="F1657" s="400"/>
      <c r="G1657" s="273"/>
      <c r="H1657" s="273"/>
      <c r="I1657" s="358"/>
      <c r="J1657" s="358"/>
      <c r="K1657" s="358"/>
      <c r="L1657" s="358"/>
      <c r="M1657" s="358"/>
      <c r="N1657" s="358"/>
      <c r="O1657" s="358"/>
      <c r="P1657" s="358"/>
      <c r="Q1657" s="358"/>
      <c r="R1657" s="358"/>
      <c r="S1657" s="358"/>
      <c r="T1657" s="358"/>
      <c r="U1657" s="358"/>
      <c r="V1657" s="358"/>
      <c r="W1657" s="358"/>
      <c r="X1657" s="358"/>
      <c r="Y1657" s="358"/>
      <c r="Z1657" s="358"/>
    </row>
    <row r="1658" ht="14.25" customHeight="1">
      <c r="A1658" s="358"/>
      <c r="B1658" s="399"/>
      <c r="C1658" s="399"/>
      <c r="D1658" s="399"/>
      <c r="E1658" s="399"/>
      <c r="F1658" s="400"/>
      <c r="G1658" s="273"/>
      <c r="H1658" s="273"/>
      <c r="I1658" s="358"/>
      <c r="J1658" s="358"/>
      <c r="K1658" s="358"/>
      <c r="L1658" s="358"/>
      <c r="M1658" s="358"/>
      <c r="N1658" s="358"/>
      <c r="O1658" s="358"/>
      <c r="P1658" s="358"/>
      <c r="Q1658" s="358"/>
      <c r="R1658" s="358"/>
      <c r="S1658" s="358"/>
      <c r="T1658" s="358"/>
      <c r="U1658" s="358"/>
      <c r="V1658" s="358"/>
      <c r="W1658" s="358"/>
      <c r="X1658" s="358"/>
      <c r="Y1658" s="358"/>
      <c r="Z1658" s="358"/>
    </row>
    <row r="1659" ht="14.25" customHeight="1">
      <c r="A1659" s="358"/>
      <c r="B1659" s="399"/>
      <c r="C1659" s="399"/>
      <c r="D1659" s="399"/>
      <c r="E1659" s="399"/>
      <c r="F1659" s="400"/>
      <c r="G1659" s="273"/>
      <c r="H1659" s="273"/>
      <c r="I1659" s="358"/>
      <c r="J1659" s="358"/>
      <c r="K1659" s="358"/>
      <c r="L1659" s="358"/>
      <c r="M1659" s="358"/>
      <c r="N1659" s="358"/>
      <c r="O1659" s="358"/>
      <c r="P1659" s="358"/>
      <c r="Q1659" s="358"/>
      <c r="R1659" s="358"/>
      <c r="S1659" s="358"/>
      <c r="T1659" s="358"/>
      <c r="U1659" s="358"/>
      <c r="V1659" s="358"/>
      <c r="W1659" s="358"/>
      <c r="X1659" s="358"/>
      <c r="Y1659" s="358"/>
      <c r="Z1659" s="358"/>
    </row>
    <row r="1660" ht="14.25" customHeight="1">
      <c r="A1660" s="358"/>
      <c r="B1660" s="399"/>
      <c r="C1660" s="399"/>
      <c r="D1660" s="399"/>
      <c r="E1660" s="399"/>
      <c r="F1660" s="400"/>
      <c r="G1660" s="273"/>
      <c r="H1660" s="273"/>
      <c r="I1660" s="358"/>
      <c r="J1660" s="358"/>
      <c r="K1660" s="358"/>
      <c r="L1660" s="358"/>
      <c r="M1660" s="358"/>
      <c r="N1660" s="358"/>
      <c r="O1660" s="358"/>
      <c r="P1660" s="358"/>
      <c r="Q1660" s="358"/>
      <c r="R1660" s="358"/>
      <c r="S1660" s="358"/>
      <c r="T1660" s="358"/>
      <c r="U1660" s="358"/>
      <c r="V1660" s="358"/>
      <c r="W1660" s="358"/>
      <c r="X1660" s="358"/>
      <c r="Y1660" s="358"/>
      <c r="Z1660" s="358"/>
    </row>
    <row r="1661" ht="14.25" customHeight="1">
      <c r="A1661" s="358"/>
      <c r="B1661" s="399"/>
      <c r="C1661" s="399"/>
      <c r="D1661" s="399"/>
      <c r="E1661" s="399"/>
      <c r="F1661" s="400"/>
      <c r="G1661" s="273"/>
      <c r="H1661" s="273"/>
      <c r="I1661" s="358"/>
      <c r="J1661" s="358"/>
      <c r="K1661" s="358"/>
      <c r="L1661" s="358"/>
      <c r="M1661" s="358"/>
      <c r="N1661" s="358"/>
      <c r="O1661" s="358"/>
      <c r="P1661" s="358"/>
      <c r="Q1661" s="358"/>
      <c r="R1661" s="358"/>
      <c r="S1661" s="358"/>
      <c r="T1661" s="358"/>
      <c r="U1661" s="358"/>
      <c r="V1661" s="358"/>
      <c r="W1661" s="358"/>
      <c r="X1661" s="358"/>
      <c r="Y1661" s="358"/>
      <c r="Z1661" s="358"/>
    </row>
    <row r="1662" ht="14.25" customHeight="1">
      <c r="A1662" s="358"/>
      <c r="B1662" s="399"/>
      <c r="C1662" s="399"/>
      <c r="D1662" s="399"/>
      <c r="E1662" s="399"/>
      <c r="F1662" s="400"/>
      <c r="G1662" s="273"/>
      <c r="H1662" s="273"/>
      <c r="I1662" s="358"/>
      <c r="J1662" s="358"/>
      <c r="K1662" s="358"/>
      <c r="L1662" s="358"/>
      <c r="M1662" s="358"/>
      <c r="N1662" s="358"/>
      <c r="O1662" s="358"/>
      <c r="P1662" s="358"/>
      <c r="Q1662" s="358"/>
      <c r="R1662" s="358"/>
      <c r="S1662" s="358"/>
      <c r="T1662" s="358"/>
      <c r="U1662" s="358"/>
      <c r="V1662" s="358"/>
      <c r="W1662" s="358"/>
      <c r="X1662" s="358"/>
      <c r="Y1662" s="358"/>
      <c r="Z1662" s="358"/>
    </row>
    <row r="1663" ht="14.25" customHeight="1">
      <c r="A1663" s="358"/>
      <c r="B1663" s="399"/>
      <c r="C1663" s="399"/>
      <c r="D1663" s="399"/>
      <c r="E1663" s="399"/>
      <c r="F1663" s="400"/>
      <c r="G1663" s="273"/>
      <c r="H1663" s="273"/>
      <c r="I1663" s="358"/>
      <c r="J1663" s="358"/>
      <c r="K1663" s="358"/>
      <c r="L1663" s="358"/>
      <c r="M1663" s="358"/>
      <c r="N1663" s="358"/>
      <c r="O1663" s="358"/>
      <c r="P1663" s="358"/>
      <c r="Q1663" s="358"/>
      <c r="R1663" s="358"/>
      <c r="S1663" s="358"/>
      <c r="T1663" s="358"/>
      <c r="U1663" s="358"/>
      <c r="V1663" s="358"/>
      <c r="W1663" s="358"/>
      <c r="X1663" s="358"/>
      <c r="Y1663" s="358"/>
      <c r="Z1663" s="358"/>
    </row>
    <row r="1664" ht="14.25" customHeight="1">
      <c r="A1664" s="358"/>
      <c r="B1664" s="399"/>
      <c r="C1664" s="399"/>
      <c r="D1664" s="399"/>
      <c r="E1664" s="399"/>
      <c r="F1664" s="400"/>
      <c r="G1664" s="273"/>
      <c r="H1664" s="273"/>
      <c r="I1664" s="358"/>
      <c r="J1664" s="358"/>
      <c r="K1664" s="358"/>
      <c r="L1664" s="358"/>
      <c r="M1664" s="358"/>
      <c r="N1664" s="358"/>
      <c r="O1664" s="358"/>
      <c r="P1664" s="358"/>
      <c r="Q1664" s="358"/>
      <c r="R1664" s="358"/>
      <c r="S1664" s="358"/>
      <c r="T1664" s="358"/>
      <c r="U1664" s="358"/>
      <c r="V1664" s="358"/>
      <c r="W1664" s="358"/>
      <c r="X1664" s="358"/>
      <c r="Y1664" s="358"/>
      <c r="Z1664" s="358"/>
    </row>
    <row r="1665" ht="14.25" customHeight="1">
      <c r="A1665" s="358"/>
      <c r="B1665" s="399"/>
      <c r="C1665" s="399"/>
      <c r="D1665" s="399"/>
      <c r="E1665" s="399"/>
      <c r="F1665" s="400"/>
      <c r="G1665" s="273"/>
      <c r="H1665" s="273"/>
      <c r="I1665" s="358"/>
      <c r="J1665" s="358"/>
      <c r="K1665" s="358"/>
      <c r="L1665" s="358"/>
      <c r="M1665" s="358"/>
      <c r="N1665" s="358"/>
      <c r="O1665" s="358"/>
      <c r="P1665" s="358"/>
      <c r="Q1665" s="358"/>
      <c r="R1665" s="358"/>
      <c r="S1665" s="358"/>
      <c r="T1665" s="358"/>
      <c r="U1665" s="358"/>
      <c r="V1665" s="358"/>
      <c r="W1665" s="358"/>
      <c r="X1665" s="358"/>
      <c r="Y1665" s="358"/>
      <c r="Z1665" s="358"/>
    </row>
    <row r="1666" ht="14.25" customHeight="1">
      <c r="A1666" s="358"/>
      <c r="B1666" s="399"/>
      <c r="C1666" s="399"/>
      <c r="D1666" s="399"/>
      <c r="E1666" s="399"/>
      <c r="F1666" s="400"/>
      <c r="G1666" s="273"/>
      <c r="H1666" s="273"/>
      <c r="I1666" s="358"/>
      <c r="J1666" s="358"/>
      <c r="K1666" s="358"/>
      <c r="L1666" s="358"/>
      <c r="M1666" s="358"/>
      <c r="N1666" s="358"/>
      <c r="O1666" s="358"/>
      <c r="P1666" s="358"/>
      <c r="Q1666" s="358"/>
      <c r="R1666" s="358"/>
      <c r="S1666" s="358"/>
      <c r="T1666" s="358"/>
      <c r="U1666" s="358"/>
      <c r="V1666" s="358"/>
      <c r="W1666" s="358"/>
      <c r="X1666" s="358"/>
      <c r="Y1666" s="358"/>
      <c r="Z1666" s="358"/>
    </row>
    <row r="1667" ht="14.25" customHeight="1">
      <c r="A1667" s="358"/>
      <c r="B1667" s="399"/>
      <c r="C1667" s="399"/>
      <c r="D1667" s="399"/>
      <c r="E1667" s="399"/>
      <c r="F1667" s="400"/>
      <c r="G1667" s="273"/>
      <c r="H1667" s="273"/>
      <c r="I1667" s="358"/>
      <c r="J1667" s="358"/>
      <c r="K1667" s="358"/>
      <c r="L1667" s="358"/>
      <c r="M1667" s="358"/>
      <c r="N1667" s="358"/>
      <c r="O1667" s="358"/>
      <c r="P1667" s="358"/>
      <c r="Q1667" s="358"/>
      <c r="R1667" s="358"/>
      <c r="S1667" s="358"/>
      <c r="T1667" s="358"/>
      <c r="U1667" s="358"/>
      <c r="V1667" s="358"/>
      <c r="W1667" s="358"/>
      <c r="X1667" s="358"/>
      <c r="Y1667" s="358"/>
      <c r="Z1667" s="358"/>
    </row>
    <row r="1668" ht="14.25" customHeight="1">
      <c r="A1668" s="358"/>
      <c r="B1668" s="399"/>
      <c r="C1668" s="399"/>
      <c r="D1668" s="399"/>
      <c r="E1668" s="399"/>
      <c r="F1668" s="400"/>
      <c r="G1668" s="273"/>
      <c r="H1668" s="273"/>
      <c r="I1668" s="358"/>
      <c r="J1668" s="358"/>
      <c r="K1668" s="358"/>
      <c r="L1668" s="358"/>
      <c r="M1668" s="358"/>
      <c r="N1668" s="358"/>
      <c r="O1668" s="358"/>
      <c r="P1668" s="358"/>
      <c r="Q1668" s="358"/>
      <c r="R1668" s="358"/>
      <c r="S1668" s="358"/>
      <c r="T1668" s="358"/>
      <c r="U1668" s="358"/>
      <c r="V1668" s="358"/>
      <c r="W1668" s="358"/>
      <c r="X1668" s="358"/>
      <c r="Y1668" s="358"/>
      <c r="Z1668" s="358"/>
    </row>
    <row r="1669" ht="14.25" customHeight="1">
      <c r="A1669" s="358"/>
      <c r="B1669" s="399"/>
      <c r="C1669" s="399"/>
      <c r="D1669" s="399"/>
      <c r="E1669" s="399"/>
      <c r="F1669" s="400"/>
      <c r="G1669" s="273"/>
      <c r="H1669" s="273"/>
      <c r="I1669" s="358"/>
      <c r="J1669" s="358"/>
      <c r="K1669" s="358"/>
      <c r="L1669" s="358"/>
      <c r="M1669" s="358"/>
      <c r="N1669" s="358"/>
      <c r="O1669" s="358"/>
      <c r="P1669" s="358"/>
      <c r="Q1669" s="358"/>
      <c r="R1669" s="358"/>
      <c r="S1669" s="358"/>
      <c r="T1669" s="358"/>
      <c r="U1669" s="358"/>
      <c r="V1669" s="358"/>
      <c r="W1669" s="358"/>
      <c r="X1669" s="358"/>
      <c r="Y1669" s="358"/>
      <c r="Z1669" s="358"/>
    </row>
    <row r="1670" ht="14.25" customHeight="1">
      <c r="A1670" s="358"/>
      <c r="B1670" s="399"/>
      <c r="C1670" s="399"/>
      <c r="D1670" s="399"/>
      <c r="E1670" s="399"/>
      <c r="F1670" s="400"/>
      <c r="G1670" s="273"/>
      <c r="H1670" s="273"/>
      <c r="I1670" s="358"/>
      <c r="J1670" s="358"/>
      <c r="K1670" s="358"/>
      <c r="L1670" s="358"/>
      <c r="M1670" s="358"/>
      <c r="N1670" s="358"/>
      <c r="O1670" s="358"/>
      <c r="P1670" s="358"/>
      <c r="Q1670" s="358"/>
      <c r="R1670" s="358"/>
      <c r="S1670" s="358"/>
      <c r="T1670" s="358"/>
      <c r="U1670" s="358"/>
      <c r="V1670" s="358"/>
      <c r="W1670" s="358"/>
      <c r="X1670" s="358"/>
      <c r="Y1670" s="358"/>
      <c r="Z1670" s="358"/>
    </row>
    <row r="1671" ht="14.25" customHeight="1">
      <c r="A1671" s="358"/>
      <c r="B1671" s="399"/>
      <c r="C1671" s="399"/>
      <c r="D1671" s="399"/>
      <c r="E1671" s="399"/>
      <c r="F1671" s="400"/>
      <c r="G1671" s="273"/>
      <c r="H1671" s="273"/>
      <c r="I1671" s="358"/>
      <c r="J1671" s="358"/>
      <c r="K1671" s="358"/>
      <c r="L1671" s="358"/>
      <c r="M1671" s="358"/>
      <c r="N1671" s="358"/>
      <c r="O1671" s="358"/>
      <c r="P1671" s="358"/>
      <c r="Q1671" s="358"/>
      <c r="R1671" s="358"/>
      <c r="S1671" s="358"/>
      <c r="T1671" s="358"/>
      <c r="U1671" s="358"/>
      <c r="V1671" s="358"/>
      <c r="W1671" s="358"/>
      <c r="X1671" s="358"/>
      <c r="Y1671" s="358"/>
      <c r="Z1671" s="358"/>
    </row>
    <row r="1672" ht="14.25" customHeight="1">
      <c r="A1672" s="358"/>
      <c r="B1672" s="399"/>
      <c r="C1672" s="399"/>
      <c r="D1672" s="399"/>
      <c r="E1672" s="399"/>
      <c r="F1672" s="400"/>
      <c r="G1672" s="273"/>
      <c r="H1672" s="273"/>
      <c r="I1672" s="358"/>
      <c r="J1672" s="358"/>
      <c r="K1672" s="358"/>
      <c r="L1672" s="358"/>
      <c r="M1672" s="358"/>
      <c r="N1672" s="358"/>
      <c r="O1672" s="358"/>
      <c r="P1672" s="358"/>
      <c r="Q1672" s="358"/>
      <c r="R1672" s="358"/>
      <c r="S1672" s="358"/>
      <c r="T1672" s="358"/>
      <c r="U1672" s="358"/>
      <c r="V1672" s="358"/>
      <c r="W1672" s="358"/>
      <c r="X1672" s="358"/>
      <c r="Y1672" s="358"/>
      <c r="Z1672" s="358"/>
    </row>
    <row r="1673" ht="14.25" customHeight="1">
      <c r="A1673" s="358"/>
      <c r="B1673" s="399"/>
      <c r="C1673" s="399"/>
      <c r="D1673" s="399"/>
      <c r="E1673" s="399"/>
      <c r="F1673" s="400"/>
      <c r="G1673" s="273"/>
      <c r="H1673" s="273"/>
      <c r="I1673" s="358"/>
      <c r="J1673" s="358"/>
      <c r="K1673" s="358"/>
      <c r="L1673" s="358"/>
      <c r="M1673" s="358"/>
      <c r="N1673" s="358"/>
      <c r="O1673" s="358"/>
      <c r="P1673" s="358"/>
      <c r="Q1673" s="358"/>
      <c r="R1673" s="358"/>
      <c r="S1673" s="358"/>
      <c r="T1673" s="358"/>
      <c r="U1673" s="358"/>
      <c r="V1673" s="358"/>
      <c r="W1673" s="358"/>
      <c r="X1673" s="358"/>
      <c r="Y1673" s="358"/>
      <c r="Z1673" s="358"/>
    </row>
    <row r="1674" ht="14.25" customHeight="1">
      <c r="A1674" s="358"/>
      <c r="B1674" s="399"/>
      <c r="C1674" s="399"/>
      <c r="D1674" s="399"/>
      <c r="E1674" s="399"/>
      <c r="F1674" s="400"/>
      <c r="G1674" s="273"/>
      <c r="H1674" s="273"/>
      <c r="I1674" s="358"/>
      <c r="J1674" s="358"/>
      <c r="K1674" s="358"/>
      <c r="L1674" s="358"/>
      <c r="M1674" s="358"/>
      <c r="N1674" s="358"/>
      <c r="O1674" s="358"/>
      <c r="P1674" s="358"/>
      <c r="Q1674" s="358"/>
      <c r="R1674" s="358"/>
      <c r="S1674" s="358"/>
      <c r="T1674" s="358"/>
      <c r="U1674" s="358"/>
      <c r="V1674" s="358"/>
      <c r="W1674" s="358"/>
      <c r="X1674" s="358"/>
      <c r="Y1674" s="358"/>
      <c r="Z1674" s="358"/>
    </row>
    <row r="1675" ht="14.25" customHeight="1">
      <c r="A1675" s="358"/>
      <c r="B1675" s="399"/>
      <c r="C1675" s="399"/>
      <c r="D1675" s="399"/>
      <c r="E1675" s="399"/>
      <c r="F1675" s="400"/>
      <c r="G1675" s="273"/>
      <c r="H1675" s="273"/>
      <c r="I1675" s="358"/>
      <c r="J1675" s="358"/>
      <c r="K1675" s="358"/>
      <c r="L1675" s="358"/>
      <c r="M1675" s="358"/>
      <c r="N1675" s="358"/>
      <c r="O1675" s="358"/>
      <c r="P1675" s="358"/>
      <c r="Q1675" s="358"/>
      <c r="R1675" s="358"/>
      <c r="S1675" s="358"/>
      <c r="T1675" s="358"/>
      <c r="U1675" s="358"/>
      <c r="V1675" s="358"/>
      <c r="W1675" s="358"/>
      <c r="X1675" s="358"/>
      <c r="Y1675" s="358"/>
      <c r="Z1675" s="358"/>
    </row>
    <row r="1676" ht="14.25" customHeight="1">
      <c r="A1676" s="358"/>
      <c r="B1676" s="399"/>
      <c r="C1676" s="399"/>
      <c r="D1676" s="399"/>
      <c r="E1676" s="399"/>
      <c r="F1676" s="400"/>
      <c r="G1676" s="273"/>
      <c r="H1676" s="273"/>
      <c r="I1676" s="358"/>
      <c r="J1676" s="358"/>
      <c r="K1676" s="358"/>
      <c r="L1676" s="358"/>
      <c r="M1676" s="358"/>
      <c r="N1676" s="358"/>
      <c r="O1676" s="358"/>
      <c r="P1676" s="358"/>
      <c r="Q1676" s="358"/>
      <c r="R1676" s="358"/>
      <c r="S1676" s="358"/>
      <c r="T1676" s="358"/>
      <c r="U1676" s="358"/>
      <c r="V1676" s="358"/>
      <c r="W1676" s="358"/>
      <c r="X1676" s="358"/>
      <c r="Y1676" s="358"/>
      <c r="Z1676" s="358"/>
    </row>
    <row r="1677" ht="14.25" customHeight="1">
      <c r="A1677" s="358"/>
      <c r="B1677" s="399"/>
      <c r="C1677" s="399"/>
      <c r="D1677" s="399"/>
      <c r="E1677" s="399"/>
      <c r="F1677" s="400"/>
      <c r="G1677" s="273"/>
      <c r="H1677" s="273"/>
      <c r="I1677" s="358"/>
      <c r="J1677" s="358"/>
      <c r="K1677" s="358"/>
      <c r="L1677" s="358"/>
      <c r="M1677" s="358"/>
      <c r="N1677" s="358"/>
      <c r="O1677" s="358"/>
      <c r="P1677" s="358"/>
      <c r="Q1677" s="358"/>
      <c r="R1677" s="358"/>
      <c r="S1677" s="358"/>
      <c r="T1677" s="358"/>
      <c r="U1677" s="358"/>
      <c r="V1677" s="358"/>
      <c r="W1677" s="358"/>
      <c r="X1677" s="358"/>
      <c r="Y1677" s="358"/>
      <c r="Z1677" s="358"/>
    </row>
    <row r="1678" ht="14.25" customHeight="1">
      <c r="A1678" s="358"/>
      <c r="B1678" s="399"/>
      <c r="C1678" s="399"/>
      <c r="D1678" s="399"/>
      <c r="E1678" s="399"/>
      <c r="F1678" s="400"/>
      <c r="G1678" s="273"/>
      <c r="H1678" s="273"/>
      <c r="I1678" s="358"/>
      <c r="J1678" s="358"/>
      <c r="K1678" s="358"/>
      <c r="L1678" s="358"/>
      <c r="M1678" s="358"/>
      <c r="N1678" s="358"/>
      <c r="O1678" s="358"/>
      <c r="P1678" s="358"/>
      <c r="Q1678" s="358"/>
      <c r="R1678" s="358"/>
      <c r="S1678" s="358"/>
      <c r="T1678" s="358"/>
      <c r="U1678" s="358"/>
      <c r="V1678" s="358"/>
      <c r="W1678" s="358"/>
      <c r="X1678" s="358"/>
      <c r="Y1678" s="358"/>
      <c r="Z1678" s="358"/>
    </row>
    <row r="1679" ht="14.25" customHeight="1">
      <c r="A1679" s="358"/>
      <c r="B1679" s="399"/>
      <c r="C1679" s="399"/>
      <c r="D1679" s="399"/>
      <c r="E1679" s="399"/>
      <c r="F1679" s="400"/>
      <c r="G1679" s="273"/>
      <c r="H1679" s="273"/>
      <c r="I1679" s="358"/>
      <c r="J1679" s="358"/>
      <c r="K1679" s="358"/>
      <c r="L1679" s="358"/>
      <c r="M1679" s="358"/>
      <c r="N1679" s="358"/>
      <c r="O1679" s="358"/>
      <c r="P1679" s="358"/>
      <c r="Q1679" s="358"/>
      <c r="R1679" s="358"/>
      <c r="S1679" s="358"/>
      <c r="T1679" s="358"/>
      <c r="U1679" s="358"/>
      <c r="V1679" s="358"/>
      <c r="W1679" s="358"/>
      <c r="X1679" s="358"/>
      <c r="Y1679" s="358"/>
      <c r="Z1679" s="358"/>
    </row>
    <row r="1680" ht="14.25" customHeight="1">
      <c r="A1680" s="358"/>
      <c r="B1680" s="399"/>
      <c r="C1680" s="399"/>
      <c r="D1680" s="399"/>
      <c r="E1680" s="399"/>
      <c r="F1680" s="400"/>
      <c r="G1680" s="273"/>
      <c r="H1680" s="273"/>
      <c r="I1680" s="358"/>
      <c r="J1680" s="358"/>
      <c r="K1680" s="358"/>
      <c r="L1680" s="358"/>
      <c r="M1680" s="358"/>
      <c r="N1680" s="358"/>
      <c r="O1680" s="358"/>
      <c r="P1680" s="358"/>
      <c r="Q1680" s="358"/>
      <c r="R1680" s="358"/>
      <c r="S1680" s="358"/>
      <c r="T1680" s="358"/>
      <c r="U1680" s="358"/>
      <c r="V1680" s="358"/>
      <c r="W1680" s="358"/>
      <c r="X1680" s="358"/>
      <c r="Y1680" s="358"/>
      <c r="Z1680" s="358"/>
    </row>
    <row r="1681" ht="14.25" customHeight="1">
      <c r="A1681" s="358"/>
      <c r="B1681" s="399"/>
      <c r="C1681" s="399"/>
      <c r="D1681" s="399"/>
      <c r="E1681" s="399"/>
      <c r="F1681" s="400"/>
      <c r="G1681" s="273"/>
      <c r="H1681" s="273"/>
      <c r="I1681" s="358"/>
      <c r="J1681" s="358"/>
      <c r="K1681" s="358"/>
      <c r="L1681" s="358"/>
      <c r="M1681" s="358"/>
      <c r="N1681" s="358"/>
      <c r="O1681" s="358"/>
      <c r="P1681" s="358"/>
      <c r="Q1681" s="358"/>
      <c r="R1681" s="358"/>
      <c r="S1681" s="358"/>
      <c r="T1681" s="358"/>
      <c r="U1681" s="358"/>
      <c r="V1681" s="358"/>
      <c r="W1681" s="358"/>
      <c r="X1681" s="358"/>
      <c r="Y1681" s="358"/>
      <c r="Z1681" s="358"/>
    </row>
    <row r="1682" ht="14.25" customHeight="1">
      <c r="A1682" s="358"/>
      <c r="B1682" s="399"/>
      <c r="C1682" s="399"/>
      <c r="D1682" s="399"/>
      <c r="E1682" s="399"/>
      <c r="F1682" s="400"/>
      <c r="G1682" s="273"/>
      <c r="H1682" s="273"/>
      <c r="I1682" s="358"/>
      <c r="J1682" s="358"/>
      <c r="K1682" s="358"/>
      <c r="L1682" s="358"/>
      <c r="M1682" s="358"/>
      <c r="N1682" s="358"/>
      <c r="O1682" s="358"/>
      <c r="P1682" s="358"/>
      <c r="Q1682" s="358"/>
      <c r="R1682" s="358"/>
      <c r="S1682" s="358"/>
      <c r="T1682" s="358"/>
      <c r="U1682" s="358"/>
      <c r="V1682" s="358"/>
      <c r="W1682" s="358"/>
      <c r="X1682" s="358"/>
      <c r="Y1682" s="358"/>
      <c r="Z1682" s="358"/>
    </row>
    <row r="1683" ht="14.25" customHeight="1">
      <c r="A1683" s="358"/>
      <c r="B1683" s="399"/>
      <c r="C1683" s="399"/>
      <c r="D1683" s="399"/>
      <c r="E1683" s="399"/>
      <c r="F1683" s="400"/>
      <c r="G1683" s="273"/>
      <c r="H1683" s="273"/>
      <c r="I1683" s="358"/>
      <c r="J1683" s="358"/>
      <c r="K1683" s="358"/>
      <c r="L1683" s="358"/>
      <c r="M1683" s="358"/>
      <c r="N1683" s="358"/>
      <c r="O1683" s="358"/>
      <c r="P1683" s="358"/>
      <c r="Q1683" s="358"/>
      <c r="R1683" s="358"/>
      <c r="S1683" s="358"/>
      <c r="T1683" s="358"/>
      <c r="U1683" s="358"/>
      <c r="V1683" s="358"/>
      <c r="W1683" s="358"/>
      <c r="X1683" s="358"/>
      <c r="Y1683" s="358"/>
      <c r="Z1683" s="358"/>
    </row>
    <row r="1684" ht="14.25" customHeight="1">
      <c r="A1684" s="358"/>
      <c r="B1684" s="399"/>
      <c r="C1684" s="399"/>
      <c r="D1684" s="399"/>
      <c r="E1684" s="399"/>
      <c r="F1684" s="400"/>
      <c r="G1684" s="273"/>
      <c r="H1684" s="273"/>
      <c r="I1684" s="358"/>
      <c r="J1684" s="358"/>
      <c r="K1684" s="358"/>
      <c r="L1684" s="358"/>
      <c r="M1684" s="358"/>
      <c r="N1684" s="358"/>
      <c r="O1684" s="358"/>
      <c r="P1684" s="358"/>
      <c r="Q1684" s="358"/>
      <c r="R1684" s="358"/>
      <c r="S1684" s="358"/>
      <c r="T1684" s="358"/>
      <c r="U1684" s="358"/>
      <c r="V1684" s="358"/>
      <c r="W1684" s="358"/>
      <c r="X1684" s="358"/>
      <c r="Y1684" s="358"/>
      <c r="Z1684" s="358"/>
    </row>
    <row r="1685" ht="14.25" customHeight="1">
      <c r="A1685" s="358"/>
      <c r="B1685" s="399"/>
      <c r="C1685" s="399"/>
      <c r="D1685" s="399"/>
      <c r="E1685" s="399"/>
      <c r="F1685" s="400"/>
      <c r="G1685" s="273"/>
      <c r="H1685" s="273"/>
      <c r="I1685" s="358"/>
      <c r="J1685" s="358"/>
      <c r="K1685" s="358"/>
      <c r="L1685" s="358"/>
      <c r="M1685" s="358"/>
      <c r="N1685" s="358"/>
      <c r="O1685" s="358"/>
      <c r="P1685" s="358"/>
      <c r="Q1685" s="358"/>
      <c r="R1685" s="358"/>
      <c r="S1685" s="358"/>
      <c r="T1685" s="358"/>
      <c r="U1685" s="358"/>
      <c r="V1685" s="358"/>
      <c r="W1685" s="358"/>
      <c r="X1685" s="358"/>
      <c r="Y1685" s="358"/>
      <c r="Z1685" s="358"/>
    </row>
    <row r="1686" ht="14.25" customHeight="1">
      <c r="A1686" s="358"/>
      <c r="B1686" s="399"/>
      <c r="C1686" s="399"/>
      <c r="D1686" s="399"/>
      <c r="E1686" s="399"/>
      <c r="F1686" s="400"/>
      <c r="G1686" s="273"/>
      <c r="H1686" s="273"/>
      <c r="I1686" s="358"/>
      <c r="J1686" s="358"/>
      <c r="K1686" s="358"/>
      <c r="L1686" s="358"/>
      <c r="M1686" s="358"/>
      <c r="N1686" s="358"/>
      <c r="O1686" s="358"/>
      <c r="P1686" s="358"/>
      <c r="Q1686" s="358"/>
      <c r="R1686" s="358"/>
      <c r="S1686" s="358"/>
      <c r="T1686" s="358"/>
      <c r="U1686" s="358"/>
      <c r="V1686" s="358"/>
      <c r="W1686" s="358"/>
      <c r="X1686" s="358"/>
      <c r="Y1686" s="358"/>
      <c r="Z1686" s="358"/>
    </row>
    <row r="1687" ht="14.25" customHeight="1">
      <c r="A1687" s="358"/>
      <c r="B1687" s="399"/>
      <c r="C1687" s="399"/>
      <c r="D1687" s="399"/>
      <c r="E1687" s="399"/>
      <c r="F1687" s="400"/>
      <c r="G1687" s="273"/>
      <c r="H1687" s="273"/>
      <c r="I1687" s="358"/>
      <c r="J1687" s="358"/>
      <c r="K1687" s="358"/>
      <c r="L1687" s="358"/>
      <c r="M1687" s="358"/>
      <c r="N1687" s="358"/>
      <c r="O1687" s="358"/>
      <c r="P1687" s="358"/>
      <c r="Q1687" s="358"/>
      <c r="R1687" s="358"/>
      <c r="S1687" s="358"/>
      <c r="T1687" s="358"/>
      <c r="U1687" s="358"/>
      <c r="V1687" s="358"/>
      <c r="W1687" s="358"/>
      <c r="X1687" s="358"/>
      <c r="Y1687" s="358"/>
      <c r="Z1687" s="358"/>
    </row>
    <row r="1688" ht="14.25" customHeight="1">
      <c r="A1688" s="358"/>
      <c r="B1688" s="399"/>
      <c r="C1688" s="399"/>
      <c r="D1688" s="399"/>
      <c r="E1688" s="399"/>
      <c r="F1688" s="400"/>
      <c r="G1688" s="273"/>
      <c r="H1688" s="273"/>
      <c r="I1688" s="358"/>
      <c r="J1688" s="358"/>
      <c r="K1688" s="358"/>
      <c r="L1688" s="358"/>
      <c r="M1688" s="358"/>
      <c r="N1688" s="358"/>
      <c r="O1688" s="358"/>
      <c r="P1688" s="358"/>
      <c r="Q1688" s="358"/>
      <c r="R1688" s="358"/>
      <c r="S1688" s="358"/>
      <c r="T1688" s="358"/>
      <c r="U1688" s="358"/>
      <c r="V1688" s="358"/>
      <c r="W1688" s="358"/>
      <c r="X1688" s="358"/>
      <c r="Y1688" s="358"/>
      <c r="Z1688" s="358"/>
    </row>
    <row r="1689" ht="14.25" customHeight="1">
      <c r="A1689" s="358"/>
      <c r="B1689" s="399"/>
      <c r="C1689" s="399"/>
      <c r="D1689" s="399"/>
      <c r="E1689" s="399"/>
      <c r="F1689" s="400"/>
      <c r="G1689" s="273"/>
      <c r="H1689" s="273"/>
      <c r="I1689" s="358"/>
      <c r="J1689" s="358"/>
      <c r="K1689" s="358"/>
      <c r="L1689" s="358"/>
      <c r="M1689" s="358"/>
      <c r="N1689" s="358"/>
      <c r="O1689" s="358"/>
      <c r="P1689" s="358"/>
      <c r="Q1689" s="358"/>
      <c r="R1689" s="358"/>
      <c r="S1689" s="358"/>
      <c r="T1689" s="358"/>
      <c r="U1689" s="358"/>
      <c r="V1689" s="358"/>
      <c r="W1689" s="358"/>
      <c r="X1689" s="358"/>
      <c r="Y1689" s="358"/>
      <c r="Z1689" s="358"/>
    </row>
    <row r="1690" ht="14.25" customHeight="1">
      <c r="A1690" s="358"/>
      <c r="B1690" s="399"/>
      <c r="C1690" s="399"/>
      <c r="D1690" s="399"/>
      <c r="E1690" s="399"/>
      <c r="F1690" s="400"/>
      <c r="G1690" s="273"/>
      <c r="H1690" s="273"/>
      <c r="I1690" s="358"/>
      <c r="J1690" s="358"/>
      <c r="K1690" s="358"/>
      <c r="L1690" s="358"/>
      <c r="M1690" s="358"/>
      <c r="N1690" s="358"/>
      <c r="O1690" s="358"/>
      <c r="P1690" s="358"/>
      <c r="Q1690" s="358"/>
      <c r="R1690" s="358"/>
      <c r="S1690" s="358"/>
      <c r="T1690" s="358"/>
      <c r="U1690" s="358"/>
      <c r="V1690" s="358"/>
      <c r="W1690" s="358"/>
      <c r="X1690" s="358"/>
      <c r="Y1690" s="358"/>
      <c r="Z1690" s="358"/>
    </row>
    <row r="1691" ht="14.25" customHeight="1">
      <c r="A1691" s="358"/>
      <c r="B1691" s="399"/>
      <c r="C1691" s="399"/>
      <c r="D1691" s="399"/>
      <c r="E1691" s="399"/>
      <c r="F1691" s="400"/>
      <c r="G1691" s="273"/>
      <c r="H1691" s="273"/>
      <c r="I1691" s="358"/>
      <c r="J1691" s="358"/>
      <c r="K1691" s="358"/>
      <c r="L1691" s="358"/>
      <c r="M1691" s="358"/>
      <c r="N1691" s="358"/>
      <c r="O1691" s="358"/>
      <c r="P1691" s="358"/>
      <c r="Q1691" s="358"/>
      <c r="R1691" s="358"/>
      <c r="S1691" s="358"/>
      <c r="T1691" s="358"/>
      <c r="U1691" s="358"/>
      <c r="V1691" s="358"/>
      <c r="W1691" s="358"/>
      <c r="X1691" s="358"/>
      <c r="Y1691" s="358"/>
      <c r="Z1691" s="358"/>
    </row>
    <row r="1692" ht="14.25" customHeight="1">
      <c r="A1692" s="358"/>
      <c r="B1692" s="399"/>
      <c r="C1692" s="399"/>
      <c r="D1692" s="399"/>
      <c r="E1692" s="399"/>
      <c r="F1692" s="400"/>
      <c r="G1692" s="273"/>
      <c r="H1692" s="273"/>
      <c r="I1692" s="358"/>
      <c r="J1692" s="358"/>
      <c r="K1692" s="358"/>
      <c r="L1692" s="358"/>
      <c r="M1692" s="358"/>
      <c r="N1692" s="358"/>
      <c r="O1692" s="358"/>
      <c r="P1692" s="358"/>
      <c r="Q1692" s="358"/>
      <c r="R1692" s="358"/>
      <c r="S1692" s="358"/>
      <c r="T1692" s="358"/>
      <c r="U1692" s="358"/>
      <c r="V1692" s="358"/>
      <c r="W1692" s="358"/>
      <c r="X1692" s="358"/>
      <c r="Y1692" s="358"/>
      <c r="Z1692" s="358"/>
    </row>
    <row r="1693" ht="14.25" customHeight="1">
      <c r="A1693" s="358"/>
      <c r="B1693" s="399"/>
      <c r="C1693" s="399"/>
      <c r="D1693" s="399"/>
      <c r="E1693" s="399"/>
      <c r="F1693" s="400"/>
      <c r="G1693" s="273"/>
      <c r="H1693" s="273"/>
      <c r="I1693" s="358"/>
      <c r="J1693" s="358"/>
      <c r="K1693" s="358"/>
      <c r="L1693" s="358"/>
      <c r="M1693" s="358"/>
      <c r="N1693" s="358"/>
      <c r="O1693" s="358"/>
      <c r="P1693" s="358"/>
      <c r="Q1693" s="358"/>
      <c r="R1693" s="358"/>
      <c r="S1693" s="358"/>
      <c r="T1693" s="358"/>
      <c r="U1693" s="358"/>
      <c r="V1693" s="358"/>
      <c r="W1693" s="358"/>
      <c r="X1693" s="358"/>
      <c r="Y1693" s="358"/>
      <c r="Z1693" s="358"/>
    </row>
    <row r="1694" ht="14.25" customHeight="1">
      <c r="A1694" s="358"/>
      <c r="B1694" s="399"/>
      <c r="C1694" s="399"/>
      <c r="D1694" s="399"/>
      <c r="E1694" s="399"/>
      <c r="F1694" s="400"/>
      <c r="G1694" s="273"/>
      <c r="H1694" s="273"/>
      <c r="I1694" s="358"/>
      <c r="J1694" s="358"/>
      <c r="K1694" s="358"/>
      <c r="L1694" s="358"/>
      <c r="M1694" s="358"/>
      <c r="N1694" s="358"/>
      <c r="O1694" s="358"/>
      <c r="P1694" s="358"/>
      <c r="Q1694" s="358"/>
      <c r="R1694" s="358"/>
      <c r="S1694" s="358"/>
      <c r="T1694" s="358"/>
      <c r="U1694" s="358"/>
      <c r="V1694" s="358"/>
      <c r="W1694" s="358"/>
      <c r="X1694" s="358"/>
      <c r="Y1694" s="358"/>
      <c r="Z1694" s="358"/>
    </row>
    <row r="1695" ht="14.25" customHeight="1">
      <c r="A1695" s="358"/>
      <c r="B1695" s="399"/>
      <c r="C1695" s="399"/>
      <c r="D1695" s="399"/>
      <c r="E1695" s="399"/>
      <c r="F1695" s="400"/>
      <c r="G1695" s="273"/>
      <c r="H1695" s="273"/>
      <c r="I1695" s="358"/>
      <c r="J1695" s="358"/>
      <c r="K1695" s="358"/>
      <c r="L1695" s="358"/>
      <c r="M1695" s="358"/>
      <c r="N1695" s="358"/>
      <c r="O1695" s="358"/>
      <c r="P1695" s="358"/>
      <c r="Q1695" s="358"/>
      <c r="R1695" s="358"/>
      <c r="S1695" s="358"/>
      <c r="T1695" s="358"/>
      <c r="U1695" s="358"/>
      <c r="V1695" s="358"/>
      <c r="W1695" s="358"/>
      <c r="X1695" s="358"/>
      <c r="Y1695" s="358"/>
      <c r="Z1695" s="358"/>
    </row>
    <row r="1696" ht="14.25" customHeight="1">
      <c r="A1696" s="358"/>
      <c r="B1696" s="399"/>
      <c r="C1696" s="399"/>
      <c r="D1696" s="399"/>
      <c r="E1696" s="399"/>
      <c r="F1696" s="400"/>
      <c r="G1696" s="273"/>
      <c r="H1696" s="273"/>
      <c r="I1696" s="358"/>
      <c r="J1696" s="358"/>
      <c r="K1696" s="358"/>
      <c r="L1696" s="358"/>
      <c r="M1696" s="358"/>
      <c r="N1696" s="358"/>
      <c r="O1696" s="358"/>
      <c r="P1696" s="358"/>
      <c r="Q1696" s="358"/>
      <c r="R1696" s="358"/>
      <c r="S1696" s="358"/>
      <c r="T1696" s="358"/>
      <c r="U1696" s="358"/>
      <c r="V1696" s="358"/>
      <c r="W1696" s="358"/>
      <c r="X1696" s="358"/>
      <c r="Y1696" s="358"/>
      <c r="Z1696" s="358"/>
    </row>
    <row r="1697" ht="14.25" customHeight="1">
      <c r="A1697" s="358"/>
      <c r="B1697" s="399"/>
      <c r="C1697" s="399"/>
      <c r="D1697" s="399"/>
      <c r="E1697" s="399"/>
      <c r="F1697" s="400"/>
      <c r="G1697" s="273"/>
      <c r="H1697" s="273"/>
      <c r="I1697" s="358"/>
      <c r="J1697" s="358"/>
      <c r="K1697" s="358"/>
      <c r="L1697" s="358"/>
      <c r="M1697" s="358"/>
      <c r="N1697" s="358"/>
      <c r="O1697" s="358"/>
      <c r="P1697" s="358"/>
      <c r="Q1697" s="358"/>
      <c r="R1697" s="358"/>
      <c r="S1697" s="358"/>
      <c r="T1697" s="358"/>
      <c r="U1697" s="358"/>
      <c r="V1697" s="358"/>
      <c r="W1697" s="358"/>
      <c r="X1697" s="358"/>
      <c r="Y1697" s="358"/>
      <c r="Z1697" s="358"/>
    </row>
    <row r="1698" ht="14.25" customHeight="1">
      <c r="A1698" s="358"/>
      <c r="B1698" s="399"/>
      <c r="C1698" s="399"/>
      <c r="D1698" s="399"/>
      <c r="E1698" s="399"/>
      <c r="F1698" s="400"/>
      <c r="G1698" s="273"/>
      <c r="H1698" s="273"/>
      <c r="I1698" s="358"/>
      <c r="J1698" s="358"/>
      <c r="K1698" s="358"/>
      <c r="L1698" s="358"/>
      <c r="M1698" s="358"/>
      <c r="N1698" s="358"/>
      <c r="O1698" s="358"/>
      <c r="P1698" s="358"/>
      <c r="Q1698" s="358"/>
      <c r="R1698" s="358"/>
      <c r="S1698" s="358"/>
      <c r="T1698" s="358"/>
      <c r="U1698" s="358"/>
      <c r="V1698" s="358"/>
      <c r="W1698" s="358"/>
      <c r="X1698" s="358"/>
      <c r="Y1698" s="358"/>
      <c r="Z1698" s="358"/>
    </row>
    <row r="1699" ht="14.25" customHeight="1">
      <c r="A1699" s="358"/>
      <c r="B1699" s="399"/>
      <c r="C1699" s="399"/>
      <c r="D1699" s="399"/>
      <c r="E1699" s="399"/>
      <c r="F1699" s="400"/>
      <c r="G1699" s="273"/>
      <c r="H1699" s="273"/>
      <c r="I1699" s="358"/>
      <c r="J1699" s="358"/>
      <c r="K1699" s="358"/>
      <c r="L1699" s="358"/>
      <c r="M1699" s="358"/>
      <c r="N1699" s="358"/>
      <c r="O1699" s="358"/>
      <c r="P1699" s="358"/>
      <c r="Q1699" s="358"/>
      <c r="R1699" s="358"/>
      <c r="S1699" s="358"/>
      <c r="T1699" s="358"/>
      <c r="U1699" s="358"/>
      <c r="V1699" s="358"/>
      <c r="W1699" s="358"/>
      <c r="X1699" s="358"/>
      <c r="Y1699" s="358"/>
      <c r="Z1699" s="358"/>
    </row>
    <row r="1700" ht="14.25" customHeight="1">
      <c r="A1700" s="358"/>
      <c r="B1700" s="399"/>
      <c r="C1700" s="399"/>
      <c r="D1700" s="399"/>
      <c r="E1700" s="399"/>
      <c r="F1700" s="400"/>
      <c r="G1700" s="273"/>
      <c r="H1700" s="273"/>
      <c r="I1700" s="358"/>
      <c r="J1700" s="358"/>
      <c r="K1700" s="358"/>
      <c r="L1700" s="358"/>
      <c r="M1700" s="358"/>
      <c r="N1700" s="358"/>
      <c r="O1700" s="358"/>
      <c r="P1700" s="358"/>
      <c r="Q1700" s="358"/>
      <c r="R1700" s="358"/>
      <c r="S1700" s="358"/>
      <c r="T1700" s="358"/>
      <c r="U1700" s="358"/>
      <c r="V1700" s="358"/>
      <c r="W1700" s="358"/>
      <c r="X1700" s="358"/>
      <c r="Y1700" s="358"/>
      <c r="Z1700" s="358"/>
    </row>
    <row r="1701" ht="14.25" customHeight="1">
      <c r="A1701" s="358"/>
      <c r="B1701" s="399"/>
      <c r="C1701" s="399"/>
      <c r="D1701" s="399"/>
      <c r="E1701" s="399"/>
      <c r="F1701" s="400"/>
      <c r="G1701" s="273"/>
      <c r="H1701" s="273"/>
      <c r="I1701" s="358"/>
      <c r="J1701" s="358"/>
      <c r="K1701" s="358"/>
      <c r="L1701" s="358"/>
      <c r="M1701" s="358"/>
      <c r="N1701" s="358"/>
      <c r="O1701" s="358"/>
      <c r="P1701" s="358"/>
      <c r="Q1701" s="358"/>
      <c r="R1701" s="358"/>
      <c r="S1701" s="358"/>
      <c r="T1701" s="358"/>
      <c r="U1701" s="358"/>
      <c r="V1701" s="358"/>
      <c r="W1701" s="358"/>
      <c r="X1701" s="358"/>
      <c r="Y1701" s="358"/>
      <c r="Z1701" s="358"/>
    </row>
    <row r="1702" ht="14.25" customHeight="1">
      <c r="A1702" s="358"/>
      <c r="B1702" s="399"/>
      <c r="C1702" s="399"/>
      <c r="D1702" s="399"/>
      <c r="E1702" s="399"/>
      <c r="F1702" s="400"/>
      <c r="G1702" s="273"/>
      <c r="H1702" s="273"/>
      <c r="I1702" s="358"/>
      <c r="J1702" s="358"/>
      <c r="K1702" s="358"/>
      <c r="L1702" s="358"/>
      <c r="M1702" s="358"/>
      <c r="N1702" s="358"/>
      <c r="O1702" s="358"/>
      <c r="P1702" s="358"/>
      <c r="Q1702" s="358"/>
      <c r="R1702" s="358"/>
      <c r="S1702" s="358"/>
      <c r="T1702" s="358"/>
      <c r="U1702" s="358"/>
      <c r="V1702" s="358"/>
      <c r="W1702" s="358"/>
      <c r="X1702" s="358"/>
      <c r="Y1702" s="358"/>
      <c r="Z1702" s="358"/>
    </row>
    <row r="1703" ht="14.25" customHeight="1">
      <c r="A1703" s="358"/>
      <c r="B1703" s="399"/>
      <c r="C1703" s="399"/>
      <c r="D1703" s="399"/>
      <c r="E1703" s="399"/>
      <c r="F1703" s="400"/>
      <c r="G1703" s="273"/>
      <c r="H1703" s="273"/>
      <c r="I1703" s="358"/>
      <c r="J1703" s="358"/>
      <c r="K1703" s="358"/>
      <c r="L1703" s="358"/>
      <c r="M1703" s="358"/>
      <c r="N1703" s="358"/>
      <c r="O1703" s="358"/>
      <c r="P1703" s="358"/>
      <c r="Q1703" s="358"/>
      <c r="R1703" s="358"/>
      <c r="S1703" s="358"/>
      <c r="T1703" s="358"/>
      <c r="U1703" s="358"/>
      <c r="V1703" s="358"/>
      <c r="W1703" s="358"/>
      <c r="X1703" s="358"/>
      <c r="Y1703" s="358"/>
      <c r="Z1703" s="358"/>
    </row>
    <row r="1704" ht="14.25" customHeight="1">
      <c r="A1704" s="358"/>
      <c r="B1704" s="399"/>
      <c r="C1704" s="399"/>
      <c r="D1704" s="399"/>
      <c r="E1704" s="399"/>
      <c r="F1704" s="400"/>
      <c r="G1704" s="273"/>
      <c r="H1704" s="273"/>
      <c r="I1704" s="358"/>
      <c r="J1704" s="358"/>
      <c r="K1704" s="358"/>
      <c r="L1704" s="358"/>
      <c r="M1704" s="358"/>
      <c r="N1704" s="358"/>
      <c r="O1704" s="358"/>
      <c r="P1704" s="358"/>
      <c r="Q1704" s="358"/>
      <c r="R1704" s="358"/>
      <c r="S1704" s="358"/>
      <c r="T1704" s="358"/>
      <c r="U1704" s="358"/>
      <c r="V1704" s="358"/>
      <c r="W1704" s="358"/>
      <c r="X1704" s="358"/>
      <c r="Y1704" s="358"/>
      <c r="Z1704" s="358"/>
    </row>
    <row r="1705" ht="14.25" customHeight="1">
      <c r="A1705" s="358"/>
      <c r="B1705" s="399"/>
      <c r="C1705" s="399"/>
      <c r="D1705" s="399"/>
      <c r="E1705" s="399"/>
      <c r="F1705" s="400"/>
      <c r="G1705" s="273"/>
      <c r="H1705" s="273"/>
      <c r="I1705" s="358"/>
      <c r="J1705" s="358"/>
      <c r="K1705" s="358"/>
      <c r="L1705" s="358"/>
      <c r="M1705" s="358"/>
      <c r="N1705" s="358"/>
      <c r="O1705" s="358"/>
      <c r="P1705" s="358"/>
      <c r="Q1705" s="358"/>
      <c r="R1705" s="358"/>
      <c r="S1705" s="358"/>
      <c r="T1705" s="358"/>
      <c r="U1705" s="358"/>
      <c r="V1705" s="358"/>
      <c r="W1705" s="358"/>
      <c r="X1705" s="358"/>
      <c r="Y1705" s="358"/>
      <c r="Z1705" s="358"/>
    </row>
    <row r="1706" ht="14.25" customHeight="1">
      <c r="A1706" s="358"/>
      <c r="B1706" s="399"/>
      <c r="C1706" s="399"/>
      <c r="D1706" s="399"/>
      <c r="E1706" s="399"/>
      <c r="F1706" s="400"/>
      <c r="G1706" s="273"/>
      <c r="H1706" s="273"/>
      <c r="I1706" s="358"/>
      <c r="J1706" s="358"/>
      <c r="K1706" s="358"/>
      <c r="L1706" s="358"/>
      <c r="M1706" s="358"/>
      <c r="N1706" s="358"/>
      <c r="O1706" s="358"/>
      <c r="P1706" s="358"/>
      <c r="Q1706" s="358"/>
      <c r="R1706" s="358"/>
      <c r="S1706" s="358"/>
      <c r="T1706" s="358"/>
      <c r="U1706" s="358"/>
      <c r="V1706" s="358"/>
      <c r="W1706" s="358"/>
      <c r="X1706" s="358"/>
      <c r="Y1706" s="358"/>
      <c r="Z1706" s="358"/>
    </row>
    <row r="1707" ht="14.25" customHeight="1">
      <c r="A1707" s="358"/>
      <c r="B1707" s="399"/>
      <c r="C1707" s="399"/>
      <c r="D1707" s="399"/>
      <c r="E1707" s="399"/>
      <c r="F1707" s="400"/>
      <c r="G1707" s="273"/>
      <c r="H1707" s="273"/>
      <c r="I1707" s="358"/>
      <c r="J1707" s="358"/>
      <c r="K1707" s="358"/>
      <c r="L1707" s="358"/>
      <c r="M1707" s="358"/>
      <c r="N1707" s="358"/>
      <c r="O1707" s="358"/>
      <c r="P1707" s="358"/>
      <c r="Q1707" s="358"/>
      <c r="R1707" s="358"/>
      <c r="S1707" s="358"/>
      <c r="T1707" s="358"/>
      <c r="U1707" s="358"/>
      <c r="V1707" s="358"/>
      <c r="W1707" s="358"/>
      <c r="X1707" s="358"/>
      <c r="Y1707" s="358"/>
      <c r="Z1707" s="358"/>
    </row>
    <row r="1708" ht="14.25" customHeight="1">
      <c r="A1708" s="358"/>
      <c r="B1708" s="399"/>
      <c r="C1708" s="399"/>
      <c r="D1708" s="399"/>
      <c r="E1708" s="399"/>
      <c r="F1708" s="400"/>
      <c r="G1708" s="273"/>
      <c r="H1708" s="273"/>
      <c r="I1708" s="358"/>
      <c r="J1708" s="358"/>
      <c r="K1708" s="358"/>
      <c r="L1708" s="358"/>
      <c r="M1708" s="358"/>
      <c r="N1708" s="358"/>
      <c r="O1708" s="358"/>
      <c r="P1708" s="358"/>
      <c r="Q1708" s="358"/>
      <c r="R1708" s="358"/>
      <c r="S1708" s="358"/>
      <c r="T1708" s="358"/>
      <c r="U1708" s="358"/>
      <c r="V1708" s="358"/>
      <c r="W1708" s="358"/>
      <c r="X1708" s="358"/>
      <c r="Y1708" s="358"/>
      <c r="Z1708" s="358"/>
    </row>
    <row r="1709" ht="14.25" customHeight="1">
      <c r="A1709" s="358"/>
      <c r="B1709" s="399"/>
      <c r="C1709" s="399"/>
      <c r="D1709" s="399"/>
      <c r="E1709" s="399"/>
      <c r="F1709" s="400"/>
      <c r="G1709" s="273"/>
      <c r="H1709" s="273"/>
      <c r="I1709" s="358"/>
      <c r="J1709" s="358"/>
      <c r="K1709" s="358"/>
      <c r="L1709" s="358"/>
      <c r="M1709" s="358"/>
      <c r="N1709" s="358"/>
      <c r="O1709" s="358"/>
      <c r="P1709" s="358"/>
      <c r="Q1709" s="358"/>
      <c r="R1709" s="358"/>
      <c r="S1709" s="358"/>
      <c r="T1709" s="358"/>
      <c r="U1709" s="358"/>
      <c r="V1709" s="358"/>
      <c r="W1709" s="358"/>
      <c r="X1709" s="358"/>
      <c r="Y1709" s="358"/>
      <c r="Z1709" s="358"/>
    </row>
    <row r="1710" ht="14.25" customHeight="1">
      <c r="A1710" s="358"/>
      <c r="B1710" s="399"/>
      <c r="C1710" s="399"/>
      <c r="D1710" s="399"/>
      <c r="E1710" s="399"/>
      <c r="F1710" s="400"/>
      <c r="G1710" s="273"/>
      <c r="H1710" s="273"/>
      <c r="I1710" s="358"/>
      <c r="J1710" s="358"/>
      <c r="K1710" s="358"/>
      <c r="L1710" s="358"/>
      <c r="M1710" s="358"/>
      <c r="N1710" s="358"/>
      <c r="O1710" s="358"/>
      <c r="P1710" s="358"/>
      <c r="Q1710" s="358"/>
      <c r="R1710" s="358"/>
      <c r="S1710" s="358"/>
      <c r="T1710" s="358"/>
      <c r="U1710" s="358"/>
      <c r="V1710" s="358"/>
      <c r="W1710" s="358"/>
      <c r="X1710" s="358"/>
      <c r="Y1710" s="358"/>
      <c r="Z1710" s="358"/>
    </row>
    <row r="1711" ht="14.25" customHeight="1">
      <c r="A1711" s="358"/>
      <c r="B1711" s="399"/>
      <c r="C1711" s="399"/>
      <c r="D1711" s="399"/>
      <c r="E1711" s="399"/>
      <c r="F1711" s="400"/>
      <c r="G1711" s="273"/>
      <c r="H1711" s="273"/>
      <c r="I1711" s="358"/>
      <c r="J1711" s="358"/>
      <c r="K1711" s="358"/>
      <c r="L1711" s="358"/>
      <c r="M1711" s="358"/>
      <c r="N1711" s="358"/>
      <c r="O1711" s="358"/>
      <c r="P1711" s="358"/>
      <c r="Q1711" s="358"/>
      <c r="R1711" s="358"/>
      <c r="S1711" s="358"/>
      <c r="T1711" s="358"/>
      <c r="U1711" s="358"/>
      <c r="V1711" s="358"/>
      <c r="W1711" s="358"/>
      <c r="X1711" s="358"/>
      <c r="Y1711" s="358"/>
      <c r="Z1711" s="358"/>
    </row>
    <row r="1712" ht="14.25" customHeight="1">
      <c r="A1712" s="358"/>
      <c r="B1712" s="399"/>
      <c r="C1712" s="399"/>
      <c r="D1712" s="399"/>
      <c r="E1712" s="399"/>
      <c r="F1712" s="400"/>
      <c r="G1712" s="273"/>
      <c r="H1712" s="273"/>
      <c r="I1712" s="358"/>
      <c r="J1712" s="358"/>
      <c r="K1712" s="358"/>
      <c r="L1712" s="358"/>
      <c r="M1712" s="358"/>
      <c r="N1712" s="358"/>
      <c r="O1712" s="358"/>
      <c r="P1712" s="358"/>
      <c r="Q1712" s="358"/>
      <c r="R1712" s="358"/>
      <c r="S1712" s="358"/>
      <c r="T1712" s="358"/>
      <c r="U1712" s="358"/>
      <c r="V1712" s="358"/>
      <c r="W1712" s="358"/>
      <c r="X1712" s="358"/>
      <c r="Y1712" s="358"/>
      <c r="Z1712" s="358"/>
    </row>
    <row r="1713" ht="14.25" customHeight="1">
      <c r="A1713" s="358"/>
      <c r="B1713" s="399"/>
      <c r="C1713" s="399"/>
      <c r="D1713" s="399"/>
      <c r="E1713" s="399"/>
      <c r="F1713" s="400"/>
      <c r="G1713" s="273"/>
      <c r="H1713" s="273"/>
      <c r="I1713" s="358"/>
      <c r="J1713" s="358"/>
      <c r="K1713" s="358"/>
      <c r="L1713" s="358"/>
      <c r="M1713" s="358"/>
      <c r="N1713" s="358"/>
      <c r="O1713" s="358"/>
      <c r="P1713" s="358"/>
      <c r="Q1713" s="358"/>
      <c r="R1713" s="358"/>
      <c r="S1713" s="358"/>
      <c r="T1713" s="358"/>
      <c r="U1713" s="358"/>
      <c r="V1713" s="358"/>
      <c r="W1713" s="358"/>
      <c r="X1713" s="358"/>
      <c r="Y1713" s="358"/>
      <c r="Z1713" s="358"/>
    </row>
    <row r="1714" ht="14.25" customHeight="1">
      <c r="A1714" s="358"/>
      <c r="B1714" s="399"/>
      <c r="C1714" s="399"/>
      <c r="D1714" s="399"/>
      <c r="E1714" s="399"/>
      <c r="F1714" s="400"/>
      <c r="G1714" s="273"/>
      <c r="H1714" s="273"/>
      <c r="I1714" s="358"/>
      <c r="J1714" s="358"/>
      <c r="K1714" s="358"/>
      <c r="L1714" s="358"/>
      <c r="M1714" s="358"/>
      <c r="N1714" s="358"/>
      <c r="O1714" s="358"/>
      <c r="P1714" s="358"/>
      <c r="Q1714" s="358"/>
      <c r="R1714" s="358"/>
      <c r="S1714" s="358"/>
      <c r="T1714" s="358"/>
      <c r="U1714" s="358"/>
      <c r="V1714" s="358"/>
      <c r="W1714" s="358"/>
      <c r="X1714" s="358"/>
      <c r="Y1714" s="358"/>
      <c r="Z1714" s="358"/>
    </row>
    <row r="1715" ht="14.25" customHeight="1">
      <c r="A1715" s="358"/>
      <c r="B1715" s="399"/>
      <c r="C1715" s="399"/>
      <c r="D1715" s="399"/>
      <c r="E1715" s="399"/>
      <c r="F1715" s="400"/>
      <c r="G1715" s="273"/>
      <c r="H1715" s="273"/>
      <c r="I1715" s="358"/>
      <c r="J1715" s="358"/>
      <c r="K1715" s="358"/>
      <c r="L1715" s="358"/>
      <c r="M1715" s="358"/>
      <c r="N1715" s="358"/>
      <c r="O1715" s="358"/>
      <c r="P1715" s="358"/>
      <c r="Q1715" s="358"/>
      <c r="R1715" s="358"/>
      <c r="S1715" s="358"/>
      <c r="T1715" s="358"/>
      <c r="U1715" s="358"/>
      <c r="V1715" s="358"/>
      <c r="W1715" s="358"/>
      <c r="X1715" s="358"/>
      <c r="Y1715" s="358"/>
      <c r="Z1715" s="358"/>
    </row>
    <row r="1716" ht="14.25" customHeight="1">
      <c r="A1716" s="358"/>
      <c r="B1716" s="399"/>
      <c r="C1716" s="399"/>
      <c r="D1716" s="399"/>
      <c r="E1716" s="399"/>
      <c r="F1716" s="400"/>
      <c r="G1716" s="273"/>
      <c r="H1716" s="273"/>
      <c r="I1716" s="358"/>
      <c r="J1716" s="358"/>
      <c r="K1716" s="358"/>
      <c r="L1716" s="358"/>
      <c r="M1716" s="358"/>
      <c r="N1716" s="358"/>
      <c r="O1716" s="358"/>
      <c r="P1716" s="358"/>
      <c r="Q1716" s="358"/>
      <c r="R1716" s="358"/>
      <c r="S1716" s="358"/>
      <c r="T1716" s="358"/>
      <c r="U1716" s="358"/>
      <c r="V1716" s="358"/>
      <c r="W1716" s="358"/>
      <c r="X1716" s="358"/>
      <c r="Y1716" s="358"/>
      <c r="Z1716" s="358"/>
    </row>
    <row r="1717" ht="14.25" customHeight="1">
      <c r="A1717" s="358"/>
      <c r="B1717" s="399"/>
      <c r="C1717" s="399"/>
      <c r="D1717" s="399"/>
      <c r="E1717" s="399"/>
      <c r="F1717" s="400"/>
      <c r="G1717" s="273"/>
      <c r="H1717" s="273"/>
      <c r="I1717" s="358"/>
      <c r="J1717" s="358"/>
      <c r="K1717" s="358"/>
      <c r="L1717" s="358"/>
      <c r="M1717" s="358"/>
      <c r="N1717" s="358"/>
      <c r="O1717" s="358"/>
      <c r="P1717" s="358"/>
      <c r="Q1717" s="358"/>
      <c r="R1717" s="358"/>
      <c r="S1717" s="358"/>
      <c r="T1717" s="358"/>
      <c r="U1717" s="358"/>
      <c r="V1717" s="358"/>
      <c r="W1717" s="358"/>
      <c r="X1717" s="358"/>
      <c r="Y1717" s="358"/>
      <c r="Z1717" s="358"/>
    </row>
    <row r="1718" ht="14.25" customHeight="1">
      <c r="A1718" s="358"/>
      <c r="B1718" s="399"/>
      <c r="C1718" s="399"/>
      <c r="D1718" s="399"/>
      <c r="E1718" s="399"/>
      <c r="F1718" s="400"/>
      <c r="G1718" s="273"/>
      <c r="H1718" s="273"/>
      <c r="I1718" s="358"/>
      <c r="J1718" s="358"/>
      <c r="K1718" s="358"/>
      <c r="L1718" s="358"/>
      <c r="M1718" s="358"/>
      <c r="N1718" s="358"/>
      <c r="O1718" s="358"/>
      <c r="P1718" s="358"/>
      <c r="Q1718" s="358"/>
      <c r="R1718" s="358"/>
      <c r="S1718" s="358"/>
      <c r="T1718" s="358"/>
      <c r="U1718" s="358"/>
      <c r="V1718" s="358"/>
      <c r="W1718" s="358"/>
      <c r="X1718" s="358"/>
      <c r="Y1718" s="358"/>
      <c r="Z1718" s="358"/>
    </row>
    <row r="1719" ht="14.25" customHeight="1">
      <c r="A1719" s="358"/>
      <c r="B1719" s="399"/>
      <c r="C1719" s="399"/>
      <c r="D1719" s="399"/>
      <c r="E1719" s="399"/>
      <c r="F1719" s="400"/>
      <c r="G1719" s="273"/>
      <c r="H1719" s="273"/>
      <c r="I1719" s="358"/>
      <c r="J1719" s="358"/>
      <c r="K1719" s="358"/>
      <c r="L1719" s="358"/>
      <c r="M1719" s="358"/>
      <c r="N1719" s="358"/>
      <c r="O1719" s="358"/>
      <c r="P1719" s="358"/>
      <c r="Q1719" s="358"/>
      <c r="R1719" s="358"/>
      <c r="S1719" s="358"/>
      <c r="T1719" s="358"/>
      <c r="U1719" s="358"/>
      <c r="V1719" s="358"/>
      <c r="W1719" s="358"/>
      <c r="X1719" s="358"/>
      <c r="Y1719" s="358"/>
      <c r="Z1719" s="358"/>
    </row>
    <row r="1720" ht="14.25" customHeight="1">
      <c r="A1720" s="358"/>
      <c r="B1720" s="399"/>
      <c r="C1720" s="399"/>
      <c r="D1720" s="399"/>
      <c r="E1720" s="399"/>
      <c r="F1720" s="400"/>
      <c r="G1720" s="273"/>
      <c r="H1720" s="273"/>
      <c r="I1720" s="358"/>
      <c r="J1720" s="358"/>
      <c r="K1720" s="358"/>
      <c r="L1720" s="358"/>
      <c r="M1720" s="358"/>
      <c r="N1720" s="358"/>
      <c r="O1720" s="358"/>
      <c r="P1720" s="358"/>
      <c r="Q1720" s="358"/>
      <c r="R1720" s="358"/>
      <c r="S1720" s="358"/>
      <c r="T1720" s="358"/>
      <c r="U1720" s="358"/>
      <c r="V1720" s="358"/>
      <c r="W1720" s="358"/>
      <c r="X1720" s="358"/>
      <c r="Y1720" s="358"/>
      <c r="Z1720" s="358"/>
    </row>
    <row r="1721" ht="14.25" customHeight="1">
      <c r="A1721" s="358"/>
      <c r="B1721" s="399"/>
      <c r="C1721" s="399"/>
      <c r="D1721" s="399"/>
      <c r="E1721" s="399"/>
      <c r="F1721" s="400"/>
      <c r="G1721" s="273"/>
      <c r="H1721" s="273"/>
      <c r="I1721" s="358"/>
      <c r="J1721" s="358"/>
      <c r="K1721" s="358"/>
      <c r="L1721" s="358"/>
      <c r="M1721" s="358"/>
      <c r="N1721" s="358"/>
      <c r="O1721" s="358"/>
      <c r="P1721" s="358"/>
      <c r="Q1721" s="358"/>
      <c r="R1721" s="358"/>
      <c r="S1721" s="358"/>
      <c r="T1721" s="358"/>
      <c r="U1721" s="358"/>
      <c r="V1721" s="358"/>
      <c r="W1721" s="358"/>
      <c r="X1721" s="358"/>
      <c r="Y1721" s="358"/>
      <c r="Z1721" s="358"/>
    </row>
    <row r="1722" ht="14.25" customHeight="1">
      <c r="A1722" s="358"/>
      <c r="B1722" s="399"/>
      <c r="C1722" s="399"/>
      <c r="D1722" s="399"/>
      <c r="E1722" s="399"/>
      <c r="F1722" s="400"/>
      <c r="G1722" s="273"/>
      <c r="H1722" s="273"/>
      <c r="I1722" s="358"/>
      <c r="J1722" s="358"/>
      <c r="K1722" s="358"/>
      <c r="L1722" s="358"/>
      <c r="M1722" s="358"/>
      <c r="N1722" s="358"/>
      <c r="O1722" s="358"/>
      <c r="P1722" s="358"/>
      <c r="Q1722" s="358"/>
      <c r="R1722" s="358"/>
      <c r="S1722" s="358"/>
      <c r="T1722" s="358"/>
      <c r="U1722" s="358"/>
      <c r="V1722" s="358"/>
      <c r="W1722" s="358"/>
      <c r="X1722" s="358"/>
      <c r="Y1722" s="358"/>
      <c r="Z1722" s="358"/>
    </row>
    <row r="1723" ht="14.25" customHeight="1">
      <c r="A1723" s="358"/>
      <c r="B1723" s="399"/>
      <c r="C1723" s="399"/>
      <c r="D1723" s="399"/>
      <c r="E1723" s="399"/>
      <c r="F1723" s="400"/>
      <c r="G1723" s="273"/>
      <c r="H1723" s="273"/>
      <c r="I1723" s="358"/>
      <c r="J1723" s="358"/>
      <c r="K1723" s="358"/>
      <c r="L1723" s="358"/>
      <c r="M1723" s="358"/>
      <c r="N1723" s="358"/>
      <c r="O1723" s="358"/>
      <c r="P1723" s="358"/>
      <c r="Q1723" s="358"/>
      <c r="R1723" s="358"/>
      <c r="S1723" s="358"/>
      <c r="T1723" s="358"/>
      <c r="U1723" s="358"/>
      <c r="V1723" s="358"/>
      <c r="W1723" s="358"/>
      <c r="X1723" s="358"/>
      <c r="Y1723" s="358"/>
      <c r="Z1723" s="358"/>
    </row>
    <row r="1724" ht="14.25" customHeight="1">
      <c r="A1724" s="358"/>
      <c r="B1724" s="399"/>
      <c r="C1724" s="399"/>
      <c r="D1724" s="399"/>
      <c r="E1724" s="399"/>
      <c r="F1724" s="400"/>
      <c r="G1724" s="273"/>
      <c r="H1724" s="273"/>
      <c r="I1724" s="358"/>
      <c r="J1724" s="358"/>
      <c r="K1724" s="358"/>
      <c r="L1724" s="358"/>
      <c r="M1724" s="358"/>
      <c r="N1724" s="358"/>
      <c r="O1724" s="358"/>
      <c r="P1724" s="358"/>
      <c r="Q1724" s="358"/>
      <c r="R1724" s="358"/>
      <c r="S1724" s="358"/>
      <c r="T1724" s="358"/>
      <c r="U1724" s="358"/>
      <c r="V1724" s="358"/>
      <c r="W1724" s="358"/>
      <c r="X1724" s="358"/>
      <c r="Y1724" s="358"/>
      <c r="Z1724" s="358"/>
    </row>
    <row r="1725" ht="14.25" customHeight="1">
      <c r="A1725" s="358"/>
      <c r="B1725" s="399"/>
      <c r="C1725" s="399"/>
      <c r="D1725" s="399"/>
      <c r="E1725" s="399"/>
      <c r="F1725" s="400"/>
      <c r="G1725" s="273"/>
      <c r="H1725" s="273"/>
      <c r="I1725" s="358"/>
      <c r="J1725" s="358"/>
      <c r="K1725" s="358"/>
      <c r="L1725" s="358"/>
      <c r="M1725" s="358"/>
      <c r="N1725" s="358"/>
      <c r="O1725" s="358"/>
      <c r="P1725" s="358"/>
      <c r="Q1725" s="358"/>
      <c r="R1725" s="358"/>
      <c r="S1725" s="358"/>
      <c r="T1725" s="358"/>
      <c r="U1725" s="358"/>
      <c r="V1725" s="358"/>
      <c r="W1725" s="358"/>
      <c r="X1725" s="358"/>
      <c r="Y1725" s="358"/>
      <c r="Z1725" s="358"/>
    </row>
    <row r="1726" ht="14.25" customHeight="1">
      <c r="A1726" s="358"/>
      <c r="B1726" s="399"/>
      <c r="C1726" s="399"/>
      <c r="D1726" s="399"/>
      <c r="E1726" s="399"/>
      <c r="F1726" s="400"/>
      <c r="G1726" s="273"/>
      <c r="H1726" s="273"/>
      <c r="I1726" s="358"/>
      <c r="J1726" s="358"/>
      <c r="K1726" s="358"/>
      <c r="L1726" s="358"/>
      <c r="M1726" s="358"/>
      <c r="N1726" s="358"/>
      <c r="O1726" s="358"/>
      <c r="P1726" s="358"/>
      <c r="Q1726" s="358"/>
      <c r="R1726" s="358"/>
      <c r="S1726" s="358"/>
      <c r="T1726" s="358"/>
      <c r="U1726" s="358"/>
      <c r="V1726" s="358"/>
      <c r="W1726" s="358"/>
      <c r="X1726" s="358"/>
      <c r="Y1726" s="358"/>
      <c r="Z1726" s="358"/>
    </row>
    <row r="1727" ht="14.25" customHeight="1">
      <c r="A1727" s="358"/>
      <c r="B1727" s="399"/>
      <c r="C1727" s="399"/>
      <c r="D1727" s="399"/>
      <c r="E1727" s="399"/>
      <c r="F1727" s="400"/>
      <c r="G1727" s="273"/>
      <c r="H1727" s="273"/>
      <c r="I1727" s="358"/>
      <c r="J1727" s="358"/>
      <c r="K1727" s="358"/>
      <c r="L1727" s="358"/>
      <c r="M1727" s="358"/>
      <c r="N1727" s="358"/>
      <c r="O1727" s="358"/>
      <c r="P1727" s="358"/>
      <c r="Q1727" s="358"/>
      <c r="R1727" s="358"/>
      <c r="S1727" s="358"/>
      <c r="T1727" s="358"/>
      <c r="U1727" s="358"/>
      <c r="V1727" s="358"/>
      <c r="W1727" s="358"/>
      <c r="X1727" s="358"/>
      <c r="Y1727" s="358"/>
      <c r="Z1727" s="358"/>
    </row>
    <row r="1728" ht="14.25" customHeight="1">
      <c r="A1728" s="358"/>
      <c r="B1728" s="399"/>
      <c r="C1728" s="399"/>
      <c r="D1728" s="399"/>
      <c r="E1728" s="399"/>
      <c r="F1728" s="400"/>
      <c r="G1728" s="273"/>
      <c r="H1728" s="273"/>
      <c r="I1728" s="358"/>
      <c r="J1728" s="358"/>
      <c r="K1728" s="358"/>
      <c r="L1728" s="358"/>
      <c r="M1728" s="358"/>
      <c r="N1728" s="358"/>
      <c r="O1728" s="358"/>
      <c r="P1728" s="358"/>
      <c r="Q1728" s="358"/>
      <c r="R1728" s="358"/>
      <c r="S1728" s="358"/>
      <c r="T1728" s="358"/>
      <c r="U1728" s="358"/>
      <c r="V1728" s="358"/>
      <c r="W1728" s="358"/>
      <c r="X1728" s="358"/>
      <c r="Y1728" s="358"/>
      <c r="Z1728" s="358"/>
    </row>
    <row r="1729" ht="14.25" customHeight="1">
      <c r="A1729" s="358"/>
      <c r="B1729" s="399"/>
      <c r="C1729" s="399"/>
      <c r="D1729" s="399"/>
      <c r="E1729" s="399"/>
      <c r="F1729" s="400"/>
      <c r="G1729" s="273"/>
      <c r="H1729" s="273"/>
      <c r="I1729" s="358"/>
      <c r="J1729" s="358"/>
      <c r="K1729" s="358"/>
      <c r="L1729" s="358"/>
      <c r="M1729" s="358"/>
      <c r="N1729" s="358"/>
      <c r="O1729" s="358"/>
      <c r="P1729" s="358"/>
      <c r="Q1729" s="358"/>
      <c r="R1729" s="358"/>
      <c r="S1729" s="358"/>
      <c r="T1729" s="358"/>
      <c r="U1729" s="358"/>
      <c r="V1729" s="358"/>
      <c r="W1729" s="358"/>
      <c r="X1729" s="358"/>
      <c r="Y1729" s="358"/>
      <c r="Z1729" s="358"/>
    </row>
    <row r="1730" ht="14.25" customHeight="1">
      <c r="A1730" s="358"/>
      <c r="B1730" s="399"/>
      <c r="C1730" s="399"/>
      <c r="D1730" s="399"/>
      <c r="E1730" s="399"/>
      <c r="F1730" s="400"/>
      <c r="G1730" s="273"/>
      <c r="H1730" s="273"/>
      <c r="I1730" s="358"/>
      <c r="J1730" s="358"/>
      <c r="K1730" s="358"/>
      <c r="L1730" s="358"/>
      <c r="M1730" s="358"/>
      <c r="N1730" s="358"/>
      <c r="O1730" s="358"/>
      <c r="P1730" s="358"/>
      <c r="Q1730" s="358"/>
      <c r="R1730" s="358"/>
      <c r="S1730" s="358"/>
      <c r="T1730" s="358"/>
      <c r="U1730" s="358"/>
      <c r="V1730" s="358"/>
      <c r="W1730" s="358"/>
      <c r="X1730" s="358"/>
      <c r="Y1730" s="358"/>
      <c r="Z1730" s="358"/>
    </row>
    <row r="1731" ht="14.25" customHeight="1">
      <c r="A1731" s="358"/>
      <c r="B1731" s="399"/>
      <c r="C1731" s="399"/>
      <c r="D1731" s="399"/>
      <c r="E1731" s="399"/>
      <c r="F1731" s="400"/>
      <c r="G1731" s="273"/>
      <c r="H1731" s="273"/>
      <c r="I1731" s="358"/>
      <c r="J1731" s="358"/>
      <c r="K1731" s="358"/>
      <c r="L1731" s="358"/>
      <c r="M1731" s="358"/>
      <c r="N1731" s="358"/>
      <c r="O1731" s="358"/>
      <c r="P1731" s="358"/>
      <c r="Q1731" s="358"/>
      <c r="R1731" s="358"/>
      <c r="S1731" s="358"/>
      <c r="T1731" s="358"/>
      <c r="U1731" s="358"/>
      <c r="V1731" s="358"/>
      <c r="W1731" s="358"/>
      <c r="X1731" s="358"/>
      <c r="Y1731" s="358"/>
      <c r="Z1731" s="358"/>
    </row>
    <row r="1732" ht="14.25" customHeight="1">
      <c r="A1732" s="358"/>
      <c r="B1732" s="399"/>
      <c r="C1732" s="399"/>
      <c r="D1732" s="399"/>
      <c r="E1732" s="399"/>
      <c r="F1732" s="400"/>
      <c r="G1732" s="273"/>
      <c r="H1732" s="273"/>
      <c r="I1732" s="358"/>
      <c r="J1732" s="358"/>
      <c r="K1732" s="358"/>
      <c r="L1732" s="358"/>
      <c r="M1732" s="358"/>
      <c r="N1732" s="358"/>
      <c r="O1732" s="358"/>
      <c r="P1732" s="358"/>
      <c r="Q1732" s="358"/>
      <c r="R1732" s="358"/>
      <c r="S1732" s="358"/>
      <c r="T1732" s="358"/>
      <c r="U1732" s="358"/>
      <c r="V1732" s="358"/>
      <c r="W1732" s="358"/>
      <c r="X1732" s="358"/>
      <c r="Y1732" s="358"/>
      <c r="Z1732" s="358"/>
    </row>
    <row r="1733" ht="14.25" customHeight="1">
      <c r="A1733" s="358"/>
      <c r="B1733" s="399"/>
      <c r="C1733" s="399"/>
      <c r="D1733" s="399"/>
      <c r="E1733" s="399"/>
      <c r="F1733" s="400"/>
      <c r="G1733" s="273"/>
      <c r="H1733" s="273"/>
      <c r="I1733" s="358"/>
      <c r="J1733" s="358"/>
      <c r="K1733" s="358"/>
      <c r="L1733" s="358"/>
      <c r="M1733" s="358"/>
      <c r="N1733" s="358"/>
      <c r="O1733" s="358"/>
      <c r="P1733" s="358"/>
      <c r="Q1733" s="358"/>
      <c r="R1733" s="358"/>
      <c r="S1733" s="358"/>
      <c r="T1733" s="358"/>
      <c r="U1733" s="358"/>
      <c r="V1733" s="358"/>
      <c r="W1733" s="358"/>
      <c r="X1733" s="358"/>
      <c r="Y1733" s="358"/>
      <c r="Z1733" s="358"/>
    </row>
    <row r="1734" ht="14.25" customHeight="1">
      <c r="A1734" s="358"/>
      <c r="B1734" s="399"/>
      <c r="C1734" s="399"/>
      <c r="D1734" s="399"/>
      <c r="E1734" s="399"/>
      <c r="F1734" s="400"/>
      <c r="G1734" s="273"/>
      <c r="H1734" s="273"/>
      <c r="I1734" s="358"/>
      <c r="J1734" s="358"/>
      <c r="K1734" s="358"/>
      <c r="L1734" s="358"/>
      <c r="M1734" s="358"/>
      <c r="N1734" s="358"/>
      <c r="O1734" s="358"/>
      <c r="P1734" s="358"/>
      <c r="Q1734" s="358"/>
      <c r="R1734" s="358"/>
      <c r="S1734" s="358"/>
      <c r="T1734" s="358"/>
      <c r="U1734" s="358"/>
      <c r="V1734" s="358"/>
      <c r="W1734" s="358"/>
      <c r="X1734" s="358"/>
      <c r="Y1734" s="358"/>
      <c r="Z1734" s="358"/>
    </row>
    <row r="1735" ht="14.25" customHeight="1">
      <c r="A1735" s="358"/>
      <c r="B1735" s="399"/>
      <c r="C1735" s="399"/>
      <c r="D1735" s="399"/>
      <c r="E1735" s="399"/>
      <c r="F1735" s="400"/>
      <c r="G1735" s="273"/>
      <c r="H1735" s="273"/>
      <c r="I1735" s="358"/>
      <c r="J1735" s="358"/>
      <c r="K1735" s="358"/>
      <c r="L1735" s="358"/>
      <c r="M1735" s="358"/>
      <c r="N1735" s="358"/>
      <c r="O1735" s="358"/>
      <c r="P1735" s="358"/>
      <c r="Q1735" s="358"/>
      <c r="R1735" s="358"/>
      <c r="S1735" s="358"/>
      <c r="T1735" s="358"/>
      <c r="U1735" s="358"/>
      <c r="V1735" s="358"/>
      <c r="W1735" s="358"/>
      <c r="X1735" s="358"/>
      <c r="Y1735" s="358"/>
      <c r="Z1735" s="358"/>
    </row>
    <row r="1736" ht="14.25" customHeight="1">
      <c r="A1736" s="358"/>
      <c r="B1736" s="399"/>
      <c r="C1736" s="399"/>
      <c r="D1736" s="399"/>
      <c r="E1736" s="399"/>
      <c r="F1736" s="400"/>
      <c r="G1736" s="273"/>
      <c r="H1736" s="273"/>
      <c r="I1736" s="358"/>
      <c r="J1736" s="358"/>
      <c r="K1736" s="358"/>
      <c r="L1736" s="358"/>
      <c r="M1736" s="358"/>
      <c r="N1736" s="358"/>
      <c r="O1736" s="358"/>
      <c r="P1736" s="358"/>
      <c r="Q1736" s="358"/>
      <c r="R1736" s="358"/>
      <c r="S1736" s="358"/>
      <c r="T1736" s="358"/>
      <c r="U1736" s="358"/>
      <c r="V1736" s="358"/>
      <c r="W1736" s="358"/>
      <c r="X1736" s="358"/>
      <c r="Y1736" s="358"/>
      <c r="Z1736" s="358"/>
    </row>
    <row r="1737" ht="14.25" customHeight="1">
      <c r="A1737" s="358"/>
      <c r="B1737" s="399"/>
      <c r="C1737" s="399"/>
      <c r="D1737" s="399"/>
      <c r="E1737" s="399"/>
      <c r="F1737" s="400"/>
      <c r="G1737" s="273"/>
      <c r="H1737" s="273"/>
      <c r="I1737" s="358"/>
      <c r="J1737" s="358"/>
      <c r="K1737" s="358"/>
      <c r="L1737" s="358"/>
      <c r="M1737" s="358"/>
      <c r="N1737" s="358"/>
      <c r="O1737" s="358"/>
      <c r="P1737" s="358"/>
      <c r="Q1737" s="358"/>
      <c r="R1737" s="358"/>
      <c r="S1737" s="358"/>
      <c r="T1737" s="358"/>
      <c r="U1737" s="358"/>
      <c r="V1737" s="358"/>
      <c r="W1737" s="358"/>
      <c r="X1737" s="358"/>
      <c r="Y1737" s="358"/>
      <c r="Z1737" s="358"/>
    </row>
    <row r="1738" ht="14.25" customHeight="1">
      <c r="A1738" s="358"/>
      <c r="B1738" s="399"/>
      <c r="C1738" s="399"/>
      <c r="D1738" s="399"/>
      <c r="E1738" s="399"/>
      <c r="F1738" s="400"/>
      <c r="G1738" s="273"/>
      <c r="H1738" s="273"/>
      <c r="I1738" s="358"/>
      <c r="J1738" s="358"/>
      <c r="K1738" s="358"/>
      <c r="L1738" s="358"/>
      <c r="M1738" s="358"/>
      <c r="N1738" s="358"/>
      <c r="O1738" s="358"/>
      <c r="P1738" s="358"/>
      <c r="Q1738" s="358"/>
      <c r="R1738" s="358"/>
      <c r="S1738" s="358"/>
      <c r="T1738" s="358"/>
      <c r="U1738" s="358"/>
      <c r="V1738" s="358"/>
      <c r="W1738" s="358"/>
      <c r="X1738" s="358"/>
      <c r="Y1738" s="358"/>
      <c r="Z1738" s="358"/>
    </row>
    <row r="1739" ht="14.25" customHeight="1">
      <c r="A1739" s="358"/>
      <c r="B1739" s="399"/>
      <c r="C1739" s="399"/>
      <c r="D1739" s="399"/>
      <c r="E1739" s="399"/>
      <c r="F1739" s="400"/>
      <c r="G1739" s="273"/>
      <c r="H1739" s="273"/>
      <c r="I1739" s="358"/>
      <c r="J1739" s="358"/>
      <c r="K1739" s="358"/>
      <c r="L1739" s="358"/>
      <c r="M1739" s="358"/>
      <c r="N1739" s="358"/>
      <c r="O1739" s="358"/>
      <c r="P1739" s="358"/>
      <c r="Q1739" s="358"/>
      <c r="R1739" s="358"/>
      <c r="S1739" s="358"/>
      <c r="T1739" s="358"/>
      <c r="U1739" s="358"/>
      <c r="V1739" s="358"/>
      <c r="W1739" s="358"/>
      <c r="X1739" s="358"/>
      <c r="Y1739" s="358"/>
      <c r="Z1739" s="358"/>
    </row>
    <row r="1740" ht="14.25" customHeight="1">
      <c r="A1740" s="358"/>
      <c r="B1740" s="399"/>
      <c r="C1740" s="399"/>
      <c r="D1740" s="399"/>
      <c r="E1740" s="399"/>
      <c r="F1740" s="400"/>
      <c r="G1740" s="273"/>
      <c r="H1740" s="273"/>
      <c r="I1740" s="358"/>
      <c r="J1740" s="358"/>
      <c r="K1740" s="358"/>
      <c r="L1740" s="358"/>
      <c r="M1740" s="358"/>
      <c r="N1740" s="358"/>
      <c r="O1740" s="358"/>
      <c r="P1740" s="358"/>
      <c r="Q1740" s="358"/>
      <c r="R1740" s="358"/>
      <c r="S1740" s="358"/>
      <c r="T1740" s="358"/>
      <c r="U1740" s="358"/>
      <c r="V1740" s="358"/>
      <c r="W1740" s="358"/>
      <c r="X1740" s="358"/>
      <c r="Y1740" s="358"/>
      <c r="Z1740" s="358"/>
    </row>
    <row r="1741" ht="14.25" customHeight="1">
      <c r="A1741" s="358"/>
      <c r="B1741" s="399"/>
      <c r="C1741" s="399"/>
      <c r="D1741" s="399"/>
      <c r="E1741" s="399"/>
      <c r="F1741" s="400"/>
      <c r="G1741" s="273"/>
      <c r="H1741" s="273"/>
      <c r="I1741" s="358"/>
      <c r="J1741" s="358"/>
      <c r="K1741" s="358"/>
      <c r="L1741" s="358"/>
      <c r="M1741" s="358"/>
      <c r="N1741" s="358"/>
      <c r="O1741" s="358"/>
      <c r="P1741" s="358"/>
      <c r="Q1741" s="358"/>
      <c r="R1741" s="358"/>
      <c r="S1741" s="358"/>
      <c r="T1741" s="358"/>
      <c r="U1741" s="358"/>
      <c r="V1741" s="358"/>
      <c r="W1741" s="358"/>
      <c r="X1741" s="358"/>
      <c r="Y1741" s="358"/>
      <c r="Z1741" s="358"/>
    </row>
    <row r="1742" ht="14.25" customHeight="1">
      <c r="A1742" s="358"/>
      <c r="B1742" s="399"/>
      <c r="C1742" s="399"/>
      <c r="D1742" s="399"/>
      <c r="E1742" s="399"/>
      <c r="F1742" s="400"/>
      <c r="G1742" s="273"/>
      <c r="H1742" s="273"/>
      <c r="I1742" s="358"/>
      <c r="J1742" s="358"/>
      <c r="K1742" s="358"/>
      <c r="L1742" s="358"/>
      <c r="M1742" s="358"/>
      <c r="N1742" s="358"/>
      <c r="O1742" s="358"/>
      <c r="P1742" s="358"/>
      <c r="Q1742" s="358"/>
      <c r="R1742" s="358"/>
      <c r="S1742" s="358"/>
      <c r="T1742" s="358"/>
      <c r="U1742" s="358"/>
      <c r="V1742" s="358"/>
      <c r="W1742" s="358"/>
      <c r="X1742" s="358"/>
      <c r="Y1742" s="358"/>
      <c r="Z1742" s="358"/>
    </row>
    <row r="1743" ht="14.25" customHeight="1">
      <c r="A1743" s="358"/>
      <c r="B1743" s="399"/>
      <c r="C1743" s="399"/>
      <c r="D1743" s="399"/>
      <c r="E1743" s="399"/>
      <c r="F1743" s="400"/>
      <c r="G1743" s="273"/>
      <c r="H1743" s="273"/>
      <c r="I1743" s="358"/>
      <c r="J1743" s="358"/>
      <c r="K1743" s="358"/>
      <c r="L1743" s="358"/>
      <c r="M1743" s="358"/>
      <c r="N1743" s="358"/>
      <c r="O1743" s="358"/>
      <c r="P1743" s="358"/>
      <c r="Q1743" s="358"/>
      <c r="R1743" s="358"/>
      <c r="S1743" s="358"/>
      <c r="T1743" s="358"/>
      <c r="U1743" s="358"/>
      <c r="V1743" s="358"/>
      <c r="W1743" s="358"/>
      <c r="X1743" s="358"/>
      <c r="Y1743" s="358"/>
      <c r="Z1743" s="358"/>
    </row>
    <row r="1744" ht="14.25" customHeight="1">
      <c r="A1744" s="358"/>
      <c r="B1744" s="399"/>
      <c r="C1744" s="399"/>
      <c r="D1744" s="399"/>
      <c r="E1744" s="399"/>
      <c r="F1744" s="400"/>
      <c r="G1744" s="273"/>
      <c r="H1744" s="273"/>
      <c r="I1744" s="358"/>
      <c r="J1744" s="358"/>
      <c r="K1744" s="358"/>
      <c r="L1744" s="358"/>
      <c r="M1744" s="358"/>
      <c r="N1744" s="358"/>
      <c r="O1744" s="358"/>
      <c r="P1744" s="358"/>
      <c r="Q1744" s="358"/>
      <c r="R1744" s="358"/>
      <c r="S1744" s="358"/>
      <c r="T1744" s="358"/>
      <c r="U1744" s="358"/>
      <c r="V1744" s="358"/>
      <c r="W1744" s="358"/>
      <c r="X1744" s="358"/>
      <c r="Y1744" s="358"/>
      <c r="Z1744" s="358"/>
    </row>
    <row r="1745" ht="14.25" customHeight="1">
      <c r="A1745" s="358"/>
      <c r="B1745" s="399"/>
      <c r="C1745" s="399"/>
      <c r="D1745" s="399"/>
      <c r="E1745" s="399"/>
      <c r="F1745" s="400"/>
      <c r="G1745" s="273"/>
      <c r="H1745" s="273"/>
      <c r="I1745" s="358"/>
      <c r="J1745" s="358"/>
      <c r="K1745" s="358"/>
      <c r="L1745" s="358"/>
      <c r="M1745" s="358"/>
      <c r="N1745" s="358"/>
      <c r="O1745" s="358"/>
      <c r="P1745" s="358"/>
      <c r="Q1745" s="358"/>
      <c r="R1745" s="358"/>
      <c r="S1745" s="358"/>
      <c r="T1745" s="358"/>
      <c r="U1745" s="358"/>
      <c r="V1745" s="358"/>
      <c r="W1745" s="358"/>
      <c r="X1745" s="358"/>
      <c r="Y1745" s="358"/>
      <c r="Z1745" s="358"/>
    </row>
  </sheetData>
  <dataValidations>
    <dataValidation type="list" allowBlank="1" showErrorMessage="1" sqref="E2:E22">
      <formula1>"Annastacia Mue,Enock juma,Caroline Gitau,Enock Juma"</formula1>
    </dataValidation>
    <dataValidation type="list" allowBlank="1" showErrorMessage="1" sqref="D2:D22">
      <formula1>"Logbook,Title Deed,Unsecured,Weekend"</formula1>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29"/>
    <col customWidth="1" min="2" max="2" width="15.0"/>
    <col customWidth="1" min="3" max="3" width="37.43"/>
    <col customWidth="1" min="4" max="4" width="22.43"/>
    <col customWidth="1" min="5" max="5" width="23.86"/>
    <col customWidth="1" min="6" max="6" width="21.14"/>
    <col customWidth="1" min="7" max="7" width="12.0"/>
    <col customWidth="1" min="8" max="8" width="92.14"/>
    <col customWidth="1" min="9" max="9" width="24.57"/>
    <col customWidth="1" min="10" max="28" width="8.71"/>
  </cols>
  <sheetData>
    <row r="1" ht="14.25" customHeight="1">
      <c r="A1" s="349"/>
      <c r="B1" s="401">
        <v>45495.0</v>
      </c>
      <c r="C1" s="402"/>
      <c r="D1" s="402"/>
      <c r="E1" s="402"/>
      <c r="F1" s="403"/>
      <c r="G1" s="403"/>
      <c r="H1" s="402"/>
      <c r="I1" s="404" t="str">
        <f t="shared" ref="I1:I41" si="1">IF(G1&gt;=F1,"FULLY PAID",IF(G1=0,"NOT PAID","PARTIALLY PAID"))</f>
        <v>FULLY PAID</v>
      </c>
      <c r="J1" s="402"/>
      <c r="K1" s="402"/>
      <c r="L1" s="402"/>
      <c r="M1" s="402"/>
      <c r="N1" s="402"/>
      <c r="O1" s="402"/>
      <c r="P1" s="402"/>
      <c r="Q1" s="402"/>
      <c r="R1" s="402"/>
      <c r="S1" s="402"/>
      <c r="T1" s="402"/>
      <c r="U1" s="402"/>
      <c r="V1" s="402"/>
      <c r="W1" s="402"/>
      <c r="X1" s="402"/>
      <c r="Y1" s="402"/>
      <c r="Z1" s="402"/>
      <c r="AA1" s="405"/>
      <c r="AB1" s="405"/>
    </row>
    <row r="2" ht="14.25" customHeight="1">
      <c r="A2" s="406">
        <v>45495.0</v>
      </c>
      <c r="B2" s="407" t="s">
        <v>691</v>
      </c>
      <c r="C2" s="408" t="s">
        <v>692</v>
      </c>
      <c r="D2" s="349" t="s">
        <v>54</v>
      </c>
      <c r="E2" s="349" t="s">
        <v>693</v>
      </c>
      <c r="F2" s="409">
        <v>3600.0</v>
      </c>
      <c r="G2" s="403"/>
      <c r="H2" s="349" t="s">
        <v>694</v>
      </c>
      <c r="I2" s="404" t="str">
        <f t="shared" si="1"/>
        <v>NOT PAID</v>
      </c>
      <c r="J2" s="402"/>
      <c r="K2" s="402"/>
      <c r="L2" s="402"/>
      <c r="M2" s="402"/>
      <c r="N2" s="402"/>
      <c r="O2" s="402"/>
      <c r="P2" s="402"/>
      <c r="Q2" s="402"/>
      <c r="R2" s="402"/>
      <c r="S2" s="402"/>
      <c r="T2" s="402"/>
      <c r="U2" s="402"/>
      <c r="V2" s="402"/>
      <c r="W2" s="402"/>
      <c r="X2" s="402"/>
      <c r="Y2" s="402"/>
      <c r="Z2" s="402"/>
      <c r="AA2" s="405"/>
      <c r="AB2" s="405"/>
    </row>
    <row r="3" ht="14.25" customHeight="1">
      <c r="A3" s="406">
        <v>45495.0</v>
      </c>
      <c r="B3" s="410" t="s">
        <v>695</v>
      </c>
      <c r="C3" s="411" t="s">
        <v>696</v>
      </c>
      <c r="D3" s="343" t="s">
        <v>54</v>
      </c>
      <c r="E3" s="412" t="s">
        <v>693</v>
      </c>
      <c r="F3" s="413">
        <v>61772.77</v>
      </c>
      <c r="G3" s="403"/>
      <c r="H3" s="349" t="s">
        <v>697</v>
      </c>
      <c r="I3" s="404" t="str">
        <f t="shared" si="1"/>
        <v>NOT PAID</v>
      </c>
      <c r="J3" s="402"/>
      <c r="K3" s="402"/>
      <c r="L3" s="402"/>
      <c r="M3" s="402"/>
      <c r="N3" s="402"/>
      <c r="O3" s="402"/>
      <c r="P3" s="402"/>
      <c r="Q3" s="402"/>
      <c r="R3" s="402"/>
      <c r="S3" s="402"/>
      <c r="T3" s="402"/>
      <c r="U3" s="402"/>
      <c r="V3" s="402"/>
      <c r="W3" s="402"/>
      <c r="X3" s="402"/>
      <c r="Y3" s="402"/>
      <c r="Z3" s="402"/>
      <c r="AA3" s="405"/>
      <c r="AB3" s="405"/>
    </row>
    <row r="4" ht="14.25" customHeight="1">
      <c r="A4" s="406">
        <v>45495.0</v>
      </c>
      <c r="B4" s="414" t="s">
        <v>698</v>
      </c>
      <c r="C4" s="415" t="s">
        <v>699</v>
      </c>
      <c r="D4" s="343" t="s">
        <v>54</v>
      </c>
      <c r="E4" s="412" t="s">
        <v>693</v>
      </c>
      <c r="F4" s="413">
        <v>11998.78</v>
      </c>
      <c r="G4" s="403"/>
      <c r="H4" s="349" t="s">
        <v>700</v>
      </c>
      <c r="I4" s="404" t="str">
        <f t="shared" si="1"/>
        <v>NOT PAID</v>
      </c>
      <c r="J4" s="402"/>
      <c r="K4" s="402"/>
      <c r="L4" s="402"/>
      <c r="M4" s="402"/>
      <c r="N4" s="402"/>
      <c r="O4" s="402"/>
      <c r="P4" s="402"/>
      <c r="Q4" s="402"/>
      <c r="R4" s="402"/>
      <c r="S4" s="402"/>
      <c r="T4" s="402"/>
      <c r="U4" s="402"/>
      <c r="V4" s="402"/>
      <c r="W4" s="402"/>
      <c r="X4" s="402"/>
      <c r="Y4" s="402"/>
      <c r="Z4" s="402"/>
      <c r="AA4" s="405"/>
      <c r="AB4" s="405"/>
    </row>
    <row r="5" ht="14.25" customHeight="1">
      <c r="A5" s="406">
        <v>45495.0</v>
      </c>
      <c r="B5" s="343" t="s">
        <v>701</v>
      </c>
      <c r="C5" s="344" t="s">
        <v>702</v>
      </c>
      <c r="D5" s="343" t="s">
        <v>54</v>
      </c>
      <c r="E5" s="349" t="s">
        <v>703</v>
      </c>
      <c r="F5" s="413">
        <v>46392.0</v>
      </c>
      <c r="G5" s="403"/>
      <c r="H5" s="349" t="s">
        <v>704</v>
      </c>
      <c r="I5" s="404" t="str">
        <f t="shared" si="1"/>
        <v>NOT PAID</v>
      </c>
      <c r="J5" s="402"/>
      <c r="K5" s="402"/>
      <c r="L5" s="402"/>
      <c r="M5" s="402"/>
      <c r="N5" s="402"/>
      <c r="O5" s="402"/>
      <c r="P5" s="402"/>
      <c r="Q5" s="402"/>
      <c r="R5" s="402"/>
      <c r="S5" s="402"/>
      <c r="T5" s="402"/>
      <c r="U5" s="402"/>
      <c r="V5" s="402"/>
      <c r="W5" s="402"/>
      <c r="X5" s="402"/>
      <c r="Y5" s="402"/>
      <c r="Z5" s="402"/>
      <c r="AA5" s="405"/>
      <c r="AB5" s="405"/>
    </row>
    <row r="6" ht="14.25" customHeight="1">
      <c r="A6" s="406">
        <v>45495.0</v>
      </c>
      <c r="B6" s="410" t="s">
        <v>705</v>
      </c>
      <c r="C6" s="411" t="s">
        <v>706</v>
      </c>
      <c r="D6" s="343" t="s">
        <v>54</v>
      </c>
      <c r="E6" s="349" t="s">
        <v>703</v>
      </c>
      <c r="F6" s="413">
        <v>8643.36</v>
      </c>
      <c r="G6" s="403"/>
      <c r="H6" s="349" t="s">
        <v>707</v>
      </c>
      <c r="I6" s="404" t="str">
        <f t="shared" si="1"/>
        <v>NOT PAID</v>
      </c>
      <c r="J6" s="402"/>
      <c r="K6" s="402"/>
      <c r="L6" s="402"/>
      <c r="M6" s="402"/>
      <c r="N6" s="402"/>
      <c r="O6" s="402"/>
      <c r="P6" s="402"/>
      <c r="Q6" s="402"/>
      <c r="R6" s="402"/>
      <c r="S6" s="402"/>
      <c r="T6" s="402"/>
      <c r="U6" s="402"/>
      <c r="V6" s="402"/>
      <c r="W6" s="402"/>
      <c r="X6" s="402"/>
      <c r="Y6" s="402"/>
      <c r="Z6" s="402"/>
      <c r="AA6" s="405"/>
      <c r="AB6" s="405"/>
    </row>
    <row r="7" ht="14.25" customHeight="1">
      <c r="A7" s="406">
        <v>45495.0</v>
      </c>
      <c r="B7" s="349" t="s">
        <v>708</v>
      </c>
      <c r="C7" s="349" t="s">
        <v>709</v>
      </c>
      <c r="D7" s="349" t="s">
        <v>75</v>
      </c>
      <c r="E7" s="349" t="s">
        <v>703</v>
      </c>
      <c r="F7" s="413">
        <v>254677.5</v>
      </c>
      <c r="G7" s="413">
        <v>268412.0</v>
      </c>
      <c r="H7" s="349" t="s">
        <v>710</v>
      </c>
      <c r="I7" s="404" t="str">
        <f t="shared" si="1"/>
        <v>FULLY PAID</v>
      </c>
      <c r="J7" s="402"/>
      <c r="K7" s="402"/>
      <c r="L7" s="402"/>
      <c r="M7" s="402"/>
      <c r="N7" s="402"/>
      <c r="O7" s="402"/>
      <c r="P7" s="402"/>
      <c r="Q7" s="402"/>
      <c r="R7" s="402"/>
      <c r="S7" s="402"/>
      <c r="T7" s="402"/>
      <c r="U7" s="402"/>
      <c r="V7" s="402"/>
      <c r="W7" s="402"/>
      <c r="X7" s="402"/>
      <c r="Y7" s="402"/>
      <c r="Z7" s="402"/>
      <c r="AA7" s="405"/>
      <c r="AB7" s="405"/>
    </row>
    <row r="8" ht="14.25" customHeight="1">
      <c r="A8" s="406">
        <v>45495.0</v>
      </c>
      <c r="B8" s="410" t="s">
        <v>711</v>
      </c>
      <c r="C8" s="411" t="s">
        <v>712</v>
      </c>
      <c r="D8" s="411" t="s">
        <v>75</v>
      </c>
      <c r="E8" s="410" t="s">
        <v>703</v>
      </c>
      <c r="F8" s="416">
        <v>239900.0</v>
      </c>
      <c r="G8" s="403"/>
      <c r="H8" s="349" t="s">
        <v>713</v>
      </c>
      <c r="I8" s="404" t="str">
        <f t="shared" si="1"/>
        <v>NOT PAID</v>
      </c>
      <c r="J8" s="402"/>
      <c r="K8" s="402"/>
      <c r="L8" s="402"/>
      <c r="M8" s="402"/>
      <c r="N8" s="402"/>
      <c r="O8" s="402"/>
      <c r="P8" s="402"/>
      <c r="Q8" s="402"/>
      <c r="R8" s="402"/>
      <c r="S8" s="402"/>
      <c r="T8" s="402"/>
      <c r="U8" s="402"/>
      <c r="V8" s="402"/>
      <c r="W8" s="402"/>
      <c r="X8" s="402"/>
      <c r="Y8" s="402"/>
      <c r="Z8" s="402"/>
      <c r="AA8" s="405"/>
      <c r="AB8" s="405"/>
    </row>
    <row r="9" ht="14.25" customHeight="1">
      <c r="A9" s="406">
        <v>45495.0</v>
      </c>
      <c r="B9" s="349" t="s">
        <v>714</v>
      </c>
      <c r="C9" s="349" t="s">
        <v>715</v>
      </c>
      <c r="D9" s="349" t="s">
        <v>75</v>
      </c>
      <c r="E9" s="410" t="s">
        <v>703</v>
      </c>
      <c r="F9" s="416">
        <v>11237.5</v>
      </c>
      <c r="G9" s="403"/>
      <c r="H9" s="349" t="s">
        <v>716</v>
      </c>
      <c r="I9" s="404" t="str">
        <f t="shared" si="1"/>
        <v>NOT PAID</v>
      </c>
      <c r="J9" s="402"/>
      <c r="K9" s="402"/>
      <c r="L9" s="402"/>
      <c r="M9" s="402"/>
      <c r="N9" s="402"/>
      <c r="O9" s="402"/>
      <c r="P9" s="402"/>
      <c r="Q9" s="402"/>
      <c r="R9" s="402"/>
      <c r="S9" s="402"/>
      <c r="T9" s="402"/>
      <c r="U9" s="402"/>
      <c r="V9" s="402"/>
      <c r="W9" s="402"/>
      <c r="X9" s="402"/>
      <c r="Y9" s="402"/>
      <c r="Z9" s="402"/>
      <c r="AA9" s="405"/>
      <c r="AB9" s="405"/>
    </row>
    <row r="10" ht="14.25" customHeight="1">
      <c r="A10" s="406">
        <v>45495.0</v>
      </c>
      <c r="B10" s="410" t="s">
        <v>717</v>
      </c>
      <c r="C10" s="411" t="s">
        <v>718</v>
      </c>
      <c r="D10" s="411" t="s">
        <v>54</v>
      </c>
      <c r="E10" s="410" t="s">
        <v>703</v>
      </c>
      <c r="F10" s="416">
        <v>1275.01</v>
      </c>
      <c r="G10" s="403"/>
      <c r="H10" s="349" t="s">
        <v>719</v>
      </c>
      <c r="I10" s="404" t="str">
        <f t="shared" si="1"/>
        <v>NOT PAID</v>
      </c>
      <c r="J10" s="402"/>
      <c r="K10" s="402"/>
      <c r="L10" s="402"/>
      <c r="M10" s="402"/>
      <c r="N10" s="402"/>
      <c r="O10" s="402"/>
      <c r="P10" s="402"/>
      <c r="Q10" s="402"/>
      <c r="R10" s="402"/>
      <c r="S10" s="402"/>
      <c r="T10" s="402"/>
      <c r="U10" s="402"/>
      <c r="V10" s="402"/>
      <c r="W10" s="402"/>
      <c r="X10" s="402"/>
      <c r="Y10" s="402"/>
      <c r="Z10" s="402"/>
      <c r="AA10" s="405"/>
      <c r="AB10" s="405"/>
    </row>
    <row r="11" ht="14.25" customHeight="1">
      <c r="A11" s="406">
        <v>45495.0</v>
      </c>
      <c r="B11" s="417" t="s">
        <v>720</v>
      </c>
      <c r="C11" s="418" t="s">
        <v>721</v>
      </c>
      <c r="D11" s="418" t="s">
        <v>54</v>
      </c>
      <c r="E11" s="349" t="s">
        <v>703</v>
      </c>
      <c r="F11" s="413">
        <v>50100.0</v>
      </c>
      <c r="G11" s="403"/>
      <c r="H11" s="349" t="s">
        <v>722</v>
      </c>
      <c r="I11" s="404" t="str">
        <f t="shared" si="1"/>
        <v>NOT PAID</v>
      </c>
      <c r="J11" s="402"/>
      <c r="K11" s="402"/>
      <c r="L11" s="402"/>
      <c r="M11" s="402"/>
      <c r="N11" s="402"/>
      <c r="O11" s="402"/>
      <c r="P11" s="402"/>
      <c r="Q11" s="402"/>
      <c r="R11" s="402"/>
      <c r="S11" s="402"/>
      <c r="T11" s="402"/>
      <c r="U11" s="402"/>
      <c r="V11" s="402"/>
      <c r="W11" s="402"/>
      <c r="X11" s="402"/>
      <c r="Y11" s="402"/>
      <c r="Z11" s="402"/>
      <c r="AA11" s="405"/>
      <c r="AB11" s="405"/>
    </row>
    <row r="12" ht="14.25" customHeight="1">
      <c r="A12" s="406">
        <v>45495.0</v>
      </c>
      <c r="B12" s="407" t="s">
        <v>723</v>
      </c>
      <c r="C12" s="408" t="s">
        <v>724</v>
      </c>
      <c r="D12" s="408" t="s">
        <v>54</v>
      </c>
      <c r="E12" s="349" t="s">
        <v>703</v>
      </c>
      <c r="F12" s="416">
        <v>28104.75</v>
      </c>
      <c r="G12" s="403"/>
      <c r="H12" s="349" t="s">
        <v>725</v>
      </c>
      <c r="I12" s="404" t="str">
        <f t="shared" si="1"/>
        <v>NOT PAID</v>
      </c>
      <c r="J12" s="402"/>
      <c r="K12" s="402"/>
      <c r="L12" s="402"/>
      <c r="M12" s="402"/>
      <c r="N12" s="402"/>
      <c r="O12" s="402"/>
      <c r="P12" s="402"/>
      <c r="Q12" s="402"/>
      <c r="R12" s="402"/>
      <c r="S12" s="402"/>
      <c r="T12" s="402"/>
      <c r="U12" s="402"/>
      <c r="V12" s="402"/>
      <c r="W12" s="402"/>
      <c r="X12" s="402"/>
      <c r="Y12" s="402"/>
      <c r="Z12" s="402"/>
      <c r="AA12" s="405"/>
      <c r="AB12" s="405"/>
    </row>
    <row r="13" ht="14.25" customHeight="1">
      <c r="A13" s="406">
        <v>45495.0</v>
      </c>
      <c r="B13" s="407" t="s">
        <v>726</v>
      </c>
      <c r="C13" s="408" t="s">
        <v>727</v>
      </c>
      <c r="D13" s="408" t="s">
        <v>481</v>
      </c>
      <c r="E13" s="349" t="s">
        <v>703</v>
      </c>
      <c r="F13" s="416">
        <v>3196661.0</v>
      </c>
      <c r="G13" s="413">
        <v>93107.0</v>
      </c>
      <c r="H13" s="349" t="s">
        <v>728</v>
      </c>
      <c r="I13" s="404" t="str">
        <f t="shared" si="1"/>
        <v>PARTIALLY PAID</v>
      </c>
      <c r="J13" s="402"/>
      <c r="K13" s="402"/>
      <c r="L13" s="402"/>
      <c r="M13" s="402"/>
      <c r="N13" s="402"/>
      <c r="O13" s="402"/>
      <c r="P13" s="402"/>
      <c r="Q13" s="402"/>
      <c r="R13" s="402"/>
      <c r="S13" s="402"/>
      <c r="T13" s="402"/>
      <c r="U13" s="402"/>
      <c r="V13" s="402"/>
      <c r="W13" s="402"/>
      <c r="X13" s="402"/>
      <c r="Y13" s="402"/>
      <c r="Z13" s="402"/>
      <c r="AA13" s="405"/>
      <c r="AB13" s="405"/>
    </row>
    <row r="14" ht="14.25" customHeight="1">
      <c r="A14" s="406">
        <v>45495.0</v>
      </c>
      <c r="B14" s="407" t="s">
        <v>729</v>
      </c>
      <c r="C14" s="408" t="s">
        <v>730</v>
      </c>
      <c r="D14" s="408" t="s">
        <v>54</v>
      </c>
      <c r="E14" s="349" t="s">
        <v>703</v>
      </c>
      <c r="F14" s="416">
        <v>286339.38</v>
      </c>
      <c r="G14" s="403"/>
      <c r="H14" s="349" t="s">
        <v>694</v>
      </c>
      <c r="I14" s="404" t="str">
        <f t="shared" si="1"/>
        <v>NOT PAID</v>
      </c>
      <c r="J14" s="402"/>
      <c r="K14" s="402"/>
      <c r="L14" s="402"/>
      <c r="M14" s="402"/>
      <c r="N14" s="402"/>
      <c r="O14" s="402"/>
      <c r="P14" s="402"/>
      <c r="Q14" s="402"/>
      <c r="R14" s="402"/>
      <c r="S14" s="402"/>
      <c r="T14" s="402"/>
      <c r="U14" s="402"/>
      <c r="V14" s="402"/>
      <c r="W14" s="402"/>
      <c r="X14" s="402"/>
      <c r="Y14" s="402"/>
      <c r="Z14" s="402"/>
      <c r="AA14" s="405"/>
      <c r="AB14" s="405"/>
    </row>
    <row r="15" ht="14.25" customHeight="1">
      <c r="A15" s="406">
        <v>45495.0</v>
      </c>
      <c r="B15" s="410" t="s">
        <v>731</v>
      </c>
      <c r="C15" s="411" t="s">
        <v>732</v>
      </c>
      <c r="D15" s="411" t="s">
        <v>54</v>
      </c>
      <c r="E15" s="410" t="s">
        <v>733</v>
      </c>
      <c r="F15" s="416">
        <v>11892.0</v>
      </c>
      <c r="G15" s="413">
        <v>700.0</v>
      </c>
      <c r="H15" s="349" t="s">
        <v>734</v>
      </c>
      <c r="I15" s="404" t="str">
        <f t="shared" si="1"/>
        <v>PARTIALLY PAID</v>
      </c>
      <c r="J15" s="402"/>
      <c r="K15" s="402"/>
      <c r="L15" s="402"/>
      <c r="M15" s="402"/>
      <c r="N15" s="402"/>
      <c r="O15" s="402"/>
      <c r="P15" s="402"/>
      <c r="Q15" s="402"/>
      <c r="R15" s="402"/>
      <c r="S15" s="402"/>
      <c r="T15" s="402"/>
      <c r="U15" s="402"/>
      <c r="V15" s="402"/>
      <c r="W15" s="402"/>
      <c r="X15" s="402"/>
      <c r="Y15" s="402"/>
      <c r="Z15" s="402"/>
      <c r="AA15" s="405"/>
      <c r="AB15" s="405"/>
    </row>
    <row r="16" ht="14.25" customHeight="1">
      <c r="A16" s="406">
        <v>45495.0</v>
      </c>
      <c r="B16" s="417" t="s">
        <v>735</v>
      </c>
      <c r="C16" s="418" t="s">
        <v>736</v>
      </c>
      <c r="D16" s="418" t="s">
        <v>54</v>
      </c>
      <c r="E16" s="410" t="s">
        <v>733</v>
      </c>
      <c r="F16" s="416">
        <v>43500.0</v>
      </c>
      <c r="G16" s="403"/>
      <c r="H16" s="349" t="s">
        <v>737</v>
      </c>
      <c r="I16" s="404" t="str">
        <f t="shared" si="1"/>
        <v>NOT PAID</v>
      </c>
      <c r="J16" s="402"/>
      <c r="K16" s="402"/>
      <c r="L16" s="402"/>
      <c r="M16" s="402"/>
      <c r="N16" s="402"/>
      <c r="O16" s="402"/>
      <c r="P16" s="402"/>
      <c r="Q16" s="402"/>
      <c r="R16" s="402"/>
      <c r="S16" s="402"/>
      <c r="T16" s="402"/>
      <c r="U16" s="402"/>
      <c r="V16" s="402"/>
      <c r="W16" s="402"/>
      <c r="X16" s="402"/>
      <c r="Y16" s="402"/>
      <c r="Z16" s="402"/>
      <c r="AA16" s="405"/>
      <c r="AB16" s="405"/>
    </row>
    <row r="17" ht="14.25" customHeight="1">
      <c r="A17" s="406">
        <v>45495.0</v>
      </c>
      <c r="B17" s="343" t="s">
        <v>738</v>
      </c>
      <c r="C17" s="344" t="s">
        <v>739</v>
      </c>
      <c r="D17" s="343" t="s">
        <v>54</v>
      </c>
      <c r="E17" s="343" t="s">
        <v>740</v>
      </c>
      <c r="F17" s="413">
        <v>95823.09</v>
      </c>
      <c r="G17" s="403"/>
      <c r="H17" s="349" t="s">
        <v>741</v>
      </c>
      <c r="I17" s="404" t="str">
        <f t="shared" si="1"/>
        <v>NOT PAID</v>
      </c>
      <c r="J17" s="402"/>
      <c r="K17" s="402"/>
      <c r="L17" s="402"/>
      <c r="M17" s="402"/>
      <c r="N17" s="402"/>
      <c r="O17" s="402"/>
      <c r="P17" s="402"/>
      <c r="Q17" s="402"/>
      <c r="R17" s="402"/>
      <c r="S17" s="402"/>
      <c r="T17" s="402"/>
      <c r="U17" s="402"/>
      <c r="V17" s="402"/>
      <c r="W17" s="402"/>
      <c r="X17" s="402"/>
      <c r="Y17" s="402"/>
      <c r="Z17" s="402"/>
      <c r="AA17" s="405"/>
      <c r="AB17" s="405"/>
    </row>
    <row r="18" ht="14.25" customHeight="1">
      <c r="A18" s="406">
        <v>45495.0</v>
      </c>
      <c r="B18" s="407" t="s">
        <v>742</v>
      </c>
      <c r="C18" s="408" t="s">
        <v>743</v>
      </c>
      <c r="D18" s="408" t="s">
        <v>54</v>
      </c>
      <c r="E18" s="343" t="s">
        <v>740</v>
      </c>
      <c r="F18" s="413">
        <v>112579.0</v>
      </c>
      <c r="G18" s="403"/>
      <c r="H18" s="349" t="s">
        <v>694</v>
      </c>
      <c r="I18" s="404" t="str">
        <f t="shared" si="1"/>
        <v>NOT PAID</v>
      </c>
      <c r="J18" s="402"/>
      <c r="K18" s="402"/>
      <c r="L18" s="402"/>
      <c r="M18" s="402"/>
      <c r="N18" s="402"/>
      <c r="O18" s="402"/>
      <c r="P18" s="402"/>
      <c r="Q18" s="402"/>
      <c r="R18" s="402"/>
      <c r="S18" s="402"/>
      <c r="T18" s="402"/>
      <c r="U18" s="402"/>
      <c r="V18" s="402"/>
      <c r="W18" s="402"/>
      <c r="X18" s="402"/>
      <c r="Y18" s="402"/>
      <c r="Z18" s="402"/>
      <c r="AA18" s="405"/>
      <c r="AB18" s="405"/>
    </row>
    <row r="19" ht="14.25" customHeight="1">
      <c r="A19" s="406">
        <v>45495.0</v>
      </c>
      <c r="B19" s="407" t="s">
        <v>744</v>
      </c>
      <c r="C19" s="408" t="s">
        <v>745</v>
      </c>
      <c r="D19" s="408" t="s">
        <v>54</v>
      </c>
      <c r="E19" s="343" t="s">
        <v>740</v>
      </c>
      <c r="F19" s="413">
        <v>186333.0</v>
      </c>
      <c r="G19" s="413">
        <v>118950.0</v>
      </c>
      <c r="H19" s="349" t="s">
        <v>267</v>
      </c>
      <c r="I19" s="404" t="str">
        <f t="shared" si="1"/>
        <v>PARTIALLY PAID</v>
      </c>
      <c r="J19" s="402"/>
      <c r="K19" s="402"/>
      <c r="L19" s="402"/>
      <c r="M19" s="402"/>
      <c r="N19" s="402"/>
      <c r="O19" s="402"/>
      <c r="P19" s="402"/>
      <c r="Q19" s="402"/>
      <c r="R19" s="402"/>
      <c r="S19" s="402"/>
      <c r="T19" s="402"/>
      <c r="U19" s="402"/>
      <c r="V19" s="402"/>
      <c r="W19" s="402"/>
      <c r="X19" s="402"/>
      <c r="Y19" s="402"/>
      <c r="Z19" s="402"/>
      <c r="AA19" s="405"/>
      <c r="AB19" s="405"/>
    </row>
    <row r="20" ht="14.25" customHeight="1">
      <c r="A20" s="406">
        <v>45495.0</v>
      </c>
      <c r="B20" s="419" t="s">
        <v>746</v>
      </c>
      <c r="C20" s="420" t="s">
        <v>747</v>
      </c>
      <c r="D20" s="408" t="s">
        <v>54</v>
      </c>
      <c r="E20" s="343" t="s">
        <v>740</v>
      </c>
      <c r="F20" s="413">
        <v>74378.5</v>
      </c>
      <c r="G20" s="403"/>
      <c r="H20" s="349" t="s">
        <v>748</v>
      </c>
      <c r="I20" s="404" t="str">
        <f t="shared" si="1"/>
        <v>NOT PAID</v>
      </c>
      <c r="J20" s="402"/>
      <c r="K20" s="402"/>
      <c r="L20" s="402"/>
      <c r="M20" s="402"/>
      <c r="N20" s="402"/>
      <c r="O20" s="402"/>
      <c r="P20" s="402"/>
      <c r="Q20" s="402"/>
      <c r="R20" s="402"/>
      <c r="S20" s="402"/>
      <c r="T20" s="402"/>
      <c r="U20" s="402"/>
      <c r="V20" s="402"/>
      <c r="W20" s="402"/>
      <c r="X20" s="402"/>
      <c r="Y20" s="402"/>
      <c r="Z20" s="402"/>
      <c r="AA20" s="405"/>
      <c r="AB20" s="405"/>
    </row>
    <row r="21" ht="14.25" customHeight="1">
      <c r="A21" s="406">
        <v>45495.0</v>
      </c>
      <c r="B21" s="407" t="s">
        <v>749</v>
      </c>
      <c r="C21" s="408" t="s">
        <v>750</v>
      </c>
      <c r="D21" s="408" t="s">
        <v>54</v>
      </c>
      <c r="E21" s="343" t="s">
        <v>740</v>
      </c>
      <c r="F21" s="413">
        <v>30081.0</v>
      </c>
      <c r="G21" s="403"/>
      <c r="H21" s="349" t="s">
        <v>751</v>
      </c>
      <c r="I21" s="404" t="str">
        <f t="shared" si="1"/>
        <v>NOT PAID</v>
      </c>
      <c r="J21" s="402"/>
      <c r="K21" s="402"/>
      <c r="L21" s="402"/>
      <c r="M21" s="402"/>
      <c r="N21" s="402"/>
      <c r="O21" s="402"/>
      <c r="P21" s="402"/>
      <c r="Q21" s="402"/>
      <c r="R21" s="402"/>
      <c r="S21" s="402"/>
      <c r="T21" s="402"/>
      <c r="U21" s="402"/>
      <c r="V21" s="402"/>
      <c r="W21" s="402"/>
      <c r="X21" s="402"/>
      <c r="Y21" s="402"/>
      <c r="Z21" s="402"/>
      <c r="AA21" s="405"/>
      <c r="AB21" s="405"/>
    </row>
    <row r="22" ht="14.25" customHeight="1">
      <c r="A22" s="406">
        <v>45495.0</v>
      </c>
      <c r="B22" s="349" t="s">
        <v>752</v>
      </c>
      <c r="C22" s="421" t="s">
        <v>753</v>
      </c>
      <c r="D22" s="421" t="s">
        <v>54</v>
      </c>
      <c r="E22" s="410" t="s">
        <v>740</v>
      </c>
      <c r="F22" s="413">
        <v>1008587.0</v>
      </c>
      <c r="G22" s="413">
        <v>1040588.0</v>
      </c>
      <c r="H22" s="349" t="s">
        <v>710</v>
      </c>
      <c r="I22" s="404" t="str">
        <f t="shared" si="1"/>
        <v>FULLY PAID</v>
      </c>
      <c r="J22" s="402"/>
      <c r="K22" s="402"/>
      <c r="L22" s="402"/>
      <c r="M22" s="402"/>
      <c r="N22" s="402"/>
      <c r="O22" s="402"/>
      <c r="P22" s="402"/>
      <c r="Q22" s="402"/>
      <c r="R22" s="402"/>
      <c r="S22" s="402"/>
      <c r="T22" s="402"/>
      <c r="U22" s="402"/>
      <c r="V22" s="402"/>
      <c r="W22" s="402"/>
      <c r="X22" s="402"/>
      <c r="Y22" s="402"/>
      <c r="Z22" s="402"/>
      <c r="AA22" s="405"/>
      <c r="AB22" s="405"/>
    </row>
    <row r="23" ht="14.25" customHeight="1">
      <c r="A23" s="406">
        <v>45495.0</v>
      </c>
      <c r="B23" s="407" t="s">
        <v>754</v>
      </c>
      <c r="C23" s="408" t="s">
        <v>755</v>
      </c>
      <c r="D23" s="408" t="s">
        <v>59</v>
      </c>
      <c r="E23" s="410" t="s">
        <v>740</v>
      </c>
      <c r="F23" s="413">
        <v>119067.3</v>
      </c>
      <c r="G23" s="403"/>
      <c r="H23" s="349" t="s">
        <v>756</v>
      </c>
      <c r="I23" s="404" t="str">
        <f t="shared" si="1"/>
        <v>NOT PAID</v>
      </c>
      <c r="J23" s="402"/>
      <c r="K23" s="402"/>
      <c r="L23" s="402"/>
      <c r="M23" s="402"/>
      <c r="N23" s="402"/>
      <c r="O23" s="402"/>
      <c r="P23" s="402"/>
      <c r="Q23" s="402"/>
      <c r="R23" s="402"/>
      <c r="S23" s="402"/>
      <c r="T23" s="402"/>
      <c r="U23" s="402"/>
      <c r="V23" s="402"/>
      <c r="W23" s="402"/>
      <c r="X23" s="402"/>
      <c r="Y23" s="402"/>
      <c r="Z23" s="402"/>
      <c r="AA23" s="405"/>
      <c r="AB23" s="405"/>
    </row>
    <row r="24" ht="14.25" customHeight="1">
      <c r="A24" s="406">
        <v>45495.0</v>
      </c>
      <c r="B24" s="349" t="s">
        <v>757</v>
      </c>
      <c r="C24" s="349" t="s">
        <v>758</v>
      </c>
      <c r="D24" s="349" t="s">
        <v>75</v>
      </c>
      <c r="E24" s="349" t="s">
        <v>759</v>
      </c>
      <c r="F24" s="413">
        <v>157605.0</v>
      </c>
      <c r="G24" s="403"/>
      <c r="H24" s="349" t="s">
        <v>760</v>
      </c>
      <c r="I24" s="404" t="str">
        <f t="shared" si="1"/>
        <v>NOT PAID</v>
      </c>
      <c r="J24" s="402"/>
      <c r="K24" s="402"/>
      <c r="L24" s="402"/>
      <c r="M24" s="402"/>
      <c r="N24" s="402"/>
      <c r="O24" s="402"/>
      <c r="P24" s="402"/>
      <c r="Q24" s="402"/>
      <c r="R24" s="402"/>
      <c r="S24" s="402"/>
      <c r="T24" s="402"/>
      <c r="U24" s="402"/>
      <c r="V24" s="402"/>
      <c r="W24" s="402"/>
      <c r="X24" s="402"/>
      <c r="Y24" s="402"/>
      <c r="Z24" s="402"/>
      <c r="AA24" s="405"/>
      <c r="AB24" s="405"/>
    </row>
    <row r="25" ht="14.25" customHeight="1">
      <c r="A25" s="406">
        <v>45495.0</v>
      </c>
      <c r="B25" s="410" t="s">
        <v>761</v>
      </c>
      <c r="C25" s="411" t="s">
        <v>762</v>
      </c>
      <c r="D25" s="411" t="s">
        <v>59</v>
      </c>
      <c r="E25" s="410" t="s">
        <v>759</v>
      </c>
      <c r="F25" s="416">
        <v>59679.0</v>
      </c>
      <c r="G25" s="403"/>
      <c r="H25" s="349" t="s">
        <v>763</v>
      </c>
      <c r="I25" s="404" t="str">
        <f t="shared" si="1"/>
        <v>NOT PAID</v>
      </c>
      <c r="J25" s="402"/>
      <c r="K25" s="402"/>
      <c r="L25" s="402"/>
      <c r="M25" s="402"/>
      <c r="N25" s="402"/>
      <c r="O25" s="402"/>
      <c r="P25" s="402"/>
      <c r="Q25" s="402"/>
      <c r="R25" s="402"/>
      <c r="S25" s="402"/>
      <c r="T25" s="402"/>
      <c r="U25" s="402"/>
      <c r="V25" s="402"/>
      <c r="W25" s="402"/>
      <c r="X25" s="402"/>
      <c r="Y25" s="402"/>
      <c r="Z25" s="402"/>
      <c r="AA25" s="405"/>
      <c r="AB25" s="405"/>
    </row>
    <row r="26" ht="14.25" customHeight="1">
      <c r="A26" s="406">
        <v>45495.0</v>
      </c>
      <c r="B26" s="407" t="s">
        <v>764</v>
      </c>
      <c r="C26" s="408" t="s">
        <v>765</v>
      </c>
      <c r="D26" s="408" t="s">
        <v>54</v>
      </c>
      <c r="E26" s="410" t="s">
        <v>759</v>
      </c>
      <c r="F26" s="416">
        <v>17924.56</v>
      </c>
      <c r="G26" s="403"/>
      <c r="H26" s="349" t="s">
        <v>766</v>
      </c>
      <c r="I26" s="404" t="str">
        <f t="shared" si="1"/>
        <v>NOT PAID</v>
      </c>
      <c r="J26" s="402"/>
      <c r="K26" s="402"/>
      <c r="L26" s="402"/>
      <c r="M26" s="402"/>
      <c r="N26" s="402"/>
      <c r="O26" s="402"/>
      <c r="P26" s="402"/>
      <c r="Q26" s="402"/>
      <c r="R26" s="402"/>
      <c r="S26" s="402"/>
      <c r="T26" s="402"/>
      <c r="U26" s="402"/>
      <c r="V26" s="402"/>
      <c r="W26" s="402"/>
      <c r="X26" s="402"/>
      <c r="Y26" s="402"/>
      <c r="Z26" s="402"/>
      <c r="AA26" s="405"/>
      <c r="AB26" s="405"/>
    </row>
    <row r="27" ht="14.25" customHeight="1">
      <c r="A27" s="406">
        <v>45495.0</v>
      </c>
      <c r="B27" s="410" t="s">
        <v>767</v>
      </c>
      <c r="C27" s="411" t="s">
        <v>768</v>
      </c>
      <c r="D27" s="411" t="s">
        <v>54</v>
      </c>
      <c r="E27" s="410" t="s">
        <v>759</v>
      </c>
      <c r="F27" s="413">
        <v>277267.48</v>
      </c>
      <c r="G27" s="403"/>
      <c r="H27" s="349" t="s">
        <v>769</v>
      </c>
      <c r="I27" s="404" t="str">
        <f t="shared" si="1"/>
        <v>NOT PAID</v>
      </c>
      <c r="J27" s="402"/>
      <c r="K27" s="402"/>
      <c r="L27" s="402"/>
      <c r="M27" s="402"/>
      <c r="N27" s="402"/>
      <c r="O27" s="402"/>
      <c r="P27" s="402"/>
      <c r="Q27" s="402"/>
      <c r="R27" s="402"/>
      <c r="S27" s="402"/>
      <c r="T27" s="402"/>
      <c r="U27" s="402"/>
      <c r="V27" s="402"/>
      <c r="W27" s="402"/>
      <c r="X27" s="402"/>
      <c r="Y27" s="402"/>
      <c r="Z27" s="402"/>
      <c r="AA27" s="405"/>
      <c r="AB27" s="405"/>
    </row>
    <row r="28" ht="14.25" customHeight="1">
      <c r="A28" s="406">
        <v>45495.0</v>
      </c>
      <c r="B28" s="407" t="s">
        <v>770</v>
      </c>
      <c r="C28" s="408" t="s">
        <v>771</v>
      </c>
      <c r="D28" s="408" t="s">
        <v>59</v>
      </c>
      <c r="E28" s="410" t="s">
        <v>759</v>
      </c>
      <c r="F28" s="416">
        <v>578914.0</v>
      </c>
      <c r="G28" s="413" t="s">
        <v>772</v>
      </c>
      <c r="H28" s="349" t="s">
        <v>773</v>
      </c>
      <c r="I28" s="404" t="str">
        <f t="shared" si="1"/>
        <v>FULLY PAID</v>
      </c>
      <c r="J28" s="402"/>
      <c r="K28" s="402"/>
      <c r="L28" s="402"/>
      <c r="M28" s="402"/>
      <c r="N28" s="402"/>
      <c r="O28" s="402"/>
      <c r="P28" s="402"/>
      <c r="Q28" s="402"/>
      <c r="R28" s="402"/>
      <c r="S28" s="402"/>
      <c r="T28" s="402"/>
      <c r="U28" s="402"/>
      <c r="V28" s="402"/>
      <c r="W28" s="402"/>
      <c r="X28" s="402"/>
      <c r="Y28" s="402"/>
      <c r="Z28" s="402"/>
      <c r="AA28" s="405"/>
      <c r="AB28" s="405"/>
    </row>
    <row r="29" ht="14.25" customHeight="1">
      <c r="A29" s="406">
        <v>45495.0</v>
      </c>
      <c r="B29" s="407" t="s">
        <v>774</v>
      </c>
      <c r="C29" s="408" t="s">
        <v>775</v>
      </c>
      <c r="D29" s="408" t="s">
        <v>54</v>
      </c>
      <c r="E29" s="410" t="s">
        <v>759</v>
      </c>
      <c r="F29" s="416">
        <v>211473.39</v>
      </c>
      <c r="G29" s="403"/>
      <c r="H29" s="349" t="s">
        <v>776</v>
      </c>
      <c r="I29" s="404" t="str">
        <f t="shared" si="1"/>
        <v>NOT PAID</v>
      </c>
      <c r="J29" s="402"/>
      <c r="K29" s="402"/>
      <c r="L29" s="402"/>
      <c r="M29" s="402"/>
      <c r="N29" s="402"/>
      <c r="O29" s="402"/>
      <c r="P29" s="402"/>
      <c r="Q29" s="402"/>
      <c r="R29" s="402"/>
      <c r="S29" s="402"/>
      <c r="T29" s="402"/>
      <c r="U29" s="402"/>
      <c r="V29" s="402"/>
      <c r="W29" s="402"/>
      <c r="X29" s="402"/>
      <c r="Y29" s="402"/>
      <c r="Z29" s="402"/>
      <c r="AA29" s="405"/>
      <c r="AB29" s="405"/>
    </row>
    <row r="30" ht="14.25" customHeight="1">
      <c r="A30" s="406">
        <v>45495.0</v>
      </c>
      <c r="B30" s="410" t="s">
        <v>777</v>
      </c>
      <c r="C30" s="411" t="s">
        <v>778</v>
      </c>
      <c r="D30" s="411" t="s">
        <v>54</v>
      </c>
      <c r="E30" s="410" t="s">
        <v>779</v>
      </c>
      <c r="F30" s="416">
        <v>91390.97</v>
      </c>
      <c r="G30" s="403"/>
      <c r="H30" s="349" t="s">
        <v>780</v>
      </c>
      <c r="I30" s="404" t="str">
        <f t="shared" si="1"/>
        <v>NOT PAID</v>
      </c>
      <c r="J30" s="402"/>
      <c r="K30" s="402"/>
      <c r="L30" s="402"/>
      <c r="M30" s="402"/>
      <c r="N30" s="402"/>
      <c r="O30" s="402"/>
      <c r="P30" s="402"/>
      <c r="Q30" s="402"/>
      <c r="R30" s="402"/>
      <c r="S30" s="402"/>
      <c r="T30" s="402"/>
      <c r="U30" s="402"/>
      <c r="V30" s="402"/>
      <c r="W30" s="402"/>
      <c r="X30" s="402"/>
      <c r="Y30" s="402"/>
      <c r="Z30" s="402"/>
      <c r="AA30" s="405"/>
      <c r="AB30" s="405"/>
    </row>
    <row r="31" ht="14.25" customHeight="1">
      <c r="A31" s="406">
        <v>45495.0</v>
      </c>
      <c r="B31" s="349" t="s">
        <v>781</v>
      </c>
      <c r="C31" s="349" t="s">
        <v>782</v>
      </c>
      <c r="D31" s="349" t="s">
        <v>54</v>
      </c>
      <c r="E31" s="410" t="s">
        <v>779</v>
      </c>
      <c r="F31" s="422">
        <v>15955.12</v>
      </c>
      <c r="G31" s="413">
        <v>6000.0</v>
      </c>
      <c r="H31" s="349" t="s">
        <v>710</v>
      </c>
      <c r="I31" s="404" t="str">
        <f t="shared" si="1"/>
        <v>PARTIALLY PAID</v>
      </c>
      <c r="J31" s="402"/>
      <c r="K31" s="402"/>
      <c r="L31" s="402"/>
      <c r="M31" s="402"/>
      <c r="N31" s="402"/>
      <c r="O31" s="402"/>
      <c r="P31" s="402"/>
      <c r="Q31" s="402"/>
      <c r="R31" s="402"/>
      <c r="S31" s="402"/>
      <c r="T31" s="402"/>
      <c r="U31" s="402"/>
      <c r="V31" s="402"/>
      <c r="W31" s="402"/>
      <c r="X31" s="402"/>
      <c r="Y31" s="402"/>
      <c r="Z31" s="402"/>
      <c r="AA31" s="405"/>
      <c r="AB31" s="405"/>
    </row>
    <row r="32" ht="14.25" customHeight="1">
      <c r="A32" s="406">
        <v>45495.0</v>
      </c>
      <c r="B32" s="349" t="s">
        <v>783</v>
      </c>
      <c r="C32" s="349" t="s">
        <v>784</v>
      </c>
      <c r="D32" s="349" t="s">
        <v>54</v>
      </c>
      <c r="E32" s="343" t="s">
        <v>779</v>
      </c>
      <c r="F32" s="413">
        <v>105000.0</v>
      </c>
      <c r="G32" s="403"/>
      <c r="H32" s="349" t="s">
        <v>785</v>
      </c>
      <c r="I32" s="404" t="str">
        <f t="shared" si="1"/>
        <v>NOT PAID</v>
      </c>
      <c r="J32" s="402"/>
      <c r="K32" s="402"/>
      <c r="L32" s="402"/>
      <c r="M32" s="402"/>
      <c r="N32" s="402"/>
      <c r="O32" s="402"/>
      <c r="P32" s="402"/>
      <c r="Q32" s="402"/>
      <c r="R32" s="402"/>
      <c r="S32" s="402"/>
      <c r="T32" s="402"/>
      <c r="U32" s="402"/>
      <c r="V32" s="402"/>
      <c r="W32" s="402"/>
      <c r="X32" s="402"/>
      <c r="Y32" s="402"/>
      <c r="Z32" s="402"/>
      <c r="AA32" s="405"/>
      <c r="AB32" s="405"/>
    </row>
    <row r="33" ht="14.25" customHeight="1">
      <c r="A33" s="406">
        <v>45495.0</v>
      </c>
      <c r="B33" s="407" t="s">
        <v>786</v>
      </c>
      <c r="C33" s="408" t="s">
        <v>787</v>
      </c>
      <c r="D33" s="410" t="s">
        <v>54</v>
      </c>
      <c r="E33" s="416" t="s">
        <v>779</v>
      </c>
      <c r="F33" s="423">
        <v>19632.78</v>
      </c>
      <c r="G33" s="403"/>
      <c r="H33" s="349" t="s">
        <v>694</v>
      </c>
      <c r="I33" s="404" t="str">
        <f t="shared" si="1"/>
        <v>NOT PAID</v>
      </c>
      <c r="J33" s="402"/>
      <c r="K33" s="402"/>
      <c r="L33" s="402"/>
      <c r="M33" s="402"/>
      <c r="N33" s="402"/>
      <c r="O33" s="402"/>
      <c r="P33" s="402"/>
      <c r="Q33" s="402"/>
      <c r="R33" s="402"/>
      <c r="S33" s="402"/>
      <c r="T33" s="402"/>
      <c r="U33" s="402"/>
      <c r="V33" s="402"/>
      <c r="W33" s="402"/>
      <c r="X33" s="402"/>
      <c r="Y33" s="402"/>
      <c r="Z33" s="402"/>
      <c r="AA33" s="405"/>
      <c r="AB33" s="405"/>
    </row>
    <row r="34" ht="14.25" customHeight="1">
      <c r="A34" s="406">
        <v>45495.0</v>
      </c>
      <c r="B34" s="417" t="s">
        <v>788</v>
      </c>
      <c r="C34" s="418" t="s">
        <v>789</v>
      </c>
      <c r="D34" s="418" t="s">
        <v>54</v>
      </c>
      <c r="E34" s="416" t="s">
        <v>779</v>
      </c>
      <c r="F34" s="413">
        <v>81264.22</v>
      </c>
      <c r="G34" s="403"/>
      <c r="H34" s="349" t="s">
        <v>790</v>
      </c>
      <c r="I34" s="404" t="str">
        <f t="shared" si="1"/>
        <v>NOT PAID</v>
      </c>
      <c r="J34" s="402"/>
      <c r="K34" s="402"/>
      <c r="L34" s="402"/>
      <c r="M34" s="402"/>
      <c r="N34" s="402"/>
      <c r="O34" s="402"/>
      <c r="P34" s="402"/>
      <c r="Q34" s="402"/>
      <c r="R34" s="402"/>
      <c r="S34" s="402"/>
      <c r="T34" s="402"/>
      <c r="U34" s="402"/>
      <c r="V34" s="402"/>
      <c r="W34" s="402"/>
      <c r="X34" s="402"/>
      <c r="Y34" s="402"/>
      <c r="Z34" s="402"/>
      <c r="AA34" s="405"/>
      <c r="AB34" s="405"/>
    </row>
    <row r="35" ht="14.25" customHeight="1">
      <c r="A35" s="406">
        <v>45495.0</v>
      </c>
      <c r="B35" s="349" t="s">
        <v>791</v>
      </c>
      <c r="C35" s="349" t="s">
        <v>792</v>
      </c>
      <c r="D35" s="418" t="s">
        <v>54</v>
      </c>
      <c r="E35" s="416" t="s">
        <v>779</v>
      </c>
      <c r="F35" s="413">
        <v>108791.54</v>
      </c>
      <c r="G35" s="403"/>
      <c r="H35" s="349" t="s">
        <v>793</v>
      </c>
      <c r="I35" s="404" t="str">
        <f t="shared" si="1"/>
        <v>NOT PAID</v>
      </c>
      <c r="J35" s="402"/>
      <c r="K35" s="402"/>
      <c r="L35" s="402"/>
      <c r="M35" s="402"/>
      <c r="N35" s="402"/>
      <c r="O35" s="402"/>
      <c r="P35" s="402"/>
      <c r="Q35" s="402"/>
      <c r="R35" s="402"/>
      <c r="S35" s="402"/>
      <c r="T35" s="402"/>
      <c r="U35" s="402"/>
      <c r="V35" s="402"/>
      <c r="W35" s="402"/>
      <c r="X35" s="402"/>
      <c r="Y35" s="402"/>
      <c r="Z35" s="402"/>
      <c r="AA35" s="405"/>
      <c r="AB35" s="405"/>
    </row>
    <row r="36" ht="14.25" customHeight="1">
      <c r="A36" s="406">
        <v>45495.0</v>
      </c>
      <c r="B36" s="349" t="s">
        <v>794</v>
      </c>
      <c r="C36" s="349" t="s">
        <v>795</v>
      </c>
      <c r="D36" s="349" t="s">
        <v>54</v>
      </c>
      <c r="E36" s="416" t="s">
        <v>779</v>
      </c>
      <c r="F36" s="413">
        <v>139628.94</v>
      </c>
      <c r="G36" s="403"/>
      <c r="H36" s="349" t="s">
        <v>796</v>
      </c>
      <c r="I36" s="404" t="str">
        <f t="shared" si="1"/>
        <v>NOT PAID</v>
      </c>
      <c r="J36" s="402"/>
      <c r="K36" s="402"/>
      <c r="L36" s="402"/>
      <c r="M36" s="402"/>
      <c r="N36" s="402"/>
      <c r="O36" s="402"/>
      <c r="P36" s="402"/>
      <c r="Q36" s="402"/>
      <c r="R36" s="402"/>
      <c r="S36" s="402"/>
      <c r="T36" s="402"/>
      <c r="U36" s="402"/>
      <c r="V36" s="402"/>
      <c r="W36" s="402"/>
      <c r="X36" s="402"/>
      <c r="Y36" s="402"/>
      <c r="Z36" s="402"/>
      <c r="AA36" s="405"/>
      <c r="AB36" s="405"/>
    </row>
    <row r="37" ht="14.25" customHeight="1">
      <c r="A37" s="406"/>
      <c r="B37" s="349"/>
      <c r="C37" s="349"/>
      <c r="D37" s="349"/>
      <c r="E37" s="410"/>
      <c r="F37" s="413"/>
      <c r="G37" s="403"/>
      <c r="H37" s="402"/>
      <c r="I37" s="404" t="str">
        <f t="shared" si="1"/>
        <v>FULLY PAID</v>
      </c>
      <c r="J37" s="402"/>
      <c r="K37" s="402"/>
      <c r="L37" s="402"/>
      <c r="M37" s="402"/>
      <c r="N37" s="402"/>
      <c r="O37" s="402"/>
      <c r="P37" s="402"/>
      <c r="Q37" s="402"/>
      <c r="R37" s="402"/>
      <c r="S37" s="402"/>
      <c r="T37" s="402"/>
      <c r="U37" s="402"/>
      <c r="V37" s="402"/>
      <c r="W37" s="402"/>
      <c r="X37" s="402"/>
      <c r="Y37" s="402"/>
      <c r="Z37" s="402"/>
      <c r="AA37" s="405"/>
      <c r="AB37" s="405"/>
    </row>
    <row r="38" ht="14.25" customHeight="1">
      <c r="A38" s="406"/>
      <c r="B38" s="424" t="s">
        <v>797</v>
      </c>
      <c r="C38" s="349"/>
      <c r="D38" s="349"/>
      <c r="E38" s="410"/>
      <c r="F38" s="413"/>
      <c r="G38" s="403"/>
      <c r="H38" s="402"/>
      <c r="I38" s="404" t="str">
        <f t="shared" si="1"/>
        <v>FULLY PAID</v>
      </c>
      <c r="J38" s="402"/>
      <c r="K38" s="402"/>
      <c r="L38" s="402"/>
      <c r="M38" s="402"/>
      <c r="N38" s="402"/>
      <c r="O38" s="402"/>
      <c r="P38" s="402"/>
      <c r="Q38" s="402"/>
      <c r="R38" s="402"/>
      <c r="S38" s="402"/>
      <c r="T38" s="402"/>
      <c r="U38" s="402"/>
      <c r="V38" s="402"/>
      <c r="W38" s="402"/>
      <c r="X38" s="402"/>
      <c r="Y38" s="402"/>
      <c r="Z38" s="402"/>
      <c r="AA38" s="405"/>
      <c r="AB38" s="405"/>
    </row>
    <row r="39" ht="14.25" customHeight="1">
      <c r="A39" s="406">
        <v>45495.0</v>
      </c>
      <c r="B39" s="349" t="s">
        <v>798</v>
      </c>
      <c r="C39" s="349" t="s">
        <v>799</v>
      </c>
      <c r="D39" s="349" t="s">
        <v>59</v>
      </c>
      <c r="E39" s="349" t="s">
        <v>114</v>
      </c>
      <c r="F39" s="413">
        <v>1500000.0</v>
      </c>
      <c r="G39" s="403"/>
      <c r="H39" s="402"/>
      <c r="I39" s="404" t="str">
        <f t="shared" si="1"/>
        <v>NOT PAID</v>
      </c>
      <c r="J39" s="402"/>
      <c r="K39" s="402"/>
      <c r="L39" s="402"/>
      <c r="M39" s="402"/>
      <c r="N39" s="402"/>
      <c r="O39" s="402"/>
      <c r="P39" s="402"/>
      <c r="Q39" s="402"/>
      <c r="R39" s="402"/>
      <c r="S39" s="402"/>
      <c r="T39" s="402"/>
      <c r="U39" s="402"/>
      <c r="V39" s="402"/>
      <c r="W39" s="402"/>
      <c r="X39" s="402"/>
      <c r="Y39" s="402"/>
      <c r="Z39" s="402"/>
      <c r="AA39" s="405"/>
      <c r="AB39" s="405"/>
    </row>
    <row r="40" ht="14.25" customHeight="1">
      <c r="A40" s="406">
        <v>45495.0</v>
      </c>
      <c r="B40" s="349" t="s">
        <v>800</v>
      </c>
      <c r="C40" s="425" t="s">
        <v>801</v>
      </c>
      <c r="D40" s="349" t="s">
        <v>54</v>
      </c>
      <c r="E40" s="349" t="s">
        <v>273</v>
      </c>
      <c r="F40" s="413">
        <v>30000.0</v>
      </c>
      <c r="G40" s="403"/>
      <c r="H40" s="402"/>
      <c r="I40" s="404" t="str">
        <f t="shared" si="1"/>
        <v>NOT PAID</v>
      </c>
      <c r="J40" s="402"/>
      <c r="K40" s="402"/>
      <c r="L40" s="402"/>
      <c r="M40" s="402"/>
      <c r="N40" s="402"/>
      <c r="O40" s="402"/>
      <c r="P40" s="402"/>
      <c r="Q40" s="402"/>
      <c r="R40" s="402"/>
      <c r="S40" s="402"/>
      <c r="T40" s="402"/>
      <c r="U40" s="402"/>
      <c r="V40" s="402"/>
      <c r="W40" s="402"/>
      <c r="X40" s="402"/>
      <c r="Y40" s="402"/>
      <c r="Z40" s="402"/>
      <c r="AA40" s="405"/>
      <c r="AB40" s="405"/>
    </row>
    <row r="41" ht="14.25" customHeight="1">
      <c r="A41" s="406">
        <v>45495.0</v>
      </c>
      <c r="B41" s="349" t="s">
        <v>802</v>
      </c>
      <c r="C41" s="349" t="s">
        <v>803</v>
      </c>
      <c r="D41" s="349" t="s">
        <v>54</v>
      </c>
      <c r="E41" s="349" t="s">
        <v>114</v>
      </c>
      <c r="F41" s="413">
        <v>750023.8</v>
      </c>
      <c r="G41" s="403"/>
      <c r="H41" s="402"/>
      <c r="I41" s="404" t="str">
        <f t="shared" si="1"/>
        <v>NOT PAID</v>
      </c>
      <c r="J41" s="402"/>
      <c r="K41" s="402"/>
      <c r="L41" s="402"/>
      <c r="M41" s="402"/>
      <c r="N41" s="402"/>
      <c r="O41" s="402"/>
      <c r="P41" s="402"/>
      <c r="Q41" s="402"/>
      <c r="R41" s="402"/>
      <c r="S41" s="402"/>
      <c r="T41" s="402"/>
      <c r="U41" s="402"/>
      <c r="V41" s="402"/>
      <c r="W41" s="402"/>
      <c r="X41" s="402"/>
      <c r="Y41" s="402"/>
      <c r="Z41" s="402"/>
      <c r="AA41" s="405"/>
      <c r="AB41" s="405"/>
    </row>
    <row r="42" ht="14.25" customHeight="1">
      <c r="A42" s="406"/>
      <c r="B42" s="402"/>
      <c r="C42" s="402"/>
      <c r="D42" s="402"/>
      <c r="E42" s="402"/>
      <c r="F42" s="403"/>
      <c r="G42" s="403"/>
      <c r="H42" s="402"/>
      <c r="I42" s="404"/>
      <c r="J42" s="402"/>
      <c r="K42" s="402"/>
      <c r="L42" s="402"/>
      <c r="M42" s="402"/>
      <c r="N42" s="402"/>
      <c r="O42" s="402"/>
      <c r="P42" s="402"/>
      <c r="Q42" s="402"/>
      <c r="R42" s="402"/>
      <c r="S42" s="402"/>
      <c r="T42" s="402"/>
      <c r="U42" s="402"/>
      <c r="V42" s="402"/>
      <c r="W42" s="402"/>
      <c r="X42" s="402"/>
      <c r="Y42" s="402"/>
      <c r="Z42" s="402"/>
      <c r="AA42" s="405"/>
      <c r="AB42" s="405"/>
    </row>
    <row r="43" ht="14.25" customHeight="1">
      <c r="A43" s="406"/>
      <c r="B43" s="402"/>
      <c r="C43" s="402"/>
      <c r="D43" s="402"/>
      <c r="E43" s="402"/>
      <c r="F43" s="403"/>
      <c r="G43" s="403"/>
      <c r="H43" s="402"/>
      <c r="I43" s="404"/>
      <c r="J43" s="402"/>
      <c r="K43" s="402"/>
      <c r="L43" s="402"/>
      <c r="M43" s="402"/>
      <c r="N43" s="402"/>
      <c r="O43" s="402"/>
      <c r="P43" s="402"/>
      <c r="Q43" s="402"/>
      <c r="R43" s="402"/>
      <c r="S43" s="402"/>
      <c r="T43" s="402"/>
      <c r="U43" s="402"/>
      <c r="V43" s="402"/>
      <c r="W43" s="402"/>
      <c r="X43" s="402"/>
      <c r="Y43" s="402"/>
      <c r="Z43" s="402"/>
      <c r="AA43" s="405"/>
      <c r="AB43" s="405"/>
    </row>
    <row r="44" ht="14.25" customHeight="1">
      <c r="A44" s="406"/>
      <c r="B44" s="401">
        <v>45496.0</v>
      </c>
      <c r="C44" s="402"/>
      <c r="D44" s="402"/>
      <c r="E44" s="402"/>
      <c r="F44" s="403"/>
      <c r="G44" s="403"/>
      <c r="H44" s="402"/>
      <c r="I44" s="404"/>
      <c r="J44" s="402"/>
      <c r="K44" s="402"/>
      <c r="L44" s="402"/>
      <c r="M44" s="402"/>
      <c r="N44" s="402"/>
      <c r="O44" s="402"/>
      <c r="P44" s="402"/>
      <c r="Q44" s="402"/>
      <c r="R44" s="402"/>
      <c r="S44" s="402"/>
      <c r="T44" s="402"/>
      <c r="U44" s="402"/>
      <c r="V44" s="402"/>
      <c r="W44" s="402"/>
      <c r="X44" s="402"/>
      <c r="Y44" s="402"/>
      <c r="Z44" s="402"/>
      <c r="AA44" s="405"/>
      <c r="AB44" s="405"/>
    </row>
    <row r="45" ht="14.25" customHeight="1">
      <c r="A45" s="406">
        <v>45496.0</v>
      </c>
      <c r="B45" s="407" t="s">
        <v>691</v>
      </c>
      <c r="C45" s="408" t="s">
        <v>692</v>
      </c>
      <c r="D45" s="349" t="s">
        <v>54</v>
      </c>
      <c r="E45" s="349" t="s">
        <v>693</v>
      </c>
      <c r="F45" s="409">
        <v>3600.0</v>
      </c>
      <c r="G45" s="403"/>
      <c r="H45" s="402"/>
      <c r="I45" s="404" t="str">
        <f t="shared" ref="I45:I86" si="2">IF(G45&gt;=F45,"FULLY PAID",IF(G45=0,"NOT PAID","PARTIALLY PAID"))</f>
        <v>NOT PAID</v>
      </c>
      <c r="J45" s="402"/>
      <c r="K45" s="402"/>
      <c r="L45" s="402"/>
      <c r="M45" s="402"/>
      <c r="N45" s="402"/>
      <c r="O45" s="402"/>
      <c r="P45" s="402"/>
      <c r="Q45" s="402"/>
      <c r="R45" s="402"/>
      <c r="S45" s="402"/>
      <c r="T45" s="402"/>
      <c r="U45" s="402"/>
      <c r="V45" s="402"/>
      <c r="W45" s="402"/>
      <c r="X45" s="402"/>
      <c r="Y45" s="402"/>
      <c r="Z45" s="402"/>
      <c r="AA45" s="405"/>
      <c r="AB45" s="405"/>
    </row>
    <row r="46" ht="14.25" customHeight="1">
      <c r="A46" s="406">
        <v>45496.0</v>
      </c>
      <c r="B46" s="410" t="s">
        <v>695</v>
      </c>
      <c r="C46" s="411" t="s">
        <v>696</v>
      </c>
      <c r="D46" s="343" t="s">
        <v>54</v>
      </c>
      <c r="E46" s="412" t="s">
        <v>693</v>
      </c>
      <c r="F46" s="413">
        <v>61772.77</v>
      </c>
      <c r="G46" s="403"/>
      <c r="H46" s="349" t="s">
        <v>697</v>
      </c>
      <c r="I46" s="404" t="str">
        <f t="shared" si="2"/>
        <v>NOT PAID</v>
      </c>
      <c r="J46" s="402"/>
      <c r="K46" s="402"/>
      <c r="L46" s="402"/>
      <c r="M46" s="402"/>
      <c r="N46" s="402"/>
      <c r="O46" s="402"/>
      <c r="P46" s="402"/>
      <c r="Q46" s="402"/>
      <c r="R46" s="402"/>
      <c r="S46" s="402"/>
      <c r="T46" s="402"/>
      <c r="U46" s="402"/>
      <c r="V46" s="402"/>
      <c r="W46" s="402"/>
      <c r="X46" s="402"/>
      <c r="Y46" s="402"/>
      <c r="Z46" s="402"/>
      <c r="AA46" s="405"/>
      <c r="AB46" s="405"/>
    </row>
    <row r="47" ht="14.25" customHeight="1">
      <c r="A47" s="406">
        <v>45496.0</v>
      </c>
      <c r="B47" s="414" t="s">
        <v>698</v>
      </c>
      <c r="C47" s="415" t="s">
        <v>699</v>
      </c>
      <c r="D47" s="343" t="s">
        <v>54</v>
      </c>
      <c r="E47" s="412" t="s">
        <v>693</v>
      </c>
      <c r="F47" s="413">
        <v>35648.78</v>
      </c>
      <c r="G47" s="413">
        <v>28000.0</v>
      </c>
      <c r="H47" s="349" t="s">
        <v>804</v>
      </c>
      <c r="I47" s="404" t="str">
        <f t="shared" si="2"/>
        <v>PARTIALLY PAID</v>
      </c>
      <c r="J47" s="402"/>
      <c r="K47" s="402"/>
      <c r="L47" s="402"/>
      <c r="M47" s="402"/>
      <c r="N47" s="402"/>
      <c r="O47" s="402"/>
      <c r="P47" s="402"/>
      <c r="Q47" s="402"/>
      <c r="R47" s="402"/>
      <c r="S47" s="402"/>
      <c r="T47" s="402"/>
      <c r="U47" s="402"/>
      <c r="V47" s="402"/>
      <c r="W47" s="402"/>
      <c r="X47" s="402"/>
      <c r="Y47" s="402"/>
      <c r="Z47" s="402"/>
      <c r="AA47" s="405"/>
      <c r="AB47" s="405"/>
    </row>
    <row r="48" ht="14.25" customHeight="1">
      <c r="A48" s="406">
        <v>45496.0</v>
      </c>
      <c r="B48" s="343" t="s">
        <v>701</v>
      </c>
      <c r="C48" s="344" t="s">
        <v>702</v>
      </c>
      <c r="D48" s="343" t="s">
        <v>54</v>
      </c>
      <c r="E48" s="349" t="s">
        <v>703</v>
      </c>
      <c r="F48" s="413">
        <v>46392.0</v>
      </c>
      <c r="G48" s="403"/>
      <c r="H48" s="349" t="s">
        <v>805</v>
      </c>
      <c r="I48" s="404" t="str">
        <f t="shared" si="2"/>
        <v>NOT PAID</v>
      </c>
      <c r="J48" s="402"/>
      <c r="K48" s="402"/>
      <c r="L48" s="402"/>
      <c r="M48" s="402"/>
      <c r="N48" s="402"/>
      <c r="O48" s="402"/>
      <c r="P48" s="402"/>
      <c r="Q48" s="402"/>
      <c r="R48" s="402"/>
      <c r="S48" s="402"/>
      <c r="T48" s="402"/>
      <c r="U48" s="402"/>
      <c r="V48" s="402"/>
      <c r="W48" s="402"/>
      <c r="X48" s="402"/>
      <c r="Y48" s="402"/>
      <c r="Z48" s="402"/>
      <c r="AA48" s="405"/>
      <c r="AB48" s="405"/>
    </row>
    <row r="49" ht="14.25" customHeight="1">
      <c r="A49" s="406">
        <v>45496.0</v>
      </c>
      <c r="B49" s="410" t="s">
        <v>705</v>
      </c>
      <c r="C49" s="411" t="s">
        <v>706</v>
      </c>
      <c r="D49" s="343" t="s">
        <v>54</v>
      </c>
      <c r="E49" s="349" t="s">
        <v>703</v>
      </c>
      <c r="F49" s="413">
        <v>8643.36</v>
      </c>
      <c r="G49" s="403"/>
      <c r="H49" s="349" t="s">
        <v>806</v>
      </c>
      <c r="I49" s="404" t="str">
        <f t="shared" si="2"/>
        <v>NOT PAID</v>
      </c>
      <c r="J49" s="402"/>
      <c r="K49" s="402"/>
      <c r="L49" s="402"/>
      <c r="M49" s="402"/>
      <c r="N49" s="402"/>
      <c r="O49" s="402"/>
      <c r="P49" s="402"/>
      <c r="Q49" s="402"/>
      <c r="R49" s="402"/>
      <c r="S49" s="402"/>
      <c r="T49" s="402"/>
      <c r="U49" s="402"/>
      <c r="V49" s="402"/>
      <c r="W49" s="402"/>
      <c r="X49" s="402"/>
      <c r="Y49" s="402"/>
      <c r="Z49" s="402"/>
      <c r="AA49" s="405"/>
      <c r="AB49" s="405"/>
    </row>
    <row r="50" ht="14.25" customHeight="1">
      <c r="A50" s="406">
        <v>45496.0</v>
      </c>
      <c r="B50" s="410" t="s">
        <v>711</v>
      </c>
      <c r="C50" s="411" t="s">
        <v>712</v>
      </c>
      <c r="D50" s="411" t="s">
        <v>75</v>
      </c>
      <c r="E50" s="410" t="s">
        <v>703</v>
      </c>
      <c r="F50" s="416">
        <v>250845.0</v>
      </c>
      <c r="G50" s="403"/>
      <c r="H50" s="349" t="s">
        <v>713</v>
      </c>
      <c r="I50" s="404" t="str">
        <f t="shared" si="2"/>
        <v>NOT PAID</v>
      </c>
      <c r="J50" s="402"/>
      <c r="K50" s="402"/>
      <c r="L50" s="402"/>
      <c r="M50" s="402"/>
      <c r="N50" s="402"/>
      <c r="O50" s="402"/>
      <c r="P50" s="402"/>
      <c r="Q50" s="402"/>
      <c r="R50" s="402"/>
      <c r="S50" s="402"/>
      <c r="T50" s="402"/>
      <c r="U50" s="402"/>
      <c r="V50" s="402"/>
      <c r="W50" s="402"/>
      <c r="X50" s="402"/>
      <c r="Y50" s="402"/>
      <c r="Z50" s="402"/>
      <c r="AA50" s="405"/>
      <c r="AB50" s="405"/>
    </row>
    <row r="51" ht="14.25" hidden="1" customHeight="1">
      <c r="A51" s="406">
        <v>45496.0</v>
      </c>
      <c r="B51" s="349" t="s">
        <v>714</v>
      </c>
      <c r="C51" s="349" t="s">
        <v>715</v>
      </c>
      <c r="D51" s="349" t="s">
        <v>75</v>
      </c>
      <c r="E51" s="410" t="s">
        <v>703</v>
      </c>
      <c r="F51" s="416">
        <v>11237.5</v>
      </c>
      <c r="G51" s="403"/>
      <c r="H51" s="402"/>
      <c r="I51" s="404" t="str">
        <f t="shared" si="2"/>
        <v>NOT PAID</v>
      </c>
      <c r="J51" s="402"/>
      <c r="K51" s="402"/>
      <c r="L51" s="402"/>
      <c r="M51" s="402"/>
      <c r="N51" s="402"/>
      <c r="O51" s="402"/>
      <c r="P51" s="402"/>
      <c r="Q51" s="402"/>
      <c r="R51" s="402"/>
      <c r="S51" s="402"/>
      <c r="T51" s="402"/>
      <c r="U51" s="402"/>
      <c r="V51" s="402"/>
      <c r="W51" s="402"/>
      <c r="X51" s="402"/>
      <c r="Y51" s="402"/>
      <c r="Z51" s="402"/>
      <c r="AA51" s="405"/>
      <c r="AB51" s="405"/>
    </row>
    <row r="52" ht="14.25" hidden="1" customHeight="1">
      <c r="A52" s="406">
        <v>45496.0</v>
      </c>
      <c r="B52" s="410" t="s">
        <v>717</v>
      </c>
      <c r="C52" s="411" t="s">
        <v>718</v>
      </c>
      <c r="D52" s="411" t="s">
        <v>54</v>
      </c>
      <c r="E52" s="410" t="s">
        <v>703</v>
      </c>
      <c r="F52" s="416">
        <v>1275.01</v>
      </c>
      <c r="G52" s="403"/>
      <c r="H52" s="402"/>
      <c r="I52" s="404" t="str">
        <f t="shared" si="2"/>
        <v>NOT PAID</v>
      </c>
      <c r="J52" s="402"/>
      <c r="K52" s="402"/>
      <c r="L52" s="402"/>
      <c r="M52" s="402"/>
      <c r="N52" s="402"/>
      <c r="O52" s="402"/>
      <c r="P52" s="402"/>
      <c r="Q52" s="402"/>
      <c r="R52" s="402"/>
      <c r="S52" s="402"/>
      <c r="T52" s="402"/>
      <c r="U52" s="402"/>
      <c r="V52" s="402"/>
      <c r="W52" s="402"/>
      <c r="X52" s="402"/>
      <c r="Y52" s="402"/>
      <c r="Z52" s="402"/>
      <c r="AA52" s="405"/>
      <c r="AB52" s="405"/>
    </row>
    <row r="53" ht="14.25" hidden="1" customHeight="1">
      <c r="A53" s="406">
        <v>45496.0</v>
      </c>
      <c r="B53" s="417" t="s">
        <v>720</v>
      </c>
      <c r="C53" s="418" t="s">
        <v>721</v>
      </c>
      <c r="D53" s="418" t="s">
        <v>54</v>
      </c>
      <c r="E53" s="349" t="s">
        <v>703</v>
      </c>
      <c r="F53" s="413">
        <v>50100.0</v>
      </c>
      <c r="G53" s="403"/>
      <c r="H53" s="402"/>
      <c r="I53" s="404" t="str">
        <f t="shared" si="2"/>
        <v>NOT PAID</v>
      </c>
      <c r="J53" s="402"/>
      <c r="K53" s="402"/>
      <c r="L53" s="402"/>
      <c r="M53" s="402"/>
      <c r="N53" s="402"/>
      <c r="O53" s="402"/>
      <c r="P53" s="402"/>
      <c r="Q53" s="402"/>
      <c r="R53" s="402"/>
      <c r="S53" s="402"/>
      <c r="T53" s="402"/>
      <c r="U53" s="402"/>
      <c r="V53" s="402"/>
      <c r="W53" s="402"/>
      <c r="X53" s="402"/>
      <c r="Y53" s="402"/>
      <c r="Z53" s="402"/>
      <c r="AA53" s="405"/>
      <c r="AB53" s="405"/>
    </row>
    <row r="54" ht="14.25" hidden="1" customHeight="1">
      <c r="A54" s="406">
        <v>45496.0</v>
      </c>
      <c r="B54" s="407" t="s">
        <v>723</v>
      </c>
      <c r="C54" s="408" t="s">
        <v>724</v>
      </c>
      <c r="D54" s="408" t="s">
        <v>54</v>
      </c>
      <c r="E54" s="349" t="s">
        <v>703</v>
      </c>
      <c r="F54" s="416">
        <v>28104.75</v>
      </c>
      <c r="G54" s="403"/>
      <c r="H54" s="402"/>
      <c r="I54" s="404" t="str">
        <f t="shared" si="2"/>
        <v>NOT PAID</v>
      </c>
      <c r="J54" s="402"/>
      <c r="K54" s="402"/>
      <c r="L54" s="402"/>
      <c r="M54" s="402"/>
      <c r="N54" s="402"/>
      <c r="O54" s="402"/>
      <c r="P54" s="402"/>
      <c r="Q54" s="402"/>
      <c r="R54" s="402"/>
      <c r="S54" s="402"/>
      <c r="T54" s="402"/>
      <c r="U54" s="402"/>
      <c r="V54" s="402"/>
      <c r="W54" s="402"/>
      <c r="X54" s="402"/>
      <c r="Y54" s="402"/>
      <c r="Z54" s="402"/>
      <c r="AA54" s="405"/>
      <c r="AB54" s="405"/>
    </row>
    <row r="55" ht="14.25" hidden="1" customHeight="1">
      <c r="A55" s="406">
        <v>45496.0</v>
      </c>
      <c r="B55" s="407" t="s">
        <v>729</v>
      </c>
      <c r="C55" s="408" t="s">
        <v>730</v>
      </c>
      <c r="D55" s="408" t="s">
        <v>54</v>
      </c>
      <c r="E55" s="349" t="s">
        <v>703</v>
      </c>
      <c r="F55" s="416">
        <v>286339.38</v>
      </c>
      <c r="G55" s="403"/>
      <c r="H55" s="402"/>
      <c r="I55" s="404" t="str">
        <f t="shared" si="2"/>
        <v>NOT PAID</v>
      </c>
      <c r="J55" s="402"/>
      <c r="K55" s="402"/>
      <c r="L55" s="402"/>
      <c r="M55" s="402"/>
      <c r="N55" s="402"/>
      <c r="O55" s="402"/>
      <c r="P55" s="402"/>
      <c r="Q55" s="402"/>
      <c r="R55" s="402"/>
      <c r="S55" s="402"/>
      <c r="T55" s="402"/>
      <c r="U55" s="402"/>
      <c r="V55" s="402"/>
      <c r="W55" s="402"/>
      <c r="X55" s="402"/>
      <c r="Y55" s="402"/>
      <c r="Z55" s="402"/>
      <c r="AA55" s="405"/>
      <c r="AB55" s="405"/>
    </row>
    <row r="56" ht="14.25" hidden="1" customHeight="1">
      <c r="A56" s="406">
        <v>45496.0</v>
      </c>
      <c r="B56" s="407" t="s">
        <v>807</v>
      </c>
      <c r="C56" s="408" t="s">
        <v>808</v>
      </c>
      <c r="D56" s="408" t="s">
        <v>54</v>
      </c>
      <c r="E56" s="349" t="s">
        <v>703</v>
      </c>
      <c r="F56" s="416">
        <v>31900.0</v>
      </c>
      <c r="G56" s="403"/>
      <c r="H56" s="402"/>
      <c r="I56" s="404" t="str">
        <f t="shared" si="2"/>
        <v>NOT PAID</v>
      </c>
      <c r="J56" s="402"/>
      <c r="K56" s="402"/>
      <c r="L56" s="402"/>
      <c r="M56" s="402"/>
      <c r="N56" s="402"/>
      <c r="O56" s="402"/>
      <c r="P56" s="402"/>
      <c r="Q56" s="402"/>
      <c r="R56" s="402"/>
      <c r="S56" s="402"/>
      <c r="T56" s="402"/>
      <c r="U56" s="402"/>
      <c r="V56" s="402"/>
      <c r="W56" s="402"/>
      <c r="X56" s="402"/>
      <c r="Y56" s="402"/>
      <c r="Z56" s="402"/>
      <c r="AA56" s="405"/>
      <c r="AB56" s="405"/>
    </row>
    <row r="57" ht="14.25" hidden="1" customHeight="1">
      <c r="A57" s="406">
        <v>45496.0</v>
      </c>
      <c r="B57" s="407" t="s">
        <v>809</v>
      </c>
      <c r="C57" s="408" t="s">
        <v>810</v>
      </c>
      <c r="D57" s="408" t="s">
        <v>54</v>
      </c>
      <c r="E57" s="349" t="s">
        <v>703</v>
      </c>
      <c r="F57" s="416">
        <v>177077.95</v>
      </c>
      <c r="G57" s="403"/>
      <c r="H57" s="402"/>
      <c r="I57" s="404" t="str">
        <f t="shared" si="2"/>
        <v>NOT PAID</v>
      </c>
      <c r="J57" s="402"/>
      <c r="K57" s="402"/>
      <c r="L57" s="402"/>
      <c r="M57" s="402"/>
      <c r="N57" s="402"/>
      <c r="O57" s="402"/>
      <c r="P57" s="402"/>
      <c r="Q57" s="402"/>
      <c r="R57" s="402"/>
      <c r="S57" s="402"/>
      <c r="T57" s="402"/>
      <c r="U57" s="402"/>
      <c r="V57" s="402"/>
      <c r="W57" s="402"/>
      <c r="X57" s="402"/>
      <c r="Y57" s="402"/>
      <c r="Z57" s="402"/>
      <c r="AA57" s="405"/>
      <c r="AB57" s="405"/>
    </row>
    <row r="58" ht="14.25" customHeight="1">
      <c r="A58" s="406">
        <v>45496.0</v>
      </c>
      <c r="B58" s="407" t="s">
        <v>811</v>
      </c>
      <c r="C58" s="408" t="s">
        <v>812</v>
      </c>
      <c r="D58" s="408" t="s">
        <v>54</v>
      </c>
      <c r="E58" s="349" t="s">
        <v>703</v>
      </c>
      <c r="F58" s="416">
        <v>19120.0</v>
      </c>
      <c r="G58" s="413">
        <v>20000.0</v>
      </c>
      <c r="H58" s="349" t="s">
        <v>267</v>
      </c>
      <c r="I58" s="404" t="str">
        <f t="shared" si="2"/>
        <v>FULLY PAID</v>
      </c>
      <c r="J58" s="402"/>
      <c r="K58" s="402"/>
      <c r="L58" s="402"/>
      <c r="M58" s="402"/>
      <c r="N58" s="402"/>
      <c r="O58" s="402"/>
      <c r="P58" s="402"/>
      <c r="Q58" s="402"/>
      <c r="R58" s="402"/>
      <c r="S58" s="402"/>
      <c r="T58" s="402"/>
      <c r="U58" s="402"/>
      <c r="V58" s="402"/>
      <c r="W58" s="402"/>
      <c r="X58" s="402"/>
      <c r="Y58" s="402"/>
      <c r="Z58" s="402"/>
      <c r="AA58" s="405"/>
      <c r="AB58" s="405"/>
    </row>
    <row r="59" ht="14.25" customHeight="1">
      <c r="A59" s="406">
        <v>45496.0</v>
      </c>
      <c r="B59" s="410" t="s">
        <v>731</v>
      </c>
      <c r="C59" s="411" t="s">
        <v>732</v>
      </c>
      <c r="D59" s="411" t="s">
        <v>54</v>
      </c>
      <c r="E59" s="410" t="s">
        <v>733</v>
      </c>
      <c r="F59" s="416">
        <v>11892.0</v>
      </c>
      <c r="G59" s="413">
        <v>700.0</v>
      </c>
      <c r="H59" s="349" t="s">
        <v>734</v>
      </c>
      <c r="I59" s="404" t="str">
        <f t="shared" si="2"/>
        <v>PARTIALLY PAID</v>
      </c>
      <c r="J59" s="402"/>
      <c r="K59" s="402"/>
      <c r="L59" s="402"/>
      <c r="M59" s="402"/>
      <c r="N59" s="402"/>
      <c r="O59" s="402"/>
      <c r="P59" s="402"/>
      <c r="Q59" s="402"/>
      <c r="R59" s="402"/>
      <c r="S59" s="402"/>
      <c r="T59" s="402"/>
      <c r="U59" s="402"/>
      <c r="V59" s="402"/>
      <c r="W59" s="402"/>
      <c r="X59" s="402"/>
      <c r="Y59" s="402"/>
      <c r="Z59" s="402"/>
      <c r="AA59" s="405"/>
      <c r="AB59" s="405"/>
    </row>
    <row r="60" ht="14.25" customHeight="1">
      <c r="A60" s="406">
        <v>45496.0</v>
      </c>
      <c r="B60" s="410" t="s">
        <v>813</v>
      </c>
      <c r="C60" s="418" t="s">
        <v>736</v>
      </c>
      <c r="D60" s="418" t="s">
        <v>54</v>
      </c>
      <c r="E60" s="410" t="s">
        <v>733</v>
      </c>
      <c r="F60" s="416">
        <v>43500.0</v>
      </c>
      <c r="G60" s="413">
        <v>47500.0</v>
      </c>
      <c r="H60" s="349" t="s">
        <v>710</v>
      </c>
      <c r="I60" s="404" t="str">
        <f t="shared" si="2"/>
        <v>FULLY PAID</v>
      </c>
      <c r="J60" s="402"/>
      <c r="K60" s="402"/>
      <c r="L60" s="402"/>
      <c r="M60" s="402"/>
      <c r="N60" s="402"/>
      <c r="O60" s="402"/>
      <c r="P60" s="402"/>
      <c r="Q60" s="402"/>
      <c r="R60" s="402"/>
      <c r="S60" s="402"/>
      <c r="T60" s="402"/>
      <c r="U60" s="402"/>
      <c r="V60" s="402"/>
      <c r="W60" s="402"/>
      <c r="X60" s="402"/>
      <c r="Y60" s="402"/>
      <c r="Z60" s="402"/>
      <c r="AA60" s="405"/>
      <c r="AB60" s="405"/>
    </row>
    <row r="61" ht="14.25" customHeight="1">
      <c r="A61" s="406">
        <v>45496.0</v>
      </c>
      <c r="B61" s="410" t="s">
        <v>814</v>
      </c>
      <c r="C61" s="415" t="s">
        <v>815</v>
      </c>
      <c r="D61" s="418" t="s">
        <v>54</v>
      </c>
      <c r="E61" s="410" t="s">
        <v>733</v>
      </c>
      <c r="F61" s="416">
        <v>217949.0</v>
      </c>
      <c r="G61" s="413">
        <v>0.0</v>
      </c>
      <c r="H61" s="349" t="s">
        <v>816</v>
      </c>
      <c r="I61" s="404" t="str">
        <f t="shared" si="2"/>
        <v>NOT PAID</v>
      </c>
      <c r="J61" s="402"/>
      <c r="K61" s="402"/>
      <c r="L61" s="402"/>
      <c r="M61" s="402"/>
      <c r="N61" s="402"/>
      <c r="O61" s="402"/>
      <c r="P61" s="402"/>
      <c r="Q61" s="402"/>
      <c r="R61" s="402"/>
      <c r="S61" s="402"/>
      <c r="T61" s="402"/>
      <c r="U61" s="402"/>
      <c r="V61" s="402"/>
      <c r="W61" s="402"/>
      <c r="X61" s="402"/>
      <c r="Y61" s="402"/>
      <c r="Z61" s="402"/>
      <c r="AA61" s="405"/>
      <c r="AB61" s="405"/>
    </row>
    <row r="62" ht="14.25" customHeight="1">
      <c r="A62" s="406">
        <v>45496.0</v>
      </c>
      <c r="B62" s="410" t="s">
        <v>817</v>
      </c>
      <c r="C62" s="415" t="s">
        <v>818</v>
      </c>
      <c r="D62" s="418" t="s">
        <v>54</v>
      </c>
      <c r="E62" s="410" t="s">
        <v>733</v>
      </c>
      <c r="F62" s="416">
        <v>36502.21</v>
      </c>
      <c r="G62" s="413">
        <v>0.0</v>
      </c>
      <c r="H62" s="349" t="s">
        <v>819</v>
      </c>
      <c r="I62" s="404" t="str">
        <f t="shared" si="2"/>
        <v>NOT PAID</v>
      </c>
      <c r="J62" s="402"/>
      <c r="K62" s="402"/>
      <c r="L62" s="402"/>
      <c r="M62" s="402"/>
      <c r="N62" s="402"/>
      <c r="O62" s="402"/>
      <c r="P62" s="402"/>
      <c r="Q62" s="402"/>
      <c r="R62" s="402"/>
      <c r="S62" s="402"/>
      <c r="T62" s="402"/>
      <c r="U62" s="402"/>
      <c r="V62" s="402"/>
      <c r="W62" s="402"/>
      <c r="X62" s="402"/>
      <c r="Y62" s="402"/>
      <c r="Z62" s="402"/>
      <c r="AA62" s="405"/>
      <c r="AB62" s="405"/>
    </row>
    <row r="63" ht="14.25" customHeight="1">
      <c r="A63" s="406">
        <v>45496.0</v>
      </c>
      <c r="B63" s="343" t="s">
        <v>738</v>
      </c>
      <c r="C63" s="344" t="s">
        <v>739</v>
      </c>
      <c r="D63" s="343" t="s">
        <v>54</v>
      </c>
      <c r="E63" s="343" t="s">
        <v>740</v>
      </c>
      <c r="F63" s="413">
        <v>95823.09</v>
      </c>
      <c r="G63" s="403"/>
      <c r="H63" s="349" t="s">
        <v>820</v>
      </c>
      <c r="I63" s="404" t="str">
        <f t="shared" si="2"/>
        <v>NOT PAID</v>
      </c>
      <c r="J63" s="402"/>
      <c r="K63" s="402"/>
      <c r="L63" s="402"/>
      <c r="M63" s="402"/>
      <c r="N63" s="402"/>
      <c r="O63" s="402"/>
      <c r="P63" s="402"/>
      <c r="Q63" s="402"/>
      <c r="R63" s="402"/>
      <c r="S63" s="402"/>
      <c r="T63" s="402"/>
      <c r="U63" s="402"/>
      <c r="V63" s="402"/>
      <c r="W63" s="402"/>
      <c r="X63" s="402"/>
      <c r="Y63" s="402"/>
      <c r="Z63" s="402"/>
      <c r="AA63" s="405"/>
      <c r="AB63" s="405"/>
    </row>
    <row r="64" ht="14.25" customHeight="1">
      <c r="A64" s="406">
        <v>45496.0</v>
      </c>
      <c r="B64" s="407" t="s">
        <v>742</v>
      </c>
      <c r="C64" s="408" t="s">
        <v>743</v>
      </c>
      <c r="D64" s="408" t="s">
        <v>54</v>
      </c>
      <c r="E64" s="343" t="s">
        <v>740</v>
      </c>
      <c r="F64" s="413">
        <v>112579.0</v>
      </c>
      <c r="G64" s="403"/>
      <c r="H64" s="349" t="s">
        <v>821</v>
      </c>
      <c r="I64" s="404" t="str">
        <f t="shared" si="2"/>
        <v>NOT PAID</v>
      </c>
      <c r="J64" s="402"/>
      <c r="K64" s="402"/>
      <c r="L64" s="402"/>
      <c r="M64" s="402"/>
      <c r="N64" s="402"/>
      <c r="O64" s="402"/>
      <c r="P64" s="402"/>
      <c r="Q64" s="402"/>
      <c r="R64" s="402"/>
      <c r="S64" s="402"/>
      <c r="T64" s="402"/>
      <c r="U64" s="402"/>
      <c r="V64" s="402"/>
      <c r="W64" s="402"/>
      <c r="X64" s="402"/>
      <c r="Y64" s="402"/>
      <c r="Z64" s="402"/>
      <c r="AA64" s="405"/>
      <c r="AB64" s="405"/>
    </row>
    <row r="65" ht="14.25" customHeight="1">
      <c r="A65" s="406">
        <v>45496.0</v>
      </c>
      <c r="B65" s="419" t="s">
        <v>746</v>
      </c>
      <c r="C65" s="420" t="s">
        <v>747</v>
      </c>
      <c r="D65" s="408" t="s">
        <v>54</v>
      </c>
      <c r="E65" s="343" t="s">
        <v>740</v>
      </c>
      <c r="F65" s="413">
        <v>74378.5</v>
      </c>
      <c r="G65" s="403"/>
      <c r="H65" s="402"/>
      <c r="I65" s="404" t="str">
        <f t="shared" si="2"/>
        <v>NOT PAID</v>
      </c>
      <c r="J65" s="402"/>
      <c r="K65" s="402"/>
      <c r="L65" s="402"/>
      <c r="M65" s="402"/>
      <c r="N65" s="402"/>
      <c r="O65" s="402"/>
      <c r="P65" s="402"/>
      <c r="Q65" s="402"/>
      <c r="R65" s="402"/>
      <c r="S65" s="402"/>
      <c r="T65" s="402"/>
      <c r="U65" s="402"/>
      <c r="V65" s="402"/>
      <c r="W65" s="402"/>
      <c r="X65" s="402"/>
      <c r="Y65" s="402"/>
      <c r="Z65" s="402"/>
      <c r="AA65" s="405"/>
      <c r="AB65" s="405"/>
    </row>
    <row r="66" ht="14.25" customHeight="1">
      <c r="A66" s="406">
        <v>45496.0</v>
      </c>
      <c r="B66" s="407" t="s">
        <v>749</v>
      </c>
      <c r="C66" s="408" t="s">
        <v>750</v>
      </c>
      <c r="D66" s="408" t="s">
        <v>54</v>
      </c>
      <c r="E66" s="343" t="s">
        <v>740</v>
      </c>
      <c r="F66" s="413">
        <v>30081.0</v>
      </c>
      <c r="G66" s="403"/>
      <c r="H66" s="349" t="s">
        <v>822</v>
      </c>
      <c r="I66" s="404" t="str">
        <f t="shared" si="2"/>
        <v>NOT PAID</v>
      </c>
      <c r="J66" s="402"/>
      <c r="K66" s="402"/>
      <c r="L66" s="402"/>
      <c r="M66" s="402"/>
      <c r="N66" s="402"/>
      <c r="O66" s="402"/>
      <c r="P66" s="402"/>
      <c r="Q66" s="402"/>
      <c r="R66" s="402"/>
      <c r="S66" s="402"/>
      <c r="T66" s="402"/>
      <c r="U66" s="402"/>
      <c r="V66" s="402"/>
      <c r="W66" s="402"/>
      <c r="X66" s="402"/>
      <c r="Y66" s="402"/>
      <c r="Z66" s="402"/>
      <c r="AA66" s="405"/>
      <c r="AB66" s="405"/>
    </row>
    <row r="67" ht="14.25" customHeight="1">
      <c r="A67" s="406">
        <v>45496.0</v>
      </c>
      <c r="B67" s="349" t="s">
        <v>752</v>
      </c>
      <c r="C67" s="421" t="s">
        <v>753</v>
      </c>
      <c r="D67" s="421" t="s">
        <v>54</v>
      </c>
      <c r="E67" s="410" t="s">
        <v>740</v>
      </c>
      <c r="F67" s="413">
        <v>1008587.0</v>
      </c>
      <c r="G67" s="403"/>
      <c r="H67" s="349" t="s">
        <v>823</v>
      </c>
      <c r="I67" s="404" t="str">
        <f t="shared" si="2"/>
        <v>NOT PAID</v>
      </c>
      <c r="J67" s="402"/>
      <c r="K67" s="402"/>
      <c r="L67" s="402"/>
      <c r="M67" s="402"/>
      <c r="N67" s="402"/>
      <c r="O67" s="402"/>
      <c r="P67" s="402"/>
      <c r="Q67" s="402"/>
      <c r="R67" s="402"/>
      <c r="S67" s="402"/>
      <c r="T67" s="402"/>
      <c r="U67" s="402"/>
      <c r="V67" s="402"/>
      <c r="W67" s="402"/>
      <c r="X67" s="402"/>
      <c r="Y67" s="402"/>
      <c r="Z67" s="402"/>
      <c r="AA67" s="405"/>
      <c r="AB67" s="405"/>
    </row>
    <row r="68" ht="14.25" customHeight="1">
      <c r="A68" s="406">
        <v>45496.0</v>
      </c>
      <c r="B68" s="407" t="s">
        <v>754</v>
      </c>
      <c r="C68" s="408" t="s">
        <v>755</v>
      </c>
      <c r="D68" s="408" t="s">
        <v>59</v>
      </c>
      <c r="E68" s="410" t="s">
        <v>740</v>
      </c>
      <c r="F68" s="413">
        <v>119067.3</v>
      </c>
      <c r="G68" s="403"/>
      <c r="H68" s="349" t="s">
        <v>824</v>
      </c>
      <c r="I68" s="404" t="str">
        <f t="shared" si="2"/>
        <v>NOT PAID</v>
      </c>
      <c r="J68" s="402"/>
      <c r="K68" s="402"/>
      <c r="L68" s="402"/>
      <c r="M68" s="402"/>
      <c r="N68" s="402"/>
      <c r="O68" s="402"/>
      <c r="P68" s="402"/>
      <c r="Q68" s="402"/>
      <c r="R68" s="402"/>
      <c r="S68" s="402"/>
      <c r="T68" s="402"/>
      <c r="U68" s="402"/>
      <c r="V68" s="402"/>
      <c r="W68" s="402"/>
      <c r="X68" s="402"/>
      <c r="Y68" s="402"/>
      <c r="Z68" s="402"/>
      <c r="AA68" s="405"/>
      <c r="AB68" s="405"/>
    </row>
    <row r="69" ht="14.25" customHeight="1">
      <c r="A69" s="406">
        <v>45496.0</v>
      </c>
      <c r="B69" s="407" t="s">
        <v>825</v>
      </c>
      <c r="C69" s="408" t="s">
        <v>826</v>
      </c>
      <c r="D69" s="408" t="s">
        <v>54</v>
      </c>
      <c r="E69" s="410" t="s">
        <v>740</v>
      </c>
      <c r="F69" s="413">
        <v>278877.0</v>
      </c>
      <c r="G69" s="413">
        <v>278877.0</v>
      </c>
      <c r="H69" s="402"/>
      <c r="I69" s="404" t="str">
        <f t="shared" si="2"/>
        <v>FULLY PAID</v>
      </c>
      <c r="J69" s="402"/>
      <c r="K69" s="402"/>
      <c r="L69" s="402"/>
      <c r="M69" s="402"/>
      <c r="N69" s="402"/>
      <c r="O69" s="402"/>
      <c r="P69" s="402"/>
      <c r="Q69" s="402"/>
      <c r="R69" s="402"/>
      <c r="S69" s="402"/>
      <c r="T69" s="402"/>
      <c r="U69" s="402"/>
      <c r="V69" s="402"/>
      <c r="W69" s="402"/>
      <c r="X69" s="402"/>
      <c r="Y69" s="402"/>
      <c r="Z69" s="402"/>
      <c r="AA69" s="405"/>
      <c r="AB69" s="405"/>
    </row>
    <row r="70" ht="14.25" customHeight="1">
      <c r="A70" s="406">
        <v>45496.0</v>
      </c>
      <c r="B70" s="407" t="s">
        <v>827</v>
      </c>
      <c r="C70" s="408" t="s">
        <v>828</v>
      </c>
      <c r="D70" s="408" t="s">
        <v>54</v>
      </c>
      <c r="E70" s="349" t="s">
        <v>759</v>
      </c>
      <c r="F70" s="413">
        <v>78823.16</v>
      </c>
      <c r="G70" s="403"/>
      <c r="H70" s="349" t="s">
        <v>829</v>
      </c>
      <c r="I70" s="404" t="str">
        <f t="shared" si="2"/>
        <v>NOT PAID</v>
      </c>
      <c r="J70" s="402"/>
      <c r="K70" s="402"/>
      <c r="L70" s="402"/>
      <c r="M70" s="402"/>
      <c r="N70" s="402"/>
      <c r="O70" s="402"/>
      <c r="P70" s="402"/>
      <c r="Q70" s="402"/>
      <c r="R70" s="402"/>
      <c r="S70" s="402"/>
      <c r="T70" s="402"/>
      <c r="U70" s="402"/>
      <c r="V70" s="402"/>
      <c r="W70" s="402"/>
      <c r="X70" s="402"/>
      <c r="Y70" s="402"/>
      <c r="Z70" s="402"/>
      <c r="AA70" s="405"/>
      <c r="AB70" s="405"/>
    </row>
    <row r="71" ht="14.25" customHeight="1">
      <c r="A71" s="406">
        <v>45496.0</v>
      </c>
      <c r="B71" s="349" t="s">
        <v>757</v>
      </c>
      <c r="C71" s="349" t="s">
        <v>758</v>
      </c>
      <c r="D71" s="349" t="s">
        <v>75</v>
      </c>
      <c r="E71" s="349" t="s">
        <v>759</v>
      </c>
      <c r="F71" s="413">
        <v>165485.25</v>
      </c>
      <c r="G71" s="403"/>
      <c r="H71" s="349" t="s">
        <v>830</v>
      </c>
      <c r="I71" s="404" t="str">
        <f t="shared" si="2"/>
        <v>NOT PAID</v>
      </c>
      <c r="J71" s="402"/>
      <c r="K71" s="402"/>
      <c r="L71" s="402"/>
      <c r="M71" s="402"/>
      <c r="N71" s="402"/>
      <c r="O71" s="402"/>
      <c r="P71" s="402"/>
      <c r="Q71" s="402"/>
      <c r="R71" s="402"/>
      <c r="S71" s="402"/>
      <c r="T71" s="402"/>
      <c r="U71" s="402"/>
      <c r="V71" s="402"/>
      <c r="W71" s="402"/>
      <c r="X71" s="402"/>
      <c r="Y71" s="402"/>
      <c r="Z71" s="402"/>
      <c r="AA71" s="405"/>
      <c r="AB71" s="405"/>
    </row>
    <row r="72" ht="14.25" customHeight="1">
      <c r="A72" s="406">
        <v>45496.0</v>
      </c>
      <c r="B72" s="410" t="s">
        <v>761</v>
      </c>
      <c r="C72" s="411" t="s">
        <v>762</v>
      </c>
      <c r="D72" s="411" t="s">
        <v>59</v>
      </c>
      <c r="E72" s="410" t="s">
        <v>759</v>
      </c>
      <c r="F72" s="416">
        <v>21646.1</v>
      </c>
      <c r="G72" s="403"/>
      <c r="H72" s="402"/>
      <c r="I72" s="404" t="str">
        <f t="shared" si="2"/>
        <v>NOT PAID</v>
      </c>
      <c r="J72" s="402"/>
      <c r="K72" s="402"/>
      <c r="L72" s="402"/>
      <c r="M72" s="402"/>
      <c r="N72" s="402"/>
      <c r="O72" s="402"/>
      <c r="P72" s="402"/>
      <c r="Q72" s="402"/>
      <c r="R72" s="402"/>
      <c r="S72" s="402"/>
      <c r="T72" s="402"/>
      <c r="U72" s="402"/>
      <c r="V72" s="402"/>
      <c r="W72" s="402"/>
      <c r="X72" s="402"/>
      <c r="Y72" s="402"/>
      <c r="Z72" s="402"/>
      <c r="AA72" s="405"/>
      <c r="AB72" s="405"/>
    </row>
    <row r="73" ht="14.25" customHeight="1">
      <c r="A73" s="406">
        <v>45496.0</v>
      </c>
      <c r="B73" s="407" t="s">
        <v>764</v>
      </c>
      <c r="C73" s="408" t="s">
        <v>765</v>
      </c>
      <c r="D73" s="408" t="s">
        <v>54</v>
      </c>
      <c r="E73" s="410" t="s">
        <v>759</v>
      </c>
      <c r="F73" s="416">
        <v>17924.56</v>
      </c>
      <c r="G73" s="413">
        <v>0.0</v>
      </c>
      <c r="H73" s="349" t="s">
        <v>831</v>
      </c>
      <c r="I73" s="404" t="str">
        <f t="shared" si="2"/>
        <v>NOT PAID</v>
      </c>
      <c r="J73" s="402"/>
      <c r="K73" s="402"/>
      <c r="L73" s="402"/>
      <c r="M73" s="402"/>
      <c r="N73" s="402"/>
      <c r="O73" s="402"/>
      <c r="P73" s="402"/>
      <c r="Q73" s="402"/>
      <c r="R73" s="402"/>
      <c r="S73" s="402"/>
      <c r="T73" s="402"/>
      <c r="U73" s="402"/>
      <c r="V73" s="402"/>
      <c r="W73" s="402"/>
      <c r="X73" s="402"/>
      <c r="Y73" s="402"/>
      <c r="Z73" s="402"/>
      <c r="AA73" s="405"/>
      <c r="AB73" s="405"/>
    </row>
    <row r="74" ht="14.25" customHeight="1">
      <c r="A74" s="406">
        <v>45496.0</v>
      </c>
      <c r="B74" s="410" t="s">
        <v>767</v>
      </c>
      <c r="C74" s="411" t="s">
        <v>768</v>
      </c>
      <c r="D74" s="411" t="s">
        <v>54</v>
      </c>
      <c r="E74" s="410" t="s">
        <v>759</v>
      </c>
      <c r="F74" s="413">
        <v>277267.48</v>
      </c>
      <c r="G74" s="413">
        <v>0.0</v>
      </c>
      <c r="H74" s="349" t="s">
        <v>832</v>
      </c>
      <c r="I74" s="404" t="str">
        <f t="shared" si="2"/>
        <v>NOT PAID</v>
      </c>
      <c r="J74" s="402"/>
      <c r="K74" s="402"/>
      <c r="L74" s="402"/>
      <c r="M74" s="402"/>
      <c r="N74" s="402"/>
      <c r="O74" s="402"/>
      <c r="P74" s="402"/>
      <c r="Q74" s="402"/>
      <c r="R74" s="402"/>
      <c r="S74" s="402"/>
      <c r="T74" s="402"/>
      <c r="U74" s="402"/>
      <c r="V74" s="402"/>
      <c r="W74" s="402"/>
      <c r="X74" s="402"/>
      <c r="Y74" s="402"/>
      <c r="Z74" s="402"/>
      <c r="AA74" s="405"/>
      <c r="AB74" s="405"/>
    </row>
    <row r="75" ht="14.25" customHeight="1">
      <c r="A75" s="406">
        <v>45496.0</v>
      </c>
      <c r="B75" s="407" t="s">
        <v>833</v>
      </c>
      <c r="C75" s="408" t="s">
        <v>834</v>
      </c>
      <c r="D75" s="408" t="s">
        <v>54</v>
      </c>
      <c r="E75" s="410" t="s">
        <v>759</v>
      </c>
      <c r="F75" s="416">
        <v>121909.0</v>
      </c>
      <c r="G75" s="413">
        <v>121909.0</v>
      </c>
      <c r="H75" s="349" t="s">
        <v>835</v>
      </c>
      <c r="I75" s="404" t="str">
        <f t="shared" si="2"/>
        <v>FULLY PAID</v>
      </c>
      <c r="J75" s="402"/>
      <c r="K75" s="402"/>
      <c r="L75" s="402"/>
      <c r="M75" s="402"/>
      <c r="N75" s="402"/>
      <c r="O75" s="402"/>
      <c r="P75" s="402"/>
      <c r="Q75" s="402"/>
      <c r="R75" s="402"/>
      <c r="S75" s="402"/>
      <c r="T75" s="402"/>
      <c r="U75" s="402"/>
      <c r="V75" s="402"/>
      <c r="W75" s="402"/>
      <c r="X75" s="402"/>
      <c r="Y75" s="402"/>
      <c r="Z75" s="402"/>
      <c r="AA75" s="405"/>
      <c r="AB75" s="405"/>
    </row>
    <row r="76" ht="14.25" customHeight="1">
      <c r="A76" s="406">
        <v>45496.0</v>
      </c>
      <c r="B76" s="410" t="s">
        <v>774</v>
      </c>
      <c r="C76" s="411" t="s">
        <v>799</v>
      </c>
      <c r="D76" s="408" t="s">
        <v>54</v>
      </c>
      <c r="E76" s="410" t="s">
        <v>759</v>
      </c>
      <c r="F76" s="416">
        <v>222047.06</v>
      </c>
      <c r="G76" s="403"/>
      <c r="H76" s="349" t="s">
        <v>836</v>
      </c>
      <c r="I76" s="404" t="str">
        <f t="shared" si="2"/>
        <v>NOT PAID</v>
      </c>
      <c r="J76" s="402"/>
      <c r="K76" s="402"/>
      <c r="L76" s="402"/>
      <c r="M76" s="402"/>
      <c r="N76" s="402"/>
      <c r="O76" s="402"/>
      <c r="P76" s="402"/>
      <c r="Q76" s="402"/>
      <c r="R76" s="402"/>
      <c r="S76" s="402"/>
      <c r="T76" s="402"/>
      <c r="U76" s="402"/>
      <c r="V76" s="402"/>
      <c r="W76" s="402"/>
      <c r="X76" s="402"/>
      <c r="Y76" s="402"/>
      <c r="Z76" s="402"/>
      <c r="AA76" s="405"/>
      <c r="AB76" s="405"/>
    </row>
    <row r="77" ht="14.25" customHeight="1">
      <c r="A77" s="406">
        <v>45496.0</v>
      </c>
      <c r="B77" s="407" t="s">
        <v>786</v>
      </c>
      <c r="C77" s="408" t="s">
        <v>787</v>
      </c>
      <c r="D77" s="410" t="s">
        <v>54</v>
      </c>
      <c r="E77" s="416" t="s">
        <v>779</v>
      </c>
      <c r="F77" s="423">
        <v>19632.78</v>
      </c>
      <c r="G77" s="403"/>
      <c r="H77" s="349" t="s">
        <v>837</v>
      </c>
      <c r="I77" s="404" t="str">
        <f t="shared" si="2"/>
        <v>NOT PAID</v>
      </c>
      <c r="J77" s="402"/>
      <c r="K77" s="402"/>
      <c r="L77" s="402"/>
      <c r="M77" s="402"/>
      <c r="N77" s="402"/>
      <c r="O77" s="402"/>
      <c r="P77" s="402"/>
      <c r="Q77" s="402"/>
      <c r="R77" s="402"/>
      <c r="S77" s="402"/>
      <c r="T77" s="402"/>
      <c r="U77" s="402"/>
      <c r="V77" s="402"/>
      <c r="W77" s="402"/>
      <c r="X77" s="402"/>
      <c r="Y77" s="402"/>
      <c r="Z77" s="402"/>
      <c r="AA77" s="405"/>
      <c r="AB77" s="405"/>
    </row>
    <row r="78" ht="14.25" customHeight="1">
      <c r="A78" s="406">
        <v>45496.0</v>
      </c>
      <c r="B78" s="417" t="s">
        <v>788</v>
      </c>
      <c r="C78" s="418" t="s">
        <v>789</v>
      </c>
      <c r="D78" s="418" t="s">
        <v>54</v>
      </c>
      <c r="E78" s="416" t="s">
        <v>779</v>
      </c>
      <c r="F78" s="413">
        <v>81264.22</v>
      </c>
      <c r="G78" s="403"/>
      <c r="H78" s="349" t="s">
        <v>838</v>
      </c>
      <c r="I78" s="404" t="str">
        <f t="shared" si="2"/>
        <v>NOT PAID</v>
      </c>
      <c r="J78" s="402"/>
      <c r="K78" s="402"/>
      <c r="L78" s="402"/>
      <c r="M78" s="402"/>
      <c r="N78" s="402"/>
      <c r="O78" s="402"/>
      <c r="P78" s="402"/>
      <c r="Q78" s="402"/>
      <c r="R78" s="402"/>
      <c r="S78" s="402"/>
      <c r="T78" s="402"/>
      <c r="U78" s="402"/>
      <c r="V78" s="402"/>
      <c r="W78" s="402"/>
      <c r="X78" s="402"/>
      <c r="Y78" s="402"/>
      <c r="Z78" s="402"/>
      <c r="AA78" s="405"/>
      <c r="AB78" s="405"/>
    </row>
    <row r="79" ht="14.25" customHeight="1">
      <c r="A79" s="406">
        <v>45496.0</v>
      </c>
      <c r="B79" s="349" t="s">
        <v>791</v>
      </c>
      <c r="C79" s="349" t="s">
        <v>792</v>
      </c>
      <c r="D79" s="418" t="s">
        <v>54</v>
      </c>
      <c r="E79" s="416" t="s">
        <v>779</v>
      </c>
      <c r="F79" s="413">
        <v>108791.54</v>
      </c>
      <c r="G79" s="403"/>
      <c r="H79" s="349" t="s">
        <v>839</v>
      </c>
      <c r="I79" s="404" t="str">
        <f t="shared" si="2"/>
        <v>NOT PAID</v>
      </c>
      <c r="J79" s="402"/>
      <c r="K79" s="402"/>
      <c r="L79" s="402"/>
      <c r="M79" s="402"/>
      <c r="N79" s="402"/>
      <c r="O79" s="402"/>
      <c r="P79" s="402"/>
      <c r="Q79" s="402"/>
      <c r="R79" s="402"/>
      <c r="S79" s="402"/>
      <c r="T79" s="402"/>
      <c r="U79" s="402"/>
      <c r="V79" s="402"/>
      <c r="W79" s="402"/>
      <c r="X79" s="402"/>
      <c r="Y79" s="402"/>
      <c r="Z79" s="402"/>
      <c r="AA79" s="405"/>
      <c r="AB79" s="405"/>
    </row>
    <row r="80" ht="14.25" customHeight="1">
      <c r="A80" s="406">
        <v>45496.0</v>
      </c>
      <c r="B80" s="349" t="s">
        <v>794</v>
      </c>
      <c r="C80" s="349" t="s">
        <v>795</v>
      </c>
      <c r="D80" s="349" t="s">
        <v>54</v>
      </c>
      <c r="E80" s="416" t="s">
        <v>779</v>
      </c>
      <c r="F80" s="413">
        <v>139628.94</v>
      </c>
      <c r="G80" s="403"/>
      <c r="H80" s="349" t="s">
        <v>840</v>
      </c>
      <c r="I80" s="404" t="str">
        <f t="shared" si="2"/>
        <v>NOT PAID</v>
      </c>
      <c r="J80" s="402"/>
      <c r="K80" s="402"/>
      <c r="L80" s="402"/>
      <c r="M80" s="402"/>
      <c r="N80" s="402"/>
      <c r="O80" s="402"/>
      <c r="P80" s="402"/>
      <c r="Q80" s="402"/>
      <c r="R80" s="402"/>
      <c r="S80" s="402"/>
      <c r="T80" s="402"/>
      <c r="U80" s="402"/>
      <c r="V80" s="402"/>
      <c r="W80" s="402"/>
      <c r="X80" s="402"/>
      <c r="Y80" s="402"/>
      <c r="Z80" s="402"/>
      <c r="AA80" s="405"/>
      <c r="AB80" s="405"/>
    </row>
    <row r="81" ht="14.25" customHeight="1">
      <c r="A81" s="406">
        <v>45496.0</v>
      </c>
      <c r="B81" s="417" t="s">
        <v>841</v>
      </c>
      <c r="C81" s="418" t="s">
        <v>842</v>
      </c>
      <c r="D81" s="418" t="s">
        <v>54</v>
      </c>
      <c r="E81" s="416" t="s">
        <v>779</v>
      </c>
      <c r="F81" s="413">
        <v>14329.9</v>
      </c>
      <c r="G81" s="403"/>
      <c r="H81" s="349" t="s">
        <v>843</v>
      </c>
      <c r="I81" s="404" t="str">
        <f t="shared" si="2"/>
        <v>NOT PAID</v>
      </c>
      <c r="J81" s="402"/>
      <c r="K81" s="402"/>
      <c r="L81" s="402"/>
      <c r="M81" s="402"/>
      <c r="N81" s="402"/>
      <c r="O81" s="402"/>
      <c r="P81" s="402"/>
      <c r="Q81" s="402"/>
      <c r="R81" s="402"/>
      <c r="S81" s="402"/>
      <c r="T81" s="402"/>
      <c r="U81" s="402"/>
      <c r="V81" s="402"/>
      <c r="W81" s="402"/>
      <c r="X81" s="402"/>
      <c r="Y81" s="402"/>
      <c r="Z81" s="402"/>
      <c r="AA81" s="405"/>
      <c r="AB81" s="405"/>
    </row>
    <row r="82" ht="14.25" customHeight="1">
      <c r="A82" s="406">
        <v>45496.0</v>
      </c>
      <c r="B82" s="349" t="s">
        <v>798</v>
      </c>
      <c r="C82" s="349" t="s">
        <v>799</v>
      </c>
      <c r="D82" s="349" t="s">
        <v>59</v>
      </c>
      <c r="E82" s="349" t="s">
        <v>114</v>
      </c>
      <c r="F82" s="413">
        <v>1500000.0</v>
      </c>
      <c r="G82" s="403"/>
      <c r="H82" s="349" t="s">
        <v>844</v>
      </c>
      <c r="I82" s="404" t="str">
        <f t="shared" si="2"/>
        <v>NOT PAID</v>
      </c>
      <c r="J82" s="402"/>
      <c r="K82" s="402"/>
      <c r="L82" s="402"/>
      <c r="M82" s="402"/>
      <c r="N82" s="402"/>
      <c r="O82" s="402"/>
      <c r="P82" s="402"/>
      <c r="Q82" s="402"/>
      <c r="R82" s="402"/>
      <c r="S82" s="402"/>
      <c r="T82" s="402"/>
      <c r="U82" s="402"/>
      <c r="V82" s="402"/>
      <c r="W82" s="402"/>
      <c r="X82" s="402"/>
      <c r="Y82" s="402"/>
      <c r="Z82" s="402"/>
      <c r="AA82" s="405"/>
      <c r="AB82" s="405"/>
    </row>
    <row r="83" ht="14.25" customHeight="1">
      <c r="A83" s="406">
        <v>45496.0</v>
      </c>
      <c r="B83" s="349" t="s">
        <v>800</v>
      </c>
      <c r="C83" s="425" t="s">
        <v>801</v>
      </c>
      <c r="D83" s="349" t="s">
        <v>54</v>
      </c>
      <c r="E83" s="349" t="s">
        <v>273</v>
      </c>
      <c r="F83" s="413">
        <v>30000.0</v>
      </c>
      <c r="G83" s="403"/>
      <c r="H83" s="402"/>
      <c r="I83" s="404" t="str">
        <f t="shared" si="2"/>
        <v>NOT PAID</v>
      </c>
      <c r="J83" s="402"/>
      <c r="K83" s="402"/>
      <c r="L83" s="402"/>
      <c r="M83" s="402"/>
      <c r="N83" s="402"/>
      <c r="O83" s="402"/>
      <c r="P83" s="402"/>
      <c r="Q83" s="402"/>
      <c r="R83" s="402"/>
      <c r="S83" s="402"/>
      <c r="T83" s="402"/>
      <c r="U83" s="402"/>
      <c r="V83" s="402"/>
      <c r="W83" s="402"/>
      <c r="X83" s="402"/>
      <c r="Y83" s="402"/>
      <c r="Z83" s="402"/>
      <c r="AA83" s="405"/>
      <c r="AB83" s="405"/>
    </row>
    <row r="84" ht="14.25" customHeight="1">
      <c r="A84" s="406">
        <v>45496.0</v>
      </c>
      <c r="B84" s="349" t="s">
        <v>802</v>
      </c>
      <c r="C84" s="349" t="s">
        <v>803</v>
      </c>
      <c r="D84" s="349" t="s">
        <v>54</v>
      </c>
      <c r="E84" s="349" t="s">
        <v>114</v>
      </c>
      <c r="F84" s="413">
        <v>750023.8</v>
      </c>
      <c r="G84" s="403"/>
      <c r="H84" s="349" t="s">
        <v>845</v>
      </c>
      <c r="I84" s="404" t="str">
        <f t="shared" si="2"/>
        <v>NOT PAID</v>
      </c>
      <c r="J84" s="402"/>
      <c r="K84" s="402"/>
      <c r="L84" s="402"/>
      <c r="M84" s="402"/>
      <c r="N84" s="402"/>
      <c r="O84" s="402"/>
      <c r="P84" s="402"/>
      <c r="Q84" s="402"/>
      <c r="R84" s="402"/>
      <c r="S84" s="402"/>
      <c r="T84" s="402"/>
      <c r="U84" s="402"/>
      <c r="V84" s="402"/>
      <c r="W84" s="402"/>
      <c r="X84" s="402"/>
      <c r="Y84" s="402"/>
      <c r="Z84" s="402"/>
      <c r="AA84" s="405"/>
      <c r="AB84" s="405"/>
    </row>
    <row r="85" ht="14.25" customHeight="1">
      <c r="A85" s="406">
        <v>45496.0</v>
      </c>
      <c r="B85" s="349" t="s">
        <v>846</v>
      </c>
      <c r="C85" s="349" t="s">
        <v>847</v>
      </c>
      <c r="D85" s="349" t="s">
        <v>54</v>
      </c>
      <c r="E85" s="349" t="s">
        <v>848</v>
      </c>
      <c r="F85" s="413">
        <v>2500000.0</v>
      </c>
      <c r="G85" s="403"/>
      <c r="H85" s="349" t="s">
        <v>849</v>
      </c>
      <c r="I85" s="404" t="str">
        <f t="shared" si="2"/>
        <v>NOT PAID</v>
      </c>
      <c r="J85" s="402"/>
      <c r="K85" s="402"/>
      <c r="L85" s="402"/>
      <c r="M85" s="402"/>
      <c r="N85" s="402"/>
      <c r="O85" s="402"/>
      <c r="P85" s="402"/>
      <c r="Q85" s="402"/>
      <c r="R85" s="402"/>
      <c r="S85" s="402"/>
      <c r="T85" s="402"/>
      <c r="U85" s="402"/>
      <c r="V85" s="402"/>
      <c r="W85" s="402"/>
      <c r="X85" s="402"/>
      <c r="Y85" s="402"/>
      <c r="Z85" s="402"/>
      <c r="AA85" s="405"/>
      <c r="AB85" s="405"/>
    </row>
    <row r="86" ht="14.25" customHeight="1">
      <c r="A86" s="406">
        <v>45496.0</v>
      </c>
      <c r="B86" s="349" t="s">
        <v>850</v>
      </c>
      <c r="C86" s="349" t="s">
        <v>851</v>
      </c>
      <c r="D86" s="349" t="s">
        <v>668</v>
      </c>
      <c r="E86" s="349" t="s">
        <v>852</v>
      </c>
      <c r="F86" s="413">
        <v>5000000.0</v>
      </c>
      <c r="G86" s="403"/>
      <c r="H86" s="402"/>
      <c r="I86" s="404" t="str">
        <f t="shared" si="2"/>
        <v>NOT PAID</v>
      </c>
      <c r="J86" s="402"/>
      <c r="K86" s="402"/>
      <c r="L86" s="402"/>
      <c r="M86" s="402"/>
      <c r="N86" s="402"/>
      <c r="O86" s="402"/>
      <c r="P86" s="402"/>
      <c r="Q86" s="402"/>
      <c r="R86" s="402"/>
      <c r="S86" s="402"/>
      <c r="T86" s="402"/>
      <c r="U86" s="402"/>
      <c r="V86" s="402"/>
      <c r="W86" s="402"/>
      <c r="X86" s="402"/>
      <c r="Y86" s="402"/>
      <c r="Z86" s="402"/>
      <c r="AA86" s="405"/>
      <c r="AB86" s="405"/>
    </row>
    <row r="87" ht="14.25" customHeight="1">
      <c r="A87" s="406"/>
      <c r="B87" s="410"/>
      <c r="C87" s="411"/>
      <c r="D87" s="343"/>
      <c r="E87" s="349"/>
      <c r="F87" s="413"/>
      <c r="G87" s="403"/>
      <c r="H87" s="402"/>
      <c r="I87" s="404"/>
      <c r="J87" s="402"/>
      <c r="K87" s="402"/>
      <c r="L87" s="402"/>
      <c r="M87" s="402"/>
      <c r="N87" s="402"/>
      <c r="O87" s="402"/>
      <c r="P87" s="402"/>
      <c r="Q87" s="402"/>
      <c r="R87" s="402"/>
      <c r="S87" s="402"/>
      <c r="T87" s="402"/>
      <c r="U87" s="402"/>
      <c r="V87" s="402"/>
      <c r="W87" s="402"/>
      <c r="X87" s="402"/>
      <c r="Y87" s="402"/>
      <c r="Z87" s="402"/>
      <c r="AA87" s="405"/>
      <c r="AB87" s="405"/>
    </row>
    <row r="88" ht="14.25" customHeight="1">
      <c r="A88" s="406"/>
      <c r="B88" s="426" t="s">
        <v>853</v>
      </c>
      <c r="C88" s="411"/>
      <c r="D88" s="343"/>
      <c r="E88" s="349"/>
      <c r="F88" s="413"/>
      <c r="G88" s="403"/>
      <c r="H88" s="402"/>
      <c r="I88" s="404"/>
      <c r="J88" s="402"/>
      <c r="K88" s="402"/>
      <c r="L88" s="402"/>
      <c r="M88" s="402"/>
      <c r="N88" s="402"/>
      <c r="O88" s="402"/>
      <c r="P88" s="402"/>
      <c r="Q88" s="402"/>
      <c r="R88" s="402"/>
      <c r="S88" s="402"/>
      <c r="T88" s="402"/>
      <c r="U88" s="402"/>
      <c r="V88" s="402"/>
      <c r="W88" s="402"/>
      <c r="X88" s="402"/>
      <c r="Y88" s="402"/>
      <c r="Z88" s="402"/>
      <c r="AA88" s="405"/>
      <c r="AB88" s="405"/>
    </row>
    <row r="89" ht="14.25" customHeight="1">
      <c r="A89" s="406">
        <v>45497.0</v>
      </c>
      <c r="B89" s="410" t="s">
        <v>854</v>
      </c>
      <c r="C89" s="427" t="s">
        <v>855</v>
      </c>
      <c r="D89" s="343" t="s">
        <v>54</v>
      </c>
      <c r="E89" s="410" t="s">
        <v>703</v>
      </c>
      <c r="F89" s="413">
        <v>89568.0</v>
      </c>
      <c r="G89" s="413" t="s">
        <v>772</v>
      </c>
      <c r="H89" s="402"/>
      <c r="I89" s="404" t="str">
        <f t="shared" ref="I89:I127" si="3">IF(G89&gt;=F89,"FULLY PAID",IF(G89=0,"NOT PAID","PARTIALLY PAID"))</f>
        <v>FULLY PAID</v>
      </c>
      <c r="J89" s="402"/>
      <c r="K89" s="402"/>
      <c r="L89" s="402"/>
      <c r="M89" s="402"/>
      <c r="N89" s="402"/>
      <c r="O89" s="402"/>
      <c r="P89" s="402"/>
      <c r="Q89" s="402"/>
      <c r="R89" s="402"/>
      <c r="S89" s="402"/>
      <c r="T89" s="402"/>
      <c r="U89" s="402"/>
      <c r="V89" s="402"/>
      <c r="W89" s="402"/>
      <c r="X89" s="402"/>
      <c r="Y89" s="402"/>
      <c r="Z89" s="402"/>
      <c r="AA89" s="405"/>
      <c r="AB89" s="405"/>
    </row>
    <row r="90" ht="14.25" customHeight="1">
      <c r="A90" s="406">
        <v>45497.0</v>
      </c>
      <c r="B90" s="410" t="s">
        <v>705</v>
      </c>
      <c r="C90" s="411" t="s">
        <v>706</v>
      </c>
      <c r="D90" s="343" t="s">
        <v>54</v>
      </c>
      <c r="E90" s="349" t="s">
        <v>703</v>
      </c>
      <c r="F90" s="413">
        <v>8643.36</v>
      </c>
      <c r="G90" s="403"/>
      <c r="H90" s="349" t="s">
        <v>856</v>
      </c>
      <c r="I90" s="404" t="str">
        <f t="shared" si="3"/>
        <v>NOT PAID</v>
      </c>
      <c r="J90" s="402"/>
      <c r="K90" s="402"/>
      <c r="L90" s="402"/>
      <c r="M90" s="402"/>
      <c r="N90" s="402"/>
      <c r="O90" s="402"/>
      <c r="P90" s="402"/>
      <c r="Q90" s="402"/>
      <c r="R90" s="402"/>
      <c r="S90" s="402"/>
      <c r="T90" s="402"/>
      <c r="U90" s="402"/>
      <c r="V90" s="402"/>
      <c r="W90" s="402"/>
      <c r="X90" s="402"/>
      <c r="Y90" s="402"/>
      <c r="Z90" s="402"/>
      <c r="AA90" s="405"/>
      <c r="AB90" s="405"/>
    </row>
    <row r="91" ht="14.25" customHeight="1">
      <c r="A91" s="406">
        <v>45497.0</v>
      </c>
      <c r="B91" s="410" t="s">
        <v>711</v>
      </c>
      <c r="C91" s="411" t="s">
        <v>712</v>
      </c>
      <c r="D91" s="411" t="s">
        <v>75</v>
      </c>
      <c r="E91" s="410" t="s">
        <v>703</v>
      </c>
      <c r="F91" s="416">
        <v>250845.0</v>
      </c>
      <c r="G91" s="403"/>
      <c r="H91" s="349" t="s">
        <v>857</v>
      </c>
      <c r="I91" s="404" t="str">
        <f t="shared" si="3"/>
        <v>NOT PAID</v>
      </c>
      <c r="J91" s="402"/>
      <c r="K91" s="402"/>
      <c r="L91" s="402"/>
      <c r="M91" s="402"/>
      <c r="N91" s="402"/>
      <c r="O91" s="402"/>
      <c r="P91" s="402"/>
      <c r="Q91" s="402"/>
      <c r="R91" s="402"/>
      <c r="S91" s="402"/>
      <c r="T91" s="402"/>
      <c r="U91" s="402"/>
      <c r="V91" s="402"/>
      <c r="W91" s="402"/>
      <c r="X91" s="402"/>
      <c r="Y91" s="402"/>
      <c r="Z91" s="402"/>
      <c r="AA91" s="405"/>
      <c r="AB91" s="405"/>
    </row>
    <row r="92" ht="14.25" customHeight="1">
      <c r="A92" s="406">
        <v>45497.0</v>
      </c>
      <c r="B92" s="349" t="s">
        <v>714</v>
      </c>
      <c r="C92" s="349" t="s">
        <v>715</v>
      </c>
      <c r="D92" s="349" t="s">
        <v>75</v>
      </c>
      <c r="E92" s="410" t="s">
        <v>703</v>
      </c>
      <c r="F92" s="416">
        <v>11237.5</v>
      </c>
      <c r="G92" s="403"/>
      <c r="H92" s="349" t="s">
        <v>858</v>
      </c>
      <c r="I92" s="404" t="str">
        <f t="shared" si="3"/>
        <v>NOT PAID</v>
      </c>
      <c r="J92" s="402"/>
      <c r="K92" s="402"/>
      <c r="L92" s="402"/>
      <c r="M92" s="402"/>
      <c r="N92" s="402"/>
      <c r="O92" s="402"/>
      <c r="P92" s="402"/>
      <c r="Q92" s="402"/>
      <c r="R92" s="402"/>
      <c r="S92" s="402"/>
      <c r="T92" s="402"/>
      <c r="U92" s="402"/>
      <c r="V92" s="402"/>
      <c r="W92" s="402"/>
      <c r="X92" s="402"/>
      <c r="Y92" s="402"/>
      <c r="Z92" s="402"/>
      <c r="AA92" s="405"/>
      <c r="AB92" s="405"/>
    </row>
    <row r="93" ht="14.25" customHeight="1">
      <c r="A93" s="406">
        <v>45497.0</v>
      </c>
      <c r="B93" s="410" t="s">
        <v>717</v>
      </c>
      <c r="C93" s="411" t="s">
        <v>718</v>
      </c>
      <c r="D93" s="411" t="s">
        <v>54</v>
      </c>
      <c r="E93" s="410" t="s">
        <v>703</v>
      </c>
      <c r="F93" s="416">
        <v>1275.01</v>
      </c>
      <c r="G93" s="413">
        <v>0.0</v>
      </c>
      <c r="H93" s="349" t="s">
        <v>859</v>
      </c>
      <c r="I93" s="404" t="str">
        <f t="shared" si="3"/>
        <v>NOT PAID</v>
      </c>
      <c r="J93" s="402"/>
      <c r="K93" s="402"/>
      <c r="L93" s="402"/>
      <c r="M93" s="402"/>
      <c r="N93" s="402"/>
      <c r="O93" s="402"/>
      <c r="P93" s="402"/>
      <c r="Q93" s="402"/>
      <c r="R93" s="402"/>
      <c r="S93" s="402"/>
      <c r="T93" s="402"/>
      <c r="U93" s="402"/>
      <c r="V93" s="402"/>
      <c r="W93" s="402"/>
      <c r="X93" s="402"/>
      <c r="Y93" s="402"/>
      <c r="Z93" s="402"/>
      <c r="AA93" s="405"/>
      <c r="AB93" s="405"/>
    </row>
    <row r="94" ht="14.25" customHeight="1">
      <c r="A94" s="406">
        <v>45497.0</v>
      </c>
      <c r="B94" s="417" t="s">
        <v>720</v>
      </c>
      <c r="C94" s="418" t="s">
        <v>721</v>
      </c>
      <c r="D94" s="418" t="s">
        <v>54</v>
      </c>
      <c r="E94" s="349" t="s">
        <v>703</v>
      </c>
      <c r="F94" s="413">
        <v>50100.0</v>
      </c>
      <c r="G94" s="403"/>
      <c r="H94" s="349" t="s">
        <v>860</v>
      </c>
      <c r="I94" s="404" t="str">
        <f t="shared" si="3"/>
        <v>NOT PAID</v>
      </c>
      <c r="J94" s="402"/>
      <c r="K94" s="402"/>
      <c r="L94" s="402"/>
      <c r="M94" s="402"/>
      <c r="N94" s="402"/>
      <c r="O94" s="402"/>
      <c r="P94" s="402"/>
      <c r="Q94" s="402"/>
      <c r="R94" s="402"/>
      <c r="S94" s="402"/>
      <c r="T94" s="402"/>
      <c r="U94" s="402"/>
      <c r="V94" s="402"/>
      <c r="W94" s="402"/>
      <c r="X94" s="402"/>
      <c r="Y94" s="402"/>
      <c r="Z94" s="402"/>
      <c r="AA94" s="405"/>
      <c r="AB94" s="405"/>
    </row>
    <row r="95" ht="14.25" customHeight="1">
      <c r="A95" s="406">
        <v>45497.0</v>
      </c>
      <c r="B95" s="407" t="s">
        <v>723</v>
      </c>
      <c r="C95" s="408" t="s">
        <v>724</v>
      </c>
      <c r="D95" s="408" t="s">
        <v>54</v>
      </c>
      <c r="E95" s="349" t="s">
        <v>703</v>
      </c>
      <c r="F95" s="416">
        <v>28104.75</v>
      </c>
      <c r="G95" s="403"/>
      <c r="H95" s="349" t="s">
        <v>861</v>
      </c>
      <c r="I95" s="404" t="str">
        <f t="shared" si="3"/>
        <v>NOT PAID</v>
      </c>
      <c r="J95" s="402"/>
      <c r="K95" s="402"/>
      <c r="L95" s="402"/>
      <c r="M95" s="402"/>
      <c r="N95" s="402"/>
      <c r="O95" s="402"/>
      <c r="P95" s="402"/>
      <c r="Q95" s="402"/>
      <c r="R95" s="402"/>
      <c r="S95" s="402"/>
      <c r="T95" s="402"/>
      <c r="U95" s="402"/>
      <c r="V95" s="402"/>
      <c r="W95" s="402"/>
      <c r="X95" s="402"/>
      <c r="Y95" s="402"/>
      <c r="Z95" s="402"/>
      <c r="AA95" s="405"/>
      <c r="AB95" s="405"/>
    </row>
    <row r="96" ht="14.25" customHeight="1">
      <c r="A96" s="406">
        <v>45497.0</v>
      </c>
      <c r="B96" s="407" t="s">
        <v>729</v>
      </c>
      <c r="C96" s="408" t="s">
        <v>730</v>
      </c>
      <c r="D96" s="408" t="s">
        <v>54</v>
      </c>
      <c r="E96" s="349" t="s">
        <v>703</v>
      </c>
      <c r="F96" s="416">
        <v>100000.0</v>
      </c>
      <c r="G96" s="403"/>
      <c r="H96" s="349" t="s">
        <v>862</v>
      </c>
      <c r="I96" s="404" t="str">
        <f t="shared" si="3"/>
        <v>NOT PAID</v>
      </c>
      <c r="J96" s="402"/>
      <c r="K96" s="402"/>
      <c r="L96" s="402"/>
      <c r="M96" s="402"/>
      <c r="N96" s="402"/>
      <c r="O96" s="402"/>
      <c r="P96" s="402"/>
      <c r="Q96" s="402"/>
      <c r="R96" s="402"/>
      <c r="S96" s="402"/>
      <c r="T96" s="402"/>
      <c r="U96" s="402"/>
      <c r="V96" s="402"/>
      <c r="W96" s="402"/>
      <c r="X96" s="402"/>
      <c r="Y96" s="402"/>
      <c r="Z96" s="402"/>
      <c r="AA96" s="405"/>
      <c r="AB96" s="405"/>
    </row>
    <row r="97" ht="14.25" customHeight="1">
      <c r="A97" s="406">
        <v>45497.0</v>
      </c>
      <c r="B97" s="407" t="s">
        <v>807</v>
      </c>
      <c r="C97" s="408" t="s">
        <v>808</v>
      </c>
      <c r="D97" s="408" t="s">
        <v>54</v>
      </c>
      <c r="E97" s="349" t="s">
        <v>703</v>
      </c>
      <c r="F97" s="416">
        <v>31900.0</v>
      </c>
      <c r="G97" s="403"/>
      <c r="H97" s="402"/>
      <c r="I97" s="404" t="str">
        <f t="shared" si="3"/>
        <v>NOT PAID</v>
      </c>
      <c r="J97" s="402"/>
      <c r="K97" s="402"/>
      <c r="L97" s="402"/>
      <c r="M97" s="402"/>
      <c r="N97" s="402"/>
      <c r="O97" s="402"/>
      <c r="P97" s="402"/>
      <c r="Q97" s="402"/>
      <c r="R97" s="402"/>
      <c r="S97" s="402"/>
      <c r="T97" s="402"/>
      <c r="U97" s="402"/>
      <c r="V97" s="402"/>
      <c r="W97" s="402"/>
      <c r="X97" s="402"/>
      <c r="Y97" s="402"/>
      <c r="Z97" s="402"/>
      <c r="AA97" s="405"/>
      <c r="AB97" s="405"/>
    </row>
    <row r="98" ht="14.25" customHeight="1">
      <c r="A98" s="406">
        <v>45497.0</v>
      </c>
      <c r="B98" s="407" t="s">
        <v>809</v>
      </c>
      <c r="C98" s="408" t="s">
        <v>810</v>
      </c>
      <c r="D98" s="408" t="s">
        <v>54</v>
      </c>
      <c r="E98" s="349" t="s">
        <v>703</v>
      </c>
      <c r="F98" s="416">
        <v>177077.95</v>
      </c>
      <c r="G98" s="403"/>
      <c r="H98" s="349" t="s">
        <v>862</v>
      </c>
      <c r="I98" s="404" t="str">
        <f t="shared" si="3"/>
        <v>NOT PAID</v>
      </c>
      <c r="J98" s="402"/>
      <c r="K98" s="402"/>
      <c r="L98" s="402"/>
      <c r="M98" s="402"/>
      <c r="N98" s="402"/>
      <c r="O98" s="402"/>
      <c r="P98" s="402"/>
      <c r="Q98" s="402"/>
      <c r="R98" s="402"/>
      <c r="S98" s="402"/>
      <c r="T98" s="402"/>
      <c r="U98" s="402"/>
      <c r="V98" s="402"/>
      <c r="W98" s="402"/>
      <c r="X98" s="402"/>
      <c r="Y98" s="402"/>
      <c r="Z98" s="402"/>
      <c r="AA98" s="405"/>
      <c r="AB98" s="405"/>
    </row>
    <row r="99" ht="14.25" customHeight="1">
      <c r="A99" s="406">
        <v>45497.0</v>
      </c>
      <c r="B99" s="418" t="s">
        <v>738</v>
      </c>
      <c r="C99" s="418" t="s">
        <v>739</v>
      </c>
      <c r="D99" s="418" t="s">
        <v>54</v>
      </c>
      <c r="E99" s="418" t="s">
        <v>740</v>
      </c>
      <c r="F99" s="428">
        <v>95823.09</v>
      </c>
      <c r="G99" s="403"/>
      <c r="H99" s="349" t="s">
        <v>863</v>
      </c>
      <c r="I99" s="404" t="str">
        <f t="shared" si="3"/>
        <v>NOT PAID</v>
      </c>
      <c r="J99" s="402"/>
      <c r="K99" s="402"/>
      <c r="L99" s="402"/>
      <c r="M99" s="402"/>
      <c r="N99" s="402"/>
      <c r="O99" s="402"/>
      <c r="P99" s="402"/>
      <c r="Q99" s="402"/>
      <c r="R99" s="402"/>
      <c r="S99" s="402"/>
      <c r="T99" s="402"/>
      <c r="U99" s="402"/>
      <c r="V99" s="402"/>
      <c r="W99" s="402"/>
      <c r="X99" s="402"/>
      <c r="Y99" s="402"/>
      <c r="Z99" s="402"/>
      <c r="AA99" s="405"/>
      <c r="AB99" s="405"/>
    </row>
    <row r="100" ht="14.25" customHeight="1">
      <c r="A100" s="429">
        <v>45497.0</v>
      </c>
      <c r="B100" s="344" t="s">
        <v>742</v>
      </c>
      <c r="C100" s="344" t="s">
        <v>743</v>
      </c>
      <c r="D100" s="344" t="s">
        <v>54</v>
      </c>
      <c r="E100" s="344" t="s">
        <v>740</v>
      </c>
      <c r="F100" s="430">
        <v>112579.0</v>
      </c>
      <c r="G100" s="403"/>
      <c r="H100" s="349" t="s">
        <v>864</v>
      </c>
      <c r="I100" s="404" t="str">
        <f t="shared" si="3"/>
        <v>NOT PAID</v>
      </c>
      <c r="J100" s="402"/>
      <c r="K100" s="402"/>
      <c r="L100" s="402"/>
      <c r="M100" s="402"/>
      <c r="N100" s="402"/>
      <c r="O100" s="402"/>
      <c r="P100" s="402"/>
      <c r="Q100" s="402"/>
      <c r="R100" s="402"/>
      <c r="S100" s="402"/>
      <c r="T100" s="402"/>
      <c r="U100" s="402"/>
      <c r="V100" s="402"/>
      <c r="W100" s="402"/>
      <c r="X100" s="402"/>
      <c r="Y100" s="402"/>
      <c r="Z100" s="402"/>
      <c r="AA100" s="405"/>
      <c r="AB100" s="405"/>
    </row>
    <row r="101" ht="14.25" customHeight="1">
      <c r="A101" s="429">
        <v>45497.0</v>
      </c>
      <c r="B101" s="344" t="s">
        <v>746</v>
      </c>
      <c r="C101" s="344" t="s">
        <v>747</v>
      </c>
      <c r="D101" s="344" t="s">
        <v>54</v>
      </c>
      <c r="E101" s="344" t="s">
        <v>740</v>
      </c>
      <c r="F101" s="430">
        <v>74378.5</v>
      </c>
      <c r="G101" s="403"/>
      <c r="H101" s="349" t="s">
        <v>865</v>
      </c>
      <c r="I101" s="404" t="str">
        <f t="shared" si="3"/>
        <v>NOT PAID</v>
      </c>
      <c r="J101" s="402"/>
      <c r="K101" s="402"/>
      <c r="L101" s="402"/>
      <c r="M101" s="402"/>
      <c r="N101" s="402"/>
      <c r="O101" s="402"/>
      <c r="P101" s="402"/>
      <c r="Q101" s="402"/>
      <c r="R101" s="402"/>
      <c r="S101" s="402"/>
      <c r="T101" s="402"/>
      <c r="U101" s="402"/>
      <c r="V101" s="402"/>
      <c r="W101" s="402"/>
      <c r="X101" s="402"/>
      <c r="Y101" s="402"/>
      <c r="Z101" s="402"/>
      <c r="AA101" s="405"/>
      <c r="AB101" s="405"/>
    </row>
    <row r="102" ht="14.25" customHeight="1">
      <c r="A102" s="429">
        <v>45497.0</v>
      </c>
      <c r="B102" s="344" t="s">
        <v>749</v>
      </c>
      <c r="C102" s="344" t="s">
        <v>750</v>
      </c>
      <c r="D102" s="344" t="s">
        <v>54</v>
      </c>
      <c r="E102" s="344" t="s">
        <v>740</v>
      </c>
      <c r="F102" s="430">
        <v>30081.0</v>
      </c>
      <c r="G102" s="403"/>
      <c r="H102" s="349" t="s">
        <v>822</v>
      </c>
      <c r="I102" s="404" t="str">
        <f t="shared" si="3"/>
        <v>NOT PAID</v>
      </c>
      <c r="J102" s="402"/>
      <c r="K102" s="402"/>
      <c r="L102" s="402"/>
      <c r="M102" s="402"/>
      <c r="N102" s="402"/>
      <c r="O102" s="402"/>
      <c r="P102" s="402"/>
      <c r="Q102" s="402"/>
      <c r="R102" s="402"/>
      <c r="S102" s="402"/>
      <c r="T102" s="402"/>
      <c r="U102" s="402"/>
      <c r="V102" s="402"/>
      <c r="W102" s="402"/>
      <c r="X102" s="402"/>
      <c r="Y102" s="402"/>
      <c r="Z102" s="402"/>
      <c r="AA102" s="405"/>
      <c r="AB102" s="405"/>
    </row>
    <row r="103" ht="14.25" customHeight="1">
      <c r="A103" s="429">
        <v>45497.0</v>
      </c>
      <c r="B103" s="344" t="s">
        <v>752</v>
      </c>
      <c r="C103" s="344" t="s">
        <v>753</v>
      </c>
      <c r="D103" s="344" t="s">
        <v>54</v>
      </c>
      <c r="E103" s="344" t="s">
        <v>740</v>
      </c>
      <c r="F103" s="430">
        <v>1008587.0</v>
      </c>
      <c r="G103" s="403"/>
      <c r="H103" s="349" t="s">
        <v>866</v>
      </c>
      <c r="I103" s="404" t="str">
        <f t="shared" si="3"/>
        <v>NOT PAID</v>
      </c>
      <c r="J103" s="402"/>
      <c r="K103" s="402"/>
      <c r="L103" s="402"/>
      <c r="M103" s="402"/>
      <c r="N103" s="402"/>
      <c r="O103" s="402"/>
      <c r="P103" s="402"/>
      <c r="Q103" s="402"/>
      <c r="R103" s="402"/>
      <c r="S103" s="402"/>
      <c r="T103" s="402"/>
      <c r="U103" s="402"/>
      <c r="V103" s="402"/>
      <c r="W103" s="402"/>
      <c r="X103" s="402"/>
      <c r="Y103" s="402"/>
      <c r="Z103" s="402"/>
      <c r="AA103" s="405"/>
      <c r="AB103" s="405"/>
    </row>
    <row r="104" ht="14.25" customHeight="1">
      <c r="A104" s="429">
        <v>45497.0</v>
      </c>
      <c r="B104" s="344" t="s">
        <v>754</v>
      </c>
      <c r="C104" s="344" t="s">
        <v>755</v>
      </c>
      <c r="D104" s="344" t="s">
        <v>59</v>
      </c>
      <c r="E104" s="344" t="s">
        <v>740</v>
      </c>
      <c r="F104" s="430">
        <v>119067.3</v>
      </c>
      <c r="G104" s="403"/>
      <c r="H104" s="349" t="s">
        <v>867</v>
      </c>
      <c r="I104" s="404" t="str">
        <f t="shared" si="3"/>
        <v>NOT PAID</v>
      </c>
      <c r="J104" s="402"/>
      <c r="K104" s="402"/>
      <c r="L104" s="402"/>
      <c r="M104" s="402"/>
      <c r="N104" s="402"/>
      <c r="O104" s="402"/>
      <c r="P104" s="402"/>
      <c r="Q104" s="402"/>
      <c r="R104" s="402"/>
      <c r="S104" s="402"/>
      <c r="T104" s="402"/>
      <c r="U104" s="402"/>
      <c r="V104" s="402"/>
      <c r="W104" s="402"/>
      <c r="X104" s="402"/>
      <c r="Y104" s="402"/>
      <c r="Z104" s="402"/>
      <c r="AA104" s="405"/>
      <c r="AB104" s="405"/>
    </row>
    <row r="105" ht="14.25" customHeight="1">
      <c r="A105" s="429">
        <v>45497.0</v>
      </c>
      <c r="B105" s="408" t="s">
        <v>868</v>
      </c>
      <c r="C105" s="408" t="s">
        <v>869</v>
      </c>
      <c r="D105" s="408" t="s">
        <v>54</v>
      </c>
      <c r="E105" s="344" t="s">
        <v>740</v>
      </c>
      <c r="F105" s="431">
        <v>676953.0</v>
      </c>
      <c r="G105" s="431">
        <v>33848.0</v>
      </c>
      <c r="H105" s="420" t="s">
        <v>146</v>
      </c>
      <c r="I105" s="404" t="str">
        <f t="shared" si="3"/>
        <v>PARTIALLY PAID</v>
      </c>
      <c r="J105" s="418"/>
      <c r="K105" s="418"/>
      <c r="L105" s="418"/>
      <c r="M105" s="418"/>
      <c r="N105" s="418"/>
      <c r="O105" s="418"/>
      <c r="P105" s="418"/>
      <c r="Q105" s="418"/>
      <c r="R105" s="418"/>
      <c r="S105" s="418"/>
      <c r="T105" s="418"/>
      <c r="U105" s="418"/>
      <c r="V105" s="418"/>
      <c r="W105" s="418"/>
      <c r="X105" s="418"/>
      <c r="Y105" s="418"/>
      <c r="Z105" s="418"/>
      <c r="AA105" s="432"/>
      <c r="AB105" s="432"/>
    </row>
    <row r="106" ht="14.25" customHeight="1">
      <c r="A106" s="429">
        <v>45497.0</v>
      </c>
      <c r="B106" s="349" t="s">
        <v>870</v>
      </c>
      <c r="C106" s="349" t="s">
        <v>871</v>
      </c>
      <c r="D106" s="349" t="s">
        <v>54</v>
      </c>
      <c r="E106" s="344" t="s">
        <v>740</v>
      </c>
      <c r="F106" s="413">
        <v>14333.0</v>
      </c>
      <c r="G106" s="403"/>
      <c r="H106" s="349" t="s">
        <v>872</v>
      </c>
      <c r="I106" s="404" t="str">
        <f t="shared" si="3"/>
        <v>NOT PAID</v>
      </c>
      <c r="J106" s="402"/>
      <c r="K106" s="402"/>
      <c r="L106" s="402"/>
      <c r="M106" s="402"/>
      <c r="N106" s="402"/>
      <c r="O106" s="402"/>
      <c r="P106" s="402"/>
      <c r="Q106" s="402"/>
      <c r="R106" s="402"/>
      <c r="S106" s="402"/>
      <c r="T106" s="402"/>
      <c r="U106" s="402"/>
      <c r="V106" s="402"/>
      <c r="W106" s="402"/>
      <c r="X106" s="402"/>
      <c r="Y106" s="402"/>
      <c r="Z106" s="402"/>
      <c r="AA106" s="405"/>
      <c r="AB106" s="405"/>
    </row>
    <row r="107" ht="14.25" customHeight="1">
      <c r="A107" s="406">
        <v>45497.0</v>
      </c>
      <c r="B107" s="407" t="s">
        <v>691</v>
      </c>
      <c r="C107" s="408" t="s">
        <v>692</v>
      </c>
      <c r="D107" s="349" t="s">
        <v>54</v>
      </c>
      <c r="E107" s="349" t="s">
        <v>693</v>
      </c>
      <c r="F107" s="409">
        <v>3600.0</v>
      </c>
      <c r="G107" s="403"/>
      <c r="H107" s="349" t="s">
        <v>873</v>
      </c>
      <c r="I107" s="404" t="str">
        <f t="shared" si="3"/>
        <v>NOT PAID</v>
      </c>
      <c r="J107" s="402"/>
      <c r="K107" s="402"/>
      <c r="L107" s="402"/>
      <c r="M107" s="402"/>
      <c r="N107" s="402"/>
      <c r="O107" s="402"/>
      <c r="P107" s="402"/>
      <c r="Q107" s="402"/>
      <c r="R107" s="402"/>
      <c r="S107" s="402"/>
      <c r="T107" s="402"/>
      <c r="U107" s="402"/>
      <c r="V107" s="402"/>
      <c r="W107" s="402"/>
      <c r="X107" s="402"/>
      <c r="Y107" s="402"/>
      <c r="Z107" s="402"/>
      <c r="AA107" s="405"/>
      <c r="AB107" s="405"/>
    </row>
    <row r="108" ht="14.25" customHeight="1">
      <c r="A108" s="406">
        <v>45497.0</v>
      </c>
      <c r="B108" s="410" t="s">
        <v>695</v>
      </c>
      <c r="C108" s="411" t="s">
        <v>696</v>
      </c>
      <c r="D108" s="343" t="s">
        <v>54</v>
      </c>
      <c r="E108" s="412" t="s">
        <v>693</v>
      </c>
      <c r="F108" s="413">
        <v>61772.77</v>
      </c>
      <c r="G108" s="403"/>
      <c r="H108" s="349" t="s">
        <v>860</v>
      </c>
      <c r="I108" s="404" t="str">
        <f t="shared" si="3"/>
        <v>NOT PAID</v>
      </c>
      <c r="J108" s="402"/>
      <c r="K108" s="402"/>
      <c r="L108" s="402"/>
      <c r="M108" s="402"/>
      <c r="N108" s="402"/>
      <c r="O108" s="402"/>
      <c r="P108" s="402"/>
      <c r="Q108" s="402"/>
      <c r="R108" s="402"/>
      <c r="S108" s="402"/>
      <c r="T108" s="402"/>
      <c r="U108" s="402"/>
      <c r="V108" s="402"/>
      <c r="W108" s="402"/>
      <c r="X108" s="402"/>
      <c r="Y108" s="402"/>
      <c r="Z108" s="402"/>
      <c r="AA108" s="405"/>
      <c r="AB108" s="405"/>
    </row>
    <row r="109" ht="14.25" customHeight="1">
      <c r="A109" s="406">
        <v>45497.0</v>
      </c>
      <c r="B109" s="414" t="s">
        <v>698</v>
      </c>
      <c r="C109" s="415" t="s">
        <v>699</v>
      </c>
      <c r="D109" s="343" t="s">
        <v>54</v>
      </c>
      <c r="E109" s="412" t="s">
        <v>693</v>
      </c>
      <c r="F109" s="413">
        <v>7648.0</v>
      </c>
      <c r="G109" s="413"/>
      <c r="H109" s="349" t="s">
        <v>874</v>
      </c>
      <c r="I109" s="404" t="str">
        <f t="shared" si="3"/>
        <v>NOT PAID</v>
      </c>
      <c r="J109" s="402"/>
      <c r="K109" s="402"/>
      <c r="L109" s="402"/>
      <c r="M109" s="402"/>
      <c r="N109" s="402"/>
      <c r="O109" s="402"/>
      <c r="P109" s="402"/>
      <c r="Q109" s="402"/>
      <c r="R109" s="402"/>
      <c r="S109" s="402"/>
      <c r="T109" s="402"/>
      <c r="U109" s="402"/>
      <c r="V109" s="402"/>
      <c r="W109" s="402"/>
      <c r="X109" s="402"/>
      <c r="Y109" s="402"/>
      <c r="Z109" s="402"/>
      <c r="AA109" s="405"/>
      <c r="AB109" s="405"/>
    </row>
    <row r="110" ht="14.25" customHeight="1">
      <c r="A110" s="406">
        <v>45497.0</v>
      </c>
      <c r="B110" s="407" t="s">
        <v>833</v>
      </c>
      <c r="C110" s="408" t="s">
        <v>834</v>
      </c>
      <c r="D110" s="408" t="s">
        <v>54</v>
      </c>
      <c r="E110" s="410" t="s">
        <v>759</v>
      </c>
      <c r="F110" s="416">
        <v>121909.0</v>
      </c>
      <c r="G110" s="416">
        <v>121909.0</v>
      </c>
      <c r="H110" s="349" t="s">
        <v>267</v>
      </c>
      <c r="I110" s="404" t="str">
        <f t="shared" si="3"/>
        <v>FULLY PAID</v>
      </c>
      <c r="J110" s="402"/>
      <c r="K110" s="402"/>
      <c r="L110" s="402"/>
      <c r="M110" s="402"/>
      <c r="N110" s="402"/>
      <c r="O110" s="402"/>
      <c r="P110" s="402"/>
      <c r="Q110" s="402"/>
      <c r="R110" s="402"/>
      <c r="S110" s="402"/>
      <c r="T110" s="402"/>
      <c r="U110" s="402"/>
      <c r="V110" s="402"/>
      <c r="W110" s="402"/>
      <c r="X110" s="402"/>
      <c r="Y110" s="402"/>
      <c r="Z110" s="402"/>
      <c r="AA110" s="405"/>
      <c r="AB110" s="405"/>
    </row>
    <row r="111" ht="14.25" customHeight="1">
      <c r="A111" s="406">
        <v>45497.0</v>
      </c>
      <c r="B111" s="349" t="s">
        <v>757</v>
      </c>
      <c r="C111" s="421" t="s">
        <v>875</v>
      </c>
      <c r="D111" s="421" t="s">
        <v>75</v>
      </c>
      <c r="E111" s="410" t="s">
        <v>759</v>
      </c>
      <c r="F111" s="416">
        <v>165485.25</v>
      </c>
      <c r="G111" s="413">
        <v>100000.0</v>
      </c>
      <c r="H111" s="349" t="s">
        <v>804</v>
      </c>
      <c r="I111" s="404" t="str">
        <f t="shared" si="3"/>
        <v>PARTIALLY PAID</v>
      </c>
      <c r="J111" s="402"/>
      <c r="K111" s="402"/>
      <c r="L111" s="402"/>
      <c r="M111" s="402"/>
      <c r="N111" s="402"/>
      <c r="O111" s="402"/>
      <c r="P111" s="402"/>
      <c r="Q111" s="402"/>
      <c r="R111" s="402"/>
      <c r="S111" s="402"/>
      <c r="T111" s="402"/>
      <c r="U111" s="402"/>
      <c r="V111" s="402"/>
      <c r="W111" s="402"/>
      <c r="X111" s="402"/>
      <c r="Y111" s="402"/>
      <c r="Z111" s="402"/>
      <c r="AA111" s="405"/>
      <c r="AB111" s="405"/>
    </row>
    <row r="112" ht="14.25" customHeight="1">
      <c r="A112" s="406">
        <v>45497.0</v>
      </c>
      <c r="B112" s="349" t="s">
        <v>846</v>
      </c>
      <c r="C112" s="421" t="s">
        <v>847</v>
      </c>
      <c r="D112" s="421" t="s">
        <v>54</v>
      </c>
      <c r="E112" s="410" t="s">
        <v>848</v>
      </c>
      <c r="F112" s="416">
        <v>2500000.0</v>
      </c>
      <c r="G112" s="403"/>
      <c r="H112" s="402"/>
      <c r="I112" s="404" t="str">
        <f t="shared" si="3"/>
        <v>NOT PAID</v>
      </c>
      <c r="J112" s="402"/>
      <c r="K112" s="402"/>
      <c r="L112" s="402"/>
      <c r="M112" s="402"/>
      <c r="N112" s="402"/>
      <c r="O112" s="402"/>
      <c r="P112" s="402"/>
      <c r="Q112" s="402"/>
      <c r="R112" s="402"/>
      <c r="S112" s="402"/>
      <c r="T112" s="402"/>
      <c r="U112" s="402"/>
      <c r="V112" s="402"/>
      <c r="W112" s="402"/>
      <c r="X112" s="402"/>
      <c r="Y112" s="402"/>
      <c r="Z112" s="402"/>
      <c r="AA112" s="405"/>
      <c r="AB112" s="405"/>
    </row>
    <row r="113" ht="14.25" customHeight="1">
      <c r="A113" s="406">
        <v>45497.0</v>
      </c>
      <c r="B113" s="349" t="s">
        <v>850</v>
      </c>
      <c r="C113" s="421" t="s">
        <v>851</v>
      </c>
      <c r="D113" s="421" t="s">
        <v>668</v>
      </c>
      <c r="E113" s="410" t="s">
        <v>852</v>
      </c>
      <c r="F113" s="416">
        <v>5000000.0</v>
      </c>
      <c r="G113" s="403"/>
      <c r="H113" s="402"/>
      <c r="I113" s="404" t="str">
        <f t="shared" si="3"/>
        <v>NOT PAID</v>
      </c>
      <c r="J113" s="402"/>
      <c r="K113" s="402"/>
      <c r="L113" s="402"/>
      <c r="M113" s="402"/>
      <c r="N113" s="402"/>
      <c r="O113" s="402"/>
      <c r="P113" s="402"/>
      <c r="Q113" s="402"/>
      <c r="R113" s="402"/>
      <c r="S113" s="402"/>
      <c r="T113" s="402"/>
      <c r="U113" s="402"/>
      <c r="V113" s="402"/>
      <c r="W113" s="402"/>
      <c r="X113" s="402"/>
      <c r="Y113" s="402"/>
      <c r="Z113" s="402"/>
      <c r="AA113" s="405"/>
      <c r="AB113" s="405"/>
    </row>
    <row r="114" ht="14.25" customHeight="1">
      <c r="A114" s="406">
        <v>45496.0</v>
      </c>
      <c r="B114" s="407" t="s">
        <v>827</v>
      </c>
      <c r="C114" s="408" t="s">
        <v>828</v>
      </c>
      <c r="D114" s="408" t="s">
        <v>54</v>
      </c>
      <c r="E114" s="349" t="s">
        <v>759</v>
      </c>
      <c r="F114" s="413">
        <v>78823.16</v>
      </c>
      <c r="G114" s="413">
        <v>78823.16</v>
      </c>
      <c r="H114" s="349" t="s">
        <v>876</v>
      </c>
      <c r="I114" s="404" t="str">
        <f t="shared" si="3"/>
        <v>FULLY PAID</v>
      </c>
      <c r="J114" s="402"/>
      <c r="K114" s="402"/>
      <c r="L114" s="402"/>
      <c r="M114" s="402"/>
      <c r="N114" s="402"/>
      <c r="O114" s="402"/>
      <c r="P114" s="402"/>
      <c r="Q114" s="402"/>
      <c r="R114" s="402"/>
      <c r="S114" s="402"/>
      <c r="T114" s="402"/>
      <c r="U114" s="402"/>
      <c r="V114" s="402"/>
      <c r="W114" s="402"/>
      <c r="X114" s="402"/>
      <c r="Y114" s="402"/>
      <c r="Z114" s="402"/>
      <c r="AA114" s="405"/>
      <c r="AB114" s="405"/>
    </row>
    <row r="115" ht="14.25" customHeight="1">
      <c r="A115" s="406">
        <v>45497.0</v>
      </c>
      <c r="B115" s="433" t="s">
        <v>877</v>
      </c>
      <c r="C115" s="421" t="s">
        <v>878</v>
      </c>
      <c r="D115" s="421" t="s">
        <v>54</v>
      </c>
      <c r="E115" s="349" t="s">
        <v>733</v>
      </c>
      <c r="F115" s="413">
        <v>36502.21</v>
      </c>
      <c r="G115" s="403"/>
      <c r="H115" s="349" t="s">
        <v>879</v>
      </c>
      <c r="I115" s="404" t="str">
        <f t="shared" si="3"/>
        <v>NOT PAID</v>
      </c>
      <c r="J115" s="402"/>
      <c r="K115" s="402"/>
      <c r="L115" s="402"/>
      <c r="M115" s="402"/>
      <c r="N115" s="402"/>
      <c r="O115" s="402"/>
      <c r="P115" s="402"/>
      <c r="Q115" s="402"/>
      <c r="R115" s="402"/>
      <c r="S115" s="402"/>
      <c r="T115" s="402"/>
      <c r="U115" s="402"/>
      <c r="V115" s="402"/>
      <c r="W115" s="402"/>
      <c r="X115" s="402"/>
      <c r="Y115" s="402"/>
      <c r="Z115" s="402"/>
      <c r="AA115" s="405"/>
      <c r="AB115" s="405"/>
    </row>
    <row r="116" ht="14.25" customHeight="1">
      <c r="A116" s="406">
        <v>45497.0</v>
      </c>
      <c r="B116" s="349" t="s">
        <v>731</v>
      </c>
      <c r="C116" s="421" t="s">
        <v>732</v>
      </c>
      <c r="D116" s="421" t="s">
        <v>54</v>
      </c>
      <c r="E116" s="349" t="s">
        <v>733</v>
      </c>
      <c r="F116" s="413">
        <v>11892.0</v>
      </c>
      <c r="G116" s="413">
        <v>1000.0</v>
      </c>
      <c r="H116" s="349" t="s">
        <v>880</v>
      </c>
      <c r="I116" s="404" t="str">
        <f t="shared" si="3"/>
        <v>PARTIALLY PAID</v>
      </c>
      <c r="J116" s="402"/>
      <c r="K116" s="402"/>
      <c r="L116" s="402"/>
      <c r="M116" s="402"/>
      <c r="N116" s="402"/>
      <c r="O116" s="402"/>
      <c r="P116" s="402"/>
      <c r="Q116" s="402"/>
      <c r="R116" s="402"/>
      <c r="S116" s="402"/>
      <c r="T116" s="402"/>
      <c r="U116" s="402"/>
      <c r="V116" s="402"/>
      <c r="W116" s="402"/>
      <c r="X116" s="402"/>
      <c r="Y116" s="402"/>
      <c r="Z116" s="402"/>
      <c r="AA116" s="405"/>
      <c r="AB116" s="405"/>
    </row>
    <row r="117" ht="14.25" customHeight="1">
      <c r="A117" s="406">
        <v>45497.0</v>
      </c>
      <c r="B117" s="349" t="s">
        <v>881</v>
      </c>
      <c r="C117" s="421" t="s">
        <v>882</v>
      </c>
      <c r="D117" s="421" t="s">
        <v>54</v>
      </c>
      <c r="E117" s="349" t="s">
        <v>733</v>
      </c>
      <c r="F117" s="413">
        <v>217949.0</v>
      </c>
      <c r="G117" s="403"/>
      <c r="H117" s="349" t="s">
        <v>883</v>
      </c>
      <c r="I117" s="404" t="str">
        <f t="shared" si="3"/>
        <v>NOT PAID</v>
      </c>
      <c r="J117" s="402"/>
      <c r="K117" s="402"/>
      <c r="L117" s="402"/>
      <c r="M117" s="402"/>
      <c r="N117" s="402"/>
      <c r="O117" s="402"/>
      <c r="P117" s="402"/>
      <c r="Q117" s="402"/>
      <c r="R117" s="402"/>
      <c r="S117" s="402"/>
      <c r="T117" s="402"/>
      <c r="U117" s="402"/>
      <c r="V117" s="402"/>
      <c r="W117" s="402"/>
      <c r="X117" s="402"/>
      <c r="Y117" s="402"/>
      <c r="Z117" s="402"/>
      <c r="AA117" s="405"/>
      <c r="AB117" s="405"/>
    </row>
    <row r="118" ht="14.25" customHeight="1">
      <c r="A118" s="402"/>
      <c r="B118" s="402"/>
      <c r="C118" s="434"/>
      <c r="D118" s="434"/>
      <c r="E118" s="402"/>
      <c r="F118" s="403"/>
      <c r="G118" s="403"/>
      <c r="H118" s="402"/>
      <c r="I118" s="404" t="str">
        <f t="shared" si="3"/>
        <v>FULLY PAID</v>
      </c>
      <c r="J118" s="402"/>
      <c r="K118" s="402"/>
      <c r="L118" s="402"/>
      <c r="M118" s="402"/>
      <c r="N118" s="402"/>
      <c r="O118" s="402"/>
      <c r="P118" s="402"/>
      <c r="Q118" s="402"/>
      <c r="R118" s="402"/>
      <c r="S118" s="402"/>
      <c r="T118" s="402"/>
      <c r="U118" s="402"/>
      <c r="V118" s="402"/>
      <c r="W118" s="402"/>
      <c r="X118" s="402"/>
      <c r="Y118" s="402"/>
      <c r="Z118" s="402"/>
      <c r="AA118" s="405"/>
      <c r="AB118" s="405"/>
    </row>
    <row r="119" ht="14.25" customHeight="1">
      <c r="A119" s="402"/>
      <c r="B119" s="402"/>
      <c r="C119" s="402"/>
      <c r="D119" s="402"/>
      <c r="E119" s="402"/>
      <c r="F119" s="403"/>
      <c r="G119" s="403"/>
      <c r="H119" s="402"/>
      <c r="I119" s="404" t="str">
        <f t="shared" si="3"/>
        <v>FULLY PAID</v>
      </c>
      <c r="J119" s="402"/>
      <c r="K119" s="402"/>
      <c r="L119" s="402"/>
      <c r="M119" s="402"/>
      <c r="N119" s="402"/>
      <c r="O119" s="402"/>
      <c r="P119" s="402"/>
      <c r="Q119" s="402"/>
      <c r="R119" s="402"/>
      <c r="S119" s="402"/>
      <c r="T119" s="402"/>
      <c r="U119" s="402"/>
      <c r="V119" s="402"/>
      <c r="W119" s="402"/>
      <c r="X119" s="402"/>
      <c r="Y119" s="402"/>
      <c r="Z119" s="402"/>
      <c r="AA119" s="405"/>
      <c r="AB119" s="405"/>
    </row>
    <row r="120" ht="14.25" customHeight="1">
      <c r="A120" s="402"/>
      <c r="B120" s="402"/>
      <c r="C120" s="424" t="s">
        <v>797</v>
      </c>
      <c r="D120" s="402"/>
      <c r="E120" s="402"/>
      <c r="F120" s="403"/>
      <c r="G120" s="403"/>
      <c r="H120" s="402"/>
      <c r="I120" s="404" t="str">
        <f t="shared" si="3"/>
        <v>FULLY PAID</v>
      </c>
      <c r="J120" s="402"/>
      <c r="K120" s="402"/>
      <c r="L120" s="402"/>
      <c r="M120" s="402"/>
      <c r="N120" s="402"/>
      <c r="O120" s="402"/>
      <c r="P120" s="402"/>
      <c r="Q120" s="402"/>
      <c r="R120" s="402"/>
      <c r="S120" s="402"/>
      <c r="T120" s="402"/>
      <c r="U120" s="402"/>
      <c r="V120" s="402"/>
      <c r="W120" s="402"/>
      <c r="X120" s="402"/>
      <c r="Y120" s="402"/>
      <c r="Z120" s="402"/>
      <c r="AA120" s="405"/>
      <c r="AB120" s="405"/>
    </row>
    <row r="121" ht="14.25" customHeight="1">
      <c r="A121" s="402"/>
      <c r="B121" s="402"/>
      <c r="C121" s="435" t="s">
        <v>884</v>
      </c>
      <c r="D121" s="343" t="s">
        <v>54</v>
      </c>
      <c r="E121" s="436" t="s">
        <v>273</v>
      </c>
      <c r="F121" s="437">
        <v>100000.0</v>
      </c>
      <c r="G121" s="413"/>
      <c r="H121" s="349" t="s">
        <v>885</v>
      </c>
      <c r="I121" s="404" t="str">
        <f t="shared" si="3"/>
        <v>NOT PAID</v>
      </c>
      <c r="J121" s="402"/>
      <c r="K121" s="402"/>
      <c r="L121" s="402"/>
      <c r="M121" s="402"/>
      <c r="N121" s="402"/>
      <c r="O121" s="402"/>
      <c r="P121" s="402"/>
      <c r="Q121" s="402"/>
      <c r="R121" s="402"/>
      <c r="S121" s="402"/>
      <c r="T121" s="402"/>
      <c r="U121" s="402"/>
      <c r="V121" s="402"/>
      <c r="W121" s="402"/>
      <c r="X121" s="402"/>
      <c r="Y121" s="402"/>
      <c r="Z121" s="402"/>
      <c r="AA121" s="405"/>
      <c r="AB121" s="405"/>
    </row>
    <row r="122" ht="14.25" customHeight="1">
      <c r="A122" s="402"/>
      <c r="B122" s="436" t="s">
        <v>886</v>
      </c>
      <c r="C122" s="438" t="s">
        <v>887</v>
      </c>
      <c r="D122" s="343" t="s">
        <v>54</v>
      </c>
      <c r="E122" s="439" t="s">
        <v>273</v>
      </c>
      <c r="F122" s="440">
        <v>200000.0</v>
      </c>
      <c r="G122" s="413"/>
      <c r="H122" s="349" t="s">
        <v>888</v>
      </c>
      <c r="I122" s="404" t="str">
        <f t="shared" si="3"/>
        <v>NOT PAID</v>
      </c>
      <c r="J122" s="402"/>
      <c r="K122" s="402"/>
      <c r="L122" s="402"/>
      <c r="M122" s="402"/>
      <c r="N122" s="402"/>
      <c r="O122" s="402"/>
      <c r="P122" s="402"/>
      <c r="Q122" s="402"/>
      <c r="R122" s="402"/>
      <c r="S122" s="402"/>
      <c r="T122" s="402"/>
      <c r="U122" s="402"/>
      <c r="V122" s="402"/>
      <c r="W122" s="402"/>
      <c r="X122" s="402"/>
      <c r="Y122" s="402"/>
      <c r="Z122" s="402"/>
      <c r="AA122" s="405"/>
      <c r="AB122" s="405"/>
    </row>
    <row r="123" ht="14.25" customHeight="1">
      <c r="A123" s="406">
        <v>45497.0</v>
      </c>
      <c r="B123" s="439" t="s">
        <v>889</v>
      </c>
      <c r="C123" s="349" t="s">
        <v>792</v>
      </c>
      <c r="D123" s="418" t="s">
        <v>54</v>
      </c>
      <c r="E123" s="416" t="s">
        <v>779</v>
      </c>
      <c r="F123" s="413">
        <v>108791.54</v>
      </c>
      <c r="G123" s="403"/>
      <c r="H123" s="349" t="s">
        <v>890</v>
      </c>
      <c r="I123" s="404" t="str">
        <f t="shared" si="3"/>
        <v>NOT PAID</v>
      </c>
      <c r="J123" s="402"/>
      <c r="K123" s="402"/>
      <c r="L123" s="402"/>
      <c r="M123" s="402"/>
      <c r="N123" s="402"/>
      <c r="O123" s="402"/>
      <c r="P123" s="402"/>
      <c r="Q123" s="402"/>
      <c r="R123" s="402"/>
      <c r="S123" s="402"/>
      <c r="T123" s="402"/>
      <c r="U123" s="402"/>
      <c r="V123" s="402"/>
      <c r="W123" s="402"/>
      <c r="X123" s="402"/>
      <c r="Y123" s="402"/>
      <c r="Z123" s="402"/>
      <c r="AA123" s="405"/>
      <c r="AB123" s="405"/>
    </row>
    <row r="124" ht="14.25" customHeight="1">
      <c r="A124" s="406">
        <v>45497.0</v>
      </c>
      <c r="B124" s="349" t="s">
        <v>791</v>
      </c>
      <c r="C124" s="418" t="s">
        <v>842</v>
      </c>
      <c r="D124" s="418" t="s">
        <v>54</v>
      </c>
      <c r="E124" s="416" t="s">
        <v>779</v>
      </c>
      <c r="F124" s="413">
        <v>14329.9</v>
      </c>
      <c r="G124" s="403"/>
      <c r="H124" s="349" t="s">
        <v>891</v>
      </c>
      <c r="I124" s="404" t="str">
        <f t="shared" si="3"/>
        <v>NOT PAID</v>
      </c>
      <c r="J124" s="402"/>
      <c r="K124" s="402"/>
      <c r="L124" s="402"/>
      <c r="M124" s="402"/>
      <c r="N124" s="402"/>
      <c r="O124" s="402"/>
      <c r="P124" s="402"/>
      <c r="Q124" s="402"/>
      <c r="R124" s="402"/>
      <c r="S124" s="402"/>
      <c r="T124" s="402"/>
      <c r="U124" s="402"/>
      <c r="V124" s="402"/>
      <c r="W124" s="402"/>
      <c r="X124" s="402"/>
      <c r="Y124" s="402"/>
      <c r="Z124" s="402"/>
      <c r="AA124" s="405"/>
      <c r="AB124" s="405"/>
    </row>
    <row r="125" ht="14.25" customHeight="1">
      <c r="A125" s="406">
        <v>45497.0</v>
      </c>
      <c r="B125" s="417" t="s">
        <v>841</v>
      </c>
      <c r="C125" s="349" t="s">
        <v>795</v>
      </c>
      <c r="D125" s="349" t="s">
        <v>54</v>
      </c>
      <c r="E125" s="416" t="s">
        <v>779</v>
      </c>
      <c r="F125" s="413">
        <v>139628.94</v>
      </c>
      <c r="G125" s="403"/>
      <c r="H125" s="349" t="s">
        <v>892</v>
      </c>
      <c r="I125" s="404" t="str">
        <f t="shared" si="3"/>
        <v>NOT PAID</v>
      </c>
      <c r="J125" s="402"/>
      <c r="K125" s="402"/>
      <c r="L125" s="402"/>
      <c r="M125" s="402"/>
      <c r="N125" s="402"/>
      <c r="O125" s="402"/>
      <c r="P125" s="402"/>
      <c r="Q125" s="402"/>
      <c r="R125" s="402"/>
      <c r="S125" s="402"/>
      <c r="T125" s="402"/>
      <c r="U125" s="402"/>
      <c r="V125" s="402"/>
      <c r="W125" s="402"/>
      <c r="X125" s="402"/>
      <c r="Y125" s="402"/>
      <c r="Z125" s="402"/>
      <c r="AA125" s="405"/>
      <c r="AB125" s="405"/>
    </row>
    <row r="126" ht="14.25" customHeight="1">
      <c r="A126" s="402"/>
      <c r="B126" s="402"/>
      <c r="C126" s="402"/>
      <c r="D126" s="402"/>
      <c r="E126" s="402"/>
      <c r="F126" s="403"/>
      <c r="G126" s="403"/>
      <c r="H126" s="402"/>
      <c r="I126" s="404" t="str">
        <f t="shared" si="3"/>
        <v>FULLY PAID</v>
      </c>
      <c r="J126" s="402"/>
      <c r="K126" s="402"/>
      <c r="L126" s="402"/>
      <c r="M126" s="402"/>
      <c r="N126" s="402"/>
      <c r="O126" s="402"/>
      <c r="P126" s="402"/>
      <c r="Q126" s="402"/>
      <c r="R126" s="402"/>
      <c r="S126" s="402"/>
      <c r="T126" s="402"/>
      <c r="U126" s="402"/>
      <c r="V126" s="402"/>
      <c r="W126" s="402"/>
      <c r="X126" s="402"/>
      <c r="Y126" s="402"/>
      <c r="Z126" s="402"/>
      <c r="AA126" s="405"/>
      <c r="AB126" s="405"/>
    </row>
    <row r="127" ht="14.25" customHeight="1">
      <c r="A127" s="406">
        <v>45498.0</v>
      </c>
      <c r="B127" s="441" t="s">
        <v>794</v>
      </c>
      <c r="C127" s="441" t="s">
        <v>795</v>
      </c>
      <c r="D127" s="349" t="s">
        <v>893</v>
      </c>
      <c r="E127" s="349" t="s">
        <v>894</v>
      </c>
      <c r="F127" s="413">
        <v>950000.0</v>
      </c>
      <c r="G127" s="413">
        <v>950000.0</v>
      </c>
      <c r="H127" s="349" t="s">
        <v>895</v>
      </c>
      <c r="I127" s="404" t="str">
        <f t="shared" si="3"/>
        <v>FULLY PAID</v>
      </c>
      <c r="J127" s="402"/>
      <c r="K127" s="402"/>
      <c r="L127" s="402"/>
      <c r="M127" s="402"/>
      <c r="N127" s="402"/>
      <c r="O127" s="402"/>
      <c r="P127" s="402"/>
      <c r="Q127" s="402"/>
      <c r="R127" s="402"/>
      <c r="S127" s="402"/>
      <c r="T127" s="402"/>
      <c r="U127" s="402"/>
      <c r="V127" s="402"/>
      <c r="W127" s="402"/>
      <c r="X127" s="402"/>
      <c r="Y127" s="402"/>
      <c r="Z127" s="402"/>
      <c r="AA127" s="405"/>
      <c r="AB127" s="405"/>
    </row>
    <row r="128" ht="14.25" customHeight="1">
      <c r="A128" s="402"/>
      <c r="B128" s="402"/>
      <c r="C128" s="402"/>
      <c r="D128" s="402"/>
      <c r="E128" s="402"/>
      <c r="F128" s="403"/>
      <c r="G128" s="403"/>
      <c r="H128" s="402"/>
      <c r="I128" s="404"/>
      <c r="J128" s="402"/>
      <c r="K128" s="402"/>
      <c r="L128" s="402"/>
      <c r="M128" s="402"/>
      <c r="N128" s="402"/>
      <c r="O128" s="402"/>
      <c r="P128" s="402"/>
      <c r="Q128" s="402"/>
      <c r="R128" s="402"/>
      <c r="S128" s="402"/>
      <c r="T128" s="402"/>
      <c r="U128" s="402"/>
      <c r="V128" s="402"/>
      <c r="W128" s="402"/>
      <c r="X128" s="402"/>
      <c r="Y128" s="402"/>
      <c r="Z128" s="402"/>
      <c r="AA128" s="405"/>
      <c r="AB128" s="405"/>
    </row>
    <row r="129" ht="14.25" customHeight="1">
      <c r="A129" s="402"/>
      <c r="B129" s="424" t="s">
        <v>896</v>
      </c>
      <c r="C129" s="402"/>
      <c r="D129" s="402"/>
      <c r="E129" s="402"/>
      <c r="F129" s="403"/>
      <c r="G129" s="403"/>
      <c r="H129" s="402"/>
      <c r="I129" s="404"/>
      <c r="J129" s="402"/>
      <c r="K129" s="402"/>
      <c r="L129" s="402"/>
      <c r="M129" s="402"/>
      <c r="N129" s="402"/>
      <c r="O129" s="402"/>
      <c r="P129" s="402"/>
      <c r="Q129" s="402"/>
      <c r="R129" s="402"/>
      <c r="S129" s="402"/>
      <c r="T129" s="402"/>
      <c r="U129" s="402"/>
      <c r="V129" s="402"/>
      <c r="W129" s="402"/>
      <c r="X129" s="402"/>
      <c r="Y129" s="402"/>
      <c r="Z129" s="402"/>
      <c r="AA129" s="405"/>
      <c r="AB129" s="405"/>
    </row>
    <row r="130" ht="14.25" customHeight="1">
      <c r="A130" s="406">
        <v>45498.0</v>
      </c>
      <c r="B130" s="410" t="s">
        <v>705</v>
      </c>
      <c r="C130" s="411" t="s">
        <v>706</v>
      </c>
      <c r="D130" s="343" t="s">
        <v>54</v>
      </c>
      <c r="E130" s="349" t="s">
        <v>703</v>
      </c>
      <c r="F130" s="413">
        <v>8643.36</v>
      </c>
      <c r="G130" s="403"/>
      <c r="H130" s="349" t="s">
        <v>897</v>
      </c>
      <c r="I130" s="404" t="str">
        <f t="shared" ref="I130:I169" si="4">IF(G130&gt;=F130,"FULLY PAID",IF(G130=0,"NOT PAID","PARTIALLY PAID"))</f>
        <v>NOT PAID</v>
      </c>
      <c r="J130" s="402"/>
      <c r="K130" s="402"/>
      <c r="L130" s="402"/>
      <c r="M130" s="402"/>
      <c r="N130" s="402"/>
      <c r="O130" s="402"/>
      <c r="P130" s="402"/>
      <c r="Q130" s="402"/>
      <c r="R130" s="402"/>
      <c r="S130" s="402"/>
      <c r="T130" s="402"/>
      <c r="U130" s="402"/>
      <c r="V130" s="402"/>
      <c r="W130" s="402"/>
      <c r="X130" s="402"/>
      <c r="Y130" s="402"/>
      <c r="Z130" s="402"/>
      <c r="AA130" s="405"/>
      <c r="AB130" s="405"/>
    </row>
    <row r="131" ht="14.25" customHeight="1">
      <c r="A131" s="406">
        <v>45498.0</v>
      </c>
      <c r="B131" s="410" t="s">
        <v>711</v>
      </c>
      <c r="C131" s="411" t="s">
        <v>712</v>
      </c>
      <c r="D131" s="411" t="s">
        <v>75</v>
      </c>
      <c r="E131" s="410" t="s">
        <v>703</v>
      </c>
      <c r="F131" s="416">
        <v>251845.0</v>
      </c>
      <c r="G131" s="403"/>
      <c r="H131" s="349" t="s">
        <v>898</v>
      </c>
      <c r="I131" s="404" t="str">
        <f t="shared" si="4"/>
        <v>NOT PAID</v>
      </c>
      <c r="J131" s="402"/>
      <c r="K131" s="402"/>
      <c r="L131" s="402"/>
      <c r="M131" s="402"/>
      <c r="N131" s="402"/>
      <c r="O131" s="402"/>
      <c r="P131" s="402"/>
      <c r="Q131" s="402"/>
      <c r="R131" s="402"/>
      <c r="S131" s="402"/>
      <c r="T131" s="402"/>
      <c r="U131" s="402"/>
      <c r="V131" s="402"/>
      <c r="W131" s="402"/>
      <c r="X131" s="402"/>
      <c r="Y131" s="402"/>
      <c r="Z131" s="402"/>
      <c r="AA131" s="405"/>
      <c r="AB131" s="405"/>
    </row>
    <row r="132" ht="14.25" customHeight="1">
      <c r="A132" s="406">
        <v>45498.0</v>
      </c>
      <c r="B132" s="349" t="s">
        <v>714</v>
      </c>
      <c r="C132" s="349" t="s">
        <v>715</v>
      </c>
      <c r="D132" s="349" t="s">
        <v>75</v>
      </c>
      <c r="E132" s="410" t="s">
        <v>703</v>
      </c>
      <c r="F132" s="416">
        <v>11237.5</v>
      </c>
      <c r="G132" s="413">
        <v>12000.0</v>
      </c>
      <c r="H132" s="349" t="s">
        <v>899</v>
      </c>
      <c r="I132" s="404" t="str">
        <f t="shared" si="4"/>
        <v>FULLY PAID</v>
      </c>
      <c r="J132" s="402"/>
      <c r="K132" s="402"/>
      <c r="L132" s="402"/>
      <c r="M132" s="402"/>
      <c r="N132" s="402"/>
      <c r="O132" s="402"/>
      <c r="P132" s="402"/>
      <c r="Q132" s="402"/>
      <c r="R132" s="402"/>
      <c r="S132" s="402"/>
      <c r="T132" s="402"/>
      <c r="U132" s="402"/>
      <c r="V132" s="402"/>
      <c r="W132" s="402"/>
      <c r="X132" s="402"/>
      <c r="Y132" s="402"/>
      <c r="Z132" s="402"/>
      <c r="AA132" s="405"/>
      <c r="AB132" s="405"/>
    </row>
    <row r="133" ht="14.25" customHeight="1">
      <c r="A133" s="406">
        <v>45498.0</v>
      </c>
      <c r="B133" s="410" t="s">
        <v>717</v>
      </c>
      <c r="C133" s="411" t="s">
        <v>718</v>
      </c>
      <c r="D133" s="411" t="s">
        <v>54</v>
      </c>
      <c r="E133" s="410" t="s">
        <v>703</v>
      </c>
      <c r="F133" s="416">
        <v>1275.01</v>
      </c>
      <c r="G133" s="403"/>
      <c r="H133" s="349" t="s">
        <v>900</v>
      </c>
      <c r="I133" s="404" t="str">
        <f t="shared" si="4"/>
        <v>NOT PAID</v>
      </c>
      <c r="J133" s="402"/>
      <c r="K133" s="402"/>
      <c r="L133" s="402"/>
      <c r="M133" s="402"/>
      <c r="N133" s="402"/>
      <c r="O133" s="402"/>
      <c r="P133" s="402"/>
      <c r="Q133" s="402"/>
      <c r="R133" s="402"/>
      <c r="S133" s="402"/>
      <c r="T133" s="402"/>
      <c r="U133" s="402"/>
      <c r="V133" s="402"/>
      <c r="W133" s="402"/>
      <c r="X133" s="402"/>
      <c r="Y133" s="402"/>
      <c r="Z133" s="402"/>
      <c r="AA133" s="405"/>
      <c r="AB133" s="405"/>
    </row>
    <row r="134" ht="14.25" customHeight="1">
      <c r="A134" s="406">
        <v>45498.0</v>
      </c>
      <c r="B134" s="417" t="s">
        <v>720</v>
      </c>
      <c r="C134" s="418" t="s">
        <v>721</v>
      </c>
      <c r="D134" s="418" t="s">
        <v>54</v>
      </c>
      <c r="E134" s="349" t="s">
        <v>703</v>
      </c>
      <c r="F134" s="413">
        <v>50100.0</v>
      </c>
      <c r="G134" s="413">
        <v>30000.0</v>
      </c>
      <c r="H134" s="349" t="s">
        <v>901</v>
      </c>
      <c r="I134" s="404" t="str">
        <f t="shared" si="4"/>
        <v>PARTIALLY PAID</v>
      </c>
      <c r="J134" s="402"/>
      <c r="K134" s="402"/>
      <c r="L134" s="402"/>
      <c r="M134" s="402"/>
      <c r="N134" s="402"/>
      <c r="O134" s="402"/>
      <c r="P134" s="402"/>
      <c r="Q134" s="402"/>
      <c r="R134" s="402"/>
      <c r="S134" s="402"/>
      <c r="T134" s="402"/>
      <c r="U134" s="402"/>
      <c r="V134" s="402"/>
      <c r="W134" s="402"/>
      <c r="X134" s="402"/>
      <c r="Y134" s="402"/>
      <c r="Z134" s="402"/>
      <c r="AA134" s="405"/>
      <c r="AB134" s="405"/>
    </row>
    <row r="135" ht="14.25" customHeight="1">
      <c r="A135" s="406">
        <v>45498.0</v>
      </c>
      <c r="B135" s="407" t="s">
        <v>723</v>
      </c>
      <c r="C135" s="408" t="s">
        <v>724</v>
      </c>
      <c r="D135" s="408" t="s">
        <v>54</v>
      </c>
      <c r="E135" s="349" t="s">
        <v>703</v>
      </c>
      <c r="F135" s="416">
        <v>28104.75</v>
      </c>
      <c r="G135" s="403"/>
      <c r="H135" s="349" t="s">
        <v>900</v>
      </c>
      <c r="I135" s="404" t="str">
        <f t="shared" si="4"/>
        <v>NOT PAID</v>
      </c>
      <c r="J135" s="402"/>
      <c r="K135" s="402"/>
      <c r="L135" s="402"/>
      <c r="M135" s="402"/>
      <c r="N135" s="402"/>
      <c r="O135" s="402"/>
      <c r="P135" s="402"/>
      <c r="Q135" s="402"/>
      <c r="R135" s="402"/>
      <c r="S135" s="402"/>
      <c r="T135" s="402"/>
      <c r="U135" s="402"/>
      <c r="V135" s="402"/>
      <c r="W135" s="402"/>
      <c r="X135" s="402"/>
      <c r="Y135" s="402"/>
      <c r="Z135" s="402"/>
      <c r="AA135" s="405"/>
      <c r="AB135" s="405"/>
    </row>
    <row r="136" ht="14.25" customHeight="1">
      <c r="A136" s="406">
        <v>45498.0</v>
      </c>
      <c r="B136" s="407" t="s">
        <v>729</v>
      </c>
      <c r="C136" s="408" t="s">
        <v>730</v>
      </c>
      <c r="D136" s="408" t="s">
        <v>54</v>
      </c>
      <c r="E136" s="349" t="s">
        <v>703</v>
      </c>
      <c r="F136" s="416">
        <v>100000.0</v>
      </c>
      <c r="G136" s="403"/>
      <c r="H136" s="349" t="s">
        <v>902</v>
      </c>
      <c r="I136" s="404" t="str">
        <f t="shared" si="4"/>
        <v>NOT PAID</v>
      </c>
      <c r="J136" s="402"/>
      <c r="K136" s="402"/>
      <c r="L136" s="402"/>
      <c r="M136" s="402"/>
      <c r="N136" s="402"/>
      <c r="O136" s="402"/>
      <c r="P136" s="402"/>
      <c r="Q136" s="402"/>
      <c r="R136" s="402"/>
      <c r="S136" s="402"/>
      <c r="T136" s="402"/>
      <c r="U136" s="402"/>
      <c r="V136" s="402"/>
      <c r="W136" s="402"/>
      <c r="X136" s="402"/>
      <c r="Y136" s="402"/>
      <c r="Z136" s="402"/>
      <c r="AA136" s="405"/>
      <c r="AB136" s="405"/>
    </row>
    <row r="137" ht="14.25" customHeight="1">
      <c r="A137" s="406">
        <v>45498.0</v>
      </c>
      <c r="B137" s="407" t="s">
        <v>807</v>
      </c>
      <c r="C137" s="408" t="s">
        <v>808</v>
      </c>
      <c r="D137" s="408" t="s">
        <v>54</v>
      </c>
      <c r="E137" s="349" t="s">
        <v>703</v>
      </c>
      <c r="F137" s="416">
        <v>31900.0</v>
      </c>
      <c r="G137" s="413">
        <v>35900.0</v>
      </c>
      <c r="H137" s="349" t="s">
        <v>710</v>
      </c>
      <c r="I137" s="404" t="str">
        <f t="shared" si="4"/>
        <v>FULLY PAID</v>
      </c>
      <c r="J137" s="402"/>
      <c r="K137" s="402"/>
      <c r="L137" s="402"/>
      <c r="M137" s="402"/>
      <c r="N137" s="402"/>
      <c r="O137" s="402"/>
      <c r="P137" s="402"/>
      <c r="Q137" s="402"/>
      <c r="R137" s="402"/>
      <c r="S137" s="402"/>
      <c r="T137" s="402"/>
      <c r="U137" s="402"/>
      <c r="V137" s="402"/>
      <c r="W137" s="402"/>
      <c r="X137" s="402"/>
      <c r="Y137" s="402"/>
      <c r="Z137" s="402"/>
      <c r="AA137" s="405"/>
      <c r="AB137" s="405"/>
    </row>
    <row r="138" ht="14.25" customHeight="1">
      <c r="A138" s="406">
        <v>45498.0</v>
      </c>
      <c r="B138" s="407" t="s">
        <v>809</v>
      </c>
      <c r="C138" s="408" t="s">
        <v>810</v>
      </c>
      <c r="D138" s="408" t="s">
        <v>54</v>
      </c>
      <c r="E138" s="349" t="s">
        <v>703</v>
      </c>
      <c r="F138" s="416">
        <v>177077.95</v>
      </c>
      <c r="G138" s="403"/>
      <c r="H138" s="349" t="s">
        <v>903</v>
      </c>
      <c r="I138" s="404" t="str">
        <f t="shared" si="4"/>
        <v>NOT PAID</v>
      </c>
      <c r="J138" s="402"/>
      <c r="K138" s="402"/>
      <c r="L138" s="402"/>
      <c r="M138" s="402"/>
      <c r="N138" s="402"/>
      <c r="O138" s="402"/>
      <c r="P138" s="402"/>
      <c r="Q138" s="402"/>
      <c r="R138" s="402"/>
      <c r="S138" s="402"/>
      <c r="T138" s="402"/>
      <c r="U138" s="402"/>
      <c r="V138" s="402"/>
      <c r="W138" s="402"/>
      <c r="X138" s="402"/>
      <c r="Y138" s="402"/>
      <c r="Z138" s="402"/>
      <c r="AA138" s="405"/>
      <c r="AB138" s="405"/>
    </row>
    <row r="139" ht="14.25" customHeight="1">
      <c r="A139" s="406">
        <v>45498.0</v>
      </c>
      <c r="B139" s="417" t="s">
        <v>904</v>
      </c>
      <c r="C139" s="418" t="s">
        <v>810</v>
      </c>
      <c r="D139" s="418" t="s">
        <v>75</v>
      </c>
      <c r="E139" s="349" t="s">
        <v>703</v>
      </c>
      <c r="F139" s="442">
        <v>1100000.0</v>
      </c>
      <c r="G139" s="403"/>
      <c r="H139" s="349" t="s">
        <v>903</v>
      </c>
      <c r="I139" s="404" t="str">
        <f t="shared" si="4"/>
        <v>NOT PAID</v>
      </c>
      <c r="J139" s="402"/>
      <c r="K139" s="402"/>
      <c r="L139" s="402"/>
      <c r="M139" s="402"/>
      <c r="N139" s="402"/>
      <c r="O139" s="402"/>
      <c r="P139" s="402"/>
      <c r="Q139" s="402"/>
      <c r="R139" s="402"/>
      <c r="S139" s="402"/>
      <c r="T139" s="402"/>
      <c r="U139" s="402"/>
      <c r="V139" s="402"/>
      <c r="W139" s="402"/>
      <c r="X139" s="402"/>
      <c r="Y139" s="402"/>
      <c r="Z139" s="402"/>
      <c r="AA139" s="405"/>
      <c r="AB139" s="405"/>
    </row>
    <row r="140" ht="14.25" customHeight="1">
      <c r="A140" s="406">
        <v>45498.0</v>
      </c>
      <c r="B140" s="344" t="s">
        <v>742</v>
      </c>
      <c r="C140" s="344" t="s">
        <v>743</v>
      </c>
      <c r="D140" s="344" t="s">
        <v>54</v>
      </c>
      <c r="E140" s="344" t="s">
        <v>740</v>
      </c>
      <c r="F140" s="430">
        <v>112579.0</v>
      </c>
      <c r="G140" s="403"/>
      <c r="H140" s="402"/>
      <c r="I140" s="404" t="str">
        <f t="shared" si="4"/>
        <v>NOT PAID</v>
      </c>
      <c r="J140" s="402"/>
      <c r="K140" s="402"/>
      <c r="L140" s="402"/>
      <c r="M140" s="402"/>
      <c r="N140" s="402"/>
      <c r="O140" s="402"/>
      <c r="P140" s="402"/>
      <c r="Q140" s="402"/>
      <c r="R140" s="402"/>
      <c r="S140" s="402"/>
      <c r="T140" s="402"/>
      <c r="U140" s="402"/>
      <c r="V140" s="402"/>
      <c r="W140" s="402"/>
      <c r="X140" s="402"/>
      <c r="Y140" s="402"/>
      <c r="Z140" s="402"/>
      <c r="AA140" s="405"/>
      <c r="AB140" s="405"/>
    </row>
    <row r="141" ht="14.25" customHeight="1">
      <c r="A141" s="406">
        <v>45498.0</v>
      </c>
      <c r="B141" s="344" t="s">
        <v>746</v>
      </c>
      <c r="C141" s="344" t="s">
        <v>747</v>
      </c>
      <c r="D141" s="344" t="s">
        <v>54</v>
      </c>
      <c r="E141" s="344" t="s">
        <v>740</v>
      </c>
      <c r="F141" s="430">
        <v>74378.5</v>
      </c>
      <c r="G141" s="413">
        <v>10000.0</v>
      </c>
      <c r="H141" s="349" t="s">
        <v>905</v>
      </c>
      <c r="I141" s="404" t="str">
        <f t="shared" si="4"/>
        <v>PARTIALLY PAID</v>
      </c>
      <c r="J141" s="402"/>
      <c r="K141" s="402"/>
      <c r="L141" s="402"/>
      <c r="M141" s="402"/>
      <c r="N141" s="402"/>
      <c r="O141" s="402"/>
      <c r="P141" s="402"/>
      <c r="Q141" s="402"/>
      <c r="R141" s="402"/>
      <c r="S141" s="402"/>
      <c r="T141" s="402"/>
      <c r="U141" s="402"/>
      <c r="V141" s="402"/>
      <c r="W141" s="402"/>
      <c r="X141" s="402"/>
      <c r="Y141" s="402"/>
      <c r="Z141" s="402"/>
      <c r="AA141" s="405"/>
      <c r="AB141" s="405"/>
    </row>
    <row r="142" ht="14.25" customHeight="1">
      <c r="A142" s="406">
        <v>45498.0</v>
      </c>
      <c r="B142" s="344" t="s">
        <v>749</v>
      </c>
      <c r="C142" s="344" t="s">
        <v>750</v>
      </c>
      <c r="D142" s="344" t="s">
        <v>54</v>
      </c>
      <c r="E142" s="344" t="s">
        <v>740</v>
      </c>
      <c r="F142" s="430">
        <v>30081.0</v>
      </c>
      <c r="G142" s="403"/>
      <c r="H142" s="349" t="s">
        <v>822</v>
      </c>
      <c r="I142" s="404" t="str">
        <f t="shared" si="4"/>
        <v>NOT PAID</v>
      </c>
      <c r="J142" s="402"/>
      <c r="K142" s="402"/>
      <c r="L142" s="402"/>
      <c r="M142" s="402"/>
      <c r="N142" s="402"/>
      <c r="O142" s="402"/>
      <c r="P142" s="402"/>
      <c r="Q142" s="402"/>
      <c r="R142" s="402"/>
      <c r="S142" s="402"/>
      <c r="T142" s="402"/>
      <c r="U142" s="402"/>
      <c r="V142" s="402"/>
      <c r="W142" s="402"/>
      <c r="X142" s="402"/>
      <c r="Y142" s="402"/>
      <c r="Z142" s="402"/>
      <c r="AA142" s="405"/>
      <c r="AB142" s="405"/>
    </row>
    <row r="143" ht="14.25" customHeight="1">
      <c r="A143" s="406">
        <v>45498.0</v>
      </c>
      <c r="B143" s="344" t="s">
        <v>752</v>
      </c>
      <c r="C143" s="344" t="s">
        <v>753</v>
      </c>
      <c r="D143" s="344" t="s">
        <v>54</v>
      </c>
      <c r="E143" s="344" t="s">
        <v>740</v>
      </c>
      <c r="F143" s="430">
        <v>1008587.0</v>
      </c>
      <c r="G143" s="403"/>
      <c r="H143" s="349" t="s">
        <v>866</v>
      </c>
      <c r="I143" s="404" t="str">
        <f t="shared" si="4"/>
        <v>NOT PAID</v>
      </c>
      <c r="J143" s="402"/>
      <c r="K143" s="402"/>
      <c r="L143" s="402"/>
      <c r="M143" s="402"/>
      <c r="N143" s="402"/>
      <c r="O143" s="402"/>
      <c r="P143" s="402"/>
      <c r="Q143" s="402"/>
      <c r="R143" s="402"/>
      <c r="S143" s="402"/>
      <c r="T143" s="402"/>
      <c r="U143" s="402"/>
      <c r="V143" s="402"/>
      <c r="W143" s="402"/>
      <c r="X143" s="402"/>
      <c r="Y143" s="402"/>
      <c r="Z143" s="402"/>
      <c r="AA143" s="405"/>
      <c r="AB143" s="405"/>
    </row>
    <row r="144" ht="14.25" customHeight="1">
      <c r="A144" s="406">
        <v>45498.0</v>
      </c>
      <c r="B144" s="344" t="s">
        <v>754</v>
      </c>
      <c r="C144" s="344" t="s">
        <v>755</v>
      </c>
      <c r="D144" s="344" t="s">
        <v>59</v>
      </c>
      <c r="E144" s="344" t="s">
        <v>740</v>
      </c>
      <c r="F144" s="430">
        <v>119067.3</v>
      </c>
      <c r="G144" s="403"/>
      <c r="H144" s="349" t="s">
        <v>906</v>
      </c>
      <c r="I144" s="404" t="str">
        <f t="shared" si="4"/>
        <v>NOT PAID</v>
      </c>
      <c r="J144" s="402"/>
      <c r="K144" s="402"/>
      <c r="L144" s="402"/>
      <c r="M144" s="402"/>
      <c r="N144" s="402"/>
      <c r="O144" s="402"/>
      <c r="P144" s="402"/>
      <c r="Q144" s="402"/>
      <c r="R144" s="402"/>
      <c r="S144" s="402"/>
      <c r="T144" s="402"/>
      <c r="U144" s="402"/>
      <c r="V144" s="402"/>
      <c r="W144" s="402"/>
      <c r="X144" s="402"/>
      <c r="Y144" s="402"/>
      <c r="Z144" s="402"/>
      <c r="AA144" s="405"/>
      <c r="AB144" s="405"/>
    </row>
    <row r="145" ht="14.25" customHeight="1">
      <c r="A145" s="406">
        <v>45498.0</v>
      </c>
      <c r="B145" s="408" t="s">
        <v>868</v>
      </c>
      <c r="C145" s="408" t="s">
        <v>869</v>
      </c>
      <c r="D145" s="408" t="s">
        <v>54</v>
      </c>
      <c r="E145" s="344" t="s">
        <v>740</v>
      </c>
      <c r="F145" s="431">
        <v>676953.0</v>
      </c>
      <c r="G145" s="403"/>
      <c r="H145" s="349" t="s">
        <v>907</v>
      </c>
      <c r="I145" s="404" t="str">
        <f t="shared" si="4"/>
        <v>NOT PAID</v>
      </c>
      <c r="J145" s="402"/>
      <c r="K145" s="402"/>
      <c r="L145" s="402"/>
      <c r="M145" s="402"/>
      <c r="N145" s="402"/>
      <c r="O145" s="402"/>
      <c r="P145" s="402"/>
      <c r="Q145" s="402"/>
      <c r="R145" s="402"/>
      <c r="S145" s="402"/>
      <c r="T145" s="402"/>
      <c r="U145" s="402"/>
      <c r="V145" s="402"/>
      <c r="W145" s="402"/>
      <c r="X145" s="402"/>
      <c r="Y145" s="402"/>
      <c r="Z145" s="402"/>
      <c r="AA145" s="405"/>
      <c r="AB145" s="405"/>
    </row>
    <row r="146" ht="14.25" customHeight="1">
      <c r="A146" s="406">
        <v>45498.0</v>
      </c>
      <c r="B146" s="349" t="s">
        <v>870</v>
      </c>
      <c r="C146" s="349" t="s">
        <v>871</v>
      </c>
      <c r="D146" s="349" t="s">
        <v>54</v>
      </c>
      <c r="E146" s="344" t="s">
        <v>740</v>
      </c>
      <c r="F146" s="413">
        <v>14333.0</v>
      </c>
      <c r="G146" s="403"/>
      <c r="H146" s="349" t="s">
        <v>908</v>
      </c>
      <c r="I146" s="404" t="str">
        <f t="shared" si="4"/>
        <v>NOT PAID</v>
      </c>
      <c r="J146" s="402"/>
      <c r="K146" s="402"/>
      <c r="L146" s="402"/>
      <c r="M146" s="402"/>
      <c r="N146" s="402"/>
      <c r="O146" s="402"/>
      <c r="P146" s="402"/>
      <c r="Q146" s="402"/>
      <c r="R146" s="402"/>
      <c r="S146" s="402"/>
      <c r="T146" s="402"/>
      <c r="U146" s="402"/>
      <c r="V146" s="402"/>
      <c r="W146" s="402"/>
      <c r="X146" s="402"/>
      <c r="Y146" s="402"/>
      <c r="Z146" s="402"/>
      <c r="AA146" s="405"/>
      <c r="AB146" s="405"/>
    </row>
    <row r="147" ht="14.25" customHeight="1">
      <c r="A147" s="406">
        <v>45498.0</v>
      </c>
      <c r="B147" s="407" t="s">
        <v>909</v>
      </c>
      <c r="C147" s="408" t="s">
        <v>910</v>
      </c>
      <c r="D147" s="408" t="s">
        <v>59</v>
      </c>
      <c r="E147" s="344" t="s">
        <v>740</v>
      </c>
      <c r="F147" s="409">
        <v>962866.66</v>
      </c>
      <c r="G147" s="403"/>
      <c r="H147" s="349" t="s">
        <v>911</v>
      </c>
      <c r="I147" s="404" t="str">
        <f t="shared" si="4"/>
        <v>NOT PAID</v>
      </c>
      <c r="J147" s="402"/>
      <c r="K147" s="402"/>
      <c r="L147" s="402"/>
      <c r="M147" s="402"/>
      <c r="N147" s="402"/>
      <c r="O147" s="402"/>
      <c r="P147" s="402"/>
      <c r="Q147" s="402"/>
      <c r="R147" s="402"/>
      <c r="S147" s="402"/>
      <c r="T147" s="402"/>
      <c r="U147" s="402"/>
      <c r="V147" s="402"/>
      <c r="W147" s="402"/>
      <c r="X147" s="402"/>
      <c r="Y147" s="402"/>
      <c r="Z147" s="402"/>
      <c r="AA147" s="405"/>
      <c r="AB147" s="405"/>
    </row>
    <row r="148" ht="14.25" customHeight="1">
      <c r="A148" s="406">
        <v>45498.0</v>
      </c>
      <c r="B148" s="407" t="s">
        <v>691</v>
      </c>
      <c r="C148" s="408" t="s">
        <v>692</v>
      </c>
      <c r="D148" s="349" t="s">
        <v>54</v>
      </c>
      <c r="E148" s="349" t="s">
        <v>693</v>
      </c>
      <c r="F148" s="409">
        <v>3600.0</v>
      </c>
      <c r="G148" s="403"/>
      <c r="H148" s="349" t="s">
        <v>267</v>
      </c>
      <c r="I148" s="404" t="str">
        <f t="shared" si="4"/>
        <v>NOT PAID</v>
      </c>
      <c r="J148" s="402"/>
      <c r="K148" s="402"/>
      <c r="L148" s="402"/>
      <c r="M148" s="402"/>
      <c r="N148" s="402"/>
      <c r="O148" s="402"/>
      <c r="P148" s="402"/>
      <c r="Q148" s="402"/>
      <c r="R148" s="402"/>
      <c r="S148" s="402"/>
      <c r="T148" s="402"/>
      <c r="U148" s="402"/>
      <c r="V148" s="402"/>
      <c r="W148" s="402"/>
      <c r="X148" s="402"/>
      <c r="Y148" s="402"/>
      <c r="Z148" s="402"/>
      <c r="AA148" s="405"/>
      <c r="AB148" s="405"/>
    </row>
    <row r="149" ht="14.25" customHeight="1">
      <c r="A149" s="406">
        <v>45498.0</v>
      </c>
      <c r="B149" s="410" t="s">
        <v>695</v>
      </c>
      <c r="C149" s="411" t="s">
        <v>696</v>
      </c>
      <c r="D149" s="343" t="s">
        <v>54</v>
      </c>
      <c r="E149" s="412" t="s">
        <v>693</v>
      </c>
      <c r="F149" s="413">
        <v>61772.77</v>
      </c>
      <c r="G149" s="403"/>
      <c r="H149" s="349" t="s">
        <v>912</v>
      </c>
      <c r="I149" s="404" t="str">
        <f t="shared" si="4"/>
        <v>NOT PAID</v>
      </c>
      <c r="J149" s="402"/>
      <c r="K149" s="402"/>
      <c r="L149" s="402"/>
      <c r="M149" s="402"/>
      <c r="N149" s="402"/>
      <c r="O149" s="402"/>
      <c r="P149" s="402"/>
      <c r="Q149" s="402"/>
      <c r="R149" s="402"/>
      <c r="S149" s="402"/>
      <c r="T149" s="402"/>
      <c r="U149" s="402"/>
      <c r="V149" s="402"/>
      <c r="W149" s="402"/>
      <c r="X149" s="402"/>
      <c r="Y149" s="402"/>
      <c r="Z149" s="402"/>
      <c r="AA149" s="405"/>
      <c r="AB149" s="405"/>
    </row>
    <row r="150" ht="14.25" customHeight="1">
      <c r="A150" s="406">
        <v>45498.0</v>
      </c>
      <c r="B150" s="414" t="s">
        <v>698</v>
      </c>
      <c r="C150" s="415" t="s">
        <v>699</v>
      </c>
      <c r="D150" s="343" t="s">
        <v>54</v>
      </c>
      <c r="E150" s="412" t="s">
        <v>693</v>
      </c>
      <c r="F150" s="413">
        <v>7648.0</v>
      </c>
      <c r="G150" s="403"/>
      <c r="H150" s="349" t="s">
        <v>913</v>
      </c>
      <c r="I150" s="404" t="str">
        <f t="shared" si="4"/>
        <v>NOT PAID</v>
      </c>
      <c r="J150" s="402"/>
      <c r="K150" s="402"/>
      <c r="L150" s="402"/>
      <c r="M150" s="402"/>
      <c r="N150" s="402"/>
      <c r="O150" s="402"/>
      <c r="P150" s="402"/>
      <c r="Q150" s="402"/>
      <c r="R150" s="402"/>
      <c r="S150" s="402"/>
      <c r="T150" s="402"/>
      <c r="U150" s="402"/>
      <c r="V150" s="402"/>
      <c r="W150" s="402"/>
      <c r="X150" s="402"/>
      <c r="Y150" s="402"/>
      <c r="Z150" s="402"/>
      <c r="AA150" s="405"/>
      <c r="AB150" s="405"/>
    </row>
    <row r="151" ht="14.25" customHeight="1">
      <c r="A151" s="406">
        <v>45498.0</v>
      </c>
      <c r="B151" s="349" t="s">
        <v>757</v>
      </c>
      <c r="C151" s="421" t="s">
        <v>875</v>
      </c>
      <c r="D151" s="421" t="s">
        <v>75</v>
      </c>
      <c r="E151" s="410" t="s">
        <v>759</v>
      </c>
      <c r="F151" s="416">
        <v>65485.25</v>
      </c>
      <c r="G151" s="413">
        <v>50000.0</v>
      </c>
      <c r="H151" s="349" t="s">
        <v>914</v>
      </c>
      <c r="I151" s="404" t="str">
        <f t="shared" si="4"/>
        <v>PARTIALLY PAID</v>
      </c>
      <c r="J151" s="402"/>
      <c r="K151" s="402"/>
      <c r="L151" s="402"/>
      <c r="M151" s="402"/>
      <c r="N151" s="402"/>
      <c r="O151" s="402"/>
      <c r="P151" s="402"/>
      <c r="Q151" s="402"/>
      <c r="R151" s="402"/>
      <c r="S151" s="402"/>
      <c r="T151" s="402"/>
      <c r="U151" s="402"/>
      <c r="V151" s="402"/>
      <c r="W151" s="402"/>
      <c r="X151" s="402"/>
      <c r="Y151" s="402"/>
      <c r="Z151" s="402"/>
      <c r="AA151" s="405"/>
      <c r="AB151" s="405"/>
    </row>
    <row r="152" ht="14.25" customHeight="1">
      <c r="A152" s="406">
        <v>45498.0</v>
      </c>
      <c r="B152" s="410" t="s">
        <v>761</v>
      </c>
      <c r="C152" s="408" t="s">
        <v>765</v>
      </c>
      <c r="D152" s="411" t="s">
        <v>54</v>
      </c>
      <c r="E152" s="410" t="s">
        <v>759</v>
      </c>
      <c r="F152" s="416">
        <v>21646.1</v>
      </c>
      <c r="G152" s="413">
        <v>0.0</v>
      </c>
      <c r="H152" s="349" t="s">
        <v>903</v>
      </c>
      <c r="I152" s="404" t="str">
        <f t="shared" si="4"/>
        <v>NOT PAID</v>
      </c>
      <c r="J152" s="402"/>
      <c r="K152" s="402"/>
      <c r="L152" s="402"/>
      <c r="M152" s="402"/>
      <c r="N152" s="402"/>
      <c r="O152" s="402"/>
      <c r="P152" s="402"/>
      <c r="Q152" s="402"/>
      <c r="R152" s="402"/>
      <c r="S152" s="402"/>
      <c r="T152" s="402"/>
      <c r="U152" s="402"/>
      <c r="V152" s="402"/>
      <c r="W152" s="402"/>
      <c r="X152" s="402"/>
      <c r="Y152" s="402"/>
      <c r="Z152" s="402"/>
      <c r="AA152" s="405"/>
      <c r="AB152" s="405"/>
    </row>
    <row r="153" ht="14.25" customHeight="1">
      <c r="A153" s="406">
        <v>45498.0</v>
      </c>
      <c r="B153" s="407" t="s">
        <v>764</v>
      </c>
      <c r="D153" s="408" t="s">
        <v>54</v>
      </c>
      <c r="E153" s="410" t="s">
        <v>759</v>
      </c>
      <c r="F153" s="416">
        <v>17924.56</v>
      </c>
      <c r="G153" s="413"/>
      <c r="H153" s="349" t="s">
        <v>903</v>
      </c>
      <c r="I153" s="404" t="str">
        <f t="shared" si="4"/>
        <v>NOT PAID</v>
      </c>
      <c r="J153" s="402"/>
      <c r="K153" s="402"/>
      <c r="L153" s="402"/>
      <c r="M153" s="402"/>
      <c r="N153" s="402"/>
      <c r="O153" s="402"/>
      <c r="P153" s="402"/>
      <c r="Q153" s="402"/>
      <c r="R153" s="402"/>
      <c r="S153" s="402"/>
      <c r="T153" s="402"/>
      <c r="U153" s="402"/>
      <c r="V153" s="402"/>
      <c r="W153" s="402"/>
      <c r="X153" s="402"/>
      <c r="Y153" s="402"/>
      <c r="Z153" s="402"/>
      <c r="AA153" s="405"/>
      <c r="AB153" s="405"/>
    </row>
    <row r="154" ht="14.25" customHeight="1">
      <c r="A154" s="406">
        <v>45498.0</v>
      </c>
      <c r="B154" s="407" t="s">
        <v>915</v>
      </c>
      <c r="C154" s="408" t="s">
        <v>916</v>
      </c>
      <c r="D154" s="408" t="s">
        <v>54</v>
      </c>
      <c r="E154" s="410" t="s">
        <v>759</v>
      </c>
      <c r="F154" s="416">
        <v>45922.0</v>
      </c>
      <c r="G154" s="413">
        <v>0.0</v>
      </c>
      <c r="H154" s="349" t="s">
        <v>917</v>
      </c>
      <c r="I154" s="404" t="str">
        <f t="shared" si="4"/>
        <v>NOT PAID</v>
      </c>
      <c r="J154" s="402"/>
      <c r="K154" s="402"/>
      <c r="L154" s="402"/>
      <c r="M154" s="402"/>
      <c r="N154" s="402"/>
      <c r="O154" s="402"/>
      <c r="P154" s="402"/>
      <c r="Q154" s="402"/>
      <c r="R154" s="402"/>
      <c r="S154" s="402"/>
      <c r="T154" s="402"/>
      <c r="U154" s="402"/>
      <c r="V154" s="402"/>
      <c r="W154" s="402"/>
      <c r="X154" s="402"/>
      <c r="Y154" s="402"/>
      <c r="Z154" s="402"/>
      <c r="AA154" s="405"/>
      <c r="AB154" s="405"/>
    </row>
    <row r="155" ht="14.25" customHeight="1">
      <c r="A155" s="406">
        <v>45498.0</v>
      </c>
      <c r="B155" s="443" t="s">
        <v>877</v>
      </c>
      <c r="C155" s="421" t="s">
        <v>878</v>
      </c>
      <c r="D155" s="421" t="s">
        <v>54</v>
      </c>
      <c r="E155" s="349" t="s">
        <v>733</v>
      </c>
      <c r="F155" s="413">
        <v>36502.21</v>
      </c>
      <c r="G155" s="403"/>
      <c r="H155" s="402"/>
      <c r="I155" s="404" t="str">
        <f t="shared" si="4"/>
        <v>NOT PAID</v>
      </c>
      <c r="J155" s="402"/>
      <c r="K155" s="402"/>
      <c r="L155" s="402"/>
      <c r="M155" s="402"/>
      <c r="N155" s="402"/>
      <c r="O155" s="402"/>
      <c r="P155" s="402"/>
      <c r="Q155" s="402"/>
      <c r="R155" s="402"/>
      <c r="S155" s="402"/>
      <c r="T155" s="402"/>
      <c r="U155" s="402"/>
      <c r="V155" s="402"/>
      <c r="W155" s="402"/>
      <c r="X155" s="402"/>
      <c r="Y155" s="402"/>
      <c r="Z155" s="402"/>
      <c r="AA155" s="405"/>
      <c r="AB155" s="405"/>
    </row>
    <row r="156" ht="14.25" customHeight="1">
      <c r="A156" s="406">
        <v>45498.0</v>
      </c>
      <c r="B156" s="349" t="s">
        <v>731</v>
      </c>
      <c r="C156" s="421" t="s">
        <v>732</v>
      </c>
      <c r="D156" s="421" t="s">
        <v>54</v>
      </c>
      <c r="E156" s="349" t="s">
        <v>733</v>
      </c>
      <c r="F156" s="413">
        <v>11892.0</v>
      </c>
      <c r="G156" s="413">
        <v>1000.0</v>
      </c>
      <c r="H156" s="349" t="s">
        <v>905</v>
      </c>
      <c r="I156" s="404" t="str">
        <f t="shared" si="4"/>
        <v>PARTIALLY PAID</v>
      </c>
      <c r="J156" s="402"/>
      <c r="K156" s="402"/>
      <c r="L156" s="402"/>
      <c r="M156" s="402"/>
      <c r="N156" s="402"/>
      <c r="O156" s="402"/>
      <c r="P156" s="402"/>
      <c r="Q156" s="402"/>
      <c r="R156" s="402"/>
      <c r="S156" s="402"/>
      <c r="T156" s="402"/>
      <c r="U156" s="402"/>
      <c r="V156" s="402"/>
      <c r="W156" s="402"/>
      <c r="X156" s="402"/>
      <c r="Y156" s="402"/>
      <c r="Z156" s="402"/>
      <c r="AA156" s="405"/>
      <c r="AB156" s="405"/>
    </row>
    <row r="157" ht="14.25" customHeight="1">
      <c r="A157" s="406">
        <v>45498.0</v>
      </c>
      <c r="B157" s="349" t="s">
        <v>881</v>
      </c>
      <c r="C157" s="421" t="s">
        <v>882</v>
      </c>
      <c r="D157" s="421" t="s">
        <v>54</v>
      </c>
      <c r="E157" s="349" t="s">
        <v>733</v>
      </c>
      <c r="F157" s="413">
        <v>913000.0</v>
      </c>
      <c r="G157" s="413">
        <v>913356.0</v>
      </c>
      <c r="H157" s="349" t="s">
        <v>267</v>
      </c>
      <c r="I157" s="404" t="str">
        <f t="shared" si="4"/>
        <v>FULLY PAID</v>
      </c>
      <c r="J157" s="402"/>
      <c r="K157" s="402"/>
      <c r="L157" s="402"/>
      <c r="M157" s="402"/>
      <c r="N157" s="402"/>
      <c r="O157" s="402"/>
      <c r="P157" s="402"/>
      <c r="Q157" s="402"/>
      <c r="R157" s="402"/>
      <c r="S157" s="402"/>
      <c r="T157" s="402"/>
      <c r="U157" s="402"/>
      <c r="V157" s="402"/>
      <c r="W157" s="402"/>
      <c r="X157" s="402"/>
      <c r="Y157" s="402"/>
      <c r="Z157" s="402"/>
      <c r="AA157" s="405"/>
      <c r="AB157" s="405"/>
    </row>
    <row r="158" ht="14.25" customHeight="1">
      <c r="A158" s="406">
        <v>45498.0</v>
      </c>
      <c r="B158" s="417" t="s">
        <v>918</v>
      </c>
      <c r="C158" s="418" t="s">
        <v>919</v>
      </c>
      <c r="D158" s="418" t="s">
        <v>54</v>
      </c>
      <c r="E158" s="349" t="s">
        <v>733</v>
      </c>
      <c r="F158" s="413">
        <v>30348.24</v>
      </c>
      <c r="G158" s="403"/>
      <c r="H158" s="349" t="s">
        <v>920</v>
      </c>
      <c r="I158" s="404" t="str">
        <f t="shared" si="4"/>
        <v>NOT PAID</v>
      </c>
      <c r="J158" s="402"/>
      <c r="K158" s="402"/>
      <c r="L158" s="402"/>
      <c r="M158" s="402"/>
      <c r="N158" s="402"/>
      <c r="O158" s="402"/>
      <c r="P158" s="402"/>
      <c r="Q158" s="402"/>
      <c r="R158" s="402"/>
      <c r="S158" s="402"/>
      <c r="T158" s="402"/>
      <c r="U158" s="402"/>
      <c r="V158" s="402"/>
      <c r="W158" s="402"/>
      <c r="X158" s="402"/>
      <c r="Y158" s="402"/>
      <c r="Z158" s="402"/>
      <c r="AA158" s="405"/>
      <c r="AB158" s="405"/>
    </row>
    <row r="159" ht="14.25" customHeight="1">
      <c r="A159" s="406">
        <v>45498.0</v>
      </c>
      <c r="B159" s="444" t="s">
        <v>921</v>
      </c>
      <c r="C159" s="408" t="s">
        <v>922</v>
      </c>
      <c r="D159" s="408" t="s">
        <v>54</v>
      </c>
      <c r="E159" s="349" t="s">
        <v>733</v>
      </c>
      <c r="F159" s="416">
        <v>24415.95</v>
      </c>
      <c r="G159" s="416"/>
      <c r="H159" s="349" t="s">
        <v>923</v>
      </c>
      <c r="I159" s="404" t="str">
        <f t="shared" si="4"/>
        <v>NOT PAID</v>
      </c>
      <c r="J159" s="402"/>
      <c r="K159" s="402"/>
      <c r="L159" s="402"/>
      <c r="M159" s="402"/>
      <c r="N159" s="402"/>
      <c r="O159" s="402"/>
      <c r="P159" s="402"/>
      <c r="Q159" s="402"/>
      <c r="R159" s="402"/>
      <c r="S159" s="402"/>
      <c r="T159" s="402"/>
      <c r="U159" s="402"/>
      <c r="V159" s="402"/>
      <c r="W159" s="402"/>
      <c r="X159" s="402"/>
      <c r="Y159" s="402"/>
      <c r="Z159" s="402"/>
      <c r="AA159" s="405"/>
      <c r="AB159" s="405"/>
    </row>
    <row r="160" ht="14.25" customHeight="1">
      <c r="A160" s="406">
        <v>45498.0</v>
      </c>
      <c r="B160" s="349" t="s">
        <v>791</v>
      </c>
      <c r="C160" s="349" t="s">
        <v>792</v>
      </c>
      <c r="D160" s="418" t="s">
        <v>54</v>
      </c>
      <c r="E160" s="416" t="s">
        <v>779</v>
      </c>
      <c r="F160" s="413">
        <v>108791.54</v>
      </c>
      <c r="G160" s="403"/>
      <c r="H160" s="349" t="s">
        <v>924</v>
      </c>
      <c r="I160" s="404" t="str">
        <f t="shared" si="4"/>
        <v>NOT PAID</v>
      </c>
      <c r="J160" s="402"/>
      <c r="K160" s="402"/>
      <c r="L160" s="402"/>
      <c r="M160" s="402"/>
      <c r="N160" s="402"/>
      <c r="O160" s="402"/>
      <c r="P160" s="402"/>
      <c r="Q160" s="402"/>
      <c r="R160" s="402"/>
      <c r="S160" s="402"/>
      <c r="T160" s="402"/>
      <c r="U160" s="402"/>
      <c r="V160" s="402"/>
      <c r="W160" s="402"/>
      <c r="X160" s="402"/>
      <c r="Y160" s="402"/>
      <c r="Z160" s="402"/>
      <c r="AA160" s="405"/>
      <c r="AB160" s="405"/>
    </row>
    <row r="161" ht="14.25" customHeight="1">
      <c r="A161" s="406">
        <v>45498.0</v>
      </c>
      <c r="B161" s="417" t="s">
        <v>925</v>
      </c>
      <c r="C161" s="418" t="s">
        <v>842</v>
      </c>
      <c r="D161" s="418" t="s">
        <v>54</v>
      </c>
      <c r="E161" s="416" t="s">
        <v>779</v>
      </c>
      <c r="F161" s="413">
        <v>14329.9</v>
      </c>
      <c r="G161" s="403"/>
      <c r="H161" s="349" t="s">
        <v>926</v>
      </c>
      <c r="I161" s="404" t="str">
        <f t="shared" si="4"/>
        <v>NOT PAID</v>
      </c>
      <c r="J161" s="402"/>
      <c r="K161" s="402"/>
      <c r="L161" s="402"/>
      <c r="M161" s="402"/>
      <c r="N161" s="402"/>
      <c r="O161" s="402"/>
      <c r="P161" s="402"/>
      <c r="Q161" s="402"/>
      <c r="R161" s="402"/>
      <c r="S161" s="402"/>
      <c r="T161" s="402"/>
      <c r="U161" s="402"/>
      <c r="V161" s="402"/>
      <c r="W161" s="402"/>
      <c r="X161" s="402"/>
      <c r="Y161" s="402"/>
      <c r="Z161" s="402"/>
      <c r="AA161" s="405"/>
      <c r="AB161" s="405"/>
    </row>
    <row r="162" ht="14.25" customHeight="1">
      <c r="A162" s="406">
        <v>45498.0</v>
      </c>
      <c r="B162" s="419" t="s">
        <v>794</v>
      </c>
      <c r="C162" s="349" t="s">
        <v>795</v>
      </c>
      <c r="D162" s="349" t="s">
        <v>54</v>
      </c>
      <c r="E162" s="416" t="s">
        <v>779</v>
      </c>
      <c r="F162" s="413">
        <v>200000.0</v>
      </c>
      <c r="G162" s="403"/>
      <c r="H162" s="349" t="s">
        <v>927</v>
      </c>
      <c r="I162" s="404" t="str">
        <f t="shared" si="4"/>
        <v>NOT PAID</v>
      </c>
      <c r="J162" s="402"/>
      <c r="K162" s="402"/>
      <c r="L162" s="402"/>
      <c r="M162" s="402"/>
      <c r="N162" s="402"/>
      <c r="O162" s="402"/>
      <c r="P162" s="402"/>
      <c r="Q162" s="402"/>
      <c r="R162" s="402"/>
      <c r="S162" s="402"/>
      <c r="T162" s="402"/>
      <c r="U162" s="402"/>
      <c r="V162" s="402"/>
      <c r="W162" s="402"/>
      <c r="X162" s="402"/>
      <c r="Y162" s="402"/>
      <c r="Z162" s="402"/>
      <c r="AA162" s="405"/>
      <c r="AB162" s="405"/>
    </row>
    <row r="163" ht="14.25" customHeight="1">
      <c r="A163" s="406">
        <v>45498.0</v>
      </c>
      <c r="B163" s="407" t="s">
        <v>786</v>
      </c>
      <c r="C163" s="408" t="s">
        <v>787</v>
      </c>
      <c r="D163" s="410" t="s">
        <v>54</v>
      </c>
      <c r="E163" s="416" t="s">
        <v>779</v>
      </c>
      <c r="F163" s="25">
        <v>19632.78</v>
      </c>
      <c r="G163" s="403"/>
      <c r="H163" s="349" t="s">
        <v>928</v>
      </c>
      <c r="I163" s="404" t="str">
        <f t="shared" si="4"/>
        <v>NOT PAID</v>
      </c>
      <c r="J163" s="402"/>
      <c r="K163" s="402"/>
      <c r="L163" s="402"/>
      <c r="M163" s="402"/>
      <c r="N163" s="402"/>
      <c r="O163" s="402"/>
      <c r="P163" s="402"/>
      <c r="Q163" s="402"/>
      <c r="R163" s="402"/>
      <c r="S163" s="402"/>
      <c r="T163" s="402"/>
      <c r="U163" s="402"/>
      <c r="V163" s="402"/>
      <c r="W163" s="402"/>
      <c r="X163" s="402"/>
      <c r="Y163" s="402"/>
      <c r="Z163" s="402"/>
      <c r="AA163" s="405"/>
      <c r="AB163" s="405"/>
    </row>
    <row r="164" ht="14.25" customHeight="1">
      <c r="A164" s="406">
        <v>45498.0</v>
      </c>
      <c r="B164" s="349" t="s">
        <v>777</v>
      </c>
      <c r="C164" s="421" t="s">
        <v>929</v>
      </c>
      <c r="D164" s="421" t="s">
        <v>54</v>
      </c>
      <c r="E164" s="416" t="s">
        <v>779</v>
      </c>
      <c r="F164" s="416">
        <v>98000.0</v>
      </c>
      <c r="G164" s="403"/>
      <c r="H164" s="349" t="s">
        <v>930</v>
      </c>
      <c r="I164" s="404" t="str">
        <f t="shared" si="4"/>
        <v>NOT PAID</v>
      </c>
      <c r="J164" s="402"/>
      <c r="K164" s="402"/>
      <c r="L164" s="402"/>
      <c r="M164" s="402"/>
      <c r="N164" s="402"/>
      <c r="O164" s="402"/>
      <c r="P164" s="402"/>
      <c r="Q164" s="402"/>
      <c r="R164" s="402"/>
      <c r="S164" s="402"/>
      <c r="T164" s="402"/>
      <c r="U164" s="402"/>
      <c r="V164" s="402"/>
      <c r="W164" s="402"/>
      <c r="X164" s="402"/>
      <c r="Y164" s="402"/>
      <c r="Z164" s="402"/>
      <c r="AA164" s="405"/>
      <c r="AB164" s="405"/>
    </row>
    <row r="165" ht="14.25" customHeight="1">
      <c r="A165" s="406">
        <v>45498.0</v>
      </c>
      <c r="B165" s="349" t="s">
        <v>846</v>
      </c>
      <c r="C165" s="421" t="s">
        <v>847</v>
      </c>
      <c r="D165" s="421" t="s">
        <v>54</v>
      </c>
      <c r="E165" s="410" t="s">
        <v>931</v>
      </c>
      <c r="F165" s="416">
        <v>2500000.0</v>
      </c>
      <c r="G165" s="403"/>
      <c r="H165" s="349" t="s">
        <v>932</v>
      </c>
      <c r="I165" s="404" t="str">
        <f t="shared" si="4"/>
        <v>NOT PAID</v>
      </c>
      <c r="J165" s="402"/>
      <c r="K165" s="402"/>
      <c r="L165" s="402"/>
      <c r="M165" s="402"/>
      <c r="N165" s="402"/>
      <c r="O165" s="402"/>
      <c r="P165" s="402"/>
      <c r="Q165" s="402"/>
      <c r="R165" s="402"/>
      <c r="S165" s="402"/>
      <c r="T165" s="402"/>
      <c r="U165" s="402"/>
      <c r="V165" s="402"/>
      <c r="W165" s="402"/>
      <c r="X165" s="402"/>
      <c r="Y165" s="402"/>
      <c r="Z165" s="402"/>
      <c r="AA165" s="405"/>
      <c r="AB165" s="405"/>
    </row>
    <row r="166" ht="14.25" customHeight="1">
      <c r="A166" s="406">
        <v>45498.0</v>
      </c>
      <c r="B166" s="417" t="s">
        <v>783</v>
      </c>
      <c r="C166" s="418" t="s">
        <v>784</v>
      </c>
      <c r="D166" s="418" t="s">
        <v>54</v>
      </c>
      <c r="E166" s="349" t="s">
        <v>273</v>
      </c>
      <c r="F166" s="413">
        <v>150000.0</v>
      </c>
      <c r="G166" s="403"/>
      <c r="H166" s="349" t="s">
        <v>933</v>
      </c>
      <c r="I166" s="404" t="str">
        <f t="shared" si="4"/>
        <v>NOT PAID</v>
      </c>
      <c r="J166" s="402"/>
      <c r="K166" s="402"/>
      <c r="L166" s="402"/>
      <c r="M166" s="402"/>
      <c r="N166" s="402"/>
      <c r="O166" s="402"/>
      <c r="P166" s="402"/>
      <c r="Q166" s="402"/>
      <c r="R166" s="402"/>
      <c r="S166" s="402"/>
      <c r="T166" s="402"/>
      <c r="U166" s="402"/>
      <c r="V166" s="402"/>
      <c r="W166" s="402"/>
      <c r="X166" s="402"/>
      <c r="Y166" s="402"/>
      <c r="Z166" s="402"/>
      <c r="AA166" s="405"/>
      <c r="AB166" s="405"/>
    </row>
    <row r="167" ht="14.25" customHeight="1">
      <c r="A167" s="406">
        <v>45498.0</v>
      </c>
      <c r="B167" s="418" t="s">
        <v>738</v>
      </c>
      <c r="C167" s="418" t="s">
        <v>739</v>
      </c>
      <c r="D167" s="418" t="s">
        <v>54</v>
      </c>
      <c r="E167" s="416" t="s">
        <v>273</v>
      </c>
      <c r="F167" s="445">
        <v>90000.0</v>
      </c>
      <c r="G167" s="403"/>
      <c r="H167" s="349" t="s">
        <v>934</v>
      </c>
      <c r="I167" s="404" t="str">
        <f t="shared" si="4"/>
        <v>NOT PAID</v>
      </c>
      <c r="J167" s="402"/>
      <c r="K167" s="402"/>
      <c r="L167" s="402"/>
      <c r="M167" s="402"/>
      <c r="N167" s="402"/>
      <c r="O167" s="402"/>
      <c r="P167" s="402"/>
      <c r="Q167" s="402"/>
      <c r="R167" s="402"/>
      <c r="S167" s="402"/>
      <c r="T167" s="402"/>
      <c r="U167" s="402"/>
      <c r="V167" s="402"/>
      <c r="W167" s="402"/>
      <c r="X167" s="402"/>
      <c r="Y167" s="402"/>
      <c r="Z167" s="402"/>
      <c r="AA167" s="405"/>
      <c r="AB167" s="405"/>
    </row>
    <row r="168" ht="14.25" customHeight="1">
      <c r="A168" s="406">
        <v>45498.0</v>
      </c>
      <c r="B168" s="349" t="s">
        <v>800</v>
      </c>
      <c r="C168" s="349" t="s">
        <v>801</v>
      </c>
      <c r="D168" s="418" t="s">
        <v>54</v>
      </c>
      <c r="E168" s="416" t="s">
        <v>273</v>
      </c>
      <c r="F168" s="413">
        <v>20000.0</v>
      </c>
      <c r="G168" s="413">
        <v>10000.0</v>
      </c>
      <c r="H168" s="402"/>
      <c r="I168" s="404" t="str">
        <f t="shared" si="4"/>
        <v>PARTIALLY PAID</v>
      </c>
      <c r="J168" s="402"/>
      <c r="K168" s="402"/>
      <c r="L168" s="402"/>
      <c r="M168" s="402"/>
      <c r="N168" s="402"/>
      <c r="O168" s="402"/>
      <c r="P168" s="402"/>
      <c r="Q168" s="402"/>
      <c r="R168" s="402"/>
      <c r="S168" s="402"/>
      <c r="T168" s="402"/>
      <c r="U168" s="402"/>
      <c r="V168" s="402"/>
      <c r="W168" s="402"/>
      <c r="X168" s="402"/>
      <c r="Y168" s="402"/>
      <c r="Z168" s="402"/>
      <c r="AA168" s="405"/>
      <c r="AB168" s="405"/>
    </row>
    <row r="169" ht="14.25" customHeight="1">
      <c r="A169" s="406">
        <v>45498.0</v>
      </c>
      <c r="B169" s="349" t="s">
        <v>850</v>
      </c>
      <c r="C169" s="349" t="s">
        <v>851</v>
      </c>
      <c r="D169" s="349" t="s">
        <v>67</v>
      </c>
      <c r="E169" s="402"/>
      <c r="F169" s="413">
        <v>5000000.0</v>
      </c>
      <c r="G169" s="403"/>
      <c r="H169" s="402"/>
      <c r="I169" s="404" t="str">
        <f t="shared" si="4"/>
        <v>NOT PAID</v>
      </c>
      <c r="J169" s="402"/>
      <c r="K169" s="402"/>
      <c r="L169" s="402"/>
      <c r="M169" s="402"/>
      <c r="N169" s="402"/>
      <c r="O169" s="402"/>
      <c r="P169" s="402"/>
      <c r="Q169" s="402"/>
      <c r="R169" s="402"/>
      <c r="S169" s="402"/>
      <c r="T169" s="402"/>
      <c r="U169" s="402"/>
      <c r="V169" s="402"/>
      <c r="W169" s="402"/>
      <c r="X169" s="402"/>
      <c r="Y169" s="402"/>
      <c r="Z169" s="402"/>
      <c r="AA169" s="405"/>
      <c r="AB169" s="405"/>
    </row>
    <row r="170" ht="14.25" customHeight="1">
      <c r="A170" s="402"/>
      <c r="B170" s="402"/>
      <c r="C170" s="424" t="s">
        <v>797</v>
      </c>
      <c r="D170" s="402"/>
      <c r="E170" s="402"/>
      <c r="F170" s="403"/>
      <c r="G170" s="403"/>
      <c r="H170" s="402"/>
      <c r="I170" s="404"/>
      <c r="J170" s="402"/>
      <c r="K170" s="402"/>
      <c r="L170" s="402"/>
      <c r="M170" s="402"/>
      <c r="N170" s="402"/>
      <c r="O170" s="402"/>
      <c r="P170" s="402"/>
      <c r="Q170" s="402"/>
      <c r="R170" s="402"/>
      <c r="S170" s="402"/>
      <c r="T170" s="402"/>
      <c r="U170" s="402"/>
      <c r="V170" s="402"/>
      <c r="W170" s="402"/>
      <c r="X170" s="402"/>
      <c r="Y170" s="402"/>
      <c r="Z170" s="402"/>
      <c r="AA170" s="405"/>
      <c r="AB170" s="405"/>
    </row>
    <row r="171" ht="14.25" customHeight="1">
      <c r="A171" s="406">
        <v>45498.0</v>
      </c>
      <c r="B171" s="436" t="s">
        <v>886</v>
      </c>
      <c r="C171" s="435" t="s">
        <v>884</v>
      </c>
      <c r="D171" s="418" t="s">
        <v>54</v>
      </c>
      <c r="E171" s="349" t="s">
        <v>273</v>
      </c>
      <c r="F171" s="437">
        <v>100000.0</v>
      </c>
      <c r="G171" s="403"/>
      <c r="H171" s="349" t="s">
        <v>935</v>
      </c>
      <c r="I171" s="404" t="str">
        <f t="shared" ref="I171:I219" si="5">IF(G171&gt;=F171,"FULLY PAID",IF(G171=0,"NOT PAID","PARTIALLY PAID"))</f>
        <v>NOT PAID</v>
      </c>
      <c r="J171" s="402"/>
      <c r="K171" s="402"/>
      <c r="L171" s="402"/>
      <c r="M171" s="402"/>
      <c r="N171" s="402"/>
      <c r="O171" s="402"/>
      <c r="P171" s="402"/>
      <c r="Q171" s="402"/>
      <c r="R171" s="402"/>
      <c r="S171" s="402"/>
      <c r="T171" s="402"/>
      <c r="U171" s="402"/>
      <c r="V171" s="402"/>
      <c r="W171" s="402"/>
      <c r="X171" s="402"/>
      <c r="Y171" s="402"/>
      <c r="Z171" s="402"/>
      <c r="AA171" s="405"/>
      <c r="AB171" s="405"/>
    </row>
    <row r="172" ht="14.25" customHeight="1">
      <c r="A172" s="406">
        <v>45498.0</v>
      </c>
      <c r="B172" s="439" t="s">
        <v>889</v>
      </c>
      <c r="C172" s="438" t="s">
        <v>887</v>
      </c>
      <c r="D172" s="418" t="s">
        <v>54</v>
      </c>
      <c r="E172" s="349" t="s">
        <v>273</v>
      </c>
      <c r="F172" s="440">
        <v>200000.0</v>
      </c>
      <c r="G172" s="403"/>
      <c r="H172" s="349" t="s">
        <v>936</v>
      </c>
      <c r="I172" s="404" t="str">
        <f t="shared" si="5"/>
        <v>NOT PAID</v>
      </c>
      <c r="J172" s="402"/>
      <c r="K172" s="402"/>
      <c r="L172" s="402"/>
      <c r="M172" s="402"/>
      <c r="N172" s="402"/>
      <c r="O172" s="402"/>
      <c r="P172" s="402"/>
      <c r="Q172" s="402"/>
      <c r="R172" s="402"/>
      <c r="S172" s="402"/>
      <c r="T172" s="402"/>
      <c r="U172" s="402"/>
      <c r="V172" s="402"/>
      <c r="W172" s="402"/>
      <c r="X172" s="402"/>
      <c r="Y172" s="402"/>
      <c r="Z172" s="402"/>
      <c r="AA172" s="405"/>
      <c r="AB172" s="405"/>
    </row>
    <row r="173" ht="14.25" customHeight="1">
      <c r="A173" s="406">
        <v>45498.0</v>
      </c>
      <c r="B173" s="349" t="s">
        <v>800</v>
      </c>
      <c r="C173" s="349" t="s">
        <v>937</v>
      </c>
      <c r="D173" s="418" t="s">
        <v>54</v>
      </c>
      <c r="E173" s="349" t="s">
        <v>273</v>
      </c>
      <c r="F173" s="413">
        <v>10000.0</v>
      </c>
      <c r="G173" s="413">
        <v>10000.0</v>
      </c>
      <c r="H173" s="349" t="s">
        <v>56</v>
      </c>
      <c r="I173" s="404" t="str">
        <f t="shared" si="5"/>
        <v>FULLY PAID</v>
      </c>
      <c r="J173" s="402"/>
      <c r="K173" s="402"/>
      <c r="L173" s="402"/>
      <c r="M173" s="402"/>
      <c r="N173" s="402"/>
      <c r="O173" s="402"/>
      <c r="P173" s="402"/>
      <c r="Q173" s="402"/>
      <c r="R173" s="402"/>
      <c r="S173" s="402"/>
      <c r="T173" s="402"/>
      <c r="U173" s="402"/>
      <c r="V173" s="402"/>
      <c r="W173" s="402"/>
      <c r="X173" s="402"/>
      <c r="Y173" s="402"/>
      <c r="Z173" s="402"/>
      <c r="AA173" s="405"/>
      <c r="AB173" s="405"/>
    </row>
    <row r="174" ht="14.25" customHeight="1">
      <c r="A174" s="406"/>
      <c r="B174" s="402"/>
      <c r="C174" s="402"/>
      <c r="D174" s="402"/>
      <c r="E174" s="402"/>
      <c r="F174" s="403"/>
      <c r="G174" s="403"/>
      <c r="H174" s="402"/>
      <c r="I174" s="404" t="str">
        <f t="shared" si="5"/>
        <v>FULLY PAID</v>
      </c>
      <c r="J174" s="402"/>
      <c r="K174" s="402"/>
      <c r="L174" s="402"/>
      <c r="M174" s="402"/>
      <c r="N174" s="402"/>
      <c r="O174" s="402"/>
      <c r="P174" s="402"/>
      <c r="Q174" s="402"/>
      <c r="R174" s="402"/>
      <c r="S174" s="402"/>
      <c r="T174" s="402"/>
      <c r="U174" s="402"/>
      <c r="V174" s="402"/>
      <c r="W174" s="402"/>
      <c r="X174" s="402"/>
      <c r="Y174" s="402"/>
      <c r="Z174" s="402"/>
      <c r="AA174" s="405"/>
      <c r="AB174" s="405"/>
    </row>
    <row r="175" ht="14.25" customHeight="1">
      <c r="A175" s="402"/>
      <c r="B175" s="402"/>
      <c r="C175" s="402"/>
      <c r="D175" s="402"/>
      <c r="E175" s="402"/>
      <c r="F175" s="403"/>
      <c r="G175" s="403"/>
      <c r="H175" s="402"/>
      <c r="I175" s="404" t="str">
        <f t="shared" si="5"/>
        <v>FULLY PAID</v>
      </c>
      <c r="J175" s="402"/>
      <c r="K175" s="402"/>
      <c r="L175" s="402"/>
      <c r="M175" s="402"/>
      <c r="N175" s="402"/>
      <c r="O175" s="402"/>
      <c r="P175" s="402"/>
      <c r="Q175" s="402"/>
      <c r="R175" s="402"/>
      <c r="S175" s="402"/>
      <c r="T175" s="402"/>
      <c r="U175" s="402"/>
      <c r="V175" s="402"/>
      <c r="W175" s="402"/>
      <c r="X175" s="402"/>
      <c r="Y175" s="402"/>
      <c r="Z175" s="402"/>
      <c r="AA175" s="405"/>
      <c r="AB175" s="405"/>
    </row>
    <row r="176" ht="14.25" customHeight="1">
      <c r="A176" s="402"/>
      <c r="B176" s="402"/>
      <c r="C176" s="402"/>
      <c r="D176" s="402"/>
      <c r="E176" s="402"/>
      <c r="F176" s="403"/>
      <c r="G176" s="403"/>
      <c r="H176" s="402"/>
      <c r="I176" s="404" t="str">
        <f t="shared" si="5"/>
        <v>FULLY PAID</v>
      </c>
      <c r="J176" s="402"/>
      <c r="K176" s="402"/>
      <c r="L176" s="402"/>
      <c r="M176" s="402"/>
      <c r="N176" s="402"/>
      <c r="O176" s="402"/>
      <c r="P176" s="402"/>
      <c r="Q176" s="402"/>
      <c r="R176" s="402"/>
      <c r="S176" s="402"/>
      <c r="T176" s="402"/>
      <c r="U176" s="402"/>
      <c r="V176" s="402"/>
      <c r="W176" s="402"/>
      <c r="X176" s="402"/>
      <c r="Y176" s="402"/>
      <c r="Z176" s="402"/>
      <c r="AA176" s="405"/>
      <c r="AB176" s="405"/>
    </row>
    <row r="177" ht="14.25" customHeight="1">
      <c r="A177" s="402"/>
      <c r="B177" s="402"/>
      <c r="C177" s="402"/>
      <c r="D177" s="402"/>
      <c r="E177" s="402"/>
      <c r="F177" s="403"/>
      <c r="G177" s="403"/>
      <c r="H177" s="402"/>
      <c r="I177" s="404" t="str">
        <f t="shared" si="5"/>
        <v>FULLY PAID</v>
      </c>
      <c r="J177" s="402"/>
      <c r="K177" s="402"/>
      <c r="L177" s="402"/>
      <c r="M177" s="402"/>
      <c r="N177" s="402"/>
      <c r="O177" s="402"/>
      <c r="P177" s="402"/>
      <c r="Q177" s="402"/>
      <c r="R177" s="402"/>
      <c r="S177" s="402"/>
      <c r="T177" s="402"/>
      <c r="U177" s="402"/>
      <c r="V177" s="402"/>
      <c r="W177" s="402"/>
      <c r="X177" s="402"/>
      <c r="Y177" s="402"/>
      <c r="Z177" s="402"/>
      <c r="AA177" s="405"/>
      <c r="AB177" s="405"/>
    </row>
    <row r="178" ht="14.25" customHeight="1">
      <c r="A178" s="402"/>
      <c r="B178" s="424" t="s">
        <v>938</v>
      </c>
      <c r="C178" s="402"/>
      <c r="D178" s="402"/>
      <c r="E178" s="402"/>
      <c r="F178" s="403"/>
      <c r="G178" s="403"/>
      <c r="H178" s="402"/>
      <c r="I178" s="404" t="str">
        <f t="shared" si="5"/>
        <v>FULLY PAID</v>
      </c>
      <c r="J178" s="402"/>
      <c r="K178" s="402"/>
      <c r="L178" s="402"/>
      <c r="M178" s="402"/>
      <c r="N178" s="402"/>
      <c r="O178" s="402"/>
      <c r="P178" s="402"/>
      <c r="Q178" s="402"/>
      <c r="R178" s="402"/>
      <c r="S178" s="402"/>
      <c r="T178" s="402"/>
      <c r="U178" s="402"/>
      <c r="V178" s="402"/>
      <c r="W178" s="402"/>
      <c r="X178" s="402"/>
      <c r="Y178" s="402"/>
      <c r="Z178" s="402"/>
      <c r="AA178" s="405"/>
      <c r="AB178" s="405"/>
    </row>
    <row r="179" ht="14.25" customHeight="1">
      <c r="A179" s="406">
        <v>45499.0</v>
      </c>
      <c r="B179" s="410" t="s">
        <v>705</v>
      </c>
      <c r="C179" s="411" t="s">
        <v>706</v>
      </c>
      <c r="D179" s="343" t="s">
        <v>54</v>
      </c>
      <c r="E179" s="349" t="s">
        <v>703</v>
      </c>
      <c r="F179" s="413">
        <v>8643.36</v>
      </c>
      <c r="G179" s="403"/>
      <c r="H179" s="349" t="s">
        <v>939</v>
      </c>
      <c r="I179" s="404" t="str">
        <f t="shared" si="5"/>
        <v>NOT PAID</v>
      </c>
      <c r="J179" s="402"/>
      <c r="K179" s="402"/>
      <c r="L179" s="402"/>
      <c r="M179" s="402"/>
      <c r="N179" s="402"/>
      <c r="O179" s="402"/>
      <c r="P179" s="402"/>
      <c r="Q179" s="402"/>
      <c r="R179" s="402"/>
      <c r="S179" s="402"/>
      <c r="T179" s="402"/>
      <c r="U179" s="402"/>
      <c r="V179" s="402"/>
      <c r="W179" s="402"/>
      <c r="X179" s="402"/>
      <c r="Y179" s="402"/>
      <c r="Z179" s="402"/>
      <c r="AA179" s="405"/>
      <c r="AB179" s="405"/>
    </row>
    <row r="180" ht="14.25" customHeight="1">
      <c r="A180" s="406">
        <v>45499.0</v>
      </c>
      <c r="B180" s="410" t="s">
        <v>711</v>
      </c>
      <c r="C180" s="411" t="s">
        <v>712</v>
      </c>
      <c r="D180" s="411" t="s">
        <v>75</v>
      </c>
      <c r="E180" s="410" t="s">
        <v>703</v>
      </c>
      <c r="F180" s="416">
        <v>251845.0</v>
      </c>
      <c r="G180" s="403"/>
      <c r="H180" s="349" t="s">
        <v>940</v>
      </c>
      <c r="I180" s="404" t="str">
        <f t="shared" si="5"/>
        <v>NOT PAID</v>
      </c>
      <c r="J180" s="402"/>
      <c r="K180" s="402"/>
      <c r="L180" s="402"/>
      <c r="M180" s="402"/>
      <c r="N180" s="402"/>
      <c r="O180" s="402"/>
      <c r="P180" s="402"/>
      <c r="Q180" s="402"/>
      <c r="R180" s="402"/>
      <c r="S180" s="402"/>
      <c r="T180" s="402"/>
      <c r="U180" s="402"/>
      <c r="V180" s="402"/>
      <c r="W180" s="402"/>
      <c r="X180" s="402"/>
      <c r="Y180" s="402"/>
      <c r="Z180" s="402"/>
      <c r="AA180" s="405"/>
      <c r="AB180" s="405"/>
    </row>
    <row r="181" ht="14.25" customHeight="1">
      <c r="A181" s="406">
        <v>45499.0</v>
      </c>
      <c r="B181" s="410" t="s">
        <v>717</v>
      </c>
      <c r="C181" s="411" t="s">
        <v>718</v>
      </c>
      <c r="D181" s="411" t="s">
        <v>54</v>
      </c>
      <c r="E181" s="410" t="s">
        <v>703</v>
      </c>
      <c r="F181" s="416">
        <v>1275.01</v>
      </c>
      <c r="G181" s="403"/>
      <c r="H181" s="349" t="s">
        <v>939</v>
      </c>
      <c r="I181" s="404" t="str">
        <f t="shared" si="5"/>
        <v>NOT PAID</v>
      </c>
      <c r="J181" s="402"/>
      <c r="K181" s="402"/>
      <c r="L181" s="402"/>
      <c r="M181" s="402"/>
      <c r="N181" s="402"/>
      <c r="O181" s="402"/>
      <c r="P181" s="402"/>
      <c r="Q181" s="402"/>
      <c r="R181" s="402"/>
      <c r="S181" s="402"/>
      <c r="T181" s="402"/>
      <c r="U181" s="402"/>
      <c r="V181" s="402"/>
      <c r="W181" s="402"/>
      <c r="X181" s="402"/>
      <c r="Y181" s="402"/>
      <c r="Z181" s="402"/>
      <c r="AA181" s="405"/>
      <c r="AB181" s="405"/>
    </row>
    <row r="182" ht="14.25" customHeight="1">
      <c r="A182" s="406">
        <v>45499.0</v>
      </c>
      <c r="B182" s="417" t="s">
        <v>720</v>
      </c>
      <c r="C182" s="418" t="s">
        <v>721</v>
      </c>
      <c r="D182" s="418" t="s">
        <v>54</v>
      </c>
      <c r="E182" s="349" t="s">
        <v>703</v>
      </c>
      <c r="F182" s="413">
        <v>22000.0</v>
      </c>
      <c r="G182" s="413">
        <v>23000.0</v>
      </c>
      <c r="H182" s="349" t="s">
        <v>941</v>
      </c>
      <c r="I182" s="404" t="str">
        <f t="shared" si="5"/>
        <v>FULLY PAID</v>
      </c>
      <c r="J182" s="402"/>
      <c r="K182" s="402"/>
      <c r="L182" s="402"/>
      <c r="M182" s="402"/>
      <c r="N182" s="402"/>
      <c r="O182" s="402"/>
      <c r="P182" s="402"/>
      <c r="Q182" s="402"/>
      <c r="R182" s="402"/>
      <c r="S182" s="402"/>
      <c r="T182" s="402"/>
      <c r="U182" s="402"/>
      <c r="V182" s="402"/>
      <c r="W182" s="402"/>
      <c r="X182" s="402"/>
      <c r="Y182" s="402"/>
      <c r="Z182" s="402"/>
      <c r="AA182" s="405"/>
      <c r="AB182" s="405"/>
    </row>
    <row r="183" ht="14.25" customHeight="1">
      <c r="A183" s="406">
        <v>45499.0</v>
      </c>
      <c r="B183" s="407" t="s">
        <v>723</v>
      </c>
      <c r="C183" s="408" t="s">
        <v>724</v>
      </c>
      <c r="D183" s="408" t="s">
        <v>54</v>
      </c>
      <c r="E183" s="349" t="s">
        <v>703</v>
      </c>
      <c r="F183" s="416">
        <v>28104.75</v>
      </c>
      <c r="G183" s="403"/>
      <c r="H183" s="349" t="s">
        <v>942</v>
      </c>
      <c r="I183" s="404" t="str">
        <f t="shared" si="5"/>
        <v>NOT PAID</v>
      </c>
      <c r="J183" s="402"/>
      <c r="K183" s="402"/>
      <c r="L183" s="402"/>
      <c r="M183" s="402"/>
      <c r="N183" s="402"/>
      <c r="O183" s="402"/>
      <c r="P183" s="402"/>
      <c r="Q183" s="402"/>
      <c r="R183" s="402"/>
      <c r="S183" s="402"/>
      <c r="T183" s="402"/>
      <c r="U183" s="402"/>
      <c r="V183" s="402"/>
      <c r="W183" s="402"/>
      <c r="X183" s="402"/>
      <c r="Y183" s="402"/>
      <c r="Z183" s="402"/>
      <c r="AA183" s="405"/>
      <c r="AB183" s="405"/>
    </row>
    <row r="184" ht="14.25" customHeight="1">
      <c r="A184" s="406">
        <v>45499.0</v>
      </c>
      <c r="B184" s="407" t="s">
        <v>809</v>
      </c>
      <c r="C184" s="408" t="s">
        <v>810</v>
      </c>
      <c r="D184" s="408" t="s">
        <v>54</v>
      </c>
      <c r="E184" s="349" t="s">
        <v>703</v>
      </c>
      <c r="F184" s="416">
        <v>177077.95</v>
      </c>
      <c r="G184" s="403"/>
      <c r="H184" s="349" t="s">
        <v>943</v>
      </c>
      <c r="I184" s="404" t="str">
        <f t="shared" si="5"/>
        <v>NOT PAID</v>
      </c>
      <c r="J184" s="402"/>
      <c r="K184" s="402"/>
      <c r="L184" s="402"/>
      <c r="M184" s="402"/>
      <c r="N184" s="402"/>
      <c r="O184" s="402"/>
      <c r="P184" s="402"/>
      <c r="Q184" s="402"/>
      <c r="R184" s="402"/>
      <c r="S184" s="402"/>
      <c r="T184" s="402"/>
      <c r="U184" s="402"/>
      <c r="V184" s="402"/>
      <c r="W184" s="402"/>
      <c r="X184" s="402"/>
      <c r="Y184" s="402"/>
      <c r="Z184" s="402"/>
      <c r="AA184" s="405"/>
      <c r="AB184" s="405"/>
    </row>
    <row r="185" ht="14.25" customHeight="1">
      <c r="A185" s="406">
        <v>45499.0</v>
      </c>
      <c r="B185" s="417" t="s">
        <v>904</v>
      </c>
      <c r="C185" s="418" t="s">
        <v>810</v>
      </c>
      <c r="D185" s="418" t="s">
        <v>75</v>
      </c>
      <c r="E185" s="349" t="s">
        <v>703</v>
      </c>
      <c r="F185" s="442">
        <v>1100000.0</v>
      </c>
      <c r="G185" s="403"/>
      <c r="H185" s="349" t="s">
        <v>943</v>
      </c>
      <c r="I185" s="404" t="str">
        <f t="shared" si="5"/>
        <v>NOT PAID</v>
      </c>
      <c r="J185" s="402"/>
      <c r="K185" s="402"/>
      <c r="L185" s="402"/>
      <c r="M185" s="402"/>
      <c r="N185" s="402"/>
      <c r="O185" s="402"/>
      <c r="P185" s="402"/>
      <c r="Q185" s="402"/>
      <c r="R185" s="402"/>
      <c r="S185" s="402"/>
      <c r="T185" s="402"/>
      <c r="U185" s="402"/>
      <c r="V185" s="402"/>
      <c r="W185" s="402"/>
      <c r="X185" s="402"/>
      <c r="Y185" s="402"/>
      <c r="Z185" s="402"/>
      <c r="AA185" s="405"/>
      <c r="AB185" s="405"/>
    </row>
    <row r="186" ht="14.25" customHeight="1">
      <c r="A186" s="406">
        <v>45499.0</v>
      </c>
      <c r="B186" s="415" t="s">
        <v>701</v>
      </c>
      <c r="C186" s="415" t="s">
        <v>702</v>
      </c>
      <c r="D186" s="415" t="s">
        <v>54</v>
      </c>
      <c r="E186" s="349" t="s">
        <v>703</v>
      </c>
      <c r="F186" s="442">
        <v>46309.2</v>
      </c>
      <c r="G186" s="413">
        <v>30000.0</v>
      </c>
      <c r="H186" s="349" t="s">
        <v>939</v>
      </c>
      <c r="I186" s="404" t="str">
        <f t="shared" si="5"/>
        <v>PARTIALLY PAID</v>
      </c>
      <c r="J186" s="402"/>
      <c r="K186" s="402"/>
      <c r="L186" s="402"/>
      <c r="M186" s="402"/>
      <c r="N186" s="402"/>
      <c r="O186" s="402"/>
      <c r="P186" s="402"/>
      <c r="Q186" s="402"/>
      <c r="R186" s="402"/>
      <c r="S186" s="402"/>
      <c r="T186" s="402"/>
      <c r="U186" s="402"/>
      <c r="V186" s="402"/>
      <c r="W186" s="402"/>
      <c r="X186" s="402"/>
      <c r="Y186" s="402"/>
      <c r="Z186" s="402"/>
      <c r="AA186" s="405"/>
      <c r="AB186" s="405"/>
    </row>
    <row r="187" ht="14.25" customHeight="1">
      <c r="A187" s="406">
        <v>45499.0</v>
      </c>
      <c r="B187" s="344" t="s">
        <v>742</v>
      </c>
      <c r="C187" s="344" t="s">
        <v>743</v>
      </c>
      <c r="D187" s="344" t="s">
        <v>54</v>
      </c>
      <c r="E187" s="344" t="s">
        <v>740</v>
      </c>
      <c r="F187" s="430">
        <v>112579.0</v>
      </c>
      <c r="G187" s="403"/>
      <c r="H187" s="402"/>
      <c r="I187" s="404" t="str">
        <f t="shared" si="5"/>
        <v>NOT PAID</v>
      </c>
      <c r="J187" s="402"/>
      <c r="K187" s="402"/>
      <c r="L187" s="402"/>
      <c r="M187" s="402"/>
      <c r="N187" s="402"/>
      <c r="O187" s="402"/>
      <c r="P187" s="402"/>
      <c r="Q187" s="402"/>
      <c r="R187" s="402"/>
      <c r="S187" s="402"/>
      <c r="T187" s="402"/>
      <c r="U187" s="402"/>
      <c r="V187" s="402"/>
      <c r="W187" s="402"/>
      <c r="X187" s="402"/>
      <c r="Y187" s="402"/>
      <c r="Z187" s="402"/>
      <c r="AA187" s="405"/>
      <c r="AB187" s="405"/>
    </row>
    <row r="188" ht="14.25" customHeight="1">
      <c r="A188" s="406">
        <v>45499.0</v>
      </c>
      <c r="B188" s="344" t="s">
        <v>746</v>
      </c>
      <c r="C188" s="344" t="s">
        <v>747</v>
      </c>
      <c r="D188" s="344" t="s">
        <v>54</v>
      </c>
      <c r="E188" s="344" t="s">
        <v>740</v>
      </c>
      <c r="F188" s="442">
        <v>64378.5</v>
      </c>
      <c r="G188" s="413">
        <v>50000.0</v>
      </c>
      <c r="H188" s="349" t="s">
        <v>905</v>
      </c>
      <c r="I188" s="404" t="str">
        <f t="shared" si="5"/>
        <v>PARTIALLY PAID</v>
      </c>
      <c r="J188" s="402"/>
      <c r="K188" s="402"/>
      <c r="L188" s="402"/>
      <c r="M188" s="402"/>
      <c r="N188" s="402"/>
      <c r="O188" s="402"/>
      <c r="P188" s="402"/>
      <c r="Q188" s="402"/>
      <c r="R188" s="402"/>
      <c r="S188" s="402"/>
      <c r="T188" s="402"/>
      <c r="U188" s="402"/>
      <c r="V188" s="402"/>
      <c r="W188" s="402"/>
      <c r="X188" s="402"/>
      <c r="Y188" s="402"/>
      <c r="Z188" s="402"/>
      <c r="AA188" s="405"/>
      <c r="AB188" s="405"/>
    </row>
    <row r="189" ht="14.25" customHeight="1">
      <c r="A189" s="406">
        <v>45499.0</v>
      </c>
      <c r="B189" s="344" t="s">
        <v>749</v>
      </c>
      <c r="C189" s="344" t="s">
        <v>750</v>
      </c>
      <c r="D189" s="344" t="s">
        <v>54</v>
      </c>
      <c r="E189" s="344" t="s">
        <v>740</v>
      </c>
      <c r="F189" s="430">
        <v>30081.0</v>
      </c>
      <c r="G189" s="403"/>
      <c r="H189" s="349" t="s">
        <v>751</v>
      </c>
      <c r="I189" s="404" t="str">
        <f t="shared" si="5"/>
        <v>NOT PAID</v>
      </c>
      <c r="J189" s="402"/>
      <c r="K189" s="402"/>
      <c r="L189" s="402"/>
      <c r="M189" s="402"/>
      <c r="N189" s="402"/>
      <c r="O189" s="402"/>
      <c r="P189" s="402"/>
      <c r="Q189" s="402"/>
      <c r="R189" s="402"/>
      <c r="S189" s="402"/>
      <c r="T189" s="402"/>
      <c r="U189" s="402"/>
      <c r="V189" s="402"/>
      <c r="W189" s="402"/>
      <c r="X189" s="402"/>
      <c r="Y189" s="402"/>
      <c r="Z189" s="402"/>
      <c r="AA189" s="405"/>
      <c r="AB189" s="405"/>
    </row>
    <row r="190" ht="14.25" customHeight="1">
      <c r="A190" s="406">
        <v>45499.0</v>
      </c>
      <c r="B190" s="344" t="s">
        <v>752</v>
      </c>
      <c r="C190" s="344" t="s">
        <v>753</v>
      </c>
      <c r="D190" s="344" t="s">
        <v>54</v>
      </c>
      <c r="E190" s="344" t="s">
        <v>740</v>
      </c>
      <c r="F190" s="430">
        <v>1008587.0</v>
      </c>
      <c r="G190" s="403"/>
      <c r="H190" s="349" t="s">
        <v>866</v>
      </c>
      <c r="I190" s="404" t="str">
        <f t="shared" si="5"/>
        <v>NOT PAID</v>
      </c>
      <c r="J190" s="402"/>
      <c r="K190" s="402"/>
      <c r="L190" s="402"/>
      <c r="M190" s="402"/>
      <c r="N190" s="402"/>
      <c r="O190" s="402"/>
      <c r="P190" s="402"/>
      <c r="Q190" s="402"/>
      <c r="R190" s="402"/>
      <c r="S190" s="402"/>
      <c r="T190" s="402"/>
      <c r="U190" s="402"/>
      <c r="V190" s="402"/>
      <c r="W190" s="402"/>
      <c r="X190" s="402"/>
      <c r="Y190" s="402"/>
      <c r="Z190" s="402"/>
      <c r="AA190" s="405"/>
      <c r="AB190" s="405"/>
    </row>
    <row r="191" ht="14.25" customHeight="1">
      <c r="A191" s="406">
        <v>45499.0</v>
      </c>
      <c r="B191" s="344" t="s">
        <v>754</v>
      </c>
      <c r="C191" s="344" t="s">
        <v>755</v>
      </c>
      <c r="D191" s="344" t="s">
        <v>59</v>
      </c>
      <c r="E191" s="344" t="s">
        <v>740</v>
      </c>
      <c r="F191" s="430">
        <v>119067.3</v>
      </c>
      <c r="G191" s="403"/>
      <c r="H191" s="349" t="s">
        <v>944</v>
      </c>
      <c r="I191" s="404" t="str">
        <f t="shared" si="5"/>
        <v>NOT PAID</v>
      </c>
      <c r="J191" s="402"/>
      <c r="K191" s="402"/>
      <c r="L191" s="402"/>
      <c r="M191" s="402"/>
      <c r="N191" s="402"/>
      <c r="O191" s="402"/>
      <c r="P191" s="402"/>
      <c r="Q191" s="402"/>
      <c r="R191" s="402"/>
      <c r="S191" s="402"/>
      <c r="T191" s="402"/>
      <c r="U191" s="402"/>
      <c r="V191" s="402"/>
      <c r="W191" s="402"/>
      <c r="X191" s="402"/>
      <c r="Y191" s="402"/>
      <c r="Z191" s="402"/>
      <c r="AA191" s="405"/>
      <c r="AB191" s="405"/>
    </row>
    <row r="192" ht="14.25" customHeight="1">
      <c r="A192" s="406">
        <v>45499.0</v>
      </c>
      <c r="B192" s="407" t="s">
        <v>945</v>
      </c>
      <c r="C192" s="408" t="s">
        <v>946</v>
      </c>
      <c r="D192" s="408" t="s">
        <v>59</v>
      </c>
      <c r="E192" s="344" t="s">
        <v>740</v>
      </c>
      <c r="F192" s="409">
        <v>206050.0</v>
      </c>
      <c r="G192" s="413">
        <v>207025.0</v>
      </c>
      <c r="H192" s="349" t="s">
        <v>710</v>
      </c>
      <c r="I192" s="404" t="str">
        <f t="shared" si="5"/>
        <v>FULLY PAID</v>
      </c>
      <c r="J192" s="402"/>
      <c r="K192" s="402"/>
      <c r="L192" s="402"/>
      <c r="M192" s="402"/>
      <c r="N192" s="402"/>
      <c r="O192" s="402"/>
      <c r="P192" s="402"/>
      <c r="Q192" s="402"/>
      <c r="R192" s="402"/>
      <c r="S192" s="402"/>
      <c r="T192" s="402"/>
      <c r="U192" s="402"/>
      <c r="V192" s="402"/>
      <c r="W192" s="402"/>
      <c r="X192" s="402"/>
      <c r="Y192" s="402"/>
      <c r="Z192" s="402"/>
      <c r="AA192" s="405"/>
      <c r="AB192" s="405"/>
    </row>
    <row r="193" ht="14.25" customHeight="1">
      <c r="A193" s="406">
        <v>45499.0</v>
      </c>
      <c r="B193" s="410" t="s">
        <v>695</v>
      </c>
      <c r="C193" s="411" t="s">
        <v>696</v>
      </c>
      <c r="D193" s="343" t="s">
        <v>54</v>
      </c>
      <c r="E193" s="412" t="s">
        <v>693</v>
      </c>
      <c r="F193" s="413">
        <v>61772.77</v>
      </c>
      <c r="G193" s="403"/>
      <c r="H193" s="349" t="s">
        <v>947</v>
      </c>
      <c r="I193" s="404" t="str">
        <f t="shared" si="5"/>
        <v>NOT PAID</v>
      </c>
      <c r="J193" s="402"/>
      <c r="K193" s="402"/>
      <c r="L193" s="402"/>
      <c r="M193" s="402"/>
      <c r="N193" s="402"/>
      <c r="O193" s="402"/>
      <c r="P193" s="402"/>
      <c r="Q193" s="402"/>
      <c r="R193" s="402"/>
      <c r="S193" s="402"/>
      <c r="T193" s="402"/>
      <c r="U193" s="402"/>
      <c r="V193" s="402"/>
      <c r="W193" s="402"/>
      <c r="X193" s="402"/>
      <c r="Y193" s="402"/>
      <c r="Z193" s="402"/>
      <c r="AA193" s="405"/>
      <c r="AB193" s="405"/>
    </row>
    <row r="194" ht="14.25" customHeight="1">
      <c r="A194" s="406">
        <v>45499.0</v>
      </c>
      <c r="B194" s="414" t="s">
        <v>698</v>
      </c>
      <c r="C194" s="415" t="s">
        <v>699</v>
      </c>
      <c r="D194" s="343" t="s">
        <v>54</v>
      </c>
      <c r="E194" s="412" t="s">
        <v>693</v>
      </c>
      <c r="F194" s="413">
        <v>7648.0</v>
      </c>
      <c r="G194" s="403"/>
      <c r="H194" s="349" t="s">
        <v>948</v>
      </c>
      <c r="I194" s="404" t="str">
        <f t="shared" si="5"/>
        <v>NOT PAID</v>
      </c>
      <c r="J194" s="402"/>
      <c r="K194" s="402"/>
      <c r="L194" s="402"/>
      <c r="M194" s="402"/>
      <c r="N194" s="402"/>
      <c r="O194" s="402"/>
      <c r="P194" s="402"/>
      <c r="Q194" s="402"/>
      <c r="R194" s="402"/>
      <c r="S194" s="402"/>
      <c r="T194" s="402"/>
      <c r="U194" s="402"/>
      <c r="V194" s="402"/>
      <c r="W194" s="402"/>
      <c r="X194" s="402"/>
      <c r="Y194" s="402"/>
      <c r="Z194" s="402"/>
      <c r="AA194" s="405"/>
      <c r="AB194" s="405"/>
    </row>
    <row r="195" ht="14.25" customHeight="1">
      <c r="A195" s="406">
        <v>45499.0</v>
      </c>
      <c r="B195" s="410"/>
      <c r="C195" s="187" t="s">
        <v>949</v>
      </c>
      <c r="D195" s="343" t="s">
        <v>54</v>
      </c>
      <c r="E195" s="412" t="s">
        <v>693</v>
      </c>
      <c r="F195" s="446">
        <v>14000.0</v>
      </c>
      <c r="G195" s="446">
        <v>14000.0</v>
      </c>
      <c r="H195" s="349" t="s">
        <v>710</v>
      </c>
      <c r="I195" s="404" t="str">
        <f t="shared" si="5"/>
        <v>FULLY PAID</v>
      </c>
      <c r="J195" s="402"/>
      <c r="K195" s="402"/>
      <c r="L195" s="402"/>
      <c r="M195" s="402"/>
      <c r="N195" s="402"/>
      <c r="O195" s="402"/>
      <c r="P195" s="402"/>
      <c r="Q195" s="402"/>
      <c r="R195" s="402"/>
      <c r="S195" s="402"/>
      <c r="T195" s="402"/>
      <c r="U195" s="402"/>
      <c r="V195" s="402"/>
      <c r="W195" s="402"/>
      <c r="X195" s="402"/>
      <c r="Y195" s="402"/>
      <c r="Z195" s="402"/>
      <c r="AA195" s="405"/>
      <c r="AB195" s="405"/>
    </row>
    <row r="196" ht="14.25" customHeight="1">
      <c r="A196" s="406">
        <v>45499.0</v>
      </c>
      <c r="B196" s="102" t="s">
        <v>950</v>
      </c>
      <c r="C196" s="447" t="s">
        <v>951</v>
      </c>
      <c r="D196" s="343" t="s">
        <v>54</v>
      </c>
      <c r="E196" s="412" t="s">
        <v>693</v>
      </c>
      <c r="F196" s="416">
        <v>50167.0</v>
      </c>
      <c r="G196" s="413">
        <v>50167.0</v>
      </c>
      <c r="H196" s="349" t="s">
        <v>710</v>
      </c>
      <c r="I196" s="404" t="str">
        <f t="shared" si="5"/>
        <v>FULLY PAID</v>
      </c>
      <c r="J196" s="402"/>
      <c r="K196" s="402"/>
      <c r="L196" s="402"/>
      <c r="M196" s="402"/>
      <c r="N196" s="402"/>
      <c r="O196" s="402"/>
      <c r="P196" s="402"/>
      <c r="Q196" s="402"/>
      <c r="R196" s="402"/>
      <c r="S196" s="402"/>
      <c r="T196" s="402"/>
      <c r="U196" s="402"/>
      <c r="V196" s="402"/>
      <c r="W196" s="402"/>
      <c r="X196" s="402"/>
      <c r="Y196" s="402"/>
      <c r="Z196" s="402"/>
      <c r="AA196" s="405"/>
      <c r="AB196" s="405"/>
    </row>
    <row r="197" ht="14.25" customHeight="1">
      <c r="A197" s="406">
        <v>45499.0</v>
      </c>
      <c r="B197" s="349" t="s">
        <v>757</v>
      </c>
      <c r="C197" s="421" t="s">
        <v>875</v>
      </c>
      <c r="D197" s="421" t="s">
        <v>75</v>
      </c>
      <c r="E197" s="410" t="s">
        <v>759</v>
      </c>
      <c r="F197" s="416">
        <v>15485.25</v>
      </c>
      <c r="G197" s="403"/>
      <c r="H197" s="402"/>
      <c r="I197" s="404" t="str">
        <f t="shared" si="5"/>
        <v>NOT PAID</v>
      </c>
      <c r="J197" s="402"/>
      <c r="K197" s="402"/>
      <c r="L197" s="402"/>
      <c r="M197" s="402"/>
      <c r="N197" s="402"/>
      <c r="O197" s="402"/>
      <c r="P197" s="402"/>
      <c r="Q197" s="402"/>
      <c r="R197" s="402"/>
      <c r="S197" s="402"/>
      <c r="T197" s="402"/>
      <c r="U197" s="402"/>
      <c r="V197" s="402"/>
      <c r="W197" s="402"/>
      <c r="X197" s="402"/>
      <c r="Y197" s="402"/>
      <c r="Z197" s="402"/>
      <c r="AA197" s="405"/>
      <c r="AB197" s="405"/>
    </row>
    <row r="198" ht="14.25" customHeight="1">
      <c r="A198" s="406">
        <v>45499.0</v>
      </c>
      <c r="B198" s="410" t="s">
        <v>761</v>
      </c>
      <c r="C198" s="408" t="s">
        <v>765</v>
      </c>
      <c r="D198" s="411" t="s">
        <v>54</v>
      </c>
      <c r="E198" s="410" t="s">
        <v>759</v>
      </c>
      <c r="F198" s="416">
        <v>21646.1</v>
      </c>
      <c r="G198" s="413">
        <v>0.0</v>
      </c>
      <c r="H198" s="349" t="s">
        <v>952</v>
      </c>
      <c r="I198" s="404" t="str">
        <f t="shared" si="5"/>
        <v>NOT PAID</v>
      </c>
      <c r="J198" s="402"/>
      <c r="K198" s="402"/>
      <c r="L198" s="402"/>
      <c r="M198" s="402"/>
      <c r="N198" s="402"/>
      <c r="O198" s="402"/>
      <c r="P198" s="402"/>
      <c r="Q198" s="402"/>
      <c r="R198" s="402"/>
      <c r="S198" s="402"/>
      <c r="T198" s="402"/>
      <c r="U198" s="402"/>
      <c r="V198" s="402"/>
      <c r="W198" s="402"/>
      <c r="X198" s="402"/>
      <c r="Y198" s="402"/>
      <c r="Z198" s="402"/>
      <c r="AA198" s="405"/>
      <c r="AB198" s="405"/>
    </row>
    <row r="199" ht="14.25" customHeight="1">
      <c r="A199" s="406">
        <v>45499.0</v>
      </c>
      <c r="B199" s="407" t="s">
        <v>915</v>
      </c>
      <c r="C199" s="408" t="s">
        <v>916</v>
      </c>
      <c r="D199" s="408" t="s">
        <v>54</v>
      </c>
      <c r="E199" s="410" t="s">
        <v>759</v>
      </c>
      <c r="F199" s="416">
        <v>45922.0</v>
      </c>
      <c r="G199" s="413">
        <v>10100.0</v>
      </c>
      <c r="H199" s="349" t="s">
        <v>953</v>
      </c>
      <c r="I199" s="404" t="str">
        <f t="shared" si="5"/>
        <v>PARTIALLY PAID</v>
      </c>
      <c r="J199" s="402"/>
      <c r="K199" s="402"/>
      <c r="L199" s="402"/>
      <c r="M199" s="402"/>
      <c r="N199" s="402"/>
      <c r="O199" s="402"/>
      <c r="P199" s="402"/>
      <c r="Q199" s="402"/>
      <c r="R199" s="402"/>
      <c r="S199" s="402"/>
      <c r="T199" s="402"/>
      <c r="U199" s="402"/>
      <c r="V199" s="402"/>
      <c r="W199" s="402"/>
      <c r="X199" s="402"/>
      <c r="Y199" s="402"/>
      <c r="Z199" s="402"/>
      <c r="AA199" s="405"/>
      <c r="AB199" s="405"/>
    </row>
    <row r="200" ht="14.25" customHeight="1">
      <c r="A200" s="406">
        <v>45499.0</v>
      </c>
      <c r="B200" s="410" t="s">
        <v>761</v>
      </c>
      <c r="C200" s="411" t="s">
        <v>762</v>
      </c>
      <c r="D200" s="411" t="s">
        <v>59</v>
      </c>
      <c r="E200" s="410" t="s">
        <v>759</v>
      </c>
      <c r="F200" s="416">
        <v>21646.1</v>
      </c>
      <c r="G200" s="413">
        <v>10000.0</v>
      </c>
      <c r="H200" s="349" t="s">
        <v>905</v>
      </c>
      <c r="I200" s="404" t="str">
        <f t="shared" si="5"/>
        <v>PARTIALLY PAID</v>
      </c>
      <c r="J200" s="402"/>
      <c r="K200" s="402"/>
      <c r="L200" s="402"/>
      <c r="M200" s="402"/>
      <c r="N200" s="402"/>
      <c r="O200" s="402"/>
      <c r="P200" s="402"/>
      <c r="Q200" s="402"/>
      <c r="R200" s="402"/>
      <c r="S200" s="402"/>
      <c r="T200" s="402"/>
      <c r="U200" s="402"/>
      <c r="V200" s="402"/>
      <c r="W200" s="402"/>
      <c r="X200" s="402"/>
      <c r="Y200" s="402"/>
      <c r="Z200" s="402"/>
      <c r="AA200" s="405"/>
      <c r="AB200" s="405"/>
    </row>
    <row r="201" ht="14.25" customHeight="1">
      <c r="A201" s="406">
        <v>45499.0</v>
      </c>
      <c r="B201" s="407" t="s">
        <v>954</v>
      </c>
      <c r="C201" s="408" t="s">
        <v>955</v>
      </c>
      <c r="D201" s="408" t="s">
        <v>54</v>
      </c>
      <c r="E201" s="410" t="s">
        <v>759</v>
      </c>
      <c r="F201" s="416">
        <v>197011.16</v>
      </c>
      <c r="G201" s="413">
        <v>197017.0</v>
      </c>
      <c r="H201" s="349" t="s">
        <v>710</v>
      </c>
      <c r="I201" s="404" t="str">
        <f t="shared" si="5"/>
        <v>FULLY PAID</v>
      </c>
      <c r="J201" s="402"/>
      <c r="K201" s="402"/>
      <c r="L201" s="402"/>
      <c r="M201" s="402"/>
      <c r="N201" s="402"/>
      <c r="O201" s="402"/>
      <c r="P201" s="402"/>
      <c r="Q201" s="402"/>
      <c r="R201" s="402"/>
      <c r="S201" s="402"/>
      <c r="T201" s="402"/>
      <c r="U201" s="402"/>
      <c r="V201" s="402"/>
      <c r="W201" s="402"/>
      <c r="X201" s="402"/>
      <c r="Y201" s="402"/>
      <c r="Z201" s="402"/>
      <c r="AA201" s="405"/>
      <c r="AB201" s="405"/>
    </row>
    <row r="202" ht="14.25" customHeight="1">
      <c r="A202" s="406">
        <v>45499.0</v>
      </c>
      <c r="B202" s="448" t="s">
        <v>770</v>
      </c>
      <c r="C202" s="421" t="s">
        <v>956</v>
      </c>
      <c r="D202" s="421" t="s">
        <v>59</v>
      </c>
      <c r="E202" s="410" t="s">
        <v>759</v>
      </c>
      <c r="F202" s="416">
        <v>942122.0</v>
      </c>
      <c r="G202" s="413">
        <v>942122.0</v>
      </c>
      <c r="H202" s="349" t="s">
        <v>710</v>
      </c>
      <c r="I202" s="404" t="str">
        <f t="shared" si="5"/>
        <v>FULLY PAID</v>
      </c>
      <c r="J202" s="402"/>
      <c r="K202" s="402"/>
      <c r="L202" s="402"/>
      <c r="M202" s="402"/>
      <c r="N202" s="402"/>
      <c r="O202" s="402"/>
      <c r="P202" s="402"/>
      <c r="Q202" s="402"/>
      <c r="R202" s="402"/>
      <c r="S202" s="402"/>
      <c r="T202" s="402"/>
      <c r="U202" s="402"/>
      <c r="V202" s="402"/>
      <c r="W202" s="402"/>
      <c r="X202" s="402"/>
      <c r="Y202" s="402"/>
      <c r="Z202" s="402"/>
      <c r="AA202" s="405"/>
      <c r="AB202" s="405"/>
    </row>
    <row r="203" ht="14.25" customHeight="1">
      <c r="A203" s="406">
        <v>45499.0</v>
      </c>
      <c r="B203" s="443" t="s">
        <v>877</v>
      </c>
      <c r="C203" s="421" t="s">
        <v>878</v>
      </c>
      <c r="D203" s="421" t="s">
        <v>54</v>
      </c>
      <c r="E203" s="349" t="s">
        <v>733</v>
      </c>
      <c r="F203" s="413">
        <v>36502.21</v>
      </c>
      <c r="G203" s="403"/>
      <c r="H203" s="402"/>
      <c r="I203" s="404" t="str">
        <f t="shared" si="5"/>
        <v>NOT PAID</v>
      </c>
      <c r="J203" s="402"/>
      <c r="K203" s="402"/>
      <c r="L203" s="402"/>
      <c r="M203" s="402"/>
      <c r="N203" s="402"/>
      <c r="O203" s="402"/>
      <c r="P203" s="402"/>
      <c r="Q203" s="402"/>
      <c r="R203" s="402"/>
      <c r="S203" s="402"/>
      <c r="T203" s="402"/>
      <c r="U203" s="402"/>
      <c r="V203" s="402"/>
      <c r="W203" s="402"/>
      <c r="X203" s="402"/>
      <c r="Y203" s="402"/>
      <c r="Z203" s="402"/>
      <c r="AA203" s="405"/>
      <c r="AB203" s="405"/>
    </row>
    <row r="204" ht="14.25" customHeight="1">
      <c r="A204" s="406">
        <v>45499.0</v>
      </c>
      <c r="B204" s="349" t="s">
        <v>731</v>
      </c>
      <c r="C204" s="421" t="s">
        <v>732</v>
      </c>
      <c r="D204" s="421" t="s">
        <v>54</v>
      </c>
      <c r="E204" s="349" t="s">
        <v>733</v>
      </c>
      <c r="F204" s="413">
        <v>11892.0</v>
      </c>
      <c r="G204" s="413">
        <v>1000.0</v>
      </c>
      <c r="H204" s="349" t="s">
        <v>905</v>
      </c>
      <c r="I204" s="404" t="str">
        <f t="shared" si="5"/>
        <v>PARTIALLY PAID</v>
      </c>
      <c r="J204" s="402"/>
      <c r="K204" s="402"/>
      <c r="L204" s="402"/>
      <c r="M204" s="402"/>
      <c r="N204" s="402"/>
      <c r="O204" s="402"/>
      <c r="P204" s="402"/>
      <c r="Q204" s="402"/>
      <c r="R204" s="402"/>
      <c r="S204" s="402"/>
      <c r="T204" s="402"/>
      <c r="U204" s="402"/>
      <c r="V204" s="402"/>
      <c r="W204" s="402"/>
      <c r="X204" s="402"/>
      <c r="Y204" s="402"/>
      <c r="Z204" s="402"/>
      <c r="AA204" s="405"/>
      <c r="AB204" s="405"/>
    </row>
    <row r="205" ht="14.25" customHeight="1">
      <c r="A205" s="406">
        <v>45499.0</v>
      </c>
      <c r="B205" s="417" t="s">
        <v>918</v>
      </c>
      <c r="C205" s="418" t="s">
        <v>919</v>
      </c>
      <c r="D205" s="418" t="s">
        <v>54</v>
      </c>
      <c r="E205" s="349" t="s">
        <v>733</v>
      </c>
      <c r="F205" s="413">
        <v>30348.24</v>
      </c>
      <c r="G205" s="403"/>
      <c r="H205" s="402"/>
      <c r="I205" s="404" t="str">
        <f t="shared" si="5"/>
        <v>NOT PAID</v>
      </c>
      <c r="J205" s="402"/>
      <c r="K205" s="402"/>
      <c r="L205" s="402"/>
      <c r="M205" s="402"/>
      <c r="N205" s="402"/>
      <c r="O205" s="402"/>
      <c r="P205" s="402"/>
      <c r="Q205" s="402"/>
      <c r="R205" s="402"/>
      <c r="S205" s="402"/>
      <c r="T205" s="402"/>
      <c r="U205" s="402"/>
      <c r="V205" s="402"/>
      <c r="W205" s="402"/>
      <c r="X205" s="402"/>
      <c r="Y205" s="402"/>
      <c r="Z205" s="402"/>
      <c r="AA205" s="405"/>
      <c r="AB205" s="405"/>
    </row>
    <row r="206" ht="14.25" customHeight="1">
      <c r="A206" s="406">
        <v>45499.0</v>
      </c>
      <c r="B206" s="444" t="s">
        <v>921</v>
      </c>
      <c r="C206" s="408" t="s">
        <v>922</v>
      </c>
      <c r="D206" s="408" t="s">
        <v>54</v>
      </c>
      <c r="E206" s="349" t="s">
        <v>733</v>
      </c>
      <c r="F206" s="416">
        <v>24415.95</v>
      </c>
      <c r="G206" s="403"/>
      <c r="H206" s="402"/>
      <c r="I206" s="404" t="str">
        <f t="shared" si="5"/>
        <v>NOT PAID</v>
      </c>
      <c r="J206" s="402"/>
      <c r="K206" s="402"/>
      <c r="L206" s="402"/>
      <c r="M206" s="402"/>
      <c r="N206" s="402"/>
      <c r="O206" s="402"/>
      <c r="P206" s="402"/>
      <c r="Q206" s="402"/>
      <c r="R206" s="402"/>
      <c r="S206" s="402"/>
      <c r="T206" s="402"/>
      <c r="U206" s="402"/>
      <c r="V206" s="402"/>
      <c r="W206" s="402"/>
      <c r="X206" s="402"/>
      <c r="Y206" s="402"/>
      <c r="Z206" s="402"/>
      <c r="AA206" s="405"/>
      <c r="AB206" s="405"/>
    </row>
    <row r="207" ht="14.25" customHeight="1">
      <c r="A207" s="406">
        <v>45499.0</v>
      </c>
      <c r="B207" s="349" t="s">
        <v>791</v>
      </c>
      <c r="C207" s="349" t="s">
        <v>792</v>
      </c>
      <c r="D207" s="418" t="s">
        <v>54</v>
      </c>
      <c r="E207" s="416" t="s">
        <v>779</v>
      </c>
      <c r="F207" s="413">
        <v>108791.54</v>
      </c>
      <c r="G207" s="403"/>
      <c r="H207" s="349" t="s">
        <v>957</v>
      </c>
      <c r="I207" s="404" t="str">
        <f t="shared" si="5"/>
        <v>NOT PAID</v>
      </c>
      <c r="J207" s="402"/>
      <c r="K207" s="402"/>
      <c r="L207" s="402"/>
      <c r="M207" s="402"/>
      <c r="N207" s="402"/>
      <c r="O207" s="402"/>
      <c r="P207" s="402"/>
      <c r="Q207" s="402"/>
      <c r="R207" s="402"/>
      <c r="S207" s="402"/>
      <c r="T207" s="402"/>
      <c r="U207" s="402"/>
      <c r="V207" s="402"/>
      <c r="W207" s="402"/>
      <c r="X207" s="402"/>
      <c r="Y207" s="402"/>
      <c r="Z207" s="402"/>
      <c r="AA207" s="405"/>
      <c r="AB207" s="405"/>
    </row>
    <row r="208" ht="14.25" customHeight="1">
      <c r="A208" s="406">
        <v>45499.0</v>
      </c>
      <c r="B208" s="417" t="s">
        <v>925</v>
      </c>
      <c r="C208" s="418" t="s">
        <v>842</v>
      </c>
      <c r="D208" s="418" t="s">
        <v>54</v>
      </c>
      <c r="E208" s="416" t="s">
        <v>779</v>
      </c>
      <c r="F208" s="413">
        <v>14329.9</v>
      </c>
      <c r="G208" s="413">
        <v>2333.0</v>
      </c>
      <c r="H208" s="349" t="s">
        <v>905</v>
      </c>
      <c r="I208" s="404" t="str">
        <f t="shared" si="5"/>
        <v>PARTIALLY PAID</v>
      </c>
      <c r="J208" s="402"/>
      <c r="K208" s="402"/>
      <c r="L208" s="402"/>
      <c r="M208" s="402"/>
      <c r="N208" s="402"/>
      <c r="O208" s="402"/>
      <c r="P208" s="402"/>
      <c r="Q208" s="402"/>
      <c r="R208" s="402"/>
      <c r="S208" s="402"/>
      <c r="T208" s="402"/>
      <c r="U208" s="402"/>
      <c r="V208" s="402"/>
      <c r="W208" s="402"/>
      <c r="X208" s="402"/>
      <c r="Y208" s="402"/>
      <c r="Z208" s="402"/>
      <c r="AA208" s="405"/>
      <c r="AB208" s="405"/>
    </row>
    <row r="209" ht="14.25" customHeight="1">
      <c r="A209" s="406">
        <v>45499.0</v>
      </c>
      <c r="B209" s="419" t="s">
        <v>794</v>
      </c>
      <c r="C209" s="349" t="s">
        <v>795</v>
      </c>
      <c r="D209" s="349" t="s">
        <v>54</v>
      </c>
      <c r="E209" s="416" t="s">
        <v>779</v>
      </c>
      <c r="F209" s="413">
        <v>200000.0</v>
      </c>
      <c r="G209" s="413"/>
      <c r="H209" s="349" t="s">
        <v>958</v>
      </c>
      <c r="I209" s="404" t="str">
        <f t="shared" si="5"/>
        <v>NOT PAID</v>
      </c>
      <c r="J209" s="402"/>
      <c r="K209" s="402"/>
      <c r="L209" s="402"/>
      <c r="M209" s="402"/>
      <c r="N209" s="402"/>
      <c r="O209" s="402"/>
      <c r="P209" s="402"/>
      <c r="Q209" s="402"/>
      <c r="R209" s="402"/>
      <c r="S209" s="402"/>
      <c r="T209" s="402"/>
      <c r="U209" s="402"/>
      <c r="V209" s="402"/>
      <c r="W209" s="402"/>
      <c r="X209" s="402"/>
      <c r="Y209" s="402"/>
      <c r="Z209" s="402"/>
      <c r="AA209" s="405"/>
      <c r="AB209" s="405"/>
    </row>
    <row r="210" ht="14.25" customHeight="1">
      <c r="A210" s="406">
        <v>45499.0</v>
      </c>
      <c r="B210" s="407" t="s">
        <v>786</v>
      </c>
      <c r="C210" s="408" t="s">
        <v>787</v>
      </c>
      <c r="D210" s="410" t="s">
        <v>54</v>
      </c>
      <c r="E210" s="416" t="s">
        <v>779</v>
      </c>
      <c r="F210" s="25">
        <v>19632.78</v>
      </c>
      <c r="G210" s="413">
        <v>17500.0</v>
      </c>
      <c r="H210" s="349" t="s">
        <v>267</v>
      </c>
      <c r="I210" s="404" t="str">
        <f t="shared" si="5"/>
        <v>PARTIALLY PAID</v>
      </c>
      <c r="J210" s="402"/>
      <c r="K210" s="402"/>
      <c r="L210" s="402"/>
      <c r="M210" s="402"/>
      <c r="N210" s="402"/>
      <c r="O210" s="402"/>
      <c r="P210" s="402"/>
      <c r="Q210" s="402"/>
      <c r="R210" s="402"/>
      <c r="S210" s="402"/>
      <c r="T210" s="402"/>
      <c r="U210" s="402"/>
      <c r="V210" s="402"/>
      <c r="W210" s="402"/>
      <c r="X210" s="402"/>
      <c r="Y210" s="402"/>
      <c r="Z210" s="402"/>
      <c r="AA210" s="405"/>
      <c r="AB210" s="405"/>
    </row>
    <row r="211" ht="14.25" customHeight="1">
      <c r="A211" s="406">
        <v>45499.0</v>
      </c>
      <c r="B211" s="349" t="s">
        <v>777</v>
      </c>
      <c r="C211" s="421" t="s">
        <v>929</v>
      </c>
      <c r="D211" s="421" t="s">
        <v>54</v>
      </c>
      <c r="E211" s="416" t="s">
        <v>779</v>
      </c>
      <c r="F211" s="416">
        <v>98000.0</v>
      </c>
      <c r="G211" s="403"/>
      <c r="H211" s="349" t="s">
        <v>959</v>
      </c>
      <c r="I211" s="404" t="str">
        <f t="shared" si="5"/>
        <v>NOT PAID</v>
      </c>
      <c r="J211" s="402"/>
      <c r="K211" s="402"/>
      <c r="L211" s="402"/>
      <c r="M211" s="402"/>
      <c r="N211" s="402"/>
      <c r="O211" s="402"/>
      <c r="P211" s="402"/>
      <c r="Q211" s="402"/>
      <c r="R211" s="402"/>
      <c r="S211" s="402"/>
      <c r="T211" s="402"/>
      <c r="U211" s="402"/>
      <c r="V211" s="402"/>
      <c r="W211" s="402"/>
      <c r="X211" s="402"/>
      <c r="Y211" s="402"/>
      <c r="Z211" s="402"/>
      <c r="AA211" s="405"/>
      <c r="AB211" s="405"/>
    </row>
    <row r="212" ht="14.25" customHeight="1">
      <c r="A212" s="406">
        <v>45499.0</v>
      </c>
      <c r="B212" s="349" t="s">
        <v>960</v>
      </c>
      <c r="C212" s="421" t="s">
        <v>961</v>
      </c>
      <c r="D212" s="421" t="s">
        <v>54</v>
      </c>
      <c r="E212" s="416" t="s">
        <v>779</v>
      </c>
      <c r="F212" s="416">
        <v>70000.0</v>
      </c>
      <c r="G212" s="403"/>
      <c r="H212" s="349" t="s">
        <v>962</v>
      </c>
      <c r="I212" s="404" t="str">
        <f t="shared" si="5"/>
        <v>NOT PAID</v>
      </c>
      <c r="J212" s="402"/>
      <c r="K212" s="402"/>
      <c r="L212" s="402"/>
      <c r="M212" s="402"/>
      <c r="N212" s="402"/>
      <c r="O212" s="402"/>
      <c r="P212" s="402"/>
      <c r="Q212" s="402"/>
      <c r="R212" s="402"/>
      <c r="S212" s="402"/>
      <c r="T212" s="402"/>
      <c r="U212" s="402"/>
      <c r="V212" s="402"/>
      <c r="W212" s="402"/>
      <c r="X212" s="402"/>
      <c r="Y212" s="402"/>
      <c r="Z212" s="402"/>
      <c r="AA212" s="405"/>
      <c r="AB212" s="405"/>
    </row>
    <row r="213" ht="14.25" customHeight="1">
      <c r="A213" s="406">
        <v>45499.0</v>
      </c>
      <c r="B213" s="349" t="s">
        <v>850</v>
      </c>
      <c r="C213" s="349" t="s">
        <v>851</v>
      </c>
      <c r="D213" s="349" t="s">
        <v>67</v>
      </c>
      <c r="E213" s="402"/>
      <c r="F213" s="413">
        <v>5000000.0</v>
      </c>
      <c r="G213" s="403"/>
      <c r="H213" s="402"/>
      <c r="I213" s="404" t="str">
        <f t="shared" si="5"/>
        <v>NOT PAID</v>
      </c>
      <c r="J213" s="402"/>
      <c r="K213" s="402"/>
      <c r="L213" s="402"/>
      <c r="M213" s="402"/>
      <c r="N213" s="402"/>
      <c r="O213" s="402"/>
      <c r="P213" s="402"/>
      <c r="Q213" s="402"/>
      <c r="R213" s="402"/>
      <c r="S213" s="402"/>
      <c r="T213" s="402"/>
      <c r="U213" s="402"/>
      <c r="V213" s="402"/>
      <c r="W213" s="402"/>
      <c r="X213" s="402"/>
      <c r="Y213" s="402"/>
      <c r="Z213" s="402"/>
      <c r="AA213" s="405"/>
      <c r="AB213" s="405"/>
    </row>
    <row r="214" ht="14.25" customHeight="1">
      <c r="A214" s="406"/>
      <c r="B214" s="349"/>
      <c r="C214" s="421"/>
      <c r="D214" s="421"/>
      <c r="E214" s="410"/>
      <c r="F214" s="416"/>
      <c r="G214" s="403"/>
      <c r="H214" s="402"/>
      <c r="I214" s="404" t="str">
        <f t="shared" si="5"/>
        <v>FULLY PAID</v>
      </c>
      <c r="J214" s="402"/>
      <c r="K214" s="402"/>
      <c r="L214" s="402"/>
      <c r="M214" s="402"/>
      <c r="N214" s="402"/>
      <c r="O214" s="402"/>
      <c r="P214" s="402"/>
      <c r="Q214" s="402"/>
      <c r="R214" s="402"/>
      <c r="S214" s="402"/>
      <c r="T214" s="402"/>
      <c r="U214" s="402"/>
      <c r="V214" s="402"/>
      <c r="W214" s="402"/>
      <c r="X214" s="402"/>
      <c r="Y214" s="402"/>
      <c r="Z214" s="402"/>
      <c r="AA214" s="405"/>
      <c r="AB214" s="405"/>
    </row>
    <row r="215" ht="14.25" customHeight="1">
      <c r="A215" s="406"/>
      <c r="B215" s="349"/>
      <c r="C215" s="421"/>
      <c r="D215" s="421"/>
      <c r="E215" s="410"/>
      <c r="F215" s="416"/>
      <c r="G215" s="403"/>
      <c r="H215" s="402"/>
      <c r="I215" s="404" t="str">
        <f t="shared" si="5"/>
        <v>FULLY PAID</v>
      </c>
      <c r="J215" s="402"/>
      <c r="K215" s="402"/>
      <c r="L215" s="402"/>
      <c r="M215" s="402"/>
      <c r="N215" s="402"/>
      <c r="O215" s="402"/>
      <c r="P215" s="402"/>
      <c r="Q215" s="402"/>
      <c r="R215" s="402"/>
      <c r="S215" s="402"/>
      <c r="T215" s="402"/>
      <c r="U215" s="402"/>
      <c r="V215" s="402"/>
      <c r="W215" s="402"/>
      <c r="X215" s="402"/>
      <c r="Y215" s="402"/>
      <c r="Z215" s="402"/>
      <c r="AA215" s="405"/>
      <c r="AB215" s="405"/>
    </row>
    <row r="216" ht="14.25" customHeight="1">
      <c r="A216" s="406">
        <v>45499.0</v>
      </c>
      <c r="B216" s="417"/>
      <c r="C216" s="449" t="s">
        <v>797</v>
      </c>
      <c r="D216" s="418"/>
      <c r="E216" s="410"/>
      <c r="F216" s="416"/>
      <c r="G216" s="403"/>
      <c r="H216" s="402"/>
      <c r="I216" s="404" t="str">
        <f t="shared" si="5"/>
        <v>FULLY PAID</v>
      </c>
      <c r="J216" s="402"/>
      <c r="K216" s="402"/>
      <c r="L216" s="402"/>
      <c r="M216" s="402"/>
      <c r="N216" s="402"/>
      <c r="O216" s="402"/>
      <c r="P216" s="402"/>
      <c r="Q216" s="402"/>
      <c r="R216" s="402"/>
      <c r="S216" s="402"/>
      <c r="T216" s="402"/>
      <c r="U216" s="402"/>
      <c r="V216" s="402"/>
      <c r="W216" s="402"/>
      <c r="X216" s="402"/>
      <c r="Y216" s="402"/>
      <c r="Z216" s="402"/>
      <c r="AA216" s="405"/>
      <c r="AB216" s="405"/>
    </row>
    <row r="217" ht="14.25" customHeight="1">
      <c r="A217" s="406">
        <v>45499.0</v>
      </c>
      <c r="B217" s="418" t="s">
        <v>738</v>
      </c>
      <c r="C217" s="418" t="s">
        <v>739</v>
      </c>
      <c r="D217" s="418" t="s">
        <v>54</v>
      </c>
      <c r="E217" s="416" t="s">
        <v>273</v>
      </c>
      <c r="F217" s="445">
        <v>90000.0</v>
      </c>
      <c r="G217" s="403"/>
      <c r="H217" s="349" t="s">
        <v>963</v>
      </c>
      <c r="I217" s="404" t="str">
        <f t="shared" si="5"/>
        <v>NOT PAID</v>
      </c>
      <c r="J217" s="402"/>
      <c r="K217" s="402"/>
      <c r="L217" s="402"/>
      <c r="M217" s="402"/>
      <c r="N217" s="402"/>
      <c r="O217" s="402"/>
      <c r="P217" s="402"/>
      <c r="Q217" s="402"/>
      <c r="R217" s="402"/>
      <c r="S217" s="402"/>
      <c r="T217" s="402"/>
      <c r="U217" s="402"/>
      <c r="V217" s="402"/>
      <c r="W217" s="402"/>
      <c r="X217" s="402"/>
      <c r="Y217" s="402"/>
      <c r="Z217" s="402"/>
      <c r="AA217" s="405"/>
      <c r="AB217" s="405"/>
    </row>
    <row r="218" ht="14.25" customHeight="1">
      <c r="A218" s="406">
        <v>45499.0</v>
      </c>
      <c r="B218" s="349" t="s">
        <v>800</v>
      </c>
      <c r="C218" s="349" t="s">
        <v>801</v>
      </c>
      <c r="D218" s="418" t="s">
        <v>54</v>
      </c>
      <c r="E218" s="416" t="s">
        <v>273</v>
      </c>
      <c r="F218" s="413">
        <v>10000.0</v>
      </c>
      <c r="G218" s="403"/>
      <c r="H218" s="349" t="s">
        <v>964</v>
      </c>
      <c r="I218" s="404" t="str">
        <f t="shared" si="5"/>
        <v>NOT PAID</v>
      </c>
      <c r="J218" s="402"/>
      <c r="K218" s="402"/>
      <c r="L218" s="402"/>
      <c r="M218" s="402"/>
      <c r="N218" s="402"/>
      <c r="O218" s="402"/>
      <c r="P218" s="402"/>
      <c r="Q218" s="402"/>
      <c r="R218" s="402"/>
      <c r="S218" s="402"/>
      <c r="T218" s="402"/>
      <c r="U218" s="402"/>
      <c r="V218" s="402"/>
      <c r="W218" s="402"/>
      <c r="X218" s="402"/>
      <c r="Y218" s="402"/>
      <c r="Z218" s="402"/>
      <c r="AA218" s="405"/>
      <c r="AB218" s="405"/>
    </row>
    <row r="219" ht="14.25" customHeight="1">
      <c r="A219" s="406">
        <v>45499.0</v>
      </c>
      <c r="B219" s="349" t="s">
        <v>783</v>
      </c>
      <c r="C219" s="349" t="s">
        <v>965</v>
      </c>
      <c r="D219" s="418" t="s">
        <v>54</v>
      </c>
      <c r="E219" s="416" t="s">
        <v>273</v>
      </c>
      <c r="F219" s="413">
        <v>100000.0</v>
      </c>
      <c r="G219" s="403"/>
      <c r="H219" s="349" t="s">
        <v>966</v>
      </c>
      <c r="I219" s="404" t="str">
        <f t="shared" si="5"/>
        <v>NOT PAID</v>
      </c>
      <c r="J219" s="402"/>
      <c r="K219" s="402"/>
      <c r="L219" s="402"/>
      <c r="M219" s="402"/>
      <c r="N219" s="402"/>
      <c r="O219" s="402"/>
      <c r="P219" s="402"/>
      <c r="Q219" s="402"/>
      <c r="R219" s="402"/>
      <c r="S219" s="402"/>
      <c r="T219" s="402"/>
      <c r="U219" s="402"/>
      <c r="V219" s="402"/>
      <c r="W219" s="402"/>
      <c r="X219" s="402"/>
      <c r="Y219" s="402"/>
      <c r="Z219" s="402"/>
      <c r="AA219" s="405"/>
      <c r="AB219" s="405"/>
    </row>
    <row r="220" ht="14.25" customHeight="1">
      <c r="A220" s="406"/>
      <c r="B220" s="349"/>
      <c r="C220" s="349"/>
      <c r="D220" s="421"/>
      <c r="E220" s="450"/>
      <c r="F220" s="413"/>
      <c r="G220" s="403"/>
      <c r="H220" s="402"/>
      <c r="I220" s="404"/>
      <c r="J220" s="402"/>
      <c r="K220" s="402"/>
      <c r="L220" s="402"/>
      <c r="M220" s="402"/>
      <c r="N220" s="402"/>
      <c r="O220" s="402"/>
      <c r="P220" s="402"/>
      <c r="Q220" s="402"/>
      <c r="R220" s="402"/>
      <c r="S220" s="402"/>
      <c r="T220" s="402"/>
      <c r="U220" s="402"/>
      <c r="V220" s="402"/>
      <c r="W220" s="402"/>
      <c r="X220" s="402"/>
      <c r="Y220" s="402"/>
      <c r="Z220" s="402"/>
      <c r="AA220" s="405"/>
      <c r="AB220" s="405"/>
    </row>
    <row r="221" ht="14.25" customHeight="1">
      <c r="A221" s="406"/>
      <c r="B221" s="402"/>
      <c r="C221" s="402"/>
      <c r="D221" s="402"/>
      <c r="E221" s="402"/>
      <c r="F221" s="403"/>
      <c r="G221" s="403"/>
      <c r="H221" s="402"/>
      <c r="I221" s="404"/>
      <c r="J221" s="402"/>
      <c r="K221" s="402"/>
      <c r="L221" s="402"/>
      <c r="M221" s="402"/>
      <c r="N221" s="402"/>
      <c r="O221" s="402"/>
      <c r="P221" s="402"/>
      <c r="Q221" s="402"/>
      <c r="R221" s="402"/>
      <c r="S221" s="402"/>
      <c r="T221" s="402"/>
      <c r="U221" s="402"/>
      <c r="V221" s="402"/>
      <c r="W221" s="402"/>
      <c r="X221" s="402"/>
      <c r="Y221" s="402"/>
      <c r="Z221" s="402"/>
      <c r="AA221" s="405"/>
      <c r="AB221" s="405"/>
    </row>
    <row r="222" ht="14.25" customHeight="1">
      <c r="A222" s="406"/>
      <c r="B222" s="424" t="s">
        <v>967</v>
      </c>
      <c r="C222" s="402"/>
      <c r="D222" s="402"/>
      <c r="E222" s="402"/>
      <c r="F222" s="403"/>
      <c r="G222" s="403"/>
      <c r="H222" s="402"/>
      <c r="I222" s="404"/>
      <c r="J222" s="402"/>
      <c r="K222" s="402"/>
      <c r="L222" s="402"/>
      <c r="M222" s="402"/>
      <c r="N222" s="402"/>
      <c r="O222" s="402"/>
      <c r="P222" s="402"/>
      <c r="Q222" s="402"/>
      <c r="R222" s="402"/>
      <c r="S222" s="402"/>
      <c r="T222" s="402"/>
      <c r="U222" s="402"/>
      <c r="V222" s="402"/>
      <c r="W222" s="402"/>
      <c r="X222" s="402"/>
      <c r="Y222" s="402"/>
      <c r="Z222" s="402"/>
      <c r="AA222" s="405"/>
      <c r="AB222" s="405"/>
    </row>
    <row r="223" ht="14.25" customHeight="1">
      <c r="A223" s="406">
        <v>45500.0</v>
      </c>
      <c r="B223" s="410" t="s">
        <v>705</v>
      </c>
      <c r="C223" s="411" t="s">
        <v>706</v>
      </c>
      <c r="D223" s="343" t="s">
        <v>54</v>
      </c>
      <c r="E223" s="349" t="s">
        <v>703</v>
      </c>
      <c r="F223" s="413">
        <v>8643.36</v>
      </c>
      <c r="G223" s="403"/>
      <c r="H223" s="349" t="s">
        <v>963</v>
      </c>
      <c r="I223" s="404" t="str">
        <f t="shared" ref="I223:I358" si="6">IF(G223&gt;=F223,"FULLY PAID",IF(G223=0,"NOT PAID","PARTIALLY PAID"))</f>
        <v>NOT PAID</v>
      </c>
      <c r="J223" s="402"/>
      <c r="K223" s="402"/>
      <c r="L223" s="402"/>
      <c r="M223" s="402"/>
      <c r="N223" s="402"/>
      <c r="O223" s="402"/>
      <c r="P223" s="402"/>
      <c r="Q223" s="402"/>
      <c r="R223" s="402"/>
      <c r="S223" s="402"/>
      <c r="T223" s="402"/>
      <c r="U223" s="402"/>
      <c r="V223" s="402"/>
      <c r="W223" s="402"/>
      <c r="X223" s="402"/>
      <c r="Y223" s="402"/>
      <c r="Z223" s="402"/>
      <c r="AA223" s="405"/>
      <c r="AB223" s="405"/>
    </row>
    <row r="224" ht="14.25" customHeight="1">
      <c r="A224" s="406">
        <v>45500.0</v>
      </c>
      <c r="B224" s="410" t="s">
        <v>711</v>
      </c>
      <c r="C224" s="411" t="s">
        <v>712</v>
      </c>
      <c r="D224" s="411" t="s">
        <v>75</v>
      </c>
      <c r="E224" s="410" t="s">
        <v>703</v>
      </c>
      <c r="F224" s="416">
        <v>251845.0</v>
      </c>
      <c r="G224" s="403"/>
      <c r="H224" s="349" t="s">
        <v>968</v>
      </c>
      <c r="I224" s="404" t="str">
        <f t="shared" si="6"/>
        <v>NOT PAID</v>
      </c>
      <c r="J224" s="402"/>
      <c r="K224" s="402"/>
      <c r="L224" s="402"/>
      <c r="M224" s="402"/>
      <c r="N224" s="402"/>
      <c r="O224" s="402"/>
      <c r="P224" s="402"/>
      <c r="Q224" s="402"/>
      <c r="R224" s="402"/>
      <c r="S224" s="402"/>
      <c r="T224" s="402"/>
      <c r="U224" s="402"/>
      <c r="V224" s="402"/>
      <c r="W224" s="402"/>
      <c r="X224" s="402"/>
      <c r="Y224" s="402"/>
      <c r="Z224" s="402"/>
      <c r="AA224" s="405"/>
      <c r="AB224" s="405"/>
    </row>
    <row r="225" ht="14.25" customHeight="1">
      <c r="A225" s="406">
        <v>45500.0</v>
      </c>
      <c r="B225" s="410" t="s">
        <v>717</v>
      </c>
      <c r="C225" s="411" t="s">
        <v>718</v>
      </c>
      <c r="D225" s="411" t="s">
        <v>54</v>
      </c>
      <c r="E225" s="410" t="s">
        <v>703</v>
      </c>
      <c r="F225" s="416">
        <v>1275.01</v>
      </c>
      <c r="G225" s="403"/>
      <c r="H225" s="349" t="s">
        <v>969</v>
      </c>
      <c r="I225" s="404" t="str">
        <f t="shared" si="6"/>
        <v>NOT PAID</v>
      </c>
      <c r="J225" s="402"/>
      <c r="K225" s="402"/>
      <c r="L225" s="402"/>
      <c r="M225" s="402"/>
      <c r="N225" s="402"/>
      <c r="O225" s="402"/>
      <c r="P225" s="402"/>
      <c r="Q225" s="402"/>
      <c r="R225" s="402"/>
      <c r="S225" s="402"/>
      <c r="T225" s="402"/>
      <c r="U225" s="402"/>
      <c r="V225" s="402"/>
      <c r="W225" s="402"/>
      <c r="X225" s="402"/>
      <c r="Y225" s="402"/>
      <c r="Z225" s="402"/>
      <c r="AA225" s="405"/>
      <c r="AB225" s="405"/>
    </row>
    <row r="226" ht="14.25" customHeight="1">
      <c r="A226" s="406">
        <v>45500.0</v>
      </c>
      <c r="B226" s="417" t="s">
        <v>720</v>
      </c>
      <c r="C226" s="418" t="s">
        <v>721</v>
      </c>
      <c r="D226" s="418" t="s">
        <v>54</v>
      </c>
      <c r="E226" s="349" t="s">
        <v>703</v>
      </c>
      <c r="F226" s="413">
        <v>1000.0</v>
      </c>
      <c r="G226" s="413" t="s">
        <v>899</v>
      </c>
      <c r="H226" s="402"/>
      <c r="I226" s="404" t="str">
        <f t="shared" si="6"/>
        <v>FULLY PAID</v>
      </c>
      <c r="J226" s="402"/>
      <c r="K226" s="402"/>
      <c r="L226" s="402"/>
      <c r="M226" s="402"/>
      <c r="N226" s="402"/>
      <c r="O226" s="402"/>
      <c r="P226" s="402"/>
      <c r="Q226" s="402"/>
      <c r="R226" s="402"/>
      <c r="S226" s="402"/>
      <c r="T226" s="402"/>
      <c r="U226" s="402"/>
      <c r="V226" s="402"/>
      <c r="W226" s="402"/>
      <c r="X226" s="402"/>
      <c r="Y226" s="402"/>
      <c r="Z226" s="402"/>
      <c r="AA226" s="405"/>
      <c r="AB226" s="405"/>
    </row>
    <row r="227" ht="14.25" customHeight="1">
      <c r="A227" s="406">
        <v>45500.0</v>
      </c>
      <c r="B227" s="407" t="s">
        <v>723</v>
      </c>
      <c r="C227" s="408" t="s">
        <v>724</v>
      </c>
      <c r="D227" s="408" t="s">
        <v>54</v>
      </c>
      <c r="E227" s="349" t="s">
        <v>703</v>
      </c>
      <c r="F227" s="416">
        <v>28104.75</v>
      </c>
      <c r="G227" s="403"/>
      <c r="H227" s="349" t="s">
        <v>970</v>
      </c>
      <c r="I227" s="404" t="str">
        <f t="shared" si="6"/>
        <v>NOT PAID</v>
      </c>
      <c r="J227" s="402"/>
      <c r="K227" s="402"/>
      <c r="L227" s="402"/>
      <c r="M227" s="402"/>
      <c r="N227" s="402"/>
      <c r="O227" s="402"/>
      <c r="P227" s="402"/>
      <c r="Q227" s="402"/>
      <c r="R227" s="402"/>
      <c r="S227" s="402"/>
      <c r="T227" s="402"/>
      <c r="U227" s="402"/>
      <c r="V227" s="402"/>
      <c r="W227" s="402"/>
      <c r="X227" s="402"/>
      <c r="Y227" s="402"/>
      <c r="Z227" s="402"/>
      <c r="AA227" s="405"/>
      <c r="AB227" s="405"/>
    </row>
    <row r="228" ht="14.25" customHeight="1">
      <c r="A228" s="406">
        <v>45500.0</v>
      </c>
      <c r="B228" s="407" t="s">
        <v>809</v>
      </c>
      <c r="C228" s="408" t="s">
        <v>810</v>
      </c>
      <c r="D228" s="408" t="s">
        <v>54</v>
      </c>
      <c r="E228" s="349" t="s">
        <v>703</v>
      </c>
      <c r="F228" s="416">
        <v>177077.95</v>
      </c>
      <c r="G228" s="403"/>
      <c r="H228" s="349" t="s">
        <v>971</v>
      </c>
      <c r="I228" s="404" t="str">
        <f t="shared" si="6"/>
        <v>NOT PAID</v>
      </c>
      <c r="J228" s="402"/>
      <c r="K228" s="402"/>
      <c r="L228" s="402"/>
      <c r="M228" s="402"/>
      <c r="N228" s="402"/>
      <c r="O228" s="402"/>
      <c r="P228" s="402"/>
      <c r="Q228" s="402"/>
      <c r="R228" s="402"/>
      <c r="S228" s="402"/>
      <c r="T228" s="402"/>
      <c r="U228" s="402"/>
      <c r="V228" s="402"/>
      <c r="W228" s="402"/>
      <c r="X228" s="402"/>
      <c r="Y228" s="402"/>
      <c r="Z228" s="402"/>
      <c r="AA228" s="405"/>
      <c r="AB228" s="405"/>
    </row>
    <row r="229" ht="14.25" customHeight="1">
      <c r="A229" s="406">
        <v>45500.0</v>
      </c>
      <c r="B229" s="417" t="s">
        <v>904</v>
      </c>
      <c r="C229" s="418" t="s">
        <v>810</v>
      </c>
      <c r="D229" s="418" t="s">
        <v>75</v>
      </c>
      <c r="E229" s="349" t="s">
        <v>703</v>
      </c>
      <c r="F229" s="442">
        <v>1100000.0</v>
      </c>
      <c r="G229" s="403"/>
      <c r="H229" s="349" t="s">
        <v>971</v>
      </c>
      <c r="I229" s="404" t="str">
        <f t="shared" si="6"/>
        <v>NOT PAID</v>
      </c>
      <c r="J229" s="402"/>
      <c r="K229" s="402"/>
      <c r="L229" s="402"/>
      <c r="M229" s="402"/>
      <c r="N229" s="402"/>
      <c r="O229" s="402"/>
      <c r="P229" s="402"/>
      <c r="Q229" s="402"/>
      <c r="R229" s="402"/>
      <c r="S229" s="402"/>
      <c r="T229" s="402"/>
      <c r="U229" s="402"/>
      <c r="V229" s="402"/>
      <c r="W229" s="402"/>
      <c r="X229" s="402"/>
      <c r="Y229" s="402"/>
      <c r="Z229" s="402"/>
      <c r="AA229" s="405"/>
      <c r="AB229" s="405"/>
    </row>
    <row r="230" ht="14.25" customHeight="1">
      <c r="A230" s="406">
        <v>45500.0</v>
      </c>
      <c r="B230" s="415" t="s">
        <v>701</v>
      </c>
      <c r="C230" s="415" t="s">
        <v>702</v>
      </c>
      <c r="D230" s="415" t="s">
        <v>54</v>
      </c>
      <c r="E230" s="349" t="s">
        <v>703</v>
      </c>
      <c r="F230" s="442">
        <v>16309.2</v>
      </c>
      <c r="G230" s="403"/>
      <c r="H230" s="349" t="s">
        <v>963</v>
      </c>
      <c r="I230" s="404" t="str">
        <f t="shared" si="6"/>
        <v>NOT PAID</v>
      </c>
      <c r="J230" s="402"/>
      <c r="K230" s="402"/>
      <c r="L230" s="402"/>
      <c r="M230" s="402"/>
      <c r="N230" s="402"/>
      <c r="O230" s="402"/>
      <c r="P230" s="402"/>
      <c r="Q230" s="402"/>
      <c r="R230" s="402"/>
      <c r="S230" s="402"/>
      <c r="T230" s="402"/>
      <c r="U230" s="402"/>
      <c r="V230" s="402"/>
      <c r="W230" s="402"/>
      <c r="X230" s="402"/>
      <c r="Y230" s="402"/>
      <c r="Z230" s="402"/>
      <c r="AA230" s="405"/>
      <c r="AB230" s="405"/>
    </row>
    <row r="231" ht="14.25" customHeight="1">
      <c r="A231" s="406">
        <v>45500.0</v>
      </c>
      <c r="B231" s="344" t="s">
        <v>742</v>
      </c>
      <c r="C231" s="344" t="s">
        <v>743</v>
      </c>
      <c r="D231" s="344" t="s">
        <v>54</v>
      </c>
      <c r="E231" s="344" t="s">
        <v>740</v>
      </c>
      <c r="F231" s="430">
        <v>112579.0</v>
      </c>
      <c r="G231" s="403"/>
      <c r="H231" s="349" t="s">
        <v>972</v>
      </c>
      <c r="I231" s="404" t="str">
        <f t="shared" si="6"/>
        <v>NOT PAID</v>
      </c>
      <c r="J231" s="402"/>
      <c r="K231" s="402"/>
      <c r="L231" s="402"/>
      <c r="M231" s="402"/>
      <c r="N231" s="402"/>
      <c r="O231" s="402"/>
      <c r="P231" s="402"/>
      <c r="Q231" s="402"/>
      <c r="R231" s="402"/>
      <c r="S231" s="402"/>
      <c r="T231" s="402"/>
      <c r="U231" s="402"/>
      <c r="V231" s="402"/>
      <c r="W231" s="402"/>
      <c r="X231" s="402"/>
      <c r="Y231" s="402"/>
      <c r="Z231" s="402"/>
      <c r="AA231" s="405"/>
      <c r="AB231" s="405"/>
    </row>
    <row r="232" ht="14.25" customHeight="1">
      <c r="A232" s="406">
        <v>45500.0</v>
      </c>
      <c r="B232" s="344" t="s">
        <v>746</v>
      </c>
      <c r="C232" s="344" t="s">
        <v>747</v>
      </c>
      <c r="D232" s="344" t="s">
        <v>54</v>
      </c>
      <c r="E232" s="344" t="s">
        <v>740</v>
      </c>
      <c r="F232" s="442">
        <v>14378.5</v>
      </c>
      <c r="G232" s="403"/>
      <c r="H232" s="349" t="s">
        <v>973</v>
      </c>
      <c r="I232" s="404" t="str">
        <f t="shared" si="6"/>
        <v>NOT PAID</v>
      </c>
      <c r="J232" s="402"/>
      <c r="K232" s="402"/>
      <c r="L232" s="402"/>
      <c r="M232" s="402"/>
      <c r="N232" s="402"/>
      <c r="O232" s="402"/>
      <c r="P232" s="402"/>
      <c r="Q232" s="402"/>
      <c r="R232" s="402"/>
      <c r="S232" s="402"/>
      <c r="T232" s="402"/>
      <c r="U232" s="402"/>
      <c r="V232" s="402"/>
      <c r="W232" s="402"/>
      <c r="X232" s="402"/>
      <c r="Y232" s="402"/>
      <c r="Z232" s="402"/>
      <c r="AA232" s="405"/>
      <c r="AB232" s="405"/>
    </row>
    <row r="233" ht="14.25" customHeight="1">
      <c r="A233" s="406">
        <v>45500.0</v>
      </c>
      <c r="B233" s="344" t="s">
        <v>749</v>
      </c>
      <c r="C233" s="344" t="s">
        <v>750</v>
      </c>
      <c r="D233" s="344" t="s">
        <v>54</v>
      </c>
      <c r="E233" s="344" t="s">
        <v>740</v>
      </c>
      <c r="F233" s="430">
        <v>30081.0</v>
      </c>
      <c r="G233" s="403"/>
      <c r="H233" s="349" t="s">
        <v>751</v>
      </c>
      <c r="I233" s="404" t="str">
        <f t="shared" si="6"/>
        <v>NOT PAID</v>
      </c>
      <c r="J233" s="402"/>
      <c r="K233" s="402"/>
      <c r="L233" s="402"/>
      <c r="M233" s="402"/>
      <c r="N233" s="402"/>
      <c r="O233" s="402"/>
      <c r="P233" s="402"/>
      <c r="Q233" s="402"/>
      <c r="R233" s="402"/>
      <c r="S233" s="402"/>
      <c r="T233" s="402"/>
      <c r="U233" s="402"/>
      <c r="V233" s="402"/>
      <c r="W233" s="402"/>
      <c r="X233" s="402"/>
      <c r="Y233" s="402"/>
      <c r="Z233" s="402"/>
      <c r="AA233" s="405"/>
      <c r="AB233" s="405"/>
    </row>
    <row r="234" ht="14.25" customHeight="1">
      <c r="A234" s="406">
        <v>45500.0</v>
      </c>
      <c r="B234" s="344" t="s">
        <v>752</v>
      </c>
      <c r="C234" s="344" t="s">
        <v>753</v>
      </c>
      <c r="D234" s="344" t="s">
        <v>54</v>
      </c>
      <c r="E234" s="344" t="s">
        <v>740</v>
      </c>
      <c r="F234" s="430">
        <v>1008587.0</v>
      </c>
      <c r="G234" s="403"/>
      <c r="H234" s="349" t="s">
        <v>866</v>
      </c>
      <c r="I234" s="404" t="str">
        <f t="shared" si="6"/>
        <v>NOT PAID</v>
      </c>
      <c r="J234" s="402"/>
      <c r="K234" s="402"/>
      <c r="L234" s="402"/>
      <c r="M234" s="402"/>
      <c r="N234" s="402"/>
      <c r="O234" s="402"/>
      <c r="P234" s="402"/>
      <c r="Q234" s="402"/>
      <c r="R234" s="402"/>
      <c r="S234" s="402"/>
      <c r="T234" s="402"/>
      <c r="U234" s="402"/>
      <c r="V234" s="402"/>
      <c r="W234" s="402"/>
      <c r="X234" s="402"/>
      <c r="Y234" s="402"/>
      <c r="Z234" s="402"/>
      <c r="AA234" s="405"/>
      <c r="AB234" s="405"/>
    </row>
    <row r="235" ht="14.25" customHeight="1">
      <c r="A235" s="406">
        <v>45500.0</v>
      </c>
      <c r="B235" s="344" t="s">
        <v>754</v>
      </c>
      <c r="C235" s="344" t="s">
        <v>755</v>
      </c>
      <c r="D235" s="344" t="s">
        <v>59</v>
      </c>
      <c r="E235" s="344" t="s">
        <v>740</v>
      </c>
      <c r="F235" s="430">
        <v>119067.3</v>
      </c>
      <c r="G235" s="403"/>
      <c r="H235" s="349" t="s">
        <v>974</v>
      </c>
      <c r="I235" s="404" t="str">
        <f t="shared" si="6"/>
        <v>NOT PAID</v>
      </c>
      <c r="J235" s="402"/>
      <c r="K235" s="402"/>
      <c r="L235" s="402"/>
      <c r="M235" s="402"/>
      <c r="N235" s="402"/>
      <c r="O235" s="402"/>
      <c r="P235" s="402"/>
      <c r="Q235" s="402"/>
      <c r="R235" s="402"/>
      <c r="S235" s="402"/>
      <c r="T235" s="402"/>
      <c r="U235" s="402"/>
      <c r="V235" s="402"/>
      <c r="W235" s="402"/>
      <c r="X235" s="402"/>
      <c r="Y235" s="402"/>
      <c r="Z235" s="402"/>
      <c r="AA235" s="405"/>
      <c r="AB235" s="405"/>
    </row>
    <row r="236" ht="14.25" customHeight="1">
      <c r="A236" s="406">
        <v>45500.0</v>
      </c>
      <c r="B236" s="410" t="s">
        <v>695</v>
      </c>
      <c r="C236" s="411" t="s">
        <v>696</v>
      </c>
      <c r="D236" s="343" t="s">
        <v>54</v>
      </c>
      <c r="E236" s="412" t="s">
        <v>693</v>
      </c>
      <c r="F236" s="413">
        <v>61772.77</v>
      </c>
      <c r="G236" s="403"/>
      <c r="H236" s="349" t="s">
        <v>975</v>
      </c>
      <c r="I236" s="404" t="str">
        <f t="shared" si="6"/>
        <v>NOT PAID</v>
      </c>
      <c r="J236" s="402"/>
      <c r="K236" s="402"/>
      <c r="L236" s="402"/>
      <c r="M236" s="402"/>
      <c r="N236" s="402"/>
      <c r="O236" s="402"/>
      <c r="P236" s="402"/>
      <c r="Q236" s="402"/>
      <c r="R236" s="402"/>
      <c r="S236" s="402"/>
      <c r="T236" s="402"/>
      <c r="U236" s="402"/>
      <c r="V236" s="402"/>
      <c r="W236" s="402"/>
      <c r="X236" s="402"/>
      <c r="Y236" s="402"/>
      <c r="Z236" s="402"/>
      <c r="AA236" s="405"/>
      <c r="AB236" s="405"/>
    </row>
    <row r="237" ht="14.25" customHeight="1">
      <c r="A237" s="406">
        <v>45500.0</v>
      </c>
      <c r="B237" s="414" t="s">
        <v>698</v>
      </c>
      <c r="C237" s="415" t="s">
        <v>699</v>
      </c>
      <c r="D237" s="343" t="s">
        <v>54</v>
      </c>
      <c r="E237" s="412" t="s">
        <v>693</v>
      </c>
      <c r="F237" s="413">
        <v>7648.0</v>
      </c>
      <c r="G237" s="403"/>
      <c r="H237" s="349" t="s">
        <v>976</v>
      </c>
      <c r="I237" s="404" t="str">
        <f t="shared" si="6"/>
        <v>NOT PAID</v>
      </c>
      <c r="J237" s="402"/>
      <c r="K237" s="402"/>
      <c r="L237" s="402"/>
      <c r="M237" s="402"/>
      <c r="N237" s="402"/>
      <c r="O237" s="402"/>
      <c r="P237" s="402"/>
      <c r="Q237" s="402"/>
      <c r="R237" s="402"/>
      <c r="S237" s="402"/>
      <c r="T237" s="402"/>
      <c r="U237" s="402"/>
      <c r="V237" s="402"/>
      <c r="W237" s="402"/>
      <c r="X237" s="402"/>
      <c r="Y237" s="402"/>
      <c r="Z237" s="402"/>
      <c r="AA237" s="405"/>
      <c r="AB237" s="405"/>
    </row>
    <row r="238" ht="14.25" customHeight="1">
      <c r="A238" s="406">
        <v>45500.0</v>
      </c>
      <c r="B238" s="349" t="s">
        <v>757</v>
      </c>
      <c r="C238" s="421" t="s">
        <v>875</v>
      </c>
      <c r="D238" s="421" t="s">
        <v>75</v>
      </c>
      <c r="E238" s="410" t="s">
        <v>759</v>
      </c>
      <c r="F238" s="416">
        <v>16485.25</v>
      </c>
      <c r="G238" s="403"/>
      <c r="H238" s="402"/>
      <c r="I238" s="404" t="str">
        <f t="shared" si="6"/>
        <v>NOT PAID</v>
      </c>
      <c r="J238" s="402"/>
      <c r="K238" s="402"/>
      <c r="L238" s="402"/>
      <c r="M238" s="402"/>
      <c r="N238" s="402"/>
      <c r="O238" s="402"/>
      <c r="P238" s="402"/>
      <c r="Q238" s="402"/>
      <c r="R238" s="402"/>
      <c r="S238" s="402"/>
      <c r="T238" s="402"/>
      <c r="U238" s="402"/>
      <c r="V238" s="402"/>
      <c r="W238" s="402"/>
      <c r="X238" s="402"/>
      <c r="Y238" s="402"/>
      <c r="Z238" s="402"/>
      <c r="AA238" s="405"/>
      <c r="AB238" s="405"/>
    </row>
    <row r="239" ht="14.25" customHeight="1">
      <c r="A239" s="406">
        <v>45500.0</v>
      </c>
      <c r="B239" s="410" t="s">
        <v>761</v>
      </c>
      <c r="C239" s="408" t="s">
        <v>765</v>
      </c>
      <c r="D239" s="411" t="s">
        <v>54</v>
      </c>
      <c r="E239" s="410" t="s">
        <v>759</v>
      </c>
      <c r="F239" s="416">
        <v>21646.1</v>
      </c>
      <c r="G239" s="403"/>
      <c r="H239" s="402"/>
      <c r="I239" s="404" t="str">
        <f t="shared" si="6"/>
        <v>NOT PAID</v>
      </c>
      <c r="J239" s="402"/>
      <c r="K239" s="402"/>
      <c r="L239" s="402"/>
      <c r="M239" s="402"/>
      <c r="N239" s="402"/>
      <c r="O239" s="402"/>
      <c r="P239" s="402"/>
      <c r="Q239" s="402"/>
      <c r="R239" s="402"/>
      <c r="S239" s="402"/>
      <c r="T239" s="402"/>
      <c r="U239" s="402"/>
      <c r="V239" s="402"/>
      <c r="W239" s="402"/>
      <c r="X239" s="402"/>
      <c r="Y239" s="402"/>
      <c r="Z239" s="402"/>
      <c r="AA239" s="405"/>
      <c r="AB239" s="405"/>
    </row>
    <row r="240" ht="14.25" customHeight="1">
      <c r="A240" s="406">
        <v>45500.0</v>
      </c>
      <c r="B240" s="407" t="s">
        <v>915</v>
      </c>
      <c r="C240" s="408" t="s">
        <v>916</v>
      </c>
      <c r="D240" s="408" t="s">
        <v>54</v>
      </c>
      <c r="E240" s="410" t="s">
        <v>759</v>
      </c>
      <c r="F240" s="416">
        <v>45922.0</v>
      </c>
      <c r="G240" s="403"/>
      <c r="H240" s="402"/>
      <c r="I240" s="404" t="str">
        <f t="shared" si="6"/>
        <v>NOT PAID</v>
      </c>
      <c r="J240" s="402"/>
      <c r="K240" s="402"/>
      <c r="L240" s="402"/>
      <c r="M240" s="402"/>
      <c r="N240" s="402"/>
      <c r="O240" s="402"/>
      <c r="P240" s="402"/>
      <c r="Q240" s="402"/>
      <c r="R240" s="402"/>
      <c r="S240" s="402"/>
      <c r="T240" s="402"/>
      <c r="U240" s="402"/>
      <c r="V240" s="402"/>
      <c r="W240" s="402"/>
      <c r="X240" s="402"/>
      <c r="Y240" s="402"/>
      <c r="Z240" s="402"/>
      <c r="AA240" s="405"/>
      <c r="AB240" s="405"/>
    </row>
    <row r="241" ht="14.25" customHeight="1">
      <c r="A241" s="406">
        <v>45500.0</v>
      </c>
      <c r="B241" s="410" t="s">
        <v>761</v>
      </c>
      <c r="C241" s="411" t="s">
        <v>762</v>
      </c>
      <c r="D241" s="411" t="s">
        <v>59</v>
      </c>
      <c r="E241" s="410" t="s">
        <v>759</v>
      </c>
      <c r="F241" s="416">
        <v>11646.1</v>
      </c>
      <c r="G241" s="403"/>
      <c r="H241" s="402"/>
      <c r="I241" s="404" t="str">
        <f t="shared" si="6"/>
        <v>NOT PAID</v>
      </c>
      <c r="J241" s="402"/>
      <c r="K241" s="402"/>
      <c r="L241" s="402"/>
      <c r="M241" s="402"/>
      <c r="N241" s="402"/>
      <c r="O241" s="402"/>
      <c r="P241" s="402"/>
      <c r="Q241" s="402"/>
      <c r="R241" s="402"/>
      <c r="S241" s="402"/>
      <c r="T241" s="402"/>
      <c r="U241" s="402"/>
      <c r="V241" s="402"/>
      <c r="W241" s="402"/>
      <c r="X241" s="402"/>
      <c r="Y241" s="402"/>
      <c r="Z241" s="402"/>
      <c r="AA241" s="405"/>
      <c r="AB241" s="405"/>
    </row>
    <row r="242" ht="14.25" customHeight="1">
      <c r="A242" s="406">
        <v>45500.0</v>
      </c>
      <c r="B242" s="443" t="s">
        <v>877</v>
      </c>
      <c r="C242" s="421" t="s">
        <v>878</v>
      </c>
      <c r="D242" s="421" t="s">
        <v>54</v>
      </c>
      <c r="E242" s="349" t="s">
        <v>733</v>
      </c>
      <c r="F242" s="413">
        <v>36502.21</v>
      </c>
      <c r="G242" s="403"/>
      <c r="H242" s="349" t="s">
        <v>977</v>
      </c>
      <c r="I242" s="404" t="str">
        <f t="shared" si="6"/>
        <v>NOT PAID</v>
      </c>
      <c r="J242" s="402"/>
      <c r="K242" s="402"/>
      <c r="L242" s="402"/>
      <c r="M242" s="402"/>
      <c r="N242" s="402"/>
      <c r="O242" s="402"/>
      <c r="P242" s="402"/>
      <c r="Q242" s="402"/>
      <c r="R242" s="402"/>
      <c r="S242" s="402"/>
      <c r="T242" s="402"/>
      <c r="U242" s="402"/>
      <c r="V242" s="402"/>
      <c r="W242" s="402"/>
      <c r="X242" s="402"/>
      <c r="Y242" s="402"/>
      <c r="Z242" s="402"/>
      <c r="AA242" s="405"/>
      <c r="AB242" s="405"/>
    </row>
    <row r="243" ht="14.25" customHeight="1">
      <c r="A243" s="406">
        <v>45500.0</v>
      </c>
      <c r="B243" s="349" t="s">
        <v>731</v>
      </c>
      <c r="C243" s="421" t="s">
        <v>732</v>
      </c>
      <c r="D243" s="421" t="s">
        <v>54</v>
      </c>
      <c r="E243" s="349" t="s">
        <v>733</v>
      </c>
      <c r="F243" s="413">
        <v>11892.0</v>
      </c>
      <c r="G243" s="403"/>
      <c r="H243" s="402"/>
      <c r="I243" s="404" t="str">
        <f t="shared" si="6"/>
        <v>NOT PAID</v>
      </c>
      <c r="J243" s="402"/>
      <c r="K243" s="402"/>
      <c r="L243" s="402"/>
      <c r="M243" s="402"/>
      <c r="N243" s="402"/>
      <c r="O243" s="402"/>
      <c r="P243" s="402"/>
      <c r="Q243" s="402"/>
      <c r="R243" s="402"/>
      <c r="S243" s="402"/>
      <c r="T243" s="402"/>
      <c r="U243" s="402"/>
      <c r="V243" s="402"/>
      <c r="W243" s="402"/>
      <c r="X243" s="402"/>
      <c r="Y243" s="402"/>
      <c r="Z243" s="402"/>
      <c r="AA243" s="405"/>
      <c r="AB243" s="405"/>
    </row>
    <row r="244" ht="14.25" customHeight="1">
      <c r="A244" s="406">
        <v>45500.0</v>
      </c>
      <c r="B244" s="417" t="s">
        <v>918</v>
      </c>
      <c r="C244" s="418" t="s">
        <v>919</v>
      </c>
      <c r="D244" s="418" t="s">
        <v>54</v>
      </c>
      <c r="E244" s="349" t="s">
        <v>733</v>
      </c>
      <c r="F244" s="413">
        <v>30348.24</v>
      </c>
      <c r="G244" s="403"/>
      <c r="H244" s="402"/>
      <c r="I244" s="404" t="str">
        <f t="shared" si="6"/>
        <v>NOT PAID</v>
      </c>
      <c r="J244" s="402"/>
      <c r="K244" s="402"/>
      <c r="L244" s="402"/>
      <c r="M244" s="402"/>
      <c r="N244" s="402"/>
      <c r="O244" s="402"/>
      <c r="P244" s="402"/>
      <c r="Q244" s="402"/>
      <c r="R244" s="402"/>
      <c r="S244" s="402"/>
      <c r="T244" s="402"/>
      <c r="U244" s="402"/>
      <c r="V244" s="402"/>
      <c r="W244" s="402"/>
      <c r="X244" s="402"/>
      <c r="Y244" s="402"/>
      <c r="Z244" s="402"/>
      <c r="AA244" s="405"/>
      <c r="AB244" s="405"/>
    </row>
    <row r="245" ht="14.25" customHeight="1">
      <c r="A245" s="406">
        <v>45500.0</v>
      </c>
      <c r="B245" s="444" t="s">
        <v>921</v>
      </c>
      <c r="C245" s="408" t="s">
        <v>922</v>
      </c>
      <c r="D245" s="408" t="s">
        <v>54</v>
      </c>
      <c r="E245" s="349" t="s">
        <v>733</v>
      </c>
      <c r="F245" s="416">
        <v>24415.95</v>
      </c>
      <c r="G245" s="403"/>
      <c r="H245" s="402"/>
      <c r="I245" s="404" t="str">
        <f t="shared" si="6"/>
        <v>NOT PAID</v>
      </c>
      <c r="J245" s="402"/>
      <c r="K245" s="402"/>
      <c r="L245" s="402"/>
      <c r="M245" s="402"/>
      <c r="N245" s="402"/>
      <c r="O245" s="402"/>
      <c r="P245" s="402"/>
      <c r="Q245" s="402"/>
      <c r="R245" s="402"/>
      <c r="S245" s="402"/>
      <c r="T245" s="402"/>
      <c r="U245" s="402"/>
      <c r="V245" s="402"/>
      <c r="W245" s="402"/>
      <c r="X245" s="402"/>
      <c r="Y245" s="402"/>
      <c r="Z245" s="402"/>
      <c r="AA245" s="405"/>
      <c r="AB245" s="405"/>
    </row>
    <row r="246" ht="14.25" customHeight="1">
      <c r="A246" s="406">
        <v>45500.0</v>
      </c>
      <c r="B246" s="349" t="s">
        <v>791</v>
      </c>
      <c r="C246" s="349" t="s">
        <v>792</v>
      </c>
      <c r="D246" s="418" t="s">
        <v>54</v>
      </c>
      <c r="E246" s="416" t="s">
        <v>779</v>
      </c>
      <c r="F246" s="413">
        <v>100000.0</v>
      </c>
      <c r="G246" s="403"/>
      <c r="H246" s="349" t="s">
        <v>978</v>
      </c>
      <c r="I246" s="404" t="str">
        <f t="shared" si="6"/>
        <v>NOT PAID</v>
      </c>
      <c r="J246" s="402"/>
      <c r="K246" s="402"/>
      <c r="L246" s="402"/>
      <c r="M246" s="402"/>
      <c r="N246" s="402"/>
      <c r="O246" s="402"/>
      <c r="P246" s="402"/>
      <c r="Q246" s="402"/>
      <c r="R246" s="402"/>
      <c r="S246" s="402"/>
      <c r="T246" s="402"/>
      <c r="U246" s="402"/>
      <c r="V246" s="402"/>
      <c r="W246" s="402"/>
      <c r="X246" s="402"/>
      <c r="Y246" s="402"/>
      <c r="Z246" s="402"/>
      <c r="AA246" s="405"/>
      <c r="AB246" s="405"/>
    </row>
    <row r="247" ht="14.25" customHeight="1">
      <c r="A247" s="406">
        <v>45500.0</v>
      </c>
      <c r="B247" s="417" t="s">
        <v>925</v>
      </c>
      <c r="C247" s="418" t="s">
        <v>842</v>
      </c>
      <c r="D247" s="418" t="s">
        <v>54</v>
      </c>
      <c r="E247" s="416" t="s">
        <v>779</v>
      </c>
      <c r="F247" s="413">
        <v>12329.9</v>
      </c>
      <c r="G247" s="403"/>
      <c r="H247" s="349" t="s">
        <v>979</v>
      </c>
      <c r="I247" s="404" t="str">
        <f t="shared" si="6"/>
        <v>NOT PAID</v>
      </c>
      <c r="J247" s="402"/>
      <c r="K247" s="402"/>
      <c r="L247" s="402"/>
      <c r="M247" s="402"/>
      <c r="N247" s="402"/>
      <c r="O247" s="402"/>
      <c r="P247" s="402"/>
      <c r="Q247" s="402"/>
      <c r="R247" s="402"/>
      <c r="S247" s="402"/>
      <c r="T247" s="402"/>
      <c r="U247" s="402"/>
      <c r="V247" s="402"/>
      <c r="W247" s="402"/>
      <c r="X247" s="402"/>
      <c r="Y247" s="402"/>
      <c r="Z247" s="402"/>
      <c r="AA247" s="405"/>
      <c r="AB247" s="405"/>
    </row>
    <row r="248" ht="14.25" customHeight="1">
      <c r="A248" s="406">
        <v>45500.0</v>
      </c>
      <c r="B248" s="419" t="s">
        <v>794</v>
      </c>
      <c r="C248" s="349" t="s">
        <v>795</v>
      </c>
      <c r="D248" s="349" t="s">
        <v>54</v>
      </c>
      <c r="E248" s="416" t="s">
        <v>779</v>
      </c>
      <c r="F248" s="413">
        <v>100000.0</v>
      </c>
      <c r="G248" s="403"/>
      <c r="H248" s="349" t="s">
        <v>980</v>
      </c>
      <c r="I248" s="404" t="str">
        <f t="shared" si="6"/>
        <v>NOT PAID</v>
      </c>
      <c r="J248" s="402"/>
      <c r="K248" s="402"/>
      <c r="L248" s="402"/>
      <c r="M248" s="402"/>
      <c r="N248" s="402"/>
      <c r="O248" s="402"/>
      <c r="P248" s="402"/>
      <c r="Q248" s="402"/>
      <c r="R248" s="402"/>
      <c r="S248" s="402"/>
      <c r="T248" s="402"/>
      <c r="U248" s="402"/>
      <c r="V248" s="402"/>
      <c r="W248" s="402"/>
      <c r="X248" s="402"/>
      <c r="Y248" s="402"/>
      <c r="Z248" s="402"/>
      <c r="AA248" s="405"/>
      <c r="AB248" s="405"/>
    </row>
    <row r="249" ht="14.25" customHeight="1">
      <c r="A249" s="406">
        <v>45500.0</v>
      </c>
      <c r="B249" s="349" t="s">
        <v>777</v>
      </c>
      <c r="C249" s="421" t="s">
        <v>929</v>
      </c>
      <c r="D249" s="421" t="s">
        <v>54</v>
      </c>
      <c r="E249" s="416" t="s">
        <v>779</v>
      </c>
      <c r="F249" s="416">
        <v>98000.0</v>
      </c>
      <c r="G249" s="403"/>
      <c r="H249" s="349" t="s">
        <v>981</v>
      </c>
      <c r="I249" s="404" t="str">
        <f t="shared" si="6"/>
        <v>NOT PAID</v>
      </c>
      <c r="J249" s="402"/>
      <c r="K249" s="402"/>
      <c r="L249" s="402"/>
      <c r="M249" s="402"/>
      <c r="N249" s="402"/>
      <c r="O249" s="402"/>
      <c r="P249" s="402"/>
      <c r="Q249" s="402"/>
      <c r="R249" s="402"/>
      <c r="S249" s="402"/>
      <c r="T249" s="402"/>
      <c r="U249" s="402"/>
      <c r="V249" s="402"/>
      <c r="W249" s="402"/>
      <c r="X249" s="402"/>
      <c r="Y249" s="402"/>
      <c r="Z249" s="402"/>
      <c r="AA249" s="405"/>
      <c r="AB249" s="405"/>
    </row>
    <row r="250" ht="14.25" customHeight="1">
      <c r="A250" s="406">
        <v>45500.0</v>
      </c>
      <c r="B250" s="349" t="s">
        <v>960</v>
      </c>
      <c r="C250" s="421" t="s">
        <v>961</v>
      </c>
      <c r="D250" s="421" t="s">
        <v>54</v>
      </c>
      <c r="E250" s="416" t="s">
        <v>779</v>
      </c>
      <c r="F250" s="416">
        <v>70000.0</v>
      </c>
      <c r="G250" s="403"/>
      <c r="H250" s="349" t="s">
        <v>982</v>
      </c>
      <c r="I250" s="404" t="str">
        <f t="shared" si="6"/>
        <v>NOT PAID</v>
      </c>
      <c r="J250" s="402"/>
      <c r="K250" s="402"/>
      <c r="L250" s="402"/>
      <c r="M250" s="402"/>
      <c r="N250" s="402"/>
      <c r="O250" s="402"/>
      <c r="P250" s="402"/>
      <c r="Q250" s="402"/>
      <c r="R250" s="402"/>
      <c r="S250" s="402"/>
      <c r="T250" s="402"/>
      <c r="U250" s="402"/>
      <c r="V250" s="402"/>
      <c r="W250" s="402"/>
      <c r="X250" s="402"/>
      <c r="Y250" s="402"/>
      <c r="Z250" s="402"/>
      <c r="AA250" s="405"/>
      <c r="AB250" s="405"/>
    </row>
    <row r="251" ht="14.25" customHeight="1">
      <c r="A251" s="406">
        <v>45500.0</v>
      </c>
      <c r="B251" s="349" t="s">
        <v>983</v>
      </c>
      <c r="C251" s="421" t="s">
        <v>984</v>
      </c>
      <c r="D251" s="421" t="s">
        <v>54</v>
      </c>
      <c r="E251" s="416" t="s">
        <v>779</v>
      </c>
      <c r="F251" s="416">
        <v>259542.25</v>
      </c>
      <c r="G251" s="403"/>
      <c r="H251" s="349" t="s">
        <v>985</v>
      </c>
      <c r="I251" s="404" t="str">
        <f t="shared" si="6"/>
        <v>NOT PAID</v>
      </c>
      <c r="J251" s="402"/>
      <c r="K251" s="402"/>
      <c r="L251" s="402"/>
      <c r="M251" s="402"/>
      <c r="N251" s="402"/>
      <c r="O251" s="402"/>
      <c r="P251" s="402"/>
      <c r="Q251" s="402"/>
      <c r="R251" s="402"/>
      <c r="S251" s="402"/>
      <c r="T251" s="402"/>
      <c r="U251" s="402"/>
      <c r="V251" s="402"/>
      <c r="W251" s="402"/>
      <c r="X251" s="402"/>
      <c r="Y251" s="402"/>
      <c r="Z251" s="402"/>
      <c r="AA251" s="405"/>
      <c r="AB251" s="405"/>
    </row>
    <row r="252" ht="14.25" customHeight="1">
      <c r="A252" s="406">
        <v>45500.0</v>
      </c>
      <c r="B252" s="349" t="s">
        <v>798</v>
      </c>
      <c r="C252" s="421" t="s">
        <v>799</v>
      </c>
      <c r="D252" s="421" t="s">
        <v>59</v>
      </c>
      <c r="E252" s="410" t="s">
        <v>114</v>
      </c>
      <c r="F252" s="416">
        <v>500000.0</v>
      </c>
      <c r="G252" s="403"/>
      <c r="H252" s="402"/>
      <c r="I252" s="404" t="str">
        <f t="shared" si="6"/>
        <v>NOT PAID</v>
      </c>
      <c r="J252" s="402"/>
      <c r="K252" s="402"/>
      <c r="L252" s="402"/>
      <c r="M252" s="402"/>
      <c r="N252" s="402"/>
      <c r="O252" s="402"/>
      <c r="P252" s="402"/>
      <c r="Q252" s="402"/>
      <c r="R252" s="402"/>
      <c r="S252" s="402"/>
      <c r="T252" s="402"/>
      <c r="U252" s="402"/>
      <c r="V252" s="402"/>
      <c r="W252" s="402"/>
      <c r="X252" s="402"/>
      <c r="Y252" s="402"/>
      <c r="Z252" s="402"/>
      <c r="AA252" s="405"/>
      <c r="AB252" s="405"/>
    </row>
    <row r="253" ht="14.25" customHeight="1">
      <c r="A253" s="406">
        <v>45500.0</v>
      </c>
      <c r="B253" s="349" t="s">
        <v>850</v>
      </c>
      <c r="C253" s="349" t="s">
        <v>851</v>
      </c>
      <c r="D253" s="349" t="s">
        <v>67</v>
      </c>
      <c r="E253" s="402"/>
      <c r="F253" s="413">
        <v>5000000.0</v>
      </c>
      <c r="G253" s="403"/>
      <c r="H253" s="402"/>
      <c r="I253" s="404" t="str">
        <f t="shared" si="6"/>
        <v>NOT PAID</v>
      </c>
      <c r="J253" s="402"/>
      <c r="K253" s="402"/>
      <c r="L253" s="402"/>
      <c r="M253" s="402"/>
      <c r="N253" s="402"/>
      <c r="O253" s="402"/>
      <c r="P253" s="402"/>
      <c r="Q253" s="402"/>
      <c r="R253" s="402"/>
      <c r="S253" s="402"/>
      <c r="T253" s="402"/>
      <c r="U253" s="402"/>
      <c r="V253" s="402"/>
      <c r="W253" s="402"/>
      <c r="X253" s="402"/>
      <c r="Y253" s="402"/>
      <c r="Z253" s="402"/>
      <c r="AA253" s="405"/>
      <c r="AB253" s="405"/>
    </row>
    <row r="254" ht="14.25" customHeight="1">
      <c r="A254" s="406">
        <v>45500.0</v>
      </c>
      <c r="B254" s="418" t="s">
        <v>738</v>
      </c>
      <c r="C254" s="418" t="s">
        <v>739</v>
      </c>
      <c r="D254" s="418" t="s">
        <v>54</v>
      </c>
      <c r="E254" s="416" t="s">
        <v>273</v>
      </c>
      <c r="F254" s="445">
        <v>90000.0</v>
      </c>
      <c r="G254" s="413">
        <v>90000.0</v>
      </c>
      <c r="H254" s="402"/>
      <c r="I254" s="404" t="str">
        <f t="shared" si="6"/>
        <v>FULLY PAID</v>
      </c>
      <c r="J254" s="402"/>
      <c r="K254" s="402"/>
      <c r="L254" s="402"/>
      <c r="M254" s="402"/>
      <c r="N254" s="402"/>
      <c r="O254" s="402"/>
      <c r="P254" s="402"/>
      <c r="Q254" s="402"/>
      <c r="R254" s="402"/>
      <c r="S254" s="402"/>
      <c r="T254" s="402"/>
      <c r="U254" s="402"/>
      <c r="V254" s="402"/>
      <c r="W254" s="402"/>
      <c r="X254" s="402"/>
      <c r="Y254" s="402"/>
      <c r="Z254" s="402"/>
      <c r="AA254" s="405"/>
      <c r="AB254" s="405"/>
    </row>
    <row r="255" ht="14.25" customHeight="1">
      <c r="A255" s="406">
        <v>45500.0</v>
      </c>
      <c r="B255" s="349" t="s">
        <v>800</v>
      </c>
      <c r="C255" s="349" t="s">
        <v>801</v>
      </c>
      <c r="D255" s="418" t="s">
        <v>54</v>
      </c>
      <c r="E255" s="416" t="s">
        <v>273</v>
      </c>
      <c r="F255" s="413">
        <v>10000.0</v>
      </c>
      <c r="G255" s="403"/>
      <c r="H255" s="349" t="s">
        <v>986</v>
      </c>
      <c r="I255" s="404" t="str">
        <f t="shared" si="6"/>
        <v>NOT PAID</v>
      </c>
      <c r="J255" s="402"/>
      <c r="K255" s="402"/>
      <c r="L255" s="402"/>
      <c r="M255" s="402"/>
      <c r="N255" s="402"/>
      <c r="O255" s="402"/>
      <c r="P255" s="402"/>
      <c r="Q255" s="402"/>
      <c r="R255" s="402"/>
      <c r="S255" s="402"/>
      <c r="T255" s="402"/>
      <c r="U255" s="402"/>
      <c r="V255" s="402"/>
      <c r="W255" s="402"/>
      <c r="X255" s="402"/>
      <c r="Y255" s="402"/>
      <c r="Z255" s="402"/>
      <c r="AA255" s="405"/>
      <c r="AB255" s="405"/>
    </row>
    <row r="256" ht="14.25" customHeight="1">
      <c r="A256" s="406">
        <v>45500.0</v>
      </c>
      <c r="B256" s="349" t="s">
        <v>783</v>
      </c>
      <c r="C256" s="349" t="s">
        <v>965</v>
      </c>
      <c r="D256" s="418" t="s">
        <v>54</v>
      </c>
      <c r="E256" s="416" t="s">
        <v>273</v>
      </c>
      <c r="F256" s="413">
        <v>100000.0</v>
      </c>
      <c r="G256" s="403"/>
      <c r="H256" s="349" t="s">
        <v>987</v>
      </c>
      <c r="I256" s="404" t="str">
        <f t="shared" si="6"/>
        <v>NOT PAID</v>
      </c>
      <c r="J256" s="402"/>
      <c r="K256" s="402"/>
      <c r="L256" s="402"/>
      <c r="M256" s="402"/>
      <c r="N256" s="402"/>
      <c r="O256" s="402"/>
      <c r="P256" s="402"/>
      <c r="Q256" s="402"/>
      <c r="R256" s="402"/>
      <c r="S256" s="402"/>
      <c r="T256" s="402"/>
      <c r="U256" s="402"/>
      <c r="V256" s="402"/>
      <c r="W256" s="402"/>
      <c r="X256" s="402"/>
      <c r="Y256" s="402"/>
      <c r="Z256" s="402"/>
      <c r="AA256" s="405"/>
      <c r="AB256" s="405"/>
    </row>
    <row r="257" ht="14.25" customHeight="1">
      <c r="A257" s="406"/>
      <c r="B257" s="402"/>
      <c r="C257" s="402"/>
      <c r="D257" s="402"/>
      <c r="E257" s="402"/>
      <c r="F257" s="403"/>
      <c r="G257" s="403"/>
      <c r="H257" s="402"/>
      <c r="I257" s="404" t="str">
        <f t="shared" si="6"/>
        <v>FULLY PAID</v>
      </c>
      <c r="J257" s="402"/>
      <c r="K257" s="402"/>
      <c r="L257" s="402"/>
      <c r="M257" s="402"/>
      <c r="N257" s="402"/>
      <c r="O257" s="402"/>
      <c r="P257" s="402"/>
      <c r="Q257" s="402"/>
      <c r="R257" s="402"/>
      <c r="S257" s="402"/>
      <c r="T257" s="402"/>
      <c r="U257" s="402"/>
      <c r="V257" s="402"/>
      <c r="W257" s="402"/>
      <c r="X257" s="402"/>
      <c r="Y257" s="402"/>
      <c r="Z257" s="402"/>
      <c r="AA257" s="405"/>
      <c r="AB257" s="405"/>
    </row>
    <row r="258" ht="14.25" customHeight="1">
      <c r="A258" s="406"/>
      <c r="B258" s="402"/>
      <c r="C258" s="402"/>
      <c r="D258" s="402"/>
      <c r="E258" s="402"/>
      <c r="F258" s="403"/>
      <c r="G258" s="403"/>
      <c r="H258" s="402"/>
      <c r="I258" s="404" t="str">
        <f t="shared" si="6"/>
        <v>FULLY PAID</v>
      </c>
      <c r="J258" s="402"/>
      <c r="K258" s="402"/>
      <c r="L258" s="402"/>
      <c r="M258" s="402"/>
      <c r="N258" s="402"/>
      <c r="O258" s="402"/>
      <c r="P258" s="402"/>
      <c r="Q258" s="402"/>
      <c r="R258" s="402"/>
      <c r="S258" s="402"/>
      <c r="T258" s="402"/>
      <c r="U258" s="402"/>
      <c r="V258" s="402"/>
      <c r="W258" s="402"/>
      <c r="X258" s="402"/>
      <c r="Y258" s="402"/>
      <c r="Z258" s="402"/>
      <c r="AA258" s="405"/>
      <c r="AB258" s="405"/>
    </row>
    <row r="259" ht="14.25" customHeight="1">
      <c r="A259" s="2"/>
      <c r="B259" s="2"/>
      <c r="C259" s="2"/>
      <c r="D259" s="2"/>
      <c r="E259" s="2"/>
      <c r="F259" s="2"/>
      <c r="G259" s="403"/>
      <c r="H259" s="402"/>
      <c r="I259" s="404" t="str">
        <f t="shared" si="6"/>
        <v>FULLY PAID</v>
      </c>
      <c r="J259" s="402"/>
      <c r="K259" s="402"/>
      <c r="L259" s="402"/>
      <c r="M259" s="402"/>
      <c r="N259" s="402"/>
      <c r="O259" s="402"/>
      <c r="P259" s="402"/>
      <c r="Q259" s="402"/>
      <c r="R259" s="402"/>
      <c r="S259" s="402"/>
      <c r="T259" s="402"/>
      <c r="U259" s="402"/>
      <c r="V259" s="402"/>
      <c r="W259" s="402"/>
      <c r="X259" s="402"/>
      <c r="Y259" s="402"/>
      <c r="Z259" s="402"/>
      <c r="AA259" s="405"/>
      <c r="AB259" s="405"/>
    </row>
    <row r="260" ht="14.25" customHeight="1">
      <c r="A260" s="2"/>
      <c r="B260" s="2"/>
      <c r="C260" s="2"/>
      <c r="D260" s="2"/>
      <c r="E260" s="2"/>
      <c r="F260" s="2"/>
      <c r="G260" s="403"/>
      <c r="H260" s="402"/>
      <c r="I260" s="404" t="str">
        <f t="shared" si="6"/>
        <v>FULLY PAID</v>
      </c>
      <c r="J260" s="402"/>
      <c r="K260" s="402"/>
      <c r="L260" s="402"/>
      <c r="M260" s="402"/>
      <c r="N260" s="402"/>
      <c r="O260" s="402"/>
      <c r="P260" s="402"/>
      <c r="Q260" s="402"/>
      <c r="R260" s="402"/>
      <c r="S260" s="402"/>
      <c r="T260" s="402"/>
      <c r="U260" s="402"/>
      <c r="V260" s="402"/>
      <c r="W260" s="402"/>
      <c r="X260" s="402"/>
      <c r="Y260" s="402"/>
      <c r="Z260" s="402"/>
      <c r="AA260" s="405"/>
      <c r="AB260" s="405"/>
    </row>
    <row r="261" ht="14.25" customHeight="1">
      <c r="A261" s="406"/>
      <c r="B261" s="402"/>
      <c r="C261" s="402"/>
      <c r="D261" s="402"/>
      <c r="E261" s="402"/>
      <c r="F261" s="403"/>
      <c r="G261" s="403"/>
      <c r="H261" s="402"/>
      <c r="I261" s="404" t="str">
        <f t="shared" si="6"/>
        <v>FULLY PAID</v>
      </c>
      <c r="J261" s="402"/>
      <c r="K261" s="402"/>
      <c r="L261" s="402"/>
      <c r="M261" s="402"/>
      <c r="N261" s="402"/>
      <c r="O261" s="402"/>
      <c r="P261" s="402"/>
      <c r="Q261" s="402"/>
      <c r="R261" s="402"/>
      <c r="S261" s="402"/>
      <c r="T261" s="402"/>
      <c r="U261" s="402"/>
      <c r="V261" s="402"/>
      <c r="W261" s="402"/>
      <c r="X261" s="402"/>
      <c r="Y261" s="402"/>
      <c r="Z261" s="402"/>
      <c r="AA261" s="405"/>
      <c r="AB261" s="405"/>
    </row>
    <row r="262" ht="14.25" customHeight="1">
      <c r="A262" s="406"/>
      <c r="B262" s="402"/>
      <c r="C262" s="402"/>
      <c r="D262" s="402"/>
      <c r="E262" s="402"/>
      <c r="F262" s="403"/>
      <c r="G262" s="403"/>
      <c r="H262" s="402"/>
      <c r="I262" s="404" t="str">
        <f t="shared" si="6"/>
        <v>FULLY PAID</v>
      </c>
      <c r="J262" s="402"/>
      <c r="K262" s="402"/>
      <c r="L262" s="402"/>
      <c r="M262" s="402"/>
      <c r="N262" s="402"/>
      <c r="O262" s="402"/>
      <c r="P262" s="402"/>
      <c r="Q262" s="402"/>
      <c r="R262" s="402"/>
      <c r="S262" s="402"/>
      <c r="T262" s="402"/>
      <c r="U262" s="402"/>
      <c r="V262" s="402"/>
      <c r="W262" s="402"/>
      <c r="X262" s="402"/>
      <c r="Y262" s="402"/>
      <c r="Z262" s="402"/>
      <c r="AA262" s="405"/>
      <c r="AB262" s="405"/>
    </row>
    <row r="263" ht="14.25" customHeight="1">
      <c r="A263" s="402"/>
      <c r="B263" s="424" t="s">
        <v>988</v>
      </c>
      <c r="C263" s="402"/>
      <c r="D263" s="402"/>
      <c r="E263" s="402"/>
      <c r="F263" s="403"/>
      <c r="G263" s="403"/>
      <c r="H263" s="402"/>
      <c r="I263" s="404" t="str">
        <f t="shared" si="6"/>
        <v>FULLY PAID</v>
      </c>
      <c r="J263" s="402"/>
      <c r="K263" s="402"/>
      <c r="L263" s="402"/>
      <c r="M263" s="402"/>
      <c r="N263" s="402"/>
      <c r="O263" s="402"/>
      <c r="P263" s="402"/>
      <c r="Q263" s="402"/>
      <c r="R263" s="402"/>
      <c r="S263" s="402"/>
      <c r="T263" s="402"/>
      <c r="U263" s="402"/>
      <c r="V263" s="402"/>
      <c r="W263" s="402"/>
      <c r="X263" s="402"/>
      <c r="Y263" s="402"/>
      <c r="Z263" s="402"/>
      <c r="AA263" s="405"/>
      <c r="AB263" s="405"/>
    </row>
    <row r="264" ht="14.25" customHeight="1">
      <c r="A264" s="451">
        <v>45502.0</v>
      </c>
      <c r="B264" s="418" t="s">
        <v>809</v>
      </c>
      <c r="C264" s="418" t="s">
        <v>810</v>
      </c>
      <c r="D264" s="418" t="s">
        <v>54</v>
      </c>
      <c r="E264" s="343" t="s">
        <v>989</v>
      </c>
      <c r="F264" s="428">
        <v>177077.95</v>
      </c>
      <c r="G264" s="403"/>
      <c r="H264" s="402"/>
      <c r="I264" s="404" t="str">
        <f t="shared" si="6"/>
        <v>NOT PAID</v>
      </c>
      <c r="J264" s="402"/>
      <c r="K264" s="402"/>
      <c r="L264" s="402"/>
      <c r="M264" s="402"/>
      <c r="N264" s="402"/>
      <c r="O264" s="402"/>
      <c r="P264" s="402"/>
      <c r="Q264" s="402"/>
      <c r="R264" s="402"/>
      <c r="S264" s="402"/>
      <c r="T264" s="402"/>
      <c r="U264" s="402"/>
      <c r="V264" s="402"/>
      <c r="W264" s="402"/>
      <c r="X264" s="402"/>
      <c r="Y264" s="402"/>
      <c r="Z264" s="402"/>
      <c r="AA264" s="405"/>
      <c r="AB264" s="405"/>
    </row>
    <row r="265" ht="14.25" customHeight="1">
      <c r="A265" s="429">
        <v>45502.0</v>
      </c>
      <c r="B265" s="344" t="s">
        <v>904</v>
      </c>
      <c r="C265" s="344" t="s">
        <v>810</v>
      </c>
      <c r="D265" s="344" t="s">
        <v>75</v>
      </c>
      <c r="E265" s="343" t="s">
        <v>989</v>
      </c>
      <c r="F265" s="430">
        <v>1100000.0</v>
      </c>
      <c r="G265" s="403"/>
      <c r="H265" s="402"/>
      <c r="I265" s="404" t="str">
        <f t="shared" si="6"/>
        <v>NOT PAID</v>
      </c>
      <c r="J265" s="402"/>
      <c r="K265" s="402"/>
      <c r="L265" s="402"/>
      <c r="M265" s="402"/>
      <c r="N265" s="402"/>
      <c r="O265" s="402"/>
      <c r="P265" s="402"/>
      <c r="Q265" s="402"/>
      <c r="R265" s="402"/>
      <c r="S265" s="402"/>
      <c r="T265" s="402"/>
      <c r="U265" s="402"/>
      <c r="V265" s="402"/>
      <c r="W265" s="402"/>
      <c r="X265" s="402"/>
      <c r="Y265" s="402"/>
      <c r="Z265" s="402"/>
      <c r="AA265" s="405"/>
      <c r="AB265" s="405"/>
    </row>
    <row r="266" ht="14.25" customHeight="1">
      <c r="A266" s="451">
        <v>45502.0</v>
      </c>
      <c r="B266" s="410" t="s">
        <v>705</v>
      </c>
      <c r="C266" s="411" t="s">
        <v>706</v>
      </c>
      <c r="D266" s="343" t="s">
        <v>54</v>
      </c>
      <c r="E266" s="343" t="s">
        <v>989</v>
      </c>
      <c r="F266" s="413">
        <v>8643.36</v>
      </c>
      <c r="G266" s="403"/>
      <c r="H266" s="349" t="s">
        <v>707</v>
      </c>
      <c r="I266" s="404" t="str">
        <f t="shared" si="6"/>
        <v>NOT PAID</v>
      </c>
      <c r="J266" s="402"/>
      <c r="K266" s="402"/>
      <c r="L266" s="402"/>
      <c r="M266" s="402"/>
      <c r="N266" s="402"/>
      <c r="O266" s="402"/>
      <c r="P266" s="402"/>
      <c r="Q266" s="402"/>
      <c r="R266" s="402"/>
      <c r="S266" s="402"/>
      <c r="T266" s="402"/>
      <c r="U266" s="402"/>
      <c r="V266" s="402"/>
      <c r="W266" s="402"/>
      <c r="X266" s="402"/>
      <c r="Y266" s="402"/>
      <c r="Z266" s="402"/>
      <c r="AA266" s="405"/>
      <c r="AB266" s="405"/>
    </row>
    <row r="267" ht="14.25" customHeight="1">
      <c r="A267" s="429">
        <v>45502.0</v>
      </c>
      <c r="B267" s="410" t="s">
        <v>711</v>
      </c>
      <c r="C267" s="411" t="s">
        <v>712</v>
      </c>
      <c r="D267" s="411" t="s">
        <v>75</v>
      </c>
      <c r="E267" s="343" t="s">
        <v>989</v>
      </c>
      <c r="F267" s="416">
        <v>251845.0</v>
      </c>
      <c r="G267" s="403"/>
      <c r="H267" s="349" t="s">
        <v>713</v>
      </c>
      <c r="I267" s="404" t="str">
        <f t="shared" si="6"/>
        <v>NOT PAID</v>
      </c>
      <c r="J267" s="402"/>
      <c r="K267" s="402"/>
      <c r="L267" s="402"/>
      <c r="M267" s="402"/>
      <c r="N267" s="402"/>
      <c r="O267" s="402"/>
      <c r="P267" s="402"/>
      <c r="Q267" s="402"/>
      <c r="R267" s="402"/>
      <c r="S267" s="402"/>
      <c r="T267" s="402"/>
      <c r="U267" s="402"/>
      <c r="V267" s="402"/>
      <c r="W267" s="402"/>
      <c r="X267" s="402"/>
      <c r="Y267" s="402"/>
      <c r="Z267" s="402"/>
      <c r="AA267" s="405"/>
      <c r="AB267" s="405"/>
    </row>
    <row r="268" ht="14.25" customHeight="1">
      <c r="A268" s="451">
        <v>45502.0</v>
      </c>
      <c r="B268" s="343" t="s">
        <v>990</v>
      </c>
      <c r="C268" s="344" t="s">
        <v>991</v>
      </c>
      <c r="D268" s="344" t="s">
        <v>75</v>
      </c>
      <c r="E268" s="343" t="s">
        <v>989</v>
      </c>
      <c r="F268" s="452">
        <v>149500.0</v>
      </c>
      <c r="G268" s="403"/>
      <c r="H268" s="349" t="s">
        <v>992</v>
      </c>
      <c r="I268" s="404" t="str">
        <f t="shared" si="6"/>
        <v>NOT PAID</v>
      </c>
      <c r="J268" s="402"/>
      <c r="K268" s="402"/>
      <c r="L268" s="402"/>
      <c r="M268" s="402"/>
      <c r="N268" s="402"/>
      <c r="O268" s="402"/>
      <c r="P268" s="402"/>
      <c r="Q268" s="402"/>
      <c r="R268" s="402"/>
      <c r="S268" s="402"/>
      <c r="T268" s="402"/>
      <c r="U268" s="402"/>
      <c r="V268" s="402"/>
      <c r="W268" s="402"/>
      <c r="X268" s="402"/>
      <c r="Y268" s="402"/>
      <c r="Z268" s="402"/>
      <c r="AA268" s="405"/>
      <c r="AB268" s="405"/>
    </row>
    <row r="269" ht="14.25" customHeight="1">
      <c r="A269" s="451">
        <v>45502.0</v>
      </c>
      <c r="B269" s="414" t="s">
        <v>701</v>
      </c>
      <c r="C269" s="415" t="s">
        <v>702</v>
      </c>
      <c r="D269" s="343" t="s">
        <v>54</v>
      </c>
      <c r="E269" s="343" t="s">
        <v>989</v>
      </c>
      <c r="F269" s="453">
        <v>16309.2</v>
      </c>
      <c r="G269" s="403"/>
      <c r="H269" s="349" t="s">
        <v>805</v>
      </c>
      <c r="I269" s="404" t="str">
        <f t="shared" si="6"/>
        <v>NOT PAID</v>
      </c>
      <c r="J269" s="402"/>
      <c r="K269" s="402"/>
      <c r="L269" s="402"/>
      <c r="M269" s="402"/>
      <c r="N269" s="402"/>
      <c r="O269" s="402"/>
      <c r="P269" s="402"/>
      <c r="Q269" s="402"/>
      <c r="R269" s="402"/>
      <c r="S269" s="402"/>
      <c r="T269" s="402"/>
      <c r="U269" s="402"/>
      <c r="V269" s="402"/>
      <c r="W269" s="402"/>
      <c r="X269" s="402"/>
      <c r="Y269" s="402"/>
      <c r="Z269" s="402"/>
      <c r="AA269" s="405"/>
      <c r="AB269" s="405"/>
    </row>
    <row r="270" ht="14.25" customHeight="1">
      <c r="A270" s="451">
        <v>45502.0</v>
      </c>
      <c r="B270" s="414" t="s">
        <v>993</v>
      </c>
      <c r="C270" s="415" t="s">
        <v>994</v>
      </c>
      <c r="D270" s="414" t="s">
        <v>75</v>
      </c>
      <c r="E270" s="343" t="s">
        <v>989</v>
      </c>
      <c r="F270" s="453">
        <v>92000.0</v>
      </c>
      <c r="G270" s="453">
        <v>92000.0</v>
      </c>
      <c r="H270" s="402"/>
      <c r="I270" s="404" t="str">
        <f t="shared" si="6"/>
        <v>FULLY PAID</v>
      </c>
      <c r="J270" s="402"/>
      <c r="K270" s="402"/>
      <c r="L270" s="402"/>
      <c r="M270" s="402"/>
      <c r="N270" s="402"/>
      <c r="O270" s="402"/>
      <c r="P270" s="402"/>
      <c r="Q270" s="402"/>
      <c r="R270" s="402"/>
      <c r="S270" s="402"/>
      <c r="T270" s="402"/>
      <c r="U270" s="402"/>
      <c r="V270" s="402"/>
      <c r="W270" s="402"/>
      <c r="X270" s="402"/>
      <c r="Y270" s="402"/>
      <c r="Z270" s="402"/>
      <c r="AA270" s="405"/>
      <c r="AB270" s="405"/>
    </row>
    <row r="271" ht="14.25" customHeight="1">
      <c r="A271" s="451">
        <v>45502.0</v>
      </c>
      <c r="B271" s="414" t="s">
        <v>729</v>
      </c>
      <c r="C271" s="415" t="s">
        <v>995</v>
      </c>
      <c r="D271" s="343" t="s">
        <v>54</v>
      </c>
      <c r="E271" s="343" t="s">
        <v>989</v>
      </c>
      <c r="F271" s="453">
        <v>200000.0</v>
      </c>
      <c r="G271" s="403"/>
      <c r="H271" s="349" t="s">
        <v>996</v>
      </c>
      <c r="I271" s="404" t="str">
        <f t="shared" si="6"/>
        <v>NOT PAID</v>
      </c>
      <c r="J271" s="402"/>
      <c r="K271" s="402"/>
      <c r="L271" s="402"/>
      <c r="M271" s="402"/>
      <c r="N271" s="402"/>
      <c r="O271" s="402"/>
      <c r="P271" s="402"/>
      <c r="Q271" s="402"/>
      <c r="R271" s="402"/>
      <c r="S271" s="402"/>
      <c r="T271" s="402"/>
      <c r="U271" s="402"/>
      <c r="V271" s="402"/>
      <c r="W271" s="402"/>
      <c r="X271" s="402"/>
      <c r="Y271" s="402"/>
      <c r="Z271" s="402"/>
      <c r="AA271" s="405"/>
      <c r="AB271" s="405"/>
    </row>
    <row r="272" ht="14.25" customHeight="1">
      <c r="A272" s="451">
        <v>45502.0</v>
      </c>
      <c r="B272" s="343" t="s">
        <v>997</v>
      </c>
      <c r="C272" s="344" t="s">
        <v>998</v>
      </c>
      <c r="D272" s="344" t="s">
        <v>263</v>
      </c>
      <c r="E272" s="412" t="s">
        <v>693</v>
      </c>
      <c r="F272" s="452">
        <v>78045.0</v>
      </c>
      <c r="G272" s="403"/>
      <c r="H272" s="349" t="s">
        <v>999</v>
      </c>
      <c r="I272" s="404" t="str">
        <f t="shared" si="6"/>
        <v>NOT PAID</v>
      </c>
      <c r="J272" s="402"/>
      <c r="K272" s="402"/>
      <c r="L272" s="402"/>
      <c r="M272" s="402"/>
      <c r="N272" s="402"/>
      <c r="O272" s="402"/>
      <c r="P272" s="402"/>
      <c r="Q272" s="402"/>
      <c r="R272" s="402"/>
      <c r="S272" s="402"/>
      <c r="T272" s="402"/>
      <c r="U272" s="402"/>
      <c r="V272" s="402"/>
      <c r="W272" s="402"/>
      <c r="X272" s="402"/>
      <c r="Y272" s="402"/>
      <c r="Z272" s="402"/>
      <c r="AA272" s="405"/>
      <c r="AB272" s="405"/>
    </row>
    <row r="273" ht="14.25" customHeight="1">
      <c r="A273" s="451">
        <v>45502.0</v>
      </c>
      <c r="B273" s="410" t="s">
        <v>695</v>
      </c>
      <c r="C273" s="411" t="s">
        <v>696</v>
      </c>
      <c r="D273" s="343" t="s">
        <v>54</v>
      </c>
      <c r="E273" s="412" t="s">
        <v>693</v>
      </c>
      <c r="F273" s="413">
        <v>61772.77</v>
      </c>
      <c r="G273" s="403"/>
      <c r="H273" s="349" t="s">
        <v>999</v>
      </c>
      <c r="I273" s="404" t="str">
        <f t="shared" si="6"/>
        <v>NOT PAID</v>
      </c>
      <c r="J273" s="402"/>
      <c r="K273" s="402"/>
      <c r="L273" s="402"/>
      <c r="M273" s="402"/>
      <c r="N273" s="402"/>
      <c r="O273" s="402"/>
      <c r="P273" s="402"/>
      <c r="Q273" s="402"/>
      <c r="R273" s="402"/>
      <c r="S273" s="402"/>
      <c r="T273" s="402"/>
      <c r="U273" s="402"/>
      <c r="V273" s="402"/>
      <c r="W273" s="402"/>
      <c r="X273" s="402"/>
      <c r="Y273" s="402"/>
      <c r="Z273" s="402"/>
      <c r="AA273" s="405"/>
      <c r="AB273" s="405"/>
    </row>
    <row r="274" ht="14.25" customHeight="1">
      <c r="A274" s="451">
        <v>45502.0</v>
      </c>
      <c r="B274" s="414" t="s">
        <v>698</v>
      </c>
      <c r="C274" s="415" t="s">
        <v>699</v>
      </c>
      <c r="D274" s="343" t="s">
        <v>54</v>
      </c>
      <c r="E274" s="412" t="s">
        <v>693</v>
      </c>
      <c r="F274" s="413">
        <v>7648.0</v>
      </c>
      <c r="G274" s="403"/>
      <c r="H274" s="349" t="s">
        <v>1000</v>
      </c>
      <c r="I274" s="404" t="str">
        <f t="shared" si="6"/>
        <v>NOT PAID</v>
      </c>
      <c r="J274" s="402"/>
      <c r="K274" s="402"/>
      <c r="L274" s="402"/>
      <c r="M274" s="402"/>
      <c r="N274" s="402"/>
      <c r="O274" s="402"/>
      <c r="P274" s="402"/>
      <c r="Q274" s="402"/>
      <c r="R274" s="402"/>
      <c r="S274" s="402"/>
      <c r="T274" s="402"/>
      <c r="U274" s="402"/>
      <c r="V274" s="402"/>
      <c r="W274" s="402"/>
      <c r="X274" s="402"/>
      <c r="Y274" s="402"/>
      <c r="Z274" s="402"/>
      <c r="AA274" s="405"/>
      <c r="AB274" s="405"/>
    </row>
    <row r="275" ht="14.25" customHeight="1">
      <c r="A275" s="451">
        <v>45502.0</v>
      </c>
      <c r="B275" s="343" t="s">
        <v>1001</v>
      </c>
      <c r="C275" s="344" t="s">
        <v>1002</v>
      </c>
      <c r="D275" s="344" t="s">
        <v>54</v>
      </c>
      <c r="E275" s="344" t="s">
        <v>740</v>
      </c>
      <c r="F275" s="452">
        <v>85022.0</v>
      </c>
      <c r="G275" s="413">
        <v>85022.0</v>
      </c>
      <c r="H275" s="402"/>
      <c r="I275" s="404" t="str">
        <f t="shared" si="6"/>
        <v>FULLY PAID</v>
      </c>
      <c r="J275" s="402"/>
      <c r="K275" s="402"/>
      <c r="L275" s="402"/>
      <c r="M275" s="402"/>
      <c r="N275" s="402"/>
      <c r="O275" s="402"/>
      <c r="P275" s="402"/>
      <c r="Q275" s="402"/>
      <c r="R275" s="402"/>
      <c r="S275" s="402"/>
      <c r="T275" s="402"/>
      <c r="U275" s="402"/>
      <c r="V275" s="402"/>
      <c r="W275" s="402"/>
      <c r="X275" s="402"/>
      <c r="Y275" s="402"/>
      <c r="Z275" s="402"/>
      <c r="AA275" s="405"/>
      <c r="AB275" s="405"/>
    </row>
    <row r="276" ht="14.25" customHeight="1">
      <c r="A276" s="429">
        <v>45502.0</v>
      </c>
      <c r="B276" s="344" t="s">
        <v>742</v>
      </c>
      <c r="C276" s="344" t="s">
        <v>743</v>
      </c>
      <c r="D276" s="344" t="s">
        <v>54</v>
      </c>
      <c r="E276" s="344" t="s">
        <v>740</v>
      </c>
      <c r="F276" s="430">
        <v>112579.0</v>
      </c>
      <c r="G276" s="403"/>
      <c r="H276" s="402"/>
      <c r="I276" s="404" t="str">
        <f t="shared" si="6"/>
        <v>NOT PAID</v>
      </c>
      <c r="J276" s="402"/>
      <c r="K276" s="402"/>
      <c r="L276" s="402"/>
      <c r="M276" s="402"/>
      <c r="N276" s="402"/>
      <c r="O276" s="402"/>
      <c r="P276" s="402"/>
      <c r="Q276" s="402"/>
      <c r="R276" s="402"/>
      <c r="S276" s="402"/>
      <c r="T276" s="402"/>
      <c r="U276" s="402"/>
      <c r="V276" s="402"/>
      <c r="W276" s="402"/>
      <c r="X276" s="402"/>
      <c r="Y276" s="402"/>
      <c r="Z276" s="402"/>
      <c r="AA276" s="405"/>
      <c r="AB276" s="405"/>
    </row>
    <row r="277" ht="14.25" customHeight="1">
      <c r="A277" s="451">
        <v>45502.0</v>
      </c>
      <c r="B277" s="343" t="s">
        <v>1003</v>
      </c>
      <c r="C277" s="344" t="s">
        <v>1004</v>
      </c>
      <c r="D277" s="344" t="s">
        <v>54</v>
      </c>
      <c r="E277" s="344" t="s">
        <v>740</v>
      </c>
      <c r="F277" s="452">
        <v>357831.0</v>
      </c>
      <c r="G277" s="403"/>
      <c r="H277" s="349" t="s">
        <v>1005</v>
      </c>
      <c r="I277" s="404" t="str">
        <f t="shared" si="6"/>
        <v>NOT PAID</v>
      </c>
      <c r="J277" s="402"/>
      <c r="K277" s="402"/>
      <c r="L277" s="402"/>
      <c r="M277" s="402"/>
      <c r="N277" s="402"/>
      <c r="O277" s="402"/>
      <c r="P277" s="402"/>
      <c r="Q277" s="402"/>
      <c r="R277" s="402"/>
      <c r="S277" s="402"/>
      <c r="T277" s="402"/>
      <c r="U277" s="402"/>
      <c r="V277" s="402"/>
      <c r="W277" s="402"/>
      <c r="X277" s="402"/>
      <c r="Y277" s="402"/>
      <c r="Z277" s="402"/>
      <c r="AA277" s="405"/>
      <c r="AB277" s="405"/>
    </row>
    <row r="278" ht="14.25" customHeight="1">
      <c r="A278" s="429">
        <v>45502.0</v>
      </c>
      <c r="B278" s="344" t="s">
        <v>746</v>
      </c>
      <c r="C278" s="344" t="s">
        <v>747</v>
      </c>
      <c r="D278" s="344" t="s">
        <v>54</v>
      </c>
      <c r="E278" s="344" t="s">
        <v>740</v>
      </c>
      <c r="F278" s="442">
        <v>14378.5</v>
      </c>
      <c r="G278" s="403"/>
      <c r="H278" s="402"/>
      <c r="I278" s="404" t="str">
        <f t="shared" si="6"/>
        <v>NOT PAID</v>
      </c>
      <c r="J278" s="402"/>
      <c r="K278" s="402"/>
      <c r="L278" s="402"/>
      <c r="M278" s="402"/>
      <c r="N278" s="402"/>
      <c r="O278" s="402"/>
      <c r="P278" s="402"/>
      <c r="Q278" s="402"/>
      <c r="R278" s="402"/>
      <c r="S278" s="402"/>
      <c r="T278" s="402"/>
      <c r="U278" s="402"/>
      <c r="V278" s="402"/>
      <c r="W278" s="402"/>
      <c r="X278" s="402"/>
      <c r="Y278" s="402"/>
      <c r="Z278" s="402"/>
      <c r="AA278" s="405"/>
      <c r="AB278" s="405"/>
    </row>
    <row r="279" ht="14.25" customHeight="1">
      <c r="A279" s="451">
        <v>45502.0</v>
      </c>
      <c r="B279" s="344" t="s">
        <v>749</v>
      </c>
      <c r="C279" s="344" t="s">
        <v>750</v>
      </c>
      <c r="D279" s="344" t="s">
        <v>54</v>
      </c>
      <c r="E279" s="344" t="s">
        <v>740</v>
      </c>
      <c r="F279" s="430">
        <v>30081.0</v>
      </c>
      <c r="G279" s="403"/>
      <c r="H279" s="402"/>
      <c r="I279" s="404" t="str">
        <f t="shared" si="6"/>
        <v>NOT PAID</v>
      </c>
      <c r="J279" s="402"/>
      <c r="K279" s="402"/>
      <c r="L279" s="402"/>
      <c r="M279" s="402"/>
      <c r="N279" s="402"/>
      <c r="O279" s="402"/>
      <c r="P279" s="402"/>
      <c r="Q279" s="402"/>
      <c r="R279" s="402"/>
      <c r="S279" s="402"/>
      <c r="T279" s="402"/>
      <c r="U279" s="402"/>
      <c r="V279" s="402"/>
      <c r="W279" s="402"/>
      <c r="X279" s="402"/>
      <c r="Y279" s="402"/>
      <c r="Z279" s="402"/>
      <c r="AA279" s="405"/>
      <c r="AB279" s="405"/>
    </row>
    <row r="280" ht="14.25" customHeight="1">
      <c r="A280" s="429">
        <v>45502.0</v>
      </c>
      <c r="B280" s="343" t="s">
        <v>1006</v>
      </c>
      <c r="C280" s="344" t="s">
        <v>1007</v>
      </c>
      <c r="D280" s="344" t="s">
        <v>75</v>
      </c>
      <c r="E280" s="349" t="s">
        <v>733</v>
      </c>
      <c r="F280" s="452">
        <v>172500.0</v>
      </c>
      <c r="G280" s="413">
        <v>0.0</v>
      </c>
      <c r="H280" s="349" t="s">
        <v>1008</v>
      </c>
      <c r="I280" s="404" t="str">
        <f t="shared" si="6"/>
        <v>NOT PAID</v>
      </c>
      <c r="J280" s="402"/>
      <c r="K280" s="402"/>
      <c r="L280" s="402"/>
      <c r="M280" s="402"/>
      <c r="N280" s="402"/>
      <c r="O280" s="402"/>
      <c r="P280" s="402"/>
      <c r="Q280" s="402"/>
      <c r="R280" s="402"/>
      <c r="S280" s="402"/>
      <c r="T280" s="402"/>
      <c r="U280" s="402"/>
      <c r="V280" s="402"/>
      <c r="W280" s="402"/>
      <c r="X280" s="402"/>
      <c r="Y280" s="402"/>
      <c r="Z280" s="402"/>
      <c r="AA280" s="405"/>
      <c r="AB280" s="405"/>
    </row>
    <row r="281" ht="14.25" customHeight="1">
      <c r="A281" s="451">
        <v>45502.0</v>
      </c>
      <c r="B281" s="349" t="s">
        <v>731</v>
      </c>
      <c r="C281" s="421" t="s">
        <v>732</v>
      </c>
      <c r="D281" s="421" t="s">
        <v>54</v>
      </c>
      <c r="E281" s="349" t="s">
        <v>733</v>
      </c>
      <c r="F281" s="413">
        <v>11892.0</v>
      </c>
      <c r="G281" s="413">
        <v>0.0</v>
      </c>
      <c r="H281" s="349" t="s">
        <v>1009</v>
      </c>
      <c r="I281" s="404" t="str">
        <f t="shared" si="6"/>
        <v>NOT PAID</v>
      </c>
      <c r="J281" s="402"/>
      <c r="K281" s="402"/>
      <c r="L281" s="402"/>
      <c r="M281" s="402"/>
      <c r="N281" s="402"/>
      <c r="O281" s="402"/>
      <c r="P281" s="402"/>
      <c r="Q281" s="402"/>
      <c r="R281" s="402"/>
      <c r="S281" s="402"/>
      <c r="T281" s="402"/>
      <c r="U281" s="402"/>
      <c r="V281" s="402"/>
      <c r="W281" s="402"/>
      <c r="X281" s="402"/>
      <c r="Y281" s="402"/>
      <c r="Z281" s="402"/>
      <c r="AA281" s="405"/>
      <c r="AB281" s="405"/>
    </row>
    <row r="282" ht="14.25" customHeight="1">
      <c r="A282" s="429">
        <v>45502.0</v>
      </c>
      <c r="B282" s="417" t="s">
        <v>918</v>
      </c>
      <c r="C282" s="418" t="s">
        <v>919</v>
      </c>
      <c r="D282" s="418" t="s">
        <v>54</v>
      </c>
      <c r="E282" s="349" t="s">
        <v>733</v>
      </c>
      <c r="F282" s="413">
        <v>30348.24</v>
      </c>
      <c r="G282" s="413">
        <v>0.0</v>
      </c>
      <c r="H282" s="349" t="s">
        <v>1010</v>
      </c>
      <c r="I282" s="404" t="str">
        <f t="shared" si="6"/>
        <v>NOT PAID</v>
      </c>
      <c r="J282" s="402"/>
      <c r="K282" s="402"/>
      <c r="L282" s="402"/>
      <c r="M282" s="402"/>
      <c r="N282" s="402"/>
      <c r="O282" s="402"/>
      <c r="P282" s="402"/>
      <c r="Q282" s="402"/>
      <c r="R282" s="402"/>
      <c r="S282" s="402"/>
      <c r="T282" s="402"/>
      <c r="U282" s="402"/>
      <c r="V282" s="402"/>
      <c r="W282" s="402"/>
      <c r="X282" s="402"/>
      <c r="Y282" s="402"/>
      <c r="Z282" s="402"/>
      <c r="AA282" s="405"/>
      <c r="AB282" s="405"/>
    </row>
    <row r="283" ht="14.25" customHeight="1">
      <c r="A283" s="451">
        <v>45502.0</v>
      </c>
      <c r="B283" s="444" t="s">
        <v>921</v>
      </c>
      <c r="C283" s="408" t="s">
        <v>922</v>
      </c>
      <c r="D283" s="408" t="s">
        <v>54</v>
      </c>
      <c r="E283" s="349" t="s">
        <v>733</v>
      </c>
      <c r="F283" s="416">
        <v>24415.95</v>
      </c>
      <c r="G283" s="413">
        <v>0.0</v>
      </c>
      <c r="H283" s="349" t="s">
        <v>1011</v>
      </c>
      <c r="I283" s="404" t="str">
        <f t="shared" si="6"/>
        <v>NOT PAID</v>
      </c>
      <c r="J283" s="402"/>
      <c r="K283" s="402"/>
      <c r="L283" s="402"/>
      <c r="M283" s="402"/>
      <c r="N283" s="402"/>
      <c r="O283" s="402"/>
      <c r="P283" s="402"/>
      <c r="Q283" s="402"/>
      <c r="R283" s="402"/>
      <c r="S283" s="402"/>
      <c r="T283" s="402"/>
      <c r="U283" s="402"/>
      <c r="V283" s="402"/>
      <c r="W283" s="402"/>
      <c r="X283" s="402"/>
      <c r="Y283" s="402"/>
      <c r="Z283" s="402"/>
      <c r="AA283" s="405"/>
      <c r="AB283" s="405"/>
    </row>
    <row r="284" ht="14.25" customHeight="1">
      <c r="A284" s="429">
        <v>45502.0</v>
      </c>
      <c r="B284" s="343" t="s">
        <v>1012</v>
      </c>
      <c r="C284" s="344" t="s">
        <v>1013</v>
      </c>
      <c r="D284" s="344" t="s">
        <v>75</v>
      </c>
      <c r="E284" s="410" t="s">
        <v>759</v>
      </c>
      <c r="F284" s="452">
        <v>324500.0</v>
      </c>
      <c r="G284" s="413">
        <v>0.0</v>
      </c>
      <c r="H284" s="349" t="s">
        <v>1014</v>
      </c>
      <c r="I284" s="404" t="str">
        <f t="shared" si="6"/>
        <v>NOT PAID</v>
      </c>
      <c r="J284" s="402"/>
      <c r="K284" s="402"/>
      <c r="L284" s="402"/>
      <c r="M284" s="402"/>
      <c r="N284" s="402"/>
      <c r="O284" s="402"/>
      <c r="P284" s="402"/>
      <c r="Q284" s="402"/>
      <c r="R284" s="402"/>
      <c r="S284" s="402"/>
      <c r="T284" s="402"/>
      <c r="U284" s="402"/>
      <c r="V284" s="402"/>
      <c r="W284" s="402"/>
      <c r="X284" s="402"/>
      <c r="Y284" s="402"/>
      <c r="Z284" s="402"/>
      <c r="AA284" s="405"/>
      <c r="AB284" s="405"/>
    </row>
    <row r="285" ht="14.25" customHeight="1">
      <c r="A285" s="451">
        <v>45502.0</v>
      </c>
      <c r="B285" s="349" t="s">
        <v>757</v>
      </c>
      <c r="C285" s="421" t="s">
        <v>875</v>
      </c>
      <c r="D285" s="421" t="s">
        <v>75</v>
      </c>
      <c r="E285" s="410" t="s">
        <v>759</v>
      </c>
      <c r="F285" s="416">
        <v>16485.25</v>
      </c>
      <c r="G285" s="413">
        <v>0.0</v>
      </c>
      <c r="H285" s="349" t="s">
        <v>1015</v>
      </c>
      <c r="I285" s="404" t="str">
        <f t="shared" si="6"/>
        <v>NOT PAID</v>
      </c>
      <c r="J285" s="402"/>
      <c r="K285" s="402"/>
      <c r="L285" s="402"/>
      <c r="M285" s="402"/>
      <c r="N285" s="402"/>
      <c r="O285" s="402"/>
      <c r="P285" s="402"/>
      <c r="Q285" s="402"/>
      <c r="R285" s="402"/>
      <c r="S285" s="402"/>
      <c r="T285" s="402"/>
      <c r="U285" s="402"/>
      <c r="V285" s="402"/>
      <c r="W285" s="402"/>
      <c r="X285" s="402"/>
      <c r="Y285" s="402"/>
      <c r="Z285" s="402"/>
      <c r="AA285" s="405"/>
      <c r="AB285" s="405"/>
    </row>
    <row r="286" ht="14.25" customHeight="1">
      <c r="A286" s="429">
        <v>45502.0</v>
      </c>
      <c r="B286" s="410" t="s">
        <v>761</v>
      </c>
      <c r="C286" s="408" t="s">
        <v>765</v>
      </c>
      <c r="D286" s="411" t="s">
        <v>54</v>
      </c>
      <c r="E286" s="410" t="s">
        <v>759</v>
      </c>
      <c r="F286" s="416">
        <v>21646.1</v>
      </c>
      <c r="G286" s="413">
        <v>0.0</v>
      </c>
      <c r="H286" s="349" t="s">
        <v>1016</v>
      </c>
      <c r="I286" s="404" t="str">
        <f t="shared" si="6"/>
        <v>NOT PAID</v>
      </c>
      <c r="J286" s="402"/>
      <c r="K286" s="402"/>
      <c r="L286" s="402"/>
      <c r="M286" s="402"/>
      <c r="N286" s="402"/>
      <c r="O286" s="402"/>
      <c r="P286" s="402"/>
      <c r="Q286" s="402"/>
      <c r="R286" s="402"/>
      <c r="S286" s="402"/>
      <c r="T286" s="402"/>
      <c r="U286" s="402"/>
      <c r="V286" s="402"/>
      <c r="W286" s="402"/>
      <c r="X286" s="402"/>
      <c r="Y286" s="402"/>
      <c r="Z286" s="402"/>
      <c r="AA286" s="405"/>
      <c r="AB286" s="405"/>
    </row>
    <row r="287" ht="14.25" customHeight="1">
      <c r="A287" s="451">
        <v>45502.0</v>
      </c>
      <c r="B287" s="407" t="s">
        <v>915</v>
      </c>
      <c r="C287" s="408" t="s">
        <v>916</v>
      </c>
      <c r="D287" s="408" t="s">
        <v>54</v>
      </c>
      <c r="E287" s="410" t="s">
        <v>759</v>
      </c>
      <c r="F287" s="416">
        <v>45922.0</v>
      </c>
      <c r="G287" s="413">
        <v>10000.0</v>
      </c>
      <c r="H287" s="349" t="s">
        <v>1017</v>
      </c>
      <c r="I287" s="404" t="str">
        <f t="shared" si="6"/>
        <v>PARTIALLY PAID</v>
      </c>
      <c r="J287" s="402"/>
      <c r="K287" s="402"/>
      <c r="L287" s="402"/>
      <c r="M287" s="402"/>
      <c r="N287" s="402"/>
      <c r="O287" s="402"/>
      <c r="P287" s="402"/>
      <c r="Q287" s="402"/>
      <c r="R287" s="402"/>
      <c r="S287" s="402"/>
      <c r="T287" s="402"/>
      <c r="U287" s="402"/>
      <c r="V287" s="402"/>
      <c r="W287" s="402"/>
      <c r="X287" s="402"/>
      <c r="Y287" s="402"/>
      <c r="Z287" s="402"/>
      <c r="AA287" s="405"/>
      <c r="AB287" s="405"/>
    </row>
    <row r="288" ht="14.25" customHeight="1">
      <c r="A288" s="429">
        <v>45502.0</v>
      </c>
      <c r="B288" s="410" t="s">
        <v>761</v>
      </c>
      <c r="C288" s="411" t="s">
        <v>762</v>
      </c>
      <c r="D288" s="411" t="s">
        <v>59</v>
      </c>
      <c r="E288" s="410" t="s">
        <v>759</v>
      </c>
      <c r="F288" s="416">
        <v>11646.1</v>
      </c>
      <c r="G288" s="403"/>
      <c r="H288" s="402"/>
      <c r="I288" s="404" t="str">
        <f t="shared" si="6"/>
        <v>NOT PAID</v>
      </c>
      <c r="J288" s="402"/>
      <c r="K288" s="402"/>
      <c r="L288" s="402"/>
      <c r="M288" s="402"/>
      <c r="N288" s="402"/>
      <c r="O288" s="402"/>
      <c r="P288" s="402"/>
      <c r="Q288" s="402"/>
      <c r="R288" s="402"/>
      <c r="S288" s="402"/>
      <c r="T288" s="402"/>
      <c r="U288" s="402"/>
      <c r="V288" s="402"/>
      <c r="W288" s="402"/>
      <c r="X288" s="402"/>
      <c r="Y288" s="402"/>
      <c r="Z288" s="402"/>
      <c r="AA288" s="405"/>
      <c r="AB288" s="405"/>
    </row>
    <row r="289" ht="14.25" customHeight="1">
      <c r="A289" s="451">
        <v>45502.0</v>
      </c>
      <c r="B289" s="349" t="s">
        <v>774</v>
      </c>
      <c r="C289" s="349" t="s">
        <v>799</v>
      </c>
      <c r="D289" s="349" t="s">
        <v>54</v>
      </c>
      <c r="E289" s="410" t="s">
        <v>759</v>
      </c>
      <c r="F289" s="413">
        <v>222631.0</v>
      </c>
      <c r="G289" s="413">
        <v>150000.0</v>
      </c>
      <c r="H289" s="349" t="s">
        <v>1018</v>
      </c>
      <c r="I289" s="404" t="str">
        <f t="shared" si="6"/>
        <v>PARTIALLY PAID</v>
      </c>
      <c r="J289" s="402"/>
      <c r="K289" s="402"/>
      <c r="L289" s="402"/>
      <c r="M289" s="402"/>
      <c r="N289" s="402"/>
      <c r="O289" s="402"/>
      <c r="P289" s="402"/>
      <c r="Q289" s="402"/>
      <c r="R289" s="402"/>
      <c r="S289" s="402"/>
      <c r="T289" s="402"/>
      <c r="U289" s="402"/>
      <c r="V289" s="402"/>
      <c r="W289" s="402"/>
      <c r="X289" s="402"/>
      <c r="Y289" s="402"/>
      <c r="Z289" s="402"/>
      <c r="AA289" s="405"/>
      <c r="AB289" s="405"/>
    </row>
    <row r="290" ht="14.25" customHeight="1">
      <c r="A290" s="451">
        <v>45502.0</v>
      </c>
      <c r="B290" s="343" t="s">
        <v>960</v>
      </c>
      <c r="C290" s="344" t="s">
        <v>961</v>
      </c>
      <c r="D290" s="344" t="s">
        <v>54</v>
      </c>
      <c r="E290" s="343" t="s">
        <v>779</v>
      </c>
      <c r="F290" s="69">
        <v>90565.3</v>
      </c>
      <c r="G290" s="403"/>
      <c r="H290" s="402"/>
      <c r="I290" s="404" t="str">
        <f t="shared" si="6"/>
        <v>NOT PAID</v>
      </c>
      <c r="J290" s="402"/>
      <c r="K290" s="402"/>
      <c r="L290" s="402"/>
      <c r="M290" s="402"/>
      <c r="N290" s="402"/>
      <c r="O290" s="402"/>
      <c r="P290" s="402"/>
      <c r="Q290" s="402"/>
      <c r="R290" s="402"/>
      <c r="S290" s="402"/>
      <c r="T290" s="402"/>
      <c r="U290" s="402"/>
      <c r="V290" s="402"/>
      <c r="W290" s="402"/>
      <c r="X290" s="402"/>
      <c r="Y290" s="402"/>
      <c r="Z290" s="402"/>
      <c r="AA290" s="405"/>
      <c r="AB290" s="405"/>
    </row>
    <row r="291" ht="14.25" customHeight="1">
      <c r="A291" s="429">
        <v>45502.0</v>
      </c>
      <c r="B291" s="414" t="s">
        <v>1019</v>
      </c>
      <c r="C291" s="415" t="s">
        <v>1020</v>
      </c>
      <c r="D291" s="415" t="s">
        <v>1021</v>
      </c>
      <c r="E291" s="414" t="s">
        <v>759</v>
      </c>
      <c r="F291" s="453">
        <v>300000.0</v>
      </c>
      <c r="G291" s="413">
        <v>300000.0</v>
      </c>
      <c r="H291" s="402"/>
      <c r="I291" s="404" t="str">
        <f t="shared" si="6"/>
        <v>FULLY PAID</v>
      </c>
      <c r="J291" s="402"/>
      <c r="K291" s="402"/>
      <c r="L291" s="402"/>
      <c r="M291" s="402"/>
      <c r="N291" s="402"/>
      <c r="O291" s="402"/>
      <c r="P291" s="402"/>
      <c r="Q291" s="402"/>
      <c r="R291" s="402"/>
      <c r="S291" s="402"/>
      <c r="T291" s="402"/>
      <c r="U291" s="402"/>
      <c r="V291" s="402"/>
      <c r="W291" s="402"/>
      <c r="X291" s="402"/>
      <c r="Y291" s="402"/>
      <c r="Z291" s="402"/>
      <c r="AA291" s="405"/>
      <c r="AB291" s="405"/>
    </row>
    <row r="292" ht="14.25" customHeight="1">
      <c r="A292" s="429">
        <v>45502.0</v>
      </c>
      <c r="B292" s="343" t="s">
        <v>781</v>
      </c>
      <c r="C292" s="344" t="s">
        <v>782</v>
      </c>
      <c r="D292" s="344" t="s">
        <v>54</v>
      </c>
      <c r="E292" s="343" t="s">
        <v>779</v>
      </c>
      <c r="F292" s="452">
        <v>21742.38</v>
      </c>
      <c r="G292" s="413">
        <v>0.0</v>
      </c>
      <c r="H292" s="349" t="s">
        <v>1022</v>
      </c>
      <c r="I292" s="404" t="str">
        <f t="shared" si="6"/>
        <v>NOT PAID</v>
      </c>
      <c r="J292" s="402"/>
      <c r="K292" s="402"/>
      <c r="L292" s="402"/>
      <c r="M292" s="402"/>
      <c r="N292" s="402"/>
      <c r="O292" s="402"/>
      <c r="P292" s="402"/>
      <c r="Q292" s="402"/>
      <c r="R292" s="402"/>
      <c r="S292" s="402"/>
      <c r="T292" s="402"/>
      <c r="U292" s="402"/>
      <c r="V292" s="402"/>
      <c r="W292" s="402"/>
      <c r="X292" s="402"/>
      <c r="Y292" s="402"/>
      <c r="Z292" s="402"/>
      <c r="AA292" s="405"/>
      <c r="AB292" s="405"/>
    </row>
    <row r="293" ht="14.25" customHeight="1">
      <c r="A293" s="451">
        <v>45502.0</v>
      </c>
      <c r="B293" s="343" t="s">
        <v>1023</v>
      </c>
      <c r="C293" s="344" t="s">
        <v>1024</v>
      </c>
      <c r="D293" s="344" t="s">
        <v>59</v>
      </c>
      <c r="E293" s="343" t="s">
        <v>779</v>
      </c>
      <c r="F293" s="452">
        <v>3513353.86</v>
      </c>
      <c r="G293" s="413">
        <v>3920648.0</v>
      </c>
      <c r="H293" s="402"/>
      <c r="I293" s="404" t="str">
        <f t="shared" si="6"/>
        <v>FULLY PAID</v>
      </c>
      <c r="J293" s="402"/>
      <c r="K293" s="402"/>
      <c r="L293" s="402"/>
      <c r="M293" s="402"/>
      <c r="N293" s="402"/>
      <c r="O293" s="402"/>
      <c r="P293" s="402"/>
      <c r="Q293" s="402"/>
      <c r="R293" s="402"/>
      <c r="S293" s="402"/>
      <c r="T293" s="402"/>
      <c r="U293" s="402"/>
      <c r="V293" s="402"/>
      <c r="W293" s="402"/>
      <c r="X293" s="402"/>
      <c r="Y293" s="402"/>
      <c r="Z293" s="402"/>
      <c r="AA293" s="405"/>
      <c r="AB293" s="405"/>
    </row>
    <row r="294" ht="14.25" customHeight="1">
      <c r="A294" s="429">
        <v>45502.0</v>
      </c>
      <c r="B294" s="349" t="s">
        <v>777</v>
      </c>
      <c r="C294" s="421" t="s">
        <v>929</v>
      </c>
      <c r="D294" s="421" t="s">
        <v>54</v>
      </c>
      <c r="E294" s="416" t="s">
        <v>779</v>
      </c>
      <c r="F294" s="416">
        <v>98000.0</v>
      </c>
      <c r="G294" s="403"/>
      <c r="H294" s="349" t="s">
        <v>1025</v>
      </c>
      <c r="I294" s="404" t="str">
        <f t="shared" si="6"/>
        <v>NOT PAID</v>
      </c>
      <c r="J294" s="402"/>
      <c r="K294" s="402"/>
      <c r="L294" s="402"/>
      <c r="M294" s="402"/>
      <c r="N294" s="402"/>
      <c r="O294" s="402"/>
      <c r="P294" s="402"/>
      <c r="Q294" s="402"/>
      <c r="R294" s="402"/>
      <c r="S294" s="402"/>
      <c r="T294" s="402"/>
      <c r="U294" s="402"/>
      <c r="V294" s="402"/>
      <c r="W294" s="402"/>
      <c r="X294" s="402"/>
      <c r="Y294" s="402"/>
      <c r="Z294" s="402"/>
      <c r="AA294" s="405"/>
      <c r="AB294" s="405"/>
    </row>
    <row r="295" ht="14.25" customHeight="1">
      <c r="A295" s="451">
        <v>45502.0</v>
      </c>
      <c r="B295" s="349" t="s">
        <v>983</v>
      </c>
      <c r="C295" s="421" t="s">
        <v>984</v>
      </c>
      <c r="D295" s="421" t="s">
        <v>54</v>
      </c>
      <c r="E295" s="416" t="s">
        <v>779</v>
      </c>
      <c r="F295" s="416">
        <v>259542.25</v>
      </c>
      <c r="G295" s="403"/>
      <c r="H295" s="349" t="s">
        <v>1026</v>
      </c>
      <c r="I295" s="404" t="str">
        <f t="shared" si="6"/>
        <v>NOT PAID</v>
      </c>
      <c r="J295" s="402"/>
      <c r="K295" s="402"/>
      <c r="L295" s="402"/>
      <c r="M295" s="402"/>
      <c r="N295" s="402"/>
      <c r="O295" s="402"/>
      <c r="P295" s="402"/>
      <c r="Q295" s="402"/>
      <c r="R295" s="402"/>
      <c r="S295" s="402"/>
      <c r="T295" s="402"/>
      <c r="U295" s="402"/>
      <c r="V295" s="402"/>
      <c r="W295" s="402"/>
      <c r="X295" s="402"/>
      <c r="Y295" s="402"/>
      <c r="Z295" s="402"/>
      <c r="AA295" s="405"/>
      <c r="AB295" s="405"/>
    </row>
    <row r="296" ht="14.25" customHeight="1">
      <c r="A296" s="429">
        <v>45502.0</v>
      </c>
      <c r="B296" s="349" t="s">
        <v>791</v>
      </c>
      <c r="C296" s="349" t="s">
        <v>792</v>
      </c>
      <c r="D296" s="418" t="s">
        <v>54</v>
      </c>
      <c r="E296" s="416" t="s">
        <v>779</v>
      </c>
      <c r="F296" s="413">
        <v>100000.0</v>
      </c>
      <c r="G296" s="403"/>
      <c r="H296" s="349" t="s">
        <v>1027</v>
      </c>
      <c r="I296" s="404" t="str">
        <f t="shared" si="6"/>
        <v>NOT PAID</v>
      </c>
      <c r="J296" s="402"/>
      <c r="K296" s="402"/>
      <c r="L296" s="402"/>
      <c r="M296" s="402"/>
      <c r="N296" s="402"/>
      <c r="O296" s="402"/>
      <c r="P296" s="402"/>
      <c r="Q296" s="402"/>
      <c r="R296" s="402"/>
      <c r="S296" s="402"/>
      <c r="T296" s="402"/>
      <c r="U296" s="402"/>
      <c r="V296" s="402"/>
      <c r="W296" s="402"/>
      <c r="X296" s="402"/>
      <c r="Y296" s="402"/>
      <c r="Z296" s="402"/>
      <c r="AA296" s="405"/>
      <c r="AB296" s="405"/>
    </row>
    <row r="297" ht="14.25" customHeight="1">
      <c r="A297" s="451">
        <v>45502.0</v>
      </c>
      <c r="B297" s="349" t="s">
        <v>800</v>
      </c>
      <c r="C297" s="349" t="s">
        <v>801</v>
      </c>
      <c r="D297" s="418" t="s">
        <v>54</v>
      </c>
      <c r="E297" s="416" t="s">
        <v>273</v>
      </c>
      <c r="F297" s="413">
        <v>10000.0</v>
      </c>
      <c r="G297" s="403"/>
      <c r="H297" s="349" t="s">
        <v>1028</v>
      </c>
      <c r="I297" s="404" t="str">
        <f t="shared" si="6"/>
        <v>NOT PAID</v>
      </c>
      <c r="J297" s="402"/>
      <c r="K297" s="402"/>
      <c r="L297" s="402"/>
      <c r="M297" s="402"/>
      <c r="N297" s="402"/>
      <c r="O297" s="402"/>
      <c r="P297" s="402"/>
      <c r="Q297" s="402"/>
      <c r="R297" s="402"/>
      <c r="S297" s="402"/>
      <c r="T297" s="402"/>
      <c r="U297" s="402"/>
      <c r="V297" s="402"/>
      <c r="W297" s="402"/>
      <c r="X297" s="402"/>
      <c r="Y297" s="402"/>
      <c r="Z297" s="402"/>
      <c r="AA297" s="405"/>
      <c r="AB297" s="405"/>
    </row>
    <row r="298" ht="14.25" customHeight="1">
      <c r="A298" s="429">
        <v>45502.0</v>
      </c>
      <c r="B298" s="349" t="s">
        <v>783</v>
      </c>
      <c r="C298" s="349" t="s">
        <v>965</v>
      </c>
      <c r="D298" s="418" t="s">
        <v>54</v>
      </c>
      <c r="E298" s="416" t="s">
        <v>273</v>
      </c>
      <c r="F298" s="413">
        <v>100000.0</v>
      </c>
      <c r="G298" s="403"/>
      <c r="H298" s="349" t="s">
        <v>1029</v>
      </c>
      <c r="I298" s="404" t="str">
        <f t="shared" si="6"/>
        <v>NOT PAID</v>
      </c>
      <c r="J298" s="402"/>
      <c r="K298" s="402"/>
      <c r="L298" s="402"/>
      <c r="M298" s="402"/>
      <c r="N298" s="402"/>
      <c r="O298" s="402"/>
      <c r="P298" s="402"/>
      <c r="Q298" s="402"/>
      <c r="R298" s="402"/>
      <c r="S298" s="402"/>
      <c r="T298" s="402"/>
      <c r="U298" s="402"/>
      <c r="V298" s="402"/>
      <c r="W298" s="402"/>
      <c r="X298" s="402"/>
      <c r="Y298" s="402"/>
      <c r="Z298" s="402"/>
      <c r="AA298" s="405"/>
      <c r="AB298" s="405"/>
    </row>
    <row r="299" ht="14.25" customHeight="1">
      <c r="A299" s="451">
        <v>45502.0</v>
      </c>
      <c r="B299" s="349" t="s">
        <v>798</v>
      </c>
      <c r="C299" s="421" t="s">
        <v>799</v>
      </c>
      <c r="D299" s="421" t="s">
        <v>59</v>
      </c>
      <c r="E299" s="410" t="s">
        <v>114</v>
      </c>
      <c r="F299" s="416">
        <v>500000.0</v>
      </c>
      <c r="G299" s="413"/>
      <c r="H299" s="402"/>
      <c r="I299" s="404" t="str">
        <f t="shared" si="6"/>
        <v>NOT PAID</v>
      </c>
      <c r="J299" s="402"/>
      <c r="K299" s="402"/>
      <c r="L299" s="402"/>
      <c r="M299" s="402"/>
      <c r="N299" s="402"/>
      <c r="O299" s="402"/>
      <c r="P299" s="402"/>
      <c r="Q299" s="402"/>
      <c r="R299" s="402"/>
      <c r="S299" s="402"/>
      <c r="T299" s="402"/>
      <c r="U299" s="402"/>
      <c r="V299" s="402"/>
      <c r="W299" s="402"/>
      <c r="X299" s="402"/>
      <c r="Y299" s="402"/>
      <c r="Z299" s="402"/>
      <c r="AA299" s="405"/>
      <c r="AB299" s="405"/>
    </row>
    <row r="300" ht="14.25" customHeight="1">
      <c r="A300" s="429">
        <v>45502.0</v>
      </c>
      <c r="B300" s="454" t="s">
        <v>877</v>
      </c>
      <c r="C300" s="421" t="s">
        <v>878</v>
      </c>
      <c r="D300" s="421" t="s">
        <v>54</v>
      </c>
      <c r="E300" s="410" t="s">
        <v>114</v>
      </c>
      <c r="F300" s="413">
        <v>36502.21</v>
      </c>
      <c r="G300" s="403"/>
      <c r="H300" s="402"/>
      <c r="I300" s="404" t="str">
        <f t="shared" si="6"/>
        <v>NOT PAID</v>
      </c>
      <c r="J300" s="402"/>
      <c r="K300" s="402"/>
      <c r="L300" s="402"/>
      <c r="M300" s="402"/>
      <c r="N300" s="402"/>
      <c r="O300" s="402"/>
      <c r="P300" s="402"/>
      <c r="Q300" s="402"/>
      <c r="R300" s="402"/>
      <c r="S300" s="402"/>
      <c r="T300" s="402"/>
      <c r="U300" s="402"/>
      <c r="V300" s="402"/>
      <c r="W300" s="402"/>
      <c r="X300" s="402"/>
      <c r="Y300" s="402"/>
      <c r="Z300" s="402"/>
      <c r="AA300" s="405"/>
      <c r="AB300" s="405"/>
    </row>
    <row r="301" ht="14.25" customHeight="1">
      <c r="A301" s="451">
        <v>45502.0</v>
      </c>
      <c r="B301" s="349" t="s">
        <v>802</v>
      </c>
      <c r="C301" s="349" t="s">
        <v>803</v>
      </c>
      <c r="D301" s="349" t="s">
        <v>54</v>
      </c>
      <c r="E301" s="349" t="s">
        <v>114</v>
      </c>
      <c r="F301" s="413">
        <v>750023.8</v>
      </c>
      <c r="G301" s="403"/>
      <c r="H301" s="402"/>
      <c r="I301" s="404" t="str">
        <f t="shared" si="6"/>
        <v>NOT PAID</v>
      </c>
      <c r="J301" s="402"/>
      <c r="K301" s="402"/>
      <c r="L301" s="402"/>
      <c r="M301" s="402"/>
      <c r="N301" s="402"/>
      <c r="O301" s="402"/>
      <c r="P301" s="402"/>
      <c r="Q301" s="402"/>
      <c r="R301" s="402"/>
      <c r="S301" s="402"/>
      <c r="T301" s="402"/>
      <c r="U301" s="402"/>
      <c r="V301" s="402"/>
      <c r="W301" s="402"/>
      <c r="X301" s="402"/>
      <c r="Y301" s="402"/>
      <c r="Z301" s="402"/>
      <c r="AA301" s="405"/>
      <c r="AB301" s="405"/>
    </row>
    <row r="302" ht="14.25" customHeight="1">
      <c r="A302" s="429"/>
      <c r="B302" s="402"/>
      <c r="C302" s="402"/>
      <c r="D302" s="402"/>
      <c r="E302" s="402"/>
      <c r="F302" s="403"/>
      <c r="G302" s="403"/>
      <c r="H302" s="402"/>
      <c r="I302" s="404" t="str">
        <f t="shared" si="6"/>
        <v>FULLY PAID</v>
      </c>
      <c r="J302" s="402"/>
      <c r="K302" s="402"/>
      <c r="L302" s="402"/>
      <c r="M302" s="402"/>
      <c r="N302" s="402"/>
      <c r="O302" s="402"/>
      <c r="P302" s="402"/>
      <c r="Q302" s="402"/>
      <c r="R302" s="402"/>
      <c r="S302" s="402"/>
      <c r="T302" s="402"/>
      <c r="U302" s="402"/>
      <c r="V302" s="402"/>
      <c r="W302" s="402"/>
      <c r="X302" s="402"/>
      <c r="Y302" s="402"/>
      <c r="Z302" s="402"/>
      <c r="AA302" s="405"/>
      <c r="AB302" s="405"/>
    </row>
    <row r="303" ht="14.25" customHeight="1">
      <c r="A303" s="451"/>
      <c r="B303" s="402"/>
      <c r="C303" s="402"/>
      <c r="D303" s="402"/>
      <c r="E303" s="402"/>
      <c r="F303" s="403"/>
      <c r="G303" s="403"/>
      <c r="H303" s="402"/>
      <c r="I303" s="404" t="str">
        <f t="shared" si="6"/>
        <v>FULLY PAID</v>
      </c>
      <c r="J303" s="402"/>
      <c r="K303" s="402"/>
      <c r="L303" s="402"/>
      <c r="M303" s="402"/>
      <c r="N303" s="402"/>
      <c r="O303" s="402"/>
      <c r="P303" s="402"/>
      <c r="Q303" s="402"/>
      <c r="R303" s="402"/>
      <c r="S303" s="402"/>
      <c r="T303" s="402"/>
      <c r="U303" s="402"/>
      <c r="V303" s="402"/>
      <c r="W303" s="402"/>
      <c r="X303" s="402"/>
      <c r="Y303" s="402"/>
      <c r="Z303" s="402"/>
      <c r="AA303" s="405"/>
      <c r="AB303" s="405"/>
    </row>
    <row r="304" ht="14.25" customHeight="1">
      <c r="A304" s="429"/>
      <c r="B304" s="402"/>
      <c r="C304" s="402"/>
      <c r="D304" s="402"/>
      <c r="E304" s="402"/>
      <c r="F304" s="403"/>
      <c r="G304" s="403"/>
      <c r="H304" s="402"/>
      <c r="I304" s="404" t="str">
        <f t="shared" si="6"/>
        <v>FULLY PAID</v>
      </c>
      <c r="J304" s="402"/>
      <c r="K304" s="402"/>
      <c r="L304" s="402"/>
      <c r="M304" s="402"/>
      <c r="N304" s="402"/>
      <c r="O304" s="402"/>
      <c r="P304" s="402"/>
      <c r="Q304" s="402"/>
      <c r="R304" s="402"/>
      <c r="S304" s="402"/>
      <c r="T304" s="402"/>
      <c r="U304" s="402"/>
      <c r="V304" s="402"/>
      <c r="W304" s="402"/>
      <c r="X304" s="402"/>
      <c r="Y304" s="402"/>
      <c r="Z304" s="402"/>
      <c r="AA304" s="405"/>
      <c r="AB304" s="405"/>
    </row>
    <row r="305" ht="14.25" customHeight="1">
      <c r="A305" s="451"/>
      <c r="B305" s="402"/>
      <c r="C305" s="349" t="s">
        <v>797</v>
      </c>
      <c r="D305" s="402"/>
      <c r="E305" s="402"/>
      <c r="F305" s="403"/>
      <c r="G305" s="403"/>
      <c r="H305" s="402"/>
      <c r="I305" s="404" t="str">
        <f t="shared" si="6"/>
        <v>FULLY PAID</v>
      </c>
      <c r="J305" s="402"/>
      <c r="K305" s="402"/>
      <c r="L305" s="402"/>
      <c r="M305" s="402"/>
      <c r="N305" s="402"/>
      <c r="O305" s="402"/>
      <c r="P305" s="402"/>
      <c r="Q305" s="402"/>
      <c r="R305" s="402"/>
      <c r="S305" s="402"/>
      <c r="T305" s="402"/>
      <c r="U305" s="402"/>
      <c r="V305" s="402"/>
      <c r="W305" s="402"/>
      <c r="X305" s="402"/>
      <c r="Y305" s="402"/>
      <c r="Z305" s="402"/>
      <c r="AA305" s="405"/>
      <c r="AB305" s="405"/>
    </row>
    <row r="306" ht="14.25" customHeight="1">
      <c r="A306" s="429">
        <v>45502.0</v>
      </c>
      <c r="B306" s="349" t="s">
        <v>886</v>
      </c>
      <c r="C306" s="455" t="s">
        <v>884</v>
      </c>
      <c r="D306" s="349" t="s">
        <v>1030</v>
      </c>
      <c r="E306" s="349" t="s">
        <v>273</v>
      </c>
      <c r="F306" s="413">
        <v>50000.0</v>
      </c>
      <c r="G306" s="403"/>
      <c r="H306" s="349" t="s">
        <v>1031</v>
      </c>
      <c r="I306" s="404" t="str">
        <f t="shared" si="6"/>
        <v>NOT PAID</v>
      </c>
      <c r="J306" s="402"/>
      <c r="K306" s="402"/>
      <c r="L306" s="402"/>
      <c r="M306" s="402"/>
      <c r="N306" s="402"/>
      <c r="O306" s="402"/>
      <c r="P306" s="402"/>
      <c r="Q306" s="402"/>
      <c r="R306" s="402"/>
      <c r="S306" s="402"/>
      <c r="T306" s="402"/>
      <c r="U306" s="402"/>
      <c r="V306" s="402"/>
      <c r="W306" s="402"/>
      <c r="X306" s="402"/>
      <c r="Y306" s="402"/>
      <c r="Z306" s="402"/>
      <c r="AA306" s="405"/>
      <c r="AB306" s="405"/>
    </row>
    <row r="307" ht="14.25" customHeight="1">
      <c r="A307" s="429">
        <v>45502.0</v>
      </c>
      <c r="B307" s="349" t="s">
        <v>889</v>
      </c>
      <c r="C307" s="456" t="s">
        <v>887</v>
      </c>
      <c r="D307" s="349" t="s">
        <v>54</v>
      </c>
      <c r="E307" s="349" t="s">
        <v>273</v>
      </c>
      <c r="F307" s="413">
        <v>100000.0</v>
      </c>
      <c r="G307" s="403"/>
      <c r="H307" s="349" t="s">
        <v>1029</v>
      </c>
      <c r="I307" s="404" t="str">
        <f t="shared" si="6"/>
        <v>NOT PAID</v>
      </c>
      <c r="J307" s="402"/>
      <c r="K307" s="402"/>
      <c r="L307" s="402"/>
      <c r="M307" s="402"/>
      <c r="N307" s="402"/>
      <c r="O307" s="402"/>
      <c r="P307" s="402"/>
      <c r="Q307" s="402"/>
      <c r="R307" s="402"/>
      <c r="S307" s="402"/>
      <c r="T307" s="402"/>
      <c r="U307" s="402"/>
      <c r="V307" s="402"/>
      <c r="W307" s="402"/>
      <c r="X307" s="402"/>
      <c r="Y307" s="402"/>
      <c r="Z307" s="402"/>
      <c r="AA307" s="405"/>
      <c r="AB307" s="405"/>
    </row>
    <row r="308" ht="14.25" customHeight="1">
      <c r="A308" s="429">
        <v>45502.0</v>
      </c>
      <c r="B308" s="349" t="s">
        <v>798</v>
      </c>
      <c r="C308" s="457" t="s">
        <v>1032</v>
      </c>
      <c r="D308" s="349" t="s">
        <v>54</v>
      </c>
      <c r="E308" s="349" t="s">
        <v>114</v>
      </c>
      <c r="F308" s="413">
        <v>150000.0</v>
      </c>
      <c r="G308" s="403"/>
      <c r="H308" s="349" t="s">
        <v>1033</v>
      </c>
      <c r="I308" s="404" t="str">
        <f t="shared" si="6"/>
        <v>NOT PAID</v>
      </c>
      <c r="J308" s="402"/>
      <c r="K308" s="402"/>
      <c r="L308" s="402"/>
      <c r="M308" s="402"/>
      <c r="N308" s="402"/>
      <c r="O308" s="402"/>
      <c r="P308" s="402"/>
      <c r="Q308" s="402"/>
      <c r="R308" s="402"/>
      <c r="S308" s="402"/>
      <c r="T308" s="402"/>
      <c r="U308" s="402"/>
      <c r="V308" s="402"/>
      <c r="W308" s="402"/>
      <c r="X308" s="402"/>
      <c r="Y308" s="402"/>
      <c r="Z308" s="402"/>
      <c r="AA308" s="405"/>
      <c r="AB308" s="405"/>
    </row>
    <row r="309" ht="14.25" customHeight="1">
      <c r="A309" s="429">
        <v>45502.0</v>
      </c>
      <c r="B309" s="349" t="s">
        <v>1034</v>
      </c>
      <c r="C309" s="458" t="s">
        <v>1035</v>
      </c>
      <c r="D309" s="349" t="s">
        <v>54</v>
      </c>
      <c r="E309" s="349" t="s">
        <v>114</v>
      </c>
      <c r="F309" s="413">
        <v>5000.0</v>
      </c>
      <c r="G309" s="403"/>
      <c r="H309" s="349" t="s">
        <v>1036</v>
      </c>
      <c r="I309" s="404" t="str">
        <f t="shared" si="6"/>
        <v>NOT PAID</v>
      </c>
      <c r="J309" s="402"/>
      <c r="K309" s="402"/>
      <c r="L309" s="402"/>
      <c r="M309" s="402"/>
      <c r="N309" s="402"/>
      <c r="O309" s="402"/>
      <c r="P309" s="402"/>
      <c r="Q309" s="402"/>
      <c r="R309" s="402"/>
      <c r="S309" s="402"/>
      <c r="T309" s="402"/>
      <c r="U309" s="402"/>
      <c r="V309" s="402"/>
      <c r="W309" s="402"/>
      <c r="X309" s="402"/>
      <c r="Y309" s="402"/>
      <c r="Z309" s="402"/>
      <c r="AA309" s="405"/>
      <c r="AB309" s="405"/>
    </row>
    <row r="310" ht="14.25" customHeight="1">
      <c r="A310" s="451"/>
      <c r="B310" s="402"/>
      <c r="C310" s="402"/>
      <c r="D310" s="402"/>
      <c r="E310" s="402"/>
      <c r="F310" s="403"/>
      <c r="G310" s="403"/>
      <c r="H310" s="402"/>
      <c r="I310" s="404" t="str">
        <f t="shared" si="6"/>
        <v>FULLY PAID</v>
      </c>
      <c r="J310" s="402"/>
      <c r="K310" s="402"/>
      <c r="L310" s="402"/>
      <c r="M310" s="402"/>
      <c r="N310" s="402"/>
      <c r="O310" s="402"/>
      <c r="P310" s="402"/>
      <c r="Q310" s="402"/>
      <c r="R310" s="402"/>
      <c r="S310" s="402"/>
      <c r="T310" s="402"/>
      <c r="U310" s="402"/>
      <c r="V310" s="402"/>
      <c r="W310" s="402"/>
      <c r="X310" s="402"/>
      <c r="Y310" s="402"/>
      <c r="Z310" s="402"/>
      <c r="AA310" s="405"/>
      <c r="AB310" s="405"/>
    </row>
    <row r="311" ht="14.25" customHeight="1">
      <c r="A311" s="429"/>
      <c r="B311" s="402"/>
      <c r="C311" s="402"/>
      <c r="D311" s="402"/>
      <c r="E311" s="402"/>
      <c r="F311" s="403"/>
      <c r="G311" s="403"/>
      <c r="H311" s="402"/>
      <c r="I311" s="404" t="str">
        <f t="shared" si="6"/>
        <v>FULLY PAID</v>
      </c>
      <c r="J311" s="402"/>
      <c r="K311" s="402"/>
      <c r="L311" s="402"/>
      <c r="M311" s="402"/>
      <c r="N311" s="402"/>
      <c r="O311" s="402"/>
      <c r="P311" s="402"/>
      <c r="Q311" s="402"/>
      <c r="R311" s="402"/>
      <c r="S311" s="402"/>
      <c r="T311" s="402"/>
      <c r="U311" s="402"/>
      <c r="V311" s="402"/>
      <c r="W311" s="402"/>
      <c r="X311" s="402"/>
      <c r="Y311" s="402"/>
      <c r="Z311" s="402"/>
      <c r="AA311" s="405"/>
      <c r="AB311" s="405"/>
    </row>
    <row r="312" ht="14.25" customHeight="1">
      <c r="A312" s="429"/>
      <c r="B312" s="402"/>
      <c r="C312" s="402"/>
      <c r="D312" s="402"/>
      <c r="E312" s="402"/>
      <c r="F312" s="403"/>
      <c r="G312" s="403"/>
      <c r="H312" s="402"/>
      <c r="I312" s="404" t="str">
        <f t="shared" si="6"/>
        <v>FULLY PAID</v>
      </c>
      <c r="J312" s="402"/>
      <c r="K312" s="402"/>
      <c r="L312" s="402"/>
      <c r="M312" s="402"/>
      <c r="N312" s="402"/>
      <c r="O312" s="402"/>
      <c r="P312" s="402"/>
      <c r="Q312" s="402"/>
      <c r="R312" s="402"/>
      <c r="S312" s="402"/>
      <c r="T312" s="402"/>
      <c r="U312" s="402"/>
      <c r="V312" s="402"/>
      <c r="W312" s="402"/>
      <c r="X312" s="402"/>
      <c r="Y312" s="402"/>
      <c r="Z312" s="402"/>
      <c r="AA312" s="405"/>
      <c r="AB312" s="405"/>
    </row>
    <row r="313" ht="14.25" customHeight="1">
      <c r="A313" s="429"/>
      <c r="B313" s="402"/>
      <c r="C313" s="402"/>
      <c r="D313" s="402"/>
      <c r="E313" s="402"/>
      <c r="F313" s="403"/>
      <c r="G313" s="403"/>
      <c r="H313" s="402"/>
      <c r="I313" s="404" t="str">
        <f t="shared" si="6"/>
        <v>FULLY PAID</v>
      </c>
      <c r="J313" s="402"/>
      <c r="K313" s="402"/>
      <c r="L313" s="402"/>
      <c r="M313" s="402"/>
      <c r="N313" s="402"/>
      <c r="O313" s="402"/>
      <c r="P313" s="402"/>
      <c r="Q313" s="402"/>
      <c r="R313" s="402"/>
      <c r="S313" s="402"/>
      <c r="T313" s="402"/>
      <c r="U313" s="402"/>
      <c r="V313" s="402"/>
      <c r="W313" s="402"/>
      <c r="X313" s="402"/>
      <c r="Y313" s="402"/>
      <c r="Z313" s="402"/>
      <c r="AA313" s="405"/>
      <c r="AB313" s="405"/>
    </row>
    <row r="314" ht="14.25" customHeight="1">
      <c r="A314" s="429"/>
      <c r="B314" s="402"/>
      <c r="C314" s="402"/>
      <c r="D314" s="402"/>
      <c r="E314" s="402"/>
      <c r="F314" s="403"/>
      <c r="G314" s="403"/>
      <c r="H314" s="402"/>
      <c r="I314" s="404" t="str">
        <f t="shared" si="6"/>
        <v>FULLY PAID</v>
      </c>
      <c r="J314" s="402"/>
      <c r="K314" s="402"/>
      <c r="L314" s="402"/>
      <c r="M314" s="402"/>
      <c r="N314" s="402"/>
      <c r="O314" s="402"/>
      <c r="P314" s="402"/>
      <c r="Q314" s="402"/>
      <c r="R314" s="402"/>
      <c r="S314" s="402"/>
      <c r="T314" s="402"/>
      <c r="U314" s="402"/>
      <c r="V314" s="402"/>
      <c r="W314" s="402"/>
      <c r="X314" s="402"/>
      <c r="Y314" s="402"/>
      <c r="Z314" s="402"/>
      <c r="AA314" s="405"/>
      <c r="AB314" s="405"/>
    </row>
    <row r="315" ht="14.25" customHeight="1">
      <c r="A315" s="429"/>
      <c r="B315" s="402"/>
      <c r="C315" s="402"/>
      <c r="D315" s="402"/>
      <c r="E315" s="402"/>
      <c r="F315" s="403"/>
      <c r="G315" s="403"/>
      <c r="H315" s="402"/>
      <c r="I315" s="404" t="str">
        <f t="shared" si="6"/>
        <v>FULLY PAID</v>
      </c>
      <c r="J315" s="402"/>
      <c r="K315" s="402"/>
      <c r="L315" s="402"/>
      <c r="M315" s="402"/>
      <c r="N315" s="402"/>
      <c r="O315" s="402"/>
      <c r="P315" s="402"/>
      <c r="Q315" s="402"/>
      <c r="R315" s="402"/>
      <c r="S315" s="402"/>
      <c r="T315" s="402"/>
      <c r="U315" s="402"/>
      <c r="V315" s="402"/>
      <c r="W315" s="402"/>
      <c r="X315" s="402"/>
      <c r="Y315" s="402"/>
      <c r="Z315" s="402"/>
      <c r="AA315" s="405"/>
      <c r="AB315" s="405"/>
    </row>
    <row r="316" ht="14.25" customHeight="1">
      <c r="A316" s="451"/>
      <c r="B316" s="424" t="s">
        <v>1037</v>
      </c>
      <c r="C316" s="402"/>
      <c r="D316" s="402"/>
      <c r="E316" s="402"/>
      <c r="F316" s="403"/>
      <c r="G316" s="403"/>
      <c r="H316" s="402"/>
      <c r="I316" s="404" t="str">
        <f t="shared" si="6"/>
        <v>FULLY PAID</v>
      </c>
      <c r="J316" s="402"/>
      <c r="K316" s="402"/>
      <c r="L316" s="402"/>
      <c r="M316" s="402"/>
      <c r="N316" s="402"/>
      <c r="O316" s="402"/>
      <c r="P316" s="402"/>
      <c r="Q316" s="402"/>
      <c r="R316" s="402"/>
      <c r="S316" s="402"/>
      <c r="T316" s="402"/>
      <c r="U316" s="402"/>
      <c r="V316" s="402"/>
      <c r="W316" s="402"/>
      <c r="X316" s="402"/>
      <c r="Y316" s="402"/>
      <c r="Z316" s="402"/>
      <c r="AA316" s="405"/>
      <c r="AB316" s="405"/>
    </row>
    <row r="317" ht="14.25" customHeight="1">
      <c r="A317" s="429">
        <v>45503.0</v>
      </c>
      <c r="B317" s="418" t="s">
        <v>809</v>
      </c>
      <c r="C317" s="418" t="s">
        <v>810</v>
      </c>
      <c r="D317" s="418" t="s">
        <v>54</v>
      </c>
      <c r="E317" s="343" t="s">
        <v>989</v>
      </c>
      <c r="F317" s="428">
        <v>177077.95</v>
      </c>
      <c r="G317" s="413">
        <v>243040.0</v>
      </c>
      <c r="H317" s="349" t="s">
        <v>710</v>
      </c>
      <c r="I317" s="404" t="str">
        <f t="shared" si="6"/>
        <v>FULLY PAID</v>
      </c>
      <c r="J317" s="402"/>
      <c r="K317" s="402"/>
      <c r="L317" s="402"/>
      <c r="M317" s="402"/>
      <c r="N317" s="402"/>
      <c r="O317" s="402"/>
      <c r="P317" s="402"/>
      <c r="Q317" s="402"/>
      <c r="R317" s="402"/>
      <c r="S317" s="402"/>
      <c r="T317" s="402"/>
      <c r="U317" s="402"/>
      <c r="V317" s="402"/>
      <c r="W317" s="402"/>
      <c r="X317" s="402"/>
      <c r="Y317" s="402"/>
      <c r="Z317" s="402"/>
      <c r="AA317" s="405"/>
      <c r="AB317" s="405"/>
    </row>
    <row r="318" ht="14.25" customHeight="1">
      <c r="A318" s="451">
        <v>45503.0</v>
      </c>
      <c r="B318" s="344" t="s">
        <v>904</v>
      </c>
      <c r="C318" s="344" t="s">
        <v>810</v>
      </c>
      <c r="D318" s="344" t="s">
        <v>75</v>
      </c>
      <c r="E318" s="343" t="s">
        <v>989</v>
      </c>
      <c r="F318" s="430">
        <v>1100000.0</v>
      </c>
      <c r="G318" s="403"/>
      <c r="H318" s="402"/>
      <c r="I318" s="404" t="str">
        <f t="shared" si="6"/>
        <v>NOT PAID</v>
      </c>
      <c r="J318" s="402"/>
      <c r="K318" s="402"/>
      <c r="L318" s="402"/>
      <c r="M318" s="402"/>
      <c r="N318" s="402"/>
      <c r="O318" s="402"/>
      <c r="P318" s="402"/>
      <c r="Q318" s="402"/>
      <c r="R318" s="402"/>
      <c r="S318" s="402"/>
      <c r="T318" s="402"/>
      <c r="U318" s="402"/>
      <c r="V318" s="402"/>
      <c r="W318" s="402"/>
      <c r="X318" s="402"/>
      <c r="Y318" s="402"/>
      <c r="Z318" s="402"/>
      <c r="AA318" s="405"/>
      <c r="AB318" s="405"/>
    </row>
    <row r="319" ht="14.25" customHeight="1">
      <c r="A319" s="429">
        <v>45503.0</v>
      </c>
      <c r="B319" s="410" t="s">
        <v>705</v>
      </c>
      <c r="C319" s="411" t="s">
        <v>706</v>
      </c>
      <c r="D319" s="343" t="s">
        <v>54</v>
      </c>
      <c r="E319" s="343" t="s">
        <v>989</v>
      </c>
      <c r="F319" s="413">
        <v>8643.36</v>
      </c>
      <c r="G319" s="403"/>
      <c r="H319" s="349" t="s">
        <v>707</v>
      </c>
      <c r="I319" s="404" t="str">
        <f t="shared" si="6"/>
        <v>NOT PAID</v>
      </c>
      <c r="J319" s="402"/>
      <c r="K319" s="402"/>
      <c r="L319" s="402"/>
      <c r="M319" s="402"/>
      <c r="N319" s="402"/>
      <c r="O319" s="402"/>
      <c r="P319" s="402"/>
      <c r="Q319" s="402"/>
      <c r="R319" s="402"/>
      <c r="S319" s="402"/>
      <c r="T319" s="402"/>
      <c r="U319" s="402"/>
      <c r="V319" s="402"/>
      <c r="W319" s="402"/>
      <c r="X319" s="402"/>
      <c r="Y319" s="402"/>
      <c r="Z319" s="402"/>
      <c r="AA319" s="405"/>
      <c r="AB319" s="405"/>
    </row>
    <row r="320" ht="14.25" customHeight="1">
      <c r="A320" s="451">
        <v>45503.0</v>
      </c>
      <c r="B320" s="410" t="s">
        <v>711</v>
      </c>
      <c r="C320" s="411" t="s">
        <v>712</v>
      </c>
      <c r="D320" s="411" t="s">
        <v>75</v>
      </c>
      <c r="E320" s="343" t="s">
        <v>989</v>
      </c>
      <c r="F320" s="416">
        <v>264387.25</v>
      </c>
      <c r="G320" s="403"/>
      <c r="H320" s="349" t="s">
        <v>1038</v>
      </c>
      <c r="I320" s="404" t="str">
        <f t="shared" si="6"/>
        <v>NOT PAID</v>
      </c>
      <c r="J320" s="402"/>
      <c r="K320" s="402"/>
      <c r="L320" s="402"/>
      <c r="M320" s="402"/>
      <c r="N320" s="402"/>
      <c r="O320" s="402"/>
      <c r="P320" s="402"/>
      <c r="Q320" s="402"/>
      <c r="R320" s="402"/>
      <c r="S320" s="402"/>
      <c r="T320" s="402"/>
      <c r="U320" s="402"/>
      <c r="V320" s="402"/>
      <c r="W320" s="402"/>
      <c r="X320" s="402"/>
      <c r="Y320" s="402"/>
      <c r="Z320" s="402"/>
      <c r="AA320" s="405"/>
      <c r="AB320" s="405"/>
    </row>
    <row r="321" ht="14.25" customHeight="1">
      <c r="A321" s="429">
        <v>45503.0</v>
      </c>
      <c r="B321" s="343" t="s">
        <v>990</v>
      </c>
      <c r="C321" s="344" t="s">
        <v>991</v>
      </c>
      <c r="D321" s="344" t="s">
        <v>75</v>
      </c>
      <c r="E321" s="343" t="s">
        <v>989</v>
      </c>
      <c r="F321" s="452">
        <v>149500.0</v>
      </c>
      <c r="G321" s="403"/>
      <c r="H321" s="349" t="s">
        <v>992</v>
      </c>
      <c r="I321" s="404" t="str">
        <f t="shared" si="6"/>
        <v>NOT PAID</v>
      </c>
      <c r="J321" s="402"/>
      <c r="K321" s="402"/>
      <c r="L321" s="402"/>
      <c r="M321" s="402"/>
      <c r="N321" s="402"/>
      <c r="O321" s="402"/>
      <c r="P321" s="402"/>
      <c r="Q321" s="402"/>
      <c r="R321" s="402"/>
      <c r="S321" s="402"/>
      <c r="T321" s="402"/>
      <c r="U321" s="402"/>
      <c r="V321" s="402"/>
      <c r="W321" s="402"/>
      <c r="X321" s="402"/>
      <c r="Y321" s="402"/>
      <c r="Z321" s="402"/>
      <c r="AA321" s="405"/>
      <c r="AB321" s="405"/>
    </row>
    <row r="322" ht="14.25" customHeight="1">
      <c r="A322" s="451">
        <v>45503.0</v>
      </c>
      <c r="B322" s="414" t="s">
        <v>701</v>
      </c>
      <c r="C322" s="415" t="s">
        <v>702</v>
      </c>
      <c r="D322" s="343" t="s">
        <v>54</v>
      </c>
      <c r="E322" s="343" t="s">
        <v>989</v>
      </c>
      <c r="F322" s="453">
        <v>16309.2</v>
      </c>
      <c r="G322" s="403"/>
      <c r="H322" s="349" t="s">
        <v>805</v>
      </c>
      <c r="I322" s="404" t="str">
        <f t="shared" si="6"/>
        <v>NOT PAID</v>
      </c>
      <c r="J322" s="402"/>
      <c r="K322" s="402"/>
      <c r="L322" s="402"/>
      <c r="M322" s="402"/>
      <c r="N322" s="402"/>
      <c r="O322" s="402"/>
      <c r="P322" s="402"/>
      <c r="Q322" s="402"/>
      <c r="R322" s="402"/>
      <c r="S322" s="402"/>
      <c r="T322" s="402"/>
      <c r="U322" s="402"/>
      <c r="V322" s="402"/>
      <c r="W322" s="402"/>
      <c r="X322" s="402"/>
      <c r="Y322" s="402"/>
      <c r="Z322" s="402"/>
      <c r="AA322" s="405"/>
      <c r="AB322" s="405"/>
    </row>
    <row r="323" ht="14.25" customHeight="1">
      <c r="A323" s="451">
        <v>45503.0</v>
      </c>
      <c r="B323" s="414" t="s">
        <v>729</v>
      </c>
      <c r="C323" s="415" t="s">
        <v>995</v>
      </c>
      <c r="D323" s="343" t="s">
        <v>54</v>
      </c>
      <c r="E323" s="343" t="s">
        <v>989</v>
      </c>
      <c r="F323" s="453">
        <v>200000.0</v>
      </c>
      <c r="G323" s="413">
        <v>357832.0</v>
      </c>
      <c r="H323" s="349" t="s">
        <v>1039</v>
      </c>
      <c r="I323" s="404" t="str">
        <f t="shared" si="6"/>
        <v>FULLY PAID</v>
      </c>
      <c r="J323" s="402"/>
      <c r="K323" s="402"/>
      <c r="L323" s="402"/>
      <c r="M323" s="402"/>
      <c r="N323" s="402"/>
      <c r="O323" s="402"/>
      <c r="P323" s="402"/>
      <c r="Q323" s="402"/>
      <c r="R323" s="402"/>
      <c r="S323" s="402"/>
      <c r="T323" s="402"/>
      <c r="U323" s="402"/>
      <c r="V323" s="402"/>
      <c r="W323" s="402"/>
      <c r="X323" s="402"/>
      <c r="Y323" s="402"/>
      <c r="Z323" s="402"/>
      <c r="AA323" s="405"/>
      <c r="AB323" s="405"/>
    </row>
    <row r="324" ht="14.25" customHeight="1">
      <c r="A324" s="451">
        <v>45503.0</v>
      </c>
      <c r="B324" s="414" t="s">
        <v>723</v>
      </c>
      <c r="C324" s="415" t="s">
        <v>1040</v>
      </c>
      <c r="D324" s="343" t="s">
        <v>54</v>
      </c>
      <c r="E324" s="343" t="s">
        <v>989</v>
      </c>
      <c r="F324" s="453">
        <v>23000.0</v>
      </c>
      <c r="G324" s="403"/>
      <c r="H324" s="349" t="s">
        <v>694</v>
      </c>
      <c r="I324" s="404" t="str">
        <f t="shared" si="6"/>
        <v>NOT PAID</v>
      </c>
      <c r="J324" s="402"/>
      <c r="K324" s="402"/>
      <c r="L324" s="402"/>
      <c r="M324" s="402"/>
      <c r="N324" s="402"/>
      <c r="O324" s="402"/>
      <c r="P324" s="402"/>
      <c r="Q324" s="402"/>
      <c r="R324" s="402"/>
      <c r="S324" s="402"/>
      <c r="T324" s="402"/>
      <c r="U324" s="402"/>
      <c r="V324" s="402"/>
      <c r="W324" s="402"/>
      <c r="X324" s="402"/>
      <c r="Y324" s="402"/>
      <c r="Z324" s="402"/>
      <c r="AA324" s="405"/>
      <c r="AB324" s="405"/>
    </row>
    <row r="325" ht="14.25" customHeight="1">
      <c r="A325" s="429">
        <v>45503.0</v>
      </c>
      <c r="B325" s="343" t="s">
        <v>997</v>
      </c>
      <c r="C325" s="344" t="s">
        <v>998</v>
      </c>
      <c r="D325" s="344" t="s">
        <v>263</v>
      </c>
      <c r="E325" s="412" t="s">
        <v>693</v>
      </c>
      <c r="F325" s="452">
        <v>78045.0</v>
      </c>
      <c r="G325" s="403"/>
      <c r="H325" s="349" t="s">
        <v>999</v>
      </c>
      <c r="I325" s="404" t="str">
        <f t="shared" si="6"/>
        <v>NOT PAID</v>
      </c>
      <c r="J325" s="402"/>
      <c r="K325" s="402"/>
      <c r="L325" s="402"/>
      <c r="M325" s="402"/>
      <c r="N325" s="402"/>
      <c r="O325" s="402"/>
      <c r="P325" s="402"/>
      <c r="Q325" s="402"/>
      <c r="R325" s="402"/>
      <c r="S325" s="402"/>
      <c r="T325" s="402"/>
      <c r="U325" s="402"/>
      <c r="V325" s="402"/>
      <c r="W325" s="402"/>
      <c r="X325" s="402"/>
      <c r="Y325" s="402"/>
      <c r="Z325" s="402"/>
      <c r="AA325" s="405"/>
      <c r="AB325" s="405"/>
    </row>
    <row r="326" ht="14.25" customHeight="1">
      <c r="A326" s="451">
        <v>45503.0</v>
      </c>
      <c r="B326" s="410" t="s">
        <v>695</v>
      </c>
      <c r="C326" s="411" t="s">
        <v>696</v>
      </c>
      <c r="D326" s="343" t="s">
        <v>54</v>
      </c>
      <c r="E326" s="412" t="s">
        <v>693</v>
      </c>
      <c r="F326" s="413">
        <v>61772.77</v>
      </c>
      <c r="G326" s="413">
        <v>74900.0</v>
      </c>
      <c r="H326" s="349" t="s">
        <v>1039</v>
      </c>
      <c r="I326" s="404" t="str">
        <f t="shared" si="6"/>
        <v>FULLY PAID</v>
      </c>
      <c r="J326" s="402"/>
      <c r="K326" s="402"/>
      <c r="L326" s="402"/>
      <c r="M326" s="402"/>
      <c r="N326" s="402"/>
      <c r="O326" s="402"/>
      <c r="P326" s="402"/>
      <c r="Q326" s="402"/>
      <c r="R326" s="402"/>
      <c r="S326" s="402"/>
      <c r="T326" s="402"/>
      <c r="U326" s="402"/>
      <c r="V326" s="402"/>
      <c r="W326" s="402"/>
      <c r="X326" s="402"/>
      <c r="Y326" s="402"/>
      <c r="Z326" s="402"/>
      <c r="AA326" s="405"/>
      <c r="AB326" s="405"/>
    </row>
    <row r="327" ht="14.25" customHeight="1">
      <c r="A327" s="429">
        <v>45503.0</v>
      </c>
      <c r="B327" s="414" t="s">
        <v>698</v>
      </c>
      <c r="C327" s="415" t="s">
        <v>699</v>
      </c>
      <c r="D327" s="343" t="s">
        <v>54</v>
      </c>
      <c r="E327" s="412" t="s">
        <v>693</v>
      </c>
      <c r="F327" s="413">
        <v>7648.0</v>
      </c>
      <c r="G327" s="403"/>
      <c r="H327" s="349" t="s">
        <v>1000</v>
      </c>
      <c r="I327" s="404" t="str">
        <f t="shared" si="6"/>
        <v>NOT PAID</v>
      </c>
      <c r="J327" s="402"/>
      <c r="K327" s="402"/>
      <c r="L327" s="402"/>
      <c r="M327" s="402"/>
      <c r="N327" s="402"/>
      <c r="O327" s="402"/>
      <c r="P327" s="402"/>
      <c r="Q327" s="402"/>
      <c r="R327" s="402"/>
      <c r="S327" s="402"/>
      <c r="T327" s="402"/>
      <c r="U327" s="402"/>
      <c r="V327" s="402"/>
      <c r="W327" s="402"/>
      <c r="X327" s="402"/>
      <c r="Y327" s="402"/>
      <c r="Z327" s="402"/>
      <c r="AA327" s="405"/>
      <c r="AB327" s="405"/>
    </row>
    <row r="328" ht="14.25" customHeight="1">
      <c r="A328" s="451">
        <v>45503.0</v>
      </c>
      <c r="B328" s="414" t="s">
        <v>691</v>
      </c>
      <c r="C328" s="415" t="s">
        <v>692</v>
      </c>
      <c r="D328" s="343" t="s">
        <v>54</v>
      </c>
      <c r="E328" s="412" t="s">
        <v>693</v>
      </c>
      <c r="F328" s="453">
        <v>3780.0</v>
      </c>
      <c r="G328" s="403"/>
      <c r="H328" s="349" t="s">
        <v>1041</v>
      </c>
      <c r="I328" s="404" t="str">
        <f t="shared" si="6"/>
        <v>NOT PAID</v>
      </c>
      <c r="J328" s="402"/>
      <c r="K328" s="402"/>
      <c r="L328" s="402"/>
      <c r="M328" s="402"/>
      <c r="N328" s="402"/>
      <c r="O328" s="402"/>
      <c r="P328" s="402"/>
      <c r="Q328" s="402"/>
      <c r="R328" s="402"/>
      <c r="S328" s="402"/>
      <c r="T328" s="402"/>
      <c r="U328" s="402"/>
      <c r="V328" s="402"/>
      <c r="W328" s="402"/>
      <c r="X328" s="402"/>
      <c r="Y328" s="402"/>
      <c r="Z328" s="402"/>
      <c r="AA328" s="405"/>
      <c r="AB328" s="405"/>
    </row>
    <row r="329" ht="14.25" customHeight="1">
      <c r="A329" s="451">
        <v>45503.0</v>
      </c>
      <c r="B329" s="415" t="s">
        <v>1042</v>
      </c>
      <c r="C329" s="415" t="s">
        <v>1043</v>
      </c>
      <c r="D329" s="343" t="s">
        <v>54</v>
      </c>
      <c r="E329" s="412" t="s">
        <v>693</v>
      </c>
      <c r="F329" s="413">
        <v>48939.0</v>
      </c>
      <c r="G329" s="413">
        <v>48939.0</v>
      </c>
      <c r="H329" s="349" t="s">
        <v>267</v>
      </c>
      <c r="I329" s="404" t="str">
        <f t="shared" si="6"/>
        <v>FULLY PAID</v>
      </c>
      <c r="J329" s="402"/>
      <c r="K329" s="402"/>
      <c r="L329" s="402"/>
      <c r="M329" s="402"/>
      <c r="N329" s="402"/>
      <c r="O329" s="402"/>
      <c r="P329" s="402"/>
      <c r="Q329" s="402"/>
      <c r="R329" s="402"/>
      <c r="S329" s="402"/>
      <c r="T329" s="402"/>
      <c r="U329" s="402"/>
      <c r="V329" s="402"/>
      <c r="W329" s="402"/>
      <c r="X329" s="402"/>
      <c r="Y329" s="402"/>
      <c r="Z329" s="402"/>
      <c r="AA329" s="405"/>
      <c r="AB329" s="405"/>
    </row>
    <row r="330" ht="14.25" customHeight="1">
      <c r="A330" s="429">
        <v>45503.0</v>
      </c>
      <c r="B330" s="344" t="s">
        <v>742</v>
      </c>
      <c r="C330" s="344" t="s">
        <v>743</v>
      </c>
      <c r="D330" s="344" t="s">
        <v>54</v>
      </c>
      <c r="E330" s="344" t="s">
        <v>740</v>
      </c>
      <c r="F330" s="430">
        <v>112579.0</v>
      </c>
      <c r="G330" s="403"/>
      <c r="H330" s="349" t="s">
        <v>972</v>
      </c>
      <c r="I330" s="404" t="str">
        <f t="shared" si="6"/>
        <v>NOT PAID</v>
      </c>
      <c r="J330" s="402"/>
      <c r="K330" s="402"/>
      <c r="L330" s="402"/>
      <c r="M330" s="402"/>
      <c r="N330" s="402"/>
      <c r="O330" s="402"/>
      <c r="P330" s="402"/>
      <c r="Q330" s="402"/>
      <c r="R330" s="402"/>
      <c r="S330" s="402"/>
      <c r="T330" s="402"/>
      <c r="U330" s="402"/>
      <c r="V330" s="402"/>
      <c r="W330" s="402"/>
      <c r="X330" s="402"/>
      <c r="Y330" s="402"/>
      <c r="Z330" s="402"/>
      <c r="AA330" s="405"/>
      <c r="AB330" s="405"/>
    </row>
    <row r="331" ht="14.25" customHeight="1">
      <c r="A331" s="451">
        <v>45503.0</v>
      </c>
      <c r="B331" s="343" t="s">
        <v>1003</v>
      </c>
      <c r="C331" s="344" t="s">
        <v>1004</v>
      </c>
      <c r="D331" s="344" t="s">
        <v>54</v>
      </c>
      <c r="E331" s="344" t="s">
        <v>740</v>
      </c>
      <c r="F331" s="452">
        <v>357831.0</v>
      </c>
      <c r="G331" s="413">
        <v>100000.0</v>
      </c>
      <c r="H331" s="349" t="s">
        <v>734</v>
      </c>
      <c r="I331" s="404" t="str">
        <f t="shared" si="6"/>
        <v>PARTIALLY PAID</v>
      </c>
      <c r="J331" s="402"/>
      <c r="K331" s="402"/>
      <c r="L331" s="402"/>
      <c r="M331" s="402"/>
      <c r="N331" s="402"/>
      <c r="O331" s="402"/>
      <c r="P331" s="402"/>
      <c r="Q331" s="402"/>
      <c r="R331" s="402"/>
      <c r="S331" s="402"/>
      <c r="T331" s="402"/>
      <c r="U331" s="402"/>
      <c r="V331" s="402"/>
      <c r="W331" s="402"/>
      <c r="X331" s="402"/>
      <c r="Y331" s="402"/>
      <c r="Z331" s="402"/>
      <c r="AA331" s="405"/>
      <c r="AB331" s="405"/>
    </row>
    <row r="332" ht="14.25" customHeight="1">
      <c r="A332" s="429">
        <v>45503.0</v>
      </c>
      <c r="B332" s="344" t="s">
        <v>746</v>
      </c>
      <c r="C332" s="344" t="s">
        <v>747</v>
      </c>
      <c r="D332" s="344" t="s">
        <v>54</v>
      </c>
      <c r="E332" s="344" t="s">
        <v>740</v>
      </c>
      <c r="F332" s="442">
        <v>14378.5</v>
      </c>
      <c r="G332" s="403"/>
      <c r="H332" s="349" t="s">
        <v>1044</v>
      </c>
      <c r="I332" s="404" t="str">
        <f t="shared" si="6"/>
        <v>NOT PAID</v>
      </c>
      <c r="J332" s="402"/>
      <c r="K332" s="402"/>
      <c r="L332" s="402"/>
      <c r="M332" s="402"/>
      <c r="N332" s="402"/>
      <c r="O332" s="402"/>
      <c r="P332" s="402"/>
      <c r="Q332" s="402"/>
      <c r="R332" s="402"/>
      <c r="S332" s="402"/>
      <c r="T332" s="402"/>
      <c r="U332" s="402"/>
      <c r="V332" s="402"/>
      <c r="W332" s="402"/>
      <c r="X332" s="402"/>
      <c r="Y332" s="402"/>
      <c r="Z332" s="402"/>
      <c r="AA332" s="405"/>
      <c r="AB332" s="405"/>
    </row>
    <row r="333" ht="14.25" customHeight="1">
      <c r="A333" s="451">
        <v>45503.0</v>
      </c>
      <c r="B333" s="344" t="s">
        <v>749</v>
      </c>
      <c r="C333" s="344" t="s">
        <v>750</v>
      </c>
      <c r="D333" s="344" t="s">
        <v>54</v>
      </c>
      <c r="E333" s="344" t="s">
        <v>740</v>
      </c>
      <c r="F333" s="430">
        <v>30081.0</v>
      </c>
      <c r="G333" s="403"/>
      <c r="H333" s="349" t="s">
        <v>751</v>
      </c>
      <c r="I333" s="404" t="str">
        <f t="shared" si="6"/>
        <v>NOT PAID</v>
      </c>
      <c r="J333" s="402"/>
      <c r="K333" s="402"/>
      <c r="L333" s="402"/>
      <c r="M333" s="402"/>
      <c r="N333" s="402"/>
      <c r="O333" s="402"/>
      <c r="P333" s="402"/>
      <c r="Q333" s="402"/>
      <c r="R333" s="402"/>
      <c r="S333" s="402"/>
      <c r="T333" s="402"/>
      <c r="U333" s="402"/>
      <c r="V333" s="402"/>
      <c r="W333" s="402"/>
      <c r="X333" s="402"/>
      <c r="Y333" s="402"/>
      <c r="Z333" s="402"/>
      <c r="AA333" s="405"/>
      <c r="AB333" s="405"/>
    </row>
    <row r="334" ht="14.25" customHeight="1">
      <c r="A334" s="429">
        <v>45503.0</v>
      </c>
      <c r="B334" s="415" t="s">
        <v>825</v>
      </c>
      <c r="C334" s="415" t="s">
        <v>826</v>
      </c>
      <c r="D334" s="344" t="s">
        <v>54</v>
      </c>
      <c r="E334" s="344" t="s">
        <v>740</v>
      </c>
      <c r="F334" s="442">
        <v>300000.0</v>
      </c>
      <c r="G334" s="403"/>
      <c r="H334" s="349" t="s">
        <v>1045</v>
      </c>
      <c r="I334" s="404" t="str">
        <f t="shared" si="6"/>
        <v>NOT PAID</v>
      </c>
      <c r="J334" s="402"/>
      <c r="K334" s="402"/>
      <c r="L334" s="402"/>
      <c r="M334" s="402"/>
      <c r="N334" s="402"/>
      <c r="O334" s="402"/>
      <c r="P334" s="402"/>
      <c r="Q334" s="402"/>
      <c r="R334" s="402"/>
      <c r="S334" s="402"/>
      <c r="T334" s="402"/>
      <c r="U334" s="402"/>
      <c r="V334" s="402"/>
      <c r="W334" s="402"/>
      <c r="X334" s="402"/>
      <c r="Y334" s="402"/>
      <c r="Z334" s="402"/>
      <c r="AA334" s="405"/>
      <c r="AB334" s="405"/>
    </row>
    <row r="335" ht="14.25" customHeight="1">
      <c r="A335" s="451">
        <v>45503.0</v>
      </c>
      <c r="B335" s="415" t="s">
        <v>1046</v>
      </c>
      <c r="C335" s="415" t="s">
        <v>1047</v>
      </c>
      <c r="D335" s="344" t="s">
        <v>54</v>
      </c>
      <c r="E335" s="344" t="s">
        <v>740</v>
      </c>
      <c r="F335" s="442">
        <v>21511.33</v>
      </c>
      <c r="G335" s="403"/>
      <c r="H335" s="349" t="s">
        <v>1014</v>
      </c>
      <c r="I335" s="404" t="str">
        <f t="shared" si="6"/>
        <v>NOT PAID</v>
      </c>
      <c r="J335" s="402"/>
      <c r="K335" s="402"/>
      <c r="L335" s="402"/>
      <c r="M335" s="402"/>
      <c r="N335" s="402"/>
      <c r="O335" s="402"/>
      <c r="P335" s="402"/>
      <c r="Q335" s="402"/>
      <c r="R335" s="402"/>
      <c r="S335" s="402"/>
      <c r="T335" s="402"/>
      <c r="U335" s="402"/>
      <c r="V335" s="402"/>
      <c r="W335" s="402"/>
      <c r="X335" s="402"/>
      <c r="Y335" s="402"/>
      <c r="Z335" s="402"/>
      <c r="AA335" s="405"/>
      <c r="AB335" s="405"/>
    </row>
    <row r="336" ht="14.25" customHeight="1">
      <c r="A336" s="429">
        <v>45503.0</v>
      </c>
      <c r="B336" s="415" t="s">
        <v>870</v>
      </c>
      <c r="C336" s="415" t="s">
        <v>871</v>
      </c>
      <c r="D336" s="344" t="s">
        <v>54</v>
      </c>
      <c r="E336" s="344" t="s">
        <v>740</v>
      </c>
      <c r="F336" s="442">
        <v>20000.0</v>
      </c>
      <c r="G336" s="413">
        <v>19830.0</v>
      </c>
      <c r="H336" s="349" t="s">
        <v>267</v>
      </c>
      <c r="I336" s="404" t="str">
        <f t="shared" si="6"/>
        <v>PARTIALLY PAID</v>
      </c>
      <c r="J336" s="402"/>
      <c r="K336" s="402"/>
      <c r="L336" s="402"/>
      <c r="M336" s="402"/>
      <c r="N336" s="402"/>
      <c r="O336" s="402"/>
      <c r="P336" s="402"/>
      <c r="Q336" s="402"/>
      <c r="R336" s="402"/>
      <c r="S336" s="402"/>
      <c r="T336" s="402"/>
      <c r="U336" s="402"/>
      <c r="V336" s="402"/>
      <c r="W336" s="402"/>
      <c r="X336" s="402"/>
      <c r="Y336" s="402"/>
      <c r="Z336" s="402"/>
      <c r="AA336" s="405"/>
      <c r="AB336" s="405"/>
    </row>
    <row r="337" ht="14.25" customHeight="1">
      <c r="A337" s="429">
        <v>45503.0</v>
      </c>
      <c r="B337" s="343" t="s">
        <v>1006</v>
      </c>
      <c r="C337" s="344" t="s">
        <v>1007</v>
      </c>
      <c r="D337" s="344" t="s">
        <v>75</v>
      </c>
      <c r="E337" s="349" t="s">
        <v>733</v>
      </c>
      <c r="F337" s="452">
        <v>172500.0</v>
      </c>
      <c r="G337" s="413">
        <v>0.0</v>
      </c>
      <c r="H337" s="349" t="s">
        <v>1048</v>
      </c>
      <c r="I337" s="404" t="str">
        <f t="shared" si="6"/>
        <v>NOT PAID</v>
      </c>
      <c r="J337" s="402"/>
      <c r="K337" s="402"/>
      <c r="L337" s="402"/>
      <c r="M337" s="402"/>
      <c r="N337" s="402"/>
      <c r="O337" s="402"/>
      <c r="P337" s="402"/>
      <c r="Q337" s="402"/>
      <c r="R337" s="402"/>
      <c r="S337" s="402"/>
      <c r="T337" s="402"/>
      <c r="U337" s="402"/>
      <c r="V337" s="402"/>
      <c r="W337" s="402"/>
      <c r="X337" s="402"/>
      <c r="Y337" s="402"/>
      <c r="Z337" s="402"/>
      <c r="AA337" s="405"/>
      <c r="AB337" s="405"/>
    </row>
    <row r="338" ht="14.25" customHeight="1">
      <c r="A338" s="451">
        <v>45503.0</v>
      </c>
      <c r="B338" s="349" t="s">
        <v>731</v>
      </c>
      <c r="C338" s="421" t="s">
        <v>732</v>
      </c>
      <c r="D338" s="421" t="s">
        <v>54</v>
      </c>
      <c r="E338" s="349" t="s">
        <v>733</v>
      </c>
      <c r="F338" s="413">
        <v>11892.0</v>
      </c>
      <c r="G338" s="413">
        <v>0.0</v>
      </c>
      <c r="H338" s="349" t="s">
        <v>1049</v>
      </c>
      <c r="I338" s="404" t="str">
        <f t="shared" si="6"/>
        <v>NOT PAID</v>
      </c>
      <c r="J338" s="402"/>
      <c r="K338" s="402"/>
      <c r="L338" s="402"/>
      <c r="M338" s="402"/>
      <c r="N338" s="402"/>
      <c r="O338" s="402"/>
      <c r="P338" s="402"/>
      <c r="Q338" s="402"/>
      <c r="R338" s="402"/>
      <c r="S338" s="402"/>
      <c r="T338" s="402"/>
      <c r="U338" s="402"/>
      <c r="V338" s="402"/>
      <c r="W338" s="402"/>
      <c r="X338" s="402"/>
      <c r="Y338" s="402"/>
      <c r="Z338" s="402"/>
      <c r="AA338" s="405"/>
      <c r="AB338" s="405"/>
    </row>
    <row r="339" ht="14.25" customHeight="1">
      <c r="A339" s="429">
        <v>45503.0</v>
      </c>
      <c r="B339" s="417" t="s">
        <v>918</v>
      </c>
      <c r="C339" s="418" t="s">
        <v>919</v>
      </c>
      <c r="D339" s="418" t="s">
        <v>54</v>
      </c>
      <c r="E339" s="349" t="s">
        <v>733</v>
      </c>
      <c r="F339" s="413">
        <v>30348.24</v>
      </c>
      <c r="G339" s="413">
        <v>0.0</v>
      </c>
      <c r="H339" s="349" t="s">
        <v>1050</v>
      </c>
      <c r="I339" s="404" t="str">
        <f t="shared" si="6"/>
        <v>NOT PAID</v>
      </c>
      <c r="J339" s="402"/>
      <c r="K339" s="402"/>
      <c r="L339" s="402"/>
      <c r="M339" s="402"/>
      <c r="N339" s="402"/>
      <c r="O339" s="402"/>
      <c r="P339" s="402"/>
      <c r="Q339" s="402"/>
      <c r="R339" s="402"/>
      <c r="S339" s="402"/>
      <c r="T339" s="402"/>
      <c r="U339" s="402"/>
      <c r="V339" s="402"/>
      <c r="W339" s="402"/>
      <c r="X339" s="402"/>
      <c r="Y339" s="402"/>
      <c r="Z339" s="402"/>
      <c r="AA339" s="405"/>
      <c r="AB339" s="405"/>
    </row>
    <row r="340" ht="14.25" customHeight="1">
      <c r="A340" s="451">
        <v>45503.0</v>
      </c>
      <c r="B340" s="444" t="s">
        <v>921</v>
      </c>
      <c r="C340" s="408" t="s">
        <v>922</v>
      </c>
      <c r="D340" s="408" t="s">
        <v>54</v>
      </c>
      <c r="E340" s="349" t="s">
        <v>733</v>
      </c>
      <c r="F340" s="416">
        <v>24415.95</v>
      </c>
      <c r="G340" s="413">
        <v>0.0</v>
      </c>
      <c r="H340" s="349" t="s">
        <v>1051</v>
      </c>
      <c r="I340" s="404" t="str">
        <f t="shared" si="6"/>
        <v>NOT PAID</v>
      </c>
      <c r="J340" s="402"/>
      <c r="K340" s="402"/>
      <c r="L340" s="402"/>
      <c r="M340" s="402"/>
      <c r="N340" s="402"/>
      <c r="O340" s="402"/>
      <c r="P340" s="402"/>
      <c r="Q340" s="402"/>
      <c r="R340" s="402"/>
      <c r="S340" s="402"/>
      <c r="T340" s="402"/>
      <c r="U340" s="402"/>
      <c r="V340" s="402"/>
      <c r="W340" s="402"/>
      <c r="X340" s="402"/>
      <c r="Y340" s="402"/>
      <c r="Z340" s="402"/>
      <c r="AA340" s="405"/>
      <c r="AB340" s="405"/>
    </row>
    <row r="341" ht="14.25" customHeight="1">
      <c r="A341" s="429">
        <v>45503.0</v>
      </c>
      <c r="B341" s="343" t="s">
        <v>1012</v>
      </c>
      <c r="C341" s="344" t="s">
        <v>1013</v>
      </c>
      <c r="D341" s="344" t="s">
        <v>75</v>
      </c>
      <c r="E341" s="410" t="s">
        <v>759</v>
      </c>
      <c r="F341" s="452">
        <v>324500.0</v>
      </c>
      <c r="G341" s="413">
        <v>80000.0</v>
      </c>
      <c r="H341" s="349" t="s">
        <v>1052</v>
      </c>
      <c r="I341" s="404" t="str">
        <f t="shared" si="6"/>
        <v>PARTIALLY PAID</v>
      </c>
      <c r="J341" s="402"/>
      <c r="K341" s="402"/>
      <c r="L341" s="402"/>
      <c r="M341" s="402"/>
      <c r="N341" s="402"/>
      <c r="O341" s="402"/>
      <c r="P341" s="402"/>
      <c r="Q341" s="402"/>
      <c r="R341" s="402"/>
      <c r="S341" s="402"/>
      <c r="T341" s="402"/>
      <c r="U341" s="402"/>
      <c r="V341" s="402"/>
      <c r="W341" s="402"/>
      <c r="X341" s="402"/>
      <c r="Y341" s="402"/>
      <c r="Z341" s="402"/>
      <c r="AA341" s="405"/>
      <c r="AB341" s="405"/>
    </row>
    <row r="342" ht="14.25" customHeight="1">
      <c r="A342" s="451">
        <v>45503.0</v>
      </c>
      <c r="B342" s="349" t="s">
        <v>757</v>
      </c>
      <c r="C342" s="421" t="s">
        <v>875</v>
      </c>
      <c r="D342" s="421" t="s">
        <v>75</v>
      </c>
      <c r="E342" s="410" t="s">
        <v>759</v>
      </c>
      <c r="F342" s="416">
        <v>16485.25</v>
      </c>
      <c r="G342" s="413">
        <v>0.0</v>
      </c>
      <c r="H342" s="349" t="s">
        <v>1053</v>
      </c>
      <c r="I342" s="404" t="str">
        <f t="shared" si="6"/>
        <v>NOT PAID</v>
      </c>
      <c r="J342" s="402"/>
      <c r="K342" s="402"/>
      <c r="L342" s="402"/>
      <c r="M342" s="402"/>
      <c r="N342" s="402"/>
      <c r="O342" s="402"/>
      <c r="P342" s="402"/>
      <c r="Q342" s="402"/>
      <c r="R342" s="402"/>
      <c r="S342" s="402"/>
      <c r="T342" s="402"/>
      <c r="U342" s="402"/>
      <c r="V342" s="402"/>
      <c r="W342" s="402"/>
      <c r="X342" s="402"/>
      <c r="Y342" s="402"/>
      <c r="Z342" s="402"/>
      <c r="AA342" s="405"/>
      <c r="AB342" s="405"/>
    </row>
    <row r="343" ht="14.25" customHeight="1">
      <c r="A343" s="429">
        <v>45503.0</v>
      </c>
      <c r="B343" s="410" t="s">
        <v>761</v>
      </c>
      <c r="C343" s="408" t="s">
        <v>765</v>
      </c>
      <c r="D343" s="411" t="s">
        <v>54</v>
      </c>
      <c r="E343" s="410" t="s">
        <v>759</v>
      </c>
      <c r="F343" s="416">
        <v>21646.1</v>
      </c>
      <c r="G343" s="413">
        <v>0.0</v>
      </c>
      <c r="H343" s="349" t="s">
        <v>1016</v>
      </c>
      <c r="I343" s="404" t="str">
        <f t="shared" si="6"/>
        <v>NOT PAID</v>
      </c>
      <c r="J343" s="402"/>
      <c r="K343" s="402"/>
      <c r="L343" s="402"/>
      <c r="M343" s="402"/>
      <c r="N343" s="402"/>
      <c r="O343" s="402"/>
      <c r="P343" s="402"/>
      <c r="Q343" s="402"/>
      <c r="R343" s="402"/>
      <c r="S343" s="402"/>
      <c r="T343" s="402"/>
      <c r="U343" s="402"/>
      <c r="V343" s="402"/>
      <c r="W343" s="402"/>
      <c r="X343" s="402"/>
      <c r="Y343" s="402"/>
      <c r="Z343" s="402"/>
      <c r="AA343" s="405"/>
      <c r="AB343" s="405"/>
    </row>
    <row r="344" ht="14.25" customHeight="1">
      <c r="A344" s="451">
        <v>45503.0</v>
      </c>
      <c r="B344" s="407" t="s">
        <v>915</v>
      </c>
      <c r="C344" s="408" t="s">
        <v>916</v>
      </c>
      <c r="D344" s="408" t="s">
        <v>54</v>
      </c>
      <c r="E344" s="410" t="s">
        <v>759</v>
      </c>
      <c r="F344" s="416">
        <v>45922.0</v>
      </c>
      <c r="G344" s="413">
        <v>0.0</v>
      </c>
      <c r="H344" s="349" t="s">
        <v>1054</v>
      </c>
      <c r="I344" s="404" t="str">
        <f t="shared" si="6"/>
        <v>NOT PAID</v>
      </c>
      <c r="J344" s="402"/>
      <c r="K344" s="402"/>
      <c r="L344" s="402"/>
      <c r="M344" s="402"/>
      <c r="N344" s="402"/>
      <c r="O344" s="402"/>
      <c r="P344" s="402"/>
      <c r="Q344" s="402"/>
      <c r="R344" s="402"/>
      <c r="S344" s="402"/>
      <c r="T344" s="402"/>
      <c r="U344" s="402"/>
      <c r="V344" s="402"/>
      <c r="W344" s="402"/>
      <c r="X344" s="402"/>
      <c r="Y344" s="402"/>
      <c r="Z344" s="402"/>
      <c r="AA344" s="405"/>
      <c r="AB344" s="405"/>
    </row>
    <row r="345" ht="14.25" customHeight="1">
      <c r="A345" s="429">
        <v>45503.0</v>
      </c>
      <c r="B345" s="410" t="s">
        <v>761</v>
      </c>
      <c r="C345" s="411" t="s">
        <v>762</v>
      </c>
      <c r="D345" s="411" t="s">
        <v>59</v>
      </c>
      <c r="E345" s="410" t="s">
        <v>759</v>
      </c>
      <c r="F345" s="416">
        <v>11646.1</v>
      </c>
      <c r="G345" s="413">
        <v>0.0</v>
      </c>
      <c r="H345" s="402"/>
      <c r="I345" s="404" t="str">
        <f t="shared" si="6"/>
        <v>NOT PAID</v>
      </c>
      <c r="J345" s="452"/>
      <c r="K345" s="402"/>
      <c r="L345" s="402"/>
      <c r="M345" s="402"/>
      <c r="N345" s="402"/>
      <c r="O345" s="402"/>
      <c r="P345" s="402"/>
      <c r="Q345" s="402"/>
      <c r="R345" s="402"/>
      <c r="S345" s="402"/>
      <c r="T345" s="402"/>
      <c r="U345" s="402"/>
      <c r="V345" s="402"/>
      <c r="W345" s="402"/>
      <c r="X345" s="402"/>
      <c r="Y345" s="402"/>
      <c r="Z345" s="402"/>
      <c r="AA345" s="405"/>
      <c r="AB345" s="405"/>
    </row>
    <row r="346" ht="14.25" customHeight="1">
      <c r="A346" s="451">
        <v>45503.0</v>
      </c>
      <c r="B346" s="349" t="s">
        <v>774</v>
      </c>
      <c r="C346" s="349" t="s">
        <v>799</v>
      </c>
      <c r="D346" s="349" t="s">
        <v>54</v>
      </c>
      <c r="E346" s="410" t="s">
        <v>759</v>
      </c>
      <c r="F346" s="413">
        <v>80000.0</v>
      </c>
      <c r="G346" s="413">
        <v>54000.0</v>
      </c>
      <c r="H346" s="349" t="s">
        <v>1055</v>
      </c>
      <c r="I346" s="404" t="str">
        <f t="shared" si="6"/>
        <v>PARTIALLY PAID</v>
      </c>
      <c r="J346" s="416"/>
      <c r="K346" s="402"/>
      <c r="L346" s="402"/>
      <c r="M346" s="402"/>
      <c r="N346" s="402"/>
      <c r="O346" s="402"/>
      <c r="P346" s="402"/>
      <c r="Q346" s="402"/>
      <c r="R346" s="402"/>
      <c r="S346" s="402"/>
      <c r="T346" s="402"/>
      <c r="U346" s="402"/>
      <c r="V346" s="402"/>
      <c r="W346" s="402"/>
      <c r="X346" s="402"/>
      <c r="Y346" s="402"/>
      <c r="Z346" s="402"/>
      <c r="AA346" s="405"/>
      <c r="AB346" s="405"/>
    </row>
    <row r="347" ht="14.25" customHeight="1">
      <c r="A347" s="429">
        <v>45503.0</v>
      </c>
      <c r="B347" s="343" t="s">
        <v>960</v>
      </c>
      <c r="C347" s="344" t="s">
        <v>961</v>
      </c>
      <c r="D347" s="344" t="s">
        <v>54</v>
      </c>
      <c r="E347" s="343" t="s">
        <v>779</v>
      </c>
      <c r="F347" s="69">
        <v>90565.3</v>
      </c>
      <c r="G347" s="403"/>
      <c r="H347" s="349" t="s">
        <v>1056</v>
      </c>
      <c r="I347" s="404" t="str">
        <f t="shared" si="6"/>
        <v>NOT PAID</v>
      </c>
      <c r="J347" s="416"/>
      <c r="K347" s="402"/>
      <c r="L347" s="402"/>
      <c r="M347" s="402"/>
      <c r="N347" s="402"/>
      <c r="O347" s="402"/>
      <c r="P347" s="402"/>
      <c r="Q347" s="402"/>
      <c r="R347" s="402"/>
      <c r="S347" s="402"/>
      <c r="T347" s="402"/>
      <c r="U347" s="402"/>
      <c r="V347" s="402"/>
      <c r="W347" s="402"/>
      <c r="X347" s="402"/>
      <c r="Y347" s="402"/>
      <c r="Z347" s="402"/>
      <c r="AA347" s="405"/>
      <c r="AB347" s="405"/>
    </row>
    <row r="348" ht="14.25" customHeight="1">
      <c r="A348" s="429">
        <v>45503.0</v>
      </c>
      <c r="B348" s="343" t="s">
        <v>781</v>
      </c>
      <c r="C348" s="344" t="s">
        <v>782</v>
      </c>
      <c r="D348" s="344" t="s">
        <v>54</v>
      </c>
      <c r="E348" s="343" t="s">
        <v>779</v>
      </c>
      <c r="F348" s="452">
        <v>21742.38</v>
      </c>
      <c r="G348" s="403"/>
      <c r="H348" s="349" t="s">
        <v>1057</v>
      </c>
      <c r="I348" s="404" t="str">
        <f t="shared" si="6"/>
        <v>NOT PAID</v>
      </c>
      <c r="J348" s="416"/>
      <c r="K348" s="402"/>
      <c r="L348" s="402"/>
      <c r="M348" s="402"/>
      <c r="N348" s="402"/>
      <c r="O348" s="402"/>
      <c r="P348" s="402"/>
      <c r="Q348" s="402"/>
      <c r="R348" s="402"/>
      <c r="S348" s="402"/>
      <c r="T348" s="402"/>
      <c r="U348" s="402"/>
      <c r="V348" s="402"/>
      <c r="W348" s="402"/>
      <c r="X348" s="402"/>
      <c r="Y348" s="402"/>
      <c r="Z348" s="402"/>
      <c r="AA348" s="405"/>
      <c r="AB348" s="405"/>
    </row>
    <row r="349" ht="14.25" customHeight="1">
      <c r="A349" s="429">
        <v>45503.0</v>
      </c>
      <c r="B349" s="349" t="s">
        <v>777</v>
      </c>
      <c r="C349" s="421" t="s">
        <v>929</v>
      </c>
      <c r="D349" s="421" t="s">
        <v>54</v>
      </c>
      <c r="E349" s="416" t="s">
        <v>779</v>
      </c>
      <c r="F349" s="416">
        <v>98000.0</v>
      </c>
      <c r="G349" s="403"/>
      <c r="H349" s="349" t="s">
        <v>1058</v>
      </c>
      <c r="I349" s="404" t="str">
        <f t="shared" si="6"/>
        <v>NOT PAID</v>
      </c>
      <c r="J349" s="416"/>
      <c r="K349" s="402"/>
      <c r="L349" s="402"/>
      <c r="M349" s="402"/>
      <c r="N349" s="402"/>
      <c r="O349" s="402"/>
      <c r="P349" s="402"/>
      <c r="Q349" s="402"/>
      <c r="R349" s="402"/>
      <c r="S349" s="402"/>
      <c r="T349" s="402"/>
      <c r="U349" s="402"/>
      <c r="V349" s="402"/>
      <c r="W349" s="402"/>
      <c r="X349" s="402"/>
      <c r="Y349" s="402"/>
      <c r="Z349" s="402"/>
      <c r="AA349" s="405"/>
      <c r="AB349" s="405"/>
    </row>
    <row r="350" ht="14.25" customHeight="1">
      <c r="A350" s="451">
        <v>45503.0</v>
      </c>
      <c r="B350" s="349" t="s">
        <v>983</v>
      </c>
      <c r="C350" s="421" t="s">
        <v>984</v>
      </c>
      <c r="D350" s="421" t="s">
        <v>54</v>
      </c>
      <c r="E350" s="416" t="s">
        <v>779</v>
      </c>
      <c r="F350" s="416">
        <v>259542.25</v>
      </c>
      <c r="G350" s="413">
        <v>259545.0</v>
      </c>
      <c r="H350" s="349" t="s">
        <v>1059</v>
      </c>
      <c r="I350" s="404" t="str">
        <f t="shared" si="6"/>
        <v>FULLY PAID</v>
      </c>
      <c r="J350" s="413"/>
      <c r="K350" s="402"/>
      <c r="L350" s="402"/>
      <c r="M350" s="402"/>
      <c r="N350" s="402"/>
      <c r="O350" s="402"/>
      <c r="P350" s="402"/>
      <c r="Q350" s="402"/>
      <c r="R350" s="402"/>
      <c r="S350" s="402"/>
      <c r="T350" s="402"/>
      <c r="U350" s="402"/>
      <c r="V350" s="402"/>
      <c r="W350" s="402"/>
      <c r="X350" s="402"/>
      <c r="Y350" s="402"/>
      <c r="Z350" s="402"/>
      <c r="AA350" s="405"/>
      <c r="AB350" s="405"/>
    </row>
    <row r="351" ht="14.25" customHeight="1">
      <c r="A351" s="429">
        <v>45503.0</v>
      </c>
      <c r="B351" s="349" t="s">
        <v>791</v>
      </c>
      <c r="C351" s="349" t="s">
        <v>792</v>
      </c>
      <c r="D351" s="418" t="s">
        <v>54</v>
      </c>
      <c r="E351" s="416" t="s">
        <v>779</v>
      </c>
      <c r="F351" s="413">
        <v>100000.0</v>
      </c>
      <c r="G351" s="403"/>
      <c r="H351" s="349" t="s">
        <v>1060</v>
      </c>
      <c r="I351" s="404" t="str">
        <f t="shared" si="6"/>
        <v>NOT PAID</v>
      </c>
      <c r="J351" s="402"/>
      <c r="K351" s="402"/>
      <c r="L351" s="402"/>
      <c r="M351" s="402"/>
      <c r="N351" s="402"/>
      <c r="O351" s="402"/>
      <c r="P351" s="402"/>
      <c r="Q351" s="402"/>
      <c r="R351" s="402"/>
      <c r="S351" s="402"/>
      <c r="T351" s="402"/>
      <c r="U351" s="402"/>
      <c r="V351" s="402"/>
      <c r="W351" s="402"/>
      <c r="X351" s="402"/>
      <c r="Y351" s="402"/>
      <c r="Z351" s="402"/>
      <c r="AA351" s="405"/>
      <c r="AB351" s="405"/>
    </row>
    <row r="352" ht="14.25" customHeight="1">
      <c r="A352" s="451">
        <v>45503.0</v>
      </c>
      <c r="B352" s="349" t="s">
        <v>794</v>
      </c>
      <c r="C352" s="349" t="s">
        <v>1061</v>
      </c>
      <c r="D352" s="418" t="s">
        <v>54</v>
      </c>
      <c r="E352" s="416" t="s">
        <v>779</v>
      </c>
      <c r="F352" s="413">
        <v>907528.6</v>
      </c>
      <c r="G352" s="403"/>
      <c r="H352" s="349" t="s">
        <v>1062</v>
      </c>
      <c r="I352" s="404" t="str">
        <f t="shared" si="6"/>
        <v>NOT PAID</v>
      </c>
      <c r="J352" s="402"/>
      <c r="K352" s="402"/>
      <c r="L352" s="402"/>
      <c r="M352" s="402"/>
      <c r="N352" s="402"/>
      <c r="O352" s="402"/>
      <c r="P352" s="402"/>
      <c r="Q352" s="402"/>
      <c r="R352" s="402"/>
      <c r="S352" s="402"/>
      <c r="T352" s="402"/>
      <c r="U352" s="402"/>
      <c r="V352" s="402"/>
      <c r="W352" s="402"/>
      <c r="X352" s="402"/>
      <c r="Y352" s="402"/>
      <c r="Z352" s="402"/>
      <c r="AA352" s="405"/>
      <c r="AB352" s="405"/>
    </row>
    <row r="353" ht="14.25" customHeight="1">
      <c r="A353" s="429">
        <v>45503.0</v>
      </c>
      <c r="B353" s="349" t="s">
        <v>841</v>
      </c>
      <c r="C353" s="349" t="s">
        <v>1063</v>
      </c>
      <c r="D353" s="418" t="s">
        <v>54</v>
      </c>
      <c r="E353" s="416" t="s">
        <v>779</v>
      </c>
      <c r="F353" s="413">
        <v>11000.0</v>
      </c>
      <c r="G353" s="413">
        <v>1000.0</v>
      </c>
      <c r="H353" s="349" t="s">
        <v>1064</v>
      </c>
      <c r="I353" s="404" t="str">
        <f t="shared" si="6"/>
        <v>PARTIALLY PAID</v>
      </c>
      <c r="J353" s="402"/>
      <c r="K353" s="402"/>
      <c r="L353" s="402"/>
      <c r="M353" s="402"/>
      <c r="N353" s="402"/>
      <c r="O353" s="402"/>
      <c r="P353" s="402"/>
      <c r="Q353" s="402"/>
      <c r="R353" s="402"/>
      <c r="S353" s="402"/>
      <c r="T353" s="402"/>
      <c r="U353" s="402"/>
      <c r="V353" s="402"/>
      <c r="W353" s="402"/>
      <c r="X353" s="402"/>
      <c r="Y353" s="402"/>
      <c r="Z353" s="402"/>
      <c r="AA353" s="405"/>
      <c r="AB353" s="405"/>
    </row>
    <row r="354" ht="14.25" customHeight="1">
      <c r="A354" s="451">
        <v>45503.0</v>
      </c>
      <c r="B354" s="349" t="s">
        <v>800</v>
      </c>
      <c r="C354" s="349" t="s">
        <v>801</v>
      </c>
      <c r="D354" s="418" t="s">
        <v>54</v>
      </c>
      <c r="E354" s="416" t="s">
        <v>273</v>
      </c>
      <c r="F354" s="413">
        <v>10000.0</v>
      </c>
      <c r="G354" s="403"/>
      <c r="H354" s="349" t="s">
        <v>986</v>
      </c>
      <c r="I354" s="404" t="str">
        <f t="shared" si="6"/>
        <v>NOT PAID</v>
      </c>
      <c r="J354" s="402"/>
      <c r="K354" s="402"/>
      <c r="L354" s="402"/>
      <c r="M354" s="402"/>
      <c r="N354" s="402"/>
      <c r="O354" s="402"/>
      <c r="P354" s="402"/>
      <c r="Q354" s="402"/>
      <c r="R354" s="402"/>
      <c r="S354" s="402"/>
      <c r="T354" s="402"/>
      <c r="U354" s="402"/>
      <c r="V354" s="402"/>
      <c r="W354" s="402"/>
      <c r="X354" s="402"/>
      <c r="Y354" s="402"/>
      <c r="Z354" s="402"/>
      <c r="AA354" s="405"/>
      <c r="AB354" s="405"/>
    </row>
    <row r="355" ht="14.25" customHeight="1">
      <c r="A355" s="429">
        <v>45503.0</v>
      </c>
      <c r="B355" s="349" t="s">
        <v>783</v>
      </c>
      <c r="C355" s="349" t="s">
        <v>965</v>
      </c>
      <c r="D355" s="418" t="s">
        <v>54</v>
      </c>
      <c r="E355" s="416" t="s">
        <v>273</v>
      </c>
      <c r="F355" s="413">
        <v>100000.0</v>
      </c>
      <c r="G355" s="403"/>
      <c r="H355" s="349" t="s">
        <v>1065</v>
      </c>
      <c r="I355" s="404" t="str">
        <f t="shared" si="6"/>
        <v>NOT PAID</v>
      </c>
      <c r="J355" s="402"/>
      <c r="K355" s="402"/>
      <c r="L355" s="402"/>
      <c r="M355" s="402"/>
      <c r="N355" s="402"/>
      <c r="O355" s="402"/>
      <c r="P355" s="402"/>
      <c r="Q355" s="402"/>
      <c r="R355" s="402"/>
      <c r="S355" s="402"/>
      <c r="T355" s="402"/>
      <c r="U355" s="402"/>
      <c r="V355" s="402"/>
      <c r="W355" s="402"/>
      <c r="X355" s="402"/>
      <c r="Y355" s="402"/>
      <c r="Z355" s="402"/>
      <c r="AA355" s="405"/>
      <c r="AB355" s="405"/>
    </row>
    <row r="356" ht="14.25" customHeight="1">
      <c r="A356" s="451">
        <v>45503.0</v>
      </c>
      <c r="B356" s="349" t="s">
        <v>798</v>
      </c>
      <c r="C356" s="421" t="s">
        <v>799</v>
      </c>
      <c r="D356" s="421" t="s">
        <v>59</v>
      </c>
      <c r="E356" s="410" t="s">
        <v>114</v>
      </c>
      <c r="F356" s="416">
        <v>500000.0</v>
      </c>
      <c r="G356" s="403"/>
      <c r="H356" s="402"/>
      <c r="I356" s="404" t="str">
        <f t="shared" si="6"/>
        <v>NOT PAID</v>
      </c>
      <c r="J356" s="402"/>
      <c r="K356" s="402"/>
      <c r="L356" s="402"/>
      <c r="M356" s="402"/>
      <c r="N356" s="402"/>
      <c r="O356" s="402"/>
      <c r="P356" s="402"/>
      <c r="Q356" s="402"/>
      <c r="R356" s="402"/>
      <c r="S356" s="402"/>
      <c r="T356" s="402"/>
      <c r="U356" s="402"/>
      <c r="V356" s="402"/>
      <c r="W356" s="402"/>
      <c r="X356" s="402"/>
      <c r="Y356" s="402"/>
      <c r="Z356" s="402"/>
      <c r="AA356" s="405"/>
      <c r="AB356" s="405"/>
    </row>
    <row r="357" ht="14.25" customHeight="1">
      <c r="A357" s="429">
        <v>45503.0</v>
      </c>
      <c r="B357" s="443" t="s">
        <v>877</v>
      </c>
      <c r="C357" s="421" t="s">
        <v>878</v>
      </c>
      <c r="D357" s="421" t="s">
        <v>54</v>
      </c>
      <c r="E357" s="410" t="s">
        <v>273</v>
      </c>
      <c r="F357" s="413">
        <v>36502.21</v>
      </c>
      <c r="G357" s="403"/>
      <c r="H357" s="349" t="s">
        <v>1066</v>
      </c>
      <c r="I357" s="404" t="str">
        <f t="shared" si="6"/>
        <v>NOT PAID</v>
      </c>
      <c r="J357" s="402"/>
      <c r="K357" s="402"/>
      <c r="L357" s="402"/>
      <c r="M357" s="402"/>
      <c r="N357" s="402"/>
      <c r="O357" s="402"/>
      <c r="P357" s="402"/>
      <c r="Q357" s="402"/>
      <c r="R357" s="402"/>
      <c r="S357" s="402"/>
      <c r="T357" s="402"/>
      <c r="U357" s="402"/>
      <c r="V357" s="402"/>
      <c r="W357" s="402"/>
      <c r="X357" s="402"/>
      <c r="Y357" s="402"/>
      <c r="Z357" s="402"/>
      <c r="AA357" s="405"/>
      <c r="AB357" s="405"/>
    </row>
    <row r="358" ht="14.25" customHeight="1">
      <c r="A358" s="451">
        <v>45503.0</v>
      </c>
      <c r="B358" s="349" t="s">
        <v>802</v>
      </c>
      <c r="C358" s="349" t="s">
        <v>803</v>
      </c>
      <c r="D358" s="349" t="s">
        <v>54</v>
      </c>
      <c r="E358" s="349" t="s">
        <v>114</v>
      </c>
      <c r="F358" s="413">
        <v>750023.8</v>
      </c>
      <c r="G358" s="403"/>
      <c r="H358" s="402"/>
      <c r="I358" s="404" t="str">
        <f t="shared" si="6"/>
        <v>NOT PAID</v>
      </c>
      <c r="J358" s="402"/>
      <c r="K358" s="402"/>
      <c r="L358" s="402"/>
      <c r="M358" s="402"/>
      <c r="N358" s="402"/>
      <c r="O358" s="402"/>
      <c r="P358" s="402"/>
      <c r="Q358" s="402"/>
      <c r="R358" s="402"/>
      <c r="S358" s="402"/>
      <c r="T358" s="402"/>
      <c r="U358" s="402"/>
      <c r="V358" s="402"/>
      <c r="W358" s="402"/>
      <c r="X358" s="402"/>
      <c r="Y358" s="402"/>
      <c r="Z358" s="402"/>
      <c r="AA358" s="405"/>
      <c r="AB358" s="405"/>
    </row>
    <row r="359" ht="14.25" customHeight="1">
      <c r="A359" s="429"/>
      <c r="B359" s="402"/>
      <c r="C359" s="402"/>
      <c r="D359" s="402"/>
      <c r="E359" s="402"/>
      <c r="F359" s="403"/>
      <c r="G359" s="403"/>
      <c r="H359" s="402"/>
      <c r="I359" s="404"/>
      <c r="J359" s="402"/>
      <c r="K359" s="402"/>
      <c r="L359" s="402"/>
      <c r="M359" s="402"/>
      <c r="N359" s="402"/>
      <c r="O359" s="402"/>
      <c r="P359" s="402"/>
      <c r="Q359" s="402"/>
      <c r="R359" s="402"/>
      <c r="S359" s="402"/>
      <c r="T359" s="402"/>
      <c r="U359" s="402"/>
      <c r="V359" s="402"/>
      <c r="W359" s="402"/>
      <c r="X359" s="402"/>
      <c r="Y359" s="402"/>
      <c r="Z359" s="402"/>
      <c r="AA359" s="405"/>
      <c r="AB359" s="405"/>
    </row>
    <row r="360" ht="14.25" customHeight="1">
      <c r="A360" s="451"/>
      <c r="B360" s="402"/>
      <c r="C360" s="402"/>
      <c r="D360" s="402"/>
      <c r="E360" s="402"/>
      <c r="F360" s="403"/>
      <c r="G360" s="403"/>
      <c r="H360" s="402"/>
      <c r="I360" s="404"/>
      <c r="J360" s="402"/>
      <c r="K360" s="402"/>
      <c r="L360" s="402"/>
      <c r="M360" s="402"/>
      <c r="N360" s="402"/>
      <c r="O360" s="402"/>
      <c r="P360" s="402"/>
      <c r="Q360" s="402"/>
      <c r="R360" s="402"/>
      <c r="S360" s="402"/>
      <c r="T360" s="402"/>
      <c r="U360" s="402"/>
      <c r="V360" s="402"/>
      <c r="W360" s="402"/>
      <c r="X360" s="402"/>
      <c r="Y360" s="402"/>
      <c r="Z360" s="402"/>
      <c r="AA360" s="405"/>
      <c r="AB360" s="405"/>
    </row>
    <row r="361" ht="14.25" customHeight="1">
      <c r="A361" s="429"/>
      <c r="B361" s="402"/>
      <c r="C361" s="402"/>
      <c r="D361" s="402"/>
      <c r="E361" s="402"/>
      <c r="F361" s="403"/>
      <c r="G361" s="403"/>
      <c r="H361" s="402"/>
      <c r="I361" s="404"/>
      <c r="J361" s="402"/>
      <c r="K361" s="402"/>
      <c r="L361" s="402"/>
      <c r="M361" s="402"/>
      <c r="N361" s="402"/>
      <c r="O361" s="402"/>
      <c r="P361" s="402"/>
      <c r="Q361" s="402"/>
      <c r="R361" s="402"/>
      <c r="S361" s="402"/>
      <c r="T361" s="402"/>
      <c r="U361" s="402"/>
      <c r="V361" s="402"/>
      <c r="W361" s="402"/>
      <c r="X361" s="402"/>
      <c r="Y361" s="402"/>
      <c r="Z361" s="402"/>
      <c r="AA361" s="405"/>
      <c r="AB361" s="405"/>
    </row>
    <row r="362" ht="14.25" customHeight="1">
      <c r="A362" s="451"/>
      <c r="B362" s="424" t="s">
        <v>1067</v>
      </c>
      <c r="C362" s="402"/>
      <c r="D362" s="402"/>
      <c r="E362" s="402"/>
      <c r="F362" s="403"/>
      <c r="G362" s="403"/>
      <c r="H362" s="402"/>
      <c r="I362" s="404"/>
      <c r="J362" s="402"/>
      <c r="K362" s="402"/>
      <c r="L362" s="402"/>
      <c r="M362" s="402"/>
      <c r="N362" s="402"/>
      <c r="O362" s="402"/>
      <c r="P362" s="402"/>
      <c r="Q362" s="402"/>
      <c r="R362" s="402"/>
      <c r="S362" s="402"/>
      <c r="T362" s="402"/>
      <c r="U362" s="402"/>
      <c r="V362" s="402"/>
      <c r="W362" s="402"/>
      <c r="X362" s="402"/>
      <c r="Y362" s="402"/>
      <c r="Z362" s="402"/>
      <c r="AA362" s="405"/>
      <c r="AB362" s="405"/>
    </row>
    <row r="363" ht="14.25" customHeight="1">
      <c r="A363" s="429">
        <v>45504.0</v>
      </c>
      <c r="B363" s="344" t="s">
        <v>904</v>
      </c>
      <c r="C363" s="344" t="s">
        <v>810</v>
      </c>
      <c r="D363" s="344" t="s">
        <v>75</v>
      </c>
      <c r="E363" s="343" t="s">
        <v>989</v>
      </c>
      <c r="F363" s="442">
        <v>1155000.0</v>
      </c>
      <c r="G363" s="403"/>
      <c r="H363" s="402"/>
      <c r="I363" s="404" t="str">
        <f t="shared" ref="I363:I474" si="7">IF(G363&gt;=F363,"FULLY PAID",IF(G363=0,"NOT PAID","PARTIALLY PAID"))</f>
        <v>NOT PAID</v>
      </c>
      <c r="J363" s="402"/>
      <c r="K363" s="402"/>
      <c r="L363" s="402"/>
      <c r="M363" s="402"/>
      <c r="N363" s="402"/>
      <c r="O363" s="402"/>
      <c r="P363" s="402"/>
      <c r="Q363" s="402"/>
      <c r="R363" s="402"/>
      <c r="S363" s="402"/>
      <c r="T363" s="402"/>
      <c r="U363" s="402"/>
      <c r="V363" s="402"/>
      <c r="W363" s="402"/>
      <c r="X363" s="402"/>
      <c r="Y363" s="402"/>
      <c r="Z363" s="402"/>
      <c r="AA363" s="405"/>
      <c r="AB363" s="405"/>
    </row>
    <row r="364" ht="14.25" customHeight="1">
      <c r="A364" s="429">
        <v>45504.0</v>
      </c>
      <c r="B364" s="410" t="s">
        <v>705</v>
      </c>
      <c r="C364" s="411" t="s">
        <v>706</v>
      </c>
      <c r="D364" s="343" t="s">
        <v>54</v>
      </c>
      <c r="E364" s="343" t="s">
        <v>989</v>
      </c>
      <c r="F364" s="413">
        <v>8643.36</v>
      </c>
      <c r="G364" s="403"/>
      <c r="H364" s="349" t="s">
        <v>707</v>
      </c>
      <c r="I364" s="404" t="str">
        <f t="shared" si="7"/>
        <v>NOT PAID</v>
      </c>
      <c r="J364" s="402"/>
      <c r="K364" s="402"/>
      <c r="L364" s="402"/>
      <c r="M364" s="402"/>
      <c r="N364" s="402"/>
      <c r="O364" s="402"/>
      <c r="P364" s="402"/>
      <c r="Q364" s="402"/>
      <c r="R364" s="402"/>
      <c r="S364" s="402"/>
      <c r="T364" s="402"/>
      <c r="U364" s="402"/>
      <c r="V364" s="402"/>
      <c r="W364" s="402"/>
      <c r="X364" s="402"/>
      <c r="Y364" s="402"/>
      <c r="Z364" s="402"/>
      <c r="AA364" s="405"/>
      <c r="AB364" s="405"/>
    </row>
    <row r="365" ht="14.25" customHeight="1">
      <c r="A365" s="451">
        <v>45504.0</v>
      </c>
      <c r="B365" s="410" t="s">
        <v>711</v>
      </c>
      <c r="C365" s="411" t="s">
        <v>712</v>
      </c>
      <c r="D365" s="411" t="s">
        <v>75</v>
      </c>
      <c r="E365" s="343" t="s">
        <v>989</v>
      </c>
      <c r="F365" s="416">
        <v>264387.25</v>
      </c>
      <c r="G365" s="403"/>
      <c r="H365" s="349" t="s">
        <v>707</v>
      </c>
      <c r="I365" s="404" t="str">
        <f t="shared" si="7"/>
        <v>NOT PAID</v>
      </c>
      <c r="J365" s="402"/>
      <c r="K365" s="402"/>
      <c r="L365" s="402"/>
      <c r="M365" s="402"/>
      <c r="N365" s="402"/>
      <c r="O365" s="402"/>
      <c r="P365" s="402"/>
      <c r="Q365" s="402"/>
      <c r="R365" s="402"/>
      <c r="S365" s="402"/>
      <c r="T365" s="402"/>
      <c r="U365" s="402"/>
      <c r="V365" s="402"/>
      <c r="W365" s="402"/>
      <c r="X365" s="402"/>
      <c r="Y365" s="402"/>
      <c r="Z365" s="402"/>
      <c r="AA365" s="405"/>
      <c r="AB365" s="405"/>
    </row>
    <row r="366" ht="14.25" customHeight="1">
      <c r="A366" s="429">
        <v>45504.0</v>
      </c>
      <c r="B366" s="343" t="s">
        <v>990</v>
      </c>
      <c r="C366" s="344" t="s">
        <v>991</v>
      </c>
      <c r="D366" s="344" t="s">
        <v>75</v>
      </c>
      <c r="E366" s="343" t="s">
        <v>989</v>
      </c>
      <c r="F366" s="452">
        <v>149500.0</v>
      </c>
      <c r="G366" s="403"/>
      <c r="H366" s="349" t="s">
        <v>992</v>
      </c>
      <c r="I366" s="404" t="str">
        <f t="shared" si="7"/>
        <v>NOT PAID</v>
      </c>
      <c r="J366" s="402"/>
      <c r="K366" s="402"/>
      <c r="L366" s="402"/>
      <c r="M366" s="402"/>
      <c r="N366" s="402"/>
      <c r="O366" s="402"/>
      <c r="P366" s="402"/>
      <c r="Q366" s="402"/>
      <c r="R366" s="402"/>
      <c r="S366" s="402"/>
      <c r="T366" s="402"/>
      <c r="U366" s="402"/>
      <c r="V366" s="402"/>
      <c r="W366" s="402"/>
      <c r="X366" s="402"/>
      <c r="Y366" s="402"/>
      <c r="Z366" s="402"/>
      <c r="AA366" s="405"/>
      <c r="AB366" s="405"/>
    </row>
    <row r="367" ht="14.25" customHeight="1">
      <c r="A367" s="451">
        <v>45504.0</v>
      </c>
      <c r="B367" s="414" t="s">
        <v>701</v>
      </c>
      <c r="C367" s="415" t="s">
        <v>702</v>
      </c>
      <c r="D367" s="343" t="s">
        <v>54</v>
      </c>
      <c r="E367" s="343" t="s">
        <v>989</v>
      </c>
      <c r="F367" s="453">
        <v>16309.2</v>
      </c>
      <c r="G367" s="403"/>
      <c r="H367" s="349" t="s">
        <v>805</v>
      </c>
      <c r="I367" s="404" t="str">
        <f t="shared" si="7"/>
        <v>NOT PAID</v>
      </c>
      <c r="J367" s="402"/>
      <c r="K367" s="402"/>
      <c r="L367" s="402"/>
      <c r="M367" s="402"/>
      <c r="N367" s="402"/>
      <c r="O367" s="402"/>
      <c r="P367" s="402"/>
      <c r="Q367" s="402"/>
      <c r="R367" s="402"/>
      <c r="S367" s="402"/>
      <c r="T367" s="402"/>
      <c r="U367" s="402"/>
      <c r="V367" s="402"/>
      <c r="W367" s="402"/>
      <c r="X367" s="402"/>
      <c r="Y367" s="402"/>
      <c r="Z367" s="402"/>
      <c r="AA367" s="405"/>
      <c r="AB367" s="405"/>
    </row>
    <row r="368" ht="14.25" customHeight="1">
      <c r="A368" s="451">
        <v>45504.0</v>
      </c>
      <c r="B368" s="414" t="s">
        <v>723</v>
      </c>
      <c r="C368" s="415" t="s">
        <v>1040</v>
      </c>
      <c r="D368" s="343" t="s">
        <v>54</v>
      </c>
      <c r="E368" s="343" t="s">
        <v>989</v>
      </c>
      <c r="F368" s="453">
        <v>23000.0</v>
      </c>
      <c r="G368" s="403"/>
      <c r="H368" s="349" t="s">
        <v>694</v>
      </c>
      <c r="I368" s="404" t="str">
        <f t="shared" si="7"/>
        <v>NOT PAID</v>
      </c>
      <c r="J368" s="402"/>
      <c r="K368" s="402"/>
      <c r="L368" s="402"/>
      <c r="M368" s="402"/>
      <c r="N368" s="402"/>
      <c r="O368" s="402"/>
      <c r="P368" s="402"/>
      <c r="Q368" s="402"/>
      <c r="R368" s="402"/>
      <c r="S368" s="402"/>
      <c r="T368" s="402"/>
      <c r="U368" s="402"/>
      <c r="V368" s="402"/>
      <c r="W368" s="402"/>
      <c r="X368" s="402"/>
      <c r="Y368" s="402"/>
      <c r="Z368" s="402"/>
      <c r="AA368" s="405"/>
      <c r="AB368" s="405"/>
    </row>
    <row r="369" ht="14.25" customHeight="1">
      <c r="A369" s="451">
        <v>45504.0</v>
      </c>
      <c r="B369" s="343" t="s">
        <v>997</v>
      </c>
      <c r="C369" s="344" t="s">
        <v>998</v>
      </c>
      <c r="D369" s="344" t="s">
        <v>263</v>
      </c>
      <c r="E369" s="412" t="s">
        <v>693</v>
      </c>
      <c r="F369" s="452">
        <v>78045.0</v>
      </c>
      <c r="G369" s="403"/>
      <c r="H369" s="349" t="s">
        <v>999</v>
      </c>
      <c r="I369" s="404" t="str">
        <f t="shared" si="7"/>
        <v>NOT PAID</v>
      </c>
      <c r="J369" s="402"/>
      <c r="K369" s="402"/>
      <c r="L369" s="402"/>
      <c r="M369" s="402"/>
      <c r="N369" s="402"/>
      <c r="O369" s="402"/>
      <c r="P369" s="402"/>
      <c r="Q369" s="402"/>
      <c r="R369" s="402"/>
      <c r="S369" s="402"/>
      <c r="T369" s="402"/>
      <c r="U369" s="402"/>
      <c r="V369" s="402"/>
      <c r="W369" s="402"/>
      <c r="X369" s="402"/>
      <c r="Y369" s="402"/>
      <c r="Z369" s="402"/>
      <c r="AA369" s="405"/>
      <c r="AB369" s="405"/>
    </row>
    <row r="370" ht="14.25" customHeight="1">
      <c r="A370" s="451">
        <v>45504.0</v>
      </c>
      <c r="B370" s="410" t="s">
        <v>695</v>
      </c>
      <c r="C370" s="411" t="s">
        <v>696</v>
      </c>
      <c r="D370" s="343" t="s">
        <v>54</v>
      </c>
      <c r="E370" s="412" t="s">
        <v>693</v>
      </c>
      <c r="F370" s="413">
        <v>7245.81</v>
      </c>
      <c r="G370" s="403"/>
      <c r="H370" s="349" t="s">
        <v>1041</v>
      </c>
      <c r="I370" s="404" t="str">
        <f t="shared" si="7"/>
        <v>NOT PAID</v>
      </c>
      <c r="J370" s="402"/>
      <c r="K370" s="402"/>
      <c r="L370" s="402"/>
      <c r="M370" s="402"/>
      <c r="N370" s="402"/>
      <c r="O370" s="402"/>
      <c r="P370" s="402"/>
      <c r="Q370" s="402"/>
      <c r="R370" s="402"/>
      <c r="S370" s="402"/>
      <c r="T370" s="402"/>
      <c r="U370" s="402"/>
      <c r="V370" s="402"/>
      <c r="W370" s="402"/>
      <c r="X370" s="402"/>
      <c r="Y370" s="402"/>
      <c r="Z370" s="402"/>
      <c r="AA370" s="405"/>
      <c r="AB370" s="405"/>
    </row>
    <row r="371" ht="14.25" customHeight="1">
      <c r="A371" s="429">
        <v>45504.0</v>
      </c>
      <c r="B371" s="414" t="s">
        <v>698</v>
      </c>
      <c r="C371" s="415" t="s">
        <v>699</v>
      </c>
      <c r="D371" s="343" t="s">
        <v>54</v>
      </c>
      <c r="E371" s="412" t="s">
        <v>693</v>
      </c>
      <c r="F371" s="413">
        <v>7648.0</v>
      </c>
      <c r="G371" s="403"/>
      <c r="H371" s="349" t="s">
        <v>1000</v>
      </c>
      <c r="I371" s="404" t="str">
        <f t="shared" si="7"/>
        <v>NOT PAID</v>
      </c>
      <c r="J371" s="402"/>
      <c r="K371" s="402"/>
      <c r="L371" s="402"/>
      <c r="M371" s="402"/>
      <c r="N371" s="402"/>
      <c r="O371" s="402"/>
      <c r="P371" s="402"/>
      <c r="Q371" s="402"/>
      <c r="R371" s="402"/>
      <c r="S371" s="402"/>
      <c r="T371" s="402"/>
      <c r="U371" s="402"/>
      <c r="V371" s="402"/>
      <c r="W371" s="402"/>
      <c r="X371" s="402"/>
      <c r="Y371" s="402"/>
      <c r="Z371" s="402"/>
      <c r="AA371" s="405"/>
      <c r="AB371" s="405"/>
    </row>
    <row r="372" ht="14.25" customHeight="1">
      <c r="A372" s="451">
        <v>45504.0</v>
      </c>
      <c r="B372" s="414" t="s">
        <v>691</v>
      </c>
      <c r="C372" s="415" t="s">
        <v>692</v>
      </c>
      <c r="D372" s="343" t="s">
        <v>54</v>
      </c>
      <c r="E372" s="412" t="s">
        <v>693</v>
      </c>
      <c r="F372" s="453">
        <v>3780.0</v>
      </c>
      <c r="G372" s="403"/>
      <c r="H372" s="349" t="s">
        <v>1041</v>
      </c>
      <c r="I372" s="404" t="str">
        <f t="shared" si="7"/>
        <v>NOT PAID</v>
      </c>
      <c r="J372" s="402"/>
      <c r="K372" s="402"/>
      <c r="L372" s="402"/>
      <c r="M372" s="402"/>
      <c r="N372" s="402"/>
      <c r="O372" s="402"/>
      <c r="P372" s="402"/>
      <c r="Q372" s="402"/>
      <c r="R372" s="402"/>
      <c r="S372" s="402"/>
      <c r="T372" s="402"/>
      <c r="U372" s="402"/>
      <c r="V372" s="402"/>
      <c r="W372" s="402"/>
      <c r="X372" s="402"/>
      <c r="Y372" s="402"/>
      <c r="Z372" s="402"/>
      <c r="AA372" s="405"/>
      <c r="AB372" s="405"/>
    </row>
    <row r="373" ht="14.25" customHeight="1">
      <c r="A373" s="451">
        <v>45504.0</v>
      </c>
      <c r="B373" s="415" t="s">
        <v>1068</v>
      </c>
      <c r="C373" s="415" t="s">
        <v>1069</v>
      </c>
      <c r="D373" s="343" t="s">
        <v>54</v>
      </c>
      <c r="E373" s="412" t="s">
        <v>693</v>
      </c>
      <c r="F373" s="442">
        <v>247250.0</v>
      </c>
      <c r="G373" s="413">
        <v>247250.0</v>
      </c>
      <c r="H373" s="349" t="s">
        <v>710</v>
      </c>
      <c r="I373" s="404" t="str">
        <f t="shared" si="7"/>
        <v>FULLY PAID</v>
      </c>
      <c r="J373" s="402"/>
      <c r="K373" s="402"/>
      <c r="L373" s="402"/>
      <c r="M373" s="402"/>
      <c r="N373" s="402"/>
      <c r="O373" s="402"/>
      <c r="P373" s="402"/>
      <c r="Q373" s="402"/>
      <c r="R373" s="402"/>
      <c r="S373" s="402"/>
      <c r="T373" s="402"/>
      <c r="U373" s="402"/>
      <c r="V373" s="402"/>
      <c r="W373" s="402"/>
      <c r="X373" s="402"/>
      <c r="Y373" s="402"/>
      <c r="Z373" s="402"/>
      <c r="AA373" s="405"/>
      <c r="AB373" s="405"/>
    </row>
    <row r="374" ht="14.25" customHeight="1">
      <c r="A374" s="451">
        <v>45504.0</v>
      </c>
      <c r="B374" s="344" t="s">
        <v>742</v>
      </c>
      <c r="C374" s="344" t="s">
        <v>743</v>
      </c>
      <c r="D374" s="344" t="s">
        <v>54</v>
      </c>
      <c r="E374" s="344" t="s">
        <v>740</v>
      </c>
      <c r="F374" s="430">
        <v>112579.0</v>
      </c>
      <c r="G374" s="403"/>
      <c r="H374" s="349" t="s">
        <v>1070</v>
      </c>
      <c r="I374" s="404" t="str">
        <f t="shared" si="7"/>
        <v>NOT PAID</v>
      </c>
      <c r="J374" s="402"/>
      <c r="K374" s="402"/>
      <c r="L374" s="402"/>
      <c r="M374" s="402"/>
      <c r="N374" s="402"/>
      <c r="O374" s="402"/>
      <c r="P374" s="402"/>
      <c r="Q374" s="402"/>
      <c r="R374" s="402"/>
      <c r="S374" s="402"/>
      <c r="T374" s="402"/>
      <c r="U374" s="402"/>
      <c r="V374" s="402"/>
      <c r="W374" s="402"/>
      <c r="X374" s="402"/>
      <c r="Y374" s="402"/>
      <c r="Z374" s="402"/>
      <c r="AA374" s="405"/>
      <c r="AB374" s="405"/>
    </row>
    <row r="375" ht="14.25" customHeight="1">
      <c r="A375" s="429">
        <v>45504.0</v>
      </c>
      <c r="B375" s="343" t="s">
        <v>1003</v>
      </c>
      <c r="C375" s="344" t="s">
        <v>1004</v>
      </c>
      <c r="D375" s="344" t="s">
        <v>54</v>
      </c>
      <c r="E375" s="344" t="s">
        <v>740</v>
      </c>
      <c r="F375" s="453">
        <v>257831.0</v>
      </c>
      <c r="G375" s="403"/>
      <c r="H375" s="349" t="s">
        <v>1071</v>
      </c>
      <c r="I375" s="404" t="str">
        <f t="shared" si="7"/>
        <v>NOT PAID</v>
      </c>
      <c r="J375" s="402"/>
      <c r="K375" s="402"/>
      <c r="L375" s="402"/>
      <c r="M375" s="402"/>
      <c r="N375" s="402"/>
      <c r="O375" s="402"/>
      <c r="P375" s="402"/>
      <c r="Q375" s="402"/>
      <c r="R375" s="402"/>
      <c r="S375" s="402"/>
      <c r="T375" s="402"/>
      <c r="U375" s="402"/>
      <c r="V375" s="402"/>
      <c r="W375" s="402"/>
      <c r="X375" s="402"/>
      <c r="Y375" s="402"/>
      <c r="Z375" s="402"/>
      <c r="AA375" s="405"/>
      <c r="AB375" s="405"/>
    </row>
    <row r="376" ht="14.25" customHeight="1">
      <c r="A376" s="451">
        <v>45504.0</v>
      </c>
      <c r="B376" s="344" t="s">
        <v>746</v>
      </c>
      <c r="C376" s="344" t="s">
        <v>747</v>
      </c>
      <c r="D376" s="344" t="s">
        <v>54</v>
      </c>
      <c r="E376" s="344" t="s">
        <v>740</v>
      </c>
      <c r="F376" s="442">
        <v>14378.5</v>
      </c>
      <c r="G376" s="403"/>
      <c r="H376" s="349" t="s">
        <v>1072</v>
      </c>
      <c r="I376" s="404" t="str">
        <f t="shared" si="7"/>
        <v>NOT PAID</v>
      </c>
      <c r="J376" s="402"/>
      <c r="K376" s="402"/>
      <c r="L376" s="402"/>
      <c r="M376" s="402"/>
      <c r="N376" s="402"/>
      <c r="O376" s="402"/>
      <c r="P376" s="402"/>
      <c r="Q376" s="402"/>
      <c r="R376" s="402"/>
      <c r="S376" s="402"/>
      <c r="T376" s="402"/>
      <c r="U376" s="402"/>
      <c r="V376" s="402"/>
      <c r="W376" s="402"/>
      <c r="X376" s="402"/>
      <c r="Y376" s="402"/>
      <c r="Z376" s="402"/>
      <c r="AA376" s="405"/>
      <c r="AB376" s="405"/>
    </row>
    <row r="377" ht="14.25" customHeight="1">
      <c r="A377" s="429">
        <v>45504.0</v>
      </c>
      <c r="B377" s="344" t="s">
        <v>749</v>
      </c>
      <c r="C377" s="344" t="s">
        <v>750</v>
      </c>
      <c r="D377" s="344" t="s">
        <v>54</v>
      </c>
      <c r="E377" s="344" t="s">
        <v>740</v>
      </c>
      <c r="F377" s="430">
        <v>30081.0</v>
      </c>
      <c r="G377" s="403"/>
      <c r="H377" s="349" t="s">
        <v>751</v>
      </c>
      <c r="I377" s="404" t="str">
        <f t="shared" si="7"/>
        <v>NOT PAID</v>
      </c>
      <c r="J377" s="402"/>
      <c r="K377" s="402"/>
      <c r="L377" s="402"/>
      <c r="M377" s="402"/>
      <c r="N377" s="402"/>
      <c r="O377" s="402"/>
      <c r="P377" s="402"/>
      <c r="Q377" s="402"/>
      <c r="R377" s="402"/>
      <c r="S377" s="402"/>
      <c r="T377" s="402"/>
      <c r="U377" s="402"/>
      <c r="V377" s="402"/>
      <c r="W377" s="402"/>
      <c r="X377" s="402"/>
      <c r="Y377" s="402"/>
      <c r="Z377" s="402"/>
      <c r="AA377" s="405"/>
      <c r="AB377" s="405"/>
    </row>
    <row r="378" ht="14.25" customHeight="1">
      <c r="A378" s="451">
        <v>45504.0</v>
      </c>
      <c r="B378" s="415" t="s">
        <v>825</v>
      </c>
      <c r="C378" s="415" t="s">
        <v>826</v>
      </c>
      <c r="D378" s="344" t="s">
        <v>54</v>
      </c>
      <c r="E378" s="344" t="s">
        <v>740</v>
      </c>
      <c r="F378" s="442">
        <v>300000.0</v>
      </c>
      <c r="G378" s="403"/>
      <c r="H378" s="349" t="s">
        <v>1045</v>
      </c>
      <c r="I378" s="404" t="str">
        <f t="shared" si="7"/>
        <v>NOT PAID</v>
      </c>
      <c r="J378" s="402"/>
      <c r="K378" s="402"/>
      <c r="L378" s="402"/>
      <c r="M378" s="402"/>
      <c r="N378" s="402"/>
      <c r="O378" s="402"/>
      <c r="P378" s="402"/>
      <c r="Q378" s="402"/>
      <c r="R378" s="402"/>
      <c r="S378" s="402"/>
      <c r="T378" s="402"/>
      <c r="U378" s="402"/>
      <c r="V378" s="402"/>
      <c r="W378" s="402"/>
      <c r="X378" s="402"/>
      <c r="Y378" s="402"/>
      <c r="Z378" s="402"/>
      <c r="AA378" s="405"/>
      <c r="AB378" s="405"/>
    </row>
    <row r="379" ht="14.25" customHeight="1">
      <c r="A379" s="429">
        <v>45504.0</v>
      </c>
      <c r="B379" s="415" t="s">
        <v>1046</v>
      </c>
      <c r="C379" s="415" t="s">
        <v>1047</v>
      </c>
      <c r="D379" s="344" t="s">
        <v>54</v>
      </c>
      <c r="E379" s="344" t="s">
        <v>740</v>
      </c>
      <c r="F379" s="442">
        <v>21511.33</v>
      </c>
      <c r="G379" s="413">
        <v>5000.0</v>
      </c>
      <c r="H379" s="349" t="s">
        <v>905</v>
      </c>
      <c r="I379" s="404" t="str">
        <f t="shared" si="7"/>
        <v>PARTIALLY PAID</v>
      </c>
      <c r="J379" s="402"/>
      <c r="K379" s="402"/>
      <c r="L379" s="402"/>
      <c r="M379" s="402"/>
      <c r="N379" s="402"/>
      <c r="O379" s="402"/>
      <c r="P379" s="402"/>
      <c r="Q379" s="402"/>
      <c r="R379" s="402"/>
      <c r="S379" s="402"/>
      <c r="T379" s="402"/>
      <c r="U379" s="402"/>
      <c r="V379" s="402"/>
      <c r="W379" s="402"/>
      <c r="X379" s="402"/>
      <c r="Y379" s="402"/>
      <c r="Z379" s="402"/>
      <c r="AA379" s="405"/>
      <c r="AB379" s="405"/>
    </row>
    <row r="380" ht="14.25" customHeight="1">
      <c r="A380" s="451">
        <v>45504.0</v>
      </c>
      <c r="B380" s="415" t="s">
        <v>868</v>
      </c>
      <c r="C380" s="415" t="s">
        <v>869</v>
      </c>
      <c r="D380" s="344" t="s">
        <v>54</v>
      </c>
      <c r="E380" s="344" t="s">
        <v>740</v>
      </c>
      <c r="F380" s="459">
        <v>676953.0</v>
      </c>
      <c r="G380" s="460">
        <v>676953.0</v>
      </c>
      <c r="H380" s="402"/>
      <c r="I380" s="404" t="str">
        <f t="shared" si="7"/>
        <v>FULLY PAID</v>
      </c>
      <c r="J380" s="402"/>
      <c r="K380" s="402"/>
      <c r="L380" s="402"/>
      <c r="M380" s="402"/>
      <c r="N380" s="402"/>
      <c r="O380" s="402"/>
      <c r="P380" s="402"/>
      <c r="Q380" s="402"/>
      <c r="R380" s="402"/>
      <c r="S380" s="402"/>
      <c r="T380" s="402"/>
      <c r="U380" s="402"/>
      <c r="V380" s="402"/>
      <c r="W380" s="402"/>
      <c r="X380" s="402"/>
      <c r="Y380" s="402"/>
      <c r="Z380" s="402"/>
      <c r="AA380" s="405"/>
      <c r="AB380" s="405"/>
    </row>
    <row r="381" ht="14.25" customHeight="1">
      <c r="A381" s="429">
        <v>45504.0</v>
      </c>
      <c r="B381" s="343" t="s">
        <v>1006</v>
      </c>
      <c r="C381" s="344" t="s">
        <v>1007</v>
      </c>
      <c r="D381" s="344" t="s">
        <v>75</v>
      </c>
      <c r="E381" s="349" t="s">
        <v>733</v>
      </c>
      <c r="F381" s="452">
        <v>172500.0</v>
      </c>
      <c r="G381" s="413">
        <v>0.0</v>
      </c>
      <c r="H381" s="349" t="s">
        <v>1073</v>
      </c>
      <c r="I381" s="404" t="str">
        <f t="shared" si="7"/>
        <v>NOT PAID</v>
      </c>
      <c r="J381" s="402"/>
      <c r="K381" s="402"/>
      <c r="L381" s="402"/>
      <c r="M381" s="402"/>
      <c r="N381" s="402"/>
      <c r="O381" s="402"/>
      <c r="P381" s="402"/>
      <c r="Q381" s="402"/>
      <c r="R381" s="402"/>
      <c r="S381" s="402"/>
      <c r="T381" s="402"/>
      <c r="U381" s="402"/>
      <c r="V381" s="402"/>
      <c r="W381" s="402"/>
      <c r="X381" s="402"/>
      <c r="Y381" s="402"/>
      <c r="Z381" s="402"/>
      <c r="AA381" s="405"/>
      <c r="AB381" s="405"/>
    </row>
    <row r="382" ht="14.25" customHeight="1">
      <c r="A382" s="451">
        <v>45504.0</v>
      </c>
      <c r="B382" s="349" t="s">
        <v>731</v>
      </c>
      <c r="C382" s="421" t="s">
        <v>732</v>
      </c>
      <c r="D382" s="421" t="s">
        <v>54</v>
      </c>
      <c r="E382" s="349" t="s">
        <v>733</v>
      </c>
      <c r="F382" s="413">
        <v>11892.0</v>
      </c>
      <c r="G382" s="413">
        <v>0.0</v>
      </c>
      <c r="H382" s="349" t="s">
        <v>1074</v>
      </c>
      <c r="I382" s="404" t="str">
        <f t="shared" si="7"/>
        <v>NOT PAID</v>
      </c>
      <c r="J382" s="402"/>
      <c r="K382" s="402"/>
      <c r="L382" s="402"/>
      <c r="M382" s="402"/>
      <c r="N382" s="402"/>
      <c r="O382" s="402"/>
      <c r="P382" s="402"/>
      <c r="Q382" s="402"/>
      <c r="R382" s="402"/>
      <c r="S382" s="402"/>
      <c r="T382" s="402"/>
      <c r="U382" s="402"/>
      <c r="V382" s="402"/>
      <c r="W382" s="402"/>
      <c r="X382" s="402"/>
      <c r="Y382" s="402"/>
      <c r="Z382" s="402"/>
      <c r="AA382" s="405"/>
      <c r="AB382" s="405"/>
    </row>
    <row r="383" ht="14.25" customHeight="1">
      <c r="A383" s="429">
        <v>45504.0</v>
      </c>
      <c r="B383" s="417" t="s">
        <v>918</v>
      </c>
      <c r="C383" s="418" t="s">
        <v>919</v>
      </c>
      <c r="D383" s="418" t="s">
        <v>54</v>
      </c>
      <c r="E383" s="349" t="s">
        <v>733</v>
      </c>
      <c r="F383" s="413">
        <v>30348.24</v>
      </c>
      <c r="G383" s="413">
        <v>0.0</v>
      </c>
      <c r="H383" s="349" t="s">
        <v>1075</v>
      </c>
      <c r="I383" s="404" t="str">
        <f t="shared" si="7"/>
        <v>NOT PAID</v>
      </c>
      <c r="J383" s="402"/>
      <c r="K383" s="402"/>
      <c r="L383" s="402"/>
      <c r="M383" s="402"/>
      <c r="N383" s="402"/>
      <c r="O383" s="402"/>
      <c r="P383" s="402"/>
      <c r="Q383" s="402"/>
      <c r="R383" s="402"/>
      <c r="S383" s="402"/>
      <c r="T383" s="402"/>
      <c r="U383" s="402"/>
      <c r="V383" s="402"/>
      <c r="W383" s="402"/>
      <c r="X383" s="402"/>
      <c r="Y383" s="402"/>
      <c r="Z383" s="402"/>
      <c r="AA383" s="405"/>
      <c r="AB383" s="405"/>
    </row>
    <row r="384" ht="14.25" customHeight="1">
      <c r="A384" s="451">
        <v>45504.0</v>
      </c>
      <c r="B384" s="444" t="s">
        <v>921</v>
      </c>
      <c r="C384" s="408" t="s">
        <v>922</v>
      </c>
      <c r="D384" s="408" t="s">
        <v>54</v>
      </c>
      <c r="E384" s="349" t="s">
        <v>733</v>
      </c>
      <c r="F384" s="416">
        <v>24415.95</v>
      </c>
      <c r="G384" s="413">
        <v>0.0</v>
      </c>
      <c r="H384" s="349" t="s">
        <v>1076</v>
      </c>
      <c r="I384" s="404" t="str">
        <f t="shared" si="7"/>
        <v>NOT PAID</v>
      </c>
      <c r="J384" s="402"/>
      <c r="K384" s="402"/>
      <c r="L384" s="402"/>
      <c r="M384" s="402"/>
      <c r="N384" s="402"/>
      <c r="O384" s="402"/>
      <c r="P384" s="402"/>
      <c r="Q384" s="402"/>
      <c r="R384" s="402"/>
      <c r="S384" s="402"/>
      <c r="T384" s="402"/>
      <c r="U384" s="402"/>
      <c r="V384" s="402"/>
      <c r="W384" s="402"/>
      <c r="X384" s="402"/>
      <c r="Y384" s="402"/>
      <c r="Z384" s="402"/>
      <c r="AA384" s="405"/>
      <c r="AB384" s="405"/>
    </row>
    <row r="385" ht="14.25" customHeight="1">
      <c r="A385" s="429">
        <v>45504.0</v>
      </c>
      <c r="B385" s="343" t="s">
        <v>1012</v>
      </c>
      <c r="C385" s="344" t="s">
        <v>1013</v>
      </c>
      <c r="D385" s="344" t="s">
        <v>75</v>
      </c>
      <c r="E385" s="410" t="s">
        <v>759</v>
      </c>
      <c r="F385" s="453">
        <v>224500.0</v>
      </c>
      <c r="G385" s="403"/>
      <c r="H385" s="349" t="s">
        <v>1077</v>
      </c>
      <c r="I385" s="404" t="str">
        <f t="shared" si="7"/>
        <v>NOT PAID</v>
      </c>
      <c r="J385" s="402"/>
      <c r="K385" s="402"/>
      <c r="L385" s="402"/>
      <c r="M385" s="402"/>
      <c r="N385" s="402"/>
      <c r="O385" s="402"/>
      <c r="P385" s="402"/>
      <c r="Q385" s="402"/>
      <c r="R385" s="402"/>
      <c r="S385" s="402"/>
      <c r="T385" s="402"/>
      <c r="U385" s="402"/>
      <c r="V385" s="402"/>
      <c r="W385" s="402"/>
      <c r="X385" s="402"/>
      <c r="Y385" s="402"/>
      <c r="Z385" s="402"/>
      <c r="AA385" s="405"/>
      <c r="AB385" s="405"/>
    </row>
    <row r="386" ht="14.25" customHeight="1">
      <c r="A386" s="451">
        <v>45504.0</v>
      </c>
      <c r="B386" s="349" t="s">
        <v>757</v>
      </c>
      <c r="C386" s="421" t="s">
        <v>875</v>
      </c>
      <c r="D386" s="421" t="s">
        <v>75</v>
      </c>
      <c r="E386" s="410" t="s">
        <v>759</v>
      </c>
      <c r="F386" s="416">
        <v>16485.25</v>
      </c>
      <c r="G386" s="413">
        <v>0.0</v>
      </c>
      <c r="H386" s="349" t="s">
        <v>1078</v>
      </c>
      <c r="I386" s="404" t="str">
        <f t="shared" si="7"/>
        <v>NOT PAID</v>
      </c>
      <c r="J386" s="402"/>
      <c r="K386" s="402"/>
      <c r="L386" s="402"/>
      <c r="M386" s="402"/>
      <c r="N386" s="402"/>
      <c r="O386" s="402"/>
      <c r="P386" s="402"/>
      <c r="Q386" s="402"/>
      <c r="R386" s="402"/>
      <c r="S386" s="402"/>
      <c r="T386" s="402"/>
      <c r="U386" s="402"/>
      <c r="V386" s="402"/>
      <c r="W386" s="402"/>
      <c r="X386" s="402"/>
      <c r="Y386" s="402"/>
      <c r="Z386" s="402"/>
      <c r="AA386" s="405"/>
      <c r="AB386" s="405"/>
    </row>
    <row r="387" ht="14.25" customHeight="1">
      <c r="A387" s="429">
        <v>45504.0</v>
      </c>
      <c r="B387" s="410" t="s">
        <v>761</v>
      </c>
      <c r="C387" s="408" t="s">
        <v>765</v>
      </c>
      <c r="D387" s="411" t="s">
        <v>54</v>
      </c>
      <c r="E387" s="410" t="s">
        <v>759</v>
      </c>
      <c r="F387" s="416">
        <v>21646.1</v>
      </c>
      <c r="G387" s="413">
        <v>0.0</v>
      </c>
      <c r="H387" s="349" t="s">
        <v>1079</v>
      </c>
      <c r="I387" s="404" t="str">
        <f t="shared" si="7"/>
        <v>NOT PAID</v>
      </c>
      <c r="J387" s="402"/>
      <c r="K387" s="402"/>
      <c r="L387" s="402"/>
      <c r="M387" s="402"/>
      <c r="N387" s="402"/>
      <c r="O387" s="402"/>
      <c r="P387" s="402"/>
      <c r="Q387" s="402"/>
      <c r="R387" s="402"/>
      <c r="S387" s="402"/>
      <c r="T387" s="402"/>
      <c r="U387" s="402"/>
      <c r="V387" s="402"/>
      <c r="W387" s="402"/>
      <c r="X387" s="402"/>
      <c r="Y387" s="402"/>
      <c r="Z387" s="402"/>
      <c r="AA387" s="405"/>
      <c r="AB387" s="405"/>
    </row>
    <row r="388" ht="14.25" customHeight="1">
      <c r="A388" s="451">
        <v>45504.0</v>
      </c>
      <c r="B388" s="407" t="s">
        <v>915</v>
      </c>
      <c r="C388" s="408" t="s">
        <v>916</v>
      </c>
      <c r="D388" s="408" t="s">
        <v>54</v>
      </c>
      <c r="E388" s="410" t="s">
        <v>759</v>
      </c>
      <c r="F388" s="416">
        <v>45922.0</v>
      </c>
      <c r="G388" s="413">
        <v>0.0</v>
      </c>
      <c r="H388" s="349" t="s">
        <v>1080</v>
      </c>
      <c r="I388" s="404" t="str">
        <f t="shared" si="7"/>
        <v>NOT PAID</v>
      </c>
      <c r="J388" s="402"/>
      <c r="K388" s="402"/>
      <c r="L388" s="402"/>
      <c r="M388" s="402"/>
      <c r="N388" s="402"/>
      <c r="O388" s="402"/>
      <c r="P388" s="402"/>
      <c r="Q388" s="402"/>
      <c r="R388" s="402"/>
      <c r="S388" s="402"/>
      <c r="T388" s="402"/>
      <c r="U388" s="402"/>
      <c r="V388" s="402"/>
      <c r="W388" s="402"/>
      <c r="X388" s="402"/>
      <c r="Y388" s="402"/>
      <c r="Z388" s="402"/>
      <c r="AA388" s="405"/>
      <c r="AB388" s="405"/>
    </row>
    <row r="389" ht="14.25" customHeight="1">
      <c r="A389" s="429">
        <v>45504.0</v>
      </c>
      <c r="B389" s="410" t="s">
        <v>761</v>
      </c>
      <c r="C389" s="411" t="s">
        <v>762</v>
      </c>
      <c r="D389" s="411" t="s">
        <v>59</v>
      </c>
      <c r="E389" s="410" t="s">
        <v>759</v>
      </c>
      <c r="F389" s="416">
        <v>11646.1</v>
      </c>
      <c r="G389" s="413">
        <v>0.0</v>
      </c>
      <c r="H389" s="349" t="s">
        <v>1081</v>
      </c>
      <c r="I389" s="404" t="str">
        <f t="shared" si="7"/>
        <v>NOT PAID</v>
      </c>
      <c r="J389" s="402"/>
      <c r="K389" s="402"/>
      <c r="L389" s="402"/>
      <c r="M389" s="402"/>
      <c r="N389" s="402"/>
      <c r="O389" s="402"/>
      <c r="P389" s="402"/>
      <c r="Q389" s="402"/>
      <c r="R389" s="402"/>
      <c r="S389" s="402"/>
      <c r="T389" s="402"/>
      <c r="U389" s="402"/>
      <c r="V389" s="402"/>
      <c r="W389" s="402"/>
      <c r="X389" s="402"/>
      <c r="Y389" s="402"/>
      <c r="Z389" s="402"/>
      <c r="AA389" s="405"/>
      <c r="AB389" s="405"/>
    </row>
    <row r="390" ht="14.25" customHeight="1">
      <c r="A390" s="451">
        <v>45504.0</v>
      </c>
      <c r="B390" s="349" t="s">
        <v>774</v>
      </c>
      <c r="C390" s="349" t="s">
        <v>799</v>
      </c>
      <c r="D390" s="349" t="s">
        <v>54</v>
      </c>
      <c r="E390" s="410" t="s">
        <v>759</v>
      </c>
      <c r="F390" s="413">
        <v>30200.0</v>
      </c>
      <c r="G390" s="413">
        <v>0.0</v>
      </c>
      <c r="H390" s="349" t="s">
        <v>1082</v>
      </c>
      <c r="I390" s="404" t="str">
        <f t="shared" si="7"/>
        <v>NOT PAID</v>
      </c>
      <c r="J390" s="402"/>
      <c r="K390" s="402"/>
      <c r="L390" s="402"/>
      <c r="M390" s="402"/>
      <c r="N390" s="402"/>
      <c r="O390" s="402"/>
      <c r="P390" s="402"/>
      <c r="Q390" s="402"/>
      <c r="R390" s="402"/>
      <c r="S390" s="402"/>
      <c r="T390" s="402"/>
      <c r="U390" s="402"/>
      <c r="V390" s="402"/>
      <c r="W390" s="402"/>
      <c r="X390" s="402"/>
      <c r="Y390" s="402"/>
      <c r="Z390" s="402"/>
      <c r="AA390" s="405"/>
      <c r="AB390" s="405"/>
    </row>
    <row r="391" ht="14.25" customHeight="1">
      <c r="A391" s="429">
        <v>45504.0</v>
      </c>
      <c r="B391" s="343" t="s">
        <v>781</v>
      </c>
      <c r="C391" s="344" t="s">
        <v>782</v>
      </c>
      <c r="D391" s="344" t="s">
        <v>54</v>
      </c>
      <c r="E391" s="343" t="s">
        <v>779</v>
      </c>
      <c r="F391" s="452">
        <v>21742.38</v>
      </c>
      <c r="G391" s="413">
        <v>5000.0</v>
      </c>
      <c r="H391" s="349" t="s">
        <v>1083</v>
      </c>
      <c r="I391" s="404" t="str">
        <f t="shared" si="7"/>
        <v>PARTIALLY PAID</v>
      </c>
      <c r="J391" s="402"/>
      <c r="K391" s="402"/>
      <c r="L391" s="402"/>
      <c r="M391" s="402"/>
      <c r="N391" s="402"/>
      <c r="O391" s="402"/>
      <c r="P391" s="402"/>
      <c r="Q391" s="402"/>
      <c r="R391" s="402"/>
      <c r="S391" s="402"/>
      <c r="T391" s="402"/>
      <c r="U391" s="402"/>
      <c r="V391" s="402"/>
      <c r="W391" s="402"/>
      <c r="X391" s="402"/>
      <c r="Y391" s="402"/>
      <c r="Z391" s="402"/>
      <c r="AA391" s="405"/>
      <c r="AB391" s="405"/>
    </row>
    <row r="392" ht="14.25" customHeight="1">
      <c r="A392" s="429">
        <v>45504.0</v>
      </c>
      <c r="B392" s="343" t="s">
        <v>960</v>
      </c>
      <c r="C392" s="344" t="s">
        <v>961</v>
      </c>
      <c r="D392" s="344" t="s">
        <v>54</v>
      </c>
      <c r="E392" s="343" t="s">
        <v>779</v>
      </c>
      <c r="F392" s="69">
        <v>90565.3</v>
      </c>
      <c r="G392" s="403"/>
      <c r="H392" s="349" t="s">
        <v>1084</v>
      </c>
      <c r="I392" s="404" t="str">
        <f t="shared" si="7"/>
        <v>NOT PAID</v>
      </c>
      <c r="J392" s="402"/>
      <c r="K392" s="402"/>
      <c r="L392" s="402"/>
      <c r="M392" s="402"/>
      <c r="N392" s="402"/>
      <c r="O392" s="402"/>
      <c r="P392" s="402"/>
      <c r="Q392" s="402"/>
      <c r="R392" s="402"/>
      <c r="S392" s="402"/>
      <c r="T392" s="402"/>
      <c r="U392" s="402"/>
      <c r="V392" s="402"/>
      <c r="W392" s="402"/>
      <c r="X392" s="402"/>
      <c r="Y392" s="402"/>
      <c r="Z392" s="402"/>
      <c r="AA392" s="405"/>
      <c r="AB392" s="405"/>
    </row>
    <row r="393" ht="14.25" customHeight="1">
      <c r="A393" s="429">
        <v>45504.0</v>
      </c>
      <c r="B393" s="349" t="s">
        <v>777</v>
      </c>
      <c r="C393" s="421" t="s">
        <v>929</v>
      </c>
      <c r="D393" s="421" t="s">
        <v>54</v>
      </c>
      <c r="E393" s="416" t="s">
        <v>779</v>
      </c>
      <c r="F393" s="416">
        <v>98000.0</v>
      </c>
      <c r="G393" s="403"/>
      <c r="H393" s="349" t="s">
        <v>1085</v>
      </c>
      <c r="I393" s="404" t="str">
        <f t="shared" si="7"/>
        <v>NOT PAID</v>
      </c>
      <c r="J393" s="402"/>
      <c r="K393" s="402"/>
      <c r="L393" s="402"/>
      <c r="M393" s="402"/>
      <c r="N393" s="402"/>
      <c r="O393" s="402"/>
      <c r="P393" s="402"/>
      <c r="Q393" s="402"/>
      <c r="R393" s="402"/>
      <c r="S393" s="402"/>
      <c r="T393" s="402"/>
      <c r="U393" s="402"/>
      <c r="V393" s="402"/>
      <c r="W393" s="402"/>
      <c r="X393" s="402"/>
      <c r="Y393" s="402"/>
      <c r="Z393" s="402"/>
      <c r="AA393" s="405"/>
      <c r="AB393" s="405"/>
    </row>
    <row r="394" ht="14.25" customHeight="1">
      <c r="A394" s="429">
        <v>45504.0</v>
      </c>
      <c r="B394" s="349" t="s">
        <v>791</v>
      </c>
      <c r="C394" s="349" t="s">
        <v>1086</v>
      </c>
      <c r="D394" s="418" t="s">
        <v>54</v>
      </c>
      <c r="E394" s="416" t="s">
        <v>779</v>
      </c>
      <c r="F394" s="413">
        <v>1064080.42</v>
      </c>
      <c r="G394" s="413">
        <v>900000.0</v>
      </c>
      <c r="H394" s="349" t="s">
        <v>905</v>
      </c>
      <c r="I394" s="404" t="str">
        <f t="shared" si="7"/>
        <v>PARTIALLY PAID</v>
      </c>
      <c r="J394" s="402"/>
      <c r="K394" s="402"/>
      <c r="L394" s="402"/>
      <c r="M394" s="402"/>
      <c r="N394" s="402"/>
      <c r="O394" s="402"/>
      <c r="P394" s="402"/>
      <c r="Q394" s="402"/>
      <c r="R394" s="402"/>
      <c r="S394" s="402"/>
      <c r="T394" s="402"/>
      <c r="U394" s="402"/>
      <c r="V394" s="402"/>
      <c r="W394" s="402"/>
      <c r="X394" s="402"/>
      <c r="Y394" s="402"/>
      <c r="Z394" s="402"/>
      <c r="AA394" s="405"/>
      <c r="AB394" s="405"/>
    </row>
    <row r="395" ht="14.25" customHeight="1">
      <c r="A395" s="429">
        <v>45504.0</v>
      </c>
      <c r="B395" s="349" t="s">
        <v>1087</v>
      </c>
      <c r="C395" s="349" t="s">
        <v>1088</v>
      </c>
      <c r="D395" s="418" t="s">
        <v>54</v>
      </c>
      <c r="E395" s="416" t="s">
        <v>779</v>
      </c>
      <c r="F395" s="413">
        <v>44427.0</v>
      </c>
      <c r="G395" s="413">
        <v>45000.0</v>
      </c>
      <c r="H395" s="349" t="s">
        <v>710</v>
      </c>
      <c r="I395" s="404" t="str">
        <f t="shared" si="7"/>
        <v>FULLY PAID</v>
      </c>
      <c r="J395" s="402"/>
      <c r="K395" s="402"/>
      <c r="L395" s="402"/>
      <c r="M395" s="402"/>
      <c r="N395" s="402"/>
      <c r="O395" s="402"/>
      <c r="P395" s="402"/>
      <c r="Q395" s="402"/>
      <c r="R395" s="402"/>
      <c r="S395" s="402"/>
      <c r="T395" s="402"/>
      <c r="U395" s="402"/>
      <c r="V395" s="402"/>
      <c r="W395" s="402"/>
      <c r="X395" s="402"/>
      <c r="Y395" s="402"/>
      <c r="Z395" s="402"/>
      <c r="AA395" s="405"/>
      <c r="AB395" s="405"/>
    </row>
    <row r="396" ht="14.25" customHeight="1">
      <c r="A396" s="451">
        <v>45504.0</v>
      </c>
      <c r="B396" s="349" t="s">
        <v>794</v>
      </c>
      <c r="C396" s="349" t="s">
        <v>1061</v>
      </c>
      <c r="D396" s="418" t="s">
        <v>54</v>
      </c>
      <c r="E396" s="416" t="s">
        <v>779</v>
      </c>
      <c r="F396" s="413">
        <v>907528.6</v>
      </c>
      <c r="G396" s="413">
        <v>900000.0</v>
      </c>
      <c r="H396" s="349" t="s">
        <v>710</v>
      </c>
      <c r="I396" s="404" t="str">
        <f t="shared" si="7"/>
        <v>PARTIALLY PAID</v>
      </c>
      <c r="J396" s="402"/>
      <c r="K396" s="402"/>
      <c r="L396" s="402"/>
      <c r="M396" s="402"/>
      <c r="N396" s="402"/>
      <c r="O396" s="402"/>
      <c r="P396" s="402"/>
      <c r="Q396" s="402"/>
      <c r="R396" s="402"/>
      <c r="S396" s="402"/>
      <c r="T396" s="402"/>
      <c r="U396" s="402"/>
      <c r="V396" s="402"/>
      <c r="W396" s="402"/>
      <c r="X396" s="402"/>
      <c r="Y396" s="402"/>
      <c r="Z396" s="402"/>
      <c r="AA396" s="405"/>
      <c r="AB396" s="405"/>
    </row>
    <row r="397" ht="14.25" customHeight="1">
      <c r="A397" s="429">
        <v>45504.0</v>
      </c>
      <c r="B397" s="349" t="s">
        <v>841</v>
      </c>
      <c r="C397" s="349" t="s">
        <v>1063</v>
      </c>
      <c r="D397" s="418" t="s">
        <v>54</v>
      </c>
      <c r="E397" s="416" t="s">
        <v>779</v>
      </c>
      <c r="F397" s="413">
        <v>11000.0</v>
      </c>
      <c r="G397" s="403"/>
      <c r="H397" s="349" t="s">
        <v>1089</v>
      </c>
      <c r="I397" s="404" t="str">
        <f t="shared" si="7"/>
        <v>NOT PAID</v>
      </c>
      <c r="J397" s="402"/>
      <c r="K397" s="402"/>
      <c r="L397" s="402"/>
      <c r="M397" s="402"/>
      <c r="N397" s="402"/>
      <c r="O397" s="402"/>
      <c r="P397" s="402"/>
      <c r="Q397" s="402"/>
      <c r="R397" s="402"/>
      <c r="S397" s="402"/>
      <c r="T397" s="402"/>
      <c r="U397" s="402"/>
      <c r="V397" s="402"/>
      <c r="W397" s="402"/>
      <c r="X397" s="402"/>
      <c r="Y397" s="402"/>
      <c r="Z397" s="402"/>
      <c r="AA397" s="405"/>
      <c r="AB397" s="405"/>
    </row>
    <row r="398" ht="14.25" customHeight="1">
      <c r="A398" s="451">
        <v>45504.0</v>
      </c>
      <c r="B398" s="349" t="s">
        <v>1090</v>
      </c>
      <c r="C398" s="349" t="s">
        <v>1091</v>
      </c>
      <c r="D398" s="420" t="s">
        <v>59</v>
      </c>
      <c r="E398" s="416" t="s">
        <v>779</v>
      </c>
      <c r="F398" s="413">
        <v>130737.0</v>
      </c>
      <c r="G398" s="403"/>
      <c r="H398" s="349" t="s">
        <v>1092</v>
      </c>
      <c r="I398" s="404" t="str">
        <f t="shared" si="7"/>
        <v>NOT PAID</v>
      </c>
      <c r="J398" s="402"/>
      <c r="K398" s="402"/>
      <c r="L398" s="402"/>
      <c r="M398" s="402"/>
      <c r="N398" s="402"/>
      <c r="O398" s="402"/>
      <c r="P398" s="402"/>
      <c r="Q398" s="402"/>
      <c r="R398" s="402"/>
      <c r="S398" s="402"/>
      <c r="T398" s="402"/>
      <c r="U398" s="402"/>
      <c r="V398" s="402"/>
      <c r="W398" s="402"/>
      <c r="X398" s="402"/>
      <c r="Y398" s="402"/>
      <c r="Z398" s="402"/>
      <c r="AA398" s="405"/>
      <c r="AB398" s="405"/>
    </row>
    <row r="399" ht="14.25" customHeight="1">
      <c r="A399" s="429">
        <v>45504.0</v>
      </c>
      <c r="B399" s="349" t="s">
        <v>783</v>
      </c>
      <c r="C399" s="349" t="s">
        <v>965</v>
      </c>
      <c r="D399" s="418" t="s">
        <v>54</v>
      </c>
      <c r="E399" s="416" t="s">
        <v>273</v>
      </c>
      <c r="F399" s="413">
        <v>200000.0</v>
      </c>
      <c r="G399" s="413">
        <v>200000.0</v>
      </c>
      <c r="H399" s="349" t="s">
        <v>56</v>
      </c>
      <c r="I399" s="404" t="str">
        <f t="shared" si="7"/>
        <v>FULLY PAID</v>
      </c>
      <c r="J399" s="402"/>
      <c r="K399" s="402"/>
      <c r="L399" s="402"/>
      <c r="M399" s="402"/>
      <c r="N399" s="402"/>
      <c r="O399" s="402"/>
      <c r="P399" s="402"/>
      <c r="Q399" s="402"/>
      <c r="R399" s="402"/>
      <c r="S399" s="402"/>
      <c r="T399" s="402"/>
      <c r="U399" s="402"/>
      <c r="V399" s="402"/>
      <c r="W399" s="402"/>
      <c r="X399" s="402"/>
      <c r="Y399" s="402"/>
      <c r="Z399" s="402"/>
      <c r="AA399" s="405"/>
      <c r="AB399" s="405"/>
    </row>
    <row r="400" ht="14.25" customHeight="1">
      <c r="A400" s="451">
        <v>45504.0</v>
      </c>
      <c r="B400" s="349" t="s">
        <v>798</v>
      </c>
      <c r="C400" s="421" t="s">
        <v>799</v>
      </c>
      <c r="D400" s="421" t="s">
        <v>59</v>
      </c>
      <c r="E400" s="416" t="s">
        <v>273</v>
      </c>
      <c r="F400" s="416">
        <v>1500000.0</v>
      </c>
      <c r="G400" s="403"/>
      <c r="H400" s="349" t="s">
        <v>1093</v>
      </c>
      <c r="I400" s="404" t="str">
        <f t="shared" si="7"/>
        <v>NOT PAID</v>
      </c>
      <c r="J400" s="402"/>
      <c r="K400" s="402"/>
      <c r="L400" s="402"/>
      <c r="M400" s="402"/>
      <c r="N400" s="402"/>
      <c r="O400" s="402"/>
      <c r="P400" s="402"/>
      <c r="Q400" s="402"/>
      <c r="R400" s="402"/>
      <c r="S400" s="402"/>
      <c r="T400" s="402"/>
      <c r="U400" s="402"/>
      <c r="V400" s="402"/>
      <c r="W400" s="402"/>
      <c r="X400" s="402"/>
      <c r="Y400" s="402"/>
      <c r="Z400" s="402"/>
      <c r="AA400" s="405"/>
      <c r="AB400" s="405"/>
    </row>
    <row r="401" ht="14.25" customHeight="1">
      <c r="A401" s="429">
        <v>45504.0</v>
      </c>
      <c r="B401" s="443" t="s">
        <v>877</v>
      </c>
      <c r="C401" s="421" t="s">
        <v>878</v>
      </c>
      <c r="D401" s="421" t="s">
        <v>54</v>
      </c>
      <c r="E401" s="410" t="s">
        <v>273</v>
      </c>
      <c r="F401" s="413">
        <v>36502.21</v>
      </c>
      <c r="G401" s="403"/>
      <c r="H401" s="349" t="s">
        <v>1094</v>
      </c>
      <c r="I401" s="404" t="str">
        <f t="shared" si="7"/>
        <v>NOT PAID</v>
      </c>
      <c r="J401" s="402"/>
      <c r="K401" s="402"/>
      <c r="L401" s="402"/>
      <c r="M401" s="402"/>
      <c r="N401" s="402"/>
      <c r="O401" s="402"/>
      <c r="P401" s="402"/>
      <c r="Q401" s="402"/>
      <c r="R401" s="402"/>
      <c r="S401" s="402"/>
      <c r="T401" s="402"/>
      <c r="U401" s="402"/>
      <c r="V401" s="402"/>
      <c r="W401" s="402"/>
      <c r="X401" s="402"/>
      <c r="Y401" s="402"/>
      <c r="Z401" s="402"/>
      <c r="AA401" s="405"/>
      <c r="AB401" s="405"/>
    </row>
    <row r="402" ht="14.25" customHeight="1">
      <c r="A402" s="429">
        <v>45504.0</v>
      </c>
      <c r="B402" s="349" t="s">
        <v>886</v>
      </c>
      <c r="C402" s="349" t="s">
        <v>1095</v>
      </c>
      <c r="D402" s="349" t="s">
        <v>54</v>
      </c>
      <c r="E402" s="410" t="s">
        <v>273</v>
      </c>
      <c r="F402" s="413">
        <v>100000.0</v>
      </c>
      <c r="G402" s="403"/>
      <c r="H402" s="349" t="s">
        <v>694</v>
      </c>
      <c r="I402" s="404" t="str">
        <f t="shared" si="7"/>
        <v>NOT PAID</v>
      </c>
      <c r="J402" s="402"/>
      <c r="K402" s="402"/>
      <c r="L402" s="402"/>
      <c r="M402" s="402"/>
      <c r="N402" s="402"/>
      <c r="O402" s="402"/>
      <c r="P402" s="402"/>
      <c r="Q402" s="402"/>
      <c r="R402" s="402"/>
      <c r="S402" s="402"/>
      <c r="T402" s="402"/>
      <c r="U402" s="402"/>
      <c r="V402" s="402"/>
      <c r="W402" s="402"/>
      <c r="X402" s="402"/>
      <c r="Y402" s="402"/>
      <c r="Z402" s="402"/>
      <c r="AA402" s="405"/>
      <c r="AB402" s="405"/>
    </row>
    <row r="403" ht="14.25" customHeight="1">
      <c r="A403" s="429"/>
      <c r="B403" s="349"/>
      <c r="C403" s="349"/>
      <c r="D403" s="413"/>
      <c r="E403" s="349"/>
      <c r="F403" s="413"/>
      <c r="G403" s="403"/>
      <c r="H403" s="402"/>
      <c r="I403" s="404" t="str">
        <f t="shared" si="7"/>
        <v>FULLY PAID</v>
      </c>
      <c r="J403" s="402"/>
      <c r="K403" s="402"/>
      <c r="L403" s="402"/>
      <c r="M403" s="402"/>
      <c r="N403" s="402"/>
      <c r="O403" s="402"/>
      <c r="P403" s="402"/>
      <c r="Q403" s="402"/>
      <c r="R403" s="402"/>
      <c r="S403" s="402"/>
      <c r="T403" s="402"/>
      <c r="U403" s="402"/>
      <c r="V403" s="402"/>
      <c r="W403" s="402"/>
      <c r="X403" s="402"/>
      <c r="Y403" s="402"/>
      <c r="Z403" s="402"/>
      <c r="AA403" s="405"/>
      <c r="AB403" s="405"/>
    </row>
    <row r="404" ht="14.25" customHeight="1">
      <c r="A404" s="429"/>
      <c r="B404" s="402"/>
      <c r="C404" s="402"/>
      <c r="D404" s="402"/>
      <c r="E404" s="402"/>
      <c r="F404" s="403"/>
      <c r="G404" s="403"/>
      <c r="H404" s="402"/>
      <c r="I404" s="404" t="str">
        <f t="shared" si="7"/>
        <v>FULLY PAID</v>
      </c>
      <c r="J404" s="402"/>
      <c r="K404" s="402"/>
      <c r="L404" s="402"/>
      <c r="M404" s="402"/>
      <c r="N404" s="402"/>
      <c r="O404" s="402"/>
      <c r="P404" s="402"/>
      <c r="Q404" s="402"/>
      <c r="R404" s="402"/>
      <c r="S404" s="402"/>
      <c r="T404" s="402"/>
      <c r="U404" s="402"/>
      <c r="V404" s="402"/>
      <c r="W404" s="402"/>
      <c r="X404" s="402"/>
      <c r="Y404" s="402"/>
      <c r="Z404" s="402"/>
      <c r="AA404" s="405"/>
      <c r="AB404" s="405"/>
    </row>
    <row r="405" ht="14.25" customHeight="1">
      <c r="A405" s="429"/>
      <c r="B405" s="402"/>
      <c r="C405" s="402"/>
      <c r="D405" s="402"/>
      <c r="E405" s="402"/>
      <c r="F405" s="403"/>
      <c r="G405" s="403"/>
      <c r="H405" s="402"/>
      <c r="I405" s="404" t="str">
        <f t="shared" si="7"/>
        <v>FULLY PAID</v>
      </c>
      <c r="J405" s="402"/>
      <c r="K405" s="402"/>
      <c r="L405" s="402"/>
      <c r="M405" s="402"/>
      <c r="N405" s="402"/>
      <c r="O405" s="402"/>
      <c r="P405" s="402"/>
      <c r="Q405" s="402"/>
      <c r="R405" s="402"/>
      <c r="S405" s="402"/>
      <c r="T405" s="402"/>
      <c r="U405" s="402"/>
      <c r="V405" s="402"/>
      <c r="W405" s="402"/>
      <c r="X405" s="402"/>
      <c r="Y405" s="402"/>
      <c r="Z405" s="402"/>
      <c r="AA405" s="405"/>
      <c r="AB405" s="405"/>
    </row>
    <row r="406" ht="14.25" customHeight="1">
      <c r="A406" s="429"/>
      <c r="B406" s="402"/>
      <c r="C406" s="402"/>
      <c r="D406" s="402"/>
      <c r="E406" s="402"/>
      <c r="F406" s="403"/>
      <c r="G406" s="403"/>
      <c r="H406" s="402"/>
      <c r="I406" s="404" t="str">
        <f t="shared" si="7"/>
        <v>FULLY PAID</v>
      </c>
      <c r="J406" s="402"/>
      <c r="K406" s="402"/>
      <c r="L406" s="402"/>
      <c r="M406" s="402"/>
      <c r="N406" s="402"/>
      <c r="O406" s="402"/>
      <c r="P406" s="402"/>
      <c r="Q406" s="402"/>
      <c r="R406" s="402"/>
      <c r="S406" s="402"/>
      <c r="T406" s="402"/>
      <c r="U406" s="402"/>
      <c r="V406" s="402"/>
      <c r="W406" s="402"/>
      <c r="X406" s="402"/>
      <c r="Y406" s="402"/>
      <c r="Z406" s="402"/>
      <c r="AA406" s="405"/>
      <c r="AB406" s="405"/>
    </row>
    <row r="407" ht="14.25" customHeight="1">
      <c r="A407" s="451"/>
      <c r="B407" s="461">
        <v>45299.0</v>
      </c>
      <c r="C407" s="402"/>
      <c r="D407" s="402"/>
      <c r="E407" s="402"/>
      <c r="F407" s="403"/>
      <c r="G407" s="403"/>
      <c r="H407" s="402"/>
      <c r="I407" s="404" t="str">
        <f t="shared" si="7"/>
        <v>FULLY PAID</v>
      </c>
      <c r="J407" s="402"/>
      <c r="K407" s="402"/>
      <c r="L407" s="402"/>
      <c r="M407" s="402"/>
      <c r="N407" s="402"/>
      <c r="O407" s="402"/>
      <c r="P407" s="402"/>
      <c r="Q407" s="402"/>
      <c r="R407" s="402"/>
      <c r="S407" s="402"/>
      <c r="T407" s="402"/>
      <c r="U407" s="402"/>
      <c r="V407" s="402"/>
      <c r="W407" s="402"/>
      <c r="X407" s="402"/>
      <c r="Y407" s="402"/>
      <c r="Z407" s="402"/>
      <c r="AA407" s="405"/>
      <c r="AB407" s="405"/>
    </row>
    <row r="408" ht="14.25" customHeight="1">
      <c r="A408" s="429">
        <v>45505.0</v>
      </c>
      <c r="B408" s="349" t="s">
        <v>1096</v>
      </c>
      <c r="C408" s="349" t="s">
        <v>1097</v>
      </c>
      <c r="D408" s="349" t="s">
        <v>439</v>
      </c>
      <c r="E408" s="349" t="s">
        <v>1098</v>
      </c>
      <c r="F408" s="413">
        <v>24202.8</v>
      </c>
      <c r="G408" s="403"/>
      <c r="H408" s="462" t="s">
        <v>1099</v>
      </c>
      <c r="I408" s="404" t="str">
        <f t="shared" si="7"/>
        <v>NOT PAID</v>
      </c>
      <c r="J408" s="402"/>
      <c r="K408" s="402"/>
      <c r="L408" s="402"/>
      <c r="M408" s="402"/>
      <c r="N408" s="402"/>
      <c r="O408" s="402"/>
      <c r="P408" s="402"/>
      <c r="Q408" s="402"/>
      <c r="R408" s="402"/>
      <c r="S408" s="402"/>
      <c r="T408" s="402"/>
      <c r="U408" s="402"/>
      <c r="V408" s="402"/>
      <c r="W408" s="402"/>
      <c r="X408" s="402"/>
      <c r="Y408" s="402"/>
      <c r="Z408" s="402"/>
      <c r="AA408" s="405"/>
      <c r="AB408" s="405"/>
    </row>
    <row r="409" ht="14.25" customHeight="1">
      <c r="A409" s="429">
        <v>45505.0</v>
      </c>
      <c r="B409" s="349" t="s">
        <v>723</v>
      </c>
      <c r="C409" s="349" t="s">
        <v>724</v>
      </c>
      <c r="D409" s="349" t="s">
        <v>54</v>
      </c>
      <c r="E409" s="349" t="s">
        <v>1098</v>
      </c>
      <c r="F409" s="413">
        <v>7735.49</v>
      </c>
      <c r="G409" s="403"/>
      <c r="H409" s="349" t="s">
        <v>694</v>
      </c>
      <c r="I409" s="404" t="str">
        <f t="shared" si="7"/>
        <v>NOT PAID</v>
      </c>
      <c r="J409" s="402"/>
      <c r="K409" s="402"/>
      <c r="L409" s="402"/>
      <c r="M409" s="402"/>
      <c r="N409" s="402"/>
      <c r="O409" s="402"/>
      <c r="P409" s="402"/>
      <c r="Q409" s="402"/>
      <c r="R409" s="402"/>
      <c r="S409" s="402"/>
      <c r="T409" s="402"/>
      <c r="U409" s="402"/>
      <c r="V409" s="402"/>
      <c r="W409" s="402"/>
      <c r="X409" s="402"/>
      <c r="Y409" s="402"/>
      <c r="Z409" s="402"/>
      <c r="AA409" s="405"/>
      <c r="AB409" s="405"/>
    </row>
    <row r="410" ht="14.25" customHeight="1">
      <c r="A410" s="429">
        <v>45505.0</v>
      </c>
      <c r="B410" s="349" t="s">
        <v>777</v>
      </c>
      <c r="C410" s="349" t="s">
        <v>778</v>
      </c>
      <c r="D410" s="349" t="s">
        <v>54</v>
      </c>
      <c r="E410" s="349" t="s">
        <v>1098</v>
      </c>
      <c r="F410" s="413">
        <v>106930.95</v>
      </c>
      <c r="G410" s="413">
        <v>70000.0</v>
      </c>
      <c r="H410" s="349" t="s">
        <v>1100</v>
      </c>
      <c r="I410" s="404" t="str">
        <f t="shared" si="7"/>
        <v>PARTIALLY PAID</v>
      </c>
      <c r="J410" s="402"/>
      <c r="K410" s="402"/>
      <c r="L410" s="402"/>
      <c r="M410" s="402"/>
      <c r="N410" s="402"/>
      <c r="O410" s="402"/>
      <c r="P410" s="402"/>
      <c r="Q410" s="402"/>
      <c r="R410" s="402"/>
      <c r="S410" s="402"/>
      <c r="T410" s="402"/>
      <c r="U410" s="402"/>
      <c r="V410" s="402"/>
      <c r="W410" s="402"/>
      <c r="X410" s="402"/>
      <c r="Y410" s="402"/>
      <c r="Z410" s="402"/>
      <c r="AA410" s="405"/>
      <c r="AB410" s="405"/>
    </row>
    <row r="411" ht="14.25" customHeight="1">
      <c r="A411" s="429">
        <v>45505.0</v>
      </c>
      <c r="B411" s="349" t="s">
        <v>841</v>
      </c>
      <c r="C411" s="349" t="s">
        <v>842</v>
      </c>
      <c r="D411" s="349" t="s">
        <v>54</v>
      </c>
      <c r="E411" s="349" t="s">
        <v>1098</v>
      </c>
      <c r="F411" s="413">
        <v>11249.07</v>
      </c>
      <c r="G411" s="403"/>
      <c r="H411" s="349" t="s">
        <v>1101</v>
      </c>
      <c r="I411" s="404" t="str">
        <f t="shared" si="7"/>
        <v>NOT PAID</v>
      </c>
      <c r="J411" s="402"/>
      <c r="K411" s="402"/>
      <c r="L411" s="402"/>
      <c r="M411" s="402"/>
      <c r="N411" s="402"/>
      <c r="O411" s="402"/>
      <c r="P411" s="402"/>
      <c r="Q411" s="402"/>
      <c r="R411" s="402"/>
      <c r="S411" s="402"/>
      <c r="T411" s="402"/>
      <c r="U411" s="402"/>
      <c r="V411" s="402"/>
      <c r="W411" s="402"/>
      <c r="X411" s="402"/>
      <c r="Y411" s="402"/>
      <c r="Z411" s="402"/>
      <c r="AA411" s="405"/>
      <c r="AB411" s="405"/>
    </row>
    <row r="412" ht="14.25" customHeight="1">
      <c r="A412" s="429">
        <v>45505.0</v>
      </c>
      <c r="B412" s="349" t="s">
        <v>1102</v>
      </c>
      <c r="C412" s="349" t="s">
        <v>1103</v>
      </c>
      <c r="D412" s="349" t="s">
        <v>54</v>
      </c>
      <c r="E412" s="349" t="s">
        <v>1098</v>
      </c>
      <c r="F412" s="413">
        <v>314362.22</v>
      </c>
      <c r="G412" s="413">
        <v>355900.0</v>
      </c>
      <c r="H412" s="413" t="s">
        <v>267</v>
      </c>
      <c r="I412" s="404" t="str">
        <f t="shared" si="7"/>
        <v>FULLY PAID</v>
      </c>
      <c r="J412" s="402"/>
      <c r="K412" s="402"/>
      <c r="L412" s="402"/>
      <c r="M412" s="402"/>
      <c r="N412" s="402"/>
      <c r="O412" s="402"/>
      <c r="P412" s="402"/>
      <c r="Q412" s="402"/>
      <c r="R412" s="402"/>
      <c r="S412" s="402"/>
      <c r="T412" s="402"/>
      <c r="U412" s="402"/>
      <c r="V412" s="402"/>
      <c r="W412" s="402"/>
      <c r="X412" s="402"/>
      <c r="Y412" s="402"/>
      <c r="Z412" s="402"/>
      <c r="AA412" s="405"/>
      <c r="AB412" s="405"/>
    </row>
    <row r="413" ht="14.25" customHeight="1">
      <c r="A413" s="429">
        <v>45505.0</v>
      </c>
      <c r="B413" s="349" t="s">
        <v>1104</v>
      </c>
      <c r="C413" s="349" t="s">
        <v>1105</v>
      </c>
      <c r="D413" s="349" t="s">
        <v>54</v>
      </c>
      <c r="E413" s="349" t="s">
        <v>1098</v>
      </c>
      <c r="F413" s="413">
        <v>17111.4</v>
      </c>
      <c r="G413" s="403"/>
      <c r="H413" s="349" t="s">
        <v>1106</v>
      </c>
      <c r="I413" s="404" t="str">
        <f t="shared" si="7"/>
        <v>NOT PAID</v>
      </c>
      <c r="J413" s="402"/>
      <c r="K413" s="402"/>
      <c r="L413" s="402"/>
      <c r="M413" s="402"/>
      <c r="N413" s="402"/>
      <c r="O413" s="402"/>
      <c r="P413" s="402"/>
      <c r="Q413" s="402"/>
      <c r="R413" s="402"/>
      <c r="S413" s="402"/>
      <c r="T413" s="402"/>
      <c r="U413" s="402"/>
      <c r="V413" s="402"/>
      <c r="W413" s="402"/>
      <c r="X413" s="402"/>
      <c r="Y413" s="402"/>
      <c r="Z413" s="402"/>
      <c r="AA413" s="405"/>
      <c r="AB413" s="405"/>
    </row>
    <row r="414" ht="14.25" customHeight="1">
      <c r="A414" s="429">
        <v>45505.0</v>
      </c>
      <c r="B414" s="349" t="s">
        <v>807</v>
      </c>
      <c r="C414" s="349" t="s">
        <v>808</v>
      </c>
      <c r="D414" s="349" t="s">
        <v>54</v>
      </c>
      <c r="E414" s="349" t="s">
        <v>1098</v>
      </c>
      <c r="F414" s="413">
        <v>1674.75</v>
      </c>
      <c r="G414" s="403"/>
      <c r="H414" s="349" t="s">
        <v>694</v>
      </c>
      <c r="I414" s="404" t="str">
        <f t="shared" si="7"/>
        <v>NOT PAID</v>
      </c>
      <c r="J414" s="402"/>
      <c r="K414" s="402"/>
      <c r="L414" s="402"/>
      <c r="M414" s="402"/>
      <c r="N414" s="402"/>
      <c r="O414" s="402"/>
      <c r="P414" s="402"/>
      <c r="Q414" s="402"/>
      <c r="R414" s="402"/>
      <c r="S414" s="402"/>
      <c r="T414" s="402"/>
      <c r="U414" s="402"/>
      <c r="V414" s="402"/>
      <c r="W414" s="402"/>
      <c r="X414" s="402"/>
      <c r="Y414" s="402"/>
      <c r="Z414" s="402"/>
      <c r="AA414" s="405"/>
      <c r="AB414" s="405"/>
    </row>
    <row r="415" ht="14.25" customHeight="1">
      <c r="A415" s="429">
        <v>45505.0</v>
      </c>
      <c r="B415" s="349" t="s">
        <v>1107</v>
      </c>
      <c r="C415" s="349" t="s">
        <v>1108</v>
      </c>
      <c r="D415" s="349" t="s">
        <v>54</v>
      </c>
      <c r="E415" s="349" t="s">
        <v>1098</v>
      </c>
      <c r="F415" s="413">
        <v>13412.56</v>
      </c>
      <c r="G415" s="403"/>
      <c r="H415" s="349" t="s">
        <v>1109</v>
      </c>
      <c r="I415" s="404" t="str">
        <f t="shared" si="7"/>
        <v>NOT PAID</v>
      </c>
      <c r="J415" s="402"/>
      <c r="K415" s="402"/>
      <c r="L415" s="402"/>
      <c r="M415" s="402"/>
      <c r="N415" s="402"/>
      <c r="O415" s="402"/>
      <c r="P415" s="402"/>
      <c r="Q415" s="402"/>
      <c r="R415" s="402"/>
      <c r="S415" s="402"/>
      <c r="T415" s="402"/>
      <c r="U415" s="402"/>
      <c r="V415" s="402"/>
      <c r="W415" s="402"/>
      <c r="X415" s="402"/>
      <c r="Y415" s="402"/>
      <c r="Z415" s="402"/>
      <c r="AA415" s="405"/>
      <c r="AB415" s="405"/>
    </row>
    <row r="416" ht="14.25" customHeight="1">
      <c r="A416" s="429">
        <v>45505.0</v>
      </c>
      <c r="B416" s="349" t="s">
        <v>705</v>
      </c>
      <c r="C416" s="349" t="s">
        <v>1110</v>
      </c>
      <c r="D416" s="349" t="s">
        <v>54</v>
      </c>
      <c r="E416" s="349" t="s">
        <v>1098</v>
      </c>
      <c r="F416" s="413">
        <v>6709.6</v>
      </c>
      <c r="G416" s="403"/>
      <c r="H416" s="349" t="s">
        <v>1111</v>
      </c>
      <c r="I416" s="404" t="str">
        <f t="shared" si="7"/>
        <v>NOT PAID</v>
      </c>
      <c r="J416" s="402"/>
      <c r="K416" s="402"/>
      <c r="L416" s="402"/>
      <c r="M416" s="402"/>
      <c r="N416" s="402"/>
      <c r="O416" s="402"/>
      <c r="P416" s="402"/>
      <c r="Q416" s="402"/>
      <c r="R416" s="402"/>
      <c r="S416" s="402"/>
      <c r="T416" s="402"/>
      <c r="U416" s="402"/>
      <c r="V416" s="402"/>
      <c r="W416" s="402"/>
      <c r="X416" s="402"/>
      <c r="Y416" s="402"/>
      <c r="Z416" s="402"/>
      <c r="AA416" s="405"/>
      <c r="AB416" s="405"/>
    </row>
    <row r="417" ht="14.25" customHeight="1">
      <c r="A417" s="429">
        <v>45505.0</v>
      </c>
      <c r="B417" s="349" t="s">
        <v>701</v>
      </c>
      <c r="C417" s="349" t="s">
        <v>702</v>
      </c>
      <c r="D417" s="349" t="s">
        <v>54</v>
      </c>
      <c r="E417" s="349" t="s">
        <v>1098</v>
      </c>
      <c r="F417" s="413">
        <v>17124.66</v>
      </c>
      <c r="G417" s="403"/>
      <c r="H417" s="349" t="s">
        <v>1112</v>
      </c>
      <c r="I417" s="404" t="str">
        <f t="shared" si="7"/>
        <v>NOT PAID</v>
      </c>
      <c r="J417" s="402"/>
      <c r="K417" s="402"/>
      <c r="L417" s="402"/>
      <c r="M417" s="402"/>
      <c r="N417" s="402"/>
      <c r="O417" s="402"/>
      <c r="P417" s="402"/>
      <c r="Q417" s="402"/>
      <c r="R417" s="402"/>
      <c r="S417" s="402"/>
      <c r="T417" s="402"/>
      <c r="U417" s="402"/>
      <c r="V417" s="402"/>
      <c r="W417" s="402"/>
      <c r="X417" s="402"/>
      <c r="Y417" s="402"/>
      <c r="Z417" s="402"/>
      <c r="AA417" s="405"/>
      <c r="AB417" s="405"/>
    </row>
    <row r="418" ht="14.25" customHeight="1">
      <c r="A418" s="429">
        <v>45505.0</v>
      </c>
      <c r="B418" s="349" t="s">
        <v>1113</v>
      </c>
      <c r="C418" s="349" t="s">
        <v>1114</v>
      </c>
      <c r="D418" s="349" t="s">
        <v>1115</v>
      </c>
      <c r="E418" s="349" t="s">
        <v>1098</v>
      </c>
      <c r="F418" s="413">
        <v>170000.0</v>
      </c>
      <c r="G418" s="403"/>
      <c r="H418" s="349" t="s">
        <v>1116</v>
      </c>
      <c r="I418" s="404" t="str">
        <f t="shared" si="7"/>
        <v>NOT PAID</v>
      </c>
      <c r="J418" s="402"/>
      <c r="K418" s="402"/>
      <c r="L418" s="402"/>
      <c r="M418" s="402"/>
      <c r="N418" s="402"/>
      <c r="O418" s="402"/>
      <c r="P418" s="402"/>
      <c r="Q418" s="402"/>
      <c r="R418" s="402"/>
      <c r="S418" s="402"/>
      <c r="T418" s="402"/>
      <c r="U418" s="402"/>
      <c r="V418" s="402"/>
      <c r="W418" s="402"/>
      <c r="X418" s="402"/>
      <c r="Y418" s="402"/>
      <c r="Z418" s="402"/>
      <c r="AA418" s="405"/>
      <c r="AB418" s="405"/>
    </row>
    <row r="419" ht="14.25" customHeight="1">
      <c r="A419" s="429">
        <v>45505.0</v>
      </c>
      <c r="B419" s="349" t="s">
        <v>1117</v>
      </c>
      <c r="C419" s="349" t="s">
        <v>1114</v>
      </c>
      <c r="D419" s="349" t="s">
        <v>1115</v>
      </c>
      <c r="E419" s="349" t="s">
        <v>1098</v>
      </c>
      <c r="F419" s="413">
        <v>170000.0</v>
      </c>
      <c r="G419" s="403"/>
      <c r="H419" s="349" t="s">
        <v>1116</v>
      </c>
      <c r="I419" s="404" t="str">
        <f t="shared" si="7"/>
        <v>NOT PAID</v>
      </c>
      <c r="J419" s="402"/>
      <c r="K419" s="402"/>
      <c r="L419" s="402"/>
      <c r="M419" s="402"/>
      <c r="N419" s="402"/>
      <c r="O419" s="402"/>
      <c r="P419" s="402"/>
      <c r="Q419" s="402"/>
      <c r="R419" s="402"/>
      <c r="S419" s="402"/>
      <c r="T419" s="402"/>
      <c r="U419" s="402"/>
      <c r="V419" s="402"/>
      <c r="W419" s="402"/>
      <c r="X419" s="402"/>
      <c r="Y419" s="402"/>
      <c r="Z419" s="402"/>
      <c r="AA419" s="405"/>
      <c r="AB419" s="405"/>
    </row>
    <row r="420" ht="14.25" customHeight="1">
      <c r="A420" s="429">
        <v>45505.0</v>
      </c>
      <c r="B420" s="349" t="s">
        <v>1090</v>
      </c>
      <c r="C420" s="349" t="s">
        <v>1118</v>
      </c>
      <c r="D420" s="349" t="s">
        <v>59</v>
      </c>
      <c r="E420" s="349" t="s">
        <v>1098</v>
      </c>
      <c r="F420" s="413">
        <v>130737.0</v>
      </c>
      <c r="G420" s="413">
        <v>131397.0</v>
      </c>
      <c r="H420" s="413" t="s">
        <v>1119</v>
      </c>
      <c r="I420" s="404" t="str">
        <f t="shared" si="7"/>
        <v>FULLY PAID</v>
      </c>
      <c r="J420" s="402"/>
      <c r="K420" s="402"/>
      <c r="L420" s="402"/>
      <c r="M420" s="402"/>
      <c r="N420" s="402"/>
      <c r="O420" s="402"/>
      <c r="P420" s="402"/>
      <c r="Q420" s="402"/>
      <c r="R420" s="402"/>
      <c r="S420" s="402"/>
      <c r="T420" s="402"/>
      <c r="U420" s="402"/>
      <c r="V420" s="402"/>
      <c r="W420" s="402"/>
      <c r="X420" s="402"/>
      <c r="Y420" s="402"/>
      <c r="Z420" s="402"/>
      <c r="AA420" s="405"/>
      <c r="AB420" s="405"/>
    </row>
    <row r="421" ht="14.25" customHeight="1">
      <c r="A421" s="429">
        <v>45505.0</v>
      </c>
      <c r="B421" s="349" t="s">
        <v>1120</v>
      </c>
      <c r="C421" s="349" t="s">
        <v>1121</v>
      </c>
      <c r="D421" s="349" t="s">
        <v>346</v>
      </c>
      <c r="E421" s="349" t="s">
        <v>1098</v>
      </c>
      <c r="F421" s="413">
        <v>32479.34</v>
      </c>
      <c r="G421" s="413"/>
      <c r="H421" s="413" t="s">
        <v>1122</v>
      </c>
      <c r="I421" s="404" t="str">
        <f t="shared" si="7"/>
        <v>NOT PAID</v>
      </c>
      <c r="J421" s="402"/>
      <c r="K421" s="402"/>
      <c r="L421" s="402"/>
      <c r="M421" s="402"/>
      <c r="N421" s="402"/>
      <c r="O421" s="402"/>
      <c r="P421" s="402"/>
      <c r="Q421" s="402"/>
      <c r="R421" s="402"/>
      <c r="S421" s="402"/>
      <c r="T421" s="402"/>
      <c r="U421" s="402"/>
      <c r="V421" s="402"/>
      <c r="W421" s="402"/>
      <c r="X421" s="402"/>
      <c r="Y421" s="402"/>
      <c r="Z421" s="402"/>
      <c r="AA421" s="405"/>
      <c r="AB421" s="405"/>
    </row>
    <row r="422" ht="14.25" customHeight="1">
      <c r="A422" s="429">
        <v>45505.0</v>
      </c>
      <c r="B422" s="349" t="s">
        <v>711</v>
      </c>
      <c r="C422" s="349" t="s">
        <v>1123</v>
      </c>
      <c r="D422" s="349" t="s">
        <v>75</v>
      </c>
      <c r="E422" s="349" t="s">
        <v>1098</v>
      </c>
      <c r="F422" s="413">
        <v>263387.25</v>
      </c>
      <c r="G422" s="413">
        <v>200000.0</v>
      </c>
      <c r="H422" s="349" t="s">
        <v>1124</v>
      </c>
      <c r="I422" s="404" t="str">
        <f t="shared" si="7"/>
        <v>PARTIALLY PAID</v>
      </c>
      <c r="J422" s="402"/>
      <c r="K422" s="402"/>
      <c r="L422" s="402"/>
      <c r="M422" s="402"/>
      <c r="N422" s="402"/>
      <c r="O422" s="402"/>
      <c r="P422" s="402"/>
      <c r="Q422" s="402"/>
      <c r="R422" s="402"/>
      <c r="S422" s="402"/>
      <c r="T422" s="402"/>
      <c r="U422" s="402"/>
      <c r="V422" s="402"/>
      <c r="W422" s="402"/>
      <c r="X422" s="402"/>
      <c r="Y422" s="402"/>
      <c r="Z422" s="402"/>
      <c r="AA422" s="405"/>
      <c r="AB422" s="405"/>
    </row>
    <row r="423" ht="14.25" customHeight="1">
      <c r="A423" s="429">
        <v>45505.0</v>
      </c>
      <c r="B423" s="349" t="s">
        <v>990</v>
      </c>
      <c r="C423" s="349" t="s">
        <v>991</v>
      </c>
      <c r="D423" s="349" t="s">
        <v>75</v>
      </c>
      <c r="E423" s="349" t="s">
        <v>1098</v>
      </c>
      <c r="F423" s="413">
        <v>130725.0</v>
      </c>
      <c r="G423" s="403"/>
      <c r="H423" s="349" t="s">
        <v>992</v>
      </c>
      <c r="I423" s="404" t="str">
        <f t="shared" si="7"/>
        <v>NOT PAID</v>
      </c>
      <c r="J423" s="402"/>
      <c r="K423" s="402"/>
      <c r="L423" s="402"/>
      <c r="M423" s="402"/>
      <c r="N423" s="402"/>
      <c r="O423" s="402"/>
      <c r="P423" s="402"/>
      <c r="Q423" s="402"/>
      <c r="R423" s="402"/>
      <c r="S423" s="402"/>
      <c r="T423" s="402"/>
      <c r="U423" s="402"/>
      <c r="V423" s="402"/>
      <c r="W423" s="402"/>
      <c r="X423" s="402"/>
      <c r="Y423" s="402"/>
      <c r="Z423" s="402"/>
      <c r="AA423" s="405"/>
      <c r="AB423" s="405"/>
    </row>
    <row r="424" ht="14.25" customHeight="1">
      <c r="A424" s="429">
        <v>45505.0</v>
      </c>
      <c r="B424" s="349" t="s">
        <v>1125</v>
      </c>
      <c r="C424" s="349" t="s">
        <v>1126</v>
      </c>
      <c r="D424" s="349" t="s">
        <v>54</v>
      </c>
      <c r="E424" s="349" t="s">
        <v>1127</v>
      </c>
      <c r="F424" s="413">
        <v>15297.75</v>
      </c>
      <c r="G424" s="403"/>
      <c r="H424" s="349" t="s">
        <v>1128</v>
      </c>
      <c r="I424" s="404" t="str">
        <f t="shared" si="7"/>
        <v>NOT PAID</v>
      </c>
      <c r="J424" s="402"/>
      <c r="K424" s="402"/>
      <c r="L424" s="402"/>
      <c r="M424" s="402"/>
      <c r="N424" s="402"/>
      <c r="O424" s="402"/>
      <c r="P424" s="402"/>
      <c r="Q424" s="402"/>
      <c r="R424" s="402"/>
      <c r="S424" s="402"/>
      <c r="T424" s="402"/>
      <c r="U424" s="402"/>
      <c r="V424" s="402"/>
      <c r="W424" s="402"/>
      <c r="X424" s="402"/>
      <c r="Y424" s="402"/>
      <c r="Z424" s="402"/>
      <c r="AA424" s="405"/>
      <c r="AB424" s="405"/>
    </row>
    <row r="425" ht="14.25" customHeight="1">
      <c r="A425" s="429">
        <v>45505.0</v>
      </c>
      <c r="B425" s="349" t="s">
        <v>1129</v>
      </c>
      <c r="C425" s="349" t="s">
        <v>1130</v>
      </c>
      <c r="D425" s="349" t="s">
        <v>54</v>
      </c>
      <c r="E425" s="349" t="s">
        <v>1127</v>
      </c>
      <c r="F425" s="413">
        <v>682.45</v>
      </c>
      <c r="G425" s="403"/>
      <c r="H425" s="349" t="s">
        <v>1131</v>
      </c>
      <c r="I425" s="404" t="str">
        <f t="shared" si="7"/>
        <v>NOT PAID</v>
      </c>
      <c r="J425" s="402"/>
      <c r="K425" s="402"/>
      <c r="L425" s="402"/>
      <c r="M425" s="402"/>
      <c r="N425" s="402"/>
      <c r="O425" s="402"/>
      <c r="P425" s="402"/>
      <c r="Q425" s="402"/>
      <c r="R425" s="402"/>
      <c r="S425" s="402"/>
      <c r="T425" s="402"/>
      <c r="U425" s="402"/>
      <c r="V425" s="402"/>
      <c r="W425" s="402"/>
      <c r="X425" s="402"/>
      <c r="Y425" s="402"/>
      <c r="Z425" s="402"/>
      <c r="AA425" s="405"/>
      <c r="AB425" s="405"/>
    </row>
    <row r="426" ht="14.25" customHeight="1">
      <c r="A426" s="429">
        <v>45505.0</v>
      </c>
      <c r="B426" s="349" t="s">
        <v>731</v>
      </c>
      <c r="C426" s="349" t="s">
        <v>732</v>
      </c>
      <c r="D426" s="349" t="s">
        <v>54</v>
      </c>
      <c r="E426" s="349" t="s">
        <v>1127</v>
      </c>
      <c r="F426" s="413">
        <v>6699.17</v>
      </c>
      <c r="G426" s="413"/>
      <c r="H426" s="349" t="s">
        <v>1132</v>
      </c>
      <c r="I426" s="404" t="str">
        <f t="shared" si="7"/>
        <v>NOT PAID</v>
      </c>
      <c r="J426" s="402"/>
      <c r="K426" s="402"/>
      <c r="L426" s="402"/>
      <c r="M426" s="402"/>
      <c r="N426" s="402"/>
      <c r="O426" s="402"/>
      <c r="P426" s="402"/>
      <c r="Q426" s="402"/>
      <c r="R426" s="402"/>
      <c r="S426" s="402"/>
      <c r="T426" s="402"/>
      <c r="U426" s="402"/>
      <c r="V426" s="402"/>
      <c r="W426" s="402"/>
      <c r="X426" s="402"/>
      <c r="Y426" s="402"/>
      <c r="Z426" s="402"/>
      <c r="AA426" s="405"/>
      <c r="AB426" s="405"/>
    </row>
    <row r="427" ht="14.25" customHeight="1">
      <c r="A427" s="429">
        <v>45505.0</v>
      </c>
      <c r="B427" s="349" t="s">
        <v>918</v>
      </c>
      <c r="C427" s="349" t="s">
        <v>919</v>
      </c>
      <c r="D427" s="349" t="s">
        <v>54</v>
      </c>
      <c r="E427" s="349" t="s">
        <v>1127</v>
      </c>
      <c r="F427" s="413">
        <v>31090.65</v>
      </c>
      <c r="G427" s="413"/>
      <c r="H427" s="349" t="s">
        <v>1133</v>
      </c>
      <c r="I427" s="404" t="str">
        <f t="shared" si="7"/>
        <v>NOT PAID</v>
      </c>
      <c r="J427" s="402"/>
      <c r="K427" s="402"/>
      <c r="L427" s="402"/>
      <c r="M427" s="402"/>
      <c r="N427" s="402"/>
      <c r="O427" s="402"/>
      <c r="P427" s="402"/>
      <c r="Q427" s="402"/>
      <c r="R427" s="402"/>
      <c r="S427" s="402"/>
      <c r="T427" s="402"/>
      <c r="U427" s="402"/>
      <c r="V427" s="402"/>
      <c r="W427" s="402"/>
      <c r="X427" s="402"/>
      <c r="Y427" s="402"/>
      <c r="Z427" s="402"/>
      <c r="AA427" s="405"/>
      <c r="AB427" s="405"/>
    </row>
    <row r="428" ht="14.25" customHeight="1">
      <c r="A428" s="429">
        <v>45505.0</v>
      </c>
      <c r="B428" s="349" t="s">
        <v>877</v>
      </c>
      <c r="C428" s="349" t="s">
        <v>878</v>
      </c>
      <c r="D428" s="349" t="s">
        <v>54</v>
      </c>
      <c r="E428" s="349" t="s">
        <v>1134</v>
      </c>
      <c r="F428" s="413">
        <v>38327.32</v>
      </c>
      <c r="G428" s="413"/>
      <c r="H428" s="349" t="s">
        <v>1135</v>
      </c>
      <c r="I428" s="404" t="str">
        <f t="shared" si="7"/>
        <v>NOT PAID</v>
      </c>
      <c r="J428" s="402"/>
      <c r="K428" s="402"/>
      <c r="L428" s="402"/>
      <c r="M428" s="402"/>
      <c r="N428" s="402"/>
      <c r="O428" s="402"/>
      <c r="P428" s="402"/>
      <c r="Q428" s="402"/>
      <c r="R428" s="402"/>
      <c r="S428" s="402"/>
      <c r="T428" s="402"/>
      <c r="U428" s="402"/>
      <c r="V428" s="402"/>
      <c r="W428" s="402"/>
      <c r="X428" s="402"/>
      <c r="Y428" s="402"/>
      <c r="Z428" s="402"/>
      <c r="AA428" s="405"/>
      <c r="AB428" s="405"/>
    </row>
    <row r="429" ht="14.25" customHeight="1">
      <c r="A429" s="429">
        <v>45505.0</v>
      </c>
      <c r="B429" s="349" t="s">
        <v>921</v>
      </c>
      <c r="C429" s="349" t="s">
        <v>922</v>
      </c>
      <c r="D429" s="349" t="s">
        <v>54</v>
      </c>
      <c r="E429" s="349" t="s">
        <v>1134</v>
      </c>
      <c r="F429" s="413">
        <v>30836.75</v>
      </c>
      <c r="G429" s="413"/>
      <c r="H429" s="349" t="s">
        <v>1136</v>
      </c>
      <c r="I429" s="404" t="str">
        <f t="shared" si="7"/>
        <v>NOT PAID</v>
      </c>
      <c r="J429" s="402"/>
      <c r="K429" s="402"/>
      <c r="L429" s="402"/>
      <c r="M429" s="402"/>
      <c r="N429" s="402"/>
      <c r="O429" s="402"/>
      <c r="P429" s="402"/>
      <c r="Q429" s="402"/>
      <c r="R429" s="402"/>
      <c r="S429" s="402"/>
      <c r="T429" s="402"/>
      <c r="U429" s="402"/>
      <c r="V429" s="402"/>
      <c r="W429" s="402"/>
      <c r="X429" s="402"/>
      <c r="Y429" s="402"/>
      <c r="Z429" s="402"/>
      <c r="AA429" s="405"/>
      <c r="AB429" s="405"/>
    </row>
    <row r="430" ht="14.25" customHeight="1">
      <c r="A430" s="429">
        <v>45505.0</v>
      </c>
      <c r="B430" s="349" t="s">
        <v>1137</v>
      </c>
      <c r="C430" s="349" t="s">
        <v>1138</v>
      </c>
      <c r="D430" s="349" t="s">
        <v>54</v>
      </c>
      <c r="E430" s="349" t="s">
        <v>1139</v>
      </c>
      <c r="F430" s="413">
        <v>5721.98</v>
      </c>
      <c r="G430" s="413"/>
      <c r="H430" s="349" t="s">
        <v>1140</v>
      </c>
      <c r="I430" s="404" t="str">
        <f t="shared" si="7"/>
        <v>NOT PAID</v>
      </c>
      <c r="J430" s="402"/>
      <c r="K430" s="402"/>
      <c r="L430" s="402"/>
      <c r="M430" s="402"/>
      <c r="N430" s="402"/>
      <c r="O430" s="402"/>
      <c r="P430" s="402"/>
      <c r="Q430" s="402"/>
      <c r="R430" s="402"/>
      <c r="S430" s="402"/>
      <c r="T430" s="402"/>
      <c r="U430" s="402"/>
      <c r="V430" s="402"/>
      <c r="W430" s="402"/>
      <c r="X430" s="402"/>
      <c r="Y430" s="402"/>
      <c r="Z430" s="402"/>
      <c r="AA430" s="405"/>
      <c r="AB430" s="405"/>
    </row>
    <row r="431" ht="14.25" customHeight="1">
      <c r="A431" s="429">
        <v>45505.0</v>
      </c>
      <c r="B431" s="349" t="s">
        <v>1141</v>
      </c>
      <c r="C431" s="349" t="s">
        <v>1142</v>
      </c>
      <c r="D431" s="349" t="s">
        <v>54</v>
      </c>
      <c r="E431" s="349" t="s">
        <v>1139</v>
      </c>
      <c r="F431" s="413">
        <v>25500.0</v>
      </c>
      <c r="G431" s="413">
        <v>50000.0</v>
      </c>
      <c r="H431" s="349" t="s">
        <v>710</v>
      </c>
      <c r="I431" s="404" t="str">
        <f t="shared" si="7"/>
        <v>FULLY PAID</v>
      </c>
      <c r="J431" s="402"/>
      <c r="K431" s="402"/>
      <c r="L431" s="402"/>
      <c r="M431" s="402"/>
      <c r="N431" s="402"/>
      <c r="O431" s="402"/>
      <c r="P431" s="402"/>
      <c r="Q431" s="402"/>
      <c r="R431" s="402"/>
      <c r="S431" s="402"/>
      <c r="T431" s="402"/>
      <c r="U431" s="402"/>
      <c r="V431" s="402"/>
      <c r="W431" s="402"/>
      <c r="X431" s="402"/>
      <c r="Y431" s="402"/>
      <c r="Z431" s="402"/>
      <c r="AA431" s="405"/>
      <c r="AB431" s="405"/>
    </row>
    <row r="432" ht="14.25" customHeight="1">
      <c r="A432" s="429">
        <v>45505.0</v>
      </c>
      <c r="B432" s="349" t="s">
        <v>1006</v>
      </c>
      <c r="C432" s="349" t="s">
        <v>1007</v>
      </c>
      <c r="D432" s="349" t="s">
        <v>75</v>
      </c>
      <c r="E432" s="349" t="s">
        <v>1139</v>
      </c>
      <c r="F432" s="413">
        <v>181125.0</v>
      </c>
      <c r="G432" s="413"/>
      <c r="H432" s="349" t="s">
        <v>1140</v>
      </c>
      <c r="I432" s="404" t="str">
        <f t="shared" si="7"/>
        <v>NOT PAID</v>
      </c>
      <c r="J432" s="402"/>
      <c r="K432" s="402"/>
      <c r="L432" s="402"/>
      <c r="M432" s="402"/>
      <c r="N432" s="402"/>
      <c r="O432" s="402"/>
      <c r="P432" s="402"/>
      <c r="Q432" s="402"/>
      <c r="R432" s="402"/>
      <c r="S432" s="402"/>
      <c r="T432" s="402"/>
      <c r="U432" s="402"/>
      <c r="V432" s="402"/>
      <c r="W432" s="402"/>
      <c r="X432" s="402"/>
      <c r="Y432" s="402"/>
      <c r="Z432" s="402"/>
      <c r="AA432" s="405"/>
      <c r="AB432" s="405"/>
    </row>
    <row r="433" ht="14.25" customHeight="1">
      <c r="A433" s="429">
        <v>45505.0</v>
      </c>
      <c r="B433" s="349" t="s">
        <v>764</v>
      </c>
      <c r="C433" s="349" t="s">
        <v>765</v>
      </c>
      <c r="D433" s="349" t="s">
        <v>54</v>
      </c>
      <c r="E433" s="349" t="s">
        <v>1143</v>
      </c>
      <c r="F433" s="413">
        <v>19871.19</v>
      </c>
      <c r="G433" s="413">
        <v>0.0</v>
      </c>
      <c r="H433" s="349" t="s">
        <v>1144</v>
      </c>
      <c r="I433" s="404" t="str">
        <f t="shared" si="7"/>
        <v>NOT PAID</v>
      </c>
      <c r="J433" s="402"/>
      <c r="K433" s="402"/>
      <c r="L433" s="402"/>
      <c r="M433" s="402"/>
      <c r="N433" s="402"/>
      <c r="O433" s="402"/>
      <c r="P433" s="402"/>
      <c r="Q433" s="402"/>
      <c r="R433" s="402"/>
      <c r="S433" s="402"/>
      <c r="T433" s="402"/>
      <c r="U433" s="402"/>
      <c r="V433" s="402"/>
      <c r="W433" s="402"/>
      <c r="X433" s="402"/>
      <c r="Y433" s="402"/>
      <c r="Z433" s="402"/>
      <c r="AA433" s="405"/>
      <c r="AB433" s="405"/>
    </row>
    <row r="434" ht="14.25" customHeight="1">
      <c r="A434" s="429">
        <v>45505.0</v>
      </c>
      <c r="B434" s="349" t="s">
        <v>1046</v>
      </c>
      <c r="C434" s="349" t="s">
        <v>1145</v>
      </c>
      <c r="D434" s="349" t="s">
        <v>54</v>
      </c>
      <c r="E434" s="349" t="s">
        <v>1143</v>
      </c>
      <c r="F434" s="413">
        <v>17586.9</v>
      </c>
      <c r="G434" s="413">
        <v>5000.0</v>
      </c>
      <c r="H434" s="349" t="s">
        <v>1146</v>
      </c>
      <c r="I434" s="404" t="str">
        <f t="shared" si="7"/>
        <v>PARTIALLY PAID</v>
      </c>
      <c r="J434" s="402"/>
      <c r="K434" s="402"/>
      <c r="L434" s="402"/>
      <c r="M434" s="402"/>
      <c r="N434" s="402"/>
      <c r="O434" s="402"/>
      <c r="P434" s="402"/>
      <c r="Q434" s="402"/>
      <c r="R434" s="402"/>
      <c r="S434" s="402"/>
      <c r="T434" s="402"/>
      <c r="U434" s="402"/>
      <c r="V434" s="402"/>
      <c r="W434" s="402"/>
      <c r="X434" s="402"/>
      <c r="Y434" s="402"/>
      <c r="Z434" s="402"/>
      <c r="AA434" s="405"/>
      <c r="AB434" s="405"/>
    </row>
    <row r="435" ht="14.25" customHeight="1">
      <c r="A435" s="429">
        <v>45505.0</v>
      </c>
      <c r="B435" s="349" t="s">
        <v>781</v>
      </c>
      <c r="C435" s="349" t="s">
        <v>782</v>
      </c>
      <c r="D435" s="349" t="s">
        <v>54</v>
      </c>
      <c r="E435" s="349" t="s">
        <v>1143</v>
      </c>
      <c r="F435" s="413">
        <v>22829.5</v>
      </c>
      <c r="G435" s="413">
        <v>0.0</v>
      </c>
      <c r="H435" s="349" t="s">
        <v>1147</v>
      </c>
      <c r="I435" s="404" t="str">
        <f t="shared" si="7"/>
        <v>NOT PAID</v>
      </c>
      <c r="J435" s="402"/>
      <c r="K435" s="402"/>
      <c r="L435" s="402"/>
      <c r="M435" s="402"/>
      <c r="N435" s="402"/>
      <c r="O435" s="402"/>
      <c r="P435" s="402"/>
      <c r="Q435" s="402"/>
      <c r="R435" s="402"/>
      <c r="S435" s="402"/>
      <c r="T435" s="402"/>
      <c r="U435" s="402"/>
      <c r="V435" s="402"/>
      <c r="W435" s="402"/>
      <c r="X435" s="402"/>
      <c r="Y435" s="402"/>
      <c r="Z435" s="402"/>
      <c r="AA435" s="405"/>
      <c r="AB435" s="405"/>
    </row>
    <row r="436" ht="14.25" customHeight="1">
      <c r="A436" s="429">
        <v>45505.0</v>
      </c>
      <c r="B436" s="349" t="s">
        <v>1148</v>
      </c>
      <c r="C436" s="349" t="s">
        <v>1149</v>
      </c>
      <c r="D436" s="349" t="s">
        <v>54</v>
      </c>
      <c r="E436" s="349" t="s">
        <v>1143</v>
      </c>
      <c r="F436" s="413">
        <v>1918.34</v>
      </c>
      <c r="G436" s="413">
        <v>80000.0</v>
      </c>
      <c r="H436" s="349" t="s">
        <v>710</v>
      </c>
      <c r="I436" s="404" t="str">
        <f t="shared" si="7"/>
        <v>FULLY PAID</v>
      </c>
      <c r="J436" s="402"/>
      <c r="K436" s="402"/>
      <c r="L436" s="402"/>
      <c r="M436" s="402"/>
      <c r="N436" s="402"/>
      <c r="O436" s="402"/>
      <c r="P436" s="402"/>
      <c r="Q436" s="402"/>
      <c r="R436" s="402"/>
      <c r="S436" s="402"/>
      <c r="T436" s="402"/>
      <c r="U436" s="402"/>
      <c r="V436" s="402"/>
      <c r="W436" s="402"/>
      <c r="X436" s="402"/>
      <c r="Y436" s="402"/>
      <c r="Z436" s="402"/>
      <c r="AA436" s="405"/>
      <c r="AB436" s="405"/>
    </row>
    <row r="437" ht="14.25" customHeight="1">
      <c r="A437" s="429">
        <v>45505.0</v>
      </c>
      <c r="B437" s="349" t="s">
        <v>774</v>
      </c>
      <c r="C437" s="349" t="s">
        <v>775</v>
      </c>
      <c r="D437" s="349" t="s">
        <v>54</v>
      </c>
      <c r="E437" s="349" t="s">
        <v>1143</v>
      </c>
      <c r="F437" s="413">
        <v>30149.41</v>
      </c>
      <c r="G437" s="413">
        <v>17300.0</v>
      </c>
      <c r="H437" s="349" t="s">
        <v>1150</v>
      </c>
      <c r="I437" s="404" t="str">
        <f t="shared" si="7"/>
        <v>PARTIALLY PAID</v>
      </c>
      <c r="J437" s="402"/>
      <c r="K437" s="402"/>
      <c r="L437" s="402"/>
      <c r="M437" s="402"/>
      <c r="N437" s="402"/>
      <c r="O437" s="402"/>
      <c r="P437" s="402"/>
      <c r="Q437" s="402"/>
      <c r="R437" s="402"/>
      <c r="S437" s="402"/>
      <c r="T437" s="402"/>
      <c r="U437" s="402"/>
      <c r="V437" s="402"/>
      <c r="W437" s="402"/>
      <c r="X437" s="402"/>
      <c r="Y437" s="402"/>
      <c r="Z437" s="402"/>
      <c r="AA437" s="405"/>
      <c r="AB437" s="405"/>
    </row>
    <row r="438" ht="14.25" customHeight="1">
      <c r="A438" s="429">
        <v>45505.0</v>
      </c>
      <c r="B438" s="349" t="s">
        <v>761</v>
      </c>
      <c r="C438" s="349" t="s">
        <v>762</v>
      </c>
      <c r="D438" s="349" t="s">
        <v>59</v>
      </c>
      <c r="E438" s="349" t="s">
        <v>1143</v>
      </c>
      <c r="F438" s="413">
        <v>12228.41</v>
      </c>
      <c r="G438" s="413">
        <v>17010.0</v>
      </c>
      <c r="H438" s="349" t="s">
        <v>710</v>
      </c>
      <c r="I438" s="404" t="str">
        <f t="shared" si="7"/>
        <v>FULLY PAID</v>
      </c>
      <c r="J438" s="402"/>
      <c r="K438" s="402"/>
      <c r="L438" s="402"/>
      <c r="M438" s="402"/>
      <c r="N438" s="402"/>
      <c r="O438" s="402"/>
      <c r="P438" s="402"/>
      <c r="Q438" s="402"/>
      <c r="R438" s="402"/>
      <c r="S438" s="402"/>
      <c r="T438" s="402"/>
      <c r="U438" s="402"/>
      <c r="V438" s="402"/>
      <c r="W438" s="402"/>
      <c r="X438" s="402"/>
      <c r="Y438" s="402"/>
      <c r="Z438" s="402"/>
      <c r="AA438" s="405"/>
      <c r="AB438" s="405"/>
    </row>
    <row r="439" ht="14.25" customHeight="1">
      <c r="A439" s="429">
        <v>45505.0</v>
      </c>
      <c r="B439" s="349" t="s">
        <v>757</v>
      </c>
      <c r="C439" s="349" t="s">
        <v>758</v>
      </c>
      <c r="D439" s="349" t="s">
        <v>75</v>
      </c>
      <c r="E439" s="349" t="s">
        <v>1143</v>
      </c>
      <c r="F439" s="413">
        <v>16259.51</v>
      </c>
      <c r="G439" s="413">
        <v>50000.0</v>
      </c>
      <c r="H439" s="349" t="s">
        <v>710</v>
      </c>
      <c r="I439" s="404" t="str">
        <f t="shared" si="7"/>
        <v>FULLY PAID</v>
      </c>
      <c r="J439" s="402"/>
      <c r="K439" s="402"/>
      <c r="L439" s="402"/>
      <c r="M439" s="402"/>
      <c r="N439" s="402"/>
      <c r="O439" s="402"/>
      <c r="P439" s="402"/>
      <c r="Q439" s="402"/>
      <c r="R439" s="402"/>
      <c r="S439" s="402"/>
      <c r="T439" s="402"/>
      <c r="U439" s="402"/>
      <c r="V439" s="402"/>
      <c r="W439" s="402"/>
      <c r="X439" s="402"/>
      <c r="Y439" s="402"/>
      <c r="Z439" s="402"/>
      <c r="AA439" s="405"/>
      <c r="AB439" s="405"/>
    </row>
    <row r="440" ht="14.25" customHeight="1">
      <c r="A440" s="429">
        <v>45505.0</v>
      </c>
      <c r="B440" s="349" t="s">
        <v>788</v>
      </c>
      <c r="C440" s="349" t="s">
        <v>789</v>
      </c>
      <c r="D440" s="349" t="s">
        <v>54</v>
      </c>
      <c r="E440" s="349" t="s">
        <v>1143</v>
      </c>
      <c r="F440" s="413">
        <v>89593.8</v>
      </c>
      <c r="G440" s="413">
        <v>0.0</v>
      </c>
      <c r="H440" s="349" t="s">
        <v>1151</v>
      </c>
      <c r="I440" s="404" t="str">
        <f t="shared" si="7"/>
        <v>NOT PAID</v>
      </c>
      <c r="J440" s="402"/>
      <c r="K440" s="402"/>
      <c r="L440" s="402"/>
      <c r="M440" s="402"/>
      <c r="N440" s="402"/>
      <c r="O440" s="402"/>
      <c r="P440" s="402"/>
      <c r="Q440" s="402"/>
      <c r="R440" s="402"/>
      <c r="S440" s="402"/>
      <c r="T440" s="402"/>
      <c r="U440" s="402"/>
      <c r="V440" s="402"/>
      <c r="W440" s="402"/>
      <c r="X440" s="402"/>
      <c r="Y440" s="402"/>
      <c r="Z440" s="402"/>
      <c r="AA440" s="405"/>
      <c r="AB440" s="405"/>
    </row>
    <row r="441" ht="14.25" customHeight="1">
      <c r="A441" s="429">
        <v>45505.0</v>
      </c>
      <c r="B441" s="349" t="s">
        <v>915</v>
      </c>
      <c r="C441" s="349" t="s">
        <v>916</v>
      </c>
      <c r="D441" s="349" t="s">
        <v>54</v>
      </c>
      <c r="E441" s="349" t="s">
        <v>1143</v>
      </c>
      <c r="F441" s="413">
        <v>48218.1</v>
      </c>
      <c r="G441" s="413">
        <v>10000.0</v>
      </c>
      <c r="H441" s="349" t="s">
        <v>1152</v>
      </c>
      <c r="I441" s="404" t="str">
        <f t="shared" si="7"/>
        <v>PARTIALLY PAID</v>
      </c>
      <c r="J441" s="402"/>
      <c r="K441" s="402"/>
      <c r="L441" s="402"/>
      <c r="M441" s="402"/>
      <c r="N441" s="402"/>
      <c r="O441" s="402"/>
      <c r="P441" s="402"/>
      <c r="Q441" s="402"/>
      <c r="R441" s="402"/>
      <c r="S441" s="402"/>
      <c r="T441" s="402"/>
      <c r="U441" s="402"/>
      <c r="V441" s="402"/>
      <c r="W441" s="402"/>
      <c r="X441" s="402"/>
      <c r="Y441" s="402"/>
      <c r="Z441" s="402"/>
      <c r="AA441" s="405"/>
      <c r="AB441" s="405"/>
    </row>
    <row r="442" ht="14.25" customHeight="1">
      <c r="A442" s="429">
        <v>45505.0</v>
      </c>
      <c r="B442" s="349" t="s">
        <v>1012</v>
      </c>
      <c r="C442" s="349" t="s">
        <v>1013</v>
      </c>
      <c r="D442" s="349" t="s">
        <v>75</v>
      </c>
      <c r="E442" s="349" t="s">
        <v>1143</v>
      </c>
      <c r="F442" s="413">
        <v>260725.0</v>
      </c>
      <c r="G442" s="413"/>
      <c r="H442" s="402"/>
      <c r="I442" s="404" t="str">
        <f t="shared" si="7"/>
        <v>NOT PAID</v>
      </c>
      <c r="J442" s="402"/>
      <c r="K442" s="402"/>
      <c r="L442" s="402"/>
      <c r="M442" s="402"/>
      <c r="N442" s="402"/>
      <c r="O442" s="402"/>
      <c r="P442" s="402"/>
      <c r="Q442" s="402"/>
      <c r="R442" s="402"/>
      <c r="S442" s="402"/>
      <c r="T442" s="402"/>
      <c r="U442" s="402"/>
      <c r="V442" s="402"/>
      <c r="W442" s="402"/>
      <c r="X442" s="402"/>
      <c r="Y442" s="402"/>
      <c r="Z442" s="402"/>
      <c r="AA442" s="405"/>
      <c r="AB442" s="405"/>
    </row>
    <row r="443" ht="14.25" customHeight="1">
      <c r="A443" s="429">
        <v>45505.0</v>
      </c>
      <c r="B443" s="349" t="s">
        <v>742</v>
      </c>
      <c r="C443" s="349" t="s">
        <v>743</v>
      </c>
      <c r="D443" s="349" t="s">
        <v>54</v>
      </c>
      <c r="E443" s="349" t="s">
        <v>1153</v>
      </c>
      <c r="F443" s="413">
        <v>93837.23</v>
      </c>
      <c r="G443" s="403"/>
      <c r="H443" s="349" t="s">
        <v>1070</v>
      </c>
      <c r="I443" s="404" t="str">
        <f t="shared" si="7"/>
        <v>NOT PAID</v>
      </c>
      <c r="J443" s="402"/>
      <c r="K443" s="402"/>
      <c r="L443" s="402"/>
      <c r="M443" s="402"/>
      <c r="N443" s="402"/>
      <c r="O443" s="402"/>
      <c r="P443" s="402"/>
      <c r="Q443" s="402"/>
      <c r="R443" s="402"/>
      <c r="S443" s="402"/>
      <c r="T443" s="402"/>
      <c r="U443" s="402"/>
      <c r="V443" s="402"/>
      <c r="W443" s="402"/>
      <c r="X443" s="402"/>
      <c r="Y443" s="402"/>
      <c r="Z443" s="402"/>
      <c r="AA443" s="405"/>
      <c r="AB443" s="405"/>
    </row>
    <row r="444" ht="14.25" customHeight="1">
      <c r="A444" s="429">
        <v>45505.0</v>
      </c>
      <c r="B444" s="349" t="s">
        <v>749</v>
      </c>
      <c r="C444" s="349" t="s">
        <v>750</v>
      </c>
      <c r="D444" s="349" t="s">
        <v>54</v>
      </c>
      <c r="E444" s="349" t="s">
        <v>1153</v>
      </c>
      <c r="F444" s="413">
        <v>8688.74</v>
      </c>
      <c r="G444" s="403"/>
      <c r="H444" s="349" t="s">
        <v>1154</v>
      </c>
      <c r="I444" s="404" t="str">
        <f t="shared" si="7"/>
        <v>NOT PAID</v>
      </c>
      <c r="J444" s="402"/>
      <c r="K444" s="402"/>
      <c r="L444" s="402"/>
      <c r="M444" s="402"/>
      <c r="N444" s="402"/>
      <c r="O444" s="402"/>
      <c r="P444" s="402"/>
      <c r="Q444" s="402"/>
      <c r="R444" s="402"/>
      <c r="S444" s="402"/>
      <c r="T444" s="402"/>
      <c r="U444" s="402"/>
      <c r="V444" s="402"/>
      <c r="W444" s="402"/>
      <c r="X444" s="402"/>
      <c r="Y444" s="402"/>
      <c r="Z444" s="402"/>
      <c r="AA444" s="405"/>
      <c r="AB444" s="405"/>
    </row>
    <row r="445" ht="14.25" customHeight="1">
      <c r="A445" s="429">
        <v>45505.0</v>
      </c>
      <c r="B445" s="349" t="s">
        <v>1155</v>
      </c>
      <c r="C445" s="349" t="s">
        <v>1156</v>
      </c>
      <c r="D445" s="349" t="s">
        <v>54</v>
      </c>
      <c r="E445" s="349" t="s">
        <v>1153</v>
      </c>
      <c r="F445" s="413">
        <v>268238.3</v>
      </c>
      <c r="G445" s="403"/>
      <c r="H445" s="349" t="s">
        <v>1157</v>
      </c>
      <c r="I445" s="404" t="str">
        <f t="shared" si="7"/>
        <v>NOT PAID</v>
      </c>
      <c r="J445" s="402"/>
      <c r="K445" s="402"/>
      <c r="L445" s="402"/>
      <c r="M445" s="402"/>
      <c r="N445" s="402"/>
      <c r="O445" s="402"/>
      <c r="P445" s="402"/>
      <c r="Q445" s="402"/>
      <c r="R445" s="402"/>
      <c r="S445" s="402"/>
      <c r="T445" s="402"/>
      <c r="U445" s="402"/>
      <c r="V445" s="402"/>
      <c r="W445" s="402"/>
      <c r="X445" s="402"/>
      <c r="Y445" s="402"/>
      <c r="Z445" s="402"/>
      <c r="AA445" s="405"/>
      <c r="AB445" s="405"/>
    </row>
    <row r="446" ht="14.25" customHeight="1">
      <c r="A446" s="429">
        <v>45505.0</v>
      </c>
      <c r="B446" s="349" t="s">
        <v>960</v>
      </c>
      <c r="C446" s="349" t="s">
        <v>961</v>
      </c>
      <c r="D446" s="349" t="s">
        <v>54</v>
      </c>
      <c r="E446" s="349" t="s">
        <v>1153</v>
      </c>
      <c r="F446" s="413">
        <v>99093.57</v>
      </c>
      <c r="G446" s="403"/>
      <c r="H446" s="463" t="s">
        <v>1158</v>
      </c>
      <c r="I446" s="404" t="str">
        <f t="shared" si="7"/>
        <v>NOT PAID</v>
      </c>
      <c r="J446" s="402"/>
      <c r="K446" s="402"/>
      <c r="L446" s="402"/>
      <c r="M446" s="402"/>
      <c r="N446" s="402"/>
      <c r="O446" s="402"/>
      <c r="P446" s="402"/>
      <c r="Q446" s="402"/>
      <c r="R446" s="402"/>
      <c r="S446" s="402"/>
      <c r="T446" s="402"/>
      <c r="U446" s="402"/>
      <c r="V446" s="402"/>
      <c r="W446" s="402"/>
      <c r="X446" s="402"/>
      <c r="Y446" s="402"/>
      <c r="Z446" s="402"/>
      <c r="AA446" s="405"/>
      <c r="AB446" s="405"/>
    </row>
    <row r="447" ht="14.25" customHeight="1">
      <c r="A447" s="429">
        <v>45505.0</v>
      </c>
      <c r="B447" s="349" t="s">
        <v>1159</v>
      </c>
      <c r="C447" s="349" t="s">
        <v>1160</v>
      </c>
      <c r="D447" s="349" t="s">
        <v>54</v>
      </c>
      <c r="E447" s="349" t="s">
        <v>1153</v>
      </c>
      <c r="F447" s="413">
        <v>1509.43</v>
      </c>
      <c r="G447" s="413">
        <v>3500.0</v>
      </c>
      <c r="H447" s="349" t="s">
        <v>267</v>
      </c>
      <c r="I447" s="404" t="str">
        <f t="shared" si="7"/>
        <v>FULLY PAID</v>
      </c>
      <c r="J447" s="402"/>
      <c r="K447" s="402"/>
      <c r="L447" s="402"/>
      <c r="M447" s="402"/>
      <c r="N447" s="402"/>
      <c r="O447" s="402"/>
      <c r="P447" s="402"/>
      <c r="Q447" s="402"/>
      <c r="R447" s="402"/>
      <c r="S447" s="402"/>
      <c r="T447" s="402"/>
      <c r="U447" s="402"/>
      <c r="V447" s="402"/>
      <c r="W447" s="402"/>
      <c r="X447" s="402"/>
      <c r="Y447" s="402"/>
      <c r="Z447" s="402"/>
      <c r="AA447" s="405"/>
      <c r="AB447" s="405"/>
    </row>
    <row r="448" ht="14.25" customHeight="1">
      <c r="A448" s="429">
        <v>45505.0</v>
      </c>
      <c r="B448" s="349" t="s">
        <v>738</v>
      </c>
      <c r="C448" s="349" t="s">
        <v>739</v>
      </c>
      <c r="D448" s="349" t="s">
        <v>54</v>
      </c>
      <c r="E448" s="349" t="s">
        <v>1153</v>
      </c>
      <c r="F448" s="413">
        <v>70422.67</v>
      </c>
      <c r="G448" s="403"/>
      <c r="H448" s="464" t="s">
        <v>1161</v>
      </c>
      <c r="I448" s="404" t="str">
        <f t="shared" si="7"/>
        <v>NOT PAID</v>
      </c>
      <c r="J448" s="402"/>
      <c r="K448" s="402"/>
      <c r="L448" s="402"/>
      <c r="M448" s="402"/>
      <c r="N448" s="402"/>
      <c r="O448" s="402"/>
      <c r="P448" s="402"/>
      <c r="Q448" s="402"/>
      <c r="R448" s="402"/>
      <c r="S448" s="402"/>
      <c r="T448" s="402"/>
      <c r="U448" s="402"/>
      <c r="V448" s="402"/>
      <c r="W448" s="402"/>
      <c r="X448" s="402"/>
      <c r="Y448" s="402"/>
      <c r="Z448" s="402"/>
      <c r="AA448" s="405"/>
      <c r="AB448" s="405"/>
    </row>
    <row r="449" ht="14.25" customHeight="1">
      <c r="A449" s="429">
        <v>45505.0</v>
      </c>
      <c r="B449" s="349" t="s">
        <v>746</v>
      </c>
      <c r="C449" s="349" t="s">
        <v>747</v>
      </c>
      <c r="D449" s="349" t="s">
        <v>54</v>
      </c>
      <c r="E449" s="349" t="s">
        <v>1153</v>
      </c>
      <c r="F449" s="413">
        <v>5772.3</v>
      </c>
      <c r="G449" s="403"/>
      <c r="H449" s="349" t="s">
        <v>1162</v>
      </c>
      <c r="I449" s="404" t="str">
        <f t="shared" si="7"/>
        <v>NOT PAID</v>
      </c>
      <c r="J449" s="402"/>
      <c r="K449" s="402"/>
      <c r="L449" s="402"/>
      <c r="M449" s="402"/>
      <c r="N449" s="402"/>
      <c r="O449" s="402"/>
      <c r="P449" s="402"/>
      <c r="Q449" s="402"/>
      <c r="R449" s="402"/>
      <c r="S449" s="402"/>
      <c r="T449" s="402"/>
      <c r="U449" s="402"/>
      <c r="V449" s="402"/>
      <c r="W449" s="402"/>
      <c r="X449" s="402"/>
      <c r="Y449" s="402"/>
      <c r="Z449" s="402"/>
      <c r="AA449" s="405"/>
      <c r="AB449" s="405"/>
    </row>
    <row r="450" ht="14.25" customHeight="1">
      <c r="A450" s="429">
        <v>45505.0</v>
      </c>
      <c r="B450" s="349" t="s">
        <v>1001</v>
      </c>
      <c r="C450" s="349" t="s">
        <v>1002</v>
      </c>
      <c r="D450" s="349" t="s">
        <v>54</v>
      </c>
      <c r="E450" s="349" t="s">
        <v>1153</v>
      </c>
      <c r="F450" s="413">
        <v>4251.1</v>
      </c>
      <c r="G450" s="403"/>
      <c r="H450" s="349" t="s">
        <v>1163</v>
      </c>
      <c r="I450" s="404" t="str">
        <f t="shared" si="7"/>
        <v>NOT PAID</v>
      </c>
      <c r="J450" s="402"/>
      <c r="K450" s="402"/>
      <c r="L450" s="402"/>
      <c r="M450" s="402"/>
      <c r="N450" s="402"/>
      <c r="O450" s="402"/>
      <c r="P450" s="402"/>
      <c r="Q450" s="402"/>
      <c r="R450" s="402"/>
      <c r="S450" s="402"/>
      <c r="T450" s="402"/>
      <c r="U450" s="402"/>
      <c r="V450" s="402"/>
      <c r="W450" s="402"/>
      <c r="X450" s="402"/>
      <c r="Y450" s="402"/>
      <c r="Z450" s="402"/>
      <c r="AA450" s="405"/>
      <c r="AB450" s="405"/>
    </row>
    <row r="451" ht="14.25" customHeight="1">
      <c r="A451" s="429">
        <v>45505.0</v>
      </c>
      <c r="B451" s="349" t="s">
        <v>754</v>
      </c>
      <c r="C451" s="349" t="s">
        <v>755</v>
      </c>
      <c r="D451" s="349" t="s">
        <v>59</v>
      </c>
      <c r="E451" s="349" t="s">
        <v>1153</v>
      </c>
      <c r="F451" s="413">
        <v>132321.7</v>
      </c>
      <c r="G451" s="403"/>
      <c r="H451" s="349" t="s">
        <v>1164</v>
      </c>
      <c r="I451" s="404" t="str">
        <f t="shared" si="7"/>
        <v>NOT PAID</v>
      </c>
      <c r="J451" s="402"/>
      <c r="K451" s="402"/>
      <c r="L451" s="402"/>
      <c r="M451" s="402"/>
      <c r="N451" s="402"/>
      <c r="O451" s="402"/>
      <c r="P451" s="402"/>
      <c r="Q451" s="402"/>
      <c r="R451" s="402"/>
      <c r="S451" s="402"/>
      <c r="T451" s="402"/>
      <c r="U451" s="402"/>
      <c r="V451" s="402"/>
      <c r="W451" s="402"/>
      <c r="X451" s="402"/>
      <c r="Y451" s="402"/>
      <c r="Z451" s="402"/>
      <c r="AA451" s="405"/>
      <c r="AB451" s="405"/>
    </row>
    <row r="452" ht="14.25" customHeight="1">
      <c r="A452" s="429">
        <v>45505.0</v>
      </c>
      <c r="B452" s="349" t="s">
        <v>825</v>
      </c>
      <c r="C452" s="349" t="s">
        <v>826</v>
      </c>
      <c r="D452" s="349" t="s">
        <v>54</v>
      </c>
      <c r="E452" s="349" t="s">
        <v>1153</v>
      </c>
      <c r="F452" s="413">
        <v>327352.94</v>
      </c>
      <c r="G452" s="403"/>
      <c r="H452" s="349" t="s">
        <v>1165</v>
      </c>
      <c r="I452" s="404" t="str">
        <f t="shared" si="7"/>
        <v>NOT PAID</v>
      </c>
      <c r="J452" s="402"/>
      <c r="K452" s="402"/>
      <c r="L452" s="402"/>
      <c r="M452" s="402"/>
      <c r="N452" s="402"/>
      <c r="O452" s="402"/>
      <c r="P452" s="402"/>
      <c r="Q452" s="402"/>
      <c r="R452" s="402"/>
      <c r="S452" s="402"/>
      <c r="T452" s="402"/>
      <c r="U452" s="402"/>
      <c r="V452" s="402"/>
      <c r="W452" s="402"/>
      <c r="X452" s="402"/>
      <c r="Y452" s="402"/>
      <c r="Z452" s="402"/>
      <c r="AA452" s="405"/>
      <c r="AB452" s="405"/>
    </row>
    <row r="453" ht="14.25" customHeight="1">
      <c r="A453" s="429">
        <v>45505.0</v>
      </c>
      <c r="B453" s="349" t="s">
        <v>1003</v>
      </c>
      <c r="C453" s="349" t="s">
        <v>1004</v>
      </c>
      <c r="D453" s="349" t="s">
        <v>54</v>
      </c>
      <c r="E453" s="349" t="s">
        <v>1153</v>
      </c>
      <c r="F453" s="413">
        <v>275722.55</v>
      </c>
      <c r="G453" s="413">
        <v>361831.0</v>
      </c>
      <c r="H453" s="349" t="s">
        <v>1166</v>
      </c>
      <c r="I453" s="404" t="str">
        <f t="shared" si="7"/>
        <v>FULLY PAID</v>
      </c>
      <c r="J453" s="402"/>
      <c r="K453" s="402"/>
      <c r="L453" s="402"/>
      <c r="M453" s="402"/>
      <c r="N453" s="402"/>
      <c r="O453" s="402"/>
      <c r="P453" s="402"/>
      <c r="Q453" s="402"/>
      <c r="R453" s="402"/>
      <c r="S453" s="402"/>
      <c r="T453" s="402"/>
      <c r="U453" s="402"/>
      <c r="V453" s="402"/>
      <c r="W453" s="402"/>
      <c r="X453" s="402"/>
      <c r="Y453" s="402"/>
      <c r="Z453" s="402"/>
      <c r="AA453" s="405"/>
      <c r="AB453" s="405"/>
    </row>
    <row r="454" ht="14.25" customHeight="1">
      <c r="A454" s="429">
        <v>45505.0</v>
      </c>
      <c r="B454" s="349" t="s">
        <v>698</v>
      </c>
      <c r="C454" s="349" t="s">
        <v>1167</v>
      </c>
      <c r="D454" s="349" t="s">
        <v>54</v>
      </c>
      <c r="E454" s="349" t="s">
        <v>1168</v>
      </c>
      <c r="F454" s="413">
        <v>13861.16</v>
      </c>
      <c r="G454" s="403"/>
      <c r="H454" s="349" t="s">
        <v>1164</v>
      </c>
      <c r="I454" s="404" t="str">
        <f t="shared" si="7"/>
        <v>NOT PAID</v>
      </c>
      <c r="J454" s="402"/>
      <c r="K454" s="402"/>
      <c r="L454" s="402"/>
      <c r="M454" s="402"/>
      <c r="N454" s="402"/>
      <c r="O454" s="402"/>
      <c r="P454" s="402"/>
      <c r="Q454" s="402"/>
      <c r="R454" s="402"/>
      <c r="S454" s="402"/>
      <c r="T454" s="402"/>
      <c r="U454" s="402"/>
      <c r="V454" s="402"/>
      <c r="W454" s="402"/>
      <c r="X454" s="402"/>
      <c r="Y454" s="402"/>
      <c r="Z454" s="402"/>
      <c r="AA454" s="405"/>
      <c r="AB454" s="405"/>
    </row>
    <row r="455" ht="14.25" customHeight="1">
      <c r="A455" s="429">
        <v>45505.0</v>
      </c>
      <c r="B455" s="349" t="s">
        <v>691</v>
      </c>
      <c r="C455" s="349" t="s">
        <v>692</v>
      </c>
      <c r="D455" s="349" t="s">
        <v>54</v>
      </c>
      <c r="E455" s="349" t="s">
        <v>1168</v>
      </c>
      <c r="F455" s="413">
        <v>3780.0</v>
      </c>
      <c r="G455" s="403"/>
      <c r="H455" s="349" t="s">
        <v>1169</v>
      </c>
      <c r="I455" s="404" t="str">
        <f t="shared" si="7"/>
        <v>NOT PAID</v>
      </c>
      <c r="J455" s="402"/>
      <c r="K455" s="402"/>
      <c r="L455" s="402"/>
      <c r="M455" s="402"/>
      <c r="N455" s="402"/>
      <c r="O455" s="402"/>
      <c r="P455" s="402"/>
      <c r="Q455" s="402"/>
      <c r="R455" s="402"/>
      <c r="S455" s="402"/>
      <c r="T455" s="402"/>
      <c r="U455" s="402"/>
      <c r="V455" s="402"/>
      <c r="W455" s="402"/>
      <c r="X455" s="402"/>
      <c r="Y455" s="402"/>
      <c r="Z455" s="402"/>
      <c r="AA455" s="405"/>
      <c r="AB455" s="405"/>
    </row>
    <row r="456" ht="14.25" customHeight="1">
      <c r="A456" s="429">
        <v>45505.0</v>
      </c>
      <c r="B456" s="349" t="s">
        <v>997</v>
      </c>
      <c r="C456" s="349" t="s">
        <v>998</v>
      </c>
      <c r="D456" s="349" t="s">
        <v>263</v>
      </c>
      <c r="E456" s="349" t="s">
        <v>1168</v>
      </c>
      <c r="F456" s="413">
        <v>81947.25</v>
      </c>
      <c r="G456" s="403"/>
      <c r="H456" s="349" t="s">
        <v>1170</v>
      </c>
      <c r="I456" s="404" t="str">
        <f t="shared" si="7"/>
        <v>NOT PAID</v>
      </c>
      <c r="J456" s="402"/>
      <c r="K456" s="402"/>
      <c r="L456" s="402"/>
      <c r="M456" s="402"/>
      <c r="N456" s="402"/>
      <c r="O456" s="402"/>
      <c r="P456" s="402"/>
      <c r="Q456" s="402"/>
      <c r="R456" s="402"/>
      <c r="S456" s="402"/>
      <c r="T456" s="402"/>
      <c r="U456" s="402"/>
      <c r="V456" s="402"/>
      <c r="W456" s="402"/>
      <c r="X456" s="402"/>
      <c r="Y456" s="402"/>
      <c r="Z456" s="402"/>
      <c r="AA456" s="405"/>
      <c r="AB456" s="405"/>
    </row>
    <row r="457" ht="14.25" customHeight="1">
      <c r="A457" s="429">
        <v>45505.0</v>
      </c>
      <c r="B457" s="349"/>
      <c r="C457" s="465" t="s">
        <v>1171</v>
      </c>
      <c r="D457" s="349" t="s">
        <v>54</v>
      </c>
      <c r="E457" s="349" t="s">
        <v>1168</v>
      </c>
      <c r="F457" s="413">
        <v>23904.0</v>
      </c>
      <c r="G457" s="413">
        <v>24000.0</v>
      </c>
      <c r="H457" s="349" t="s">
        <v>710</v>
      </c>
      <c r="I457" s="404" t="str">
        <f t="shared" si="7"/>
        <v>FULLY PAID</v>
      </c>
      <c r="J457" s="402"/>
      <c r="K457" s="402"/>
      <c r="L457" s="402"/>
      <c r="M457" s="402"/>
      <c r="N457" s="402"/>
      <c r="O457" s="402"/>
      <c r="P457" s="402"/>
      <c r="Q457" s="402"/>
      <c r="R457" s="402"/>
      <c r="S457" s="402"/>
      <c r="T457" s="402"/>
      <c r="U457" s="402"/>
      <c r="V457" s="402"/>
      <c r="W457" s="402"/>
      <c r="X457" s="402"/>
      <c r="Y457" s="402"/>
      <c r="Z457" s="402"/>
      <c r="AA457" s="405"/>
      <c r="AB457" s="405"/>
    </row>
    <row r="458" ht="14.25" customHeight="1">
      <c r="A458" s="429">
        <v>45505.0</v>
      </c>
      <c r="B458" s="349" t="s">
        <v>1172</v>
      </c>
      <c r="C458" s="349" t="s">
        <v>810</v>
      </c>
      <c r="D458" s="349" t="s">
        <v>54</v>
      </c>
      <c r="E458" s="349" t="s">
        <v>1173</v>
      </c>
      <c r="F458" s="413">
        <v>14139.15</v>
      </c>
      <c r="G458" s="403"/>
      <c r="H458" s="349" t="s">
        <v>1174</v>
      </c>
      <c r="I458" s="404" t="str">
        <f t="shared" si="7"/>
        <v>NOT PAID</v>
      </c>
      <c r="J458" s="402"/>
      <c r="K458" s="402"/>
      <c r="L458" s="402"/>
      <c r="M458" s="402"/>
      <c r="N458" s="402"/>
      <c r="O458" s="402"/>
      <c r="P458" s="402"/>
      <c r="Q458" s="402"/>
      <c r="R458" s="402"/>
      <c r="S458" s="402"/>
      <c r="T458" s="402"/>
      <c r="U458" s="402"/>
      <c r="V458" s="402"/>
      <c r="W458" s="402"/>
      <c r="X458" s="402"/>
      <c r="Y458" s="402"/>
      <c r="Z458" s="402"/>
      <c r="AA458" s="405"/>
      <c r="AB458" s="405"/>
    </row>
    <row r="459" ht="14.25" customHeight="1">
      <c r="A459" s="429">
        <v>45505.0</v>
      </c>
      <c r="B459" s="349" t="s">
        <v>802</v>
      </c>
      <c r="C459" s="349" t="s">
        <v>803</v>
      </c>
      <c r="D459" s="349" t="s">
        <v>54</v>
      </c>
      <c r="E459" s="349" t="s">
        <v>1173</v>
      </c>
      <c r="F459" s="413">
        <v>647350.0</v>
      </c>
      <c r="G459" s="403"/>
      <c r="H459" s="349" t="s">
        <v>1175</v>
      </c>
      <c r="I459" s="404" t="str">
        <f t="shared" si="7"/>
        <v>NOT PAID</v>
      </c>
      <c r="J459" s="402"/>
      <c r="K459" s="402"/>
      <c r="L459" s="402"/>
      <c r="M459" s="402"/>
      <c r="N459" s="402"/>
      <c r="O459" s="402"/>
      <c r="P459" s="402"/>
      <c r="Q459" s="402"/>
      <c r="R459" s="402"/>
      <c r="S459" s="402"/>
      <c r="T459" s="402"/>
      <c r="U459" s="402"/>
      <c r="V459" s="402"/>
      <c r="W459" s="402"/>
      <c r="X459" s="402"/>
      <c r="Y459" s="402"/>
      <c r="Z459" s="402"/>
      <c r="AA459" s="405"/>
      <c r="AB459" s="405"/>
    </row>
    <row r="460" ht="14.25" customHeight="1">
      <c r="A460" s="429">
        <v>45505.0</v>
      </c>
      <c r="B460" s="349" t="s">
        <v>1176</v>
      </c>
      <c r="C460" s="349" t="s">
        <v>1177</v>
      </c>
      <c r="D460" s="349" t="s">
        <v>59</v>
      </c>
      <c r="E460" s="349" t="s">
        <v>1173</v>
      </c>
      <c r="F460" s="413">
        <v>500000.0</v>
      </c>
      <c r="G460" s="403"/>
      <c r="H460" s="349" t="s">
        <v>1178</v>
      </c>
      <c r="I460" s="404" t="str">
        <f t="shared" si="7"/>
        <v>NOT PAID</v>
      </c>
      <c r="J460" s="402"/>
      <c r="K460" s="402"/>
      <c r="L460" s="402"/>
      <c r="M460" s="402"/>
      <c r="N460" s="402"/>
      <c r="O460" s="402"/>
      <c r="P460" s="402"/>
      <c r="Q460" s="402"/>
      <c r="R460" s="402"/>
      <c r="S460" s="402"/>
      <c r="T460" s="402"/>
      <c r="U460" s="402"/>
      <c r="V460" s="402"/>
      <c r="W460" s="402"/>
      <c r="X460" s="402"/>
      <c r="Y460" s="402"/>
      <c r="Z460" s="402"/>
      <c r="AA460" s="405"/>
      <c r="AB460" s="405"/>
    </row>
    <row r="461" ht="14.25" customHeight="1">
      <c r="A461" s="429">
        <v>45505.0</v>
      </c>
      <c r="B461" s="349" t="s">
        <v>1087</v>
      </c>
      <c r="C461" s="349" t="s">
        <v>1088</v>
      </c>
      <c r="D461" s="349" t="s">
        <v>54</v>
      </c>
      <c r="E461" s="349" t="s">
        <v>1173</v>
      </c>
      <c r="F461" s="413">
        <v>133673.5</v>
      </c>
      <c r="G461" s="413">
        <v>30000.0</v>
      </c>
      <c r="H461" s="349" t="s">
        <v>1179</v>
      </c>
      <c r="I461" s="404" t="str">
        <f t="shared" si="7"/>
        <v>PARTIALLY PAID</v>
      </c>
      <c r="J461" s="402"/>
      <c r="K461" s="402"/>
      <c r="L461" s="402"/>
      <c r="M461" s="402"/>
      <c r="N461" s="402"/>
      <c r="O461" s="402"/>
      <c r="P461" s="402"/>
      <c r="Q461" s="402"/>
      <c r="R461" s="402"/>
      <c r="S461" s="402"/>
      <c r="T461" s="402"/>
      <c r="U461" s="402"/>
      <c r="V461" s="402"/>
      <c r="W461" s="402"/>
      <c r="X461" s="402"/>
      <c r="Y461" s="402"/>
      <c r="Z461" s="402"/>
      <c r="AA461" s="405"/>
      <c r="AB461" s="405"/>
    </row>
    <row r="462" ht="14.25" customHeight="1">
      <c r="A462" s="429">
        <v>45505.0</v>
      </c>
      <c r="B462" s="349" t="s">
        <v>904</v>
      </c>
      <c r="C462" s="349" t="s">
        <v>810</v>
      </c>
      <c r="D462" s="349" t="s">
        <v>75</v>
      </c>
      <c r="E462" s="349" t="s">
        <v>1173</v>
      </c>
      <c r="F462" s="413">
        <v>1155000.0</v>
      </c>
      <c r="G462" s="403"/>
      <c r="H462" s="349" t="s">
        <v>1180</v>
      </c>
      <c r="I462" s="404" t="str">
        <f t="shared" si="7"/>
        <v>NOT PAID</v>
      </c>
      <c r="J462" s="402"/>
      <c r="K462" s="402"/>
      <c r="L462" s="402"/>
      <c r="M462" s="402"/>
      <c r="N462" s="402"/>
      <c r="O462" s="402"/>
      <c r="P462" s="402"/>
      <c r="Q462" s="402"/>
      <c r="R462" s="402"/>
      <c r="S462" s="402"/>
      <c r="T462" s="402"/>
      <c r="U462" s="402"/>
      <c r="V462" s="402"/>
      <c r="W462" s="402"/>
      <c r="X462" s="402"/>
      <c r="Y462" s="402"/>
      <c r="Z462" s="402"/>
      <c r="AA462" s="405"/>
      <c r="AB462" s="405"/>
    </row>
    <row r="463" ht="14.25" customHeight="1">
      <c r="A463" s="429">
        <v>45505.0</v>
      </c>
      <c r="B463" s="349" t="s">
        <v>1181</v>
      </c>
      <c r="C463" s="349" t="s">
        <v>1182</v>
      </c>
      <c r="D463" s="349" t="s">
        <v>75</v>
      </c>
      <c r="E463" s="349" t="s">
        <v>1173</v>
      </c>
      <c r="F463" s="413">
        <v>500000.0</v>
      </c>
      <c r="G463" s="413">
        <v>500000.0</v>
      </c>
      <c r="H463" s="349" t="s">
        <v>1183</v>
      </c>
      <c r="I463" s="404" t="str">
        <f t="shared" si="7"/>
        <v>FULLY PAID</v>
      </c>
      <c r="J463" s="402"/>
      <c r="K463" s="402"/>
      <c r="L463" s="402"/>
      <c r="M463" s="402"/>
      <c r="N463" s="402"/>
      <c r="O463" s="402"/>
      <c r="P463" s="402"/>
      <c r="Q463" s="402"/>
      <c r="R463" s="402"/>
      <c r="S463" s="402"/>
      <c r="T463" s="402"/>
      <c r="U463" s="402"/>
      <c r="V463" s="402"/>
      <c r="W463" s="402"/>
      <c r="X463" s="402"/>
      <c r="Y463" s="402"/>
      <c r="Z463" s="402"/>
      <c r="AA463" s="405"/>
      <c r="AB463" s="405"/>
    </row>
    <row r="464" ht="14.25" customHeight="1">
      <c r="A464" s="402"/>
      <c r="B464" s="402"/>
      <c r="C464" s="402"/>
      <c r="D464" s="402"/>
      <c r="E464" s="402"/>
      <c r="F464" s="403"/>
      <c r="G464" s="403"/>
      <c r="H464" s="402"/>
      <c r="I464" s="404" t="str">
        <f t="shared" si="7"/>
        <v>FULLY PAID</v>
      </c>
      <c r="J464" s="402"/>
      <c r="K464" s="402"/>
      <c r="L464" s="402"/>
      <c r="M464" s="402"/>
      <c r="N464" s="402"/>
      <c r="O464" s="402"/>
      <c r="P464" s="402"/>
      <c r="Q464" s="402"/>
      <c r="R464" s="402"/>
      <c r="S464" s="402"/>
      <c r="T464" s="402"/>
      <c r="U464" s="402"/>
      <c r="V464" s="402"/>
      <c r="W464" s="402"/>
      <c r="X464" s="402"/>
      <c r="Y464" s="402"/>
      <c r="Z464" s="402"/>
      <c r="AA464" s="405"/>
      <c r="AB464" s="405"/>
    </row>
    <row r="465" ht="14.25" customHeight="1">
      <c r="A465" s="402"/>
      <c r="B465" s="402"/>
      <c r="C465" s="402"/>
      <c r="D465" s="402"/>
      <c r="E465" s="402"/>
      <c r="F465" s="403"/>
      <c r="G465" s="403"/>
      <c r="H465" s="402"/>
      <c r="I465" s="404" t="str">
        <f t="shared" si="7"/>
        <v>FULLY PAID</v>
      </c>
      <c r="J465" s="402"/>
      <c r="K465" s="402"/>
      <c r="L465" s="402"/>
      <c r="M465" s="402"/>
      <c r="N465" s="402"/>
      <c r="O465" s="402"/>
      <c r="P465" s="402"/>
      <c r="Q465" s="402"/>
      <c r="R465" s="402"/>
      <c r="S465" s="402"/>
      <c r="T465" s="402"/>
      <c r="U465" s="402"/>
      <c r="V465" s="402"/>
      <c r="W465" s="402"/>
      <c r="X465" s="402"/>
      <c r="Y465" s="402"/>
      <c r="Z465" s="402"/>
      <c r="AA465" s="405"/>
      <c r="AB465" s="405"/>
    </row>
    <row r="466" ht="14.25" customHeight="1">
      <c r="A466" s="402"/>
      <c r="B466" s="402"/>
      <c r="C466" s="349" t="s">
        <v>107</v>
      </c>
      <c r="D466" s="402"/>
      <c r="E466" s="402"/>
      <c r="F466" s="403"/>
      <c r="G466" s="403"/>
      <c r="H466" s="402"/>
      <c r="I466" s="404" t="str">
        <f t="shared" si="7"/>
        <v>FULLY PAID</v>
      </c>
      <c r="J466" s="402"/>
      <c r="K466" s="402"/>
      <c r="L466" s="402"/>
      <c r="M466" s="402"/>
      <c r="N466" s="402"/>
      <c r="O466" s="402"/>
      <c r="P466" s="402"/>
      <c r="Q466" s="402"/>
      <c r="R466" s="402"/>
      <c r="S466" s="402"/>
      <c r="T466" s="402"/>
      <c r="U466" s="402"/>
      <c r="V466" s="402"/>
      <c r="W466" s="402"/>
      <c r="X466" s="402"/>
      <c r="Y466" s="402"/>
      <c r="Z466" s="402"/>
      <c r="AA466" s="405"/>
      <c r="AB466" s="405"/>
    </row>
    <row r="467" ht="14.25" customHeight="1">
      <c r="A467" s="466">
        <v>45505.0</v>
      </c>
      <c r="B467" s="467" t="s">
        <v>798</v>
      </c>
      <c r="C467" s="468" t="s">
        <v>1032</v>
      </c>
      <c r="D467" s="468" t="s">
        <v>59</v>
      </c>
      <c r="E467" s="468" t="s">
        <v>273</v>
      </c>
      <c r="F467" s="469">
        <v>700000.0</v>
      </c>
      <c r="G467" s="470"/>
      <c r="H467" s="471" t="s">
        <v>1184</v>
      </c>
      <c r="I467" s="404" t="str">
        <f t="shared" si="7"/>
        <v>NOT PAID</v>
      </c>
      <c r="J467" s="402"/>
      <c r="K467" s="402"/>
      <c r="L467" s="402"/>
      <c r="M467" s="402"/>
      <c r="N467" s="402"/>
      <c r="O467" s="402"/>
      <c r="P467" s="402"/>
      <c r="Q467" s="402"/>
      <c r="R467" s="402"/>
      <c r="S467" s="402"/>
      <c r="T467" s="402"/>
      <c r="U467" s="402"/>
      <c r="V467" s="402"/>
      <c r="W467" s="402"/>
      <c r="X467" s="402"/>
      <c r="Y467" s="402"/>
      <c r="Z467" s="402"/>
      <c r="AA467" s="405"/>
      <c r="AB467" s="405"/>
    </row>
    <row r="468" ht="14.25" customHeight="1">
      <c r="A468" s="466">
        <v>45505.0</v>
      </c>
      <c r="B468" s="472" t="s">
        <v>1034</v>
      </c>
      <c r="C468" s="396" t="s">
        <v>1035</v>
      </c>
      <c r="D468" s="352" t="s">
        <v>54</v>
      </c>
      <c r="E468" s="352" t="s">
        <v>273</v>
      </c>
      <c r="F468" s="394">
        <v>25000.0</v>
      </c>
      <c r="G468" s="355"/>
      <c r="H468" s="395" t="s">
        <v>1185</v>
      </c>
      <c r="I468" s="404" t="str">
        <f t="shared" si="7"/>
        <v>NOT PAID</v>
      </c>
      <c r="J468" s="402"/>
      <c r="K468" s="402"/>
      <c r="L468" s="402"/>
      <c r="M468" s="402"/>
      <c r="N468" s="402"/>
      <c r="O468" s="402"/>
      <c r="P468" s="402"/>
      <c r="Q468" s="402"/>
      <c r="R468" s="402"/>
      <c r="S468" s="402"/>
      <c r="T468" s="402"/>
      <c r="U468" s="402"/>
      <c r="V468" s="402"/>
      <c r="W468" s="402"/>
      <c r="X468" s="402"/>
      <c r="Y468" s="402"/>
      <c r="Z468" s="402"/>
      <c r="AA468" s="405"/>
      <c r="AB468" s="405"/>
    </row>
    <row r="469" ht="14.25" customHeight="1">
      <c r="A469" s="466">
        <v>45505.0</v>
      </c>
      <c r="B469" s="473" t="s">
        <v>886</v>
      </c>
      <c r="C469" s="352" t="s">
        <v>884</v>
      </c>
      <c r="D469" s="352" t="s">
        <v>54</v>
      </c>
      <c r="E469" s="352" t="s">
        <v>273</v>
      </c>
      <c r="F469" s="474">
        <v>100000.0</v>
      </c>
      <c r="G469" s="475"/>
      <c r="H469" s="395" t="s">
        <v>1186</v>
      </c>
      <c r="I469" s="404" t="str">
        <f t="shared" si="7"/>
        <v>NOT PAID</v>
      </c>
      <c r="J469" s="402"/>
      <c r="K469" s="402"/>
      <c r="L469" s="402"/>
      <c r="M469" s="402"/>
      <c r="N469" s="402"/>
      <c r="O469" s="402"/>
      <c r="P469" s="402"/>
      <c r="Q469" s="402"/>
      <c r="R469" s="402"/>
      <c r="S469" s="402"/>
      <c r="T469" s="402"/>
      <c r="U469" s="402"/>
      <c r="V469" s="402"/>
      <c r="W469" s="402"/>
      <c r="X469" s="402"/>
      <c r="Y469" s="402"/>
      <c r="Z469" s="402"/>
      <c r="AA469" s="405"/>
      <c r="AB469" s="405"/>
    </row>
    <row r="470" ht="14.25" customHeight="1">
      <c r="A470" s="466">
        <v>45505.0</v>
      </c>
      <c r="B470" s="476" t="s">
        <v>1187</v>
      </c>
      <c r="C470" s="477" t="s">
        <v>255</v>
      </c>
      <c r="D470" s="478" t="s">
        <v>54</v>
      </c>
      <c r="E470" s="479" t="s">
        <v>273</v>
      </c>
      <c r="F470" s="480">
        <v>600000.0</v>
      </c>
      <c r="G470" s="481"/>
      <c r="H470" s="482" t="s">
        <v>1188</v>
      </c>
      <c r="I470" s="404" t="str">
        <f t="shared" si="7"/>
        <v>NOT PAID</v>
      </c>
      <c r="J470" s="402"/>
      <c r="K470" s="402"/>
      <c r="L470" s="402"/>
      <c r="M470" s="402"/>
      <c r="N470" s="402"/>
      <c r="O470" s="402"/>
      <c r="P470" s="402"/>
      <c r="Q470" s="402"/>
      <c r="R470" s="402"/>
      <c r="S470" s="402"/>
      <c r="T470" s="402"/>
      <c r="U470" s="402"/>
      <c r="V470" s="402"/>
      <c r="W470" s="402"/>
      <c r="X470" s="402"/>
      <c r="Y470" s="402"/>
      <c r="Z470" s="402"/>
      <c r="AA470" s="405"/>
      <c r="AB470" s="405"/>
    </row>
    <row r="471" ht="14.25" customHeight="1">
      <c r="A471" s="406"/>
      <c r="B471" s="402"/>
      <c r="C471" s="402"/>
      <c r="D471" s="402"/>
      <c r="E471" s="402"/>
      <c r="F471" s="403"/>
      <c r="G471" s="403"/>
      <c r="H471" s="402"/>
      <c r="I471" s="404" t="str">
        <f t="shared" si="7"/>
        <v>FULLY PAID</v>
      </c>
      <c r="J471" s="402"/>
      <c r="K471" s="402"/>
      <c r="L471" s="402"/>
      <c r="M471" s="402"/>
      <c r="N471" s="402"/>
      <c r="O471" s="402"/>
      <c r="P471" s="402"/>
      <c r="Q471" s="402"/>
      <c r="R471" s="402"/>
      <c r="S471" s="402"/>
      <c r="T471" s="402"/>
      <c r="U471" s="402"/>
      <c r="V471" s="402"/>
      <c r="W471" s="402"/>
      <c r="X471" s="402"/>
      <c r="Y471" s="402"/>
      <c r="Z471" s="402"/>
      <c r="AA471" s="405"/>
      <c r="AB471" s="405"/>
    </row>
    <row r="472" ht="14.25" customHeight="1">
      <c r="A472" s="402"/>
      <c r="B472" s="402"/>
      <c r="C472" s="402"/>
      <c r="D472" s="402"/>
      <c r="E472" s="402"/>
      <c r="F472" s="403"/>
      <c r="G472" s="403"/>
      <c r="H472" s="402"/>
      <c r="I472" s="404" t="str">
        <f t="shared" si="7"/>
        <v>FULLY PAID</v>
      </c>
      <c r="J472" s="402"/>
      <c r="K472" s="402"/>
      <c r="L472" s="402"/>
      <c r="M472" s="402"/>
      <c r="N472" s="402"/>
      <c r="O472" s="402"/>
      <c r="P472" s="402"/>
      <c r="Q472" s="402"/>
      <c r="R472" s="402"/>
      <c r="S472" s="402"/>
      <c r="T472" s="402"/>
      <c r="U472" s="402"/>
      <c r="V472" s="402"/>
      <c r="W472" s="402"/>
      <c r="X472" s="402"/>
      <c r="Y472" s="402"/>
      <c r="Z472" s="402"/>
      <c r="AA472" s="405"/>
      <c r="AB472" s="405"/>
    </row>
    <row r="473" ht="14.25" customHeight="1">
      <c r="A473" s="402"/>
      <c r="B473" s="402"/>
      <c r="C473" s="402"/>
      <c r="D473" s="402"/>
      <c r="E473" s="402"/>
      <c r="F473" s="403"/>
      <c r="G473" s="403"/>
      <c r="H473" s="402"/>
      <c r="I473" s="404" t="str">
        <f t="shared" si="7"/>
        <v>FULLY PAID</v>
      </c>
      <c r="J473" s="402"/>
      <c r="K473" s="402"/>
      <c r="L473" s="402"/>
      <c r="M473" s="402"/>
      <c r="N473" s="402"/>
      <c r="O473" s="402"/>
      <c r="P473" s="402"/>
      <c r="Q473" s="402"/>
      <c r="R473" s="402"/>
      <c r="S473" s="402"/>
      <c r="T473" s="402"/>
      <c r="U473" s="402"/>
      <c r="V473" s="402"/>
      <c r="W473" s="402"/>
      <c r="X473" s="402"/>
      <c r="Y473" s="402"/>
      <c r="Z473" s="402"/>
      <c r="AA473" s="405"/>
      <c r="AB473" s="405"/>
    </row>
    <row r="474" ht="14.25" customHeight="1">
      <c r="A474" s="402"/>
      <c r="B474" s="461">
        <v>45330.0</v>
      </c>
      <c r="C474" s="402"/>
      <c r="D474" s="402"/>
      <c r="E474" s="402"/>
      <c r="F474" s="403"/>
      <c r="G474" s="403"/>
      <c r="H474" s="402"/>
      <c r="I474" s="404" t="str">
        <f t="shared" si="7"/>
        <v>FULLY PAID</v>
      </c>
      <c r="J474" s="402"/>
      <c r="K474" s="402"/>
      <c r="L474" s="402"/>
      <c r="M474" s="402"/>
      <c r="N474" s="402"/>
      <c r="O474" s="402"/>
      <c r="P474" s="402"/>
      <c r="Q474" s="402"/>
      <c r="R474" s="402"/>
      <c r="S474" s="402"/>
      <c r="T474" s="402"/>
      <c r="U474" s="402"/>
      <c r="V474" s="402"/>
      <c r="W474" s="402"/>
      <c r="X474" s="402"/>
      <c r="Y474" s="402"/>
      <c r="Z474" s="402"/>
      <c r="AA474" s="405"/>
      <c r="AB474" s="405"/>
    </row>
    <row r="475" ht="14.25" customHeight="1">
      <c r="A475" s="466">
        <v>45506.0</v>
      </c>
      <c r="B475" s="349" t="s">
        <v>1096</v>
      </c>
      <c r="C475" s="349" t="s">
        <v>1097</v>
      </c>
      <c r="D475" s="349" t="s">
        <v>54</v>
      </c>
      <c r="E475" s="349" t="s">
        <v>1098</v>
      </c>
      <c r="F475" s="413">
        <v>24202.8</v>
      </c>
      <c r="G475" s="403"/>
      <c r="H475" s="349" t="s">
        <v>1189</v>
      </c>
      <c r="I475" s="483" t="s">
        <v>1190</v>
      </c>
      <c r="J475" s="402"/>
      <c r="K475" s="402"/>
      <c r="L475" s="402"/>
      <c r="M475" s="402"/>
      <c r="N475" s="402"/>
      <c r="O475" s="402"/>
      <c r="P475" s="402"/>
      <c r="Q475" s="402"/>
      <c r="R475" s="402"/>
      <c r="S475" s="402"/>
      <c r="T475" s="402"/>
      <c r="U475" s="402"/>
      <c r="V475" s="402"/>
      <c r="W475" s="402"/>
      <c r="X475" s="402"/>
      <c r="Y475" s="402"/>
      <c r="Z475" s="402"/>
      <c r="AA475" s="405"/>
      <c r="AB475" s="405"/>
    </row>
    <row r="476" ht="14.25" customHeight="1">
      <c r="A476" s="406">
        <v>45506.0</v>
      </c>
      <c r="B476" s="349" t="s">
        <v>723</v>
      </c>
      <c r="C476" s="349" t="s">
        <v>724</v>
      </c>
      <c r="D476" s="349" t="s">
        <v>54</v>
      </c>
      <c r="E476" s="349" t="s">
        <v>1098</v>
      </c>
      <c r="F476" s="413">
        <v>7735.49</v>
      </c>
      <c r="G476" s="403"/>
      <c r="H476" s="349" t="s">
        <v>1191</v>
      </c>
      <c r="I476" s="404" t="str">
        <f t="shared" ref="I476:I736" si="8">IF(G476&gt;=F476,"FULLY PAID",IF(G476=0,"NOT PAID","PARTIALLY PAID"))</f>
        <v>NOT PAID</v>
      </c>
      <c r="J476" s="402"/>
      <c r="K476" s="402"/>
      <c r="L476" s="402"/>
      <c r="M476" s="402"/>
      <c r="N476" s="402"/>
      <c r="O476" s="402"/>
      <c r="P476" s="402"/>
      <c r="Q476" s="402"/>
      <c r="R476" s="402"/>
      <c r="S476" s="402"/>
      <c r="T476" s="402"/>
      <c r="U476" s="402"/>
      <c r="V476" s="402"/>
      <c r="W476" s="402"/>
      <c r="X476" s="402"/>
      <c r="Y476" s="402"/>
      <c r="Z476" s="402"/>
      <c r="AA476" s="405"/>
      <c r="AB476" s="405"/>
    </row>
    <row r="477" ht="14.25" customHeight="1">
      <c r="A477" s="466">
        <v>45506.0</v>
      </c>
      <c r="B477" s="349" t="s">
        <v>777</v>
      </c>
      <c r="C477" s="349" t="s">
        <v>778</v>
      </c>
      <c r="D477" s="349" t="s">
        <v>54</v>
      </c>
      <c r="E477" s="349" t="s">
        <v>1098</v>
      </c>
      <c r="F477" s="413">
        <v>35000.0</v>
      </c>
      <c r="G477" s="413">
        <v>11000.0</v>
      </c>
      <c r="H477" s="462" t="s">
        <v>1192</v>
      </c>
      <c r="I477" s="404" t="str">
        <f t="shared" si="8"/>
        <v>PARTIALLY PAID</v>
      </c>
      <c r="J477" s="402"/>
      <c r="K477" s="402"/>
      <c r="L477" s="402"/>
      <c r="M477" s="402"/>
      <c r="N477" s="402"/>
      <c r="O477" s="402"/>
      <c r="P477" s="402"/>
      <c r="Q477" s="402"/>
      <c r="R477" s="402"/>
      <c r="S477" s="402"/>
      <c r="T477" s="402"/>
      <c r="U477" s="402"/>
      <c r="V477" s="402"/>
      <c r="W477" s="402"/>
      <c r="X477" s="402"/>
      <c r="Y477" s="402"/>
      <c r="Z477" s="402"/>
      <c r="AA477" s="405"/>
      <c r="AB477" s="405"/>
    </row>
    <row r="478" ht="14.25" customHeight="1">
      <c r="A478" s="406">
        <v>45506.0</v>
      </c>
      <c r="B478" s="349" t="s">
        <v>841</v>
      </c>
      <c r="C478" s="349" t="s">
        <v>842</v>
      </c>
      <c r="D478" s="349" t="s">
        <v>54</v>
      </c>
      <c r="E478" s="349" t="s">
        <v>1098</v>
      </c>
      <c r="F478" s="413">
        <v>11249.07</v>
      </c>
      <c r="G478" s="403"/>
      <c r="H478" s="462" t="s">
        <v>1193</v>
      </c>
      <c r="I478" s="404" t="str">
        <f t="shared" si="8"/>
        <v>NOT PAID</v>
      </c>
      <c r="J478" s="402"/>
      <c r="K478" s="402"/>
      <c r="L478" s="402"/>
      <c r="M478" s="402"/>
      <c r="N478" s="402"/>
      <c r="O478" s="402"/>
      <c r="P478" s="402"/>
      <c r="Q478" s="402"/>
      <c r="R478" s="402"/>
      <c r="S478" s="402"/>
      <c r="T478" s="402"/>
      <c r="U478" s="402"/>
      <c r="V478" s="402"/>
      <c r="W478" s="402"/>
      <c r="X478" s="402"/>
      <c r="Y478" s="402"/>
      <c r="Z478" s="402"/>
      <c r="AA478" s="405"/>
      <c r="AB478" s="405"/>
    </row>
    <row r="479" ht="14.25" customHeight="1">
      <c r="A479" s="466">
        <v>45506.0</v>
      </c>
      <c r="B479" s="349" t="s">
        <v>807</v>
      </c>
      <c r="C479" s="349" t="s">
        <v>808</v>
      </c>
      <c r="D479" s="349" t="s">
        <v>54</v>
      </c>
      <c r="E479" s="349" t="s">
        <v>1098</v>
      </c>
      <c r="F479" s="413">
        <v>1674.75</v>
      </c>
      <c r="G479" s="403"/>
      <c r="H479" s="349" t="s">
        <v>1194</v>
      </c>
      <c r="I479" s="404" t="str">
        <f t="shared" si="8"/>
        <v>NOT PAID</v>
      </c>
      <c r="J479" s="402"/>
      <c r="K479" s="402"/>
      <c r="L479" s="402"/>
      <c r="M479" s="402"/>
      <c r="N479" s="402"/>
      <c r="O479" s="402"/>
      <c r="P479" s="402"/>
      <c r="Q479" s="402"/>
      <c r="R479" s="402"/>
      <c r="S479" s="402"/>
      <c r="T479" s="402"/>
      <c r="U479" s="402"/>
      <c r="V479" s="402"/>
      <c r="W479" s="402"/>
      <c r="X479" s="402"/>
      <c r="Y479" s="402"/>
      <c r="Z479" s="402"/>
      <c r="AA479" s="405"/>
      <c r="AB479" s="405"/>
    </row>
    <row r="480" ht="14.25" customHeight="1">
      <c r="A480" s="406">
        <v>45506.0</v>
      </c>
      <c r="B480" s="349" t="s">
        <v>1107</v>
      </c>
      <c r="C480" s="349" t="s">
        <v>1108</v>
      </c>
      <c r="D480" s="349" t="s">
        <v>54</v>
      </c>
      <c r="E480" s="349" t="s">
        <v>1098</v>
      </c>
      <c r="F480" s="413">
        <v>13412.56</v>
      </c>
      <c r="G480" s="403"/>
      <c r="H480" s="349" t="s">
        <v>1195</v>
      </c>
      <c r="I480" s="404" t="str">
        <f t="shared" si="8"/>
        <v>NOT PAID</v>
      </c>
      <c r="J480" s="402"/>
      <c r="K480" s="402"/>
      <c r="L480" s="402"/>
      <c r="M480" s="402"/>
      <c r="N480" s="402"/>
      <c r="O480" s="402"/>
      <c r="P480" s="402"/>
      <c r="Q480" s="402"/>
      <c r="R480" s="402"/>
      <c r="S480" s="402"/>
      <c r="T480" s="402"/>
      <c r="U480" s="402"/>
      <c r="V480" s="402"/>
      <c r="W480" s="402"/>
      <c r="X480" s="402"/>
      <c r="Y480" s="402"/>
      <c r="Z480" s="402"/>
      <c r="AA480" s="405"/>
      <c r="AB480" s="405"/>
    </row>
    <row r="481" ht="14.25" customHeight="1">
      <c r="A481" s="466">
        <v>45506.0</v>
      </c>
      <c r="B481" s="349" t="s">
        <v>705</v>
      </c>
      <c r="C481" s="349" t="s">
        <v>1110</v>
      </c>
      <c r="D481" s="349" t="s">
        <v>54</v>
      </c>
      <c r="E481" s="349" t="s">
        <v>1098</v>
      </c>
      <c r="F481" s="413">
        <v>6709.6</v>
      </c>
      <c r="G481" s="403"/>
      <c r="H481" s="349" t="s">
        <v>1196</v>
      </c>
      <c r="I481" s="404" t="str">
        <f t="shared" si="8"/>
        <v>NOT PAID</v>
      </c>
      <c r="J481" s="402"/>
      <c r="K481" s="402"/>
      <c r="L481" s="402"/>
      <c r="M481" s="402"/>
      <c r="N481" s="402"/>
      <c r="O481" s="402"/>
      <c r="P481" s="402"/>
      <c r="Q481" s="402"/>
      <c r="R481" s="402"/>
      <c r="S481" s="402"/>
      <c r="T481" s="402"/>
      <c r="U481" s="402"/>
      <c r="V481" s="402"/>
      <c r="W481" s="402"/>
      <c r="X481" s="402"/>
      <c r="Y481" s="402"/>
      <c r="Z481" s="402"/>
      <c r="AA481" s="405"/>
      <c r="AB481" s="405"/>
    </row>
    <row r="482" ht="14.25" customHeight="1">
      <c r="A482" s="406">
        <v>45506.0</v>
      </c>
      <c r="B482" s="349" t="s">
        <v>711</v>
      </c>
      <c r="C482" s="349" t="s">
        <v>1123</v>
      </c>
      <c r="D482" s="349" t="s">
        <v>75</v>
      </c>
      <c r="E482" s="349" t="s">
        <v>1098</v>
      </c>
      <c r="F482" s="413">
        <v>63387.25</v>
      </c>
      <c r="G482" s="403"/>
      <c r="H482" s="349" t="s">
        <v>1197</v>
      </c>
      <c r="I482" s="404" t="str">
        <f t="shared" si="8"/>
        <v>NOT PAID</v>
      </c>
      <c r="J482" s="402"/>
      <c r="K482" s="402"/>
      <c r="L482" s="402"/>
      <c r="M482" s="402"/>
      <c r="N482" s="402"/>
      <c r="O482" s="402"/>
      <c r="P482" s="402"/>
      <c r="Q482" s="402"/>
      <c r="R482" s="402"/>
      <c r="S482" s="402"/>
      <c r="T482" s="402"/>
      <c r="U482" s="402"/>
      <c r="V482" s="402"/>
      <c r="W482" s="402"/>
      <c r="X482" s="402"/>
      <c r="Y482" s="402"/>
      <c r="Z482" s="402"/>
      <c r="AA482" s="405"/>
      <c r="AB482" s="405"/>
    </row>
    <row r="483" ht="14.25" customHeight="1">
      <c r="A483" s="406">
        <v>45506.0</v>
      </c>
      <c r="B483" s="349" t="s">
        <v>701</v>
      </c>
      <c r="C483" s="349" t="s">
        <v>702</v>
      </c>
      <c r="D483" s="349" t="s">
        <v>54</v>
      </c>
      <c r="E483" s="349" t="s">
        <v>1098</v>
      </c>
      <c r="F483" s="413">
        <v>17124.66</v>
      </c>
      <c r="G483" s="403"/>
      <c r="H483" s="349" t="s">
        <v>1198</v>
      </c>
      <c r="I483" s="404" t="str">
        <f t="shared" si="8"/>
        <v>NOT PAID</v>
      </c>
      <c r="J483" s="402"/>
      <c r="K483" s="402"/>
      <c r="L483" s="402"/>
      <c r="M483" s="402"/>
      <c r="N483" s="402"/>
      <c r="O483" s="402"/>
      <c r="P483" s="402"/>
      <c r="Q483" s="402"/>
      <c r="R483" s="402"/>
      <c r="S483" s="402"/>
      <c r="T483" s="402"/>
      <c r="U483" s="402"/>
      <c r="V483" s="402"/>
      <c r="W483" s="402"/>
      <c r="X483" s="402"/>
      <c r="Y483" s="402"/>
      <c r="Z483" s="402"/>
      <c r="AA483" s="405"/>
      <c r="AB483" s="405"/>
    </row>
    <row r="484" ht="14.25" customHeight="1">
      <c r="A484" s="466">
        <v>45506.0</v>
      </c>
      <c r="B484" s="349" t="s">
        <v>1113</v>
      </c>
      <c r="C484" s="349" t="s">
        <v>1114</v>
      </c>
      <c r="D484" s="349" t="s">
        <v>1115</v>
      </c>
      <c r="E484" s="349" t="s">
        <v>1098</v>
      </c>
      <c r="F484" s="413">
        <v>170000.0</v>
      </c>
      <c r="G484" s="403"/>
      <c r="H484" s="349" t="s">
        <v>1199</v>
      </c>
      <c r="I484" s="404" t="str">
        <f t="shared" si="8"/>
        <v>NOT PAID</v>
      </c>
      <c r="J484" s="402"/>
      <c r="K484" s="402"/>
      <c r="L484" s="402"/>
      <c r="M484" s="402"/>
      <c r="N484" s="402"/>
      <c r="O484" s="402"/>
      <c r="P484" s="402"/>
      <c r="Q484" s="402"/>
      <c r="R484" s="402"/>
      <c r="S484" s="402"/>
      <c r="T484" s="402"/>
      <c r="U484" s="402"/>
      <c r="V484" s="402"/>
      <c r="W484" s="402"/>
      <c r="X484" s="402"/>
      <c r="Y484" s="402"/>
      <c r="Z484" s="402"/>
      <c r="AA484" s="405"/>
      <c r="AB484" s="405"/>
    </row>
    <row r="485" ht="14.25" customHeight="1">
      <c r="A485" s="406">
        <v>45506.0</v>
      </c>
      <c r="B485" s="349" t="s">
        <v>1117</v>
      </c>
      <c r="C485" s="349" t="s">
        <v>1114</v>
      </c>
      <c r="D485" s="349" t="s">
        <v>1115</v>
      </c>
      <c r="E485" s="349" t="s">
        <v>1098</v>
      </c>
      <c r="F485" s="413">
        <v>170000.0</v>
      </c>
      <c r="G485" s="403"/>
      <c r="H485" s="349" t="s">
        <v>1199</v>
      </c>
      <c r="I485" s="404" t="str">
        <f t="shared" si="8"/>
        <v>NOT PAID</v>
      </c>
      <c r="J485" s="402"/>
      <c r="K485" s="402"/>
      <c r="L485" s="402"/>
      <c r="M485" s="402"/>
      <c r="N485" s="402"/>
      <c r="O485" s="402"/>
      <c r="P485" s="402"/>
      <c r="Q485" s="402"/>
      <c r="R485" s="402"/>
      <c r="S485" s="402"/>
      <c r="T485" s="402"/>
      <c r="U485" s="402"/>
      <c r="V485" s="402"/>
      <c r="W485" s="402"/>
      <c r="X485" s="402"/>
      <c r="Y485" s="402"/>
      <c r="Z485" s="402"/>
      <c r="AA485" s="405"/>
      <c r="AB485" s="405"/>
    </row>
    <row r="486" ht="14.25" customHeight="1">
      <c r="A486" s="406">
        <v>45506.0</v>
      </c>
      <c r="B486" s="417" t="s">
        <v>1200</v>
      </c>
      <c r="C486" s="408" t="s">
        <v>1201</v>
      </c>
      <c r="D486" s="418" t="s">
        <v>54</v>
      </c>
      <c r="E486" s="349" t="s">
        <v>1098</v>
      </c>
      <c r="F486" s="413">
        <v>12828.0</v>
      </c>
      <c r="G486" s="413">
        <v>12834.0</v>
      </c>
      <c r="H486" s="402"/>
      <c r="I486" s="404" t="str">
        <f t="shared" si="8"/>
        <v>FULLY PAID</v>
      </c>
      <c r="J486" s="402"/>
      <c r="K486" s="402"/>
      <c r="L486" s="402"/>
      <c r="M486" s="402"/>
      <c r="N486" s="402"/>
      <c r="O486" s="402"/>
      <c r="P486" s="402"/>
      <c r="Q486" s="402"/>
      <c r="R486" s="402"/>
      <c r="S486" s="402"/>
      <c r="T486" s="402"/>
      <c r="U486" s="402"/>
      <c r="V486" s="402"/>
      <c r="W486" s="402"/>
      <c r="X486" s="402"/>
      <c r="Y486" s="402"/>
      <c r="Z486" s="402"/>
      <c r="AA486" s="405"/>
      <c r="AB486" s="405"/>
    </row>
    <row r="487" ht="14.25" customHeight="1">
      <c r="A487" s="406">
        <v>45506.0</v>
      </c>
      <c r="B487" s="349" t="s">
        <v>1046</v>
      </c>
      <c r="C487" s="349" t="s">
        <v>1145</v>
      </c>
      <c r="D487" s="349" t="s">
        <v>54</v>
      </c>
      <c r="E487" s="349" t="s">
        <v>1143</v>
      </c>
      <c r="F487" s="413">
        <v>12600.0</v>
      </c>
      <c r="G487" s="413"/>
      <c r="H487" s="349" t="s">
        <v>1202</v>
      </c>
      <c r="I487" s="404" t="str">
        <f t="shared" si="8"/>
        <v>NOT PAID</v>
      </c>
      <c r="J487" s="402"/>
      <c r="K487" s="402"/>
      <c r="L487" s="402"/>
      <c r="M487" s="402"/>
      <c r="N487" s="402"/>
      <c r="O487" s="402"/>
      <c r="P487" s="402"/>
      <c r="Q487" s="402"/>
      <c r="R487" s="402"/>
      <c r="S487" s="402"/>
      <c r="T487" s="402"/>
      <c r="U487" s="402"/>
      <c r="V487" s="402"/>
      <c r="W487" s="402"/>
      <c r="X487" s="402"/>
      <c r="Y487" s="402"/>
      <c r="Z487" s="402"/>
      <c r="AA487" s="405"/>
      <c r="AB487" s="405"/>
    </row>
    <row r="488" ht="14.25" customHeight="1">
      <c r="A488" s="466">
        <v>45506.0</v>
      </c>
      <c r="B488" s="417" t="s">
        <v>764</v>
      </c>
      <c r="C488" s="408" t="s">
        <v>765</v>
      </c>
      <c r="D488" s="418" t="s">
        <v>54</v>
      </c>
      <c r="E488" s="418" t="s">
        <v>1143</v>
      </c>
      <c r="F488" s="445">
        <v>20880.0</v>
      </c>
      <c r="G488" s="413">
        <v>0.0</v>
      </c>
      <c r="H488" s="349" t="s">
        <v>1203</v>
      </c>
      <c r="I488" s="404" t="str">
        <f t="shared" si="8"/>
        <v>NOT PAID</v>
      </c>
      <c r="J488" s="402"/>
      <c r="K488" s="402"/>
      <c r="L488" s="402"/>
      <c r="M488" s="402"/>
      <c r="N488" s="402"/>
      <c r="O488" s="402"/>
      <c r="P488" s="402"/>
      <c r="Q488" s="402"/>
      <c r="R488" s="402"/>
      <c r="S488" s="402"/>
      <c r="T488" s="402"/>
      <c r="U488" s="402"/>
      <c r="V488" s="402"/>
      <c r="W488" s="402"/>
      <c r="X488" s="402"/>
      <c r="Y488" s="402"/>
      <c r="Z488" s="402"/>
      <c r="AA488" s="405"/>
      <c r="AB488" s="405"/>
    </row>
    <row r="489" ht="14.25" customHeight="1">
      <c r="A489" s="466">
        <v>45506.0</v>
      </c>
      <c r="B489" s="343" t="s">
        <v>781</v>
      </c>
      <c r="C489" s="344" t="s">
        <v>782</v>
      </c>
      <c r="D489" s="344" t="s">
        <v>54</v>
      </c>
      <c r="E489" s="344" t="s">
        <v>1143</v>
      </c>
      <c r="F489" s="442">
        <v>17829.5</v>
      </c>
      <c r="G489" s="413">
        <v>5000.0</v>
      </c>
      <c r="H489" s="349" t="s">
        <v>1204</v>
      </c>
      <c r="I489" s="404" t="str">
        <f t="shared" si="8"/>
        <v>PARTIALLY PAID</v>
      </c>
      <c r="J489" s="402"/>
      <c r="K489" s="402"/>
      <c r="L489" s="402"/>
      <c r="M489" s="402"/>
      <c r="N489" s="402"/>
      <c r="O489" s="402"/>
      <c r="P489" s="402"/>
      <c r="Q489" s="402"/>
      <c r="R489" s="402"/>
      <c r="S489" s="402"/>
      <c r="T489" s="402"/>
      <c r="U489" s="402"/>
      <c r="V489" s="402"/>
      <c r="W489" s="402"/>
      <c r="X489" s="402"/>
      <c r="Y489" s="402"/>
      <c r="Z489" s="402"/>
      <c r="AA489" s="405"/>
      <c r="AB489" s="405"/>
    </row>
    <row r="490" ht="14.25" customHeight="1">
      <c r="A490" s="466">
        <v>45506.0</v>
      </c>
      <c r="B490" s="343" t="s">
        <v>774</v>
      </c>
      <c r="C490" s="344" t="s">
        <v>775</v>
      </c>
      <c r="D490" s="344" t="s">
        <v>54</v>
      </c>
      <c r="E490" s="344" t="s">
        <v>1143</v>
      </c>
      <c r="F490" s="442">
        <v>12900.0</v>
      </c>
      <c r="G490" s="413">
        <v>12900.0</v>
      </c>
      <c r="H490" s="349" t="s">
        <v>1205</v>
      </c>
      <c r="I490" s="404" t="str">
        <f t="shared" si="8"/>
        <v>FULLY PAID</v>
      </c>
      <c r="J490" s="402"/>
      <c r="K490" s="402"/>
      <c r="L490" s="402"/>
      <c r="M490" s="402"/>
      <c r="N490" s="402"/>
      <c r="O490" s="402"/>
      <c r="P490" s="402"/>
      <c r="Q490" s="402"/>
      <c r="R490" s="402"/>
      <c r="S490" s="402"/>
      <c r="T490" s="402"/>
      <c r="U490" s="402"/>
      <c r="V490" s="402"/>
      <c r="W490" s="402"/>
      <c r="X490" s="402"/>
      <c r="Y490" s="402"/>
      <c r="Z490" s="402"/>
      <c r="AA490" s="405"/>
      <c r="AB490" s="405"/>
    </row>
    <row r="491" ht="14.25" customHeight="1">
      <c r="A491" s="406">
        <v>45506.0</v>
      </c>
      <c r="B491" s="343" t="s">
        <v>788</v>
      </c>
      <c r="C491" s="344" t="s">
        <v>789</v>
      </c>
      <c r="D491" s="344" t="s">
        <v>54</v>
      </c>
      <c r="E491" s="344" t="s">
        <v>1143</v>
      </c>
      <c r="F491" s="430">
        <v>89593.8</v>
      </c>
      <c r="G491" s="413">
        <v>0.0</v>
      </c>
      <c r="H491" s="349" t="s">
        <v>1206</v>
      </c>
      <c r="I491" s="404" t="str">
        <f t="shared" si="8"/>
        <v>NOT PAID</v>
      </c>
      <c r="J491" s="402"/>
      <c r="K491" s="402"/>
      <c r="L491" s="402"/>
      <c r="M491" s="402"/>
      <c r="N491" s="402"/>
      <c r="O491" s="402"/>
      <c r="P491" s="402"/>
      <c r="Q491" s="402"/>
      <c r="R491" s="402"/>
      <c r="S491" s="402"/>
      <c r="T491" s="402"/>
      <c r="U491" s="402"/>
      <c r="V491" s="402"/>
      <c r="W491" s="402"/>
      <c r="X491" s="402"/>
      <c r="Y491" s="402"/>
      <c r="Z491" s="402"/>
      <c r="AA491" s="405"/>
      <c r="AB491" s="405"/>
    </row>
    <row r="492" ht="14.25" customHeight="1">
      <c r="A492" s="466">
        <v>45506.0</v>
      </c>
      <c r="B492" s="343" t="s">
        <v>915</v>
      </c>
      <c r="C492" s="344" t="s">
        <v>916</v>
      </c>
      <c r="D492" s="344" t="s">
        <v>54</v>
      </c>
      <c r="E492" s="344" t="s">
        <v>1143</v>
      </c>
      <c r="F492" s="442">
        <v>32290.0</v>
      </c>
      <c r="G492" s="442">
        <v>32290.0</v>
      </c>
      <c r="H492" s="349" t="s">
        <v>1205</v>
      </c>
      <c r="I492" s="404" t="str">
        <f t="shared" si="8"/>
        <v>FULLY PAID</v>
      </c>
      <c r="J492" s="402"/>
      <c r="K492" s="402"/>
      <c r="L492" s="402"/>
      <c r="M492" s="402"/>
      <c r="N492" s="402"/>
      <c r="O492" s="402"/>
      <c r="P492" s="402"/>
      <c r="Q492" s="402"/>
      <c r="R492" s="402"/>
      <c r="S492" s="402"/>
      <c r="T492" s="402"/>
      <c r="U492" s="402"/>
      <c r="V492" s="402"/>
      <c r="W492" s="402"/>
      <c r="X492" s="402"/>
      <c r="Y492" s="402"/>
      <c r="Z492" s="402"/>
      <c r="AA492" s="405"/>
      <c r="AB492" s="405"/>
    </row>
    <row r="493" ht="14.25" customHeight="1">
      <c r="A493" s="406">
        <v>45506.0</v>
      </c>
      <c r="B493" s="343" t="s">
        <v>1012</v>
      </c>
      <c r="C493" s="344" t="s">
        <v>1013</v>
      </c>
      <c r="D493" s="344" t="s">
        <v>75</v>
      </c>
      <c r="E493" s="344" t="s">
        <v>1143</v>
      </c>
      <c r="F493" s="430">
        <v>260725.0</v>
      </c>
      <c r="G493" s="413">
        <v>0.0</v>
      </c>
      <c r="H493" s="349" t="s">
        <v>1207</v>
      </c>
      <c r="I493" s="404" t="str">
        <f t="shared" si="8"/>
        <v>NOT PAID</v>
      </c>
      <c r="J493" s="402"/>
      <c r="K493" s="402"/>
      <c r="L493" s="402"/>
      <c r="M493" s="402"/>
      <c r="N493" s="402"/>
      <c r="O493" s="402"/>
      <c r="P493" s="402"/>
      <c r="Q493" s="402"/>
      <c r="R493" s="402"/>
      <c r="S493" s="402"/>
      <c r="T493" s="402"/>
      <c r="U493" s="402"/>
      <c r="V493" s="402"/>
      <c r="W493" s="402"/>
      <c r="X493" s="402"/>
      <c r="Y493" s="402"/>
      <c r="Z493" s="402"/>
      <c r="AA493" s="405"/>
      <c r="AB493" s="405"/>
    </row>
    <row r="494" ht="14.25" customHeight="1">
      <c r="A494" s="406">
        <v>45506.0</v>
      </c>
      <c r="B494" s="484" t="s">
        <v>1208</v>
      </c>
      <c r="C494" s="349" t="s">
        <v>1209</v>
      </c>
      <c r="D494" s="349" t="s">
        <v>1210</v>
      </c>
      <c r="E494" s="349" t="s">
        <v>1153</v>
      </c>
      <c r="F494" s="413">
        <v>92000.0</v>
      </c>
      <c r="G494" s="413">
        <v>92000.0</v>
      </c>
      <c r="H494" s="349" t="s">
        <v>8</v>
      </c>
      <c r="I494" s="404" t="str">
        <f t="shared" si="8"/>
        <v>FULLY PAID</v>
      </c>
      <c r="J494" s="402"/>
      <c r="K494" s="402"/>
      <c r="L494" s="402"/>
      <c r="M494" s="402"/>
      <c r="N494" s="402"/>
      <c r="O494" s="402"/>
      <c r="P494" s="402"/>
      <c r="Q494" s="402"/>
      <c r="R494" s="402"/>
      <c r="S494" s="402"/>
      <c r="T494" s="402"/>
      <c r="U494" s="402"/>
      <c r="V494" s="402"/>
      <c r="W494" s="402"/>
      <c r="X494" s="402"/>
      <c r="Y494" s="402"/>
      <c r="Z494" s="402"/>
      <c r="AA494" s="405"/>
      <c r="AB494" s="405"/>
    </row>
    <row r="495" ht="14.25" customHeight="1">
      <c r="A495" s="466">
        <v>45506.0</v>
      </c>
      <c r="B495" s="349" t="s">
        <v>742</v>
      </c>
      <c r="C495" s="349" t="s">
        <v>743</v>
      </c>
      <c r="D495" s="349" t="s">
        <v>54</v>
      </c>
      <c r="E495" s="349" t="s">
        <v>1153</v>
      </c>
      <c r="F495" s="413">
        <v>93837.23</v>
      </c>
      <c r="G495" s="403"/>
      <c r="H495" s="485" t="s">
        <v>1211</v>
      </c>
      <c r="I495" s="404" t="str">
        <f t="shared" si="8"/>
        <v>NOT PAID</v>
      </c>
      <c r="J495" s="402"/>
      <c r="K495" s="402"/>
      <c r="L495" s="402"/>
      <c r="M495" s="402"/>
      <c r="N495" s="402"/>
      <c r="O495" s="402"/>
      <c r="P495" s="402"/>
      <c r="Q495" s="402"/>
      <c r="R495" s="402"/>
      <c r="S495" s="402"/>
      <c r="T495" s="402"/>
      <c r="U495" s="402"/>
      <c r="V495" s="402"/>
      <c r="W495" s="402"/>
      <c r="X495" s="402"/>
      <c r="Y495" s="402"/>
      <c r="Z495" s="402"/>
      <c r="AA495" s="405"/>
      <c r="AB495" s="405"/>
    </row>
    <row r="496" ht="14.25" customHeight="1">
      <c r="A496" s="406">
        <v>45506.0</v>
      </c>
      <c r="B496" s="349" t="s">
        <v>749</v>
      </c>
      <c r="C496" s="349" t="s">
        <v>750</v>
      </c>
      <c r="D496" s="349" t="s">
        <v>54</v>
      </c>
      <c r="E496" s="349" t="s">
        <v>1153</v>
      </c>
      <c r="F496" s="486">
        <v>14549.2</v>
      </c>
      <c r="G496" s="413">
        <v>15000.0</v>
      </c>
      <c r="H496" s="349" t="s">
        <v>8</v>
      </c>
      <c r="I496" s="404" t="str">
        <f t="shared" si="8"/>
        <v>FULLY PAID</v>
      </c>
      <c r="J496" s="402"/>
      <c r="K496" s="402"/>
      <c r="L496" s="402"/>
      <c r="M496" s="402"/>
      <c r="N496" s="402"/>
      <c r="O496" s="402"/>
      <c r="P496" s="402"/>
      <c r="Q496" s="402"/>
      <c r="R496" s="402"/>
      <c r="S496" s="402"/>
      <c r="T496" s="402"/>
      <c r="U496" s="402"/>
      <c r="V496" s="402"/>
      <c r="W496" s="402"/>
      <c r="X496" s="402"/>
      <c r="Y496" s="402"/>
      <c r="Z496" s="402"/>
      <c r="AA496" s="405"/>
      <c r="AB496" s="405"/>
    </row>
    <row r="497" ht="14.25" customHeight="1">
      <c r="A497" s="466">
        <v>45506.0</v>
      </c>
      <c r="B497" s="349" t="s">
        <v>1155</v>
      </c>
      <c r="C497" s="349" t="s">
        <v>1156</v>
      </c>
      <c r="D497" s="349" t="s">
        <v>54</v>
      </c>
      <c r="E497" s="349" t="s">
        <v>1153</v>
      </c>
      <c r="F497" s="413">
        <v>268238.3</v>
      </c>
      <c r="G497" s="403"/>
      <c r="H497" s="349" t="s">
        <v>1212</v>
      </c>
      <c r="I497" s="404" t="str">
        <f t="shared" si="8"/>
        <v>NOT PAID</v>
      </c>
      <c r="J497" s="402"/>
      <c r="K497" s="402"/>
      <c r="L497" s="402"/>
      <c r="M497" s="402"/>
      <c r="N497" s="402"/>
      <c r="O497" s="402"/>
      <c r="P497" s="402"/>
      <c r="Q497" s="402"/>
      <c r="R497" s="402"/>
      <c r="S497" s="402"/>
      <c r="T497" s="402"/>
      <c r="U497" s="402"/>
      <c r="V497" s="402"/>
      <c r="W497" s="402"/>
      <c r="X497" s="402"/>
      <c r="Y497" s="402"/>
      <c r="Z497" s="402"/>
      <c r="AA497" s="405"/>
      <c r="AB497" s="405"/>
    </row>
    <row r="498" ht="14.25" customHeight="1">
      <c r="A498" s="406">
        <v>45506.0</v>
      </c>
      <c r="B498" s="349" t="s">
        <v>960</v>
      </c>
      <c r="C498" s="349" t="s">
        <v>961</v>
      </c>
      <c r="D498" s="349" t="s">
        <v>54</v>
      </c>
      <c r="E498" s="349" t="s">
        <v>1153</v>
      </c>
      <c r="F498" s="413">
        <v>99093.57</v>
      </c>
      <c r="G498" s="403"/>
      <c r="H498" s="349" t="s">
        <v>1213</v>
      </c>
      <c r="I498" s="404" t="str">
        <f t="shared" si="8"/>
        <v>NOT PAID</v>
      </c>
      <c r="J498" s="402"/>
      <c r="K498" s="402"/>
      <c r="L498" s="402"/>
      <c r="M498" s="402"/>
      <c r="N498" s="402"/>
      <c r="O498" s="402"/>
      <c r="P498" s="402"/>
      <c r="Q498" s="402"/>
      <c r="R498" s="402"/>
      <c r="S498" s="402"/>
      <c r="T498" s="402"/>
      <c r="U498" s="402"/>
      <c r="V498" s="402"/>
      <c r="W498" s="402"/>
      <c r="X498" s="402"/>
      <c r="Y498" s="402"/>
      <c r="Z498" s="402"/>
      <c r="AA498" s="405"/>
      <c r="AB498" s="405"/>
    </row>
    <row r="499" ht="14.25" customHeight="1">
      <c r="A499" s="466">
        <v>45506.0</v>
      </c>
      <c r="B499" s="349" t="s">
        <v>738</v>
      </c>
      <c r="C499" s="349" t="s">
        <v>739</v>
      </c>
      <c r="D499" s="349" t="s">
        <v>54</v>
      </c>
      <c r="E499" s="349" t="s">
        <v>1153</v>
      </c>
      <c r="F499" s="413">
        <v>70422.67</v>
      </c>
      <c r="G499" s="403"/>
      <c r="H499" s="349" t="s">
        <v>1214</v>
      </c>
      <c r="I499" s="404" t="str">
        <f t="shared" si="8"/>
        <v>NOT PAID</v>
      </c>
      <c r="J499" s="402"/>
      <c r="K499" s="402"/>
      <c r="L499" s="402"/>
      <c r="M499" s="402"/>
      <c r="N499" s="402"/>
      <c r="O499" s="402"/>
      <c r="P499" s="402"/>
      <c r="Q499" s="402"/>
      <c r="R499" s="402"/>
      <c r="S499" s="402"/>
      <c r="T499" s="402"/>
      <c r="U499" s="402"/>
      <c r="V499" s="402"/>
      <c r="W499" s="402"/>
      <c r="X499" s="402"/>
      <c r="Y499" s="402"/>
      <c r="Z499" s="402"/>
      <c r="AA499" s="405"/>
      <c r="AB499" s="405"/>
    </row>
    <row r="500" ht="14.25" customHeight="1">
      <c r="A500" s="406">
        <v>45506.0</v>
      </c>
      <c r="B500" s="349" t="s">
        <v>746</v>
      </c>
      <c r="C500" s="349" t="s">
        <v>747</v>
      </c>
      <c r="D500" s="349" t="s">
        <v>54</v>
      </c>
      <c r="E500" s="349" t="s">
        <v>1153</v>
      </c>
      <c r="F500" s="413">
        <v>973.0</v>
      </c>
      <c r="G500" s="403"/>
      <c r="H500" s="349" t="s">
        <v>1191</v>
      </c>
      <c r="I500" s="404" t="str">
        <f t="shared" si="8"/>
        <v>NOT PAID</v>
      </c>
      <c r="J500" s="402"/>
      <c r="K500" s="402"/>
      <c r="L500" s="402"/>
      <c r="M500" s="402"/>
      <c r="N500" s="402"/>
      <c r="O500" s="402"/>
      <c r="P500" s="402"/>
      <c r="Q500" s="402"/>
      <c r="R500" s="402"/>
      <c r="S500" s="402"/>
      <c r="T500" s="402"/>
      <c r="U500" s="402"/>
      <c r="V500" s="402"/>
      <c r="W500" s="402"/>
      <c r="X500" s="402"/>
      <c r="Y500" s="402"/>
      <c r="Z500" s="402"/>
      <c r="AA500" s="405"/>
      <c r="AB500" s="405"/>
    </row>
    <row r="501" ht="14.25" customHeight="1">
      <c r="A501" s="466">
        <v>45506.0</v>
      </c>
      <c r="B501" s="349" t="s">
        <v>1001</v>
      </c>
      <c r="C501" s="349" t="s">
        <v>1002</v>
      </c>
      <c r="D501" s="349" t="s">
        <v>54</v>
      </c>
      <c r="E501" s="349" t="s">
        <v>1153</v>
      </c>
      <c r="F501" s="413">
        <v>4251.1</v>
      </c>
      <c r="G501" s="413">
        <v>4252.0</v>
      </c>
      <c r="H501" s="349" t="s">
        <v>212</v>
      </c>
      <c r="I501" s="404" t="str">
        <f t="shared" si="8"/>
        <v>FULLY PAID</v>
      </c>
      <c r="J501" s="402"/>
      <c r="K501" s="402"/>
      <c r="L501" s="402"/>
      <c r="M501" s="402"/>
      <c r="N501" s="402"/>
      <c r="O501" s="402"/>
      <c r="P501" s="402"/>
      <c r="Q501" s="402"/>
      <c r="R501" s="402"/>
      <c r="S501" s="402"/>
      <c r="T501" s="402"/>
      <c r="U501" s="402"/>
      <c r="V501" s="402"/>
      <c r="W501" s="402"/>
      <c r="X501" s="402"/>
      <c r="Y501" s="402"/>
      <c r="Z501" s="402"/>
      <c r="AA501" s="405"/>
      <c r="AB501" s="405"/>
    </row>
    <row r="502" ht="14.25" customHeight="1">
      <c r="A502" s="406">
        <v>45506.0</v>
      </c>
      <c r="B502" s="349" t="s">
        <v>754</v>
      </c>
      <c r="C502" s="349" t="s">
        <v>755</v>
      </c>
      <c r="D502" s="349" t="s">
        <v>59</v>
      </c>
      <c r="E502" s="349" t="s">
        <v>1153</v>
      </c>
      <c r="F502" s="413">
        <v>132321.7</v>
      </c>
      <c r="G502" s="403"/>
      <c r="H502" s="349" t="s">
        <v>1215</v>
      </c>
      <c r="I502" s="404" t="str">
        <f t="shared" si="8"/>
        <v>NOT PAID</v>
      </c>
      <c r="J502" s="402"/>
      <c r="K502" s="402"/>
      <c r="L502" s="402"/>
      <c r="M502" s="402"/>
      <c r="N502" s="402"/>
      <c r="O502" s="402"/>
      <c r="P502" s="402"/>
      <c r="Q502" s="402"/>
      <c r="R502" s="402"/>
      <c r="S502" s="402"/>
      <c r="T502" s="402"/>
      <c r="U502" s="402"/>
      <c r="V502" s="402"/>
      <c r="W502" s="402"/>
      <c r="X502" s="402"/>
      <c r="Y502" s="402"/>
      <c r="Z502" s="402"/>
      <c r="AA502" s="405"/>
      <c r="AB502" s="405"/>
    </row>
    <row r="503" ht="14.25" customHeight="1">
      <c r="A503" s="466">
        <v>45506.0</v>
      </c>
      <c r="B503" s="349" t="s">
        <v>825</v>
      </c>
      <c r="C503" s="349" t="s">
        <v>826</v>
      </c>
      <c r="D503" s="349" t="s">
        <v>54</v>
      </c>
      <c r="E503" s="349" t="s">
        <v>1153</v>
      </c>
      <c r="F503" s="413">
        <v>327352.94</v>
      </c>
      <c r="G503" s="413"/>
      <c r="H503" s="349" t="s">
        <v>1216</v>
      </c>
      <c r="I503" s="404" t="str">
        <f t="shared" si="8"/>
        <v>NOT PAID</v>
      </c>
      <c r="J503" s="402"/>
      <c r="K503" s="402"/>
      <c r="L503" s="402"/>
      <c r="M503" s="402"/>
      <c r="N503" s="402"/>
      <c r="O503" s="402"/>
      <c r="P503" s="402"/>
      <c r="Q503" s="402"/>
      <c r="R503" s="402"/>
      <c r="S503" s="402"/>
      <c r="T503" s="402"/>
      <c r="U503" s="402"/>
      <c r="V503" s="402"/>
      <c r="W503" s="402"/>
      <c r="X503" s="402"/>
      <c r="Y503" s="402"/>
      <c r="Z503" s="402"/>
      <c r="AA503" s="405"/>
      <c r="AB503" s="405"/>
    </row>
    <row r="504" ht="14.25" customHeight="1">
      <c r="A504" s="466">
        <v>45506.0</v>
      </c>
      <c r="B504" s="349" t="s">
        <v>1129</v>
      </c>
      <c r="C504" s="349" t="s">
        <v>1130</v>
      </c>
      <c r="D504" s="349" t="s">
        <v>54</v>
      </c>
      <c r="E504" s="349" t="s">
        <v>1127</v>
      </c>
      <c r="F504" s="413">
        <v>682.45</v>
      </c>
      <c r="G504" s="413">
        <v>0.0</v>
      </c>
      <c r="H504" s="349" t="s">
        <v>1217</v>
      </c>
      <c r="I504" s="404" t="str">
        <f t="shared" si="8"/>
        <v>NOT PAID</v>
      </c>
      <c r="J504" s="402"/>
      <c r="K504" s="402"/>
      <c r="L504" s="402"/>
      <c r="M504" s="402"/>
      <c r="N504" s="402"/>
      <c r="O504" s="402"/>
      <c r="P504" s="402"/>
      <c r="Q504" s="402"/>
      <c r="R504" s="402"/>
      <c r="S504" s="402"/>
      <c r="T504" s="402"/>
      <c r="U504" s="402"/>
      <c r="V504" s="402"/>
      <c r="W504" s="402"/>
      <c r="X504" s="402"/>
      <c r="Y504" s="402"/>
      <c r="Z504" s="402"/>
      <c r="AA504" s="405"/>
      <c r="AB504" s="405"/>
    </row>
    <row r="505" ht="14.25" customHeight="1">
      <c r="A505" s="406">
        <v>45506.0</v>
      </c>
      <c r="B505" s="349" t="s">
        <v>731</v>
      </c>
      <c r="C505" s="349" t="s">
        <v>732</v>
      </c>
      <c r="D505" s="349" t="s">
        <v>54</v>
      </c>
      <c r="E505" s="349" t="s">
        <v>1127</v>
      </c>
      <c r="F505" s="413">
        <v>6699.17</v>
      </c>
      <c r="G505" s="413">
        <v>1000.0</v>
      </c>
      <c r="H505" s="349" t="s">
        <v>1132</v>
      </c>
      <c r="I505" s="404" t="str">
        <f t="shared" si="8"/>
        <v>PARTIALLY PAID</v>
      </c>
      <c r="J505" s="402"/>
      <c r="K505" s="402"/>
      <c r="L505" s="402"/>
      <c r="M505" s="402"/>
      <c r="N505" s="402"/>
      <c r="O505" s="402"/>
      <c r="P505" s="402"/>
      <c r="Q505" s="402"/>
      <c r="R505" s="402"/>
      <c r="S505" s="402"/>
      <c r="T505" s="402"/>
      <c r="U505" s="402"/>
      <c r="V505" s="402"/>
      <c r="W505" s="402"/>
      <c r="X505" s="402"/>
      <c r="Y505" s="402"/>
      <c r="Z505" s="402"/>
      <c r="AA505" s="405"/>
      <c r="AB505" s="405"/>
    </row>
    <row r="506" ht="14.25" customHeight="1">
      <c r="A506" s="466">
        <v>45506.0</v>
      </c>
      <c r="B506" s="349" t="s">
        <v>918</v>
      </c>
      <c r="C506" s="349" t="s">
        <v>919</v>
      </c>
      <c r="D506" s="349" t="s">
        <v>54</v>
      </c>
      <c r="E506" s="349" t="s">
        <v>1127</v>
      </c>
      <c r="F506" s="413">
        <v>31090.65</v>
      </c>
      <c r="G506" s="413">
        <v>0.0</v>
      </c>
      <c r="H506" s="349" t="s">
        <v>1218</v>
      </c>
      <c r="I506" s="404" t="str">
        <f t="shared" si="8"/>
        <v>NOT PAID</v>
      </c>
      <c r="J506" s="402"/>
      <c r="K506" s="402"/>
      <c r="L506" s="402"/>
      <c r="M506" s="402"/>
      <c r="N506" s="402"/>
      <c r="O506" s="402"/>
      <c r="P506" s="402"/>
      <c r="Q506" s="402"/>
      <c r="R506" s="402"/>
      <c r="S506" s="402"/>
      <c r="T506" s="402"/>
      <c r="U506" s="402"/>
      <c r="V506" s="402"/>
      <c r="W506" s="402"/>
      <c r="X506" s="402"/>
      <c r="Y506" s="402"/>
      <c r="Z506" s="402"/>
      <c r="AA506" s="405"/>
      <c r="AB506" s="405"/>
    </row>
    <row r="507" ht="14.25" customHeight="1">
      <c r="A507" s="406">
        <v>45506.0</v>
      </c>
      <c r="B507" s="349" t="s">
        <v>877</v>
      </c>
      <c r="C507" s="349" t="s">
        <v>878</v>
      </c>
      <c r="D507" s="349" t="s">
        <v>54</v>
      </c>
      <c r="E507" s="349" t="s">
        <v>1134</v>
      </c>
      <c r="F507" s="413">
        <v>38327.32</v>
      </c>
      <c r="G507" s="413">
        <v>0.0</v>
      </c>
      <c r="H507" s="349" t="s">
        <v>1219</v>
      </c>
      <c r="I507" s="404" t="str">
        <f t="shared" si="8"/>
        <v>NOT PAID</v>
      </c>
      <c r="J507" s="402"/>
      <c r="K507" s="402"/>
      <c r="L507" s="402"/>
      <c r="M507" s="402"/>
      <c r="N507" s="402"/>
      <c r="O507" s="402"/>
      <c r="P507" s="402"/>
      <c r="Q507" s="402"/>
      <c r="R507" s="402"/>
      <c r="S507" s="402"/>
      <c r="T507" s="402"/>
      <c r="U507" s="402"/>
      <c r="V507" s="402"/>
      <c r="W507" s="402"/>
      <c r="X507" s="402"/>
      <c r="Y507" s="402"/>
      <c r="Z507" s="402"/>
      <c r="AA507" s="405"/>
      <c r="AB507" s="405"/>
    </row>
    <row r="508" ht="14.25" customHeight="1">
      <c r="A508" s="466">
        <v>45506.0</v>
      </c>
      <c r="B508" s="349" t="s">
        <v>921</v>
      </c>
      <c r="C508" s="349" t="s">
        <v>922</v>
      </c>
      <c r="D508" s="349" t="s">
        <v>54</v>
      </c>
      <c r="E508" s="349" t="s">
        <v>1134</v>
      </c>
      <c r="F508" s="413">
        <v>30836.75</v>
      </c>
      <c r="G508" s="413">
        <v>30837.0</v>
      </c>
      <c r="H508" s="349" t="s">
        <v>710</v>
      </c>
      <c r="I508" s="404" t="str">
        <f t="shared" si="8"/>
        <v>FULLY PAID</v>
      </c>
      <c r="J508" s="402"/>
      <c r="K508" s="402"/>
      <c r="L508" s="402"/>
      <c r="M508" s="402"/>
      <c r="N508" s="402"/>
      <c r="O508" s="402"/>
      <c r="P508" s="402"/>
      <c r="Q508" s="402"/>
      <c r="R508" s="402"/>
      <c r="S508" s="402"/>
      <c r="T508" s="402"/>
      <c r="U508" s="402"/>
      <c r="V508" s="402"/>
      <c r="W508" s="402"/>
      <c r="X508" s="402"/>
      <c r="Y508" s="402"/>
      <c r="Z508" s="402"/>
      <c r="AA508" s="405"/>
      <c r="AB508" s="405"/>
    </row>
    <row r="509" ht="14.25" customHeight="1">
      <c r="A509" s="406">
        <v>45506.0</v>
      </c>
      <c r="B509" s="349" t="s">
        <v>1137</v>
      </c>
      <c r="C509" s="349" t="s">
        <v>1138</v>
      </c>
      <c r="D509" s="349" t="s">
        <v>54</v>
      </c>
      <c r="E509" s="349" t="s">
        <v>1139</v>
      </c>
      <c r="F509" s="413">
        <v>5721.98</v>
      </c>
      <c r="G509" s="413">
        <v>0.0</v>
      </c>
      <c r="H509" s="349" t="s">
        <v>1220</v>
      </c>
      <c r="I509" s="404" t="str">
        <f t="shared" si="8"/>
        <v>NOT PAID</v>
      </c>
      <c r="J509" s="402"/>
      <c r="K509" s="402"/>
      <c r="L509" s="402"/>
      <c r="M509" s="402"/>
      <c r="N509" s="402"/>
      <c r="O509" s="402"/>
      <c r="P509" s="402"/>
      <c r="Q509" s="402"/>
      <c r="R509" s="402"/>
      <c r="S509" s="402"/>
      <c r="T509" s="402"/>
      <c r="U509" s="402"/>
      <c r="V509" s="402"/>
      <c r="W509" s="402"/>
      <c r="X509" s="402"/>
      <c r="Y509" s="402"/>
      <c r="Z509" s="402"/>
      <c r="AA509" s="405"/>
      <c r="AB509" s="405"/>
    </row>
    <row r="510" ht="14.25" customHeight="1">
      <c r="A510" s="406">
        <v>45506.0</v>
      </c>
      <c r="B510" s="349" t="s">
        <v>1006</v>
      </c>
      <c r="C510" s="349" t="s">
        <v>1007</v>
      </c>
      <c r="D510" s="349" t="s">
        <v>75</v>
      </c>
      <c r="E510" s="349" t="s">
        <v>1139</v>
      </c>
      <c r="F510" s="413">
        <v>181125.0</v>
      </c>
      <c r="G510" s="413">
        <v>0.0</v>
      </c>
      <c r="H510" s="349" t="s">
        <v>1140</v>
      </c>
      <c r="I510" s="404" t="str">
        <f t="shared" si="8"/>
        <v>NOT PAID</v>
      </c>
      <c r="J510" s="402"/>
      <c r="K510" s="402"/>
      <c r="L510" s="402"/>
      <c r="M510" s="402"/>
      <c r="N510" s="402"/>
      <c r="O510" s="402"/>
      <c r="P510" s="402"/>
      <c r="Q510" s="402"/>
      <c r="R510" s="402"/>
      <c r="S510" s="402"/>
      <c r="T510" s="402"/>
      <c r="U510" s="402"/>
      <c r="V510" s="402"/>
      <c r="W510" s="402"/>
      <c r="X510" s="402"/>
      <c r="Y510" s="402"/>
      <c r="Z510" s="402"/>
      <c r="AA510" s="405"/>
      <c r="AB510" s="405"/>
    </row>
    <row r="511" ht="14.25" customHeight="1">
      <c r="A511" s="466">
        <v>45506.0</v>
      </c>
      <c r="B511" s="349" t="s">
        <v>698</v>
      </c>
      <c r="C511" s="349" t="s">
        <v>1167</v>
      </c>
      <c r="D511" s="349" t="s">
        <v>54</v>
      </c>
      <c r="E511" s="349" t="s">
        <v>1168</v>
      </c>
      <c r="F511" s="413">
        <v>13861.16</v>
      </c>
      <c r="G511" s="403"/>
      <c r="H511" s="349" t="s">
        <v>1221</v>
      </c>
      <c r="I511" s="404" t="str">
        <f t="shared" si="8"/>
        <v>NOT PAID</v>
      </c>
      <c r="J511" s="402"/>
      <c r="K511" s="402"/>
      <c r="L511" s="402"/>
      <c r="M511" s="402"/>
      <c r="N511" s="402"/>
      <c r="O511" s="402"/>
      <c r="P511" s="402"/>
      <c r="Q511" s="402"/>
      <c r="R511" s="402"/>
      <c r="S511" s="402"/>
      <c r="T511" s="402"/>
      <c r="U511" s="402"/>
      <c r="V511" s="402"/>
      <c r="W511" s="402"/>
      <c r="X511" s="402"/>
      <c r="Y511" s="402"/>
      <c r="Z511" s="402"/>
      <c r="AA511" s="405"/>
      <c r="AB511" s="405"/>
    </row>
    <row r="512" ht="14.25" customHeight="1">
      <c r="A512" s="406">
        <v>45506.0</v>
      </c>
      <c r="B512" s="349" t="s">
        <v>691</v>
      </c>
      <c r="C512" s="349" t="s">
        <v>692</v>
      </c>
      <c r="D512" s="349" t="s">
        <v>54</v>
      </c>
      <c r="E512" s="349" t="s">
        <v>1168</v>
      </c>
      <c r="F512" s="413">
        <v>3780.0</v>
      </c>
      <c r="G512" s="413">
        <v>3780.0</v>
      </c>
      <c r="H512" s="349" t="s">
        <v>212</v>
      </c>
      <c r="I512" s="404" t="str">
        <f t="shared" si="8"/>
        <v>FULLY PAID</v>
      </c>
      <c r="J512" s="402"/>
      <c r="K512" s="402"/>
      <c r="L512" s="402"/>
      <c r="M512" s="402"/>
      <c r="N512" s="402"/>
      <c r="O512" s="402"/>
      <c r="P512" s="402"/>
      <c r="Q512" s="402"/>
      <c r="R512" s="402"/>
      <c r="S512" s="402"/>
      <c r="T512" s="402"/>
      <c r="U512" s="402"/>
      <c r="V512" s="402"/>
      <c r="W512" s="402"/>
      <c r="X512" s="402"/>
      <c r="Y512" s="402"/>
      <c r="Z512" s="402"/>
      <c r="AA512" s="405"/>
      <c r="AB512" s="405"/>
    </row>
    <row r="513" ht="14.25" customHeight="1">
      <c r="A513" s="466">
        <v>45506.0</v>
      </c>
      <c r="B513" s="349" t="s">
        <v>997</v>
      </c>
      <c r="C513" s="349" t="s">
        <v>998</v>
      </c>
      <c r="D513" s="349" t="s">
        <v>263</v>
      </c>
      <c r="E513" s="349" t="s">
        <v>1168</v>
      </c>
      <c r="F513" s="413">
        <v>81947.25</v>
      </c>
      <c r="G513" s="403"/>
      <c r="H513" s="487" t="s">
        <v>1222</v>
      </c>
      <c r="I513" s="404" t="str">
        <f t="shared" si="8"/>
        <v>NOT PAID</v>
      </c>
      <c r="J513" s="402"/>
      <c r="K513" s="402"/>
      <c r="L513" s="402"/>
      <c r="M513" s="402"/>
      <c r="N513" s="402"/>
      <c r="O513" s="402"/>
      <c r="P513" s="402"/>
      <c r="Q513" s="402"/>
      <c r="R513" s="402"/>
      <c r="S513" s="402"/>
      <c r="T513" s="402"/>
      <c r="U513" s="402"/>
      <c r="V513" s="402"/>
      <c r="W513" s="402"/>
      <c r="X513" s="402"/>
      <c r="Y513" s="402"/>
      <c r="Z513" s="402"/>
      <c r="AA513" s="405"/>
      <c r="AB513" s="405"/>
    </row>
    <row r="514" ht="14.25" customHeight="1">
      <c r="A514" s="406">
        <v>45506.0</v>
      </c>
      <c r="B514" s="343" t="s">
        <v>1223</v>
      </c>
      <c r="C514" s="344" t="s">
        <v>998</v>
      </c>
      <c r="D514" s="344" t="s">
        <v>346</v>
      </c>
      <c r="E514" s="349" t="s">
        <v>1168</v>
      </c>
      <c r="F514" s="452">
        <v>28350.0</v>
      </c>
      <c r="G514" s="403"/>
      <c r="H514" s="487" t="s">
        <v>1224</v>
      </c>
      <c r="I514" s="404" t="str">
        <f t="shared" si="8"/>
        <v>NOT PAID</v>
      </c>
      <c r="J514" s="402"/>
      <c r="K514" s="402"/>
      <c r="L514" s="402"/>
      <c r="M514" s="402"/>
      <c r="N514" s="402"/>
      <c r="O514" s="402"/>
      <c r="P514" s="402"/>
      <c r="Q514" s="402"/>
      <c r="R514" s="402"/>
      <c r="S514" s="402"/>
      <c r="T514" s="402"/>
      <c r="U514" s="402"/>
      <c r="V514" s="402"/>
      <c r="W514" s="402"/>
      <c r="X514" s="402"/>
      <c r="Y514" s="402"/>
      <c r="Z514" s="402"/>
      <c r="AA514" s="405"/>
      <c r="AB514" s="405"/>
    </row>
    <row r="515" ht="14.25" customHeight="1">
      <c r="A515" s="406">
        <v>45506.0</v>
      </c>
      <c r="B515" s="410" t="s">
        <v>1225</v>
      </c>
      <c r="C515" s="411" t="s">
        <v>1226</v>
      </c>
      <c r="D515" s="349" t="s">
        <v>54</v>
      </c>
      <c r="E515" s="349" t="s">
        <v>1168</v>
      </c>
      <c r="F515" s="416">
        <v>31827.0</v>
      </c>
      <c r="G515" s="413">
        <v>31830.0</v>
      </c>
      <c r="H515" s="349" t="s">
        <v>212</v>
      </c>
      <c r="I515" s="404" t="str">
        <f t="shared" si="8"/>
        <v>FULLY PAID</v>
      </c>
      <c r="J515" s="402"/>
      <c r="K515" s="402"/>
      <c r="L515" s="402"/>
      <c r="M515" s="402"/>
      <c r="N515" s="402"/>
      <c r="O515" s="402"/>
      <c r="P515" s="402"/>
      <c r="Q515" s="402"/>
      <c r="R515" s="402"/>
      <c r="S515" s="402"/>
      <c r="T515" s="402"/>
      <c r="U515" s="402"/>
      <c r="V515" s="402"/>
      <c r="W515" s="402"/>
      <c r="X515" s="402"/>
      <c r="Y515" s="402"/>
      <c r="Z515" s="402"/>
      <c r="AA515" s="405"/>
      <c r="AB515" s="405"/>
    </row>
    <row r="516" ht="14.25" customHeight="1">
      <c r="A516" s="406">
        <v>45506.0</v>
      </c>
      <c r="B516" s="349" t="s">
        <v>802</v>
      </c>
      <c r="C516" s="349" t="s">
        <v>803</v>
      </c>
      <c r="D516" s="349" t="s">
        <v>54</v>
      </c>
      <c r="E516" s="349" t="s">
        <v>1173</v>
      </c>
      <c r="F516" s="413">
        <v>1074646.24</v>
      </c>
      <c r="G516" s="403"/>
      <c r="H516" s="402"/>
      <c r="I516" s="404" t="str">
        <f t="shared" si="8"/>
        <v>NOT PAID</v>
      </c>
      <c r="J516" s="402"/>
      <c r="K516" s="402"/>
      <c r="L516" s="402"/>
      <c r="M516" s="402"/>
      <c r="N516" s="402"/>
      <c r="O516" s="402"/>
      <c r="P516" s="402"/>
      <c r="Q516" s="402"/>
      <c r="R516" s="402"/>
      <c r="S516" s="402"/>
      <c r="T516" s="402"/>
      <c r="U516" s="402"/>
      <c r="V516" s="402"/>
      <c r="W516" s="402"/>
      <c r="X516" s="402"/>
      <c r="Y516" s="402"/>
      <c r="Z516" s="402"/>
      <c r="AA516" s="405"/>
      <c r="AB516" s="405"/>
    </row>
    <row r="517" ht="14.25" customHeight="1">
      <c r="A517" s="466">
        <v>45506.0</v>
      </c>
      <c r="B517" s="349" t="s">
        <v>1176</v>
      </c>
      <c r="C517" s="349" t="s">
        <v>1177</v>
      </c>
      <c r="D517" s="349" t="s">
        <v>59</v>
      </c>
      <c r="E517" s="349" t="s">
        <v>1173</v>
      </c>
      <c r="F517" s="413">
        <v>500000.0</v>
      </c>
      <c r="G517" s="403"/>
      <c r="H517" s="402"/>
      <c r="I517" s="404" t="str">
        <f t="shared" si="8"/>
        <v>NOT PAID</v>
      </c>
      <c r="J517" s="402"/>
      <c r="K517" s="402"/>
      <c r="L517" s="402"/>
      <c r="M517" s="402"/>
      <c r="N517" s="402"/>
      <c r="O517" s="402"/>
      <c r="P517" s="402"/>
      <c r="Q517" s="402"/>
      <c r="R517" s="402"/>
      <c r="S517" s="402"/>
      <c r="T517" s="402"/>
      <c r="U517" s="402"/>
      <c r="V517" s="402"/>
      <c r="W517" s="402"/>
      <c r="X517" s="402"/>
      <c r="Y517" s="402"/>
      <c r="Z517" s="402"/>
      <c r="AA517" s="405"/>
      <c r="AB517" s="405"/>
    </row>
    <row r="518" ht="14.25" customHeight="1">
      <c r="A518" s="406">
        <v>45506.0</v>
      </c>
      <c r="B518" s="349" t="s">
        <v>1087</v>
      </c>
      <c r="C518" s="349" t="s">
        <v>1088</v>
      </c>
      <c r="D518" s="349" t="s">
        <v>54</v>
      </c>
      <c r="E518" s="349" t="s">
        <v>1173</v>
      </c>
      <c r="F518" s="413">
        <v>103673.5</v>
      </c>
      <c r="G518" s="413"/>
      <c r="H518" s="402"/>
      <c r="I518" s="404" t="str">
        <f t="shared" si="8"/>
        <v>NOT PAID</v>
      </c>
      <c r="J518" s="402"/>
      <c r="K518" s="402"/>
      <c r="L518" s="402"/>
      <c r="M518" s="402"/>
      <c r="N518" s="402"/>
      <c r="O518" s="402"/>
      <c r="P518" s="402"/>
      <c r="Q518" s="402"/>
      <c r="R518" s="402"/>
      <c r="S518" s="402"/>
      <c r="T518" s="402"/>
      <c r="U518" s="402"/>
      <c r="V518" s="402"/>
      <c r="W518" s="402"/>
      <c r="X518" s="402"/>
      <c r="Y518" s="402"/>
      <c r="Z518" s="402"/>
      <c r="AA518" s="405"/>
      <c r="AB518" s="405"/>
    </row>
    <row r="519" ht="14.25" customHeight="1">
      <c r="A519" s="466">
        <v>45506.0</v>
      </c>
      <c r="B519" s="349" t="s">
        <v>904</v>
      </c>
      <c r="C519" s="349" t="s">
        <v>810</v>
      </c>
      <c r="D519" s="349" t="s">
        <v>75</v>
      </c>
      <c r="E519" s="349" t="s">
        <v>1173</v>
      </c>
      <c r="F519" s="413">
        <v>1155000.0</v>
      </c>
      <c r="G519" s="403"/>
      <c r="H519" s="402"/>
      <c r="I519" s="404" t="str">
        <f t="shared" si="8"/>
        <v>NOT PAID</v>
      </c>
      <c r="J519" s="402"/>
      <c r="K519" s="402"/>
      <c r="L519" s="402"/>
      <c r="M519" s="402"/>
      <c r="N519" s="402"/>
      <c r="O519" s="402"/>
      <c r="P519" s="402"/>
      <c r="Q519" s="402"/>
      <c r="R519" s="402"/>
      <c r="S519" s="402"/>
      <c r="T519" s="402"/>
      <c r="U519" s="402"/>
      <c r="V519" s="402"/>
      <c r="W519" s="402"/>
      <c r="X519" s="402"/>
      <c r="Y519" s="402"/>
      <c r="Z519" s="402"/>
      <c r="AA519" s="405"/>
      <c r="AB519" s="405"/>
    </row>
    <row r="520" ht="14.25" customHeight="1">
      <c r="A520" s="406">
        <v>45506.0</v>
      </c>
      <c r="B520" s="349" t="s">
        <v>1181</v>
      </c>
      <c r="C520" s="349" t="s">
        <v>1182</v>
      </c>
      <c r="D520" s="349" t="s">
        <v>75</v>
      </c>
      <c r="E520" s="349" t="s">
        <v>1173</v>
      </c>
      <c r="F520" s="413">
        <v>700000.0</v>
      </c>
      <c r="G520" s="413"/>
      <c r="H520" s="402"/>
      <c r="I520" s="404" t="str">
        <f t="shared" si="8"/>
        <v>NOT PAID</v>
      </c>
      <c r="J520" s="402"/>
      <c r="K520" s="402"/>
      <c r="L520" s="402"/>
      <c r="M520" s="402"/>
      <c r="N520" s="402"/>
      <c r="O520" s="402"/>
      <c r="P520" s="402"/>
      <c r="Q520" s="402"/>
      <c r="R520" s="402"/>
      <c r="S520" s="402"/>
      <c r="T520" s="402"/>
      <c r="U520" s="402"/>
      <c r="V520" s="402"/>
      <c r="W520" s="402"/>
      <c r="X520" s="402"/>
      <c r="Y520" s="402"/>
      <c r="Z520" s="402"/>
      <c r="AA520" s="405"/>
      <c r="AB520" s="405"/>
    </row>
    <row r="521" ht="14.25" customHeight="1">
      <c r="A521" s="402"/>
      <c r="B521" s="402"/>
      <c r="C521" s="402"/>
      <c r="D521" s="402"/>
      <c r="E521" s="402"/>
      <c r="F521" s="403"/>
      <c r="G521" s="403"/>
      <c r="H521" s="402"/>
      <c r="I521" s="404" t="str">
        <f t="shared" si="8"/>
        <v>FULLY PAID</v>
      </c>
      <c r="J521" s="402"/>
      <c r="K521" s="402"/>
      <c r="L521" s="402"/>
      <c r="M521" s="402"/>
      <c r="N521" s="402"/>
      <c r="O521" s="402"/>
      <c r="P521" s="402"/>
      <c r="Q521" s="402"/>
      <c r="R521" s="402"/>
      <c r="S521" s="402"/>
      <c r="T521" s="402"/>
      <c r="U521" s="402"/>
      <c r="V521" s="402"/>
      <c r="W521" s="402"/>
      <c r="X521" s="402"/>
      <c r="Y521" s="402"/>
      <c r="Z521" s="402"/>
      <c r="AA521" s="405"/>
      <c r="AB521" s="405"/>
    </row>
    <row r="522" ht="14.25" customHeight="1">
      <c r="A522" s="402"/>
      <c r="B522" s="349"/>
      <c r="C522" s="349" t="s">
        <v>797</v>
      </c>
      <c r="D522" s="402"/>
      <c r="E522" s="402"/>
      <c r="F522" s="403"/>
      <c r="G522" s="403"/>
      <c r="H522" s="402"/>
      <c r="I522" s="404" t="str">
        <f t="shared" si="8"/>
        <v>FULLY PAID</v>
      </c>
      <c r="J522" s="402"/>
      <c r="K522" s="402"/>
      <c r="L522" s="402"/>
      <c r="M522" s="402"/>
      <c r="N522" s="402"/>
      <c r="O522" s="402"/>
      <c r="P522" s="402"/>
      <c r="Q522" s="402"/>
      <c r="R522" s="402"/>
      <c r="S522" s="402"/>
      <c r="T522" s="402"/>
      <c r="U522" s="402"/>
      <c r="V522" s="402"/>
      <c r="W522" s="402"/>
      <c r="X522" s="402"/>
      <c r="Y522" s="402"/>
      <c r="Z522" s="402"/>
      <c r="AA522" s="405"/>
      <c r="AB522" s="405"/>
    </row>
    <row r="523" ht="14.25" customHeight="1">
      <c r="A523" s="466">
        <v>45506.0</v>
      </c>
      <c r="B523" s="349" t="s">
        <v>798</v>
      </c>
      <c r="C523" s="349" t="s">
        <v>1032</v>
      </c>
      <c r="D523" s="349" t="s">
        <v>59</v>
      </c>
      <c r="E523" s="349" t="s">
        <v>273</v>
      </c>
      <c r="F523" s="413">
        <v>500000.0</v>
      </c>
      <c r="G523" s="403"/>
      <c r="H523" s="349" t="s">
        <v>1227</v>
      </c>
      <c r="I523" s="404" t="str">
        <f t="shared" si="8"/>
        <v>NOT PAID</v>
      </c>
      <c r="J523" s="402"/>
      <c r="K523" s="402"/>
      <c r="L523" s="402"/>
      <c r="M523" s="402"/>
      <c r="N523" s="402"/>
      <c r="O523" s="402"/>
      <c r="P523" s="402"/>
      <c r="Q523" s="402"/>
      <c r="R523" s="402"/>
      <c r="S523" s="402"/>
      <c r="T523" s="402"/>
      <c r="U523" s="402"/>
      <c r="V523" s="402"/>
      <c r="W523" s="402"/>
      <c r="X523" s="402"/>
      <c r="Y523" s="402"/>
      <c r="Z523" s="402"/>
      <c r="AA523" s="405"/>
      <c r="AB523" s="405"/>
    </row>
    <row r="524" ht="14.25" customHeight="1">
      <c r="A524" s="466">
        <v>45506.0</v>
      </c>
      <c r="B524" s="349" t="s">
        <v>1034</v>
      </c>
      <c r="C524" s="349" t="s">
        <v>1035</v>
      </c>
      <c r="D524" s="349" t="s">
        <v>54</v>
      </c>
      <c r="E524" s="349" t="s">
        <v>1228</v>
      </c>
      <c r="F524" s="413">
        <v>25000.0</v>
      </c>
      <c r="G524" s="403"/>
      <c r="H524" s="349" t="s">
        <v>1229</v>
      </c>
      <c r="I524" s="404" t="str">
        <f t="shared" si="8"/>
        <v>NOT PAID</v>
      </c>
      <c r="J524" s="402"/>
      <c r="K524" s="402"/>
      <c r="L524" s="402"/>
      <c r="M524" s="402"/>
      <c r="N524" s="402"/>
      <c r="O524" s="402"/>
      <c r="P524" s="402"/>
      <c r="Q524" s="402"/>
      <c r="R524" s="402"/>
      <c r="S524" s="402"/>
      <c r="T524" s="402"/>
      <c r="U524" s="402"/>
      <c r="V524" s="402"/>
      <c r="W524" s="402"/>
      <c r="X524" s="402"/>
      <c r="Y524" s="402"/>
      <c r="Z524" s="402"/>
      <c r="AA524" s="405"/>
      <c r="AB524" s="405"/>
    </row>
    <row r="525" ht="14.25" customHeight="1">
      <c r="A525" s="406">
        <v>45506.0</v>
      </c>
      <c r="B525" s="349" t="s">
        <v>886</v>
      </c>
      <c r="C525" s="349" t="s">
        <v>884</v>
      </c>
      <c r="D525" s="349" t="s">
        <v>54</v>
      </c>
      <c r="E525" s="349" t="s">
        <v>273</v>
      </c>
      <c r="F525" s="413">
        <v>100000.0</v>
      </c>
      <c r="G525" s="403"/>
      <c r="H525" s="349" t="s">
        <v>1230</v>
      </c>
      <c r="I525" s="404" t="str">
        <f t="shared" si="8"/>
        <v>NOT PAID</v>
      </c>
      <c r="J525" s="402"/>
      <c r="K525" s="402"/>
      <c r="L525" s="402"/>
      <c r="M525" s="402"/>
      <c r="N525" s="402"/>
      <c r="O525" s="402"/>
      <c r="P525" s="402"/>
      <c r="Q525" s="402"/>
      <c r="R525" s="402"/>
      <c r="S525" s="402"/>
      <c r="T525" s="402"/>
      <c r="U525" s="402"/>
      <c r="V525" s="402"/>
      <c r="W525" s="402"/>
      <c r="X525" s="402"/>
      <c r="Y525" s="402"/>
      <c r="Z525" s="402"/>
      <c r="AA525" s="405"/>
      <c r="AB525" s="405"/>
    </row>
    <row r="526" ht="14.25" customHeight="1">
      <c r="A526" s="466">
        <v>45506.0</v>
      </c>
      <c r="B526" s="349" t="s">
        <v>254</v>
      </c>
      <c r="C526" s="349" t="s">
        <v>255</v>
      </c>
      <c r="D526" s="349" t="s">
        <v>54</v>
      </c>
      <c r="E526" s="349" t="s">
        <v>273</v>
      </c>
      <c r="F526" s="413">
        <v>600000.0</v>
      </c>
      <c r="G526" s="403"/>
      <c r="H526" s="349" t="s">
        <v>1231</v>
      </c>
      <c r="I526" s="404" t="str">
        <f t="shared" si="8"/>
        <v>NOT PAID</v>
      </c>
      <c r="J526" s="402"/>
      <c r="K526" s="402"/>
      <c r="L526" s="402"/>
      <c r="M526" s="402"/>
      <c r="N526" s="402"/>
      <c r="O526" s="402"/>
      <c r="P526" s="402"/>
      <c r="Q526" s="402"/>
      <c r="R526" s="402"/>
      <c r="S526" s="402"/>
      <c r="T526" s="402"/>
      <c r="U526" s="402"/>
      <c r="V526" s="402"/>
      <c r="W526" s="402"/>
      <c r="X526" s="402"/>
      <c r="Y526" s="402"/>
      <c r="Z526" s="402"/>
      <c r="AA526" s="405"/>
      <c r="AB526" s="405"/>
    </row>
    <row r="527" ht="14.25" customHeight="1">
      <c r="A527" s="406">
        <v>45506.0</v>
      </c>
      <c r="B527" s="349" t="s">
        <v>800</v>
      </c>
      <c r="C527" s="349" t="s">
        <v>937</v>
      </c>
      <c r="D527" s="349" t="s">
        <v>54</v>
      </c>
      <c r="E527" s="349" t="s">
        <v>1228</v>
      </c>
      <c r="F527" s="413">
        <v>20000.0</v>
      </c>
      <c r="G527" s="403"/>
      <c r="H527" s="349" t="s">
        <v>1232</v>
      </c>
      <c r="I527" s="404" t="str">
        <f t="shared" si="8"/>
        <v>NOT PAID</v>
      </c>
      <c r="J527" s="402"/>
      <c r="K527" s="402"/>
      <c r="L527" s="402"/>
      <c r="M527" s="402"/>
      <c r="N527" s="402"/>
      <c r="O527" s="402"/>
      <c r="P527" s="402"/>
      <c r="Q527" s="402"/>
      <c r="R527" s="402"/>
      <c r="S527" s="402"/>
      <c r="T527" s="402"/>
      <c r="U527" s="402"/>
      <c r="V527" s="402"/>
      <c r="W527" s="402"/>
      <c r="X527" s="402"/>
      <c r="Y527" s="402"/>
      <c r="Z527" s="402"/>
      <c r="AA527" s="405"/>
      <c r="AB527" s="405"/>
    </row>
    <row r="528" ht="14.25" customHeight="1">
      <c r="A528" s="466">
        <v>45506.0</v>
      </c>
      <c r="B528" s="349" t="s">
        <v>846</v>
      </c>
      <c r="C528" s="349" t="s">
        <v>1233</v>
      </c>
      <c r="D528" s="349" t="s">
        <v>54</v>
      </c>
      <c r="E528" s="349" t="s">
        <v>1228</v>
      </c>
      <c r="F528" s="413">
        <v>700000.0</v>
      </c>
      <c r="G528" s="403"/>
      <c r="H528" s="349" t="s">
        <v>1234</v>
      </c>
      <c r="I528" s="404" t="str">
        <f t="shared" si="8"/>
        <v>NOT PAID</v>
      </c>
      <c r="J528" s="402"/>
      <c r="K528" s="402"/>
      <c r="L528" s="402"/>
      <c r="M528" s="402"/>
      <c r="N528" s="402"/>
      <c r="O528" s="402"/>
      <c r="P528" s="402"/>
      <c r="Q528" s="402"/>
      <c r="R528" s="402"/>
      <c r="S528" s="402"/>
      <c r="T528" s="402"/>
      <c r="U528" s="402"/>
      <c r="V528" s="402"/>
      <c r="W528" s="402"/>
      <c r="X528" s="402"/>
      <c r="Y528" s="402"/>
      <c r="Z528" s="402"/>
      <c r="AA528" s="405"/>
      <c r="AB528" s="405"/>
    </row>
    <row r="529" ht="14.25" customHeight="1">
      <c r="A529" s="406">
        <v>45506.0</v>
      </c>
      <c r="B529" s="349" t="s">
        <v>1235</v>
      </c>
      <c r="C529" s="349" t="s">
        <v>1236</v>
      </c>
      <c r="D529" s="349" t="s">
        <v>54</v>
      </c>
      <c r="E529" s="349" t="s">
        <v>1228</v>
      </c>
      <c r="F529" s="413">
        <v>200000.0</v>
      </c>
      <c r="G529" s="403"/>
      <c r="H529" s="349" t="s">
        <v>1237</v>
      </c>
      <c r="I529" s="404" t="str">
        <f t="shared" si="8"/>
        <v>NOT PAID</v>
      </c>
      <c r="J529" s="402"/>
      <c r="K529" s="402"/>
      <c r="L529" s="402"/>
      <c r="M529" s="402"/>
      <c r="N529" s="402"/>
      <c r="O529" s="402"/>
      <c r="P529" s="402"/>
      <c r="Q529" s="402"/>
      <c r="R529" s="402"/>
      <c r="S529" s="402"/>
      <c r="T529" s="402"/>
      <c r="U529" s="402"/>
      <c r="V529" s="402"/>
      <c r="W529" s="402"/>
      <c r="X529" s="402"/>
      <c r="Y529" s="402"/>
      <c r="Z529" s="402"/>
      <c r="AA529" s="405"/>
      <c r="AB529" s="405"/>
    </row>
    <row r="530" ht="14.25" customHeight="1">
      <c r="A530" s="402"/>
      <c r="B530" s="402"/>
      <c r="C530" s="402"/>
      <c r="D530" s="402"/>
      <c r="E530" s="402"/>
      <c r="F530" s="403"/>
      <c r="G530" s="403"/>
      <c r="H530" s="402"/>
      <c r="I530" s="404" t="str">
        <f t="shared" si="8"/>
        <v>FULLY PAID</v>
      </c>
      <c r="J530" s="402"/>
      <c r="K530" s="402"/>
      <c r="L530" s="402"/>
      <c r="M530" s="402"/>
      <c r="N530" s="402"/>
      <c r="O530" s="402"/>
      <c r="P530" s="402"/>
      <c r="Q530" s="402"/>
      <c r="R530" s="402"/>
      <c r="S530" s="402"/>
      <c r="T530" s="402"/>
      <c r="U530" s="402"/>
      <c r="V530" s="402"/>
      <c r="W530" s="402"/>
      <c r="X530" s="402"/>
      <c r="Y530" s="402"/>
      <c r="Z530" s="402"/>
      <c r="AA530" s="405"/>
      <c r="AB530" s="405"/>
    </row>
    <row r="531" ht="14.25" customHeight="1">
      <c r="A531" s="402"/>
      <c r="B531" s="402"/>
      <c r="C531" s="402"/>
      <c r="D531" s="402"/>
      <c r="E531" s="402"/>
      <c r="F531" s="403"/>
      <c r="G531" s="403"/>
      <c r="H531" s="402"/>
      <c r="I531" s="404" t="str">
        <f t="shared" si="8"/>
        <v>FULLY PAID</v>
      </c>
      <c r="J531" s="402"/>
      <c r="K531" s="402"/>
      <c r="L531" s="402"/>
      <c r="M531" s="402"/>
      <c r="N531" s="402"/>
      <c r="O531" s="402"/>
      <c r="P531" s="402"/>
      <c r="Q531" s="402"/>
      <c r="R531" s="402"/>
      <c r="S531" s="402"/>
      <c r="T531" s="402"/>
      <c r="U531" s="402"/>
      <c r="V531" s="402"/>
      <c r="W531" s="402"/>
      <c r="X531" s="402"/>
      <c r="Y531" s="402"/>
      <c r="Z531" s="402"/>
      <c r="AA531" s="405"/>
      <c r="AB531" s="405"/>
    </row>
    <row r="532" ht="14.25" customHeight="1">
      <c r="A532" s="402"/>
      <c r="B532" s="402"/>
      <c r="C532" s="402"/>
      <c r="D532" s="402"/>
      <c r="E532" s="402"/>
      <c r="F532" s="403"/>
      <c r="G532" s="403"/>
      <c r="H532" s="402"/>
      <c r="I532" s="404" t="str">
        <f t="shared" si="8"/>
        <v>FULLY PAID</v>
      </c>
      <c r="J532" s="402"/>
      <c r="K532" s="402"/>
      <c r="L532" s="402"/>
      <c r="M532" s="402"/>
      <c r="N532" s="402"/>
      <c r="O532" s="402"/>
      <c r="P532" s="402"/>
      <c r="Q532" s="402"/>
      <c r="R532" s="402"/>
      <c r="S532" s="402"/>
      <c r="T532" s="402"/>
      <c r="U532" s="402"/>
      <c r="V532" s="402"/>
      <c r="W532" s="402"/>
      <c r="X532" s="402"/>
      <c r="Y532" s="402"/>
      <c r="Z532" s="402"/>
      <c r="AA532" s="405"/>
      <c r="AB532" s="405"/>
    </row>
    <row r="533" ht="14.25" customHeight="1">
      <c r="A533" s="402"/>
      <c r="B533" s="488">
        <v>45359.0</v>
      </c>
      <c r="C533" s="402"/>
      <c r="D533" s="402"/>
      <c r="E533" s="402"/>
      <c r="F533" s="403"/>
      <c r="G533" s="403"/>
      <c r="H533" s="402"/>
      <c r="I533" s="404" t="str">
        <f t="shared" si="8"/>
        <v>FULLY PAID</v>
      </c>
      <c r="J533" s="402"/>
      <c r="K533" s="402"/>
      <c r="L533" s="402"/>
      <c r="M533" s="402"/>
      <c r="N533" s="402"/>
      <c r="O533" s="402"/>
      <c r="P533" s="402"/>
      <c r="Q533" s="402"/>
      <c r="R533" s="402"/>
      <c r="S533" s="402"/>
      <c r="T533" s="402"/>
      <c r="U533" s="402"/>
      <c r="V533" s="402"/>
      <c r="W533" s="402"/>
      <c r="X533" s="402"/>
      <c r="Y533" s="402"/>
      <c r="Z533" s="402"/>
      <c r="AA533" s="405"/>
      <c r="AB533" s="405"/>
    </row>
    <row r="534" ht="14.25" hidden="1" customHeight="1">
      <c r="A534" s="406">
        <v>45507.0</v>
      </c>
      <c r="B534" s="349" t="s">
        <v>742</v>
      </c>
      <c r="C534" s="349" t="s">
        <v>743</v>
      </c>
      <c r="D534" s="349" t="s">
        <v>54</v>
      </c>
      <c r="E534" s="349" t="s">
        <v>1153</v>
      </c>
      <c r="F534" s="413">
        <v>93837.23</v>
      </c>
      <c r="G534" s="403"/>
      <c r="H534" s="402"/>
      <c r="I534" s="404" t="str">
        <f t="shared" si="8"/>
        <v>NOT PAID</v>
      </c>
      <c r="J534" s="402"/>
      <c r="K534" s="402"/>
      <c r="L534" s="402"/>
      <c r="M534" s="402"/>
      <c r="N534" s="402"/>
      <c r="O534" s="402"/>
      <c r="P534" s="402"/>
      <c r="Q534" s="402"/>
      <c r="R534" s="402"/>
      <c r="S534" s="402"/>
      <c r="T534" s="402"/>
      <c r="U534" s="402"/>
      <c r="V534" s="402"/>
      <c r="W534" s="402"/>
      <c r="X534" s="402"/>
      <c r="Y534" s="402"/>
      <c r="Z534" s="402"/>
      <c r="AA534" s="405"/>
      <c r="AB534" s="405"/>
    </row>
    <row r="535" hidden="1">
      <c r="A535" s="406">
        <v>45507.0</v>
      </c>
      <c r="B535" s="349" t="s">
        <v>1155</v>
      </c>
      <c r="C535" s="349" t="s">
        <v>1156</v>
      </c>
      <c r="D535" s="349" t="s">
        <v>54</v>
      </c>
      <c r="E535" s="349" t="s">
        <v>1153</v>
      </c>
      <c r="F535" s="413">
        <v>268238.3</v>
      </c>
      <c r="G535" s="403"/>
      <c r="H535" s="402"/>
      <c r="I535" s="404" t="str">
        <f t="shared" si="8"/>
        <v>NOT PAID</v>
      </c>
      <c r="J535" s="402"/>
      <c r="K535" s="402"/>
      <c r="L535" s="402"/>
      <c r="M535" s="402"/>
      <c r="N535" s="402"/>
      <c r="O535" s="402"/>
      <c r="P535" s="402"/>
      <c r="Q535" s="402"/>
      <c r="R535" s="402"/>
      <c r="S535" s="402"/>
      <c r="T535" s="402"/>
      <c r="U535" s="402"/>
      <c r="V535" s="402"/>
      <c r="W535" s="402"/>
      <c r="X535" s="402"/>
      <c r="Y535" s="402"/>
      <c r="Z535" s="402"/>
      <c r="AA535" s="405"/>
      <c r="AB535" s="405"/>
    </row>
    <row r="536" ht="14.25" hidden="1" customHeight="1">
      <c r="A536" s="406">
        <v>45507.0</v>
      </c>
      <c r="B536" s="349" t="s">
        <v>960</v>
      </c>
      <c r="C536" s="349" t="s">
        <v>961</v>
      </c>
      <c r="D536" s="349" t="s">
        <v>54</v>
      </c>
      <c r="E536" s="349" t="s">
        <v>1153</v>
      </c>
      <c r="F536" s="413">
        <v>99093.57</v>
      </c>
      <c r="G536" s="403"/>
      <c r="H536" s="402"/>
      <c r="I536" s="404" t="str">
        <f t="shared" si="8"/>
        <v>NOT PAID</v>
      </c>
      <c r="J536" s="402"/>
      <c r="K536" s="402"/>
      <c r="L536" s="402"/>
      <c r="M536" s="402"/>
      <c r="N536" s="402"/>
      <c r="O536" s="402"/>
      <c r="P536" s="402"/>
      <c r="Q536" s="402"/>
      <c r="R536" s="402"/>
      <c r="S536" s="402"/>
      <c r="T536" s="402"/>
      <c r="U536" s="402"/>
      <c r="V536" s="402"/>
      <c r="W536" s="402"/>
      <c r="X536" s="402"/>
      <c r="Y536" s="402"/>
      <c r="Z536" s="402"/>
      <c r="AA536" s="405"/>
      <c r="AB536" s="405"/>
    </row>
    <row r="537" ht="14.25" customHeight="1">
      <c r="A537" s="406">
        <v>45507.0</v>
      </c>
      <c r="B537" s="349" t="s">
        <v>738</v>
      </c>
      <c r="C537" s="349" t="s">
        <v>739</v>
      </c>
      <c r="D537" s="349" t="s">
        <v>54</v>
      </c>
      <c r="E537" s="349" t="s">
        <v>1153</v>
      </c>
      <c r="F537" s="413">
        <v>70422.67</v>
      </c>
      <c r="G537" s="403"/>
      <c r="H537" s="349" t="s">
        <v>1238</v>
      </c>
      <c r="I537" s="404" t="str">
        <f t="shared" si="8"/>
        <v>NOT PAID</v>
      </c>
      <c r="J537" s="402"/>
      <c r="K537" s="402"/>
      <c r="L537" s="402"/>
      <c r="M537" s="402"/>
      <c r="N537" s="402"/>
      <c r="O537" s="402"/>
      <c r="P537" s="402"/>
      <c r="Q537" s="402"/>
      <c r="R537" s="402"/>
      <c r="S537" s="402"/>
      <c r="T537" s="402"/>
      <c r="U537" s="402"/>
      <c r="V537" s="402"/>
      <c r="W537" s="402"/>
      <c r="X537" s="402"/>
      <c r="Y537" s="402"/>
      <c r="Z537" s="402"/>
      <c r="AA537" s="405"/>
      <c r="AB537" s="405"/>
    </row>
    <row r="538" ht="14.25" customHeight="1">
      <c r="A538" s="406">
        <v>45507.0</v>
      </c>
      <c r="B538" s="349" t="s">
        <v>746</v>
      </c>
      <c r="C538" s="349" t="s">
        <v>747</v>
      </c>
      <c r="D538" s="349" t="s">
        <v>54</v>
      </c>
      <c r="E538" s="349" t="s">
        <v>1153</v>
      </c>
      <c r="F538" s="413">
        <v>973.0</v>
      </c>
      <c r="G538" s="413">
        <v>1000.0</v>
      </c>
      <c r="H538" s="402"/>
      <c r="I538" s="404" t="str">
        <f t="shared" si="8"/>
        <v>FULLY PAID</v>
      </c>
      <c r="J538" s="402"/>
      <c r="K538" s="402"/>
      <c r="L538" s="402"/>
      <c r="M538" s="402"/>
      <c r="N538" s="402"/>
      <c r="O538" s="402"/>
      <c r="P538" s="402"/>
      <c r="Q538" s="402"/>
      <c r="R538" s="402"/>
      <c r="S538" s="402"/>
      <c r="T538" s="402"/>
      <c r="U538" s="402"/>
      <c r="V538" s="402"/>
      <c r="W538" s="402"/>
      <c r="X538" s="402"/>
      <c r="Y538" s="402"/>
      <c r="Z538" s="402"/>
      <c r="AA538" s="405"/>
      <c r="AB538" s="405"/>
    </row>
    <row r="539" ht="14.25" customHeight="1">
      <c r="A539" s="406">
        <v>45507.0</v>
      </c>
      <c r="B539" s="349" t="s">
        <v>754</v>
      </c>
      <c r="C539" s="349" t="s">
        <v>755</v>
      </c>
      <c r="D539" s="349" t="s">
        <v>59</v>
      </c>
      <c r="E539" s="349" t="s">
        <v>1153</v>
      </c>
      <c r="F539" s="413">
        <v>132321.7</v>
      </c>
      <c r="G539" s="413">
        <v>150000.0</v>
      </c>
      <c r="H539" s="402"/>
      <c r="I539" s="404" t="str">
        <f t="shared" si="8"/>
        <v>FULLY PAID</v>
      </c>
      <c r="J539" s="402"/>
      <c r="K539" s="402"/>
      <c r="L539" s="402"/>
      <c r="M539" s="402"/>
      <c r="N539" s="402"/>
      <c r="O539" s="402"/>
      <c r="P539" s="402"/>
      <c r="Q539" s="402"/>
      <c r="R539" s="402"/>
      <c r="S539" s="402"/>
      <c r="T539" s="402"/>
      <c r="U539" s="402"/>
      <c r="V539" s="402"/>
      <c r="W539" s="402"/>
      <c r="X539" s="402"/>
      <c r="Y539" s="402"/>
      <c r="Z539" s="402"/>
      <c r="AA539" s="405"/>
      <c r="AB539" s="405"/>
    </row>
    <row r="540" ht="14.25" customHeight="1">
      <c r="A540" s="406">
        <v>45507.0</v>
      </c>
      <c r="B540" s="407" t="s">
        <v>1239</v>
      </c>
      <c r="C540" s="408" t="s">
        <v>869</v>
      </c>
      <c r="D540" s="408" t="s">
        <v>54</v>
      </c>
      <c r="E540" s="349" t="s">
        <v>1153</v>
      </c>
      <c r="F540" s="413">
        <v>653786.0</v>
      </c>
      <c r="G540" s="413">
        <v>653786.0</v>
      </c>
      <c r="H540" s="349" t="s">
        <v>155</v>
      </c>
      <c r="I540" s="404" t="str">
        <f t="shared" si="8"/>
        <v>FULLY PAID</v>
      </c>
      <c r="J540" s="402"/>
      <c r="K540" s="402"/>
      <c r="L540" s="402"/>
      <c r="M540" s="402"/>
      <c r="N540" s="402"/>
      <c r="O540" s="402"/>
      <c r="P540" s="402"/>
      <c r="Q540" s="402"/>
      <c r="R540" s="402"/>
      <c r="S540" s="402"/>
      <c r="T540" s="402"/>
      <c r="U540" s="402"/>
      <c r="V540" s="402"/>
      <c r="W540" s="402"/>
      <c r="X540" s="402"/>
      <c r="Y540" s="402"/>
      <c r="Z540" s="402"/>
      <c r="AA540" s="405"/>
      <c r="AB540" s="405"/>
    </row>
    <row r="541" ht="14.25" customHeight="1">
      <c r="A541" s="406">
        <v>45507.0</v>
      </c>
      <c r="B541" s="349" t="s">
        <v>1096</v>
      </c>
      <c r="C541" s="349" t="s">
        <v>1097</v>
      </c>
      <c r="D541" s="349" t="s">
        <v>54</v>
      </c>
      <c r="E541" s="349" t="s">
        <v>1098</v>
      </c>
      <c r="F541" s="413">
        <v>24202.8</v>
      </c>
      <c r="G541" s="403"/>
      <c r="H541" s="402"/>
      <c r="I541" s="404" t="str">
        <f t="shared" si="8"/>
        <v>NOT PAID</v>
      </c>
      <c r="J541" s="402"/>
      <c r="K541" s="402"/>
      <c r="L541" s="402"/>
      <c r="M541" s="402"/>
      <c r="N541" s="402"/>
      <c r="O541" s="402"/>
      <c r="P541" s="402"/>
      <c r="Q541" s="402"/>
      <c r="R541" s="402"/>
      <c r="S541" s="402"/>
      <c r="T541" s="402"/>
      <c r="U541" s="402"/>
      <c r="V541" s="402"/>
      <c r="W541" s="402"/>
      <c r="X541" s="402"/>
      <c r="Y541" s="402"/>
      <c r="Z541" s="402"/>
      <c r="AA541" s="405"/>
      <c r="AB541" s="405"/>
    </row>
    <row r="542" ht="14.25" customHeight="1">
      <c r="A542" s="406">
        <v>45507.0</v>
      </c>
      <c r="B542" s="349" t="s">
        <v>723</v>
      </c>
      <c r="C542" s="349" t="s">
        <v>724</v>
      </c>
      <c r="D542" s="349" t="s">
        <v>54</v>
      </c>
      <c r="E542" s="349" t="s">
        <v>1098</v>
      </c>
      <c r="F542" s="413">
        <v>7735.49</v>
      </c>
      <c r="G542" s="403"/>
      <c r="H542" s="402"/>
      <c r="I542" s="404" t="str">
        <f t="shared" si="8"/>
        <v>NOT PAID</v>
      </c>
      <c r="J542" s="402"/>
      <c r="K542" s="402"/>
      <c r="L542" s="402"/>
      <c r="M542" s="402"/>
      <c r="N542" s="402"/>
      <c r="O542" s="402"/>
      <c r="P542" s="402"/>
      <c r="Q542" s="402"/>
      <c r="R542" s="402"/>
      <c r="S542" s="402"/>
      <c r="T542" s="402"/>
      <c r="U542" s="402"/>
      <c r="V542" s="402"/>
      <c r="W542" s="402"/>
      <c r="X542" s="402"/>
      <c r="Y542" s="402"/>
      <c r="Z542" s="402"/>
      <c r="AA542" s="405"/>
      <c r="AB542" s="405"/>
    </row>
    <row r="543" ht="14.25" customHeight="1">
      <c r="A543" s="406">
        <v>45507.0</v>
      </c>
      <c r="B543" s="349" t="s">
        <v>777</v>
      </c>
      <c r="C543" s="349" t="s">
        <v>778</v>
      </c>
      <c r="D543" s="349" t="s">
        <v>54</v>
      </c>
      <c r="E543" s="349" t="s">
        <v>1098</v>
      </c>
      <c r="F543" s="413">
        <v>24000.0</v>
      </c>
      <c r="G543" s="413"/>
      <c r="H543" s="402"/>
      <c r="I543" s="404" t="str">
        <f t="shared" si="8"/>
        <v>NOT PAID</v>
      </c>
      <c r="J543" s="402"/>
      <c r="K543" s="402"/>
      <c r="L543" s="402"/>
      <c r="M543" s="402"/>
      <c r="N543" s="402"/>
      <c r="O543" s="402"/>
      <c r="P543" s="402"/>
      <c r="Q543" s="402"/>
      <c r="R543" s="402"/>
      <c r="S543" s="402"/>
      <c r="T543" s="402"/>
      <c r="U543" s="402"/>
      <c r="V543" s="402"/>
      <c r="W543" s="402"/>
      <c r="X543" s="402"/>
      <c r="Y543" s="402"/>
      <c r="Z543" s="402"/>
      <c r="AA543" s="405"/>
      <c r="AB543" s="405"/>
    </row>
    <row r="544" ht="14.25" customHeight="1">
      <c r="A544" s="406">
        <v>45507.0</v>
      </c>
      <c r="B544" s="349" t="s">
        <v>841</v>
      </c>
      <c r="C544" s="349" t="s">
        <v>842</v>
      </c>
      <c r="D544" s="349" t="s">
        <v>54</v>
      </c>
      <c r="E544" s="349" t="s">
        <v>1098</v>
      </c>
      <c r="F544" s="413">
        <v>11249.07</v>
      </c>
      <c r="G544" s="403"/>
      <c r="H544" s="402"/>
      <c r="I544" s="404" t="str">
        <f t="shared" si="8"/>
        <v>NOT PAID</v>
      </c>
      <c r="J544" s="402"/>
      <c r="K544" s="402"/>
      <c r="L544" s="402"/>
      <c r="M544" s="402"/>
      <c r="N544" s="402"/>
      <c r="O544" s="402"/>
      <c r="P544" s="402"/>
      <c r="Q544" s="402"/>
      <c r="R544" s="402"/>
      <c r="S544" s="402"/>
      <c r="T544" s="402"/>
      <c r="U544" s="402"/>
      <c r="V544" s="402"/>
      <c r="W544" s="402"/>
      <c r="X544" s="402"/>
      <c r="Y544" s="402"/>
      <c r="Z544" s="402"/>
      <c r="AA544" s="405"/>
      <c r="AB544" s="405"/>
    </row>
    <row r="545" ht="14.25" customHeight="1">
      <c r="A545" s="406">
        <v>45507.0</v>
      </c>
      <c r="B545" s="349" t="s">
        <v>807</v>
      </c>
      <c r="C545" s="349" t="s">
        <v>808</v>
      </c>
      <c r="D545" s="349" t="s">
        <v>54</v>
      </c>
      <c r="E545" s="349" t="s">
        <v>1098</v>
      </c>
      <c r="F545" s="413">
        <v>1674.75</v>
      </c>
      <c r="G545" s="403"/>
      <c r="H545" s="402"/>
      <c r="I545" s="404" t="str">
        <f t="shared" si="8"/>
        <v>NOT PAID</v>
      </c>
      <c r="J545" s="402"/>
      <c r="K545" s="402"/>
      <c r="L545" s="402"/>
      <c r="M545" s="402"/>
      <c r="N545" s="402"/>
      <c r="O545" s="402"/>
      <c r="P545" s="402"/>
      <c r="Q545" s="402"/>
      <c r="R545" s="402"/>
      <c r="S545" s="402"/>
      <c r="T545" s="402"/>
      <c r="U545" s="402"/>
      <c r="V545" s="402"/>
      <c r="W545" s="402"/>
      <c r="X545" s="402"/>
      <c r="Y545" s="402"/>
      <c r="Z545" s="402"/>
      <c r="AA545" s="405"/>
      <c r="AB545" s="405"/>
    </row>
    <row r="546" ht="14.25" customHeight="1">
      <c r="A546" s="406">
        <v>45507.0</v>
      </c>
      <c r="B546" s="349" t="s">
        <v>1107</v>
      </c>
      <c r="C546" s="349" t="s">
        <v>1108</v>
      </c>
      <c r="D546" s="349" t="s">
        <v>54</v>
      </c>
      <c r="E546" s="349" t="s">
        <v>1098</v>
      </c>
      <c r="F546" s="413">
        <v>13412.56</v>
      </c>
      <c r="G546" s="403"/>
      <c r="H546" s="402"/>
      <c r="I546" s="404" t="str">
        <f t="shared" si="8"/>
        <v>NOT PAID</v>
      </c>
      <c r="J546" s="402"/>
      <c r="K546" s="402"/>
      <c r="L546" s="402"/>
      <c r="M546" s="402"/>
      <c r="N546" s="402"/>
      <c r="O546" s="402"/>
      <c r="P546" s="402"/>
      <c r="Q546" s="402"/>
      <c r="R546" s="402"/>
      <c r="S546" s="402"/>
      <c r="T546" s="402"/>
      <c r="U546" s="402"/>
      <c r="V546" s="402"/>
      <c r="W546" s="402"/>
      <c r="X546" s="402"/>
      <c r="Y546" s="402"/>
      <c r="Z546" s="402"/>
      <c r="AA546" s="405"/>
      <c r="AB546" s="405"/>
    </row>
    <row r="547" ht="14.25" customHeight="1">
      <c r="A547" s="406">
        <v>45507.0</v>
      </c>
      <c r="B547" s="349" t="s">
        <v>705</v>
      </c>
      <c r="C547" s="349" t="s">
        <v>1110</v>
      </c>
      <c r="D547" s="349" t="s">
        <v>54</v>
      </c>
      <c r="E547" s="349" t="s">
        <v>1098</v>
      </c>
      <c r="F547" s="413">
        <v>6709.6</v>
      </c>
      <c r="G547" s="403"/>
      <c r="H547" s="349" t="s">
        <v>806</v>
      </c>
      <c r="I547" s="404" t="str">
        <f t="shared" si="8"/>
        <v>NOT PAID</v>
      </c>
      <c r="J547" s="402"/>
      <c r="K547" s="402"/>
      <c r="L547" s="402"/>
      <c r="M547" s="402"/>
      <c r="N547" s="402"/>
      <c r="O547" s="402"/>
      <c r="P547" s="402"/>
      <c r="Q547" s="402"/>
      <c r="R547" s="402"/>
      <c r="S547" s="402"/>
      <c r="T547" s="402"/>
      <c r="U547" s="402"/>
      <c r="V547" s="402"/>
      <c r="W547" s="402"/>
      <c r="X547" s="402"/>
      <c r="Y547" s="402"/>
      <c r="Z547" s="402"/>
      <c r="AA547" s="405"/>
      <c r="AB547" s="405"/>
    </row>
    <row r="548" ht="14.25" customHeight="1">
      <c r="A548" s="406">
        <v>45507.0</v>
      </c>
      <c r="B548" s="349" t="s">
        <v>711</v>
      </c>
      <c r="C548" s="349" t="s">
        <v>1123</v>
      </c>
      <c r="D548" s="349" t="s">
        <v>75</v>
      </c>
      <c r="E548" s="349" t="s">
        <v>1098</v>
      </c>
      <c r="F548" s="413">
        <v>66556.61</v>
      </c>
      <c r="G548" s="403"/>
      <c r="H548" s="349" t="s">
        <v>1240</v>
      </c>
      <c r="I548" s="404" t="str">
        <f t="shared" si="8"/>
        <v>NOT PAID</v>
      </c>
      <c r="J548" s="402"/>
      <c r="K548" s="402"/>
      <c r="L548" s="402"/>
      <c r="M548" s="402"/>
      <c r="N548" s="402"/>
      <c r="O548" s="402"/>
      <c r="P548" s="402"/>
      <c r="Q548" s="402"/>
      <c r="R548" s="402"/>
      <c r="S548" s="402"/>
      <c r="T548" s="402"/>
      <c r="U548" s="402"/>
      <c r="V548" s="402"/>
      <c r="W548" s="402"/>
      <c r="X548" s="402"/>
      <c r="Y548" s="402"/>
      <c r="Z548" s="402"/>
      <c r="AA548" s="405"/>
      <c r="AB548" s="405"/>
    </row>
    <row r="549" ht="14.25" customHeight="1">
      <c r="A549" s="406">
        <v>45507.0</v>
      </c>
      <c r="B549" s="349" t="s">
        <v>701</v>
      </c>
      <c r="C549" s="349" t="s">
        <v>702</v>
      </c>
      <c r="D549" s="349" t="s">
        <v>54</v>
      </c>
      <c r="E549" s="349" t="s">
        <v>1098</v>
      </c>
      <c r="F549" s="413">
        <v>17124.66</v>
      </c>
      <c r="G549" s="403"/>
      <c r="H549" s="349" t="s">
        <v>1198</v>
      </c>
      <c r="I549" s="404" t="str">
        <f t="shared" si="8"/>
        <v>NOT PAID</v>
      </c>
      <c r="J549" s="402"/>
      <c r="K549" s="402"/>
      <c r="L549" s="402"/>
      <c r="M549" s="402"/>
      <c r="N549" s="402"/>
      <c r="O549" s="402"/>
      <c r="P549" s="402"/>
      <c r="Q549" s="402"/>
      <c r="R549" s="402"/>
      <c r="S549" s="402"/>
      <c r="T549" s="402"/>
      <c r="U549" s="402"/>
      <c r="V549" s="402"/>
      <c r="W549" s="402"/>
      <c r="X549" s="402"/>
      <c r="Y549" s="402"/>
      <c r="Z549" s="402"/>
      <c r="AA549" s="405"/>
      <c r="AB549" s="405"/>
    </row>
    <row r="550" ht="14.25" customHeight="1">
      <c r="A550" s="406">
        <v>45507.0</v>
      </c>
      <c r="B550" s="349" t="s">
        <v>1113</v>
      </c>
      <c r="C550" s="349" t="s">
        <v>1114</v>
      </c>
      <c r="D550" s="349" t="s">
        <v>1115</v>
      </c>
      <c r="E550" s="349" t="s">
        <v>1098</v>
      </c>
      <c r="F550" s="413">
        <v>170000.0</v>
      </c>
      <c r="G550" s="403"/>
      <c r="H550" s="349" t="s">
        <v>1241</v>
      </c>
      <c r="I550" s="404" t="str">
        <f t="shared" si="8"/>
        <v>NOT PAID</v>
      </c>
      <c r="J550" s="402"/>
      <c r="K550" s="402"/>
      <c r="L550" s="402"/>
      <c r="M550" s="402"/>
      <c r="N550" s="402"/>
      <c r="O550" s="402"/>
      <c r="P550" s="402"/>
      <c r="Q550" s="402"/>
      <c r="R550" s="402"/>
      <c r="S550" s="402"/>
      <c r="T550" s="402"/>
      <c r="U550" s="402"/>
      <c r="V550" s="402"/>
      <c r="W550" s="402"/>
      <c r="X550" s="402"/>
      <c r="Y550" s="402"/>
      <c r="Z550" s="402"/>
      <c r="AA550" s="405"/>
      <c r="AB550" s="405"/>
    </row>
    <row r="551" ht="14.25" customHeight="1">
      <c r="A551" s="406">
        <v>45507.0</v>
      </c>
      <c r="B551" s="349" t="s">
        <v>1117</v>
      </c>
      <c r="C551" s="349" t="s">
        <v>1114</v>
      </c>
      <c r="D551" s="349" t="s">
        <v>1115</v>
      </c>
      <c r="E551" s="349" t="s">
        <v>1098</v>
      </c>
      <c r="F551" s="413">
        <v>170000.0</v>
      </c>
      <c r="G551" s="403"/>
      <c r="H551" s="349" t="s">
        <v>1241</v>
      </c>
      <c r="I551" s="404" t="str">
        <f t="shared" si="8"/>
        <v>NOT PAID</v>
      </c>
      <c r="J551" s="402"/>
      <c r="K551" s="402"/>
      <c r="L551" s="402"/>
      <c r="M551" s="402"/>
      <c r="N551" s="402"/>
      <c r="O551" s="402"/>
      <c r="P551" s="402"/>
      <c r="Q551" s="402"/>
      <c r="R551" s="402"/>
      <c r="S551" s="402"/>
      <c r="T551" s="402"/>
      <c r="U551" s="402"/>
      <c r="V551" s="402"/>
      <c r="W551" s="402"/>
      <c r="X551" s="402"/>
      <c r="Y551" s="402"/>
      <c r="Z551" s="402"/>
      <c r="AA551" s="405"/>
      <c r="AB551" s="405"/>
    </row>
    <row r="552" ht="14.25" customHeight="1">
      <c r="A552" s="406">
        <v>45507.0</v>
      </c>
      <c r="B552" s="349" t="s">
        <v>1046</v>
      </c>
      <c r="C552" s="349" t="s">
        <v>1145</v>
      </c>
      <c r="D552" s="349" t="s">
        <v>54</v>
      </c>
      <c r="E552" s="349" t="s">
        <v>1143</v>
      </c>
      <c r="F552" s="413">
        <v>12600.0</v>
      </c>
      <c r="G552" s="413"/>
      <c r="H552" s="349" t="s">
        <v>1205</v>
      </c>
      <c r="I552" s="404" t="str">
        <f t="shared" si="8"/>
        <v>NOT PAID</v>
      </c>
      <c r="J552" s="402"/>
      <c r="K552" s="402"/>
      <c r="L552" s="402"/>
      <c r="M552" s="402"/>
      <c r="N552" s="402"/>
      <c r="O552" s="402"/>
      <c r="P552" s="402"/>
      <c r="Q552" s="402"/>
      <c r="R552" s="402"/>
      <c r="S552" s="402"/>
      <c r="T552" s="402"/>
      <c r="U552" s="402"/>
      <c r="V552" s="402"/>
      <c r="W552" s="402"/>
      <c r="X552" s="402"/>
      <c r="Y552" s="402"/>
      <c r="Z552" s="402"/>
      <c r="AA552" s="405"/>
      <c r="AB552" s="405"/>
    </row>
    <row r="553" ht="14.25" customHeight="1">
      <c r="A553" s="406">
        <v>45507.0</v>
      </c>
      <c r="B553" s="417" t="s">
        <v>764</v>
      </c>
      <c r="C553" s="408" t="s">
        <v>765</v>
      </c>
      <c r="D553" s="418" t="s">
        <v>54</v>
      </c>
      <c r="E553" s="418" t="s">
        <v>1143</v>
      </c>
      <c r="F553" s="445">
        <v>20880.0</v>
      </c>
      <c r="G553" s="413">
        <v>0.0</v>
      </c>
      <c r="H553" s="349" t="s">
        <v>1144</v>
      </c>
      <c r="I553" s="404" t="str">
        <f t="shared" si="8"/>
        <v>NOT PAID</v>
      </c>
      <c r="J553" s="402"/>
      <c r="K553" s="402"/>
      <c r="L553" s="402"/>
      <c r="M553" s="402"/>
      <c r="N553" s="402"/>
      <c r="O553" s="402"/>
      <c r="P553" s="402"/>
      <c r="Q553" s="402"/>
      <c r="R553" s="402"/>
      <c r="S553" s="402"/>
      <c r="T553" s="402"/>
      <c r="U553" s="402"/>
      <c r="V553" s="402"/>
      <c r="W553" s="402"/>
      <c r="X553" s="402"/>
      <c r="Y553" s="402"/>
      <c r="Z553" s="402"/>
      <c r="AA553" s="405"/>
      <c r="AB553" s="405"/>
    </row>
    <row r="554" ht="14.25" customHeight="1">
      <c r="A554" s="406">
        <v>45507.0</v>
      </c>
      <c r="B554" s="343" t="s">
        <v>781</v>
      </c>
      <c r="C554" s="344" t="s">
        <v>782</v>
      </c>
      <c r="D554" s="344" t="s">
        <v>54</v>
      </c>
      <c r="E554" s="344" t="s">
        <v>1143</v>
      </c>
      <c r="F554" s="442">
        <v>12829.5</v>
      </c>
      <c r="G554" s="413">
        <v>0.0</v>
      </c>
      <c r="H554" s="349" t="s">
        <v>1144</v>
      </c>
      <c r="I554" s="404" t="str">
        <f t="shared" si="8"/>
        <v>NOT PAID</v>
      </c>
      <c r="J554" s="402"/>
      <c r="K554" s="402"/>
      <c r="L554" s="402"/>
      <c r="M554" s="402"/>
      <c r="N554" s="402"/>
      <c r="O554" s="402"/>
      <c r="P554" s="402"/>
      <c r="Q554" s="402"/>
      <c r="R554" s="402"/>
      <c r="S554" s="402"/>
      <c r="T554" s="402"/>
      <c r="U554" s="402"/>
      <c r="V554" s="402"/>
      <c r="W554" s="402"/>
      <c r="X554" s="402"/>
      <c r="Y554" s="402"/>
      <c r="Z554" s="402"/>
      <c r="AA554" s="405"/>
      <c r="AB554" s="405"/>
    </row>
    <row r="555" ht="14.25" customHeight="1">
      <c r="A555" s="406">
        <v>45507.0</v>
      </c>
      <c r="B555" s="343" t="s">
        <v>788</v>
      </c>
      <c r="C555" s="344" t="s">
        <v>789</v>
      </c>
      <c r="D555" s="344" t="s">
        <v>54</v>
      </c>
      <c r="E555" s="344" t="s">
        <v>1143</v>
      </c>
      <c r="F555" s="430">
        <v>89593.8</v>
      </c>
      <c r="G555" s="413">
        <v>0.0</v>
      </c>
      <c r="H555" s="349" t="s">
        <v>1242</v>
      </c>
      <c r="I555" s="404" t="str">
        <f t="shared" si="8"/>
        <v>NOT PAID</v>
      </c>
      <c r="J555" s="402"/>
      <c r="K555" s="402"/>
      <c r="L555" s="402"/>
      <c r="M555" s="402"/>
      <c r="N555" s="402"/>
      <c r="O555" s="402"/>
      <c r="P555" s="402"/>
      <c r="Q555" s="402"/>
      <c r="R555" s="402"/>
      <c r="S555" s="402"/>
      <c r="T555" s="402"/>
      <c r="U555" s="402"/>
      <c r="V555" s="402"/>
      <c r="W555" s="402"/>
      <c r="X555" s="402"/>
      <c r="Y555" s="402"/>
      <c r="Z555" s="402"/>
      <c r="AA555" s="405"/>
      <c r="AB555" s="405"/>
    </row>
    <row r="556" ht="14.25" customHeight="1">
      <c r="A556" s="406">
        <v>45507.0</v>
      </c>
      <c r="B556" s="343" t="s">
        <v>915</v>
      </c>
      <c r="C556" s="344" t="s">
        <v>916</v>
      </c>
      <c r="D556" s="344" t="s">
        <v>54</v>
      </c>
      <c r="E556" s="344" t="s">
        <v>1143</v>
      </c>
      <c r="F556" s="442">
        <v>26000.0</v>
      </c>
      <c r="G556" s="442">
        <v>0.0</v>
      </c>
      <c r="H556" s="349" t="s">
        <v>401</v>
      </c>
      <c r="I556" s="404" t="str">
        <f t="shared" si="8"/>
        <v>NOT PAID</v>
      </c>
      <c r="J556" s="402"/>
      <c r="K556" s="402"/>
      <c r="L556" s="402"/>
      <c r="M556" s="402"/>
      <c r="N556" s="402"/>
      <c r="O556" s="402"/>
      <c r="P556" s="402"/>
      <c r="Q556" s="402"/>
      <c r="R556" s="402"/>
      <c r="S556" s="402"/>
      <c r="T556" s="402"/>
      <c r="U556" s="402"/>
      <c r="V556" s="402"/>
      <c r="W556" s="402"/>
      <c r="X556" s="402"/>
      <c r="Y556" s="402"/>
      <c r="Z556" s="402"/>
      <c r="AA556" s="405"/>
      <c r="AB556" s="405"/>
    </row>
    <row r="557" ht="14.25" customHeight="1">
      <c r="A557" s="406">
        <v>45507.0</v>
      </c>
      <c r="B557" s="343" t="s">
        <v>1012</v>
      </c>
      <c r="C557" s="344" t="s">
        <v>1013</v>
      </c>
      <c r="D557" s="344" t="s">
        <v>75</v>
      </c>
      <c r="E557" s="344" t="s">
        <v>1143</v>
      </c>
      <c r="F557" s="430">
        <v>260725.0</v>
      </c>
      <c r="G557" s="413">
        <v>20000.0</v>
      </c>
      <c r="H557" s="349" t="s">
        <v>1039</v>
      </c>
      <c r="I557" s="404" t="str">
        <f t="shared" si="8"/>
        <v>PARTIALLY PAID</v>
      </c>
      <c r="J557" s="402"/>
      <c r="K557" s="402"/>
      <c r="L557" s="402"/>
      <c r="M557" s="402"/>
      <c r="N557" s="402"/>
      <c r="O557" s="402"/>
      <c r="P557" s="402"/>
      <c r="Q557" s="402"/>
      <c r="R557" s="402"/>
      <c r="S557" s="402"/>
      <c r="T557" s="402"/>
      <c r="U557" s="402"/>
      <c r="V557" s="402"/>
      <c r="W557" s="402"/>
      <c r="X557" s="402"/>
      <c r="Y557" s="402"/>
      <c r="Z557" s="402"/>
      <c r="AA557" s="405"/>
      <c r="AB557" s="405"/>
    </row>
    <row r="558" ht="14.25" customHeight="1">
      <c r="A558" s="406">
        <v>45507.0</v>
      </c>
      <c r="B558" s="407" t="s">
        <v>1243</v>
      </c>
      <c r="C558" s="408" t="s">
        <v>1244</v>
      </c>
      <c r="D558" s="408" t="s">
        <v>75</v>
      </c>
      <c r="E558" s="344" t="s">
        <v>1143</v>
      </c>
      <c r="F558" s="489">
        <v>345000.0</v>
      </c>
      <c r="G558" s="489">
        <v>345000.0</v>
      </c>
      <c r="H558" s="349" t="s">
        <v>1205</v>
      </c>
      <c r="I558" s="404" t="str">
        <f t="shared" si="8"/>
        <v>FULLY PAID</v>
      </c>
      <c r="J558" s="402"/>
      <c r="K558" s="402"/>
      <c r="L558" s="402"/>
      <c r="M558" s="402"/>
      <c r="N558" s="402"/>
      <c r="O558" s="402"/>
      <c r="P558" s="402"/>
      <c r="Q558" s="402"/>
      <c r="R558" s="402"/>
      <c r="S558" s="402"/>
      <c r="T558" s="402"/>
      <c r="U558" s="402"/>
      <c r="V558" s="402"/>
      <c r="W558" s="402"/>
      <c r="X558" s="402"/>
      <c r="Y558" s="402"/>
      <c r="Z558" s="402"/>
      <c r="AA558" s="405"/>
      <c r="AB558" s="405"/>
    </row>
    <row r="559" ht="14.25" customHeight="1">
      <c r="A559" s="406">
        <v>45507.0</v>
      </c>
      <c r="B559" s="349" t="s">
        <v>1129</v>
      </c>
      <c r="C559" s="349" t="s">
        <v>1130</v>
      </c>
      <c r="D559" s="349" t="s">
        <v>54</v>
      </c>
      <c r="E559" s="349" t="s">
        <v>1127</v>
      </c>
      <c r="F559" s="413">
        <v>682.45</v>
      </c>
      <c r="G559" s="413"/>
      <c r="H559" s="349" t="s">
        <v>1245</v>
      </c>
      <c r="I559" s="404" t="str">
        <f t="shared" si="8"/>
        <v>NOT PAID</v>
      </c>
      <c r="J559" s="402"/>
      <c r="K559" s="402"/>
      <c r="L559" s="402"/>
      <c r="M559" s="402"/>
      <c r="N559" s="402"/>
      <c r="O559" s="402"/>
      <c r="P559" s="402"/>
      <c r="Q559" s="402"/>
      <c r="R559" s="402"/>
      <c r="S559" s="402"/>
      <c r="T559" s="402"/>
      <c r="U559" s="402"/>
      <c r="V559" s="402"/>
      <c r="W559" s="402"/>
      <c r="X559" s="402"/>
      <c r="Y559" s="402"/>
      <c r="Z559" s="402"/>
      <c r="AA559" s="405"/>
      <c r="AB559" s="405"/>
    </row>
    <row r="560" ht="14.25" customHeight="1">
      <c r="A560" s="406">
        <v>45507.0</v>
      </c>
      <c r="B560" s="349" t="s">
        <v>731</v>
      </c>
      <c r="C560" s="349" t="s">
        <v>732</v>
      </c>
      <c r="D560" s="349" t="s">
        <v>54</v>
      </c>
      <c r="E560" s="349" t="s">
        <v>1127</v>
      </c>
      <c r="F560" s="413">
        <v>5699.17</v>
      </c>
      <c r="G560" s="413">
        <v>1000.0</v>
      </c>
      <c r="H560" s="349" t="s">
        <v>1246</v>
      </c>
      <c r="I560" s="404" t="str">
        <f t="shared" si="8"/>
        <v>PARTIALLY PAID</v>
      </c>
      <c r="J560" s="402"/>
      <c r="K560" s="402"/>
      <c r="L560" s="402"/>
      <c r="M560" s="402"/>
      <c r="N560" s="402"/>
      <c r="O560" s="402"/>
      <c r="P560" s="402"/>
      <c r="Q560" s="402"/>
      <c r="R560" s="402"/>
      <c r="S560" s="402"/>
      <c r="T560" s="402"/>
      <c r="U560" s="402"/>
      <c r="V560" s="402"/>
      <c r="W560" s="402"/>
      <c r="X560" s="402"/>
      <c r="Y560" s="402"/>
      <c r="Z560" s="402"/>
      <c r="AA560" s="405"/>
      <c r="AB560" s="405"/>
    </row>
    <row r="561" ht="14.25" customHeight="1">
      <c r="A561" s="406">
        <v>45507.0</v>
      </c>
      <c r="B561" s="349" t="s">
        <v>918</v>
      </c>
      <c r="C561" s="349" t="s">
        <v>919</v>
      </c>
      <c r="D561" s="349" t="s">
        <v>54</v>
      </c>
      <c r="E561" s="349" t="s">
        <v>1127</v>
      </c>
      <c r="F561" s="413">
        <v>31090.65</v>
      </c>
      <c r="G561" s="413">
        <v>0.0</v>
      </c>
      <c r="H561" s="349" t="s">
        <v>1247</v>
      </c>
      <c r="I561" s="404" t="str">
        <f t="shared" si="8"/>
        <v>NOT PAID</v>
      </c>
      <c r="J561" s="402"/>
      <c r="K561" s="402"/>
      <c r="L561" s="402"/>
      <c r="M561" s="402"/>
      <c r="N561" s="402"/>
      <c r="O561" s="402"/>
      <c r="P561" s="402"/>
      <c r="Q561" s="402"/>
      <c r="R561" s="402"/>
      <c r="S561" s="402"/>
      <c r="T561" s="402"/>
      <c r="U561" s="402"/>
      <c r="V561" s="402"/>
      <c r="W561" s="402"/>
      <c r="X561" s="402"/>
      <c r="Y561" s="402"/>
      <c r="Z561" s="402"/>
      <c r="AA561" s="405"/>
      <c r="AB561" s="405"/>
    </row>
    <row r="562" ht="14.25" customHeight="1">
      <c r="A562" s="406">
        <v>45507.0</v>
      </c>
      <c r="B562" s="349" t="s">
        <v>877</v>
      </c>
      <c r="C562" s="349" t="s">
        <v>878</v>
      </c>
      <c r="D562" s="349" t="s">
        <v>54</v>
      </c>
      <c r="E562" s="349" t="s">
        <v>1134</v>
      </c>
      <c r="F562" s="413">
        <v>38327.32</v>
      </c>
      <c r="G562" s="413">
        <v>0.0</v>
      </c>
      <c r="H562" s="490" t="s">
        <v>1248</v>
      </c>
      <c r="I562" s="404" t="str">
        <f t="shared" si="8"/>
        <v>NOT PAID</v>
      </c>
      <c r="J562" s="402"/>
      <c r="K562" s="402"/>
      <c r="L562" s="402"/>
      <c r="M562" s="402"/>
      <c r="N562" s="402"/>
      <c r="O562" s="402"/>
      <c r="P562" s="402"/>
      <c r="Q562" s="402"/>
      <c r="R562" s="402"/>
      <c r="S562" s="402"/>
      <c r="T562" s="402"/>
      <c r="U562" s="402"/>
      <c r="V562" s="402"/>
      <c r="W562" s="402"/>
      <c r="X562" s="402"/>
      <c r="Y562" s="402"/>
      <c r="Z562" s="402"/>
      <c r="AA562" s="405"/>
      <c r="AB562" s="405"/>
    </row>
    <row r="563" ht="14.25" customHeight="1">
      <c r="A563" s="406">
        <v>45507.0</v>
      </c>
      <c r="B563" s="349" t="s">
        <v>1137</v>
      </c>
      <c r="C563" s="349" t="s">
        <v>1138</v>
      </c>
      <c r="D563" s="349" t="s">
        <v>54</v>
      </c>
      <c r="E563" s="349" t="s">
        <v>1139</v>
      </c>
      <c r="F563" s="413">
        <v>5721.98</v>
      </c>
      <c r="G563" s="413">
        <v>0.0</v>
      </c>
      <c r="H563" s="349" t="s">
        <v>1249</v>
      </c>
      <c r="I563" s="404" t="str">
        <f t="shared" si="8"/>
        <v>NOT PAID</v>
      </c>
      <c r="J563" s="402"/>
      <c r="K563" s="402"/>
      <c r="L563" s="402"/>
      <c r="M563" s="402"/>
      <c r="N563" s="402"/>
      <c r="O563" s="402"/>
      <c r="P563" s="402"/>
      <c r="Q563" s="402"/>
      <c r="R563" s="402"/>
      <c r="S563" s="402"/>
      <c r="T563" s="402"/>
      <c r="U563" s="402"/>
      <c r="V563" s="402"/>
      <c r="W563" s="402"/>
      <c r="X563" s="402"/>
      <c r="Y563" s="402"/>
      <c r="Z563" s="402"/>
      <c r="AA563" s="405"/>
      <c r="AB563" s="405"/>
    </row>
    <row r="564" ht="14.25" customHeight="1">
      <c r="A564" s="406">
        <v>45507.0</v>
      </c>
      <c r="B564" s="349" t="s">
        <v>1006</v>
      </c>
      <c r="C564" s="349" t="s">
        <v>1007</v>
      </c>
      <c r="D564" s="349" t="s">
        <v>75</v>
      </c>
      <c r="E564" s="349" t="s">
        <v>1139</v>
      </c>
      <c r="F564" s="413">
        <v>181125.0</v>
      </c>
      <c r="G564" s="413">
        <v>0.0</v>
      </c>
      <c r="H564" s="349" t="s">
        <v>1250</v>
      </c>
      <c r="I564" s="404" t="str">
        <f t="shared" si="8"/>
        <v>NOT PAID</v>
      </c>
      <c r="J564" s="402"/>
      <c r="K564" s="402"/>
      <c r="L564" s="402"/>
      <c r="M564" s="402"/>
      <c r="N564" s="402"/>
      <c r="O564" s="402"/>
      <c r="P564" s="402"/>
      <c r="Q564" s="402"/>
      <c r="R564" s="402"/>
      <c r="S564" s="402"/>
      <c r="T564" s="402"/>
      <c r="U564" s="402"/>
      <c r="V564" s="402"/>
      <c r="W564" s="402"/>
      <c r="X564" s="402"/>
      <c r="Y564" s="402"/>
      <c r="Z564" s="402"/>
      <c r="AA564" s="405"/>
      <c r="AB564" s="405"/>
    </row>
    <row r="565" ht="14.25" customHeight="1">
      <c r="A565" s="406">
        <v>45507.0</v>
      </c>
      <c r="B565" s="349" t="s">
        <v>783</v>
      </c>
      <c r="C565" s="349" t="s">
        <v>784</v>
      </c>
      <c r="D565" s="349" t="s">
        <v>54</v>
      </c>
      <c r="E565" s="349" t="s">
        <v>1139</v>
      </c>
      <c r="F565" s="413">
        <v>27715.83</v>
      </c>
      <c r="G565" s="413">
        <v>0.0</v>
      </c>
      <c r="H565" s="349" t="s">
        <v>1251</v>
      </c>
      <c r="I565" s="404" t="str">
        <f t="shared" si="8"/>
        <v>NOT PAID</v>
      </c>
      <c r="J565" s="402"/>
      <c r="K565" s="402"/>
      <c r="L565" s="402"/>
      <c r="M565" s="402"/>
      <c r="N565" s="402"/>
      <c r="O565" s="402"/>
      <c r="P565" s="402"/>
      <c r="Q565" s="402"/>
      <c r="R565" s="402"/>
      <c r="S565" s="402"/>
      <c r="T565" s="402"/>
      <c r="U565" s="402"/>
      <c r="V565" s="402"/>
      <c r="W565" s="402"/>
      <c r="X565" s="402"/>
      <c r="Y565" s="402"/>
      <c r="Z565" s="402"/>
      <c r="AA565" s="405"/>
      <c r="AB565" s="405"/>
    </row>
    <row r="566" ht="14.25" customHeight="1">
      <c r="A566" s="406">
        <v>45507.0</v>
      </c>
      <c r="B566" s="349" t="s">
        <v>698</v>
      </c>
      <c r="C566" s="349" t="s">
        <v>1167</v>
      </c>
      <c r="D566" s="349" t="s">
        <v>54</v>
      </c>
      <c r="E566" s="349" t="s">
        <v>1168</v>
      </c>
      <c r="F566" s="413">
        <v>13861.16</v>
      </c>
      <c r="G566" s="403"/>
      <c r="H566" s="349" t="s">
        <v>1252</v>
      </c>
      <c r="I566" s="404" t="str">
        <f t="shared" si="8"/>
        <v>NOT PAID</v>
      </c>
      <c r="J566" s="402"/>
      <c r="K566" s="402"/>
      <c r="L566" s="402"/>
      <c r="M566" s="402"/>
      <c r="N566" s="402"/>
      <c r="O566" s="402"/>
      <c r="P566" s="402"/>
      <c r="Q566" s="402"/>
      <c r="R566" s="402"/>
      <c r="S566" s="402"/>
      <c r="T566" s="402"/>
      <c r="U566" s="402"/>
      <c r="V566" s="402"/>
      <c r="W566" s="402"/>
      <c r="X566" s="402"/>
      <c r="Y566" s="402"/>
      <c r="Z566" s="402"/>
      <c r="AA566" s="405"/>
      <c r="AB566" s="405"/>
    </row>
    <row r="567" ht="14.25" customHeight="1">
      <c r="A567" s="406">
        <v>45507.0</v>
      </c>
      <c r="B567" s="349" t="s">
        <v>997</v>
      </c>
      <c r="C567" s="349" t="s">
        <v>998</v>
      </c>
      <c r="D567" s="349" t="s">
        <v>263</v>
      </c>
      <c r="E567" s="349" t="s">
        <v>1168</v>
      </c>
      <c r="F567" s="413">
        <v>81947.25</v>
      </c>
      <c r="G567" s="403"/>
      <c r="H567" s="349" t="s">
        <v>1253</v>
      </c>
      <c r="I567" s="404" t="str">
        <f t="shared" si="8"/>
        <v>NOT PAID</v>
      </c>
      <c r="J567" s="402"/>
      <c r="K567" s="402"/>
      <c r="L567" s="402"/>
      <c r="M567" s="402"/>
      <c r="N567" s="402"/>
      <c r="O567" s="402"/>
      <c r="P567" s="402"/>
      <c r="Q567" s="402"/>
      <c r="R567" s="402"/>
      <c r="S567" s="402"/>
      <c r="T567" s="402"/>
      <c r="U567" s="402"/>
      <c r="V567" s="402"/>
      <c r="W567" s="402"/>
      <c r="X567" s="402"/>
      <c r="Y567" s="402"/>
      <c r="Z567" s="402"/>
      <c r="AA567" s="405"/>
      <c r="AB567" s="405"/>
    </row>
    <row r="568" ht="14.25" customHeight="1">
      <c r="A568" s="406">
        <v>45507.0</v>
      </c>
      <c r="B568" s="343" t="s">
        <v>1223</v>
      </c>
      <c r="C568" s="344" t="s">
        <v>998</v>
      </c>
      <c r="D568" s="344" t="s">
        <v>346</v>
      </c>
      <c r="E568" s="349" t="s">
        <v>1168</v>
      </c>
      <c r="F568" s="452">
        <v>28350.0</v>
      </c>
      <c r="G568" s="403"/>
      <c r="H568" s="349" t="s">
        <v>1254</v>
      </c>
      <c r="I568" s="404" t="str">
        <f t="shared" si="8"/>
        <v>NOT PAID</v>
      </c>
      <c r="J568" s="402"/>
      <c r="K568" s="402"/>
      <c r="L568" s="402"/>
      <c r="M568" s="402"/>
      <c r="N568" s="402"/>
      <c r="O568" s="402"/>
      <c r="P568" s="402"/>
      <c r="Q568" s="402"/>
      <c r="R568" s="402"/>
      <c r="S568" s="402"/>
      <c r="T568" s="402"/>
      <c r="U568" s="402"/>
      <c r="V568" s="402"/>
      <c r="W568" s="402"/>
      <c r="X568" s="402"/>
      <c r="Y568" s="402"/>
      <c r="Z568" s="402"/>
      <c r="AA568" s="405"/>
      <c r="AB568" s="405"/>
    </row>
    <row r="569" ht="14.25" customHeight="1">
      <c r="A569" s="406">
        <v>45507.0</v>
      </c>
      <c r="B569" s="349" t="s">
        <v>802</v>
      </c>
      <c r="C569" s="349" t="s">
        <v>803</v>
      </c>
      <c r="D569" s="349" t="s">
        <v>54</v>
      </c>
      <c r="E569" s="349" t="s">
        <v>1173</v>
      </c>
      <c r="F569" s="413">
        <v>1074646.24</v>
      </c>
      <c r="G569" s="403"/>
      <c r="H569" s="349"/>
      <c r="I569" s="404" t="str">
        <f t="shared" si="8"/>
        <v>NOT PAID</v>
      </c>
      <c r="J569" s="402"/>
      <c r="K569" s="402"/>
      <c r="L569" s="402"/>
      <c r="M569" s="402"/>
      <c r="N569" s="402"/>
      <c r="O569" s="402"/>
      <c r="P569" s="402"/>
      <c r="Q569" s="402"/>
      <c r="R569" s="402"/>
      <c r="S569" s="402"/>
      <c r="T569" s="402"/>
      <c r="U569" s="402"/>
      <c r="V569" s="402"/>
      <c r="W569" s="402"/>
      <c r="X569" s="402"/>
      <c r="Y569" s="402"/>
      <c r="Z569" s="402"/>
      <c r="AA569" s="405"/>
      <c r="AB569" s="405"/>
    </row>
    <row r="570" ht="14.25" customHeight="1">
      <c r="A570" s="406">
        <v>45507.0</v>
      </c>
      <c r="B570" s="349" t="s">
        <v>1176</v>
      </c>
      <c r="C570" s="349" t="s">
        <v>1177</v>
      </c>
      <c r="D570" s="349" t="s">
        <v>59</v>
      </c>
      <c r="E570" s="349" t="s">
        <v>1173</v>
      </c>
      <c r="F570" s="413">
        <v>500000.0</v>
      </c>
      <c r="G570" s="403"/>
      <c r="H570" s="402"/>
      <c r="I570" s="404" t="str">
        <f t="shared" si="8"/>
        <v>NOT PAID</v>
      </c>
      <c r="J570" s="402"/>
      <c r="K570" s="402"/>
      <c r="L570" s="402"/>
      <c r="M570" s="402"/>
      <c r="N570" s="402"/>
      <c r="O570" s="402"/>
      <c r="P570" s="402"/>
      <c r="Q570" s="402"/>
      <c r="R570" s="402"/>
      <c r="S570" s="402"/>
      <c r="T570" s="402"/>
      <c r="U570" s="402"/>
      <c r="V570" s="402"/>
      <c r="W570" s="402"/>
      <c r="X570" s="402"/>
      <c r="Y570" s="402"/>
      <c r="Z570" s="402"/>
      <c r="AA570" s="405"/>
      <c r="AB570" s="405"/>
    </row>
    <row r="571" ht="14.25" customHeight="1">
      <c r="A571" s="406">
        <v>45507.0</v>
      </c>
      <c r="B571" s="349" t="s">
        <v>1087</v>
      </c>
      <c r="C571" s="349" t="s">
        <v>1088</v>
      </c>
      <c r="D571" s="349" t="s">
        <v>54</v>
      </c>
      <c r="E571" s="349" t="s">
        <v>1173</v>
      </c>
      <c r="F571" s="413">
        <v>103673.5</v>
      </c>
      <c r="G571" s="413"/>
      <c r="H571" s="402"/>
      <c r="I571" s="404" t="str">
        <f t="shared" si="8"/>
        <v>NOT PAID</v>
      </c>
      <c r="J571" s="402"/>
      <c r="K571" s="402"/>
      <c r="L571" s="402"/>
      <c r="M571" s="402"/>
      <c r="N571" s="402"/>
      <c r="O571" s="402"/>
      <c r="P571" s="402"/>
      <c r="Q571" s="402"/>
      <c r="R571" s="402"/>
      <c r="S571" s="402"/>
      <c r="T571" s="402"/>
      <c r="U571" s="402"/>
      <c r="V571" s="402"/>
      <c r="W571" s="402"/>
      <c r="X571" s="402"/>
      <c r="Y571" s="402"/>
      <c r="Z571" s="402"/>
      <c r="AA571" s="405"/>
      <c r="AB571" s="405"/>
    </row>
    <row r="572" ht="14.25" customHeight="1">
      <c r="A572" s="406">
        <v>45507.0</v>
      </c>
      <c r="B572" s="349" t="s">
        <v>904</v>
      </c>
      <c r="C572" s="349" t="s">
        <v>810</v>
      </c>
      <c r="D572" s="349" t="s">
        <v>75</v>
      </c>
      <c r="E572" s="349" t="s">
        <v>1173</v>
      </c>
      <c r="F572" s="413">
        <v>1155000.0</v>
      </c>
      <c r="G572" s="403"/>
      <c r="H572" s="402"/>
      <c r="I572" s="404" t="str">
        <f t="shared" si="8"/>
        <v>NOT PAID</v>
      </c>
      <c r="J572" s="402"/>
      <c r="K572" s="402"/>
      <c r="L572" s="402"/>
      <c r="M572" s="402"/>
      <c r="N572" s="402"/>
      <c r="O572" s="402"/>
      <c r="P572" s="402"/>
      <c r="Q572" s="402"/>
      <c r="R572" s="402"/>
      <c r="S572" s="402"/>
      <c r="T572" s="402"/>
      <c r="U572" s="402"/>
      <c r="V572" s="402"/>
      <c r="W572" s="402"/>
      <c r="X572" s="402"/>
      <c r="Y572" s="402"/>
      <c r="Z572" s="402"/>
      <c r="AA572" s="405"/>
      <c r="AB572" s="405"/>
    </row>
    <row r="573" ht="14.25" customHeight="1">
      <c r="A573" s="406">
        <v>45507.0</v>
      </c>
      <c r="B573" s="349" t="s">
        <v>1181</v>
      </c>
      <c r="C573" s="349" t="s">
        <v>1182</v>
      </c>
      <c r="D573" s="349" t="s">
        <v>75</v>
      </c>
      <c r="E573" s="349" t="s">
        <v>1173</v>
      </c>
      <c r="F573" s="413">
        <v>700000.0</v>
      </c>
      <c r="G573" s="413"/>
      <c r="H573" s="402"/>
      <c r="I573" s="404" t="str">
        <f t="shared" si="8"/>
        <v>NOT PAID</v>
      </c>
      <c r="J573" s="402"/>
      <c r="K573" s="402"/>
      <c r="L573" s="402"/>
      <c r="M573" s="402"/>
      <c r="N573" s="402"/>
      <c r="O573" s="402"/>
      <c r="P573" s="402"/>
      <c r="Q573" s="402"/>
      <c r="R573" s="402"/>
      <c r="S573" s="402"/>
      <c r="T573" s="402"/>
      <c r="U573" s="402"/>
      <c r="V573" s="402"/>
      <c r="W573" s="402"/>
      <c r="X573" s="402"/>
      <c r="Y573" s="402"/>
      <c r="Z573" s="402"/>
      <c r="AA573" s="405"/>
      <c r="AB573" s="405"/>
    </row>
    <row r="574" ht="14.25" customHeight="1">
      <c r="A574" s="406"/>
      <c r="B574" s="402"/>
      <c r="C574" s="402"/>
      <c r="D574" s="402"/>
      <c r="E574" s="402"/>
      <c r="F574" s="403"/>
      <c r="G574" s="403"/>
      <c r="H574" s="402"/>
      <c r="I574" s="404" t="str">
        <f t="shared" si="8"/>
        <v>FULLY PAID</v>
      </c>
      <c r="J574" s="402"/>
      <c r="K574" s="402"/>
      <c r="L574" s="402"/>
      <c r="M574" s="402"/>
      <c r="N574" s="402"/>
      <c r="O574" s="402"/>
      <c r="P574" s="402"/>
      <c r="Q574" s="402"/>
      <c r="R574" s="402"/>
      <c r="S574" s="402"/>
      <c r="T574" s="402"/>
      <c r="U574" s="402"/>
      <c r="V574" s="402"/>
      <c r="W574" s="402"/>
      <c r="X574" s="402"/>
      <c r="Y574" s="402"/>
      <c r="Z574" s="402"/>
      <c r="AA574" s="405"/>
      <c r="AB574" s="405"/>
    </row>
    <row r="575" ht="14.25" customHeight="1">
      <c r="A575" s="406"/>
      <c r="B575" s="402"/>
      <c r="C575" s="402"/>
      <c r="D575" s="402"/>
      <c r="E575" s="402"/>
      <c r="F575" s="403"/>
      <c r="G575" s="403"/>
      <c r="H575" s="402"/>
      <c r="I575" s="404" t="str">
        <f t="shared" si="8"/>
        <v>FULLY PAID</v>
      </c>
      <c r="J575" s="402"/>
      <c r="K575" s="402"/>
      <c r="L575" s="402"/>
      <c r="M575" s="402"/>
      <c r="N575" s="402"/>
      <c r="O575" s="402"/>
      <c r="P575" s="402"/>
      <c r="Q575" s="402"/>
      <c r="R575" s="402"/>
      <c r="S575" s="402"/>
      <c r="T575" s="402"/>
      <c r="U575" s="402"/>
      <c r="V575" s="402"/>
      <c r="W575" s="402"/>
      <c r="X575" s="402"/>
      <c r="Y575" s="402"/>
      <c r="Z575" s="402"/>
      <c r="AA575" s="405"/>
      <c r="AB575" s="405"/>
    </row>
    <row r="576" ht="14.25" customHeight="1">
      <c r="A576" s="406"/>
      <c r="B576" s="402"/>
      <c r="C576" s="424" t="s">
        <v>797</v>
      </c>
      <c r="D576" s="402"/>
      <c r="E576" s="402"/>
      <c r="F576" s="403"/>
      <c r="G576" s="403"/>
      <c r="H576" s="402"/>
      <c r="I576" s="404" t="str">
        <f t="shared" si="8"/>
        <v>FULLY PAID</v>
      </c>
      <c r="J576" s="402"/>
      <c r="K576" s="402"/>
      <c r="L576" s="402"/>
      <c r="M576" s="402"/>
      <c r="N576" s="402"/>
      <c r="O576" s="402"/>
      <c r="P576" s="402"/>
      <c r="Q576" s="402"/>
      <c r="R576" s="402"/>
      <c r="S576" s="402"/>
      <c r="T576" s="402"/>
      <c r="U576" s="402"/>
      <c r="V576" s="402"/>
      <c r="W576" s="402"/>
      <c r="X576" s="402"/>
      <c r="Y576" s="402"/>
      <c r="Z576" s="402"/>
      <c r="AA576" s="405"/>
      <c r="AB576" s="405"/>
    </row>
    <row r="577" ht="14.25" customHeight="1">
      <c r="A577" s="406">
        <v>45507.0</v>
      </c>
      <c r="B577" s="349" t="s">
        <v>886</v>
      </c>
      <c r="C577" s="349" t="s">
        <v>1095</v>
      </c>
      <c r="D577" s="349" t="s">
        <v>54</v>
      </c>
      <c r="E577" s="349" t="s">
        <v>1255</v>
      </c>
      <c r="F577" s="413">
        <v>100000.0</v>
      </c>
      <c r="G577" s="403"/>
      <c r="H577" s="349" t="s">
        <v>1256</v>
      </c>
      <c r="I577" s="404" t="str">
        <f t="shared" si="8"/>
        <v>NOT PAID</v>
      </c>
      <c r="J577" s="402"/>
      <c r="K577" s="402"/>
      <c r="L577" s="402"/>
      <c r="M577" s="402"/>
      <c r="N577" s="402"/>
      <c r="O577" s="402"/>
      <c r="P577" s="402"/>
      <c r="Q577" s="402"/>
      <c r="R577" s="402"/>
      <c r="S577" s="402"/>
      <c r="T577" s="402"/>
      <c r="U577" s="402"/>
      <c r="V577" s="402"/>
      <c r="W577" s="402"/>
      <c r="X577" s="402"/>
      <c r="Y577" s="402"/>
      <c r="Z577" s="402"/>
      <c r="AA577" s="405"/>
      <c r="AB577" s="405"/>
    </row>
    <row r="578" ht="14.25" customHeight="1">
      <c r="A578" s="406">
        <v>45507.0</v>
      </c>
      <c r="B578" s="349" t="s">
        <v>800</v>
      </c>
      <c r="C578" s="349" t="s">
        <v>801</v>
      </c>
      <c r="D578" s="349" t="s">
        <v>54</v>
      </c>
      <c r="E578" s="349" t="s">
        <v>1255</v>
      </c>
      <c r="F578" s="413">
        <v>20000.0</v>
      </c>
      <c r="G578" s="403"/>
      <c r="H578" s="349" t="s">
        <v>1257</v>
      </c>
      <c r="I578" s="404" t="str">
        <f t="shared" si="8"/>
        <v>NOT PAID</v>
      </c>
      <c r="J578" s="402"/>
      <c r="K578" s="402"/>
      <c r="L578" s="402"/>
      <c r="M578" s="402"/>
      <c r="N578" s="402"/>
      <c r="O578" s="402"/>
      <c r="P578" s="402"/>
      <c r="Q578" s="402"/>
      <c r="R578" s="402"/>
      <c r="S578" s="402"/>
      <c r="T578" s="402"/>
      <c r="U578" s="402"/>
      <c r="V578" s="402"/>
      <c r="W578" s="402"/>
      <c r="X578" s="402"/>
      <c r="Y578" s="402"/>
      <c r="Z578" s="402"/>
      <c r="AA578" s="405"/>
      <c r="AB578" s="405"/>
    </row>
    <row r="579" ht="14.25" customHeight="1">
      <c r="A579" s="406">
        <v>45507.0</v>
      </c>
      <c r="B579" s="349" t="s">
        <v>846</v>
      </c>
      <c r="C579" s="349" t="s">
        <v>1258</v>
      </c>
      <c r="D579" s="349" t="s">
        <v>54</v>
      </c>
      <c r="E579" s="349" t="s">
        <v>1255</v>
      </c>
      <c r="F579" s="413">
        <v>1000000.0</v>
      </c>
      <c r="G579" s="403"/>
      <c r="H579" s="349" t="s">
        <v>1259</v>
      </c>
      <c r="I579" s="404" t="str">
        <f t="shared" si="8"/>
        <v>NOT PAID</v>
      </c>
      <c r="J579" s="402"/>
      <c r="K579" s="402"/>
      <c r="L579" s="402"/>
      <c r="M579" s="402"/>
      <c r="N579" s="402"/>
      <c r="O579" s="402"/>
      <c r="P579" s="402"/>
      <c r="Q579" s="402"/>
      <c r="R579" s="402"/>
      <c r="S579" s="402"/>
      <c r="T579" s="402"/>
      <c r="U579" s="402"/>
      <c r="V579" s="402"/>
      <c r="W579" s="402"/>
      <c r="X579" s="402"/>
      <c r="Y579" s="402"/>
      <c r="Z579" s="402"/>
      <c r="AA579" s="405"/>
      <c r="AB579" s="405"/>
    </row>
    <row r="580" ht="14.25" customHeight="1">
      <c r="A580" s="406"/>
      <c r="B580" s="402"/>
      <c r="C580" s="402"/>
      <c r="D580" s="402"/>
      <c r="E580" s="402"/>
      <c r="F580" s="403"/>
      <c r="G580" s="403"/>
      <c r="H580" s="402"/>
      <c r="I580" s="404" t="str">
        <f t="shared" si="8"/>
        <v>FULLY PAID</v>
      </c>
      <c r="J580" s="402"/>
      <c r="K580" s="402"/>
      <c r="L580" s="402"/>
      <c r="M580" s="402"/>
      <c r="N580" s="402"/>
      <c r="O580" s="402"/>
      <c r="P580" s="402"/>
      <c r="Q580" s="402"/>
      <c r="R580" s="402"/>
      <c r="S580" s="402"/>
      <c r="T580" s="402"/>
      <c r="U580" s="402"/>
      <c r="V580" s="402"/>
      <c r="W580" s="402"/>
      <c r="X580" s="402"/>
      <c r="Y580" s="402"/>
      <c r="Z580" s="402"/>
      <c r="AA580" s="405"/>
      <c r="AB580" s="405"/>
    </row>
    <row r="581" ht="14.25" customHeight="1">
      <c r="A581" s="406"/>
      <c r="B581" s="402"/>
      <c r="C581" s="402"/>
      <c r="D581" s="402"/>
      <c r="E581" s="402"/>
      <c r="F581" s="403"/>
      <c r="G581" s="403"/>
      <c r="H581" s="402"/>
      <c r="I581" s="404" t="str">
        <f t="shared" si="8"/>
        <v>FULLY PAID</v>
      </c>
      <c r="J581" s="402"/>
      <c r="K581" s="402"/>
      <c r="L581" s="402"/>
      <c r="M581" s="402"/>
      <c r="N581" s="402"/>
      <c r="O581" s="402"/>
      <c r="P581" s="402"/>
      <c r="Q581" s="402"/>
      <c r="R581" s="402"/>
      <c r="S581" s="402"/>
      <c r="T581" s="402"/>
      <c r="U581" s="402"/>
      <c r="V581" s="402"/>
      <c r="W581" s="402"/>
      <c r="X581" s="402"/>
      <c r="Y581" s="402"/>
      <c r="Z581" s="402"/>
      <c r="AA581" s="405"/>
      <c r="AB581" s="405"/>
    </row>
    <row r="582" ht="14.25" customHeight="1">
      <c r="A582" s="406"/>
      <c r="B582" s="402"/>
      <c r="C582" s="402"/>
      <c r="D582" s="402"/>
      <c r="E582" s="402"/>
      <c r="F582" s="403"/>
      <c r="G582" s="403"/>
      <c r="H582" s="402"/>
      <c r="I582" s="404" t="str">
        <f t="shared" si="8"/>
        <v>FULLY PAID</v>
      </c>
      <c r="J582" s="402"/>
      <c r="K582" s="402"/>
      <c r="L582" s="402"/>
      <c r="M582" s="402"/>
      <c r="N582" s="402"/>
      <c r="O582" s="402"/>
      <c r="P582" s="402"/>
      <c r="Q582" s="402"/>
      <c r="R582" s="402"/>
      <c r="S582" s="402"/>
      <c r="T582" s="402"/>
      <c r="U582" s="402"/>
      <c r="V582" s="402"/>
      <c r="W582" s="402"/>
      <c r="X582" s="402"/>
      <c r="Y582" s="402"/>
      <c r="Z582" s="402"/>
      <c r="AA582" s="405"/>
      <c r="AB582" s="405"/>
    </row>
    <row r="583" ht="14.25" customHeight="1">
      <c r="A583" s="406"/>
      <c r="B583" s="402"/>
      <c r="C583" s="402"/>
      <c r="D583" s="402"/>
      <c r="E583" s="402"/>
      <c r="F583" s="403"/>
      <c r="G583" s="403"/>
      <c r="H583" s="402"/>
      <c r="I583" s="404" t="str">
        <f t="shared" si="8"/>
        <v>FULLY PAID</v>
      </c>
      <c r="J583" s="402"/>
      <c r="K583" s="402"/>
      <c r="L583" s="402"/>
      <c r="M583" s="402"/>
      <c r="N583" s="402"/>
      <c r="O583" s="402"/>
      <c r="P583" s="402"/>
      <c r="Q583" s="402"/>
      <c r="R583" s="402"/>
      <c r="S583" s="402"/>
      <c r="T583" s="402"/>
      <c r="U583" s="402"/>
      <c r="V583" s="402"/>
      <c r="W583" s="402"/>
      <c r="X583" s="402"/>
      <c r="Y583" s="402"/>
      <c r="Z583" s="402"/>
      <c r="AA583" s="405"/>
      <c r="AB583" s="405"/>
    </row>
    <row r="584" ht="14.25" customHeight="1">
      <c r="A584" s="406"/>
      <c r="B584" s="461">
        <v>45420.0</v>
      </c>
      <c r="C584" s="402"/>
      <c r="D584" s="402"/>
      <c r="E584" s="402"/>
      <c r="F584" s="403"/>
      <c r="G584" s="403"/>
      <c r="H584" s="402"/>
      <c r="I584" s="404" t="str">
        <f t="shared" si="8"/>
        <v>FULLY PAID</v>
      </c>
      <c r="J584" s="402"/>
      <c r="K584" s="402"/>
      <c r="L584" s="402"/>
      <c r="M584" s="402"/>
      <c r="N584" s="402"/>
      <c r="O584" s="402"/>
      <c r="P584" s="402"/>
      <c r="Q584" s="402"/>
      <c r="R584" s="402"/>
      <c r="S584" s="402"/>
      <c r="T584" s="402"/>
      <c r="U584" s="402"/>
      <c r="V584" s="402"/>
      <c r="W584" s="402"/>
      <c r="X584" s="402"/>
      <c r="Y584" s="402"/>
      <c r="Z584" s="402"/>
      <c r="AA584" s="405"/>
      <c r="AB584" s="405"/>
    </row>
    <row r="585" ht="14.25" customHeight="1">
      <c r="A585" s="406">
        <v>45509.0</v>
      </c>
      <c r="B585" s="349" t="s">
        <v>777</v>
      </c>
      <c r="C585" s="349" t="s">
        <v>778</v>
      </c>
      <c r="D585" s="349" t="s">
        <v>54</v>
      </c>
      <c r="E585" s="349" t="s">
        <v>1098</v>
      </c>
      <c r="F585" s="413">
        <v>24000.0</v>
      </c>
      <c r="G585" s="403"/>
      <c r="H585" s="491" t="s">
        <v>1260</v>
      </c>
      <c r="I585" s="404" t="str">
        <f t="shared" si="8"/>
        <v>NOT PAID</v>
      </c>
      <c r="J585" s="402"/>
      <c r="K585" s="402"/>
      <c r="L585" s="402"/>
      <c r="M585" s="402"/>
      <c r="N585" s="402"/>
      <c r="O585" s="402"/>
      <c r="P585" s="402"/>
      <c r="Q585" s="402"/>
      <c r="R585" s="402"/>
      <c r="S585" s="402"/>
      <c r="T585" s="402"/>
      <c r="U585" s="402"/>
      <c r="V585" s="402"/>
      <c r="W585" s="402"/>
      <c r="X585" s="402"/>
      <c r="Y585" s="402"/>
      <c r="Z585" s="402"/>
      <c r="AA585" s="405"/>
      <c r="AB585" s="405"/>
    </row>
    <row r="586" ht="14.25" customHeight="1">
      <c r="A586" s="406">
        <v>45509.0</v>
      </c>
      <c r="B586" s="349" t="s">
        <v>841</v>
      </c>
      <c r="C586" s="349" t="s">
        <v>842</v>
      </c>
      <c r="D586" s="349" t="s">
        <v>54</v>
      </c>
      <c r="E586" s="349" t="s">
        <v>1098</v>
      </c>
      <c r="F586" s="413">
        <v>11249.07</v>
      </c>
      <c r="G586" s="403"/>
      <c r="H586" s="491" t="s">
        <v>1261</v>
      </c>
      <c r="I586" s="404" t="str">
        <f t="shared" si="8"/>
        <v>NOT PAID</v>
      </c>
      <c r="J586" s="402"/>
      <c r="K586" s="402"/>
      <c r="L586" s="402"/>
      <c r="M586" s="402"/>
      <c r="N586" s="402"/>
      <c r="O586" s="402"/>
      <c r="P586" s="402"/>
      <c r="Q586" s="402"/>
      <c r="R586" s="402"/>
      <c r="S586" s="402"/>
      <c r="T586" s="402"/>
      <c r="U586" s="402"/>
      <c r="V586" s="402"/>
      <c r="W586" s="402"/>
      <c r="X586" s="402"/>
      <c r="Y586" s="402"/>
      <c r="Z586" s="402"/>
      <c r="AA586" s="405"/>
      <c r="AB586" s="405"/>
    </row>
    <row r="587" ht="14.25" customHeight="1">
      <c r="A587" s="406">
        <v>45509.0</v>
      </c>
      <c r="B587" s="349" t="s">
        <v>807</v>
      </c>
      <c r="C587" s="349" t="s">
        <v>808</v>
      </c>
      <c r="D587" s="349" t="s">
        <v>54</v>
      </c>
      <c r="E587" s="349" t="s">
        <v>1098</v>
      </c>
      <c r="F587" s="413">
        <v>1674.75</v>
      </c>
      <c r="G587" s="403"/>
      <c r="H587" s="349" t="s">
        <v>1194</v>
      </c>
      <c r="I587" s="404" t="str">
        <f t="shared" si="8"/>
        <v>NOT PAID</v>
      </c>
      <c r="J587" s="402"/>
      <c r="K587" s="402"/>
      <c r="L587" s="402"/>
      <c r="M587" s="402"/>
      <c r="N587" s="402"/>
      <c r="O587" s="402"/>
      <c r="P587" s="402"/>
      <c r="Q587" s="402"/>
      <c r="R587" s="402"/>
      <c r="S587" s="402"/>
      <c r="T587" s="402"/>
      <c r="U587" s="402"/>
      <c r="V587" s="402"/>
      <c r="W587" s="402"/>
      <c r="X587" s="402"/>
      <c r="Y587" s="402"/>
      <c r="Z587" s="402"/>
      <c r="AA587" s="405"/>
      <c r="AB587" s="405"/>
    </row>
    <row r="588" ht="14.25" customHeight="1">
      <c r="A588" s="406">
        <v>45509.0</v>
      </c>
      <c r="B588" s="349" t="s">
        <v>1107</v>
      </c>
      <c r="C588" s="349" t="s">
        <v>1108</v>
      </c>
      <c r="D588" s="349" t="s">
        <v>54</v>
      </c>
      <c r="E588" s="349" t="s">
        <v>1098</v>
      </c>
      <c r="F588" s="413">
        <v>13412.56</v>
      </c>
      <c r="G588" s="403"/>
      <c r="H588" s="349" t="s">
        <v>1262</v>
      </c>
      <c r="I588" s="404" t="str">
        <f t="shared" si="8"/>
        <v>NOT PAID</v>
      </c>
      <c r="J588" s="402"/>
      <c r="K588" s="402"/>
      <c r="L588" s="402"/>
      <c r="M588" s="402"/>
      <c r="N588" s="402"/>
      <c r="O588" s="402"/>
      <c r="P588" s="402"/>
      <c r="Q588" s="402"/>
      <c r="R588" s="402"/>
      <c r="S588" s="402"/>
      <c r="T588" s="402"/>
      <c r="U588" s="402"/>
      <c r="V588" s="402"/>
      <c r="W588" s="402"/>
      <c r="X588" s="402"/>
      <c r="Y588" s="402"/>
      <c r="Z588" s="402"/>
      <c r="AA588" s="405"/>
      <c r="AB588" s="405"/>
    </row>
    <row r="589" ht="14.25" customHeight="1">
      <c r="A589" s="406">
        <v>45509.0</v>
      </c>
      <c r="B589" s="349" t="s">
        <v>705</v>
      </c>
      <c r="C589" s="349" t="s">
        <v>1110</v>
      </c>
      <c r="D589" s="349" t="s">
        <v>54</v>
      </c>
      <c r="E589" s="349" t="s">
        <v>1098</v>
      </c>
      <c r="F589" s="413">
        <v>6709.6</v>
      </c>
      <c r="G589" s="403"/>
      <c r="H589" s="349" t="s">
        <v>806</v>
      </c>
      <c r="I589" s="404" t="str">
        <f t="shared" si="8"/>
        <v>NOT PAID</v>
      </c>
      <c r="J589" s="402"/>
      <c r="K589" s="402"/>
      <c r="L589" s="402"/>
      <c r="M589" s="402"/>
      <c r="N589" s="402"/>
      <c r="O589" s="402"/>
      <c r="P589" s="402"/>
      <c r="Q589" s="402"/>
      <c r="R589" s="402"/>
      <c r="S589" s="402"/>
      <c r="T589" s="402"/>
      <c r="U589" s="402"/>
      <c r="V589" s="402"/>
      <c r="W589" s="402"/>
      <c r="X589" s="402"/>
      <c r="Y589" s="402"/>
      <c r="Z589" s="402"/>
      <c r="AA589" s="405"/>
      <c r="AB589" s="405"/>
    </row>
    <row r="590" ht="14.25" customHeight="1">
      <c r="A590" s="406">
        <v>45509.0</v>
      </c>
      <c r="B590" s="349" t="s">
        <v>711</v>
      </c>
      <c r="C590" s="349" t="s">
        <v>1123</v>
      </c>
      <c r="D590" s="349" t="s">
        <v>75</v>
      </c>
      <c r="E590" s="349" t="s">
        <v>1098</v>
      </c>
      <c r="F590" s="413">
        <v>66556.61</v>
      </c>
      <c r="G590" s="403"/>
      <c r="H590" s="349" t="s">
        <v>1240</v>
      </c>
      <c r="I590" s="404" t="str">
        <f t="shared" si="8"/>
        <v>NOT PAID</v>
      </c>
      <c r="J590" s="402"/>
      <c r="K590" s="402"/>
      <c r="L590" s="402"/>
      <c r="M590" s="402"/>
      <c r="N590" s="402"/>
      <c r="O590" s="402"/>
      <c r="P590" s="402"/>
      <c r="Q590" s="402"/>
      <c r="R590" s="402"/>
      <c r="S590" s="402"/>
      <c r="T590" s="402"/>
      <c r="U590" s="402"/>
      <c r="V590" s="402"/>
      <c r="W590" s="402"/>
      <c r="X590" s="402"/>
      <c r="Y590" s="402"/>
      <c r="Z590" s="402"/>
      <c r="AA590" s="405"/>
      <c r="AB590" s="405"/>
    </row>
    <row r="591" ht="14.25" customHeight="1">
      <c r="A591" s="406">
        <v>45509.0</v>
      </c>
      <c r="B591" s="349" t="s">
        <v>701</v>
      </c>
      <c r="C591" s="349" t="s">
        <v>702</v>
      </c>
      <c r="D591" s="349" t="s">
        <v>54</v>
      </c>
      <c r="E591" s="349" t="s">
        <v>1098</v>
      </c>
      <c r="F591" s="413">
        <v>17124.66</v>
      </c>
      <c r="G591" s="403"/>
      <c r="H591" s="349" t="s">
        <v>1263</v>
      </c>
      <c r="I591" s="404" t="str">
        <f t="shared" si="8"/>
        <v>NOT PAID</v>
      </c>
      <c r="J591" s="402"/>
      <c r="K591" s="402"/>
      <c r="L591" s="402"/>
      <c r="M591" s="402"/>
      <c r="N591" s="402"/>
      <c r="O591" s="402"/>
      <c r="P591" s="402"/>
      <c r="Q591" s="402"/>
      <c r="R591" s="402"/>
      <c r="S591" s="402"/>
      <c r="T591" s="402"/>
      <c r="U591" s="402"/>
      <c r="V591" s="402"/>
      <c r="W591" s="402"/>
      <c r="X591" s="402"/>
      <c r="Y591" s="402"/>
      <c r="Z591" s="402"/>
      <c r="AA591" s="405"/>
      <c r="AB591" s="405"/>
    </row>
    <row r="592" ht="14.25" customHeight="1">
      <c r="A592" s="406">
        <v>45509.0</v>
      </c>
      <c r="B592" s="492" t="s">
        <v>990</v>
      </c>
      <c r="C592" s="493" t="s">
        <v>991</v>
      </c>
      <c r="D592" s="493" t="s">
        <v>75</v>
      </c>
      <c r="E592" s="349" t="s">
        <v>1098</v>
      </c>
      <c r="F592" s="494">
        <v>138261.25</v>
      </c>
      <c r="G592" s="403"/>
      <c r="H592" s="349" t="s">
        <v>1264</v>
      </c>
      <c r="I592" s="404" t="str">
        <f t="shared" si="8"/>
        <v>NOT PAID</v>
      </c>
      <c r="J592" s="402"/>
      <c r="K592" s="402"/>
      <c r="L592" s="402"/>
      <c r="M592" s="402"/>
      <c r="N592" s="402"/>
      <c r="O592" s="402"/>
      <c r="P592" s="402"/>
      <c r="Q592" s="402"/>
      <c r="R592" s="402"/>
      <c r="S592" s="402"/>
      <c r="T592" s="402"/>
      <c r="U592" s="402"/>
      <c r="V592" s="402"/>
      <c r="W592" s="402"/>
      <c r="X592" s="402"/>
      <c r="Y592" s="402"/>
      <c r="Z592" s="402"/>
      <c r="AA592" s="405"/>
      <c r="AB592" s="405"/>
    </row>
    <row r="593" ht="14.25" customHeight="1">
      <c r="A593" s="406">
        <v>45509.0</v>
      </c>
      <c r="B593" s="407" t="s">
        <v>1265</v>
      </c>
      <c r="C593" s="408" t="s">
        <v>1266</v>
      </c>
      <c r="D593" s="408" t="s">
        <v>75</v>
      </c>
      <c r="E593" s="349" t="s">
        <v>1098</v>
      </c>
      <c r="F593" s="494">
        <v>115000.0</v>
      </c>
      <c r="G593" s="403"/>
      <c r="H593" s="349" t="s">
        <v>1267</v>
      </c>
      <c r="I593" s="404" t="str">
        <f t="shared" si="8"/>
        <v>NOT PAID</v>
      </c>
      <c r="J593" s="402"/>
      <c r="K593" s="402"/>
      <c r="L593" s="402"/>
      <c r="M593" s="402"/>
      <c r="N593" s="402"/>
      <c r="O593" s="402"/>
      <c r="P593" s="402"/>
      <c r="Q593" s="402"/>
      <c r="R593" s="402"/>
      <c r="S593" s="402"/>
      <c r="T593" s="402"/>
      <c r="U593" s="402"/>
      <c r="V593" s="402"/>
      <c r="W593" s="402"/>
      <c r="X593" s="402"/>
      <c r="Y593" s="402"/>
      <c r="Z593" s="402"/>
      <c r="AA593" s="405"/>
      <c r="AB593" s="405"/>
    </row>
    <row r="594" ht="14.25" customHeight="1">
      <c r="A594" s="406">
        <v>45509.0</v>
      </c>
      <c r="B594" s="349" t="s">
        <v>1120</v>
      </c>
      <c r="C594" s="349" t="s">
        <v>1121</v>
      </c>
      <c r="D594" s="349" t="s">
        <v>346</v>
      </c>
      <c r="E594" s="349" t="s">
        <v>1098</v>
      </c>
      <c r="F594" s="413">
        <v>32479.34</v>
      </c>
      <c r="G594" s="403"/>
      <c r="H594" s="349" t="s">
        <v>1268</v>
      </c>
      <c r="I594" s="404" t="str">
        <f t="shared" si="8"/>
        <v>NOT PAID</v>
      </c>
      <c r="J594" s="402"/>
      <c r="K594" s="402"/>
      <c r="L594" s="402"/>
      <c r="M594" s="402"/>
      <c r="N594" s="402"/>
      <c r="O594" s="402"/>
      <c r="P594" s="402"/>
      <c r="Q594" s="402"/>
      <c r="R594" s="402"/>
      <c r="S594" s="402"/>
      <c r="T594" s="402"/>
      <c r="U594" s="402"/>
      <c r="V594" s="402"/>
      <c r="W594" s="402"/>
      <c r="X594" s="402"/>
      <c r="Y594" s="402"/>
      <c r="Z594" s="402"/>
      <c r="AA594" s="405"/>
      <c r="AB594" s="405"/>
    </row>
    <row r="595" ht="14.25" customHeight="1">
      <c r="A595" s="406">
        <v>45509.0</v>
      </c>
      <c r="B595" s="407" t="s">
        <v>1269</v>
      </c>
      <c r="C595" s="408" t="s">
        <v>1201</v>
      </c>
      <c r="D595" s="408" t="s">
        <v>75</v>
      </c>
      <c r="E595" s="349" t="s">
        <v>1098</v>
      </c>
      <c r="F595" s="494">
        <v>69000.0</v>
      </c>
      <c r="G595" s="494" t="s">
        <v>0</v>
      </c>
      <c r="H595" s="402"/>
      <c r="I595" s="404" t="str">
        <f t="shared" si="8"/>
        <v>FULLY PAID</v>
      </c>
      <c r="J595" s="402"/>
      <c r="K595" s="402"/>
      <c r="L595" s="402"/>
      <c r="M595" s="402"/>
      <c r="N595" s="402"/>
      <c r="O595" s="402"/>
      <c r="P595" s="402"/>
      <c r="Q595" s="402"/>
      <c r="R595" s="402"/>
      <c r="S595" s="402"/>
      <c r="T595" s="402"/>
      <c r="U595" s="402"/>
      <c r="V595" s="402"/>
      <c r="W595" s="402"/>
      <c r="X595" s="402"/>
      <c r="Y595" s="402"/>
      <c r="Z595" s="402"/>
      <c r="AA595" s="405"/>
      <c r="AB595" s="405"/>
    </row>
    <row r="596" ht="14.25" customHeight="1">
      <c r="A596" s="406">
        <v>45509.0</v>
      </c>
      <c r="B596" s="492" t="s">
        <v>1270</v>
      </c>
      <c r="C596" s="493" t="s">
        <v>1271</v>
      </c>
      <c r="D596" s="493" t="s">
        <v>54</v>
      </c>
      <c r="E596" s="349" t="s">
        <v>1098</v>
      </c>
      <c r="F596" s="494">
        <v>33346.0</v>
      </c>
      <c r="G596" s="494">
        <v>33346.0</v>
      </c>
      <c r="H596" s="349" t="s">
        <v>1272</v>
      </c>
      <c r="I596" s="404" t="str">
        <f t="shared" si="8"/>
        <v>FULLY PAID</v>
      </c>
      <c r="J596" s="402"/>
      <c r="K596" s="402"/>
      <c r="L596" s="402"/>
      <c r="M596" s="402"/>
      <c r="N596" s="402"/>
      <c r="O596" s="402"/>
      <c r="P596" s="402"/>
      <c r="Q596" s="402"/>
      <c r="R596" s="402"/>
      <c r="S596" s="402"/>
      <c r="T596" s="402"/>
      <c r="U596" s="402"/>
      <c r="V596" s="402"/>
      <c r="W596" s="402"/>
      <c r="X596" s="402"/>
      <c r="Y596" s="402"/>
      <c r="Z596" s="402"/>
      <c r="AA596" s="405"/>
      <c r="AB596" s="405"/>
    </row>
    <row r="597" ht="14.25" customHeight="1">
      <c r="A597" s="406">
        <v>45509.0</v>
      </c>
      <c r="B597" s="492" t="s">
        <v>729</v>
      </c>
      <c r="C597" s="493" t="s">
        <v>995</v>
      </c>
      <c r="D597" s="493" t="s">
        <v>54</v>
      </c>
      <c r="E597" s="349" t="s">
        <v>1098</v>
      </c>
      <c r="F597" s="494">
        <v>357832.09</v>
      </c>
      <c r="G597" s="403"/>
      <c r="H597" s="349" t="s">
        <v>996</v>
      </c>
      <c r="I597" s="404" t="str">
        <f t="shared" si="8"/>
        <v>NOT PAID</v>
      </c>
      <c r="J597" s="402"/>
      <c r="K597" s="402"/>
      <c r="L597" s="402"/>
      <c r="M597" s="402"/>
      <c r="N597" s="402"/>
      <c r="O597" s="402"/>
      <c r="P597" s="402"/>
      <c r="Q597" s="402"/>
      <c r="R597" s="402"/>
      <c r="S597" s="402"/>
      <c r="T597" s="402"/>
      <c r="U597" s="402"/>
      <c r="V597" s="402"/>
      <c r="W597" s="402"/>
      <c r="X597" s="402"/>
      <c r="Y597" s="402"/>
      <c r="Z597" s="402"/>
      <c r="AA597" s="405"/>
      <c r="AB597" s="405"/>
    </row>
    <row r="598" ht="14.25" customHeight="1">
      <c r="A598" s="406">
        <v>45509.0</v>
      </c>
      <c r="B598" s="492" t="s">
        <v>754</v>
      </c>
      <c r="C598" s="493" t="s">
        <v>1273</v>
      </c>
      <c r="D598" s="493" t="s">
        <v>59</v>
      </c>
      <c r="E598" s="349" t="s">
        <v>1153</v>
      </c>
      <c r="F598" s="494">
        <v>132321.7</v>
      </c>
      <c r="G598" s="413">
        <v>12400.0</v>
      </c>
      <c r="H598" s="402"/>
      <c r="I598" s="404" t="str">
        <f t="shared" si="8"/>
        <v>PARTIALLY PAID</v>
      </c>
      <c r="J598" s="402"/>
      <c r="K598" s="402"/>
      <c r="L598" s="402"/>
      <c r="M598" s="402"/>
      <c r="N598" s="402"/>
      <c r="O598" s="402"/>
      <c r="P598" s="402"/>
      <c r="Q598" s="402"/>
      <c r="R598" s="402"/>
      <c r="S598" s="402"/>
      <c r="T598" s="402"/>
      <c r="U598" s="402"/>
      <c r="V598" s="402"/>
      <c r="W598" s="402"/>
      <c r="X598" s="402"/>
      <c r="Y598" s="402"/>
      <c r="Z598" s="402"/>
      <c r="AA598" s="405"/>
      <c r="AB598" s="405"/>
    </row>
    <row r="599" ht="14.25" customHeight="1">
      <c r="A599" s="406">
        <v>45509.0</v>
      </c>
      <c r="B599" s="492" t="s">
        <v>825</v>
      </c>
      <c r="C599" s="493" t="s">
        <v>826</v>
      </c>
      <c r="D599" s="493" t="s">
        <v>54</v>
      </c>
      <c r="E599" s="349" t="s">
        <v>1153</v>
      </c>
      <c r="F599" s="494">
        <v>243330.94</v>
      </c>
      <c r="G599" s="403"/>
      <c r="H599" s="349" t="s">
        <v>1274</v>
      </c>
      <c r="I599" s="404" t="str">
        <f t="shared" si="8"/>
        <v>NOT PAID</v>
      </c>
      <c r="J599" s="402"/>
      <c r="K599" s="402"/>
      <c r="L599" s="402"/>
      <c r="M599" s="402"/>
      <c r="N599" s="402"/>
      <c r="O599" s="402"/>
      <c r="P599" s="402"/>
      <c r="Q599" s="402"/>
      <c r="R599" s="402"/>
      <c r="S599" s="402"/>
      <c r="T599" s="402"/>
      <c r="U599" s="402"/>
      <c r="V599" s="402"/>
      <c r="W599" s="402"/>
      <c r="X599" s="402"/>
      <c r="Y599" s="402"/>
      <c r="Z599" s="402"/>
      <c r="AA599" s="405"/>
      <c r="AB599" s="405"/>
    </row>
    <row r="600" ht="14.25" customHeight="1">
      <c r="A600" s="406">
        <v>45509.0</v>
      </c>
      <c r="B600" s="492" t="s">
        <v>1275</v>
      </c>
      <c r="C600" s="493" t="s">
        <v>1276</v>
      </c>
      <c r="D600" s="493" t="s">
        <v>54</v>
      </c>
      <c r="E600" s="349" t="s">
        <v>1153</v>
      </c>
      <c r="F600" s="494">
        <v>32205.0</v>
      </c>
      <c r="G600" s="413">
        <v>0.0</v>
      </c>
      <c r="H600" s="349" t="s">
        <v>1272</v>
      </c>
      <c r="I600" s="404" t="str">
        <f t="shared" si="8"/>
        <v>NOT PAID</v>
      </c>
      <c r="J600" s="402"/>
      <c r="K600" s="402"/>
      <c r="L600" s="402"/>
      <c r="M600" s="402"/>
      <c r="N600" s="402"/>
      <c r="O600" s="402"/>
      <c r="P600" s="402"/>
      <c r="Q600" s="402"/>
      <c r="R600" s="402"/>
      <c r="S600" s="402"/>
      <c r="T600" s="402"/>
      <c r="U600" s="402"/>
      <c r="V600" s="402"/>
      <c r="W600" s="402"/>
      <c r="X600" s="402"/>
      <c r="Y600" s="402"/>
      <c r="Z600" s="402"/>
      <c r="AA600" s="405"/>
      <c r="AB600" s="405"/>
    </row>
    <row r="601" ht="14.25" customHeight="1">
      <c r="A601" s="406">
        <v>45509.0</v>
      </c>
      <c r="B601" s="349" t="s">
        <v>738</v>
      </c>
      <c r="C601" s="349" t="s">
        <v>739</v>
      </c>
      <c r="D601" s="349" t="s">
        <v>54</v>
      </c>
      <c r="E601" s="349" t="s">
        <v>1153</v>
      </c>
      <c r="F601" s="413">
        <v>70422.67</v>
      </c>
      <c r="G601" s="403"/>
      <c r="H601" s="349" t="s">
        <v>1214</v>
      </c>
      <c r="I601" s="404" t="str">
        <f t="shared" si="8"/>
        <v>NOT PAID</v>
      </c>
      <c r="J601" s="402"/>
      <c r="K601" s="402"/>
      <c r="L601" s="402"/>
      <c r="M601" s="402"/>
      <c r="N601" s="402"/>
      <c r="O601" s="402"/>
      <c r="P601" s="402"/>
      <c r="Q601" s="402"/>
      <c r="R601" s="402"/>
      <c r="S601" s="402"/>
      <c r="T601" s="402"/>
      <c r="U601" s="402"/>
      <c r="V601" s="402"/>
      <c r="W601" s="402"/>
      <c r="X601" s="402"/>
      <c r="Y601" s="402"/>
      <c r="Z601" s="402"/>
      <c r="AA601" s="405"/>
      <c r="AB601" s="405"/>
    </row>
    <row r="602" ht="14.25" customHeight="1">
      <c r="A602" s="406">
        <v>45509.0</v>
      </c>
      <c r="B602" s="349" t="s">
        <v>1155</v>
      </c>
      <c r="C602" s="349" t="s">
        <v>1156</v>
      </c>
      <c r="D602" s="349" t="s">
        <v>54</v>
      </c>
      <c r="E602" s="349" t="s">
        <v>1153</v>
      </c>
      <c r="F602" s="413">
        <v>268238.3</v>
      </c>
      <c r="G602" s="403"/>
      <c r="H602" s="349" t="s">
        <v>1277</v>
      </c>
      <c r="I602" s="404" t="str">
        <f t="shared" si="8"/>
        <v>NOT PAID</v>
      </c>
      <c r="J602" s="402"/>
      <c r="K602" s="402"/>
      <c r="L602" s="402"/>
      <c r="M602" s="402"/>
      <c r="N602" s="402"/>
      <c r="O602" s="402"/>
      <c r="P602" s="402"/>
      <c r="Q602" s="402"/>
      <c r="R602" s="402"/>
      <c r="S602" s="402"/>
      <c r="T602" s="402"/>
      <c r="U602" s="402"/>
      <c r="V602" s="402"/>
      <c r="W602" s="402"/>
      <c r="X602" s="402"/>
      <c r="Y602" s="402"/>
      <c r="Z602" s="402"/>
      <c r="AA602" s="405"/>
      <c r="AB602" s="405"/>
    </row>
    <row r="603" ht="14.25" customHeight="1">
      <c r="A603" s="406">
        <v>45509.0</v>
      </c>
      <c r="B603" s="349" t="s">
        <v>960</v>
      </c>
      <c r="C603" s="349" t="s">
        <v>961</v>
      </c>
      <c r="D603" s="349" t="s">
        <v>54</v>
      </c>
      <c r="E603" s="349" t="s">
        <v>1153</v>
      </c>
      <c r="F603" s="413">
        <v>99093.57</v>
      </c>
      <c r="G603" s="403"/>
      <c r="H603" s="487" t="s">
        <v>1278</v>
      </c>
      <c r="I603" s="404" t="str">
        <f t="shared" si="8"/>
        <v>NOT PAID</v>
      </c>
      <c r="J603" s="402"/>
      <c r="K603" s="402"/>
      <c r="L603" s="402"/>
      <c r="M603" s="402"/>
      <c r="N603" s="402"/>
      <c r="O603" s="402"/>
      <c r="P603" s="402"/>
      <c r="Q603" s="402"/>
      <c r="R603" s="402"/>
      <c r="S603" s="402"/>
      <c r="T603" s="402"/>
      <c r="U603" s="402"/>
      <c r="V603" s="402"/>
      <c r="W603" s="402"/>
      <c r="X603" s="402"/>
      <c r="Y603" s="402"/>
      <c r="Z603" s="402"/>
      <c r="AA603" s="405"/>
      <c r="AB603" s="405"/>
    </row>
    <row r="604" ht="14.25" customHeight="1">
      <c r="A604" s="406">
        <v>45509.0</v>
      </c>
      <c r="B604" s="484" t="s">
        <v>1279</v>
      </c>
      <c r="C604" s="349" t="s">
        <v>1280</v>
      </c>
      <c r="D604" s="349" t="s">
        <v>54</v>
      </c>
      <c r="E604" s="349" t="s">
        <v>1153</v>
      </c>
      <c r="F604" s="413">
        <v>104386.0</v>
      </c>
      <c r="G604" s="413">
        <v>104386.0</v>
      </c>
      <c r="H604" s="349"/>
      <c r="I604" s="404" t="str">
        <f t="shared" si="8"/>
        <v>FULLY PAID</v>
      </c>
      <c r="J604" s="402"/>
      <c r="K604" s="402"/>
      <c r="L604" s="402"/>
      <c r="M604" s="402"/>
      <c r="N604" s="402"/>
      <c r="O604" s="402"/>
      <c r="P604" s="402"/>
      <c r="Q604" s="402"/>
      <c r="R604" s="402"/>
      <c r="S604" s="402"/>
      <c r="T604" s="402"/>
      <c r="U604" s="402"/>
      <c r="V604" s="402"/>
      <c r="W604" s="402"/>
      <c r="X604" s="402"/>
      <c r="Y604" s="402"/>
      <c r="Z604" s="402"/>
      <c r="AA604" s="405"/>
      <c r="AB604" s="405"/>
    </row>
    <row r="605" ht="14.25" customHeight="1">
      <c r="A605" s="406">
        <v>45509.0</v>
      </c>
      <c r="B605" s="484" t="s">
        <v>1281</v>
      </c>
      <c r="C605" s="349" t="s">
        <v>1282</v>
      </c>
      <c r="D605" s="349" t="s">
        <v>54</v>
      </c>
      <c r="E605" s="349" t="s">
        <v>1153</v>
      </c>
      <c r="F605" s="495">
        <v>47085.0</v>
      </c>
      <c r="G605" s="413">
        <v>0.0</v>
      </c>
      <c r="H605" s="349" t="s">
        <v>1272</v>
      </c>
      <c r="I605" s="404" t="str">
        <f t="shared" si="8"/>
        <v>NOT PAID</v>
      </c>
      <c r="J605" s="402"/>
      <c r="K605" s="402"/>
      <c r="L605" s="402"/>
      <c r="M605" s="402"/>
      <c r="N605" s="402"/>
      <c r="O605" s="402"/>
      <c r="P605" s="402"/>
      <c r="Q605" s="402"/>
      <c r="R605" s="402"/>
      <c r="S605" s="402"/>
      <c r="T605" s="402"/>
      <c r="U605" s="402"/>
      <c r="V605" s="402"/>
      <c r="W605" s="402"/>
      <c r="X605" s="402"/>
      <c r="Y605" s="402"/>
      <c r="Z605" s="402"/>
      <c r="AA605" s="405"/>
      <c r="AB605" s="405"/>
    </row>
    <row r="606" ht="14.25" customHeight="1">
      <c r="A606" s="406">
        <v>45509.0</v>
      </c>
      <c r="B606" s="410" t="s">
        <v>1003</v>
      </c>
      <c r="C606" s="349" t="s">
        <v>1004</v>
      </c>
      <c r="D606" s="349" t="s">
        <v>54</v>
      </c>
      <c r="E606" s="349" t="s">
        <v>1153</v>
      </c>
      <c r="F606" s="489">
        <v>200000.0</v>
      </c>
      <c r="G606" s="413">
        <v>252000.0</v>
      </c>
      <c r="H606" s="349"/>
      <c r="I606" s="404" t="str">
        <f t="shared" si="8"/>
        <v>FULLY PAID</v>
      </c>
      <c r="J606" s="402"/>
      <c r="K606" s="402"/>
      <c r="L606" s="402"/>
      <c r="M606" s="402"/>
      <c r="N606" s="402"/>
      <c r="O606" s="402"/>
      <c r="P606" s="402"/>
      <c r="Q606" s="402"/>
      <c r="R606" s="402"/>
      <c r="S606" s="402"/>
      <c r="T606" s="402"/>
      <c r="U606" s="402"/>
      <c r="V606" s="402"/>
      <c r="W606" s="402"/>
      <c r="X606" s="402"/>
      <c r="Y606" s="402"/>
      <c r="Z606" s="402"/>
      <c r="AA606" s="405"/>
      <c r="AB606" s="405"/>
    </row>
    <row r="607" ht="14.25" customHeight="1">
      <c r="A607" s="406">
        <v>45509.0</v>
      </c>
      <c r="B607" s="349" t="s">
        <v>731</v>
      </c>
      <c r="C607" s="349" t="s">
        <v>732</v>
      </c>
      <c r="D607" s="349" t="s">
        <v>54</v>
      </c>
      <c r="E607" s="349" t="s">
        <v>1127</v>
      </c>
      <c r="F607" s="413">
        <v>5699.17</v>
      </c>
      <c r="G607" s="413">
        <v>0.0</v>
      </c>
      <c r="H607" s="349" t="s">
        <v>1283</v>
      </c>
      <c r="I607" s="404" t="str">
        <f t="shared" si="8"/>
        <v>NOT PAID</v>
      </c>
      <c r="J607" s="402"/>
      <c r="K607" s="402"/>
      <c r="L607" s="402"/>
      <c r="M607" s="402"/>
      <c r="N607" s="402"/>
      <c r="O607" s="402"/>
      <c r="P607" s="402"/>
      <c r="Q607" s="402"/>
      <c r="R607" s="402"/>
      <c r="S607" s="402"/>
      <c r="T607" s="402"/>
      <c r="U607" s="402"/>
      <c r="V607" s="402"/>
      <c r="W607" s="402"/>
      <c r="X607" s="402"/>
      <c r="Y607" s="402"/>
      <c r="Z607" s="402"/>
      <c r="AA607" s="405"/>
      <c r="AB607" s="405"/>
    </row>
    <row r="608" ht="14.25" customHeight="1">
      <c r="A608" s="406">
        <v>45509.0</v>
      </c>
      <c r="B608" s="349" t="s">
        <v>918</v>
      </c>
      <c r="C608" s="349" t="s">
        <v>919</v>
      </c>
      <c r="D608" s="349" t="s">
        <v>54</v>
      </c>
      <c r="E608" s="349" t="s">
        <v>1127</v>
      </c>
      <c r="F608" s="413">
        <v>31090.65</v>
      </c>
      <c r="G608" s="413">
        <v>0.0</v>
      </c>
      <c r="H608" s="349" t="s">
        <v>1284</v>
      </c>
      <c r="I608" s="404" t="str">
        <f t="shared" si="8"/>
        <v>NOT PAID</v>
      </c>
      <c r="J608" s="402"/>
      <c r="K608" s="402"/>
      <c r="L608" s="402"/>
      <c r="M608" s="402"/>
      <c r="N608" s="402"/>
      <c r="O608" s="402"/>
      <c r="P608" s="402"/>
      <c r="Q608" s="402"/>
      <c r="R608" s="402"/>
      <c r="S608" s="402"/>
      <c r="T608" s="402"/>
      <c r="U608" s="402"/>
      <c r="V608" s="402"/>
      <c r="W608" s="402"/>
      <c r="X608" s="402"/>
      <c r="Y608" s="402"/>
      <c r="Z608" s="402"/>
      <c r="AA608" s="405"/>
      <c r="AB608" s="405"/>
    </row>
    <row r="609" ht="14.25" customHeight="1">
      <c r="A609" s="406">
        <v>45509.0</v>
      </c>
      <c r="B609" s="349" t="s">
        <v>877</v>
      </c>
      <c r="C609" s="349" t="s">
        <v>878</v>
      </c>
      <c r="D609" s="349" t="s">
        <v>54</v>
      </c>
      <c r="E609" s="349" t="s">
        <v>1139</v>
      </c>
      <c r="F609" s="413">
        <v>86110.69</v>
      </c>
      <c r="G609" s="413">
        <v>0.0</v>
      </c>
      <c r="H609" s="349" t="s">
        <v>1285</v>
      </c>
      <c r="I609" s="404" t="str">
        <f t="shared" si="8"/>
        <v>NOT PAID</v>
      </c>
      <c r="J609" s="402"/>
      <c r="K609" s="402"/>
      <c r="L609" s="402"/>
      <c r="M609" s="402"/>
      <c r="N609" s="402"/>
      <c r="O609" s="402"/>
      <c r="P609" s="402"/>
      <c r="Q609" s="402"/>
      <c r="R609" s="402"/>
      <c r="S609" s="402"/>
      <c r="T609" s="402"/>
      <c r="U609" s="402"/>
      <c r="V609" s="402"/>
      <c r="W609" s="402"/>
      <c r="X609" s="402"/>
      <c r="Y609" s="402"/>
      <c r="Z609" s="402"/>
      <c r="AA609" s="405"/>
      <c r="AB609" s="405"/>
    </row>
    <row r="610" ht="14.25" customHeight="1">
      <c r="A610" s="406">
        <v>45509.0</v>
      </c>
      <c r="B610" s="349" t="s">
        <v>1137</v>
      </c>
      <c r="C610" s="349" t="s">
        <v>1138</v>
      </c>
      <c r="D610" s="349" t="s">
        <v>54</v>
      </c>
      <c r="E610" s="349" t="s">
        <v>1139</v>
      </c>
      <c r="F610" s="413">
        <v>5721.98</v>
      </c>
      <c r="G610" s="413">
        <v>0.0</v>
      </c>
      <c r="H610" s="349" t="s">
        <v>1286</v>
      </c>
      <c r="I610" s="404" t="str">
        <f t="shared" si="8"/>
        <v>NOT PAID</v>
      </c>
      <c r="J610" s="402"/>
      <c r="K610" s="402"/>
      <c r="L610" s="402"/>
      <c r="M610" s="402"/>
      <c r="N610" s="402"/>
      <c r="O610" s="402"/>
      <c r="P610" s="402"/>
      <c r="Q610" s="402"/>
      <c r="R610" s="402"/>
      <c r="S610" s="402"/>
      <c r="T610" s="402"/>
      <c r="U610" s="402"/>
      <c r="V610" s="402"/>
      <c r="W610" s="402"/>
      <c r="X610" s="402"/>
      <c r="Y610" s="402"/>
      <c r="Z610" s="402"/>
      <c r="AA610" s="405"/>
      <c r="AB610" s="405"/>
    </row>
    <row r="611" ht="14.25" customHeight="1">
      <c r="A611" s="406">
        <v>45509.0</v>
      </c>
      <c r="B611" s="349" t="s">
        <v>1006</v>
      </c>
      <c r="C611" s="349" t="s">
        <v>1007</v>
      </c>
      <c r="D611" s="349" t="s">
        <v>75</v>
      </c>
      <c r="E611" s="349" t="s">
        <v>1139</v>
      </c>
      <c r="F611" s="413">
        <v>181125.0</v>
      </c>
      <c r="G611" s="413">
        <v>0.0</v>
      </c>
      <c r="H611" s="349" t="s">
        <v>1287</v>
      </c>
      <c r="I611" s="404" t="str">
        <f t="shared" si="8"/>
        <v>NOT PAID</v>
      </c>
      <c r="J611" s="402"/>
      <c r="K611" s="402"/>
      <c r="L611" s="402"/>
      <c r="M611" s="402"/>
      <c r="N611" s="402"/>
      <c r="O611" s="402"/>
      <c r="P611" s="402"/>
      <c r="Q611" s="402"/>
      <c r="R611" s="402"/>
      <c r="S611" s="402"/>
      <c r="T611" s="402"/>
      <c r="U611" s="402"/>
      <c r="V611" s="402"/>
      <c r="W611" s="402"/>
      <c r="X611" s="402"/>
      <c r="Y611" s="402"/>
      <c r="Z611" s="402"/>
      <c r="AA611" s="405"/>
      <c r="AB611" s="405"/>
    </row>
    <row r="612" ht="14.25" customHeight="1">
      <c r="A612" s="406">
        <v>45509.0</v>
      </c>
      <c r="B612" s="349" t="s">
        <v>783</v>
      </c>
      <c r="C612" s="349" t="s">
        <v>784</v>
      </c>
      <c r="D612" s="349" t="s">
        <v>54</v>
      </c>
      <c r="E612" s="349" t="s">
        <v>1139</v>
      </c>
      <c r="F612" s="413">
        <v>27715.83</v>
      </c>
      <c r="G612" s="413">
        <v>0.0</v>
      </c>
      <c r="H612" s="349" t="s">
        <v>1288</v>
      </c>
      <c r="I612" s="404" t="str">
        <f t="shared" si="8"/>
        <v>NOT PAID</v>
      </c>
      <c r="J612" s="402"/>
      <c r="K612" s="402"/>
      <c r="L612" s="402"/>
      <c r="M612" s="402"/>
      <c r="N612" s="402"/>
      <c r="O612" s="402"/>
      <c r="P612" s="402"/>
      <c r="Q612" s="402"/>
      <c r="R612" s="402"/>
      <c r="S612" s="402"/>
      <c r="T612" s="402"/>
      <c r="U612" s="402"/>
      <c r="V612" s="402"/>
      <c r="W612" s="402"/>
      <c r="X612" s="402"/>
      <c r="Y612" s="402"/>
      <c r="Z612" s="402"/>
      <c r="AA612" s="405"/>
      <c r="AB612" s="405"/>
    </row>
    <row r="613" ht="14.25" customHeight="1">
      <c r="A613" s="406">
        <v>45509.0</v>
      </c>
      <c r="B613" s="417" t="s">
        <v>764</v>
      </c>
      <c r="C613" s="408" t="s">
        <v>765</v>
      </c>
      <c r="D613" s="418" t="s">
        <v>54</v>
      </c>
      <c r="E613" s="418" t="s">
        <v>1143</v>
      </c>
      <c r="F613" s="445">
        <v>20880.0</v>
      </c>
      <c r="G613" s="413">
        <v>0.0</v>
      </c>
      <c r="H613" s="349" t="s">
        <v>1289</v>
      </c>
      <c r="I613" s="404" t="str">
        <f t="shared" si="8"/>
        <v>NOT PAID</v>
      </c>
      <c r="J613" s="402"/>
      <c r="K613" s="402"/>
      <c r="L613" s="402"/>
      <c r="M613" s="402"/>
      <c r="N613" s="402"/>
      <c r="O613" s="402"/>
      <c r="P613" s="402"/>
      <c r="Q613" s="402"/>
      <c r="R613" s="402"/>
      <c r="S613" s="402"/>
      <c r="T613" s="402"/>
      <c r="U613" s="402"/>
      <c r="V613" s="402"/>
      <c r="W613" s="402"/>
      <c r="X613" s="402"/>
      <c r="Y613" s="402"/>
      <c r="Z613" s="402"/>
      <c r="AA613" s="405"/>
      <c r="AB613" s="405"/>
    </row>
    <row r="614" ht="14.25" customHeight="1">
      <c r="A614" s="406">
        <v>45509.0</v>
      </c>
      <c r="B614" s="343" t="s">
        <v>781</v>
      </c>
      <c r="C614" s="344" t="s">
        <v>782</v>
      </c>
      <c r="D614" s="344" t="s">
        <v>54</v>
      </c>
      <c r="E614" s="344" t="s">
        <v>1143</v>
      </c>
      <c r="F614" s="442">
        <v>12829.5</v>
      </c>
      <c r="G614" s="413">
        <v>10000.0</v>
      </c>
      <c r="H614" s="349" t="s">
        <v>1290</v>
      </c>
      <c r="I614" s="404" t="str">
        <f t="shared" si="8"/>
        <v>PARTIALLY PAID</v>
      </c>
      <c r="J614" s="402"/>
      <c r="K614" s="402"/>
      <c r="L614" s="402"/>
      <c r="M614" s="402"/>
      <c r="N614" s="402"/>
      <c r="O614" s="402"/>
      <c r="P614" s="402"/>
      <c r="Q614" s="402"/>
      <c r="R614" s="402"/>
      <c r="S614" s="402"/>
      <c r="T614" s="402"/>
      <c r="U614" s="402"/>
      <c r="V614" s="402"/>
      <c r="W614" s="402"/>
      <c r="X614" s="402"/>
      <c r="Y614" s="402"/>
      <c r="Z614" s="402"/>
      <c r="AA614" s="405"/>
      <c r="AB614" s="405"/>
    </row>
    <row r="615" ht="14.25" customHeight="1">
      <c r="A615" s="406">
        <v>45509.0</v>
      </c>
      <c r="B615" s="343" t="s">
        <v>788</v>
      </c>
      <c r="C615" s="344" t="s">
        <v>789</v>
      </c>
      <c r="D615" s="344" t="s">
        <v>54</v>
      </c>
      <c r="E615" s="344" t="s">
        <v>1143</v>
      </c>
      <c r="F615" s="430">
        <v>89593.8</v>
      </c>
      <c r="G615" s="413">
        <v>0.0</v>
      </c>
      <c r="H615" s="349" t="s">
        <v>1291</v>
      </c>
      <c r="I615" s="404" t="str">
        <f t="shared" si="8"/>
        <v>NOT PAID</v>
      </c>
      <c r="J615" s="402"/>
      <c r="K615" s="402"/>
      <c r="L615" s="402"/>
      <c r="M615" s="402"/>
      <c r="N615" s="402"/>
      <c r="O615" s="402"/>
      <c r="P615" s="402"/>
      <c r="Q615" s="402"/>
      <c r="R615" s="402"/>
      <c r="S615" s="402"/>
      <c r="T615" s="402"/>
      <c r="U615" s="402"/>
      <c r="V615" s="402"/>
      <c r="W615" s="402"/>
      <c r="X615" s="402"/>
      <c r="Y615" s="402"/>
      <c r="Z615" s="402"/>
      <c r="AA615" s="405"/>
      <c r="AB615" s="405"/>
    </row>
    <row r="616" ht="14.25" customHeight="1">
      <c r="A616" s="406">
        <v>45509.0</v>
      </c>
      <c r="B616" s="343" t="s">
        <v>915</v>
      </c>
      <c r="C616" s="344" t="s">
        <v>916</v>
      </c>
      <c r="D616" s="344" t="s">
        <v>54</v>
      </c>
      <c r="E616" s="344" t="s">
        <v>1143</v>
      </c>
      <c r="F616" s="442">
        <v>29648.96</v>
      </c>
      <c r="G616" s="413">
        <v>32290.0</v>
      </c>
      <c r="H616" s="349" t="s">
        <v>1292</v>
      </c>
      <c r="I616" s="404" t="str">
        <f t="shared" si="8"/>
        <v>FULLY PAID</v>
      </c>
      <c r="J616" s="402"/>
      <c r="K616" s="402"/>
      <c r="L616" s="402"/>
      <c r="M616" s="402"/>
      <c r="N616" s="402"/>
      <c r="O616" s="402"/>
      <c r="P616" s="402"/>
      <c r="Q616" s="402"/>
      <c r="R616" s="402"/>
      <c r="S616" s="402"/>
      <c r="T616" s="402"/>
      <c r="U616" s="402"/>
      <c r="V616" s="402"/>
      <c r="W616" s="402"/>
      <c r="X616" s="402"/>
      <c r="Y616" s="402"/>
      <c r="Z616" s="402"/>
      <c r="AA616" s="405"/>
      <c r="AB616" s="405"/>
    </row>
    <row r="617" ht="14.25" customHeight="1">
      <c r="A617" s="406">
        <v>45509.0</v>
      </c>
      <c r="B617" s="343" t="s">
        <v>1012</v>
      </c>
      <c r="C617" s="344" t="s">
        <v>1013</v>
      </c>
      <c r="D617" s="344" t="s">
        <v>75</v>
      </c>
      <c r="E617" s="344" t="s">
        <v>1143</v>
      </c>
      <c r="F617" s="430">
        <v>260725.0</v>
      </c>
      <c r="G617" s="413">
        <v>0.0</v>
      </c>
      <c r="H617" s="349" t="s">
        <v>1293</v>
      </c>
      <c r="I617" s="404" t="str">
        <f t="shared" si="8"/>
        <v>NOT PAID</v>
      </c>
      <c r="J617" s="402"/>
      <c r="K617" s="402"/>
      <c r="L617" s="402"/>
      <c r="M617" s="402"/>
      <c r="N617" s="402"/>
      <c r="O617" s="402"/>
      <c r="P617" s="402"/>
      <c r="Q617" s="402"/>
      <c r="R617" s="402"/>
      <c r="S617" s="402"/>
      <c r="T617" s="402"/>
      <c r="U617" s="402"/>
      <c r="V617" s="402"/>
      <c r="W617" s="402"/>
      <c r="X617" s="402"/>
      <c r="Y617" s="402"/>
      <c r="Z617" s="402"/>
      <c r="AA617" s="405"/>
      <c r="AB617" s="405"/>
    </row>
    <row r="618" ht="14.25" customHeight="1">
      <c r="A618" s="406">
        <v>45509.0</v>
      </c>
      <c r="B618" s="349" t="s">
        <v>698</v>
      </c>
      <c r="C618" s="349" t="s">
        <v>1167</v>
      </c>
      <c r="D618" s="349" t="s">
        <v>54</v>
      </c>
      <c r="E618" s="349" t="s">
        <v>1168</v>
      </c>
      <c r="F618" s="413">
        <v>13861.16</v>
      </c>
      <c r="G618" s="403"/>
      <c r="H618" s="487" t="s">
        <v>1294</v>
      </c>
      <c r="I618" s="404" t="str">
        <f t="shared" si="8"/>
        <v>NOT PAID</v>
      </c>
      <c r="J618" s="402"/>
      <c r="K618" s="402"/>
      <c r="L618" s="402"/>
      <c r="M618" s="402"/>
      <c r="N618" s="402"/>
      <c r="O618" s="402"/>
      <c r="P618" s="402"/>
      <c r="Q618" s="402"/>
      <c r="R618" s="402"/>
      <c r="S618" s="402"/>
      <c r="T618" s="402"/>
      <c r="U618" s="402"/>
      <c r="V618" s="402"/>
      <c r="W618" s="402"/>
      <c r="X618" s="402"/>
      <c r="Y618" s="402"/>
      <c r="Z618" s="402"/>
      <c r="AA618" s="405"/>
      <c r="AB618" s="405"/>
    </row>
    <row r="619" ht="14.25" customHeight="1">
      <c r="A619" s="406">
        <v>45509.0</v>
      </c>
      <c r="B619" s="349" t="s">
        <v>997</v>
      </c>
      <c r="C619" s="349" t="s">
        <v>998</v>
      </c>
      <c r="D619" s="349" t="s">
        <v>263</v>
      </c>
      <c r="E619" s="349" t="s">
        <v>1168</v>
      </c>
      <c r="F619" s="413">
        <v>81947.25</v>
      </c>
      <c r="G619" s="403"/>
      <c r="H619" s="349" t="s">
        <v>1295</v>
      </c>
      <c r="I619" s="404" t="str">
        <f t="shared" si="8"/>
        <v>NOT PAID</v>
      </c>
      <c r="J619" s="402"/>
      <c r="K619" s="402"/>
      <c r="L619" s="402"/>
      <c r="M619" s="402"/>
      <c r="N619" s="402"/>
      <c r="O619" s="402"/>
      <c r="P619" s="402"/>
      <c r="Q619" s="402"/>
      <c r="R619" s="402"/>
      <c r="S619" s="402"/>
      <c r="T619" s="402"/>
      <c r="U619" s="402"/>
      <c r="V619" s="402"/>
      <c r="W619" s="402"/>
      <c r="X619" s="402"/>
      <c r="Y619" s="402"/>
      <c r="Z619" s="402"/>
      <c r="AA619" s="405"/>
      <c r="AB619" s="405"/>
    </row>
    <row r="620" ht="14.25" customHeight="1">
      <c r="A620" s="406">
        <v>45509.0</v>
      </c>
      <c r="B620" s="343" t="s">
        <v>1223</v>
      </c>
      <c r="C620" s="344" t="s">
        <v>998</v>
      </c>
      <c r="D620" s="344" t="s">
        <v>346</v>
      </c>
      <c r="E620" s="349" t="s">
        <v>1168</v>
      </c>
      <c r="F620" s="452">
        <v>28350.0</v>
      </c>
      <c r="G620" s="403"/>
      <c r="H620" s="349" t="s">
        <v>1296</v>
      </c>
      <c r="I620" s="404" t="str">
        <f t="shared" si="8"/>
        <v>NOT PAID</v>
      </c>
      <c r="J620" s="402"/>
      <c r="K620" s="402"/>
      <c r="L620" s="402"/>
      <c r="M620" s="402"/>
      <c r="N620" s="402"/>
      <c r="O620" s="402"/>
      <c r="P620" s="402"/>
      <c r="Q620" s="402"/>
      <c r="R620" s="402"/>
      <c r="S620" s="402"/>
      <c r="T620" s="402"/>
      <c r="U620" s="402"/>
      <c r="V620" s="402"/>
      <c r="W620" s="402"/>
      <c r="X620" s="402"/>
      <c r="Y620" s="402"/>
      <c r="Z620" s="402"/>
      <c r="AA620" s="405"/>
      <c r="AB620" s="405"/>
    </row>
    <row r="621" ht="14.25" customHeight="1">
      <c r="A621" s="406">
        <v>45509.0</v>
      </c>
      <c r="B621" s="410"/>
      <c r="C621" s="496" t="s">
        <v>1297</v>
      </c>
      <c r="D621" s="349" t="s">
        <v>54</v>
      </c>
      <c r="E621" s="349" t="s">
        <v>1168</v>
      </c>
      <c r="F621" s="416">
        <v>33463.0</v>
      </c>
      <c r="G621" s="413">
        <v>33463.0</v>
      </c>
      <c r="H621" s="402"/>
      <c r="I621" s="404" t="str">
        <f t="shared" si="8"/>
        <v>FULLY PAID</v>
      </c>
      <c r="J621" s="402"/>
      <c r="K621" s="402"/>
      <c r="L621" s="402"/>
      <c r="M621" s="402"/>
      <c r="N621" s="402"/>
      <c r="O621" s="402"/>
      <c r="P621" s="402"/>
      <c r="Q621" s="402"/>
      <c r="R621" s="402"/>
      <c r="S621" s="402"/>
      <c r="T621" s="402"/>
      <c r="U621" s="402"/>
      <c r="V621" s="402"/>
      <c r="W621" s="402"/>
      <c r="X621" s="402"/>
      <c r="Y621" s="402"/>
      <c r="Z621" s="402"/>
      <c r="AA621" s="405"/>
      <c r="AB621" s="405"/>
    </row>
    <row r="622" ht="14.25" customHeight="1">
      <c r="A622" s="406">
        <v>45509.0</v>
      </c>
      <c r="B622" s="349" t="s">
        <v>802</v>
      </c>
      <c r="C622" s="349" t="s">
        <v>803</v>
      </c>
      <c r="D622" s="349" t="s">
        <v>54</v>
      </c>
      <c r="E622" s="349" t="s">
        <v>1298</v>
      </c>
      <c r="F622" s="413">
        <v>900000.0</v>
      </c>
      <c r="G622" s="413">
        <v>647350.0</v>
      </c>
      <c r="H622" s="402"/>
      <c r="I622" s="404" t="str">
        <f t="shared" si="8"/>
        <v>PARTIALLY PAID</v>
      </c>
      <c r="J622" s="402"/>
      <c r="K622" s="402"/>
      <c r="L622" s="402"/>
      <c r="M622" s="402"/>
      <c r="N622" s="402"/>
      <c r="O622" s="402"/>
      <c r="P622" s="402"/>
      <c r="Q622" s="402"/>
      <c r="R622" s="402"/>
      <c r="S622" s="402"/>
      <c r="T622" s="402"/>
      <c r="U622" s="402"/>
      <c r="V622" s="402"/>
      <c r="W622" s="402"/>
      <c r="X622" s="402"/>
      <c r="Y622" s="402"/>
      <c r="Z622" s="402"/>
      <c r="AA622" s="405"/>
      <c r="AB622" s="405"/>
    </row>
    <row r="623" ht="14.25" customHeight="1">
      <c r="A623" s="406"/>
      <c r="B623" s="402"/>
      <c r="C623" s="402"/>
      <c r="D623" s="402"/>
      <c r="E623" s="349"/>
      <c r="F623" s="403"/>
      <c r="G623" s="403"/>
      <c r="H623" s="402"/>
      <c r="I623" s="404" t="str">
        <f t="shared" si="8"/>
        <v>FULLY PAID</v>
      </c>
      <c r="J623" s="402"/>
      <c r="K623" s="402"/>
      <c r="L623" s="402"/>
      <c r="M623" s="402"/>
      <c r="N623" s="402"/>
      <c r="O623" s="402"/>
      <c r="P623" s="402"/>
      <c r="Q623" s="402"/>
      <c r="R623" s="402"/>
      <c r="S623" s="402"/>
      <c r="T623" s="402"/>
      <c r="U623" s="402"/>
      <c r="V623" s="402"/>
      <c r="W623" s="402"/>
      <c r="X623" s="402"/>
      <c r="Y623" s="402"/>
      <c r="Z623" s="402"/>
      <c r="AA623" s="405"/>
      <c r="AB623" s="405"/>
    </row>
    <row r="624" ht="14.25" customHeight="1">
      <c r="A624" s="406"/>
      <c r="B624" s="402"/>
      <c r="C624" s="402"/>
      <c r="D624" s="402"/>
      <c r="E624" s="402"/>
      <c r="F624" s="403"/>
      <c r="G624" s="403"/>
      <c r="H624" s="402"/>
      <c r="I624" s="404" t="str">
        <f t="shared" si="8"/>
        <v>FULLY PAID</v>
      </c>
      <c r="J624" s="402"/>
      <c r="K624" s="402"/>
      <c r="L624" s="402"/>
      <c r="M624" s="402"/>
      <c r="N624" s="402"/>
      <c r="O624" s="402"/>
      <c r="P624" s="402"/>
      <c r="Q624" s="402"/>
      <c r="R624" s="402"/>
      <c r="S624" s="402"/>
      <c r="T624" s="402"/>
      <c r="U624" s="402"/>
      <c r="V624" s="402"/>
      <c r="W624" s="402"/>
      <c r="X624" s="402"/>
      <c r="Y624" s="402"/>
      <c r="Z624" s="402"/>
      <c r="AA624" s="405"/>
      <c r="AB624" s="405"/>
    </row>
    <row r="625" ht="14.25" customHeight="1">
      <c r="A625" s="406"/>
      <c r="B625" s="402"/>
      <c r="C625" s="402"/>
      <c r="D625" s="402"/>
      <c r="E625" s="402"/>
      <c r="F625" s="403"/>
      <c r="G625" s="403"/>
      <c r="H625" s="402"/>
      <c r="I625" s="404" t="str">
        <f t="shared" si="8"/>
        <v>FULLY PAID</v>
      </c>
      <c r="J625" s="402"/>
      <c r="K625" s="402"/>
      <c r="L625" s="402"/>
      <c r="M625" s="402"/>
      <c r="N625" s="402"/>
      <c r="O625" s="402"/>
      <c r="P625" s="402"/>
      <c r="Q625" s="402"/>
      <c r="R625" s="402"/>
      <c r="S625" s="402"/>
      <c r="T625" s="402"/>
      <c r="U625" s="402"/>
      <c r="V625" s="402"/>
      <c r="W625" s="402"/>
      <c r="X625" s="402"/>
      <c r="Y625" s="402"/>
      <c r="Z625" s="402"/>
      <c r="AA625" s="405"/>
      <c r="AB625" s="405"/>
    </row>
    <row r="626" ht="14.25" customHeight="1">
      <c r="A626" s="402"/>
      <c r="B626" s="402"/>
      <c r="C626" s="424" t="s">
        <v>797</v>
      </c>
      <c r="D626" s="402"/>
      <c r="E626" s="402"/>
      <c r="F626" s="403"/>
      <c r="G626" s="403"/>
      <c r="H626" s="402"/>
      <c r="I626" s="404" t="str">
        <f t="shared" si="8"/>
        <v>FULLY PAID</v>
      </c>
      <c r="J626" s="402"/>
      <c r="K626" s="402"/>
      <c r="L626" s="402"/>
      <c r="M626" s="402"/>
      <c r="N626" s="402"/>
      <c r="O626" s="402"/>
      <c r="P626" s="402"/>
      <c r="Q626" s="402"/>
      <c r="R626" s="402"/>
      <c r="S626" s="402"/>
      <c r="T626" s="402"/>
      <c r="U626" s="402"/>
      <c r="V626" s="402"/>
      <c r="W626" s="402"/>
      <c r="X626" s="402"/>
      <c r="Y626" s="402"/>
      <c r="Z626" s="402"/>
      <c r="AA626" s="405"/>
      <c r="AB626" s="405"/>
    </row>
    <row r="627" ht="14.25" customHeight="1">
      <c r="A627" s="406">
        <v>45509.0</v>
      </c>
      <c r="B627" s="349" t="s">
        <v>886</v>
      </c>
      <c r="C627" s="349" t="s">
        <v>1095</v>
      </c>
      <c r="D627" s="349" t="s">
        <v>54</v>
      </c>
      <c r="E627" s="349" t="s">
        <v>1255</v>
      </c>
      <c r="F627" s="413">
        <v>100000.0</v>
      </c>
      <c r="G627" s="403"/>
      <c r="H627" s="349" t="s">
        <v>1299</v>
      </c>
      <c r="I627" s="404" t="str">
        <f t="shared" si="8"/>
        <v>NOT PAID</v>
      </c>
      <c r="J627" s="402"/>
      <c r="K627" s="402"/>
      <c r="L627" s="402"/>
      <c r="M627" s="402"/>
      <c r="N627" s="402"/>
      <c r="O627" s="402"/>
      <c r="P627" s="402"/>
      <c r="Q627" s="402"/>
      <c r="R627" s="402"/>
      <c r="S627" s="402"/>
      <c r="T627" s="402"/>
      <c r="U627" s="402"/>
      <c r="V627" s="402"/>
      <c r="W627" s="402"/>
      <c r="X627" s="402"/>
      <c r="Y627" s="402"/>
      <c r="Z627" s="402"/>
      <c r="AA627" s="405"/>
      <c r="AB627" s="405"/>
    </row>
    <row r="628" ht="14.25" customHeight="1">
      <c r="A628" s="406">
        <v>45509.0</v>
      </c>
      <c r="B628" s="349" t="s">
        <v>800</v>
      </c>
      <c r="C628" s="349" t="s">
        <v>801</v>
      </c>
      <c r="D628" s="349" t="s">
        <v>54</v>
      </c>
      <c r="E628" s="349" t="s">
        <v>1255</v>
      </c>
      <c r="F628" s="413">
        <v>20000.0</v>
      </c>
      <c r="G628" s="403"/>
      <c r="H628" s="349" t="s">
        <v>1300</v>
      </c>
      <c r="I628" s="404" t="str">
        <f t="shared" si="8"/>
        <v>NOT PAID</v>
      </c>
      <c r="J628" s="402"/>
      <c r="K628" s="402"/>
      <c r="L628" s="402"/>
      <c r="M628" s="402"/>
      <c r="N628" s="402"/>
      <c r="O628" s="402"/>
      <c r="P628" s="402"/>
      <c r="Q628" s="402"/>
      <c r="R628" s="402"/>
      <c r="S628" s="402"/>
      <c r="T628" s="402"/>
      <c r="U628" s="402"/>
      <c r="V628" s="402"/>
      <c r="W628" s="402"/>
      <c r="X628" s="402"/>
      <c r="Y628" s="402"/>
      <c r="Z628" s="402"/>
      <c r="AA628" s="405"/>
      <c r="AB628" s="405"/>
    </row>
    <row r="629" ht="14.25" customHeight="1">
      <c r="A629" s="406">
        <v>45509.0</v>
      </c>
      <c r="B629" s="349" t="s">
        <v>1181</v>
      </c>
      <c r="C629" s="349" t="s">
        <v>1182</v>
      </c>
      <c r="D629" s="349" t="s">
        <v>75</v>
      </c>
      <c r="E629" s="349" t="s">
        <v>1255</v>
      </c>
      <c r="F629" s="413">
        <v>700000.0</v>
      </c>
      <c r="G629" s="403"/>
      <c r="H629" s="349" t="s">
        <v>1301</v>
      </c>
      <c r="I629" s="404" t="str">
        <f t="shared" si="8"/>
        <v>NOT PAID</v>
      </c>
      <c r="J629" s="402"/>
      <c r="K629" s="402"/>
      <c r="L629" s="402"/>
      <c r="M629" s="402"/>
      <c r="N629" s="402"/>
      <c r="O629" s="402"/>
      <c r="P629" s="402"/>
      <c r="Q629" s="402"/>
      <c r="R629" s="402"/>
      <c r="S629" s="402"/>
      <c r="T629" s="402"/>
      <c r="U629" s="402"/>
      <c r="V629" s="402"/>
      <c r="W629" s="402"/>
      <c r="X629" s="402"/>
      <c r="Y629" s="402"/>
      <c r="Z629" s="402"/>
      <c r="AA629" s="405"/>
      <c r="AB629" s="405"/>
    </row>
    <row r="630" ht="14.25" customHeight="1">
      <c r="A630" s="406">
        <v>45509.0</v>
      </c>
      <c r="B630" s="349" t="s">
        <v>798</v>
      </c>
      <c r="C630" s="349" t="s">
        <v>799</v>
      </c>
      <c r="D630" s="349" t="s">
        <v>59</v>
      </c>
      <c r="E630" s="349" t="s">
        <v>1302</v>
      </c>
      <c r="F630" s="413">
        <v>1500000.0</v>
      </c>
      <c r="G630" s="403"/>
      <c r="H630" s="349" t="s">
        <v>1303</v>
      </c>
      <c r="I630" s="404" t="str">
        <f t="shared" si="8"/>
        <v>NOT PAID</v>
      </c>
      <c r="J630" s="402"/>
      <c r="K630" s="402"/>
      <c r="L630" s="402"/>
      <c r="M630" s="402"/>
      <c r="N630" s="402"/>
      <c r="O630" s="402"/>
      <c r="P630" s="402"/>
      <c r="Q630" s="402"/>
      <c r="R630" s="402"/>
      <c r="S630" s="402"/>
      <c r="T630" s="402"/>
      <c r="U630" s="402"/>
      <c r="V630" s="402"/>
      <c r="W630" s="402"/>
      <c r="X630" s="402"/>
      <c r="Y630" s="402"/>
      <c r="Z630" s="402"/>
      <c r="AA630" s="405"/>
      <c r="AB630" s="405"/>
    </row>
    <row r="631" ht="14.25" customHeight="1">
      <c r="A631" s="406">
        <v>45509.0</v>
      </c>
      <c r="B631" s="349" t="s">
        <v>846</v>
      </c>
      <c r="C631" s="349" t="s">
        <v>1258</v>
      </c>
      <c r="D631" s="349" t="s">
        <v>54</v>
      </c>
      <c r="E631" s="349" t="s">
        <v>27</v>
      </c>
      <c r="F631" s="413">
        <v>1000000.0</v>
      </c>
      <c r="G631" s="403"/>
      <c r="H631" s="349" t="s">
        <v>1304</v>
      </c>
      <c r="I631" s="404" t="str">
        <f t="shared" si="8"/>
        <v>NOT PAID</v>
      </c>
      <c r="J631" s="402"/>
      <c r="K631" s="402"/>
      <c r="L631" s="402"/>
      <c r="M631" s="402"/>
      <c r="N631" s="402"/>
      <c r="O631" s="402"/>
      <c r="P631" s="402"/>
      <c r="Q631" s="402"/>
      <c r="R631" s="402"/>
      <c r="S631" s="402"/>
      <c r="T631" s="402"/>
      <c r="U631" s="402"/>
      <c r="V631" s="402"/>
      <c r="W631" s="402"/>
      <c r="X631" s="402"/>
      <c r="Y631" s="402"/>
      <c r="Z631" s="402"/>
      <c r="AA631" s="405"/>
      <c r="AB631" s="405"/>
    </row>
    <row r="632" ht="14.25" customHeight="1">
      <c r="A632" s="402"/>
      <c r="B632" s="402"/>
      <c r="C632" s="402"/>
      <c r="D632" s="402"/>
      <c r="E632" s="402"/>
      <c r="F632" s="403"/>
      <c r="G632" s="403"/>
      <c r="H632" s="402"/>
      <c r="I632" s="404" t="str">
        <f t="shared" si="8"/>
        <v>FULLY PAID</v>
      </c>
      <c r="J632" s="402"/>
      <c r="K632" s="402"/>
      <c r="L632" s="402"/>
      <c r="M632" s="402"/>
      <c r="N632" s="402"/>
      <c r="O632" s="402"/>
      <c r="P632" s="402"/>
      <c r="Q632" s="402"/>
      <c r="R632" s="402"/>
      <c r="S632" s="402"/>
      <c r="T632" s="402"/>
      <c r="U632" s="402"/>
      <c r="V632" s="402"/>
      <c r="W632" s="402"/>
      <c r="X632" s="402"/>
      <c r="Y632" s="402"/>
      <c r="Z632" s="402"/>
      <c r="AA632" s="405"/>
      <c r="AB632" s="405"/>
    </row>
    <row r="633" ht="14.25" customHeight="1">
      <c r="A633" s="402"/>
      <c r="B633" s="402"/>
      <c r="C633" s="402"/>
      <c r="D633" s="402"/>
      <c r="E633" s="402"/>
      <c r="F633" s="403"/>
      <c r="G633" s="403"/>
      <c r="H633" s="402"/>
      <c r="I633" s="404" t="str">
        <f t="shared" si="8"/>
        <v>FULLY PAID</v>
      </c>
      <c r="J633" s="402"/>
      <c r="K633" s="402"/>
      <c r="L633" s="402"/>
      <c r="M633" s="402"/>
      <c r="N633" s="402"/>
      <c r="O633" s="402"/>
      <c r="P633" s="402"/>
      <c r="Q633" s="402"/>
      <c r="R633" s="402"/>
      <c r="S633" s="402"/>
      <c r="T633" s="402"/>
      <c r="U633" s="402"/>
      <c r="V633" s="402"/>
      <c r="W633" s="402"/>
      <c r="X633" s="402"/>
      <c r="Y633" s="402"/>
      <c r="Z633" s="402"/>
      <c r="AA633" s="405"/>
      <c r="AB633" s="405"/>
    </row>
    <row r="634" ht="14.25" customHeight="1">
      <c r="A634" s="402"/>
      <c r="B634" s="402"/>
      <c r="C634" s="402"/>
      <c r="D634" s="402"/>
      <c r="E634" s="402"/>
      <c r="F634" s="403"/>
      <c r="G634" s="403"/>
      <c r="H634" s="402"/>
      <c r="I634" s="404" t="str">
        <f t="shared" si="8"/>
        <v>FULLY PAID</v>
      </c>
      <c r="J634" s="402"/>
      <c r="K634" s="402"/>
      <c r="L634" s="402"/>
      <c r="M634" s="402"/>
      <c r="N634" s="402"/>
      <c r="O634" s="402"/>
      <c r="P634" s="402"/>
      <c r="Q634" s="402"/>
      <c r="R634" s="402"/>
      <c r="S634" s="402"/>
      <c r="T634" s="402"/>
      <c r="U634" s="402"/>
      <c r="V634" s="402"/>
      <c r="W634" s="402"/>
      <c r="X634" s="402"/>
      <c r="Y634" s="402"/>
      <c r="Z634" s="402"/>
      <c r="AA634" s="405"/>
      <c r="AB634" s="405"/>
    </row>
    <row r="635" ht="14.25" customHeight="1">
      <c r="A635" s="402"/>
      <c r="B635" s="402"/>
      <c r="C635" s="402"/>
      <c r="D635" s="402"/>
      <c r="E635" s="402"/>
      <c r="F635" s="403"/>
      <c r="G635" s="403"/>
      <c r="H635" s="402"/>
      <c r="I635" s="404" t="str">
        <f t="shared" si="8"/>
        <v>FULLY PAID</v>
      </c>
      <c r="J635" s="402"/>
      <c r="K635" s="402"/>
      <c r="L635" s="402"/>
      <c r="M635" s="402"/>
      <c r="N635" s="402"/>
      <c r="O635" s="402"/>
      <c r="P635" s="402"/>
      <c r="Q635" s="402"/>
      <c r="R635" s="402"/>
      <c r="S635" s="402"/>
      <c r="T635" s="402"/>
      <c r="U635" s="402"/>
      <c r="V635" s="402"/>
      <c r="W635" s="402"/>
      <c r="X635" s="402"/>
      <c r="Y635" s="402"/>
      <c r="Z635" s="402"/>
      <c r="AA635" s="405"/>
      <c r="AB635" s="405"/>
    </row>
    <row r="636" ht="14.25" customHeight="1">
      <c r="A636" s="402"/>
      <c r="B636" s="402"/>
      <c r="C636" s="402"/>
      <c r="D636" s="402"/>
      <c r="E636" s="402"/>
      <c r="F636" s="403"/>
      <c r="G636" s="403"/>
      <c r="H636" s="402"/>
      <c r="I636" s="404" t="str">
        <f t="shared" si="8"/>
        <v>FULLY PAID</v>
      </c>
      <c r="J636" s="402"/>
      <c r="K636" s="402"/>
      <c r="L636" s="402"/>
      <c r="M636" s="402"/>
      <c r="N636" s="402"/>
      <c r="O636" s="402"/>
      <c r="P636" s="402"/>
      <c r="Q636" s="402"/>
      <c r="R636" s="402"/>
      <c r="S636" s="402"/>
      <c r="T636" s="402"/>
      <c r="U636" s="402"/>
      <c r="V636" s="402"/>
      <c r="W636" s="402"/>
      <c r="X636" s="402"/>
      <c r="Y636" s="402"/>
      <c r="Z636" s="402"/>
      <c r="AA636" s="405"/>
      <c r="AB636" s="405"/>
    </row>
    <row r="637" ht="14.25" customHeight="1">
      <c r="A637" s="402"/>
      <c r="B637" s="402"/>
      <c r="C637" s="402"/>
      <c r="D637" s="402"/>
      <c r="E637" s="402"/>
      <c r="F637" s="403"/>
      <c r="G637" s="403"/>
      <c r="H637" s="402"/>
      <c r="I637" s="404" t="str">
        <f t="shared" si="8"/>
        <v>FULLY PAID</v>
      </c>
      <c r="J637" s="402"/>
      <c r="K637" s="402"/>
      <c r="L637" s="402"/>
      <c r="M637" s="402"/>
      <c r="N637" s="402"/>
      <c r="O637" s="402"/>
      <c r="P637" s="402"/>
      <c r="Q637" s="402"/>
      <c r="R637" s="402"/>
      <c r="S637" s="402"/>
      <c r="T637" s="402"/>
      <c r="U637" s="402"/>
      <c r="V637" s="402"/>
      <c r="W637" s="402"/>
      <c r="X637" s="402"/>
      <c r="Y637" s="402"/>
      <c r="Z637" s="402"/>
      <c r="AA637" s="405"/>
      <c r="AB637" s="405"/>
    </row>
    <row r="638" ht="14.25" customHeight="1">
      <c r="A638" s="402"/>
      <c r="B638" s="461">
        <v>45451.0</v>
      </c>
      <c r="C638" s="402"/>
      <c r="D638" s="402"/>
      <c r="E638" s="402"/>
      <c r="F638" s="403"/>
      <c r="G638" s="403"/>
      <c r="H638" s="402"/>
      <c r="I638" s="404" t="str">
        <f t="shared" si="8"/>
        <v>FULLY PAID</v>
      </c>
      <c r="J638" s="402"/>
      <c r="K638" s="402"/>
      <c r="L638" s="402"/>
      <c r="M638" s="402"/>
      <c r="N638" s="402"/>
      <c r="O638" s="402"/>
      <c r="P638" s="402"/>
      <c r="Q638" s="402"/>
      <c r="R638" s="402"/>
      <c r="S638" s="402"/>
      <c r="T638" s="402"/>
      <c r="U638" s="402"/>
      <c r="V638" s="402"/>
      <c r="W638" s="402"/>
      <c r="X638" s="402"/>
      <c r="Y638" s="402"/>
      <c r="Z638" s="402"/>
      <c r="AA638" s="405"/>
      <c r="AB638" s="405"/>
    </row>
    <row r="639" ht="14.25" customHeight="1">
      <c r="A639" s="497">
        <v>45510.0</v>
      </c>
      <c r="B639" s="349" t="s">
        <v>777</v>
      </c>
      <c r="C639" s="349" t="s">
        <v>778</v>
      </c>
      <c r="D639" s="349" t="s">
        <v>54</v>
      </c>
      <c r="E639" s="349" t="s">
        <v>1098</v>
      </c>
      <c r="F639" s="413">
        <v>24000.0</v>
      </c>
      <c r="G639" s="403"/>
      <c r="H639" s="498" t="s">
        <v>1260</v>
      </c>
      <c r="I639" s="404" t="str">
        <f t="shared" si="8"/>
        <v>NOT PAID</v>
      </c>
      <c r="J639" s="402"/>
      <c r="K639" s="402"/>
      <c r="L639" s="402"/>
      <c r="M639" s="402"/>
      <c r="N639" s="402"/>
      <c r="O639" s="402"/>
      <c r="P639" s="402"/>
      <c r="Q639" s="402"/>
      <c r="R639" s="402"/>
      <c r="S639" s="402"/>
      <c r="T639" s="402"/>
      <c r="U639" s="402"/>
      <c r="V639" s="402"/>
      <c r="W639" s="402"/>
      <c r="X639" s="402"/>
      <c r="Y639" s="402"/>
      <c r="Z639" s="402"/>
      <c r="AA639" s="405"/>
      <c r="AB639" s="405"/>
    </row>
    <row r="640" ht="14.25" customHeight="1">
      <c r="A640" s="497">
        <v>45510.0</v>
      </c>
      <c r="B640" s="349" t="s">
        <v>841</v>
      </c>
      <c r="C640" s="349" t="s">
        <v>842</v>
      </c>
      <c r="D640" s="349" t="s">
        <v>54</v>
      </c>
      <c r="E640" s="349" t="s">
        <v>1098</v>
      </c>
      <c r="F640" s="413">
        <v>8249.07</v>
      </c>
      <c r="G640" s="403"/>
      <c r="H640" s="498" t="s">
        <v>1193</v>
      </c>
      <c r="I640" s="404" t="str">
        <f t="shared" si="8"/>
        <v>NOT PAID</v>
      </c>
      <c r="J640" s="402"/>
      <c r="K640" s="402"/>
      <c r="L640" s="402"/>
      <c r="M640" s="402"/>
      <c r="N640" s="402"/>
      <c r="O640" s="402"/>
      <c r="P640" s="402"/>
      <c r="Q640" s="402"/>
      <c r="R640" s="402"/>
      <c r="S640" s="402"/>
      <c r="T640" s="402"/>
      <c r="U640" s="402"/>
      <c r="V640" s="402"/>
      <c r="W640" s="402"/>
      <c r="X640" s="402"/>
      <c r="Y640" s="402"/>
      <c r="Z640" s="402"/>
      <c r="AA640" s="405"/>
      <c r="AB640" s="405"/>
    </row>
    <row r="641" ht="14.25" customHeight="1">
      <c r="A641" s="497">
        <v>45510.0</v>
      </c>
      <c r="B641" s="349" t="s">
        <v>807</v>
      </c>
      <c r="C641" s="349" t="s">
        <v>808</v>
      </c>
      <c r="D641" s="349" t="s">
        <v>54</v>
      </c>
      <c r="E641" s="349" t="s">
        <v>1098</v>
      </c>
      <c r="F641" s="413">
        <v>1674.75</v>
      </c>
      <c r="G641" s="403"/>
      <c r="H641" s="349" t="s">
        <v>1194</v>
      </c>
      <c r="I641" s="499" t="str">
        <f t="shared" si="8"/>
        <v>NOT PAID</v>
      </c>
      <c r="J641" s="402"/>
      <c r="K641" s="402"/>
      <c r="L641" s="402"/>
      <c r="M641" s="402"/>
      <c r="N641" s="402"/>
      <c r="O641" s="402"/>
      <c r="P641" s="402"/>
      <c r="Q641" s="402"/>
      <c r="R641" s="402"/>
      <c r="S641" s="402"/>
      <c r="T641" s="402"/>
      <c r="U641" s="402"/>
      <c r="V641" s="402"/>
      <c r="W641" s="402"/>
      <c r="X641" s="402"/>
      <c r="Y641" s="402"/>
      <c r="Z641" s="402"/>
      <c r="AA641" s="405"/>
      <c r="AB641" s="405"/>
    </row>
    <row r="642" ht="14.25" customHeight="1">
      <c r="A642" s="497">
        <v>45510.0</v>
      </c>
      <c r="B642" s="349" t="s">
        <v>1107</v>
      </c>
      <c r="C642" s="349" t="s">
        <v>1108</v>
      </c>
      <c r="D642" s="349" t="s">
        <v>54</v>
      </c>
      <c r="E642" s="349" t="s">
        <v>1098</v>
      </c>
      <c r="F642" s="413">
        <v>13412.56</v>
      </c>
      <c r="G642" s="403"/>
      <c r="H642" s="413" t="s">
        <v>1305</v>
      </c>
      <c r="I642" s="404" t="str">
        <f t="shared" si="8"/>
        <v>NOT PAID</v>
      </c>
      <c r="J642" s="402"/>
      <c r="K642" s="402"/>
      <c r="L642" s="402"/>
      <c r="M642" s="402"/>
      <c r="N642" s="402"/>
      <c r="O642" s="402"/>
      <c r="P642" s="402"/>
      <c r="Q642" s="402"/>
      <c r="R642" s="402"/>
      <c r="S642" s="402"/>
      <c r="T642" s="402"/>
      <c r="U642" s="402"/>
      <c r="V642" s="402"/>
      <c r="W642" s="402"/>
      <c r="X642" s="402"/>
      <c r="Y642" s="402"/>
      <c r="Z642" s="402"/>
      <c r="AA642" s="405"/>
      <c r="AB642" s="405"/>
    </row>
    <row r="643" ht="14.25" customHeight="1">
      <c r="A643" s="497">
        <v>45510.0</v>
      </c>
      <c r="B643" s="349" t="s">
        <v>705</v>
      </c>
      <c r="C643" s="349" t="s">
        <v>1110</v>
      </c>
      <c r="D643" s="349" t="s">
        <v>54</v>
      </c>
      <c r="E643" s="349" t="s">
        <v>1098</v>
      </c>
      <c r="F643" s="413">
        <v>6709.6</v>
      </c>
      <c r="G643" s="403"/>
      <c r="H643" s="349" t="s">
        <v>1306</v>
      </c>
      <c r="I643" s="404" t="str">
        <f t="shared" si="8"/>
        <v>NOT PAID</v>
      </c>
      <c r="J643" s="402"/>
      <c r="K643" s="402"/>
      <c r="L643" s="402"/>
      <c r="M643" s="402"/>
      <c r="N643" s="402"/>
      <c r="O643" s="402"/>
      <c r="P643" s="402"/>
      <c r="Q643" s="402"/>
      <c r="R643" s="402"/>
      <c r="S643" s="402"/>
      <c r="T643" s="402"/>
      <c r="U643" s="402"/>
      <c r="V643" s="402"/>
      <c r="W643" s="402"/>
      <c r="X643" s="402"/>
      <c r="Y643" s="402"/>
      <c r="Z643" s="402"/>
      <c r="AA643" s="405"/>
      <c r="AB643" s="405"/>
    </row>
    <row r="644" ht="14.25" customHeight="1">
      <c r="A644" s="497">
        <v>45510.0</v>
      </c>
      <c r="B644" s="349" t="s">
        <v>711</v>
      </c>
      <c r="C644" s="349" t="s">
        <v>1123</v>
      </c>
      <c r="D644" s="349" t="s">
        <v>75</v>
      </c>
      <c r="E644" s="349" t="s">
        <v>1098</v>
      </c>
      <c r="F644" s="413">
        <v>66556.61</v>
      </c>
      <c r="G644" s="403"/>
      <c r="H644" s="349" t="s">
        <v>1307</v>
      </c>
      <c r="I644" s="404" t="str">
        <f t="shared" si="8"/>
        <v>NOT PAID</v>
      </c>
      <c r="J644" s="402"/>
      <c r="K644" s="402"/>
      <c r="L644" s="402"/>
      <c r="M644" s="402"/>
      <c r="N644" s="402"/>
      <c r="O644" s="402"/>
      <c r="P644" s="402"/>
      <c r="Q644" s="402"/>
      <c r="R644" s="402"/>
      <c r="S644" s="402"/>
      <c r="T644" s="402"/>
      <c r="U644" s="402"/>
      <c r="V644" s="402"/>
      <c r="W644" s="402"/>
      <c r="X644" s="402"/>
      <c r="Y644" s="402"/>
      <c r="Z644" s="402"/>
      <c r="AA644" s="405"/>
      <c r="AB644" s="405"/>
    </row>
    <row r="645" ht="14.25" customHeight="1">
      <c r="A645" s="497">
        <v>45510.0</v>
      </c>
      <c r="B645" s="349" t="s">
        <v>701</v>
      </c>
      <c r="C645" s="349" t="s">
        <v>702</v>
      </c>
      <c r="D645" s="349" t="s">
        <v>54</v>
      </c>
      <c r="E645" s="349" t="s">
        <v>1098</v>
      </c>
      <c r="F645" s="413">
        <v>17124.66</v>
      </c>
      <c r="G645" s="403"/>
      <c r="H645" s="413" t="s">
        <v>1308</v>
      </c>
      <c r="I645" s="404" t="str">
        <f t="shared" si="8"/>
        <v>NOT PAID</v>
      </c>
      <c r="J645" s="402"/>
      <c r="K645" s="402"/>
      <c r="L645" s="402"/>
      <c r="M645" s="402"/>
      <c r="N645" s="402"/>
      <c r="O645" s="402"/>
      <c r="P645" s="402"/>
      <c r="Q645" s="402"/>
      <c r="R645" s="402"/>
      <c r="S645" s="402"/>
      <c r="T645" s="402"/>
      <c r="U645" s="402"/>
      <c r="V645" s="402"/>
      <c r="W645" s="402"/>
      <c r="X645" s="402"/>
      <c r="Y645" s="402"/>
      <c r="Z645" s="402"/>
      <c r="AA645" s="405"/>
      <c r="AB645" s="405"/>
    </row>
    <row r="646" ht="14.25" customHeight="1">
      <c r="A646" s="497">
        <v>45510.0</v>
      </c>
      <c r="B646" s="492" t="s">
        <v>990</v>
      </c>
      <c r="C646" s="493" t="s">
        <v>991</v>
      </c>
      <c r="D646" s="493" t="s">
        <v>75</v>
      </c>
      <c r="E646" s="349" t="s">
        <v>1098</v>
      </c>
      <c r="F646" s="494">
        <v>138261.25</v>
      </c>
      <c r="G646" s="403"/>
      <c r="H646" s="413" t="s">
        <v>1309</v>
      </c>
      <c r="I646" s="404" t="str">
        <f t="shared" si="8"/>
        <v>NOT PAID</v>
      </c>
      <c r="J646" s="402"/>
      <c r="K646" s="402"/>
      <c r="L646" s="402"/>
      <c r="M646" s="402"/>
      <c r="N646" s="402"/>
      <c r="O646" s="402"/>
      <c r="P646" s="402"/>
      <c r="Q646" s="402"/>
      <c r="R646" s="402"/>
      <c r="S646" s="402"/>
      <c r="T646" s="402"/>
      <c r="U646" s="402"/>
      <c r="V646" s="402"/>
      <c r="W646" s="402"/>
      <c r="X646" s="402"/>
      <c r="Y646" s="402"/>
      <c r="Z646" s="402"/>
      <c r="AA646" s="405"/>
      <c r="AB646" s="405"/>
    </row>
    <row r="647" ht="14.25" customHeight="1">
      <c r="A647" s="497">
        <v>45510.0</v>
      </c>
      <c r="B647" s="349" t="s">
        <v>1120</v>
      </c>
      <c r="C647" s="349" t="s">
        <v>1121</v>
      </c>
      <c r="D647" s="349" t="s">
        <v>346</v>
      </c>
      <c r="E647" s="349" t="s">
        <v>1098</v>
      </c>
      <c r="F647" s="413">
        <v>32479.34</v>
      </c>
      <c r="G647" s="403"/>
      <c r="H647" s="413" t="s">
        <v>1310</v>
      </c>
      <c r="I647" s="404" t="str">
        <f t="shared" si="8"/>
        <v>NOT PAID</v>
      </c>
      <c r="J647" s="402"/>
      <c r="K647" s="402"/>
      <c r="L647" s="402"/>
      <c r="M647" s="402"/>
      <c r="N647" s="402"/>
      <c r="O647" s="402"/>
      <c r="P647" s="402"/>
      <c r="Q647" s="402"/>
      <c r="R647" s="402"/>
      <c r="S647" s="402"/>
      <c r="T647" s="402"/>
      <c r="U647" s="402"/>
      <c r="V647" s="402"/>
      <c r="W647" s="402"/>
      <c r="X647" s="402"/>
      <c r="Y647" s="402"/>
      <c r="Z647" s="402"/>
      <c r="AA647" s="405"/>
      <c r="AB647" s="405"/>
    </row>
    <row r="648" ht="14.25" customHeight="1">
      <c r="A648" s="497">
        <v>45510.0</v>
      </c>
      <c r="B648" s="492" t="s">
        <v>729</v>
      </c>
      <c r="C648" s="493" t="s">
        <v>995</v>
      </c>
      <c r="D648" s="493" t="s">
        <v>54</v>
      </c>
      <c r="E648" s="349" t="s">
        <v>1098</v>
      </c>
      <c r="F648" s="494">
        <v>357832.09</v>
      </c>
      <c r="G648" s="403"/>
      <c r="H648" s="413" t="s">
        <v>1311</v>
      </c>
      <c r="I648" s="404" t="str">
        <f t="shared" si="8"/>
        <v>NOT PAID</v>
      </c>
      <c r="J648" s="402"/>
      <c r="K648" s="402"/>
      <c r="L648" s="402"/>
      <c r="M648" s="402"/>
      <c r="N648" s="402"/>
      <c r="O648" s="402"/>
      <c r="P648" s="402"/>
      <c r="Q648" s="402"/>
      <c r="R648" s="402"/>
      <c r="S648" s="402"/>
      <c r="T648" s="402"/>
      <c r="U648" s="402"/>
      <c r="V648" s="402"/>
      <c r="W648" s="402"/>
      <c r="X648" s="402"/>
      <c r="Y648" s="402"/>
      <c r="Z648" s="402"/>
      <c r="AA648" s="405"/>
      <c r="AB648" s="405"/>
    </row>
    <row r="649" ht="14.25" customHeight="1">
      <c r="A649" s="497">
        <v>45510.0</v>
      </c>
      <c r="B649" s="349" t="s">
        <v>738</v>
      </c>
      <c r="C649" s="349" t="s">
        <v>739</v>
      </c>
      <c r="D649" s="349" t="s">
        <v>54</v>
      </c>
      <c r="E649" s="349" t="s">
        <v>1153</v>
      </c>
      <c r="F649" s="413">
        <v>255275.8</v>
      </c>
      <c r="G649" s="413">
        <v>255276.0</v>
      </c>
      <c r="H649" s="413" t="s">
        <v>267</v>
      </c>
      <c r="I649" s="404" t="str">
        <f t="shared" si="8"/>
        <v>FULLY PAID</v>
      </c>
      <c r="J649" s="402"/>
      <c r="K649" s="402"/>
      <c r="L649" s="402"/>
      <c r="M649" s="402"/>
      <c r="N649" s="402"/>
      <c r="O649" s="402"/>
      <c r="P649" s="402"/>
      <c r="Q649" s="402"/>
      <c r="R649" s="402"/>
      <c r="S649" s="402"/>
      <c r="T649" s="402"/>
      <c r="U649" s="402"/>
      <c r="V649" s="402"/>
      <c r="W649" s="402"/>
      <c r="X649" s="402"/>
      <c r="Y649" s="402"/>
      <c r="Z649" s="402"/>
      <c r="AA649" s="405"/>
      <c r="AB649" s="405"/>
    </row>
    <row r="650" ht="14.25" customHeight="1">
      <c r="A650" s="497">
        <v>45510.0</v>
      </c>
      <c r="B650" s="349" t="s">
        <v>1155</v>
      </c>
      <c r="C650" s="349" t="s">
        <v>1156</v>
      </c>
      <c r="D650" s="349" t="s">
        <v>54</v>
      </c>
      <c r="E650" s="349" t="s">
        <v>1153</v>
      </c>
      <c r="F650" s="413">
        <v>268238.3</v>
      </c>
      <c r="G650" s="403"/>
      <c r="H650" s="349" t="s">
        <v>1277</v>
      </c>
      <c r="I650" s="404" t="str">
        <f t="shared" si="8"/>
        <v>NOT PAID</v>
      </c>
      <c r="J650" s="402"/>
      <c r="K650" s="402"/>
      <c r="L650" s="402"/>
      <c r="M650" s="402"/>
      <c r="N650" s="402"/>
      <c r="O650" s="402"/>
      <c r="P650" s="402"/>
      <c r="Q650" s="402"/>
      <c r="R650" s="402"/>
      <c r="S650" s="402"/>
      <c r="T650" s="402"/>
      <c r="U650" s="402"/>
      <c r="V650" s="402"/>
      <c r="W650" s="402"/>
      <c r="X650" s="402"/>
      <c r="Y650" s="402"/>
      <c r="Z650" s="402"/>
      <c r="AA650" s="405"/>
      <c r="AB650" s="405"/>
    </row>
    <row r="651" ht="14.25" customHeight="1">
      <c r="A651" s="497">
        <v>45510.0</v>
      </c>
      <c r="B651" s="349" t="s">
        <v>960</v>
      </c>
      <c r="C651" s="349" t="s">
        <v>961</v>
      </c>
      <c r="D651" s="349" t="s">
        <v>54</v>
      </c>
      <c r="E651" s="349" t="s">
        <v>1153</v>
      </c>
      <c r="F651" s="413">
        <v>100000.0</v>
      </c>
      <c r="G651" s="403"/>
      <c r="H651" s="413" t="s">
        <v>1312</v>
      </c>
      <c r="I651" s="404" t="str">
        <f t="shared" si="8"/>
        <v>NOT PAID</v>
      </c>
      <c r="J651" s="402"/>
      <c r="K651" s="402"/>
      <c r="L651" s="402"/>
      <c r="M651" s="402"/>
      <c r="N651" s="402"/>
      <c r="O651" s="402"/>
      <c r="P651" s="402"/>
      <c r="Q651" s="402"/>
      <c r="R651" s="402"/>
      <c r="S651" s="402"/>
      <c r="T651" s="402"/>
      <c r="U651" s="402"/>
      <c r="V651" s="402"/>
      <c r="W651" s="402"/>
      <c r="X651" s="402"/>
      <c r="Y651" s="402"/>
      <c r="Z651" s="402"/>
      <c r="AA651" s="405"/>
      <c r="AB651" s="405"/>
    </row>
    <row r="652" ht="14.25" customHeight="1">
      <c r="A652" s="497">
        <v>45510.0</v>
      </c>
      <c r="B652" s="349" t="s">
        <v>825</v>
      </c>
      <c r="C652" s="349" t="s">
        <v>826</v>
      </c>
      <c r="D652" s="349" t="s">
        <v>54</v>
      </c>
      <c r="E652" s="349" t="s">
        <v>1153</v>
      </c>
      <c r="F652" s="413">
        <v>243330.94</v>
      </c>
      <c r="G652" s="413"/>
      <c r="H652" s="413" t="s">
        <v>1313</v>
      </c>
      <c r="I652" s="404" t="str">
        <f t="shared" si="8"/>
        <v>NOT PAID</v>
      </c>
      <c r="J652" s="402"/>
      <c r="K652" s="402"/>
      <c r="L652" s="402"/>
      <c r="M652" s="402"/>
      <c r="N652" s="402"/>
      <c r="O652" s="402"/>
      <c r="P652" s="402"/>
      <c r="Q652" s="402"/>
      <c r="R652" s="402"/>
      <c r="S652" s="402"/>
      <c r="T652" s="402"/>
      <c r="U652" s="402"/>
      <c r="V652" s="402"/>
      <c r="W652" s="402"/>
      <c r="X652" s="402"/>
      <c r="Y652" s="402"/>
      <c r="Z652" s="402"/>
      <c r="AA652" s="405"/>
      <c r="AB652" s="405"/>
    </row>
    <row r="653" ht="14.25" customHeight="1">
      <c r="A653" s="497">
        <v>45510.0</v>
      </c>
      <c r="B653" s="349" t="s">
        <v>731</v>
      </c>
      <c r="C653" s="349" t="s">
        <v>732</v>
      </c>
      <c r="D653" s="349" t="s">
        <v>54</v>
      </c>
      <c r="E653" s="349" t="s">
        <v>1139</v>
      </c>
      <c r="F653" s="413">
        <v>5699.17</v>
      </c>
      <c r="G653" s="413">
        <v>1000.0</v>
      </c>
      <c r="H653" s="349" t="s">
        <v>1314</v>
      </c>
      <c r="I653" s="404" t="str">
        <f t="shared" si="8"/>
        <v>PARTIALLY PAID</v>
      </c>
      <c r="J653" s="402"/>
      <c r="K653" s="402"/>
      <c r="L653" s="402"/>
      <c r="M653" s="402"/>
      <c r="N653" s="402"/>
      <c r="O653" s="402"/>
      <c r="P653" s="402"/>
      <c r="Q653" s="402"/>
      <c r="R653" s="402"/>
      <c r="S653" s="402"/>
      <c r="T653" s="402"/>
      <c r="U653" s="402"/>
      <c r="V653" s="402"/>
      <c r="W653" s="402"/>
      <c r="X653" s="402"/>
      <c r="Y653" s="402"/>
      <c r="Z653" s="402"/>
      <c r="AA653" s="405"/>
      <c r="AB653" s="405"/>
    </row>
    <row r="654" ht="14.25" customHeight="1">
      <c r="A654" s="497">
        <v>45510.0</v>
      </c>
      <c r="B654" s="349" t="s">
        <v>918</v>
      </c>
      <c r="C654" s="349" t="s">
        <v>919</v>
      </c>
      <c r="D654" s="349" t="s">
        <v>54</v>
      </c>
      <c r="E654" s="349" t="s">
        <v>1139</v>
      </c>
      <c r="F654" s="413">
        <v>31090.65</v>
      </c>
      <c r="G654" s="413">
        <v>0.0</v>
      </c>
      <c r="H654" s="413" t="s">
        <v>1315</v>
      </c>
      <c r="I654" s="404" t="str">
        <f t="shared" si="8"/>
        <v>NOT PAID</v>
      </c>
      <c r="J654" s="402"/>
      <c r="K654" s="402"/>
      <c r="L654" s="402"/>
      <c r="M654" s="402"/>
      <c r="N654" s="402"/>
      <c r="O654" s="402"/>
      <c r="P654" s="402"/>
      <c r="Q654" s="402"/>
      <c r="R654" s="402"/>
      <c r="S654" s="402"/>
      <c r="T654" s="402"/>
      <c r="U654" s="402"/>
      <c r="V654" s="402"/>
      <c r="W654" s="402"/>
      <c r="X654" s="402"/>
      <c r="Y654" s="402"/>
      <c r="Z654" s="402"/>
      <c r="AA654" s="405"/>
      <c r="AB654" s="405"/>
    </row>
    <row r="655" ht="14.25" customHeight="1">
      <c r="A655" s="497">
        <v>45510.0</v>
      </c>
      <c r="B655" s="349" t="s">
        <v>877</v>
      </c>
      <c r="C655" s="349" t="s">
        <v>878</v>
      </c>
      <c r="D655" s="349" t="s">
        <v>54</v>
      </c>
      <c r="E655" s="349" t="s">
        <v>1139</v>
      </c>
      <c r="F655" s="413">
        <v>86110.69</v>
      </c>
      <c r="G655" s="413">
        <v>0.0</v>
      </c>
      <c r="H655" s="413" t="s">
        <v>1316</v>
      </c>
      <c r="I655" s="404" t="str">
        <f t="shared" si="8"/>
        <v>NOT PAID</v>
      </c>
      <c r="J655" s="402"/>
      <c r="K655" s="402"/>
      <c r="L655" s="402"/>
      <c r="M655" s="402"/>
      <c r="N655" s="402"/>
      <c r="O655" s="402"/>
      <c r="P655" s="402"/>
      <c r="Q655" s="402"/>
      <c r="R655" s="402"/>
      <c r="S655" s="402"/>
      <c r="T655" s="402"/>
      <c r="U655" s="402"/>
      <c r="V655" s="402"/>
      <c r="W655" s="402"/>
      <c r="X655" s="402"/>
      <c r="Y655" s="402"/>
      <c r="Z655" s="402"/>
      <c r="AA655" s="405"/>
      <c r="AB655" s="405"/>
    </row>
    <row r="656" ht="14.25" customHeight="1">
      <c r="A656" s="497">
        <v>45510.0</v>
      </c>
      <c r="B656" s="349" t="s">
        <v>1137</v>
      </c>
      <c r="C656" s="349" t="s">
        <v>1138</v>
      </c>
      <c r="D656" s="349" t="s">
        <v>54</v>
      </c>
      <c r="E656" s="349" t="s">
        <v>1139</v>
      </c>
      <c r="F656" s="413">
        <v>5721.98</v>
      </c>
      <c r="G656" s="413">
        <v>0.0</v>
      </c>
      <c r="H656" s="349" t="s">
        <v>1286</v>
      </c>
      <c r="I656" s="404" t="str">
        <f t="shared" si="8"/>
        <v>NOT PAID</v>
      </c>
      <c r="J656" s="402"/>
      <c r="K656" s="402"/>
      <c r="L656" s="402"/>
      <c r="M656" s="402"/>
      <c r="N656" s="402"/>
      <c r="O656" s="402"/>
      <c r="P656" s="402"/>
      <c r="Q656" s="402"/>
      <c r="R656" s="402"/>
      <c r="S656" s="402"/>
      <c r="T656" s="402"/>
      <c r="U656" s="402"/>
      <c r="V656" s="402"/>
      <c r="W656" s="402"/>
      <c r="X656" s="402"/>
      <c r="Y656" s="402"/>
      <c r="Z656" s="402"/>
      <c r="AA656" s="405"/>
      <c r="AB656" s="405"/>
    </row>
    <row r="657" ht="14.25" customHeight="1">
      <c r="A657" s="497">
        <v>45510.0</v>
      </c>
      <c r="B657" s="349" t="s">
        <v>1006</v>
      </c>
      <c r="C657" s="349" t="s">
        <v>1007</v>
      </c>
      <c r="D657" s="349" t="s">
        <v>75</v>
      </c>
      <c r="E657" s="349" t="s">
        <v>1139</v>
      </c>
      <c r="F657" s="413">
        <v>181125.0</v>
      </c>
      <c r="G657" s="413">
        <v>0.0</v>
      </c>
      <c r="H657" s="413" t="s">
        <v>1317</v>
      </c>
      <c r="I657" s="404" t="str">
        <f t="shared" si="8"/>
        <v>NOT PAID</v>
      </c>
      <c r="J657" s="402"/>
      <c r="K657" s="402"/>
      <c r="L657" s="402"/>
      <c r="M657" s="402"/>
      <c r="N657" s="402"/>
      <c r="O657" s="402"/>
      <c r="P657" s="402"/>
      <c r="Q657" s="402"/>
      <c r="R657" s="402"/>
      <c r="S657" s="402"/>
      <c r="T657" s="402"/>
      <c r="U657" s="402"/>
      <c r="V657" s="402"/>
      <c r="W657" s="402"/>
      <c r="X657" s="402"/>
      <c r="Y657" s="402"/>
      <c r="Z657" s="402"/>
      <c r="AA657" s="405"/>
      <c r="AB657" s="405"/>
    </row>
    <row r="658" ht="14.25" customHeight="1">
      <c r="A658" s="497">
        <v>45510.0</v>
      </c>
      <c r="B658" s="349" t="s">
        <v>783</v>
      </c>
      <c r="C658" s="349" t="s">
        <v>784</v>
      </c>
      <c r="D658" s="349" t="s">
        <v>54</v>
      </c>
      <c r="E658" s="349" t="s">
        <v>1139</v>
      </c>
      <c r="F658" s="413">
        <v>27715.83</v>
      </c>
      <c r="G658" s="413">
        <v>0.0</v>
      </c>
      <c r="H658" s="349" t="s">
        <v>1288</v>
      </c>
      <c r="I658" s="404" t="str">
        <f t="shared" si="8"/>
        <v>NOT PAID</v>
      </c>
      <c r="J658" s="402"/>
      <c r="K658" s="402"/>
      <c r="L658" s="402"/>
      <c r="M658" s="402"/>
      <c r="N658" s="402"/>
      <c r="O658" s="402"/>
      <c r="P658" s="402"/>
      <c r="Q658" s="402"/>
      <c r="R658" s="402"/>
      <c r="S658" s="402"/>
      <c r="T658" s="402"/>
      <c r="U658" s="402"/>
      <c r="V658" s="402"/>
      <c r="W658" s="402"/>
      <c r="X658" s="402"/>
      <c r="Y658" s="402"/>
      <c r="Z658" s="402"/>
      <c r="AA658" s="405"/>
      <c r="AB658" s="405"/>
    </row>
    <row r="659" ht="14.25" customHeight="1">
      <c r="A659" s="497">
        <v>45510.0</v>
      </c>
      <c r="B659" s="407" t="s">
        <v>1318</v>
      </c>
      <c r="C659" s="408" t="s">
        <v>1319</v>
      </c>
      <c r="D659" s="420" t="s">
        <v>467</v>
      </c>
      <c r="E659" s="408" t="s">
        <v>1139</v>
      </c>
      <c r="F659" s="428">
        <v>435548.96</v>
      </c>
      <c r="G659" s="413">
        <v>484761.0</v>
      </c>
      <c r="H659" s="413" t="s">
        <v>1320</v>
      </c>
      <c r="I659" s="404" t="str">
        <f t="shared" si="8"/>
        <v>FULLY PAID</v>
      </c>
      <c r="J659" s="402"/>
      <c r="K659" s="402"/>
      <c r="L659" s="402"/>
      <c r="M659" s="402"/>
      <c r="N659" s="402"/>
      <c r="O659" s="402"/>
      <c r="P659" s="402"/>
      <c r="Q659" s="402"/>
      <c r="R659" s="402"/>
      <c r="S659" s="402"/>
      <c r="T659" s="402"/>
      <c r="U659" s="402"/>
      <c r="V659" s="402"/>
      <c r="W659" s="402"/>
      <c r="X659" s="402"/>
      <c r="Y659" s="402"/>
      <c r="Z659" s="402"/>
      <c r="AA659" s="405"/>
      <c r="AB659" s="405"/>
    </row>
    <row r="660" ht="14.25" customHeight="1">
      <c r="A660" s="497">
        <v>45510.0</v>
      </c>
      <c r="B660" s="419" t="s">
        <v>1321</v>
      </c>
      <c r="C660" s="420" t="s">
        <v>1319</v>
      </c>
      <c r="D660" s="349" t="s">
        <v>54</v>
      </c>
      <c r="E660" s="349" t="s">
        <v>1139</v>
      </c>
      <c r="F660" s="445">
        <v>34559.0</v>
      </c>
      <c r="G660" s="413">
        <v>34560.0</v>
      </c>
      <c r="H660" s="413" t="s">
        <v>149</v>
      </c>
      <c r="I660" s="404" t="str">
        <f t="shared" si="8"/>
        <v>FULLY PAID</v>
      </c>
      <c r="J660" s="402"/>
      <c r="K660" s="402"/>
      <c r="L660" s="402"/>
      <c r="M660" s="402"/>
      <c r="N660" s="402"/>
      <c r="O660" s="402"/>
      <c r="P660" s="402"/>
      <c r="Q660" s="402"/>
      <c r="R660" s="402"/>
      <c r="S660" s="402"/>
      <c r="T660" s="402"/>
      <c r="U660" s="402"/>
      <c r="V660" s="402"/>
      <c r="W660" s="402"/>
      <c r="X660" s="402"/>
      <c r="Y660" s="402"/>
      <c r="Z660" s="402"/>
      <c r="AA660" s="405"/>
      <c r="AB660" s="405"/>
    </row>
    <row r="661" ht="14.25" customHeight="1">
      <c r="A661" s="497">
        <v>45510.0</v>
      </c>
      <c r="B661" s="343" t="s">
        <v>781</v>
      </c>
      <c r="C661" s="344" t="s">
        <v>782</v>
      </c>
      <c r="D661" s="344" t="s">
        <v>54</v>
      </c>
      <c r="E661" s="344" t="s">
        <v>1143</v>
      </c>
      <c r="F661" s="442">
        <v>8720.98</v>
      </c>
      <c r="G661" s="413">
        <v>0.0</v>
      </c>
      <c r="H661" s="413" t="s">
        <v>1322</v>
      </c>
      <c r="I661" s="404" t="str">
        <f t="shared" si="8"/>
        <v>NOT PAID</v>
      </c>
      <c r="J661" s="402"/>
      <c r="K661" s="402"/>
      <c r="L661" s="402"/>
      <c r="M661" s="402"/>
      <c r="N661" s="402"/>
      <c r="O661" s="402"/>
      <c r="P661" s="402"/>
      <c r="Q661" s="402"/>
      <c r="R661" s="402"/>
      <c r="S661" s="402"/>
      <c r="T661" s="402"/>
      <c r="U661" s="402"/>
      <c r="V661" s="402"/>
      <c r="W661" s="402"/>
      <c r="X661" s="402"/>
      <c r="Y661" s="402"/>
      <c r="Z661" s="402"/>
      <c r="AA661" s="405"/>
      <c r="AB661" s="405"/>
    </row>
    <row r="662" ht="14.25" customHeight="1">
      <c r="A662" s="497">
        <v>45510.0</v>
      </c>
      <c r="B662" s="343" t="s">
        <v>788</v>
      </c>
      <c r="C662" s="344" t="s">
        <v>789</v>
      </c>
      <c r="D662" s="344" t="s">
        <v>54</v>
      </c>
      <c r="E662" s="344" t="s">
        <v>1143</v>
      </c>
      <c r="F662" s="430">
        <v>89593.8</v>
      </c>
      <c r="G662" s="413">
        <v>0.0</v>
      </c>
      <c r="H662" s="349" t="s">
        <v>1291</v>
      </c>
      <c r="I662" s="404" t="str">
        <f t="shared" si="8"/>
        <v>NOT PAID</v>
      </c>
      <c r="J662" s="402"/>
      <c r="K662" s="402"/>
      <c r="L662" s="402"/>
      <c r="M662" s="402"/>
      <c r="N662" s="402"/>
      <c r="O662" s="402"/>
      <c r="P662" s="402"/>
      <c r="Q662" s="402"/>
      <c r="R662" s="402"/>
      <c r="S662" s="402"/>
      <c r="T662" s="402"/>
      <c r="U662" s="402"/>
      <c r="V662" s="402"/>
      <c r="W662" s="402"/>
      <c r="X662" s="402"/>
      <c r="Y662" s="402"/>
      <c r="Z662" s="402"/>
      <c r="AA662" s="405"/>
      <c r="AB662" s="405"/>
    </row>
    <row r="663" ht="14.25" customHeight="1">
      <c r="A663" s="497">
        <v>45510.0</v>
      </c>
      <c r="B663" s="343" t="s">
        <v>1012</v>
      </c>
      <c r="C663" s="344" t="s">
        <v>1013</v>
      </c>
      <c r="D663" s="344" t="s">
        <v>75</v>
      </c>
      <c r="E663" s="344" t="s">
        <v>1143</v>
      </c>
      <c r="F663" s="442">
        <v>261725.0</v>
      </c>
      <c r="G663" s="413">
        <v>0.0</v>
      </c>
      <c r="H663" s="413" t="s">
        <v>1323</v>
      </c>
      <c r="I663" s="404" t="str">
        <f t="shared" si="8"/>
        <v>NOT PAID</v>
      </c>
      <c r="J663" s="402"/>
      <c r="K663" s="402"/>
      <c r="L663" s="402"/>
      <c r="M663" s="402"/>
      <c r="N663" s="402"/>
      <c r="O663" s="402"/>
      <c r="P663" s="402"/>
      <c r="Q663" s="402"/>
      <c r="R663" s="402"/>
      <c r="S663" s="402"/>
      <c r="T663" s="402"/>
      <c r="U663" s="402"/>
      <c r="V663" s="402"/>
      <c r="W663" s="402"/>
      <c r="X663" s="402"/>
      <c r="Y663" s="402"/>
      <c r="Z663" s="402"/>
      <c r="AA663" s="405"/>
      <c r="AB663" s="405"/>
    </row>
    <row r="664" ht="14.25" customHeight="1">
      <c r="A664" s="497">
        <v>45510.0</v>
      </c>
      <c r="B664" s="349" t="s">
        <v>698</v>
      </c>
      <c r="C664" s="349" t="s">
        <v>1167</v>
      </c>
      <c r="D664" s="349" t="s">
        <v>54</v>
      </c>
      <c r="E664" s="349" t="s">
        <v>1168</v>
      </c>
      <c r="F664" s="413">
        <v>14554.22</v>
      </c>
      <c r="G664" s="403"/>
      <c r="H664" s="487" t="s">
        <v>1324</v>
      </c>
      <c r="I664" s="404" t="str">
        <f t="shared" si="8"/>
        <v>NOT PAID</v>
      </c>
      <c r="J664" s="402"/>
      <c r="K664" s="402"/>
      <c r="L664" s="402"/>
      <c r="M664" s="402"/>
      <c r="N664" s="402"/>
      <c r="O664" s="402"/>
      <c r="P664" s="402"/>
      <c r="Q664" s="402"/>
      <c r="R664" s="402"/>
      <c r="S664" s="402"/>
      <c r="T664" s="402"/>
      <c r="U664" s="402"/>
      <c r="V664" s="402"/>
      <c r="W664" s="402"/>
      <c r="X664" s="402"/>
      <c r="Y664" s="402"/>
      <c r="Z664" s="402"/>
      <c r="AA664" s="405"/>
      <c r="AB664" s="405"/>
    </row>
    <row r="665" ht="14.25" customHeight="1">
      <c r="A665" s="497">
        <v>45510.0</v>
      </c>
      <c r="B665" s="349" t="s">
        <v>997</v>
      </c>
      <c r="C665" s="349" t="s">
        <v>998</v>
      </c>
      <c r="D665" s="349" t="s">
        <v>263</v>
      </c>
      <c r="E665" s="349" t="s">
        <v>1168</v>
      </c>
      <c r="F665" s="413">
        <v>81947.25</v>
      </c>
      <c r="G665" s="403"/>
      <c r="H665" s="349" t="s">
        <v>1253</v>
      </c>
      <c r="I665" s="404" t="str">
        <f t="shared" si="8"/>
        <v>NOT PAID</v>
      </c>
      <c r="J665" s="402"/>
      <c r="K665" s="402"/>
      <c r="L665" s="402"/>
      <c r="M665" s="402"/>
      <c r="N665" s="402"/>
      <c r="O665" s="402"/>
      <c r="P665" s="402"/>
      <c r="Q665" s="402"/>
      <c r="R665" s="402"/>
      <c r="S665" s="402"/>
      <c r="T665" s="402"/>
      <c r="U665" s="402"/>
      <c r="V665" s="402"/>
      <c r="W665" s="402"/>
      <c r="X665" s="402"/>
      <c r="Y665" s="402"/>
      <c r="Z665" s="402"/>
      <c r="AA665" s="405"/>
      <c r="AB665" s="405"/>
    </row>
    <row r="666" ht="14.25" customHeight="1">
      <c r="A666" s="497">
        <v>45510.0</v>
      </c>
      <c r="B666" s="343" t="s">
        <v>1223</v>
      </c>
      <c r="C666" s="344" t="s">
        <v>998</v>
      </c>
      <c r="D666" s="344" t="s">
        <v>346</v>
      </c>
      <c r="E666" s="349" t="s">
        <v>1168</v>
      </c>
      <c r="F666" s="452">
        <v>28350.0</v>
      </c>
      <c r="G666" s="403"/>
      <c r="H666" s="349" t="s">
        <v>1254</v>
      </c>
      <c r="I666" s="404" t="str">
        <f t="shared" si="8"/>
        <v>NOT PAID</v>
      </c>
      <c r="J666" s="402"/>
      <c r="K666" s="402"/>
      <c r="L666" s="402"/>
      <c r="M666" s="402"/>
      <c r="N666" s="402"/>
      <c r="O666" s="402"/>
      <c r="P666" s="402"/>
      <c r="Q666" s="402"/>
      <c r="R666" s="402"/>
      <c r="S666" s="402"/>
      <c r="T666" s="402"/>
      <c r="U666" s="402"/>
      <c r="V666" s="402"/>
      <c r="W666" s="402"/>
      <c r="X666" s="402"/>
      <c r="Y666" s="402"/>
      <c r="Z666" s="402"/>
      <c r="AA666" s="405"/>
      <c r="AB666" s="405"/>
    </row>
    <row r="667" ht="14.25" customHeight="1">
      <c r="A667" s="497">
        <v>45510.0</v>
      </c>
      <c r="B667" s="349" t="s">
        <v>802</v>
      </c>
      <c r="C667" s="349" t="s">
        <v>803</v>
      </c>
      <c r="D667" s="349" t="s">
        <v>54</v>
      </c>
      <c r="E667" s="349" t="s">
        <v>1173</v>
      </c>
      <c r="F667" s="413">
        <v>647035.0</v>
      </c>
      <c r="G667" s="403"/>
      <c r="H667" s="349" t="s">
        <v>1325</v>
      </c>
      <c r="I667" s="404" t="str">
        <f t="shared" si="8"/>
        <v>NOT PAID</v>
      </c>
      <c r="J667" s="402"/>
      <c r="K667" s="402"/>
      <c r="L667" s="402"/>
      <c r="M667" s="402"/>
      <c r="N667" s="402"/>
      <c r="O667" s="402"/>
      <c r="P667" s="402"/>
      <c r="Q667" s="402"/>
      <c r="R667" s="402"/>
      <c r="S667" s="402"/>
      <c r="T667" s="402"/>
      <c r="U667" s="402"/>
      <c r="V667" s="402"/>
      <c r="W667" s="402"/>
      <c r="X667" s="402"/>
      <c r="Y667" s="402"/>
      <c r="Z667" s="402"/>
      <c r="AA667" s="405"/>
      <c r="AB667" s="405"/>
    </row>
    <row r="668" ht="14.25" customHeight="1">
      <c r="A668" s="497"/>
      <c r="B668" s="349"/>
      <c r="C668" s="349"/>
      <c r="D668" s="349"/>
      <c r="E668" s="349"/>
      <c r="F668" s="413"/>
      <c r="G668" s="403"/>
      <c r="H668" s="402"/>
      <c r="I668" s="404" t="str">
        <f t="shared" si="8"/>
        <v>FULLY PAID</v>
      </c>
      <c r="J668" s="402"/>
      <c r="K668" s="402"/>
      <c r="L668" s="402"/>
      <c r="M668" s="402"/>
      <c r="N668" s="402"/>
      <c r="O668" s="402"/>
      <c r="P668" s="402"/>
      <c r="Q668" s="402"/>
      <c r="R668" s="402"/>
      <c r="S668" s="402"/>
      <c r="T668" s="402"/>
      <c r="U668" s="402"/>
      <c r="V668" s="402"/>
      <c r="W668" s="402"/>
      <c r="X668" s="402"/>
      <c r="Y668" s="402"/>
      <c r="Z668" s="402"/>
      <c r="AA668" s="405"/>
      <c r="AB668" s="405"/>
    </row>
    <row r="669" ht="14.25" customHeight="1">
      <c r="A669" s="497"/>
      <c r="B669" s="349"/>
      <c r="C669" s="349"/>
      <c r="D669" s="349"/>
      <c r="E669" s="349"/>
      <c r="F669" s="413"/>
      <c r="G669" s="403"/>
      <c r="H669" s="402"/>
      <c r="I669" s="404" t="str">
        <f t="shared" si="8"/>
        <v>FULLY PAID</v>
      </c>
      <c r="J669" s="402"/>
      <c r="K669" s="402"/>
      <c r="L669" s="402"/>
      <c r="M669" s="402"/>
      <c r="N669" s="402"/>
      <c r="O669" s="402"/>
      <c r="P669" s="402"/>
      <c r="Q669" s="402"/>
      <c r="R669" s="402"/>
      <c r="S669" s="402"/>
      <c r="T669" s="402"/>
      <c r="U669" s="402"/>
      <c r="V669" s="402"/>
      <c r="W669" s="402"/>
      <c r="X669" s="402"/>
      <c r="Y669" s="402"/>
      <c r="Z669" s="402"/>
      <c r="AA669" s="405"/>
      <c r="AB669" s="405"/>
    </row>
    <row r="670" ht="14.25" customHeight="1">
      <c r="A670" s="497"/>
      <c r="B670" s="402"/>
      <c r="C670" s="424" t="s">
        <v>797</v>
      </c>
      <c r="D670" s="402"/>
      <c r="E670" s="402"/>
      <c r="F670" s="403"/>
      <c r="G670" s="403"/>
      <c r="H670" s="402"/>
      <c r="I670" s="404" t="str">
        <f t="shared" si="8"/>
        <v>FULLY PAID</v>
      </c>
      <c r="J670" s="402"/>
      <c r="K670" s="402"/>
      <c r="L670" s="402"/>
      <c r="M670" s="402"/>
      <c r="N670" s="402"/>
      <c r="O670" s="402"/>
      <c r="P670" s="402"/>
      <c r="Q670" s="402"/>
      <c r="R670" s="402"/>
      <c r="S670" s="402"/>
      <c r="T670" s="402"/>
      <c r="U670" s="402"/>
      <c r="V670" s="402"/>
      <c r="W670" s="402"/>
      <c r="X670" s="402"/>
      <c r="Y670" s="402"/>
      <c r="Z670" s="402"/>
      <c r="AA670" s="405"/>
      <c r="AB670" s="405"/>
    </row>
    <row r="671" ht="14.25" customHeight="1">
      <c r="A671" s="497">
        <v>45510.0</v>
      </c>
      <c r="B671" s="349" t="s">
        <v>886</v>
      </c>
      <c r="C671" s="349" t="s">
        <v>1095</v>
      </c>
      <c r="D671" s="349" t="s">
        <v>54</v>
      </c>
      <c r="E671" s="349" t="s">
        <v>1255</v>
      </c>
      <c r="F671" s="413">
        <v>100000.0</v>
      </c>
      <c r="G671" s="403"/>
      <c r="H671" s="349" t="s">
        <v>1326</v>
      </c>
      <c r="I671" s="404" t="str">
        <f t="shared" si="8"/>
        <v>NOT PAID</v>
      </c>
      <c r="J671" s="402"/>
      <c r="K671" s="402"/>
      <c r="L671" s="402"/>
      <c r="M671" s="402"/>
      <c r="N671" s="402"/>
      <c r="O671" s="402"/>
      <c r="P671" s="402"/>
      <c r="Q671" s="402"/>
      <c r="R671" s="402"/>
      <c r="S671" s="402"/>
      <c r="T671" s="402"/>
      <c r="U671" s="402"/>
      <c r="V671" s="402"/>
      <c r="W671" s="402"/>
      <c r="X671" s="402"/>
      <c r="Y671" s="402"/>
      <c r="Z671" s="402"/>
      <c r="AA671" s="405"/>
      <c r="AB671" s="405"/>
    </row>
    <row r="672" ht="14.25" customHeight="1">
      <c r="A672" s="497">
        <v>45510.0</v>
      </c>
      <c r="B672" s="349" t="s">
        <v>800</v>
      </c>
      <c r="C672" s="349" t="s">
        <v>801</v>
      </c>
      <c r="D672" s="349" t="s">
        <v>54</v>
      </c>
      <c r="E672" s="349" t="s">
        <v>1255</v>
      </c>
      <c r="F672" s="413">
        <v>20000.0</v>
      </c>
      <c r="G672" s="413">
        <v>10000.0</v>
      </c>
      <c r="H672" s="349" t="s">
        <v>905</v>
      </c>
      <c r="I672" s="404" t="str">
        <f t="shared" si="8"/>
        <v>PARTIALLY PAID</v>
      </c>
      <c r="J672" s="402"/>
      <c r="K672" s="402"/>
      <c r="L672" s="402"/>
      <c r="M672" s="402"/>
      <c r="N672" s="402"/>
      <c r="O672" s="402"/>
      <c r="P672" s="402"/>
      <c r="Q672" s="402"/>
      <c r="R672" s="402"/>
      <c r="S672" s="402"/>
      <c r="T672" s="402"/>
      <c r="U672" s="402"/>
      <c r="V672" s="402"/>
      <c r="W672" s="402"/>
      <c r="X672" s="402"/>
      <c r="Y672" s="402"/>
      <c r="Z672" s="402"/>
      <c r="AA672" s="405"/>
      <c r="AB672" s="405"/>
    </row>
    <row r="673" ht="14.25" customHeight="1">
      <c r="A673" s="497">
        <v>45510.0</v>
      </c>
      <c r="B673" s="349" t="s">
        <v>798</v>
      </c>
      <c r="C673" s="349" t="s">
        <v>799</v>
      </c>
      <c r="D673" s="349" t="s">
        <v>59</v>
      </c>
      <c r="E673" s="349" t="s">
        <v>1302</v>
      </c>
      <c r="F673" s="413">
        <v>1500000.0</v>
      </c>
      <c r="G673" s="494"/>
      <c r="H673" s="349" t="s">
        <v>1327</v>
      </c>
      <c r="I673" s="404" t="str">
        <f t="shared" si="8"/>
        <v>NOT PAID</v>
      </c>
      <c r="J673" s="402"/>
      <c r="K673" s="402"/>
      <c r="L673" s="402"/>
      <c r="M673" s="402"/>
      <c r="N673" s="402"/>
      <c r="O673" s="402"/>
      <c r="P673" s="402"/>
      <c r="Q673" s="402"/>
      <c r="R673" s="402"/>
      <c r="S673" s="402"/>
      <c r="T673" s="402"/>
      <c r="U673" s="402"/>
      <c r="V673" s="402"/>
      <c r="W673" s="402"/>
      <c r="X673" s="402"/>
      <c r="Y673" s="402"/>
      <c r="Z673" s="402"/>
      <c r="AA673" s="405"/>
      <c r="AB673" s="405"/>
    </row>
    <row r="674" ht="14.25" customHeight="1">
      <c r="A674" s="497">
        <v>45510.0</v>
      </c>
      <c r="B674" s="349" t="s">
        <v>1181</v>
      </c>
      <c r="C674" s="349" t="s">
        <v>1182</v>
      </c>
      <c r="D674" s="349" t="s">
        <v>54</v>
      </c>
      <c r="E674" s="349" t="s">
        <v>1255</v>
      </c>
      <c r="F674" s="413">
        <v>600000.0</v>
      </c>
      <c r="G674" s="403"/>
      <c r="H674" s="349" t="s">
        <v>1328</v>
      </c>
      <c r="I674" s="404" t="str">
        <f t="shared" si="8"/>
        <v>NOT PAID</v>
      </c>
      <c r="J674" s="402"/>
      <c r="K674" s="402"/>
      <c r="L674" s="402"/>
      <c r="M674" s="402"/>
      <c r="N674" s="402"/>
      <c r="O674" s="402"/>
      <c r="P674" s="402"/>
      <c r="Q674" s="402"/>
      <c r="R674" s="402"/>
      <c r="S674" s="402"/>
      <c r="T674" s="402"/>
      <c r="U674" s="402"/>
      <c r="V674" s="402"/>
      <c r="W674" s="402"/>
      <c r="X674" s="402"/>
      <c r="Y674" s="402"/>
      <c r="Z674" s="402"/>
      <c r="AA674" s="405"/>
      <c r="AB674" s="405"/>
    </row>
    <row r="675" ht="14.25" customHeight="1">
      <c r="A675" s="497">
        <v>45510.0</v>
      </c>
      <c r="B675" s="492" t="s">
        <v>1329</v>
      </c>
      <c r="C675" s="493" t="s">
        <v>1330</v>
      </c>
      <c r="D675" s="349" t="s">
        <v>54</v>
      </c>
      <c r="E675" s="349" t="s">
        <v>1255</v>
      </c>
      <c r="F675" s="494">
        <v>500000.0</v>
      </c>
      <c r="G675" s="413"/>
      <c r="H675" s="349" t="s">
        <v>1331</v>
      </c>
      <c r="I675" s="404" t="str">
        <f t="shared" si="8"/>
        <v>NOT PAID</v>
      </c>
      <c r="J675" s="402"/>
      <c r="K675" s="402"/>
      <c r="L675" s="402"/>
      <c r="M675" s="402"/>
      <c r="N675" s="402"/>
      <c r="O675" s="402"/>
      <c r="P675" s="402"/>
      <c r="Q675" s="402"/>
      <c r="R675" s="402"/>
      <c r="S675" s="402"/>
      <c r="T675" s="402"/>
      <c r="U675" s="402"/>
      <c r="V675" s="402"/>
      <c r="W675" s="402"/>
      <c r="X675" s="402"/>
      <c r="Y675" s="402"/>
      <c r="Z675" s="402"/>
      <c r="AA675" s="405"/>
      <c r="AB675" s="405"/>
    </row>
    <row r="676" ht="14.25" customHeight="1">
      <c r="A676" s="497"/>
      <c r="B676" s="410"/>
      <c r="C676" s="411"/>
      <c r="D676" s="349"/>
      <c r="E676" s="349"/>
      <c r="F676" s="416"/>
      <c r="G676" s="403"/>
      <c r="H676" s="402"/>
      <c r="I676" s="404" t="str">
        <f t="shared" si="8"/>
        <v>FULLY PAID</v>
      </c>
      <c r="J676" s="402"/>
      <c r="K676" s="402"/>
      <c r="L676" s="402"/>
      <c r="M676" s="402"/>
      <c r="N676" s="402"/>
      <c r="O676" s="402"/>
      <c r="P676" s="402"/>
      <c r="Q676" s="402"/>
      <c r="R676" s="402"/>
      <c r="S676" s="402"/>
      <c r="T676" s="402"/>
      <c r="U676" s="402"/>
      <c r="V676" s="402"/>
      <c r="W676" s="402"/>
      <c r="X676" s="402"/>
      <c r="Y676" s="402"/>
      <c r="Z676" s="402"/>
      <c r="AA676" s="405"/>
      <c r="AB676" s="405"/>
    </row>
    <row r="677" ht="14.25" customHeight="1">
      <c r="A677" s="497"/>
      <c r="B677" s="461">
        <v>45481.0</v>
      </c>
      <c r="C677" s="349"/>
      <c r="D677" s="349"/>
      <c r="E677" s="349"/>
      <c r="F677" s="413"/>
      <c r="G677" s="403"/>
      <c r="H677" s="402"/>
      <c r="I677" s="404" t="str">
        <f t="shared" si="8"/>
        <v>FULLY PAID</v>
      </c>
      <c r="J677" s="402"/>
      <c r="K677" s="402"/>
      <c r="L677" s="402"/>
      <c r="M677" s="402"/>
      <c r="N677" s="402"/>
      <c r="O677" s="402"/>
      <c r="P677" s="402"/>
      <c r="Q677" s="402"/>
      <c r="R677" s="402"/>
      <c r="S677" s="402"/>
      <c r="T677" s="402"/>
      <c r="U677" s="402"/>
      <c r="V677" s="402"/>
      <c r="W677" s="402"/>
      <c r="X677" s="402"/>
      <c r="Y677" s="402"/>
      <c r="Z677" s="402"/>
      <c r="AA677" s="405"/>
      <c r="AB677" s="405"/>
    </row>
    <row r="678" ht="14.25" customHeight="1">
      <c r="A678" s="497">
        <v>45511.0</v>
      </c>
      <c r="B678" s="349" t="s">
        <v>1117</v>
      </c>
      <c r="C678" s="349" t="s">
        <v>1332</v>
      </c>
      <c r="D678" s="349" t="s">
        <v>1333</v>
      </c>
      <c r="E678" s="349" t="s">
        <v>1098</v>
      </c>
      <c r="F678" s="413">
        <v>170000.0</v>
      </c>
      <c r="G678" s="403"/>
      <c r="H678" s="349" t="s">
        <v>1241</v>
      </c>
      <c r="I678" s="404" t="str">
        <f t="shared" si="8"/>
        <v>NOT PAID</v>
      </c>
      <c r="J678" s="402"/>
      <c r="K678" s="402"/>
      <c r="L678" s="402"/>
      <c r="M678" s="402"/>
      <c r="N678" s="402"/>
      <c r="O678" s="402"/>
      <c r="P678" s="402"/>
      <c r="Q678" s="402"/>
      <c r="R678" s="402"/>
      <c r="S678" s="402"/>
      <c r="T678" s="402"/>
      <c r="U678" s="402"/>
      <c r="V678" s="402"/>
      <c r="W678" s="402"/>
      <c r="X678" s="402"/>
      <c r="Y678" s="402"/>
      <c r="Z678" s="402"/>
      <c r="AA678" s="405"/>
      <c r="AB678" s="405"/>
    </row>
    <row r="679" ht="14.25" customHeight="1">
      <c r="A679" s="497">
        <v>45511.0</v>
      </c>
      <c r="B679" s="484" t="s">
        <v>1113</v>
      </c>
      <c r="C679" s="349" t="s">
        <v>1332</v>
      </c>
      <c r="D679" s="349" t="s">
        <v>1333</v>
      </c>
      <c r="E679" s="349" t="s">
        <v>1098</v>
      </c>
      <c r="F679" s="413">
        <v>170000.0</v>
      </c>
      <c r="G679" s="413"/>
      <c r="H679" s="349" t="s">
        <v>1241</v>
      </c>
      <c r="I679" s="404" t="str">
        <f t="shared" si="8"/>
        <v>NOT PAID</v>
      </c>
      <c r="J679" s="402"/>
      <c r="K679" s="402"/>
      <c r="L679" s="402"/>
      <c r="M679" s="402"/>
      <c r="N679" s="402"/>
      <c r="O679" s="402"/>
      <c r="P679" s="402"/>
      <c r="Q679" s="402"/>
      <c r="R679" s="402"/>
      <c r="S679" s="402"/>
      <c r="T679" s="402"/>
      <c r="U679" s="402"/>
      <c r="V679" s="402"/>
      <c r="W679" s="402"/>
      <c r="X679" s="402"/>
      <c r="Y679" s="402"/>
      <c r="Z679" s="402"/>
      <c r="AA679" s="405"/>
      <c r="AB679" s="405"/>
    </row>
    <row r="680" ht="14.25" customHeight="1">
      <c r="A680" s="497">
        <v>45511.0</v>
      </c>
      <c r="B680" s="349" t="s">
        <v>777</v>
      </c>
      <c r="C680" s="349" t="s">
        <v>778</v>
      </c>
      <c r="D680" s="349" t="s">
        <v>54</v>
      </c>
      <c r="E680" s="349" t="s">
        <v>1098</v>
      </c>
      <c r="F680" s="413">
        <v>24000.0</v>
      </c>
      <c r="G680" s="413"/>
      <c r="H680" s="349" t="s">
        <v>1334</v>
      </c>
      <c r="I680" s="404" t="str">
        <f t="shared" si="8"/>
        <v>NOT PAID</v>
      </c>
      <c r="J680" s="402"/>
      <c r="K680" s="402"/>
      <c r="L680" s="402"/>
      <c r="M680" s="402"/>
      <c r="N680" s="402"/>
      <c r="O680" s="402"/>
      <c r="P680" s="402"/>
      <c r="Q680" s="402"/>
      <c r="R680" s="402"/>
      <c r="S680" s="402"/>
      <c r="T680" s="402"/>
      <c r="U680" s="402"/>
      <c r="V680" s="402"/>
      <c r="W680" s="402"/>
      <c r="X680" s="402"/>
      <c r="Y680" s="402"/>
      <c r="Z680" s="402"/>
      <c r="AA680" s="405"/>
      <c r="AB680" s="405"/>
    </row>
    <row r="681" ht="14.25" customHeight="1">
      <c r="A681" s="497">
        <v>45511.0</v>
      </c>
      <c r="B681" s="349" t="s">
        <v>841</v>
      </c>
      <c r="C681" s="349" t="s">
        <v>842</v>
      </c>
      <c r="D681" s="349" t="s">
        <v>54</v>
      </c>
      <c r="E681" s="349" t="s">
        <v>1098</v>
      </c>
      <c r="F681" s="413">
        <v>11249.07</v>
      </c>
      <c r="G681" s="413"/>
      <c r="H681" s="349" t="s">
        <v>1335</v>
      </c>
      <c r="I681" s="404" t="str">
        <f t="shared" si="8"/>
        <v>NOT PAID</v>
      </c>
      <c r="J681" s="402"/>
      <c r="K681" s="402"/>
      <c r="L681" s="402"/>
      <c r="M681" s="402"/>
      <c r="N681" s="402"/>
      <c r="O681" s="402"/>
      <c r="P681" s="402"/>
      <c r="Q681" s="402"/>
      <c r="R681" s="402"/>
      <c r="S681" s="402"/>
      <c r="T681" s="402"/>
      <c r="U681" s="402"/>
      <c r="V681" s="402"/>
      <c r="W681" s="402"/>
      <c r="X681" s="402"/>
      <c r="Y681" s="402"/>
      <c r="Z681" s="402"/>
      <c r="AA681" s="405"/>
      <c r="AB681" s="405"/>
    </row>
    <row r="682" ht="14.25" customHeight="1">
      <c r="A682" s="497">
        <v>45511.0</v>
      </c>
      <c r="B682" s="349" t="s">
        <v>807</v>
      </c>
      <c r="C682" s="349" t="s">
        <v>808</v>
      </c>
      <c r="D682" s="349" t="s">
        <v>54</v>
      </c>
      <c r="E682" s="349" t="s">
        <v>1098</v>
      </c>
      <c r="F682" s="413">
        <v>1674.75</v>
      </c>
      <c r="G682" s="413"/>
      <c r="H682" s="349" t="s">
        <v>1336</v>
      </c>
      <c r="I682" s="404" t="str">
        <f t="shared" si="8"/>
        <v>NOT PAID</v>
      </c>
      <c r="J682" s="402"/>
      <c r="K682" s="402"/>
      <c r="L682" s="402"/>
      <c r="M682" s="402"/>
      <c r="N682" s="402"/>
      <c r="O682" s="402"/>
      <c r="P682" s="402"/>
      <c r="Q682" s="402"/>
      <c r="R682" s="402"/>
      <c r="S682" s="402"/>
      <c r="T682" s="402"/>
      <c r="U682" s="402"/>
      <c r="V682" s="402"/>
      <c r="W682" s="402"/>
      <c r="X682" s="402"/>
      <c r="Y682" s="402"/>
      <c r="Z682" s="402"/>
      <c r="AA682" s="405"/>
      <c r="AB682" s="405"/>
    </row>
    <row r="683" ht="14.25" customHeight="1">
      <c r="A683" s="497">
        <v>45511.0</v>
      </c>
      <c r="B683" s="349" t="s">
        <v>705</v>
      </c>
      <c r="C683" s="349" t="s">
        <v>1110</v>
      </c>
      <c r="D683" s="349" t="s">
        <v>54</v>
      </c>
      <c r="E683" s="349" t="s">
        <v>1098</v>
      </c>
      <c r="F683" s="413">
        <v>6709.6</v>
      </c>
      <c r="G683" s="413"/>
      <c r="H683" s="349" t="s">
        <v>1337</v>
      </c>
      <c r="I683" s="404" t="str">
        <f t="shared" si="8"/>
        <v>NOT PAID</v>
      </c>
      <c r="J683" s="402"/>
      <c r="K683" s="402"/>
      <c r="L683" s="402"/>
      <c r="M683" s="402"/>
      <c r="N683" s="402"/>
      <c r="O683" s="402"/>
      <c r="P683" s="402"/>
      <c r="Q683" s="402"/>
      <c r="R683" s="402"/>
      <c r="S683" s="402"/>
      <c r="T683" s="402"/>
      <c r="U683" s="402"/>
      <c r="V683" s="402"/>
      <c r="W683" s="402"/>
      <c r="X683" s="402"/>
      <c r="Y683" s="402"/>
      <c r="Z683" s="402"/>
      <c r="AA683" s="405"/>
      <c r="AB683" s="405"/>
    </row>
    <row r="684" ht="14.25" customHeight="1">
      <c r="A684" s="497">
        <v>45511.0</v>
      </c>
      <c r="B684" s="349" t="s">
        <v>711</v>
      </c>
      <c r="C684" s="349" t="s">
        <v>1123</v>
      </c>
      <c r="D684" s="349" t="s">
        <v>75</v>
      </c>
      <c r="E684" s="349" t="s">
        <v>1098</v>
      </c>
      <c r="F684" s="413">
        <v>66556.61</v>
      </c>
      <c r="G684" s="413"/>
      <c r="H684" s="349" t="s">
        <v>1338</v>
      </c>
      <c r="I684" s="404" t="str">
        <f t="shared" si="8"/>
        <v>NOT PAID</v>
      </c>
      <c r="J684" s="402"/>
      <c r="K684" s="402"/>
      <c r="L684" s="402"/>
      <c r="M684" s="402"/>
      <c r="N684" s="402"/>
      <c r="O684" s="402"/>
      <c r="P684" s="402"/>
      <c r="Q684" s="402"/>
      <c r="R684" s="402"/>
      <c r="S684" s="402"/>
      <c r="T684" s="402"/>
      <c r="U684" s="402"/>
      <c r="V684" s="402"/>
      <c r="W684" s="402"/>
      <c r="X684" s="402"/>
      <c r="Y684" s="402"/>
      <c r="Z684" s="402"/>
      <c r="AA684" s="405"/>
      <c r="AB684" s="405"/>
    </row>
    <row r="685" ht="14.25" customHeight="1">
      <c r="A685" s="497">
        <v>45511.0</v>
      </c>
      <c r="B685" s="349" t="s">
        <v>701</v>
      </c>
      <c r="C685" s="349" t="s">
        <v>702</v>
      </c>
      <c r="D685" s="349" t="s">
        <v>54</v>
      </c>
      <c r="E685" s="349" t="s">
        <v>1098</v>
      </c>
      <c r="F685" s="413">
        <v>17124.66</v>
      </c>
      <c r="G685" s="413"/>
      <c r="H685" s="349" t="s">
        <v>1241</v>
      </c>
      <c r="I685" s="404" t="str">
        <f t="shared" si="8"/>
        <v>NOT PAID</v>
      </c>
      <c r="J685" s="402"/>
      <c r="K685" s="402"/>
      <c r="L685" s="402"/>
      <c r="M685" s="402"/>
      <c r="N685" s="402"/>
      <c r="O685" s="402"/>
      <c r="P685" s="402"/>
      <c r="Q685" s="402"/>
      <c r="R685" s="402"/>
      <c r="S685" s="402"/>
      <c r="T685" s="402"/>
      <c r="U685" s="402"/>
      <c r="V685" s="402"/>
      <c r="W685" s="402"/>
      <c r="X685" s="402"/>
      <c r="Y685" s="402"/>
      <c r="Z685" s="402"/>
      <c r="AA685" s="405"/>
      <c r="AB685" s="405"/>
    </row>
    <row r="686" ht="14.25" customHeight="1">
      <c r="A686" s="497">
        <v>45511.0</v>
      </c>
      <c r="B686" s="349" t="s">
        <v>1120</v>
      </c>
      <c r="C686" s="349" t="s">
        <v>1121</v>
      </c>
      <c r="D686" s="349" t="s">
        <v>346</v>
      </c>
      <c r="E686" s="349" t="s">
        <v>1098</v>
      </c>
      <c r="F686" s="413">
        <v>32479.34</v>
      </c>
      <c r="G686" s="413"/>
      <c r="H686" s="349" t="s">
        <v>1339</v>
      </c>
      <c r="I686" s="404" t="str">
        <f t="shared" si="8"/>
        <v>NOT PAID</v>
      </c>
      <c r="J686" s="402"/>
      <c r="K686" s="402"/>
      <c r="L686" s="402"/>
      <c r="M686" s="402"/>
      <c r="N686" s="402"/>
      <c r="O686" s="402"/>
      <c r="P686" s="402"/>
      <c r="Q686" s="402"/>
      <c r="R686" s="402"/>
      <c r="S686" s="402"/>
      <c r="T686" s="402"/>
      <c r="U686" s="402"/>
      <c r="V686" s="402"/>
      <c r="W686" s="402"/>
      <c r="X686" s="402"/>
      <c r="Y686" s="402"/>
      <c r="Z686" s="402"/>
      <c r="AA686" s="405"/>
      <c r="AB686" s="405"/>
    </row>
    <row r="687" ht="14.25" customHeight="1">
      <c r="A687" s="497">
        <v>45511.0</v>
      </c>
      <c r="B687" s="492" t="s">
        <v>729</v>
      </c>
      <c r="C687" s="493" t="s">
        <v>995</v>
      </c>
      <c r="D687" s="493" t="s">
        <v>54</v>
      </c>
      <c r="E687" s="349" t="s">
        <v>1098</v>
      </c>
      <c r="F687" s="494">
        <v>357832.09</v>
      </c>
      <c r="G687" s="413"/>
      <c r="H687" s="349" t="s">
        <v>1340</v>
      </c>
      <c r="I687" s="404" t="str">
        <f t="shared" si="8"/>
        <v>NOT PAID</v>
      </c>
      <c r="J687" s="402"/>
      <c r="K687" s="402"/>
      <c r="L687" s="402"/>
      <c r="M687" s="402"/>
      <c r="N687" s="402"/>
      <c r="O687" s="402"/>
      <c r="P687" s="402"/>
      <c r="Q687" s="402"/>
      <c r="R687" s="402"/>
      <c r="S687" s="402"/>
      <c r="T687" s="402"/>
      <c r="U687" s="402"/>
      <c r="V687" s="402"/>
      <c r="W687" s="402"/>
      <c r="X687" s="402"/>
      <c r="Y687" s="402"/>
      <c r="Z687" s="402"/>
      <c r="AA687" s="405"/>
      <c r="AB687" s="405"/>
    </row>
    <row r="688" ht="14.25" customHeight="1">
      <c r="A688" s="497">
        <v>45511.0</v>
      </c>
      <c r="B688" s="349" t="s">
        <v>1155</v>
      </c>
      <c r="C688" s="349" t="s">
        <v>1156</v>
      </c>
      <c r="D688" s="493" t="s">
        <v>54</v>
      </c>
      <c r="E688" s="415" t="s">
        <v>1341</v>
      </c>
      <c r="F688" s="413">
        <v>268238.3</v>
      </c>
      <c r="G688" s="403"/>
      <c r="H688" s="349" t="s">
        <v>1342</v>
      </c>
      <c r="I688" s="404" t="str">
        <f t="shared" si="8"/>
        <v>NOT PAID</v>
      </c>
      <c r="J688" s="402"/>
      <c r="K688" s="402"/>
      <c r="L688" s="402"/>
      <c r="M688" s="402"/>
      <c r="N688" s="402"/>
      <c r="O688" s="402"/>
      <c r="P688" s="402"/>
      <c r="Q688" s="402"/>
      <c r="R688" s="402"/>
      <c r="S688" s="402"/>
      <c r="T688" s="402"/>
      <c r="U688" s="402"/>
      <c r="V688" s="402"/>
      <c r="W688" s="402"/>
      <c r="X688" s="402"/>
      <c r="Y688" s="402"/>
      <c r="Z688" s="402"/>
      <c r="AA688" s="405"/>
      <c r="AB688" s="405"/>
    </row>
    <row r="689" ht="14.25" customHeight="1">
      <c r="A689" s="497">
        <v>45511.0</v>
      </c>
      <c r="B689" s="349" t="s">
        <v>960</v>
      </c>
      <c r="C689" s="349" t="s">
        <v>961</v>
      </c>
      <c r="D689" s="493" t="s">
        <v>54</v>
      </c>
      <c r="E689" s="415" t="s">
        <v>1341</v>
      </c>
      <c r="F689" s="413">
        <v>100000.0</v>
      </c>
      <c r="G689" s="403"/>
      <c r="H689" s="349" t="s">
        <v>1343</v>
      </c>
      <c r="I689" s="404" t="str">
        <f t="shared" si="8"/>
        <v>NOT PAID</v>
      </c>
      <c r="J689" s="402"/>
      <c r="K689" s="402"/>
      <c r="L689" s="402"/>
      <c r="M689" s="402"/>
      <c r="N689" s="402"/>
      <c r="O689" s="402"/>
      <c r="P689" s="402"/>
      <c r="Q689" s="402"/>
      <c r="R689" s="402"/>
      <c r="S689" s="402"/>
      <c r="T689" s="402"/>
      <c r="U689" s="402"/>
      <c r="V689" s="402"/>
      <c r="W689" s="402"/>
      <c r="X689" s="402"/>
      <c r="Y689" s="402"/>
      <c r="Z689" s="402"/>
      <c r="AA689" s="405"/>
      <c r="AB689" s="405"/>
    </row>
    <row r="690" ht="14.25" customHeight="1">
      <c r="A690" s="497">
        <v>45511.0</v>
      </c>
      <c r="B690" s="349" t="s">
        <v>800</v>
      </c>
      <c r="C690" s="349" t="s">
        <v>801</v>
      </c>
      <c r="D690" s="493" t="s">
        <v>54</v>
      </c>
      <c r="E690" s="415" t="s">
        <v>1341</v>
      </c>
      <c r="F690" s="413">
        <v>20000.0</v>
      </c>
      <c r="G690" s="403"/>
      <c r="H690" s="349" t="s">
        <v>1344</v>
      </c>
      <c r="I690" s="404" t="str">
        <f t="shared" si="8"/>
        <v>NOT PAID</v>
      </c>
      <c r="J690" s="402"/>
      <c r="K690" s="402"/>
      <c r="L690" s="402"/>
      <c r="M690" s="402"/>
      <c r="N690" s="402"/>
      <c r="O690" s="402"/>
      <c r="P690" s="402"/>
      <c r="Q690" s="402"/>
      <c r="R690" s="402"/>
      <c r="S690" s="402"/>
      <c r="T690" s="402"/>
      <c r="U690" s="402"/>
      <c r="V690" s="402"/>
      <c r="W690" s="402"/>
      <c r="X690" s="402"/>
      <c r="Y690" s="402"/>
      <c r="Z690" s="402"/>
      <c r="AA690" s="405"/>
      <c r="AB690" s="405"/>
    </row>
    <row r="691" ht="14.25" customHeight="1">
      <c r="A691" s="497">
        <v>45511.0</v>
      </c>
      <c r="B691" s="349" t="s">
        <v>1159</v>
      </c>
      <c r="C691" s="349" t="s">
        <v>1345</v>
      </c>
      <c r="D691" s="411" t="s">
        <v>439</v>
      </c>
      <c r="E691" s="411" t="s">
        <v>1341</v>
      </c>
      <c r="F691" s="413">
        <v>2000.0</v>
      </c>
      <c r="G691" s="413">
        <v>5100.0</v>
      </c>
      <c r="H691" s="349" t="s">
        <v>401</v>
      </c>
      <c r="I691" s="404" t="str">
        <f t="shared" si="8"/>
        <v>FULLY PAID</v>
      </c>
      <c r="J691" s="402"/>
      <c r="K691" s="402"/>
      <c r="L691" s="402"/>
      <c r="M691" s="402"/>
      <c r="N691" s="402"/>
      <c r="O691" s="402"/>
      <c r="P691" s="402"/>
      <c r="Q691" s="402"/>
      <c r="R691" s="402"/>
      <c r="S691" s="402"/>
      <c r="T691" s="402"/>
      <c r="U691" s="402"/>
      <c r="V691" s="402"/>
      <c r="W691" s="402"/>
      <c r="X691" s="402"/>
      <c r="Y691" s="402"/>
      <c r="Z691" s="402"/>
      <c r="AA691" s="405"/>
      <c r="AB691" s="405"/>
    </row>
    <row r="692" ht="14.25" customHeight="1">
      <c r="A692" s="497">
        <v>45511.0</v>
      </c>
      <c r="B692" s="349" t="s">
        <v>1346</v>
      </c>
      <c r="C692" s="349" t="s">
        <v>1347</v>
      </c>
      <c r="D692" s="411" t="s">
        <v>666</v>
      </c>
      <c r="E692" s="411" t="s">
        <v>1341</v>
      </c>
      <c r="F692" s="413">
        <v>300000.0</v>
      </c>
      <c r="G692" s="403"/>
      <c r="H692" s="349" t="s">
        <v>1348</v>
      </c>
      <c r="I692" s="404" t="str">
        <f t="shared" si="8"/>
        <v>NOT PAID</v>
      </c>
      <c r="J692" s="402"/>
      <c r="K692" s="402"/>
      <c r="L692" s="402"/>
      <c r="M692" s="402"/>
      <c r="N692" s="402"/>
      <c r="O692" s="402"/>
      <c r="P692" s="402"/>
      <c r="Q692" s="402"/>
      <c r="R692" s="402"/>
      <c r="S692" s="402"/>
      <c r="T692" s="402"/>
      <c r="U692" s="402"/>
      <c r="V692" s="402"/>
      <c r="W692" s="402"/>
      <c r="X692" s="402"/>
      <c r="Y692" s="402"/>
      <c r="Z692" s="402"/>
      <c r="AA692" s="405"/>
      <c r="AB692" s="405"/>
    </row>
    <row r="693" ht="14.25" customHeight="1">
      <c r="A693" s="497">
        <v>45511.0</v>
      </c>
      <c r="B693" s="349" t="s">
        <v>731</v>
      </c>
      <c r="C693" s="349" t="s">
        <v>732</v>
      </c>
      <c r="D693" s="349" t="s">
        <v>54</v>
      </c>
      <c r="E693" s="349" t="s">
        <v>1139</v>
      </c>
      <c r="F693" s="413">
        <v>5699.17</v>
      </c>
      <c r="G693" s="413">
        <v>1000.0</v>
      </c>
      <c r="H693" s="349" t="s">
        <v>1349</v>
      </c>
      <c r="I693" s="404" t="str">
        <f t="shared" si="8"/>
        <v>PARTIALLY PAID</v>
      </c>
      <c r="J693" s="402"/>
      <c r="K693" s="402"/>
      <c r="L693" s="402"/>
      <c r="M693" s="402"/>
      <c r="N693" s="402"/>
      <c r="O693" s="402"/>
      <c r="P693" s="402"/>
      <c r="Q693" s="402"/>
      <c r="R693" s="402"/>
      <c r="S693" s="402"/>
      <c r="T693" s="402"/>
      <c r="U693" s="402"/>
      <c r="V693" s="402"/>
      <c r="W693" s="402"/>
      <c r="X693" s="402"/>
      <c r="Y693" s="402"/>
      <c r="Z693" s="402"/>
      <c r="AA693" s="405"/>
      <c r="AB693" s="405"/>
    </row>
    <row r="694" ht="14.25" customHeight="1">
      <c r="A694" s="497">
        <v>45511.0</v>
      </c>
      <c r="B694" s="349" t="s">
        <v>918</v>
      </c>
      <c r="C694" s="349" t="s">
        <v>919</v>
      </c>
      <c r="D694" s="349" t="s">
        <v>54</v>
      </c>
      <c r="E694" s="349" t="s">
        <v>1139</v>
      </c>
      <c r="F694" s="413">
        <v>31090.65</v>
      </c>
      <c r="G694" s="413">
        <v>10000.0</v>
      </c>
      <c r="H694" s="349" t="s">
        <v>1350</v>
      </c>
      <c r="I694" s="404" t="str">
        <f t="shared" si="8"/>
        <v>PARTIALLY PAID</v>
      </c>
      <c r="J694" s="402"/>
      <c r="K694" s="402"/>
      <c r="L694" s="402"/>
      <c r="M694" s="402"/>
      <c r="N694" s="402"/>
      <c r="O694" s="402"/>
      <c r="P694" s="402"/>
      <c r="Q694" s="402"/>
      <c r="R694" s="402"/>
      <c r="S694" s="402"/>
      <c r="T694" s="402"/>
      <c r="U694" s="402"/>
      <c r="V694" s="402"/>
      <c r="W694" s="402"/>
      <c r="X694" s="402"/>
      <c r="Y694" s="402"/>
      <c r="Z694" s="402"/>
      <c r="AA694" s="405"/>
      <c r="AB694" s="405"/>
    </row>
    <row r="695" ht="14.25" customHeight="1">
      <c r="A695" s="497">
        <v>45511.0</v>
      </c>
      <c r="B695" s="349" t="s">
        <v>1137</v>
      </c>
      <c r="C695" s="349" t="s">
        <v>1138</v>
      </c>
      <c r="D695" s="349" t="s">
        <v>54</v>
      </c>
      <c r="E695" s="349" t="s">
        <v>1139</v>
      </c>
      <c r="F695" s="413">
        <v>5721.98</v>
      </c>
      <c r="G695" s="413">
        <v>0.0</v>
      </c>
      <c r="H695" s="349" t="s">
        <v>1286</v>
      </c>
      <c r="I695" s="404" t="str">
        <f t="shared" si="8"/>
        <v>NOT PAID</v>
      </c>
      <c r="J695" s="402"/>
      <c r="K695" s="402"/>
      <c r="L695" s="402"/>
      <c r="M695" s="402"/>
      <c r="N695" s="402"/>
      <c r="O695" s="402"/>
      <c r="P695" s="402"/>
      <c r="Q695" s="402"/>
      <c r="R695" s="402"/>
      <c r="S695" s="402"/>
      <c r="T695" s="402"/>
      <c r="U695" s="402"/>
      <c r="V695" s="402"/>
      <c r="W695" s="402"/>
      <c r="X695" s="402"/>
      <c r="Y695" s="402"/>
      <c r="Z695" s="402"/>
      <c r="AA695" s="405"/>
      <c r="AB695" s="405"/>
    </row>
    <row r="696" ht="14.25" customHeight="1">
      <c r="A696" s="497">
        <v>45511.0</v>
      </c>
      <c r="B696" s="349" t="s">
        <v>1125</v>
      </c>
      <c r="C696" s="349" t="s">
        <v>1126</v>
      </c>
      <c r="D696" s="349" t="s">
        <v>1030</v>
      </c>
      <c r="E696" s="349" t="s">
        <v>1139</v>
      </c>
      <c r="F696" s="413">
        <v>15297.75</v>
      </c>
      <c r="G696" s="413">
        <v>0.0</v>
      </c>
      <c r="H696" s="349" t="s">
        <v>1351</v>
      </c>
      <c r="I696" s="404" t="str">
        <f t="shared" si="8"/>
        <v>NOT PAID</v>
      </c>
      <c r="J696" s="402"/>
      <c r="K696" s="402"/>
      <c r="L696" s="402"/>
      <c r="M696" s="402"/>
      <c r="N696" s="402"/>
      <c r="O696" s="402"/>
      <c r="P696" s="402"/>
      <c r="Q696" s="402"/>
      <c r="R696" s="402"/>
      <c r="S696" s="402"/>
      <c r="T696" s="402"/>
      <c r="U696" s="402"/>
      <c r="V696" s="402"/>
      <c r="W696" s="402"/>
      <c r="X696" s="402"/>
      <c r="Y696" s="402"/>
      <c r="Z696" s="402"/>
      <c r="AA696" s="405"/>
      <c r="AB696" s="405"/>
    </row>
    <row r="697" ht="14.25" customHeight="1">
      <c r="A697" s="497">
        <v>45511.0</v>
      </c>
      <c r="B697" s="349" t="s">
        <v>783</v>
      </c>
      <c r="C697" s="349" t="s">
        <v>784</v>
      </c>
      <c r="D697" s="349" t="s">
        <v>54</v>
      </c>
      <c r="E697" s="349" t="s">
        <v>1139</v>
      </c>
      <c r="F697" s="413">
        <v>27715.83</v>
      </c>
      <c r="G697" s="413">
        <v>0.0</v>
      </c>
      <c r="H697" s="349" t="s">
        <v>1352</v>
      </c>
      <c r="I697" s="404" t="str">
        <f t="shared" si="8"/>
        <v>NOT PAID</v>
      </c>
      <c r="J697" s="402"/>
      <c r="K697" s="402"/>
      <c r="L697" s="402"/>
      <c r="M697" s="402"/>
      <c r="N697" s="402"/>
      <c r="O697" s="402"/>
      <c r="P697" s="402"/>
      <c r="Q697" s="402"/>
      <c r="R697" s="402"/>
      <c r="S697" s="402"/>
      <c r="T697" s="402"/>
      <c r="U697" s="402"/>
      <c r="V697" s="402"/>
      <c r="W697" s="402"/>
      <c r="X697" s="402"/>
      <c r="Y697" s="402"/>
      <c r="Z697" s="402"/>
      <c r="AA697" s="405"/>
      <c r="AB697" s="405"/>
    </row>
    <row r="698" ht="14.25" customHeight="1">
      <c r="A698" s="497">
        <v>45511.0</v>
      </c>
      <c r="B698" s="349" t="s">
        <v>698</v>
      </c>
      <c r="C698" s="349" t="s">
        <v>1167</v>
      </c>
      <c r="D698" s="349" t="s">
        <v>54</v>
      </c>
      <c r="E698" s="349" t="s">
        <v>1168</v>
      </c>
      <c r="F698" s="413">
        <v>14554.22</v>
      </c>
      <c r="G698" s="413">
        <v>0.0</v>
      </c>
      <c r="H698" s="349" t="s">
        <v>1353</v>
      </c>
      <c r="I698" s="404" t="str">
        <f t="shared" si="8"/>
        <v>NOT PAID</v>
      </c>
      <c r="J698" s="402"/>
      <c r="K698" s="402"/>
      <c r="L698" s="402"/>
      <c r="M698" s="402"/>
      <c r="N698" s="402"/>
      <c r="O698" s="402"/>
      <c r="P698" s="402"/>
      <c r="Q698" s="402"/>
      <c r="R698" s="402"/>
      <c r="S698" s="402"/>
      <c r="T698" s="402"/>
      <c r="U698" s="402"/>
      <c r="V698" s="402"/>
      <c r="W698" s="402"/>
      <c r="X698" s="402"/>
      <c r="Y698" s="402"/>
      <c r="Z698" s="402"/>
      <c r="AA698" s="405"/>
      <c r="AB698" s="405"/>
    </row>
    <row r="699" ht="14.25" customHeight="1">
      <c r="A699" s="497">
        <v>45511.0</v>
      </c>
      <c r="B699" s="349" t="s">
        <v>997</v>
      </c>
      <c r="C699" s="349" t="s">
        <v>998</v>
      </c>
      <c r="D699" s="349" t="s">
        <v>263</v>
      </c>
      <c r="E699" s="349" t="s">
        <v>1168</v>
      </c>
      <c r="F699" s="413">
        <v>81947.25</v>
      </c>
      <c r="G699" s="413">
        <v>0.0</v>
      </c>
      <c r="H699" s="349" t="s">
        <v>1354</v>
      </c>
      <c r="I699" s="404" t="str">
        <f t="shared" si="8"/>
        <v>NOT PAID</v>
      </c>
      <c r="J699" s="402"/>
      <c r="K699" s="402"/>
      <c r="L699" s="402"/>
      <c r="M699" s="402"/>
      <c r="N699" s="402"/>
      <c r="O699" s="402"/>
      <c r="P699" s="402"/>
      <c r="Q699" s="402"/>
      <c r="R699" s="402"/>
      <c r="S699" s="402"/>
      <c r="T699" s="402"/>
      <c r="U699" s="402"/>
      <c r="V699" s="402"/>
      <c r="W699" s="402"/>
      <c r="X699" s="402"/>
      <c r="Y699" s="402"/>
      <c r="Z699" s="402"/>
      <c r="AA699" s="405"/>
      <c r="AB699" s="405"/>
    </row>
    <row r="700" ht="14.25" customHeight="1">
      <c r="A700" s="497">
        <v>45511.0</v>
      </c>
      <c r="B700" s="343" t="s">
        <v>1223</v>
      </c>
      <c r="C700" s="344" t="s">
        <v>998</v>
      </c>
      <c r="D700" s="344" t="s">
        <v>346</v>
      </c>
      <c r="E700" s="349" t="s">
        <v>1168</v>
      </c>
      <c r="F700" s="452">
        <v>28350.0</v>
      </c>
      <c r="G700" s="413">
        <v>0.0</v>
      </c>
      <c r="H700" s="349" t="s">
        <v>1354</v>
      </c>
      <c r="I700" s="404" t="str">
        <f t="shared" si="8"/>
        <v>NOT PAID</v>
      </c>
      <c r="J700" s="402"/>
      <c r="K700" s="402"/>
      <c r="L700" s="402"/>
      <c r="M700" s="402"/>
      <c r="N700" s="402"/>
      <c r="O700" s="402"/>
      <c r="P700" s="402"/>
      <c r="Q700" s="402"/>
      <c r="R700" s="402"/>
      <c r="S700" s="402"/>
      <c r="T700" s="402"/>
      <c r="U700" s="402"/>
      <c r="V700" s="402"/>
      <c r="W700" s="402"/>
      <c r="X700" s="402"/>
      <c r="Y700" s="402"/>
      <c r="Z700" s="402"/>
      <c r="AA700" s="405"/>
      <c r="AB700" s="405"/>
    </row>
    <row r="701" ht="14.25" customHeight="1">
      <c r="A701" s="497">
        <v>45511.0</v>
      </c>
      <c r="B701" s="349" t="s">
        <v>1355</v>
      </c>
      <c r="C701" s="349" t="s">
        <v>1356</v>
      </c>
      <c r="D701" s="349" t="s">
        <v>54</v>
      </c>
      <c r="E701" s="349" t="s">
        <v>1168</v>
      </c>
      <c r="F701" s="413">
        <v>44740.0</v>
      </c>
      <c r="G701" s="413">
        <v>48740.0</v>
      </c>
      <c r="H701" s="349" t="s">
        <v>8</v>
      </c>
      <c r="I701" s="404" t="str">
        <f t="shared" si="8"/>
        <v>FULLY PAID</v>
      </c>
      <c r="J701" s="402"/>
      <c r="K701" s="402"/>
      <c r="L701" s="402"/>
      <c r="M701" s="402"/>
      <c r="N701" s="402"/>
      <c r="O701" s="402"/>
      <c r="P701" s="402"/>
      <c r="Q701" s="402"/>
      <c r="R701" s="402"/>
      <c r="S701" s="402"/>
      <c r="T701" s="402"/>
      <c r="U701" s="402"/>
      <c r="V701" s="402"/>
      <c r="W701" s="402"/>
      <c r="X701" s="402"/>
      <c r="Y701" s="402"/>
      <c r="Z701" s="402"/>
      <c r="AA701" s="405"/>
      <c r="AB701" s="405"/>
    </row>
    <row r="702" ht="14.25" customHeight="1">
      <c r="A702" s="497">
        <v>45511.0</v>
      </c>
      <c r="B702" s="414" t="s">
        <v>691</v>
      </c>
      <c r="C702" s="415" t="s">
        <v>692</v>
      </c>
      <c r="D702" s="415" t="s">
        <v>54</v>
      </c>
      <c r="E702" s="349" t="s">
        <v>1168</v>
      </c>
      <c r="F702" s="442">
        <v>189.0</v>
      </c>
      <c r="G702" s="413" t="s">
        <v>772</v>
      </c>
      <c r="H702" s="349" t="s">
        <v>8</v>
      </c>
      <c r="I702" s="404" t="str">
        <f t="shared" si="8"/>
        <v>FULLY PAID</v>
      </c>
      <c r="J702" s="402"/>
      <c r="K702" s="402"/>
      <c r="L702" s="402"/>
      <c r="M702" s="402"/>
      <c r="N702" s="402"/>
      <c r="O702" s="402"/>
      <c r="P702" s="402"/>
      <c r="Q702" s="402"/>
      <c r="R702" s="402"/>
      <c r="S702" s="402"/>
      <c r="T702" s="402"/>
      <c r="U702" s="402"/>
      <c r="V702" s="402"/>
      <c r="W702" s="402"/>
      <c r="X702" s="402"/>
      <c r="Y702" s="402"/>
      <c r="Z702" s="402"/>
      <c r="AA702" s="405"/>
      <c r="AB702" s="405"/>
    </row>
    <row r="703" ht="14.25" customHeight="1">
      <c r="A703" s="497">
        <v>45511.0</v>
      </c>
      <c r="B703" s="343" t="s">
        <v>781</v>
      </c>
      <c r="C703" s="344" t="s">
        <v>782</v>
      </c>
      <c r="D703" s="344" t="s">
        <v>54</v>
      </c>
      <c r="E703" s="344" t="s">
        <v>1143</v>
      </c>
      <c r="F703" s="442">
        <v>8720.98</v>
      </c>
      <c r="G703" s="413">
        <v>8800.0</v>
      </c>
      <c r="H703" s="402"/>
      <c r="I703" s="404" t="str">
        <f t="shared" si="8"/>
        <v>FULLY PAID</v>
      </c>
      <c r="J703" s="402"/>
      <c r="K703" s="402"/>
      <c r="L703" s="402"/>
      <c r="M703" s="402"/>
      <c r="N703" s="402"/>
      <c r="O703" s="402"/>
      <c r="P703" s="402"/>
      <c r="Q703" s="402"/>
      <c r="R703" s="402"/>
      <c r="S703" s="402"/>
      <c r="T703" s="402"/>
      <c r="U703" s="402"/>
      <c r="V703" s="402"/>
      <c r="W703" s="402"/>
      <c r="X703" s="402"/>
      <c r="Y703" s="402"/>
      <c r="Z703" s="402"/>
      <c r="AA703" s="405"/>
      <c r="AB703" s="405"/>
    </row>
    <row r="704" ht="14.25" customHeight="1">
      <c r="A704" s="497">
        <v>45511.0</v>
      </c>
      <c r="B704" s="343" t="s">
        <v>788</v>
      </c>
      <c r="C704" s="344" t="s">
        <v>789</v>
      </c>
      <c r="D704" s="344" t="s">
        <v>54</v>
      </c>
      <c r="E704" s="344" t="s">
        <v>1143</v>
      </c>
      <c r="F704" s="430">
        <v>89593.8</v>
      </c>
      <c r="G704" s="413">
        <v>0.0</v>
      </c>
      <c r="H704" s="402"/>
      <c r="I704" s="404" t="str">
        <f t="shared" si="8"/>
        <v>NOT PAID</v>
      </c>
      <c r="J704" s="402"/>
      <c r="K704" s="402"/>
      <c r="L704" s="402"/>
      <c r="M704" s="402"/>
      <c r="N704" s="402"/>
      <c r="O704" s="402"/>
      <c r="P704" s="402"/>
      <c r="Q704" s="402"/>
      <c r="R704" s="402"/>
      <c r="S704" s="402"/>
      <c r="T704" s="402"/>
      <c r="U704" s="402"/>
      <c r="V704" s="402"/>
      <c r="W704" s="402"/>
      <c r="X704" s="402"/>
      <c r="Y704" s="402"/>
      <c r="Z704" s="402"/>
      <c r="AA704" s="405"/>
      <c r="AB704" s="405"/>
    </row>
    <row r="705" ht="14.25" customHeight="1">
      <c r="A705" s="497">
        <v>45511.0</v>
      </c>
      <c r="B705" s="343" t="s">
        <v>1012</v>
      </c>
      <c r="C705" s="344" t="s">
        <v>1013</v>
      </c>
      <c r="D705" s="344" t="s">
        <v>75</v>
      </c>
      <c r="E705" s="344" t="s">
        <v>1143</v>
      </c>
      <c r="F705" s="442">
        <v>261725.0</v>
      </c>
      <c r="G705" s="413">
        <v>20000.0</v>
      </c>
      <c r="H705" s="500"/>
      <c r="I705" s="404" t="str">
        <f t="shared" si="8"/>
        <v>PARTIALLY PAID</v>
      </c>
      <c r="J705" s="402"/>
      <c r="K705" s="402"/>
      <c r="L705" s="402"/>
      <c r="M705" s="402"/>
      <c r="N705" s="402"/>
      <c r="O705" s="402"/>
      <c r="P705" s="402"/>
      <c r="Q705" s="402"/>
      <c r="R705" s="402"/>
      <c r="S705" s="402"/>
      <c r="T705" s="402"/>
      <c r="U705" s="402"/>
      <c r="V705" s="402"/>
      <c r="W705" s="402"/>
      <c r="X705" s="402"/>
      <c r="Y705" s="402"/>
      <c r="Z705" s="402"/>
      <c r="AA705" s="405"/>
      <c r="AB705" s="405"/>
    </row>
    <row r="706" ht="14.25" customHeight="1">
      <c r="A706" s="497">
        <v>45511.0</v>
      </c>
      <c r="B706" s="349" t="s">
        <v>1357</v>
      </c>
      <c r="C706" s="349" t="s">
        <v>1358</v>
      </c>
      <c r="D706" s="349" t="s">
        <v>54</v>
      </c>
      <c r="E706" s="349" t="s">
        <v>1143</v>
      </c>
      <c r="F706" s="413">
        <v>107783.0</v>
      </c>
      <c r="G706" s="413">
        <v>0.0</v>
      </c>
      <c r="H706" s="349" t="s">
        <v>1359</v>
      </c>
      <c r="I706" s="404" t="str">
        <f t="shared" si="8"/>
        <v>NOT PAID</v>
      </c>
      <c r="J706" s="402"/>
      <c r="K706" s="402"/>
      <c r="L706" s="402"/>
      <c r="M706" s="402"/>
      <c r="N706" s="402"/>
      <c r="O706" s="402"/>
      <c r="P706" s="402"/>
      <c r="Q706" s="402"/>
      <c r="R706" s="402"/>
      <c r="S706" s="402"/>
      <c r="T706" s="402"/>
      <c r="U706" s="402"/>
      <c r="V706" s="402"/>
      <c r="W706" s="402"/>
      <c r="X706" s="402"/>
      <c r="Y706" s="402"/>
      <c r="Z706" s="402"/>
      <c r="AA706" s="405"/>
      <c r="AB706" s="405"/>
    </row>
    <row r="707" ht="14.25" customHeight="1">
      <c r="A707" s="497">
        <v>45511.0</v>
      </c>
      <c r="B707" s="349" t="s">
        <v>825</v>
      </c>
      <c r="C707" s="349" t="s">
        <v>826</v>
      </c>
      <c r="D707" s="493" t="s">
        <v>54</v>
      </c>
      <c r="E707" s="415" t="s">
        <v>1360</v>
      </c>
      <c r="F707" s="413">
        <v>243330.94</v>
      </c>
      <c r="G707" s="403"/>
      <c r="H707" s="349" t="s">
        <v>1361</v>
      </c>
      <c r="I707" s="404" t="str">
        <f t="shared" si="8"/>
        <v>NOT PAID</v>
      </c>
      <c r="J707" s="402"/>
      <c r="K707" s="402"/>
      <c r="L707" s="402"/>
      <c r="M707" s="402"/>
      <c r="N707" s="402"/>
      <c r="O707" s="402"/>
      <c r="P707" s="402"/>
      <c r="Q707" s="402"/>
      <c r="R707" s="402"/>
      <c r="S707" s="402"/>
      <c r="T707" s="402"/>
      <c r="U707" s="402"/>
      <c r="V707" s="402"/>
      <c r="W707" s="402"/>
      <c r="X707" s="402"/>
      <c r="Y707" s="402"/>
      <c r="Z707" s="402"/>
      <c r="AA707" s="405"/>
      <c r="AB707" s="405"/>
    </row>
    <row r="708" ht="14.25" customHeight="1">
      <c r="A708" s="497"/>
      <c r="B708" s="402"/>
      <c r="C708" s="424"/>
      <c r="D708" s="501"/>
      <c r="E708" s="501"/>
      <c r="F708" s="403"/>
      <c r="G708" s="403"/>
      <c r="H708" s="402"/>
      <c r="I708" s="404" t="str">
        <f t="shared" si="8"/>
        <v>FULLY PAID</v>
      </c>
      <c r="J708" s="402"/>
      <c r="K708" s="402"/>
      <c r="L708" s="402"/>
      <c r="M708" s="402"/>
      <c r="N708" s="402"/>
      <c r="O708" s="402"/>
      <c r="P708" s="402"/>
      <c r="Q708" s="402"/>
      <c r="R708" s="402"/>
      <c r="S708" s="402"/>
      <c r="T708" s="402"/>
      <c r="U708" s="402"/>
      <c r="V708" s="402"/>
      <c r="W708" s="402"/>
      <c r="X708" s="402"/>
      <c r="Y708" s="402"/>
      <c r="Z708" s="402"/>
      <c r="AA708" s="405"/>
      <c r="AB708" s="405"/>
    </row>
    <row r="709" ht="14.25" customHeight="1">
      <c r="A709" s="497"/>
      <c r="B709" s="402"/>
      <c r="C709" s="424" t="s">
        <v>797</v>
      </c>
      <c r="D709" s="402"/>
      <c r="E709" s="402"/>
      <c r="F709" s="403"/>
      <c r="G709" s="403"/>
      <c r="H709" s="402"/>
      <c r="I709" s="404" t="str">
        <f t="shared" si="8"/>
        <v>FULLY PAID</v>
      </c>
      <c r="J709" s="402"/>
      <c r="K709" s="402"/>
      <c r="L709" s="402"/>
      <c r="M709" s="402"/>
      <c r="N709" s="402"/>
      <c r="O709" s="402"/>
      <c r="P709" s="402"/>
      <c r="Q709" s="402"/>
      <c r="R709" s="402"/>
      <c r="S709" s="402"/>
      <c r="T709" s="402"/>
      <c r="U709" s="402"/>
      <c r="V709" s="402"/>
      <c r="W709" s="402"/>
      <c r="X709" s="402"/>
      <c r="Y709" s="402"/>
      <c r="Z709" s="402"/>
      <c r="AA709" s="405"/>
      <c r="AB709" s="405"/>
    </row>
    <row r="710" ht="14.25" customHeight="1">
      <c r="A710" s="497">
        <v>45511.0</v>
      </c>
      <c r="B710" s="349" t="s">
        <v>886</v>
      </c>
      <c r="C710" s="349" t="s">
        <v>1095</v>
      </c>
      <c r="D710" s="349" t="s">
        <v>54</v>
      </c>
      <c r="E710" s="349" t="s">
        <v>1255</v>
      </c>
      <c r="F710" s="413">
        <v>100000.0</v>
      </c>
      <c r="G710" s="403"/>
      <c r="H710" s="349" t="s">
        <v>1362</v>
      </c>
      <c r="I710" s="404" t="str">
        <f t="shared" si="8"/>
        <v>NOT PAID</v>
      </c>
      <c r="J710" s="402"/>
      <c r="K710" s="402"/>
      <c r="L710" s="402"/>
      <c r="M710" s="402"/>
      <c r="N710" s="402"/>
      <c r="O710" s="402"/>
      <c r="P710" s="402"/>
      <c r="Q710" s="402"/>
      <c r="R710" s="402"/>
      <c r="S710" s="402"/>
      <c r="T710" s="402"/>
      <c r="U710" s="402"/>
      <c r="V710" s="402"/>
      <c r="W710" s="402"/>
      <c r="X710" s="402"/>
      <c r="Y710" s="402"/>
      <c r="Z710" s="402"/>
      <c r="AA710" s="405"/>
      <c r="AB710" s="405"/>
    </row>
    <row r="711" ht="14.25" customHeight="1">
      <c r="A711" s="497">
        <v>45511.0</v>
      </c>
      <c r="B711" s="349" t="s">
        <v>1042</v>
      </c>
      <c r="C711" s="349" t="s">
        <v>1043</v>
      </c>
      <c r="D711" s="349" t="s">
        <v>54</v>
      </c>
      <c r="E711" s="349" t="s">
        <v>1255</v>
      </c>
      <c r="F711" s="413">
        <v>87030.49</v>
      </c>
      <c r="G711" s="502">
        <v>87050.0</v>
      </c>
      <c r="H711" s="349" t="s">
        <v>876</v>
      </c>
      <c r="I711" s="404" t="str">
        <f t="shared" si="8"/>
        <v>FULLY PAID</v>
      </c>
      <c r="J711" s="402"/>
      <c r="K711" s="402"/>
      <c r="L711" s="402"/>
      <c r="M711" s="402"/>
      <c r="N711" s="402"/>
      <c r="O711" s="402"/>
      <c r="P711" s="402"/>
      <c r="Q711" s="402"/>
      <c r="R711" s="402"/>
      <c r="S711" s="402"/>
      <c r="T711" s="402"/>
      <c r="U711" s="402"/>
      <c r="V711" s="402"/>
      <c r="W711" s="402"/>
      <c r="X711" s="402"/>
      <c r="Y711" s="402"/>
      <c r="Z711" s="402"/>
      <c r="AA711" s="405"/>
      <c r="AB711" s="405"/>
    </row>
    <row r="712" ht="14.25" customHeight="1">
      <c r="A712" s="497">
        <v>45511.0</v>
      </c>
      <c r="B712" s="349" t="s">
        <v>777</v>
      </c>
      <c r="C712" s="349" t="s">
        <v>929</v>
      </c>
      <c r="D712" s="349" t="s">
        <v>54</v>
      </c>
      <c r="E712" s="349" t="s">
        <v>1255</v>
      </c>
      <c r="F712" s="413">
        <v>19000.0</v>
      </c>
      <c r="G712" s="413">
        <v>15100.0</v>
      </c>
      <c r="H712" s="349" t="s">
        <v>905</v>
      </c>
      <c r="I712" s="404" t="str">
        <f t="shared" si="8"/>
        <v>PARTIALLY PAID</v>
      </c>
      <c r="J712" s="402"/>
      <c r="K712" s="402"/>
      <c r="L712" s="402"/>
      <c r="M712" s="402"/>
      <c r="N712" s="402"/>
      <c r="O712" s="402"/>
      <c r="P712" s="402"/>
      <c r="Q712" s="402"/>
      <c r="R712" s="402"/>
      <c r="S712" s="402"/>
      <c r="T712" s="402"/>
      <c r="U712" s="402"/>
      <c r="V712" s="402"/>
      <c r="W712" s="402"/>
      <c r="X712" s="402"/>
      <c r="Y712" s="402"/>
      <c r="Z712" s="402"/>
      <c r="AA712" s="405"/>
      <c r="AB712" s="405"/>
    </row>
    <row r="713" ht="14.25" customHeight="1">
      <c r="A713" s="497">
        <v>45511.0</v>
      </c>
      <c r="B713" s="349" t="s">
        <v>877</v>
      </c>
      <c r="C713" s="349" t="s">
        <v>878</v>
      </c>
      <c r="D713" s="349" t="s">
        <v>54</v>
      </c>
      <c r="E713" s="349" t="s">
        <v>1255</v>
      </c>
      <c r="F713" s="413">
        <v>86110.69</v>
      </c>
      <c r="G713" s="403"/>
      <c r="H713" s="349" t="s">
        <v>1363</v>
      </c>
      <c r="I713" s="404" t="str">
        <f t="shared" si="8"/>
        <v>NOT PAID</v>
      </c>
      <c r="J713" s="402"/>
      <c r="K713" s="402"/>
      <c r="L713" s="402"/>
      <c r="M713" s="402"/>
      <c r="N713" s="402"/>
      <c r="O713" s="402"/>
      <c r="P713" s="402"/>
      <c r="Q713" s="402"/>
      <c r="R713" s="402"/>
      <c r="S713" s="402"/>
      <c r="T713" s="402"/>
      <c r="U713" s="402"/>
      <c r="V713" s="402"/>
      <c r="W713" s="402"/>
      <c r="X713" s="402"/>
      <c r="Y713" s="402"/>
      <c r="Z713" s="402"/>
      <c r="AA713" s="405"/>
      <c r="AB713" s="405"/>
    </row>
    <row r="714" ht="14.25" customHeight="1">
      <c r="A714" s="497">
        <v>45511.0</v>
      </c>
      <c r="B714" s="349" t="s">
        <v>960</v>
      </c>
      <c r="C714" s="349" t="s">
        <v>961</v>
      </c>
      <c r="D714" s="349" t="s">
        <v>54</v>
      </c>
      <c r="E714" s="349" t="s">
        <v>1255</v>
      </c>
      <c r="F714" s="413">
        <v>198921.16</v>
      </c>
      <c r="G714" s="403"/>
      <c r="H714" s="349" t="s">
        <v>1364</v>
      </c>
      <c r="I714" s="404" t="str">
        <f t="shared" si="8"/>
        <v>NOT PAID</v>
      </c>
      <c r="J714" s="402"/>
      <c r="K714" s="402"/>
      <c r="L714" s="402"/>
      <c r="M714" s="402"/>
      <c r="N714" s="402"/>
      <c r="O714" s="402"/>
      <c r="P714" s="402"/>
      <c r="Q714" s="402"/>
      <c r="R714" s="402"/>
      <c r="S714" s="402"/>
      <c r="T714" s="402"/>
      <c r="U714" s="402"/>
      <c r="V714" s="402"/>
      <c r="W714" s="402"/>
      <c r="X714" s="402"/>
      <c r="Y714" s="402"/>
      <c r="Z714" s="402"/>
      <c r="AA714" s="405"/>
      <c r="AB714" s="405"/>
    </row>
    <row r="715" ht="14.25" customHeight="1">
      <c r="A715" s="497"/>
      <c r="B715" s="349"/>
      <c r="C715" s="349"/>
      <c r="D715" s="349"/>
      <c r="E715" s="349"/>
      <c r="F715" s="413"/>
      <c r="G715" s="403"/>
      <c r="H715" s="402"/>
      <c r="I715" s="404" t="str">
        <f t="shared" si="8"/>
        <v>FULLY PAID</v>
      </c>
      <c r="J715" s="402"/>
      <c r="K715" s="402"/>
      <c r="L715" s="402"/>
      <c r="M715" s="402"/>
      <c r="N715" s="402"/>
      <c r="O715" s="402"/>
      <c r="P715" s="402"/>
      <c r="Q715" s="402"/>
      <c r="R715" s="402"/>
      <c r="S715" s="402"/>
      <c r="T715" s="402"/>
      <c r="U715" s="402"/>
      <c r="V715" s="402"/>
      <c r="W715" s="402"/>
      <c r="X715" s="402"/>
      <c r="Y715" s="402"/>
      <c r="Z715" s="402"/>
      <c r="AA715" s="405"/>
      <c r="AB715" s="405"/>
    </row>
    <row r="716" ht="14.25" customHeight="1">
      <c r="A716" s="497">
        <v>45511.0</v>
      </c>
      <c r="B716" s="349" t="s">
        <v>1087</v>
      </c>
      <c r="C716" s="349" t="s">
        <v>1088</v>
      </c>
      <c r="D716" s="349" t="s">
        <v>439</v>
      </c>
      <c r="E716" s="349" t="s">
        <v>1298</v>
      </c>
      <c r="F716" s="413">
        <v>104673.5</v>
      </c>
      <c r="G716" s="403"/>
      <c r="H716" s="349" t="s">
        <v>1365</v>
      </c>
      <c r="I716" s="404" t="str">
        <f t="shared" si="8"/>
        <v>NOT PAID</v>
      </c>
      <c r="J716" s="402"/>
      <c r="K716" s="402"/>
      <c r="L716" s="402"/>
      <c r="M716" s="402"/>
      <c r="N716" s="402"/>
      <c r="O716" s="402"/>
      <c r="P716" s="402"/>
      <c r="Q716" s="402"/>
      <c r="R716" s="402"/>
      <c r="S716" s="402"/>
      <c r="T716" s="402"/>
      <c r="U716" s="402"/>
      <c r="V716" s="402"/>
      <c r="W716" s="402"/>
      <c r="X716" s="402"/>
      <c r="Y716" s="402"/>
      <c r="Z716" s="402"/>
      <c r="AA716" s="405"/>
      <c r="AB716" s="405"/>
    </row>
    <row r="717" ht="14.25" customHeight="1">
      <c r="A717" s="497">
        <v>45511.0</v>
      </c>
      <c r="B717" s="349" t="s">
        <v>1176</v>
      </c>
      <c r="C717" s="424" t="s">
        <v>1366</v>
      </c>
      <c r="D717" s="349" t="s">
        <v>666</v>
      </c>
      <c r="E717" s="349" t="s">
        <v>1298</v>
      </c>
      <c r="F717" s="403"/>
      <c r="G717" s="403"/>
      <c r="H717" s="349" t="s">
        <v>1367</v>
      </c>
      <c r="I717" s="404" t="str">
        <f t="shared" si="8"/>
        <v>FULLY PAID</v>
      </c>
      <c r="J717" s="402"/>
      <c r="K717" s="402"/>
      <c r="L717" s="402"/>
      <c r="M717" s="402"/>
      <c r="N717" s="402"/>
      <c r="O717" s="402"/>
      <c r="P717" s="402"/>
      <c r="Q717" s="402"/>
      <c r="R717" s="402"/>
      <c r="S717" s="402"/>
      <c r="T717" s="402"/>
      <c r="U717" s="402"/>
      <c r="V717" s="402"/>
      <c r="W717" s="402"/>
      <c r="X717" s="402"/>
      <c r="Y717" s="402"/>
      <c r="Z717" s="402"/>
      <c r="AA717" s="405"/>
      <c r="AB717" s="405"/>
    </row>
    <row r="718" ht="14.25" customHeight="1">
      <c r="A718" s="402"/>
      <c r="B718" s="402"/>
      <c r="C718" s="402"/>
      <c r="D718" s="402"/>
      <c r="E718" s="402"/>
      <c r="F718" s="403"/>
      <c r="G718" s="403"/>
      <c r="H718" s="402"/>
      <c r="I718" s="404" t="str">
        <f t="shared" si="8"/>
        <v>FULLY PAID</v>
      </c>
      <c r="J718" s="402"/>
      <c r="K718" s="402"/>
      <c r="L718" s="402"/>
      <c r="M718" s="402"/>
      <c r="N718" s="402"/>
      <c r="O718" s="402"/>
      <c r="P718" s="402"/>
      <c r="Q718" s="402"/>
      <c r="R718" s="402"/>
      <c r="S718" s="402"/>
      <c r="T718" s="402"/>
      <c r="U718" s="402"/>
      <c r="V718" s="402"/>
      <c r="W718" s="402"/>
      <c r="X718" s="402"/>
      <c r="Y718" s="402"/>
      <c r="Z718" s="402"/>
      <c r="AA718" s="405"/>
      <c r="AB718" s="405"/>
    </row>
    <row r="719" ht="14.25" customHeight="1">
      <c r="A719" s="402"/>
      <c r="B719" s="402"/>
      <c r="C719" s="402"/>
      <c r="D719" s="402"/>
      <c r="E719" s="402"/>
      <c r="F719" s="403"/>
      <c r="G719" s="403"/>
      <c r="H719" s="402"/>
      <c r="I719" s="404" t="str">
        <f t="shared" si="8"/>
        <v>FULLY PAID</v>
      </c>
      <c r="J719" s="402"/>
      <c r="K719" s="402"/>
      <c r="L719" s="402"/>
      <c r="M719" s="402"/>
      <c r="N719" s="402"/>
      <c r="O719" s="402"/>
      <c r="P719" s="402"/>
      <c r="Q719" s="402"/>
      <c r="R719" s="402"/>
      <c r="S719" s="402"/>
      <c r="T719" s="402"/>
      <c r="U719" s="402"/>
      <c r="V719" s="402"/>
      <c r="W719" s="402"/>
      <c r="X719" s="402"/>
      <c r="Y719" s="402"/>
      <c r="Z719" s="402"/>
      <c r="AA719" s="405"/>
      <c r="AB719" s="405"/>
    </row>
    <row r="720" ht="14.25" customHeight="1">
      <c r="A720" s="497">
        <v>45511.0</v>
      </c>
      <c r="B720" s="349" t="s">
        <v>254</v>
      </c>
      <c r="C720" s="349" t="s">
        <v>255</v>
      </c>
      <c r="D720" s="349" t="s">
        <v>1368</v>
      </c>
      <c r="E720" s="349" t="s">
        <v>273</v>
      </c>
      <c r="F720" s="413">
        <v>800000.0</v>
      </c>
      <c r="G720" s="413">
        <v>800000.0</v>
      </c>
      <c r="H720" s="349" t="s">
        <v>1369</v>
      </c>
      <c r="I720" s="404" t="str">
        <f t="shared" si="8"/>
        <v>FULLY PAID</v>
      </c>
      <c r="J720" s="402"/>
      <c r="K720" s="402"/>
      <c r="L720" s="402"/>
      <c r="M720" s="402"/>
      <c r="N720" s="402"/>
      <c r="O720" s="402"/>
      <c r="P720" s="402"/>
      <c r="Q720" s="402"/>
      <c r="R720" s="402"/>
      <c r="S720" s="402"/>
      <c r="T720" s="402"/>
      <c r="U720" s="402"/>
      <c r="V720" s="402"/>
      <c r="W720" s="402"/>
      <c r="X720" s="402"/>
      <c r="Y720" s="402"/>
      <c r="Z720" s="402"/>
      <c r="AA720" s="405"/>
      <c r="AB720" s="405"/>
    </row>
    <row r="721" ht="14.25" customHeight="1">
      <c r="A721" s="402"/>
      <c r="B721" s="402"/>
      <c r="C721" s="402"/>
      <c r="D721" s="402"/>
      <c r="E721" s="402"/>
      <c r="F721" s="403"/>
      <c r="G721" s="403"/>
      <c r="H721" s="402"/>
      <c r="I721" s="404" t="str">
        <f t="shared" si="8"/>
        <v>FULLY PAID</v>
      </c>
      <c r="J721" s="402"/>
      <c r="K721" s="402"/>
      <c r="L721" s="402"/>
      <c r="M721" s="402"/>
      <c r="N721" s="402"/>
      <c r="O721" s="402"/>
      <c r="P721" s="402"/>
      <c r="Q721" s="402"/>
      <c r="R721" s="402"/>
      <c r="S721" s="402"/>
      <c r="T721" s="402"/>
      <c r="U721" s="402"/>
      <c r="V721" s="402"/>
      <c r="W721" s="402"/>
      <c r="X721" s="402"/>
      <c r="Y721" s="402"/>
      <c r="Z721" s="402"/>
      <c r="AA721" s="405"/>
      <c r="AB721" s="405"/>
    </row>
    <row r="722" ht="14.25" customHeight="1">
      <c r="A722" s="402"/>
      <c r="B722" s="402"/>
      <c r="C722" s="402"/>
      <c r="D722" s="402"/>
      <c r="E722" s="402"/>
      <c r="F722" s="403"/>
      <c r="G722" s="403"/>
      <c r="H722" s="402"/>
      <c r="I722" s="404" t="str">
        <f t="shared" si="8"/>
        <v>FULLY PAID</v>
      </c>
      <c r="J722" s="402"/>
      <c r="K722" s="402"/>
      <c r="L722" s="402"/>
      <c r="M722" s="402"/>
      <c r="N722" s="402"/>
      <c r="O722" s="402"/>
      <c r="P722" s="402"/>
      <c r="Q722" s="402"/>
      <c r="R722" s="402"/>
      <c r="S722" s="402"/>
      <c r="T722" s="402"/>
      <c r="U722" s="402"/>
      <c r="V722" s="402"/>
      <c r="W722" s="402"/>
      <c r="X722" s="402"/>
      <c r="Y722" s="402"/>
      <c r="Z722" s="402"/>
      <c r="AA722" s="405"/>
      <c r="AB722" s="405"/>
    </row>
    <row r="723" ht="14.25" customHeight="1">
      <c r="A723" s="402"/>
      <c r="B723" s="402"/>
      <c r="C723" s="402"/>
      <c r="D723" s="402"/>
      <c r="E723" s="402"/>
      <c r="F723" s="403"/>
      <c r="G723" s="403"/>
      <c r="H723" s="402"/>
      <c r="I723" s="404" t="str">
        <f t="shared" si="8"/>
        <v>FULLY PAID</v>
      </c>
      <c r="J723" s="402"/>
      <c r="K723" s="402"/>
      <c r="L723" s="402"/>
      <c r="M723" s="402"/>
      <c r="N723" s="402"/>
      <c r="O723" s="402"/>
      <c r="P723" s="402"/>
      <c r="Q723" s="402"/>
      <c r="R723" s="402"/>
      <c r="S723" s="402"/>
      <c r="T723" s="402"/>
      <c r="U723" s="402"/>
      <c r="V723" s="402"/>
      <c r="W723" s="402"/>
      <c r="X723" s="402"/>
      <c r="Y723" s="402"/>
      <c r="Z723" s="402"/>
      <c r="AA723" s="405"/>
      <c r="AB723" s="405"/>
    </row>
    <row r="724" ht="14.25" customHeight="1">
      <c r="A724" s="402"/>
      <c r="B724" s="402"/>
      <c r="C724" s="402"/>
      <c r="D724" s="402"/>
      <c r="E724" s="402"/>
      <c r="F724" s="403"/>
      <c r="G724" s="403"/>
      <c r="H724" s="402"/>
      <c r="I724" s="404" t="str">
        <f t="shared" si="8"/>
        <v>FULLY PAID</v>
      </c>
      <c r="J724" s="402"/>
      <c r="K724" s="402"/>
      <c r="L724" s="402"/>
      <c r="M724" s="402"/>
      <c r="N724" s="402"/>
      <c r="O724" s="402"/>
      <c r="P724" s="402"/>
      <c r="Q724" s="402"/>
      <c r="R724" s="402"/>
      <c r="S724" s="402"/>
      <c r="T724" s="402"/>
      <c r="U724" s="402"/>
      <c r="V724" s="402"/>
      <c r="W724" s="402"/>
      <c r="X724" s="402"/>
      <c r="Y724" s="402"/>
      <c r="Z724" s="402"/>
      <c r="AA724" s="405"/>
      <c r="AB724" s="405"/>
    </row>
    <row r="725" ht="14.25" customHeight="1">
      <c r="A725" s="402"/>
      <c r="B725" s="402"/>
      <c r="C725" s="402"/>
      <c r="D725" s="402"/>
      <c r="E725" s="402"/>
      <c r="F725" s="403"/>
      <c r="G725" s="403"/>
      <c r="H725" s="402"/>
      <c r="I725" s="404" t="str">
        <f t="shared" si="8"/>
        <v>FULLY PAID</v>
      </c>
      <c r="J725" s="402"/>
      <c r="K725" s="402"/>
      <c r="L725" s="402"/>
      <c r="M725" s="402"/>
      <c r="N725" s="402"/>
      <c r="O725" s="402"/>
      <c r="P725" s="402"/>
      <c r="Q725" s="402"/>
      <c r="R725" s="402"/>
      <c r="S725" s="402"/>
      <c r="T725" s="402"/>
      <c r="U725" s="402"/>
      <c r="V725" s="402"/>
      <c r="W725" s="402"/>
      <c r="X725" s="402"/>
      <c r="Y725" s="402"/>
      <c r="Z725" s="402"/>
      <c r="AA725" s="405"/>
      <c r="AB725" s="405"/>
    </row>
    <row r="726" ht="14.25" customHeight="1">
      <c r="A726" s="402"/>
      <c r="B726" s="402"/>
      <c r="C726" s="402"/>
      <c r="D726" s="402"/>
      <c r="E726" s="402"/>
      <c r="F726" s="403"/>
      <c r="G726" s="403"/>
      <c r="H726" s="402"/>
      <c r="I726" s="404" t="str">
        <f t="shared" si="8"/>
        <v>FULLY PAID</v>
      </c>
      <c r="J726" s="402"/>
      <c r="K726" s="402"/>
      <c r="L726" s="402"/>
      <c r="M726" s="402"/>
      <c r="N726" s="402"/>
      <c r="O726" s="402"/>
      <c r="P726" s="402"/>
      <c r="Q726" s="402"/>
      <c r="R726" s="402"/>
      <c r="S726" s="402"/>
      <c r="T726" s="402"/>
      <c r="U726" s="402"/>
      <c r="V726" s="402"/>
      <c r="W726" s="402"/>
      <c r="X726" s="402"/>
      <c r="Y726" s="402"/>
      <c r="Z726" s="402"/>
      <c r="AA726" s="405"/>
      <c r="AB726" s="405"/>
    </row>
    <row r="727" ht="14.25" customHeight="1">
      <c r="A727" s="402"/>
      <c r="B727" s="503">
        <v>45512.0</v>
      </c>
      <c r="C727" s="402"/>
      <c r="D727" s="402"/>
      <c r="E727" s="402"/>
      <c r="F727" s="403"/>
      <c r="G727" s="403"/>
      <c r="H727" s="402"/>
      <c r="I727" s="404" t="str">
        <f t="shared" si="8"/>
        <v>FULLY PAID</v>
      </c>
      <c r="J727" s="402"/>
      <c r="K727" s="402"/>
      <c r="L727" s="402"/>
      <c r="M727" s="402"/>
      <c r="N727" s="402"/>
      <c r="O727" s="402"/>
      <c r="P727" s="402"/>
      <c r="Q727" s="402"/>
      <c r="R727" s="402"/>
      <c r="S727" s="402"/>
      <c r="T727" s="402"/>
      <c r="U727" s="402"/>
      <c r="V727" s="402"/>
      <c r="W727" s="402"/>
      <c r="X727" s="402"/>
      <c r="Y727" s="402"/>
      <c r="Z727" s="402"/>
      <c r="AA727" s="405"/>
      <c r="AB727" s="405"/>
    </row>
    <row r="728" ht="14.25" customHeight="1">
      <c r="A728" s="402"/>
      <c r="B728" s="402"/>
      <c r="C728" s="402"/>
      <c r="D728" s="402"/>
      <c r="E728" s="402"/>
      <c r="F728" s="403"/>
      <c r="G728" s="403"/>
      <c r="H728" s="402"/>
      <c r="I728" s="404" t="str">
        <f t="shared" si="8"/>
        <v>FULLY PAID</v>
      </c>
      <c r="J728" s="402"/>
      <c r="K728" s="402"/>
      <c r="L728" s="402"/>
      <c r="M728" s="402"/>
      <c r="N728" s="402"/>
      <c r="O728" s="402"/>
      <c r="P728" s="402"/>
      <c r="Q728" s="402"/>
      <c r="R728" s="402"/>
      <c r="S728" s="402"/>
      <c r="T728" s="402"/>
      <c r="U728" s="402"/>
      <c r="V728" s="402"/>
      <c r="W728" s="402"/>
      <c r="X728" s="402"/>
      <c r="Y728" s="402"/>
      <c r="Z728" s="402"/>
      <c r="AA728" s="405"/>
      <c r="AB728" s="405"/>
    </row>
    <row r="729" ht="14.25" customHeight="1">
      <c r="A729" s="497">
        <v>45512.0</v>
      </c>
      <c r="B729" s="349" t="s">
        <v>1117</v>
      </c>
      <c r="C729" s="349" t="s">
        <v>1332</v>
      </c>
      <c r="D729" s="349" t="s">
        <v>1333</v>
      </c>
      <c r="E729" s="349" t="s">
        <v>1098</v>
      </c>
      <c r="F729" s="413">
        <v>170000.0</v>
      </c>
      <c r="G729" s="403"/>
      <c r="H729" s="349" t="s">
        <v>1241</v>
      </c>
      <c r="I729" s="404" t="str">
        <f t="shared" si="8"/>
        <v>NOT PAID</v>
      </c>
      <c r="J729" s="402"/>
      <c r="K729" s="402"/>
      <c r="L729" s="402"/>
      <c r="M729" s="402"/>
      <c r="N729" s="402"/>
      <c r="O729" s="402"/>
      <c r="P729" s="402"/>
      <c r="Q729" s="402"/>
      <c r="R729" s="402"/>
      <c r="S729" s="402"/>
      <c r="T729" s="402"/>
      <c r="U729" s="402"/>
      <c r="V729" s="402"/>
      <c r="W729" s="402"/>
      <c r="X729" s="402"/>
      <c r="Y729" s="402"/>
      <c r="Z729" s="402"/>
      <c r="AA729" s="405"/>
      <c r="AB729" s="405"/>
    </row>
    <row r="730" ht="14.25" customHeight="1">
      <c r="A730" s="497">
        <v>45512.0</v>
      </c>
      <c r="B730" s="484" t="s">
        <v>1113</v>
      </c>
      <c r="C730" s="349" t="s">
        <v>1332</v>
      </c>
      <c r="D730" s="349" t="s">
        <v>1333</v>
      </c>
      <c r="E730" s="349" t="s">
        <v>1098</v>
      </c>
      <c r="F730" s="413">
        <v>170000.0</v>
      </c>
      <c r="G730" s="413"/>
      <c r="H730" s="349" t="s">
        <v>1241</v>
      </c>
      <c r="I730" s="404" t="str">
        <f t="shared" si="8"/>
        <v>NOT PAID</v>
      </c>
      <c r="J730" s="402"/>
      <c r="K730" s="402"/>
      <c r="L730" s="402"/>
      <c r="M730" s="402"/>
      <c r="N730" s="402"/>
      <c r="O730" s="402"/>
      <c r="P730" s="402"/>
      <c r="Q730" s="402"/>
      <c r="R730" s="402"/>
      <c r="S730" s="402"/>
      <c r="T730" s="402"/>
      <c r="U730" s="402"/>
      <c r="V730" s="402"/>
      <c r="W730" s="402"/>
      <c r="X730" s="402"/>
      <c r="Y730" s="402"/>
      <c r="Z730" s="402"/>
      <c r="AA730" s="405"/>
      <c r="AB730" s="405"/>
    </row>
    <row r="731" ht="14.25" customHeight="1">
      <c r="A731" s="497">
        <v>45512.0</v>
      </c>
      <c r="B731" s="349" t="s">
        <v>777</v>
      </c>
      <c r="C731" s="349" t="s">
        <v>778</v>
      </c>
      <c r="D731" s="349" t="s">
        <v>54</v>
      </c>
      <c r="E731" s="349" t="s">
        <v>1098</v>
      </c>
      <c r="F731" s="413">
        <v>4000.0</v>
      </c>
      <c r="G731" s="413">
        <v>5800.0</v>
      </c>
      <c r="H731" s="349" t="s">
        <v>710</v>
      </c>
      <c r="I731" s="404" t="str">
        <f t="shared" si="8"/>
        <v>FULLY PAID</v>
      </c>
      <c r="J731" s="402"/>
      <c r="K731" s="402"/>
      <c r="L731" s="402"/>
      <c r="M731" s="402"/>
      <c r="N731" s="402"/>
      <c r="O731" s="402"/>
      <c r="P731" s="402"/>
      <c r="Q731" s="402"/>
      <c r="R731" s="402"/>
      <c r="S731" s="402"/>
      <c r="T731" s="402"/>
      <c r="U731" s="402"/>
      <c r="V731" s="402"/>
      <c r="W731" s="402"/>
      <c r="X731" s="402"/>
      <c r="Y731" s="402"/>
      <c r="Z731" s="402"/>
      <c r="AA731" s="405"/>
      <c r="AB731" s="405"/>
    </row>
    <row r="732" ht="14.25" customHeight="1">
      <c r="A732" s="497">
        <v>45512.0</v>
      </c>
      <c r="B732" s="349" t="s">
        <v>841</v>
      </c>
      <c r="C732" s="349" t="s">
        <v>842</v>
      </c>
      <c r="D732" s="349" t="s">
        <v>54</v>
      </c>
      <c r="E732" s="349" t="s">
        <v>1098</v>
      </c>
      <c r="F732" s="413">
        <v>1400.0</v>
      </c>
      <c r="G732" s="413">
        <v>1400.0</v>
      </c>
      <c r="H732" s="349" t="s">
        <v>710</v>
      </c>
      <c r="I732" s="404" t="str">
        <f t="shared" si="8"/>
        <v>FULLY PAID</v>
      </c>
      <c r="J732" s="402"/>
      <c r="K732" s="402"/>
      <c r="L732" s="402"/>
      <c r="M732" s="402"/>
      <c r="N732" s="402"/>
      <c r="O732" s="402"/>
      <c r="P732" s="402"/>
      <c r="Q732" s="402"/>
      <c r="R732" s="402"/>
      <c r="S732" s="402"/>
      <c r="T732" s="402"/>
      <c r="U732" s="402"/>
      <c r="V732" s="402"/>
      <c r="W732" s="402"/>
      <c r="X732" s="402"/>
      <c r="Y732" s="402"/>
      <c r="Z732" s="402"/>
      <c r="AA732" s="405"/>
      <c r="AB732" s="405"/>
    </row>
    <row r="733" ht="14.25" customHeight="1">
      <c r="A733" s="497">
        <v>45512.0</v>
      </c>
      <c r="B733" s="349" t="s">
        <v>807</v>
      </c>
      <c r="C733" s="349" t="s">
        <v>808</v>
      </c>
      <c r="D733" s="349" t="s">
        <v>54</v>
      </c>
      <c r="E733" s="349" t="s">
        <v>1098</v>
      </c>
      <c r="F733" s="413">
        <v>1674.75</v>
      </c>
      <c r="G733" s="413"/>
      <c r="H733" s="349" t="s">
        <v>1370</v>
      </c>
      <c r="I733" s="404" t="str">
        <f t="shared" si="8"/>
        <v>NOT PAID</v>
      </c>
      <c r="J733" s="402"/>
      <c r="K733" s="402"/>
      <c r="L733" s="402"/>
      <c r="M733" s="402"/>
      <c r="N733" s="402"/>
      <c r="O733" s="402"/>
      <c r="P733" s="402"/>
      <c r="Q733" s="402"/>
      <c r="R733" s="402"/>
      <c r="S733" s="402"/>
      <c r="T733" s="402"/>
      <c r="U733" s="402"/>
      <c r="V733" s="402"/>
      <c r="W733" s="402"/>
      <c r="X733" s="402"/>
      <c r="Y733" s="402"/>
      <c r="Z733" s="402"/>
      <c r="AA733" s="405"/>
      <c r="AB733" s="405"/>
    </row>
    <row r="734" ht="14.25" customHeight="1">
      <c r="A734" s="497">
        <v>45512.0</v>
      </c>
      <c r="B734" s="349" t="s">
        <v>705</v>
      </c>
      <c r="C734" s="349" t="s">
        <v>1110</v>
      </c>
      <c r="D734" s="349" t="s">
        <v>54</v>
      </c>
      <c r="E734" s="349" t="s">
        <v>1098</v>
      </c>
      <c r="F734" s="413">
        <v>6709.6</v>
      </c>
      <c r="G734" s="413"/>
      <c r="H734" s="349" t="s">
        <v>1371</v>
      </c>
      <c r="I734" s="404" t="str">
        <f t="shared" si="8"/>
        <v>NOT PAID</v>
      </c>
      <c r="J734" s="402"/>
      <c r="K734" s="402"/>
      <c r="L734" s="402"/>
      <c r="M734" s="402"/>
      <c r="N734" s="402"/>
      <c r="O734" s="402"/>
      <c r="P734" s="402"/>
      <c r="Q734" s="402"/>
      <c r="R734" s="402"/>
      <c r="S734" s="402"/>
      <c r="T734" s="402"/>
      <c r="U734" s="402"/>
      <c r="V734" s="402"/>
      <c r="W734" s="402"/>
      <c r="X734" s="402"/>
      <c r="Y734" s="402"/>
      <c r="Z734" s="402"/>
      <c r="AA734" s="405"/>
      <c r="AB734" s="405"/>
    </row>
    <row r="735" ht="14.25" customHeight="1">
      <c r="A735" s="497">
        <v>45512.0</v>
      </c>
      <c r="B735" s="349" t="s">
        <v>711</v>
      </c>
      <c r="C735" s="349" t="s">
        <v>1123</v>
      </c>
      <c r="D735" s="349" t="s">
        <v>75</v>
      </c>
      <c r="E735" s="349" t="s">
        <v>1098</v>
      </c>
      <c r="F735" s="413">
        <v>66556.61</v>
      </c>
      <c r="G735" s="413"/>
      <c r="H735" s="349" t="s">
        <v>1338</v>
      </c>
      <c r="I735" s="404" t="str">
        <f t="shared" si="8"/>
        <v>NOT PAID</v>
      </c>
      <c r="J735" s="402"/>
      <c r="K735" s="402"/>
      <c r="L735" s="402"/>
      <c r="M735" s="402"/>
      <c r="N735" s="402"/>
      <c r="O735" s="402"/>
      <c r="P735" s="402"/>
      <c r="Q735" s="402"/>
      <c r="R735" s="402"/>
      <c r="S735" s="402"/>
      <c r="T735" s="402"/>
      <c r="U735" s="402"/>
      <c r="V735" s="402"/>
      <c r="W735" s="402"/>
      <c r="X735" s="402"/>
      <c r="Y735" s="402"/>
      <c r="Z735" s="402"/>
      <c r="AA735" s="405"/>
      <c r="AB735" s="405"/>
    </row>
    <row r="736" ht="14.25" customHeight="1">
      <c r="A736" s="497">
        <v>45512.0</v>
      </c>
      <c r="B736" s="349" t="s">
        <v>701</v>
      </c>
      <c r="C736" s="349" t="s">
        <v>702</v>
      </c>
      <c r="D736" s="349" t="s">
        <v>54</v>
      </c>
      <c r="E736" s="349" t="s">
        <v>1098</v>
      </c>
      <c r="F736" s="413">
        <v>17124.66</v>
      </c>
      <c r="G736" s="413"/>
      <c r="H736" s="349" t="s">
        <v>1372</v>
      </c>
      <c r="I736" s="404" t="str">
        <f t="shared" si="8"/>
        <v>NOT PAID</v>
      </c>
      <c r="J736" s="402"/>
      <c r="K736" s="402"/>
      <c r="L736" s="402"/>
      <c r="M736" s="402"/>
      <c r="N736" s="402"/>
      <c r="O736" s="402"/>
      <c r="P736" s="402"/>
      <c r="Q736" s="402"/>
      <c r="R736" s="402"/>
      <c r="S736" s="402"/>
      <c r="T736" s="402"/>
      <c r="U736" s="402"/>
      <c r="V736" s="402"/>
      <c r="W736" s="402"/>
      <c r="X736" s="402"/>
      <c r="Y736" s="402"/>
      <c r="Z736" s="402"/>
      <c r="AA736" s="405"/>
      <c r="AB736" s="405"/>
    </row>
    <row r="737" ht="14.25" customHeight="1">
      <c r="A737" s="497">
        <v>45512.0</v>
      </c>
      <c r="B737" s="504" t="s">
        <v>1373</v>
      </c>
      <c r="C737" s="504" t="s">
        <v>1121</v>
      </c>
      <c r="D737" s="504" t="s">
        <v>54</v>
      </c>
      <c r="E737" s="349" t="s">
        <v>1098</v>
      </c>
      <c r="F737" s="403">
        <v>110875.45</v>
      </c>
      <c r="G737" s="413"/>
      <c r="H737" s="349" t="s">
        <v>1374</v>
      </c>
      <c r="I737" s="483" t="s">
        <v>1375</v>
      </c>
      <c r="J737" s="402"/>
      <c r="K737" s="402"/>
      <c r="L737" s="402"/>
      <c r="M737" s="402"/>
      <c r="N737" s="402"/>
      <c r="O737" s="402"/>
      <c r="P737" s="402"/>
      <c r="Q737" s="402"/>
      <c r="R737" s="402"/>
      <c r="S737" s="402"/>
      <c r="T737" s="402"/>
      <c r="U737" s="402"/>
      <c r="V737" s="402"/>
      <c r="W737" s="402"/>
      <c r="X737" s="402"/>
      <c r="Y737" s="402"/>
      <c r="Z737" s="402"/>
      <c r="AA737" s="405"/>
      <c r="AB737" s="405"/>
    </row>
    <row r="738" ht="14.25" customHeight="1">
      <c r="A738" s="497">
        <v>45512.0</v>
      </c>
      <c r="B738" s="505" t="s">
        <v>1120</v>
      </c>
      <c r="C738" s="506" t="s">
        <v>1121</v>
      </c>
      <c r="D738" s="507" t="s">
        <v>346</v>
      </c>
      <c r="E738" s="349" t="s">
        <v>1098</v>
      </c>
      <c r="F738" s="508">
        <v>63864.94</v>
      </c>
      <c r="G738" s="413"/>
      <c r="H738" s="349" t="s">
        <v>1376</v>
      </c>
      <c r="I738" s="404" t="str">
        <f t="shared" ref="I738:I917" si="9">IF(G738&gt;=F738,"FULLY PAID",IF(G738=0,"NOT PAID","PARTIALLY PAID"))</f>
        <v>NOT PAID</v>
      </c>
      <c r="J738" s="402"/>
      <c r="K738" s="402"/>
      <c r="L738" s="402"/>
      <c r="M738" s="402"/>
      <c r="N738" s="402"/>
      <c r="O738" s="402"/>
      <c r="P738" s="402"/>
      <c r="Q738" s="402"/>
      <c r="R738" s="402"/>
      <c r="S738" s="402"/>
      <c r="T738" s="402"/>
      <c r="U738" s="402"/>
      <c r="V738" s="402"/>
      <c r="W738" s="402"/>
      <c r="X738" s="402"/>
      <c r="Y738" s="402"/>
      <c r="Z738" s="402"/>
      <c r="AA738" s="405"/>
      <c r="AB738" s="405"/>
    </row>
    <row r="739" ht="14.25" customHeight="1">
      <c r="A739" s="497">
        <v>45512.0</v>
      </c>
      <c r="B739" s="492" t="s">
        <v>729</v>
      </c>
      <c r="C739" s="493" t="s">
        <v>995</v>
      </c>
      <c r="D739" s="493" t="s">
        <v>54</v>
      </c>
      <c r="E739" s="349" t="s">
        <v>1098</v>
      </c>
      <c r="F739" s="494">
        <v>357832.09</v>
      </c>
      <c r="G739" s="413"/>
      <c r="H739" s="349" t="s">
        <v>1377</v>
      </c>
      <c r="I739" s="404" t="str">
        <f t="shared" si="9"/>
        <v>NOT PAID</v>
      </c>
      <c r="J739" s="402"/>
      <c r="K739" s="402"/>
      <c r="L739" s="402"/>
      <c r="M739" s="402"/>
      <c r="N739" s="402"/>
      <c r="O739" s="402"/>
      <c r="P739" s="402"/>
      <c r="Q739" s="402"/>
      <c r="R739" s="402"/>
      <c r="S739" s="402"/>
      <c r="T739" s="402"/>
      <c r="U739" s="402"/>
      <c r="V739" s="402"/>
      <c r="W739" s="402"/>
      <c r="X739" s="402"/>
      <c r="Y739" s="402"/>
      <c r="Z739" s="402"/>
      <c r="AA739" s="405"/>
      <c r="AB739" s="405"/>
    </row>
    <row r="740" ht="14.25" customHeight="1">
      <c r="A740" s="497">
        <v>45512.0</v>
      </c>
      <c r="B740" s="509" t="s">
        <v>1378</v>
      </c>
      <c r="C740" s="510" t="s">
        <v>1379</v>
      </c>
      <c r="D740" s="511" t="s">
        <v>54</v>
      </c>
      <c r="E740" s="349" t="s">
        <v>1098</v>
      </c>
      <c r="F740" s="416">
        <v>59639.0</v>
      </c>
      <c r="G740" s="403"/>
      <c r="H740" s="349" t="s">
        <v>1380</v>
      </c>
      <c r="I740" s="404" t="str">
        <f t="shared" si="9"/>
        <v>NOT PAID</v>
      </c>
      <c r="J740" s="402"/>
      <c r="K740" s="402"/>
      <c r="L740" s="402"/>
      <c r="M740" s="402"/>
      <c r="N740" s="402"/>
      <c r="O740" s="402"/>
      <c r="P740" s="402"/>
      <c r="Q740" s="402"/>
      <c r="R740" s="402"/>
      <c r="S740" s="402"/>
      <c r="T740" s="402"/>
      <c r="U740" s="402"/>
      <c r="V740" s="402"/>
      <c r="W740" s="402"/>
      <c r="X740" s="402"/>
      <c r="Y740" s="402"/>
      <c r="Z740" s="402"/>
      <c r="AA740" s="405"/>
      <c r="AB740" s="405"/>
    </row>
    <row r="741" ht="14.25" customHeight="1">
      <c r="A741" s="497">
        <v>45512.0</v>
      </c>
      <c r="B741" s="509" t="s">
        <v>1381</v>
      </c>
      <c r="C741" s="510" t="s">
        <v>1382</v>
      </c>
      <c r="D741" s="510" t="s">
        <v>54</v>
      </c>
      <c r="E741" s="349" t="s">
        <v>1098</v>
      </c>
      <c r="F741" s="416">
        <v>435340.0</v>
      </c>
      <c r="G741" s="403"/>
      <c r="H741" s="433" t="s">
        <v>1383</v>
      </c>
      <c r="I741" s="404" t="str">
        <f t="shared" si="9"/>
        <v>NOT PAID</v>
      </c>
      <c r="J741" s="402"/>
      <c r="K741" s="402"/>
      <c r="L741" s="402"/>
      <c r="M741" s="402"/>
      <c r="N741" s="402"/>
      <c r="O741" s="402"/>
      <c r="P741" s="402"/>
      <c r="Q741" s="402"/>
      <c r="R741" s="402"/>
      <c r="S741" s="402"/>
      <c r="T741" s="402"/>
      <c r="U741" s="402"/>
      <c r="V741" s="402"/>
      <c r="W741" s="402"/>
      <c r="X741" s="402"/>
      <c r="Y741" s="402"/>
      <c r="Z741" s="402"/>
      <c r="AA741" s="405"/>
      <c r="AB741" s="405"/>
    </row>
    <row r="742" ht="14.25" customHeight="1">
      <c r="A742" s="497">
        <v>45512.0</v>
      </c>
      <c r="B742" s="349" t="s">
        <v>1155</v>
      </c>
      <c r="C742" s="349" t="s">
        <v>1156</v>
      </c>
      <c r="D742" s="493" t="s">
        <v>54</v>
      </c>
      <c r="E742" s="415" t="s">
        <v>1153</v>
      </c>
      <c r="F742" s="413">
        <v>268238.3</v>
      </c>
      <c r="G742" s="403"/>
      <c r="H742" s="349" t="s">
        <v>1277</v>
      </c>
      <c r="I742" s="404" t="str">
        <f t="shared" si="9"/>
        <v>NOT PAID</v>
      </c>
      <c r="J742" s="402"/>
      <c r="K742" s="402"/>
      <c r="L742" s="402"/>
      <c r="M742" s="402"/>
      <c r="N742" s="402"/>
      <c r="O742" s="402"/>
      <c r="P742" s="402"/>
      <c r="Q742" s="402"/>
      <c r="R742" s="402"/>
      <c r="S742" s="402"/>
      <c r="T742" s="402"/>
      <c r="U742" s="402"/>
      <c r="V742" s="402"/>
      <c r="W742" s="402"/>
      <c r="X742" s="402"/>
      <c r="Y742" s="402"/>
      <c r="Z742" s="402"/>
      <c r="AA742" s="405"/>
      <c r="AB742" s="405"/>
    </row>
    <row r="743" ht="14.25" customHeight="1">
      <c r="A743" s="497">
        <v>45512.0</v>
      </c>
      <c r="B743" s="349" t="s">
        <v>960</v>
      </c>
      <c r="C743" s="349" t="s">
        <v>961</v>
      </c>
      <c r="D743" s="493" t="s">
        <v>54</v>
      </c>
      <c r="E743" s="415" t="s">
        <v>1153</v>
      </c>
      <c r="F743" s="413">
        <v>100000.0</v>
      </c>
      <c r="G743" s="403"/>
      <c r="H743" s="413" t="s">
        <v>1312</v>
      </c>
      <c r="I743" s="404" t="str">
        <f t="shared" si="9"/>
        <v>NOT PAID</v>
      </c>
      <c r="J743" s="402"/>
      <c r="K743" s="402"/>
      <c r="L743" s="402"/>
      <c r="M743" s="402"/>
      <c r="N743" s="402"/>
      <c r="O743" s="402"/>
      <c r="P743" s="402"/>
      <c r="Q743" s="402"/>
      <c r="R743" s="402"/>
      <c r="S743" s="402"/>
      <c r="T743" s="402"/>
      <c r="U743" s="402"/>
      <c r="V743" s="402"/>
      <c r="W743" s="402"/>
      <c r="X743" s="402"/>
      <c r="Y743" s="402"/>
      <c r="Z743" s="402"/>
      <c r="AA743" s="405"/>
      <c r="AB743" s="405"/>
    </row>
    <row r="744" ht="14.25" customHeight="1">
      <c r="A744" s="497">
        <v>45512.0</v>
      </c>
      <c r="B744" s="349" t="s">
        <v>800</v>
      </c>
      <c r="C744" s="349" t="s">
        <v>801</v>
      </c>
      <c r="D744" s="493" t="s">
        <v>54</v>
      </c>
      <c r="E744" s="415" t="s">
        <v>1153</v>
      </c>
      <c r="F744" s="413">
        <v>20000.0</v>
      </c>
      <c r="G744" s="403"/>
      <c r="H744" s="413" t="s">
        <v>1384</v>
      </c>
      <c r="I744" s="404" t="str">
        <f t="shared" si="9"/>
        <v>NOT PAID</v>
      </c>
      <c r="J744" s="402"/>
      <c r="K744" s="402"/>
      <c r="L744" s="402"/>
      <c r="M744" s="402"/>
      <c r="N744" s="402"/>
      <c r="O744" s="402"/>
      <c r="P744" s="402"/>
      <c r="Q744" s="402"/>
      <c r="R744" s="402"/>
      <c r="S744" s="402"/>
      <c r="T744" s="402"/>
      <c r="U744" s="402"/>
      <c r="V744" s="402"/>
      <c r="W744" s="402"/>
      <c r="X744" s="402"/>
      <c r="Y744" s="402"/>
      <c r="Z744" s="402"/>
      <c r="AA744" s="405"/>
      <c r="AB744" s="405"/>
    </row>
    <row r="745" ht="14.25" customHeight="1">
      <c r="A745" s="497">
        <v>45512.0</v>
      </c>
      <c r="B745" s="349" t="s">
        <v>1346</v>
      </c>
      <c r="C745" s="349" t="s">
        <v>1347</v>
      </c>
      <c r="D745" s="411" t="s">
        <v>59</v>
      </c>
      <c r="E745" s="415" t="s">
        <v>1153</v>
      </c>
      <c r="F745" s="413">
        <v>300000.0</v>
      </c>
      <c r="G745" s="403"/>
      <c r="H745" s="349" t="s">
        <v>1385</v>
      </c>
      <c r="I745" s="404" t="str">
        <f t="shared" si="9"/>
        <v>NOT PAID</v>
      </c>
      <c r="J745" s="402"/>
      <c r="K745" s="402"/>
      <c r="L745" s="402"/>
      <c r="M745" s="402"/>
      <c r="N745" s="402"/>
      <c r="O745" s="402"/>
      <c r="P745" s="402"/>
      <c r="Q745" s="402"/>
      <c r="R745" s="402"/>
      <c r="S745" s="402"/>
      <c r="T745" s="402"/>
      <c r="U745" s="402"/>
      <c r="V745" s="402"/>
      <c r="W745" s="402"/>
      <c r="X745" s="402"/>
      <c r="Y745" s="402"/>
      <c r="Z745" s="402"/>
      <c r="AA745" s="405"/>
      <c r="AB745" s="405"/>
    </row>
    <row r="746" ht="14.25" customHeight="1">
      <c r="A746" s="497">
        <v>45512.0</v>
      </c>
      <c r="B746" s="349" t="s">
        <v>825</v>
      </c>
      <c r="C746" s="349" t="s">
        <v>826</v>
      </c>
      <c r="D746" s="493" t="s">
        <v>54</v>
      </c>
      <c r="E746" s="415" t="s">
        <v>1153</v>
      </c>
      <c r="F746" s="413">
        <v>243330.94</v>
      </c>
      <c r="G746" s="413"/>
      <c r="H746" s="349" t="s">
        <v>1386</v>
      </c>
      <c r="I746" s="404" t="str">
        <f t="shared" si="9"/>
        <v>NOT PAID</v>
      </c>
      <c r="J746" s="402"/>
      <c r="K746" s="402"/>
      <c r="L746" s="402"/>
      <c r="M746" s="402"/>
      <c r="N746" s="402"/>
      <c r="O746" s="402"/>
      <c r="P746" s="402"/>
      <c r="Q746" s="402"/>
      <c r="R746" s="402"/>
      <c r="S746" s="402"/>
      <c r="T746" s="402"/>
      <c r="U746" s="402"/>
      <c r="V746" s="402"/>
      <c r="W746" s="402"/>
      <c r="X746" s="402"/>
      <c r="Y746" s="402"/>
      <c r="Z746" s="402"/>
      <c r="AA746" s="405"/>
      <c r="AB746" s="405"/>
    </row>
    <row r="747" ht="14.25" customHeight="1">
      <c r="A747" s="497">
        <v>45512.0</v>
      </c>
      <c r="B747" s="349" t="s">
        <v>731</v>
      </c>
      <c r="C747" s="349" t="s">
        <v>732</v>
      </c>
      <c r="D747" s="349" t="s">
        <v>54</v>
      </c>
      <c r="E747" s="349" t="s">
        <v>1139</v>
      </c>
      <c r="F747" s="413">
        <v>4699.17</v>
      </c>
      <c r="G747" s="413">
        <v>0.0</v>
      </c>
      <c r="H747" s="402"/>
      <c r="I747" s="404" t="str">
        <f t="shared" si="9"/>
        <v>NOT PAID</v>
      </c>
      <c r="J747" s="402"/>
      <c r="K747" s="402"/>
      <c r="L747" s="402"/>
      <c r="M747" s="402"/>
      <c r="N747" s="402"/>
      <c r="O747" s="402"/>
      <c r="P747" s="402"/>
      <c r="Q747" s="402"/>
      <c r="R747" s="402"/>
      <c r="S747" s="402"/>
      <c r="T747" s="402"/>
      <c r="U747" s="402"/>
      <c r="V747" s="402"/>
      <c r="W747" s="402"/>
      <c r="X747" s="402"/>
      <c r="Y747" s="402"/>
      <c r="Z747" s="402"/>
      <c r="AA747" s="405"/>
      <c r="AB747" s="405"/>
    </row>
    <row r="748" ht="14.25" customHeight="1">
      <c r="A748" s="497">
        <v>45512.0</v>
      </c>
      <c r="B748" s="349" t="s">
        <v>918</v>
      </c>
      <c r="C748" s="349" t="s">
        <v>919</v>
      </c>
      <c r="D748" s="349" t="s">
        <v>54</v>
      </c>
      <c r="E748" s="349" t="s">
        <v>1139</v>
      </c>
      <c r="F748" s="413">
        <v>21090.65</v>
      </c>
      <c r="G748" s="413">
        <v>0.0</v>
      </c>
      <c r="H748" s="402"/>
      <c r="I748" s="404" t="str">
        <f t="shared" si="9"/>
        <v>NOT PAID</v>
      </c>
      <c r="J748" s="402"/>
      <c r="K748" s="402"/>
      <c r="L748" s="402"/>
      <c r="M748" s="402"/>
      <c r="N748" s="402"/>
      <c r="O748" s="402"/>
      <c r="P748" s="402"/>
      <c r="Q748" s="402"/>
      <c r="R748" s="402"/>
      <c r="S748" s="402"/>
      <c r="T748" s="402"/>
      <c r="U748" s="402"/>
      <c r="V748" s="402"/>
      <c r="W748" s="402"/>
      <c r="X748" s="402"/>
      <c r="Y748" s="402"/>
      <c r="Z748" s="402"/>
      <c r="AA748" s="405"/>
      <c r="AB748" s="405"/>
    </row>
    <row r="749" ht="14.25" customHeight="1">
      <c r="A749" s="497">
        <v>45512.0</v>
      </c>
      <c r="B749" s="349" t="s">
        <v>1137</v>
      </c>
      <c r="C749" s="349" t="s">
        <v>1138</v>
      </c>
      <c r="D749" s="349" t="s">
        <v>54</v>
      </c>
      <c r="E749" s="349" t="s">
        <v>1139</v>
      </c>
      <c r="F749" s="413">
        <v>5721.98</v>
      </c>
      <c r="G749" s="413">
        <v>0.0</v>
      </c>
      <c r="H749" s="402"/>
      <c r="I749" s="404" t="str">
        <f t="shared" si="9"/>
        <v>NOT PAID</v>
      </c>
      <c r="J749" s="402"/>
      <c r="K749" s="402"/>
      <c r="L749" s="402"/>
      <c r="M749" s="402"/>
      <c r="N749" s="402"/>
      <c r="O749" s="402"/>
      <c r="P749" s="402"/>
      <c r="Q749" s="402"/>
      <c r="R749" s="402"/>
      <c r="S749" s="402"/>
      <c r="T749" s="402"/>
      <c r="U749" s="402"/>
      <c r="V749" s="402"/>
      <c r="W749" s="402"/>
      <c r="X749" s="402"/>
      <c r="Y749" s="402"/>
      <c r="Z749" s="402"/>
      <c r="AA749" s="405"/>
      <c r="AB749" s="405"/>
    </row>
    <row r="750" ht="14.25" customHeight="1">
      <c r="A750" s="497">
        <v>45512.0</v>
      </c>
      <c r="B750" s="349" t="s">
        <v>783</v>
      </c>
      <c r="C750" s="349" t="s">
        <v>784</v>
      </c>
      <c r="D750" s="349" t="s">
        <v>54</v>
      </c>
      <c r="E750" s="349" t="s">
        <v>1139</v>
      </c>
      <c r="F750" s="413">
        <v>27715.83</v>
      </c>
      <c r="G750" s="413">
        <v>0.0</v>
      </c>
      <c r="H750" s="402"/>
      <c r="I750" s="404" t="str">
        <f t="shared" si="9"/>
        <v>NOT PAID</v>
      </c>
      <c r="J750" s="402"/>
      <c r="K750" s="402"/>
      <c r="L750" s="402"/>
      <c r="M750" s="402"/>
      <c r="N750" s="402"/>
      <c r="O750" s="402"/>
      <c r="P750" s="402"/>
      <c r="Q750" s="402"/>
      <c r="R750" s="402"/>
      <c r="S750" s="402"/>
      <c r="T750" s="402"/>
      <c r="U750" s="402"/>
      <c r="V750" s="402"/>
      <c r="W750" s="402"/>
      <c r="X750" s="402"/>
      <c r="Y750" s="402"/>
      <c r="Z750" s="402"/>
      <c r="AA750" s="405"/>
      <c r="AB750" s="405"/>
    </row>
    <row r="751" ht="14.25" customHeight="1">
      <c r="A751" s="497">
        <v>45512.0</v>
      </c>
      <c r="B751" s="504" t="s">
        <v>1387</v>
      </c>
      <c r="C751" s="504" t="s">
        <v>1388</v>
      </c>
      <c r="D751" s="504" t="s">
        <v>75</v>
      </c>
      <c r="E751" s="349" t="s">
        <v>1139</v>
      </c>
      <c r="F751" s="413">
        <v>24500.0</v>
      </c>
      <c r="G751" s="413">
        <v>0.0</v>
      </c>
      <c r="H751" s="402"/>
      <c r="I751" s="404" t="str">
        <f t="shared" si="9"/>
        <v>NOT PAID</v>
      </c>
      <c r="J751" s="402"/>
      <c r="K751" s="402"/>
      <c r="L751" s="402"/>
      <c r="M751" s="402"/>
      <c r="N751" s="402"/>
      <c r="O751" s="402"/>
      <c r="P751" s="402"/>
      <c r="Q751" s="402"/>
      <c r="R751" s="402"/>
      <c r="S751" s="402"/>
      <c r="T751" s="402"/>
      <c r="U751" s="402"/>
      <c r="V751" s="402"/>
      <c r="W751" s="402"/>
      <c r="X751" s="402"/>
      <c r="Y751" s="402"/>
      <c r="Z751" s="402"/>
      <c r="AA751" s="405"/>
      <c r="AB751" s="405"/>
    </row>
    <row r="752" ht="14.25" customHeight="1">
      <c r="A752" s="497">
        <v>45512.0</v>
      </c>
      <c r="B752" s="349" t="s">
        <v>698</v>
      </c>
      <c r="C752" s="349" t="s">
        <v>1167</v>
      </c>
      <c r="D752" s="349" t="s">
        <v>54</v>
      </c>
      <c r="E752" s="349" t="s">
        <v>1168</v>
      </c>
      <c r="F752" s="413">
        <v>14554.22</v>
      </c>
      <c r="G752" s="413"/>
      <c r="H752" s="487" t="s">
        <v>1324</v>
      </c>
      <c r="I752" s="404" t="str">
        <f t="shared" si="9"/>
        <v>NOT PAID</v>
      </c>
      <c r="J752" s="402"/>
      <c r="K752" s="402"/>
      <c r="L752" s="402"/>
      <c r="M752" s="402"/>
      <c r="N752" s="402"/>
      <c r="O752" s="402"/>
      <c r="P752" s="402"/>
      <c r="Q752" s="402"/>
      <c r="R752" s="402"/>
      <c r="S752" s="402"/>
      <c r="T752" s="402"/>
      <c r="U752" s="402"/>
      <c r="V752" s="402"/>
      <c r="W752" s="402"/>
      <c r="X752" s="402"/>
      <c r="Y752" s="402"/>
      <c r="Z752" s="402"/>
      <c r="AA752" s="405"/>
      <c r="AB752" s="405"/>
    </row>
    <row r="753" ht="14.25" customHeight="1">
      <c r="A753" s="497">
        <v>45512.0</v>
      </c>
      <c r="B753" s="349" t="s">
        <v>997</v>
      </c>
      <c r="C753" s="349" t="s">
        <v>998</v>
      </c>
      <c r="D753" s="349" t="s">
        <v>263</v>
      </c>
      <c r="E753" s="349" t="s">
        <v>1168</v>
      </c>
      <c r="F753" s="413">
        <v>81947.25</v>
      </c>
      <c r="G753" s="413"/>
      <c r="H753" s="349" t="s">
        <v>1253</v>
      </c>
      <c r="I753" s="404" t="str">
        <f t="shared" si="9"/>
        <v>NOT PAID</v>
      </c>
      <c r="J753" s="402"/>
      <c r="K753" s="402"/>
      <c r="L753" s="402"/>
      <c r="M753" s="402"/>
      <c r="N753" s="402"/>
      <c r="O753" s="402"/>
      <c r="P753" s="402"/>
      <c r="Q753" s="402"/>
      <c r="R753" s="402"/>
      <c r="S753" s="402"/>
      <c r="T753" s="402"/>
      <c r="U753" s="402"/>
      <c r="V753" s="402"/>
      <c r="W753" s="402"/>
      <c r="X753" s="402"/>
      <c r="Y753" s="402"/>
      <c r="Z753" s="402"/>
      <c r="AA753" s="405"/>
      <c r="AB753" s="405"/>
    </row>
    <row r="754" ht="14.25" customHeight="1">
      <c r="A754" s="497">
        <v>45512.0</v>
      </c>
      <c r="B754" s="343" t="s">
        <v>1223</v>
      </c>
      <c r="C754" s="344" t="s">
        <v>998</v>
      </c>
      <c r="D754" s="344" t="s">
        <v>346</v>
      </c>
      <c r="E754" s="349" t="s">
        <v>1168</v>
      </c>
      <c r="F754" s="452">
        <v>28350.0</v>
      </c>
      <c r="G754" s="413"/>
      <c r="H754" s="349" t="s">
        <v>1254</v>
      </c>
      <c r="I754" s="404" t="str">
        <f t="shared" si="9"/>
        <v>NOT PAID</v>
      </c>
      <c r="J754" s="402"/>
      <c r="K754" s="402"/>
      <c r="L754" s="402"/>
      <c r="M754" s="402"/>
      <c r="N754" s="402"/>
      <c r="O754" s="402"/>
      <c r="P754" s="402"/>
      <c r="Q754" s="402"/>
      <c r="R754" s="402"/>
      <c r="S754" s="402"/>
      <c r="T754" s="402"/>
      <c r="U754" s="402"/>
      <c r="V754" s="402"/>
      <c r="W754" s="402"/>
      <c r="X754" s="402"/>
      <c r="Y754" s="402"/>
      <c r="Z754" s="402"/>
      <c r="AA754" s="405"/>
      <c r="AB754" s="405"/>
    </row>
    <row r="755" ht="14.25" customHeight="1">
      <c r="A755" s="497">
        <v>45512.0</v>
      </c>
      <c r="B755" s="343" t="s">
        <v>788</v>
      </c>
      <c r="C755" s="344" t="s">
        <v>789</v>
      </c>
      <c r="D755" s="344" t="s">
        <v>54</v>
      </c>
      <c r="E755" s="344" t="s">
        <v>1143</v>
      </c>
      <c r="F755" s="430">
        <v>89593.8</v>
      </c>
      <c r="G755" s="413">
        <v>0.0</v>
      </c>
      <c r="H755" s="349" t="s">
        <v>1389</v>
      </c>
      <c r="I755" s="404" t="str">
        <f t="shared" si="9"/>
        <v>NOT PAID</v>
      </c>
      <c r="J755" s="402"/>
      <c r="K755" s="402"/>
      <c r="L755" s="402"/>
      <c r="M755" s="402"/>
      <c r="N755" s="402"/>
      <c r="O755" s="402"/>
      <c r="P755" s="402"/>
      <c r="Q755" s="402"/>
      <c r="R755" s="402"/>
      <c r="S755" s="402"/>
      <c r="T755" s="402"/>
      <c r="U755" s="402"/>
      <c r="V755" s="402"/>
      <c r="W755" s="402"/>
      <c r="X755" s="402"/>
      <c r="Y755" s="402"/>
      <c r="Z755" s="402"/>
      <c r="AA755" s="405"/>
      <c r="AB755" s="405"/>
    </row>
    <row r="756" ht="14.25" customHeight="1">
      <c r="A756" s="497">
        <v>45512.0</v>
      </c>
      <c r="B756" s="343" t="s">
        <v>1012</v>
      </c>
      <c r="C756" s="344" t="s">
        <v>1013</v>
      </c>
      <c r="D756" s="344" t="s">
        <v>75</v>
      </c>
      <c r="E756" s="344" t="s">
        <v>1143</v>
      </c>
      <c r="F756" s="442">
        <v>261725.0</v>
      </c>
      <c r="G756" s="413">
        <v>0.0</v>
      </c>
      <c r="H756" s="349" t="s">
        <v>1390</v>
      </c>
      <c r="I756" s="404" t="str">
        <f t="shared" si="9"/>
        <v>NOT PAID</v>
      </c>
      <c r="J756" s="402"/>
      <c r="K756" s="402"/>
      <c r="L756" s="402"/>
      <c r="M756" s="402"/>
      <c r="N756" s="402"/>
      <c r="O756" s="402"/>
      <c r="P756" s="402"/>
      <c r="Q756" s="402"/>
      <c r="R756" s="402"/>
      <c r="S756" s="402"/>
      <c r="T756" s="402"/>
      <c r="U756" s="402"/>
      <c r="V756" s="402"/>
      <c r="W756" s="402"/>
      <c r="X756" s="402"/>
      <c r="Y756" s="402"/>
      <c r="Z756" s="402"/>
      <c r="AA756" s="405"/>
      <c r="AB756" s="405"/>
    </row>
    <row r="757" ht="14.25" customHeight="1">
      <c r="A757" s="497"/>
      <c r="B757" s="402"/>
      <c r="C757" s="402"/>
      <c r="D757" s="402"/>
      <c r="E757" s="402"/>
      <c r="F757" s="403"/>
      <c r="G757" s="403"/>
      <c r="H757" s="402"/>
      <c r="I757" s="404" t="str">
        <f t="shared" si="9"/>
        <v>FULLY PAID</v>
      </c>
      <c r="J757" s="402"/>
      <c r="K757" s="402"/>
      <c r="L757" s="402"/>
      <c r="M757" s="402"/>
      <c r="N757" s="402"/>
      <c r="O757" s="402"/>
      <c r="P757" s="402"/>
      <c r="Q757" s="402"/>
      <c r="R757" s="402"/>
      <c r="S757" s="402"/>
      <c r="T757" s="402"/>
      <c r="U757" s="402"/>
      <c r="V757" s="402"/>
      <c r="W757" s="402"/>
      <c r="X757" s="402"/>
      <c r="Y757" s="402"/>
      <c r="Z757" s="402"/>
      <c r="AA757" s="405"/>
      <c r="AB757" s="405"/>
    </row>
    <row r="758" ht="14.25" customHeight="1">
      <c r="A758" s="497"/>
      <c r="B758" s="402"/>
      <c r="C758" s="402"/>
      <c r="D758" s="402"/>
      <c r="E758" s="402"/>
      <c r="F758" s="403"/>
      <c r="G758" s="403"/>
      <c r="H758" s="402"/>
      <c r="I758" s="404" t="str">
        <f t="shared" si="9"/>
        <v>FULLY PAID</v>
      </c>
      <c r="J758" s="402"/>
      <c r="K758" s="402"/>
      <c r="L758" s="402"/>
      <c r="M758" s="402"/>
      <c r="N758" s="402"/>
      <c r="O758" s="402"/>
      <c r="P758" s="402"/>
      <c r="Q758" s="402"/>
      <c r="R758" s="402"/>
      <c r="S758" s="402"/>
      <c r="T758" s="402"/>
      <c r="U758" s="402"/>
      <c r="V758" s="402"/>
      <c r="W758" s="402"/>
      <c r="X758" s="402"/>
      <c r="Y758" s="402"/>
      <c r="Z758" s="402"/>
      <c r="AA758" s="405"/>
      <c r="AB758" s="405"/>
    </row>
    <row r="759" ht="14.25" customHeight="1">
      <c r="A759" s="497"/>
      <c r="B759" s="402"/>
      <c r="C759" s="402"/>
      <c r="D759" s="402"/>
      <c r="E759" s="402"/>
      <c r="F759" s="403"/>
      <c r="G759" s="403"/>
      <c r="H759" s="402"/>
      <c r="I759" s="404" t="str">
        <f t="shared" si="9"/>
        <v>FULLY PAID</v>
      </c>
      <c r="J759" s="402"/>
      <c r="K759" s="402"/>
      <c r="L759" s="402"/>
      <c r="M759" s="402"/>
      <c r="N759" s="402"/>
      <c r="O759" s="402"/>
      <c r="P759" s="402"/>
      <c r="Q759" s="402"/>
      <c r="R759" s="402"/>
      <c r="S759" s="402"/>
      <c r="T759" s="402"/>
      <c r="U759" s="402"/>
      <c r="V759" s="402"/>
      <c r="W759" s="402"/>
      <c r="X759" s="402"/>
      <c r="Y759" s="402"/>
      <c r="Z759" s="402"/>
      <c r="AA759" s="405"/>
      <c r="AB759" s="405"/>
    </row>
    <row r="760" ht="14.25" customHeight="1">
      <c r="A760" s="497"/>
      <c r="B760" s="402"/>
      <c r="C760" s="424" t="s">
        <v>797</v>
      </c>
      <c r="D760" s="402"/>
      <c r="E760" s="402"/>
      <c r="F760" s="403"/>
      <c r="G760" s="403"/>
      <c r="H760" s="402"/>
      <c r="I760" s="404" t="str">
        <f t="shared" si="9"/>
        <v>FULLY PAID</v>
      </c>
      <c r="J760" s="402"/>
      <c r="K760" s="402"/>
      <c r="L760" s="402"/>
      <c r="M760" s="402"/>
      <c r="N760" s="402"/>
      <c r="O760" s="402"/>
      <c r="P760" s="402"/>
      <c r="Q760" s="402"/>
      <c r="R760" s="402"/>
      <c r="S760" s="402"/>
      <c r="T760" s="402"/>
      <c r="U760" s="402"/>
      <c r="V760" s="402"/>
      <c r="W760" s="402"/>
      <c r="X760" s="402"/>
      <c r="Y760" s="402"/>
      <c r="Z760" s="402"/>
      <c r="AA760" s="405"/>
      <c r="AB760" s="405"/>
    </row>
    <row r="761" ht="14.25" customHeight="1">
      <c r="A761" s="497">
        <v>45512.0</v>
      </c>
      <c r="B761" s="349" t="s">
        <v>886</v>
      </c>
      <c r="C761" s="349" t="s">
        <v>1095</v>
      </c>
      <c r="D761" s="349" t="s">
        <v>54</v>
      </c>
      <c r="E761" s="349" t="s">
        <v>1255</v>
      </c>
      <c r="F761" s="413">
        <v>70000.0</v>
      </c>
      <c r="G761" s="403"/>
      <c r="H761" s="349" t="s">
        <v>1391</v>
      </c>
      <c r="I761" s="404" t="str">
        <f t="shared" si="9"/>
        <v>NOT PAID</v>
      </c>
      <c r="J761" s="402"/>
      <c r="K761" s="402"/>
      <c r="L761" s="402"/>
      <c r="M761" s="402"/>
      <c r="N761" s="402"/>
      <c r="O761" s="402"/>
      <c r="P761" s="402"/>
      <c r="Q761" s="402"/>
      <c r="R761" s="402"/>
      <c r="S761" s="402"/>
      <c r="T761" s="402"/>
      <c r="U761" s="402"/>
      <c r="V761" s="402"/>
      <c r="W761" s="402"/>
      <c r="X761" s="402"/>
      <c r="Y761" s="402"/>
      <c r="Z761" s="402"/>
      <c r="AA761" s="405"/>
      <c r="AB761" s="405"/>
    </row>
    <row r="762" ht="14.25" customHeight="1">
      <c r="A762" s="497">
        <v>45512.0</v>
      </c>
      <c r="B762" s="349" t="s">
        <v>1087</v>
      </c>
      <c r="C762" s="349" t="s">
        <v>1088</v>
      </c>
      <c r="D762" s="349" t="s">
        <v>54</v>
      </c>
      <c r="E762" s="349" t="s">
        <v>1255</v>
      </c>
      <c r="F762" s="413">
        <v>84673.5</v>
      </c>
      <c r="G762" s="403"/>
      <c r="H762" s="349" t="s">
        <v>1392</v>
      </c>
      <c r="I762" s="404" t="str">
        <f t="shared" si="9"/>
        <v>NOT PAID</v>
      </c>
      <c r="J762" s="402"/>
      <c r="K762" s="402"/>
      <c r="L762" s="402"/>
      <c r="M762" s="402"/>
      <c r="N762" s="402"/>
      <c r="O762" s="402"/>
      <c r="P762" s="402"/>
      <c r="Q762" s="402"/>
      <c r="R762" s="402"/>
      <c r="S762" s="402"/>
      <c r="T762" s="402"/>
      <c r="U762" s="402"/>
      <c r="V762" s="402"/>
      <c r="W762" s="402"/>
      <c r="X762" s="402"/>
      <c r="Y762" s="402"/>
      <c r="Z762" s="402"/>
      <c r="AA762" s="405"/>
      <c r="AB762" s="405"/>
    </row>
    <row r="763" ht="14.25" customHeight="1">
      <c r="A763" s="497">
        <v>45512.0</v>
      </c>
      <c r="B763" s="349" t="s">
        <v>1181</v>
      </c>
      <c r="C763" s="349" t="s">
        <v>1182</v>
      </c>
      <c r="D763" s="349" t="s">
        <v>54</v>
      </c>
      <c r="E763" s="349" t="s">
        <v>1255</v>
      </c>
      <c r="F763" s="413">
        <v>200000.0</v>
      </c>
      <c r="G763" s="403"/>
      <c r="H763" s="349" t="s">
        <v>1393</v>
      </c>
      <c r="I763" s="404" t="str">
        <f t="shared" si="9"/>
        <v>NOT PAID</v>
      </c>
      <c r="J763" s="402"/>
      <c r="K763" s="402"/>
      <c r="L763" s="402"/>
      <c r="M763" s="402"/>
      <c r="N763" s="402"/>
      <c r="O763" s="402"/>
      <c r="P763" s="402"/>
      <c r="Q763" s="402"/>
      <c r="R763" s="402"/>
      <c r="S763" s="402"/>
      <c r="T763" s="402"/>
      <c r="U763" s="402"/>
      <c r="V763" s="402"/>
      <c r="W763" s="402"/>
      <c r="X763" s="402"/>
      <c r="Y763" s="402"/>
      <c r="Z763" s="402"/>
      <c r="AA763" s="405"/>
      <c r="AB763" s="405"/>
    </row>
    <row r="764" ht="14.25" customHeight="1">
      <c r="A764" s="497">
        <v>45512.0</v>
      </c>
      <c r="B764" s="402"/>
      <c r="C764" s="402"/>
      <c r="D764" s="402"/>
      <c r="E764" s="402"/>
      <c r="F764" s="403"/>
      <c r="G764" s="403"/>
      <c r="H764" s="402"/>
      <c r="I764" s="404" t="str">
        <f t="shared" si="9"/>
        <v>FULLY PAID</v>
      </c>
      <c r="J764" s="402"/>
      <c r="K764" s="402"/>
      <c r="L764" s="402"/>
      <c r="M764" s="402"/>
      <c r="N764" s="402"/>
      <c r="O764" s="402"/>
      <c r="P764" s="402"/>
      <c r="Q764" s="402"/>
      <c r="R764" s="402"/>
      <c r="S764" s="402"/>
      <c r="T764" s="402"/>
      <c r="U764" s="402"/>
      <c r="V764" s="402"/>
      <c r="W764" s="402"/>
      <c r="X764" s="402"/>
      <c r="Y764" s="402"/>
      <c r="Z764" s="402"/>
      <c r="AA764" s="405"/>
      <c r="AB764" s="405"/>
    </row>
    <row r="765" ht="14.25" customHeight="1">
      <c r="A765" s="497"/>
      <c r="B765" s="402"/>
      <c r="C765" s="402"/>
      <c r="D765" s="402"/>
      <c r="E765" s="402"/>
      <c r="F765" s="403"/>
      <c r="G765" s="403"/>
      <c r="H765" s="402"/>
      <c r="I765" s="404" t="str">
        <f t="shared" si="9"/>
        <v>FULLY PAID</v>
      </c>
      <c r="J765" s="402"/>
      <c r="K765" s="402"/>
      <c r="L765" s="402"/>
      <c r="M765" s="402"/>
      <c r="N765" s="402"/>
      <c r="O765" s="402"/>
      <c r="P765" s="402"/>
      <c r="Q765" s="402"/>
      <c r="R765" s="402"/>
      <c r="S765" s="402"/>
      <c r="T765" s="402"/>
      <c r="U765" s="402"/>
      <c r="V765" s="402"/>
      <c r="W765" s="402"/>
      <c r="X765" s="402"/>
      <c r="Y765" s="402"/>
      <c r="Z765" s="402"/>
      <c r="AA765" s="405"/>
      <c r="AB765" s="405"/>
    </row>
    <row r="766" ht="14.25" customHeight="1">
      <c r="A766" s="497"/>
      <c r="B766" s="512"/>
      <c r="C766" s="402"/>
      <c r="D766" s="402"/>
      <c r="E766" s="402"/>
      <c r="F766" s="403"/>
      <c r="G766" s="403"/>
      <c r="H766" s="402"/>
      <c r="I766" s="404" t="str">
        <f t="shared" si="9"/>
        <v>FULLY PAID</v>
      </c>
      <c r="J766" s="402"/>
      <c r="K766" s="402"/>
      <c r="L766" s="402"/>
      <c r="M766" s="402"/>
      <c r="N766" s="402"/>
      <c r="O766" s="402"/>
      <c r="P766" s="402"/>
      <c r="Q766" s="402"/>
      <c r="R766" s="402"/>
      <c r="S766" s="402"/>
      <c r="T766" s="402"/>
      <c r="U766" s="402"/>
      <c r="V766" s="402"/>
      <c r="W766" s="402"/>
      <c r="X766" s="402"/>
      <c r="Y766" s="402"/>
      <c r="Z766" s="402"/>
      <c r="AA766" s="405"/>
      <c r="AB766" s="405"/>
    </row>
    <row r="767" ht="14.25" customHeight="1">
      <c r="A767" s="497"/>
      <c r="B767" s="512"/>
      <c r="C767" s="402"/>
      <c r="D767" s="402"/>
      <c r="E767" s="402"/>
      <c r="F767" s="403"/>
      <c r="G767" s="403"/>
      <c r="H767" s="402"/>
      <c r="I767" s="404" t="str">
        <f t="shared" si="9"/>
        <v>FULLY PAID</v>
      </c>
      <c r="J767" s="402"/>
      <c r="K767" s="402"/>
      <c r="L767" s="402"/>
      <c r="M767" s="402"/>
      <c r="N767" s="402"/>
      <c r="O767" s="402"/>
      <c r="P767" s="402"/>
      <c r="Q767" s="402"/>
      <c r="R767" s="402"/>
      <c r="S767" s="402"/>
      <c r="T767" s="402"/>
      <c r="U767" s="402"/>
      <c r="V767" s="402"/>
      <c r="W767" s="402"/>
      <c r="X767" s="402"/>
      <c r="Y767" s="402"/>
      <c r="Z767" s="402"/>
      <c r="AA767" s="405"/>
      <c r="AB767" s="405"/>
    </row>
    <row r="768" ht="14.25" customHeight="1">
      <c r="A768" s="497"/>
      <c r="B768" s="512"/>
      <c r="C768" s="402"/>
      <c r="D768" s="402"/>
      <c r="E768" s="402"/>
      <c r="F768" s="403"/>
      <c r="G768" s="403"/>
      <c r="H768" s="402"/>
      <c r="I768" s="404" t="str">
        <f t="shared" si="9"/>
        <v>FULLY PAID</v>
      </c>
      <c r="J768" s="402"/>
      <c r="K768" s="402"/>
      <c r="L768" s="402"/>
      <c r="M768" s="402"/>
      <c r="N768" s="402"/>
      <c r="O768" s="402"/>
      <c r="P768" s="402"/>
      <c r="Q768" s="402"/>
      <c r="R768" s="402"/>
      <c r="S768" s="402"/>
      <c r="T768" s="402"/>
      <c r="U768" s="402"/>
      <c r="V768" s="402"/>
      <c r="W768" s="402"/>
      <c r="X768" s="402"/>
      <c r="Y768" s="402"/>
      <c r="Z768" s="402"/>
      <c r="AA768" s="405"/>
      <c r="AB768" s="405"/>
    </row>
    <row r="769" ht="14.25" customHeight="1">
      <c r="A769" s="497"/>
      <c r="B769" s="512"/>
      <c r="C769" s="402"/>
      <c r="D769" s="402"/>
      <c r="E769" s="402"/>
      <c r="F769" s="403"/>
      <c r="G769" s="403"/>
      <c r="H769" s="402"/>
      <c r="I769" s="404" t="str">
        <f t="shared" si="9"/>
        <v>FULLY PAID</v>
      </c>
      <c r="J769" s="402"/>
      <c r="K769" s="402"/>
      <c r="L769" s="402"/>
      <c r="M769" s="402"/>
      <c r="N769" s="402"/>
      <c r="O769" s="402"/>
      <c r="P769" s="402"/>
      <c r="Q769" s="402"/>
      <c r="R769" s="402"/>
      <c r="S769" s="402"/>
      <c r="T769" s="402"/>
      <c r="U769" s="402"/>
      <c r="V769" s="402"/>
      <c r="W769" s="402"/>
      <c r="X769" s="402"/>
      <c r="Y769" s="402"/>
      <c r="Z769" s="402"/>
      <c r="AA769" s="405"/>
      <c r="AB769" s="405"/>
    </row>
    <row r="770" ht="14.25" customHeight="1">
      <c r="A770" s="497"/>
      <c r="B770" s="512"/>
      <c r="C770" s="402"/>
      <c r="D770" s="402"/>
      <c r="E770" s="402"/>
      <c r="F770" s="403"/>
      <c r="G770" s="403"/>
      <c r="H770" s="402"/>
      <c r="I770" s="404" t="str">
        <f t="shared" si="9"/>
        <v>FULLY PAID</v>
      </c>
      <c r="J770" s="402"/>
      <c r="K770" s="402"/>
      <c r="L770" s="402"/>
      <c r="M770" s="402"/>
      <c r="N770" s="402"/>
      <c r="O770" s="402"/>
      <c r="P770" s="402"/>
      <c r="Q770" s="402"/>
      <c r="R770" s="402"/>
      <c r="S770" s="402"/>
      <c r="T770" s="402"/>
      <c r="U770" s="402"/>
      <c r="V770" s="402"/>
      <c r="W770" s="402"/>
      <c r="X770" s="402"/>
      <c r="Y770" s="402"/>
      <c r="Z770" s="402"/>
      <c r="AA770" s="405"/>
      <c r="AB770" s="405"/>
    </row>
    <row r="771" ht="14.25" customHeight="1">
      <c r="A771" s="497"/>
      <c r="B771" s="513"/>
      <c r="C771" s="402"/>
      <c r="D771" s="402"/>
      <c r="E771" s="402"/>
      <c r="F771" s="403"/>
      <c r="G771" s="403"/>
      <c r="H771" s="402"/>
      <c r="I771" s="404" t="str">
        <f t="shared" si="9"/>
        <v>FULLY PAID</v>
      </c>
      <c r="J771" s="402"/>
      <c r="K771" s="402"/>
      <c r="L771" s="402"/>
      <c r="M771" s="402"/>
      <c r="N771" s="402"/>
      <c r="O771" s="402"/>
      <c r="P771" s="402"/>
      <c r="Q771" s="402"/>
      <c r="R771" s="402"/>
      <c r="S771" s="402"/>
      <c r="T771" s="402"/>
      <c r="U771" s="402"/>
      <c r="V771" s="402"/>
      <c r="W771" s="402"/>
      <c r="X771" s="402"/>
      <c r="Y771" s="402"/>
      <c r="Z771" s="402"/>
      <c r="AA771" s="405"/>
      <c r="AB771" s="405"/>
    </row>
    <row r="772" ht="14.25" customHeight="1">
      <c r="A772" s="497"/>
      <c r="B772" s="514">
        <v>45543.0</v>
      </c>
      <c r="C772" s="402"/>
      <c r="D772" s="402"/>
      <c r="E772" s="402"/>
      <c r="F772" s="403"/>
      <c r="G772" s="403"/>
      <c r="H772" s="402"/>
      <c r="I772" s="404" t="str">
        <f t="shared" si="9"/>
        <v>FULLY PAID</v>
      </c>
      <c r="J772" s="402"/>
      <c r="K772" s="402"/>
      <c r="L772" s="402"/>
      <c r="M772" s="402"/>
      <c r="N772" s="402"/>
      <c r="O772" s="402"/>
      <c r="P772" s="402"/>
      <c r="Q772" s="402"/>
      <c r="R772" s="402"/>
      <c r="S772" s="402"/>
      <c r="T772" s="402"/>
      <c r="U772" s="402"/>
      <c r="V772" s="402"/>
      <c r="W772" s="402"/>
      <c r="X772" s="402"/>
      <c r="Y772" s="402"/>
      <c r="Z772" s="402"/>
      <c r="AA772" s="405"/>
      <c r="AB772" s="405"/>
    </row>
    <row r="773" ht="14.25" customHeight="1">
      <c r="A773" s="497">
        <v>45513.0</v>
      </c>
      <c r="B773" s="349" t="s">
        <v>1117</v>
      </c>
      <c r="C773" s="349" t="s">
        <v>1332</v>
      </c>
      <c r="D773" s="349" t="s">
        <v>1115</v>
      </c>
      <c r="E773" s="349" t="s">
        <v>1098</v>
      </c>
      <c r="F773" s="413">
        <v>170000.0</v>
      </c>
      <c r="G773" s="403"/>
      <c r="H773" s="349" t="s">
        <v>1394</v>
      </c>
      <c r="I773" s="404" t="str">
        <f t="shared" si="9"/>
        <v>NOT PAID</v>
      </c>
      <c r="J773" s="402"/>
      <c r="K773" s="402"/>
      <c r="L773" s="402"/>
      <c r="M773" s="402"/>
      <c r="N773" s="402"/>
      <c r="O773" s="402"/>
      <c r="P773" s="402"/>
      <c r="Q773" s="402"/>
      <c r="R773" s="402"/>
      <c r="S773" s="402"/>
      <c r="T773" s="402"/>
      <c r="U773" s="402"/>
      <c r="V773" s="402"/>
      <c r="W773" s="402"/>
      <c r="X773" s="402"/>
      <c r="Y773" s="402"/>
      <c r="Z773" s="402"/>
      <c r="AA773" s="405"/>
      <c r="AB773" s="405"/>
    </row>
    <row r="774" ht="14.25" customHeight="1">
      <c r="A774" s="497">
        <v>45513.0</v>
      </c>
      <c r="B774" s="484" t="s">
        <v>1113</v>
      </c>
      <c r="C774" s="349" t="s">
        <v>1332</v>
      </c>
      <c r="D774" s="349" t="s">
        <v>1115</v>
      </c>
      <c r="E774" s="349" t="s">
        <v>1098</v>
      </c>
      <c r="F774" s="413">
        <v>170000.0</v>
      </c>
      <c r="G774" s="403"/>
      <c r="H774" s="349" t="s">
        <v>1394</v>
      </c>
      <c r="I774" s="404" t="str">
        <f t="shared" si="9"/>
        <v>NOT PAID</v>
      </c>
      <c r="J774" s="402"/>
      <c r="K774" s="402"/>
      <c r="L774" s="402"/>
      <c r="M774" s="402"/>
      <c r="N774" s="402"/>
      <c r="O774" s="402"/>
      <c r="P774" s="402"/>
      <c r="Q774" s="402"/>
      <c r="R774" s="402"/>
      <c r="S774" s="402"/>
      <c r="T774" s="402"/>
      <c r="U774" s="402"/>
      <c r="V774" s="402"/>
      <c r="W774" s="402"/>
      <c r="X774" s="402"/>
      <c r="Y774" s="402"/>
      <c r="Z774" s="402"/>
      <c r="AA774" s="405"/>
      <c r="AB774" s="405"/>
    </row>
    <row r="775" ht="14.25" customHeight="1">
      <c r="A775" s="497">
        <v>45513.0</v>
      </c>
      <c r="B775" s="349" t="s">
        <v>777</v>
      </c>
      <c r="C775" s="349" t="s">
        <v>778</v>
      </c>
      <c r="D775" s="349" t="s">
        <v>54</v>
      </c>
      <c r="E775" s="349" t="s">
        <v>1098</v>
      </c>
      <c r="F775" s="413">
        <v>270825.95</v>
      </c>
      <c r="G775" s="403"/>
      <c r="H775" s="349" t="s">
        <v>1395</v>
      </c>
      <c r="I775" s="404" t="str">
        <f t="shared" si="9"/>
        <v>NOT PAID</v>
      </c>
      <c r="J775" s="402"/>
      <c r="K775" s="402"/>
      <c r="L775" s="402"/>
      <c r="M775" s="402"/>
      <c r="N775" s="402"/>
      <c r="O775" s="402"/>
      <c r="P775" s="402"/>
      <c r="Q775" s="402"/>
      <c r="R775" s="402"/>
      <c r="S775" s="402"/>
      <c r="T775" s="402"/>
      <c r="U775" s="402"/>
      <c r="V775" s="402"/>
      <c r="W775" s="402"/>
      <c r="X775" s="402"/>
      <c r="Y775" s="402"/>
      <c r="Z775" s="402"/>
      <c r="AA775" s="405"/>
      <c r="AB775" s="405"/>
    </row>
    <row r="776" ht="14.25" hidden="1" customHeight="1">
      <c r="A776" s="497">
        <v>45513.0</v>
      </c>
      <c r="B776" s="349" t="s">
        <v>841</v>
      </c>
      <c r="C776" s="349" t="s">
        <v>842</v>
      </c>
      <c r="D776" s="349" t="s">
        <v>54</v>
      </c>
      <c r="E776" s="349" t="s">
        <v>1098</v>
      </c>
      <c r="F776" s="413">
        <v>1349.07</v>
      </c>
      <c r="G776" s="403"/>
      <c r="H776" s="402"/>
      <c r="I776" s="404" t="str">
        <f t="shared" si="9"/>
        <v>NOT PAID</v>
      </c>
      <c r="J776" s="402"/>
      <c r="K776" s="402"/>
      <c r="L776" s="402"/>
      <c r="M776" s="402"/>
      <c r="N776" s="402"/>
      <c r="O776" s="402"/>
      <c r="P776" s="402"/>
      <c r="Q776" s="402"/>
      <c r="R776" s="402"/>
      <c r="S776" s="402"/>
      <c r="T776" s="402"/>
      <c r="U776" s="402"/>
      <c r="V776" s="402"/>
      <c r="W776" s="402"/>
      <c r="X776" s="402"/>
      <c r="Y776" s="402"/>
      <c r="Z776" s="402"/>
      <c r="AA776" s="405"/>
      <c r="AB776" s="405"/>
    </row>
    <row r="777" ht="14.25" hidden="1" customHeight="1">
      <c r="A777" s="497">
        <v>45513.0</v>
      </c>
      <c r="B777" s="349" t="s">
        <v>705</v>
      </c>
      <c r="C777" s="349" t="s">
        <v>1110</v>
      </c>
      <c r="D777" s="349" t="s">
        <v>54</v>
      </c>
      <c r="E777" s="349" t="s">
        <v>1098</v>
      </c>
      <c r="F777" s="413">
        <v>6709.6</v>
      </c>
      <c r="G777" s="403"/>
      <c r="H777" s="402"/>
      <c r="I777" s="404" t="str">
        <f t="shared" si="9"/>
        <v>NOT PAID</v>
      </c>
      <c r="J777" s="402"/>
      <c r="K777" s="402"/>
      <c r="L777" s="402"/>
      <c r="M777" s="402"/>
      <c r="N777" s="402"/>
      <c r="O777" s="402"/>
      <c r="P777" s="402"/>
      <c r="Q777" s="402"/>
      <c r="R777" s="402"/>
      <c r="S777" s="402"/>
      <c r="T777" s="402"/>
      <c r="U777" s="402"/>
      <c r="V777" s="402"/>
      <c r="W777" s="402"/>
      <c r="X777" s="402"/>
      <c r="Y777" s="402"/>
      <c r="Z777" s="402"/>
      <c r="AA777" s="405"/>
      <c r="AB777" s="405"/>
    </row>
    <row r="778" ht="14.25" customHeight="1">
      <c r="A778" s="497">
        <v>45513.0</v>
      </c>
      <c r="B778" s="349" t="s">
        <v>711</v>
      </c>
      <c r="C778" s="349" t="s">
        <v>1123</v>
      </c>
      <c r="D778" s="349" t="s">
        <v>75</v>
      </c>
      <c r="E778" s="349" t="s">
        <v>1098</v>
      </c>
      <c r="F778" s="413">
        <v>26556.61</v>
      </c>
      <c r="G778" s="403"/>
      <c r="H778" s="349" t="s">
        <v>1396</v>
      </c>
      <c r="I778" s="404" t="str">
        <f t="shared" si="9"/>
        <v>NOT PAID</v>
      </c>
      <c r="J778" s="402"/>
      <c r="K778" s="402"/>
      <c r="L778" s="402"/>
      <c r="M778" s="402"/>
      <c r="N778" s="402"/>
      <c r="O778" s="402"/>
      <c r="P778" s="402"/>
      <c r="Q778" s="402"/>
      <c r="R778" s="402"/>
      <c r="S778" s="402"/>
      <c r="T778" s="402"/>
      <c r="U778" s="402"/>
      <c r="V778" s="402"/>
      <c r="W778" s="402"/>
      <c r="X778" s="402"/>
      <c r="Y778" s="402"/>
      <c r="Z778" s="402"/>
      <c r="AA778" s="405"/>
      <c r="AB778" s="405"/>
    </row>
    <row r="779" ht="14.25" hidden="1" customHeight="1">
      <c r="A779" s="497">
        <v>45513.0</v>
      </c>
      <c r="B779" s="349" t="s">
        <v>807</v>
      </c>
      <c r="C779" s="349" t="s">
        <v>808</v>
      </c>
      <c r="D779" s="349" t="s">
        <v>54</v>
      </c>
      <c r="E779" s="349" t="s">
        <v>1098</v>
      </c>
      <c r="F779" s="413">
        <v>1674.75</v>
      </c>
      <c r="G779" s="403"/>
      <c r="H779" s="402"/>
      <c r="I779" s="404" t="str">
        <f t="shared" si="9"/>
        <v>NOT PAID</v>
      </c>
      <c r="J779" s="402"/>
      <c r="K779" s="402"/>
      <c r="L779" s="402"/>
      <c r="M779" s="402"/>
      <c r="N779" s="402"/>
      <c r="O779" s="402"/>
      <c r="P779" s="402"/>
      <c r="Q779" s="402"/>
      <c r="R779" s="402"/>
      <c r="S779" s="402"/>
      <c r="T779" s="402"/>
      <c r="U779" s="402"/>
      <c r="V779" s="402"/>
      <c r="W779" s="402"/>
      <c r="X779" s="402"/>
      <c r="Y779" s="402"/>
      <c r="Z779" s="402"/>
      <c r="AA779" s="405"/>
      <c r="AB779" s="405"/>
    </row>
    <row r="780" ht="14.25" customHeight="1">
      <c r="A780" s="497">
        <v>45513.0</v>
      </c>
      <c r="B780" s="349" t="s">
        <v>701</v>
      </c>
      <c r="C780" s="349" t="s">
        <v>702</v>
      </c>
      <c r="D780" s="349" t="s">
        <v>54</v>
      </c>
      <c r="E780" s="349" t="s">
        <v>1098</v>
      </c>
      <c r="F780" s="413">
        <v>17124.66</v>
      </c>
      <c r="G780" s="403"/>
      <c r="H780" s="349" t="s">
        <v>1397</v>
      </c>
      <c r="I780" s="404" t="str">
        <f t="shared" si="9"/>
        <v>NOT PAID</v>
      </c>
      <c r="J780" s="402"/>
      <c r="K780" s="402"/>
      <c r="L780" s="402"/>
      <c r="M780" s="402"/>
      <c r="N780" s="402"/>
      <c r="O780" s="402"/>
      <c r="P780" s="402"/>
      <c r="Q780" s="402"/>
      <c r="R780" s="402"/>
      <c r="S780" s="402"/>
      <c r="T780" s="402"/>
      <c r="U780" s="402"/>
      <c r="V780" s="402"/>
      <c r="W780" s="402"/>
      <c r="X780" s="402"/>
      <c r="Y780" s="402"/>
      <c r="Z780" s="402"/>
      <c r="AA780" s="405"/>
      <c r="AB780" s="405"/>
    </row>
    <row r="781" ht="14.25" customHeight="1">
      <c r="A781" s="497">
        <v>45513.0</v>
      </c>
      <c r="B781" s="504" t="s">
        <v>1373</v>
      </c>
      <c r="C781" s="504" t="s">
        <v>1121</v>
      </c>
      <c r="D781" s="504" t="s">
        <v>54</v>
      </c>
      <c r="E781" s="349" t="s">
        <v>1098</v>
      </c>
      <c r="F781" s="403">
        <v>110875.45</v>
      </c>
      <c r="G781" s="403"/>
      <c r="H781" s="349" t="s">
        <v>1398</v>
      </c>
      <c r="I781" s="404" t="str">
        <f t="shared" si="9"/>
        <v>NOT PAID</v>
      </c>
      <c r="J781" s="402"/>
      <c r="K781" s="402"/>
      <c r="L781" s="402"/>
      <c r="M781" s="402"/>
      <c r="N781" s="402"/>
      <c r="O781" s="402"/>
      <c r="P781" s="402"/>
      <c r="Q781" s="402"/>
      <c r="R781" s="402"/>
      <c r="S781" s="402"/>
      <c r="T781" s="402"/>
      <c r="U781" s="402"/>
      <c r="V781" s="402"/>
      <c r="W781" s="402"/>
      <c r="X781" s="402"/>
      <c r="Y781" s="402"/>
      <c r="Z781" s="402"/>
      <c r="AA781" s="405"/>
      <c r="AB781" s="405"/>
    </row>
    <row r="782" ht="14.25" customHeight="1">
      <c r="A782" s="497">
        <v>45513.0</v>
      </c>
      <c r="B782" s="505" t="s">
        <v>1120</v>
      </c>
      <c r="C782" s="506" t="s">
        <v>1121</v>
      </c>
      <c r="D782" s="507" t="s">
        <v>346</v>
      </c>
      <c r="E782" s="349" t="s">
        <v>1098</v>
      </c>
      <c r="F782" s="508">
        <v>63864.94</v>
      </c>
      <c r="G782" s="403"/>
      <c r="H782" s="349" t="s">
        <v>1399</v>
      </c>
      <c r="I782" s="404" t="str">
        <f t="shared" si="9"/>
        <v>NOT PAID</v>
      </c>
      <c r="J782" s="402"/>
      <c r="K782" s="402"/>
      <c r="L782" s="402"/>
      <c r="M782" s="402"/>
      <c r="N782" s="402"/>
      <c r="O782" s="402"/>
      <c r="P782" s="402"/>
      <c r="Q782" s="402"/>
      <c r="R782" s="402"/>
      <c r="S782" s="402"/>
      <c r="T782" s="402"/>
      <c r="U782" s="402"/>
      <c r="V782" s="402"/>
      <c r="W782" s="402"/>
      <c r="X782" s="402"/>
      <c r="Y782" s="402"/>
      <c r="Z782" s="402"/>
      <c r="AA782" s="405"/>
      <c r="AB782" s="405"/>
    </row>
    <row r="783" ht="14.25" customHeight="1">
      <c r="A783" s="497">
        <v>45513.0</v>
      </c>
      <c r="B783" s="492" t="s">
        <v>729</v>
      </c>
      <c r="C783" s="493" t="s">
        <v>995</v>
      </c>
      <c r="D783" s="493" t="s">
        <v>54</v>
      </c>
      <c r="E783" s="349" t="s">
        <v>1098</v>
      </c>
      <c r="F783" s="494">
        <v>357832.09</v>
      </c>
      <c r="G783" s="403"/>
      <c r="H783" s="349" t="s">
        <v>1377</v>
      </c>
      <c r="I783" s="404" t="str">
        <f t="shared" si="9"/>
        <v>NOT PAID</v>
      </c>
      <c r="J783" s="402"/>
      <c r="K783" s="402"/>
      <c r="L783" s="402"/>
      <c r="M783" s="402"/>
      <c r="N783" s="402"/>
      <c r="O783" s="402"/>
      <c r="P783" s="402"/>
      <c r="Q783" s="402"/>
      <c r="R783" s="402"/>
      <c r="S783" s="402"/>
      <c r="T783" s="402"/>
      <c r="U783" s="402"/>
      <c r="V783" s="402"/>
      <c r="W783" s="402"/>
      <c r="X783" s="402"/>
      <c r="Y783" s="402"/>
      <c r="Z783" s="402"/>
      <c r="AA783" s="405"/>
      <c r="AB783" s="405"/>
    </row>
    <row r="784" ht="14.25" hidden="1" customHeight="1">
      <c r="A784" s="497">
        <v>45513.0</v>
      </c>
      <c r="B784" s="509" t="s">
        <v>1378</v>
      </c>
      <c r="C784" s="510" t="s">
        <v>1379</v>
      </c>
      <c r="D784" s="511" t="s">
        <v>54</v>
      </c>
      <c r="E784" s="349" t="s">
        <v>1098</v>
      </c>
      <c r="F784" s="416">
        <v>59639.0</v>
      </c>
      <c r="G784" s="403"/>
      <c r="H784" s="402"/>
      <c r="I784" s="404" t="str">
        <f t="shared" si="9"/>
        <v>NOT PAID</v>
      </c>
      <c r="J784" s="402"/>
      <c r="K784" s="402"/>
      <c r="L784" s="402"/>
      <c r="M784" s="402"/>
      <c r="N784" s="402"/>
      <c r="O784" s="402"/>
      <c r="P784" s="402"/>
      <c r="Q784" s="402"/>
      <c r="R784" s="402"/>
      <c r="S784" s="402"/>
      <c r="T784" s="402"/>
      <c r="U784" s="402"/>
      <c r="V784" s="402"/>
      <c r="W784" s="402"/>
      <c r="X784" s="402"/>
      <c r="Y784" s="402"/>
      <c r="Z784" s="402"/>
      <c r="AA784" s="405"/>
      <c r="AB784" s="405"/>
    </row>
    <row r="785" ht="14.25" customHeight="1">
      <c r="A785" s="497">
        <v>45513.0</v>
      </c>
      <c r="B785" s="509" t="s">
        <v>1381</v>
      </c>
      <c r="C785" s="510" t="s">
        <v>1382</v>
      </c>
      <c r="D785" s="510" t="s">
        <v>54</v>
      </c>
      <c r="E785" s="349" t="s">
        <v>1098</v>
      </c>
      <c r="F785" s="416">
        <v>435340.0</v>
      </c>
      <c r="G785" s="403"/>
      <c r="H785" s="349" t="s">
        <v>1400</v>
      </c>
      <c r="I785" s="404" t="str">
        <f t="shared" si="9"/>
        <v>NOT PAID</v>
      </c>
      <c r="J785" s="402"/>
      <c r="K785" s="402"/>
      <c r="L785" s="402"/>
      <c r="M785" s="402"/>
      <c r="N785" s="402"/>
      <c r="O785" s="402"/>
      <c r="P785" s="402"/>
      <c r="Q785" s="402"/>
      <c r="R785" s="402"/>
      <c r="S785" s="402"/>
      <c r="T785" s="402"/>
      <c r="U785" s="402"/>
      <c r="V785" s="402"/>
      <c r="W785" s="402"/>
      <c r="X785" s="402"/>
      <c r="Y785" s="402"/>
      <c r="Z785" s="402"/>
      <c r="AA785" s="405"/>
      <c r="AB785" s="405"/>
    </row>
    <row r="786" ht="14.25" customHeight="1">
      <c r="A786" s="497">
        <v>45513.0</v>
      </c>
      <c r="B786" s="515" t="s">
        <v>1034</v>
      </c>
      <c r="C786" s="516" t="s">
        <v>1401</v>
      </c>
      <c r="D786" s="516" t="s">
        <v>54</v>
      </c>
      <c r="E786" s="349" t="s">
        <v>1098</v>
      </c>
      <c r="F786" s="416">
        <v>47840.0</v>
      </c>
      <c r="G786" s="403"/>
      <c r="H786" s="349" t="s">
        <v>1402</v>
      </c>
      <c r="I786" s="404" t="str">
        <f t="shared" si="9"/>
        <v>NOT PAID</v>
      </c>
      <c r="J786" s="402"/>
      <c r="K786" s="402"/>
      <c r="L786" s="402"/>
      <c r="M786" s="402"/>
      <c r="N786" s="402"/>
      <c r="O786" s="402"/>
      <c r="P786" s="402"/>
      <c r="Q786" s="402"/>
      <c r="R786" s="402"/>
      <c r="S786" s="402"/>
      <c r="T786" s="402"/>
      <c r="U786" s="402"/>
      <c r="V786" s="402"/>
      <c r="W786" s="402"/>
      <c r="X786" s="402"/>
      <c r="Y786" s="402"/>
      <c r="Z786" s="402"/>
      <c r="AA786" s="405"/>
      <c r="AB786" s="405"/>
    </row>
    <row r="787" ht="14.25" customHeight="1">
      <c r="A787" s="497">
        <v>45513.0</v>
      </c>
      <c r="B787" s="349" t="s">
        <v>1155</v>
      </c>
      <c r="C787" s="349" t="s">
        <v>1156</v>
      </c>
      <c r="D787" s="493" t="s">
        <v>54</v>
      </c>
      <c r="E787" s="415" t="s">
        <v>1153</v>
      </c>
      <c r="F787" s="413">
        <v>268238.3</v>
      </c>
      <c r="G787" s="403"/>
      <c r="H787" s="349" t="s">
        <v>1212</v>
      </c>
      <c r="I787" s="404" t="str">
        <f t="shared" si="9"/>
        <v>NOT PAID</v>
      </c>
      <c r="J787" s="402"/>
      <c r="K787" s="402"/>
      <c r="L787" s="402"/>
      <c r="M787" s="402"/>
      <c r="N787" s="402"/>
      <c r="O787" s="402"/>
      <c r="P787" s="402"/>
      <c r="Q787" s="402"/>
      <c r="R787" s="402"/>
      <c r="S787" s="402"/>
      <c r="T787" s="402"/>
      <c r="U787" s="402"/>
      <c r="V787" s="402"/>
      <c r="W787" s="402"/>
      <c r="X787" s="402"/>
      <c r="Y787" s="402"/>
      <c r="Z787" s="402"/>
      <c r="AA787" s="405"/>
      <c r="AB787" s="405"/>
    </row>
    <row r="788" ht="14.25" customHeight="1">
      <c r="A788" s="497">
        <v>45513.0</v>
      </c>
      <c r="B788" s="349" t="s">
        <v>960</v>
      </c>
      <c r="C788" s="349" t="s">
        <v>961</v>
      </c>
      <c r="D788" s="493" t="s">
        <v>54</v>
      </c>
      <c r="E788" s="415" t="s">
        <v>1153</v>
      </c>
      <c r="F788" s="413">
        <v>100000.0</v>
      </c>
      <c r="G788" s="403"/>
      <c r="H788" s="349" t="s">
        <v>1403</v>
      </c>
      <c r="I788" s="404" t="str">
        <f t="shared" si="9"/>
        <v>NOT PAID</v>
      </c>
      <c r="J788" s="402"/>
      <c r="K788" s="402"/>
      <c r="L788" s="402"/>
      <c r="M788" s="402"/>
      <c r="N788" s="402"/>
      <c r="O788" s="402"/>
      <c r="P788" s="402"/>
      <c r="Q788" s="402"/>
      <c r="R788" s="402"/>
      <c r="S788" s="402"/>
      <c r="T788" s="402"/>
      <c r="U788" s="402"/>
      <c r="V788" s="402"/>
      <c r="W788" s="402"/>
      <c r="X788" s="402"/>
      <c r="Y788" s="402"/>
      <c r="Z788" s="402"/>
      <c r="AA788" s="405"/>
      <c r="AB788" s="405"/>
    </row>
    <row r="789" ht="14.25" customHeight="1">
      <c r="A789" s="497">
        <v>45513.0</v>
      </c>
      <c r="B789" s="349" t="s">
        <v>800</v>
      </c>
      <c r="C789" s="349" t="s">
        <v>801</v>
      </c>
      <c r="D789" s="493" t="s">
        <v>54</v>
      </c>
      <c r="E789" s="415" t="s">
        <v>1153</v>
      </c>
      <c r="F789" s="413">
        <v>20000.0</v>
      </c>
      <c r="G789" s="403"/>
      <c r="H789" s="349" t="s">
        <v>1214</v>
      </c>
      <c r="I789" s="404" t="str">
        <f t="shared" si="9"/>
        <v>NOT PAID</v>
      </c>
      <c r="J789" s="402"/>
      <c r="K789" s="402"/>
      <c r="L789" s="402"/>
      <c r="M789" s="402"/>
      <c r="N789" s="402"/>
      <c r="O789" s="402"/>
      <c r="P789" s="402"/>
      <c r="Q789" s="402"/>
      <c r="R789" s="402"/>
      <c r="S789" s="402"/>
      <c r="T789" s="402"/>
      <c r="U789" s="402"/>
      <c r="V789" s="402"/>
      <c r="W789" s="402"/>
      <c r="X789" s="402"/>
      <c r="Y789" s="402"/>
      <c r="Z789" s="402"/>
      <c r="AA789" s="405"/>
      <c r="AB789" s="405"/>
    </row>
    <row r="790" ht="14.25" customHeight="1">
      <c r="A790" s="497">
        <v>45513.0</v>
      </c>
      <c r="B790" s="349" t="s">
        <v>1346</v>
      </c>
      <c r="C790" s="349" t="s">
        <v>1347</v>
      </c>
      <c r="D790" s="411" t="s">
        <v>59</v>
      </c>
      <c r="E790" s="415" t="s">
        <v>1153</v>
      </c>
      <c r="F790" s="413">
        <v>300000.0</v>
      </c>
      <c r="G790" s="403"/>
      <c r="H790" s="349" t="s">
        <v>1191</v>
      </c>
      <c r="I790" s="404" t="str">
        <f t="shared" si="9"/>
        <v>NOT PAID</v>
      </c>
      <c r="J790" s="402"/>
      <c r="K790" s="402"/>
      <c r="L790" s="402"/>
      <c r="M790" s="402"/>
      <c r="N790" s="402"/>
      <c r="O790" s="402"/>
      <c r="P790" s="402"/>
      <c r="Q790" s="402"/>
      <c r="R790" s="402"/>
      <c r="S790" s="402"/>
      <c r="T790" s="402"/>
      <c r="U790" s="402"/>
      <c r="V790" s="402"/>
      <c r="W790" s="402"/>
      <c r="X790" s="402"/>
      <c r="Y790" s="402"/>
      <c r="Z790" s="402"/>
      <c r="AA790" s="405"/>
      <c r="AB790" s="405"/>
    </row>
    <row r="791" ht="14.25" customHeight="1">
      <c r="A791" s="497">
        <v>45513.0</v>
      </c>
      <c r="B791" s="349" t="s">
        <v>825</v>
      </c>
      <c r="C791" s="349" t="s">
        <v>826</v>
      </c>
      <c r="D791" s="493" t="s">
        <v>54</v>
      </c>
      <c r="E791" s="415" t="s">
        <v>1153</v>
      </c>
      <c r="F791" s="413">
        <v>243330.94</v>
      </c>
      <c r="G791" s="413">
        <v>250000.0</v>
      </c>
      <c r="H791" s="349" t="s">
        <v>267</v>
      </c>
      <c r="I791" s="404" t="str">
        <f t="shared" si="9"/>
        <v>FULLY PAID</v>
      </c>
      <c r="J791" s="402"/>
      <c r="K791" s="402"/>
      <c r="L791" s="402"/>
      <c r="M791" s="402"/>
      <c r="N791" s="402"/>
      <c r="O791" s="402"/>
      <c r="P791" s="402"/>
      <c r="Q791" s="402"/>
      <c r="R791" s="402"/>
      <c r="S791" s="402"/>
      <c r="T791" s="402"/>
      <c r="U791" s="402"/>
      <c r="V791" s="402"/>
      <c r="W791" s="402"/>
      <c r="X791" s="402"/>
      <c r="Y791" s="402"/>
      <c r="Z791" s="402"/>
      <c r="AA791" s="405"/>
      <c r="AB791" s="405"/>
    </row>
    <row r="792" ht="14.25" customHeight="1">
      <c r="A792" s="497">
        <v>45513.0</v>
      </c>
      <c r="B792" s="515" t="s">
        <v>1404</v>
      </c>
      <c r="C792" s="516" t="s">
        <v>826</v>
      </c>
      <c r="D792" s="516" t="s">
        <v>75</v>
      </c>
      <c r="E792" s="415" t="s">
        <v>1153</v>
      </c>
      <c r="F792" s="413">
        <v>550000.0</v>
      </c>
      <c r="G792" s="403"/>
      <c r="H792" s="349" t="s">
        <v>1405</v>
      </c>
      <c r="I792" s="404" t="str">
        <f t="shared" si="9"/>
        <v>NOT PAID</v>
      </c>
      <c r="J792" s="402"/>
      <c r="K792" s="402"/>
      <c r="L792" s="402"/>
      <c r="M792" s="402"/>
      <c r="N792" s="402"/>
      <c r="O792" s="402"/>
      <c r="P792" s="402"/>
      <c r="Q792" s="402"/>
      <c r="R792" s="402"/>
      <c r="S792" s="402"/>
      <c r="T792" s="402"/>
      <c r="U792" s="402"/>
      <c r="V792" s="402"/>
      <c r="W792" s="402"/>
      <c r="X792" s="402"/>
      <c r="Y792" s="402"/>
      <c r="Z792" s="402"/>
      <c r="AA792" s="405"/>
      <c r="AB792" s="405"/>
    </row>
    <row r="793" ht="14.25" customHeight="1">
      <c r="A793" s="497">
        <v>45513.0</v>
      </c>
      <c r="B793" s="349" t="s">
        <v>731</v>
      </c>
      <c r="C793" s="349" t="s">
        <v>732</v>
      </c>
      <c r="D793" s="349" t="s">
        <v>54</v>
      </c>
      <c r="E793" s="349" t="s">
        <v>1139</v>
      </c>
      <c r="F793" s="413">
        <v>29437.34</v>
      </c>
      <c r="G793" s="413">
        <v>500.0</v>
      </c>
      <c r="H793" s="349" t="s">
        <v>1406</v>
      </c>
      <c r="I793" s="404" t="str">
        <f t="shared" si="9"/>
        <v>PARTIALLY PAID</v>
      </c>
      <c r="J793" s="402"/>
      <c r="K793" s="402"/>
      <c r="L793" s="402"/>
      <c r="M793" s="402"/>
      <c r="N793" s="402"/>
      <c r="O793" s="402"/>
      <c r="P793" s="402"/>
      <c r="Q793" s="402"/>
      <c r="R793" s="402"/>
      <c r="S793" s="402"/>
      <c r="T793" s="402"/>
      <c r="U793" s="402"/>
      <c r="V793" s="402"/>
      <c r="W793" s="402"/>
      <c r="X793" s="402"/>
      <c r="Y793" s="402"/>
      <c r="Z793" s="402"/>
      <c r="AA793" s="405"/>
      <c r="AB793" s="405"/>
    </row>
    <row r="794" ht="14.25" customHeight="1">
      <c r="A794" s="497">
        <v>45513.0</v>
      </c>
      <c r="B794" s="349" t="s">
        <v>918</v>
      </c>
      <c r="C794" s="349" t="s">
        <v>919</v>
      </c>
      <c r="D794" s="349" t="s">
        <v>54</v>
      </c>
      <c r="E794" s="349" t="s">
        <v>1139</v>
      </c>
      <c r="F794" s="413">
        <v>21090.65</v>
      </c>
      <c r="G794" s="413">
        <v>9000.0</v>
      </c>
      <c r="H794" s="517" t="s">
        <v>1407</v>
      </c>
      <c r="I794" s="404" t="str">
        <f t="shared" si="9"/>
        <v>PARTIALLY PAID</v>
      </c>
      <c r="J794" s="402"/>
      <c r="K794" s="402"/>
      <c r="L794" s="402"/>
      <c r="M794" s="402"/>
      <c r="N794" s="402"/>
      <c r="O794" s="402"/>
      <c r="P794" s="402"/>
      <c r="Q794" s="402"/>
      <c r="R794" s="402"/>
      <c r="S794" s="402"/>
      <c r="T794" s="402"/>
      <c r="U794" s="402"/>
      <c r="V794" s="402"/>
      <c r="W794" s="402"/>
      <c r="X794" s="402"/>
      <c r="Y794" s="402"/>
      <c r="Z794" s="402"/>
      <c r="AA794" s="405"/>
      <c r="AB794" s="405"/>
    </row>
    <row r="795" ht="14.25" customHeight="1">
      <c r="A795" s="497">
        <v>45513.0</v>
      </c>
      <c r="B795" s="349" t="s">
        <v>1137</v>
      </c>
      <c r="C795" s="349" t="s">
        <v>1138</v>
      </c>
      <c r="D795" s="349" t="s">
        <v>54</v>
      </c>
      <c r="E795" s="349" t="s">
        <v>1139</v>
      </c>
      <c r="F795" s="413">
        <v>5721.98</v>
      </c>
      <c r="G795" s="413">
        <v>0.0</v>
      </c>
      <c r="H795" s="349" t="s">
        <v>1286</v>
      </c>
      <c r="I795" s="404" t="str">
        <f t="shared" si="9"/>
        <v>NOT PAID</v>
      </c>
      <c r="J795" s="402"/>
      <c r="K795" s="402"/>
      <c r="L795" s="402"/>
      <c r="M795" s="402"/>
      <c r="N795" s="402"/>
      <c r="O795" s="402"/>
      <c r="P795" s="402"/>
      <c r="Q795" s="402"/>
      <c r="R795" s="402"/>
      <c r="S795" s="402"/>
      <c r="T795" s="402"/>
      <c r="U795" s="402"/>
      <c r="V795" s="402"/>
      <c r="W795" s="402"/>
      <c r="X795" s="402"/>
      <c r="Y795" s="402"/>
      <c r="Z795" s="402"/>
      <c r="AA795" s="405"/>
      <c r="AB795" s="405"/>
    </row>
    <row r="796" ht="14.25" customHeight="1">
      <c r="A796" s="497">
        <v>45513.0</v>
      </c>
      <c r="B796" s="349" t="s">
        <v>783</v>
      </c>
      <c r="C796" s="349" t="s">
        <v>784</v>
      </c>
      <c r="D796" s="349" t="s">
        <v>54</v>
      </c>
      <c r="E796" s="349" t="s">
        <v>1139</v>
      </c>
      <c r="F796" s="413">
        <v>27715.83</v>
      </c>
      <c r="G796" s="413">
        <v>0.0</v>
      </c>
      <c r="H796" s="349" t="s">
        <v>1408</v>
      </c>
      <c r="I796" s="404" t="str">
        <f t="shared" si="9"/>
        <v>NOT PAID</v>
      </c>
      <c r="J796" s="402"/>
      <c r="K796" s="402"/>
      <c r="L796" s="402"/>
      <c r="M796" s="402"/>
      <c r="N796" s="402"/>
      <c r="O796" s="402"/>
      <c r="P796" s="402"/>
      <c r="Q796" s="402"/>
      <c r="R796" s="402"/>
      <c r="S796" s="402"/>
      <c r="T796" s="402"/>
      <c r="U796" s="402"/>
      <c r="V796" s="402"/>
      <c r="W796" s="402"/>
      <c r="X796" s="402"/>
      <c r="Y796" s="402"/>
      <c r="Z796" s="402"/>
      <c r="AA796" s="405"/>
      <c r="AB796" s="405"/>
    </row>
    <row r="797" ht="14.25" customHeight="1">
      <c r="A797" s="497">
        <v>45513.0</v>
      </c>
      <c r="B797" s="504" t="s">
        <v>1387</v>
      </c>
      <c r="C797" s="504" t="s">
        <v>1388</v>
      </c>
      <c r="D797" s="504" t="s">
        <v>75</v>
      </c>
      <c r="E797" s="349" t="s">
        <v>1139</v>
      </c>
      <c r="F797" s="413">
        <v>24500.0</v>
      </c>
      <c r="G797" s="413">
        <v>10000.0</v>
      </c>
      <c r="H797" s="349" t="s">
        <v>1409</v>
      </c>
      <c r="I797" s="404" t="str">
        <f t="shared" si="9"/>
        <v>PARTIALLY PAID</v>
      </c>
      <c r="J797" s="402"/>
      <c r="K797" s="402"/>
      <c r="L797" s="402"/>
      <c r="M797" s="402"/>
      <c r="N797" s="402"/>
      <c r="O797" s="402"/>
      <c r="P797" s="402"/>
      <c r="Q797" s="402"/>
      <c r="R797" s="402"/>
      <c r="S797" s="402"/>
      <c r="T797" s="402"/>
      <c r="U797" s="402"/>
      <c r="V797" s="402"/>
      <c r="W797" s="402"/>
      <c r="X797" s="402"/>
      <c r="Y797" s="402"/>
      <c r="Z797" s="402"/>
      <c r="AA797" s="405"/>
      <c r="AB797" s="405"/>
    </row>
    <row r="798" ht="14.25" customHeight="1">
      <c r="A798" s="497">
        <v>45513.0</v>
      </c>
      <c r="B798" s="349" t="s">
        <v>698</v>
      </c>
      <c r="C798" s="349" t="s">
        <v>1167</v>
      </c>
      <c r="D798" s="349" t="s">
        <v>54</v>
      </c>
      <c r="E798" s="349" t="s">
        <v>1168</v>
      </c>
      <c r="F798" s="413">
        <v>14554.22</v>
      </c>
      <c r="G798" s="403"/>
      <c r="H798" s="487" t="s">
        <v>1324</v>
      </c>
      <c r="I798" s="404" t="str">
        <f t="shared" si="9"/>
        <v>NOT PAID</v>
      </c>
      <c r="J798" s="402"/>
      <c r="K798" s="402"/>
      <c r="L798" s="402"/>
      <c r="M798" s="402"/>
      <c r="N798" s="402"/>
      <c r="O798" s="402"/>
      <c r="P798" s="402"/>
      <c r="Q798" s="402"/>
      <c r="R798" s="402"/>
      <c r="S798" s="402"/>
      <c r="T798" s="402"/>
      <c r="U798" s="402"/>
      <c r="V798" s="402"/>
      <c r="W798" s="402"/>
      <c r="X798" s="402"/>
      <c r="Y798" s="402"/>
      <c r="Z798" s="402"/>
      <c r="AA798" s="405"/>
      <c r="AB798" s="405"/>
    </row>
    <row r="799" ht="14.25" customHeight="1">
      <c r="A799" s="497">
        <v>45513.0</v>
      </c>
      <c r="B799" s="349" t="s">
        <v>997</v>
      </c>
      <c r="C799" s="349" t="s">
        <v>998</v>
      </c>
      <c r="D799" s="349" t="s">
        <v>263</v>
      </c>
      <c r="E799" s="349" t="s">
        <v>1168</v>
      </c>
      <c r="F799" s="413">
        <v>81947.25</v>
      </c>
      <c r="G799" s="403"/>
      <c r="H799" s="349" t="s">
        <v>1253</v>
      </c>
      <c r="I799" s="404" t="str">
        <f t="shared" si="9"/>
        <v>NOT PAID</v>
      </c>
      <c r="J799" s="402"/>
      <c r="K799" s="402"/>
      <c r="L799" s="402"/>
      <c r="M799" s="402"/>
      <c r="N799" s="402"/>
      <c r="O799" s="402"/>
      <c r="P799" s="402"/>
      <c r="Q799" s="402"/>
      <c r="R799" s="402"/>
      <c r="S799" s="402"/>
      <c r="T799" s="402"/>
      <c r="U799" s="402"/>
      <c r="V799" s="402"/>
      <c r="W799" s="402"/>
      <c r="X799" s="402"/>
      <c r="Y799" s="402"/>
      <c r="Z799" s="402"/>
      <c r="AA799" s="405"/>
      <c r="AB799" s="405"/>
    </row>
    <row r="800" ht="14.25" customHeight="1">
      <c r="A800" s="497">
        <v>45513.0</v>
      </c>
      <c r="B800" s="343" t="s">
        <v>1223</v>
      </c>
      <c r="C800" s="344" t="s">
        <v>998</v>
      </c>
      <c r="D800" s="344" t="s">
        <v>346</v>
      </c>
      <c r="E800" s="349" t="s">
        <v>1168</v>
      </c>
      <c r="F800" s="452">
        <v>28350.0</v>
      </c>
      <c r="G800" s="403"/>
      <c r="H800" s="349" t="s">
        <v>1254</v>
      </c>
      <c r="I800" s="404" t="str">
        <f t="shared" si="9"/>
        <v>NOT PAID</v>
      </c>
      <c r="J800" s="402"/>
      <c r="K800" s="402"/>
      <c r="L800" s="402"/>
      <c r="M800" s="402"/>
      <c r="N800" s="402"/>
      <c r="O800" s="402"/>
      <c r="P800" s="402"/>
      <c r="Q800" s="402"/>
      <c r="R800" s="402"/>
      <c r="S800" s="402"/>
      <c r="T800" s="402"/>
      <c r="U800" s="402"/>
      <c r="V800" s="402"/>
      <c r="W800" s="402"/>
      <c r="X800" s="402"/>
      <c r="Y800" s="402"/>
      <c r="Z800" s="402"/>
      <c r="AA800" s="405"/>
      <c r="AB800" s="405"/>
    </row>
    <row r="801" ht="14.25" customHeight="1">
      <c r="A801" s="497">
        <v>45513.0</v>
      </c>
      <c r="B801" s="343" t="s">
        <v>788</v>
      </c>
      <c r="C801" s="344" t="s">
        <v>789</v>
      </c>
      <c r="D801" s="344" t="s">
        <v>54</v>
      </c>
      <c r="E801" s="344" t="s">
        <v>1143</v>
      </c>
      <c r="F801" s="430">
        <v>89593.8</v>
      </c>
      <c r="G801" s="413">
        <v>0.0</v>
      </c>
      <c r="H801" s="349" t="s">
        <v>1206</v>
      </c>
      <c r="I801" s="404" t="str">
        <f t="shared" si="9"/>
        <v>NOT PAID</v>
      </c>
      <c r="J801" s="402"/>
      <c r="K801" s="402"/>
      <c r="L801" s="402"/>
      <c r="M801" s="402"/>
      <c r="N801" s="402"/>
      <c r="O801" s="402"/>
      <c r="P801" s="402"/>
      <c r="Q801" s="402"/>
      <c r="R801" s="402"/>
      <c r="S801" s="402"/>
      <c r="T801" s="402"/>
      <c r="U801" s="402"/>
      <c r="V801" s="402"/>
      <c r="W801" s="402"/>
      <c r="X801" s="402"/>
      <c r="Y801" s="402"/>
      <c r="Z801" s="402"/>
      <c r="AA801" s="405"/>
      <c r="AB801" s="405"/>
    </row>
    <row r="802" ht="14.25" customHeight="1">
      <c r="A802" s="497">
        <v>45513.0</v>
      </c>
      <c r="B802" s="343" t="s">
        <v>1012</v>
      </c>
      <c r="C802" s="344" t="s">
        <v>1013</v>
      </c>
      <c r="D802" s="344" t="s">
        <v>75</v>
      </c>
      <c r="E802" s="344" t="s">
        <v>1143</v>
      </c>
      <c r="F802" s="442">
        <v>261725.0</v>
      </c>
      <c r="G802" s="413">
        <v>0.0</v>
      </c>
      <c r="H802" s="349" t="s">
        <v>1144</v>
      </c>
      <c r="I802" s="404" t="str">
        <f t="shared" si="9"/>
        <v>NOT PAID</v>
      </c>
      <c r="J802" s="402"/>
      <c r="K802" s="402"/>
      <c r="L802" s="402"/>
      <c r="M802" s="402"/>
      <c r="N802" s="402"/>
      <c r="O802" s="402"/>
      <c r="P802" s="402"/>
      <c r="Q802" s="402"/>
      <c r="R802" s="402"/>
      <c r="S802" s="402"/>
      <c r="T802" s="402"/>
      <c r="U802" s="402"/>
      <c r="V802" s="402"/>
      <c r="W802" s="402"/>
      <c r="X802" s="402"/>
      <c r="Y802" s="402"/>
      <c r="Z802" s="402"/>
      <c r="AA802" s="405"/>
      <c r="AB802" s="405"/>
    </row>
    <row r="803" ht="14.25" customHeight="1">
      <c r="A803" s="497">
        <v>45513.0</v>
      </c>
      <c r="B803" s="349" t="s">
        <v>1176</v>
      </c>
      <c r="C803" s="349" t="s">
        <v>1366</v>
      </c>
      <c r="D803" s="349" t="s">
        <v>258</v>
      </c>
      <c r="E803" s="349" t="s">
        <v>1173</v>
      </c>
      <c r="F803" s="413">
        <v>1500000.0</v>
      </c>
      <c r="G803" s="403"/>
      <c r="H803" s="402"/>
      <c r="I803" s="404" t="str">
        <f t="shared" si="9"/>
        <v>NOT PAID</v>
      </c>
      <c r="J803" s="402"/>
      <c r="K803" s="402"/>
      <c r="L803" s="402"/>
      <c r="M803" s="402"/>
      <c r="N803" s="402"/>
      <c r="O803" s="402"/>
      <c r="P803" s="402"/>
      <c r="Q803" s="402"/>
      <c r="R803" s="402"/>
      <c r="S803" s="402"/>
      <c r="T803" s="402"/>
      <c r="U803" s="402"/>
      <c r="V803" s="402"/>
      <c r="W803" s="402"/>
      <c r="X803" s="402"/>
      <c r="Y803" s="402"/>
      <c r="Z803" s="402"/>
      <c r="AA803" s="405"/>
      <c r="AB803" s="405"/>
    </row>
    <row r="804" ht="14.25" customHeight="1">
      <c r="A804" s="497"/>
      <c r="B804" s="402"/>
      <c r="C804" s="402"/>
      <c r="D804" s="402"/>
      <c r="E804" s="402"/>
      <c r="F804" s="403"/>
      <c r="G804" s="403"/>
      <c r="H804" s="402"/>
      <c r="I804" s="404" t="str">
        <f t="shared" si="9"/>
        <v>FULLY PAID</v>
      </c>
      <c r="J804" s="402"/>
      <c r="K804" s="402"/>
      <c r="L804" s="402"/>
      <c r="M804" s="402"/>
      <c r="N804" s="402"/>
      <c r="O804" s="402"/>
      <c r="P804" s="402"/>
      <c r="Q804" s="402"/>
      <c r="R804" s="402"/>
      <c r="S804" s="402"/>
      <c r="T804" s="402"/>
      <c r="U804" s="402"/>
      <c r="V804" s="402"/>
      <c r="W804" s="402"/>
      <c r="X804" s="402"/>
      <c r="Y804" s="402"/>
      <c r="Z804" s="402"/>
      <c r="AA804" s="405"/>
      <c r="AB804" s="405"/>
    </row>
    <row r="805" ht="14.25" customHeight="1">
      <c r="A805" s="497"/>
      <c r="B805" s="402"/>
      <c r="C805" s="402"/>
      <c r="D805" s="402"/>
      <c r="E805" s="402"/>
      <c r="F805" s="403"/>
      <c r="G805" s="403"/>
      <c r="H805" s="402"/>
      <c r="I805" s="404" t="str">
        <f t="shared" si="9"/>
        <v>FULLY PAID</v>
      </c>
      <c r="J805" s="402"/>
      <c r="K805" s="402"/>
      <c r="L805" s="402"/>
      <c r="M805" s="402"/>
      <c r="N805" s="402"/>
      <c r="O805" s="402"/>
      <c r="P805" s="402"/>
      <c r="Q805" s="402"/>
      <c r="R805" s="402"/>
      <c r="S805" s="402"/>
      <c r="T805" s="402"/>
      <c r="U805" s="402"/>
      <c r="V805" s="402"/>
      <c r="W805" s="402"/>
      <c r="X805" s="402"/>
      <c r="Y805" s="402"/>
      <c r="Z805" s="402"/>
      <c r="AA805" s="405"/>
      <c r="AB805" s="405"/>
    </row>
    <row r="806" ht="14.25" customHeight="1">
      <c r="A806" s="497"/>
      <c r="B806" s="402"/>
      <c r="C806" s="424" t="s">
        <v>797</v>
      </c>
      <c r="D806" s="402"/>
      <c r="E806" s="402"/>
      <c r="F806" s="403"/>
      <c r="G806" s="403"/>
      <c r="H806" s="402"/>
      <c r="I806" s="404" t="str">
        <f t="shared" si="9"/>
        <v>FULLY PAID</v>
      </c>
      <c r="J806" s="402"/>
      <c r="K806" s="402"/>
      <c r="L806" s="402"/>
      <c r="M806" s="402"/>
      <c r="N806" s="402"/>
      <c r="O806" s="402"/>
      <c r="P806" s="402"/>
      <c r="Q806" s="402"/>
      <c r="R806" s="402"/>
      <c r="S806" s="402"/>
      <c r="T806" s="402"/>
      <c r="U806" s="402"/>
      <c r="V806" s="402"/>
      <c r="W806" s="402"/>
      <c r="X806" s="402"/>
      <c r="Y806" s="402"/>
      <c r="Z806" s="402"/>
      <c r="AA806" s="405"/>
      <c r="AB806" s="405"/>
    </row>
    <row r="807" ht="14.25" customHeight="1">
      <c r="A807" s="497">
        <v>45513.0</v>
      </c>
      <c r="B807" s="349" t="s">
        <v>886</v>
      </c>
      <c r="C807" s="349" t="s">
        <v>1095</v>
      </c>
      <c r="D807" s="349" t="s">
        <v>54</v>
      </c>
      <c r="E807" s="349" t="s">
        <v>1255</v>
      </c>
      <c r="F807" s="413">
        <v>70000.0</v>
      </c>
      <c r="G807" s="403"/>
      <c r="H807" s="349" t="s">
        <v>1410</v>
      </c>
      <c r="I807" s="404" t="str">
        <f t="shared" si="9"/>
        <v>NOT PAID</v>
      </c>
      <c r="J807" s="402"/>
      <c r="K807" s="402"/>
      <c r="L807" s="402"/>
      <c r="M807" s="402"/>
      <c r="N807" s="402"/>
      <c r="O807" s="402"/>
      <c r="P807" s="402"/>
      <c r="Q807" s="402"/>
      <c r="R807" s="402"/>
      <c r="S807" s="402"/>
      <c r="T807" s="402"/>
      <c r="U807" s="402"/>
      <c r="V807" s="402"/>
      <c r="W807" s="402"/>
      <c r="X807" s="402"/>
      <c r="Y807" s="402"/>
      <c r="Z807" s="402"/>
      <c r="AA807" s="405"/>
      <c r="AB807" s="405"/>
    </row>
    <row r="808" ht="14.25" customHeight="1">
      <c r="A808" s="497">
        <v>45513.0</v>
      </c>
      <c r="B808" s="349" t="s">
        <v>1087</v>
      </c>
      <c r="C808" s="349" t="s">
        <v>1088</v>
      </c>
      <c r="D808" s="349" t="s">
        <v>54</v>
      </c>
      <c r="E808" s="349" t="s">
        <v>1255</v>
      </c>
      <c r="F808" s="413">
        <v>84673.5</v>
      </c>
      <c r="G808" s="403"/>
      <c r="H808" s="349" t="s">
        <v>1411</v>
      </c>
      <c r="I808" s="404" t="str">
        <f t="shared" si="9"/>
        <v>NOT PAID</v>
      </c>
      <c r="J808" s="402"/>
      <c r="K808" s="402"/>
      <c r="L808" s="402"/>
      <c r="M808" s="402"/>
      <c r="N808" s="402"/>
      <c r="O808" s="402"/>
      <c r="P808" s="402"/>
      <c r="Q808" s="402"/>
      <c r="R808" s="402"/>
      <c r="S808" s="402"/>
      <c r="T808" s="402"/>
      <c r="U808" s="402"/>
      <c r="V808" s="402"/>
      <c r="W808" s="402"/>
      <c r="X808" s="402"/>
      <c r="Y808" s="402"/>
      <c r="Z808" s="402"/>
      <c r="AA808" s="405"/>
      <c r="AB808" s="405"/>
    </row>
    <row r="809" ht="14.25" customHeight="1">
      <c r="A809" s="497">
        <v>45513.0</v>
      </c>
      <c r="B809" s="349" t="s">
        <v>1181</v>
      </c>
      <c r="C809" s="349" t="s">
        <v>1182</v>
      </c>
      <c r="D809" s="349" t="s">
        <v>54</v>
      </c>
      <c r="E809" s="349" t="s">
        <v>1255</v>
      </c>
      <c r="F809" s="413">
        <v>200000.0</v>
      </c>
      <c r="G809" s="403"/>
      <c r="H809" s="349" t="s">
        <v>1412</v>
      </c>
      <c r="I809" s="404" t="str">
        <f t="shared" si="9"/>
        <v>NOT PAID</v>
      </c>
      <c r="J809" s="402"/>
      <c r="K809" s="402"/>
      <c r="L809" s="402"/>
      <c r="M809" s="402"/>
      <c r="N809" s="402"/>
      <c r="O809" s="402"/>
      <c r="P809" s="402"/>
      <c r="Q809" s="402"/>
      <c r="R809" s="402"/>
      <c r="S809" s="402"/>
      <c r="T809" s="402"/>
      <c r="U809" s="402"/>
      <c r="V809" s="402"/>
      <c r="W809" s="402"/>
      <c r="X809" s="402"/>
      <c r="Y809" s="402"/>
      <c r="Z809" s="402"/>
      <c r="AA809" s="405"/>
      <c r="AB809" s="405"/>
    </row>
    <row r="810" ht="14.25" customHeight="1">
      <c r="A810" s="497">
        <v>45513.0</v>
      </c>
      <c r="B810" s="349" t="s">
        <v>877</v>
      </c>
      <c r="C810" s="349" t="s">
        <v>878</v>
      </c>
      <c r="D810" s="349" t="s">
        <v>54</v>
      </c>
      <c r="E810" s="349" t="s">
        <v>1255</v>
      </c>
      <c r="F810" s="413">
        <v>100000.0</v>
      </c>
      <c r="G810" s="413">
        <v>104111.0</v>
      </c>
      <c r="H810" s="349" t="s">
        <v>710</v>
      </c>
      <c r="I810" s="404" t="str">
        <f t="shared" si="9"/>
        <v>FULLY PAID</v>
      </c>
      <c r="J810" s="402"/>
      <c r="K810" s="402"/>
      <c r="L810" s="402"/>
      <c r="M810" s="402"/>
      <c r="N810" s="402"/>
      <c r="O810" s="402"/>
      <c r="P810" s="402"/>
      <c r="Q810" s="402"/>
      <c r="R810" s="402"/>
      <c r="S810" s="402"/>
      <c r="T810" s="402"/>
      <c r="U810" s="402"/>
      <c r="V810" s="402"/>
      <c r="W810" s="402"/>
      <c r="X810" s="402"/>
      <c r="Y810" s="402"/>
      <c r="Z810" s="402"/>
      <c r="AA810" s="405"/>
      <c r="AB810" s="405"/>
    </row>
    <row r="811" ht="14.25" customHeight="1">
      <c r="A811" s="497"/>
      <c r="B811" s="402"/>
      <c r="C811" s="402"/>
      <c r="D811" s="402"/>
      <c r="E811" s="402"/>
      <c r="F811" s="403"/>
      <c r="G811" s="403"/>
      <c r="H811" s="402"/>
      <c r="I811" s="404" t="str">
        <f t="shared" si="9"/>
        <v>FULLY PAID</v>
      </c>
      <c r="J811" s="402"/>
      <c r="K811" s="402"/>
      <c r="L811" s="402"/>
      <c r="M811" s="402"/>
      <c r="N811" s="402"/>
      <c r="O811" s="402"/>
      <c r="P811" s="402"/>
      <c r="Q811" s="402"/>
      <c r="R811" s="402"/>
      <c r="S811" s="402"/>
      <c r="T811" s="402"/>
      <c r="U811" s="402"/>
      <c r="V811" s="402"/>
      <c r="W811" s="402"/>
      <c r="X811" s="402"/>
      <c r="Y811" s="402"/>
      <c r="Z811" s="402"/>
      <c r="AA811" s="405"/>
      <c r="AB811" s="405"/>
    </row>
    <row r="812" ht="14.25" customHeight="1">
      <c r="A812" s="497"/>
      <c r="B812" s="402"/>
      <c r="C812" s="402"/>
      <c r="D812" s="402"/>
      <c r="E812" s="402"/>
      <c r="F812" s="403"/>
      <c r="G812" s="403"/>
      <c r="H812" s="402"/>
      <c r="I812" s="404" t="str">
        <f t="shared" si="9"/>
        <v>FULLY PAID</v>
      </c>
      <c r="J812" s="402"/>
      <c r="K812" s="402"/>
      <c r="L812" s="402"/>
      <c r="M812" s="402"/>
      <c r="N812" s="402"/>
      <c r="O812" s="402"/>
      <c r="P812" s="402"/>
      <c r="Q812" s="402"/>
      <c r="R812" s="402"/>
      <c r="S812" s="402"/>
      <c r="T812" s="402"/>
      <c r="U812" s="402"/>
      <c r="V812" s="402"/>
      <c r="W812" s="402"/>
      <c r="X812" s="402"/>
      <c r="Y812" s="402"/>
      <c r="Z812" s="402"/>
      <c r="AA812" s="405"/>
      <c r="AB812" s="405"/>
    </row>
    <row r="813" ht="14.25" customHeight="1">
      <c r="A813" s="497"/>
      <c r="B813" s="402"/>
      <c r="C813" s="402"/>
      <c r="D813" s="402"/>
      <c r="E813" s="402"/>
      <c r="F813" s="403"/>
      <c r="G813" s="403"/>
      <c r="H813" s="402"/>
      <c r="I813" s="404" t="str">
        <f t="shared" si="9"/>
        <v>FULLY PAID</v>
      </c>
      <c r="J813" s="402"/>
      <c r="K813" s="402"/>
      <c r="L813" s="402"/>
      <c r="M813" s="402"/>
      <c r="N813" s="402"/>
      <c r="O813" s="402"/>
      <c r="P813" s="402"/>
      <c r="Q813" s="402"/>
      <c r="R813" s="402"/>
      <c r="S813" s="402"/>
      <c r="T813" s="402"/>
      <c r="U813" s="402"/>
      <c r="V813" s="402"/>
      <c r="W813" s="402"/>
      <c r="X813" s="402"/>
      <c r="Y813" s="402"/>
      <c r="Z813" s="402"/>
      <c r="AA813" s="405"/>
      <c r="AB813" s="405"/>
    </row>
    <row r="814" ht="14.25" customHeight="1">
      <c r="A814" s="497"/>
      <c r="B814" s="349"/>
      <c r="C814" s="349"/>
      <c r="D814" s="349"/>
      <c r="E814" s="349"/>
      <c r="F814" s="413"/>
      <c r="G814" s="403"/>
      <c r="H814" s="402"/>
      <c r="I814" s="404" t="str">
        <f t="shared" si="9"/>
        <v>FULLY PAID</v>
      </c>
      <c r="J814" s="402"/>
      <c r="K814" s="402"/>
      <c r="L814" s="402"/>
      <c r="M814" s="402"/>
      <c r="N814" s="402"/>
      <c r="O814" s="402"/>
      <c r="P814" s="402"/>
      <c r="Q814" s="402"/>
      <c r="R814" s="402"/>
      <c r="S814" s="402"/>
      <c r="T814" s="402"/>
      <c r="U814" s="402"/>
      <c r="V814" s="402"/>
      <c r="W814" s="402"/>
      <c r="X814" s="402"/>
      <c r="Y814" s="402"/>
      <c r="Z814" s="402"/>
      <c r="AA814" s="405"/>
      <c r="AB814" s="405"/>
    </row>
    <row r="815" ht="14.25" customHeight="1">
      <c r="A815" s="497"/>
      <c r="B815" s="503">
        <v>45573.0</v>
      </c>
      <c r="C815" s="349"/>
      <c r="D815" s="349"/>
      <c r="E815" s="349"/>
      <c r="F815" s="413"/>
      <c r="G815" s="403"/>
      <c r="H815" s="402"/>
      <c r="I815" s="404" t="str">
        <f t="shared" si="9"/>
        <v>FULLY PAID</v>
      </c>
      <c r="J815" s="402"/>
      <c r="K815" s="402"/>
      <c r="L815" s="402"/>
      <c r="M815" s="402"/>
      <c r="N815" s="402"/>
      <c r="O815" s="402"/>
      <c r="P815" s="402"/>
      <c r="Q815" s="402"/>
      <c r="R815" s="402"/>
      <c r="S815" s="402"/>
      <c r="T815" s="402"/>
      <c r="U815" s="402"/>
      <c r="V815" s="402"/>
      <c r="W815" s="402"/>
      <c r="X815" s="402"/>
      <c r="Y815" s="402"/>
      <c r="Z815" s="402"/>
      <c r="AA815" s="405"/>
      <c r="AB815" s="405"/>
    </row>
    <row r="816" ht="14.25" customHeight="1">
      <c r="A816" s="497">
        <v>45514.0</v>
      </c>
      <c r="B816" s="349" t="s">
        <v>1117</v>
      </c>
      <c r="C816" s="349" t="s">
        <v>1332</v>
      </c>
      <c r="D816" s="349" t="s">
        <v>1115</v>
      </c>
      <c r="E816" s="349" t="s">
        <v>1098</v>
      </c>
      <c r="F816" s="413">
        <v>170000.0</v>
      </c>
      <c r="G816" s="403"/>
      <c r="H816" s="349" t="s">
        <v>1339</v>
      </c>
      <c r="I816" s="404" t="str">
        <f t="shared" si="9"/>
        <v>NOT PAID</v>
      </c>
      <c r="J816" s="402"/>
      <c r="K816" s="402"/>
      <c r="L816" s="402"/>
      <c r="M816" s="402"/>
      <c r="N816" s="402"/>
      <c r="O816" s="402"/>
      <c r="P816" s="402"/>
      <c r="Q816" s="402"/>
      <c r="R816" s="402"/>
      <c r="S816" s="402"/>
      <c r="T816" s="402"/>
      <c r="U816" s="402"/>
      <c r="V816" s="402"/>
      <c r="W816" s="402"/>
      <c r="X816" s="402"/>
      <c r="Y816" s="402"/>
      <c r="Z816" s="402"/>
      <c r="AA816" s="405"/>
      <c r="AB816" s="405"/>
    </row>
    <row r="817" ht="14.25" customHeight="1">
      <c r="A817" s="497">
        <v>45514.0</v>
      </c>
      <c r="B817" s="484" t="s">
        <v>1113</v>
      </c>
      <c r="C817" s="349" t="s">
        <v>1332</v>
      </c>
      <c r="D817" s="349" t="s">
        <v>1115</v>
      </c>
      <c r="E817" s="349" t="s">
        <v>1098</v>
      </c>
      <c r="F817" s="413">
        <v>170000.0</v>
      </c>
      <c r="G817" s="403"/>
      <c r="H817" s="349" t="s">
        <v>1339</v>
      </c>
      <c r="I817" s="404" t="str">
        <f t="shared" si="9"/>
        <v>NOT PAID</v>
      </c>
      <c r="J817" s="402"/>
      <c r="K817" s="402"/>
      <c r="L817" s="402"/>
      <c r="M817" s="402"/>
      <c r="N817" s="402"/>
      <c r="O817" s="402"/>
      <c r="P817" s="402"/>
      <c r="Q817" s="402"/>
      <c r="R817" s="402"/>
      <c r="S817" s="402"/>
      <c r="T817" s="402"/>
      <c r="U817" s="402"/>
      <c r="V817" s="402"/>
      <c r="W817" s="402"/>
      <c r="X817" s="402"/>
      <c r="Y817" s="402"/>
      <c r="Z817" s="402"/>
      <c r="AA817" s="405"/>
      <c r="AB817" s="405"/>
    </row>
    <row r="818" ht="14.25" customHeight="1">
      <c r="A818" s="497">
        <v>45514.0</v>
      </c>
      <c r="B818" s="349" t="s">
        <v>777</v>
      </c>
      <c r="C818" s="349" t="s">
        <v>778</v>
      </c>
      <c r="D818" s="349" t="s">
        <v>54</v>
      </c>
      <c r="E818" s="349" t="s">
        <v>1098</v>
      </c>
      <c r="F818" s="413">
        <v>224325.0</v>
      </c>
      <c r="G818" s="403"/>
      <c r="H818" s="349" t="s">
        <v>1413</v>
      </c>
      <c r="I818" s="404" t="str">
        <f t="shared" si="9"/>
        <v>NOT PAID</v>
      </c>
      <c r="J818" s="402"/>
      <c r="K818" s="402"/>
      <c r="L818" s="402"/>
      <c r="M818" s="402"/>
      <c r="N818" s="402"/>
      <c r="O818" s="402"/>
      <c r="P818" s="402"/>
      <c r="Q818" s="402"/>
      <c r="R818" s="402"/>
      <c r="S818" s="402"/>
      <c r="T818" s="402"/>
      <c r="U818" s="402"/>
      <c r="V818" s="402"/>
      <c r="W818" s="402"/>
      <c r="X818" s="402"/>
      <c r="Y818" s="402"/>
      <c r="Z818" s="402"/>
      <c r="AA818" s="405"/>
      <c r="AB818" s="405"/>
    </row>
    <row r="819" ht="14.25" customHeight="1">
      <c r="A819" s="497">
        <v>45514.0</v>
      </c>
      <c r="B819" s="349" t="s">
        <v>807</v>
      </c>
      <c r="C819" s="349" t="s">
        <v>808</v>
      </c>
      <c r="D819" s="349" t="s">
        <v>54</v>
      </c>
      <c r="E819" s="349" t="s">
        <v>1098</v>
      </c>
      <c r="F819" s="413">
        <v>1674.75</v>
      </c>
      <c r="G819" s="403"/>
      <c r="H819" s="349" t="s">
        <v>1414</v>
      </c>
      <c r="I819" s="404" t="str">
        <f t="shared" si="9"/>
        <v>NOT PAID</v>
      </c>
      <c r="J819" s="402"/>
      <c r="K819" s="402"/>
      <c r="L819" s="402"/>
      <c r="M819" s="402"/>
      <c r="N819" s="402"/>
      <c r="O819" s="402"/>
      <c r="P819" s="402"/>
      <c r="Q819" s="402"/>
      <c r="R819" s="402"/>
      <c r="S819" s="402"/>
      <c r="T819" s="402"/>
      <c r="U819" s="402"/>
      <c r="V819" s="402"/>
      <c r="W819" s="402"/>
      <c r="X819" s="402"/>
      <c r="Y819" s="402"/>
      <c r="Z819" s="402"/>
      <c r="AA819" s="405"/>
      <c r="AB819" s="405"/>
    </row>
    <row r="820" ht="14.25" customHeight="1">
      <c r="A820" s="497">
        <v>45514.0</v>
      </c>
      <c r="B820" s="349" t="s">
        <v>705</v>
      </c>
      <c r="C820" s="349" t="s">
        <v>1110</v>
      </c>
      <c r="D820" s="349" t="s">
        <v>54</v>
      </c>
      <c r="E820" s="349" t="s">
        <v>1098</v>
      </c>
      <c r="F820" s="413">
        <v>6709.6</v>
      </c>
      <c r="G820" s="403"/>
      <c r="H820" s="349" t="s">
        <v>1415</v>
      </c>
      <c r="I820" s="404" t="str">
        <f t="shared" si="9"/>
        <v>NOT PAID</v>
      </c>
      <c r="J820" s="402"/>
      <c r="K820" s="402"/>
      <c r="L820" s="402"/>
      <c r="M820" s="402"/>
      <c r="N820" s="402"/>
      <c r="O820" s="402"/>
      <c r="P820" s="402"/>
      <c r="Q820" s="402"/>
      <c r="R820" s="402"/>
      <c r="S820" s="402"/>
      <c r="T820" s="402"/>
      <c r="U820" s="402"/>
      <c r="V820" s="402"/>
      <c r="W820" s="402"/>
      <c r="X820" s="402"/>
      <c r="Y820" s="402"/>
      <c r="Z820" s="402"/>
      <c r="AA820" s="405"/>
      <c r="AB820" s="405"/>
    </row>
    <row r="821" ht="14.25" customHeight="1">
      <c r="A821" s="497">
        <v>45514.0</v>
      </c>
      <c r="B821" s="349" t="s">
        <v>711</v>
      </c>
      <c r="C821" s="349" t="s">
        <v>1123</v>
      </c>
      <c r="D821" s="349" t="s">
        <v>75</v>
      </c>
      <c r="E821" s="349" t="s">
        <v>1098</v>
      </c>
      <c r="F821" s="413">
        <v>26556.61</v>
      </c>
      <c r="G821" s="403"/>
      <c r="H821" s="349" t="s">
        <v>1416</v>
      </c>
      <c r="I821" s="404" t="str">
        <f t="shared" si="9"/>
        <v>NOT PAID</v>
      </c>
      <c r="J821" s="402"/>
      <c r="K821" s="402"/>
      <c r="L821" s="402"/>
      <c r="M821" s="402"/>
      <c r="N821" s="402"/>
      <c r="O821" s="402"/>
      <c r="P821" s="402"/>
      <c r="Q821" s="402"/>
      <c r="R821" s="402"/>
      <c r="S821" s="402"/>
      <c r="T821" s="402"/>
      <c r="U821" s="402"/>
      <c r="V821" s="402"/>
      <c r="W821" s="402"/>
      <c r="X821" s="402"/>
      <c r="Y821" s="402"/>
      <c r="Z821" s="402"/>
      <c r="AA821" s="405"/>
      <c r="AB821" s="405"/>
    </row>
    <row r="822" ht="14.25" customHeight="1">
      <c r="A822" s="497">
        <v>45514.0</v>
      </c>
      <c r="B822" s="349" t="s">
        <v>701</v>
      </c>
      <c r="C822" s="349" t="s">
        <v>702</v>
      </c>
      <c r="D822" s="349" t="s">
        <v>54</v>
      </c>
      <c r="E822" s="349" t="s">
        <v>1098</v>
      </c>
      <c r="F822" s="413">
        <v>17124.66</v>
      </c>
      <c r="G822" s="403"/>
      <c r="H822" s="349" t="s">
        <v>1416</v>
      </c>
      <c r="I822" s="404" t="str">
        <f t="shared" si="9"/>
        <v>NOT PAID</v>
      </c>
      <c r="J822" s="402"/>
      <c r="K822" s="402"/>
      <c r="L822" s="402"/>
      <c r="M822" s="402"/>
      <c r="N822" s="402"/>
      <c r="O822" s="402"/>
      <c r="P822" s="402"/>
      <c r="Q822" s="402"/>
      <c r="R822" s="402"/>
      <c r="S822" s="402"/>
      <c r="T822" s="402"/>
      <c r="U822" s="402"/>
      <c r="V822" s="402"/>
      <c r="W822" s="402"/>
      <c r="X822" s="402"/>
      <c r="Y822" s="402"/>
      <c r="Z822" s="402"/>
      <c r="AA822" s="405"/>
      <c r="AB822" s="405"/>
    </row>
    <row r="823" ht="14.25" customHeight="1">
      <c r="A823" s="497">
        <v>45514.0</v>
      </c>
      <c r="B823" s="505" t="s">
        <v>1120</v>
      </c>
      <c r="C823" s="506" t="s">
        <v>1121</v>
      </c>
      <c r="D823" s="507" t="s">
        <v>346</v>
      </c>
      <c r="E823" s="349" t="s">
        <v>1098</v>
      </c>
      <c r="F823" s="508">
        <v>63864.94</v>
      </c>
      <c r="G823" s="403"/>
      <c r="H823" s="349" t="s">
        <v>1416</v>
      </c>
      <c r="I823" s="404" t="str">
        <f t="shared" si="9"/>
        <v>NOT PAID</v>
      </c>
      <c r="J823" s="402"/>
      <c r="K823" s="402"/>
      <c r="L823" s="402"/>
      <c r="M823" s="402"/>
      <c r="N823" s="402"/>
      <c r="O823" s="402"/>
      <c r="P823" s="402"/>
      <c r="Q823" s="402"/>
      <c r="R823" s="402"/>
      <c r="S823" s="402"/>
      <c r="T823" s="402"/>
      <c r="U823" s="402"/>
      <c r="V823" s="402"/>
      <c r="W823" s="402"/>
      <c r="X823" s="402"/>
      <c r="Y823" s="402"/>
      <c r="Z823" s="402"/>
      <c r="AA823" s="405"/>
      <c r="AB823" s="405"/>
    </row>
    <row r="824" ht="14.25" customHeight="1">
      <c r="A824" s="497">
        <v>45514.0</v>
      </c>
      <c r="B824" s="492" t="s">
        <v>729</v>
      </c>
      <c r="C824" s="493" t="s">
        <v>995</v>
      </c>
      <c r="D824" s="493" t="s">
        <v>54</v>
      </c>
      <c r="E824" s="349" t="s">
        <v>1098</v>
      </c>
      <c r="F824" s="494">
        <v>357832.09</v>
      </c>
      <c r="G824" s="403"/>
      <c r="H824" s="349" t="s">
        <v>1417</v>
      </c>
      <c r="I824" s="404" t="str">
        <f t="shared" si="9"/>
        <v>NOT PAID</v>
      </c>
      <c r="J824" s="402"/>
      <c r="K824" s="402"/>
      <c r="L824" s="402"/>
      <c r="M824" s="402"/>
      <c r="N824" s="402"/>
      <c r="O824" s="402"/>
      <c r="P824" s="402"/>
      <c r="Q824" s="402"/>
      <c r="R824" s="402"/>
      <c r="S824" s="402"/>
      <c r="T824" s="402"/>
      <c r="U824" s="402"/>
      <c r="V824" s="402"/>
      <c r="W824" s="402"/>
      <c r="X824" s="402"/>
      <c r="Y824" s="402"/>
      <c r="Z824" s="402"/>
      <c r="AA824" s="405"/>
      <c r="AB824" s="405"/>
    </row>
    <row r="825" ht="14.25" customHeight="1">
      <c r="A825" s="497">
        <v>45514.0</v>
      </c>
      <c r="B825" s="509" t="s">
        <v>1378</v>
      </c>
      <c r="C825" s="510" t="s">
        <v>1379</v>
      </c>
      <c r="D825" s="511" t="s">
        <v>54</v>
      </c>
      <c r="E825" s="349" t="s">
        <v>1098</v>
      </c>
      <c r="F825" s="416">
        <v>59639.0</v>
      </c>
      <c r="G825" s="413"/>
      <c r="H825" s="349" t="s">
        <v>267</v>
      </c>
      <c r="I825" s="404" t="str">
        <f t="shared" si="9"/>
        <v>NOT PAID</v>
      </c>
      <c r="J825" s="402"/>
      <c r="K825" s="402"/>
      <c r="L825" s="402"/>
      <c r="M825" s="402"/>
      <c r="N825" s="402"/>
      <c r="O825" s="402"/>
      <c r="P825" s="402"/>
      <c r="Q825" s="402"/>
      <c r="R825" s="402"/>
      <c r="S825" s="402"/>
      <c r="T825" s="402"/>
      <c r="U825" s="402"/>
      <c r="V825" s="402"/>
      <c r="W825" s="402"/>
      <c r="X825" s="402"/>
      <c r="Y825" s="402"/>
      <c r="Z825" s="402"/>
      <c r="AA825" s="405"/>
      <c r="AB825" s="405"/>
    </row>
    <row r="826" ht="14.25" customHeight="1">
      <c r="A826" s="497">
        <v>45514.0</v>
      </c>
      <c r="B826" s="509" t="s">
        <v>1381</v>
      </c>
      <c r="C826" s="510" t="s">
        <v>1382</v>
      </c>
      <c r="D826" s="510" t="s">
        <v>54</v>
      </c>
      <c r="E826" s="349" t="s">
        <v>1098</v>
      </c>
      <c r="F826" s="416">
        <v>435340.0</v>
      </c>
      <c r="G826" s="413"/>
      <c r="H826" s="349" t="s">
        <v>1418</v>
      </c>
      <c r="I826" s="404" t="str">
        <f t="shared" si="9"/>
        <v>NOT PAID</v>
      </c>
      <c r="J826" s="402"/>
      <c r="K826" s="402"/>
      <c r="L826" s="402"/>
      <c r="M826" s="402"/>
      <c r="N826" s="402"/>
      <c r="O826" s="402"/>
      <c r="P826" s="402"/>
      <c r="Q826" s="402"/>
      <c r="R826" s="402"/>
      <c r="S826" s="402"/>
      <c r="T826" s="402"/>
      <c r="U826" s="402"/>
      <c r="V826" s="402"/>
      <c r="W826" s="402"/>
      <c r="X826" s="402"/>
      <c r="Y826" s="402"/>
      <c r="Z826" s="402"/>
      <c r="AA826" s="405"/>
      <c r="AB826" s="405"/>
    </row>
    <row r="827" ht="14.25" customHeight="1">
      <c r="A827" s="497">
        <v>45514.0</v>
      </c>
      <c r="B827" s="515" t="s">
        <v>1034</v>
      </c>
      <c r="C827" s="516" t="s">
        <v>1401</v>
      </c>
      <c r="D827" s="516" t="s">
        <v>54</v>
      </c>
      <c r="E827" s="349" t="s">
        <v>1098</v>
      </c>
      <c r="F827" s="416">
        <v>47840.0</v>
      </c>
      <c r="G827" s="403"/>
      <c r="H827" s="349" t="s">
        <v>1419</v>
      </c>
      <c r="I827" s="404" t="str">
        <f t="shared" si="9"/>
        <v>NOT PAID</v>
      </c>
      <c r="J827" s="402"/>
      <c r="K827" s="402"/>
      <c r="L827" s="402"/>
      <c r="M827" s="402"/>
      <c r="N827" s="402"/>
      <c r="O827" s="402"/>
      <c r="P827" s="402"/>
      <c r="Q827" s="402"/>
      <c r="R827" s="402"/>
      <c r="S827" s="402"/>
      <c r="T827" s="402"/>
      <c r="U827" s="402"/>
      <c r="V827" s="402"/>
      <c r="W827" s="402"/>
      <c r="X827" s="402"/>
      <c r="Y827" s="402"/>
      <c r="Z827" s="402"/>
      <c r="AA827" s="405"/>
      <c r="AB827" s="405"/>
    </row>
    <row r="828" ht="14.25" customHeight="1">
      <c r="A828" s="497">
        <v>45514.0</v>
      </c>
      <c r="B828" s="349" t="s">
        <v>1155</v>
      </c>
      <c r="C828" s="349" t="s">
        <v>1156</v>
      </c>
      <c r="D828" s="493" t="s">
        <v>54</v>
      </c>
      <c r="E828" s="415" t="s">
        <v>1153</v>
      </c>
      <c r="F828" s="413">
        <v>268238.3</v>
      </c>
      <c r="G828" s="403"/>
      <c r="H828" s="349" t="s">
        <v>1342</v>
      </c>
      <c r="I828" s="404" t="str">
        <f t="shared" si="9"/>
        <v>NOT PAID</v>
      </c>
      <c r="J828" s="402"/>
      <c r="K828" s="402"/>
      <c r="L828" s="402"/>
      <c r="M828" s="402"/>
      <c r="N828" s="402"/>
      <c r="O828" s="402"/>
      <c r="P828" s="402"/>
      <c r="Q828" s="402"/>
      <c r="R828" s="402"/>
      <c r="S828" s="402"/>
      <c r="T828" s="402"/>
      <c r="U828" s="402"/>
      <c r="V828" s="402"/>
      <c r="W828" s="402"/>
      <c r="X828" s="402"/>
      <c r="Y828" s="402"/>
      <c r="Z828" s="402"/>
      <c r="AA828" s="405"/>
      <c r="AB828" s="405"/>
    </row>
    <row r="829" ht="14.25" customHeight="1">
      <c r="A829" s="497">
        <v>45514.0</v>
      </c>
      <c r="B829" s="349" t="s">
        <v>960</v>
      </c>
      <c r="C829" s="349" t="s">
        <v>961</v>
      </c>
      <c r="D829" s="493" t="s">
        <v>54</v>
      </c>
      <c r="E829" s="415" t="s">
        <v>1153</v>
      </c>
      <c r="F829" s="413">
        <v>100000.0</v>
      </c>
      <c r="G829" s="403"/>
      <c r="H829" s="349" t="s">
        <v>1420</v>
      </c>
      <c r="I829" s="404" t="str">
        <f t="shared" si="9"/>
        <v>NOT PAID</v>
      </c>
      <c r="J829" s="402"/>
      <c r="K829" s="402"/>
      <c r="L829" s="402"/>
      <c r="M829" s="402"/>
      <c r="N829" s="402"/>
      <c r="O829" s="402"/>
      <c r="P829" s="402"/>
      <c r="Q829" s="402"/>
      <c r="R829" s="402"/>
      <c r="S829" s="402"/>
      <c r="T829" s="402"/>
      <c r="U829" s="402"/>
      <c r="V829" s="402"/>
      <c r="W829" s="402"/>
      <c r="X829" s="402"/>
      <c r="Y829" s="402"/>
      <c r="Z829" s="402"/>
      <c r="AA829" s="405"/>
      <c r="AB829" s="405"/>
    </row>
    <row r="830" ht="14.25" customHeight="1">
      <c r="A830" s="497">
        <v>45514.0</v>
      </c>
      <c r="B830" s="349" t="s">
        <v>800</v>
      </c>
      <c r="C830" s="349" t="s">
        <v>801</v>
      </c>
      <c r="D830" s="493" t="s">
        <v>54</v>
      </c>
      <c r="E830" s="415" t="s">
        <v>1153</v>
      </c>
      <c r="F830" s="413">
        <v>20000.0</v>
      </c>
      <c r="G830" s="403"/>
      <c r="H830" s="65" t="s">
        <v>1421</v>
      </c>
      <c r="I830" s="404" t="str">
        <f t="shared" si="9"/>
        <v>NOT PAID</v>
      </c>
      <c r="J830" s="402"/>
      <c r="K830" s="402"/>
      <c r="L830" s="402"/>
      <c r="M830" s="402"/>
      <c r="N830" s="402"/>
      <c r="O830" s="402"/>
      <c r="P830" s="402"/>
      <c r="Q830" s="402"/>
      <c r="R830" s="402"/>
      <c r="S830" s="402"/>
      <c r="T830" s="402"/>
      <c r="U830" s="402"/>
      <c r="V830" s="402"/>
      <c r="W830" s="402"/>
      <c r="X830" s="402"/>
      <c r="Y830" s="402"/>
      <c r="Z830" s="402"/>
      <c r="AA830" s="405"/>
      <c r="AB830" s="405"/>
    </row>
    <row r="831" ht="14.25" customHeight="1">
      <c r="A831" s="497">
        <v>45514.0</v>
      </c>
      <c r="B831" s="349" t="s">
        <v>1346</v>
      </c>
      <c r="C831" s="349" t="s">
        <v>1347</v>
      </c>
      <c r="D831" s="411" t="s">
        <v>59</v>
      </c>
      <c r="E831" s="415" t="s">
        <v>1153</v>
      </c>
      <c r="F831" s="413">
        <v>300000.0</v>
      </c>
      <c r="G831" s="403"/>
      <c r="H831" s="349" t="s">
        <v>1422</v>
      </c>
      <c r="I831" s="404" t="str">
        <f t="shared" si="9"/>
        <v>NOT PAID</v>
      </c>
      <c r="J831" s="402"/>
      <c r="K831" s="402"/>
      <c r="L831" s="402"/>
      <c r="M831" s="402"/>
      <c r="N831" s="402"/>
      <c r="O831" s="402"/>
      <c r="P831" s="402"/>
      <c r="Q831" s="402"/>
      <c r="R831" s="402"/>
      <c r="S831" s="402"/>
      <c r="T831" s="402"/>
      <c r="U831" s="402"/>
      <c r="V831" s="402"/>
      <c r="W831" s="402"/>
      <c r="X831" s="402"/>
      <c r="Y831" s="402"/>
      <c r="Z831" s="402"/>
      <c r="AA831" s="405"/>
      <c r="AB831" s="405"/>
    </row>
    <row r="832" ht="14.25" customHeight="1">
      <c r="A832" s="497">
        <v>45514.0</v>
      </c>
      <c r="B832" s="349" t="s">
        <v>825</v>
      </c>
      <c r="C832" s="349" t="s">
        <v>826</v>
      </c>
      <c r="D832" s="493" t="s">
        <v>54</v>
      </c>
      <c r="E832" s="415" t="s">
        <v>1153</v>
      </c>
      <c r="F832" s="413">
        <v>243330.94</v>
      </c>
      <c r="G832" s="413">
        <v>300000.0</v>
      </c>
      <c r="H832" s="402"/>
      <c r="I832" s="404" t="str">
        <f t="shared" si="9"/>
        <v>FULLY PAID</v>
      </c>
      <c r="J832" s="402"/>
      <c r="K832" s="402"/>
      <c r="L832" s="402"/>
      <c r="M832" s="402"/>
      <c r="N832" s="402"/>
      <c r="O832" s="402"/>
      <c r="P832" s="402"/>
      <c r="Q832" s="402"/>
      <c r="R832" s="402"/>
      <c r="S832" s="402"/>
      <c r="T832" s="402"/>
      <c r="U832" s="402"/>
      <c r="V832" s="402"/>
      <c r="W832" s="402"/>
      <c r="X832" s="402"/>
      <c r="Y832" s="402"/>
      <c r="Z832" s="402"/>
      <c r="AA832" s="405"/>
      <c r="AB832" s="405"/>
    </row>
    <row r="833" ht="14.25" customHeight="1">
      <c r="A833" s="497">
        <v>45514.0</v>
      </c>
      <c r="B833" s="515" t="s">
        <v>1404</v>
      </c>
      <c r="C833" s="516" t="s">
        <v>826</v>
      </c>
      <c r="D833" s="516" t="s">
        <v>75</v>
      </c>
      <c r="E833" s="415" t="s">
        <v>1153</v>
      </c>
      <c r="F833" s="413">
        <v>550000.0</v>
      </c>
      <c r="G833" s="413"/>
      <c r="H833" s="349" t="s">
        <v>1414</v>
      </c>
      <c r="I833" s="404" t="str">
        <f t="shared" si="9"/>
        <v>NOT PAID</v>
      </c>
      <c r="J833" s="402"/>
      <c r="K833" s="402"/>
      <c r="L833" s="402"/>
      <c r="M833" s="402"/>
      <c r="N833" s="402"/>
      <c r="O833" s="402"/>
      <c r="P833" s="402"/>
      <c r="Q833" s="402"/>
      <c r="R833" s="402"/>
      <c r="S833" s="402"/>
      <c r="T833" s="402"/>
      <c r="U833" s="402"/>
      <c r="V833" s="402"/>
      <c r="W833" s="402"/>
      <c r="X833" s="402"/>
      <c r="Y833" s="402"/>
      <c r="Z833" s="402"/>
      <c r="AA833" s="405"/>
      <c r="AB833" s="405"/>
    </row>
    <row r="834" ht="14.25" customHeight="1">
      <c r="A834" s="497">
        <v>45514.0</v>
      </c>
      <c r="B834" s="349" t="s">
        <v>918</v>
      </c>
      <c r="C834" s="349" t="s">
        <v>919</v>
      </c>
      <c r="D834" s="349" t="s">
        <v>54</v>
      </c>
      <c r="E834" s="349" t="s">
        <v>1139</v>
      </c>
      <c r="F834" s="413">
        <v>13202.44</v>
      </c>
      <c r="G834" s="413">
        <v>5000.0</v>
      </c>
      <c r="H834" s="349" t="s">
        <v>1423</v>
      </c>
      <c r="I834" s="404" t="str">
        <f t="shared" si="9"/>
        <v>PARTIALLY PAID</v>
      </c>
      <c r="J834" s="402"/>
      <c r="K834" s="402"/>
      <c r="L834" s="402"/>
      <c r="M834" s="402"/>
      <c r="N834" s="402"/>
      <c r="O834" s="402"/>
      <c r="P834" s="402"/>
      <c r="Q834" s="402"/>
      <c r="R834" s="402"/>
      <c r="S834" s="402"/>
      <c r="T834" s="402"/>
      <c r="U834" s="402"/>
      <c r="V834" s="402"/>
      <c r="W834" s="402"/>
      <c r="X834" s="402"/>
      <c r="Y834" s="402"/>
      <c r="Z834" s="402"/>
      <c r="AA834" s="405"/>
      <c r="AB834" s="405"/>
    </row>
    <row r="835" ht="14.25" customHeight="1">
      <c r="A835" s="497">
        <v>45514.0</v>
      </c>
      <c r="B835" s="349" t="s">
        <v>1137</v>
      </c>
      <c r="C835" s="349" t="s">
        <v>1138</v>
      </c>
      <c r="D835" s="349" t="s">
        <v>54</v>
      </c>
      <c r="E835" s="349" t="s">
        <v>1139</v>
      </c>
      <c r="F835" s="413">
        <v>5721.98</v>
      </c>
      <c r="G835" s="413">
        <v>0.0</v>
      </c>
      <c r="H835" s="349" t="s">
        <v>1286</v>
      </c>
      <c r="I835" s="404" t="str">
        <f t="shared" si="9"/>
        <v>NOT PAID</v>
      </c>
      <c r="J835" s="402"/>
      <c r="K835" s="402"/>
      <c r="L835" s="402"/>
      <c r="M835" s="402"/>
      <c r="N835" s="402"/>
      <c r="O835" s="402"/>
      <c r="P835" s="402"/>
      <c r="Q835" s="402"/>
      <c r="R835" s="402"/>
      <c r="S835" s="402"/>
      <c r="T835" s="402"/>
      <c r="U835" s="402"/>
      <c r="V835" s="402"/>
      <c r="W835" s="402"/>
      <c r="X835" s="402"/>
      <c r="Y835" s="402"/>
      <c r="Z835" s="402"/>
      <c r="AA835" s="405"/>
      <c r="AB835" s="405"/>
    </row>
    <row r="836" ht="14.25" customHeight="1">
      <c r="A836" s="497">
        <v>45514.0</v>
      </c>
      <c r="B836" s="349" t="s">
        <v>783</v>
      </c>
      <c r="C836" s="349" t="s">
        <v>784</v>
      </c>
      <c r="D836" s="349" t="s">
        <v>54</v>
      </c>
      <c r="E836" s="349" t="s">
        <v>1139</v>
      </c>
      <c r="F836" s="413">
        <v>27715.83</v>
      </c>
      <c r="G836" s="413">
        <v>0.0</v>
      </c>
      <c r="H836" s="349" t="s">
        <v>1424</v>
      </c>
      <c r="I836" s="404" t="str">
        <f t="shared" si="9"/>
        <v>NOT PAID</v>
      </c>
      <c r="J836" s="402"/>
      <c r="K836" s="402"/>
      <c r="L836" s="402"/>
      <c r="M836" s="402"/>
      <c r="N836" s="402"/>
      <c r="O836" s="402"/>
      <c r="P836" s="402"/>
      <c r="Q836" s="402"/>
      <c r="R836" s="402"/>
      <c r="S836" s="402"/>
      <c r="T836" s="402"/>
      <c r="U836" s="402"/>
      <c r="V836" s="402"/>
      <c r="W836" s="402"/>
      <c r="X836" s="402"/>
      <c r="Y836" s="402"/>
      <c r="Z836" s="402"/>
      <c r="AA836" s="405"/>
      <c r="AB836" s="405"/>
    </row>
    <row r="837" ht="14.25" customHeight="1">
      <c r="A837" s="497">
        <v>45514.0</v>
      </c>
      <c r="B837" s="504" t="s">
        <v>1387</v>
      </c>
      <c r="C837" s="504" t="s">
        <v>1388</v>
      </c>
      <c r="D837" s="504" t="s">
        <v>75</v>
      </c>
      <c r="E837" s="349" t="s">
        <v>1139</v>
      </c>
      <c r="F837" s="413">
        <v>15725.0</v>
      </c>
      <c r="G837" s="413">
        <v>15730.0</v>
      </c>
      <c r="H837" s="349" t="s">
        <v>899</v>
      </c>
      <c r="I837" s="404" t="str">
        <f t="shared" si="9"/>
        <v>FULLY PAID</v>
      </c>
      <c r="J837" s="402"/>
      <c r="K837" s="402"/>
      <c r="L837" s="402"/>
      <c r="M837" s="402"/>
      <c r="N837" s="402"/>
      <c r="O837" s="402"/>
      <c r="P837" s="402"/>
      <c r="Q837" s="402"/>
      <c r="R837" s="402"/>
      <c r="S837" s="402"/>
      <c r="T837" s="402"/>
      <c r="U837" s="402"/>
      <c r="V837" s="402"/>
      <c r="W837" s="402"/>
      <c r="X837" s="402"/>
      <c r="Y837" s="402"/>
      <c r="Z837" s="402"/>
      <c r="AA837" s="405"/>
      <c r="AB837" s="405"/>
    </row>
    <row r="838" ht="14.25" customHeight="1">
      <c r="A838" s="497">
        <v>45514.0</v>
      </c>
      <c r="B838" s="518" t="s">
        <v>1425</v>
      </c>
      <c r="C838" s="519" t="s">
        <v>1426</v>
      </c>
      <c r="D838" s="519" t="s">
        <v>54</v>
      </c>
      <c r="E838" s="349" t="s">
        <v>1139</v>
      </c>
      <c r="F838" s="413">
        <v>11520.0</v>
      </c>
      <c r="G838" s="413">
        <v>11520.0</v>
      </c>
      <c r="H838" s="349" t="s">
        <v>1320</v>
      </c>
      <c r="I838" s="404" t="str">
        <f t="shared" si="9"/>
        <v>FULLY PAID</v>
      </c>
      <c r="J838" s="402"/>
      <c r="K838" s="402"/>
      <c r="L838" s="402"/>
      <c r="M838" s="402"/>
      <c r="N838" s="402"/>
      <c r="O838" s="402"/>
      <c r="P838" s="402"/>
      <c r="Q838" s="402"/>
      <c r="R838" s="402"/>
      <c r="S838" s="402"/>
      <c r="T838" s="402"/>
      <c r="U838" s="402"/>
      <c r="V838" s="402"/>
      <c r="W838" s="402"/>
      <c r="X838" s="402"/>
      <c r="Y838" s="402"/>
      <c r="Z838" s="402"/>
      <c r="AA838" s="405"/>
      <c r="AB838" s="405"/>
    </row>
    <row r="839" ht="14.25" customHeight="1">
      <c r="A839" s="497">
        <v>45514.0</v>
      </c>
      <c r="B839" s="518" t="s">
        <v>1425</v>
      </c>
      <c r="C839" s="519" t="s">
        <v>1426</v>
      </c>
      <c r="D839" s="519" t="s">
        <v>54</v>
      </c>
      <c r="E839" s="349" t="s">
        <v>1139</v>
      </c>
      <c r="F839" s="413">
        <v>95496.0</v>
      </c>
      <c r="G839" s="413">
        <v>95496.0</v>
      </c>
      <c r="H839" s="349" t="s">
        <v>1320</v>
      </c>
      <c r="I839" s="404" t="str">
        <f t="shared" si="9"/>
        <v>FULLY PAID</v>
      </c>
      <c r="J839" s="402"/>
      <c r="K839" s="402"/>
      <c r="L839" s="402"/>
      <c r="M839" s="402"/>
      <c r="N839" s="402"/>
      <c r="O839" s="402"/>
      <c r="P839" s="402"/>
      <c r="Q839" s="402"/>
      <c r="R839" s="402"/>
      <c r="S839" s="402"/>
      <c r="T839" s="402"/>
      <c r="U839" s="402"/>
      <c r="V839" s="402"/>
      <c r="W839" s="402"/>
      <c r="X839" s="402"/>
      <c r="Y839" s="402"/>
      <c r="Z839" s="402"/>
      <c r="AA839" s="405"/>
      <c r="AB839" s="405"/>
    </row>
    <row r="840" ht="14.25" customHeight="1">
      <c r="A840" s="497">
        <v>45514.0</v>
      </c>
      <c r="B840" s="349" t="s">
        <v>698</v>
      </c>
      <c r="C840" s="349" t="s">
        <v>1167</v>
      </c>
      <c r="D840" s="349" t="s">
        <v>54</v>
      </c>
      <c r="E840" s="349" t="s">
        <v>1168</v>
      </c>
      <c r="F840" s="413">
        <v>14554.22</v>
      </c>
      <c r="G840" s="403"/>
      <c r="H840" s="520" t="s">
        <v>1427</v>
      </c>
      <c r="I840" s="404" t="str">
        <f t="shared" si="9"/>
        <v>NOT PAID</v>
      </c>
      <c r="J840" s="402"/>
      <c r="K840" s="402"/>
      <c r="L840" s="402"/>
      <c r="M840" s="402"/>
      <c r="N840" s="402"/>
      <c r="O840" s="402"/>
      <c r="P840" s="402"/>
      <c r="Q840" s="402"/>
      <c r="R840" s="402"/>
      <c r="S840" s="402"/>
      <c r="T840" s="402"/>
      <c r="U840" s="402"/>
      <c r="V840" s="402"/>
      <c r="W840" s="402"/>
      <c r="X840" s="402"/>
      <c r="Y840" s="402"/>
      <c r="Z840" s="402"/>
      <c r="AA840" s="405"/>
      <c r="AB840" s="405"/>
    </row>
    <row r="841" ht="14.25" customHeight="1">
      <c r="A841" s="497">
        <v>45514.0</v>
      </c>
      <c r="B841" s="349" t="s">
        <v>997</v>
      </c>
      <c r="C841" s="349" t="s">
        <v>998</v>
      </c>
      <c r="D841" s="349" t="s">
        <v>263</v>
      </c>
      <c r="E841" s="349" t="s">
        <v>1168</v>
      </c>
      <c r="F841" s="413">
        <v>81947.25</v>
      </c>
      <c r="G841" s="403"/>
      <c r="H841" s="520" t="s">
        <v>1428</v>
      </c>
      <c r="I841" s="404" t="str">
        <f t="shared" si="9"/>
        <v>NOT PAID</v>
      </c>
      <c r="J841" s="402"/>
      <c r="K841" s="402"/>
      <c r="L841" s="402"/>
      <c r="M841" s="402"/>
      <c r="N841" s="402"/>
      <c r="O841" s="402"/>
      <c r="P841" s="402"/>
      <c r="Q841" s="402"/>
      <c r="R841" s="402"/>
      <c r="S841" s="402"/>
      <c r="T841" s="402"/>
      <c r="U841" s="402"/>
      <c r="V841" s="402"/>
      <c r="W841" s="402"/>
      <c r="X841" s="402"/>
      <c r="Y841" s="402"/>
      <c r="Z841" s="402"/>
      <c r="AA841" s="405"/>
      <c r="AB841" s="405"/>
    </row>
    <row r="842" ht="14.25" customHeight="1">
      <c r="A842" s="497">
        <v>45514.0</v>
      </c>
      <c r="B842" s="343" t="s">
        <v>1223</v>
      </c>
      <c r="C842" s="344" t="s">
        <v>998</v>
      </c>
      <c r="D842" s="344" t="s">
        <v>346</v>
      </c>
      <c r="E842" s="349" t="s">
        <v>1168</v>
      </c>
      <c r="F842" s="452">
        <v>28350.0</v>
      </c>
      <c r="G842" s="403"/>
      <c r="H842" s="520" t="s">
        <v>1428</v>
      </c>
      <c r="I842" s="404" t="str">
        <f t="shared" si="9"/>
        <v>NOT PAID</v>
      </c>
      <c r="J842" s="402"/>
      <c r="K842" s="402"/>
      <c r="L842" s="402"/>
      <c r="M842" s="402"/>
      <c r="N842" s="402"/>
      <c r="O842" s="402"/>
      <c r="P842" s="402"/>
      <c r="Q842" s="402"/>
      <c r="R842" s="402"/>
      <c r="S842" s="402"/>
      <c r="T842" s="402"/>
      <c r="U842" s="402"/>
      <c r="V842" s="402"/>
      <c r="W842" s="402"/>
      <c r="X842" s="402"/>
      <c r="Y842" s="402"/>
      <c r="Z842" s="402"/>
      <c r="AA842" s="405"/>
      <c r="AB842" s="405"/>
    </row>
    <row r="843" ht="14.25" customHeight="1">
      <c r="A843" s="497">
        <v>45514.0</v>
      </c>
      <c r="B843" s="343" t="s">
        <v>1429</v>
      </c>
      <c r="C843" s="344" t="s">
        <v>1430</v>
      </c>
      <c r="D843" s="344" t="s">
        <v>54</v>
      </c>
      <c r="E843" s="349" t="s">
        <v>1168</v>
      </c>
      <c r="F843" s="442">
        <v>33994.0</v>
      </c>
      <c r="G843" s="403"/>
      <c r="H843" s="349" t="s">
        <v>1414</v>
      </c>
      <c r="I843" s="404" t="str">
        <f t="shared" si="9"/>
        <v>NOT PAID</v>
      </c>
      <c r="J843" s="402"/>
      <c r="K843" s="402"/>
      <c r="L843" s="402"/>
      <c r="M843" s="402"/>
      <c r="N843" s="402"/>
      <c r="O843" s="402"/>
      <c r="P843" s="402"/>
      <c r="Q843" s="402"/>
      <c r="R843" s="402"/>
      <c r="S843" s="402"/>
      <c r="T843" s="402"/>
      <c r="U843" s="402"/>
      <c r="V843" s="402"/>
      <c r="W843" s="402"/>
      <c r="X843" s="402"/>
      <c r="Y843" s="402"/>
      <c r="Z843" s="402"/>
      <c r="AA843" s="405"/>
      <c r="AB843" s="405"/>
    </row>
    <row r="844" ht="14.25" customHeight="1">
      <c r="A844" s="497">
        <v>45514.0</v>
      </c>
      <c r="B844" s="343" t="s">
        <v>1431</v>
      </c>
      <c r="C844" s="344" t="s">
        <v>1432</v>
      </c>
      <c r="D844" s="344" t="s">
        <v>54</v>
      </c>
      <c r="E844" s="344" t="s">
        <v>1143</v>
      </c>
      <c r="F844" s="442">
        <v>216487.0</v>
      </c>
      <c r="G844" s="413">
        <v>216489.0</v>
      </c>
      <c r="H844" s="349" t="s">
        <v>1320</v>
      </c>
      <c r="I844" s="404" t="str">
        <f t="shared" si="9"/>
        <v>FULLY PAID</v>
      </c>
      <c r="J844" s="402"/>
      <c r="K844" s="402"/>
      <c r="L844" s="402"/>
      <c r="M844" s="402"/>
      <c r="N844" s="402"/>
      <c r="O844" s="402"/>
      <c r="P844" s="402"/>
      <c r="Q844" s="402"/>
      <c r="R844" s="402"/>
      <c r="S844" s="402"/>
      <c r="T844" s="402"/>
      <c r="U844" s="402"/>
      <c r="V844" s="402"/>
      <c r="W844" s="402"/>
      <c r="X844" s="402"/>
      <c r="Y844" s="402"/>
      <c r="Z844" s="402"/>
      <c r="AA844" s="405"/>
      <c r="AB844" s="405"/>
    </row>
    <row r="845" ht="14.25" customHeight="1">
      <c r="A845" s="497">
        <v>45514.0</v>
      </c>
      <c r="B845" s="343" t="s">
        <v>788</v>
      </c>
      <c r="C845" s="344" t="s">
        <v>789</v>
      </c>
      <c r="D845" s="344" t="s">
        <v>54</v>
      </c>
      <c r="E845" s="344" t="s">
        <v>1143</v>
      </c>
      <c r="F845" s="430">
        <v>89593.8</v>
      </c>
      <c r="G845" s="413">
        <v>0.0</v>
      </c>
      <c r="H845" s="349" t="s">
        <v>1433</v>
      </c>
      <c r="I845" s="404" t="str">
        <f t="shared" si="9"/>
        <v>NOT PAID</v>
      </c>
      <c r="J845" s="402"/>
      <c r="K845" s="402"/>
      <c r="L845" s="402"/>
      <c r="M845" s="402"/>
      <c r="N845" s="402"/>
      <c r="O845" s="402"/>
      <c r="P845" s="402"/>
      <c r="Q845" s="402"/>
      <c r="R845" s="402"/>
      <c r="S845" s="402"/>
      <c r="T845" s="402"/>
      <c r="U845" s="402"/>
      <c r="V845" s="402"/>
      <c r="W845" s="402"/>
      <c r="X845" s="402"/>
      <c r="Y845" s="402"/>
      <c r="Z845" s="402"/>
      <c r="AA845" s="405"/>
      <c r="AB845" s="405"/>
    </row>
    <row r="846" ht="14.25" customHeight="1">
      <c r="A846" s="497">
        <v>45514.0</v>
      </c>
      <c r="B846" s="343" t="s">
        <v>1012</v>
      </c>
      <c r="C846" s="344" t="s">
        <v>1013</v>
      </c>
      <c r="D846" s="344" t="s">
        <v>75</v>
      </c>
      <c r="E846" s="344" t="s">
        <v>1143</v>
      </c>
      <c r="F846" s="442">
        <v>241725.0</v>
      </c>
      <c r="G846" s="413">
        <v>20000.0</v>
      </c>
      <c r="H846" s="349" t="s">
        <v>1434</v>
      </c>
      <c r="I846" s="404" t="str">
        <f t="shared" si="9"/>
        <v>PARTIALLY PAID</v>
      </c>
      <c r="J846" s="402"/>
      <c r="K846" s="402"/>
      <c r="L846" s="402"/>
      <c r="M846" s="402"/>
      <c r="N846" s="402"/>
      <c r="O846" s="402"/>
      <c r="P846" s="402"/>
      <c r="Q846" s="402"/>
      <c r="R846" s="402"/>
      <c r="S846" s="402"/>
      <c r="T846" s="402"/>
      <c r="U846" s="402"/>
      <c r="V846" s="402"/>
      <c r="W846" s="402"/>
      <c r="X846" s="402"/>
      <c r="Y846" s="402"/>
      <c r="Z846" s="402"/>
      <c r="AA846" s="405"/>
      <c r="AB846" s="405"/>
    </row>
    <row r="847" ht="14.25" customHeight="1">
      <c r="A847" s="497">
        <v>45514.0</v>
      </c>
      <c r="B847" s="349" t="s">
        <v>1176</v>
      </c>
      <c r="C847" s="349" t="s">
        <v>1366</v>
      </c>
      <c r="D847" s="349" t="s">
        <v>258</v>
      </c>
      <c r="E847" s="349" t="s">
        <v>1173</v>
      </c>
      <c r="F847" s="413">
        <v>1500000.0</v>
      </c>
      <c r="G847" s="403"/>
      <c r="H847" s="349" t="s">
        <v>1435</v>
      </c>
      <c r="I847" s="404" t="str">
        <f t="shared" si="9"/>
        <v>NOT PAID</v>
      </c>
      <c r="J847" s="402"/>
      <c r="K847" s="402"/>
      <c r="L847" s="402"/>
      <c r="M847" s="402"/>
      <c r="N847" s="402"/>
      <c r="O847" s="402"/>
      <c r="P847" s="402"/>
      <c r="Q847" s="402"/>
      <c r="R847" s="402"/>
      <c r="S847" s="402"/>
      <c r="T847" s="402"/>
      <c r="U847" s="402"/>
      <c r="V847" s="402"/>
      <c r="W847" s="402"/>
      <c r="X847" s="402"/>
      <c r="Y847" s="402"/>
      <c r="Z847" s="402"/>
      <c r="AA847" s="405"/>
      <c r="AB847" s="405"/>
    </row>
    <row r="848" ht="14.25" customHeight="1">
      <c r="A848" s="402"/>
      <c r="B848" s="402"/>
      <c r="C848" s="402"/>
      <c r="D848" s="402"/>
      <c r="E848" s="402"/>
      <c r="F848" s="403"/>
      <c r="G848" s="403"/>
      <c r="H848" s="402"/>
      <c r="I848" s="404" t="str">
        <f t="shared" si="9"/>
        <v>FULLY PAID</v>
      </c>
      <c r="J848" s="402"/>
      <c r="K848" s="402"/>
      <c r="L848" s="402"/>
      <c r="M848" s="402"/>
      <c r="N848" s="402"/>
      <c r="O848" s="402"/>
      <c r="P848" s="402"/>
      <c r="Q848" s="402"/>
      <c r="R848" s="402"/>
      <c r="S848" s="402"/>
      <c r="T848" s="402"/>
      <c r="U848" s="402"/>
      <c r="V848" s="402"/>
      <c r="W848" s="402"/>
      <c r="X848" s="402"/>
      <c r="Y848" s="402"/>
      <c r="Z848" s="402"/>
      <c r="AA848" s="405"/>
      <c r="AB848" s="405"/>
    </row>
    <row r="849" ht="14.25" customHeight="1">
      <c r="A849" s="402"/>
      <c r="B849" s="402"/>
      <c r="C849" s="402"/>
      <c r="D849" s="402"/>
      <c r="E849" s="402"/>
      <c r="F849" s="403"/>
      <c r="G849" s="403"/>
      <c r="H849" s="402"/>
      <c r="I849" s="404" t="str">
        <f t="shared" si="9"/>
        <v>FULLY PAID</v>
      </c>
      <c r="J849" s="402"/>
      <c r="K849" s="402"/>
      <c r="L849" s="402"/>
      <c r="M849" s="402"/>
      <c r="N849" s="402"/>
      <c r="O849" s="402"/>
      <c r="P849" s="402"/>
      <c r="Q849" s="402"/>
      <c r="R849" s="402"/>
      <c r="S849" s="402"/>
      <c r="T849" s="402"/>
      <c r="U849" s="402"/>
      <c r="V849" s="402"/>
      <c r="W849" s="402"/>
      <c r="X849" s="402"/>
      <c r="Y849" s="402"/>
      <c r="Z849" s="402"/>
      <c r="AA849" s="405"/>
      <c r="AB849" s="405"/>
    </row>
    <row r="850" ht="14.25" customHeight="1">
      <c r="A850" s="402"/>
      <c r="B850" s="402"/>
      <c r="C850" s="424" t="s">
        <v>797</v>
      </c>
      <c r="D850" s="402"/>
      <c r="E850" s="402"/>
      <c r="F850" s="403"/>
      <c r="G850" s="403"/>
      <c r="H850" s="402"/>
      <c r="I850" s="404" t="str">
        <f t="shared" si="9"/>
        <v>FULLY PAID</v>
      </c>
      <c r="J850" s="402"/>
      <c r="K850" s="402"/>
      <c r="L850" s="402"/>
      <c r="M850" s="402"/>
      <c r="N850" s="402"/>
      <c r="O850" s="402"/>
      <c r="P850" s="402"/>
      <c r="Q850" s="402"/>
      <c r="R850" s="402"/>
      <c r="S850" s="402"/>
      <c r="T850" s="402"/>
      <c r="U850" s="402"/>
      <c r="V850" s="402"/>
      <c r="W850" s="402"/>
      <c r="X850" s="402"/>
      <c r="Y850" s="402"/>
      <c r="Z850" s="402"/>
      <c r="AA850" s="405"/>
      <c r="AB850" s="405"/>
    </row>
    <row r="851" ht="14.25" customHeight="1">
      <c r="A851" s="497">
        <v>45514.0</v>
      </c>
      <c r="B851" s="349" t="s">
        <v>886</v>
      </c>
      <c r="C851" s="349" t="s">
        <v>1095</v>
      </c>
      <c r="D851" s="349" t="s">
        <v>54</v>
      </c>
      <c r="E851" s="349" t="s">
        <v>1255</v>
      </c>
      <c r="F851" s="413">
        <v>100000.0</v>
      </c>
      <c r="G851" s="403"/>
      <c r="H851" s="349" t="s">
        <v>1391</v>
      </c>
      <c r="I851" s="404" t="str">
        <f t="shared" si="9"/>
        <v>NOT PAID</v>
      </c>
      <c r="J851" s="402"/>
      <c r="K851" s="402"/>
      <c r="L851" s="402"/>
      <c r="M851" s="402"/>
      <c r="N851" s="402"/>
      <c r="O851" s="402"/>
      <c r="P851" s="402"/>
      <c r="Q851" s="402"/>
      <c r="R851" s="402"/>
      <c r="S851" s="402"/>
      <c r="T851" s="402"/>
      <c r="U851" s="402"/>
      <c r="V851" s="402"/>
      <c r="W851" s="402"/>
      <c r="X851" s="402"/>
      <c r="Y851" s="402"/>
      <c r="Z851" s="402"/>
      <c r="AA851" s="405"/>
      <c r="AB851" s="405"/>
    </row>
    <row r="852" ht="14.25" customHeight="1">
      <c r="A852" s="497">
        <v>45514.0</v>
      </c>
      <c r="B852" s="349" t="s">
        <v>1087</v>
      </c>
      <c r="C852" s="349" t="s">
        <v>1088</v>
      </c>
      <c r="D852" s="349" t="s">
        <v>54</v>
      </c>
      <c r="E852" s="349" t="s">
        <v>1255</v>
      </c>
      <c r="F852" s="413">
        <v>84673.5</v>
      </c>
      <c r="G852" s="403"/>
      <c r="H852" s="349" t="s">
        <v>1436</v>
      </c>
      <c r="I852" s="404" t="str">
        <f t="shared" si="9"/>
        <v>NOT PAID</v>
      </c>
      <c r="J852" s="402"/>
      <c r="K852" s="402"/>
      <c r="L852" s="402"/>
      <c r="M852" s="402"/>
      <c r="N852" s="402"/>
      <c r="O852" s="402"/>
      <c r="P852" s="402"/>
      <c r="Q852" s="402"/>
      <c r="R852" s="402"/>
      <c r="S852" s="402"/>
      <c r="T852" s="402"/>
      <c r="U852" s="402"/>
      <c r="V852" s="402"/>
      <c r="W852" s="402"/>
      <c r="X852" s="402"/>
      <c r="Y852" s="402"/>
      <c r="Z852" s="402"/>
      <c r="AA852" s="405"/>
      <c r="AB852" s="405"/>
    </row>
    <row r="853" ht="14.25" customHeight="1">
      <c r="A853" s="497">
        <v>45514.0</v>
      </c>
      <c r="B853" s="349" t="s">
        <v>1181</v>
      </c>
      <c r="C853" s="349" t="s">
        <v>1182</v>
      </c>
      <c r="D853" s="349" t="s">
        <v>54</v>
      </c>
      <c r="E853" s="349" t="s">
        <v>1255</v>
      </c>
      <c r="F853" s="413">
        <v>200000.0</v>
      </c>
      <c r="G853" s="403"/>
      <c r="H853" s="349" t="s">
        <v>1393</v>
      </c>
      <c r="I853" s="404" t="str">
        <f t="shared" si="9"/>
        <v>NOT PAID</v>
      </c>
      <c r="J853" s="402"/>
      <c r="K853" s="402"/>
      <c r="L853" s="402"/>
      <c r="M853" s="402"/>
      <c r="N853" s="402"/>
      <c r="O853" s="402"/>
      <c r="P853" s="402"/>
      <c r="Q853" s="402"/>
      <c r="R853" s="402"/>
      <c r="S853" s="402"/>
      <c r="T853" s="402"/>
      <c r="U853" s="402"/>
      <c r="V853" s="402"/>
      <c r="W853" s="402"/>
      <c r="X853" s="402"/>
      <c r="Y853" s="402"/>
      <c r="Z853" s="402"/>
      <c r="AA853" s="405"/>
      <c r="AB853" s="405"/>
    </row>
    <row r="854" ht="14.25" customHeight="1">
      <c r="A854" s="497"/>
      <c r="B854" s="349"/>
      <c r="C854" s="349"/>
      <c r="D854" s="349"/>
      <c r="E854" s="349"/>
      <c r="F854" s="413"/>
      <c r="G854" s="403"/>
      <c r="H854" s="402"/>
      <c r="I854" s="404" t="str">
        <f t="shared" si="9"/>
        <v>FULLY PAID</v>
      </c>
      <c r="J854" s="402"/>
      <c r="K854" s="402"/>
      <c r="L854" s="402"/>
      <c r="M854" s="402"/>
      <c r="N854" s="402"/>
      <c r="O854" s="402"/>
      <c r="P854" s="402"/>
      <c r="Q854" s="402"/>
      <c r="R854" s="402"/>
      <c r="S854" s="402"/>
      <c r="T854" s="402"/>
      <c r="U854" s="402"/>
      <c r="V854" s="402"/>
      <c r="W854" s="402"/>
      <c r="X854" s="402"/>
      <c r="Y854" s="402"/>
      <c r="Z854" s="402"/>
      <c r="AA854" s="405"/>
      <c r="AB854" s="405"/>
    </row>
    <row r="855" ht="14.25" customHeight="1">
      <c r="A855" s="497"/>
      <c r="B855" s="349"/>
      <c r="C855" s="349"/>
      <c r="D855" s="349"/>
      <c r="E855" s="349"/>
      <c r="F855" s="413"/>
      <c r="G855" s="403"/>
      <c r="H855" s="402"/>
      <c r="I855" s="404" t="str">
        <f t="shared" si="9"/>
        <v>FULLY PAID</v>
      </c>
      <c r="J855" s="402"/>
      <c r="K855" s="402"/>
      <c r="L855" s="402"/>
      <c r="M855" s="402"/>
      <c r="N855" s="402"/>
      <c r="O855" s="402"/>
      <c r="P855" s="402"/>
      <c r="Q855" s="402"/>
      <c r="R855" s="402"/>
      <c r="S855" s="402"/>
      <c r="T855" s="402"/>
      <c r="U855" s="402"/>
      <c r="V855" s="402"/>
      <c r="W855" s="402"/>
      <c r="X855" s="402"/>
      <c r="Y855" s="402"/>
      <c r="Z855" s="402"/>
      <c r="AA855" s="405"/>
      <c r="AB855" s="405"/>
    </row>
    <row r="856" ht="14.25" customHeight="1">
      <c r="A856" s="497"/>
      <c r="B856" s="349"/>
      <c r="C856" s="349"/>
      <c r="D856" s="349"/>
      <c r="E856" s="349"/>
      <c r="F856" s="413"/>
      <c r="G856" s="403"/>
      <c r="H856" s="402"/>
      <c r="I856" s="404" t="str">
        <f t="shared" si="9"/>
        <v>FULLY PAID</v>
      </c>
      <c r="J856" s="402"/>
      <c r="K856" s="402"/>
      <c r="L856" s="402"/>
      <c r="M856" s="402"/>
      <c r="N856" s="402"/>
      <c r="O856" s="402"/>
      <c r="P856" s="402"/>
      <c r="Q856" s="402"/>
      <c r="R856" s="402"/>
      <c r="S856" s="402"/>
      <c r="T856" s="402"/>
      <c r="U856" s="402"/>
      <c r="V856" s="402"/>
      <c r="W856" s="402"/>
      <c r="X856" s="402"/>
      <c r="Y856" s="402"/>
      <c r="Z856" s="402"/>
      <c r="AA856" s="405"/>
      <c r="AB856" s="405"/>
    </row>
    <row r="857" ht="14.25" customHeight="1">
      <c r="A857" s="402"/>
      <c r="B857" s="402"/>
      <c r="C857" s="402"/>
      <c r="D857" s="402"/>
      <c r="E857" s="402"/>
      <c r="F857" s="403"/>
      <c r="G857" s="403"/>
      <c r="H857" s="402"/>
      <c r="I857" s="404" t="str">
        <f t="shared" si="9"/>
        <v>FULLY PAID</v>
      </c>
      <c r="J857" s="402"/>
      <c r="K857" s="402"/>
      <c r="L857" s="402"/>
      <c r="M857" s="402"/>
      <c r="N857" s="402"/>
      <c r="O857" s="402"/>
      <c r="P857" s="402"/>
      <c r="Q857" s="402"/>
      <c r="R857" s="402"/>
      <c r="S857" s="402"/>
      <c r="T857" s="402"/>
      <c r="U857" s="402"/>
      <c r="V857" s="402"/>
      <c r="W857" s="402"/>
      <c r="X857" s="402"/>
      <c r="Y857" s="402"/>
      <c r="Z857" s="402"/>
      <c r="AA857" s="405"/>
      <c r="AB857" s="405"/>
    </row>
    <row r="858" ht="14.25" customHeight="1">
      <c r="A858" s="402"/>
      <c r="B858" s="402"/>
      <c r="C858" s="402"/>
      <c r="D858" s="402"/>
      <c r="E858" s="402"/>
      <c r="F858" s="403"/>
      <c r="G858" s="403"/>
      <c r="H858" s="402"/>
      <c r="I858" s="404" t="str">
        <f t="shared" si="9"/>
        <v>FULLY PAID</v>
      </c>
      <c r="J858" s="402"/>
      <c r="K858" s="402"/>
      <c r="L858" s="402"/>
      <c r="M858" s="402"/>
      <c r="N858" s="402"/>
      <c r="O858" s="402"/>
      <c r="P858" s="402"/>
      <c r="Q858" s="402"/>
      <c r="R858" s="402"/>
      <c r="S858" s="402"/>
      <c r="T858" s="402"/>
      <c r="U858" s="402"/>
      <c r="V858" s="402"/>
      <c r="W858" s="402"/>
      <c r="X858" s="402"/>
      <c r="Y858" s="402"/>
      <c r="Z858" s="402"/>
      <c r="AA858" s="405"/>
      <c r="AB858" s="405"/>
    </row>
    <row r="859" ht="14.25" customHeight="1">
      <c r="A859" s="402"/>
      <c r="B859" s="503">
        <v>45634.0</v>
      </c>
      <c r="C859" s="402"/>
      <c r="D859" s="402"/>
      <c r="E859" s="402"/>
      <c r="F859" s="403"/>
      <c r="G859" s="403"/>
      <c r="H859" s="402"/>
      <c r="I859" s="404" t="str">
        <f t="shared" si="9"/>
        <v>FULLY PAID</v>
      </c>
      <c r="J859" s="402"/>
      <c r="K859" s="402"/>
      <c r="L859" s="402"/>
      <c r="M859" s="402"/>
      <c r="N859" s="402"/>
      <c r="O859" s="402"/>
      <c r="P859" s="402"/>
      <c r="Q859" s="402"/>
      <c r="R859" s="402"/>
      <c r="S859" s="402"/>
      <c r="T859" s="402"/>
      <c r="U859" s="402"/>
      <c r="V859" s="402"/>
      <c r="W859" s="402"/>
      <c r="X859" s="402"/>
      <c r="Y859" s="402"/>
      <c r="Z859" s="402"/>
      <c r="AA859" s="405"/>
      <c r="AB859" s="405"/>
    </row>
    <row r="860" ht="14.25" customHeight="1">
      <c r="A860" s="497">
        <v>45516.0</v>
      </c>
      <c r="B860" s="349" t="s">
        <v>1117</v>
      </c>
      <c r="C860" s="349" t="s">
        <v>1332</v>
      </c>
      <c r="D860" s="349" t="s">
        <v>1115</v>
      </c>
      <c r="E860" s="349" t="s">
        <v>1098</v>
      </c>
      <c r="F860" s="413">
        <v>170000.0</v>
      </c>
      <c r="G860" s="403"/>
      <c r="H860" s="349" t="s">
        <v>1437</v>
      </c>
      <c r="I860" s="404" t="str">
        <f t="shared" si="9"/>
        <v>NOT PAID</v>
      </c>
      <c r="J860" s="402"/>
      <c r="K860" s="402"/>
      <c r="L860" s="402"/>
      <c r="M860" s="402"/>
      <c r="N860" s="402"/>
      <c r="O860" s="402"/>
      <c r="P860" s="402"/>
      <c r="Q860" s="402"/>
      <c r="R860" s="402"/>
      <c r="S860" s="402"/>
      <c r="T860" s="402"/>
      <c r="U860" s="402"/>
      <c r="V860" s="402"/>
      <c r="W860" s="402"/>
      <c r="X860" s="402"/>
      <c r="Y860" s="402"/>
      <c r="Z860" s="402"/>
      <c r="AA860" s="405"/>
      <c r="AB860" s="405"/>
    </row>
    <row r="861" ht="14.25" customHeight="1">
      <c r="A861" s="497">
        <v>45516.0</v>
      </c>
      <c r="B861" s="484" t="s">
        <v>1113</v>
      </c>
      <c r="C861" s="349" t="s">
        <v>1332</v>
      </c>
      <c r="D861" s="349" t="s">
        <v>1115</v>
      </c>
      <c r="E861" s="349" t="s">
        <v>1098</v>
      </c>
      <c r="F861" s="413">
        <v>170000.0</v>
      </c>
      <c r="G861" s="403"/>
      <c r="H861" s="349" t="s">
        <v>1438</v>
      </c>
      <c r="I861" s="404" t="str">
        <f t="shared" si="9"/>
        <v>NOT PAID</v>
      </c>
      <c r="J861" s="402"/>
      <c r="K861" s="402"/>
      <c r="L861" s="402"/>
      <c r="M861" s="402"/>
      <c r="N861" s="402"/>
      <c r="O861" s="402"/>
      <c r="P861" s="402"/>
      <c r="Q861" s="402"/>
      <c r="R861" s="402"/>
      <c r="S861" s="402"/>
      <c r="T861" s="402"/>
      <c r="U861" s="402"/>
      <c r="V861" s="402"/>
      <c r="W861" s="402"/>
      <c r="X861" s="402"/>
      <c r="Y861" s="402"/>
      <c r="Z861" s="402"/>
      <c r="AA861" s="405"/>
      <c r="AB861" s="405"/>
    </row>
    <row r="862" ht="14.25" customHeight="1">
      <c r="A862" s="497">
        <v>45516.0</v>
      </c>
      <c r="B862" s="349" t="s">
        <v>777</v>
      </c>
      <c r="C862" s="349" t="s">
        <v>778</v>
      </c>
      <c r="D862" s="349" t="s">
        <v>54</v>
      </c>
      <c r="E862" s="349" t="s">
        <v>1098</v>
      </c>
      <c r="F862" s="413">
        <v>224325.0</v>
      </c>
      <c r="G862" s="403"/>
      <c r="H862" s="487" t="s">
        <v>1439</v>
      </c>
      <c r="I862" s="404" t="str">
        <f t="shared" si="9"/>
        <v>NOT PAID</v>
      </c>
      <c r="J862" s="402"/>
      <c r="K862" s="402"/>
      <c r="L862" s="402"/>
      <c r="M862" s="402"/>
      <c r="N862" s="402"/>
      <c r="O862" s="402"/>
      <c r="P862" s="402"/>
      <c r="Q862" s="402"/>
      <c r="R862" s="402"/>
      <c r="S862" s="402"/>
      <c r="T862" s="402"/>
      <c r="U862" s="402"/>
      <c r="V862" s="402"/>
      <c r="W862" s="402"/>
      <c r="X862" s="402"/>
      <c r="Y862" s="402"/>
      <c r="Z862" s="402"/>
      <c r="AA862" s="405"/>
      <c r="AB862" s="405"/>
    </row>
    <row r="863" ht="14.25" customHeight="1">
      <c r="A863" s="497">
        <v>45516.0</v>
      </c>
      <c r="B863" s="349" t="s">
        <v>807</v>
      </c>
      <c r="C863" s="349" t="s">
        <v>808</v>
      </c>
      <c r="D863" s="349" t="s">
        <v>54</v>
      </c>
      <c r="E863" s="349" t="s">
        <v>1098</v>
      </c>
      <c r="F863" s="413">
        <v>1674.75</v>
      </c>
      <c r="G863" s="403"/>
      <c r="H863" s="349" t="s">
        <v>1414</v>
      </c>
      <c r="I863" s="404" t="str">
        <f t="shared" si="9"/>
        <v>NOT PAID</v>
      </c>
      <c r="J863" s="402"/>
      <c r="K863" s="402"/>
      <c r="L863" s="402"/>
      <c r="M863" s="402"/>
      <c r="N863" s="402"/>
      <c r="O863" s="402"/>
      <c r="P863" s="402"/>
      <c r="Q863" s="402"/>
      <c r="R863" s="402"/>
      <c r="S863" s="402"/>
      <c r="T863" s="402"/>
      <c r="U863" s="402"/>
      <c r="V863" s="402"/>
      <c r="W863" s="402"/>
      <c r="X863" s="402"/>
      <c r="Y863" s="402"/>
      <c r="Z863" s="402"/>
      <c r="AA863" s="405"/>
      <c r="AB863" s="405"/>
    </row>
    <row r="864" ht="14.25" customHeight="1">
      <c r="A864" s="497">
        <v>45516.0</v>
      </c>
      <c r="B864" s="349" t="s">
        <v>705</v>
      </c>
      <c r="C864" s="349" t="s">
        <v>1110</v>
      </c>
      <c r="D864" s="349" t="s">
        <v>54</v>
      </c>
      <c r="E864" s="349" t="s">
        <v>1098</v>
      </c>
      <c r="F864" s="413">
        <v>6709.6</v>
      </c>
      <c r="G864" s="403"/>
      <c r="H864" s="349" t="s">
        <v>1440</v>
      </c>
      <c r="I864" s="404" t="str">
        <f t="shared" si="9"/>
        <v>NOT PAID</v>
      </c>
      <c r="J864" s="402"/>
      <c r="K864" s="402"/>
      <c r="L864" s="402"/>
      <c r="M864" s="402"/>
      <c r="N864" s="402"/>
      <c r="O864" s="402"/>
      <c r="P864" s="402"/>
      <c r="Q864" s="402"/>
      <c r="R864" s="402"/>
      <c r="S864" s="402"/>
      <c r="T864" s="402"/>
      <c r="U864" s="402"/>
      <c r="V864" s="402"/>
      <c r="W864" s="402"/>
      <c r="X864" s="402"/>
      <c r="Y864" s="402"/>
      <c r="Z864" s="402"/>
      <c r="AA864" s="405"/>
      <c r="AB864" s="405"/>
    </row>
    <row r="865" ht="14.25" customHeight="1">
      <c r="A865" s="497">
        <v>45516.0</v>
      </c>
      <c r="B865" s="349" t="s">
        <v>711</v>
      </c>
      <c r="C865" s="349" t="s">
        <v>1123</v>
      </c>
      <c r="D865" s="349" t="s">
        <v>75</v>
      </c>
      <c r="E865" s="349" t="s">
        <v>1098</v>
      </c>
      <c r="F865" s="413">
        <v>26556.61</v>
      </c>
      <c r="G865" s="403"/>
      <c r="H865" s="349" t="s">
        <v>1416</v>
      </c>
      <c r="I865" s="404" t="str">
        <f t="shared" si="9"/>
        <v>NOT PAID</v>
      </c>
      <c r="J865" s="402"/>
      <c r="K865" s="402"/>
      <c r="L865" s="402"/>
      <c r="M865" s="402"/>
      <c r="N865" s="402"/>
      <c r="O865" s="402"/>
      <c r="P865" s="402"/>
      <c r="Q865" s="402"/>
      <c r="R865" s="402"/>
      <c r="S865" s="402"/>
      <c r="T865" s="402"/>
      <c r="U865" s="402"/>
      <c r="V865" s="402"/>
      <c r="W865" s="402"/>
      <c r="X865" s="402"/>
      <c r="Y865" s="402"/>
      <c r="Z865" s="402"/>
      <c r="AA865" s="405"/>
      <c r="AB865" s="405"/>
    </row>
    <row r="866" ht="14.25" customHeight="1">
      <c r="A866" s="497">
        <v>45516.0</v>
      </c>
      <c r="B866" s="349" t="s">
        <v>701</v>
      </c>
      <c r="C866" s="349" t="s">
        <v>702</v>
      </c>
      <c r="D866" s="349" t="s">
        <v>54</v>
      </c>
      <c r="E866" s="349" t="s">
        <v>1098</v>
      </c>
      <c r="F866" s="413">
        <v>17124.66</v>
      </c>
      <c r="G866" s="413">
        <v>10000.0</v>
      </c>
      <c r="H866" s="349" t="s">
        <v>905</v>
      </c>
      <c r="I866" s="404" t="str">
        <f t="shared" si="9"/>
        <v>PARTIALLY PAID</v>
      </c>
      <c r="J866" s="402"/>
      <c r="K866" s="402"/>
      <c r="L866" s="402"/>
      <c r="M866" s="402"/>
      <c r="N866" s="402"/>
      <c r="O866" s="402"/>
      <c r="P866" s="402"/>
      <c r="Q866" s="402"/>
      <c r="R866" s="402"/>
      <c r="S866" s="402"/>
      <c r="T866" s="402"/>
      <c r="U866" s="402"/>
      <c r="V866" s="402"/>
      <c r="W866" s="402"/>
      <c r="X866" s="402"/>
      <c r="Y866" s="402"/>
      <c r="Z866" s="402"/>
      <c r="AA866" s="405"/>
      <c r="AB866" s="405"/>
    </row>
    <row r="867" ht="14.25" customHeight="1">
      <c r="A867" s="497">
        <v>45516.0</v>
      </c>
      <c r="B867" s="505" t="s">
        <v>1120</v>
      </c>
      <c r="C867" s="506" t="s">
        <v>1121</v>
      </c>
      <c r="D867" s="507" t="s">
        <v>346</v>
      </c>
      <c r="E867" s="349" t="s">
        <v>1098</v>
      </c>
      <c r="F867" s="508">
        <v>63864.94</v>
      </c>
      <c r="G867" s="403"/>
      <c r="H867" s="349" t="s">
        <v>1441</v>
      </c>
      <c r="I867" s="404" t="str">
        <f t="shared" si="9"/>
        <v>NOT PAID</v>
      </c>
      <c r="J867" s="402"/>
      <c r="K867" s="402"/>
      <c r="L867" s="402"/>
      <c r="M867" s="402"/>
      <c r="N867" s="402"/>
      <c r="O867" s="402"/>
      <c r="P867" s="402"/>
      <c r="Q867" s="402"/>
      <c r="R867" s="402"/>
      <c r="S867" s="402"/>
      <c r="T867" s="402"/>
      <c r="U867" s="402"/>
      <c r="V867" s="402"/>
      <c r="W867" s="402"/>
      <c r="X867" s="402"/>
      <c r="Y867" s="402"/>
      <c r="Z867" s="402"/>
      <c r="AA867" s="405"/>
      <c r="AB867" s="405"/>
    </row>
    <row r="868" ht="14.25" customHeight="1">
      <c r="A868" s="497">
        <v>45516.0</v>
      </c>
      <c r="B868" s="492" t="s">
        <v>729</v>
      </c>
      <c r="C868" s="493" t="s">
        <v>995</v>
      </c>
      <c r="D868" s="493" t="s">
        <v>54</v>
      </c>
      <c r="E868" s="349" t="s">
        <v>1098</v>
      </c>
      <c r="F868" s="494">
        <v>357832.09</v>
      </c>
      <c r="G868" s="403"/>
      <c r="H868" s="349" t="s">
        <v>1005</v>
      </c>
      <c r="I868" s="404" t="str">
        <f t="shared" si="9"/>
        <v>NOT PAID</v>
      </c>
      <c r="J868" s="402"/>
      <c r="K868" s="402"/>
      <c r="L868" s="402"/>
      <c r="M868" s="402"/>
      <c r="N868" s="402"/>
      <c r="O868" s="402"/>
      <c r="P868" s="402"/>
      <c r="Q868" s="402"/>
      <c r="R868" s="402"/>
      <c r="S868" s="402"/>
      <c r="T868" s="402"/>
      <c r="U868" s="402"/>
      <c r="V868" s="402"/>
      <c r="W868" s="402"/>
      <c r="X868" s="402"/>
      <c r="Y868" s="402"/>
      <c r="Z868" s="402"/>
      <c r="AA868" s="405"/>
      <c r="AB868" s="405"/>
    </row>
    <row r="869" ht="14.25" customHeight="1">
      <c r="A869" s="497">
        <v>45516.0</v>
      </c>
      <c r="B869" s="509" t="s">
        <v>1381</v>
      </c>
      <c r="C869" s="510" t="s">
        <v>1382</v>
      </c>
      <c r="D869" s="510" t="s">
        <v>54</v>
      </c>
      <c r="E869" s="349" t="s">
        <v>1098</v>
      </c>
      <c r="F869" s="416">
        <v>435340.0</v>
      </c>
      <c r="G869" s="403"/>
      <c r="H869" s="349" t="s">
        <v>1442</v>
      </c>
      <c r="I869" s="404" t="str">
        <f t="shared" si="9"/>
        <v>NOT PAID</v>
      </c>
      <c r="J869" s="402"/>
      <c r="K869" s="402"/>
      <c r="L869" s="402"/>
      <c r="M869" s="402"/>
      <c r="N869" s="402"/>
      <c r="O869" s="402"/>
      <c r="P869" s="402"/>
      <c r="Q869" s="402"/>
      <c r="R869" s="402"/>
      <c r="S869" s="402"/>
      <c r="T869" s="402"/>
      <c r="U869" s="402"/>
      <c r="V869" s="402"/>
      <c r="W869" s="402"/>
      <c r="X869" s="402"/>
      <c r="Y869" s="402"/>
      <c r="Z869" s="402"/>
      <c r="AA869" s="405"/>
      <c r="AB869" s="405"/>
    </row>
    <row r="870" ht="14.25" customHeight="1">
      <c r="A870" s="497">
        <v>45516.0</v>
      </c>
      <c r="B870" s="515" t="s">
        <v>1034</v>
      </c>
      <c r="C870" s="516" t="s">
        <v>1401</v>
      </c>
      <c r="D870" s="516" t="s">
        <v>54</v>
      </c>
      <c r="E870" s="349" t="s">
        <v>1098</v>
      </c>
      <c r="F870" s="416">
        <v>47840.0</v>
      </c>
      <c r="G870" s="403"/>
      <c r="H870" s="349" t="s">
        <v>1443</v>
      </c>
      <c r="I870" s="404" t="str">
        <f t="shared" si="9"/>
        <v>NOT PAID</v>
      </c>
      <c r="J870" s="402"/>
      <c r="K870" s="402"/>
      <c r="L870" s="402"/>
      <c r="M870" s="402"/>
      <c r="N870" s="402"/>
      <c r="O870" s="402"/>
      <c r="P870" s="402"/>
      <c r="Q870" s="402"/>
      <c r="R870" s="402"/>
      <c r="S870" s="402"/>
      <c r="T870" s="402"/>
      <c r="U870" s="402"/>
      <c r="V870" s="402"/>
      <c r="W870" s="402"/>
      <c r="X870" s="402"/>
      <c r="Y870" s="402"/>
      <c r="Z870" s="402"/>
      <c r="AA870" s="405"/>
      <c r="AB870" s="405"/>
    </row>
    <row r="871" ht="14.25" customHeight="1">
      <c r="A871" s="497">
        <v>45516.0</v>
      </c>
      <c r="B871" s="518" t="s">
        <v>1444</v>
      </c>
      <c r="C871" s="519" t="s">
        <v>1445</v>
      </c>
      <c r="D871" s="519" t="s">
        <v>54</v>
      </c>
      <c r="E871" s="349" t="s">
        <v>1098</v>
      </c>
      <c r="F871" s="416">
        <v>34800.0</v>
      </c>
      <c r="G871" s="521">
        <v>34800.0</v>
      </c>
      <c r="H871" s="522" t="s">
        <v>876</v>
      </c>
      <c r="I871" s="404" t="str">
        <f t="shared" si="9"/>
        <v>FULLY PAID</v>
      </c>
      <c r="J871" s="402"/>
      <c r="K871" s="402"/>
      <c r="L871" s="402"/>
      <c r="M871" s="402"/>
      <c r="N871" s="402"/>
      <c r="O871" s="402"/>
      <c r="P871" s="402"/>
      <c r="Q871" s="402"/>
      <c r="R871" s="402"/>
      <c r="S871" s="402"/>
      <c r="T871" s="402"/>
      <c r="U871" s="402"/>
      <c r="V871" s="402"/>
      <c r="W871" s="402"/>
      <c r="X871" s="402"/>
      <c r="Y871" s="402"/>
      <c r="Z871" s="402"/>
      <c r="AA871" s="405"/>
      <c r="AB871" s="405"/>
    </row>
    <row r="872" ht="14.25" customHeight="1">
      <c r="A872" s="497">
        <v>45516.0</v>
      </c>
      <c r="B872" s="518" t="s">
        <v>1446</v>
      </c>
      <c r="C872" s="519" t="s">
        <v>1447</v>
      </c>
      <c r="D872" s="519" t="s">
        <v>54</v>
      </c>
      <c r="E872" s="349" t="s">
        <v>1098</v>
      </c>
      <c r="F872" s="416">
        <v>10303.02</v>
      </c>
      <c r="G872" s="523">
        <v>13360.0</v>
      </c>
      <c r="H872" s="522" t="s">
        <v>876</v>
      </c>
      <c r="I872" s="404" t="str">
        <f t="shared" si="9"/>
        <v>FULLY PAID</v>
      </c>
      <c r="J872" s="402"/>
      <c r="K872" s="402"/>
      <c r="L872" s="402"/>
      <c r="M872" s="402"/>
      <c r="N872" s="402"/>
      <c r="O872" s="402"/>
      <c r="P872" s="402"/>
      <c r="Q872" s="402"/>
      <c r="R872" s="402"/>
      <c r="S872" s="402"/>
      <c r="T872" s="402"/>
      <c r="U872" s="402"/>
      <c r="V872" s="402"/>
      <c r="W872" s="402"/>
      <c r="X872" s="402"/>
      <c r="Y872" s="402"/>
      <c r="Z872" s="402"/>
      <c r="AA872" s="405"/>
      <c r="AB872" s="405"/>
    </row>
    <row r="873" ht="14.25" customHeight="1">
      <c r="A873" s="497">
        <v>45516.0</v>
      </c>
      <c r="B873" s="414" t="s">
        <v>990</v>
      </c>
      <c r="C873" s="415" t="s">
        <v>991</v>
      </c>
      <c r="D873" s="415" t="s">
        <v>75</v>
      </c>
      <c r="E873" s="349" t="s">
        <v>1098</v>
      </c>
      <c r="F873" s="416">
        <v>145174.31</v>
      </c>
      <c r="G873" s="403"/>
      <c r="H873" s="413" t="s">
        <v>1309</v>
      </c>
      <c r="I873" s="404" t="str">
        <f t="shared" si="9"/>
        <v>NOT PAID</v>
      </c>
      <c r="J873" s="402"/>
      <c r="K873" s="402"/>
      <c r="L873" s="402"/>
      <c r="M873" s="402"/>
      <c r="N873" s="402"/>
      <c r="O873" s="402"/>
      <c r="P873" s="402"/>
      <c r="Q873" s="402"/>
      <c r="R873" s="402"/>
      <c r="S873" s="402"/>
      <c r="T873" s="402"/>
      <c r="U873" s="402"/>
      <c r="V873" s="402"/>
      <c r="W873" s="402"/>
      <c r="X873" s="402"/>
      <c r="Y873" s="402"/>
      <c r="Z873" s="402"/>
      <c r="AA873" s="405"/>
      <c r="AB873" s="405"/>
    </row>
    <row r="874" ht="14.25" customHeight="1">
      <c r="A874" s="497">
        <v>45516.0</v>
      </c>
      <c r="B874" s="518" t="s">
        <v>1448</v>
      </c>
      <c r="C874" s="519" t="s">
        <v>1449</v>
      </c>
      <c r="D874" s="519" t="s">
        <v>54</v>
      </c>
      <c r="E874" s="349" t="s">
        <v>1098</v>
      </c>
      <c r="F874" s="416">
        <v>39723.0</v>
      </c>
      <c r="G874" s="523">
        <v>39723.0</v>
      </c>
      <c r="H874" s="522" t="s">
        <v>876</v>
      </c>
      <c r="I874" s="404" t="str">
        <f t="shared" si="9"/>
        <v>FULLY PAID</v>
      </c>
      <c r="J874" s="402"/>
      <c r="K874" s="402"/>
      <c r="L874" s="402"/>
      <c r="M874" s="402"/>
      <c r="N874" s="402"/>
      <c r="O874" s="402"/>
      <c r="P874" s="402"/>
      <c r="Q874" s="402"/>
      <c r="R874" s="402"/>
      <c r="S874" s="402"/>
      <c r="T874" s="402"/>
      <c r="U874" s="402"/>
      <c r="V874" s="402"/>
      <c r="W874" s="402"/>
      <c r="X874" s="402"/>
      <c r="Y874" s="402"/>
      <c r="Z874" s="402"/>
      <c r="AA874" s="405"/>
      <c r="AB874" s="405"/>
    </row>
    <row r="875" ht="14.25" customHeight="1">
      <c r="A875" s="497">
        <v>45516.0</v>
      </c>
      <c r="B875" s="349" t="s">
        <v>1155</v>
      </c>
      <c r="C875" s="349" t="s">
        <v>1156</v>
      </c>
      <c r="D875" s="493" t="s">
        <v>54</v>
      </c>
      <c r="E875" s="415" t="s">
        <v>1153</v>
      </c>
      <c r="F875" s="413">
        <v>268238.3</v>
      </c>
      <c r="G875" s="403"/>
      <c r="H875" s="349" t="s">
        <v>1450</v>
      </c>
      <c r="I875" s="404" t="str">
        <f t="shared" si="9"/>
        <v>NOT PAID</v>
      </c>
      <c r="J875" s="402"/>
      <c r="K875" s="402"/>
      <c r="L875" s="402"/>
      <c r="M875" s="402"/>
      <c r="N875" s="402"/>
      <c r="O875" s="402"/>
      <c r="P875" s="402"/>
      <c r="Q875" s="402"/>
      <c r="R875" s="402"/>
      <c r="S875" s="402"/>
      <c r="T875" s="402"/>
      <c r="U875" s="402"/>
      <c r="V875" s="402"/>
      <c r="W875" s="402"/>
      <c r="X875" s="402"/>
      <c r="Y875" s="402"/>
      <c r="Z875" s="402"/>
      <c r="AA875" s="405"/>
      <c r="AB875" s="405"/>
    </row>
    <row r="876" ht="14.25" customHeight="1">
      <c r="A876" s="497">
        <v>45516.0</v>
      </c>
      <c r="B876" s="349" t="s">
        <v>960</v>
      </c>
      <c r="C876" s="349" t="s">
        <v>961</v>
      </c>
      <c r="D876" s="493" t="s">
        <v>54</v>
      </c>
      <c r="E876" s="415" t="s">
        <v>1153</v>
      </c>
      <c r="F876" s="413">
        <v>100000.0</v>
      </c>
      <c r="G876" s="403"/>
      <c r="H876" s="349" t="s">
        <v>1451</v>
      </c>
      <c r="I876" s="404" t="str">
        <f t="shared" si="9"/>
        <v>NOT PAID</v>
      </c>
      <c r="J876" s="402"/>
      <c r="K876" s="402"/>
      <c r="L876" s="402"/>
      <c r="M876" s="402"/>
      <c r="N876" s="402"/>
      <c r="O876" s="402"/>
      <c r="P876" s="402"/>
      <c r="Q876" s="402"/>
      <c r="R876" s="402"/>
      <c r="S876" s="402"/>
      <c r="T876" s="402"/>
      <c r="U876" s="402"/>
      <c r="V876" s="402"/>
      <c r="W876" s="402"/>
      <c r="X876" s="402"/>
      <c r="Y876" s="402"/>
      <c r="Z876" s="402"/>
      <c r="AA876" s="405"/>
      <c r="AB876" s="405"/>
    </row>
    <row r="877" ht="14.25" customHeight="1">
      <c r="A877" s="497">
        <v>45516.0</v>
      </c>
      <c r="B877" s="349" t="s">
        <v>800</v>
      </c>
      <c r="C877" s="349" t="s">
        <v>801</v>
      </c>
      <c r="D877" s="493" t="s">
        <v>54</v>
      </c>
      <c r="E877" s="415" t="s">
        <v>1153</v>
      </c>
      <c r="F877" s="413">
        <v>20000.0</v>
      </c>
      <c r="G877" s="403"/>
      <c r="H877" s="65" t="s">
        <v>1452</v>
      </c>
      <c r="I877" s="404" t="str">
        <f t="shared" si="9"/>
        <v>NOT PAID</v>
      </c>
      <c r="J877" s="402"/>
      <c r="K877" s="402"/>
      <c r="L877" s="402"/>
      <c r="M877" s="402"/>
      <c r="N877" s="402"/>
      <c r="O877" s="402"/>
      <c r="P877" s="402"/>
      <c r="Q877" s="402"/>
      <c r="R877" s="402"/>
      <c r="S877" s="402"/>
      <c r="T877" s="402"/>
      <c r="U877" s="402"/>
      <c r="V877" s="402"/>
      <c r="W877" s="402"/>
      <c r="X877" s="402"/>
      <c r="Y877" s="402"/>
      <c r="Z877" s="402"/>
      <c r="AA877" s="405"/>
      <c r="AB877" s="405"/>
    </row>
    <row r="878" ht="14.25" customHeight="1">
      <c r="A878" s="497">
        <v>45516.0</v>
      </c>
      <c r="B878" s="349" t="s">
        <v>1346</v>
      </c>
      <c r="C878" s="349" t="s">
        <v>1347</v>
      </c>
      <c r="D878" s="411" t="s">
        <v>59</v>
      </c>
      <c r="E878" s="415" t="s">
        <v>1153</v>
      </c>
      <c r="F878" s="413">
        <v>300000.0</v>
      </c>
      <c r="G878" s="403"/>
      <c r="H878" s="349" t="s">
        <v>1453</v>
      </c>
      <c r="I878" s="404" t="str">
        <f t="shared" si="9"/>
        <v>NOT PAID</v>
      </c>
      <c r="J878" s="402"/>
      <c r="K878" s="402"/>
      <c r="L878" s="402"/>
      <c r="M878" s="402"/>
      <c r="N878" s="402"/>
      <c r="O878" s="402"/>
      <c r="P878" s="402"/>
      <c r="Q878" s="402"/>
      <c r="R878" s="402"/>
      <c r="S878" s="402"/>
      <c r="T878" s="402"/>
      <c r="U878" s="402"/>
      <c r="V878" s="402"/>
      <c r="W878" s="402"/>
      <c r="X878" s="402"/>
      <c r="Y878" s="402"/>
      <c r="Z878" s="402"/>
      <c r="AA878" s="405"/>
      <c r="AB878" s="405"/>
    </row>
    <row r="879" ht="14.25" customHeight="1">
      <c r="A879" s="497">
        <v>45516.0</v>
      </c>
      <c r="B879" s="515" t="s">
        <v>1404</v>
      </c>
      <c r="C879" s="516" t="s">
        <v>826</v>
      </c>
      <c r="D879" s="516" t="s">
        <v>75</v>
      </c>
      <c r="E879" s="415" t="s">
        <v>1153</v>
      </c>
      <c r="F879" s="413">
        <v>550000.0</v>
      </c>
      <c r="G879" s="403"/>
      <c r="H879" s="349" t="s">
        <v>1454</v>
      </c>
      <c r="I879" s="404" t="str">
        <f t="shared" si="9"/>
        <v>NOT PAID</v>
      </c>
      <c r="J879" s="402"/>
      <c r="K879" s="402"/>
      <c r="L879" s="402"/>
      <c r="M879" s="402"/>
      <c r="N879" s="402"/>
      <c r="O879" s="402"/>
      <c r="P879" s="402"/>
      <c r="Q879" s="402"/>
      <c r="R879" s="402"/>
      <c r="S879" s="402"/>
      <c r="T879" s="402"/>
      <c r="U879" s="402"/>
      <c r="V879" s="402"/>
      <c r="W879" s="402"/>
      <c r="X879" s="402"/>
      <c r="Y879" s="402"/>
      <c r="Z879" s="402"/>
      <c r="AA879" s="405"/>
      <c r="AB879" s="405"/>
    </row>
    <row r="880" ht="14.25" customHeight="1">
      <c r="A880" s="497">
        <v>45516.0</v>
      </c>
      <c r="B880" s="518" t="s">
        <v>746</v>
      </c>
      <c r="C880" s="519" t="s">
        <v>747</v>
      </c>
      <c r="D880" s="519" t="s">
        <v>54</v>
      </c>
      <c r="E880" s="415" t="s">
        <v>1153</v>
      </c>
      <c r="F880" s="413">
        <v>104142.3</v>
      </c>
      <c r="G880" s="413">
        <v>108171.0</v>
      </c>
      <c r="H880" s="349" t="s">
        <v>1455</v>
      </c>
      <c r="I880" s="404" t="str">
        <f t="shared" si="9"/>
        <v>FULLY PAID</v>
      </c>
      <c r="J880" s="402"/>
      <c r="K880" s="402"/>
      <c r="L880" s="402"/>
      <c r="M880" s="402"/>
      <c r="N880" s="402"/>
      <c r="O880" s="402"/>
      <c r="P880" s="402"/>
      <c r="Q880" s="402"/>
      <c r="R880" s="402"/>
      <c r="S880" s="402"/>
      <c r="T880" s="402"/>
      <c r="U880" s="402"/>
      <c r="V880" s="402"/>
      <c r="W880" s="402"/>
      <c r="X880" s="402"/>
      <c r="Y880" s="402"/>
      <c r="Z880" s="402"/>
      <c r="AA880" s="405"/>
      <c r="AB880" s="405"/>
    </row>
    <row r="881" ht="14.25" customHeight="1">
      <c r="A881" s="497">
        <v>45516.0</v>
      </c>
      <c r="B881" s="518" t="s">
        <v>1456</v>
      </c>
      <c r="C881" s="519" t="s">
        <v>1457</v>
      </c>
      <c r="D881" s="519" t="s">
        <v>75</v>
      </c>
      <c r="E881" s="415" t="s">
        <v>1153</v>
      </c>
      <c r="F881" s="413">
        <v>46000.0</v>
      </c>
      <c r="G881" s="413">
        <v>46000.0</v>
      </c>
      <c r="H881" s="349" t="s">
        <v>267</v>
      </c>
      <c r="I881" s="404" t="str">
        <f t="shared" si="9"/>
        <v>FULLY PAID</v>
      </c>
      <c r="J881" s="402"/>
      <c r="K881" s="402"/>
      <c r="L881" s="402"/>
      <c r="M881" s="402"/>
      <c r="N881" s="402"/>
      <c r="O881" s="402"/>
      <c r="P881" s="402"/>
      <c r="Q881" s="402"/>
      <c r="R881" s="402"/>
      <c r="S881" s="402"/>
      <c r="T881" s="402"/>
      <c r="U881" s="402"/>
      <c r="V881" s="402"/>
      <c r="W881" s="402"/>
      <c r="X881" s="402"/>
      <c r="Y881" s="402"/>
      <c r="Z881" s="402"/>
      <c r="AA881" s="405"/>
      <c r="AB881" s="405"/>
    </row>
    <row r="882" ht="14.25" customHeight="1">
      <c r="A882" s="497">
        <v>45516.0</v>
      </c>
      <c r="B882" s="518" t="s">
        <v>1458</v>
      </c>
      <c r="C882" s="519" t="s">
        <v>1459</v>
      </c>
      <c r="D882" s="519" t="s">
        <v>59</v>
      </c>
      <c r="E882" s="415" t="s">
        <v>1153</v>
      </c>
      <c r="F882" s="413">
        <v>173780.0</v>
      </c>
      <c r="G882" s="413">
        <v>173780.0</v>
      </c>
      <c r="H882" s="349" t="s">
        <v>1455</v>
      </c>
      <c r="I882" s="404" t="str">
        <f t="shared" si="9"/>
        <v>FULLY PAID</v>
      </c>
      <c r="J882" s="402"/>
      <c r="K882" s="402"/>
      <c r="L882" s="402"/>
      <c r="M882" s="402"/>
      <c r="N882" s="402"/>
      <c r="O882" s="402"/>
      <c r="P882" s="402"/>
      <c r="Q882" s="402"/>
      <c r="R882" s="402"/>
      <c r="S882" s="402"/>
      <c r="T882" s="402"/>
      <c r="U882" s="402"/>
      <c r="V882" s="402"/>
      <c r="W882" s="402"/>
      <c r="X882" s="402"/>
      <c r="Y882" s="402"/>
      <c r="Z882" s="402"/>
      <c r="AA882" s="405"/>
      <c r="AB882" s="405"/>
    </row>
    <row r="883" ht="14.25" customHeight="1">
      <c r="A883" s="497">
        <v>45516.0</v>
      </c>
      <c r="B883" s="349" t="s">
        <v>731</v>
      </c>
      <c r="C883" s="349" t="s">
        <v>732</v>
      </c>
      <c r="D883" s="349" t="s">
        <v>54</v>
      </c>
      <c r="E883" s="349" t="s">
        <v>1139</v>
      </c>
      <c r="F883" s="413">
        <v>33562.5</v>
      </c>
      <c r="G883" s="413">
        <v>25000.0</v>
      </c>
      <c r="H883" s="349" t="s">
        <v>1460</v>
      </c>
      <c r="I883" s="404" t="str">
        <f t="shared" si="9"/>
        <v>PARTIALLY PAID</v>
      </c>
      <c r="J883" s="402"/>
      <c r="K883" s="402"/>
      <c r="L883" s="402"/>
      <c r="M883" s="402"/>
      <c r="N883" s="402"/>
      <c r="O883" s="402"/>
      <c r="P883" s="402"/>
      <c r="Q883" s="402"/>
      <c r="R883" s="402"/>
      <c r="S883" s="402"/>
      <c r="T883" s="402"/>
      <c r="U883" s="402"/>
      <c r="V883" s="402"/>
      <c r="W883" s="402"/>
      <c r="X883" s="402"/>
      <c r="Y883" s="402"/>
      <c r="Z883" s="402"/>
      <c r="AA883" s="405"/>
      <c r="AB883" s="405"/>
    </row>
    <row r="884" ht="14.25" customHeight="1">
      <c r="A884" s="497">
        <v>45516.0</v>
      </c>
      <c r="B884" s="349" t="s">
        <v>918</v>
      </c>
      <c r="C884" s="349" t="s">
        <v>919</v>
      </c>
      <c r="D884" s="349" t="s">
        <v>54</v>
      </c>
      <c r="E884" s="349" t="s">
        <v>1139</v>
      </c>
      <c r="F884" s="413">
        <v>8202.44</v>
      </c>
      <c r="G884" s="413">
        <v>0.0</v>
      </c>
      <c r="H884" s="349" t="s">
        <v>1461</v>
      </c>
      <c r="I884" s="404" t="str">
        <f t="shared" si="9"/>
        <v>NOT PAID</v>
      </c>
      <c r="J884" s="402"/>
      <c r="K884" s="402"/>
      <c r="L884" s="402"/>
      <c r="M884" s="402"/>
      <c r="N884" s="402"/>
      <c r="O884" s="402"/>
      <c r="P884" s="402"/>
      <c r="Q884" s="402"/>
      <c r="R884" s="402"/>
      <c r="S884" s="402"/>
      <c r="T884" s="402"/>
      <c r="U884" s="402"/>
      <c r="V884" s="402"/>
      <c r="W884" s="402"/>
      <c r="X884" s="402"/>
      <c r="Y884" s="402"/>
      <c r="Z884" s="402"/>
      <c r="AA884" s="405"/>
      <c r="AB884" s="405"/>
    </row>
    <row r="885" ht="14.25" customHeight="1">
      <c r="A885" s="497">
        <v>45516.0</v>
      </c>
      <c r="B885" s="349" t="s">
        <v>1137</v>
      </c>
      <c r="C885" s="349" t="s">
        <v>1138</v>
      </c>
      <c r="D885" s="349" t="s">
        <v>54</v>
      </c>
      <c r="E885" s="349" t="s">
        <v>1139</v>
      </c>
      <c r="F885" s="413">
        <v>5721.98</v>
      </c>
      <c r="G885" s="413">
        <v>5722.0</v>
      </c>
      <c r="H885" s="349" t="s">
        <v>1462</v>
      </c>
      <c r="I885" s="404" t="str">
        <f t="shared" si="9"/>
        <v>FULLY PAID</v>
      </c>
      <c r="J885" s="402"/>
      <c r="K885" s="402"/>
      <c r="L885" s="402"/>
      <c r="M885" s="402"/>
      <c r="N885" s="402"/>
      <c r="O885" s="402"/>
      <c r="P885" s="402"/>
      <c r="Q885" s="402"/>
      <c r="R885" s="402"/>
      <c r="S885" s="402"/>
      <c r="T885" s="402"/>
      <c r="U885" s="402"/>
      <c r="V885" s="402"/>
      <c r="W885" s="402"/>
      <c r="X885" s="402"/>
      <c r="Y885" s="402"/>
      <c r="Z885" s="402"/>
      <c r="AA885" s="405"/>
      <c r="AB885" s="405"/>
    </row>
    <row r="886" ht="14.25" customHeight="1">
      <c r="A886" s="497">
        <v>45516.0</v>
      </c>
      <c r="B886" s="349" t="s">
        <v>783</v>
      </c>
      <c r="C886" s="349" t="s">
        <v>784</v>
      </c>
      <c r="D886" s="349" t="s">
        <v>54</v>
      </c>
      <c r="E886" s="349" t="s">
        <v>1139</v>
      </c>
      <c r="F886" s="413">
        <v>27715.83</v>
      </c>
      <c r="G886" s="413">
        <v>0.0</v>
      </c>
      <c r="H886" s="349" t="s">
        <v>1463</v>
      </c>
      <c r="I886" s="404" t="str">
        <f t="shared" si="9"/>
        <v>NOT PAID</v>
      </c>
      <c r="J886" s="402"/>
      <c r="K886" s="402"/>
      <c r="L886" s="402"/>
      <c r="M886" s="402"/>
      <c r="N886" s="402"/>
      <c r="O886" s="402"/>
      <c r="P886" s="402"/>
      <c r="Q886" s="402"/>
      <c r="R886" s="402"/>
      <c r="S886" s="402"/>
      <c r="T886" s="402"/>
      <c r="U886" s="402"/>
      <c r="V886" s="402"/>
      <c r="W886" s="402"/>
      <c r="X886" s="402"/>
      <c r="Y886" s="402"/>
      <c r="Z886" s="402"/>
      <c r="AA886" s="405"/>
      <c r="AB886" s="405"/>
    </row>
    <row r="887" ht="14.25" customHeight="1">
      <c r="A887" s="497">
        <v>45516.0</v>
      </c>
      <c r="B887" s="518" t="s">
        <v>1425</v>
      </c>
      <c r="C887" s="519" t="s">
        <v>1426</v>
      </c>
      <c r="D887" s="519" t="s">
        <v>54</v>
      </c>
      <c r="E887" s="349" t="s">
        <v>1139</v>
      </c>
      <c r="F887" s="413">
        <v>11520.0</v>
      </c>
      <c r="G887" s="413">
        <v>11520.0</v>
      </c>
      <c r="H887" s="402"/>
      <c r="I887" s="404" t="str">
        <f t="shared" si="9"/>
        <v>FULLY PAID</v>
      </c>
      <c r="J887" s="402"/>
      <c r="K887" s="402"/>
      <c r="L887" s="402"/>
      <c r="M887" s="402"/>
      <c r="N887" s="402"/>
      <c r="O887" s="402"/>
      <c r="P887" s="402"/>
      <c r="Q887" s="402"/>
      <c r="R887" s="402"/>
      <c r="S887" s="402"/>
      <c r="T887" s="402"/>
      <c r="U887" s="402"/>
      <c r="V887" s="402"/>
      <c r="W887" s="402"/>
      <c r="X887" s="402"/>
      <c r="Y887" s="402"/>
      <c r="Z887" s="402"/>
      <c r="AA887" s="405"/>
      <c r="AB887" s="405"/>
    </row>
    <row r="888" ht="14.25" customHeight="1">
      <c r="A888" s="497">
        <v>45516.0</v>
      </c>
      <c r="B888" s="414" t="s">
        <v>1006</v>
      </c>
      <c r="C888" s="415" t="s">
        <v>1464</v>
      </c>
      <c r="D888" s="519" t="s">
        <v>54</v>
      </c>
      <c r="E888" s="349" t="s">
        <v>1139</v>
      </c>
      <c r="F888" s="413">
        <v>190181.25</v>
      </c>
      <c r="G888" s="413">
        <v>0.0</v>
      </c>
      <c r="H888" s="349" t="s">
        <v>1465</v>
      </c>
      <c r="I888" s="404" t="str">
        <f t="shared" si="9"/>
        <v>NOT PAID</v>
      </c>
      <c r="J888" s="402"/>
      <c r="K888" s="402"/>
      <c r="L888" s="402"/>
      <c r="M888" s="402"/>
      <c r="N888" s="402"/>
      <c r="O888" s="402"/>
      <c r="P888" s="402"/>
      <c r="Q888" s="402"/>
      <c r="R888" s="402"/>
      <c r="S888" s="402"/>
      <c r="T888" s="402"/>
      <c r="U888" s="402"/>
      <c r="V888" s="402"/>
      <c r="W888" s="402"/>
      <c r="X888" s="402"/>
      <c r="Y888" s="402"/>
      <c r="Z888" s="402"/>
      <c r="AA888" s="405"/>
      <c r="AB888" s="405"/>
    </row>
    <row r="889" ht="14.25" customHeight="1">
      <c r="A889" s="497">
        <v>45516.0</v>
      </c>
      <c r="B889" s="518" t="s">
        <v>1466</v>
      </c>
      <c r="C889" s="519" t="s">
        <v>1467</v>
      </c>
      <c r="D889" s="519" t="s">
        <v>54</v>
      </c>
      <c r="E889" s="349" t="s">
        <v>1168</v>
      </c>
      <c r="F889" s="413">
        <v>918988.0</v>
      </c>
      <c r="G889" s="403"/>
      <c r="H889" s="349" t="s">
        <v>1468</v>
      </c>
      <c r="I889" s="404" t="str">
        <f t="shared" si="9"/>
        <v>NOT PAID</v>
      </c>
      <c r="J889" s="402"/>
      <c r="K889" s="402"/>
      <c r="L889" s="402"/>
      <c r="M889" s="402"/>
      <c r="N889" s="402"/>
      <c r="O889" s="402"/>
      <c r="P889" s="402"/>
      <c r="Q889" s="402"/>
      <c r="R889" s="402"/>
      <c r="S889" s="402"/>
      <c r="T889" s="402"/>
      <c r="U889" s="402"/>
      <c r="V889" s="402"/>
      <c r="W889" s="402"/>
      <c r="X889" s="402"/>
      <c r="Y889" s="402"/>
      <c r="Z889" s="402"/>
      <c r="AA889" s="405"/>
      <c r="AB889" s="405"/>
    </row>
    <row r="890" ht="14.25" customHeight="1">
      <c r="A890" s="497">
        <v>45516.0</v>
      </c>
      <c r="B890" s="349" t="s">
        <v>698</v>
      </c>
      <c r="C890" s="349" t="s">
        <v>1167</v>
      </c>
      <c r="D890" s="349" t="s">
        <v>54</v>
      </c>
      <c r="E890" s="349" t="s">
        <v>1168</v>
      </c>
      <c r="F890" s="413">
        <v>14554.22</v>
      </c>
      <c r="G890" s="403"/>
      <c r="H890" s="349" t="s">
        <v>1469</v>
      </c>
      <c r="I890" s="404" t="str">
        <f t="shared" si="9"/>
        <v>NOT PAID</v>
      </c>
      <c r="J890" s="402"/>
      <c r="K890" s="402"/>
      <c r="L890" s="402"/>
      <c r="M890" s="402"/>
      <c r="N890" s="402"/>
      <c r="O890" s="402"/>
      <c r="P890" s="402"/>
      <c r="Q890" s="402"/>
      <c r="R890" s="402"/>
      <c r="S890" s="402"/>
      <c r="T890" s="402"/>
      <c r="U890" s="402"/>
      <c r="V890" s="402"/>
      <c r="W890" s="402"/>
      <c r="X890" s="402"/>
      <c r="Y890" s="402"/>
      <c r="Z890" s="402"/>
      <c r="AA890" s="405"/>
      <c r="AB890" s="405"/>
    </row>
    <row r="891" ht="14.25" customHeight="1">
      <c r="A891" s="497">
        <v>45516.0</v>
      </c>
      <c r="B891" s="349" t="s">
        <v>997</v>
      </c>
      <c r="C891" s="349" t="s">
        <v>998</v>
      </c>
      <c r="D891" s="349" t="s">
        <v>263</v>
      </c>
      <c r="E891" s="349" t="s">
        <v>1168</v>
      </c>
      <c r="F891" s="413">
        <v>81947.25</v>
      </c>
      <c r="G891" s="403"/>
      <c r="H891" s="349" t="s">
        <v>1470</v>
      </c>
      <c r="I891" s="404" t="str">
        <f t="shared" si="9"/>
        <v>NOT PAID</v>
      </c>
      <c r="J891" s="402"/>
      <c r="K891" s="402"/>
      <c r="L891" s="402"/>
      <c r="M891" s="402"/>
      <c r="N891" s="402"/>
      <c r="O891" s="402"/>
      <c r="P891" s="402"/>
      <c r="Q891" s="402"/>
      <c r="R891" s="402"/>
      <c r="S891" s="402"/>
      <c r="T891" s="402"/>
      <c r="U891" s="402"/>
      <c r="V891" s="402"/>
      <c r="W891" s="402"/>
      <c r="X891" s="402"/>
      <c r="Y891" s="402"/>
      <c r="Z891" s="402"/>
      <c r="AA891" s="405"/>
      <c r="AB891" s="405"/>
    </row>
    <row r="892" ht="14.25" customHeight="1">
      <c r="A892" s="497">
        <v>45516.0</v>
      </c>
      <c r="B892" s="343" t="s">
        <v>1223</v>
      </c>
      <c r="C892" s="344" t="s">
        <v>998</v>
      </c>
      <c r="D892" s="344" t="s">
        <v>346</v>
      </c>
      <c r="E892" s="349" t="s">
        <v>1168</v>
      </c>
      <c r="F892" s="452">
        <v>28350.0</v>
      </c>
      <c r="G892" s="403"/>
      <c r="H892" s="349" t="s">
        <v>1470</v>
      </c>
      <c r="I892" s="404" t="str">
        <f t="shared" si="9"/>
        <v>NOT PAID</v>
      </c>
      <c r="J892" s="402"/>
      <c r="K892" s="402"/>
      <c r="L892" s="402"/>
      <c r="M892" s="402"/>
      <c r="N892" s="402"/>
      <c r="O892" s="402"/>
      <c r="P892" s="402"/>
      <c r="Q892" s="402"/>
      <c r="R892" s="402"/>
      <c r="S892" s="402"/>
      <c r="T892" s="402"/>
      <c r="U892" s="402"/>
      <c r="V892" s="402"/>
      <c r="W892" s="402"/>
      <c r="X892" s="402"/>
      <c r="Y892" s="402"/>
      <c r="Z892" s="402"/>
      <c r="AA892" s="405"/>
      <c r="AB892" s="405"/>
    </row>
    <row r="893" ht="14.25" customHeight="1">
      <c r="A893" s="497">
        <v>45516.0</v>
      </c>
      <c r="B893" s="343" t="s">
        <v>1471</v>
      </c>
      <c r="C893" s="344" t="s">
        <v>1472</v>
      </c>
      <c r="D893" s="344" t="s">
        <v>54</v>
      </c>
      <c r="E893" s="349" t="s">
        <v>1168</v>
      </c>
      <c r="F893" s="442">
        <v>21500.0</v>
      </c>
      <c r="G893" s="413">
        <v>22000.0</v>
      </c>
      <c r="H893" s="349" t="s">
        <v>267</v>
      </c>
      <c r="I893" s="404" t="str">
        <f t="shared" si="9"/>
        <v>FULLY PAID</v>
      </c>
      <c r="J893" s="402"/>
      <c r="K893" s="402"/>
      <c r="L893" s="402"/>
      <c r="M893" s="402"/>
      <c r="N893" s="402"/>
      <c r="O893" s="402"/>
      <c r="P893" s="402"/>
      <c r="Q893" s="402"/>
      <c r="R893" s="402"/>
      <c r="S893" s="402"/>
      <c r="T893" s="402"/>
      <c r="U893" s="402"/>
      <c r="V893" s="402"/>
      <c r="W893" s="402"/>
      <c r="X893" s="402"/>
      <c r="Y893" s="402"/>
      <c r="Z893" s="402"/>
      <c r="AA893" s="405"/>
      <c r="AB893" s="405"/>
    </row>
    <row r="894" ht="14.25" customHeight="1">
      <c r="A894" s="497">
        <v>45516.0</v>
      </c>
      <c r="B894" s="343" t="s">
        <v>1473</v>
      </c>
      <c r="C894" s="344" t="s">
        <v>1474</v>
      </c>
      <c r="D894" s="344" t="s">
        <v>54</v>
      </c>
      <c r="E894" s="349" t="s">
        <v>1168</v>
      </c>
      <c r="F894" s="442">
        <v>15936.0</v>
      </c>
      <c r="G894" s="442">
        <v>15936.0</v>
      </c>
      <c r="H894" s="349" t="s">
        <v>267</v>
      </c>
      <c r="I894" s="404" t="str">
        <f t="shared" si="9"/>
        <v>FULLY PAID</v>
      </c>
      <c r="J894" s="402"/>
      <c r="K894" s="402"/>
      <c r="L894" s="402"/>
      <c r="M894" s="402"/>
      <c r="N894" s="402"/>
      <c r="O894" s="402"/>
      <c r="P894" s="402"/>
      <c r="Q894" s="402"/>
      <c r="R894" s="402"/>
      <c r="S894" s="402"/>
      <c r="T894" s="402"/>
      <c r="U894" s="402"/>
      <c r="V894" s="402"/>
      <c r="W894" s="402"/>
      <c r="X894" s="402"/>
      <c r="Y894" s="402"/>
      <c r="Z894" s="402"/>
      <c r="AA894" s="405"/>
      <c r="AB894" s="405"/>
    </row>
    <row r="895" ht="14.25" customHeight="1">
      <c r="A895" s="497">
        <v>45516.0</v>
      </c>
      <c r="B895" s="343" t="s">
        <v>1475</v>
      </c>
      <c r="C895" s="344" t="s">
        <v>765</v>
      </c>
      <c r="D895" s="344" t="s">
        <v>75</v>
      </c>
      <c r="E895" s="344" t="s">
        <v>1143</v>
      </c>
      <c r="F895" s="442">
        <v>91400.0</v>
      </c>
      <c r="G895" s="413">
        <v>0.0</v>
      </c>
      <c r="H895" s="349" t="s">
        <v>1476</v>
      </c>
      <c r="I895" s="404" t="str">
        <f t="shared" si="9"/>
        <v>NOT PAID</v>
      </c>
      <c r="J895" s="402"/>
      <c r="K895" s="402"/>
      <c r="L895" s="402"/>
      <c r="M895" s="402"/>
      <c r="N895" s="402"/>
      <c r="O895" s="402"/>
      <c r="P895" s="402"/>
      <c r="Q895" s="402"/>
      <c r="R895" s="402"/>
      <c r="S895" s="402"/>
      <c r="T895" s="402"/>
      <c r="U895" s="402"/>
      <c r="V895" s="402"/>
      <c r="W895" s="402"/>
      <c r="X895" s="402"/>
      <c r="Y895" s="402"/>
      <c r="Z895" s="402"/>
      <c r="AA895" s="405"/>
      <c r="AB895" s="405"/>
    </row>
    <row r="896" ht="14.25" customHeight="1">
      <c r="A896" s="497">
        <v>45516.0</v>
      </c>
      <c r="B896" s="343" t="s">
        <v>761</v>
      </c>
      <c r="C896" s="344" t="s">
        <v>762</v>
      </c>
      <c r="D896" s="344" t="s">
        <v>59</v>
      </c>
      <c r="E896" s="344" t="s">
        <v>1143</v>
      </c>
      <c r="F896" s="442">
        <v>74897.41</v>
      </c>
      <c r="G896" s="413">
        <v>0.0</v>
      </c>
      <c r="H896" s="349" t="s">
        <v>1477</v>
      </c>
      <c r="I896" s="404" t="str">
        <f t="shared" si="9"/>
        <v>NOT PAID</v>
      </c>
      <c r="J896" s="402"/>
      <c r="K896" s="402"/>
      <c r="L896" s="402"/>
      <c r="M896" s="402"/>
      <c r="N896" s="402"/>
      <c r="O896" s="402"/>
      <c r="P896" s="402"/>
      <c r="Q896" s="402"/>
      <c r="R896" s="402"/>
      <c r="S896" s="402"/>
      <c r="T896" s="402"/>
      <c r="U896" s="402"/>
      <c r="V896" s="402"/>
      <c r="W896" s="402"/>
      <c r="X896" s="402"/>
      <c r="Y896" s="402"/>
      <c r="Z896" s="402"/>
      <c r="AA896" s="405"/>
      <c r="AB896" s="405"/>
    </row>
    <row r="897" ht="14.25" customHeight="1">
      <c r="A897" s="497">
        <v>45516.0</v>
      </c>
      <c r="B897" s="343" t="s">
        <v>788</v>
      </c>
      <c r="C897" s="344" t="s">
        <v>789</v>
      </c>
      <c r="D897" s="344" t="s">
        <v>54</v>
      </c>
      <c r="E897" s="344" t="s">
        <v>1143</v>
      </c>
      <c r="F897" s="430">
        <v>89593.8</v>
      </c>
      <c r="G897" s="413">
        <v>0.0</v>
      </c>
      <c r="H897" s="349" t="s">
        <v>1478</v>
      </c>
      <c r="I897" s="404" t="str">
        <f t="shared" si="9"/>
        <v>NOT PAID</v>
      </c>
      <c r="J897" s="402"/>
      <c r="K897" s="402"/>
      <c r="L897" s="402"/>
      <c r="M897" s="402"/>
      <c r="N897" s="402"/>
      <c r="O897" s="402"/>
      <c r="P897" s="402"/>
      <c r="Q897" s="402"/>
      <c r="R897" s="402"/>
      <c r="S897" s="402"/>
      <c r="T897" s="402"/>
      <c r="U897" s="402"/>
      <c r="V897" s="402"/>
      <c r="W897" s="402"/>
      <c r="X897" s="402"/>
      <c r="Y897" s="402"/>
      <c r="Z897" s="402"/>
      <c r="AA897" s="405"/>
      <c r="AB897" s="405"/>
    </row>
    <row r="898" ht="14.25" customHeight="1">
      <c r="A898" s="497">
        <v>45516.0</v>
      </c>
      <c r="B898" s="343" t="s">
        <v>1012</v>
      </c>
      <c r="C898" s="344" t="s">
        <v>1013</v>
      </c>
      <c r="D898" s="344" t="s">
        <v>75</v>
      </c>
      <c r="E898" s="344" t="s">
        <v>1143</v>
      </c>
      <c r="F898" s="442">
        <v>241725.0</v>
      </c>
      <c r="G898" s="413">
        <v>0.0</v>
      </c>
      <c r="H898" s="349" t="s">
        <v>1479</v>
      </c>
      <c r="I898" s="404" t="str">
        <f t="shared" si="9"/>
        <v>NOT PAID</v>
      </c>
      <c r="J898" s="402"/>
      <c r="K898" s="402"/>
      <c r="L898" s="402"/>
      <c r="M898" s="402"/>
      <c r="N898" s="402"/>
      <c r="O898" s="402"/>
      <c r="P898" s="402"/>
      <c r="Q898" s="402"/>
      <c r="R898" s="402"/>
      <c r="S898" s="402"/>
      <c r="T898" s="402"/>
      <c r="U898" s="402"/>
      <c r="V898" s="402"/>
      <c r="W898" s="402"/>
      <c r="X898" s="402"/>
      <c r="Y898" s="402"/>
      <c r="Z898" s="402"/>
      <c r="AA898" s="405"/>
      <c r="AB898" s="405"/>
    </row>
    <row r="899" ht="14.25" customHeight="1">
      <c r="A899" s="497">
        <v>45516.0</v>
      </c>
      <c r="B899" s="349" t="s">
        <v>1176</v>
      </c>
      <c r="C899" s="349" t="s">
        <v>1366</v>
      </c>
      <c r="D899" s="349" t="s">
        <v>258</v>
      </c>
      <c r="E899" s="349" t="s">
        <v>1173</v>
      </c>
      <c r="F899" s="413">
        <v>1500000.0</v>
      </c>
      <c r="G899" s="403"/>
      <c r="H899" s="402"/>
      <c r="I899" s="404" t="str">
        <f t="shared" si="9"/>
        <v>NOT PAID</v>
      </c>
      <c r="J899" s="402"/>
      <c r="K899" s="402"/>
      <c r="L899" s="402"/>
      <c r="M899" s="402"/>
      <c r="N899" s="402"/>
      <c r="O899" s="402"/>
      <c r="P899" s="402"/>
      <c r="Q899" s="402"/>
      <c r="R899" s="402"/>
      <c r="S899" s="402"/>
      <c r="T899" s="402"/>
      <c r="U899" s="402"/>
      <c r="V899" s="402"/>
      <c r="W899" s="402"/>
      <c r="X899" s="402"/>
      <c r="Y899" s="402"/>
      <c r="Z899" s="402"/>
      <c r="AA899" s="405"/>
      <c r="AB899" s="405"/>
    </row>
    <row r="900" ht="14.25" customHeight="1">
      <c r="A900" s="497">
        <v>45516.0</v>
      </c>
      <c r="B900" s="524" t="s">
        <v>1480</v>
      </c>
      <c r="C900" s="524" t="s">
        <v>1118</v>
      </c>
      <c r="D900" s="349" t="s">
        <v>258</v>
      </c>
      <c r="E900" s="524" t="s">
        <v>1481</v>
      </c>
      <c r="F900" s="525">
        <v>147970.0</v>
      </c>
      <c r="G900" s="413">
        <v>147969.0</v>
      </c>
      <c r="H900" s="402"/>
      <c r="I900" s="404" t="str">
        <f t="shared" si="9"/>
        <v>PARTIALLY PAID</v>
      </c>
      <c r="J900" s="402"/>
      <c r="K900" s="402"/>
      <c r="L900" s="402"/>
      <c r="M900" s="402"/>
      <c r="N900" s="402"/>
      <c r="O900" s="402"/>
      <c r="P900" s="402"/>
      <c r="Q900" s="402"/>
      <c r="R900" s="402"/>
      <c r="S900" s="402"/>
      <c r="T900" s="402"/>
      <c r="U900" s="402"/>
      <c r="V900" s="402"/>
      <c r="W900" s="402"/>
      <c r="X900" s="402"/>
      <c r="Y900" s="402"/>
      <c r="Z900" s="402"/>
      <c r="AA900" s="405"/>
      <c r="AB900" s="405"/>
    </row>
    <row r="901" ht="14.25" customHeight="1">
      <c r="A901" s="497"/>
      <c r="B901" s="402"/>
      <c r="C901" s="402"/>
      <c r="D901" s="402"/>
      <c r="E901" s="402"/>
      <c r="F901" s="403"/>
      <c r="G901" s="403"/>
      <c r="H901" s="402"/>
      <c r="I901" s="404" t="str">
        <f t="shared" si="9"/>
        <v>FULLY PAID</v>
      </c>
      <c r="J901" s="402"/>
      <c r="K901" s="402"/>
      <c r="L901" s="402"/>
      <c r="M901" s="402"/>
      <c r="N901" s="402"/>
      <c r="O901" s="402"/>
      <c r="P901" s="402"/>
      <c r="Q901" s="402"/>
      <c r="R901" s="402"/>
      <c r="S901" s="402"/>
      <c r="T901" s="402"/>
      <c r="U901" s="402"/>
      <c r="V901" s="402"/>
      <c r="W901" s="402"/>
      <c r="X901" s="402"/>
      <c r="Y901" s="402"/>
      <c r="Z901" s="402"/>
      <c r="AA901" s="405"/>
      <c r="AB901" s="405"/>
    </row>
    <row r="902" ht="14.25" customHeight="1">
      <c r="A902" s="497"/>
      <c r="B902" s="402"/>
      <c r="C902" s="402"/>
      <c r="D902" s="402"/>
      <c r="E902" s="402"/>
      <c r="F902" s="403"/>
      <c r="G902" s="403"/>
      <c r="H902" s="402"/>
      <c r="I902" s="404" t="str">
        <f t="shared" si="9"/>
        <v>FULLY PAID</v>
      </c>
      <c r="J902" s="402"/>
      <c r="K902" s="402"/>
      <c r="L902" s="402"/>
      <c r="M902" s="402"/>
      <c r="N902" s="402"/>
      <c r="O902" s="402"/>
      <c r="P902" s="402"/>
      <c r="Q902" s="402"/>
      <c r="R902" s="402"/>
      <c r="S902" s="402"/>
      <c r="T902" s="402"/>
      <c r="U902" s="402"/>
      <c r="V902" s="402"/>
      <c r="W902" s="402"/>
      <c r="X902" s="402"/>
      <c r="Y902" s="402"/>
      <c r="Z902" s="402"/>
      <c r="AA902" s="405"/>
      <c r="AB902" s="405"/>
    </row>
    <row r="903" ht="14.25" customHeight="1">
      <c r="A903" s="497"/>
      <c r="B903" s="402"/>
      <c r="C903" s="424" t="s">
        <v>797</v>
      </c>
      <c r="D903" s="402"/>
      <c r="E903" s="402"/>
      <c r="F903" s="403"/>
      <c r="G903" s="403"/>
      <c r="H903" s="402"/>
      <c r="I903" s="404" t="str">
        <f t="shared" si="9"/>
        <v>FULLY PAID</v>
      </c>
      <c r="J903" s="402"/>
      <c r="K903" s="402"/>
      <c r="L903" s="402"/>
      <c r="M903" s="402"/>
      <c r="N903" s="402"/>
      <c r="O903" s="402"/>
      <c r="P903" s="402"/>
      <c r="Q903" s="402"/>
      <c r="R903" s="402"/>
      <c r="S903" s="402"/>
      <c r="T903" s="402"/>
      <c r="U903" s="402"/>
      <c r="V903" s="402"/>
      <c r="W903" s="402"/>
      <c r="X903" s="402"/>
      <c r="Y903" s="402"/>
      <c r="Z903" s="402"/>
      <c r="AA903" s="405"/>
      <c r="AB903" s="405"/>
    </row>
    <row r="904" ht="14.25" customHeight="1">
      <c r="A904" s="497">
        <v>45516.0</v>
      </c>
      <c r="B904" s="349" t="s">
        <v>886</v>
      </c>
      <c r="C904" s="349" t="s">
        <v>1095</v>
      </c>
      <c r="D904" s="349" t="s">
        <v>54</v>
      </c>
      <c r="E904" s="349" t="s">
        <v>1255</v>
      </c>
      <c r="F904" s="413">
        <v>100000.0</v>
      </c>
      <c r="G904" s="403"/>
      <c r="H904" s="349" t="s">
        <v>1482</v>
      </c>
      <c r="I904" s="404" t="str">
        <f t="shared" si="9"/>
        <v>NOT PAID</v>
      </c>
      <c r="J904" s="402"/>
      <c r="K904" s="402"/>
      <c r="L904" s="402"/>
      <c r="M904" s="402"/>
      <c r="N904" s="402"/>
      <c r="O904" s="402"/>
      <c r="P904" s="402"/>
      <c r="Q904" s="402"/>
      <c r="R904" s="402"/>
      <c r="S904" s="402"/>
      <c r="T904" s="402"/>
      <c r="U904" s="402"/>
      <c r="V904" s="402"/>
      <c r="W904" s="402"/>
      <c r="X904" s="402"/>
      <c r="Y904" s="402"/>
      <c r="Z904" s="402"/>
      <c r="AA904" s="405"/>
      <c r="AB904" s="405"/>
    </row>
    <row r="905" ht="14.25" customHeight="1">
      <c r="A905" s="497">
        <v>45516.0</v>
      </c>
      <c r="B905" s="349" t="s">
        <v>1087</v>
      </c>
      <c r="C905" s="349" t="s">
        <v>1088</v>
      </c>
      <c r="D905" s="349" t="s">
        <v>54</v>
      </c>
      <c r="E905" s="349" t="s">
        <v>1255</v>
      </c>
      <c r="F905" s="413">
        <v>84673.5</v>
      </c>
      <c r="G905" s="413">
        <v>35000.0</v>
      </c>
      <c r="H905" s="349" t="s">
        <v>905</v>
      </c>
      <c r="I905" s="404" t="str">
        <f t="shared" si="9"/>
        <v>PARTIALLY PAID</v>
      </c>
      <c r="J905" s="402"/>
      <c r="K905" s="402"/>
      <c r="L905" s="402"/>
      <c r="M905" s="402"/>
      <c r="N905" s="402"/>
      <c r="O905" s="402"/>
      <c r="P905" s="402"/>
      <c r="Q905" s="402"/>
      <c r="R905" s="402"/>
      <c r="S905" s="402"/>
      <c r="T905" s="402"/>
      <c r="U905" s="402"/>
      <c r="V905" s="402"/>
      <c r="W905" s="402"/>
      <c r="X905" s="402"/>
      <c r="Y905" s="402"/>
      <c r="Z905" s="402"/>
      <c r="AA905" s="405"/>
      <c r="AB905" s="405"/>
    </row>
    <row r="906" ht="14.25" customHeight="1">
      <c r="A906" s="497">
        <v>45516.0</v>
      </c>
      <c r="B906" s="349" t="s">
        <v>1181</v>
      </c>
      <c r="C906" s="349" t="s">
        <v>1182</v>
      </c>
      <c r="D906" s="349" t="s">
        <v>54</v>
      </c>
      <c r="E906" s="349" t="s">
        <v>1255</v>
      </c>
      <c r="F906" s="413">
        <v>200000.0</v>
      </c>
      <c r="G906" s="403"/>
      <c r="H906" s="349" t="s">
        <v>1483</v>
      </c>
      <c r="I906" s="404" t="str">
        <f t="shared" si="9"/>
        <v>NOT PAID</v>
      </c>
      <c r="J906" s="402"/>
      <c r="K906" s="402"/>
      <c r="L906" s="402"/>
      <c r="M906" s="402"/>
      <c r="N906" s="402"/>
      <c r="O906" s="402"/>
      <c r="P906" s="402"/>
      <c r="Q906" s="402"/>
      <c r="R906" s="402"/>
      <c r="S906" s="402"/>
      <c r="T906" s="402"/>
      <c r="U906" s="402"/>
      <c r="V906" s="402"/>
      <c r="W906" s="402"/>
      <c r="X906" s="402"/>
      <c r="Y906" s="402"/>
      <c r="Z906" s="402"/>
      <c r="AA906" s="405"/>
      <c r="AB906" s="405"/>
    </row>
    <row r="907" ht="14.25" customHeight="1">
      <c r="A907" s="497"/>
      <c r="B907" s="402"/>
      <c r="C907" s="402"/>
      <c r="D907" s="402"/>
      <c r="E907" s="402"/>
      <c r="F907" s="403"/>
      <c r="G907" s="403"/>
      <c r="H907" s="402"/>
      <c r="I907" s="404" t="str">
        <f t="shared" si="9"/>
        <v>FULLY PAID</v>
      </c>
      <c r="J907" s="402"/>
      <c r="K907" s="402"/>
      <c r="L907" s="402"/>
      <c r="M907" s="402"/>
      <c r="N907" s="402"/>
      <c r="O907" s="402"/>
      <c r="P907" s="402"/>
      <c r="Q907" s="402"/>
      <c r="R907" s="402"/>
      <c r="S907" s="402"/>
      <c r="T907" s="402"/>
      <c r="U907" s="402"/>
      <c r="V907" s="402"/>
      <c r="W907" s="402"/>
      <c r="X907" s="402"/>
      <c r="Y907" s="402"/>
      <c r="Z907" s="402"/>
      <c r="AA907" s="405"/>
      <c r="AB907" s="405"/>
    </row>
    <row r="908" ht="14.25" customHeight="1">
      <c r="A908" s="497"/>
      <c r="B908" s="402"/>
      <c r="C908" s="402"/>
      <c r="D908" s="402"/>
      <c r="E908" s="402"/>
      <c r="F908" s="403"/>
      <c r="G908" s="403"/>
      <c r="H908" s="402"/>
      <c r="I908" s="404" t="str">
        <f t="shared" si="9"/>
        <v>FULLY PAID</v>
      </c>
      <c r="J908" s="402"/>
      <c r="K908" s="402"/>
      <c r="L908" s="402"/>
      <c r="M908" s="402"/>
      <c r="N908" s="402"/>
      <c r="O908" s="402"/>
      <c r="P908" s="402"/>
      <c r="Q908" s="402"/>
      <c r="R908" s="402"/>
      <c r="S908" s="402"/>
      <c r="T908" s="402"/>
      <c r="U908" s="402"/>
      <c r="V908" s="402"/>
      <c r="W908" s="402"/>
      <c r="X908" s="402"/>
      <c r="Y908" s="402"/>
      <c r="Z908" s="402"/>
      <c r="AA908" s="405"/>
      <c r="AB908" s="405"/>
    </row>
    <row r="909" ht="14.25" customHeight="1">
      <c r="A909" s="497"/>
      <c r="B909" s="402"/>
      <c r="C909" s="402"/>
      <c r="D909" s="402"/>
      <c r="E909" s="402"/>
      <c r="F909" s="403"/>
      <c r="G909" s="403"/>
      <c r="H909" s="402"/>
      <c r="I909" s="404" t="str">
        <f t="shared" si="9"/>
        <v>FULLY PAID</v>
      </c>
      <c r="J909" s="402"/>
      <c r="K909" s="402"/>
      <c r="L909" s="402"/>
      <c r="M909" s="402"/>
      <c r="N909" s="402"/>
      <c r="O909" s="402"/>
      <c r="P909" s="402"/>
      <c r="Q909" s="402"/>
      <c r="R909" s="402"/>
      <c r="S909" s="402"/>
      <c r="T909" s="402"/>
      <c r="U909" s="402"/>
      <c r="V909" s="402"/>
      <c r="W909" s="402"/>
      <c r="X909" s="402"/>
      <c r="Y909" s="402"/>
      <c r="Z909" s="402"/>
      <c r="AA909" s="405"/>
      <c r="AB909" s="405"/>
    </row>
    <row r="910" ht="14.25" customHeight="1">
      <c r="A910" s="497"/>
      <c r="B910" s="402"/>
      <c r="C910" s="402"/>
      <c r="D910" s="402"/>
      <c r="E910" s="402"/>
      <c r="F910" s="403"/>
      <c r="G910" s="403"/>
      <c r="H910" s="402"/>
      <c r="I910" s="404" t="str">
        <f t="shared" si="9"/>
        <v>FULLY PAID</v>
      </c>
      <c r="J910" s="402"/>
      <c r="K910" s="402"/>
      <c r="L910" s="402"/>
      <c r="M910" s="402"/>
      <c r="N910" s="402"/>
      <c r="O910" s="402"/>
      <c r="P910" s="402"/>
      <c r="Q910" s="402"/>
      <c r="R910" s="402"/>
      <c r="S910" s="402"/>
      <c r="T910" s="402"/>
      <c r="U910" s="402"/>
      <c r="V910" s="402"/>
      <c r="W910" s="402"/>
      <c r="X910" s="402"/>
      <c r="Y910" s="402"/>
      <c r="Z910" s="402"/>
      <c r="AA910" s="405"/>
      <c r="AB910" s="405"/>
    </row>
    <row r="911" ht="14.25" customHeight="1">
      <c r="A911" s="497"/>
      <c r="B911" s="402"/>
      <c r="C911" s="402"/>
      <c r="D911" s="402"/>
      <c r="E911" s="402"/>
      <c r="F911" s="403"/>
      <c r="G911" s="403"/>
      <c r="H911" s="402"/>
      <c r="I911" s="404" t="str">
        <f t="shared" si="9"/>
        <v>FULLY PAID</v>
      </c>
      <c r="J911" s="402"/>
      <c r="K911" s="402"/>
      <c r="L911" s="402"/>
      <c r="M911" s="402"/>
      <c r="N911" s="402"/>
      <c r="O911" s="402"/>
      <c r="P911" s="402"/>
      <c r="Q911" s="402"/>
      <c r="R911" s="402"/>
      <c r="S911" s="402"/>
      <c r="T911" s="402"/>
      <c r="U911" s="402"/>
      <c r="V911" s="402"/>
      <c r="W911" s="402"/>
      <c r="X911" s="402"/>
      <c r="Y911" s="402"/>
      <c r="Z911" s="402"/>
      <c r="AA911" s="405"/>
      <c r="AB911" s="405"/>
    </row>
    <row r="912" ht="14.25" customHeight="1">
      <c r="A912" s="497"/>
      <c r="B912" s="402"/>
      <c r="C912" s="402"/>
      <c r="D912" s="402"/>
      <c r="E912" s="402"/>
      <c r="F912" s="403"/>
      <c r="G912" s="403"/>
      <c r="H912" s="402"/>
      <c r="I912" s="404" t="str">
        <f t="shared" si="9"/>
        <v>FULLY PAID</v>
      </c>
      <c r="J912" s="402"/>
      <c r="K912" s="402"/>
      <c r="L912" s="402"/>
      <c r="M912" s="402"/>
      <c r="N912" s="402"/>
      <c r="O912" s="402"/>
      <c r="P912" s="402"/>
      <c r="Q912" s="402"/>
      <c r="R912" s="402"/>
      <c r="S912" s="402"/>
      <c r="T912" s="402"/>
      <c r="U912" s="402"/>
      <c r="V912" s="402"/>
      <c r="W912" s="402"/>
      <c r="X912" s="402"/>
      <c r="Y912" s="402"/>
      <c r="Z912" s="402"/>
      <c r="AA912" s="405"/>
      <c r="AB912" s="405"/>
    </row>
    <row r="913" ht="14.25" customHeight="1">
      <c r="A913" s="497"/>
      <c r="B913" s="526" t="s">
        <v>1484</v>
      </c>
      <c r="C913" s="402"/>
      <c r="D913" s="402"/>
      <c r="E913" s="402"/>
      <c r="F913" s="403"/>
      <c r="G913" s="403"/>
      <c r="H913" s="402"/>
      <c r="I913" s="404" t="str">
        <f t="shared" si="9"/>
        <v>FULLY PAID</v>
      </c>
      <c r="J913" s="402"/>
      <c r="K913" s="402"/>
      <c r="L913" s="402"/>
      <c r="M913" s="402"/>
      <c r="N913" s="402"/>
      <c r="O913" s="402"/>
      <c r="P913" s="402"/>
      <c r="Q913" s="402"/>
      <c r="R913" s="402"/>
      <c r="S913" s="402"/>
      <c r="T913" s="402"/>
      <c r="U913" s="402"/>
      <c r="V913" s="402"/>
      <c r="W913" s="402"/>
      <c r="X913" s="402"/>
      <c r="Y913" s="402"/>
      <c r="Z913" s="402"/>
      <c r="AA913" s="405"/>
      <c r="AB913" s="405"/>
    </row>
    <row r="914" ht="14.25" customHeight="1">
      <c r="A914" s="497">
        <v>45517.0</v>
      </c>
      <c r="B914" s="349" t="s">
        <v>1117</v>
      </c>
      <c r="C914" s="349" t="s">
        <v>1332</v>
      </c>
      <c r="D914" s="349" t="s">
        <v>1115</v>
      </c>
      <c r="E914" s="349" t="s">
        <v>1098</v>
      </c>
      <c r="F914" s="413">
        <v>170000.0</v>
      </c>
      <c r="G914" s="403"/>
      <c r="H914" s="349" t="s">
        <v>1241</v>
      </c>
      <c r="I914" s="404" t="str">
        <f t="shared" si="9"/>
        <v>NOT PAID</v>
      </c>
      <c r="J914" s="402"/>
      <c r="K914" s="402"/>
      <c r="L914" s="402"/>
      <c r="M914" s="402"/>
      <c r="N914" s="402"/>
      <c r="O914" s="402"/>
      <c r="P914" s="402"/>
      <c r="Q914" s="402"/>
      <c r="R914" s="402"/>
      <c r="S914" s="402"/>
      <c r="T914" s="402"/>
      <c r="U914" s="402"/>
      <c r="V914" s="402"/>
      <c r="W914" s="402"/>
      <c r="X914" s="402"/>
      <c r="Y914" s="402"/>
      <c r="Z914" s="402"/>
      <c r="AA914" s="405"/>
      <c r="AB914" s="405"/>
    </row>
    <row r="915" ht="14.25" customHeight="1">
      <c r="A915" s="497">
        <v>45517.0</v>
      </c>
      <c r="B915" s="484" t="s">
        <v>1113</v>
      </c>
      <c r="C915" s="349" t="s">
        <v>1332</v>
      </c>
      <c r="D915" s="349" t="s">
        <v>1115</v>
      </c>
      <c r="E915" s="349" t="s">
        <v>1098</v>
      </c>
      <c r="F915" s="413">
        <v>170000.0</v>
      </c>
      <c r="G915" s="403"/>
      <c r="H915" s="349" t="s">
        <v>1241</v>
      </c>
      <c r="I915" s="404" t="str">
        <f t="shared" si="9"/>
        <v>NOT PAID</v>
      </c>
      <c r="J915" s="402"/>
      <c r="K915" s="402"/>
      <c r="L915" s="402"/>
      <c r="M915" s="402"/>
      <c r="N915" s="402"/>
      <c r="O915" s="402"/>
      <c r="P915" s="402"/>
      <c r="Q915" s="402"/>
      <c r="R915" s="402"/>
      <c r="S915" s="402"/>
      <c r="T915" s="402"/>
      <c r="U915" s="402"/>
      <c r="V915" s="402"/>
      <c r="W915" s="402"/>
      <c r="X915" s="402"/>
      <c r="Y915" s="402"/>
      <c r="Z915" s="402"/>
      <c r="AA915" s="405"/>
      <c r="AB915" s="405"/>
    </row>
    <row r="916" ht="14.25" customHeight="1">
      <c r="A916" s="497">
        <v>45517.0</v>
      </c>
      <c r="B916" s="349" t="s">
        <v>777</v>
      </c>
      <c r="C916" s="349" t="s">
        <v>778</v>
      </c>
      <c r="D916" s="349" t="s">
        <v>54</v>
      </c>
      <c r="E916" s="349" t="s">
        <v>1098</v>
      </c>
      <c r="F916" s="413">
        <v>224325.0</v>
      </c>
      <c r="G916" s="403"/>
      <c r="H916" s="487" t="s">
        <v>1485</v>
      </c>
      <c r="I916" s="404" t="str">
        <f t="shared" si="9"/>
        <v>NOT PAID</v>
      </c>
      <c r="J916" s="402"/>
      <c r="K916" s="402"/>
      <c r="L916" s="402"/>
      <c r="M916" s="402"/>
      <c r="N916" s="402"/>
      <c r="O916" s="402"/>
      <c r="P916" s="402"/>
      <c r="Q916" s="402"/>
      <c r="R916" s="402"/>
      <c r="S916" s="402"/>
      <c r="T916" s="402"/>
      <c r="U916" s="402"/>
      <c r="V916" s="402"/>
      <c r="W916" s="402"/>
      <c r="X916" s="402"/>
      <c r="Y916" s="402"/>
      <c r="Z916" s="402"/>
      <c r="AA916" s="405"/>
      <c r="AB916" s="405"/>
    </row>
    <row r="917" ht="14.25" customHeight="1">
      <c r="A917" s="497">
        <v>45517.0</v>
      </c>
      <c r="B917" s="349" t="s">
        <v>807</v>
      </c>
      <c r="C917" s="349" t="s">
        <v>808</v>
      </c>
      <c r="D917" s="349" t="s">
        <v>54</v>
      </c>
      <c r="E917" s="349" t="s">
        <v>1098</v>
      </c>
      <c r="F917" s="413">
        <v>1674.75</v>
      </c>
      <c r="G917" s="403"/>
      <c r="H917" s="349" t="s">
        <v>1486</v>
      </c>
      <c r="I917" s="404" t="str">
        <f t="shared" si="9"/>
        <v>NOT PAID</v>
      </c>
      <c r="J917" s="402"/>
      <c r="K917" s="402"/>
      <c r="L917" s="402"/>
      <c r="M917" s="402"/>
      <c r="N917" s="402"/>
      <c r="O917" s="402"/>
      <c r="P917" s="402"/>
      <c r="Q917" s="402"/>
      <c r="R917" s="402"/>
      <c r="S917" s="402"/>
      <c r="T917" s="402"/>
      <c r="U917" s="402"/>
      <c r="V917" s="402"/>
      <c r="W917" s="402"/>
      <c r="X917" s="402"/>
      <c r="Y917" s="402"/>
      <c r="Z917" s="402"/>
      <c r="AA917" s="405"/>
      <c r="AB917" s="405"/>
    </row>
    <row r="918" ht="14.25" customHeight="1">
      <c r="A918" s="497">
        <v>45517.0</v>
      </c>
      <c r="B918" s="349" t="s">
        <v>705</v>
      </c>
      <c r="C918" s="349" t="s">
        <v>1110</v>
      </c>
      <c r="D918" s="349" t="s">
        <v>54</v>
      </c>
      <c r="E918" s="349" t="s">
        <v>1098</v>
      </c>
      <c r="F918" s="413">
        <v>6709.6</v>
      </c>
      <c r="G918" s="403"/>
      <c r="H918" s="349" t="s">
        <v>1487</v>
      </c>
      <c r="I918" s="483" t="s">
        <v>1190</v>
      </c>
      <c r="J918" s="402"/>
      <c r="K918" s="402"/>
      <c r="L918" s="402"/>
      <c r="M918" s="402"/>
      <c r="N918" s="402"/>
      <c r="O918" s="402"/>
      <c r="P918" s="402"/>
      <c r="Q918" s="402"/>
      <c r="R918" s="402"/>
      <c r="S918" s="402"/>
      <c r="T918" s="402"/>
      <c r="U918" s="402"/>
      <c r="V918" s="402"/>
      <c r="W918" s="402"/>
      <c r="X918" s="402"/>
      <c r="Y918" s="402"/>
      <c r="Z918" s="402"/>
      <c r="AA918" s="405"/>
      <c r="AB918" s="405"/>
    </row>
    <row r="919" ht="14.25" customHeight="1">
      <c r="A919" s="497">
        <v>45517.0</v>
      </c>
      <c r="B919" s="349" t="s">
        <v>711</v>
      </c>
      <c r="C919" s="349" t="s">
        <v>1123</v>
      </c>
      <c r="D919" s="349" t="s">
        <v>75</v>
      </c>
      <c r="E919" s="349" t="s">
        <v>1098</v>
      </c>
      <c r="F919" s="413">
        <v>26556.61</v>
      </c>
      <c r="G919" s="403"/>
      <c r="H919" s="349" t="s">
        <v>1416</v>
      </c>
      <c r="I919" s="404" t="str">
        <f t="shared" ref="I919:I1202" si="10">IF(G919&gt;=F919,"FULLY PAID",IF(G919=0,"NOT PAID","PARTIALLY PAID"))</f>
        <v>NOT PAID</v>
      </c>
      <c r="J919" s="402"/>
      <c r="K919" s="402"/>
      <c r="L919" s="402"/>
      <c r="M919" s="402"/>
      <c r="N919" s="402"/>
      <c r="O919" s="402"/>
      <c r="P919" s="402"/>
      <c r="Q919" s="402"/>
      <c r="R919" s="402"/>
      <c r="S919" s="402"/>
      <c r="T919" s="402"/>
      <c r="U919" s="402"/>
      <c r="V919" s="402"/>
      <c r="W919" s="402"/>
      <c r="X919" s="402"/>
      <c r="Y919" s="402"/>
      <c r="Z919" s="402"/>
      <c r="AA919" s="405"/>
      <c r="AB919" s="405"/>
    </row>
    <row r="920" ht="14.25" hidden="1" customHeight="1">
      <c r="A920" s="497">
        <v>45517.0</v>
      </c>
      <c r="B920" s="349" t="s">
        <v>701</v>
      </c>
      <c r="C920" s="349" t="s">
        <v>702</v>
      </c>
      <c r="D920" s="349" t="s">
        <v>54</v>
      </c>
      <c r="E920" s="349" t="s">
        <v>1098</v>
      </c>
      <c r="F920" s="413">
        <v>7124.66</v>
      </c>
      <c r="G920" s="413"/>
      <c r="H920" s="402"/>
      <c r="I920" s="404" t="str">
        <f t="shared" si="10"/>
        <v>NOT PAID</v>
      </c>
      <c r="J920" s="402"/>
      <c r="K920" s="402"/>
      <c r="L920" s="402"/>
      <c r="M920" s="402"/>
      <c r="N920" s="402"/>
      <c r="O920" s="402"/>
      <c r="P920" s="402"/>
      <c r="Q920" s="402"/>
      <c r="R920" s="402"/>
      <c r="S920" s="402"/>
      <c r="T920" s="402"/>
      <c r="U920" s="402"/>
      <c r="V920" s="402"/>
      <c r="W920" s="402"/>
      <c r="X920" s="402"/>
      <c r="Y920" s="402"/>
      <c r="Z920" s="402"/>
      <c r="AA920" s="405"/>
      <c r="AB920" s="405"/>
    </row>
    <row r="921" ht="14.25" customHeight="1">
      <c r="A921" s="497">
        <v>45517.0</v>
      </c>
      <c r="B921" s="505" t="s">
        <v>1120</v>
      </c>
      <c r="C921" s="506" t="s">
        <v>1121</v>
      </c>
      <c r="D921" s="507" t="s">
        <v>346</v>
      </c>
      <c r="E921" s="349" t="s">
        <v>1098</v>
      </c>
      <c r="F921" s="508">
        <v>63864.94</v>
      </c>
      <c r="G921" s="403"/>
      <c r="H921" s="349" t="s">
        <v>1488</v>
      </c>
      <c r="I921" s="404" t="str">
        <f t="shared" si="10"/>
        <v>NOT PAID</v>
      </c>
      <c r="J921" s="402"/>
      <c r="K921" s="402"/>
      <c r="L921" s="402"/>
      <c r="M921" s="402"/>
      <c r="N921" s="402"/>
      <c r="O921" s="402"/>
      <c r="P921" s="402"/>
      <c r="Q921" s="402"/>
      <c r="R921" s="402"/>
      <c r="S921" s="402"/>
      <c r="T921" s="402"/>
      <c r="U921" s="402"/>
      <c r="V921" s="402"/>
      <c r="W921" s="402"/>
      <c r="X921" s="402"/>
      <c r="Y921" s="402"/>
      <c r="Z921" s="402"/>
      <c r="AA921" s="405"/>
      <c r="AB921" s="405"/>
    </row>
    <row r="922" ht="14.25" customHeight="1">
      <c r="A922" s="497">
        <v>45517.0</v>
      </c>
      <c r="B922" s="492" t="s">
        <v>729</v>
      </c>
      <c r="C922" s="493" t="s">
        <v>995</v>
      </c>
      <c r="D922" s="493" t="s">
        <v>54</v>
      </c>
      <c r="E922" s="349" t="s">
        <v>1098</v>
      </c>
      <c r="F922" s="494">
        <v>357832.09</v>
      </c>
      <c r="G922" s="403"/>
      <c r="H922" s="349" t="s">
        <v>1489</v>
      </c>
      <c r="I922" s="404" t="str">
        <f t="shared" si="10"/>
        <v>NOT PAID</v>
      </c>
      <c r="J922" s="402"/>
      <c r="K922" s="402"/>
      <c r="L922" s="402"/>
      <c r="M922" s="402"/>
      <c r="N922" s="402"/>
      <c r="O922" s="402"/>
      <c r="P922" s="402"/>
      <c r="Q922" s="402"/>
      <c r="R922" s="402"/>
      <c r="S922" s="402"/>
      <c r="T922" s="402"/>
      <c r="U922" s="402"/>
      <c r="V922" s="402"/>
      <c r="W922" s="402"/>
      <c r="X922" s="402"/>
      <c r="Y922" s="402"/>
      <c r="Z922" s="402"/>
      <c r="AA922" s="405"/>
      <c r="AB922" s="405"/>
    </row>
    <row r="923" ht="14.25" customHeight="1">
      <c r="A923" s="497">
        <v>45517.0</v>
      </c>
      <c r="B923" s="509" t="s">
        <v>1381</v>
      </c>
      <c r="C923" s="510" t="s">
        <v>1382</v>
      </c>
      <c r="D923" s="510" t="s">
        <v>54</v>
      </c>
      <c r="E923" s="349" t="s">
        <v>1098</v>
      </c>
      <c r="F923" s="416">
        <v>435340.0</v>
      </c>
      <c r="G923" s="403"/>
      <c r="H923" s="349" t="s">
        <v>1489</v>
      </c>
      <c r="I923" s="404" t="str">
        <f t="shared" si="10"/>
        <v>NOT PAID</v>
      </c>
      <c r="J923" s="402"/>
      <c r="K923" s="402"/>
      <c r="L923" s="402"/>
      <c r="M923" s="402"/>
      <c r="N923" s="402"/>
      <c r="O923" s="402"/>
      <c r="P923" s="402"/>
      <c r="Q923" s="402"/>
      <c r="R923" s="402"/>
      <c r="S923" s="402"/>
      <c r="T923" s="402"/>
      <c r="U923" s="402"/>
      <c r="V923" s="402"/>
      <c r="W923" s="402"/>
      <c r="X923" s="402"/>
      <c r="Y923" s="402"/>
      <c r="Z923" s="402"/>
      <c r="AA923" s="405"/>
      <c r="AB923" s="405"/>
    </row>
    <row r="924" ht="14.25" customHeight="1">
      <c r="A924" s="497">
        <v>45517.0</v>
      </c>
      <c r="B924" s="515" t="s">
        <v>1034</v>
      </c>
      <c r="C924" s="516" t="s">
        <v>1401</v>
      </c>
      <c r="D924" s="516" t="s">
        <v>54</v>
      </c>
      <c r="E924" s="349" t="s">
        <v>1098</v>
      </c>
      <c r="F924" s="416">
        <v>47840.0</v>
      </c>
      <c r="G924" s="403"/>
      <c r="H924" s="349" t="s">
        <v>1443</v>
      </c>
      <c r="I924" s="404" t="str">
        <f t="shared" si="10"/>
        <v>NOT PAID</v>
      </c>
      <c r="J924" s="402"/>
      <c r="K924" s="402"/>
      <c r="L924" s="402"/>
      <c r="M924" s="402"/>
      <c r="N924" s="402"/>
      <c r="O924" s="402"/>
      <c r="P924" s="402"/>
      <c r="Q924" s="402"/>
      <c r="R924" s="402"/>
      <c r="S924" s="402"/>
      <c r="T924" s="402"/>
      <c r="U924" s="402"/>
      <c r="V924" s="402"/>
      <c r="W924" s="402"/>
      <c r="X924" s="402"/>
      <c r="Y924" s="402"/>
      <c r="Z924" s="402"/>
      <c r="AA924" s="405"/>
      <c r="AB924" s="405"/>
    </row>
    <row r="925" ht="14.25" customHeight="1">
      <c r="A925" s="497">
        <v>45517.0</v>
      </c>
      <c r="B925" s="414" t="s">
        <v>990</v>
      </c>
      <c r="C925" s="415" t="s">
        <v>991</v>
      </c>
      <c r="D925" s="415" t="s">
        <v>75</v>
      </c>
      <c r="E925" s="349" t="s">
        <v>1098</v>
      </c>
      <c r="F925" s="416">
        <v>55174.31</v>
      </c>
      <c r="G925" s="413">
        <v>35275.0</v>
      </c>
      <c r="H925" s="349" t="s">
        <v>401</v>
      </c>
      <c r="I925" s="404" t="str">
        <f t="shared" si="10"/>
        <v>PARTIALLY PAID</v>
      </c>
      <c r="J925" s="402"/>
      <c r="K925" s="402"/>
      <c r="L925" s="402"/>
      <c r="M925" s="402"/>
      <c r="N925" s="402"/>
      <c r="O925" s="402"/>
      <c r="P925" s="402"/>
      <c r="Q925" s="402"/>
      <c r="R925" s="402"/>
      <c r="S925" s="402"/>
      <c r="T925" s="402"/>
      <c r="U925" s="402"/>
      <c r="V925" s="402"/>
      <c r="W925" s="402"/>
      <c r="X925" s="402"/>
      <c r="Y925" s="402"/>
      <c r="Z925" s="402"/>
      <c r="AA925" s="405"/>
      <c r="AB925" s="405"/>
    </row>
    <row r="926" ht="14.25" customHeight="1">
      <c r="A926" s="497">
        <v>45517.0</v>
      </c>
      <c r="B926" s="349" t="s">
        <v>1155</v>
      </c>
      <c r="C926" s="349" t="s">
        <v>1156</v>
      </c>
      <c r="D926" s="493" t="s">
        <v>54</v>
      </c>
      <c r="E926" s="415" t="s">
        <v>1153</v>
      </c>
      <c r="F926" s="413">
        <v>268238.3</v>
      </c>
      <c r="G926" s="403"/>
      <c r="H926" s="349" t="s">
        <v>1490</v>
      </c>
      <c r="I926" s="404" t="str">
        <f t="shared" si="10"/>
        <v>NOT PAID</v>
      </c>
      <c r="J926" s="402"/>
      <c r="K926" s="402"/>
      <c r="L926" s="402"/>
      <c r="M926" s="402"/>
      <c r="N926" s="402"/>
      <c r="O926" s="402"/>
      <c r="P926" s="402"/>
      <c r="Q926" s="402"/>
      <c r="R926" s="402"/>
      <c r="S926" s="402"/>
      <c r="T926" s="402"/>
      <c r="U926" s="402"/>
      <c r="V926" s="402"/>
      <c r="W926" s="402"/>
      <c r="X926" s="402"/>
      <c r="Y926" s="402"/>
      <c r="Z926" s="402"/>
      <c r="AA926" s="405"/>
      <c r="AB926" s="405"/>
    </row>
    <row r="927" ht="14.25" customHeight="1">
      <c r="A927" s="497">
        <v>45517.0</v>
      </c>
      <c r="B927" s="349" t="s">
        <v>960</v>
      </c>
      <c r="C927" s="349" t="s">
        <v>961</v>
      </c>
      <c r="D927" s="493" t="s">
        <v>54</v>
      </c>
      <c r="E927" s="415" t="s">
        <v>1153</v>
      </c>
      <c r="F927" s="413">
        <v>100000.0</v>
      </c>
      <c r="G927" s="403"/>
      <c r="H927" s="349" t="s">
        <v>1491</v>
      </c>
      <c r="I927" s="404" t="str">
        <f t="shared" si="10"/>
        <v>NOT PAID</v>
      </c>
      <c r="J927" s="402"/>
      <c r="K927" s="402"/>
      <c r="L927" s="402"/>
      <c r="M927" s="402"/>
      <c r="N927" s="402"/>
      <c r="O927" s="402"/>
      <c r="P927" s="402"/>
      <c r="Q927" s="402"/>
      <c r="R927" s="402"/>
      <c r="S927" s="402"/>
      <c r="T927" s="402"/>
      <c r="U927" s="402"/>
      <c r="V927" s="402"/>
      <c r="W927" s="402"/>
      <c r="X927" s="402"/>
      <c r="Y927" s="402"/>
      <c r="Z927" s="402"/>
      <c r="AA927" s="405"/>
      <c r="AB927" s="405"/>
    </row>
    <row r="928" ht="14.25" customHeight="1">
      <c r="A928" s="497">
        <v>45517.0</v>
      </c>
      <c r="B928" s="349" t="s">
        <v>800</v>
      </c>
      <c r="C928" s="349" t="s">
        <v>801</v>
      </c>
      <c r="D928" s="493" t="s">
        <v>54</v>
      </c>
      <c r="E928" s="415" t="s">
        <v>1153</v>
      </c>
      <c r="F928" s="413">
        <v>20000.0</v>
      </c>
      <c r="G928" s="403"/>
      <c r="H928" s="65" t="s">
        <v>1452</v>
      </c>
      <c r="I928" s="404" t="str">
        <f t="shared" si="10"/>
        <v>NOT PAID</v>
      </c>
      <c r="J928" s="402"/>
      <c r="K928" s="402"/>
      <c r="L928" s="402"/>
      <c r="M928" s="402"/>
      <c r="N928" s="402"/>
      <c r="O928" s="402"/>
      <c r="P928" s="402"/>
      <c r="Q928" s="402"/>
      <c r="R928" s="402"/>
      <c r="S928" s="402"/>
      <c r="T928" s="402"/>
      <c r="U928" s="402"/>
      <c r="V928" s="402"/>
      <c r="W928" s="402"/>
      <c r="X928" s="402"/>
      <c r="Y928" s="402"/>
      <c r="Z928" s="402"/>
      <c r="AA928" s="405"/>
      <c r="AB928" s="405"/>
    </row>
    <row r="929" ht="14.25" customHeight="1">
      <c r="A929" s="497">
        <v>45517.0</v>
      </c>
      <c r="B929" s="349" t="s">
        <v>1346</v>
      </c>
      <c r="C929" s="349" t="s">
        <v>1347</v>
      </c>
      <c r="D929" s="411" t="s">
        <v>59</v>
      </c>
      <c r="E929" s="415" t="s">
        <v>1153</v>
      </c>
      <c r="F929" s="413">
        <v>300000.0</v>
      </c>
      <c r="G929" s="403"/>
      <c r="H929" s="349" t="s">
        <v>1492</v>
      </c>
      <c r="I929" s="404" t="str">
        <f t="shared" si="10"/>
        <v>NOT PAID</v>
      </c>
      <c r="J929" s="402"/>
      <c r="K929" s="402"/>
      <c r="L929" s="402"/>
      <c r="M929" s="402"/>
      <c r="N929" s="402"/>
      <c r="O929" s="402"/>
      <c r="P929" s="402"/>
      <c r="Q929" s="402"/>
      <c r="R929" s="402"/>
      <c r="S929" s="402"/>
      <c r="T929" s="402"/>
      <c r="U929" s="402"/>
      <c r="V929" s="402"/>
      <c r="W929" s="402"/>
      <c r="X929" s="402"/>
      <c r="Y929" s="402"/>
      <c r="Z929" s="402"/>
      <c r="AA929" s="405"/>
      <c r="AB929" s="405"/>
    </row>
    <row r="930" ht="14.25" customHeight="1">
      <c r="A930" s="497">
        <v>45517.0</v>
      </c>
      <c r="B930" s="515" t="s">
        <v>1404</v>
      </c>
      <c r="C930" s="516" t="s">
        <v>826</v>
      </c>
      <c r="D930" s="516" t="s">
        <v>75</v>
      </c>
      <c r="E930" s="415" t="s">
        <v>1153</v>
      </c>
      <c r="F930" s="413">
        <v>550000.0</v>
      </c>
      <c r="G930" s="403"/>
      <c r="H930" s="349" t="s">
        <v>1493</v>
      </c>
      <c r="I930" s="404" t="str">
        <f t="shared" si="10"/>
        <v>NOT PAID</v>
      </c>
      <c r="J930" s="402"/>
      <c r="K930" s="402"/>
      <c r="L930" s="402"/>
      <c r="M930" s="402"/>
      <c r="N930" s="402"/>
      <c r="O930" s="402"/>
      <c r="P930" s="402"/>
      <c r="Q930" s="402"/>
      <c r="R930" s="402"/>
      <c r="S930" s="402"/>
      <c r="T930" s="402"/>
      <c r="U930" s="402"/>
      <c r="V930" s="402"/>
      <c r="W930" s="402"/>
      <c r="X930" s="402"/>
      <c r="Y930" s="402"/>
      <c r="Z930" s="402"/>
      <c r="AA930" s="405"/>
      <c r="AB930" s="405"/>
    </row>
    <row r="931" ht="14.25" customHeight="1">
      <c r="A931" s="497">
        <v>45517.0</v>
      </c>
      <c r="B931" s="414" t="s">
        <v>770</v>
      </c>
      <c r="C931" s="415" t="s">
        <v>1494</v>
      </c>
      <c r="D931" s="519" t="s">
        <v>54</v>
      </c>
      <c r="E931" s="415" t="s">
        <v>1143</v>
      </c>
      <c r="F931" s="413">
        <v>940413.77</v>
      </c>
      <c r="G931" s="413">
        <v>106000.0</v>
      </c>
      <c r="H931" s="349" t="s">
        <v>1495</v>
      </c>
      <c r="I931" s="404" t="str">
        <f t="shared" si="10"/>
        <v>PARTIALLY PAID</v>
      </c>
      <c r="J931" s="402"/>
      <c r="K931" s="402"/>
      <c r="L931" s="402"/>
      <c r="M931" s="402"/>
      <c r="N931" s="402"/>
      <c r="O931" s="402"/>
      <c r="P931" s="402"/>
      <c r="Q931" s="402"/>
      <c r="R931" s="402"/>
      <c r="S931" s="402"/>
      <c r="T931" s="402"/>
      <c r="U931" s="402"/>
      <c r="V931" s="402"/>
      <c r="W931" s="402"/>
      <c r="X931" s="402"/>
      <c r="Y931" s="402"/>
      <c r="Z931" s="402"/>
      <c r="AA931" s="405"/>
      <c r="AB931" s="405"/>
    </row>
    <row r="932" ht="14.25" customHeight="1">
      <c r="A932" s="497">
        <v>45517.0</v>
      </c>
      <c r="B932" s="349" t="s">
        <v>731</v>
      </c>
      <c r="C932" s="349" t="s">
        <v>732</v>
      </c>
      <c r="D932" s="349" t="s">
        <v>54</v>
      </c>
      <c r="E932" s="349" t="s">
        <v>1139</v>
      </c>
      <c r="F932" s="413">
        <v>8562.5</v>
      </c>
      <c r="G932" s="413">
        <v>1560.0</v>
      </c>
      <c r="H932" s="349" t="s">
        <v>1496</v>
      </c>
      <c r="I932" s="404" t="str">
        <f t="shared" si="10"/>
        <v>PARTIALLY PAID</v>
      </c>
      <c r="J932" s="402"/>
      <c r="K932" s="402"/>
      <c r="L932" s="402"/>
      <c r="M932" s="402"/>
      <c r="N932" s="402"/>
      <c r="O932" s="402"/>
      <c r="P932" s="402"/>
      <c r="Q932" s="402"/>
      <c r="R932" s="402"/>
      <c r="S932" s="402"/>
      <c r="T932" s="402"/>
      <c r="U932" s="402"/>
      <c r="V932" s="402"/>
      <c r="W932" s="402"/>
      <c r="X932" s="402"/>
      <c r="Y932" s="402"/>
      <c r="Z932" s="402"/>
      <c r="AA932" s="405"/>
      <c r="AB932" s="405"/>
    </row>
    <row r="933" ht="14.25" customHeight="1">
      <c r="A933" s="497">
        <v>45517.0</v>
      </c>
      <c r="B933" s="349" t="s">
        <v>918</v>
      </c>
      <c r="C933" s="349" t="s">
        <v>919</v>
      </c>
      <c r="D933" s="349" t="s">
        <v>54</v>
      </c>
      <c r="E933" s="349" t="s">
        <v>1139</v>
      </c>
      <c r="F933" s="413">
        <v>8202.44</v>
      </c>
      <c r="G933" s="413">
        <v>8300.0</v>
      </c>
      <c r="H933" s="349" t="s">
        <v>267</v>
      </c>
      <c r="I933" s="404" t="str">
        <f t="shared" si="10"/>
        <v>FULLY PAID</v>
      </c>
      <c r="J933" s="402"/>
      <c r="K933" s="402"/>
      <c r="L933" s="402"/>
      <c r="M933" s="402"/>
      <c r="N933" s="402"/>
      <c r="O933" s="402"/>
      <c r="P933" s="402"/>
      <c r="Q933" s="402"/>
      <c r="R933" s="402"/>
      <c r="S933" s="402"/>
      <c r="T933" s="402"/>
      <c r="U933" s="402"/>
      <c r="V933" s="402"/>
      <c r="W933" s="402"/>
      <c r="X933" s="402"/>
      <c r="Y933" s="402"/>
      <c r="Z933" s="402"/>
      <c r="AA933" s="405"/>
      <c r="AB933" s="405"/>
    </row>
    <row r="934" ht="14.25" customHeight="1">
      <c r="A934" s="497">
        <v>45517.0</v>
      </c>
      <c r="B934" s="414" t="s">
        <v>1006</v>
      </c>
      <c r="C934" s="415" t="s">
        <v>1464</v>
      </c>
      <c r="D934" s="519" t="s">
        <v>54</v>
      </c>
      <c r="E934" s="349" t="s">
        <v>1139</v>
      </c>
      <c r="F934" s="413">
        <v>190181.25</v>
      </c>
      <c r="G934" s="413">
        <v>0.0</v>
      </c>
      <c r="H934" s="349" t="s">
        <v>1497</v>
      </c>
      <c r="I934" s="404" t="str">
        <f t="shared" si="10"/>
        <v>NOT PAID</v>
      </c>
      <c r="J934" s="402"/>
      <c r="K934" s="402"/>
      <c r="L934" s="402"/>
      <c r="M934" s="402"/>
      <c r="N934" s="402"/>
      <c r="O934" s="402"/>
      <c r="P934" s="402"/>
      <c r="Q934" s="402"/>
      <c r="R934" s="402"/>
      <c r="S934" s="402"/>
      <c r="T934" s="402"/>
      <c r="U934" s="402"/>
      <c r="V934" s="402"/>
      <c r="W934" s="402"/>
      <c r="X934" s="402"/>
      <c r="Y934" s="402"/>
      <c r="Z934" s="402"/>
      <c r="AA934" s="405"/>
      <c r="AB934" s="405"/>
    </row>
    <row r="935" ht="14.25" customHeight="1">
      <c r="A935" s="497">
        <v>45517.0</v>
      </c>
      <c r="B935" s="518" t="s">
        <v>1129</v>
      </c>
      <c r="C935" s="519" t="s">
        <v>1130</v>
      </c>
      <c r="D935" s="519" t="s">
        <v>54</v>
      </c>
      <c r="E935" s="349" t="s">
        <v>1139</v>
      </c>
      <c r="F935" s="413">
        <v>44880.49</v>
      </c>
      <c r="G935" s="413">
        <v>44880.48</v>
      </c>
      <c r="H935" s="349" t="s">
        <v>1498</v>
      </c>
      <c r="I935" s="404" t="str">
        <f t="shared" si="10"/>
        <v>PARTIALLY PAID</v>
      </c>
      <c r="J935" s="402"/>
      <c r="K935" s="402"/>
      <c r="L935" s="402"/>
      <c r="M935" s="402"/>
      <c r="N935" s="402"/>
      <c r="O935" s="402"/>
      <c r="P935" s="402"/>
      <c r="Q935" s="402"/>
      <c r="R935" s="402"/>
      <c r="S935" s="402"/>
      <c r="T935" s="402"/>
      <c r="U935" s="402"/>
      <c r="V935" s="402"/>
      <c r="W935" s="402"/>
      <c r="X935" s="402"/>
      <c r="Y935" s="402"/>
      <c r="Z935" s="402"/>
      <c r="AA935" s="405"/>
      <c r="AB935" s="405"/>
    </row>
    <row r="936" ht="14.25" customHeight="1">
      <c r="A936" s="497">
        <v>45517.0</v>
      </c>
      <c r="B936" s="518" t="s">
        <v>1466</v>
      </c>
      <c r="C936" s="519" t="s">
        <v>1467</v>
      </c>
      <c r="D936" s="519" t="s">
        <v>54</v>
      </c>
      <c r="E936" s="349" t="s">
        <v>1168</v>
      </c>
      <c r="F936" s="413">
        <v>918988.0</v>
      </c>
      <c r="G936" s="413">
        <v>918988.0</v>
      </c>
      <c r="H936" s="349" t="s">
        <v>267</v>
      </c>
      <c r="I936" s="404" t="str">
        <f t="shared" si="10"/>
        <v>FULLY PAID</v>
      </c>
      <c r="J936" s="402"/>
      <c r="K936" s="402"/>
      <c r="L936" s="402"/>
      <c r="M936" s="402"/>
      <c r="N936" s="402"/>
      <c r="O936" s="402"/>
      <c r="P936" s="402"/>
      <c r="Q936" s="402"/>
      <c r="R936" s="402"/>
      <c r="S936" s="402"/>
      <c r="T936" s="402"/>
      <c r="U936" s="402"/>
      <c r="V936" s="402"/>
      <c r="W936" s="402"/>
      <c r="X936" s="402"/>
      <c r="Y936" s="402"/>
      <c r="Z936" s="402"/>
      <c r="AA936" s="405"/>
      <c r="AB936" s="405"/>
    </row>
    <row r="937" ht="14.25" customHeight="1">
      <c r="A937" s="497">
        <v>45517.0</v>
      </c>
      <c r="B937" s="349" t="s">
        <v>698</v>
      </c>
      <c r="C937" s="349" t="s">
        <v>1167</v>
      </c>
      <c r="D937" s="349" t="s">
        <v>54</v>
      </c>
      <c r="E937" s="349" t="s">
        <v>1168</v>
      </c>
      <c r="F937" s="413">
        <v>14554.22</v>
      </c>
      <c r="G937" s="403"/>
      <c r="H937" s="527" t="s">
        <v>1499</v>
      </c>
      <c r="I937" s="404" t="str">
        <f t="shared" si="10"/>
        <v>NOT PAID</v>
      </c>
      <c r="J937" s="402"/>
      <c r="K937" s="402"/>
      <c r="L937" s="402"/>
      <c r="M937" s="402"/>
      <c r="N937" s="402"/>
      <c r="O937" s="402"/>
      <c r="P937" s="402"/>
      <c r="Q937" s="402"/>
      <c r="R937" s="402"/>
      <c r="S937" s="402"/>
      <c r="T937" s="402"/>
      <c r="U937" s="402"/>
      <c r="V937" s="402"/>
      <c r="W937" s="402"/>
      <c r="X937" s="402"/>
      <c r="Y937" s="402"/>
      <c r="Z937" s="402"/>
      <c r="AA937" s="405"/>
      <c r="AB937" s="405"/>
    </row>
    <row r="938" ht="14.25" customHeight="1">
      <c r="A938" s="497">
        <v>45517.0</v>
      </c>
      <c r="B938" s="349" t="s">
        <v>997</v>
      </c>
      <c r="C938" s="349" t="s">
        <v>998</v>
      </c>
      <c r="D938" s="349" t="s">
        <v>263</v>
      </c>
      <c r="E938" s="349" t="s">
        <v>1168</v>
      </c>
      <c r="F938" s="413">
        <v>81947.25</v>
      </c>
      <c r="G938" s="403"/>
      <c r="H938" s="528" t="s">
        <v>1500</v>
      </c>
      <c r="I938" s="404" t="str">
        <f t="shared" si="10"/>
        <v>NOT PAID</v>
      </c>
      <c r="J938" s="402"/>
      <c r="K938" s="402"/>
      <c r="L938" s="402"/>
      <c r="M938" s="402"/>
      <c r="N938" s="402"/>
      <c r="O938" s="402"/>
      <c r="P938" s="402"/>
      <c r="Q938" s="402"/>
      <c r="R938" s="402"/>
      <c r="S938" s="402"/>
      <c r="T938" s="402"/>
      <c r="U938" s="402"/>
      <c r="V938" s="402"/>
      <c r="W938" s="402"/>
      <c r="X938" s="402"/>
      <c r="Y938" s="402"/>
      <c r="Z938" s="402"/>
      <c r="AA938" s="405"/>
      <c r="AB938" s="405"/>
    </row>
    <row r="939" ht="14.25" customHeight="1">
      <c r="A939" s="497">
        <v>45517.0</v>
      </c>
      <c r="B939" s="343" t="s">
        <v>1223</v>
      </c>
      <c r="C939" s="344" t="s">
        <v>998</v>
      </c>
      <c r="D939" s="344" t="s">
        <v>346</v>
      </c>
      <c r="E939" s="349" t="s">
        <v>1168</v>
      </c>
      <c r="F939" s="452">
        <v>28350.0</v>
      </c>
      <c r="G939" s="403"/>
      <c r="H939" s="528" t="s">
        <v>1500</v>
      </c>
      <c r="I939" s="404" t="str">
        <f t="shared" si="10"/>
        <v>NOT PAID</v>
      </c>
      <c r="J939" s="402"/>
      <c r="K939" s="402"/>
      <c r="L939" s="402"/>
      <c r="M939" s="402"/>
      <c r="N939" s="402"/>
      <c r="O939" s="402"/>
      <c r="P939" s="402"/>
      <c r="Q939" s="402"/>
      <c r="R939" s="402"/>
      <c r="S939" s="402"/>
      <c r="T939" s="402"/>
      <c r="U939" s="402"/>
      <c r="V939" s="402"/>
      <c r="W939" s="402"/>
      <c r="X939" s="402"/>
      <c r="Y939" s="402"/>
      <c r="Z939" s="402"/>
      <c r="AA939" s="405"/>
      <c r="AB939" s="405"/>
    </row>
    <row r="940" ht="14.25" customHeight="1">
      <c r="A940" s="497">
        <v>45517.0</v>
      </c>
      <c r="B940" s="343" t="s">
        <v>1473</v>
      </c>
      <c r="C940" s="344" t="s">
        <v>1474</v>
      </c>
      <c r="D940" s="344" t="s">
        <v>54</v>
      </c>
      <c r="E940" s="349" t="s">
        <v>1168</v>
      </c>
      <c r="F940" s="442">
        <v>15936.0</v>
      </c>
      <c r="G940" s="442">
        <v>15936.0</v>
      </c>
      <c r="H940" s="349" t="s">
        <v>267</v>
      </c>
      <c r="I940" s="404" t="str">
        <f t="shared" si="10"/>
        <v>FULLY PAID</v>
      </c>
      <c r="J940" s="402"/>
      <c r="K940" s="402"/>
      <c r="L940" s="402"/>
      <c r="M940" s="402"/>
      <c r="N940" s="402"/>
      <c r="O940" s="402"/>
      <c r="P940" s="402"/>
      <c r="Q940" s="402"/>
      <c r="R940" s="402"/>
      <c r="S940" s="402"/>
      <c r="T940" s="402"/>
      <c r="U940" s="402"/>
      <c r="V940" s="402"/>
      <c r="W940" s="402"/>
      <c r="X940" s="402"/>
      <c r="Y940" s="402"/>
      <c r="Z940" s="402"/>
      <c r="AA940" s="405"/>
      <c r="AB940" s="405"/>
    </row>
    <row r="941" ht="14.25" customHeight="1">
      <c r="A941" s="497">
        <v>45517.0</v>
      </c>
      <c r="B941" s="343" t="s">
        <v>1501</v>
      </c>
      <c r="C941" s="344" t="s">
        <v>1502</v>
      </c>
      <c r="D941" s="344" t="s">
        <v>54</v>
      </c>
      <c r="E941" s="344" t="s">
        <v>1143</v>
      </c>
      <c r="F941" s="442">
        <v>86975.0</v>
      </c>
      <c r="G941" s="413">
        <v>86985.0</v>
      </c>
      <c r="H941" s="349" t="s">
        <v>876</v>
      </c>
      <c r="I941" s="404" t="str">
        <f t="shared" si="10"/>
        <v>FULLY PAID</v>
      </c>
      <c r="J941" s="402"/>
      <c r="K941" s="402"/>
      <c r="L941" s="402"/>
      <c r="M941" s="402"/>
      <c r="N941" s="402"/>
      <c r="O941" s="402"/>
      <c r="P941" s="402"/>
      <c r="Q941" s="402"/>
      <c r="R941" s="402"/>
      <c r="S941" s="402"/>
      <c r="T941" s="402"/>
      <c r="U941" s="402"/>
      <c r="V941" s="402"/>
      <c r="W941" s="402"/>
      <c r="X941" s="402"/>
      <c r="Y941" s="402"/>
      <c r="Z941" s="402"/>
      <c r="AA941" s="405"/>
      <c r="AB941" s="405"/>
    </row>
    <row r="942" ht="14.25" customHeight="1">
      <c r="A942" s="497">
        <v>45517.0</v>
      </c>
      <c r="B942" s="343" t="s">
        <v>1503</v>
      </c>
      <c r="C942" s="344" t="s">
        <v>1504</v>
      </c>
      <c r="D942" s="344" t="s">
        <v>54</v>
      </c>
      <c r="E942" s="344" t="s">
        <v>1143</v>
      </c>
      <c r="F942" s="442">
        <v>29703.2</v>
      </c>
      <c r="G942" s="413">
        <v>20000.0</v>
      </c>
      <c r="H942" s="349" t="s">
        <v>1505</v>
      </c>
      <c r="I942" s="404" t="str">
        <f t="shared" si="10"/>
        <v>PARTIALLY PAID</v>
      </c>
      <c r="J942" s="402"/>
      <c r="K942" s="402"/>
      <c r="L942" s="402"/>
      <c r="M942" s="402"/>
      <c r="N942" s="402"/>
      <c r="O942" s="402"/>
      <c r="P942" s="402"/>
      <c r="Q942" s="402"/>
      <c r="R942" s="402"/>
      <c r="S942" s="402"/>
      <c r="T942" s="402"/>
      <c r="U942" s="402"/>
      <c r="V942" s="402"/>
      <c r="W942" s="402"/>
      <c r="X942" s="402"/>
      <c r="Y942" s="402"/>
      <c r="Z942" s="402"/>
      <c r="AA942" s="405"/>
      <c r="AB942" s="405"/>
    </row>
    <row r="943" ht="14.25" customHeight="1">
      <c r="A943" s="497">
        <v>45517.0</v>
      </c>
      <c r="B943" s="343" t="s">
        <v>1475</v>
      </c>
      <c r="C943" s="344" t="s">
        <v>765</v>
      </c>
      <c r="D943" s="344" t="s">
        <v>75</v>
      </c>
      <c r="E943" s="344" t="s">
        <v>1143</v>
      </c>
      <c r="F943" s="442">
        <v>91400.0</v>
      </c>
      <c r="G943" s="413">
        <v>0.0</v>
      </c>
      <c r="H943" s="349" t="s">
        <v>1144</v>
      </c>
      <c r="I943" s="404" t="str">
        <f t="shared" si="10"/>
        <v>NOT PAID</v>
      </c>
      <c r="J943" s="402"/>
      <c r="K943" s="402"/>
      <c r="L943" s="402"/>
      <c r="M943" s="402"/>
      <c r="N943" s="402"/>
      <c r="O943" s="402"/>
      <c r="P943" s="402"/>
      <c r="Q943" s="402"/>
      <c r="R943" s="402"/>
      <c r="S943" s="402"/>
      <c r="T943" s="402"/>
      <c r="U943" s="402"/>
      <c r="V943" s="402"/>
      <c r="W943" s="402"/>
      <c r="X943" s="402"/>
      <c r="Y943" s="402"/>
      <c r="Z943" s="402"/>
      <c r="AA943" s="405"/>
      <c r="AB943" s="405"/>
    </row>
    <row r="944" ht="14.25" customHeight="1">
      <c r="A944" s="497">
        <v>45517.0</v>
      </c>
      <c r="B944" s="343" t="s">
        <v>761</v>
      </c>
      <c r="C944" s="344" t="s">
        <v>762</v>
      </c>
      <c r="D944" s="344" t="s">
        <v>59</v>
      </c>
      <c r="E944" s="344" t="s">
        <v>1143</v>
      </c>
      <c r="F944" s="442">
        <v>74897.41</v>
      </c>
      <c r="G944" s="413">
        <v>12000.0</v>
      </c>
      <c r="H944" s="349" t="s">
        <v>1506</v>
      </c>
      <c r="I944" s="404" t="str">
        <f t="shared" si="10"/>
        <v>PARTIALLY PAID</v>
      </c>
      <c r="J944" s="402"/>
      <c r="K944" s="402"/>
      <c r="L944" s="402"/>
      <c r="M944" s="402"/>
      <c r="N944" s="402"/>
      <c r="O944" s="402"/>
      <c r="P944" s="402"/>
      <c r="Q944" s="402"/>
      <c r="R944" s="402"/>
      <c r="S944" s="402"/>
      <c r="T944" s="402"/>
      <c r="U944" s="402"/>
      <c r="V944" s="402"/>
      <c r="W944" s="402"/>
      <c r="X944" s="402"/>
      <c r="Y944" s="402"/>
      <c r="Z944" s="402"/>
      <c r="AA944" s="405"/>
      <c r="AB944" s="405"/>
    </row>
    <row r="945" ht="14.25" customHeight="1">
      <c r="A945" s="497">
        <v>45517.0</v>
      </c>
      <c r="B945" s="343" t="s">
        <v>788</v>
      </c>
      <c r="C945" s="344" t="s">
        <v>789</v>
      </c>
      <c r="D945" s="344" t="s">
        <v>54</v>
      </c>
      <c r="E945" s="344" t="s">
        <v>1143</v>
      </c>
      <c r="F945" s="430">
        <v>89593.8</v>
      </c>
      <c r="G945" s="413">
        <v>0.0</v>
      </c>
      <c r="H945" s="349" t="s">
        <v>1507</v>
      </c>
      <c r="I945" s="404" t="str">
        <f t="shared" si="10"/>
        <v>NOT PAID</v>
      </c>
      <c r="J945" s="402"/>
      <c r="K945" s="402"/>
      <c r="L945" s="402"/>
      <c r="M945" s="402"/>
      <c r="N945" s="402"/>
      <c r="O945" s="402"/>
      <c r="P945" s="402"/>
      <c r="Q945" s="402"/>
      <c r="R945" s="402"/>
      <c r="S945" s="402"/>
      <c r="T945" s="402"/>
      <c r="U945" s="402"/>
      <c r="V945" s="402"/>
      <c r="W945" s="402"/>
      <c r="X945" s="402"/>
      <c r="Y945" s="402"/>
      <c r="Z945" s="402"/>
      <c r="AA945" s="405"/>
      <c r="AB945" s="405"/>
    </row>
    <row r="946" ht="14.25" customHeight="1">
      <c r="A946" s="497">
        <v>45517.0</v>
      </c>
      <c r="B946" s="343" t="s">
        <v>1012</v>
      </c>
      <c r="C946" s="344" t="s">
        <v>1013</v>
      </c>
      <c r="D946" s="344" t="s">
        <v>75</v>
      </c>
      <c r="E946" s="344" t="s">
        <v>1143</v>
      </c>
      <c r="F946" s="442">
        <v>241725.0</v>
      </c>
      <c r="G946" s="413">
        <v>20000.0</v>
      </c>
      <c r="H946" s="349" t="s">
        <v>1508</v>
      </c>
      <c r="I946" s="404" t="str">
        <f t="shared" si="10"/>
        <v>PARTIALLY PAID</v>
      </c>
      <c r="J946" s="402"/>
      <c r="K946" s="402"/>
      <c r="L946" s="402"/>
      <c r="M946" s="402"/>
      <c r="N946" s="402"/>
      <c r="O946" s="402"/>
      <c r="P946" s="402"/>
      <c r="Q946" s="402"/>
      <c r="R946" s="402"/>
      <c r="S946" s="402"/>
      <c r="T946" s="402"/>
      <c r="U946" s="402"/>
      <c r="V946" s="402"/>
      <c r="W946" s="402"/>
      <c r="X946" s="402"/>
      <c r="Y946" s="402"/>
      <c r="Z946" s="402"/>
      <c r="AA946" s="405"/>
      <c r="AB946" s="405"/>
    </row>
    <row r="947" ht="14.25" customHeight="1">
      <c r="A947" s="497">
        <v>45517.0</v>
      </c>
      <c r="B947" s="410" t="s">
        <v>827</v>
      </c>
      <c r="C947" s="411" t="s">
        <v>828</v>
      </c>
      <c r="D947" s="411" t="s">
        <v>54</v>
      </c>
      <c r="E947" s="411" t="s">
        <v>1143</v>
      </c>
      <c r="F947" s="489">
        <v>1000000.0</v>
      </c>
      <c r="G947" s="403"/>
      <c r="H947" s="402"/>
      <c r="I947" s="404" t="str">
        <f t="shared" si="10"/>
        <v>NOT PAID</v>
      </c>
      <c r="J947" s="402"/>
      <c r="K947" s="402"/>
      <c r="L947" s="402"/>
      <c r="M947" s="402"/>
      <c r="N947" s="402"/>
      <c r="O947" s="402"/>
      <c r="P947" s="402"/>
      <c r="Q947" s="402"/>
      <c r="R947" s="402"/>
      <c r="S947" s="402"/>
      <c r="T947" s="402"/>
      <c r="U947" s="402"/>
      <c r="V947" s="402"/>
      <c r="W947" s="402"/>
      <c r="X947" s="402"/>
      <c r="Y947" s="402"/>
      <c r="Z947" s="402"/>
      <c r="AA947" s="405"/>
      <c r="AB947" s="405"/>
    </row>
    <row r="948" ht="14.25" customHeight="1">
      <c r="A948" s="497">
        <v>45517.0</v>
      </c>
      <c r="B948" s="349" t="s">
        <v>1176</v>
      </c>
      <c r="C948" s="349" t="s">
        <v>1366</v>
      </c>
      <c r="D948" s="349" t="s">
        <v>258</v>
      </c>
      <c r="E948" s="349" t="s">
        <v>1173</v>
      </c>
      <c r="F948" s="413">
        <v>1000000.0</v>
      </c>
      <c r="G948" s="403"/>
      <c r="H948" s="402"/>
      <c r="I948" s="404" t="str">
        <f t="shared" si="10"/>
        <v>NOT PAID</v>
      </c>
      <c r="J948" s="402"/>
      <c r="K948" s="402"/>
      <c r="L948" s="402"/>
      <c r="M948" s="402"/>
      <c r="N948" s="402"/>
      <c r="O948" s="402"/>
      <c r="P948" s="402"/>
      <c r="Q948" s="402"/>
      <c r="R948" s="402"/>
      <c r="S948" s="402"/>
      <c r="T948" s="402"/>
      <c r="U948" s="402"/>
      <c r="V948" s="402"/>
      <c r="W948" s="402"/>
      <c r="X948" s="402"/>
      <c r="Y948" s="402"/>
      <c r="Z948" s="402"/>
      <c r="AA948" s="405"/>
      <c r="AB948" s="405"/>
    </row>
    <row r="949" ht="14.25" customHeight="1">
      <c r="A949" s="497"/>
      <c r="B949" s="402"/>
      <c r="C949" s="402"/>
      <c r="D949" s="402"/>
      <c r="E949" s="402"/>
      <c r="F949" s="403"/>
      <c r="G949" s="403"/>
      <c r="H949" s="402"/>
      <c r="I949" s="404" t="str">
        <f t="shared" si="10"/>
        <v>FULLY PAID</v>
      </c>
      <c r="J949" s="402"/>
      <c r="K949" s="402"/>
      <c r="L949" s="402"/>
      <c r="M949" s="402"/>
      <c r="N949" s="402"/>
      <c r="O949" s="402"/>
      <c r="P949" s="402"/>
      <c r="Q949" s="402"/>
      <c r="R949" s="402"/>
      <c r="S949" s="402"/>
      <c r="T949" s="402"/>
      <c r="U949" s="402"/>
      <c r="V949" s="402"/>
      <c r="W949" s="402"/>
      <c r="X949" s="402"/>
      <c r="Y949" s="402"/>
      <c r="Z949" s="402"/>
      <c r="AA949" s="405"/>
      <c r="AB949" s="405"/>
    </row>
    <row r="950" ht="14.25" customHeight="1">
      <c r="A950" s="497"/>
      <c r="B950" s="402"/>
      <c r="C950" s="402"/>
      <c r="D950" s="402"/>
      <c r="E950" s="402"/>
      <c r="F950" s="403"/>
      <c r="G950" s="403"/>
      <c r="H950" s="402"/>
      <c r="I950" s="404" t="str">
        <f t="shared" si="10"/>
        <v>FULLY PAID</v>
      </c>
      <c r="J950" s="402"/>
      <c r="K950" s="402"/>
      <c r="L950" s="402"/>
      <c r="M950" s="402"/>
      <c r="N950" s="402"/>
      <c r="O950" s="402"/>
      <c r="P950" s="402"/>
      <c r="Q950" s="402"/>
      <c r="R950" s="402"/>
      <c r="S950" s="402"/>
      <c r="T950" s="402"/>
      <c r="U950" s="402"/>
      <c r="V950" s="402"/>
      <c r="W950" s="402"/>
      <c r="X950" s="402"/>
      <c r="Y950" s="402"/>
      <c r="Z950" s="402"/>
      <c r="AA950" s="405"/>
      <c r="AB950" s="405"/>
    </row>
    <row r="951" ht="14.25" customHeight="1">
      <c r="A951" s="497"/>
      <c r="B951" s="402"/>
      <c r="C951" s="424" t="s">
        <v>797</v>
      </c>
      <c r="D951" s="402"/>
      <c r="E951" s="402"/>
      <c r="F951" s="403"/>
      <c r="G951" s="403"/>
      <c r="H951" s="402"/>
      <c r="I951" s="404" t="str">
        <f t="shared" si="10"/>
        <v>FULLY PAID</v>
      </c>
      <c r="J951" s="402"/>
      <c r="K951" s="402"/>
      <c r="L951" s="402"/>
      <c r="M951" s="402"/>
      <c r="N951" s="402"/>
      <c r="O951" s="402"/>
      <c r="P951" s="402"/>
      <c r="Q951" s="402"/>
      <c r="R951" s="402"/>
      <c r="S951" s="402"/>
      <c r="T951" s="402"/>
      <c r="U951" s="402"/>
      <c r="V951" s="402"/>
      <c r="W951" s="402"/>
      <c r="X951" s="402"/>
      <c r="Y951" s="402"/>
      <c r="Z951" s="402"/>
      <c r="AA951" s="405"/>
      <c r="AB951" s="405"/>
    </row>
    <row r="952" ht="14.25" customHeight="1">
      <c r="A952" s="497">
        <v>45517.0</v>
      </c>
      <c r="B952" s="349" t="s">
        <v>1087</v>
      </c>
      <c r="C952" s="349" t="s">
        <v>1088</v>
      </c>
      <c r="D952" s="349" t="s">
        <v>54</v>
      </c>
      <c r="E952" s="349" t="s">
        <v>1255</v>
      </c>
      <c r="F952" s="413">
        <v>65000.0</v>
      </c>
      <c r="G952" s="403"/>
      <c r="H952" s="349" t="s">
        <v>1509</v>
      </c>
      <c r="I952" s="404" t="str">
        <f t="shared" si="10"/>
        <v>NOT PAID</v>
      </c>
      <c r="J952" s="402"/>
      <c r="K952" s="402"/>
      <c r="L952" s="402"/>
      <c r="M952" s="402"/>
      <c r="N952" s="402"/>
      <c r="O952" s="402"/>
      <c r="P952" s="402"/>
      <c r="Q952" s="402"/>
      <c r="R952" s="402"/>
      <c r="S952" s="402"/>
      <c r="T952" s="402"/>
      <c r="U952" s="402"/>
      <c r="V952" s="402"/>
      <c r="W952" s="402"/>
      <c r="X952" s="402"/>
      <c r="Y952" s="402"/>
      <c r="Z952" s="402"/>
      <c r="AA952" s="405"/>
      <c r="AB952" s="405"/>
    </row>
    <row r="953" ht="14.25" customHeight="1">
      <c r="A953" s="497">
        <v>45517.0</v>
      </c>
      <c r="B953" s="349" t="s">
        <v>783</v>
      </c>
      <c r="C953" s="349" t="s">
        <v>784</v>
      </c>
      <c r="D953" s="349" t="s">
        <v>54</v>
      </c>
      <c r="E953" s="349" t="s">
        <v>1255</v>
      </c>
      <c r="F953" s="413">
        <v>30000.0</v>
      </c>
      <c r="G953" s="403"/>
      <c r="H953" s="349" t="s">
        <v>1510</v>
      </c>
      <c r="I953" s="404" t="str">
        <f t="shared" si="10"/>
        <v>NOT PAID</v>
      </c>
      <c r="J953" s="402"/>
      <c r="K953" s="402"/>
      <c r="L953" s="402"/>
      <c r="M953" s="402"/>
      <c r="N953" s="402"/>
      <c r="O953" s="402"/>
      <c r="P953" s="402"/>
      <c r="Q953" s="402"/>
      <c r="R953" s="402"/>
      <c r="S953" s="402"/>
      <c r="T953" s="402"/>
      <c r="U953" s="402"/>
      <c r="V953" s="402"/>
      <c r="W953" s="402"/>
      <c r="X953" s="402"/>
      <c r="Y953" s="402"/>
      <c r="Z953" s="402"/>
      <c r="AA953" s="405"/>
      <c r="AB953" s="405"/>
    </row>
    <row r="954" ht="14.25" customHeight="1">
      <c r="A954" s="497">
        <v>45517.0</v>
      </c>
      <c r="B954" s="349" t="s">
        <v>886</v>
      </c>
      <c r="C954" s="349" t="s">
        <v>1095</v>
      </c>
      <c r="D954" s="349" t="s">
        <v>54</v>
      </c>
      <c r="E954" s="349" t="s">
        <v>1255</v>
      </c>
      <c r="F954" s="413">
        <v>500000.0</v>
      </c>
      <c r="G954" s="403"/>
      <c r="H954" s="349" t="s">
        <v>1511</v>
      </c>
      <c r="I954" s="404" t="str">
        <f t="shared" si="10"/>
        <v>NOT PAID</v>
      </c>
      <c r="J954" s="402"/>
      <c r="K954" s="402"/>
      <c r="L954" s="402"/>
      <c r="M954" s="402"/>
      <c r="N954" s="402"/>
      <c r="O954" s="402"/>
      <c r="P954" s="402"/>
      <c r="Q954" s="402"/>
      <c r="R954" s="402"/>
      <c r="S954" s="402"/>
      <c r="T954" s="402"/>
      <c r="U954" s="402"/>
      <c r="V954" s="402"/>
      <c r="W954" s="402"/>
      <c r="X954" s="402"/>
      <c r="Y954" s="402"/>
      <c r="Z954" s="402"/>
      <c r="AA954" s="405"/>
      <c r="AB954" s="405"/>
    </row>
    <row r="955" ht="14.25" customHeight="1">
      <c r="A955" s="497">
        <v>45517.0</v>
      </c>
      <c r="B955" s="349" t="s">
        <v>1329</v>
      </c>
      <c r="C955" s="349" t="s">
        <v>1236</v>
      </c>
      <c r="D955" s="349" t="s">
        <v>54</v>
      </c>
      <c r="E955" s="349" t="s">
        <v>273</v>
      </c>
      <c r="F955" s="413">
        <v>1000000.0</v>
      </c>
      <c r="G955" s="403"/>
      <c r="H955" s="349" t="s">
        <v>1512</v>
      </c>
      <c r="I955" s="404" t="str">
        <f t="shared" si="10"/>
        <v>NOT PAID</v>
      </c>
      <c r="J955" s="402"/>
      <c r="K955" s="402"/>
      <c r="L955" s="402"/>
      <c r="M955" s="402"/>
      <c r="N955" s="402"/>
      <c r="O955" s="402"/>
      <c r="P955" s="402"/>
      <c r="Q955" s="402"/>
      <c r="R955" s="402"/>
      <c r="S955" s="402"/>
      <c r="T955" s="402"/>
      <c r="U955" s="402"/>
      <c r="V955" s="402"/>
      <c r="W955" s="402"/>
      <c r="X955" s="402"/>
      <c r="Y955" s="402"/>
      <c r="Z955" s="402"/>
      <c r="AA955" s="405"/>
      <c r="AB955" s="405"/>
    </row>
    <row r="956" ht="14.25" customHeight="1">
      <c r="A956" s="497">
        <v>45517.0</v>
      </c>
      <c r="B956" s="349" t="s">
        <v>800</v>
      </c>
      <c r="C956" s="349" t="s">
        <v>937</v>
      </c>
      <c r="D956" s="349" t="s">
        <v>54</v>
      </c>
      <c r="E956" s="349" t="s">
        <v>1228</v>
      </c>
      <c r="F956" s="413">
        <v>20000.0</v>
      </c>
      <c r="G956" s="403"/>
      <c r="H956" s="349" t="s">
        <v>1513</v>
      </c>
      <c r="I956" s="404" t="str">
        <f t="shared" si="10"/>
        <v>NOT PAID</v>
      </c>
      <c r="J956" s="402"/>
      <c r="K956" s="402"/>
      <c r="L956" s="402"/>
      <c r="M956" s="402"/>
      <c r="N956" s="402"/>
      <c r="O956" s="402"/>
      <c r="P956" s="402"/>
      <c r="Q956" s="402"/>
      <c r="R956" s="402"/>
      <c r="S956" s="402"/>
      <c r="T956" s="402"/>
      <c r="U956" s="402"/>
      <c r="V956" s="402"/>
      <c r="W956" s="402"/>
      <c r="X956" s="402"/>
      <c r="Y956" s="402"/>
      <c r="Z956" s="402"/>
      <c r="AA956" s="405"/>
      <c r="AB956" s="405"/>
    </row>
    <row r="957" ht="14.25" customHeight="1">
      <c r="A957" s="402"/>
      <c r="B957" s="402"/>
      <c r="C957" s="402"/>
      <c r="D957" s="402"/>
      <c r="E957" s="402"/>
      <c r="F957" s="403"/>
      <c r="G957" s="403"/>
      <c r="H957" s="402"/>
      <c r="I957" s="404" t="str">
        <f t="shared" si="10"/>
        <v>FULLY PAID</v>
      </c>
      <c r="J957" s="402"/>
      <c r="K957" s="402"/>
      <c r="L957" s="402"/>
      <c r="M957" s="402"/>
      <c r="N957" s="402"/>
      <c r="O957" s="402"/>
      <c r="P957" s="402"/>
      <c r="Q957" s="402"/>
      <c r="R957" s="402"/>
      <c r="S957" s="402"/>
      <c r="T957" s="402"/>
      <c r="U957" s="402"/>
      <c r="V957" s="402"/>
      <c r="W957" s="402"/>
      <c r="X957" s="402"/>
      <c r="Y957" s="402"/>
      <c r="Z957" s="402"/>
      <c r="AA957" s="405"/>
      <c r="AB957" s="405"/>
    </row>
    <row r="958" ht="14.25" customHeight="1">
      <c r="A958" s="402"/>
      <c r="B958" s="402"/>
      <c r="C958" s="402"/>
      <c r="D958" s="402"/>
      <c r="E958" s="402"/>
      <c r="F958" s="403"/>
      <c r="G958" s="403"/>
      <c r="H958" s="402"/>
      <c r="I958" s="404" t="str">
        <f t="shared" si="10"/>
        <v>FULLY PAID</v>
      </c>
      <c r="J958" s="402"/>
      <c r="K958" s="402"/>
      <c r="L958" s="402"/>
      <c r="M958" s="402"/>
      <c r="N958" s="402"/>
      <c r="O958" s="402"/>
      <c r="P958" s="402"/>
      <c r="Q958" s="402"/>
      <c r="R958" s="402"/>
      <c r="S958" s="402"/>
      <c r="T958" s="402"/>
      <c r="U958" s="402"/>
      <c r="V958" s="402"/>
      <c r="W958" s="402"/>
      <c r="X958" s="402"/>
      <c r="Y958" s="402"/>
      <c r="Z958" s="402"/>
      <c r="AA958" s="405"/>
      <c r="AB958" s="405"/>
    </row>
    <row r="959" ht="14.25" customHeight="1">
      <c r="A959" s="402"/>
      <c r="B959" s="402"/>
      <c r="C959" s="402"/>
      <c r="D959" s="402"/>
      <c r="E959" s="402"/>
      <c r="F959" s="403"/>
      <c r="G959" s="403"/>
      <c r="H959" s="402"/>
      <c r="I959" s="404" t="str">
        <f t="shared" si="10"/>
        <v>FULLY PAID</v>
      </c>
      <c r="J959" s="402"/>
      <c r="K959" s="402"/>
      <c r="L959" s="402"/>
      <c r="M959" s="402"/>
      <c r="N959" s="402"/>
      <c r="O959" s="402"/>
      <c r="P959" s="402"/>
      <c r="Q959" s="402"/>
      <c r="R959" s="402"/>
      <c r="S959" s="402"/>
      <c r="T959" s="402"/>
      <c r="U959" s="402"/>
      <c r="V959" s="402"/>
      <c r="W959" s="402"/>
      <c r="X959" s="402"/>
      <c r="Y959" s="402"/>
      <c r="Z959" s="402"/>
      <c r="AA959" s="405"/>
      <c r="AB959" s="405"/>
    </row>
    <row r="960" ht="14.25" customHeight="1">
      <c r="A960" s="402"/>
      <c r="B960" s="526" t="s">
        <v>1514</v>
      </c>
      <c r="C960" s="402"/>
      <c r="D960" s="402"/>
      <c r="E960" s="402"/>
      <c r="F960" s="403"/>
      <c r="G960" s="403"/>
      <c r="H960" s="402"/>
      <c r="I960" s="404" t="str">
        <f t="shared" si="10"/>
        <v>FULLY PAID</v>
      </c>
      <c r="J960" s="402"/>
      <c r="K960" s="402"/>
      <c r="L960" s="402"/>
      <c r="M960" s="402"/>
      <c r="N960" s="402"/>
      <c r="O960" s="402"/>
      <c r="P960" s="402"/>
      <c r="Q960" s="402"/>
      <c r="R960" s="402"/>
      <c r="S960" s="402"/>
      <c r="T960" s="402"/>
      <c r="U960" s="402"/>
      <c r="V960" s="402"/>
      <c r="W960" s="402"/>
      <c r="X960" s="402"/>
      <c r="Y960" s="402"/>
      <c r="Z960" s="402"/>
      <c r="AA960" s="405"/>
      <c r="AB960" s="405"/>
    </row>
    <row r="961" ht="14.25" customHeight="1">
      <c r="A961" s="497">
        <v>45518.0</v>
      </c>
      <c r="B961" s="349" t="s">
        <v>1117</v>
      </c>
      <c r="C961" s="349" t="s">
        <v>1332</v>
      </c>
      <c r="D961" s="349" t="s">
        <v>1115</v>
      </c>
      <c r="E961" s="349" t="s">
        <v>1098</v>
      </c>
      <c r="F961" s="413">
        <v>170000.0</v>
      </c>
      <c r="G961" s="403"/>
      <c r="H961" s="349" t="s">
        <v>1241</v>
      </c>
      <c r="I961" s="404" t="str">
        <f t="shared" si="10"/>
        <v>NOT PAID</v>
      </c>
      <c r="J961" s="402"/>
      <c r="K961" s="402"/>
      <c r="L961" s="402"/>
      <c r="M961" s="402"/>
      <c r="N961" s="402"/>
      <c r="O961" s="402"/>
      <c r="P961" s="402"/>
      <c r="Q961" s="402"/>
      <c r="R961" s="402"/>
      <c r="S961" s="402"/>
      <c r="T961" s="402"/>
      <c r="U961" s="402"/>
      <c r="V961" s="402"/>
      <c r="W961" s="402"/>
      <c r="X961" s="402"/>
      <c r="Y961" s="402"/>
      <c r="Z961" s="402"/>
      <c r="AA961" s="405"/>
      <c r="AB961" s="405"/>
    </row>
    <row r="962" ht="14.25" customHeight="1">
      <c r="A962" s="497">
        <v>45518.0</v>
      </c>
      <c r="B962" s="484" t="s">
        <v>1113</v>
      </c>
      <c r="C962" s="349" t="s">
        <v>1332</v>
      </c>
      <c r="D962" s="349" t="s">
        <v>1115</v>
      </c>
      <c r="E962" s="349" t="s">
        <v>1098</v>
      </c>
      <c r="F962" s="413">
        <v>170000.0</v>
      </c>
      <c r="G962" s="403"/>
      <c r="H962" s="349" t="s">
        <v>1241</v>
      </c>
      <c r="I962" s="404" t="str">
        <f t="shared" si="10"/>
        <v>NOT PAID</v>
      </c>
      <c r="J962" s="402"/>
      <c r="K962" s="402"/>
      <c r="L962" s="402"/>
      <c r="M962" s="402"/>
      <c r="N962" s="402"/>
      <c r="O962" s="402"/>
      <c r="P962" s="402"/>
      <c r="Q962" s="402"/>
      <c r="R962" s="402"/>
      <c r="S962" s="402"/>
      <c r="T962" s="402"/>
      <c r="U962" s="402"/>
      <c r="V962" s="402"/>
      <c r="W962" s="402"/>
      <c r="X962" s="402"/>
      <c r="Y962" s="402"/>
      <c r="Z962" s="402"/>
      <c r="AA962" s="405"/>
      <c r="AB962" s="405"/>
    </row>
    <row r="963" ht="14.25" customHeight="1">
      <c r="A963" s="497">
        <v>45518.0</v>
      </c>
      <c r="B963" s="349" t="s">
        <v>777</v>
      </c>
      <c r="C963" s="349" t="s">
        <v>778</v>
      </c>
      <c r="D963" s="349" t="s">
        <v>54</v>
      </c>
      <c r="E963" s="349" t="s">
        <v>1098</v>
      </c>
      <c r="F963" s="413">
        <v>224325.0</v>
      </c>
      <c r="G963" s="403"/>
      <c r="H963" s="349" t="s">
        <v>1515</v>
      </c>
      <c r="I963" s="404" t="str">
        <f t="shared" si="10"/>
        <v>NOT PAID</v>
      </c>
      <c r="J963" s="402"/>
      <c r="K963" s="402"/>
      <c r="L963" s="402"/>
      <c r="M963" s="402"/>
      <c r="N963" s="402"/>
      <c r="O963" s="402"/>
      <c r="P963" s="402"/>
      <c r="Q963" s="402"/>
      <c r="R963" s="402"/>
      <c r="S963" s="402"/>
      <c r="T963" s="402"/>
      <c r="U963" s="402"/>
      <c r="V963" s="402"/>
      <c r="W963" s="402"/>
      <c r="X963" s="402"/>
      <c r="Y963" s="402"/>
      <c r="Z963" s="402"/>
      <c r="AA963" s="405"/>
      <c r="AB963" s="405"/>
    </row>
    <row r="964" ht="14.25" customHeight="1">
      <c r="A964" s="497">
        <v>45518.0</v>
      </c>
      <c r="B964" s="349" t="s">
        <v>807</v>
      </c>
      <c r="C964" s="349" t="s">
        <v>808</v>
      </c>
      <c r="D964" s="349" t="s">
        <v>54</v>
      </c>
      <c r="E964" s="349" t="s">
        <v>1098</v>
      </c>
      <c r="F964" s="413">
        <v>1674.75</v>
      </c>
      <c r="G964" s="403"/>
      <c r="H964" s="349" t="s">
        <v>1516</v>
      </c>
      <c r="I964" s="404" t="str">
        <f t="shared" si="10"/>
        <v>NOT PAID</v>
      </c>
      <c r="J964" s="402"/>
      <c r="K964" s="402"/>
      <c r="L964" s="402"/>
      <c r="M964" s="402"/>
      <c r="N964" s="402"/>
      <c r="O964" s="402"/>
      <c r="P964" s="402"/>
      <c r="Q964" s="402"/>
      <c r="R964" s="402"/>
      <c r="S964" s="402"/>
      <c r="T964" s="402"/>
      <c r="U964" s="402"/>
      <c r="V964" s="402"/>
      <c r="W964" s="402"/>
      <c r="X964" s="402"/>
      <c r="Y964" s="402"/>
      <c r="Z964" s="402"/>
      <c r="AA964" s="405"/>
      <c r="AB964" s="405"/>
    </row>
    <row r="965" ht="14.25" customHeight="1">
      <c r="A965" s="497">
        <v>45518.0</v>
      </c>
      <c r="B965" s="349" t="s">
        <v>705</v>
      </c>
      <c r="C965" s="349" t="s">
        <v>1110</v>
      </c>
      <c r="D965" s="349" t="s">
        <v>54</v>
      </c>
      <c r="E965" s="349" t="s">
        <v>1098</v>
      </c>
      <c r="F965" s="413">
        <v>6709.6</v>
      </c>
      <c r="G965" s="403"/>
      <c r="H965" s="349" t="s">
        <v>1487</v>
      </c>
      <c r="I965" s="404" t="str">
        <f t="shared" si="10"/>
        <v>NOT PAID</v>
      </c>
      <c r="J965" s="402"/>
      <c r="K965" s="402"/>
      <c r="L965" s="402"/>
      <c r="M965" s="402"/>
      <c r="N965" s="402"/>
      <c r="O965" s="402"/>
      <c r="P965" s="402"/>
      <c r="Q965" s="402"/>
      <c r="R965" s="402"/>
      <c r="S965" s="402"/>
      <c r="T965" s="402"/>
      <c r="U965" s="402"/>
      <c r="V965" s="402"/>
      <c r="W965" s="402"/>
      <c r="X965" s="402"/>
      <c r="Y965" s="402"/>
      <c r="Z965" s="402"/>
      <c r="AA965" s="405"/>
      <c r="AB965" s="405"/>
    </row>
    <row r="966" ht="14.25" customHeight="1">
      <c r="A966" s="497">
        <v>45518.0</v>
      </c>
      <c r="B966" s="349" t="s">
        <v>711</v>
      </c>
      <c r="C966" s="349" t="s">
        <v>1123</v>
      </c>
      <c r="D966" s="349" t="s">
        <v>75</v>
      </c>
      <c r="E966" s="349" t="s">
        <v>1098</v>
      </c>
      <c r="F966" s="413">
        <v>26556.61</v>
      </c>
      <c r="G966" s="403"/>
      <c r="H966" s="349" t="s">
        <v>1416</v>
      </c>
      <c r="I966" s="404" t="str">
        <f t="shared" si="10"/>
        <v>NOT PAID</v>
      </c>
      <c r="J966" s="402"/>
      <c r="K966" s="402"/>
      <c r="L966" s="402"/>
      <c r="M966" s="402"/>
      <c r="N966" s="402"/>
      <c r="O966" s="402"/>
      <c r="P966" s="402"/>
      <c r="Q966" s="402"/>
      <c r="R966" s="402"/>
      <c r="S966" s="402"/>
      <c r="T966" s="402"/>
      <c r="U966" s="402"/>
      <c r="V966" s="402"/>
      <c r="W966" s="402"/>
      <c r="X966" s="402"/>
      <c r="Y966" s="402"/>
      <c r="Z966" s="402"/>
      <c r="AA966" s="405"/>
      <c r="AB966" s="405"/>
    </row>
    <row r="967" ht="14.25" customHeight="1">
      <c r="A967" s="497">
        <v>45518.0</v>
      </c>
      <c r="B967" s="349" t="s">
        <v>701</v>
      </c>
      <c r="C967" s="349" t="s">
        <v>702</v>
      </c>
      <c r="D967" s="349" t="s">
        <v>54</v>
      </c>
      <c r="E967" s="349" t="s">
        <v>1098</v>
      </c>
      <c r="F967" s="413">
        <v>7124.66</v>
      </c>
      <c r="G967" s="413"/>
      <c r="H967" s="349" t="s">
        <v>1397</v>
      </c>
      <c r="I967" s="404" t="str">
        <f t="shared" si="10"/>
        <v>NOT PAID</v>
      </c>
      <c r="J967" s="402"/>
      <c r="K967" s="402"/>
      <c r="L967" s="402"/>
      <c r="M967" s="402"/>
      <c r="N967" s="402"/>
      <c r="O967" s="402"/>
      <c r="P967" s="402"/>
      <c r="Q967" s="402"/>
      <c r="R967" s="402"/>
      <c r="S967" s="402"/>
      <c r="T967" s="402"/>
      <c r="U967" s="402"/>
      <c r="V967" s="402"/>
      <c r="W967" s="402"/>
      <c r="X967" s="402"/>
      <c r="Y967" s="402"/>
      <c r="Z967" s="402"/>
      <c r="AA967" s="405"/>
      <c r="AB967" s="405"/>
    </row>
    <row r="968" ht="14.25" customHeight="1">
      <c r="A968" s="497">
        <v>45518.0</v>
      </c>
      <c r="B968" s="505" t="s">
        <v>1120</v>
      </c>
      <c r="C968" s="506" t="s">
        <v>1121</v>
      </c>
      <c r="D968" s="507" t="s">
        <v>346</v>
      </c>
      <c r="E968" s="349" t="s">
        <v>1098</v>
      </c>
      <c r="F968" s="508">
        <v>63864.94</v>
      </c>
      <c r="G968" s="403"/>
      <c r="H968" s="349" t="s">
        <v>1488</v>
      </c>
      <c r="I968" s="404" t="str">
        <f t="shared" si="10"/>
        <v>NOT PAID</v>
      </c>
      <c r="J968" s="402"/>
      <c r="K968" s="402"/>
      <c r="L968" s="402"/>
      <c r="M968" s="402"/>
      <c r="N968" s="402"/>
      <c r="O968" s="402"/>
      <c r="P968" s="402"/>
      <c r="Q968" s="402"/>
      <c r="R968" s="402"/>
      <c r="S968" s="402"/>
      <c r="T968" s="402"/>
      <c r="U968" s="402"/>
      <c r="V968" s="402"/>
      <c r="W968" s="402"/>
      <c r="X968" s="402"/>
      <c r="Y968" s="402"/>
      <c r="Z968" s="402"/>
      <c r="AA968" s="405"/>
      <c r="AB968" s="405"/>
    </row>
    <row r="969" ht="14.25" customHeight="1">
      <c r="A969" s="497">
        <v>45518.0</v>
      </c>
      <c r="B969" s="492" t="s">
        <v>729</v>
      </c>
      <c r="C969" s="493" t="s">
        <v>995</v>
      </c>
      <c r="D969" s="493" t="s">
        <v>54</v>
      </c>
      <c r="E969" s="349" t="s">
        <v>1098</v>
      </c>
      <c r="F969" s="494">
        <v>357832.09</v>
      </c>
      <c r="G969" s="403"/>
      <c r="H969" s="349" t="s">
        <v>1489</v>
      </c>
      <c r="I969" s="404" t="str">
        <f t="shared" si="10"/>
        <v>NOT PAID</v>
      </c>
      <c r="J969" s="402"/>
      <c r="K969" s="402"/>
      <c r="L969" s="402"/>
      <c r="M969" s="402"/>
      <c r="N969" s="402"/>
      <c r="O969" s="402"/>
      <c r="P969" s="402"/>
      <c r="Q969" s="402"/>
      <c r="R969" s="402"/>
      <c r="S969" s="402"/>
      <c r="T969" s="402"/>
      <c r="U969" s="402"/>
      <c r="V969" s="402"/>
      <c r="W969" s="402"/>
      <c r="X969" s="402"/>
      <c r="Y969" s="402"/>
      <c r="Z969" s="402"/>
      <c r="AA969" s="405"/>
      <c r="AB969" s="405"/>
    </row>
    <row r="970" ht="14.25" customHeight="1">
      <c r="A970" s="497">
        <v>45518.0</v>
      </c>
      <c r="B970" s="509" t="s">
        <v>1381</v>
      </c>
      <c r="C970" s="510" t="s">
        <v>1382</v>
      </c>
      <c r="D970" s="510" t="s">
        <v>54</v>
      </c>
      <c r="E970" s="349" t="s">
        <v>1098</v>
      </c>
      <c r="F970" s="416">
        <v>435340.0</v>
      </c>
      <c r="G970" s="403"/>
      <c r="H970" s="349" t="s">
        <v>1489</v>
      </c>
      <c r="I970" s="404" t="str">
        <f t="shared" si="10"/>
        <v>NOT PAID</v>
      </c>
      <c r="J970" s="402"/>
      <c r="K970" s="402"/>
      <c r="L970" s="402"/>
      <c r="M970" s="402"/>
      <c r="N970" s="402"/>
      <c r="O970" s="402"/>
      <c r="P970" s="402"/>
      <c r="Q970" s="402"/>
      <c r="R970" s="402"/>
      <c r="S970" s="402"/>
      <c r="T970" s="402"/>
      <c r="U970" s="402"/>
      <c r="V970" s="402"/>
      <c r="W970" s="402"/>
      <c r="X970" s="402"/>
      <c r="Y970" s="402"/>
      <c r="Z970" s="402"/>
      <c r="AA970" s="405"/>
      <c r="AB970" s="405"/>
    </row>
    <row r="971" ht="14.25" customHeight="1">
      <c r="A971" s="497">
        <v>45518.0</v>
      </c>
      <c r="B971" s="515" t="s">
        <v>1034</v>
      </c>
      <c r="C971" s="516" t="s">
        <v>1401</v>
      </c>
      <c r="D971" s="516" t="s">
        <v>54</v>
      </c>
      <c r="E971" s="349" t="s">
        <v>1098</v>
      </c>
      <c r="F971" s="416">
        <v>47840.0</v>
      </c>
      <c r="G971" s="403"/>
      <c r="H971" s="349" t="s">
        <v>1517</v>
      </c>
      <c r="I971" s="404" t="str">
        <f t="shared" si="10"/>
        <v>NOT PAID</v>
      </c>
      <c r="J971" s="402"/>
      <c r="K971" s="402"/>
      <c r="L971" s="402"/>
      <c r="M971" s="402"/>
      <c r="N971" s="402"/>
      <c r="O971" s="402"/>
      <c r="P971" s="402"/>
      <c r="Q971" s="402"/>
      <c r="R971" s="402"/>
      <c r="S971" s="402"/>
      <c r="T971" s="402"/>
      <c r="U971" s="402"/>
      <c r="V971" s="402"/>
      <c r="W971" s="402"/>
      <c r="X971" s="402"/>
      <c r="Y971" s="402"/>
      <c r="Z971" s="402"/>
      <c r="AA971" s="405"/>
      <c r="AB971" s="405"/>
    </row>
    <row r="972" ht="14.25" customHeight="1">
      <c r="A972" s="497">
        <v>45518.0</v>
      </c>
      <c r="B972" s="349" t="s">
        <v>1155</v>
      </c>
      <c r="C972" s="349" t="s">
        <v>1156</v>
      </c>
      <c r="D972" s="493" t="s">
        <v>54</v>
      </c>
      <c r="E972" s="415" t="s">
        <v>1153</v>
      </c>
      <c r="F972" s="413">
        <v>295732.73</v>
      </c>
      <c r="G972" s="403"/>
      <c r="H972" s="349" t="s">
        <v>1518</v>
      </c>
      <c r="I972" s="404" t="str">
        <f t="shared" si="10"/>
        <v>NOT PAID</v>
      </c>
      <c r="J972" s="402"/>
      <c r="K972" s="402"/>
      <c r="L972" s="402"/>
      <c r="M972" s="402"/>
      <c r="N972" s="402"/>
      <c r="O972" s="402"/>
      <c r="P972" s="402"/>
      <c r="Q972" s="402"/>
      <c r="R972" s="402"/>
      <c r="S972" s="402"/>
      <c r="T972" s="402"/>
      <c r="U972" s="402"/>
      <c r="V972" s="402"/>
      <c r="W972" s="402"/>
      <c r="X972" s="402"/>
      <c r="Y972" s="402"/>
      <c r="Z972" s="402"/>
      <c r="AA972" s="405"/>
      <c r="AB972" s="405"/>
    </row>
    <row r="973" ht="14.25" customHeight="1">
      <c r="A973" s="497">
        <v>45518.0</v>
      </c>
      <c r="B973" s="349" t="s">
        <v>960</v>
      </c>
      <c r="C973" s="349" t="s">
        <v>961</v>
      </c>
      <c r="D973" s="493" t="s">
        <v>54</v>
      </c>
      <c r="E973" s="415" t="s">
        <v>1153</v>
      </c>
      <c r="F973" s="413">
        <v>100000.0</v>
      </c>
      <c r="G973" s="403"/>
      <c r="H973" s="349" t="s">
        <v>1519</v>
      </c>
      <c r="I973" s="404" t="str">
        <f t="shared" si="10"/>
        <v>NOT PAID</v>
      </c>
      <c r="J973" s="402"/>
      <c r="K973" s="402"/>
      <c r="L973" s="402"/>
      <c r="M973" s="402"/>
      <c r="N973" s="402"/>
      <c r="O973" s="402"/>
      <c r="P973" s="402"/>
      <c r="Q973" s="402"/>
      <c r="R973" s="402"/>
      <c r="S973" s="402"/>
      <c r="T973" s="402"/>
      <c r="U973" s="402"/>
      <c r="V973" s="402"/>
      <c r="W973" s="402"/>
      <c r="X973" s="402"/>
      <c r="Y973" s="402"/>
      <c r="Z973" s="402"/>
      <c r="AA973" s="405"/>
      <c r="AB973" s="405"/>
    </row>
    <row r="974" ht="14.25" customHeight="1">
      <c r="A974" s="497">
        <v>45518.0</v>
      </c>
      <c r="B974" s="349" t="s">
        <v>1346</v>
      </c>
      <c r="C974" s="349" t="s">
        <v>1347</v>
      </c>
      <c r="D974" s="411" t="s">
        <v>59</v>
      </c>
      <c r="E974" s="415" t="s">
        <v>1153</v>
      </c>
      <c r="F974" s="413">
        <v>300000.0</v>
      </c>
      <c r="G974" s="403"/>
      <c r="H974" s="349" t="s">
        <v>1520</v>
      </c>
      <c r="I974" s="404" t="str">
        <f t="shared" si="10"/>
        <v>NOT PAID</v>
      </c>
      <c r="J974" s="402"/>
      <c r="K974" s="402"/>
      <c r="L974" s="402"/>
      <c r="M974" s="402"/>
      <c r="N974" s="402"/>
      <c r="O974" s="402"/>
      <c r="P974" s="402"/>
      <c r="Q974" s="402"/>
      <c r="R974" s="402"/>
      <c r="S974" s="402"/>
      <c r="T974" s="402"/>
      <c r="U974" s="402"/>
      <c r="V974" s="402"/>
      <c r="W974" s="402"/>
      <c r="X974" s="402"/>
      <c r="Y974" s="402"/>
      <c r="Z974" s="402"/>
      <c r="AA974" s="405"/>
      <c r="AB974" s="405"/>
    </row>
    <row r="975" ht="14.25" customHeight="1">
      <c r="A975" s="497">
        <v>45518.0</v>
      </c>
      <c r="B975" s="529" t="s">
        <v>1521</v>
      </c>
      <c r="C975" s="530" t="s">
        <v>1091</v>
      </c>
      <c r="D975" s="516" t="s">
        <v>75</v>
      </c>
      <c r="E975" s="415" t="s">
        <v>1098</v>
      </c>
      <c r="F975" s="413">
        <v>550000.0</v>
      </c>
      <c r="G975" s="413">
        <v>550000.0</v>
      </c>
      <c r="H975" s="349" t="s">
        <v>1522</v>
      </c>
      <c r="I975" s="404" t="str">
        <f t="shared" si="10"/>
        <v>FULLY PAID</v>
      </c>
      <c r="J975" s="402"/>
      <c r="K975" s="402"/>
      <c r="L975" s="402"/>
      <c r="M975" s="402"/>
      <c r="N975" s="402"/>
      <c r="O975" s="402"/>
      <c r="P975" s="402"/>
      <c r="Q975" s="402"/>
      <c r="R975" s="402"/>
      <c r="S975" s="402"/>
      <c r="T975" s="402"/>
      <c r="U975" s="402"/>
      <c r="V975" s="402"/>
      <c r="W975" s="402"/>
      <c r="X975" s="402"/>
      <c r="Y975" s="402"/>
      <c r="Z975" s="402"/>
      <c r="AA975" s="405"/>
      <c r="AB975" s="405"/>
    </row>
    <row r="976" ht="14.25" customHeight="1">
      <c r="A976" s="497">
        <v>45518.0</v>
      </c>
      <c r="B976" s="349" t="s">
        <v>731</v>
      </c>
      <c r="C976" s="349" t="s">
        <v>732</v>
      </c>
      <c r="D976" s="349" t="s">
        <v>54</v>
      </c>
      <c r="E976" s="349" t="s">
        <v>1139</v>
      </c>
      <c r="F976" s="413">
        <v>3487.08</v>
      </c>
      <c r="G976" s="413">
        <v>0.0</v>
      </c>
      <c r="H976" s="349" t="s">
        <v>1523</v>
      </c>
      <c r="I976" s="404" t="str">
        <f t="shared" si="10"/>
        <v>NOT PAID</v>
      </c>
      <c r="J976" s="402"/>
      <c r="K976" s="402"/>
      <c r="L976" s="402"/>
      <c r="M976" s="402"/>
      <c r="N976" s="402"/>
      <c r="O976" s="402"/>
      <c r="P976" s="402"/>
      <c r="Q976" s="402"/>
      <c r="R976" s="402"/>
      <c r="S976" s="402"/>
      <c r="T976" s="402"/>
      <c r="U976" s="402"/>
      <c r="V976" s="402"/>
      <c r="W976" s="402"/>
      <c r="X976" s="402"/>
      <c r="Y976" s="402"/>
      <c r="Z976" s="402"/>
      <c r="AA976" s="405"/>
      <c r="AB976" s="405"/>
    </row>
    <row r="977" ht="14.25" customHeight="1">
      <c r="A977" s="497">
        <v>45518.0</v>
      </c>
      <c r="B977" s="414" t="s">
        <v>1006</v>
      </c>
      <c r="C977" s="415" t="s">
        <v>1464</v>
      </c>
      <c r="D977" s="519" t="s">
        <v>54</v>
      </c>
      <c r="E977" s="349" t="s">
        <v>1139</v>
      </c>
      <c r="F977" s="413">
        <v>199690.31</v>
      </c>
      <c r="G977" s="413">
        <v>0.0</v>
      </c>
      <c r="H977" s="349" t="s">
        <v>1524</v>
      </c>
      <c r="I977" s="404" t="str">
        <f t="shared" si="10"/>
        <v>NOT PAID</v>
      </c>
      <c r="J977" s="402"/>
      <c r="K977" s="402"/>
      <c r="L977" s="402"/>
      <c r="M977" s="402"/>
      <c r="N977" s="402"/>
      <c r="O977" s="402"/>
      <c r="P977" s="402"/>
      <c r="Q977" s="402"/>
      <c r="R977" s="402"/>
      <c r="S977" s="402"/>
      <c r="T977" s="402"/>
      <c r="U977" s="402"/>
      <c r="V977" s="402"/>
      <c r="W977" s="402"/>
      <c r="X977" s="402"/>
      <c r="Y977" s="402"/>
      <c r="Z977" s="402"/>
      <c r="AA977" s="405"/>
      <c r="AB977" s="405"/>
    </row>
    <row r="978" ht="14.25" customHeight="1">
      <c r="A978" s="497">
        <v>45518.0</v>
      </c>
      <c r="B978" s="414" t="s">
        <v>1425</v>
      </c>
      <c r="C978" s="415" t="s">
        <v>1426</v>
      </c>
      <c r="D978" s="415" t="s">
        <v>54</v>
      </c>
      <c r="E978" s="349" t="s">
        <v>1139</v>
      </c>
      <c r="F978" s="413">
        <v>95496.0</v>
      </c>
      <c r="G978" s="413">
        <v>110000.0</v>
      </c>
      <c r="H978" s="349" t="s">
        <v>1522</v>
      </c>
      <c r="I978" s="404" t="str">
        <f t="shared" si="10"/>
        <v>FULLY PAID</v>
      </c>
      <c r="J978" s="402"/>
      <c r="K978" s="402"/>
      <c r="L978" s="402"/>
      <c r="M978" s="402"/>
      <c r="N978" s="402"/>
      <c r="O978" s="402"/>
      <c r="P978" s="402"/>
      <c r="Q978" s="402"/>
      <c r="R978" s="402"/>
      <c r="S978" s="402"/>
      <c r="T978" s="402"/>
      <c r="U978" s="402"/>
      <c r="V978" s="402"/>
      <c r="W978" s="402"/>
      <c r="X978" s="402"/>
      <c r="Y978" s="402"/>
      <c r="Z978" s="402"/>
      <c r="AA978" s="405"/>
      <c r="AB978" s="405"/>
    </row>
    <row r="979" ht="14.25" customHeight="1">
      <c r="A979" s="497">
        <v>45518.0</v>
      </c>
      <c r="B979" s="414" t="s">
        <v>1525</v>
      </c>
      <c r="C979" s="415" t="s">
        <v>1426</v>
      </c>
      <c r="D979" s="415" t="s">
        <v>346</v>
      </c>
      <c r="E979" s="349" t="s">
        <v>1139</v>
      </c>
      <c r="F979" s="413">
        <v>11520.0</v>
      </c>
      <c r="G979" s="413">
        <v>0.0</v>
      </c>
      <c r="H979" s="349" t="s">
        <v>1526</v>
      </c>
      <c r="I979" s="404" t="str">
        <f t="shared" si="10"/>
        <v>NOT PAID</v>
      </c>
      <c r="J979" s="402"/>
      <c r="K979" s="402"/>
      <c r="L979" s="402"/>
      <c r="M979" s="402"/>
      <c r="N979" s="402"/>
      <c r="O979" s="402"/>
      <c r="P979" s="402"/>
      <c r="Q979" s="402"/>
      <c r="R979" s="402"/>
      <c r="S979" s="402"/>
      <c r="T979" s="402"/>
      <c r="U979" s="402"/>
      <c r="V979" s="402"/>
      <c r="W979" s="402"/>
      <c r="X979" s="402"/>
      <c r="Y979" s="402"/>
      <c r="Z979" s="402"/>
      <c r="AA979" s="405"/>
      <c r="AB979" s="405"/>
    </row>
    <row r="980" ht="14.25" customHeight="1">
      <c r="A980" s="497">
        <v>45518.0</v>
      </c>
      <c r="B980" s="518" t="s">
        <v>1137</v>
      </c>
      <c r="C980" s="519" t="s">
        <v>1138</v>
      </c>
      <c r="D980" s="519" t="s">
        <v>54</v>
      </c>
      <c r="E980" s="349" t="s">
        <v>1139</v>
      </c>
      <c r="F980" s="413">
        <v>5449.5</v>
      </c>
      <c r="G980" s="413">
        <v>5449.5</v>
      </c>
      <c r="H980" s="349" t="s">
        <v>876</v>
      </c>
      <c r="I980" s="404" t="str">
        <f t="shared" si="10"/>
        <v>FULLY PAID</v>
      </c>
      <c r="J980" s="402"/>
      <c r="K980" s="402"/>
      <c r="L980" s="402"/>
      <c r="M980" s="402"/>
      <c r="N980" s="402"/>
      <c r="O980" s="402"/>
      <c r="P980" s="402"/>
      <c r="Q980" s="402"/>
      <c r="R980" s="402"/>
      <c r="S980" s="402"/>
      <c r="T980" s="402"/>
      <c r="U980" s="402"/>
      <c r="V980" s="402"/>
      <c r="W980" s="402"/>
      <c r="X980" s="402"/>
      <c r="Y980" s="402"/>
      <c r="Z980" s="402"/>
      <c r="AA980" s="405"/>
      <c r="AB980" s="405"/>
    </row>
    <row r="981" ht="14.25" customHeight="1">
      <c r="A981" s="497">
        <v>45518.0</v>
      </c>
      <c r="B981" s="349" t="s">
        <v>698</v>
      </c>
      <c r="C981" s="349" t="s">
        <v>1167</v>
      </c>
      <c r="D981" s="349" t="s">
        <v>54</v>
      </c>
      <c r="E981" s="349" t="s">
        <v>1168</v>
      </c>
      <c r="F981" s="413">
        <v>15291.93</v>
      </c>
      <c r="G981" s="403"/>
      <c r="H981" s="349" t="s">
        <v>1527</v>
      </c>
      <c r="I981" s="404" t="str">
        <f t="shared" si="10"/>
        <v>NOT PAID</v>
      </c>
      <c r="J981" s="402"/>
      <c r="K981" s="402"/>
      <c r="L981" s="402"/>
      <c r="M981" s="402"/>
      <c r="N981" s="402"/>
      <c r="O981" s="402"/>
      <c r="P981" s="402"/>
      <c r="Q981" s="402"/>
      <c r="R981" s="402"/>
      <c r="S981" s="402"/>
      <c r="T981" s="402"/>
      <c r="U981" s="402"/>
      <c r="V981" s="402"/>
      <c r="W981" s="402"/>
      <c r="X981" s="402"/>
      <c r="Y981" s="402"/>
      <c r="Z981" s="402"/>
      <c r="AA981" s="405"/>
      <c r="AB981" s="405"/>
    </row>
    <row r="982" ht="14.25" customHeight="1">
      <c r="A982" s="497">
        <v>45518.0</v>
      </c>
      <c r="B982" s="349" t="s">
        <v>997</v>
      </c>
      <c r="C982" s="349" t="s">
        <v>998</v>
      </c>
      <c r="D982" s="349" t="s">
        <v>263</v>
      </c>
      <c r="E982" s="349" t="s">
        <v>1168</v>
      </c>
      <c r="F982" s="413">
        <v>81947.25</v>
      </c>
      <c r="G982" s="403"/>
      <c r="H982" s="349" t="s">
        <v>1528</v>
      </c>
      <c r="I982" s="404" t="str">
        <f t="shared" si="10"/>
        <v>NOT PAID</v>
      </c>
      <c r="J982" s="402"/>
      <c r="K982" s="402"/>
      <c r="L982" s="402"/>
      <c r="M982" s="402"/>
      <c r="N982" s="402"/>
      <c r="O982" s="402"/>
      <c r="P982" s="402"/>
      <c r="Q982" s="402"/>
      <c r="R982" s="402"/>
      <c r="S982" s="402"/>
      <c r="T982" s="402"/>
      <c r="U982" s="402"/>
      <c r="V982" s="402"/>
      <c r="W982" s="402"/>
      <c r="X982" s="402"/>
      <c r="Y982" s="402"/>
      <c r="Z982" s="402"/>
      <c r="AA982" s="405"/>
      <c r="AB982" s="405"/>
    </row>
    <row r="983" ht="14.25" customHeight="1">
      <c r="A983" s="497">
        <v>45518.0</v>
      </c>
      <c r="B983" s="343" t="s">
        <v>1223</v>
      </c>
      <c r="C983" s="344" t="s">
        <v>998</v>
      </c>
      <c r="D983" s="344" t="s">
        <v>346</v>
      </c>
      <c r="E983" s="349" t="s">
        <v>1168</v>
      </c>
      <c r="F983" s="452">
        <v>28350.0</v>
      </c>
      <c r="G983" s="403"/>
      <c r="H983" s="349" t="s">
        <v>1528</v>
      </c>
      <c r="I983" s="404" t="str">
        <f t="shared" si="10"/>
        <v>NOT PAID</v>
      </c>
      <c r="J983" s="402"/>
      <c r="K983" s="402"/>
      <c r="L983" s="402"/>
      <c r="M983" s="402"/>
      <c r="N983" s="402"/>
      <c r="O983" s="402"/>
      <c r="P983" s="402"/>
      <c r="Q983" s="402"/>
      <c r="R983" s="402"/>
      <c r="S983" s="402"/>
      <c r="T983" s="402"/>
      <c r="U983" s="402"/>
      <c r="V983" s="402"/>
      <c r="W983" s="402"/>
      <c r="X983" s="402"/>
      <c r="Y983" s="402"/>
      <c r="Z983" s="402"/>
      <c r="AA983" s="405"/>
      <c r="AB983" s="405"/>
    </row>
    <row r="984" ht="14.25" customHeight="1">
      <c r="A984" s="497">
        <v>45518.0</v>
      </c>
      <c r="B984" s="343" t="s">
        <v>695</v>
      </c>
      <c r="C984" s="344" t="s">
        <v>1529</v>
      </c>
      <c r="D984" s="344" t="s">
        <v>54</v>
      </c>
      <c r="E984" s="349" t="s">
        <v>1168</v>
      </c>
      <c r="F984" s="442">
        <v>71570.81</v>
      </c>
      <c r="G984" s="413"/>
      <c r="H984" s="349" t="s">
        <v>1530</v>
      </c>
      <c r="I984" s="404" t="str">
        <f t="shared" si="10"/>
        <v>NOT PAID</v>
      </c>
      <c r="J984" s="402"/>
      <c r="K984" s="402"/>
      <c r="L984" s="402"/>
      <c r="M984" s="402"/>
      <c r="N984" s="402"/>
      <c r="O984" s="402"/>
      <c r="P984" s="402"/>
      <c r="Q984" s="402"/>
      <c r="R984" s="402"/>
      <c r="S984" s="402"/>
      <c r="T984" s="402"/>
      <c r="U984" s="402"/>
      <c r="V984" s="402"/>
      <c r="W984" s="402"/>
      <c r="X984" s="402"/>
      <c r="Y984" s="402"/>
      <c r="Z984" s="402"/>
      <c r="AA984" s="405"/>
      <c r="AB984" s="405"/>
    </row>
    <row r="985" ht="14.25" customHeight="1">
      <c r="A985" s="497">
        <v>45518.0</v>
      </c>
      <c r="B985" s="414" t="s">
        <v>1531</v>
      </c>
      <c r="C985" s="415" t="s">
        <v>1532</v>
      </c>
      <c r="D985" s="344" t="s">
        <v>54</v>
      </c>
      <c r="E985" s="349" t="s">
        <v>1168</v>
      </c>
      <c r="F985" s="531">
        <v>28413.0</v>
      </c>
      <c r="G985" s="531">
        <v>28413.0</v>
      </c>
      <c r="H985" s="349" t="s">
        <v>1533</v>
      </c>
      <c r="I985" s="404" t="str">
        <f t="shared" si="10"/>
        <v>FULLY PAID</v>
      </c>
      <c r="J985" s="402"/>
      <c r="K985" s="402"/>
      <c r="L985" s="402"/>
      <c r="M985" s="402"/>
      <c r="N985" s="402"/>
      <c r="O985" s="402"/>
      <c r="P985" s="402"/>
      <c r="Q985" s="402"/>
      <c r="R985" s="402"/>
      <c r="S985" s="402"/>
      <c r="T985" s="402"/>
      <c r="U985" s="402"/>
      <c r="V985" s="402"/>
      <c r="W985" s="402"/>
      <c r="X985" s="402"/>
      <c r="Y985" s="402"/>
      <c r="Z985" s="402"/>
      <c r="AA985" s="405"/>
      <c r="AB985" s="405"/>
    </row>
    <row r="986" ht="14.25" customHeight="1">
      <c r="A986" s="497">
        <v>45518.0</v>
      </c>
      <c r="B986" s="343" t="s">
        <v>767</v>
      </c>
      <c r="C986" s="344" t="s">
        <v>768</v>
      </c>
      <c r="D986" s="344" t="s">
        <v>54</v>
      </c>
      <c r="E986" s="344" t="s">
        <v>1143</v>
      </c>
      <c r="F986" s="442">
        <v>388673.94</v>
      </c>
      <c r="G986" s="531">
        <v>369310.0</v>
      </c>
      <c r="H986" s="349" t="s">
        <v>1534</v>
      </c>
      <c r="I986" s="404" t="str">
        <f t="shared" si="10"/>
        <v>PARTIALLY PAID</v>
      </c>
      <c r="J986" s="402"/>
      <c r="K986" s="402"/>
      <c r="L986" s="402"/>
      <c r="M986" s="402"/>
      <c r="N986" s="402"/>
      <c r="O986" s="402"/>
      <c r="P986" s="402"/>
      <c r="Q986" s="402"/>
      <c r="R986" s="402"/>
      <c r="S986" s="402"/>
      <c r="T986" s="402"/>
      <c r="U986" s="402"/>
      <c r="V986" s="402"/>
      <c r="W986" s="402"/>
      <c r="X986" s="402"/>
      <c r="Y986" s="402"/>
      <c r="Z986" s="402"/>
      <c r="AA986" s="405"/>
      <c r="AB986" s="405"/>
    </row>
    <row r="987" ht="14.25" customHeight="1">
      <c r="A987" s="497">
        <v>45518.0</v>
      </c>
      <c r="B987" s="343" t="s">
        <v>1503</v>
      </c>
      <c r="C987" s="344" t="s">
        <v>1504</v>
      </c>
      <c r="D987" s="344" t="s">
        <v>54</v>
      </c>
      <c r="E987" s="344" t="s">
        <v>1143</v>
      </c>
      <c r="F987" s="442">
        <v>16812.0</v>
      </c>
      <c r="G987" s="413">
        <v>0.0</v>
      </c>
      <c r="H987" s="349" t="s">
        <v>1535</v>
      </c>
      <c r="I987" s="404" t="str">
        <f t="shared" si="10"/>
        <v>NOT PAID</v>
      </c>
      <c r="J987" s="402"/>
      <c r="K987" s="402"/>
      <c r="L987" s="402"/>
      <c r="M987" s="402"/>
      <c r="N987" s="402"/>
      <c r="O987" s="402"/>
      <c r="P987" s="402"/>
      <c r="Q987" s="402"/>
      <c r="R987" s="402"/>
      <c r="S987" s="402"/>
      <c r="T987" s="402"/>
      <c r="U987" s="402"/>
      <c r="V987" s="402"/>
      <c r="W987" s="402"/>
      <c r="X987" s="402"/>
      <c r="Y987" s="402"/>
      <c r="Z987" s="402"/>
      <c r="AA987" s="405"/>
      <c r="AB987" s="405"/>
    </row>
    <row r="988" ht="14.25" customHeight="1">
      <c r="A988" s="497">
        <v>45518.0</v>
      </c>
      <c r="B988" s="343" t="s">
        <v>1475</v>
      </c>
      <c r="C988" s="344" t="s">
        <v>765</v>
      </c>
      <c r="D988" s="344" t="s">
        <v>75</v>
      </c>
      <c r="E988" s="344" t="s">
        <v>1143</v>
      </c>
      <c r="F988" s="442">
        <v>95970.0</v>
      </c>
      <c r="G988" s="413">
        <v>0.0</v>
      </c>
      <c r="H988" s="349" t="s">
        <v>1144</v>
      </c>
      <c r="I988" s="404" t="str">
        <f t="shared" si="10"/>
        <v>NOT PAID</v>
      </c>
      <c r="J988" s="402"/>
      <c r="K988" s="402"/>
      <c r="L988" s="402"/>
      <c r="M988" s="402"/>
      <c r="N988" s="402"/>
      <c r="O988" s="402"/>
      <c r="P988" s="402"/>
      <c r="Q988" s="402"/>
      <c r="R988" s="402"/>
      <c r="S988" s="402"/>
      <c r="T988" s="402"/>
      <c r="U988" s="402"/>
      <c r="V988" s="402"/>
      <c r="W988" s="402"/>
      <c r="X988" s="402"/>
      <c r="Y988" s="402"/>
      <c r="Z988" s="402"/>
      <c r="AA988" s="405"/>
      <c r="AB988" s="405"/>
    </row>
    <row r="989" ht="14.25" customHeight="1">
      <c r="A989" s="497">
        <v>45518.0</v>
      </c>
      <c r="B989" s="343" t="s">
        <v>788</v>
      </c>
      <c r="C989" s="344" t="s">
        <v>789</v>
      </c>
      <c r="D989" s="344" t="s">
        <v>54</v>
      </c>
      <c r="E989" s="344" t="s">
        <v>1143</v>
      </c>
      <c r="F989" s="442">
        <v>98777.16</v>
      </c>
      <c r="G989" s="413">
        <v>0.0</v>
      </c>
      <c r="H989" s="349" t="s">
        <v>1536</v>
      </c>
      <c r="I989" s="404" t="str">
        <f t="shared" si="10"/>
        <v>NOT PAID</v>
      </c>
      <c r="J989" s="402"/>
      <c r="K989" s="402"/>
      <c r="L989" s="402"/>
      <c r="M989" s="402"/>
      <c r="N989" s="402"/>
      <c r="O989" s="402"/>
      <c r="P989" s="402"/>
      <c r="Q989" s="402"/>
      <c r="R989" s="402"/>
      <c r="S989" s="402"/>
      <c r="T989" s="402"/>
      <c r="U989" s="402"/>
      <c r="V989" s="402"/>
      <c r="W989" s="402"/>
      <c r="X989" s="402"/>
      <c r="Y989" s="402"/>
      <c r="Z989" s="402"/>
      <c r="AA989" s="405"/>
      <c r="AB989" s="405"/>
    </row>
    <row r="990" ht="14.25" customHeight="1">
      <c r="A990" s="497">
        <v>45518.0</v>
      </c>
      <c r="B990" s="343" t="s">
        <v>1012</v>
      </c>
      <c r="C990" s="344" t="s">
        <v>1013</v>
      </c>
      <c r="D990" s="344" t="s">
        <v>75</v>
      </c>
      <c r="E990" s="344" t="s">
        <v>1143</v>
      </c>
      <c r="F990" s="442">
        <v>221725.0</v>
      </c>
      <c r="G990" s="413">
        <v>0.0</v>
      </c>
      <c r="H990" s="349" t="s">
        <v>1537</v>
      </c>
      <c r="I990" s="404" t="str">
        <f t="shared" si="10"/>
        <v>NOT PAID</v>
      </c>
      <c r="J990" s="402"/>
      <c r="K990" s="402"/>
      <c r="L990" s="402"/>
      <c r="M990" s="402"/>
      <c r="N990" s="402"/>
      <c r="O990" s="402"/>
      <c r="P990" s="402"/>
      <c r="Q990" s="402"/>
      <c r="R990" s="402"/>
      <c r="S990" s="402"/>
      <c r="T990" s="402"/>
      <c r="U990" s="402"/>
      <c r="V990" s="402"/>
      <c r="W990" s="402"/>
      <c r="X990" s="402"/>
      <c r="Y990" s="402"/>
      <c r="Z990" s="402"/>
      <c r="AA990" s="405"/>
      <c r="AB990" s="405"/>
    </row>
    <row r="991" ht="14.25" customHeight="1">
      <c r="A991" s="497">
        <v>45518.0</v>
      </c>
      <c r="B991" s="410" t="s">
        <v>827</v>
      </c>
      <c r="C991" s="411" t="s">
        <v>828</v>
      </c>
      <c r="D991" s="411" t="s">
        <v>54</v>
      </c>
      <c r="E991" s="411" t="s">
        <v>1143</v>
      </c>
      <c r="F991" s="489">
        <v>1000000.0</v>
      </c>
      <c r="G991" s="413">
        <v>0.0</v>
      </c>
      <c r="H991" s="349" t="s">
        <v>1538</v>
      </c>
      <c r="I991" s="404" t="str">
        <f t="shared" si="10"/>
        <v>NOT PAID</v>
      </c>
      <c r="J991" s="402"/>
      <c r="K991" s="402"/>
      <c r="L991" s="402"/>
      <c r="M991" s="402"/>
      <c r="N991" s="402"/>
      <c r="O991" s="402"/>
      <c r="P991" s="402"/>
      <c r="Q991" s="402"/>
      <c r="R991" s="402"/>
      <c r="S991" s="402"/>
      <c r="T991" s="402"/>
      <c r="U991" s="402"/>
      <c r="V991" s="402"/>
      <c r="W991" s="402"/>
      <c r="X991" s="402"/>
      <c r="Y991" s="402"/>
      <c r="Z991" s="402"/>
      <c r="AA991" s="405"/>
      <c r="AB991" s="405"/>
    </row>
    <row r="992" ht="14.25" customHeight="1">
      <c r="A992" s="497">
        <v>45518.0</v>
      </c>
      <c r="B992" s="349" t="s">
        <v>1176</v>
      </c>
      <c r="C992" s="349" t="s">
        <v>1366</v>
      </c>
      <c r="D992" s="349" t="s">
        <v>258</v>
      </c>
      <c r="E992" s="349" t="s">
        <v>1173</v>
      </c>
      <c r="F992" s="413">
        <v>1000000.0</v>
      </c>
      <c r="G992" s="403"/>
      <c r="H992" s="402"/>
      <c r="I992" s="404" t="str">
        <f t="shared" si="10"/>
        <v>NOT PAID</v>
      </c>
      <c r="J992" s="402"/>
      <c r="K992" s="402"/>
      <c r="L992" s="402"/>
      <c r="M992" s="402"/>
      <c r="N992" s="402"/>
      <c r="O992" s="402"/>
      <c r="P992" s="402"/>
      <c r="Q992" s="402"/>
      <c r="R992" s="402"/>
      <c r="S992" s="402"/>
      <c r="T992" s="402"/>
      <c r="U992" s="402"/>
      <c r="V992" s="402"/>
      <c r="W992" s="402"/>
      <c r="X992" s="402"/>
      <c r="Y992" s="402"/>
      <c r="Z992" s="402"/>
      <c r="AA992" s="405"/>
      <c r="AB992" s="405"/>
    </row>
    <row r="993" ht="14.25" customHeight="1">
      <c r="A993" s="497"/>
      <c r="B993" s="402"/>
      <c r="C993" s="402"/>
      <c r="D993" s="402"/>
      <c r="E993" s="402"/>
      <c r="F993" s="403"/>
      <c r="G993" s="403"/>
      <c r="H993" s="402"/>
      <c r="I993" s="404" t="str">
        <f t="shared" si="10"/>
        <v>FULLY PAID</v>
      </c>
      <c r="J993" s="402"/>
      <c r="K993" s="402"/>
      <c r="L993" s="402"/>
      <c r="M993" s="402"/>
      <c r="N993" s="402"/>
      <c r="O993" s="402"/>
      <c r="P993" s="402"/>
      <c r="Q993" s="402"/>
      <c r="R993" s="402"/>
      <c r="S993" s="402"/>
      <c r="T993" s="402"/>
      <c r="U993" s="402"/>
      <c r="V993" s="402"/>
      <c r="W993" s="402"/>
      <c r="X993" s="402"/>
      <c r="Y993" s="402"/>
      <c r="Z993" s="402"/>
      <c r="AA993" s="405"/>
      <c r="AB993" s="405"/>
    </row>
    <row r="994" ht="14.25" customHeight="1">
      <c r="A994" s="497"/>
      <c r="B994" s="402"/>
      <c r="C994" s="402"/>
      <c r="D994" s="402"/>
      <c r="E994" s="402"/>
      <c r="F994" s="403"/>
      <c r="G994" s="403"/>
      <c r="H994" s="402"/>
      <c r="I994" s="404" t="str">
        <f t="shared" si="10"/>
        <v>FULLY PAID</v>
      </c>
      <c r="J994" s="402"/>
      <c r="K994" s="402"/>
      <c r="L994" s="402"/>
      <c r="M994" s="402"/>
      <c r="N994" s="402"/>
      <c r="O994" s="402"/>
      <c r="P994" s="402"/>
      <c r="Q994" s="402"/>
      <c r="R994" s="402"/>
      <c r="S994" s="402"/>
      <c r="T994" s="402"/>
      <c r="U994" s="402"/>
      <c r="V994" s="402"/>
      <c r="W994" s="402"/>
      <c r="X994" s="402"/>
      <c r="Y994" s="402"/>
      <c r="Z994" s="402"/>
      <c r="AA994" s="405"/>
      <c r="AB994" s="405"/>
    </row>
    <row r="995" ht="14.25" customHeight="1">
      <c r="A995" s="497"/>
      <c r="B995" s="402"/>
      <c r="C995" s="402"/>
      <c r="D995" s="402"/>
      <c r="E995" s="402"/>
      <c r="F995" s="403"/>
      <c r="G995" s="403"/>
      <c r="H995" s="402"/>
      <c r="I995" s="404" t="str">
        <f t="shared" si="10"/>
        <v>FULLY PAID</v>
      </c>
      <c r="J995" s="402"/>
      <c r="K995" s="402"/>
      <c r="L995" s="402"/>
      <c r="M995" s="402"/>
      <c r="N995" s="402"/>
      <c r="O995" s="402"/>
      <c r="P995" s="402"/>
      <c r="Q995" s="402"/>
      <c r="R995" s="402"/>
      <c r="S995" s="402"/>
      <c r="T995" s="402"/>
      <c r="U995" s="402"/>
      <c r="V995" s="402"/>
      <c r="W995" s="402"/>
      <c r="X995" s="402"/>
      <c r="Y995" s="402"/>
      <c r="Z995" s="402"/>
      <c r="AA995" s="405"/>
      <c r="AB995" s="405"/>
    </row>
    <row r="996" ht="14.25" customHeight="1">
      <c r="A996" s="497"/>
      <c r="B996" s="402"/>
      <c r="C996" s="424" t="s">
        <v>797</v>
      </c>
      <c r="D996" s="402"/>
      <c r="E996" s="402"/>
      <c r="F996" s="403"/>
      <c r="G996" s="403"/>
      <c r="H996" s="402"/>
      <c r="I996" s="404" t="str">
        <f t="shared" si="10"/>
        <v>FULLY PAID</v>
      </c>
      <c r="J996" s="402"/>
      <c r="K996" s="402"/>
      <c r="L996" s="402"/>
      <c r="M996" s="402"/>
      <c r="N996" s="402"/>
      <c r="O996" s="402"/>
      <c r="P996" s="402"/>
      <c r="Q996" s="402"/>
      <c r="R996" s="402"/>
      <c r="S996" s="402"/>
      <c r="T996" s="402"/>
      <c r="U996" s="402"/>
      <c r="V996" s="402"/>
      <c r="W996" s="402"/>
      <c r="X996" s="402"/>
      <c r="Y996" s="402"/>
      <c r="Z996" s="402"/>
      <c r="AA996" s="405"/>
      <c r="AB996" s="405"/>
    </row>
    <row r="997" ht="14.25" customHeight="1">
      <c r="A997" s="497">
        <v>45518.0</v>
      </c>
      <c r="B997" s="349" t="s">
        <v>1087</v>
      </c>
      <c r="C997" s="349" t="s">
        <v>1088</v>
      </c>
      <c r="D997" s="349" t="s">
        <v>54</v>
      </c>
      <c r="E997" s="349" t="s">
        <v>1255</v>
      </c>
      <c r="F997" s="413">
        <v>69673.5</v>
      </c>
      <c r="G997" s="403"/>
      <c r="H997" s="349" t="s">
        <v>1539</v>
      </c>
      <c r="I997" s="404" t="str">
        <f t="shared" si="10"/>
        <v>NOT PAID</v>
      </c>
      <c r="J997" s="402"/>
      <c r="K997" s="402"/>
      <c r="L997" s="402"/>
      <c r="M997" s="402"/>
      <c r="N997" s="402"/>
      <c r="O997" s="402"/>
      <c r="P997" s="402"/>
      <c r="Q997" s="402"/>
      <c r="R997" s="402"/>
      <c r="S997" s="402"/>
      <c r="T997" s="402"/>
      <c r="U997" s="402"/>
      <c r="V997" s="402"/>
      <c r="W997" s="402"/>
      <c r="X997" s="402"/>
      <c r="Y997" s="402"/>
      <c r="Z997" s="402"/>
      <c r="AA997" s="405"/>
      <c r="AB997" s="405"/>
    </row>
    <row r="998" ht="14.25" customHeight="1">
      <c r="A998" s="497">
        <v>45518.0</v>
      </c>
      <c r="B998" s="349" t="s">
        <v>783</v>
      </c>
      <c r="C998" s="349" t="s">
        <v>784</v>
      </c>
      <c r="D998" s="349" t="s">
        <v>54</v>
      </c>
      <c r="E998" s="349" t="s">
        <v>1255</v>
      </c>
      <c r="F998" s="413">
        <v>30000.0</v>
      </c>
      <c r="G998" s="403"/>
      <c r="H998" s="349" t="s">
        <v>1540</v>
      </c>
      <c r="I998" s="404" t="str">
        <f t="shared" si="10"/>
        <v>NOT PAID</v>
      </c>
      <c r="J998" s="402"/>
      <c r="K998" s="402"/>
      <c r="L998" s="402"/>
      <c r="M998" s="402"/>
      <c r="N998" s="402"/>
      <c r="O998" s="402"/>
      <c r="P998" s="402"/>
      <c r="Q998" s="402"/>
      <c r="R998" s="402"/>
      <c r="S998" s="402"/>
      <c r="T998" s="402"/>
      <c r="U998" s="402"/>
      <c r="V998" s="402"/>
      <c r="W998" s="402"/>
      <c r="X998" s="402"/>
      <c r="Y998" s="402"/>
      <c r="Z998" s="402"/>
      <c r="AA998" s="405"/>
      <c r="AB998" s="405"/>
    </row>
    <row r="999" ht="14.25" customHeight="1">
      <c r="A999" s="497">
        <v>45518.0</v>
      </c>
      <c r="B999" s="349" t="s">
        <v>1329</v>
      </c>
      <c r="C999" s="349" t="s">
        <v>1330</v>
      </c>
      <c r="D999" s="349" t="s">
        <v>54</v>
      </c>
      <c r="E999" s="349" t="s">
        <v>1255</v>
      </c>
      <c r="F999" s="413">
        <v>1500000.0</v>
      </c>
      <c r="G999" s="403"/>
      <c r="H999" s="349" t="s">
        <v>1541</v>
      </c>
      <c r="I999" s="404" t="str">
        <f t="shared" si="10"/>
        <v>NOT PAID</v>
      </c>
      <c r="J999" s="402"/>
      <c r="K999" s="402"/>
      <c r="L999" s="402"/>
      <c r="M999" s="402"/>
      <c r="N999" s="402"/>
      <c r="O999" s="402"/>
      <c r="P999" s="402"/>
      <c r="Q999" s="402"/>
      <c r="R999" s="402"/>
      <c r="S999" s="402"/>
      <c r="T999" s="402"/>
      <c r="U999" s="402"/>
      <c r="V999" s="402"/>
      <c r="W999" s="402"/>
      <c r="X999" s="402"/>
      <c r="Y999" s="402"/>
      <c r="Z999" s="402"/>
      <c r="AA999" s="405"/>
      <c r="AB999" s="405"/>
    </row>
    <row r="1000" ht="14.25" customHeight="1">
      <c r="A1000" s="497">
        <v>45518.0</v>
      </c>
      <c r="B1000" s="349" t="s">
        <v>800</v>
      </c>
      <c r="C1000" s="349" t="s">
        <v>801</v>
      </c>
      <c r="D1000" s="493" t="s">
        <v>54</v>
      </c>
      <c r="E1000" s="349" t="s">
        <v>1255</v>
      </c>
      <c r="F1000" s="413">
        <v>20000.0</v>
      </c>
      <c r="G1000" s="403"/>
      <c r="H1000" s="349" t="s">
        <v>1542</v>
      </c>
      <c r="I1000" s="404" t="str">
        <f t="shared" si="10"/>
        <v>NOT PAID</v>
      </c>
      <c r="J1000" s="402"/>
      <c r="K1000" s="402"/>
      <c r="L1000" s="402"/>
      <c r="M1000" s="402"/>
      <c r="N1000" s="402"/>
      <c r="O1000" s="402"/>
      <c r="P1000" s="402"/>
      <c r="Q1000" s="402"/>
      <c r="R1000" s="402"/>
      <c r="S1000" s="402"/>
      <c r="T1000" s="402"/>
      <c r="U1000" s="402"/>
      <c r="V1000" s="402"/>
      <c r="W1000" s="402"/>
      <c r="X1000" s="402"/>
      <c r="Y1000" s="402"/>
      <c r="Z1000" s="402"/>
      <c r="AA1000" s="405"/>
      <c r="AB1000" s="405"/>
    </row>
    <row r="1001" ht="14.25" customHeight="1">
      <c r="A1001" s="497">
        <v>45518.0</v>
      </c>
      <c r="B1001" s="349" t="s">
        <v>886</v>
      </c>
      <c r="C1001" s="349" t="s">
        <v>884</v>
      </c>
      <c r="D1001" s="349" t="s">
        <v>54</v>
      </c>
      <c r="E1001" s="349" t="s">
        <v>779</v>
      </c>
      <c r="F1001" s="413">
        <v>1200000.0</v>
      </c>
      <c r="G1001" s="403"/>
      <c r="H1001" s="349" t="s">
        <v>1543</v>
      </c>
      <c r="I1001" s="404" t="str">
        <f t="shared" si="10"/>
        <v>NOT PAID</v>
      </c>
      <c r="J1001" s="402"/>
      <c r="K1001" s="402"/>
      <c r="L1001" s="402"/>
      <c r="M1001" s="402"/>
      <c r="N1001" s="402"/>
      <c r="O1001" s="402"/>
      <c r="P1001" s="402"/>
      <c r="Q1001" s="402"/>
      <c r="R1001" s="402"/>
      <c r="S1001" s="402"/>
      <c r="T1001" s="402"/>
      <c r="U1001" s="402"/>
      <c r="V1001" s="402"/>
      <c r="W1001" s="402"/>
      <c r="X1001" s="402"/>
      <c r="Y1001" s="402"/>
      <c r="Z1001" s="402"/>
      <c r="AA1001" s="405"/>
      <c r="AB1001" s="405"/>
    </row>
    <row r="1002" ht="14.25" customHeight="1">
      <c r="A1002" s="497">
        <v>45518.0</v>
      </c>
      <c r="B1002" s="349" t="s">
        <v>1544</v>
      </c>
      <c r="C1002" s="349" t="s">
        <v>1545</v>
      </c>
      <c r="D1002" s="349" t="s">
        <v>59</v>
      </c>
      <c r="E1002" s="349" t="s">
        <v>1546</v>
      </c>
      <c r="F1002" s="413">
        <v>5000000.0</v>
      </c>
      <c r="G1002" s="403"/>
      <c r="H1002" s="349" t="s">
        <v>1547</v>
      </c>
      <c r="I1002" s="404" t="str">
        <f t="shared" si="10"/>
        <v>NOT PAID</v>
      </c>
      <c r="J1002" s="402"/>
      <c r="K1002" s="402"/>
      <c r="L1002" s="402"/>
      <c r="M1002" s="402"/>
      <c r="N1002" s="402"/>
      <c r="O1002" s="402"/>
      <c r="P1002" s="402"/>
      <c r="Q1002" s="402"/>
      <c r="R1002" s="402"/>
      <c r="S1002" s="402"/>
      <c r="T1002" s="402"/>
      <c r="U1002" s="402"/>
      <c r="V1002" s="402"/>
      <c r="W1002" s="402"/>
      <c r="X1002" s="402"/>
      <c r="Y1002" s="402"/>
      <c r="Z1002" s="402"/>
      <c r="AA1002" s="405"/>
      <c r="AB1002" s="405"/>
    </row>
    <row r="1003" ht="14.25" customHeight="1">
      <c r="A1003" s="497"/>
      <c r="B1003" s="402"/>
      <c r="C1003" s="402"/>
      <c r="D1003" s="402"/>
      <c r="E1003" s="402"/>
      <c r="F1003" s="403"/>
      <c r="G1003" s="403"/>
      <c r="H1003" s="402"/>
      <c r="I1003" s="404" t="str">
        <f t="shared" si="10"/>
        <v>FULLY PAID</v>
      </c>
      <c r="J1003" s="402"/>
      <c r="K1003" s="402"/>
      <c r="L1003" s="402"/>
      <c r="M1003" s="402"/>
      <c r="N1003" s="402"/>
      <c r="O1003" s="402"/>
      <c r="P1003" s="402"/>
      <c r="Q1003" s="402"/>
      <c r="R1003" s="402"/>
      <c r="S1003" s="402"/>
      <c r="T1003" s="402"/>
      <c r="U1003" s="402"/>
      <c r="V1003" s="402"/>
      <c r="W1003" s="402"/>
      <c r="X1003" s="402"/>
      <c r="Y1003" s="402"/>
      <c r="Z1003" s="402"/>
      <c r="AA1003" s="405"/>
      <c r="AB1003" s="405"/>
    </row>
    <row r="1004" ht="14.25" customHeight="1">
      <c r="A1004" s="402"/>
      <c r="B1004" s="402"/>
      <c r="C1004" s="402"/>
      <c r="D1004" s="402"/>
      <c r="E1004" s="402"/>
      <c r="F1004" s="403"/>
      <c r="G1004" s="403"/>
      <c r="H1004" s="402"/>
      <c r="I1004" s="404" t="str">
        <f t="shared" si="10"/>
        <v>FULLY PAID</v>
      </c>
      <c r="J1004" s="402"/>
      <c r="K1004" s="402"/>
      <c r="L1004" s="402"/>
      <c r="M1004" s="402"/>
      <c r="N1004" s="402"/>
      <c r="O1004" s="402"/>
      <c r="P1004" s="402"/>
      <c r="Q1004" s="402"/>
      <c r="R1004" s="402"/>
      <c r="S1004" s="402"/>
      <c r="T1004" s="402"/>
      <c r="U1004" s="402"/>
      <c r="V1004" s="402"/>
      <c r="W1004" s="402"/>
      <c r="X1004" s="402"/>
      <c r="Y1004" s="402"/>
      <c r="Z1004" s="402"/>
      <c r="AA1004" s="405"/>
      <c r="AB1004" s="405"/>
    </row>
    <row r="1005" ht="14.25" customHeight="1">
      <c r="A1005" s="402"/>
      <c r="B1005" s="402"/>
      <c r="C1005" s="402"/>
      <c r="D1005" s="402"/>
      <c r="E1005" s="402"/>
      <c r="F1005" s="403"/>
      <c r="G1005" s="403"/>
      <c r="H1005" s="402"/>
      <c r="I1005" s="404" t="str">
        <f t="shared" si="10"/>
        <v>FULLY PAID</v>
      </c>
      <c r="J1005" s="402"/>
      <c r="K1005" s="402"/>
      <c r="L1005" s="402"/>
      <c r="M1005" s="402"/>
      <c r="N1005" s="402"/>
      <c r="O1005" s="402"/>
      <c r="P1005" s="402"/>
      <c r="Q1005" s="402"/>
      <c r="R1005" s="402"/>
      <c r="S1005" s="402"/>
      <c r="T1005" s="402"/>
      <c r="U1005" s="402"/>
      <c r="V1005" s="402"/>
      <c r="W1005" s="402"/>
      <c r="X1005" s="402"/>
      <c r="Y1005" s="402"/>
      <c r="Z1005" s="402"/>
      <c r="AA1005" s="405"/>
      <c r="AB1005" s="405"/>
    </row>
    <row r="1006" ht="14.25" customHeight="1">
      <c r="A1006" s="402"/>
      <c r="B1006" s="424" t="s">
        <v>1548</v>
      </c>
      <c r="C1006" s="402"/>
      <c r="D1006" s="402"/>
      <c r="E1006" s="402"/>
      <c r="F1006" s="403"/>
      <c r="G1006" s="403"/>
      <c r="H1006" s="402"/>
      <c r="I1006" s="404" t="str">
        <f t="shared" si="10"/>
        <v>FULLY PAID</v>
      </c>
      <c r="J1006" s="402"/>
      <c r="K1006" s="402"/>
      <c r="L1006" s="402"/>
      <c r="M1006" s="402"/>
      <c r="N1006" s="402"/>
      <c r="O1006" s="402"/>
      <c r="P1006" s="402"/>
      <c r="Q1006" s="402"/>
      <c r="R1006" s="402"/>
      <c r="S1006" s="402"/>
      <c r="T1006" s="402"/>
      <c r="U1006" s="402"/>
      <c r="V1006" s="402"/>
      <c r="W1006" s="402"/>
      <c r="X1006" s="402"/>
      <c r="Y1006" s="402"/>
      <c r="Z1006" s="402"/>
      <c r="AA1006" s="405"/>
      <c r="AB1006" s="405"/>
    </row>
    <row r="1007" ht="14.25" customHeight="1">
      <c r="A1007" s="497">
        <v>45519.0</v>
      </c>
      <c r="B1007" s="349" t="s">
        <v>1117</v>
      </c>
      <c r="C1007" s="349" t="s">
        <v>1332</v>
      </c>
      <c r="D1007" s="349" t="s">
        <v>1115</v>
      </c>
      <c r="E1007" s="349" t="s">
        <v>1098</v>
      </c>
      <c r="F1007" s="413">
        <v>170000.0</v>
      </c>
      <c r="G1007" s="403"/>
      <c r="H1007" s="349" t="s">
        <v>1549</v>
      </c>
      <c r="I1007" s="404" t="str">
        <f t="shared" si="10"/>
        <v>NOT PAID</v>
      </c>
      <c r="J1007" s="402"/>
      <c r="K1007" s="402"/>
      <c r="L1007" s="402"/>
      <c r="M1007" s="402"/>
      <c r="N1007" s="402"/>
      <c r="O1007" s="402"/>
      <c r="P1007" s="402"/>
      <c r="Q1007" s="402"/>
      <c r="R1007" s="402"/>
      <c r="S1007" s="402"/>
      <c r="T1007" s="402"/>
      <c r="U1007" s="402"/>
      <c r="V1007" s="402"/>
      <c r="W1007" s="402"/>
      <c r="X1007" s="402"/>
      <c r="Y1007" s="402"/>
      <c r="Z1007" s="402"/>
      <c r="AA1007" s="405"/>
      <c r="AB1007" s="405"/>
    </row>
    <row r="1008" ht="14.25" customHeight="1">
      <c r="A1008" s="497">
        <v>45519.0</v>
      </c>
      <c r="B1008" s="484" t="s">
        <v>1113</v>
      </c>
      <c r="C1008" s="349" t="s">
        <v>1332</v>
      </c>
      <c r="D1008" s="349" t="s">
        <v>1115</v>
      </c>
      <c r="E1008" s="349" t="s">
        <v>1098</v>
      </c>
      <c r="F1008" s="413">
        <v>170000.0</v>
      </c>
      <c r="G1008" s="403"/>
      <c r="H1008" s="349" t="s">
        <v>1549</v>
      </c>
      <c r="I1008" s="404" t="str">
        <f t="shared" si="10"/>
        <v>NOT PAID</v>
      </c>
      <c r="J1008" s="402"/>
      <c r="K1008" s="402"/>
      <c r="L1008" s="402"/>
      <c r="M1008" s="402"/>
      <c r="N1008" s="402"/>
      <c r="O1008" s="402"/>
      <c r="P1008" s="402"/>
      <c r="Q1008" s="402"/>
      <c r="R1008" s="402"/>
      <c r="S1008" s="402"/>
      <c r="T1008" s="402"/>
      <c r="U1008" s="402"/>
      <c r="V1008" s="402"/>
      <c r="W1008" s="402"/>
      <c r="X1008" s="402"/>
      <c r="Y1008" s="402"/>
      <c r="Z1008" s="402"/>
      <c r="AA1008" s="405"/>
      <c r="AB1008" s="405"/>
    </row>
    <row r="1009" ht="14.25" customHeight="1">
      <c r="A1009" s="497">
        <v>45519.0</v>
      </c>
      <c r="B1009" s="349" t="s">
        <v>777</v>
      </c>
      <c r="C1009" s="349" t="s">
        <v>778</v>
      </c>
      <c r="D1009" s="349" t="s">
        <v>54</v>
      </c>
      <c r="E1009" s="349" t="s">
        <v>1098</v>
      </c>
      <c r="F1009" s="413">
        <v>224325.0</v>
      </c>
      <c r="G1009" s="403"/>
      <c r="H1009" s="349" t="s">
        <v>1550</v>
      </c>
      <c r="I1009" s="404" t="str">
        <f t="shared" si="10"/>
        <v>NOT PAID</v>
      </c>
      <c r="J1009" s="402"/>
      <c r="K1009" s="402"/>
      <c r="L1009" s="402"/>
      <c r="M1009" s="402"/>
      <c r="N1009" s="402"/>
      <c r="O1009" s="402"/>
      <c r="P1009" s="402"/>
      <c r="Q1009" s="402"/>
      <c r="R1009" s="402"/>
      <c r="S1009" s="402"/>
      <c r="T1009" s="402"/>
      <c r="U1009" s="402"/>
      <c r="V1009" s="402"/>
      <c r="W1009" s="402"/>
      <c r="X1009" s="402"/>
      <c r="Y1009" s="402"/>
      <c r="Z1009" s="402"/>
      <c r="AA1009" s="405"/>
      <c r="AB1009" s="405"/>
    </row>
    <row r="1010" ht="14.25" customHeight="1">
      <c r="A1010" s="497">
        <v>45519.0</v>
      </c>
      <c r="B1010" s="349" t="s">
        <v>807</v>
      </c>
      <c r="C1010" s="349" t="s">
        <v>808</v>
      </c>
      <c r="D1010" s="349" t="s">
        <v>54</v>
      </c>
      <c r="E1010" s="349" t="s">
        <v>1098</v>
      </c>
      <c r="F1010" s="413">
        <v>1674.75</v>
      </c>
      <c r="G1010" s="403"/>
      <c r="H1010" s="349" t="s">
        <v>1551</v>
      </c>
      <c r="I1010" s="404" t="str">
        <f t="shared" si="10"/>
        <v>NOT PAID</v>
      </c>
      <c r="J1010" s="402"/>
      <c r="K1010" s="402"/>
      <c r="L1010" s="402"/>
      <c r="M1010" s="402"/>
      <c r="N1010" s="402"/>
      <c r="O1010" s="402"/>
      <c r="P1010" s="402"/>
      <c r="Q1010" s="402"/>
      <c r="R1010" s="402"/>
      <c r="S1010" s="402"/>
      <c r="T1010" s="402"/>
      <c r="U1010" s="402"/>
      <c r="V1010" s="402"/>
      <c r="W1010" s="402"/>
      <c r="X1010" s="402"/>
      <c r="Y1010" s="402"/>
      <c r="Z1010" s="402"/>
      <c r="AA1010" s="405"/>
      <c r="AB1010" s="405"/>
    </row>
    <row r="1011" ht="14.25" customHeight="1">
      <c r="A1011" s="497">
        <v>45519.0</v>
      </c>
      <c r="B1011" s="349" t="s">
        <v>705</v>
      </c>
      <c r="C1011" s="349" t="s">
        <v>1110</v>
      </c>
      <c r="D1011" s="349" t="s">
        <v>54</v>
      </c>
      <c r="E1011" s="349" t="s">
        <v>1098</v>
      </c>
      <c r="F1011" s="413">
        <v>6709.6</v>
      </c>
      <c r="G1011" s="403"/>
      <c r="H1011" s="349" t="s">
        <v>1552</v>
      </c>
      <c r="I1011" s="404" t="str">
        <f t="shared" si="10"/>
        <v>NOT PAID</v>
      </c>
      <c r="J1011" s="402"/>
      <c r="K1011" s="402"/>
      <c r="L1011" s="402"/>
      <c r="M1011" s="402"/>
      <c r="N1011" s="402"/>
      <c r="O1011" s="402"/>
      <c r="P1011" s="402"/>
      <c r="Q1011" s="402"/>
      <c r="R1011" s="402"/>
      <c r="S1011" s="402"/>
      <c r="T1011" s="402"/>
      <c r="U1011" s="402"/>
      <c r="V1011" s="402"/>
      <c r="W1011" s="402"/>
      <c r="X1011" s="402"/>
      <c r="Y1011" s="402"/>
      <c r="Z1011" s="402"/>
      <c r="AA1011" s="405"/>
      <c r="AB1011" s="405"/>
    </row>
    <row r="1012" ht="14.25" customHeight="1">
      <c r="A1012" s="497">
        <v>45519.0</v>
      </c>
      <c r="B1012" s="349" t="s">
        <v>711</v>
      </c>
      <c r="C1012" s="349" t="s">
        <v>1123</v>
      </c>
      <c r="D1012" s="349" t="s">
        <v>75</v>
      </c>
      <c r="E1012" s="349" t="s">
        <v>1098</v>
      </c>
      <c r="F1012" s="413">
        <v>26556.61</v>
      </c>
      <c r="G1012" s="403"/>
      <c r="H1012" s="349" t="s">
        <v>1553</v>
      </c>
      <c r="I1012" s="404" t="str">
        <f t="shared" si="10"/>
        <v>NOT PAID</v>
      </c>
      <c r="J1012" s="402"/>
      <c r="K1012" s="402"/>
      <c r="L1012" s="402"/>
      <c r="M1012" s="402"/>
      <c r="N1012" s="402"/>
      <c r="O1012" s="402"/>
      <c r="P1012" s="402"/>
      <c r="Q1012" s="402"/>
      <c r="R1012" s="402"/>
      <c r="S1012" s="402"/>
      <c r="T1012" s="402"/>
      <c r="U1012" s="402"/>
      <c r="V1012" s="402"/>
      <c r="W1012" s="402"/>
      <c r="X1012" s="402"/>
      <c r="Y1012" s="402"/>
      <c r="Z1012" s="402"/>
      <c r="AA1012" s="405"/>
      <c r="AB1012" s="405"/>
    </row>
    <row r="1013" ht="14.25" customHeight="1">
      <c r="A1013" s="497">
        <v>45519.0</v>
      </c>
      <c r="B1013" s="349" t="s">
        <v>701</v>
      </c>
      <c r="C1013" s="349" t="s">
        <v>702</v>
      </c>
      <c r="D1013" s="349" t="s">
        <v>54</v>
      </c>
      <c r="E1013" s="349" t="s">
        <v>1098</v>
      </c>
      <c r="F1013" s="413">
        <v>7124.66</v>
      </c>
      <c r="G1013" s="413"/>
      <c r="H1013" s="349" t="s">
        <v>1554</v>
      </c>
      <c r="I1013" s="404" t="str">
        <f t="shared" si="10"/>
        <v>NOT PAID</v>
      </c>
      <c r="J1013" s="402"/>
      <c r="K1013" s="402"/>
      <c r="L1013" s="402"/>
      <c r="M1013" s="402"/>
      <c r="N1013" s="402"/>
      <c r="O1013" s="402"/>
      <c r="P1013" s="402"/>
      <c r="Q1013" s="402"/>
      <c r="R1013" s="402"/>
      <c r="S1013" s="402"/>
      <c r="T1013" s="402"/>
      <c r="U1013" s="402"/>
      <c r="V1013" s="402"/>
      <c r="W1013" s="402"/>
      <c r="X1013" s="402"/>
      <c r="Y1013" s="402"/>
      <c r="Z1013" s="402"/>
      <c r="AA1013" s="405"/>
      <c r="AB1013" s="405"/>
    </row>
    <row r="1014" ht="14.25" customHeight="1">
      <c r="A1014" s="497">
        <v>45519.0</v>
      </c>
      <c r="B1014" s="505" t="s">
        <v>1120</v>
      </c>
      <c r="C1014" s="506" t="s">
        <v>1121</v>
      </c>
      <c r="D1014" s="507" t="s">
        <v>346</v>
      </c>
      <c r="E1014" s="349" t="s">
        <v>1098</v>
      </c>
      <c r="F1014" s="508">
        <v>63864.94</v>
      </c>
      <c r="G1014" s="403"/>
      <c r="H1014" s="349" t="s">
        <v>1555</v>
      </c>
      <c r="I1014" s="404" t="str">
        <f t="shared" si="10"/>
        <v>NOT PAID</v>
      </c>
      <c r="J1014" s="402"/>
      <c r="K1014" s="402"/>
      <c r="L1014" s="402"/>
      <c r="M1014" s="402"/>
      <c r="N1014" s="402"/>
      <c r="O1014" s="402"/>
      <c r="P1014" s="402"/>
      <c r="Q1014" s="402"/>
      <c r="R1014" s="402"/>
      <c r="S1014" s="402"/>
      <c r="T1014" s="402"/>
      <c r="U1014" s="402"/>
      <c r="V1014" s="402"/>
      <c r="W1014" s="402"/>
      <c r="X1014" s="402"/>
      <c r="Y1014" s="402"/>
      <c r="Z1014" s="402"/>
      <c r="AA1014" s="405"/>
      <c r="AB1014" s="405"/>
    </row>
    <row r="1015" ht="14.25" customHeight="1">
      <c r="A1015" s="497">
        <v>45519.0</v>
      </c>
      <c r="B1015" s="492" t="s">
        <v>729</v>
      </c>
      <c r="C1015" s="493" t="s">
        <v>995</v>
      </c>
      <c r="D1015" s="493" t="s">
        <v>54</v>
      </c>
      <c r="E1015" s="349" t="s">
        <v>1098</v>
      </c>
      <c r="F1015" s="494">
        <v>357832.09</v>
      </c>
      <c r="G1015" s="403"/>
      <c r="H1015" s="349" t="s">
        <v>1556</v>
      </c>
      <c r="I1015" s="404" t="str">
        <f t="shared" si="10"/>
        <v>NOT PAID</v>
      </c>
      <c r="J1015" s="402"/>
      <c r="K1015" s="402"/>
      <c r="L1015" s="402"/>
      <c r="M1015" s="402"/>
      <c r="N1015" s="402"/>
      <c r="O1015" s="402"/>
      <c r="P1015" s="402"/>
      <c r="Q1015" s="402"/>
      <c r="R1015" s="402"/>
      <c r="S1015" s="402"/>
      <c r="T1015" s="402"/>
      <c r="U1015" s="402"/>
      <c r="V1015" s="402"/>
      <c r="W1015" s="402"/>
      <c r="X1015" s="402"/>
      <c r="Y1015" s="402"/>
      <c r="Z1015" s="402"/>
      <c r="AA1015" s="405"/>
      <c r="AB1015" s="405"/>
    </row>
    <row r="1016" ht="14.25" customHeight="1">
      <c r="A1016" s="497">
        <v>45519.0</v>
      </c>
      <c r="B1016" s="509" t="s">
        <v>1381</v>
      </c>
      <c r="C1016" s="510" t="s">
        <v>1382</v>
      </c>
      <c r="D1016" s="510" t="s">
        <v>54</v>
      </c>
      <c r="E1016" s="349" t="s">
        <v>1098</v>
      </c>
      <c r="F1016" s="416">
        <v>435340.0</v>
      </c>
      <c r="G1016" s="403"/>
      <c r="H1016" s="349" t="s">
        <v>1557</v>
      </c>
      <c r="I1016" s="404" t="str">
        <f t="shared" si="10"/>
        <v>NOT PAID</v>
      </c>
      <c r="J1016" s="402"/>
      <c r="K1016" s="402"/>
      <c r="L1016" s="402"/>
      <c r="M1016" s="402"/>
      <c r="N1016" s="402"/>
      <c r="O1016" s="402"/>
      <c r="P1016" s="402"/>
      <c r="Q1016" s="402"/>
      <c r="R1016" s="402"/>
      <c r="S1016" s="402"/>
      <c r="T1016" s="402"/>
      <c r="U1016" s="402"/>
      <c r="V1016" s="402"/>
      <c r="W1016" s="402"/>
      <c r="X1016" s="402"/>
      <c r="Y1016" s="402"/>
      <c r="Z1016" s="402"/>
      <c r="AA1016" s="405"/>
      <c r="AB1016" s="405"/>
    </row>
    <row r="1017" ht="14.25" customHeight="1">
      <c r="A1017" s="497">
        <v>45519.0</v>
      </c>
      <c r="B1017" s="515" t="s">
        <v>1034</v>
      </c>
      <c r="C1017" s="516" t="s">
        <v>1401</v>
      </c>
      <c r="D1017" s="516" t="s">
        <v>54</v>
      </c>
      <c r="E1017" s="349" t="s">
        <v>1098</v>
      </c>
      <c r="F1017" s="416">
        <v>47840.0</v>
      </c>
      <c r="G1017" s="403"/>
      <c r="H1017" s="485" t="s">
        <v>1558</v>
      </c>
      <c r="I1017" s="404" t="str">
        <f t="shared" si="10"/>
        <v>NOT PAID</v>
      </c>
      <c r="J1017" s="402"/>
      <c r="K1017" s="402"/>
      <c r="L1017" s="402"/>
      <c r="M1017" s="402"/>
      <c r="N1017" s="402"/>
      <c r="O1017" s="402"/>
      <c r="P1017" s="402"/>
      <c r="Q1017" s="402"/>
      <c r="R1017" s="402"/>
      <c r="S1017" s="402"/>
      <c r="T1017" s="402"/>
      <c r="U1017" s="402"/>
      <c r="V1017" s="402"/>
      <c r="W1017" s="402"/>
      <c r="X1017" s="402"/>
      <c r="Y1017" s="402"/>
      <c r="Z1017" s="402"/>
      <c r="AA1017" s="405"/>
      <c r="AB1017" s="405"/>
    </row>
    <row r="1018" ht="14.25" customHeight="1">
      <c r="A1018" s="497">
        <v>45519.0</v>
      </c>
      <c r="B1018" s="518" t="s">
        <v>1107</v>
      </c>
      <c r="C1018" s="519" t="s">
        <v>1108</v>
      </c>
      <c r="D1018" s="519" t="s">
        <v>54</v>
      </c>
      <c r="E1018" s="349" t="s">
        <v>1098</v>
      </c>
      <c r="F1018" s="416">
        <v>265269.35</v>
      </c>
      <c r="G1018" s="413">
        <v>100000.0</v>
      </c>
      <c r="H1018" s="349" t="s">
        <v>905</v>
      </c>
      <c r="I1018" s="404" t="str">
        <f t="shared" si="10"/>
        <v>PARTIALLY PAID</v>
      </c>
      <c r="J1018" s="402"/>
      <c r="K1018" s="402"/>
      <c r="L1018" s="402"/>
      <c r="M1018" s="402"/>
      <c r="N1018" s="402"/>
      <c r="O1018" s="402"/>
      <c r="P1018" s="402"/>
      <c r="Q1018" s="402"/>
      <c r="R1018" s="402"/>
      <c r="S1018" s="402"/>
      <c r="T1018" s="402"/>
      <c r="U1018" s="402"/>
      <c r="V1018" s="402"/>
      <c r="W1018" s="402"/>
      <c r="X1018" s="402"/>
      <c r="Y1018" s="402"/>
      <c r="Z1018" s="402"/>
      <c r="AA1018" s="405"/>
      <c r="AB1018" s="405"/>
    </row>
    <row r="1019" ht="14.25" customHeight="1">
      <c r="A1019" s="497">
        <v>45519.0</v>
      </c>
      <c r="B1019" s="518" t="s">
        <v>1559</v>
      </c>
      <c r="C1019" s="519" t="s">
        <v>1457</v>
      </c>
      <c r="D1019" s="519" t="s">
        <v>54</v>
      </c>
      <c r="E1019" s="349" t="s">
        <v>1098</v>
      </c>
      <c r="F1019" s="416">
        <v>34000.0</v>
      </c>
      <c r="G1019" s="403"/>
      <c r="H1019" s="349" t="s">
        <v>1560</v>
      </c>
      <c r="I1019" s="404" t="str">
        <f t="shared" si="10"/>
        <v>NOT PAID</v>
      </c>
      <c r="J1019" s="402"/>
      <c r="K1019" s="402"/>
      <c r="L1019" s="402"/>
      <c r="M1019" s="402"/>
      <c r="N1019" s="402"/>
      <c r="O1019" s="402"/>
      <c r="P1019" s="402"/>
      <c r="Q1019" s="402"/>
      <c r="R1019" s="402"/>
      <c r="S1019" s="402"/>
      <c r="T1019" s="402"/>
      <c r="U1019" s="402"/>
      <c r="V1019" s="402"/>
      <c r="W1019" s="402"/>
      <c r="X1019" s="402"/>
      <c r="Y1019" s="402"/>
      <c r="Z1019" s="402"/>
      <c r="AA1019" s="405"/>
      <c r="AB1019" s="405"/>
    </row>
    <row r="1020" ht="14.25" customHeight="1">
      <c r="A1020" s="497">
        <v>45519.0</v>
      </c>
      <c r="B1020" s="349" t="s">
        <v>1155</v>
      </c>
      <c r="C1020" s="349" t="s">
        <v>1156</v>
      </c>
      <c r="D1020" s="493" t="s">
        <v>54</v>
      </c>
      <c r="E1020" s="415" t="s">
        <v>1153</v>
      </c>
      <c r="F1020" s="413">
        <v>295732.73</v>
      </c>
      <c r="G1020" s="403"/>
      <c r="H1020" s="349" t="s">
        <v>1561</v>
      </c>
      <c r="I1020" s="404" t="str">
        <f t="shared" si="10"/>
        <v>NOT PAID</v>
      </c>
      <c r="J1020" s="402"/>
      <c r="K1020" s="402"/>
      <c r="L1020" s="402"/>
      <c r="M1020" s="402"/>
      <c r="N1020" s="402"/>
      <c r="O1020" s="402"/>
      <c r="P1020" s="402"/>
      <c r="Q1020" s="402"/>
      <c r="R1020" s="402"/>
      <c r="S1020" s="402"/>
      <c r="T1020" s="402"/>
      <c r="U1020" s="402"/>
      <c r="V1020" s="402"/>
      <c r="W1020" s="402"/>
      <c r="X1020" s="402"/>
      <c r="Y1020" s="402"/>
      <c r="Z1020" s="402"/>
      <c r="AA1020" s="405"/>
      <c r="AB1020" s="405"/>
    </row>
    <row r="1021" ht="14.25" customHeight="1">
      <c r="A1021" s="497">
        <v>45519.0</v>
      </c>
      <c r="B1021" s="349" t="s">
        <v>960</v>
      </c>
      <c r="C1021" s="349" t="s">
        <v>961</v>
      </c>
      <c r="D1021" s="493" t="s">
        <v>54</v>
      </c>
      <c r="E1021" s="415" t="s">
        <v>1153</v>
      </c>
      <c r="F1021" s="413">
        <v>100000.0</v>
      </c>
      <c r="G1021" s="403"/>
      <c r="H1021" s="349" t="s">
        <v>1562</v>
      </c>
      <c r="I1021" s="404" t="str">
        <f t="shared" si="10"/>
        <v>NOT PAID</v>
      </c>
      <c r="J1021" s="402"/>
      <c r="K1021" s="402"/>
      <c r="L1021" s="402"/>
      <c r="M1021" s="402"/>
      <c r="N1021" s="402"/>
      <c r="O1021" s="402"/>
      <c r="P1021" s="402"/>
      <c r="Q1021" s="402"/>
      <c r="R1021" s="402"/>
      <c r="S1021" s="402"/>
      <c r="T1021" s="402"/>
      <c r="U1021" s="402"/>
      <c r="V1021" s="402"/>
      <c r="W1021" s="402"/>
      <c r="X1021" s="402"/>
      <c r="Y1021" s="402"/>
      <c r="Z1021" s="402"/>
      <c r="AA1021" s="405"/>
      <c r="AB1021" s="405"/>
    </row>
    <row r="1022" ht="14.25" customHeight="1">
      <c r="A1022" s="497">
        <v>45519.0</v>
      </c>
      <c r="B1022" s="349" t="s">
        <v>1346</v>
      </c>
      <c r="C1022" s="349" t="s">
        <v>1347</v>
      </c>
      <c r="D1022" s="411" t="s">
        <v>59</v>
      </c>
      <c r="E1022" s="415" t="s">
        <v>1153</v>
      </c>
      <c r="F1022" s="413">
        <v>300000.0</v>
      </c>
      <c r="G1022" s="403"/>
      <c r="H1022" s="485" t="s">
        <v>1563</v>
      </c>
      <c r="I1022" s="404" t="str">
        <f t="shared" si="10"/>
        <v>NOT PAID</v>
      </c>
      <c r="J1022" s="402"/>
      <c r="K1022" s="402"/>
      <c r="L1022" s="402"/>
      <c r="M1022" s="402"/>
      <c r="N1022" s="402"/>
      <c r="O1022" s="402"/>
      <c r="P1022" s="402"/>
      <c r="Q1022" s="402"/>
      <c r="R1022" s="402"/>
      <c r="S1022" s="402"/>
      <c r="T1022" s="402"/>
      <c r="U1022" s="402"/>
      <c r="V1022" s="402"/>
      <c r="W1022" s="402"/>
      <c r="X1022" s="402"/>
      <c r="Y1022" s="402"/>
      <c r="Z1022" s="402"/>
      <c r="AA1022" s="405"/>
      <c r="AB1022" s="405"/>
    </row>
    <row r="1023" ht="14.25" customHeight="1">
      <c r="A1023" s="497">
        <v>45519.0</v>
      </c>
      <c r="B1023" s="515" t="s">
        <v>1404</v>
      </c>
      <c r="C1023" s="516" t="s">
        <v>826</v>
      </c>
      <c r="D1023" s="516" t="s">
        <v>75</v>
      </c>
      <c r="E1023" s="415" t="s">
        <v>1153</v>
      </c>
      <c r="F1023" s="413">
        <v>550000.0</v>
      </c>
      <c r="G1023" s="403"/>
      <c r="H1023" s="349" t="s">
        <v>1564</v>
      </c>
      <c r="I1023" s="404" t="str">
        <f t="shared" si="10"/>
        <v>NOT PAID</v>
      </c>
      <c r="J1023" s="402"/>
      <c r="K1023" s="402"/>
      <c r="L1023" s="402"/>
      <c r="M1023" s="402"/>
      <c r="N1023" s="402"/>
      <c r="O1023" s="402"/>
      <c r="P1023" s="402"/>
      <c r="Q1023" s="402"/>
      <c r="R1023" s="402"/>
      <c r="S1023" s="402"/>
      <c r="T1023" s="402"/>
      <c r="U1023" s="402"/>
      <c r="V1023" s="402"/>
      <c r="W1023" s="402"/>
      <c r="X1023" s="402"/>
      <c r="Y1023" s="402"/>
      <c r="Z1023" s="402"/>
      <c r="AA1023" s="405"/>
      <c r="AB1023" s="405"/>
    </row>
    <row r="1024" ht="14.25" customHeight="1">
      <c r="A1024" s="497">
        <v>45519.0</v>
      </c>
      <c r="B1024" s="518" t="s">
        <v>746</v>
      </c>
      <c r="C1024" s="519" t="s">
        <v>747</v>
      </c>
      <c r="D1024" s="519" t="s">
        <v>54</v>
      </c>
      <c r="E1024" s="415" t="s">
        <v>1153</v>
      </c>
      <c r="F1024" s="413">
        <v>108000.0</v>
      </c>
      <c r="G1024" s="413"/>
      <c r="H1024" s="349" t="s">
        <v>1565</v>
      </c>
      <c r="I1024" s="404" t="str">
        <f t="shared" si="10"/>
        <v>NOT PAID</v>
      </c>
      <c r="J1024" s="402"/>
      <c r="K1024" s="402"/>
      <c r="L1024" s="402"/>
      <c r="M1024" s="402"/>
      <c r="N1024" s="402"/>
      <c r="O1024" s="402"/>
      <c r="P1024" s="402"/>
      <c r="Q1024" s="402"/>
      <c r="R1024" s="402"/>
      <c r="S1024" s="402"/>
      <c r="T1024" s="402"/>
      <c r="U1024" s="402"/>
      <c r="V1024" s="402"/>
      <c r="W1024" s="402"/>
      <c r="X1024" s="402"/>
      <c r="Y1024" s="402"/>
      <c r="Z1024" s="402"/>
      <c r="AA1024" s="405"/>
      <c r="AB1024" s="405"/>
    </row>
    <row r="1025" ht="14.25" customHeight="1">
      <c r="A1025" s="497">
        <v>45519.0</v>
      </c>
      <c r="B1025" s="518" t="s">
        <v>1566</v>
      </c>
      <c r="C1025" s="519" t="s">
        <v>1567</v>
      </c>
      <c r="D1025" s="519" t="s">
        <v>54</v>
      </c>
      <c r="E1025" s="411" t="s">
        <v>1153</v>
      </c>
      <c r="F1025" s="413">
        <v>45932.8</v>
      </c>
      <c r="G1025" s="413">
        <v>71504.0</v>
      </c>
      <c r="H1025" s="402"/>
      <c r="I1025" s="404" t="str">
        <f t="shared" si="10"/>
        <v>FULLY PAID</v>
      </c>
      <c r="J1025" s="402"/>
      <c r="K1025" s="402"/>
      <c r="L1025" s="402"/>
      <c r="M1025" s="402"/>
      <c r="N1025" s="402"/>
      <c r="O1025" s="402"/>
      <c r="P1025" s="402"/>
      <c r="Q1025" s="402"/>
      <c r="R1025" s="402"/>
      <c r="S1025" s="402"/>
      <c r="T1025" s="402"/>
      <c r="U1025" s="402"/>
      <c r="V1025" s="402"/>
      <c r="W1025" s="402"/>
      <c r="X1025" s="402"/>
      <c r="Y1025" s="402"/>
      <c r="Z1025" s="402"/>
      <c r="AA1025" s="405"/>
      <c r="AB1025" s="405"/>
    </row>
    <row r="1026" ht="14.25" customHeight="1">
      <c r="A1026" s="497">
        <v>45519.0</v>
      </c>
      <c r="B1026" s="414" t="s">
        <v>1568</v>
      </c>
      <c r="C1026" s="415" t="s">
        <v>1569</v>
      </c>
      <c r="D1026" s="411" t="s">
        <v>54</v>
      </c>
      <c r="E1026" s="411" t="s">
        <v>1153</v>
      </c>
      <c r="F1026" s="413">
        <v>3000000.0</v>
      </c>
      <c r="G1026" s="413"/>
      <c r="H1026" s="349" t="s">
        <v>1570</v>
      </c>
      <c r="I1026" s="404" t="str">
        <f t="shared" si="10"/>
        <v>NOT PAID</v>
      </c>
      <c r="J1026" s="402"/>
      <c r="K1026" s="402"/>
      <c r="L1026" s="402"/>
      <c r="M1026" s="402"/>
      <c r="N1026" s="402"/>
      <c r="O1026" s="402"/>
      <c r="P1026" s="402"/>
      <c r="Q1026" s="402"/>
      <c r="R1026" s="402"/>
      <c r="S1026" s="402"/>
      <c r="T1026" s="402"/>
      <c r="U1026" s="402"/>
      <c r="V1026" s="402"/>
      <c r="W1026" s="402"/>
      <c r="X1026" s="402"/>
      <c r="Y1026" s="402"/>
      <c r="Z1026" s="402"/>
      <c r="AA1026" s="405"/>
      <c r="AB1026" s="405"/>
    </row>
    <row r="1027" ht="14.25" customHeight="1">
      <c r="A1027" s="497">
        <v>45519.0</v>
      </c>
      <c r="B1027" s="518" t="s">
        <v>1571</v>
      </c>
      <c r="C1027" s="519" t="s">
        <v>1572</v>
      </c>
      <c r="D1027" s="349" t="s">
        <v>54</v>
      </c>
      <c r="E1027" s="349" t="s">
        <v>1139</v>
      </c>
      <c r="F1027" s="413">
        <v>40760.0</v>
      </c>
      <c r="G1027" s="413">
        <v>40760.0</v>
      </c>
      <c r="H1027" s="349" t="s">
        <v>710</v>
      </c>
      <c r="I1027" s="404" t="str">
        <f t="shared" si="10"/>
        <v>FULLY PAID</v>
      </c>
      <c r="J1027" s="402"/>
      <c r="K1027" s="402"/>
      <c r="L1027" s="402"/>
      <c r="M1027" s="402"/>
      <c r="N1027" s="402"/>
      <c r="O1027" s="402"/>
      <c r="P1027" s="402"/>
      <c r="Q1027" s="402"/>
      <c r="R1027" s="402"/>
      <c r="S1027" s="402"/>
      <c r="T1027" s="402"/>
      <c r="U1027" s="402"/>
      <c r="V1027" s="402"/>
      <c r="W1027" s="402"/>
      <c r="X1027" s="402"/>
      <c r="Y1027" s="402"/>
      <c r="Z1027" s="402"/>
      <c r="AA1027" s="405"/>
      <c r="AB1027" s="405"/>
    </row>
    <row r="1028" ht="14.25" customHeight="1">
      <c r="A1028" s="497">
        <v>45519.0</v>
      </c>
      <c r="B1028" s="349" t="s">
        <v>731</v>
      </c>
      <c r="C1028" s="349" t="s">
        <v>732</v>
      </c>
      <c r="D1028" s="349" t="s">
        <v>54</v>
      </c>
      <c r="E1028" s="349" t="s">
        <v>1139</v>
      </c>
      <c r="F1028" s="413">
        <v>7000.0</v>
      </c>
      <c r="G1028" s="413">
        <v>7000.0</v>
      </c>
      <c r="H1028" s="349" t="s">
        <v>710</v>
      </c>
      <c r="I1028" s="404" t="str">
        <f t="shared" si="10"/>
        <v>FULLY PAID</v>
      </c>
      <c r="J1028" s="402"/>
      <c r="K1028" s="402"/>
      <c r="L1028" s="402"/>
      <c r="M1028" s="402"/>
      <c r="N1028" s="402"/>
      <c r="O1028" s="402"/>
      <c r="P1028" s="402"/>
      <c r="Q1028" s="402"/>
      <c r="R1028" s="402"/>
      <c r="S1028" s="402"/>
      <c r="T1028" s="402"/>
      <c r="U1028" s="402"/>
      <c r="V1028" s="402"/>
      <c r="W1028" s="402"/>
      <c r="X1028" s="402"/>
      <c r="Y1028" s="402"/>
      <c r="Z1028" s="402"/>
      <c r="AA1028" s="405"/>
      <c r="AB1028" s="405"/>
    </row>
    <row r="1029" ht="14.25" customHeight="1">
      <c r="A1029" s="497">
        <v>45519.0</v>
      </c>
      <c r="B1029" s="414" t="s">
        <v>1006</v>
      </c>
      <c r="C1029" s="415" t="s">
        <v>1464</v>
      </c>
      <c r="D1029" s="519" t="s">
        <v>54</v>
      </c>
      <c r="E1029" s="349" t="s">
        <v>1139</v>
      </c>
      <c r="F1029" s="413">
        <v>199690.31</v>
      </c>
      <c r="G1029" s="413">
        <v>199690.31</v>
      </c>
      <c r="H1029" s="349" t="s">
        <v>710</v>
      </c>
      <c r="I1029" s="404" t="str">
        <f t="shared" si="10"/>
        <v>FULLY PAID</v>
      </c>
      <c r="J1029" s="402"/>
      <c r="K1029" s="402"/>
      <c r="L1029" s="402"/>
      <c r="M1029" s="402"/>
      <c r="N1029" s="402"/>
      <c r="O1029" s="402"/>
      <c r="P1029" s="402"/>
      <c r="Q1029" s="402"/>
      <c r="R1029" s="402"/>
      <c r="S1029" s="402"/>
      <c r="T1029" s="402"/>
      <c r="U1029" s="402"/>
      <c r="V1029" s="402"/>
      <c r="W1029" s="402"/>
      <c r="X1029" s="402"/>
      <c r="Y1029" s="402"/>
      <c r="Z1029" s="402"/>
      <c r="AA1029" s="405"/>
      <c r="AB1029" s="405"/>
    </row>
    <row r="1030" ht="14.25" customHeight="1">
      <c r="A1030" s="497">
        <v>45519.0</v>
      </c>
      <c r="B1030" s="414" t="s">
        <v>1425</v>
      </c>
      <c r="C1030" s="415" t="s">
        <v>1426</v>
      </c>
      <c r="D1030" s="415" t="s">
        <v>54</v>
      </c>
      <c r="E1030" s="349" t="s">
        <v>1139</v>
      </c>
      <c r="F1030" s="413">
        <v>6500.0</v>
      </c>
      <c r="G1030" s="413">
        <v>0.0</v>
      </c>
      <c r="H1030" s="349" t="s">
        <v>1573</v>
      </c>
      <c r="I1030" s="404" t="str">
        <f t="shared" si="10"/>
        <v>NOT PAID</v>
      </c>
      <c r="J1030" s="402"/>
      <c r="K1030" s="402"/>
      <c r="L1030" s="402"/>
      <c r="M1030" s="402"/>
      <c r="N1030" s="402"/>
      <c r="O1030" s="402"/>
      <c r="P1030" s="402"/>
      <c r="Q1030" s="402"/>
      <c r="R1030" s="402"/>
      <c r="S1030" s="402"/>
      <c r="T1030" s="402"/>
      <c r="U1030" s="402"/>
      <c r="V1030" s="402"/>
      <c r="W1030" s="402"/>
      <c r="X1030" s="402"/>
      <c r="Y1030" s="402"/>
      <c r="Z1030" s="402"/>
      <c r="AA1030" s="405"/>
      <c r="AB1030" s="405"/>
    </row>
    <row r="1031" ht="14.25" customHeight="1">
      <c r="A1031" s="497">
        <v>45519.0</v>
      </c>
      <c r="B1031" s="349" t="s">
        <v>698</v>
      </c>
      <c r="C1031" s="349" t="s">
        <v>1167</v>
      </c>
      <c r="D1031" s="349" t="s">
        <v>54</v>
      </c>
      <c r="E1031" s="349" t="s">
        <v>1168</v>
      </c>
      <c r="F1031" s="413">
        <v>15291.93</v>
      </c>
      <c r="G1031" s="403"/>
      <c r="H1031" s="349" t="s">
        <v>1574</v>
      </c>
      <c r="I1031" s="404" t="str">
        <f t="shared" si="10"/>
        <v>NOT PAID</v>
      </c>
      <c r="J1031" s="402"/>
      <c r="K1031" s="402"/>
      <c r="L1031" s="402"/>
      <c r="M1031" s="402"/>
      <c r="N1031" s="402"/>
      <c r="O1031" s="402"/>
      <c r="P1031" s="402"/>
      <c r="Q1031" s="402"/>
      <c r="R1031" s="402"/>
      <c r="S1031" s="402"/>
      <c r="T1031" s="402"/>
      <c r="U1031" s="402"/>
      <c r="V1031" s="402"/>
      <c r="W1031" s="402"/>
      <c r="X1031" s="402"/>
      <c r="Y1031" s="402"/>
      <c r="Z1031" s="402"/>
      <c r="AA1031" s="405"/>
      <c r="AB1031" s="405"/>
    </row>
    <row r="1032" ht="14.25" customHeight="1">
      <c r="A1032" s="497">
        <v>45519.0</v>
      </c>
      <c r="B1032" s="349" t="s">
        <v>997</v>
      </c>
      <c r="C1032" s="349" t="s">
        <v>998</v>
      </c>
      <c r="D1032" s="349" t="s">
        <v>263</v>
      </c>
      <c r="E1032" s="349" t="s">
        <v>1168</v>
      </c>
      <c r="F1032" s="413">
        <v>81947.25</v>
      </c>
      <c r="G1032" s="403"/>
      <c r="H1032" s="349" t="s">
        <v>1528</v>
      </c>
      <c r="I1032" s="404" t="str">
        <f t="shared" si="10"/>
        <v>NOT PAID</v>
      </c>
      <c r="J1032" s="402"/>
      <c r="K1032" s="402"/>
      <c r="L1032" s="402"/>
      <c r="M1032" s="402"/>
      <c r="N1032" s="402"/>
      <c r="O1032" s="402"/>
      <c r="P1032" s="402"/>
      <c r="Q1032" s="402"/>
      <c r="R1032" s="402"/>
      <c r="S1032" s="402"/>
      <c r="T1032" s="402"/>
      <c r="U1032" s="402"/>
      <c r="V1032" s="402"/>
      <c r="W1032" s="402"/>
      <c r="X1032" s="402"/>
      <c r="Y1032" s="402"/>
      <c r="Z1032" s="402"/>
      <c r="AA1032" s="405"/>
      <c r="AB1032" s="405"/>
    </row>
    <row r="1033" ht="14.25" customHeight="1">
      <c r="A1033" s="497">
        <v>45519.0</v>
      </c>
      <c r="B1033" s="343" t="s">
        <v>1223</v>
      </c>
      <c r="C1033" s="344" t="s">
        <v>998</v>
      </c>
      <c r="D1033" s="344" t="s">
        <v>346</v>
      </c>
      <c r="E1033" s="349" t="s">
        <v>1168</v>
      </c>
      <c r="F1033" s="452">
        <v>28350.0</v>
      </c>
      <c r="G1033" s="403"/>
      <c r="H1033" s="349" t="s">
        <v>1528</v>
      </c>
      <c r="I1033" s="404" t="str">
        <f t="shared" si="10"/>
        <v>NOT PAID</v>
      </c>
      <c r="J1033" s="402"/>
      <c r="K1033" s="402"/>
      <c r="L1033" s="402"/>
      <c r="M1033" s="402"/>
      <c r="N1033" s="402"/>
      <c r="O1033" s="402"/>
      <c r="P1033" s="402"/>
      <c r="Q1033" s="402"/>
      <c r="R1033" s="402"/>
      <c r="S1033" s="402"/>
      <c r="T1033" s="402"/>
      <c r="U1033" s="402"/>
      <c r="V1033" s="402"/>
      <c r="W1033" s="402"/>
      <c r="X1033" s="402"/>
      <c r="Y1033" s="402"/>
      <c r="Z1033" s="402"/>
      <c r="AA1033" s="405"/>
      <c r="AB1033" s="405"/>
    </row>
    <row r="1034" ht="14.25" customHeight="1">
      <c r="A1034" s="497">
        <v>45519.0</v>
      </c>
      <c r="B1034" s="343" t="s">
        <v>695</v>
      </c>
      <c r="C1034" s="344" t="s">
        <v>1529</v>
      </c>
      <c r="D1034" s="344" t="s">
        <v>54</v>
      </c>
      <c r="E1034" s="349" t="s">
        <v>1168</v>
      </c>
      <c r="F1034" s="442">
        <v>71570.81</v>
      </c>
      <c r="G1034" s="413"/>
      <c r="H1034" s="349" t="s">
        <v>1530</v>
      </c>
      <c r="I1034" s="404" t="str">
        <f t="shared" si="10"/>
        <v>NOT PAID</v>
      </c>
      <c r="J1034" s="402"/>
      <c r="K1034" s="402"/>
      <c r="L1034" s="402"/>
      <c r="M1034" s="402"/>
      <c r="N1034" s="402"/>
      <c r="O1034" s="402"/>
      <c r="P1034" s="402"/>
      <c r="Q1034" s="402"/>
      <c r="R1034" s="402"/>
      <c r="S1034" s="402"/>
      <c r="T1034" s="402"/>
      <c r="U1034" s="402"/>
      <c r="V1034" s="402"/>
      <c r="W1034" s="402"/>
      <c r="X1034" s="402"/>
      <c r="Y1034" s="402"/>
      <c r="Z1034" s="402"/>
      <c r="AA1034" s="405"/>
      <c r="AB1034" s="405"/>
    </row>
    <row r="1035" ht="14.25" customHeight="1">
      <c r="A1035" s="497">
        <v>45519.0</v>
      </c>
      <c r="B1035" s="343" t="s">
        <v>1503</v>
      </c>
      <c r="C1035" s="344" t="s">
        <v>1504</v>
      </c>
      <c r="D1035" s="344" t="s">
        <v>54</v>
      </c>
      <c r="E1035" s="344" t="s">
        <v>1143</v>
      </c>
      <c r="F1035" s="442">
        <v>16812.0</v>
      </c>
      <c r="G1035" s="413">
        <v>0.0</v>
      </c>
      <c r="H1035" s="349" t="s">
        <v>1575</v>
      </c>
      <c r="I1035" s="404" t="str">
        <f t="shared" si="10"/>
        <v>NOT PAID</v>
      </c>
      <c r="J1035" s="402"/>
      <c r="K1035" s="402"/>
      <c r="L1035" s="402"/>
      <c r="M1035" s="402"/>
      <c r="N1035" s="402"/>
      <c r="O1035" s="402"/>
      <c r="P1035" s="402"/>
      <c r="Q1035" s="402"/>
      <c r="R1035" s="402"/>
      <c r="S1035" s="402"/>
      <c r="T1035" s="402"/>
      <c r="U1035" s="402"/>
      <c r="V1035" s="402"/>
      <c r="W1035" s="402"/>
      <c r="X1035" s="402"/>
      <c r="Y1035" s="402"/>
      <c r="Z1035" s="402"/>
      <c r="AA1035" s="405"/>
      <c r="AB1035" s="405"/>
    </row>
    <row r="1036" ht="14.25" customHeight="1">
      <c r="A1036" s="497">
        <v>45519.0</v>
      </c>
      <c r="B1036" s="343" t="s">
        <v>1475</v>
      </c>
      <c r="C1036" s="344" t="s">
        <v>765</v>
      </c>
      <c r="D1036" s="344" t="s">
        <v>75</v>
      </c>
      <c r="E1036" s="344" t="s">
        <v>1143</v>
      </c>
      <c r="F1036" s="442">
        <v>95970.0</v>
      </c>
      <c r="G1036" s="413">
        <v>0.0</v>
      </c>
      <c r="H1036" s="349" t="s">
        <v>1576</v>
      </c>
      <c r="I1036" s="404" t="str">
        <f t="shared" si="10"/>
        <v>NOT PAID</v>
      </c>
      <c r="J1036" s="402"/>
      <c r="K1036" s="402"/>
      <c r="L1036" s="402"/>
      <c r="M1036" s="402"/>
      <c r="N1036" s="402"/>
      <c r="O1036" s="402"/>
      <c r="P1036" s="402"/>
      <c r="Q1036" s="402"/>
      <c r="R1036" s="402"/>
      <c r="S1036" s="402"/>
      <c r="T1036" s="402"/>
      <c r="U1036" s="402"/>
      <c r="V1036" s="402"/>
      <c r="W1036" s="402"/>
      <c r="X1036" s="402"/>
      <c r="Y1036" s="402"/>
      <c r="Z1036" s="402"/>
      <c r="AA1036" s="405"/>
      <c r="AB1036" s="405"/>
    </row>
    <row r="1037" ht="14.25" customHeight="1">
      <c r="A1037" s="497">
        <v>45519.0</v>
      </c>
      <c r="B1037" s="343" t="s">
        <v>788</v>
      </c>
      <c r="C1037" s="344" t="s">
        <v>789</v>
      </c>
      <c r="D1037" s="344" t="s">
        <v>54</v>
      </c>
      <c r="E1037" s="344" t="s">
        <v>1143</v>
      </c>
      <c r="F1037" s="442">
        <v>98777.16</v>
      </c>
      <c r="G1037" s="413">
        <v>0.0</v>
      </c>
      <c r="H1037" s="349" t="s">
        <v>1577</v>
      </c>
      <c r="I1037" s="404" t="str">
        <f t="shared" si="10"/>
        <v>NOT PAID</v>
      </c>
      <c r="J1037" s="402"/>
      <c r="K1037" s="402"/>
      <c r="L1037" s="402"/>
      <c r="M1037" s="402"/>
      <c r="N1037" s="402"/>
      <c r="O1037" s="402"/>
      <c r="P1037" s="402"/>
      <c r="Q1037" s="402"/>
      <c r="R1037" s="402"/>
      <c r="S1037" s="402"/>
      <c r="T1037" s="402"/>
      <c r="U1037" s="402"/>
      <c r="V1037" s="402"/>
      <c r="W1037" s="402"/>
      <c r="X1037" s="402"/>
      <c r="Y1037" s="402"/>
      <c r="Z1037" s="402"/>
      <c r="AA1037" s="405"/>
      <c r="AB1037" s="405"/>
    </row>
    <row r="1038" ht="14.25" customHeight="1">
      <c r="A1038" s="497">
        <v>45519.0</v>
      </c>
      <c r="B1038" s="343" t="s">
        <v>1012</v>
      </c>
      <c r="C1038" s="344" t="s">
        <v>1013</v>
      </c>
      <c r="D1038" s="344" t="s">
        <v>75</v>
      </c>
      <c r="E1038" s="344" t="s">
        <v>1143</v>
      </c>
      <c r="F1038" s="442">
        <v>221725.0</v>
      </c>
      <c r="G1038" s="413">
        <v>20000.0</v>
      </c>
      <c r="H1038" s="349" t="s">
        <v>1578</v>
      </c>
      <c r="I1038" s="404" t="str">
        <f t="shared" si="10"/>
        <v>PARTIALLY PAID</v>
      </c>
      <c r="J1038" s="402"/>
      <c r="K1038" s="402"/>
      <c r="L1038" s="402"/>
      <c r="M1038" s="402"/>
      <c r="N1038" s="402"/>
      <c r="O1038" s="402"/>
      <c r="P1038" s="402"/>
      <c r="Q1038" s="402"/>
      <c r="R1038" s="402"/>
      <c r="S1038" s="402"/>
      <c r="T1038" s="402"/>
      <c r="U1038" s="402"/>
      <c r="V1038" s="402"/>
      <c r="W1038" s="402"/>
      <c r="X1038" s="402"/>
      <c r="Y1038" s="402"/>
      <c r="Z1038" s="402"/>
      <c r="AA1038" s="405"/>
      <c r="AB1038" s="405"/>
    </row>
    <row r="1039" ht="14.25" customHeight="1">
      <c r="A1039" s="497">
        <v>45519.0</v>
      </c>
      <c r="B1039" s="410" t="s">
        <v>827</v>
      </c>
      <c r="C1039" s="411" t="s">
        <v>828</v>
      </c>
      <c r="D1039" s="411" t="s">
        <v>54</v>
      </c>
      <c r="E1039" s="411" t="s">
        <v>1143</v>
      </c>
      <c r="F1039" s="489">
        <v>1000000.0</v>
      </c>
      <c r="G1039" s="413">
        <v>0.0</v>
      </c>
      <c r="H1039" s="349" t="s">
        <v>1579</v>
      </c>
      <c r="I1039" s="404" t="str">
        <f t="shared" si="10"/>
        <v>NOT PAID</v>
      </c>
      <c r="J1039" s="402"/>
      <c r="K1039" s="402"/>
      <c r="L1039" s="402"/>
      <c r="M1039" s="402"/>
      <c r="N1039" s="402"/>
      <c r="O1039" s="402"/>
      <c r="P1039" s="402"/>
      <c r="Q1039" s="402"/>
      <c r="R1039" s="402"/>
      <c r="S1039" s="402"/>
      <c r="T1039" s="402"/>
      <c r="U1039" s="402"/>
      <c r="V1039" s="402"/>
      <c r="W1039" s="402"/>
      <c r="X1039" s="402"/>
      <c r="Y1039" s="402"/>
      <c r="Z1039" s="402"/>
      <c r="AA1039" s="405"/>
      <c r="AB1039" s="405"/>
    </row>
    <row r="1040" ht="14.25" customHeight="1">
      <c r="A1040" s="497">
        <v>45519.0</v>
      </c>
      <c r="B1040" s="349" t="s">
        <v>1176</v>
      </c>
      <c r="C1040" s="349" t="s">
        <v>1366</v>
      </c>
      <c r="D1040" s="349" t="s">
        <v>258</v>
      </c>
      <c r="E1040" s="349" t="s">
        <v>1173</v>
      </c>
      <c r="F1040" s="413">
        <v>1000000.0</v>
      </c>
      <c r="G1040" s="403"/>
      <c r="H1040" s="402"/>
      <c r="I1040" s="404" t="str">
        <f t="shared" si="10"/>
        <v>NOT PAID</v>
      </c>
      <c r="J1040" s="402"/>
      <c r="K1040" s="402"/>
      <c r="L1040" s="402"/>
      <c r="M1040" s="402"/>
      <c r="N1040" s="402"/>
      <c r="O1040" s="402"/>
      <c r="P1040" s="402"/>
      <c r="Q1040" s="402"/>
      <c r="R1040" s="402"/>
      <c r="S1040" s="402"/>
      <c r="T1040" s="402"/>
      <c r="U1040" s="402"/>
      <c r="V1040" s="402"/>
      <c r="W1040" s="402"/>
      <c r="X1040" s="402"/>
      <c r="Y1040" s="402"/>
      <c r="Z1040" s="402"/>
      <c r="AA1040" s="405"/>
      <c r="AB1040" s="405"/>
    </row>
    <row r="1041" ht="14.25" customHeight="1">
      <c r="A1041" s="497"/>
      <c r="B1041" s="402"/>
      <c r="C1041" s="402"/>
      <c r="D1041" s="402"/>
      <c r="E1041" s="402"/>
      <c r="F1041" s="403"/>
      <c r="G1041" s="403"/>
      <c r="H1041" s="402"/>
      <c r="I1041" s="404" t="str">
        <f t="shared" si="10"/>
        <v>FULLY PAID</v>
      </c>
      <c r="J1041" s="402"/>
      <c r="K1041" s="402"/>
      <c r="L1041" s="402"/>
      <c r="M1041" s="402"/>
      <c r="N1041" s="402"/>
      <c r="O1041" s="402"/>
      <c r="P1041" s="402"/>
      <c r="Q1041" s="402"/>
      <c r="R1041" s="402"/>
      <c r="S1041" s="402"/>
      <c r="T1041" s="402"/>
      <c r="U1041" s="402"/>
      <c r="V1041" s="402"/>
      <c r="W1041" s="402"/>
      <c r="X1041" s="402"/>
      <c r="Y1041" s="402"/>
      <c r="Z1041" s="402"/>
      <c r="AA1041" s="405"/>
      <c r="AB1041" s="405"/>
    </row>
    <row r="1042" ht="14.25" customHeight="1">
      <c r="A1042" s="497"/>
      <c r="B1042" s="402"/>
      <c r="C1042" s="402"/>
      <c r="D1042" s="402"/>
      <c r="E1042" s="402"/>
      <c r="F1042" s="403"/>
      <c r="G1042" s="403"/>
      <c r="H1042" s="402"/>
      <c r="I1042" s="404" t="str">
        <f t="shared" si="10"/>
        <v>FULLY PAID</v>
      </c>
      <c r="J1042" s="402"/>
      <c r="K1042" s="402"/>
      <c r="L1042" s="402"/>
      <c r="M1042" s="402"/>
      <c r="N1042" s="402"/>
      <c r="O1042" s="402"/>
      <c r="P1042" s="402"/>
      <c r="Q1042" s="402"/>
      <c r="R1042" s="402"/>
      <c r="S1042" s="402"/>
      <c r="T1042" s="402"/>
      <c r="U1042" s="402"/>
      <c r="V1042" s="402"/>
      <c r="W1042" s="402"/>
      <c r="X1042" s="402"/>
      <c r="Y1042" s="402"/>
      <c r="Z1042" s="402"/>
      <c r="AA1042" s="405"/>
      <c r="AB1042" s="405"/>
    </row>
    <row r="1043" ht="14.25" customHeight="1">
      <c r="A1043" s="497"/>
      <c r="B1043" s="402"/>
      <c r="C1043" s="402"/>
      <c r="D1043" s="402"/>
      <c r="E1043" s="402"/>
      <c r="F1043" s="403"/>
      <c r="G1043" s="403"/>
      <c r="H1043" s="402"/>
      <c r="I1043" s="404" t="str">
        <f t="shared" si="10"/>
        <v>FULLY PAID</v>
      </c>
      <c r="J1043" s="402"/>
      <c r="K1043" s="402"/>
      <c r="L1043" s="402"/>
      <c r="M1043" s="402"/>
      <c r="N1043" s="402"/>
      <c r="O1043" s="402"/>
      <c r="P1043" s="402"/>
      <c r="Q1043" s="402"/>
      <c r="R1043" s="402"/>
      <c r="S1043" s="402"/>
      <c r="T1043" s="402"/>
      <c r="U1043" s="402"/>
      <c r="V1043" s="402"/>
      <c r="W1043" s="402"/>
      <c r="X1043" s="402"/>
      <c r="Y1043" s="402"/>
      <c r="Z1043" s="402"/>
      <c r="AA1043" s="405"/>
      <c r="AB1043" s="405"/>
    </row>
    <row r="1044" ht="14.25" customHeight="1">
      <c r="A1044" s="497"/>
      <c r="B1044" s="402"/>
      <c r="C1044" s="402"/>
      <c r="D1044" s="402"/>
      <c r="E1044" s="402"/>
      <c r="F1044" s="403"/>
      <c r="G1044" s="403"/>
      <c r="H1044" s="402"/>
      <c r="I1044" s="404" t="str">
        <f t="shared" si="10"/>
        <v>FULLY PAID</v>
      </c>
      <c r="J1044" s="402"/>
      <c r="K1044" s="402"/>
      <c r="L1044" s="402"/>
      <c r="M1044" s="402"/>
      <c r="N1044" s="402"/>
      <c r="O1044" s="402"/>
      <c r="P1044" s="402"/>
      <c r="Q1044" s="402"/>
      <c r="R1044" s="402"/>
      <c r="S1044" s="402"/>
      <c r="T1044" s="402"/>
      <c r="U1044" s="402"/>
      <c r="V1044" s="402"/>
      <c r="W1044" s="402"/>
      <c r="X1044" s="402"/>
      <c r="Y1044" s="402"/>
      <c r="Z1044" s="402"/>
      <c r="AA1044" s="405"/>
      <c r="AB1044" s="405"/>
    </row>
    <row r="1045" ht="14.25" customHeight="1">
      <c r="A1045" s="497"/>
      <c r="B1045" s="402"/>
      <c r="C1045" s="424" t="s">
        <v>797</v>
      </c>
      <c r="D1045" s="402"/>
      <c r="E1045" s="402"/>
      <c r="F1045" s="403"/>
      <c r="G1045" s="403"/>
      <c r="H1045" s="402"/>
      <c r="I1045" s="404" t="str">
        <f t="shared" si="10"/>
        <v>FULLY PAID</v>
      </c>
      <c r="J1045" s="402"/>
      <c r="K1045" s="402"/>
      <c r="L1045" s="402"/>
      <c r="M1045" s="402"/>
      <c r="N1045" s="402"/>
      <c r="O1045" s="402"/>
      <c r="P1045" s="402"/>
      <c r="Q1045" s="402"/>
      <c r="R1045" s="402"/>
      <c r="S1045" s="402"/>
      <c r="T1045" s="402"/>
      <c r="U1045" s="402"/>
      <c r="V1045" s="402"/>
      <c r="W1045" s="402"/>
      <c r="X1045" s="402"/>
      <c r="Y1045" s="402"/>
      <c r="Z1045" s="402"/>
      <c r="AA1045" s="405"/>
      <c r="AB1045" s="405"/>
    </row>
    <row r="1046" ht="14.25" customHeight="1">
      <c r="A1046" s="497">
        <v>45519.0</v>
      </c>
      <c r="B1046" s="349" t="s">
        <v>1087</v>
      </c>
      <c r="C1046" s="349" t="s">
        <v>1088</v>
      </c>
      <c r="D1046" s="349" t="s">
        <v>54</v>
      </c>
      <c r="E1046" s="349" t="s">
        <v>1255</v>
      </c>
      <c r="F1046" s="413">
        <v>65000.0</v>
      </c>
      <c r="G1046" s="413">
        <v>40000.0</v>
      </c>
      <c r="H1046" s="349" t="s">
        <v>710</v>
      </c>
      <c r="I1046" s="404" t="str">
        <f t="shared" si="10"/>
        <v>PARTIALLY PAID</v>
      </c>
      <c r="J1046" s="402"/>
      <c r="K1046" s="402"/>
      <c r="L1046" s="402"/>
      <c r="M1046" s="402"/>
      <c r="N1046" s="402"/>
      <c r="O1046" s="402"/>
      <c r="P1046" s="402"/>
      <c r="Q1046" s="402"/>
      <c r="R1046" s="402"/>
      <c r="S1046" s="402"/>
      <c r="T1046" s="402"/>
      <c r="U1046" s="402"/>
      <c r="V1046" s="402"/>
      <c r="W1046" s="402"/>
      <c r="X1046" s="402"/>
      <c r="Y1046" s="402"/>
      <c r="Z1046" s="402"/>
      <c r="AA1046" s="405"/>
      <c r="AB1046" s="405"/>
    </row>
    <row r="1047" ht="14.25" customHeight="1">
      <c r="A1047" s="497">
        <v>45519.0</v>
      </c>
      <c r="B1047" s="349" t="s">
        <v>783</v>
      </c>
      <c r="C1047" s="349" t="s">
        <v>784</v>
      </c>
      <c r="D1047" s="349" t="s">
        <v>54</v>
      </c>
      <c r="E1047" s="349" t="s">
        <v>1255</v>
      </c>
      <c r="F1047" s="413">
        <v>30000.0</v>
      </c>
      <c r="G1047" s="403"/>
      <c r="H1047" s="349" t="s">
        <v>1580</v>
      </c>
      <c r="I1047" s="404" t="str">
        <f t="shared" si="10"/>
        <v>NOT PAID</v>
      </c>
      <c r="J1047" s="402"/>
      <c r="K1047" s="402"/>
      <c r="L1047" s="402"/>
      <c r="M1047" s="402"/>
      <c r="N1047" s="402"/>
      <c r="O1047" s="402"/>
      <c r="P1047" s="402"/>
      <c r="Q1047" s="402"/>
      <c r="R1047" s="402"/>
      <c r="S1047" s="402"/>
      <c r="T1047" s="402"/>
      <c r="U1047" s="402"/>
      <c r="V1047" s="402"/>
      <c r="W1047" s="402"/>
      <c r="X1047" s="402"/>
      <c r="Y1047" s="402"/>
      <c r="Z1047" s="402"/>
      <c r="AA1047" s="405"/>
      <c r="AB1047" s="405"/>
    </row>
    <row r="1048" ht="14.25" customHeight="1">
      <c r="A1048" s="497">
        <v>45519.0</v>
      </c>
      <c r="B1048" s="349" t="s">
        <v>1329</v>
      </c>
      <c r="C1048" s="349" t="s">
        <v>1330</v>
      </c>
      <c r="D1048" s="349" t="s">
        <v>54</v>
      </c>
      <c r="E1048" s="349" t="s">
        <v>1255</v>
      </c>
      <c r="F1048" s="413">
        <v>1200000.0</v>
      </c>
      <c r="G1048" s="403"/>
      <c r="H1048" s="349" t="s">
        <v>1581</v>
      </c>
      <c r="I1048" s="404" t="str">
        <f t="shared" si="10"/>
        <v>NOT PAID</v>
      </c>
      <c r="J1048" s="402"/>
      <c r="K1048" s="402"/>
      <c r="L1048" s="402"/>
      <c r="M1048" s="402"/>
      <c r="N1048" s="402"/>
      <c r="O1048" s="402"/>
      <c r="P1048" s="402"/>
      <c r="Q1048" s="402"/>
      <c r="R1048" s="402"/>
      <c r="S1048" s="402"/>
      <c r="T1048" s="402"/>
      <c r="U1048" s="402"/>
      <c r="V1048" s="402"/>
      <c r="W1048" s="402"/>
      <c r="X1048" s="402"/>
      <c r="Y1048" s="402"/>
      <c r="Z1048" s="402"/>
      <c r="AA1048" s="405"/>
      <c r="AB1048" s="405"/>
    </row>
    <row r="1049" ht="14.25" customHeight="1">
      <c r="A1049" s="497">
        <v>45519.0</v>
      </c>
      <c r="B1049" s="349" t="s">
        <v>800</v>
      </c>
      <c r="C1049" s="349" t="s">
        <v>801</v>
      </c>
      <c r="D1049" s="493" t="s">
        <v>54</v>
      </c>
      <c r="E1049" s="349" t="s">
        <v>1255</v>
      </c>
      <c r="F1049" s="413">
        <v>20000.0</v>
      </c>
      <c r="G1049" s="403"/>
      <c r="H1049" s="349" t="s">
        <v>1582</v>
      </c>
      <c r="I1049" s="404" t="str">
        <f t="shared" si="10"/>
        <v>NOT PAID</v>
      </c>
      <c r="J1049" s="402"/>
      <c r="K1049" s="402"/>
      <c r="L1049" s="402"/>
      <c r="M1049" s="402"/>
      <c r="N1049" s="402"/>
      <c r="O1049" s="402"/>
      <c r="P1049" s="402"/>
      <c r="Q1049" s="402"/>
      <c r="R1049" s="402"/>
      <c r="S1049" s="402"/>
      <c r="T1049" s="402"/>
      <c r="U1049" s="402"/>
      <c r="V1049" s="402"/>
      <c r="W1049" s="402"/>
      <c r="X1049" s="402"/>
      <c r="Y1049" s="402"/>
      <c r="Z1049" s="402"/>
      <c r="AA1049" s="405"/>
      <c r="AB1049" s="405"/>
    </row>
    <row r="1050" ht="14.25" customHeight="1">
      <c r="A1050" s="497">
        <v>45519.0</v>
      </c>
      <c r="B1050" s="349" t="s">
        <v>1544</v>
      </c>
      <c r="C1050" s="349" t="s">
        <v>1545</v>
      </c>
      <c r="D1050" s="349" t="s">
        <v>59</v>
      </c>
      <c r="E1050" s="349" t="s">
        <v>1546</v>
      </c>
      <c r="F1050" s="413">
        <v>3700000.0</v>
      </c>
      <c r="G1050" s="413">
        <v>3770000.0</v>
      </c>
      <c r="H1050" s="413" t="s">
        <v>710</v>
      </c>
      <c r="I1050" s="404" t="str">
        <f t="shared" si="10"/>
        <v>FULLY PAID</v>
      </c>
      <c r="J1050" s="402"/>
      <c r="K1050" s="402"/>
      <c r="L1050" s="402"/>
      <c r="M1050" s="402"/>
      <c r="N1050" s="402"/>
      <c r="O1050" s="402"/>
      <c r="P1050" s="402"/>
      <c r="Q1050" s="402"/>
      <c r="R1050" s="402"/>
      <c r="S1050" s="402"/>
      <c r="T1050" s="402"/>
      <c r="U1050" s="402"/>
      <c r="V1050" s="402"/>
      <c r="W1050" s="402"/>
      <c r="X1050" s="402"/>
      <c r="Y1050" s="402"/>
      <c r="Z1050" s="402"/>
      <c r="AA1050" s="405"/>
      <c r="AB1050" s="405"/>
    </row>
    <row r="1051" ht="14.25" customHeight="1">
      <c r="A1051" s="497"/>
      <c r="B1051" s="402"/>
      <c r="C1051" s="402"/>
      <c r="D1051" s="402"/>
      <c r="E1051" s="402"/>
      <c r="F1051" s="403"/>
      <c r="G1051" s="403"/>
      <c r="H1051" s="402"/>
      <c r="I1051" s="404" t="str">
        <f t="shared" si="10"/>
        <v>FULLY PAID</v>
      </c>
      <c r="J1051" s="402"/>
      <c r="K1051" s="402"/>
      <c r="L1051" s="402"/>
      <c r="M1051" s="402"/>
      <c r="N1051" s="402"/>
      <c r="O1051" s="402"/>
      <c r="P1051" s="402"/>
      <c r="Q1051" s="402"/>
      <c r="R1051" s="402"/>
      <c r="S1051" s="402"/>
      <c r="T1051" s="402"/>
      <c r="U1051" s="402"/>
      <c r="V1051" s="402"/>
      <c r="W1051" s="402"/>
      <c r="X1051" s="402"/>
      <c r="Y1051" s="402"/>
      <c r="Z1051" s="402"/>
      <c r="AA1051" s="405"/>
      <c r="AB1051" s="405"/>
    </row>
    <row r="1052" ht="14.25" customHeight="1">
      <c r="A1052" s="497"/>
      <c r="B1052" s="402"/>
      <c r="C1052" s="402"/>
      <c r="D1052" s="402"/>
      <c r="E1052" s="402"/>
      <c r="F1052" s="403"/>
      <c r="G1052" s="403"/>
      <c r="H1052" s="402"/>
      <c r="I1052" s="404" t="str">
        <f t="shared" si="10"/>
        <v>FULLY PAID</v>
      </c>
      <c r="J1052" s="402"/>
      <c r="K1052" s="402"/>
      <c r="L1052" s="402"/>
      <c r="M1052" s="402"/>
      <c r="N1052" s="402"/>
      <c r="O1052" s="402"/>
      <c r="P1052" s="402"/>
      <c r="Q1052" s="402"/>
      <c r="R1052" s="402"/>
      <c r="S1052" s="402"/>
      <c r="T1052" s="402"/>
      <c r="U1052" s="402"/>
      <c r="V1052" s="402"/>
      <c r="W1052" s="402"/>
      <c r="X1052" s="402"/>
      <c r="Y1052" s="402"/>
      <c r="Z1052" s="402"/>
      <c r="AA1052" s="405"/>
      <c r="AB1052" s="405"/>
    </row>
    <row r="1053" ht="14.25" customHeight="1">
      <c r="A1053" s="497"/>
      <c r="B1053" s="402"/>
      <c r="C1053" s="402"/>
      <c r="D1053" s="402"/>
      <c r="E1053" s="402"/>
      <c r="F1053" s="403"/>
      <c r="G1053" s="403"/>
      <c r="H1053" s="402"/>
      <c r="I1053" s="404" t="str">
        <f t="shared" si="10"/>
        <v>FULLY PAID</v>
      </c>
      <c r="J1053" s="402"/>
      <c r="K1053" s="402"/>
      <c r="L1053" s="402"/>
      <c r="M1053" s="402"/>
      <c r="N1053" s="402"/>
      <c r="O1053" s="402"/>
      <c r="P1053" s="402"/>
      <c r="Q1053" s="402"/>
      <c r="R1053" s="402"/>
      <c r="S1053" s="402"/>
      <c r="T1053" s="402"/>
      <c r="U1053" s="402"/>
      <c r="V1053" s="402"/>
      <c r="W1053" s="402"/>
      <c r="X1053" s="402"/>
      <c r="Y1053" s="402"/>
      <c r="Z1053" s="402"/>
      <c r="AA1053" s="405"/>
      <c r="AB1053" s="405"/>
    </row>
    <row r="1054" ht="14.25" customHeight="1">
      <c r="A1054" s="497"/>
      <c r="B1054" s="402"/>
      <c r="C1054" s="402"/>
      <c r="D1054" s="402"/>
      <c r="E1054" s="402"/>
      <c r="F1054" s="403"/>
      <c r="G1054" s="403"/>
      <c r="H1054" s="402"/>
      <c r="I1054" s="404" t="str">
        <f t="shared" si="10"/>
        <v>FULLY PAID</v>
      </c>
      <c r="J1054" s="402"/>
      <c r="K1054" s="402"/>
      <c r="L1054" s="402"/>
      <c r="M1054" s="402"/>
      <c r="N1054" s="402"/>
      <c r="O1054" s="402"/>
      <c r="P1054" s="402"/>
      <c r="Q1054" s="402"/>
      <c r="R1054" s="402"/>
      <c r="S1054" s="402"/>
      <c r="T1054" s="402"/>
      <c r="U1054" s="402"/>
      <c r="V1054" s="402"/>
      <c r="W1054" s="402"/>
      <c r="X1054" s="402"/>
      <c r="Y1054" s="402"/>
      <c r="Z1054" s="402"/>
      <c r="AA1054" s="405"/>
      <c r="AB1054" s="405"/>
    </row>
    <row r="1055" ht="14.25" customHeight="1">
      <c r="A1055" s="497"/>
      <c r="B1055" s="526" t="s">
        <v>1583</v>
      </c>
      <c r="C1055" s="402"/>
      <c r="D1055" s="402"/>
      <c r="E1055" s="402"/>
      <c r="F1055" s="403"/>
      <c r="G1055" s="403"/>
      <c r="H1055" s="402"/>
      <c r="I1055" s="404" t="str">
        <f t="shared" si="10"/>
        <v>FULLY PAID</v>
      </c>
      <c r="J1055" s="402"/>
      <c r="K1055" s="402"/>
      <c r="L1055" s="402"/>
      <c r="M1055" s="402"/>
      <c r="N1055" s="402"/>
      <c r="O1055" s="402"/>
      <c r="P1055" s="402"/>
      <c r="Q1055" s="402"/>
      <c r="R1055" s="402"/>
      <c r="S1055" s="402"/>
      <c r="T1055" s="402"/>
      <c r="U1055" s="402"/>
      <c r="V1055" s="402"/>
      <c r="W1055" s="402"/>
      <c r="X1055" s="402"/>
      <c r="Y1055" s="402"/>
      <c r="Z1055" s="402"/>
      <c r="AA1055" s="405"/>
      <c r="AB1055" s="405"/>
    </row>
    <row r="1056" ht="14.25" customHeight="1">
      <c r="A1056" s="497">
        <v>45520.0</v>
      </c>
      <c r="B1056" s="349" t="s">
        <v>1117</v>
      </c>
      <c r="C1056" s="349" t="s">
        <v>1332</v>
      </c>
      <c r="D1056" s="349" t="s">
        <v>1115</v>
      </c>
      <c r="E1056" s="349" t="s">
        <v>1098</v>
      </c>
      <c r="F1056" s="413">
        <v>170000.0</v>
      </c>
      <c r="G1056" s="403"/>
      <c r="H1056" s="349" t="s">
        <v>1549</v>
      </c>
      <c r="I1056" s="404" t="str">
        <f t="shared" si="10"/>
        <v>NOT PAID</v>
      </c>
      <c r="J1056" s="402"/>
      <c r="K1056" s="402"/>
      <c r="L1056" s="402"/>
      <c r="M1056" s="402"/>
      <c r="N1056" s="402"/>
      <c r="O1056" s="402"/>
      <c r="P1056" s="402"/>
      <c r="Q1056" s="402"/>
      <c r="R1056" s="402"/>
      <c r="S1056" s="402"/>
      <c r="T1056" s="402"/>
      <c r="U1056" s="402"/>
      <c r="V1056" s="402"/>
      <c r="W1056" s="402"/>
      <c r="X1056" s="402"/>
      <c r="Y1056" s="402"/>
      <c r="Z1056" s="402"/>
      <c r="AA1056" s="405"/>
      <c r="AB1056" s="405"/>
    </row>
    <row r="1057" ht="14.25" customHeight="1">
      <c r="A1057" s="497">
        <v>45520.0</v>
      </c>
      <c r="B1057" s="484" t="s">
        <v>1113</v>
      </c>
      <c r="C1057" s="349" t="s">
        <v>1332</v>
      </c>
      <c r="D1057" s="349" t="s">
        <v>1115</v>
      </c>
      <c r="E1057" s="349" t="s">
        <v>1098</v>
      </c>
      <c r="F1057" s="413">
        <v>170000.0</v>
      </c>
      <c r="G1057" s="403"/>
      <c r="H1057" s="349" t="s">
        <v>1549</v>
      </c>
      <c r="I1057" s="404" t="str">
        <f t="shared" si="10"/>
        <v>NOT PAID</v>
      </c>
      <c r="J1057" s="402"/>
      <c r="K1057" s="402"/>
      <c r="L1057" s="402"/>
      <c r="M1057" s="402"/>
      <c r="N1057" s="402"/>
      <c r="O1057" s="402"/>
      <c r="P1057" s="402"/>
      <c r="Q1057" s="402"/>
      <c r="R1057" s="402"/>
      <c r="S1057" s="402"/>
      <c r="T1057" s="402"/>
      <c r="U1057" s="402"/>
      <c r="V1057" s="402"/>
      <c r="W1057" s="402"/>
      <c r="X1057" s="402"/>
      <c r="Y1057" s="402"/>
      <c r="Z1057" s="402"/>
      <c r="AA1057" s="405"/>
      <c r="AB1057" s="405"/>
    </row>
    <row r="1058" ht="14.25" customHeight="1">
      <c r="A1058" s="497">
        <v>45520.0</v>
      </c>
      <c r="B1058" s="349" t="s">
        <v>777</v>
      </c>
      <c r="C1058" s="349" t="s">
        <v>778</v>
      </c>
      <c r="D1058" s="349" t="s">
        <v>54</v>
      </c>
      <c r="E1058" s="349" t="s">
        <v>1098</v>
      </c>
      <c r="F1058" s="413">
        <v>119325.0</v>
      </c>
      <c r="G1058" s="403"/>
      <c r="H1058" s="349" t="s">
        <v>1550</v>
      </c>
      <c r="I1058" s="404" t="str">
        <f t="shared" si="10"/>
        <v>NOT PAID</v>
      </c>
      <c r="J1058" s="402"/>
      <c r="K1058" s="402"/>
      <c r="L1058" s="402"/>
      <c r="M1058" s="402"/>
      <c r="N1058" s="402"/>
      <c r="O1058" s="402"/>
      <c r="P1058" s="402"/>
      <c r="Q1058" s="402"/>
      <c r="R1058" s="402"/>
      <c r="S1058" s="402"/>
      <c r="T1058" s="402"/>
      <c r="U1058" s="402"/>
      <c r="V1058" s="402"/>
      <c r="W1058" s="402"/>
      <c r="X1058" s="402"/>
      <c r="Y1058" s="402"/>
      <c r="Z1058" s="402"/>
      <c r="AA1058" s="405"/>
      <c r="AB1058" s="405"/>
    </row>
    <row r="1059" ht="14.25" customHeight="1">
      <c r="A1059" s="497">
        <v>45520.0</v>
      </c>
      <c r="B1059" s="349" t="s">
        <v>807</v>
      </c>
      <c r="C1059" s="349" t="s">
        <v>808</v>
      </c>
      <c r="D1059" s="349" t="s">
        <v>54</v>
      </c>
      <c r="E1059" s="349" t="s">
        <v>1098</v>
      </c>
      <c r="F1059" s="413">
        <v>1674.75</v>
      </c>
      <c r="G1059" s="403"/>
      <c r="H1059" s="349" t="s">
        <v>1584</v>
      </c>
      <c r="I1059" s="404" t="str">
        <f t="shared" si="10"/>
        <v>NOT PAID</v>
      </c>
      <c r="J1059" s="402"/>
      <c r="K1059" s="402"/>
      <c r="L1059" s="402"/>
      <c r="M1059" s="402"/>
      <c r="N1059" s="402"/>
      <c r="O1059" s="402"/>
      <c r="P1059" s="402"/>
      <c r="Q1059" s="402"/>
      <c r="R1059" s="402"/>
      <c r="S1059" s="402"/>
      <c r="T1059" s="402"/>
      <c r="U1059" s="402"/>
      <c r="V1059" s="402"/>
      <c r="W1059" s="402"/>
      <c r="X1059" s="402"/>
      <c r="Y1059" s="402"/>
      <c r="Z1059" s="402"/>
      <c r="AA1059" s="405"/>
      <c r="AB1059" s="405"/>
    </row>
    <row r="1060" ht="14.25" customHeight="1">
      <c r="A1060" s="497">
        <v>45520.0</v>
      </c>
      <c r="B1060" s="349" t="s">
        <v>705</v>
      </c>
      <c r="C1060" s="349" t="s">
        <v>1110</v>
      </c>
      <c r="D1060" s="349" t="s">
        <v>54</v>
      </c>
      <c r="E1060" s="349" t="s">
        <v>1098</v>
      </c>
      <c r="F1060" s="413">
        <v>6709.6</v>
      </c>
      <c r="G1060" s="403"/>
      <c r="H1060" s="349" t="s">
        <v>1552</v>
      </c>
      <c r="I1060" s="404" t="str">
        <f t="shared" si="10"/>
        <v>NOT PAID</v>
      </c>
      <c r="J1060" s="402"/>
      <c r="K1060" s="402"/>
      <c r="L1060" s="402"/>
      <c r="M1060" s="402"/>
      <c r="N1060" s="402"/>
      <c r="O1060" s="402"/>
      <c r="P1060" s="402"/>
      <c r="Q1060" s="402"/>
      <c r="R1060" s="402"/>
      <c r="S1060" s="402"/>
      <c r="T1060" s="402"/>
      <c r="U1060" s="402"/>
      <c r="V1060" s="402"/>
      <c r="W1060" s="402"/>
      <c r="X1060" s="402"/>
      <c r="Y1060" s="402"/>
      <c r="Z1060" s="402"/>
      <c r="AA1060" s="405"/>
      <c r="AB1060" s="405"/>
    </row>
    <row r="1061" ht="14.25" customHeight="1">
      <c r="A1061" s="497">
        <v>45520.0</v>
      </c>
      <c r="B1061" s="349" t="s">
        <v>711</v>
      </c>
      <c r="C1061" s="349" t="s">
        <v>1123</v>
      </c>
      <c r="D1061" s="349" t="s">
        <v>75</v>
      </c>
      <c r="E1061" s="349" t="s">
        <v>1098</v>
      </c>
      <c r="F1061" s="413">
        <v>26556.61</v>
      </c>
      <c r="G1061" s="403"/>
      <c r="H1061" s="349" t="s">
        <v>1553</v>
      </c>
      <c r="I1061" s="404" t="str">
        <f t="shared" si="10"/>
        <v>NOT PAID</v>
      </c>
      <c r="J1061" s="402"/>
      <c r="K1061" s="402"/>
      <c r="L1061" s="402"/>
      <c r="M1061" s="402"/>
      <c r="N1061" s="402"/>
      <c r="O1061" s="402"/>
      <c r="P1061" s="402"/>
      <c r="Q1061" s="402"/>
      <c r="R1061" s="402"/>
      <c r="S1061" s="402"/>
      <c r="T1061" s="402"/>
      <c r="U1061" s="402"/>
      <c r="V1061" s="402"/>
      <c r="W1061" s="402"/>
      <c r="X1061" s="402"/>
      <c r="Y1061" s="402"/>
      <c r="Z1061" s="402"/>
      <c r="AA1061" s="405"/>
      <c r="AB1061" s="405"/>
    </row>
    <row r="1062" ht="14.25" customHeight="1">
      <c r="A1062" s="497">
        <v>45520.0</v>
      </c>
      <c r="B1062" s="349" t="s">
        <v>701</v>
      </c>
      <c r="C1062" s="349" t="s">
        <v>702</v>
      </c>
      <c r="D1062" s="349" t="s">
        <v>54</v>
      </c>
      <c r="E1062" s="349" t="s">
        <v>1098</v>
      </c>
      <c r="F1062" s="413">
        <v>60372.89</v>
      </c>
      <c r="G1062" s="413"/>
      <c r="H1062" s="349" t="s">
        <v>1554</v>
      </c>
      <c r="I1062" s="404" t="str">
        <f t="shared" si="10"/>
        <v>NOT PAID</v>
      </c>
      <c r="J1062" s="402"/>
      <c r="K1062" s="402"/>
      <c r="L1062" s="402"/>
      <c r="M1062" s="402"/>
      <c r="N1062" s="402"/>
      <c r="O1062" s="402"/>
      <c r="P1062" s="402"/>
      <c r="Q1062" s="402"/>
      <c r="R1062" s="402"/>
      <c r="S1062" s="402"/>
      <c r="T1062" s="402"/>
      <c r="U1062" s="402"/>
      <c r="V1062" s="402"/>
      <c r="W1062" s="402"/>
      <c r="X1062" s="402"/>
      <c r="Y1062" s="402"/>
      <c r="Z1062" s="402"/>
      <c r="AA1062" s="405"/>
      <c r="AB1062" s="405"/>
    </row>
    <row r="1063" ht="14.25" customHeight="1">
      <c r="A1063" s="497">
        <v>45520.0</v>
      </c>
      <c r="B1063" s="505" t="s">
        <v>1120</v>
      </c>
      <c r="C1063" s="506" t="s">
        <v>1121</v>
      </c>
      <c r="D1063" s="507" t="s">
        <v>346</v>
      </c>
      <c r="E1063" s="349" t="s">
        <v>1098</v>
      </c>
      <c r="F1063" s="508">
        <v>63864.94</v>
      </c>
      <c r="G1063" s="403"/>
      <c r="H1063" s="349" t="s">
        <v>1555</v>
      </c>
      <c r="I1063" s="404" t="str">
        <f t="shared" si="10"/>
        <v>NOT PAID</v>
      </c>
      <c r="J1063" s="402"/>
      <c r="K1063" s="402"/>
      <c r="L1063" s="402"/>
      <c r="M1063" s="402"/>
      <c r="N1063" s="402"/>
      <c r="O1063" s="402"/>
      <c r="P1063" s="402"/>
      <c r="Q1063" s="402"/>
      <c r="R1063" s="402"/>
      <c r="S1063" s="402"/>
      <c r="T1063" s="402"/>
      <c r="U1063" s="402"/>
      <c r="V1063" s="402"/>
      <c r="W1063" s="402"/>
      <c r="X1063" s="402"/>
      <c r="Y1063" s="402"/>
      <c r="Z1063" s="402"/>
      <c r="AA1063" s="405"/>
      <c r="AB1063" s="405"/>
    </row>
    <row r="1064" ht="14.25" customHeight="1">
      <c r="A1064" s="497">
        <v>45520.0</v>
      </c>
      <c r="B1064" s="492" t="s">
        <v>729</v>
      </c>
      <c r="C1064" s="493" t="s">
        <v>995</v>
      </c>
      <c r="D1064" s="493" t="s">
        <v>54</v>
      </c>
      <c r="E1064" s="349" t="s">
        <v>1098</v>
      </c>
      <c r="F1064" s="494">
        <v>244832.0</v>
      </c>
      <c r="G1064" s="413">
        <v>130000.0</v>
      </c>
      <c r="H1064" s="532" t="s">
        <v>1039</v>
      </c>
      <c r="I1064" s="404" t="str">
        <f t="shared" si="10"/>
        <v>PARTIALLY PAID</v>
      </c>
      <c r="J1064" s="402"/>
      <c r="K1064" s="402"/>
      <c r="L1064" s="402"/>
      <c r="M1064" s="402"/>
      <c r="N1064" s="402"/>
      <c r="O1064" s="402"/>
      <c r="P1064" s="402"/>
      <c r="Q1064" s="402"/>
      <c r="R1064" s="402"/>
      <c r="S1064" s="402"/>
      <c r="T1064" s="402"/>
      <c r="U1064" s="402"/>
      <c r="V1064" s="402"/>
      <c r="W1064" s="402"/>
      <c r="X1064" s="402"/>
      <c r="Y1064" s="402"/>
      <c r="Z1064" s="402"/>
      <c r="AA1064" s="405"/>
      <c r="AB1064" s="405"/>
    </row>
    <row r="1065" ht="14.25" customHeight="1">
      <c r="A1065" s="497">
        <v>45520.0</v>
      </c>
      <c r="B1065" s="515" t="s">
        <v>1034</v>
      </c>
      <c r="C1065" s="516" t="s">
        <v>1401</v>
      </c>
      <c r="D1065" s="516" t="s">
        <v>54</v>
      </c>
      <c r="E1065" s="349" t="s">
        <v>1098</v>
      </c>
      <c r="F1065" s="416">
        <v>32840.0</v>
      </c>
      <c r="G1065" s="403"/>
      <c r="H1065" s="349" t="s">
        <v>1517</v>
      </c>
      <c r="I1065" s="404" t="str">
        <f t="shared" si="10"/>
        <v>NOT PAID</v>
      </c>
      <c r="J1065" s="402"/>
      <c r="K1065" s="402"/>
      <c r="L1065" s="402"/>
      <c r="M1065" s="402"/>
      <c r="N1065" s="402"/>
      <c r="O1065" s="402"/>
      <c r="P1065" s="402"/>
      <c r="Q1065" s="402"/>
      <c r="R1065" s="402"/>
      <c r="S1065" s="402"/>
      <c r="T1065" s="402"/>
      <c r="U1065" s="402"/>
      <c r="V1065" s="402"/>
      <c r="W1065" s="402"/>
      <c r="X1065" s="402"/>
      <c r="Y1065" s="402"/>
      <c r="Z1065" s="402"/>
      <c r="AA1065" s="405"/>
      <c r="AB1065" s="405"/>
    </row>
    <row r="1066" ht="14.25" customHeight="1">
      <c r="A1066" s="497">
        <v>45520.0</v>
      </c>
      <c r="B1066" s="518" t="s">
        <v>1559</v>
      </c>
      <c r="C1066" s="519" t="s">
        <v>1457</v>
      </c>
      <c r="D1066" s="519" t="s">
        <v>54</v>
      </c>
      <c r="E1066" s="349" t="s">
        <v>1098</v>
      </c>
      <c r="F1066" s="416">
        <v>34000.0</v>
      </c>
      <c r="G1066" s="403"/>
      <c r="H1066" s="349" t="s">
        <v>1560</v>
      </c>
      <c r="I1066" s="404" t="str">
        <f t="shared" si="10"/>
        <v>NOT PAID</v>
      </c>
      <c r="J1066" s="402"/>
      <c r="K1066" s="402"/>
      <c r="L1066" s="402"/>
      <c r="M1066" s="402"/>
      <c r="N1066" s="402"/>
      <c r="O1066" s="402"/>
      <c r="P1066" s="402"/>
      <c r="Q1066" s="402"/>
      <c r="R1066" s="402"/>
      <c r="S1066" s="402"/>
      <c r="T1066" s="402"/>
      <c r="U1066" s="402"/>
      <c r="V1066" s="402"/>
      <c r="W1066" s="402"/>
      <c r="X1066" s="402"/>
      <c r="Y1066" s="402"/>
      <c r="Z1066" s="402"/>
      <c r="AA1066" s="405"/>
      <c r="AB1066" s="405"/>
    </row>
    <row r="1067" ht="14.25" customHeight="1">
      <c r="A1067" s="497">
        <v>45520.0</v>
      </c>
      <c r="B1067" s="518" t="s">
        <v>1585</v>
      </c>
      <c r="C1067" s="519" t="s">
        <v>1586</v>
      </c>
      <c r="D1067" s="519" t="s">
        <v>54</v>
      </c>
      <c r="E1067" s="349" t="s">
        <v>1098</v>
      </c>
      <c r="F1067" s="416">
        <v>229018.14</v>
      </c>
      <c r="G1067" s="413">
        <v>326700.0</v>
      </c>
      <c r="H1067" s="349" t="s">
        <v>710</v>
      </c>
      <c r="I1067" s="404" t="str">
        <f t="shared" si="10"/>
        <v>FULLY PAID</v>
      </c>
      <c r="J1067" s="402"/>
      <c r="K1067" s="402"/>
      <c r="L1067" s="402"/>
      <c r="M1067" s="402"/>
      <c r="N1067" s="402"/>
      <c r="O1067" s="402"/>
      <c r="P1067" s="402"/>
      <c r="Q1067" s="402"/>
      <c r="R1067" s="402"/>
      <c r="S1067" s="402"/>
      <c r="T1067" s="402"/>
      <c r="U1067" s="402"/>
      <c r="V1067" s="402"/>
      <c r="W1067" s="402"/>
      <c r="X1067" s="402"/>
      <c r="Y1067" s="402"/>
      <c r="Z1067" s="402"/>
      <c r="AA1067" s="405"/>
      <c r="AB1067" s="405"/>
    </row>
    <row r="1068" ht="14.25" customHeight="1">
      <c r="A1068" s="497">
        <v>45520.0</v>
      </c>
      <c r="B1068" s="518" t="s">
        <v>717</v>
      </c>
      <c r="C1068" s="519" t="s">
        <v>1587</v>
      </c>
      <c r="D1068" s="519" t="s">
        <v>54</v>
      </c>
      <c r="E1068" s="349" t="s">
        <v>1098</v>
      </c>
      <c r="F1068" s="416">
        <v>15378.82</v>
      </c>
      <c r="G1068" s="403"/>
      <c r="H1068" s="349"/>
      <c r="I1068" s="404" t="str">
        <f t="shared" si="10"/>
        <v>NOT PAID</v>
      </c>
      <c r="J1068" s="402"/>
      <c r="K1068" s="402"/>
      <c r="L1068" s="402"/>
      <c r="M1068" s="402"/>
      <c r="N1068" s="402"/>
      <c r="O1068" s="402"/>
      <c r="P1068" s="402"/>
      <c r="Q1068" s="402"/>
      <c r="R1068" s="402"/>
      <c r="S1068" s="402"/>
      <c r="T1068" s="402"/>
      <c r="U1068" s="402"/>
      <c r="V1068" s="402"/>
      <c r="W1068" s="402"/>
      <c r="X1068" s="402"/>
      <c r="Y1068" s="402"/>
      <c r="Z1068" s="402"/>
      <c r="AA1068" s="405"/>
      <c r="AB1068" s="405"/>
    </row>
    <row r="1069" ht="14.25" customHeight="1">
      <c r="A1069" s="497">
        <v>45520.0</v>
      </c>
      <c r="B1069" s="349" t="s">
        <v>1155</v>
      </c>
      <c r="C1069" s="349" t="s">
        <v>1156</v>
      </c>
      <c r="D1069" s="493" t="s">
        <v>54</v>
      </c>
      <c r="E1069" s="415" t="s">
        <v>1153</v>
      </c>
      <c r="F1069" s="413">
        <v>295732.73</v>
      </c>
      <c r="G1069" s="413">
        <v>0.0</v>
      </c>
      <c r="H1069" s="349" t="s">
        <v>1588</v>
      </c>
      <c r="I1069" s="404" t="str">
        <f t="shared" si="10"/>
        <v>NOT PAID</v>
      </c>
      <c r="J1069" s="402"/>
      <c r="K1069" s="402"/>
      <c r="L1069" s="402"/>
      <c r="M1069" s="402"/>
      <c r="N1069" s="402"/>
      <c r="O1069" s="402"/>
      <c r="P1069" s="402"/>
      <c r="Q1069" s="402"/>
      <c r="R1069" s="402"/>
      <c r="S1069" s="402"/>
      <c r="T1069" s="402"/>
      <c r="U1069" s="402"/>
      <c r="V1069" s="402"/>
      <c r="W1069" s="402"/>
      <c r="X1069" s="402"/>
      <c r="Y1069" s="402"/>
      <c r="Z1069" s="402"/>
      <c r="AA1069" s="405"/>
      <c r="AB1069" s="405"/>
    </row>
    <row r="1070" ht="14.25" customHeight="1">
      <c r="A1070" s="497">
        <v>45520.0</v>
      </c>
      <c r="B1070" s="349" t="s">
        <v>960</v>
      </c>
      <c r="C1070" s="349" t="s">
        <v>961</v>
      </c>
      <c r="D1070" s="493" t="s">
        <v>54</v>
      </c>
      <c r="E1070" s="415" t="s">
        <v>1153</v>
      </c>
      <c r="F1070" s="413">
        <v>100000.0</v>
      </c>
      <c r="G1070" s="413">
        <v>0.0</v>
      </c>
      <c r="H1070" s="349" t="s">
        <v>1589</v>
      </c>
      <c r="I1070" s="404" t="str">
        <f t="shared" si="10"/>
        <v>NOT PAID</v>
      </c>
      <c r="J1070" s="402"/>
      <c r="K1070" s="402"/>
      <c r="L1070" s="402"/>
      <c r="M1070" s="402"/>
      <c r="N1070" s="402"/>
      <c r="O1070" s="402"/>
      <c r="P1070" s="402"/>
      <c r="Q1070" s="402"/>
      <c r="R1070" s="402"/>
      <c r="S1070" s="402"/>
      <c r="T1070" s="402"/>
      <c r="U1070" s="402"/>
      <c r="V1070" s="402"/>
      <c r="W1070" s="402"/>
      <c r="X1070" s="402"/>
      <c r="Y1070" s="402"/>
      <c r="Z1070" s="402"/>
      <c r="AA1070" s="405"/>
      <c r="AB1070" s="405"/>
    </row>
    <row r="1071" ht="14.25" customHeight="1">
      <c r="A1071" s="497">
        <v>45520.0</v>
      </c>
      <c r="B1071" s="349" t="s">
        <v>1346</v>
      </c>
      <c r="C1071" s="349" t="s">
        <v>1347</v>
      </c>
      <c r="D1071" s="411" t="s">
        <v>59</v>
      </c>
      <c r="E1071" s="415" t="s">
        <v>1153</v>
      </c>
      <c r="F1071" s="413">
        <v>300000.0</v>
      </c>
      <c r="G1071" s="413">
        <v>0.0</v>
      </c>
      <c r="H1071" s="349" t="s">
        <v>1590</v>
      </c>
      <c r="I1071" s="404" t="str">
        <f t="shared" si="10"/>
        <v>NOT PAID</v>
      </c>
      <c r="J1071" s="402"/>
      <c r="K1071" s="402"/>
      <c r="L1071" s="402"/>
      <c r="M1071" s="402"/>
      <c r="N1071" s="402"/>
      <c r="O1071" s="402"/>
      <c r="P1071" s="402"/>
      <c r="Q1071" s="402"/>
      <c r="R1071" s="402"/>
      <c r="S1071" s="402"/>
      <c r="T1071" s="402"/>
      <c r="U1071" s="402"/>
      <c r="V1071" s="402"/>
      <c r="W1071" s="402"/>
      <c r="X1071" s="402"/>
      <c r="Y1071" s="402"/>
      <c r="Z1071" s="402"/>
      <c r="AA1071" s="405"/>
      <c r="AB1071" s="405"/>
    </row>
    <row r="1072" ht="14.25" customHeight="1">
      <c r="A1072" s="497">
        <v>45520.0</v>
      </c>
      <c r="B1072" s="518" t="s">
        <v>746</v>
      </c>
      <c r="C1072" s="519" t="s">
        <v>747</v>
      </c>
      <c r="D1072" s="519" t="s">
        <v>54</v>
      </c>
      <c r="E1072" s="415" t="s">
        <v>1153</v>
      </c>
      <c r="F1072" s="413">
        <v>108000.0</v>
      </c>
      <c r="G1072" s="413">
        <v>0.0</v>
      </c>
      <c r="H1072" s="349" t="s">
        <v>1591</v>
      </c>
      <c r="I1072" s="404" t="str">
        <f t="shared" si="10"/>
        <v>NOT PAID</v>
      </c>
      <c r="J1072" s="402"/>
      <c r="K1072" s="402"/>
      <c r="L1072" s="402"/>
      <c r="M1072" s="402"/>
      <c r="N1072" s="402"/>
      <c r="O1072" s="402"/>
      <c r="P1072" s="402"/>
      <c r="Q1072" s="402"/>
      <c r="R1072" s="402"/>
      <c r="S1072" s="402"/>
      <c r="T1072" s="402"/>
      <c r="U1072" s="402"/>
      <c r="V1072" s="402"/>
      <c r="W1072" s="402"/>
      <c r="X1072" s="402"/>
      <c r="Y1072" s="402"/>
      <c r="Z1072" s="402"/>
      <c r="AA1072" s="405"/>
      <c r="AB1072" s="405"/>
    </row>
    <row r="1073" ht="14.25" customHeight="1">
      <c r="A1073" s="497">
        <v>45520.0</v>
      </c>
      <c r="B1073" s="414" t="s">
        <v>1568</v>
      </c>
      <c r="C1073" s="415" t="s">
        <v>1569</v>
      </c>
      <c r="D1073" s="411" t="s">
        <v>54</v>
      </c>
      <c r="E1073" s="411" t="s">
        <v>1153</v>
      </c>
      <c r="F1073" s="413">
        <v>3000000.0</v>
      </c>
      <c r="G1073" s="413">
        <v>0.0</v>
      </c>
      <c r="H1073" s="349" t="s">
        <v>1592</v>
      </c>
      <c r="I1073" s="404" t="str">
        <f t="shared" si="10"/>
        <v>NOT PAID</v>
      </c>
      <c r="J1073" s="402"/>
      <c r="K1073" s="402"/>
      <c r="L1073" s="402"/>
      <c r="M1073" s="402"/>
      <c r="N1073" s="402"/>
      <c r="O1073" s="402"/>
      <c r="P1073" s="402"/>
      <c r="Q1073" s="402"/>
      <c r="R1073" s="402"/>
      <c r="S1073" s="402"/>
      <c r="T1073" s="402"/>
      <c r="U1073" s="402"/>
      <c r="V1073" s="402"/>
      <c r="W1073" s="402"/>
      <c r="X1073" s="402"/>
      <c r="Y1073" s="402"/>
      <c r="Z1073" s="402"/>
      <c r="AA1073" s="405"/>
      <c r="AB1073" s="405"/>
    </row>
    <row r="1074" ht="14.25" customHeight="1">
      <c r="A1074" s="497">
        <v>45520.0</v>
      </c>
      <c r="B1074" s="414" t="s">
        <v>1425</v>
      </c>
      <c r="C1074" s="415" t="s">
        <v>1426</v>
      </c>
      <c r="D1074" s="415" t="s">
        <v>54</v>
      </c>
      <c r="E1074" s="349" t="s">
        <v>1139</v>
      </c>
      <c r="F1074" s="413">
        <v>6500.0</v>
      </c>
      <c r="G1074" s="413">
        <v>0.0</v>
      </c>
      <c r="H1074" s="349" t="s">
        <v>1593</v>
      </c>
      <c r="I1074" s="404" t="str">
        <f t="shared" si="10"/>
        <v>NOT PAID</v>
      </c>
      <c r="J1074" s="402"/>
      <c r="K1074" s="402"/>
      <c r="L1074" s="402"/>
      <c r="M1074" s="402"/>
      <c r="N1074" s="402"/>
      <c r="O1074" s="402"/>
      <c r="P1074" s="402"/>
      <c r="Q1074" s="402"/>
      <c r="R1074" s="402"/>
      <c r="S1074" s="402"/>
      <c r="T1074" s="402"/>
      <c r="U1074" s="402"/>
      <c r="V1074" s="402"/>
      <c r="W1074" s="402"/>
      <c r="X1074" s="402"/>
      <c r="Y1074" s="402"/>
      <c r="Z1074" s="402"/>
      <c r="AA1074" s="405"/>
      <c r="AB1074" s="405"/>
    </row>
    <row r="1075" ht="14.25" customHeight="1">
      <c r="A1075" s="497">
        <v>45520.0</v>
      </c>
      <c r="B1075" s="349" t="s">
        <v>698</v>
      </c>
      <c r="C1075" s="349" t="s">
        <v>1167</v>
      </c>
      <c r="D1075" s="349" t="s">
        <v>54</v>
      </c>
      <c r="E1075" s="349" t="s">
        <v>1168</v>
      </c>
      <c r="F1075" s="413">
        <v>15291.93</v>
      </c>
      <c r="G1075" s="403"/>
      <c r="H1075" s="349" t="s">
        <v>1574</v>
      </c>
      <c r="I1075" s="404" t="str">
        <f t="shared" si="10"/>
        <v>NOT PAID</v>
      </c>
      <c r="J1075" s="402"/>
      <c r="K1075" s="402"/>
      <c r="L1075" s="402"/>
      <c r="M1075" s="402"/>
      <c r="N1075" s="402"/>
      <c r="O1075" s="402"/>
      <c r="P1075" s="402"/>
      <c r="Q1075" s="402"/>
      <c r="R1075" s="402"/>
      <c r="S1075" s="402"/>
      <c r="T1075" s="402"/>
      <c r="U1075" s="402"/>
      <c r="V1075" s="402"/>
      <c r="W1075" s="402"/>
      <c r="X1075" s="402"/>
      <c r="Y1075" s="402"/>
      <c r="Z1075" s="402"/>
      <c r="AA1075" s="405"/>
      <c r="AB1075" s="405"/>
    </row>
    <row r="1076" ht="14.25" customHeight="1">
      <c r="A1076" s="497">
        <v>45520.0</v>
      </c>
      <c r="B1076" s="349" t="s">
        <v>997</v>
      </c>
      <c r="C1076" s="349" t="s">
        <v>998</v>
      </c>
      <c r="D1076" s="349" t="s">
        <v>263</v>
      </c>
      <c r="E1076" s="349" t="s">
        <v>1168</v>
      </c>
      <c r="F1076" s="413">
        <v>81947.25</v>
      </c>
      <c r="G1076" s="403"/>
      <c r="H1076" s="349" t="s">
        <v>1594</v>
      </c>
      <c r="I1076" s="404" t="str">
        <f t="shared" si="10"/>
        <v>NOT PAID</v>
      </c>
      <c r="J1076" s="402"/>
      <c r="K1076" s="402"/>
      <c r="L1076" s="402"/>
      <c r="M1076" s="402"/>
      <c r="N1076" s="402"/>
      <c r="O1076" s="402"/>
      <c r="P1076" s="402"/>
      <c r="Q1076" s="402"/>
      <c r="R1076" s="402"/>
      <c r="S1076" s="402"/>
      <c r="T1076" s="402"/>
      <c r="U1076" s="402"/>
      <c r="V1076" s="402"/>
      <c r="W1076" s="402"/>
      <c r="X1076" s="402"/>
      <c r="Y1076" s="402"/>
      <c r="Z1076" s="402"/>
      <c r="AA1076" s="405"/>
      <c r="AB1076" s="405"/>
    </row>
    <row r="1077" ht="14.25" customHeight="1">
      <c r="A1077" s="497">
        <v>45520.0</v>
      </c>
      <c r="B1077" s="343" t="s">
        <v>1223</v>
      </c>
      <c r="C1077" s="344" t="s">
        <v>998</v>
      </c>
      <c r="D1077" s="344" t="s">
        <v>346</v>
      </c>
      <c r="E1077" s="349" t="s">
        <v>1168</v>
      </c>
      <c r="F1077" s="452">
        <v>28350.0</v>
      </c>
      <c r="G1077" s="403"/>
      <c r="H1077" s="349" t="s">
        <v>1594</v>
      </c>
      <c r="I1077" s="404" t="str">
        <f t="shared" si="10"/>
        <v>NOT PAID</v>
      </c>
      <c r="J1077" s="402"/>
      <c r="K1077" s="402"/>
      <c r="L1077" s="402"/>
      <c r="M1077" s="402"/>
      <c r="N1077" s="402"/>
      <c r="O1077" s="402"/>
      <c r="P1077" s="402"/>
      <c r="Q1077" s="402"/>
      <c r="R1077" s="402"/>
      <c r="S1077" s="402"/>
      <c r="T1077" s="402"/>
      <c r="U1077" s="402"/>
      <c r="V1077" s="402"/>
      <c r="W1077" s="402"/>
      <c r="X1077" s="402"/>
      <c r="Y1077" s="402"/>
      <c r="Z1077" s="402"/>
      <c r="AA1077" s="405"/>
      <c r="AB1077" s="405"/>
    </row>
    <row r="1078" ht="14.25" customHeight="1">
      <c r="A1078" s="497">
        <v>45520.0</v>
      </c>
      <c r="B1078" s="343" t="s">
        <v>695</v>
      </c>
      <c r="C1078" s="344" t="s">
        <v>1529</v>
      </c>
      <c r="D1078" s="344" t="s">
        <v>54</v>
      </c>
      <c r="E1078" s="349" t="s">
        <v>1168</v>
      </c>
      <c r="F1078" s="442">
        <v>71570.81</v>
      </c>
      <c r="G1078" s="413"/>
      <c r="H1078" s="349" t="s">
        <v>1595</v>
      </c>
      <c r="I1078" s="404" t="str">
        <f t="shared" si="10"/>
        <v>NOT PAID</v>
      </c>
      <c r="J1078" s="402"/>
      <c r="K1078" s="402"/>
      <c r="L1078" s="402"/>
      <c r="M1078" s="402"/>
      <c r="N1078" s="402"/>
      <c r="O1078" s="402"/>
      <c r="P1078" s="402"/>
      <c r="Q1078" s="402"/>
      <c r="R1078" s="402"/>
      <c r="S1078" s="402"/>
      <c r="T1078" s="402"/>
      <c r="U1078" s="402"/>
      <c r="V1078" s="402"/>
      <c r="W1078" s="402"/>
      <c r="X1078" s="402"/>
      <c r="Y1078" s="402"/>
      <c r="Z1078" s="402"/>
      <c r="AA1078" s="405"/>
      <c r="AB1078" s="405"/>
    </row>
    <row r="1079" ht="14.25" customHeight="1">
      <c r="A1079" s="497">
        <v>45520.0</v>
      </c>
      <c r="B1079" s="414" t="s">
        <v>761</v>
      </c>
      <c r="C1079" s="415" t="s">
        <v>1596</v>
      </c>
      <c r="D1079" s="415" t="s">
        <v>59</v>
      </c>
      <c r="E1079" s="344" t="s">
        <v>1143</v>
      </c>
      <c r="F1079" s="442">
        <v>66203.64</v>
      </c>
      <c r="G1079" s="413"/>
      <c r="H1079" s="402"/>
      <c r="I1079" s="404" t="str">
        <f t="shared" si="10"/>
        <v>NOT PAID</v>
      </c>
      <c r="J1079" s="402"/>
      <c r="K1079" s="402"/>
      <c r="L1079" s="402"/>
      <c r="M1079" s="402"/>
      <c r="N1079" s="402"/>
      <c r="O1079" s="402"/>
      <c r="P1079" s="402"/>
      <c r="Q1079" s="402"/>
      <c r="R1079" s="402"/>
      <c r="S1079" s="402"/>
      <c r="T1079" s="402"/>
      <c r="U1079" s="402"/>
      <c r="V1079" s="402"/>
      <c r="W1079" s="402"/>
      <c r="X1079" s="402"/>
      <c r="Y1079" s="402"/>
      <c r="Z1079" s="402"/>
      <c r="AA1079" s="405"/>
      <c r="AB1079" s="405"/>
    </row>
    <row r="1080" ht="14.25" customHeight="1">
      <c r="A1080" s="497">
        <v>45520.0</v>
      </c>
      <c r="B1080" s="343" t="s">
        <v>1503</v>
      </c>
      <c r="C1080" s="344" t="s">
        <v>1504</v>
      </c>
      <c r="D1080" s="344" t="s">
        <v>54</v>
      </c>
      <c r="E1080" s="344" t="s">
        <v>1143</v>
      </c>
      <c r="F1080" s="442">
        <v>16812.0</v>
      </c>
      <c r="G1080" s="413">
        <v>0.0</v>
      </c>
      <c r="H1080" s="349" t="s">
        <v>1597</v>
      </c>
      <c r="I1080" s="404" t="str">
        <f t="shared" si="10"/>
        <v>NOT PAID</v>
      </c>
      <c r="J1080" s="402"/>
      <c r="K1080" s="402"/>
      <c r="L1080" s="402"/>
      <c r="M1080" s="402"/>
      <c r="N1080" s="402"/>
      <c r="O1080" s="402"/>
      <c r="P1080" s="402"/>
      <c r="Q1080" s="402"/>
      <c r="R1080" s="402"/>
      <c r="S1080" s="402"/>
      <c r="T1080" s="402"/>
      <c r="U1080" s="402"/>
      <c r="V1080" s="402"/>
      <c r="W1080" s="402"/>
      <c r="X1080" s="402"/>
      <c r="Y1080" s="402"/>
      <c r="Z1080" s="402"/>
      <c r="AA1080" s="405"/>
      <c r="AB1080" s="405"/>
    </row>
    <row r="1081" ht="14.25" customHeight="1">
      <c r="A1081" s="497">
        <v>45520.0</v>
      </c>
      <c r="B1081" s="343" t="s">
        <v>1475</v>
      </c>
      <c r="C1081" s="344" t="s">
        <v>765</v>
      </c>
      <c r="D1081" s="344" t="s">
        <v>75</v>
      </c>
      <c r="E1081" s="344" t="s">
        <v>1143</v>
      </c>
      <c r="F1081" s="442">
        <v>95970.0</v>
      </c>
      <c r="G1081" s="413">
        <v>0.0</v>
      </c>
      <c r="H1081" s="349" t="s">
        <v>1598</v>
      </c>
      <c r="I1081" s="404" t="str">
        <f t="shared" si="10"/>
        <v>NOT PAID</v>
      </c>
      <c r="J1081" s="402"/>
      <c r="K1081" s="402"/>
      <c r="L1081" s="402"/>
      <c r="M1081" s="402"/>
      <c r="N1081" s="402"/>
      <c r="O1081" s="402"/>
      <c r="P1081" s="402"/>
      <c r="Q1081" s="402"/>
      <c r="R1081" s="402"/>
      <c r="S1081" s="402"/>
      <c r="T1081" s="402"/>
      <c r="U1081" s="402"/>
      <c r="V1081" s="402"/>
      <c r="W1081" s="402"/>
      <c r="X1081" s="402"/>
      <c r="Y1081" s="402"/>
      <c r="Z1081" s="402"/>
      <c r="AA1081" s="405"/>
      <c r="AB1081" s="405"/>
    </row>
    <row r="1082" ht="14.25" customHeight="1">
      <c r="A1082" s="497">
        <v>45520.0</v>
      </c>
      <c r="B1082" s="343" t="s">
        <v>788</v>
      </c>
      <c r="C1082" s="344" t="s">
        <v>789</v>
      </c>
      <c r="D1082" s="344" t="s">
        <v>54</v>
      </c>
      <c r="E1082" s="344" t="s">
        <v>1143</v>
      </c>
      <c r="F1082" s="442">
        <v>98777.16</v>
      </c>
      <c r="G1082" s="413">
        <v>0.0</v>
      </c>
      <c r="H1082" s="349" t="s">
        <v>1599</v>
      </c>
      <c r="I1082" s="404" t="str">
        <f t="shared" si="10"/>
        <v>NOT PAID</v>
      </c>
      <c r="J1082" s="402"/>
      <c r="K1082" s="402"/>
      <c r="L1082" s="402"/>
      <c r="M1082" s="402"/>
      <c r="N1082" s="402"/>
      <c r="O1082" s="402"/>
      <c r="P1082" s="402"/>
      <c r="Q1082" s="402"/>
      <c r="R1082" s="402"/>
      <c r="S1082" s="402"/>
      <c r="T1082" s="402"/>
      <c r="U1082" s="402"/>
      <c r="V1082" s="402"/>
      <c r="W1082" s="402"/>
      <c r="X1082" s="402"/>
      <c r="Y1082" s="402"/>
      <c r="Z1082" s="402"/>
      <c r="AA1082" s="405"/>
      <c r="AB1082" s="405"/>
    </row>
    <row r="1083" ht="14.25" customHeight="1">
      <c r="A1083" s="497">
        <v>45520.0</v>
      </c>
      <c r="B1083" s="343" t="s">
        <v>1012</v>
      </c>
      <c r="C1083" s="344" t="s">
        <v>1013</v>
      </c>
      <c r="D1083" s="344" t="s">
        <v>75</v>
      </c>
      <c r="E1083" s="344" t="s">
        <v>1143</v>
      </c>
      <c r="F1083" s="442">
        <v>201725.0</v>
      </c>
      <c r="G1083" s="413">
        <v>0.0</v>
      </c>
      <c r="H1083" s="349" t="s">
        <v>1600</v>
      </c>
      <c r="I1083" s="404" t="str">
        <f t="shared" si="10"/>
        <v>NOT PAID</v>
      </c>
      <c r="J1083" s="402"/>
      <c r="K1083" s="402"/>
      <c r="L1083" s="402"/>
      <c r="M1083" s="402"/>
      <c r="N1083" s="402"/>
      <c r="O1083" s="402"/>
      <c r="P1083" s="402"/>
      <c r="Q1083" s="402"/>
      <c r="R1083" s="402"/>
      <c r="S1083" s="402"/>
      <c r="T1083" s="402"/>
      <c r="U1083" s="402"/>
      <c r="V1083" s="402"/>
      <c r="W1083" s="402"/>
      <c r="X1083" s="402"/>
      <c r="Y1083" s="402"/>
      <c r="Z1083" s="402"/>
      <c r="AA1083" s="405"/>
      <c r="AB1083" s="405"/>
    </row>
    <row r="1084" ht="14.25" customHeight="1">
      <c r="A1084" s="497">
        <v>45520.0</v>
      </c>
      <c r="B1084" s="410" t="s">
        <v>827</v>
      </c>
      <c r="C1084" s="411" t="s">
        <v>828</v>
      </c>
      <c r="D1084" s="411" t="s">
        <v>54</v>
      </c>
      <c r="E1084" s="411" t="s">
        <v>1143</v>
      </c>
      <c r="F1084" s="489">
        <v>1000000.0</v>
      </c>
      <c r="G1084" s="413">
        <v>0.0</v>
      </c>
      <c r="H1084" s="349" t="s">
        <v>1579</v>
      </c>
      <c r="I1084" s="404" t="str">
        <f t="shared" si="10"/>
        <v>NOT PAID</v>
      </c>
      <c r="J1084" s="402"/>
      <c r="K1084" s="402"/>
      <c r="L1084" s="402"/>
      <c r="M1084" s="402"/>
      <c r="N1084" s="402"/>
      <c r="O1084" s="402"/>
      <c r="P1084" s="402"/>
      <c r="Q1084" s="402"/>
      <c r="R1084" s="402"/>
      <c r="S1084" s="402"/>
      <c r="T1084" s="402"/>
      <c r="U1084" s="402"/>
      <c r="V1084" s="402"/>
      <c r="W1084" s="402"/>
      <c r="X1084" s="402"/>
      <c r="Y1084" s="402"/>
      <c r="Z1084" s="402"/>
      <c r="AA1084" s="405"/>
      <c r="AB1084" s="405"/>
    </row>
    <row r="1085" ht="14.25" customHeight="1">
      <c r="A1085" s="497"/>
      <c r="B1085" s="402"/>
      <c r="C1085" s="402"/>
      <c r="D1085" s="402"/>
      <c r="E1085" s="402"/>
      <c r="F1085" s="403"/>
      <c r="G1085" s="403"/>
      <c r="H1085" s="349"/>
      <c r="I1085" s="404" t="str">
        <f t="shared" si="10"/>
        <v>FULLY PAID</v>
      </c>
      <c r="J1085" s="402"/>
      <c r="K1085" s="402"/>
      <c r="L1085" s="402"/>
      <c r="M1085" s="402"/>
      <c r="N1085" s="402"/>
      <c r="O1085" s="402"/>
      <c r="P1085" s="402"/>
      <c r="Q1085" s="402"/>
      <c r="R1085" s="402"/>
      <c r="S1085" s="402"/>
      <c r="T1085" s="402"/>
      <c r="U1085" s="402"/>
      <c r="V1085" s="402"/>
      <c r="W1085" s="402"/>
      <c r="X1085" s="402"/>
      <c r="Y1085" s="402"/>
      <c r="Z1085" s="402"/>
      <c r="AA1085" s="405"/>
      <c r="AB1085" s="405"/>
    </row>
    <row r="1086" ht="14.25" customHeight="1">
      <c r="A1086" s="497"/>
      <c r="B1086" s="402"/>
      <c r="C1086" s="402"/>
      <c r="D1086" s="402"/>
      <c r="E1086" s="402"/>
      <c r="F1086" s="403"/>
      <c r="G1086" s="403"/>
      <c r="H1086" s="402"/>
      <c r="I1086" s="404" t="str">
        <f t="shared" si="10"/>
        <v>FULLY PAID</v>
      </c>
      <c r="J1086" s="402"/>
      <c r="K1086" s="402"/>
      <c r="L1086" s="402"/>
      <c r="M1086" s="402"/>
      <c r="N1086" s="402"/>
      <c r="O1086" s="402"/>
      <c r="P1086" s="402"/>
      <c r="Q1086" s="402"/>
      <c r="R1086" s="402"/>
      <c r="S1086" s="402"/>
      <c r="T1086" s="402"/>
      <c r="U1086" s="402"/>
      <c r="V1086" s="402"/>
      <c r="W1086" s="402"/>
      <c r="X1086" s="402"/>
      <c r="Y1086" s="402"/>
      <c r="Z1086" s="402"/>
      <c r="AA1086" s="405"/>
      <c r="AB1086" s="405"/>
    </row>
    <row r="1087" ht="14.25" customHeight="1">
      <c r="A1087" s="497"/>
      <c r="B1087" s="402"/>
      <c r="C1087" s="402"/>
      <c r="D1087" s="402"/>
      <c r="E1087" s="402"/>
      <c r="F1087" s="403"/>
      <c r="G1087" s="403"/>
      <c r="H1087" s="402"/>
      <c r="I1087" s="404" t="str">
        <f t="shared" si="10"/>
        <v>FULLY PAID</v>
      </c>
      <c r="J1087" s="402"/>
      <c r="K1087" s="402"/>
      <c r="L1087" s="402"/>
      <c r="M1087" s="402"/>
      <c r="N1087" s="402"/>
      <c r="O1087" s="402"/>
      <c r="P1087" s="402"/>
      <c r="Q1087" s="402"/>
      <c r="R1087" s="402"/>
      <c r="S1087" s="402"/>
      <c r="T1087" s="402"/>
      <c r="U1087" s="402"/>
      <c r="V1087" s="402"/>
      <c r="W1087" s="402"/>
      <c r="X1087" s="402"/>
      <c r="Y1087" s="402"/>
      <c r="Z1087" s="402"/>
      <c r="AA1087" s="405"/>
      <c r="AB1087" s="405"/>
    </row>
    <row r="1088" ht="14.25" customHeight="1">
      <c r="A1088" s="497"/>
      <c r="B1088" s="402"/>
      <c r="C1088" s="402"/>
      <c r="D1088" s="402"/>
      <c r="E1088" s="402"/>
      <c r="F1088" s="403"/>
      <c r="G1088" s="403"/>
      <c r="H1088" s="402"/>
      <c r="I1088" s="404" t="str">
        <f t="shared" si="10"/>
        <v>FULLY PAID</v>
      </c>
      <c r="J1088" s="402"/>
      <c r="K1088" s="402"/>
      <c r="L1088" s="402"/>
      <c r="M1088" s="402"/>
      <c r="N1088" s="402"/>
      <c r="O1088" s="402"/>
      <c r="P1088" s="402"/>
      <c r="Q1088" s="402"/>
      <c r="R1088" s="402"/>
      <c r="S1088" s="402"/>
      <c r="T1088" s="402"/>
      <c r="U1088" s="402"/>
      <c r="V1088" s="402"/>
      <c r="W1088" s="402"/>
      <c r="X1088" s="402"/>
      <c r="Y1088" s="402"/>
      <c r="Z1088" s="402"/>
      <c r="AA1088" s="405"/>
      <c r="AB1088" s="405"/>
    </row>
    <row r="1089" ht="13.5" customHeight="1">
      <c r="A1089" s="497"/>
      <c r="B1089" s="402"/>
      <c r="C1089" s="424" t="s">
        <v>797</v>
      </c>
      <c r="D1089" s="402"/>
      <c r="E1089" s="402"/>
      <c r="F1089" s="403"/>
      <c r="G1089" s="403"/>
      <c r="H1089" s="402"/>
      <c r="I1089" s="404" t="str">
        <f t="shared" si="10"/>
        <v>FULLY PAID</v>
      </c>
      <c r="J1089" s="402"/>
      <c r="K1089" s="402"/>
      <c r="L1089" s="402"/>
      <c r="M1089" s="402"/>
      <c r="N1089" s="402"/>
      <c r="O1089" s="402"/>
      <c r="P1089" s="402"/>
      <c r="Q1089" s="402"/>
      <c r="R1089" s="402"/>
      <c r="S1089" s="402"/>
      <c r="T1089" s="402"/>
      <c r="U1089" s="402"/>
      <c r="V1089" s="402"/>
      <c r="W1089" s="402"/>
      <c r="X1089" s="402"/>
      <c r="Y1089" s="402"/>
      <c r="Z1089" s="402"/>
      <c r="AA1089" s="405"/>
      <c r="AB1089" s="405"/>
    </row>
    <row r="1090" ht="14.25" customHeight="1">
      <c r="A1090" s="497">
        <v>45520.0</v>
      </c>
      <c r="B1090" s="349" t="s">
        <v>1087</v>
      </c>
      <c r="C1090" s="349" t="s">
        <v>1088</v>
      </c>
      <c r="D1090" s="349" t="s">
        <v>54</v>
      </c>
      <c r="E1090" s="349" t="s">
        <v>1255</v>
      </c>
      <c r="F1090" s="413">
        <v>25000.0</v>
      </c>
      <c r="G1090" s="403"/>
      <c r="H1090" s="349" t="s">
        <v>1601</v>
      </c>
      <c r="I1090" s="404" t="str">
        <f t="shared" si="10"/>
        <v>NOT PAID</v>
      </c>
      <c r="J1090" s="402"/>
      <c r="K1090" s="402"/>
      <c r="L1090" s="402"/>
      <c r="M1090" s="402"/>
      <c r="N1090" s="402"/>
      <c r="O1090" s="402"/>
      <c r="P1090" s="402"/>
      <c r="Q1090" s="402"/>
      <c r="R1090" s="402"/>
      <c r="S1090" s="402"/>
      <c r="T1090" s="402"/>
      <c r="U1090" s="402"/>
      <c r="V1090" s="402"/>
      <c r="W1090" s="402"/>
      <c r="X1090" s="402"/>
      <c r="Y1090" s="402"/>
      <c r="Z1090" s="402"/>
      <c r="AA1090" s="405"/>
      <c r="AB1090" s="405"/>
    </row>
    <row r="1091" ht="14.25" customHeight="1">
      <c r="A1091" s="497">
        <v>45520.0</v>
      </c>
      <c r="B1091" s="349" t="s">
        <v>783</v>
      </c>
      <c r="C1091" s="349" t="s">
        <v>784</v>
      </c>
      <c r="D1091" s="349" t="s">
        <v>54</v>
      </c>
      <c r="E1091" s="349" t="s">
        <v>1255</v>
      </c>
      <c r="F1091" s="413">
        <v>30000.0</v>
      </c>
      <c r="G1091" s="403"/>
      <c r="H1091" s="349" t="s">
        <v>1602</v>
      </c>
      <c r="I1091" s="404" t="str">
        <f t="shared" si="10"/>
        <v>NOT PAID</v>
      </c>
      <c r="J1091" s="402"/>
      <c r="K1091" s="402"/>
      <c r="L1091" s="402"/>
      <c r="M1091" s="402"/>
      <c r="N1091" s="402"/>
      <c r="O1091" s="402"/>
      <c r="P1091" s="402"/>
      <c r="Q1091" s="402"/>
      <c r="R1091" s="402"/>
      <c r="S1091" s="402"/>
      <c r="T1091" s="402"/>
      <c r="U1091" s="402"/>
      <c r="V1091" s="402"/>
      <c r="W1091" s="402"/>
      <c r="X1091" s="402"/>
      <c r="Y1091" s="402"/>
      <c r="Z1091" s="402"/>
      <c r="AA1091" s="405"/>
      <c r="AB1091" s="405"/>
    </row>
    <row r="1092" ht="14.25" customHeight="1">
      <c r="A1092" s="497">
        <v>45520.0</v>
      </c>
      <c r="B1092" s="349" t="s">
        <v>1329</v>
      </c>
      <c r="C1092" s="349" t="s">
        <v>1330</v>
      </c>
      <c r="D1092" s="349" t="s">
        <v>54</v>
      </c>
      <c r="E1092" s="349" t="s">
        <v>1255</v>
      </c>
      <c r="F1092" s="413">
        <v>1200000.0</v>
      </c>
      <c r="G1092" s="403"/>
      <c r="H1092" s="349" t="s">
        <v>1603</v>
      </c>
      <c r="I1092" s="404" t="str">
        <f t="shared" si="10"/>
        <v>NOT PAID</v>
      </c>
      <c r="J1092" s="402"/>
      <c r="K1092" s="402"/>
      <c r="L1092" s="402"/>
      <c r="M1092" s="402"/>
      <c r="N1092" s="402"/>
      <c r="O1092" s="402"/>
      <c r="P1092" s="402"/>
      <c r="Q1092" s="402"/>
      <c r="R1092" s="402"/>
      <c r="S1092" s="402"/>
      <c r="T1092" s="402"/>
      <c r="U1092" s="402"/>
      <c r="V1092" s="402"/>
      <c r="W1092" s="402"/>
      <c r="X1092" s="402"/>
      <c r="Y1092" s="402"/>
      <c r="Z1092" s="402"/>
      <c r="AA1092" s="405"/>
      <c r="AB1092" s="405"/>
    </row>
    <row r="1093" ht="14.25" customHeight="1">
      <c r="A1093" s="497">
        <v>45520.0</v>
      </c>
      <c r="B1093" s="349" t="s">
        <v>800</v>
      </c>
      <c r="C1093" s="349" t="s">
        <v>801</v>
      </c>
      <c r="D1093" s="493" t="s">
        <v>54</v>
      </c>
      <c r="E1093" s="349" t="s">
        <v>1255</v>
      </c>
      <c r="F1093" s="413">
        <v>20000.0</v>
      </c>
      <c r="G1093" s="403"/>
      <c r="H1093" s="349" t="s">
        <v>1604</v>
      </c>
      <c r="I1093" s="404" t="str">
        <f t="shared" si="10"/>
        <v>NOT PAID</v>
      </c>
      <c r="J1093" s="402"/>
      <c r="K1093" s="402"/>
      <c r="L1093" s="402"/>
      <c r="M1093" s="402"/>
      <c r="N1093" s="402"/>
      <c r="O1093" s="402"/>
      <c r="P1093" s="402"/>
      <c r="Q1093" s="402"/>
      <c r="R1093" s="402"/>
      <c r="S1093" s="402"/>
      <c r="T1093" s="402"/>
      <c r="U1093" s="402"/>
      <c r="V1093" s="402"/>
      <c r="W1093" s="402"/>
      <c r="X1093" s="402"/>
      <c r="Y1093" s="402"/>
      <c r="Z1093" s="402"/>
      <c r="AA1093" s="405"/>
      <c r="AB1093" s="405"/>
    </row>
    <row r="1094" ht="14.25" customHeight="1">
      <c r="A1094" s="497">
        <v>45520.0</v>
      </c>
      <c r="B1094" s="349" t="s">
        <v>802</v>
      </c>
      <c r="C1094" s="349" t="s">
        <v>803</v>
      </c>
      <c r="D1094" s="493" t="s">
        <v>54</v>
      </c>
      <c r="E1094" s="349" t="s">
        <v>1255</v>
      </c>
      <c r="F1094" s="413">
        <v>647955.0</v>
      </c>
      <c r="G1094" s="413">
        <v>647035.0</v>
      </c>
      <c r="H1094" s="349" t="s">
        <v>710</v>
      </c>
      <c r="I1094" s="404" t="str">
        <f t="shared" si="10"/>
        <v>PARTIALLY PAID</v>
      </c>
      <c r="J1094" s="402"/>
      <c r="K1094" s="402"/>
      <c r="L1094" s="402"/>
      <c r="M1094" s="402"/>
      <c r="N1094" s="402"/>
      <c r="O1094" s="402"/>
      <c r="P1094" s="402"/>
      <c r="Q1094" s="402"/>
      <c r="R1094" s="402"/>
      <c r="S1094" s="402"/>
      <c r="T1094" s="402"/>
      <c r="U1094" s="402"/>
      <c r="V1094" s="402"/>
      <c r="W1094" s="402"/>
      <c r="X1094" s="402"/>
      <c r="Y1094" s="402"/>
      <c r="Z1094" s="402"/>
      <c r="AA1094" s="405"/>
      <c r="AB1094" s="405"/>
    </row>
    <row r="1095" ht="14.25" customHeight="1">
      <c r="A1095" s="402"/>
      <c r="B1095" s="402"/>
      <c r="C1095" s="402"/>
      <c r="D1095" s="402"/>
      <c r="E1095" s="402"/>
      <c r="F1095" s="403"/>
      <c r="G1095" s="403"/>
      <c r="H1095" s="402"/>
      <c r="I1095" s="404" t="str">
        <f t="shared" si="10"/>
        <v>FULLY PAID</v>
      </c>
      <c r="J1095" s="402"/>
      <c r="K1095" s="402"/>
      <c r="L1095" s="402"/>
      <c r="M1095" s="402"/>
      <c r="N1095" s="402"/>
      <c r="O1095" s="402"/>
      <c r="P1095" s="402"/>
      <c r="Q1095" s="402"/>
      <c r="R1095" s="402"/>
      <c r="S1095" s="402"/>
      <c r="T1095" s="402"/>
      <c r="U1095" s="402"/>
      <c r="V1095" s="402"/>
      <c r="W1095" s="402"/>
      <c r="X1095" s="402"/>
      <c r="Y1095" s="402"/>
      <c r="Z1095" s="402"/>
      <c r="AA1095" s="405"/>
      <c r="AB1095" s="405"/>
    </row>
    <row r="1096" ht="14.25" customHeight="1">
      <c r="A1096" s="402"/>
      <c r="B1096" s="402"/>
      <c r="C1096" s="402"/>
      <c r="D1096" s="402"/>
      <c r="E1096" s="402"/>
      <c r="F1096" s="403"/>
      <c r="G1096" s="403"/>
      <c r="H1096" s="402"/>
      <c r="I1096" s="404" t="str">
        <f t="shared" si="10"/>
        <v>FULLY PAID</v>
      </c>
      <c r="J1096" s="402"/>
      <c r="K1096" s="402"/>
      <c r="L1096" s="402"/>
      <c r="M1096" s="402"/>
      <c r="N1096" s="402"/>
      <c r="O1096" s="402"/>
      <c r="P1096" s="402"/>
      <c r="Q1096" s="402"/>
      <c r="R1096" s="402"/>
      <c r="S1096" s="402"/>
      <c r="T1096" s="402"/>
      <c r="U1096" s="402"/>
      <c r="V1096" s="402"/>
      <c r="W1096" s="402"/>
      <c r="X1096" s="402"/>
      <c r="Y1096" s="402"/>
      <c r="Z1096" s="402"/>
      <c r="AA1096" s="405"/>
      <c r="AB1096" s="405"/>
    </row>
    <row r="1097" ht="14.25" customHeight="1">
      <c r="A1097" s="402"/>
      <c r="B1097" s="402"/>
      <c r="C1097" s="402"/>
      <c r="D1097" s="402"/>
      <c r="E1097" s="402"/>
      <c r="F1097" s="403"/>
      <c r="G1097" s="403"/>
      <c r="H1097" s="402"/>
      <c r="I1097" s="404" t="str">
        <f t="shared" si="10"/>
        <v>FULLY PAID</v>
      </c>
      <c r="J1097" s="402"/>
      <c r="K1097" s="402"/>
      <c r="L1097" s="402"/>
      <c r="M1097" s="402"/>
      <c r="N1097" s="402"/>
      <c r="O1097" s="402"/>
      <c r="P1097" s="402"/>
      <c r="Q1097" s="402"/>
      <c r="R1097" s="402"/>
      <c r="S1097" s="402"/>
      <c r="T1097" s="402"/>
      <c r="U1097" s="402"/>
      <c r="V1097" s="402"/>
      <c r="W1097" s="402"/>
      <c r="X1097" s="402"/>
      <c r="Y1097" s="402"/>
      <c r="Z1097" s="402"/>
      <c r="AA1097" s="405"/>
      <c r="AB1097" s="405"/>
    </row>
    <row r="1098" ht="14.25" customHeight="1">
      <c r="A1098" s="402"/>
      <c r="B1098" s="402"/>
      <c r="C1098" s="402"/>
      <c r="D1098" s="402"/>
      <c r="E1098" s="402"/>
      <c r="F1098" s="403"/>
      <c r="G1098" s="403"/>
      <c r="H1098" s="402"/>
      <c r="I1098" s="404" t="str">
        <f t="shared" si="10"/>
        <v>FULLY PAID</v>
      </c>
      <c r="J1098" s="402"/>
      <c r="K1098" s="402"/>
      <c r="L1098" s="402"/>
      <c r="M1098" s="402"/>
      <c r="N1098" s="402"/>
      <c r="O1098" s="402"/>
      <c r="P1098" s="402"/>
      <c r="Q1098" s="402"/>
      <c r="R1098" s="402"/>
      <c r="S1098" s="402"/>
      <c r="T1098" s="402"/>
      <c r="U1098" s="402"/>
      <c r="V1098" s="402"/>
      <c r="W1098" s="402"/>
      <c r="X1098" s="402"/>
      <c r="Y1098" s="402"/>
      <c r="Z1098" s="402"/>
      <c r="AA1098" s="405"/>
      <c r="AB1098" s="405"/>
    </row>
    <row r="1099" ht="14.25" customHeight="1">
      <c r="A1099" s="402"/>
      <c r="B1099" s="526" t="s">
        <v>1605</v>
      </c>
      <c r="C1099" s="402"/>
      <c r="D1099" s="402"/>
      <c r="E1099" s="402"/>
      <c r="F1099" s="403"/>
      <c r="G1099" s="403"/>
      <c r="H1099" s="402"/>
      <c r="I1099" s="404" t="str">
        <f t="shared" si="10"/>
        <v>FULLY PAID</v>
      </c>
      <c r="J1099" s="402"/>
      <c r="K1099" s="402"/>
      <c r="L1099" s="402"/>
      <c r="M1099" s="402"/>
      <c r="N1099" s="402"/>
      <c r="O1099" s="402"/>
      <c r="P1099" s="402"/>
      <c r="Q1099" s="402"/>
      <c r="R1099" s="402"/>
      <c r="S1099" s="402"/>
      <c r="T1099" s="402"/>
      <c r="U1099" s="402"/>
      <c r="V1099" s="402"/>
      <c r="W1099" s="402"/>
      <c r="X1099" s="402"/>
      <c r="Y1099" s="402"/>
      <c r="Z1099" s="402"/>
      <c r="AA1099" s="405"/>
      <c r="AB1099" s="405"/>
    </row>
    <row r="1100" ht="14.25" customHeight="1">
      <c r="A1100" s="497">
        <v>45521.0</v>
      </c>
      <c r="B1100" s="349" t="s">
        <v>1117</v>
      </c>
      <c r="C1100" s="349" t="s">
        <v>1332</v>
      </c>
      <c r="D1100" s="349" t="s">
        <v>1115</v>
      </c>
      <c r="E1100" s="349" t="s">
        <v>1098</v>
      </c>
      <c r="F1100" s="413">
        <v>170000.0</v>
      </c>
      <c r="G1100" s="2"/>
      <c r="H1100" s="349"/>
      <c r="I1100" s="404" t="str">
        <f t="shared" si="10"/>
        <v>NOT PAID</v>
      </c>
      <c r="J1100" s="402"/>
      <c r="K1100" s="402"/>
      <c r="L1100" s="402"/>
      <c r="M1100" s="402"/>
      <c r="N1100" s="402"/>
      <c r="O1100" s="402"/>
      <c r="P1100" s="402"/>
      <c r="Q1100" s="402"/>
      <c r="R1100" s="402"/>
      <c r="S1100" s="402"/>
      <c r="T1100" s="402"/>
      <c r="U1100" s="402"/>
      <c r="V1100" s="402"/>
      <c r="W1100" s="402"/>
      <c r="X1100" s="402"/>
      <c r="Y1100" s="402"/>
      <c r="Z1100" s="402"/>
      <c r="AA1100" s="405"/>
      <c r="AB1100" s="405"/>
    </row>
    <row r="1101" ht="14.25" customHeight="1">
      <c r="A1101" s="497">
        <v>45521.0</v>
      </c>
      <c r="B1101" s="484" t="s">
        <v>1113</v>
      </c>
      <c r="C1101" s="349" t="s">
        <v>1332</v>
      </c>
      <c r="D1101" s="349" t="s">
        <v>1115</v>
      </c>
      <c r="E1101" s="349" t="s">
        <v>1098</v>
      </c>
      <c r="F1101" s="413">
        <v>170000.0</v>
      </c>
      <c r="G1101" s="2"/>
      <c r="H1101" s="349"/>
      <c r="I1101" s="404" t="str">
        <f t="shared" si="10"/>
        <v>NOT PAID</v>
      </c>
      <c r="J1101" s="402"/>
      <c r="K1101" s="402"/>
      <c r="L1101" s="402"/>
      <c r="M1101" s="402"/>
      <c r="N1101" s="402"/>
      <c r="O1101" s="402"/>
      <c r="P1101" s="402"/>
      <c r="Q1101" s="402"/>
      <c r="R1101" s="402"/>
      <c r="S1101" s="402"/>
      <c r="T1101" s="402"/>
      <c r="U1101" s="402"/>
      <c r="V1101" s="402"/>
      <c r="W1101" s="402"/>
      <c r="X1101" s="402"/>
      <c r="Y1101" s="402"/>
      <c r="Z1101" s="402"/>
      <c r="AA1101" s="405"/>
      <c r="AB1101" s="405"/>
    </row>
    <row r="1102" ht="14.25" customHeight="1">
      <c r="A1102" s="497">
        <v>45521.0</v>
      </c>
      <c r="B1102" s="349" t="s">
        <v>777</v>
      </c>
      <c r="C1102" s="349" t="s">
        <v>778</v>
      </c>
      <c r="D1102" s="349" t="s">
        <v>54</v>
      </c>
      <c r="E1102" s="349" t="s">
        <v>1098</v>
      </c>
      <c r="F1102" s="413">
        <v>119325.0</v>
      </c>
      <c r="G1102" s="2"/>
      <c r="H1102" s="349"/>
      <c r="I1102" s="404" t="str">
        <f t="shared" si="10"/>
        <v>NOT PAID</v>
      </c>
      <c r="J1102" s="402"/>
      <c r="K1102" s="402"/>
      <c r="L1102" s="402"/>
      <c r="M1102" s="402"/>
      <c r="N1102" s="402"/>
      <c r="O1102" s="402"/>
      <c r="P1102" s="402"/>
      <c r="Q1102" s="402"/>
      <c r="R1102" s="402"/>
      <c r="S1102" s="402"/>
      <c r="T1102" s="402"/>
      <c r="U1102" s="402"/>
      <c r="V1102" s="402"/>
      <c r="W1102" s="402"/>
      <c r="X1102" s="402"/>
      <c r="Y1102" s="402"/>
      <c r="Z1102" s="402"/>
      <c r="AA1102" s="405"/>
      <c r="AB1102" s="405"/>
    </row>
    <row r="1103" ht="14.25" customHeight="1">
      <c r="A1103" s="497">
        <v>45521.0</v>
      </c>
      <c r="B1103" s="349" t="s">
        <v>807</v>
      </c>
      <c r="C1103" s="349" t="s">
        <v>808</v>
      </c>
      <c r="D1103" s="349" t="s">
        <v>54</v>
      </c>
      <c r="E1103" s="349" t="s">
        <v>1098</v>
      </c>
      <c r="F1103" s="413">
        <v>1674.75</v>
      </c>
      <c r="G1103" s="2"/>
      <c r="H1103" s="349"/>
      <c r="I1103" s="404" t="str">
        <f t="shared" si="10"/>
        <v>NOT PAID</v>
      </c>
      <c r="J1103" s="402"/>
      <c r="K1103" s="402"/>
      <c r="L1103" s="402"/>
      <c r="M1103" s="402"/>
      <c r="N1103" s="402"/>
      <c r="O1103" s="402"/>
      <c r="P1103" s="402"/>
      <c r="Q1103" s="402"/>
      <c r="R1103" s="402"/>
      <c r="S1103" s="402"/>
      <c r="T1103" s="402"/>
      <c r="U1103" s="402"/>
      <c r="V1103" s="402"/>
      <c r="W1103" s="402"/>
      <c r="X1103" s="402"/>
      <c r="Y1103" s="402"/>
      <c r="Z1103" s="402"/>
      <c r="AA1103" s="405"/>
      <c r="AB1103" s="405"/>
    </row>
    <row r="1104" ht="14.25" customHeight="1">
      <c r="A1104" s="497">
        <v>45521.0</v>
      </c>
      <c r="B1104" s="349" t="s">
        <v>705</v>
      </c>
      <c r="C1104" s="349" t="s">
        <v>1110</v>
      </c>
      <c r="D1104" s="349" t="s">
        <v>54</v>
      </c>
      <c r="E1104" s="349" t="s">
        <v>1098</v>
      </c>
      <c r="F1104" s="413">
        <v>6709.6</v>
      </c>
      <c r="G1104" s="2"/>
      <c r="H1104" s="485"/>
      <c r="I1104" s="404" t="str">
        <f t="shared" si="10"/>
        <v>NOT PAID</v>
      </c>
      <c r="J1104" s="402"/>
      <c r="K1104" s="402"/>
      <c r="L1104" s="402"/>
      <c r="M1104" s="402"/>
      <c r="N1104" s="402"/>
      <c r="O1104" s="402"/>
      <c r="P1104" s="402"/>
      <c r="Q1104" s="402"/>
      <c r="R1104" s="402"/>
      <c r="S1104" s="402"/>
      <c r="T1104" s="402"/>
      <c r="U1104" s="402"/>
      <c r="V1104" s="402"/>
      <c r="W1104" s="402"/>
      <c r="X1104" s="402"/>
      <c r="Y1104" s="402"/>
      <c r="Z1104" s="402"/>
      <c r="AA1104" s="405"/>
      <c r="AB1104" s="405"/>
    </row>
    <row r="1105" ht="14.25" customHeight="1">
      <c r="A1105" s="497">
        <v>45521.0</v>
      </c>
      <c r="B1105" s="349" t="s">
        <v>711</v>
      </c>
      <c r="C1105" s="349" t="s">
        <v>1123</v>
      </c>
      <c r="D1105" s="349" t="s">
        <v>75</v>
      </c>
      <c r="E1105" s="349" t="s">
        <v>1098</v>
      </c>
      <c r="F1105" s="413">
        <v>26556.61</v>
      </c>
      <c r="G1105" s="2"/>
      <c r="H1105" s="349"/>
      <c r="I1105" s="404" t="str">
        <f t="shared" si="10"/>
        <v>NOT PAID</v>
      </c>
      <c r="J1105" s="402"/>
      <c r="K1105" s="402"/>
      <c r="L1105" s="402"/>
      <c r="M1105" s="402"/>
      <c r="N1105" s="402"/>
      <c r="O1105" s="402"/>
      <c r="P1105" s="402"/>
      <c r="Q1105" s="402"/>
      <c r="R1105" s="402"/>
      <c r="S1105" s="402"/>
      <c r="T1105" s="402"/>
      <c r="U1105" s="402"/>
      <c r="V1105" s="402"/>
      <c r="W1105" s="402"/>
      <c r="X1105" s="402"/>
      <c r="Y1105" s="402"/>
      <c r="Z1105" s="402"/>
      <c r="AA1105" s="405"/>
      <c r="AB1105" s="405"/>
    </row>
    <row r="1106" ht="14.25" customHeight="1">
      <c r="A1106" s="497">
        <v>45521.0</v>
      </c>
      <c r="B1106" s="349" t="s">
        <v>701</v>
      </c>
      <c r="C1106" s="349" t="s">
        <v>702</v>
      </c>
      <c r="D1106" s="349" t="s">
        <v>54</v>
      </c>
      <c r="E1106" s="349" t="s">
        <v>1098</v>
      </c>
      <c r="F1106" s="413">
        <v>60372.89</v>
      </c>
      <c r="G1106" s="2"/>
      <c r="H1106" s="349"/>
      <c r="I1106" s="404" t="str">
        <f t="shared" si="10"/>
        <v>NOT PAID</v>
      </c>
      <c r="J1106" s="402"/>
      <c r="K1106" s="402"/>
      <c r="L1106" s="402"/>
      <c r="M1106" s="402"/>
      <c r="N1106" s="402"/>
      <c r="O1106" s="402"/>
      <c r="P1106" s="402"/>
      <c r="Q1106" s="402"/>
      <c r="R1106" s="402"/>
      <c r="S1106" s="402"/>
      <c r="T1106" s="402"/>
      <c r="U1106" s="402"/>
      <c r="V1106" s="402"/>
      <c r="W1106" s="402"/>
      <c r="X1106" s="402"/>
      <c r="Y1106" s="402"/>
      <c r="Z1106" s="402"/>
      <c r="AA1106" s="405"/>
      <c r="AB1106" s="405"/>
    </row>
    <row r="1107" ht="14.25" customHeight="1">
      <c r="A1107" s="497">
        <v>45521.0</v>
      </c>
      <c r="B1107" s="505" t="s">
        <v>1120</v>
      </c>
      <c r="C1107" s="506" t="s">
        <v>1121</v>
      </c>
      <c r="D1107" s="507" t="s">
        <v>346</v>
      </c>
      <c r="E1107" s="349" t="s">
        <v>1098</v>
      </c>
      <c r="F1107" s="508">
        <v>63864.94</v>
      </c>
      <c r="G1107" s="2"/>
      <c r="H1107" s="349"/>
      <c r="I1107" s="404" t="str">
        <f t="shared" si="10"/>
        <v>NOT PAID</v>
      </c>
      <c r="J1107" s="402"/>
      <c r="K1107" s="402"/>
      <c r="L1107" s="402"/>
      <c r="M1107" s="402"/>
      <c r="N1107" s="402"/>
      <c r="O1107" s="402"/>
      <c r="P1107" s="402"/>
      <c r="Q1107" s="402"/>
      <c r="R1107" s="402"/>
      <c r="S1107" s="402"/>
      <c r="T1107" s="402"/>
      <c r="U1107" s="402"/>
      <c r="V1107" s="402"/>
      <c r="W1107" s="402"/>
      <c r="X1107" s="402"/>
      <c r="Y1107" s="402"/>
      <c r="Z1107" s="402"/>
      <c r="AA1107" s="405"/>
      <c r="AB1107" s="405"/>
    </row>
    <row r="1108" ht="14.25" customHeight="1">
      <c r="A1108" s="497">
        <v>45521.0</v>
      </c>
      <c r="B1108" s="492" t="s">
        <v>729</v>
      </c>
      <c r="C1108" s="493" t="s">
        <v>995</v>
      </c>
      <c r="D1108" s="493" t="s">
        <v>54</v>
      </c>
      <c r="E1108" s="349" t="s">
        <v>1098</v>
      </c>
      <c r="F1108" s="494">
        <v>244832.0</v>
      </c>
      <c r="G1108" s="2"/>
      <c r="H1108" s="349"/>
      <c r="I1108" s="404" t="str">
        <f t="shared" si="10"/>
        <v>NOT PAID</v>
      </c>
      <c r="J1108" s="402"/>
      <c r="K1108" s="402"/>
      <c r="L1108" s="402"/>
      <c r="M1108" s="402"/>
      <c r="N1108" s="402"/>
      <c r="O1108" s="402"/>
      <c r="P1108" s="402"/>
      <c r="Q1108" s="402"/>
      <c r="R1108" s="402"/>
      <c r="S1108" s="402"/>
      <c r="T1108" s="402"/>
      <c r="U1108" s="402"/>
      <c r="V1108" s="402"/>
      <c r="W1108" s="402"/>
      <c r="X1108" s="402"/>
      <c r="Y1108" s="402"/>
      <c r="Z1108" s="402"/>
      <c r="AA1108" s="405"/>
      <c r="AB1108" s="405"/>
    </row>
    <row r="1109" ht="14.25" customHeight="1">
      <c r="A1109" s="497">
        <v>45521.0</v>
      </c>
      <c r="B1109" s="515" t="s">
        <v>1034</v>
      </c>
      <c r="C1109" s="516" t="s">
        <v>1401</v>
      </c>
      <c r="D1109" s="516" t="s">
        <v>54</v>
      </c>
      <c r="E1109" s="349" t="s">
        <v>1098</v>
      </c>
      <c r="F1109" s="416">
        <v>32840.0</v>
      </c>
      <c r="G1109" s="2"/>
      <c r="H1109" s="349"/>
      <c r="I1109" s="404" t="str">
        <f t="shared" si="10"/>
        <v>NOT PAID</v>
      </c>
      <c r="J1109" s="402"/>
      <c r="K1109" s="402"/>
      <c r="L1109" s="402"/>
      <c r="M1109" s="402"/>
      <c r="N1109" s="402"/>
      <c r="O1109" s="402"/>
      <c r="P1109" s="402"/>
      <c r="Q1109" s="402"/>
      <c r="R1109" s="402"/>
      <c r="S1109" s="402"/>
      <c r="T1109" s="402"/>
      <c r="U1109" s="402"/>
      <c r="V1109" s="402"/>
      <c r="W1109" s="402"/>
      <c r="X1109" s="402"/>
      <c r="Y1109" s="402"/>
      <c r="Z1109" s="402"/>
      <c r="AA1109" s="405"/>
      <c r="AB1109" s="405"/>
    </row>
    <row r="1110" ht="14.25" customHeight="1">
      <c r="A1110" s="497">
        <v>45521.0</v>
      </c>
      <c r="B1110" s="518" t="s">
        <v>1559</v>
      </c>
      <c r="C1110" s="519" t="s">
        <v>1457</v>
      </c>
      <c r="D1110" s="519" t="s">
        <v>54</v>
      </c>
      <c r="E1110" s="349" t="s">
        <v>1098</v>
      </c>
      <c r="F1110" s="416">
        <v>34000.0</v>
      </c>
      <c r="G1110" s="2"/>
      <c r="H1110" s="349"/>
      <c r="I1110" s="404" t="str">
        <f t="shared" si="10"/>
        <v>NOT PAID</v>
      </c>
      <c r="J1110" s="402"/>
      <c r="K1110" s="402"/>
      <c r="L1110" s="402"/>
      <c r="M1110" s="402"/>
      <c r="N1110" s="402"/>
      <c r="O1110" s="402"/>
      <c r="P1110" s="402"/>
      <c r="Q1110" s="402"/>
      <c r="R1110" s="402"/>
      <c r="S1110" s="402"/>
      <c r="T1110" s="402"/>
      <c r="U1110" s="402"/>
      <c r="V1110" s="402"/>
      <c r="W1110" s="402"/>
      <c r="X1110" s="402"/>
      <c r="Y1110" s="402"/>
      <c r="Z1110" s="402"/>
      <c r="AA1110" s="405"/>
      <c r="AB1110" s="405"/>
    </row>
    <row r="1111" ht="14.25" customHeight="1">
      <c r="A1111" s="497">
        <v>45521.0</v>
      </c>
      <c r="B1111" s="518" t="s">
        <v>1585</v>
      </c>
      <c r="C1111" s="519" t="s">
        <v>1586</v>
      </c>
      <c r="D1111" s="519" t="s">
        <v>54</v>
      </c>
      <c r="E1111" s="349" t="s">
        <v>1098</v>
      </c>
      <c r="F1111" s="416">
        <v>229018.14</v>
      </c>
      <c r="G1111" s="2"/>
      <c r="H1111" s="349"/>
      <c r="I1111" s="404" t="str">
        <f t="shared" si="10"/>
        <v>NOT PAID</v>
      </c>
      <c r="J1111" s="402"/>
      <c r="K1111" s="402"/>
      <c r="L1111" s="402"/>
      <c r="M1111" s="402"/>
      <c r="N1111" s="402"/>
      <c r="O1111" s="402"/>
      <c r="P1111" s="402"/>
      <c r="Q1111" s="402"/>
      <c r="R1111" s="402"/>
      <c r="S1111" s="402"/>
      <c r="T1111" s="402"/>
      <c r="U1111" s="402"/>
      <c r="V1111" s="402"/>
      <c r="W1111" s="402"/>
      <c r="X1111" s="402"/>
      <c r="Y1111" s="402"/>
      <c r="Z1111" s="402"/>
      <c r="AA1111" s="405"/>
      <c r="AB1111" s="405"/>
    </row>
    <row r="1112" ht="14.25" customHeight="1">
      <c r="A1112" s="497">
        <v>45521.0</v>
      </c>
      <c r="B1112" s="518" t="s">
        <v>717</v>
      </c>
      <c r="C1112" s="519" t="s">
        <v>1587</v>
      </c>
      <c r="D1112" s="519" t="s">
        <v>54</v>
      </c>
      <c r="E1112" s="349" t="s">
        <v>1098</v>
      </c>
      <c r="F1112" s="416">
        <v>15378.82</v>
      </c>
      <c r="G1112" s="2"/>
      <c r="H1112" s="349"/>
      <c r="I1112" s="404" t="str">
        <f t="shared" si="10"/>
        <v>NOT PAID</v>
      </c>
      <c r="J1112" s="402"/>
      <c r="K1112" s="402"/>
      <c r="L1112" s="402"/>
      <c r="M1112" s="402"/>
      <c r="N1112" s="402"/>
      <c r="O1112" s="402"/>
      <c r="P1112" s="402"/>
      <c r="Q1112" s="402"/>
      <c r="R1112" s="402"/>
      <c r="S1112" s="402"/>
      <c r="T1112" s="402"/>
      <c r="U1112" s="402"/>
      <c r="V1112" s="402"/>
      <c r="W1112" s="402"/>
      <c r="X1112" s="402"/>
      <c r="Y1112" s="402"/>
      <c r="Z1112" s="402"/>
      <c r="AA1112" s="405"/>
      <c r="AB1112" s="405"/>
    </row>
    <row r="1113" ht="14.25" customHeight="1">
      <c r="A1113" s="497">
        <v>45521.0</v>
      </c>
      <c r="B1113" s="349" t="s">
        <v>1155</v>
      </c>
      <c r="C1113" s="349" t="s">
        <v>1156</v>
      </c>
      <c r="D1113" s="493" t="s">
        <v>54</v>
      </c>
      <c r="E1113" s="415" t="s">
        <v>1153</v>
      </c>
      <c r="F1113" s="413">
        <v>295732.73</v>
      </c>
      <c r="G1113" s="2"/>
      <c r="H1113" s="349"/>
      <c r="I1113" s="404" t="str">
        <f t="shared" si="10"/>
        <v>NOT PAID</v>
      </c>
      <c r="J1113" s="402"/>
      <c r="K1113" s="402"/>
      <c r="L1113" s="402"/>
      <c r="M1113" s="402"/>
      <c r="N1113" s="402"/>
      <c r="O1113" s="402"/>
      <c r="P1113" s="402"/>
      <c r="Q1113" s="402"/>
      <c r="R1113" s="402"/>
      <c r="S1113" s="402"/>
      <c r="T1113" s="402"/>
      <c r="U1113" s="402"/>
      <c r="V1113" s="402"/>
      <c r="W1113" s="402"/>
      <c r="X1113" s="402"/>
      <c r="Y1113" s="402"/>
      <c r="Z1113" s="402"/>
      <c r="AA1113" s="405"/>
      <c r="AB1113" s="405"/>
    </row>
    <row r="1114" ht="14.25" customHeight="1">
      <c r="A1114" s="497">
        <v>45521.0</v>
      </c>
      <c r="B1114" s="349" t="s">
        <v>960</v>
      </c>
      <c r="C1114" s="349" t="s">
        <v>961</v>
      </c>
      <c r="D1114" s="493" t="s">
        <v>54</v>
      </c>
      <c r="E1114" s="415" t="s">
        <v>1153</v>
      </c>
      <c r="F1114" s="413">
        <v>100000.0</v>
      </c>
      <c r="G1114" s="2"/>
      <c r="H1114" s="349"/>
      <c r="I1114" s="404" t="str">
        <f t="shared" si="10"/>
        <v>NOT PAID</v>
      </c>
      <c r="J1114" s="402"/>
      <c r="K1114" s="402"/>
      <c r="L1114" s="402"/>
      <c r="M1114" s="402"/>
      <c r="N1114" s="402"/>
      <c r="O1114" s="402"/>
      <c r="P1114" s="402"/>
      <c r="Q1114" s="402"/>
      <c r="R1114" s="402"/>
      <c r="S1114" s="402"/>
      <c r="T1114" s="402"/>
      <c r="U1114" s="402"/>
      <c r="V1114" s="402"/>
      <c r="W1114" s="402"/>
      <c r="X1114" s="402"/>
      <c r="Y1114" s="402"/>
      <c r="Z1114" s="402"/>
      <c r="AA1114" s="405"/>
      <c r="AB1114" s="405"/>
    </row>
    <row r="1115" ht="14.25" customHeight="1">
      <c r="A1115" s="497">
        <v>45521.0</v>
      </c>
      <c r="B1115" s="349" t="s">
        <v>1346</v>
      </c>
      <c r="C1115" s="349" t="s">
        <v>1347</v>
      </c>
      <c r="D1115" s="411" t="s">
        <v>59</v>
      </c>
      <c r="E1115" s="415" t="s">
        <v>1153</v>
      </c>
      <c r="F1115" s="413">
        <v>300000.0</v>
      </c>
      <c r="G1115" s="2"/>
      <c r="H1115" s="349"/>
      <c r="I1115" s="404" t="str">
        <f t="shared" si="10"/>
        <v>NOT PAID</v>
      </c>
      <c r="J1115" s="402"/>
      <c r="K1115" s="402"/>
      <c r="L1115" s="402"/>
      <c r="M1115" s="402"/>
      <c r="N1115" s="402"/>
      <c r="O1115" s="402"/>
      <c r="P1115" s="402"/>
      <c r="Q1115" s="402"/>
      <c r="R1115" s="402"/>
      <c r="S1115" s="402"/>
      <c r="T1115" s="402"/>
      <c r="U1115" s="402"/>
      <c r="V1115" s="402"/>
      <c r="W1115" s="402"/>
      <c r="X1115" s="402"/>
      <c r="Y1115" s="402"/>
      <c r="Z1115" s="402"/>
      <c r="AA1115" s="405"/>
      <c r="AB1115" s="405"/>
    </row>
    <row r="1116" ht="14.25" customHeight="1">
      <c r="A1116" s="497">
        <v>45521.0</v>
      </c>
      <c r="B1116" s="518" t="s">
        <v>746</v>
      </c>
      <c r="C1116" s="519" t="s">
        <v>747</v>
      </c>
      <c r="D1116" s="519" t="s">
        <v>54</v>
      </c>
      <c r="E1116" s="415" t="s">
        <v>1153</v>
      </c>
      <c r="F1116" s="413">
        <v>108000.0</v>
      </c>
      <c r="G1116" s="2"/>
      <c r="H1116" s="349"/>
      <c r="I1116" s="404" t="str">
        <f t="shared" si="10"/>
        <v>NOT PAID</v>
      </c>
      <c r="J1116" s="402"/>
      <c r="K1116" s="402"/>
      <c r="L1116" s="402"/>
      <c r="M1116" s="402"/>
      <c r="N1116" s="402"/>
      <c r="O1116" s="402"/>
      <c r="P1116" s="402"/>
      <c r="Q1116" s="402"/>
      <c r="R1116" s="402"/>
      <c r="S1116" s="402"/>
      <c r="T1116" s="402"/>
      <c r="U1116" s="402"/>
      <c r="V1116" s="402"/>
      <c r="W1116" s="402"/>
      <c r="X1116" s="402"/>
      <c r="Y1116" s="402"/>
      <c r="Z1116" s="402"/>
      <c r="AA1116" s="405"/>
      <c r="AB1116" s="405"/>
    </row>
    <row r="1117" ht="14.25" customHeight="1">
      <c r="A1117" s="497">
        <v>45521.0</v>
      </c>
      <c r="B1117" s="414" t="s">
        <v>1568</v>
      </c>
      <c r="C1117" s="415" t="s">
        <v>1569</v>
      </c>
      <c r="D1117" s="411" t="s">
        <v>54</v>
      </c>
      <c r="E1117" s="411" t="s">
        <v>1153</v>
      </c>
      <c r="F1117" s="413">
        <v>3000000.0</v>
      </c>
      <c r="G1117" s="2"/>
      <c r="H1117" s="349"/>
      <c r="I1117" s="404" t="str">
        <f t="shared" si="10"/>
        <v>NOT PAID</v>
      </c>
      <c r="J1117" s="402"/>
      <c r="K1117" s="402"/>
      <c r="L1117" s="402"/>
      <c r="M1117" s="402"/>
      <c r="N1117" s="402"/>
      <c r="O1117" s="402"/>
      <c r="P1117" s="402"/>
      <c r="Q1117" s="402"/>
      <c r="R1117" s="402"/>
      <c r="S1117" s="402"/>
      <c r="T1117" s="402"/>
      <c r="U1117" s="402"/>
      <c r="V1117" s="402"/>
      <c r="W1117" s="402"/>
      <c r="X1117" s="402"/>
      <c r="Y1117" s="402"/>
      <c r="Z1117" s="402"/>
      <c r="AA1117" s="405"/>
      <c r="AB1117" s="405"/>
    </row>
    <row r="1118" ht="14.25" customHeight="1">
      <c r="A1118" s="497">
        <v>45521.0</v>
      </c>
      <c r="B1118" s="414" t="s">
        <v>1425</v>
      </c>
      <c r="C1118" s="415" t="s">
        <v>1426</v>
      </c>
      <c r="D1118" s="415" t="s">
        <v>54</v>
      </c>
      <c r="E1118" s="349" t="s">
        <v>1139</v>
      </c>
      <c r="F1118" s="413">
        <v>6500.0</v>
      </c>
      <c r="G1118" s="2"/>
      <c r="H1118" s="349"/>
      <c r="I1118" s="404" t="str">
        <f t="shared" si="10"/>
        <v>NOT PAID</v>
      </c>
      <c r="J1118" s="402"/>
      <c r="K1118" s="402"/>
      <c r="L1118" s="402"/>
      <c r="M1118" s="402"/>
      <c r="N1118" s="402"/>
      <c r="O1118" s="402"/>
      <c r="P1118" s="402"/>
      <c r="Q1118" s="402"/>
      <c r="R1118" s="402"/>
      <c r="S1118" s="402"/>
      <c r="T1118" s="402"/>
      <c r="U1118" s="402"/>
      <c r="V1118" s="402"/>
      <c r="W1118" s="402"/>
      <c r="X1118" s="402"/>
      <c r="Y1118" s="402"/>
      <c r="Z1118" s="402"/>
      <c r="AA1118" s="405"/>
      <c r="AB1118" s="405"/>
    </row>
    <row r="1119" ht="14.25" customHeight="1">
      <c r="A1119" s="497">
        <v>45521.0</v>
      </c>
      <c r="B1119" s="349" t="s">
        <v>698</v>
      </c>
      <c r="C1119" s="349" t="s">
        <v>1167</v>
      </c>
      <c r="D1119" s="349" t="s">
        <v>54</v>
      </c>
      <c r="E1119" s="349" t="s">
        <v>1168</v>
      </c>
      <c r="F1119" s="413">
        <v>15291.93</v>
      </c>
      <c r="G1119" s="2"/>
      <c r="H1119" s="349"/>
      <c r="I1119" s="404" t="str">
        <f t="shared" si="10"/>
        <v>NOT PAID</v>
      </c>
      <c r="J1119" s="402"/>
      <c r="K1119" s="402"/>
      <c r="L1119" s="402"/>
      <c r="M1119" s="402"/>
      <c r="N1119" s="402"/>
      <c r="O1119" s="402"/>
      <c r="P1119" s="402"/>
      <c r="Q1119" s="402"/>
      <c r="R1119" s="402"/>
      <c r="S1119" s="402"/>
      <c r="T1119" s="402"/>
      <c r="U1119" s="402"/>
      <c r="V1119" s="402"/>
      <c r="W1119" s="402"/>
      <c r="X1119" s="402"/>
      <c r="Y1119" s="402"/>
      <c r="Z1119" s="402"/>
      <c r="AA1119" s="405"/>
      <c r="AB1119" s="405"/>
    </row>
    <row r="1120" ht="14.25" customHeight="1">
      <c r="A1120" s="497">
        <v>45521.0</v>
      </c>
      <c r="B1120" s="349" t="s">
        <v>997</v>
      </c>
      <c r="C1120" s="349" t="s">
        <v>998</v>
      </c>
      <c r="D1120" s="349" t="s">
        <v>263</v>
      </c>
      <c r="E1120" s="349" t="s">
        <v>1168</v>
      </c>
      <c r="F1120" s="413">
        <v>81947.25</v>
      </c>
      <c r="G1120" s="2"/>
      <c r="H1120" s="349"/>
      <c r="I1120" s="404" t="str">
        <f t="shared" si="10"/>
        <v>NOT PAID</v>
      </c>
      <c r="J1120" s="402"/>
      <c r="K1120" s="402"/>
      <c r="L1120" s="402"/>
      <c r="M1120" s="402"/>
      <c r="N1120" s="402"/>
      <c r="O1120" s="402"/>
      <c r="P1120" s="402"/>
      <c r="Q1120" s="402"/>
      <c r="R1120" s="402"/>
      <c r="S1120" s="402"/>
      <c r="T1120" s="402"/>
      <c r="U1120" s="402"/>
      <c r="V1120" s="402"/>
      <c r="W1120" s="402"/>
      <c r="X1120" s="402"/>
      <c r="Y1120" s="402"/>
      <c r="Z1120" s="402"/>
      <c r="AA1120" s="405"/>
      <c r="AB1120" s="405"/>
    </row>
    <row r="1121" ht="14.25" customHeight="1">
      <c r="A1121" s="497">
        <v>45521.0</v>
      </c>
      <c r="B1121" s="343" t="s">
        <v>1223</v>
      </c>
      <c r="C1121" s="344" t="s">
        <v>998</v>
      </c>
      <c r="D1121" s="344" t="s">
        <v>346</v>
      </c>
      <c r="E1121" s="349" t="s">
        <v>1168</v>
      </c>
      <c r="F1121" s="452">
        <v>28350.0</v>
      </c>
      <c r="G1121" s="2"/>
      <c r="H1121" s="349"/>
      <c r="I1121" s="404" t="str">
        <f t="shared" si="10"/>
        <v>NOT PAID</v>
      </c>
      <c r="J1121" s="402"/>
      <c r="K1121" s="402"/>
      <c r="L1121" s="402"/>
      <c r="M1121" s="402"/>
      <c r="N1121" s="402"/>
      <c r="O1121" s="402"/>
      <c r="P1121" s="402"/>
      <c r="Q1121" s="402"/>
      <c r="R1121" s="402"/>
      <c r="S1121" s="402"/>
      <c r="T1121" s="402"/>
      <c r="U1121" s="402"/>
      <c r="V1121" s="402"/>
      <c r="W1121" s="402"/>
      <c r="X1121" s="402"/>
      <c r="Y1121" s="402"/>
      <c r="Z1121" s="402"/>
      <c r="AA1121" s="405"/>
      <c r="AB1121" s="405"/>
    </row>
    <row r="1122" ht="14.25" customHeight="1">
      <c r="A1122" s="497">
        <v>45521.0</v>
      </c>
      <c r="B1122" s="343" t="s">
        <v>695</v>
      </c>
      <c r="C1122" s="344" t="s">
        <v>1529</v>
      </c>
      <c r="D1122" s="344" t="s">
        <v>54</v>
      </c>
      <c r="E1122" s="349" t="s">
        <v>1168</v>
      </c>
      <c r="F1122" s="442">
        <v>71570.81</v>
      </c>
      <c r="G1122" s="2"/>
      <c r="H1122" s="349"/>
      <c r="I1122" s="404" t="str">
        <f t="shared" si="10"/>
        <v>NOT PAID</v>
      </c>
      <c r="J1122" s="402"/>
      <c r="K1122" s="402"/>
      <c r="L1122" s="402"/>
      <c r="M1122" s="402"/>
      <c r="N1122" s="402"/>
      <c r="O1122" s="402"/>
      <c r="P1122" s="402"/>
      <c r="Q1122" s="402"/>
      <c r="R1122" s="402"/>
      <c r="S1122" s="402"/>
      <c r="T1122" s="402"/>
      <c r="U1122" s="402"/>
      <c r="V1122" s="402"/>
      <c r="W1122" s="402"/>
      <c r="X1122" s="402"/>
      <c r="Y1122" s="402"/>
      <c r="Z1122" s="402"/>
      <c r="AA1122" s="405"/>
      <c r="AB1122" s="405"/>
    </row>
    <row r="1123" ht="14.25" customHeight="1">
      <c r="A1123" s="497">
        <v>45521.0</v>
      </c>
      <c r="B1123" s="414" t="s">
        <v>761</v>
      </c>
      <c r="C1123" s="415" t="s">
        <v>1596</v>
      </c>
      <c r="D1123" s="415" t="s">
        <v>59</v>
      </c>
      <c r="E1123" s="344" t="s">
        <v>1143</v>
      </c>
      <c r="F1123" s="442">
        <v>66203.64</v>
      </c>
      <c r="G1123" s="2"/>
      <c r="H1123" s="349"/>
      <c r="I1123" s="404" t="str">
        <f t="shared" si="10"/>
        <v>NOT PAID</v>
      </c>
      <c r="J1123" s="402"/>
      <c r="K1123" s="402"/>
      <c r="L1123" s="402"/>
      <c r="M1123" s="402"/>
      <c r="N1123" s="402"/>
      <c r="O1123" s="402"/>
      <c r="P1123" s="402"/>
      <c r="Q1123" s="402"/>
      <c r="R1123" s="402"/>
      <c r="S1123" s="402"/>
      <c r="T1123" s="402"/>
      <c r="U1123" s="402"/>
      <c r="V1123" s="402"/>
      <c r="W1123" s="402"/>
      <c r="X1123" s="402"/>
      <c r="Y1123" s="402"/>
      <c r="Z1123" s="402"/>
      <c r="AA1123" s="405"/>
      <c r="AB1123" s="405"/>
    </row>
    <row r="1124" ht="14.25" customHeight="1">
      <c r="A1124" s="497">
        <v>45521.0</v>
      </c>
      <c r="B1124" s="343" t="s">
        <v>1503</v>
      </c>
      <c r="C1124" s="344" t="s">
        <v>1504</v>
      </c>
      <c r="D1124" s="344" t="s">
        <v>54</v>
      </c>
      <c r="E1124" s="344" t="s">
        <v>1143</v>
      </c>
      <c r="F1124" s="442">
        <v>16812.0</v>
      </c>
      <c r="G1124" s="2"/>
      <c r="H1124" s="349"/>
      <c r="I1124" s="404" t="str">
        <f t="shared" si="10"/>
        <v>NOT PAID</v>
      </c>
      <c r="J1124" s="402"/>
      <c r="K1124" s="402"/>
      <c r="L1124" s="402"/>
      <c r="M1124" s="402"/>
      <c r="N1124" s="402"/>
      <c r="O1124" s="402"/>
      <c r="P1124" s="402"/>
      <c r="Q1124" s="402"/>
      <c r="R1124" s="402"/>
      <c r="S1124" s="402"/>
      <c r="T1124" s="402"/>
      <c r="U1124" s="402"/>
      <c r="V1124" s="402"/>
      <c r="W1124" s="402"/>
      <c r="X1124" s="402"/>
      <c r="Y1124" s="402"/>
      <c r="Z1124" s="402"/>
      <c r="AA1124" s="405"/>
      <c r="AB1124" s="405"/>
    </row>
    <row r="1125" ht="14.25" customHeight="1">
      <c r="A1125" s="497">
        <v>45521.0</v>
      </c>
      <c r="B1125" s="343" t="s">
        <v>1475</v>
      </c>
      <c r="C1125" s="344" t="s">
        <v>765</v>
      </c>
      <c r="D1125" s="344" t="s">
        <v>75</v>
      </c>
      <c r="E1125" s="344" t="s">
        <v>1143</v>
      </c>
      <c r="F1125" s="442">
        <v>95970.0</v>
      </c>
      <c r="G1125" s="2"/>
      <c r="H1125" s="349"/>
      <c r="I1125" s="404" t="str">
        <f t="shared" si="10"/>
        <v>NOT PAID</v>
      </c>
      <c r="J1125" s="402"/>
      <c r="K1125" s="402"/>
      <c r="L1125" s="402"/>
      <c r="M1125" s="402"/>
      <c r="N1125" s="402"/>
      <c r="O1125" s="402"/>
      <c r="P1125" s="402"/>
      <c r="Q1125" s="402"/>
      <c r="R1125" s="402"/>
      <c r="S1125" s="402"/>
      <c r="T1125" s="402"/>
      <c r="U1125" s="402"/>
      <c r="V1125" s="402"/>
      <c r="W1125" s="402"/>
      <c r="X1125" s="402"/>
      <c r="Y1125" s="402"/>
      <c r="Z1125" s="402"/>
      <c r="AA1125" s="405"/>
      <c r="AB1125" s="405"/>
    </row>
    <row r="1126" ht="14.25" customHeight="1">
      <c r="A1126" s="497">
        <v>45521.0</v>
      </c>
      <c r="B1126" s="343" t="s">
        <v>788</v>
      </c>
      <c r="C1126" s="344" t="s">
        <v>789</v>
      </c>
      <c r="D1126" s="344" t="s">
        <v>54</v>
      </c>
      <c r="E1126" s="344" t="s">
        <v>1143</v>
      </c>
      <c r="F1126" s="442">
        <v>98777.16</v>
      </c>
      <c r="G1126" s="2"/>
      <c r="H1126" s="532"/>
      <c r="I1126" s="404" t="str">
        <f t="shared" si="10"/>
        <v>NOT PAID</v>
      </c>
      <c r="J1126" s="402"/>
      <c r="K1126" s="402"/>
      <c r="L1126" s="402"/>
      <c r="M1126" s="402"/>
      <c r="N1126" s="402"/>
      <c r="O1126" s="402"/>
      <c r="P1126" s="402"/>
      <c r="Q1126" s="402"/>
      <c r="R1126" s="402"/>
      <c r="S1126" s="402"/>
      <c r="T1126" s="402"/>
      <c r="U1126" s="402"/>
      <c r="V1126" s="402"/>
      <c r="W1126" s="402"/>
      <c r="X1126" s="402"/>
      <c r="Y1126" s="402"/>
      <c r="Z1126" s="402"/>
      <c r="AA1126" s="405"/>
      <c r="AB1126" s="405"/>
    </row>
    <row r="1127" ht="14.25" customHeight="1">
      <c r="A1127" s="497">
        <v>45521.0</v>
      </c>
      <c r="B1127" s="343" t="s">
        <v>1012</v>
      </c>
      <c r="C1127" s="344" t="s">
        <v>1013</v>
      </c>
      <c r="D1127" s="344" t="s">
        <v>75</v>
      </c>
      <c r="E1127" s="344" t="s">
        <v>1143</v>
      </c>
      <c r="F1127" s="442">
        <v>201725.0</v>
      </c>
      <c r="G1127" s="2"/>
      <c r="H1127" s="349"/>
      <c r="I1127" s="404" t="str">
        <f t="shared" si="10"/>
        <v>NOT PAID</v>
      </c>
      <c r="J1127" s="402"/>
      <c r="K1127" s="402"/>
      <c r="L1127" s="402"/>
      <c r="M1127" s="402"/>
      <c r="N1127" s="402"/>
      <c r="O1127" s="402"/>
      <c r="P1127" s="402"/>
      <c r="Q1127" s="402"/>
      <c r="R1127" s="402"/>
      <c r="S1127" s="402"/>
      <c r="T1127" s="402"/>
      <c r="U1127" s="402"/>
      <c r="V1127" s="402"/>
      <c r="W1127" s="402"/>
      <c r="X1127" s="402"/>
      <c r="Y1127" s="402"/>
      <c r="Z1127" s="402"/>
      <c r="AA1127" s="405"/>
      <c r="AB1127" s="405"/>
    </row>
    <row r="1128" ht="14.25" customHeight="1">
      <c r="A1128" s="497">
        <v>45521.0</v>
      </c>
      <c r="B1128" s="410" t="s">
        <v>827</v>
      </c>
      <c r="C1128" s="411" t="s">
        <v>828</v>
      </c>
      <c r="D1128" s="411" t="s">
        <v>54</v>
      </c>
      <c r="E1128" s="411" t="s">
        <v>1143</v>
      </c>
      <c r="F1128" s="489">
        <v>1000000.0</v>
      </c>
      <c r="G1128" s="2"/>
      <c r="H1128" s="349"/>
      <c r="I1128" s="404" t="str">
        <f t="shared" si="10"/>
        <v>NOT PAID</v>
      </c>
      <c r="J1128" s="402"/>
      <c r="K1128" s="402"/>
      <c r="L1128" s="402"/>
      <c r="M1128" s="402"/>
      <c r="N1128" s="402"/>
      <c r="O1128" s="402"/>
      <c r="P1128" s="402"/>
      <c r="Q1128" s="402"/>
      <c r="R1128" s="402"/>
      <c r="S1128" s="402"/>
      <c r="T1128" s="402"/>
      <c r="U1128" s="402"/>
      <c r="V1128" s="402"/>
      <c r="W1128" s="402"/>
      <c r="X1128" s="402"/>
      <c r="Y1128" s="402"/>
      <c r="Z1128" s="402"/>
      <c r="AA1128" s="405"/>
      <c r="AB1128" s="405"/>
    </row>
    <row r="1129" ht="14.25" customHeight="1">
      <c r="A1129" s="402"/>
      <c r="B1129" s="402"/>
      <c r="C1129" s="402"/>
      <c r="D1129" s="402"/>
      <c r="E1129" s="402"/>
      <c r="F1129" s="403"/>
      <c r="G1129" s="403"/>
      <c r="H1129" s="402"/>
      <c r="I1129" s="404" t="str">
        <f t="shared" si="10"/>
        <v>FULLY PAID</v>
      </c>
      <c r="J1129" s="402"/>
      <c r="K1129" s="402"/>
      <c r="L1129" s="402"/>
      <c r="M1129" s="402"/>
      <c r="N1129" s="402"/>
      <c r="O1129" s="402"/>
      <c r="P1129" s="402"/>
      <c r="Q1129" s="402"/>
      <c r="R1129" s="402"/>
      <c r="S1129" s="402"/>
      <c r="T1129" s="402"/>
      <c r="U1129" s="402"/>
      <c r="V1129" s="402"/>
      <c r="W1129" s="402"/>
      <c r="X1129" s="402"/>
      <c r="Y1129" s="402"/>
      <c r="Z1129" s="402"/>
      <c r="AA1129" s="405"/>
      <c r="AB1129" s="405"/>
    </row>
    <row r="1130" ht="14.25" customHeight="1">
      <c r="A1130" s="402"/>
      <c r="B1130" s="402"/>
      <c r="C1130" s="402"/>
      <c r="D1130" s="402"/>
      <c r="E1130" s="402"/>
      <c r="F1130" s="403"/>
      <c r="G1130" s="403"/>
      <c r="H1130" s="402"/>
      <c r="I1130" s="404" t="str">
        <f t="shared" si="10"/>
        <v>FULLY PAID</v>
      </c>
      <c r="J1130" s="402"/>
      <c r="K1130" s="402"/>
      <c r="L1130" s="402"/>
      <c r="M1130" s="402"/>
      <c r="N1130" s="402"/>
      <c r="O1130" s="402"/>
      <c r="P1130" s="402"/>
      <c r="Q1130" s="402"/>
      <c r="R1130" s="402"/>
      <c r="S1130" s="402"/>
      <c r="T1130" s="402"/>
      <c r="U1130" s="402"/>
      <c r="V1130" s="402"/>
      <c r="W1130" s="402"/>
      <c r="X1130" s="402"/>
      <c r="Y1130" s="402"/>
      <c r="Z1130" s="402"/>
      <c r="AA1130" s="405"/>
      <c r="AB1130" s="405"/>
    </row>
    <row r="1131" ht="14.25" customHeight="1">
      <c r="A1131" s="402"/>
      <c r="B1131" s="402"/>
      <c r="C1131" s="424" t="s">
        <v>797</v>
      </c>
      <c r="D1131" s="402"/>
      <c r="E1131" s="402"/>
      <c r="F1131" s="403"/>
      <c r="G1131" s="403"/>
      <c r="H1131" s="402"/>
      <c r="I1131" s="404" t="str">
        <f t="shared" si="10"/>
        <v>FULLY PAID</v>
      </c>
      <c r="J1131" s="402"/>
      <c r="K1131" s="402"/>
      <c r="L1131" s="402"/>
      <c r="M1131" s="402"/>
      <c r="N1131" s="402"/>
      <c r="O1131" s="402"/>
      <c r="P1131" s="402"/>
      <c r="Q1131" s="402"/>
      <c r="R1131" s="402"/>
      <c r="S1131" s="402"/>
      <c r="T1131" s="402"/>
      <c r="U1131" s="402"/>
      <c r="V1131" s="402"/>
      <c r="W1131" s="402"/>
      <c r="X1131" s="402"/>
      <c r="Y1131" s="402"/>
      <c r="Z1131" s="402"/>
      <c r="AA1131" s="405"/>
      <c r="AB1131" s="405"/>
    </row>
    <row r="1132" ht="14.25" customHeight="1">
      <c r="A1132" s="497">
        <v>45521.0</v>
      </c>
      <c r="B1132" s="357" t="s">
        <v>1087</v>
      </c>
      <c r="C1132" s="357" t="s">
        <v>1088</v>
      </c>
      <c r="D1132" s="357" t="s">
        <v>54</v>
      </c>
      <c r="E1132" s="357" t="s">
        <v>1255</v>
      </c>
      <c r="F1132" s="302">
        <v>25000.0</v>
      </c>
      <c r="G1132" s="403"/>
      <c r="H1132" s="349" t="s">
        <v>1606</v>
      </c>
      <c r="I1132" s="404" t="str">
        <f t="shared" si="10"/>
        <v>NOT PAID</v>
      </c>
      <c r="J1132" s="402"/>
      <c r="K1132" s="402"/>
      <c r="L1132" s="402"/>
      <c r="M1132" s="402"/>
      <c r="N1132" s="402"/>
      <c r="O1132" s="402"/>
      <c r="P1132" s="402"/>
      <c r="Q1132" s="402"/>
      <c r="R1132" s="402"/>
      <c r="S1132" s="402"/>
      <c r="T1132" s="402"/>
      <c r="U1132" s="402"/>
      <c r="V1132" s="402"/>
      <c r="W1132" s="402"/>
      <c r="X1132" s="402"/>
      <c r="Y1132" s="402"/>
      <c r="Z1132" s="402"/>
      <c r="AA1132" s="405"/>
      <c r="AB1132" s="405"/>
    </row>
    <row r="1133" ht="14.25" customHeight="1">
      <c r="A1133" s="497">
        <v>45521.0</v>
      </c>
      <c r="B1133" s="357" t="s">
        <v>1329</v>
      </c>
      <c r="C1133" s="357" t="s">
        <v>1330</v>
      </c>
      <c r="D1133" s="357" t="s">
        <v>54</v>
      </c>
      <c r="E1133" s="357" t="s">
        <v>1255</v>
      </c>
      <c r="F1133" s="302">
        <v>500000.0</v>
      </c>
      <c r="G1133" s="403"/>
      <c r="H1133" s="349" t="s">
        <v>1607</v>
      </c>
      <c r="I1133" s="404" t="str">
        <f t="shared" si="10"/>
        <v>NOT PAID</v>
      </c>
      <c r="J1133" s="402"/>
      <c r="K1133" s="402"/>
      <c r="L1133" s="402"/>
      <c r="M1133" s="402"/>
      <c r="N1133" s="402"/>
      <c r="O1133" s="402"/>
      <c r="P1133" s="402"/>
      <c r="Q1133" s="402"/>
      <c r="R1133" s="402"/>
      <c r="S1133" s="402"/>
      <c r="T1133" s="402"/>
      <c r="U1133" s="402"/>
      <c r="V1133" s="402"/>
      <c r="W1133" s="402"/>
      <c r="X1133" s="402"/>
      <c r="Y1133" s="402"/>
      <c r="Z1133" s="402"/>
      <c r="AA1133" s="405"/>
      <c r="AB1133" s="405"/>
    </row>
    <row r="1134" ht="14.25" customHeight="1">
      <c r="A1134" s="497">
        <v>45521.0</v>
      </c>
      <c r="B1134" s="357" t="s">
        <v>800</v>
      </c>
      <c r="C1134" s="357" t="s">
        <v>801</v>
      </c>
      <c r="D1134" s="533" t="s">
        <v>54</v>
      </c>
      <c r="E1134" s="357" t="s">
        <v>1255</v>
      </c>
      <c r="F1134" s="302">
        <v>20000.0</v>
      </c>
      <c r="G1134" s="403"/>
      <c r="H1134" s="349" t="s">
        <v>1608</v>
      </c>
      <c r="I1134" s="404" t="str">
        <f t="shared" si="10"/>
        <v>NOT PAID</v>
      </c>
      <c r="J1134" s="402"/>
      <c r="K1134" s="402"/>
      <c r="L1134" s="402"/>
      <c r="M1134" s="402"/>
      <c r="N1134" s="402"/>
      <c r="O1134" s="402"/>
      <c r="P1134" s="402"/>
      <c r="Q1134" s="402"/>
      <c r="R1134" s="402"/>
      <c r="S1134" s="402"/>
      <c r="T1134" s="402"/>
      <c r="U1134" s="402"/>
      <c r="V1134" s="402"/>
      <c r="W1134" s="402"/>
      <c r="X1134" s="402"/>
      <c r="Y1134" s="402"/>
      <c r="Z1134" s="402"/>
      <c r="AA1134" s="405"/>
      <c r="AB1134" s="405"/>
    </row>
    <row r="1135" ht="14.25" customHeight="1">
      <c r="A1135" s="402"/>
      <c r="B1135" s="402"/>
      <c r="C1135" s="402"/>
      <c r="D1135" s="402"/>
      <c r="E1135" s="402"/>
      <c r="F1135" s="403"/>
      <c r="G1135" s="403"/>
      <c r="H1135" s="402"/>
      <c r="I1135" s="404" t="str">
        <f t="shared" si="10"/>
        <v>FULLY PAID</v>
      </c>
      <c r="J1135" s="402"/>
      <c r="K1135" s="402"/>
      <c r="L1135" s="402"/>
      <c r="M1135" s="402"/>
      <c r="N1135" s="402"/>
      <c r="O1135" s="402"/>
      <c r="P1135" s="402"/>
      <c r="Q1135" s="402"/>
      <c r="R1135" s="402"/>
      <c r="S1135" s="402"/>
      <c r="T1135" s="402"/>
      <c r="U1135" s="402"/>
      <c r="V1135" s="402"/>
      <c r="W1135" s="402"/>
      <c r="X1135" s="402"/>
      <c r="Y1135" s="402"/>
      <c r="Z1135" s="402"/>
      <c r="AA1135" s="405"/>
      <c r="AB1135" s="405"/>
    </row>
    <row r="1136" ht="14.25" customHeight="1">
      <c r="A1136" s="402"/>
      <c r="B1136" s="402"/>
      <c r="C1136" s="402"/>
      <c r="D1136" s="402"/>
      <c r="E1136" s="402"/>
      <c r="F1136" s="403"/>
      <c r="G1136" s="403"/>
      <c r="H1136" s="402"/>
      <c r="I1136" s="404" t="str">
        <f t="shared" si="10"/>
        <v>FULLY PAID</v>
      </c>
      <c r="J1136" s="402"/>
      <c r="K1136" s="402"/>
      <c r="L1136" s="402"/>
      <c r="M1136" s="402"/>
      <c r="N1136" s="402"/>
      <c r="O1136" s="402"/>
      <c r="P1136" s="402"/>
      <c r="Q1136" s="402"/>
      <c r="R1136" s="402"/>
      <c r="S1136" s="402"/>
      <c r="T1136" s="402"/>
      <c r="U1136" s="402"/>
      <c r="V1136" s="402"/>
      <c r="W1136" s="402"/>
      <c r="X1136" s="402"/>
      <c r="Y1136" s="402"/>
      <c r="Z1136" s="402"/>
      <c r="AA1136" s="405"/>
      <c r="AB1136" s="405"/>
    </row>
    <row r="1137" ht="14.25" customHeight="1">
      <c r="A1137" s="402"/>
      <c r="B1137" s="402"/>
      <c r="C1137" s="402"/>
      <c r="D1137" s="402"/>
      <c r="E1137" s="402"/>
      <c r="F1137" s="403"/>
      <c r="G1137" s="403"/>
      <c r="H1137" s="402"/>
      <c r="I1137" s="404" t="str">
        <f t="shared" si="10"/>
        <v>FULLY PAID</v>
      </c>
      <c r="J1137" s="402"/>
      <c r="K1137" s="402"/>
      <c r="L1137" s="402"/>
      <c r="M1137" s="402"/>
      <c r="N1137" s="402"/>
      <c r="O1137" s="402"/>
      <c r="P1137" s="402"/>
      <c r="Q1137" s="402"/>
      <c r="R1137" s="402"/>
      <c r="S1137" s="402"/>
      <c r="T1137" s="402"/>
      <c r="U1137" s="402"/>
      <c r="V1137" s="402"/>
      <c r="W1137" s="402"/>
      <c r="X1137" s="402"/>
      <c r="Y1137" s="402"/>
      <c r="Z1137" s="402"/>
      <c r="AA1137" s="405"/>
      <c r="AB1137" s="405"/>
    </row>
    <row r="1138" ht="14.25" customHeight="1">
      <c r="A1138" s="402"/>
      <c r="B1138" s="402"/>
      <c r="C1138" s="402"/>
      <c r="D1138" s="402"/>
      <c r="E1138" s="402"/>
      <c r="F1138" s="403"/>
      <c r="G1138" s="403"/>
      <c r="H1138" s="402"/>
      <c r="I1138" s="404" t="str">
        <f t="shared" si="10"/>
        <v>FULLY PAID</v>
      </c>
      <c r="J1138" s="402"/>
      <c r="K1138" s="402"/>
      <c r="L1138" s="402"/>
      <c r="M1138" s="402"/>
      <c r="N1138" s="402"/>
      <c r="O1138" s="402"/>
      <c r="P1138" s="402"/>
      <c r="Q1138" s="402"/>
      <c r="R1138" s="402"/>
      <c r="S1138" s="402"/>
      <c r="T1138" s="402"/>
      <c r="U1138" s="402"/>
      <c r="V1138" s="402"/>
      <c r="W1138" s="402"/>
      <c r="X1138" s="402"/>
      <c r="Y1138" s="402"/>
      <c r="Z1138" s="402"/>
      <c r="AA1138" s="405"/>
      <c r="AB1138" s="405"/>
    </row>
    <row r="1139" ht="14.25" customHeight="1">
      <c r="A1139" s="402"/>
      <c r="B1139" s="526" t="s">
        <v>1609</v>
      </c>
      <c r="C1139" s="402"/>
      <c r="D1139" s="402"/>
      <c r="E1139" s="402"/>
      <c r="F1139" s="403"/>
      <c r="G1139" s="403"/>
      <c r="H1139" s="402"/>
      <c r="I1139" s="404" t="str">
        <f t="shared" si="10"/>
        <v>FULLY PAID</v>
      </c>
      <c r="J1139" s="402"/>
      <c r="K1139" s="402"/>
      <c r="L1139" s="402"/>
      <c r="M1139" s="402"/>
      <c r="N1139" s="402"/>
      <c r="O1139" s="402"/>
      <c r="P1139" s="402"/>
      <c r="Q1139" s="402"/>
      <c r="R1139" s="402"/>
      <c r="S1139" s="402"/>
      <c r="T1139" s="402"/>
      <c r="U1139" s="402"/>
      <c r="V1139" s="402"/>
      <c r="W1139" s="402"/>
      <c r="X1139" s="402"/>
      <c r="Y1139" s="402"/>
      <c r="Z1139" s="402"/>
      <c r="AA1139" s="405"/>
      <c r="AB1139" s="405"/>
    </row>
    <row r="1140" ht="14.25" customHeight="1">
      <c r="A1140" s="497">
        <v>45523.0</v>
      </c>
      <c r="B1140" s="349" t="s">
        <v>1117</v>
      </c>
      <c r="C1140" s="349" t="s">
        <v>1332</v>
      </c>
      <c r="D1140" s="349" t="s">
        <v>1115</v>
      </c>
      <c r="E1140" s="349" t="s">
        <v>1098</v>
      </c>
      <c r="F1140" s="413">
        <v>170000.0</v>
      </c>
      <c r="G1140" s="403"/>
      <c r="H1140" s="349" t="s">
        <v>1610</v>
      </c>
      <c r="I1140" s="404" t="str">
        <f t="shared" si="10"/>
        <v>NOT PAID</v>
      </c>
      <c r="J1140" s="402"/>
      <c r="K1140" s="402"/>
      <c r="L1140" s="402"/>
      <c r="M1140" s="402"/>
      <c r="N1140" s="402"/>
      <c r="O1140" s="402"/>
      <c r="P1140" s="402"/>
      <c r="Q1140" s="402"/>
      <c r="R1140" s="402"/>
      <c r="S1140" s="402"/>
      <c r="T1140" s="402"/>
      <c r="U1140" s="402"/>
      <c r="V1140" s="402"/>
      <c r="W1140" s="402"/>
      <c r="X1140" s="402"/>
      <c r="Y1140" s="402"/>
      <c r="Z1140" s="402"/>
      <c r="AA1140" s="405"/>
      <c r="AB1140" s="405"/>
    </row>
    <row r="1141" ht="14.25" customHeight="1">
      <c r="A1141" s="497">
        <v>45523.0</v>
      </c>
      <c r="B1141" s="484" t="s">
        <v>1113</v>
      </c>
      <c r="C1141" s="349" t="s">
        <v>1332</v>
      </c>
      <c r="D1141" s="349" t="s">
        <v>1115</v>
      </c>
      <c r="E1141" s="349" t="s">
        <v>1098</v>
      </c>
      <c r="F1141" s="413">
        <v>170000.0</v>
      </c>
      <c r="G1141" s="403"/>
      <c r="H1141" s="349" t="s">
        <v>1610</v>
      </c>
      <c r="I1141" s="404" t="str">
        <f t="shared" si="10"/>
        <v>NOT PAID</v>
      </c>
      <c r="J1141" s="402"/>
      <c r="K1141" s="402"/>
      <c r="L1141" s="402"/>
      <c r="M1141" s="402"/>
      <c r="N1141" s="402"/>
      <c r="O1141" s="402"/>
      <c r="P1141" s="402"/>
      <c r="Q1141" s="402"/>
      <c r="R1141" s="402"/>
      <c r="S1141" s="402"/>
      <c r="T1141" s="402"/>
      <c r="U1141" s="402"/>
      <c r="V1141" s="402"/>
      <c r="W1141" s="402"/>
      <c r="X1141" s="402"/>
      <c r="Y1141" s="402"/>
      <c r="Z1141" s="402"/>
      <c r="AA1141" s="405"/>
      <c r="AB1141" s="405"/>
    </row>
    <row r="1142" ht="14.25" customHeight="1">
      <c r="A1142" s="497">
        <v>45523.0</v>
      </c>
      <c r="B1142" s="349" t="s">
        <v>777</v>
      </c>
      <c r="C1142" s="349" t="s">
        <v>778</v>
      </c>
      <c r="D1142" s="349" t="s">
        <v>54</v>
      </c>
      <c r="E1142" s="349" t="s">
        <v>1098</v>
      </c>
      <c r="F1142" s="413">
        <v>119325.0</v>
      </c>
      <c r="G1142" s="403"/>
      <c r="H1142" s="349" t="s">
        <v>1611</v>
      </c>
      <c r="I1142" s="404" t="str">
        <f t="shared" si="10"/>
        <v>NOT PAID</v>
      </c>
      <c r="J1142" s="402"/>
      <c r="K1142" s="402"/>
      <c r="L1142" s="402"/>
      <c r="M1142" s="402"/>
      <c r="N1142" s="402"/>
      <c r="O1142" s="402"/>
      <c r="P1142" s="402"/>
      <c r="Q1142" s="402"/>
      <c r="R1142" s="402"/>
      <c r="S1142" s="402"/>
      <c r="T1142" s="402"/>
      <c r="U1142" s="402"/>
      <c r="V1142" s="402"/>
      <c r="W1142" s="402"/>
      <c r="X1142" s="402"/>
      <c r="Y1142" s="402"/>
      <c r="Z1142" s="402"/>
      <c r="AA1142" s="405"/>
      <c r="AB1142" s="405"/>
    </row>
    <row r="1143" ht="14.25" customHeight="1">
      <c r="A1143" s="497">
        <v>45523.0</v>
      </c>
      <c r="B1143" s="349" t="s">
        <v>711</v>
      </c>
      <c r="C1143" s="349" t="s">
        <v>1123</v>
      </c>
      <c r="D1143" s="349" t="s">
        <v>75</v>
      </c>
      <c r="E1143" s="349" t="s">
        <v>1098</v>
      </c>
      <c r="F1143" s="413">
        <v>26556.61</v>
      </c>
      <c r="G1143" s="403"/>
      <c r="H1143" s="349" t="s">
        <v>1612</v>
      </c>
      <c r="I1143" s="404" t="str">
        <f t="shared" si="10"/>
        <v>NOT PAID</v>
      </c>
      <c r="J1143" s="402"/>
      <c r="K1143" s="402"/>
      <c r="L1143" s="402"/>
      <c r="M1143" s="402"/>
      <c r="N1143" s="402"/>
      <c r="O1143" s="402"/>
      <c r="P1143" s="402"/>
      <c r="Q1143" s="402"/>
      <c r="R1143" s="402"/>
      <c r="S1143" s="402"/>
      <c r="T1143" s="402"/>
      <c r="U1143" s="402"/>
      <c r="V1143" s="402"/>
      <c r="W1143" s="402"/>
      <c r="X1143" s="402"/>
      <c r="Y1143" s="402"/>
      <c r="Z1143" s="402"/>
      <c r="AA1143" s="405"/>
      <c r="AB1143" s="405"/>
    </row>
    <row r="1144" ht="14.25" customHeight="1">
      <c r="A1144" s="497">
        <v>45523.0</v>
      </c>
      <c r="B1144" s="349" t="s">
        <v>701</v>
      </c>
      <c r="C1144" s="349" t="s">
        <v>702</v>
      </c>
      <c r="D1144" s="349" t="s">
        <v>54</v>
      </c>
      <c r="E1144" s="349" t="s">
        <v>1098</v>
      </c>
      <c r="F1144" s="413">
        <v>10771.93</v>
      </c>
      <c r="G1144" s="403"/>
      <c r="H1144" s="349" t="s">
        <v>1613</v>
      </c>
      <c r="I1144" s="404" t="str">
        <f t="shared" si="10"/>
        <v>NOT PAID</v>
      </c>
      <c r="J1144" s="402"/>
      <c r="K1144" s="402"/>
      <c r="L1144" s="402"/>
      <c r="M1144" s="402"/>
      <c r="N1144" s="402"/>
      <c r="O1144" s="402"/>
      <c r="P1144" s="402"/>
      <c r="Q1144" s="402"/>
      <c r="R1144" s="402"/>
      <c r="S1144" s="402"/>
      <c r="T1144" s="402"/>
      <c r="U1144" s="402"/>
      <c r="V1144" s="402"/>
      <c r="W1144" s="402"/>
      <c r="X1144" s="402"/>
      <c r="Y1144" s="402"/>
      <c r="Z1144" s="402"/>
      <c r="AA1144" s="405"/>
      <c r="AB1144" s="405"/>
    </row>
    <row r="1145" ht="14.25" customHeight="1">
      <c r="A1145" s="497">
        <v>45523.0</v>
      </c>
      <c r="B1145" s="509" t="s">
        <v>1381</v>
      </c>
      <c r="C1145" s="510" t="s">
        <v>1382</v>
      </c>
      <c r="D1145" s="510" t="s">
        <v>54</v>
      </c>
      <c r="E1145" s="349" t="s">
        <v>1098</v>
      </c>
      <c r="F1145" s="416">
        <v>198106.72</v>
      </c>
      <c r="G1145" s="403"/>
      <c r="H1145" s="349" t="s">
        <v>1614</v>
      </c>
      <c r="I1145" s="404" t="str">
        <f t="shared" si="10"/>
        <v>NOT PAID</v>
      </c>
      <c r="J1145" s="402"/>
      <c r="K1145" s="402"/>
      <c r="L1145" s="402"/>
      <c r="M1145" s="402"/>
      <c r="N1145" s="402"/>
      <c r="O1145" s="402"/>
      <c r="P1145" s="402"/>
      <c r="Q1145" s="402"/>
      <c r="R1145" s="402"/>
      <c r="S1145" s="402"/>
      <c r="T1145" s="402"/>
      <c r="U1145" s="402"/>
      <c r="V1145" s="402"/>
      <c r="W1145" s="402"/>
      <c r="X1145" s="402"/>
      <c r="Y1145" s="402"/>
      <c r="Z1145" s="402"/>
      <c r="AA1145" s="405"/>
      <c r="AB1145" s="405"/>
    </row>
    <row r="1146" ht="14.25" customHeight="1">
      <c r="A1146" s="497">
        <v>45523.0</v>
      </c>
      <c r="B1146" s="492" t="s">
        <v>729</v>
      </c>
      <c r="C1146" s="493" t="s">
        <v>995</v>
      </c>
      <c r="D1146" s="493" t="s">
        <v>54</v>
      </c>
      <c r="E1146" s="349" t="s">
        <v>1098</v>
      </c>
      <c r="F1146" s="494">
        <v>244832.0</v>
      </c>
      <c r="G1146" s="403"/>
      <c r="H1146" s="349" t="s">
        <v>1615</v>
      </c>
      <c r="I1146" s="404" t="str">
        <f t="shared" si="10"/>
        <v>NOT PAID</v>
      </c>
      <c r="J1146" s="402"/>
      <c r="K1146" s="402"/>
      <c r="L1146" s="402"/>
      <c r="M1146" s="402"/>
      <c r="N1146" s="402"/>
      <c r="O1146" s="402"/>
      <c r="P1146" s="402"/>
      <c r="Q1146" s="402"/>
      <c r="R1146" s="402"/>
      <c r="S1146" s="402"/>
      <c r="T1146" s="402"/>
      <c r="U1146" s="402"/>
      <c r="V1146" s="402"/>
      <c r="W1146" s="402"/>
      <c r="X1146" s="402"/>
      <c r="Y1146" s="402"/>
      <c r="Z1146" s="402"/>
      <c r="AA1146" s="405"/>
      <c r="AB1146" s="405"/>
    </row>
    <row r="1147" ht="14.25" customHeight="1">
      <c r="A1147" s="497">
        <v>45523.0</v>
      </c>
      <c r="B1147" s="515" t="s">
        <v>1034</v>
      </c>
      <c r="C1147" s="516" t="s">
        <v>1401</v>
      </c>
      <c r="D1147" s="516" t="s">
        <v>54</v>
      </c>
      <c r="E1147" s="349" t="s">
        <v>1098</v>
      </c>
      <c r="F1147" s="416">
        <v>32840.0</v>
      </c>
      <c r="G1147" s="403"/>
      <c r="H1147" s="349" t="s">
        <v>1616</v>
      </c>
      <c r="I1147" s="404" t="str">
        <f t="shared" si="10"/>
        <v>NOT PAID</v>
      </c>
      <c r="J1147" s="402"/>
      <c r="K1147" s="402"/>
      <c r="L1147" s="402"/>
      <c r="M1147" s="402"/>
      <c r="N1147" s="402"/>
      <c r="O1147" s="402"/>
      <c r="P1147" s="402"/>
      <c r="Q1147" s="402"/>
      <c r="R1147" s="402"/>
      <c r="S1147" s="402"/>
      <c r="T1147" s="402"/>
      <c r="U1147" s="402"/>
      <c r="V1147" s="402"/>
      <c r="W1147" s="402"/>
      <c r="X1147" s="402"/>
      <c r="Y1147" s="402"/>
      <c r="Z1147" s="402"/>
      <c r="AA1147" s="405"/>
      <c r="AB1147" s="405"/>
    </row>
    <row r="1148" ht="14.25" customHeight="1">
      <c r="A1148" s="497">
        <v>45523.0</v>
      </c>
      <c r="B1148" s="518" t="s">
        <v>1559</v>
      </c>
      <c r="C1148" s="519" t="s">
        <v>1457</v>
      </c>
      <c r="D1148" s="519" t="s">
        <v>54</v>
      </c>
      <c r="E1148" s="349" t="s">
        <v>1098</v>
      </c>
      <c r="F1148" s="416">
        <v>34000.0</v>
      </c>
      <c r="G1148" s="403"/>
      <c r="H1148" s="349" t="s">
        <v>1617</v>
      </c>
      <c r="I1148" s="404" t="str">
        <f t="shared" si="10"/>
        <v>NOT PAID</v>
      </c>
      <c r="J1148" s="402"/>
      <c r="K1148" s="402"/>
      <c r="L1148" s="402"/>
      <c r="M1148" s="402"/>
      <c r="N1148" s="402"/>
      <c r="O1148" s="402"/>
      <c r="P1148" s="402"/>
      <c r="Q1148" s="402"/>
      <c r="R1148" s="402"/>
      <c r="S1148" s="402"/>
      <c r="T1148" s="402"/>
      <c r="U1148" s="402"/>
      <c r="V1148" s="402"/>
      <c r="W1148" s="402"/>
      <c r="X1148" s="402"/>
      <c r="Y1148" s="402"/>
      <c r="Z1148" s="402"/>
      <c r="AA1148" s="405"/>
      <c r="AB1148" s="405"/>
    </row>
    <row r="1149" ht="14.25" customHeight="1">
      <c r="A1149" s="497">
        <v>45523.0</v>
      </c>
      <c r="B1149" s="518" t="s">
        <v>717</v>
      </c>
      <c r="C1149" s="519" t="s">
        <v>1587</v>
      </c>
      <c r="D1149" s="519" t="s">
        <v>54</v>
      </c>
      <c r="E1149" s="349" t="s">
        <v>1098</v>
      </c>
      <c r="F1149" s="416">
        <v>15378.82</v>
      </c>
      <c r="G1149" s="403"/>
      <c r="H1149" s="402"/>
      <c r="I1149" s="404" t="str">
        <f t="shared" si="10"/>
        <v>NOT PAID</v>
      </c>
      <c r="J1149" s="402"/>
      <c r="K1149" s="402"/>
      <c r="L1149" s="402"/>
      <c r="M1149" s="402"/>
      <c r="N1149" s="402"/>
      <c r="O1149" s="402"/>
      <c r="P1149" s="402"/>
      <c r="Q1149" s="402"/>
      <c r="R1149" s="402"/>
      <c r="S1149" s="402"/>
      <c r="T1149" s="402"/>
      <c r="U1149" s="402"/>
      <c r="V1149" s="402"/>
      <c r="W1149" s="402"/>
      <c r="X1149" s="402"/>
      <c r="Y1149" s="402"/>
      <c r="Z1149" s="402"/>
      <c r="AA1149" s="405"/>
      <c r="AB1149" s="405"/>
    </row>
    <row r="1150" ht="14.25" customHeight="1">
      <c r="A1150" s="497">
        <v>45523.0</v>
      </c>
      <c r="B1150" s="518" t="s">
        <v>1618</v>
      </c>
      <c r="C1150" s="519" t="s">
        <v>1024</v>
      </c>
      <c r="D1150" s="519" t="s">
        <v>59</v>
      </c>
      <c r="E1150" s="349" t="s">
        <v>1098</v>
      </c>
      <c r="F1150" s="416">
        <v>2173213.0</v>
      </c>
      <c r="G1150" s="413"/>
      <c r="H1150" s="349" t="s">
        <v>1619</v>
      </c>
      <c r="I1150" s="404" t="str">
        <f t="shared" si="10"/>
        <v>NOT PAID</v>
      </c>
      <c r="J1150" s="402"/>
      <c r="K1150" s="402"/>
      <c r="L1150" s="402"/>
      <c r="M1150" s="402"/>
      <c r="N1150" s="402"/>
      <c r="O1150" s="402"/>
      <c r="P1150" s="402"/>
      <c r="Q1150" s="402"/>
      <c r="R1150" s="402"/>
      <c r="S1150" s="402"/>
      <c r="T1150" s="402"/>
      <c r="U1150" s="402"/>
      <c r="V1150" s="402"/>
      <c r="W1150" s="402"/>
      <c r="X1150" s="402"/>
      <c r="Y1150" s="402"/>
      <c r="Z1150" s="402"/>
      <c r="AA1150" s="405"/>
      <c r="AB1150" s="405"/>
    </row>
    <row r="1151" ht="14.25" customHeight="1">
      <c r="A1151" s="497">
        <v>45523.0</v>
      </c>
      <c r="B1151" s="518" t="s">
        <v>1620</v>
      </c>
      <c r="C1151" s="519" t="s">
        <v>1621</v>
      </c>
      <c r="D1151" s="519" t="s">
        <v>54</v>
      </c>
      <c r="E1151" s="349" t="s">
        <v>1098</v>
      </c>
      <c r="F1151" s="416">
        <v>72197.0</v>
      </c>
      <c r="G1151" s="413">
        <v>72197.0</v>
      </c>
      <c r="H1151" s="349" t="s">
        <v>710</v>
      </c>
      <c r="I1151" s="404" t="str">
        <f t="shared" si="10"/>
        <v>FULLY PAID</v>
      </c>
      <c r="J1151" s="402"/>
      <c r="K1151" s="402"/>
      <c r="L1151" s="402"/>
      <c r="M1151" s="402"/>
      <c r="N1151" s="402"/>
      <c r="O1151" s="402"/>
      <c r="P1151" s="402"/>
      <c r="Q1151" s="402"/>
      <c r="R1151" s="402"/>
      <c r="S1151" s="402"/>
      <c r="T1151" s="402"/>
      <c r="U1151" s="402"/>
      <c r="V1151" s="402"/>
      <c r="W1151" s="402"/>
      <c r="X1151" s="402"/>
      <c r="Y1151" s="402"/>
      <c r="Z1151" s="402"/>
      <c r="AA1151" s="405"/>
      <c r="AB1151" s="405"/>
    </row>
    <row r="1152" ht="14.25" customHeight="1">
      <c r="A1152" s="497">
        <v>45523.0</v>
      </c>
      <c r="B1152" s="518" t="s">
        <v>1622</v>
      </c>
      <c r="C1152" s="519" t="s">
        <v>730</v>
      </c>
      <c r="D1152" s="519" t="s">
        <v>75</v>
      </c>
      <c r="E1152" s="415" t="s">
        <v>1153</v>
      </c>
      <c r="F1152" s="416">
        <v>1878449.0</v>
      </c>
      <c r="G1152" s="413">
        <v>0.0</v>
      </c>
      <c r="H1152" s="349" t="s">
        <v>1623</v>
      </c>
      <c r="I1152" s="404" t="str">
        <f t="shared" si="10"/>
        <v>NOT PAID</v>
      </c>
      <c r="J1152" s="402"/>
      <c r="K1152" s="402"/>
      <c r="L1152" s="402"/>
      <c r="M1152" s="402"/>
      <c r="N1152" s="402"/>
      <c r="O1152" s="402"/>
      <c r="P1152" s="402"/>
      <c r="Q1152" s="402"/>
      <c r="R1152" s="402"/>
      <c r="S1152" s="402"/>
      <c r="T1152" s="402"/>
      <c r="U1152" s="402"/>
      <c r="V1152" s="402"/>
      <c r="W1152" s="402"/>
      <c r="X1152" s="402"/>
      <c r="Y1152" s="402"/>
      <c r="Z1152" s="402"/>
      <c r="AA1152" s="405"/>
      <c r="AB1152" s="405"/>
    </row>
    <row r="1153" ht="14.25" customHeight="1">
      <c r="A1153" s="497">
        <v>45523.0</v>
      </c>
      <c r="B1153" s="349" t="s">
        <v>1155</v>
      </c>
      <c r="C1153" s="349" t="s">
        <v>1156</v>
      </c>
      <c r="D1153" s="493" t="s">
        <v>54</v>
      </c>
      <c r="E1153" s="415" t="s">
        <v>1153</v>
      </c>
      <c r="F1153" s="413">
        <v>295732.73</v>
      </c>
      <c r="G1153" s="413">
        <v>0.0</v>
      </c>
      <c r="H1153" s="349" t="s">
        <v>1624</v>
      </c>
      <c r="I1153" s="404" t="str">
        <f t="shared" si="10"/>
        <v>NOT PAID</v>
      </c>
      <c r="J1153" s="402"/>
      <c r="K1153" s="402"/>
      <c r="L1153" s="402"/>
      <c r="M1153" s="402"/>
      <c r="N1153" s="402"/>
      <c r="O1153" s="402"/>
      <c r="P1153" s="402"/>
      <c r="Q1153" s="402"/>
      <c r="R1153" s="402"/>
      <c r="S1153" s="402"/>
      <c r="T1153" s="402"/>
      <c r="U1153" s="402"/>
      <c r="V1153" s="402"/>
      <c r="W1153" s="402"/>
      <c r="X1153" s="402"/>
      <c r="Y1153" s="402"/>
      <c r="Z1153" s="402"/>
      <c r="AA1153" s="405"/>
      <c r="AB1153" s="405"/>
    </row>
    <row r="1154" ht="14.25" customHeight="1">
      <c r="A1154" s="497">
        <v>45523.0</v>
      </c>
      <c r="B1154" s="349" t="s">
        <v>960</v>
      </c>
      <c r="C1154" s="349" t="s">
        <v>961</v>
      </c>
      <c r="D1154" s="493" t="s">
        <v>54</v>
      </c>
      <c r="E1154" s="415" t="s">
        <v>1153</v>
      </c>
      <c r="F1154" s="413">
        <v>100000.0</v>
      </c>
      <c r="G1154" s="413">
        <v>0.0</v>
      </c>
      <c r="H1154" s="349" t="s">
        <v>1625</v>
      </c>
      <c r="I1154" s="404" t="str">
        <f t="shared" si="10"/>
        <v>NOT PAID</v>
      </c>
      <c r="J1154" s="402"/>
      <c r="K1154" s="402"/>
      <c r="L1154" s="402"/>
      <c r="M1154" s="402"/>
      <c r="N1154" s="402"/>
      <c r="O1154" s="402"/>
      <c r="P1154" s="402"/>
      <c r="Q1154" s="402"/>
      <c r="R1154" s="402"/>
      <c r="S1154" s="402"/>
      <c r="T1154" s="402"/>
      <c r="U1154" s="402"/>
      <c r="V1154" s="402"/>
      <c r="W1154" s="402"/>
      <c r="X1154" s="402"/>
      <c r="Y1154" s="402"/>
      <c r="Z1154" s="402"/>
      <c r="AA1154" s="405"/>
      <c r="AB1154" s="405"/>
    </row>
    <row r="1155" ht="14.25" customHeight="1">
      <c r="A1155" s="497">
        <v>45523.0</v>
      </c>
      <c r="B1155" s="349" t="s">
        <v>1346</v>
      </c>
      <c r="C1155" s="349" t="s">
        <v>1347</v>
      </c>
      <c r="D1155" s="411" t="s">
        <v>59</v>
      </c>
      <c r="E1155" s="415" t="s">
        <v>1153</v>
      </c>
      <c r="F1155" s="413">
        <v>300000.0</v>
      </c>
      <c r="G1155" s="413">
        <v>0.0</v>
      </c>
      <c r="H1155" s="349" t="s">
        <v>1626</v>
      </c>
      <c r="I1155" s="404" t="str">
        <f t="shared" si="10"/>
        <v>NOT PAID</v>
      </c>
      <c r="J1155" s="402"/>
      <c r="K1155" s="402"/>
      <c r="L1155" s="402"/>
      <c r="M1155" s="402"/>
      <c r="N1155" s="402"/>
      <c r="O1155" s="402"/>
      <c r="P1155" s="402"/>
      <c r="Q1155" s="402"/>
      <c r="R1155" s="402"/>
      <c r="S1155" s="402"/>
      <c r="T1155" s="402"/>
      <c r="U1155" s="402"/>
      <c r="V1155" s="402"/>
      <c r="W1155" s="402"/>
      <c r="X1155" s="402"/>
      <c r="Y1155" s="402"/>
      <c r="Z1155" s="402"/>
      <c r="AA1155" s="405"/>
      <c r="AB1155" s="405"/>
    </row>
    <row r="1156" ht="14.25" customHeight="1">
      <c r="A1156" s="497">
        <v>45523.0</v>
      </c>
      <c r="B1156" s="518" t="s">
        <v>746</v>
      </c>
      <c r="C1156" s="519" t="s">
        <v>747</v>
      </c>
      <c r="D1156" s="519" t="s">
        <v>54</v>
      </c>
      <c r="E1156" s="415" t="s">
        <v>1153</v>
      </c>
      <c r="F1156" s="413">
        <v>108000.0</v>
      </c>
      <c r="G1156" s="413">
        <v>0.0</v>
      </c>
      <c r="H1156" s="349" t="s">
        <v>1627</v>
      </c>
      <c r="I1156" s="404" t="str">
        <f t="shared" si="10"/>
        <v>NOT PAID</v>
      </c>
      <c r="J1156" s="402"/>
      <c r="K1156" s="402"/>
      <c r="L1156" s="402"/>
      <c r="M1156" s="402"/>
      <c r="N1156" s="402"/>
      <c r="O1156" s="402"/>
      <c r="P1156" s="402"/>
      <c r="Q1156" s="402"/>
      <c r="R1156" s="402"/>
      <c r="S1156" s="402"/>
      <c r="T1156" s="402"/>
      <c r="U1156" s="402"/>
      <c r="V1156" s="402"/>
      <c r="W1156" s="402"/>
      <c r="X1156" s="402"/>
      <c r="Y1156" s="402"/>
      <c r="Z1156" s="402"/>
      <c r="AA1156" s="405"/>
      <c r="AB1156" s="405"/>
    </row>
    <row r="1157" ht="14.25" customHeight="1">
      <c r="A1157" s="497">
        <v>45523.0</v>
      </c>
      <c r="B1157" s="414" t="s">
        <v>1568</v>
      </c>
      <c r="C1157" s="415" t="s">
        <v>1569</v>
      </c>
      <c r="D1157" s="411" t="s">
        <v>54</v>
      </c>
      <c r="E1157" s="411" t="s">
        <v>1153</v>
      </c>
      <c r="F1157" s="413">
        <v>900000.0</v>
      </c>
      <c r="G1157" s="413">
        <v>0.0</v>
      </c>
      <c r="H1157" s="349" t="s">
        <v>1592</v>
      </c>
      <c r="I1157" s="404" t="str">
        <f t="shared" si="10"/>
        <v>NOT PAID</v>
      </c>
      <c r="J1157" s="402"/>
      <c r="K1157" s="402"/>
      <c r="L1157" s="402"/>
      <c r="M1157" s="402"/>
      <c r="N1157" s="402"/>
      <c r="O1157" s="402"/>
      <c r="P1157" s="402"/>
      <c r="Q1157" s="402"/>
      <c r="R1157" s="402"/>
      <c r="S1157" s="402"/>
      <c r="T1157" s="402"/>
      <c r="U1157" s="402"/>
      <c r="V1157" s="402"/>
      <c r="W1157" s="402"/>
      <c r="X1157" s="402"/>
      <c r="Y1157" s="402"/>
      <c r="Z1157" s="402"/>
      <c r="AA1157" s="405"/>
      <c r="AB1157" s="405"/>
    </row>
    <row r="1158" ht="14.25" customHeight="1">
      <c r="A1158" s="497">
        <v>45523.0</v>
      </c>
      <c r="B1158" s="518" t="s">
        <v>742</v>
      </c>
      <c r="C1158" s="519" t="s">
        <v>743</v>
      </c>
      <c r="D1158" s="519" t="s">
        <v>54</v>
      </c>
      <c r="E1158" s="411" t="s">
        <v>1153</v>
      </c>
      <c r="F1158" s="413">
        <v>112579.0</v>
      </c>
      <c r="G1158" s="413">
        <v>112580.0</v>
      </c>
      <c r="H1158" s="349" t="s">
        <v>267</v>
      </c>
      <c r="I1158" s="404" t="str">
        <f t="shared" si="10"/>
        <v>FULLY PAID</v>
      </c>
      <c r="J1158" s="402"/>
      <c r="K1158" s="402"/>
      <c r="L1158" s="402"/>
      <c r="M1158" s="402"/>
      <c r="N1158" s="402"/>
      <c r="O1158" s="402"/>
      <c r="P1158" s="402"/>
      <c r="Q1158" s="402"/>
      <c r="R1158" s="402"/>
      <c r="S1158" s="402"/>
      <c r="T1158" s="402"/>
      <c r="U1158" s="402"/>
      <c r="V1158" s="402"/>
      <c r="W1158" s="402"/>
      <c r="X1158" s="402"/>
      <c r="Y1158" s="402"/>
      <c r="Z1158" s="402"/>
      <c r="AA1158" s="405"/>
      <c r="AB1158" s="405"/>
    </row>
    <row r="1159" ht="14.25" customHeight="1">
      <c r="A1159" s="497">
        <v>45523.0</v>
      </c>
      <c r="B1159" s="518" t="s">
        <v>786</v>
      </c>
      <c r="C1159" s="519" t="s">
        <v>787</v>
      </c>
      <c r="D1159" s="519" t="s">
        <v>54</v>
      </c>
      <c r="E1159" s="411" t="s">
        <v>1153</v>
      </c>
      <c r="F1159" s="413">
        <v>15712.14</v>
      </c>
      <c r="G1159" s="413">
        <v>0.0</v>
      </c>
      <c r="H1159" s="349" t="s">
        <v>1628</v>
      </c>
      <c r="I1159" s="404" t="str">
        <f t="shared" si="10"/>
        <v>NOT PAID</v>
      </c>
      <c r="J1159" s="402"/>
      <c r="K1159" s="402"/>
      <c r="L1159" s="402"/>
      <c r="M1159" s="402"/>
      <c r="N1159" s="402"/>
      <c r="O1159" s="402"/>
      <c r="P1159" s="402"/>
      <c r="Q1159" s="402"/>
      <c r="R1159" s="402"/>
      <c r="S1159" s="402"/>
      <c r="T1159" s="402"/>
      <c r="U1159" s="402"/>
      <c r="V1159" s="402"/>
      <c r="W1159" s="402"/>
      <c r="X1159" s="402"/>
      <c r="Y1159" s="402"/>
      <c r="Z1159" s="402"/>
      <c r="AA1159" s="405"/>
      <c r="AB1159" s="405"/>
    </row>
    <row r="1160" ht="14.25" customHeight="1">
      <c r="A1160" s="497">
        <v>45523.0</v>
      </c>
      <c r="B1160" s="518" t="s">
        <v>744</v>
      </c>
      <c r="C1160" s="519" t="s">
        <v>745</v>
      </c>
      <c r="D1160" s="519" t="s">
        <v>54</v>
      </c>
      <c r="E1160" s="411" t="s">
        <v>1153</v>
      </c>
      <c r="F1160" s="413">
        <v>185241.52</v>
      </c>
      <c r="G1160" s="413">
        <v>165000.0</v>
      </c>
      <c r="H1160" s="349" t="s">
        <v>1629</v>
      </c>
      <c r="I1160" s="404" t="str">
        <f t="shared" si="10"/>
        <v>PARTIALLY PAID</v>
      </c>
      <c r="J1160" s="402"/>
      <c r="K1160" s="402"/>
      <c r="L1160" s="402"/>
      <c r="M1160" s="402"/>
      <c r="N1160" s="402"/>
      <c r="O1160" s="402"/>
      <c r="P1160" s="402"/>
      <c r="Q1160" s="402"/>
      <c r="R1160" s="402"/>
      <c r="S1160" s="402"/>
      <c r="T1160" s="402"/>
      <c r="U1160" s="402"/>
      <c r="V1160" s="402"/>
      <c r="W1160" s="402"/>
      <c r="X1160" s="402"/>
      <c r="Y1160" s="402"/>
      <c r="Z1160" s="402"/>
      <c r="AA1160" s="405"/>
      <c r="AB1160" s="405"/>
    </row>
    <row r="1161" ht="14.25" customHeight="1">
      <c r="A1161" s="497">
        <v>45523.0</v>
      </c>
      <c r="B1161" s="349" t="s">
        <v>783</v>
      </c>
      <c r="C1161" s="349" t="s">
        <v>784</v>
      </c>
      <c r="D1161" s="349" t="s">
        <v>54</v>
      </c>
      <c r="E1161" s="349" t="s">
        <v>1139</v>
      </c>
      <c r="F1161" s="413">
        <v>30000.0</v>
      </c>
      <c r="G1161" s="413">
        <v>0.0</v>
      </c>
      <c r="H1161" s="349" t="s">
        <v>1630</v>
      </c>
      <c r="I1161" s="404" t="str">
        <f t="shared" si="10"/>
        <v>NOT PAID</v>
      </c>
      <c r="J1161" s="402"/>
      <c r="K1161" s="402"/>
      <c r="L1161" s="402"/>
      <c r="M1161" s="402"/>
      <c r="N1161" s="402"/>
      <c r="O1161" s="402"/>
      <c r="P1161" s="402"/>
      <c r="Q1161" s="402"/>
      <c r="R1161" s="402"/>
      <c r="S1161" s="402"/>
      <c r="T1161" s="402"/>
      <c r="U1161" s="402"/>
      <c r="V1161" s="402"/>
      <c r="W1161" s="402"/>
      <c r="X1161" s="402"/>
      <c r="Y1161" s="402"/>
      <c r="Z1161" s="402"/>
      <c r="AA1161" s="405"/>
      <c r="AB1161" s="405"/>
    </row>
    <row r="1162" ht="14.25" customHeight="1">
      <c r="A1162" s="497">
        <v>45523.0</v>
      </c>
      <c r="B1162" s="414" t="s">
        <v>1525</v>
      </c>
      <c r="C1162" s="415" t="s">
        <v>1426</v>
      </c>
      <c r="D1162" s="415" t="s">
        <v>54</v>
      </c>
      <c r="E1162" s="349" t="s">
        <v>1139</v>
      </c>
      <c r="F1162" s="413">
        <v>6500.0</v>
      </c>
      <c r="G1162" s="413">
        <v>0.0</v>
      </c>
      <c r="H1162" s="349" t="s">
        <v>1631</v>
      </c>
      <c r="I1162" s="404" t="str">
        <f t="shared" si="10"/>
        <v>NOT PAID</v>
      </c>
      <c r="J1162" s="402"/>
      <c r="K1162" s="402"/>
      <c r="L1162" s="402"/>
      <c r="M1162" s="402"/>
      <c r="N1162" s="402"/>
      <c r="O1162" s="402"/>
      <c r="P1162" s="402"/>
      <c r="Q1162" s="402"/>
      <c r="R1162" s="402"/>
      <c r="S1162" s="402"/>
      <c r="T1162" s="402"/>
      <c r="U1162" s="402"/>
      <c r="V1162" s="402"/>
      <c r="W1162" s="402"/>
      <c r="X1162" s="402"/>
      <c r="Y1162" s="402"/>
      <c r="Z1162" s="402"/>
      <c r="AA1162" s="405"/>
      <c r="AB1162" s="405"/>
    </row>
    <row r="1163" ht="14.25" customHeight="1">
      <c r="A1163" s="497">
        <v>45523.0</v>
      </c>
      <c r="B1163" s="518" t="s">
        <v>1632</v>
      </c>
      <c r="C1163" s="519" t="s">
        <v>1633</v>
      </c>
      <c r="D1163" s="519" t="s">
        <v>54</v>
      </c>
      <c r="E1163" s="349" t="s">
        <v>1139</v>
      </c>
      <c r="F1163" s="413">
        <v>42015.0</v>
      </c>
      <c r="G1163" s="413">
        <v>84030.0</v>
      </c>
      <c r="H1163" s="349" t="s">
        <v>267</v>
      </c>
      <c r="I1163" s="404" t="str">
        <f t="shared" si="10"/>
        <v>FULLY PAID</v>
      </c>
      <c r="J1163" s="402"/>
      <c r="K1163" s="402"/>
      <c r="L1163" s="402"/>
      <c r="M1163" s="402"/>
      <c r="N1163" s="402"/>
      <c r="O1163" s="402"/>
      <c r="P1163" s="402"/>
      <c r="Q1163" s="402"/>
      <c r="R1163" s="402"/>
      <c r="S1163" s="402"/>
      <c r="T1163" s="402"/>
      <c r="U1163" s="402"/>
      <c r="V1163" s="402"/>
      <c r="W1163" s="402"/>
      <c r="X1163" s="402"/>
      <c r="Y1163" s="402"/>
      <c r="Z1163" s="402"/>
      <c r="AA1163" s="405"/>
      <c r="AB1163" s="405"/>
    </row>
    <row r="1164" ht="14.25" customHeight="1">
      <c r="A1164" s="497">
        <v>45523.0</v>
      </c>
      <c r="B1164" s="518" t="s">
        <v>1634</v>
      </c>
      <c r="C1164" s="519" t="s">
        <v>1635</v>
      </c>
      <c r="D1164" s="519" t="s">
        <v>54</v>
      </c>
      <c r="E1164" s="349" t="s">
        <v>1139</v>
      </c>
      <c r="F1164" s="413">
        <v>24113.0</v>
      </c>
      <c r="G1164" s="413">
        <v>32860.0</v>
      </c>
      <c r="H1164" s="349" t="s">
        <v>710</v>
      </c>
      <c r="I1164" s="404" t="str">
        <f t="shared" si="10"/>
        <v>FULLY PAID</v>
      </c>
      <c r="J1164" s="402"/>
      <c r="K1164" s="402"/>
      <c r="L1164" s="402"/>
      <c r="M1164" s="402"/>
      <c r="N1164" s="402"/>
      <c r="O1164" s="402"/>
      <c r="P1164" s="402"/>
      <c r="Q1164" s="402"/>
      <c r="R1164" s="402"/>
      <c r="S1164" s="402"/>
      <c r="T1164" s="402"/>
      <c r="U1164" s="402"/>
      <c r="V1164" s="402"/>
      <c r="W1164" s="402"/>
      <c r="X1164" s="402"/>
      <c r="Y1164" s="402"/>
      <c r="Z1164" s="402"/>
      <c r="AA1164" s="405"/>
      <c r="AB1164" s="405"/>
    </row>
    <row r="1165" ht="14.25" customHeight="1">
      <c r="A1165" s="497">
        <v>45523.0</v>
      </c>
      <c r="B1165" s="518" t="s">
        <v>749</v>
      </c>
      <c r="C1165" s="519" t="s">
        <v>750</v>
      </c>
      <c r="D1165" s="519" t="s">
        <v>54</v>
      </c>
      <c r="E1165" s="349" t="s">
        <v>1139</v>
      </c>
      <c r="F1165" s="413">
        <v>27769.74</v>
      </c>
      <c r="G1165" s="413">
        <v>0.0</v>
      </c>
      <c r="H1165" s="349" t="s">
        <v>1636</v>
      </c>
      <c r="I1165" s="404" t="str">
        <f t="shared" si="10"/>
        <v>NOT PAID</v>
      </c>
      <c r="J1165" s="402"/>
      <c r="K1165" s="402"/>
      <c r="L1165" s="402"/>
      <c r="M1165" s="402"/>
      <c r="N1165" s="402"/>
      <c r="O1165" s="402"/>
      <c r="P1165" s="402"/>
      <c r="Q1165" s="402"/>
      <c r="R1165" s="402"/>
      <c r="S1165" s="402"/>
      <c r="T1165" s="402"/>
      <c r="U1165" s="402"/>
      <c r="V1165" s="402"/>
      <c r="W1165" s="402"/>
      <c r="X1165" s="402"/>
      <c r="Y1165" s="402"/>
      <c r="Z1165" s="402"/>
      <c r="AA1165" s="405"/>
      <c r="AB1165" s="405"/>
    </row>
    <row r="1166" ht="14.25" customHeight="1">
      <c r="A1166" s="497">
        <v>45523.0</v>
      </c>
      <c r="B1166" s="518" t="s">
        <v>1637</v>
      </c>
      <c r="C1166" s="519" t="s">
        <v>1638</v>
      </c>
      <c r="D1166" s="519" t="s">
        <v>54</v>
      </c>
      <c r="E1166" s="349" t="s">
        <v>1139</v>
      </c>
      <c r="F1166" s="413">
        <v>22667.0</v>
      </c>
      <c r="G1166" s="413">
        <v>22667.0</v>
      </c>
      <c r="H1166" s="349" t="s">
        <v>267</v>
      </c>
      <c r="I1166" s="404" t="str">
        <f t="shared" si="10"/>
        <v>FULLY PAID</v>
      </c>
      <c r="J1166" s="402"/>
      <c r="K1166" s="402"/>
      <c r="L1166" s="402"/>
      <c r="M1166" s="402"/>
      <c r="N1166" s="402"/>
      <c r="O1166" s="402"/>
      <c r="P1166" s="402"/>
      <c r="Q1166" s="402"/>
      <c r="R1166" s="402"/>
      <c r="S1166" s="402"/>
      <c r="T1166" s="402"/>
      <c r="U1166" s="402"/>
      <c r="V1166" s="402"/>
      <c r="W1166" s="402"/>
      <c r="X1166" s="402"/>
      <c r="Y1166" s="402"/>
      <c r="Z1166" s="402"/>
      <c r="AA1166" s="405"/>
      <c r="AB1166" s="405"/>
    </row>
    <row r="1167" ht="14.25" customHeight="1">
      <c r="A1167" s="497">
        <v>45523.0</v>
      </c>
      <c r="B1167" s="349" t="s">
        <v>698</v>
      </c>
      <c r="C1167" s="349" t="s">
        <v>1167</v>
      </c>
      <c r="D1167" s="349" t="s">
        <v>54</v>
      </c>
      <c r="E1167" s="349" t="s">
        <v>1168</v>
      </c>
      <c r="F1167" s="413">
        <v>15291.93</v>
      </c>
      <c r="G1167" s="403"/>
      <c r="H1167" s="349" t="s">
        <v>1639</v>
      </c>
      <c r="I1167" s="404" t="str">
        <f t="shared" si="10"/>
        <v>NOT PAID</v>
      </c>
      <c r="J1167" s="402"/>
      <c r="K1167" s="402"/>
      <c r="L1167" s="402"/>
      <c r="M1167" s="402"/>
      <c r="N1167" s="402"/>
      <c r="O1167" s="402"/>
      <c r="P1167" s="402"/>
      <c r="Q1167" s="402"/>
      <c r="R1167" s="402"/>
      <c r="S1167" s="402"/>
      <c r="T1167" s="402"/>
      <c r="U1167" s="402"/>
      <c r="V1167" s="402"/>
      <c r="W1167" s="402"/>
      <c r="X1167" s="402"/>
      <c r="Y1167" s="402"/>
      <c r="Z1167" s="402"/>
      <c r="AA1167" s="405"/>
      <c r="AB1167" s="405"/>
    </row>
    <row r="1168" ht="18.0" customHeight="1">
      <c r="A1168" s="497">
        <v>45523.0</v>
      </c>
      <c r="B1168" s="349" t="s">
        <v>997</v>
      </c>
      <c r="C1168" s="349" t="s">
        <v>998</v>
      </c>
      <c r="D1168" s="349" t="s">
        <v>263</v>
      </c>
      <c r="E1168" s="349" t="s">
        <v>1168</v>
      </c>
      <c r="F1168" s="413">
        <v>81947.25</v>
      </c>
      <c r="G1168" s="403"/>
      <c r="H1168" s="349" t="s">
        <v>1640</v>
      </c>
      <c r="I1168" s="404" t="str">
        <f t="shared" si="10"/>
        <v>NOT PAID</v>
      </c>
      <c r="J1168" s="402"/>
      <c r="K1168" s="402"/>
      <c r="L1168" s="402"/>
      <c r="M1168" s="402"/>
      <c r="N1168" s="402"/>
      <c r="O1168" s="402"/>
      <c r="P1168" s="402"/>
      <c r="Q1168" s="402"/>
      <c r="R1168" s="402"/>
      <c r="S1168" s="402"/>
      <c r="T1168" s="402"/>
      <c r="U1168" s="402"/>
      <c r="V1168" s="402"/>
      <c r="W1168" s="402"/>
      <c r="X1168" s="402"/>
      <c r="Y1168" s="402"/>
      <c r="Z1168" s="402"/>
      <c r="AA1168" s="405"/>
      <c r="AB1168" s="405"/>
    </row>
    <row r="1169" ht="16.5" customHeight="1">
      <c r="A1169" s="497">
        <v>45523.0</v>
      </c>
      <c r="B1169" s="343" t="s">
        <v>1223</v>
      </c>
      <c r="C1169" s="344" t="s">
        <v>998</v>
      </c>
      <c r="D1169" s="344" t="s">
        <v>346</v>
      </c>
      <c r="E1169" s="349" t="s">
        <v>1168</v>
      </c>
      <c r="F1169" s="452">
        <v>28350.0</v>
      </c>
      <c r="G1169" s="403"/>
      <c r="H1169" s="349" t="s">
        <v>1640</v>
      </c>
      <c r="I1169" s="404" t="str">
        <f t="shared" si="10"/>
        <v>NOT PAID</v>
      </c>
      <c r="J1169" s="402"/>
      <c r="K1169" s="402"/>
      <c r="L1169" s="402"/>
      <c r="M1169" s="402"/>
      <c r="N1169" s="402"/>
      <c r="O1169" s="402"/>
      <c r="P1169" s="402"/>
      <c r="Q1169" s="402"/>
      <c r="R1169" s="402"/>
      <c r="S1169" s="402"/>
      <c r="T1169" s="402"/>
      <c r="U1169" s="402"/>
      <c r="V1169" s="402"/>
      <c r="W1169" s="402"/>
      <c r="X1169" s="402"/>
      <c r="Y1169" s="402"/>
      <c r="Z1169" s="402"/>
      <c r="AA1169" s="405"/>
      <c r="AB1169" s="405"/>
    </row>
    <row r="1170" ht="14.25" customHeight="1">
      <c r="A1170" s="497">
        <v>45523.0</v>
      </c>
      <c r="B1170" s="343" t="s">
        <v>695</v>
      </c>
      <c r="C1170" s="344" t="s">
        <v>1529</v>
      </c>
      <c r="D1170" s="344" t="s">
        <v>54</v>
      </c>
      <c r="E1170" s="349" t="s">
        <v>1168</v>
      </c>
      <c r="F1170" s="442">
        <v>61570.81</v>
      </c>
      <c r="G1170" s="413"/>
      <c r="H1170" s="349" t="s">
        <v>1641</v>
      </c>
      <c r="I1170" s="404" t="str">
        <f t="shared" si="10"/>
        <v>NOT PAID</v>
      </c>
      <c r="J1170" s="402"/>
      <c r="K1170" s="402"/>
      <c r="L1170" s="402"/>
      <c r="M1170" s="402"/>
      <c r="N1170" s="402"/>
      <c r="O1170" s="402"/>
      <c r="P1170" s="402"/>
      <c r="Q1170" s="402"/>
      <c r="R1170" s="402"/>
      <c r="S1170" s="402"/>
      <c r="T1170" s="402"/>
      <c r="U1170" s="402"/>
      <c r="V1170" s="402"/>
      <c r="W1170" s="402"/>
      <c r="X1170" s="402"/>
      <c r="Y1170" s="402"/>
      <c r="Z1170" s="402"/>
      <c r="AA1170" s="405"/>
      <c r="AB1170" s="405"/>
    </row>
    <row r="1171" ht="14.25" customHeight="1">
      <c r="A1171" s="497">
        <v>45523.0</v>
      </c>
      <c r="B1171" s="518" t="s">
        <v>691</v>
      </c>
      <c r="C1171" s="519" t="s">
        <v>692</v>
      </c>
      <c r="D1171" s="519" t="s">
        <v>54</v>
      </c>
      <c r="E1171" s="349" t="s">
        <v>1168</v>
      </c>
      <c r="F1171" s="442">
        <v>11150.0</v>
      </c>
      <c r="G1171" s="413">
        <v>34000.0</v>
      </c>
      <c r="H1171" s="349" t="s">
        <v>905</v>
      </c>
      <c r="I1171" s="404" t="str">
        <f t="shared" si="10"/>
        <v>FULLY PAID</v>
      </c>
      <c r="J1171" s="402"/>
      <c r="K1171" s="402"/>
      <c r="L1171" s="402"/>
      <c r="M1171" s="402"/>
      <c r="N1171" s="402"/>
      <c r="O1171" s="402"/>
      <c r="P1171" s="402"/>
      <c r="Q1171" s="402"/>
      <c r="R1171" s="402"/>
      <c r="S1171" s="402"/>
      <c r="T1171" s="402"/>
      <c r="U1171" s="402"/>
      <c r="V1171" s="402"/>
      <c r="W1171" s="402"/>
      <c r="X1171" s="402"/>
      <c r="Y1171" s="402"/>
      <c r="Z1171" s="402"/>
      <c r="AA1171" s="405"/>
      <c r="AB1171" s="405"/>
    </row>
    <row r="1172" ht="14.25" customHeight="1">
      <c r="A1172" s="497">
        <v>45523.0</v>
      </c>
      <c r="B1172" s="518" t="s">
        <v>1642</v>
      </c>
      <c r="C1172" s="519" t="s">
        <v>1643</v>
      </c>
      <c r="D1172" s="519" t="s">
        <v>67</v>
      </c>
      <c r="E1172" s="349" t="s">
        <v>1168</v>
      </c>
      <c r="F1172" s="430">
        <v>118350.59</v>
      </c>
      <c r="G1172" s="413">
        <v>130000.0</v>
      </c>
      <c r="H1172" s="349" t="s">
        <v>710</v>
      </c>
      <c r="I1172" s="404" t="str">
        <f t="shared" si="10"/>
        <v>FULLY PAID</v>
      </c>
      <c r="J1172" s="402"/>
      <c r="K1172" s="402"/>
      <c r="L1172" s="402"/>
      <c r="M1172" s="402"/>
      <c r="N1172" s="402"/>
      <c r="O1172" s="402"/>
      <c r="P1172" s="402"/>
      <c r="Q1172" s="402"/>
      <c r="R1172" s="402"/>
      <c r="S1172" s="402"/>
      <c r="T1172" s="402"/>
      <c r="U1172" s="402"/>
      <c r="V1172" s="402"/>
      <c r="W1172" s="402"/>
      <c r="X1172" s="402"/>
      <c r="Y1172" s="402"/>
      <c r="Z1172" s="402"/>
      <c r="AA1172" s="405"/>
      <c r="AB1172" s="405"/>
    </row>
    <row r="1173" ht="14.25" customHeight="1">
      <c r="A1173" s="497">
        <v>45523.0</v>
      </c>
      <c r="B1173" s="518" t="s">
        <v>764</v>
      </c>
      <c r="C1173" s="519" t="s">
        <v>765</v>
      </c>
      <c r="D1173" s="519" t="s">
        <v>54</v>
      </c>
      <c r="E1173" s="344" t="s">
        <v>1143</v>
      </c>
      <c r="F1173" s="442">
        <v>17881.75</v>
      </c>
      <c r="G1173" s="403"/>
      <c r="H1173" s="402"/>
      <c r="I1173" s="404" t="str">
        <f t="shared" si="10"/>
        <v>NOT PAID</v>
      </c>
      <c r="J1173" s="402"/>
      <c r="K1173" s="402"/>
      <c r="L1173" s="402"/>
      <c r="M1173" s="402"/>
      <c r="N1173" s="402"/>
      <c r="O1173" s="402"/>
      <c r="P1173" s="402"/>
      <c r="Q1173" s="402"/>
      <c r="R1173" s="402"/>
      <c r="S1173" s="402"/>
      <c r="T1173" s="402"/>
      <c r="U1173" s="402"/>
      <c r="V1173" s="402"/>
      <c r="W1173" s="402"/>
      <c r="X1173" s="402"/>
      <c r="Y1173" s="402"/>
      <c r="Z1173" s="402"/>
      <c r="AA1173" s="405"/>
      <c r="AB1173" s="405"/>
    </row>
    <row r="1174" ht="14.25" customHeight="1">
      <c r="A1174" s="497">
        <v>45523.0</v>
      </c>
      <c r="B1174" s="518" t="s">
        <v>1644</v>
      </c>
      <c r="C1174" s="519" t="s">
        <v>1645</v>
      </c>
      <c r="D1174" s="519" t="s">
        <v>54</v>
      </c>
      <c r="E1174" s="344" t="s">
        <v>1143</v>
      </c>
      <c r="F1174" s="442">
        <v>39680.0</v>
      </c>
      <c r="G1174" s="403"/>
      <c r="H1174" s="402"/>
      <c r="I1174" s="404" t="str">
        <f t="shared" si="10"/>
        <v>NOT PAID</v>
      </c>
      <c r="J1174" s="402"/>
      <c r="K1174" s="402"/>
      <c r="L1174" s="402"/>
      <c r="M1174" s="402"/>
      <c r="N1174" s="402"/>
      <c r="O1174" s="402"/>
      <c r="P1174" s="402"/>
      <c r="Q1174" s="402"/>
      <c r="R1174" s="402"/>
      <c r="S1174" s="402"/>
      <c r="T1174" s="402"/>
      <c r="U1174" s="402"/>
      <c r="V1174" s="402"/>
      <c r="W1174" s="402"/>
      <c r="X1174" s="402"/>
      <c r="Y1174" s="402"/>
      <c r="Z1174" s="402"/>
      <c r="AA1174" s="405"/>
      <c r="AB1174" s="405"/>
    </row>
    <row r="1175" ht="14.25" customHeight="1">
      <c r="A1175" s="497">
        <v>45523.0</v>
      </c>
      <c r="B1175" s="414" t="s">
        <v>761</v>
      </c>
      <c r="C1175" s="415" t="s">
        <v>1596</v>
      </c>
      <c r="D1175" s="415" t="s">
        <v>59</v>
      </c>
      <c r="E1175" s="344" t="s">
        <v>1143</v>
      </c>
      <c r="F1175" s="442">
        <v>66203.64</v>
      </c>
      <c r="G1175" s="413">
        <v>10000.0</v>
      </c>
      <c r="H1175" s="349" t="s">
        <v>905</v>
      </c>
      <c r="I1175" s="404" t="str">
        <f t="shared" si="10"/>
        <v>PARTIALLY PAID</v>
      </c>
      <c r="J1175" s="402"/>
      <c r="K1175" s="402"/>
      <c r="L1175" s="402"/>
      <c r="M1175" s="402"/>
      <c r="N1175" s="402"/>
      <c r="O1175" s="402"/>
      <c r="P1175" s="402"/>
      <c r="Q1175" s="402"/>
      <c r="R1175" s="402"/>
      <c r="S1175" s="402"/>
      <c r="T1175" s="402"/>
      <c r="U1175" s="402"/>
      <c r="V1175" s="402"/>
      <c r="W1175" s="402"/>
      <c r="X1175" s="402"/>
      <c r="Y1175" s="402"/>
      <c r="Z1175" s="402"/>
      <c r="AA1175" s="405"/>
      <c r="AB1175" s="405"/>
    </row>
    <row r="1176" ht="14.25" customHeight="1">
      <c r="A1176" s="497">
        <v>45523.0</v>
      </c>
      <c r="B1176" s="343" t="s">
        <v>1503</v>
      </c>
      <c r="C1176" s="344" t="s">
        <v>1504</v>
      </c>
      <c r="D1176" s="344" t="s">
        <v>54</v>
      </c>
      <c r="E1176" s="344" t="s">
        <v>1143</v>
      </c>
      <c r="F1176" s="442">
        <v>16812.0</v>
      </c>
      <c r="G1176" s="403"/>
      <c r="H1176" s="402"/>
      <c r="I1176" s="404" t="str">
        <f t="shared" si="10"/>
        <v>NOT PAID</v>
      </c>
      <c r="J1176" s="402"/>
      <c r="K1176" s="402"/>
      <c r="L1176" s="402"/>
      <c r="M1176" s="402"/>
      <c r="N1176" s="402"/>
      <c r="O1176" s="402"/>
      <c r="P1176" s="402"/>
      <c r="Q1176" s="402"/>
      <c r="R1176" s="402"/>
      <c r="S1176" s="402"/>
      <c r="T1176" s="402"/>
      <c r="U1176" s="402"/>
      <c r="V1176" s="402"/>
      <c r="W1176" s="402"/>
      <c r="X1176" s="402"/>
      <c r="Y1176" s="402"/>
      <c r="Z1176" s="402"/>
      <c r="AA1176" s="405"/>
      <c r="AB1176" s="405"/>
    </row>
    <row r="1177" ht="14.25" customHeight="1">
      <c r="A1177" s="497">
        <v>45523.0</v>
      </c>
      <c r="B1177" s="343" t="s">
        <v>1475</v>
      </c>
      <c r="C1177" s="344" t="s">
        <v>765</v>
      </c>
      <c r="D1177" s="344" t="s">
        <v>75</v>
      </c>
      <c r="E1177" s="344" t="s">
        <v>1143</v>
      </c>
      <c r="F1177" s="442">
        <v>95970.0</v>
      </c>
      <c r="G1177" s="403"/>
      <c r="H1177" s="402"/>
      <c r="I1177" s="404" t="str">
        <f t="shared" si="10"/>
        <v>NOT PAID</v>
      </c>
      <c r="J1177" s="402"/>
      <c r="K1177" s="402"/>
      <c r="L1177" s="402"/>
      <c r="M1177" s="402"/>
      <c r="N1177" s="402"/>
      <c r="O1177" s="402"/>
      <c r="P1177" s="402"/>
      <c r="Q1177" s="402"/>
      <c r="R1177" s="402"/>
      <c r="S1177" s="402"/>
      <c r="T1177" s="402"/>
      <c r="U1177" s="402"/>
      <c r="V1177" s="402"/>
      <c r="W1177" s="402"/>
      <c r="X1177" s="402"/>
      <c r="Y1177" s="402"/>
      <c r="Z1177" s="402"/>
      <c r="AA1177" s="405"/>
      <c r="AB1177" s="405"/>
    </row>
    <row r="1178" ht="14.25" customHeight="1">
      <c r="A1178" s="497">
        <v>45523.0</v>
      </c>
      <c r="B1178" s="343" t="s">
        <v>788</v>
      </c>
      <c r="C1178" s="344" t="s">
        <v>789</v>
      </c>
      <c r="D1178" s="344" t="s">
        <v>54</v>
      </c>
      <c r="E1178" s="344" t="s">
        <v>1143</v>
      </c>
      <c r="F1178" s="442">
        <v>98777.16</v>
      </c>
      <c r="G1178" s="403"/>
      <c r="H1178" s="349" t="s">
        <v>1646</v>
      </c>
      <c r="I1178" s="404" t="str">
        <f t="shared" si="10"/>
        <v>NOT PAID</v>
      </c>
      <c r="J1178" s="402"/>
      <c r="K1178" s="402"/>
      <c r="L1178" s="402"/>
      <c r="M1178" s="402"/>
      <c r="N1178" s="402"/>
      <c r="O1178" s="402"/>
      <c r="P1178" s="402"/>
      <c r="Q1178" s="402"/>
      <c r="R1178" s="402"/>
      <c r="S1178" s="402"/>
      <c r="T1178" s="402"/>
      <c r="U1178" s="402"/>
      <c r="V1178" s="402"/>
      <c r="W1178" s="402"/>
      <c r="X1178" s="402"/>
      <c r="Y1178" s="402"/>
      <c r="Z1178" s="402"/>
      <c r="AA1178" s="405"/>
      <c r="AB1178" s="405"/>
    </row>
    <row r="1179" ht="14.25" customHeight="1">
      <c r="A1179" s="497">
        <v>45523.0</v>
      </c>
      <c r="B1179" s="343" t="s">
        <v>1012</v>
      </c>
      <c r="C1179" s="344" t="s">
        <v>1013</v>
      </c>
      <c r="D1179" s="344" t="s">
        <v>75</v>
      </c>
      <c r="E1179" s="344" t="s">
        <v>1143</v>
      </c>
      <c r="F1179" s="442">
        <v>201725.0</v>
      </c>
      <c r="G1179" s="403"/>
      <c r="H1179" s="402"/>
      <c r="I1179" s="404" t="str">
        <f t="shared" si="10"/>
        <v>NOT PAID</v>
      </c>
      <c r="J1179" s="402"/>
      <c r="K1179" s="402"/>
      <c r="L1179" s="402"/>
      <c r="M1179" s="402"/>
      <c r="N1179" s="402"/>
      <c r="O1179" s="402"/>
      <c r="P1179" s="402"/>
      <c r="Q1179" s="402"/>
      <c r="R1179" s="402"/>
      <c r="S1179" s="402"/>
      <c r="T1179" s="402"/>
      <c r="U1179" s="402"/>
      <c r="V1179" s="402"/>
      <c r="W1179" s="402"/>
      <c r="X1179" s="402"/>
      <c r="Y1179" s="402"/>
      <c r="Z1179" s="402"/>
      <c r="AA1179" s="405"/>
      <c r="AB1179" s="405"/>
    </row>
    <row r="1180" ht="14.25" customHeight="1">
      <c r="A1180" s="497">
        <v>45523.0</v>
      </c>
      <c r="B1180" s="410" t="s">
        <v>827</v>
      </c>
      <c r="C1180" s="411" t="s">
        <v>828</v>
      </c>
      <c r="D1180" s="411" t="s">
        <v>54</v>
      </c>
      <c r="E1180" s="411" t="s">
        <v>1143</v>
      </c>
      <c r="F1180" s="489">
        <v>500000.0</v>
      </c>
      <c r="G1180" s="403"/>
      <c r="H1180" s="349" t="s">
        <v>1647</v>
      </c>
      <c r="I1180" s="404" t="str">
        <f t="shared" si="10"/>
        <v>NOT PAID</v>
      </c>
      <c r="J1180" s="402"/>
      <c r="K1180" s="402"/>
      <c r="L1180" s="402"/>
      <c r="M1180" s="402"/>
      <c r="N1180" s="402"/>
      <c r="O1180" s="402"/>
      <c r="P1180" s="402"/>
      <c r="Q1180" s="402"/>
      <c r="R1180" s="402"/>
      <c r="S1180" s="402"/>
      <c r="T1180" s="402"/>
      <c r="U1180" s="402"/>
      <c r="V1180" s="402"/>
      <c r="W1180" s="402"/>
      <c r="X1180" s="402"/>
      <c r="Y1180" s="402"/>
      <c r="Z1180" s="402"/>
      <c r="AA1180" s="405"/>
      <c r="AB1180" s="405"/>
    </row>
    <row r="1181" ht="14.25" customHeight="1">
      <c r="A1181" s="497">
        <v>45523.0</v>
      </c>
      <c r="B1181" s="343" t="s">
        <v>1648</v>
      </c>
      <c r="C1181" s="344" t="s">
        <v>1013</v>
      </c>
      <c r="D1181" s="344" t="s">
        <v>59</v>
      </c>
      <c r="E1181" s="411" t="s">
        <v>1143</v>
      </c>
      <c r="F1181" s="413">
        <v>256584.65</v>
      </c>
      <c r="G1181" s="413">
        <v>295211.0</v>
      </c>
      <c r="H1181" s="349" t="s">
        <v>710</v>
      </c>
      <c r="I1181" s="404" t="str">
        <f t="shared" si="10"/>
        <v>FULLY PAID</v>
      </c>
      <c r="J1181" s="402"/>
      <c r="K1181" s="402"/>
      <c r="L1181" s="402"/>
      <c r="M1181" s="402"/>
      <c r="N1181" s="402"/>
      <c r="O1181" s="402"/>
      <c r="P1181" s="402"/>
      <c r="Q1181" s="402"/>
      <c r="R1181" s="402"/>
      <c r="S1181" s="402"/>
      <c r="T1181" s="402"/>
      <c r="U1181" s="402"/>
      <c r="V1181" s="402"/>
      <c r="W1181" s="402"/>
      <c r="X1181" s="402"/>
      <c r="Y1181" s="402"/>
      <c r="Z1181" s="402"/>
      <c r="AA1181" s="405"/>
      <c r="AB1181" s="405"/>
    </row>
    <row r="1182" ht="14.25" customHeight="1">
      <c r="A1182" s="497"/>
      <c r="B1182" s="402"/>
      <c r="C1182" s="402"/>
      <c r="D1182" s="402"/>
      <c r="E1182" s="402"/>
      <c r="F1182" s="403"/>
      <c r="G1182" s="403"/>
      <c r="H1182" s="402"/>
      <c r="I1182" s="404" t="str">
        <f t="shared" si="10"/>
        <v>FULLY PAID</v>
      </c>
      <c r="J1182" s="402"/>
      <c r="K1182" s="402"/>
      <c r="L1182" s="402"/>
      <c r="M1182" s="402"/>
      <c r="N1182" s="402"/>
      <c r="O1182" s="402"/>
      <c r="P1182" s="402"/>
      <c r="Q1182" s="402"/>
      <c r="R1182" s="402"/>
      <c r="S1182" s="402"/>
      <c r="T1182" s="402"/>
      <c r="U1182" s="402"/>
      <c r="V1182" s="402"/>
      <c r="W1182" s="402"/>
      <c r="X1182" s="402"/>
      <c r="Y1182" s="402"/>
      <c r="Z1182" s="402"/>
      <c r="AA1182" s="405"/>
      <c r="AB1182" s="405"/>
    </row>
    <row r="1183" ht="14.25" customHeight="1">
      <c r="A1183" s="497"/>
      <c r="B1183" s="402"/>
      <c r="C1183" s="402"/>
      <c r="D1183" s="402"/>
      <c r="E1183" s="402"/>
      <c r="F1183" s="403"/>
      <c r="G1183" s="403"/>
      <c r="H1183" s="402"/>
      <c r="I1183" s="404" t="str">
        <f t="shared" si="10"/>
        <v>FULLY PAID</v>
      </c>
      <c r="J1183" s="402"/>
      <c r="K1183" s="402"/>
      <c r="L1183" s="402"/>
      <c r="M1183" s="402"/>
      <c r="N1183" s="402"/>
      <c r="O1183" s="402"/>
      <c r="P1183" s="402"/>
      <c r="Q1183" s="402"/>
      <c r="R1183" s="402"/>
      <c r="S1183" s="402"/>
      <c r="T1183" s="402"/>
      <c r="U1183" s="402"/>
      <c r="V1183" s="402"/>
      <c r="W1183" s="402"/>
      <c r="X1183" s="402"/>
      <c r="Y1183" s="402"/>
      <c r="Z1183" s="402"/>
      <c r="AA1183" s="405"/>
      <c r="AB1183" s="405"/>
    </row>
    <row r="1184" ht="14.25" customHeight="1">
      <c r="A1184" s="497"/>
      <c r="B1184" s="402"/>
      <c r="C1184" s="402"/>
      <c r="D1184" s="402"/>
      <c r="E1184" s="402"/>
      <c r="F1184" s="403"/>
      <c r="G1184" s="403"/>
      <c r="H1184" s="402"/>
      <c r="I1184" s="404" t="str">
        <f t="shared" si="10"/>
        <v>FULLY PAID</v>
      </c>
      <c r="J1184" s="402"/>
      <c r="K1184" s="402"/>
      <c r="L1184" s="402"/>
      <c r="M1184" s="402"/>
      <c r="N1184" s="402"/>
      <c r="O1184" s="402"/>
      <c r="P1184" s="402"/>
      <c r="Q1184" s="402"/>
      <c r="R1184" s="402"/>
      <c r="S1184" s="402"/>
      <c r="T1184" s="402"/>
      <c r="U1184" s="402"/>
      <c r="V1184" s="402"/>
      <c r="W1184" s="402"/>
      <c r="X1184" s="402"/>
      <c r="Y1184" s="402"/>
      <c r="Z1184" s="402"/>
      <c r="AA1184" s="405"/>
      <c r="AB1184" s="405"/>
    </row>
    <row r="1185" ht="14.25" customHeight="1">
      <c r="A1185" s="497"/>
      <c r="B1185" s="402"/>
      <c r="C1185" s="424" t="s">
        <v>797</v>
      </c>
      <c r="D1185" s="402"/>
      <c r="E1185" s="402"/>
      <c r="F1185" s="403"/>
      <c r="G1185" s="403"/>
      <c r="H1185" s="402"/>
      <c r="I1185" s="404" t="str">
        <f t="shared" si="10"/>
        <v>FULLY PAID</v>
      </c>
      <c r="J1185" s="402"/>
      <c r="K1185" s="402"/>
      <c r="L1185" s="402"/>
      <c r="M1185" s="402"/>
      <c r="N1185" s="402"/>
      <c r="O1185" s="402"/>
      <c r="P1185" s="402"/>
      <c r="Q1185" s="402"/>
      <c r="R1185" s="402"/>
      <c r="S1185" s="402"/>
      <c r="T1185" s="402"/>
      <c r="U1185" s="402"/>
      <c r="V1185" s="402"/>
      <c r="W1185" s="402"/>
      <c r="X1185" s="402"/>
      <c r="Y1185" s="402"/>
      <c r="Z1185" s="402"/>
      <c r="AA1185" s="405"/>
      <c r="AB1185" s="405"/>
    </row>
    <row r="1186" ht="14.25" customHeight="1">
      <c r="A1186" s="497">
        <v>45523.0</v>
      </c>
      <c r="B1186" s="349" t="s">
        <v>1087</v>
      </c>
      <c r="C1186" s="349" t="s">
        <v>1088</v>
      </c>
      <c r="D1186" s="349" t="s">
        <v>54</v>
      </c>
      <c r="E1186" s="349" t="s">
        <v>1255</v>
      </c>
      <c r="F1186" s="413">
        <v>25000.0</v>
      </c>
      <c r="G1186" s="403"/>
      <c r="H1186" s="349" t="s">
        <v>1649</v>
      </c>
      <c r="I1186" s="404" t="str">
        <f t="shared" si="10"/>
        <v>NOT PAID</v>
      </c>
      <c r="J1186" s="402"/>
      <c r="K1186" s="402"/>
      <c r="L1186" s="402"/>
      <c r="M1186" s="402"/>
      <c r="N1186" s="402"/>
      <c r="O1186" s="402"/>
      <c r="P1186" s="402"/>
      <c r="Q1186" s="402"/>
      <c r="R1186" s="402"/>
      <c r="S1186" s="402"/>
      <c r="T1186" s="402"/>
      <c r="U1186" s="402"/>
      <c r="V1186" s="402"/>
      <c r="W1186" s="402"/>
      <c r="X1186" s="402"/>
      <c r="Y1186" s="402"/>
      <c r="Z1186" s="402"/>
      <c r="AA1186" s="405"/>
      <c r="AB1186" s="405"/>
    </row>
    <row r="1187" ht="14.25" customHeight="1">
      <c r="A1187" s="497">
        <v>45523.0</v>
      </c>
      <c r="B1187" s="349" t="s">
        <v>1329</v>
      </c>
      <c r="C1187" s="349" t="s">
        <v>1330</v>
      </c>
      <c r="D1187" s="349" t="s">
        <v>54</v>
      </c>
      <c r="E1187" s="349" t="s">
        <v>1255</v>
      </c>
      <c r="F1187" s="413">
        <v>800000.0</v>
      </c>
      <c r="G1187" s="403"/>
      <c r="H1187" s="349" t="s">
        <v>1650</v>
      </c>
      <c r="I1187" s="404" t="str">
        <f t="shared" si="10"/>
        <v>NOT PAID</v>
      </c>
      <c r="J1187" s="402"/>
      <c r="K1187" s="402"/>
      <c r="L1187" s="402"/>
      <c r="M1187" s="402"/>
      <c r="N1187" s="402"/>
      <c r="O1187" s="402"/>
      <c r="P1187" s="402"/>
      <c r="Q1187" s="402"/>
      <c r="R1187" s="402"/>
      <c r="S1187" s="402"/>
      <c r="T1187" s="402"/>
      <c r="U1187" s="402"/>
      <c r="V1187" s="402"/>
      <c r="W1187" s="402"/>
      <c r="X1187" s="402"/>
      <c r="Y1187" s="402"/>
      <c r="Z1187" s="402"/>
      <c r="AA1187" s="405"/>
      <c r="AB1187" s="405"/>
    </row>
    <row r="1188" ht="14.25" customHeight="1">
      <c r="A1188" s="497">
        <v>45523.0</v>
      </c>
      <c r="B1188" s="349" t="s">
        <v>800</v>
      </c>
      <c r="C1188" s="349" t="s">
        <v>801</v>
      </c>
      <c r="D1188" s="493" t="s">
        <v>54</v>
      </c>
      <c r="E1188" s="349" t="s">
        <v>1255</v>
      </c>
      <c r="F1188" s="413">
        <v>20000.0</v>
      </c>
      <c r="G1188" s="403"/>
      <c r="H1188" s="349" t="s">
        <v>1651</v>
      </c>
      <c r="I1188" s="404" t="str">
        <f t="shared" si="10"/>
        <v>NOT PAID</v>
      </c>
      <c r="J1188" s="402"/>
      <c r="K1188" s="402"/>
      <c r="L1188" s="402"/>
      <c r="M1188" s="402"/>
      <c r="N1188" s="402"/>
      <c r="O1188" s="402"/>
      <c r="P1188" s="402"/>
      <c r="Q1188" s="402"/>
      <c r="R1188" s="402"/>
      <c r="S1188" s="402"/>
      <c r="T1188" s="402"/>
      <c r="U1188" s="402"/>
      <c r="V1188" s="402"/>
      <c r="W1188" s="402"/>
      <c r="X1188" s="402"/>
      <c r="Y1188" s="402"/>
      <c r="Z1188" s="402"/>
      <c r="AA1188" s="405"/>
      <c r="AB1188" s="405"/>
    </row>
    <row r="1189" ht="14.25" customHeight="1">
      <c r="A1189" s="497"/>
      <c r="B1189" s="402"/>
      <c r="C1189" s="402"/>
      <c r="D1189" s="402"/>
      <c r="E1189" s="402"/>
      <c r="F1189" s="403"/>
      <c r="G1189" s="403"/>
      <c r="H1189" s="402"/>
      <c r="I1189" s="404" t="str">
        <f t="shared" si="10"/>
        <v>FULLY PAID</v>
      </c>
      <c r="J1189" s="402"/>
      <c r="K1189" s="402"/>
      <c r="L1189" s="402"/>
      <c r="M1189" s="402"/>
      <c r="N1189" s="402"/>
      <c r="O1189" s="402"/>
      <c r="P1189" s="402"/>
      <c r="Q1189" s="402"/>
      <c r="R1189" s="402"/>
      <c r="S1189" s="402"/>
      <c r="T1189" s="402"/>
      <c r="U1189" s="402"/>
      <c r="V1189" s="402"/>
      <c r="W1189" s="402"/>
      <c r="X1189" s="402"/>
      <c r="Y1189" s="402"/>
      <c r="Z1189" s="402"/>
      <c r="AA1189" s="405"/>
      <c r="AB1189" s="405"/>
    </row>
    <row r="1190" ht="14.25" customHeight="1">
      <c r="A1190" s="497"/>
      <c r="B1190" s="402"/>
      <c r="C1190" s="402"/>
      <c r="D1190" s="402"/>
      <c r="E1190" s="402"/>
      <c r="F1190" s="403"/>
      <c r="G1190" s="403"/>
      <c r="H1190" s="402"/>
      <c r="I1190" s="404" t="str">
        <f t="shared" si="10"/>
        <v>FULLY PAID</v>
      </c>
      <c r="J1190" s="402"/>
      <c r="K1190" s="402"/>
      <c r="L1190" s="402"/>
      <c r="M1190" s="402"/>
      <c r="N1190" s="402"/>
      <c r="O1190" s="402"/>
      <c r="P1190" s="402"/>
      <c r="Q1190" s="402"/>
      <c r="R1190" s="402"/>
      <c r="S1190" s="402"/>
      <c r="T1190" s="402"/>
      <c r="U1190" s="402"/>
      <c r="V1190" s="402"/>
      <c r="W1190" s="402"/>
      <c r="X1190" s="402"/>
      <c r="Y1190" s="402"/>
      <c r="Z1190" s="402"/>
      <c r="AA1190" s="405"/>
      <c r="AB1190" s="405"/>
    </row>
    <row r="1191" ht="14.25" customHeight="1">
      <c r="A1191" s="497"/>
      <c r="B1191" s="402"/>
      <c r="C1191" s="402"/>
      <c r="D1191" s="402"/>
      <c r="E1191" s="402"/>
      <c r="F1191" s="403"/>
      <c r="G1191" s="403"/>
      <c r="H1191" s="402"/>
      <c r="I1191" s="404" t="str">
        <f t="shared" si="10"/>
        <v>FULLY PAID</v>
      </c>
      <c r="J1191" s="402"/>
      <c r="K1191" s="402"/>
      <c r="L1191" s="402"/>
      <c r="M1191" s="402"/>
      <c r="N1191" s="402"/>
      <c r="O1191" s="402"/>
      <c r="P1191" s="402"/>
      <c r="Q1191" s="402"/>
      <c r="R1191" s="402"/>
      <c r="S1191" s="402"/>
      <c r="T1191" s="402"/>
      <c r="U1191" s="402"/>
      <c r="V1191" s="402"/>
      <c r="W1191" s="402"/>
      <c r="X1191" s="402"/>
      <c r="Y1191" s="402"/>
      <c r="Z1191" s="402"/>
      <c r="AA1191" s="405"/>
      <c r="AB1191" s="405"/>
    </row>
    <row r="1192" ht="14.25" customHeight="1">
      <c r="A1192" s="497"/>
      <c r="B1192" s="424" t="s">
        <v>1652</v>
      </c>
      <c r="C1192" s="402"/>
      <c r="D1192" s="402"/>
      <c r="E1192" s="402"/>
      <c r="F1192" s="403"/>
      <c r="G1192" s="403"/>
      <c r="H1192" s="402"/>
      <c r="I1192" s="404" t="str">
        <f t="shared" si="10"/>
        <v>FULLY PAID</v>
      </c>
      <c r="J1192" s="402"/>
      <c r="K1192" s="402"/>
      <c r="L1192" s="402"/>
      <c r="M1192" s="402"/>
      <c r="N1192" s="402"/>
      <c r="O1192" s="402"/>
      <c r="P1192" s="402"/>
      <c r="Q1192" s="402"/>
      <c r="R1192" s="402"/>
      <c r="S1192" s="402"/>
      <c r="T1192" s="402"/>
      <c r="U1192" s="402"/>
      <c r="V1192" s="402"/>
      <c r="W1192" s="402"/>
      <c r="X1192" s="402"/>
      <c r="Y1192" s="402"/>
      <c r="Z1192" s="402"/>
      <c r="AA1192" s="405"/>
      <c r="AB1192" s="405"/>
    </row>
    <row r="1193" ht="14.25" customHeight="1">
      <c r="A1193" s="497">
        <v>45524.0</v>
      </c>
      <c r="B1193" s="349" t="s">
        <v>1117</v>
      </c>
      <c r="C1193" s="349" t="s">
        <v>1332</v>
      </c>
      <c r="D1193" s="349" t="s">
        <v>1115</v>
      </c>
      <c r="E1193" s="349" t="s">
        <v>1098</v>
      </c>
      <c r="F1193" s="413">
        <v>170000.0</v>
      </c>
      <c r="G1193" s="403"/>
      <c r="H1193" s="349" t="s">
        <v>1549</v>
      </c>
      <c r="I1193" s="404" t="str">
        <f t="shared" si="10"/>
        <v>NOT PAID</v>
      </c>
      <c r="J1193" s="402"/>
      <c r="K1193" s="402"/>
      <c r="L1193" s="402"/>
      <c r="M1193" s="402"/>
      <c r="N1193" s="402"/>
      <c r="O1193" s="402"/>
      <c r="P1193" s="402"/>
      <c r="Q1193" s="402"/>
      <c r="R1193" s="402"/>
      <c r="S1193" s="402"/>
      <c r="T1193" s="402"/>
      <c r="U1193" s="402"/>
      <c r="V1193" s="402"/>
      <c r="W1193" s="402"/>
      <c r="X1193" s="402"/>
      <c r="Y1193" s="402"/>
      <c r="Z1193" s="402"/>
      <c r="AA1193" s="405"/>
      <c r="AB1193" s="405"/>
    </row>
    <row r="1194" ht="14.25" customHeight="1">
      <c r="A1194" s="497">
        <v>45524.0</v>
      </c>
      <c r="B1194" s="484" t="s">
        <v>1113</v>
      </c>
      <c r="C1194" s="349" t="s">
        <v>1332</v>
      </c>
      <c r="D1194" s="349" t="s">
        <v>1115</v>
      </c>
      <c r="E1194" s="349" t="s">
        <v>1098</v>
      </c>
      <c r="F1194" s="413">
        <v>170000.0</v>
      </c>
      <c r="G1194" s="403"/>
      <c r="H1194" s="349" t="s">
        <v>1549</v>
      </c>
      <c r="I1194" s="404" t="str">
        <f t="shared" si="10"/>
        <v>NOT PAID</v>
      </c>
      <c r="J1194" s="402"/>
      <c r="K1194" s="402"/>
      <c r="L1194" s="402"/>
      <c r="M1194" s="402"/>
      <c r="N1194" s="402"/>
      <c r="O1194" s="402"/>
      <c r="P1194" s="402"/>
      <c r="Q1194" s="402"/>
      <c r="R1194" s="402"/>
      <c r="S1194" s="402"/>
      <c r="T1194" s="402"/>
      <c r="U1194" s="402"/>
      <c r="V1194" s="402"/>
      <c r="W1194" s="402"/>
      <c r="X1194" s="402"/>
      <c r="Y1194" s="402"/>
      <c r="Z1194" s="402"/>
      <c r="AA1194" s="405"/>
      <c r="AB1194" s="405"/>
    </row>
    <row r="1195" ht="14.25" customHeight="1">
      <c r="A1195" s="497">
        <v>45524.0</v>
      </c>
      <c r="B1195" s="349" t="s">
        <v>777</v>
      </c>
      <c r="C1195" s="349" t="s">
        <v>778</v>
      </c>
      <c r="D1195" s="349" t="s">
        <v>54</v>
      </c>
      <c r="E1195" s="349" t="s">
        <v>1098</v>
      </c>
      <c r="F1195" s="413">
        <v>119325.0</v>
      </c>
      <c r="G1195" s="403"/>
      <c r="H1195" s="485" t="s">
        <v>1653</v>
      </c>
      <c r="I1195" s="404" t="str">
        <f t="shared" si="10"/>
        <v>NOT PAID</v>
      </c>
      <c r="J1195" s="402"/>
      <c r="K1195" s="402"/>
      <c r="L1195" s="402"/>
      <c r="M1195" s="402"/>
      <c r="N1195" s="402"/>
      <c r="O1195" s="402"/>
      <c r="P1195" s="402"/>
      <c r="Q1195" s="402"/>
      <c r="R1195" s="402"/>
      <c r="S1195" s="402"/>
      <c r="T1195" s="402"/>
      <c r="U1195" s="402"/>
      <c r="V1195" s="402"/>
      <c r="W1195" s="402"/>
      <c r="X1195" s="402"/>
      <c r="Y1195" s="402"/>
      <c r="Z1195" s="402"/>
      <c r="AA1195" s="405"/>
      <c r="AB1195" s="405"/>
    </row>
    <row r="1196" ht="14.25" customHeight="1">
      <c r="A1196" s="497">
        <v>45524.0</v>
      </c>
      <c r="B1196" s="349" t="s">
        <v>711</v>
      </c>
      <c r="C1196" s="349" t="s">
        <v>1123</v>
      </c>
      <c r="D1196" s="349" t="s">
        <v>75</v>
      </c>
      <c r="E1196" s="349" t="s">
        <v>1098</v>
      </c>
      <c r="F1196" s="413">
        <v>26556.61</v>
      </c>
      <c r="G1196" s="403"/>
      <c r="H1196" s="349" t="s">
        <v>1654</v>
      </c>
      <c r="I1196" s="404" t="str">
        <f t="shared" si="10"/>
        <v>NOT PAID</v>
      </c>
      <c r="J1196" s="402"/>
      <c r="K1196" s="402"/>
      <c r="L1196" s="402"/>
      <c r="M1196" s="402"/>
      <c r="N1196" s="402"/>
      <c r="O1196" s="402"/>
      <c r="P1196" s="402"/>
      <c r="Q1196" s="402"/>
      <c r="R1196" s="402"/>
      <c r="S1196" s="402"/>
      <c r="T1196" s="402"/>
      <c r="U1196" s="402"/>
      <c r="V1196" s="402"/>
      <c r="W1196" s="402"/>
      <c r="X1196" s="402"/>
      <c r="Y1196" s="402"/>
      <c r="Z1196" s="402"/>
      <c r="AA1196" s="405"/>
      <c r="AB1196" s="405"/>
    </row>
    <row r="1197" ht="14.25" customHeight="1">
      <c r="A1197" s="497">
        <v>45524.0</v>
      </c>
      <c r="B1197" s="349" t="s">
        <v>701</v>
      </c>
      <c r="C1197" s="349" t="s">
        <v>702</v>
      </c>
      <c r="D1197" s="349" t="s">
        <v>54</v>
      </c>
      <c r="E1197" s="349" t="s">
        <v>1098</v>
      </c>
      <c r="F1197" s="413">
        <v>10771.93</v>
      </c>
      <c r="G1197" s="403"/>
      <c r="H1197" s="349" t="s">
        <v>1655</v>
      </c>
      <c r="I1197" s="404" t="str">
        <f t="shared" si="10"/>
        <v>NOT PAID</v>
      </c>
      <c r="J1197" s="402"/>
      <c r="K1197" s="402"/>
      <c r="L1197" s="402"/>
      <c r="M1197" s="402"/>
      <c r="N1197" s="402"/>
      <c r="O1197" s="402"/>
      <c r="P1197" s="402"/>
      <c r="Q1197" s="402"/>
      <c r="R1197" s="402"/>
      <c r="S1197" s="402"/>
      <c r="T1197" s="402"/>
      <c r="U1197" s="402"/>
      <c r="V1197" s="402"/>
      <c r="W1197" s="402"/>
      <c r="X1197" s="402"/>
      <c r="Y1197" s="402"/>
      <c r="Z1197" s="402"/>
      <c r="AA1197" s="405"/>
      <c r="AB1197" s="405"/>
    </row>
    <row r="1198" ht="14.25" customHeight="1">
      <c r="A1198" s="497">
        <v>45524.0</v>
      </c>
      <c r="B1198" s="509" t="s">
        <v>1381</v>
      </c>
      <c r="C1198" s="510" t="s">
        <v>1382</v>
      </c>
      <c r="D1198" s="510" t="s">
        <v>54</v>
      </c>
      <c r="E1198" s="349" t="s">
        <v>1098</v>
      </c>
      <c r="F1198" s="416">
        <v>198106.72</v>
      </c>
      <c r="G1198" s="403"/>
      <c r="H1198" s="349" t="s">
        <v>1656</v>
      </c>
      <c r="I1198" s="404" t="str">
        <f t="shared" si="10"/>
        <v>NOT PAID</v>
      </c>
      <c r="J1198" s="402"/>
      <c r="K1198" s="402"/>
      <c r="L1198" s="402"/>
      <c r="M1198" s="402"/>
      <c r="N1198" s="402"/>
      <c r="O1198" s="402"/>
      <c r="P1198" s="402"/>
      <c r="Q1198" s="402"/>
      <c r="R1198" s="402"/>
      <c r="S1198" s="402"/>
      <c r="T1198" s="402"/>
      <c r="U1198" s="402"/>
      <c r="V1198" s="402"/>
      <c r="W1198" s="402"/>
      <c r="X1198" s="402"/>
      <c r="Y1198" s="402"/>
      <c r="Z1198" s="402"/>
      <c r="AA1198" s="405"/>
      <c r="AB1198" s="405"/>
    </row>
    <row r="1199" ht="14.25" customHeight="1">
      <c r="A1199" s="497">
        <v>45524.0</v>
      </c>
      <c r="B1199" s="492" t="s">
        <v>729</v>
      </c>
      <c r="C1199" s="493" t="s">
        <v>995</v>
      </c>
      <c r="D1199" s="493" t="s">
        <v>54</v>
      </c>
      <c r="E1199" s="349" t="s">
        <v>1098</v>
      </c>
      <c r="F1199" s="494">
        <v>244832.0</v>
      </c>
      <c r="G1199" s="403"/>
      <c r="H1199" s="349" t="s">
        <v>1308</v>
      </c>
      <c r="I1199" s="404" t="str">
        <f t="shared" si="10"/>
        <v>NOT PAID</v>
      </c>
      <c r="J1199" s="402"/>
      <c r="K1199" s="402"/>
      <c r="L1199" s="402"/>
      <c r="M1199" s="402"/>
      <c r="N1199" s="402"/>
      <c r="O1199" s="402"/>
      <c r="P1199" s="402"/>
      <c r="Q1199" s="402"/>
      <c r="R1199" s="402"/>
      <c r="S1199" s="402"/>
      <c r="T1199" s="402"/>
      <c r="U1199" s="402"/>
      <c r="V1199" s="402"/>
      <c r="W1199" s="402"/>
      <c r="X1199" s="402"/>
      <c r="Y1199" s="402"/>
      <c r="Z1199" s="402"/>
      <c r="AA1199" s="405"/>
      <c r="AB1199" s="405"/>
    </row>
    <row r="1200" ht="14.25" customHeight="1">
      <c r="A1200" s="497">
        <v>45524.0</v>
      </c>
      <c r="B1200" s="515" t="s">
        <v>1034</v>
      </c>
      <c r="C1200" s="516" t="s">
        <v>1401</v>
      </c>
      <c r="D1200" s="516" t="s">
        <v>54</v>
      </c>
      <c r="E1200" s="349" t="s">
        <v>1098</v>
      </c>
      <c r="F1200" s="416">
        <v>32840.0</v>
      </c>
      <c r="G1200" s="403"/>
      <c r="H1200" s="349" t="s">
        <v>1657</v>
      </c>
      <c r="I1200" s="404" t="str">
        <f t="shared" si="10"/>
        <v>NOT PAID</v>
      </c>
      <c r="J1200" s="402"/>
      <c r="K1200" s="402"/>
      <c r="L1200" s="402"/>
      <c r="M1200" s="402"/>
      <c r="N1200" s="402"/>
      <c r="O1200" s="402"/>
      <c r="P1200" s="402"/>
      <c r="Q1200" s="402"/>
      <c r="R1200" s="402"/>
      <c r="S1200" s="402"/>
      <c r="T1200" s="402"/>
      <c r="U1200" s="402"/>
      <c r="V1200" s="402"/>
      <c r="W1200" s="402"/>
      <c r="X1200" s="402"/>
      <c r="Y1200" s="402"/>
      <c r="Z1200" s="402"/>
      <c r="AA1200" s="405"/>
      <c r="AB1200" s="405"/>
    </row>
    <row r="1201" ht="14.25" customHeight="1">
      <c r="A1201" s="497">
        <v>45524.0</v>
      </c>
      <c r="B1201" s="518" t="s">
        <v>1559</v>
      </c>
      <c r="C1201" s="519" t="s">
        <v>1457</v>
      </c>
      <c r="D1201" s="519" t="s">
        <v>54</v>
      </c>
      <c r="E1201" s="349" t="s">
        <v>1098</v>
      </c>
      <c r="F1201" s="416">
        <v>34000.0</v>
      </c>
      <c r="G1201" s="403"/>
      <c r="H1201" s="349" t="s">
        <v>1658</v>
      </c>
      <c r="I1201" s="404" t="str">
        <f t="shared" si="10"/>
        <v>NOT PAID</v>
      </c>
      <c r="J1201" s="402"/>
      <c r="K1201" s="402"/>
      <c r="L1201" s="402"/>
      <c r="M1201" s="402"/>
      <c r="N1201" s="402"/>
      <c r="O1201" s="402"/>
      <c r="P1201" s="402"/>
      <c r="Q1201" s="402"/>
      <c r="R1201" s="402"/>
      <c r="S1201" s="402"/>
      <c r="T1201" s="402"/>
      <c r="U1201" s="402"/>
      <c r="V1201" s="402"/>
      <c r="W1201" s="402"/>
      <c r="X1201" s="402"/>
      <c r="Y1201" s="402"/>
      <c r="Z1201" s="402"/>
      <c r="AA1201" s="405"/>
      <c r="AB1201" s="405"/>
    </row>
    <row r="1202" ht="14.25" customHeight="1">
      <c r="A1202" s="497">
        <v>45524.0</v>
      </c>
      <c r="B1202" s="518" t="s">
        <v>717</v>
      </c>
      <c r="C1202" s="519" t="s">
        <v>1587</v>
      </c>
      <c r="D1202" s="519" t="s">
        <v>54</v>
      </c>
      <c r="E1202" s="349" t="s">
        <v>1098</v>
      </c>
      <c r="F1202" s="416">
        <v>15378.82</v>
      </c>
      <c r="G1202" s="403"/>
      <c r="H1202" s="349" t="s">
        <v>1655</v>
      </c>
      <c r="I1202" s="404" t="str">
        <f t="shared" si="10"/>
        <v>NOT PAID</v>
      </c>
      <c r="J1202" s="402"/>
      <c r="K1202" s="402"/>
      <c r="L1202" s="402"/>
      <c r="M1202" s="402"/>
      <c r="N1202" s="402"/>
      <c r="O1202" s="402"/>
      <c r="P1202" s="402"/>
      <c r="Q1202" s="402"/>
      <c r="R1202" s="402"/>
      <c r="S1202" s="402"/>
      <c r="T1202" s="402"/>
      <c r="U1202" s="402"/>
      <c r="V1202" s="402"/>
      <c r="W1202" s="402"/>
      <c r="X1202" s="402"/>
      <c r="Y1202" s="402"/>
      <c r="Z1202" s="402"/>
      <c r="AA1202" s="405"/>
      <c r="AB1202" s="405"/>
    </row>
    <row r="1203" ht="14.25" customHeight="1">
      <c r="A1203" s="497">
        <v>45524.0</v>
      </c>
      <c r="B1203" s="515" t="s">
        <v>720</v>
      </c>
      <c r="C1203" s="516" t="s">
        <v>721</v>
      </c>
      <c r="D1203" s="516" t="s">
        <v>54</v>
      </c>
      <c r="E1203" s="349" t="s">
        <v>1098</v>
      </c>
      <c r="F1203" s="416">
        <v>50605.0</v>
      </c>
      <c r="G1203" s="413"/>
      <c r="H1203" s="349" t="s">
        <v>1659</v>
      </c>
      <c r="I1203" s="404"/>
      <c r="J1203" s="402"/>
      <c r="K1203" s="402"/>
      <c r="L1203" s="402"/>
      <c r="M1203" s="402"/>
      <c r="N1203" s="402"/>
      <c r="O1203" s="402"/>
      <c r="P1203" s="402"/>
      <c r="Q1203" s="402"/>
      <c r="R1203" s="402"/>
      <c r="S1203" s="402"/>
      <c r="T1203" s="402"/>
      <c r="U1203" s="402"/>
      <c r="V1203" s="402"/>
      <c r="W1203" s="402"/>
      <c r="X1203" s="402"/>
      <c r="Y1203" s="402"/>
      <c r="Z1203" s="402"/>
      <c r="AA1203" s="405"/>
      <c r="AB1203" s="405"/>
    </row>
    <row r="1204" ht="14.25" customHeight="1">
      <c r="A1204" s="497">
        <v>45524.0</v>
      </c>
      <c r="B1204" s="515" t="s">
        <v>1660</v>
      </c>
      <c r="C1204" s="516" t="s">
        <v>1661</v>
      </c>
      <c r="D1204" s="516" t="s">
        <v>59</v>
      </c>
      <c r="E1204" s="415" t="s">
        <v>1153</v>
      </c>
      <c r="F1204" s="416">
        <v>834875.0</v>
      </c>
      <c r="G1204" s="413">
        <v>834875.0</v>
      </c>
      <c r="H1204" s="349" t="s">
        <v>1163</v>
      </c>
      <c r="I1204" s="404"/>
      <c r="J1204" s="402"/>
      <c r="K1204" s="402"/>
      <c r="L1204" s="402"/>
      <c r="M1204" s="402"/>
      <c r="N1204" s="402"/>
      <c r="O1204" s="402"/>
      <c r="P1204" s="402"/>
      <c r="Q1204" s="402"/>
      <c r="R1204" s="402"/>
      <c r="S1204" s="402"/>
      <c r="T1204" s="402"/>
      <c r="U1204" s="402"/>
      <c r="V1204" s="402"/>
      <c r="W1204" s="402"/>
      <c r="X1204" s="402"/>
      <c r="Y1204" s="402"/>
      <c r="Z1204" s="402"/>
      <c r="AA1204" s="405"/>
      <c r="AB1204" s="405"/>
    </row>
    <row r="1205" ht="14.25" customHeight="1">
      <c r="A1205" s="497">
        <v>45524.0</v>
      </c>
      <c r="B1205" s="518" t="s">
        <v>1622</v>
      </c>
      <c r="C1205" s="519" t="s">
        <v>730</v>
      </c>
      <c r="D1205" s="519" t="s">
        <v>75</v>
      </c>
      <c r="E1205" s="415" t="s">
        <v>1153</v>
      </c>
      <c r="F1205" s="416">
        <v>1878449.0</v>
      </c>
      <c r="G1205" s="413"/>
      <c r="H1205" s="349" t="s">
        <v>1662</v>
      </c>
      <c r="I1205" s="404"/>
      <c r="J1205" s="402"/>
      <c r="K1205" s="402"/>
      <c r="L1205" s="402"/>
      <c r="M1205" s="402"/>
      <c r="N1205" s="402"/>
      <c r="O1205" s="402"/>
      <c r="P1205" s="402"/>
      <c r="Q1205" s="402"/>
      <c r="R1205" s="402"/>
      <c r="S1205" s="402"/>
      <c r="T1205" s="402"/>
      <c r="U1205" s="402"/>
      <c r="V1205" s="402"/>
      <c r="W1205" s="402"/>
      <c r="X1205" s="402"/>
      <c r="Y1205" s="402"/>
      <c r="Z1205" s="402"/>
      <c r="AA1205" s="405"/>
      <c r="AB1205" s="405"/>
    </row>
    <row r="1206" ht="14.25" customHeight="1">
      <c r="A1206" s="497">
        <v>45524.0</v>
      </c>
      <c r="B1206" s="349" t="s">
        <v>1155</v>
      </c>
      <c r="C1206" s="349" t="s">
        <v>1156</v>
      </c>
      <c r="D1206" s="493" t="s">
        <v>54</v>
      </c>
      <c r="E1206" s="415" t="s">
        <v>1153</v>
      </c>
      <c r="F1206" s="413">
        <v>295732.73</v>
      </c>
      <c r="G1206" s="413"/>
      <c r="H1206" s="349" t="s">
        <v>1663</v>
      </c>
      <c r="I1206" s="404"/>
      <c r="J1206" s="402"/>
      <c r="K1206" s="402"/>
      <c r="L1206" s="402"/>
      <c r="M1206" s="402"/>
      <c r="N1206" s="402"/>
      <c r="O1206" s="402"/>
      <c r="P1206" s="402"/>
      <c r="Q1206" s="402"/>
      <c r="R1206" s="402"/>
      <c r="S1206" s="402"/>
      <c r="T1206" s="402"/>
      <c r="U1206" s="402"/>
      <c r="V1206" s="402"/>
      <c r="W1206" s="402"/>
      <c r="X1206" s="402"/>
      <c r="Y1206" s="402"/>
      <c r="Z1206" s="402"/>
      <c r="AA1206" s="405"/>
      <c r="AB1206" s="405"/>
    </row>
    <row r="1207" ht="14.25" customHeight="1">
      <c r="A1207" s="497">
        <v>45524.0</v>
      </c>
      <c r="B1207" s="349" t="s">
        <v>960</v>
      </c>
      <c r="C1207" s="349" t="s">
        <v>961</v>
      </c>
      <c r="D1207" s="493" t="s">
        <v>54</v>
      </c>
      <c r="E1207" s="415" t="s">
        <v>1153</v>
      </c>
      <c r="F1207" s="413">
        <v>100000.0</v>
      </c>
      <c r="G1207" s="413"/>
      <c r="H1207" s="349" t="s">
        <v>1664</v>
      </c>
      <c r="I1207" s="404"/>
      <c r="J1207" s="402"/>
      <c r="K1207" s="402"/>
      <c r="L1207" s="402"/>
      <c r="M1207" s="402"/>
      <c r="N1207" s="402"/>
      <c r="O1207" s="402"/>
      <c r="P1207" s="402"/>
      <c r="Q1207" s="402"/>
      <c r="R1207" s="402"/>
      <c r="S1207" s="402"/>
      <c r="T1207" s="402"/>
      <c r="U1207" s="402"/>
      <c r="V1207" s="402"/>
      <c r="W1207" s="402"/>
      <c r="X1207" s="402"/>
      <c r="Y1207" s="402"/>
      <c r="Z1207" s="402"/>
      <c r="AA1207" s="405"/>
      <c r="AB1207" s="405"/>
    </row>
    <row r="1208" ht="14.25" customHeight="1">
      <c r="A1208" s="497">
        <v>45524.0</v>
      </c>
      <c r="B1208" s="349" t="s">
        <v>1346</v>
      </c>
      <c r="C1208" s="349" t="s">
        <v>1347</v>
      </c>
      <c r="D1208" s="411" t="s">
        <v>59</v>
      </c>
      <c r="E1208" s="415" t="s">
        <v>1153</v>
      </c>
      <c r="F1208" s="413">
        <v>300000.0</v>
      </c>
      <c r="G1208" s="413"/>
      <c r="H1208" s="349" t="s">
        <v>1665</v>
      </c>
      <c r="I1208" s="404"/>
      <c r="J1208" s="402"/>
      <c r="K1208" s="402"/>
      <c r="L1208" s="402"/>
      <c r="M1208" s="402"/>
      <c r="N1208" s="402"/>
      <c r="O1208" s="402"/>
      <c r="P1208" s="402"/>
      <c r="Q1208" s="402"/>
      <c r="R1208" s="402"/>
      <c r="S1208" s="402"/>
      <c r="T1208" s="402"/>
      <c r="U1208" s="402"/>
      <c r="V1208" s="402"/>
      <c r="W1208" s="402"/>
      <c r="X1208" s="402"/>
      <c r="Y1208" s="402"/>
      <c r="Z1208" s="402"/>
      <c r="AA1208" s="405"/>
      <c r="AB1208" s="405"/>
    </row>
    <row r="1209" ht="14.25" customHeight="1">
      <c r="A1209" s="497">
        <v>45524.0</v>
      </c>
      <c r="B1209" s="518" t="s">
        <v>746</v>
      </c>
      <c r="C1209" s="519" t="s">
        <v>747</v>
      </c>
      <c r="D1209" s="519" t="s">
        <v>54</v>
      </c>
      <c r="E1209" s="415" t="s">
        <v>1153</v>
      </c>
      <c r="F1209" s="413">
        <v>108000.0</v>
      </c>
      <c r="G1209" s="413"/>
      <c r="H1209" s="349" t="s">
        <v>1656</v>
      </c>
      <c r="I1209" s="404"/>
      <c r="J1209" s="402"/>
      <c r="K1209" s="402"/>
      <c r="L1209" s="402"/>
      <c r="M1209" s="402"/>
      <c r="N1209" s="402"/>
      <c r="O1209" s="402"/>
      <c r="P1209" s="402"/>
      <c r="Q1209" s="402"/>
      <c r="R1209" s="402"/>
      <c r="S1209" s="402"/>
      <c r="T1209" s="402"/>
      <c r="U1209" s="402"/>
      <c r="V1209" s="402"/>
      <c r="W1209" s="402"/>
      <c r="X1209" s="402"/>
      <c r="Y1209" s="402"/>
      <c r="Z1209" s="402"/>
      <c r="AA1209" s="405"/>
      <c r="AB1209" s="405"/>
    </row>
    <row r="1210" ht="14.25" customHeight="1">
      <c r="A1210" s="497">
        <v>45524.0</v>
      </c>
      <c r="B1210" s="518" t="s">
        <v>786</v>
      </c>
      <c r="C1210" s="519" t="s">
        <v>787</v>
      </c>
      <c r="D1210" s="519" t="s">
        <v>54</v>
      </c>
      <c r="E1210" s="411" t="s">
        <v>1153</v>
      </c>
      <c r="F1210" s="413">
        <v>15712.14</v>
      </c>
      <c r="G1210" s="413"/>
      <c r="H1210" s="349" t="s">
        <v>1657</v>
      </c>
      <c r="I1210" s="402"/>
      <c r="J1210" s="402"/>
      <c r="K1210" s="402"/>
      <c r="L1210" s="402"/>
      <c r="M1210" s="402"/>
      <c r="N1210" s="402"/>
      <c r="O1210" s="402"/>
      <c r="P1210" s="402"/>
      <c r="Q1210" s="402"/>
      <c r="R1210" s="402"/>
      <c r="S1210" s="402"/>
      <c r="T1210" s="402"/>
      <c r="U1210" s="402"/>
      <c r="V1210" s="402"/>
      <c r="W1210" s="402"/>
      <c r="X1210" s="402"/>
      <c r="Y1210" s="402"/>
      <c r="Z1210" s="402"/>
      <c r="AA1210" s="405"/>
      <c r="AB1210" s="405"/>
    </row>
    <row r="1211" ht="14.25" customHeight="1">
      <c r="A1211" s="497">
        <v>45524.0</v>
      </c>
      <c r="B1211" s="518" t="s">
        <v>744</v>
      </c>
      <c r="C1211" s="519" t="s">
        <v>745</v>
      </c>
      <c r="D1211" s="519" t="s">
        <v>54</v>
      </c>
      <c r="E1211" s="411" t="s">
        <v>1153</v>
      </c>
      <c r="F1211" s="413">
        <v>20000.0</v>
      </c>
      <c r="G1211" s="413"/>
      <c r="H1211" s="349" t="s">
        <v>1666</v>
      </c>
      <c r="I1211" s="402"/>
      <c r="J1211" s="402"/>
      <c r="K1211" s="402"/>
      <c r="L1211" s="402"/>
      <c r="M1211" s="402"/>
      <c r="N1211" s="402"/>
      <c r="O1211" s="402"/>
      <c r="P1211" s="402"/>
      <c r="Q1211" s="402"/>
      <c r="R1211" s="402"/>
      <c r="S1211" s="402"/>
      <c r="T1211" s="402"/>
      <c r="U1211" s="402"/>
      <c r="V1211" s="402"/>
      <c r="W1211" s="402"/>
      <c r="X1211" s="402"/>
      <c r="Y1211" s="402"/>
      <c r="Z1211" s="402"/>
      <c r="AA1211" s="405"/>
      <c r="AB1211" s="405"/>
    </row>
    <row r="1212" ht="14.25" customHeight="1">
      <c r="A1212" s="497">
        <v>45524.0</v>
      </c>
      <c r="B1212" s="518" t="s">
        <v>749</v>
      </c>
      <c r="C1212" s="519" t="s">
        <v>750</v>
      </c>
      <c r="D1212" s="519" t="s">
        <v>54</v>
      </c>
      <c r="E1212" s="349" t="s">
        <v>1153</v>
      </c>
      <c r="F1212" s="413">
        <v>27769.74</v>
      </c>
      <c r="G1212" s="413"/>
      <c r="H1212" s="349" t="s">
        <v>1655</v>
      </c>
      <c r="I1212" s="402"/>
      <c r="J1212" s="402"/>
      <c r="K1212" s="402"/>
      <c r="L1212" s="402"/>
      <c r="M1212" s="402"/>
      <c r="N1212" s="402"/>
      <c r="O1212" s="402"/>
      <c r="P1212" s="402"/>
      <c r="Q1212" s="402"/>
      <c r="R1212" s="402"/>
      <c r="S1212" s="402"/>
      <c r="T1212" s="402"/>
      <c r="U1212" s="402"/>
      <c r="V1212" s="402"/>
      <c r="W1212" s="402"/>
      <c r="X1212" s="402"/>
      <c r="Y1212" s="402"/>
      <c r="Z1212" s="402"/>
      <c r="AA1212" s="405"/>
      <c r="AB1212" s="405"/>
    </row>
    <row r="1213" ht="14.25" customHeight="1">
      <c r="A1213" s="497">
        <v>45524.0</v>
      </c>
      <c r="B1213" s="515" t="s">
        <v>1667</v>
      </c>
      <c r="C1213" s="516" t="s">
        <v>1668</v>
      </c>
      <c r="D1213" s="516" t="s">
        <v>54</v>
      </c>
      <c r="E1213" s="349" t="s">
        <v>1139</v>
      </c>
      <c r="F1213" s="413">
        <v>152984.0</v>
      </c>
      <c r="G1213" s="413">
        <v>152984.0</v>
      </c>
      <c r="H1213" s="349" t="s">
        <v>710</v>
      </c>
      <c r="I1213" s="402"/>
      <c r="J1213" s="402"/>
      <c r="K1213" s="402"/>
      <c r="L1213" s="402"/>
      <c r="M1213" s="402"/>
      <c r="N1213" s="402"/>
      <c r="O1213" s="402"/>
      <c r="P1213" s="402"/>
      <c r="Q1213" s="402"/>
      <c r="R1213" s="402"/>
      <c r="S1213" s="402"/>
      <c r="T1213" s="402"/>
      <c r="U1213" s="402"/>
      <c r="V1213" s="402"/>
      <c r="W1213" s="402"/>
      <c r="X1213" s="402"/>
      <c r="Y1213" s="402"/>
      <c r="Z1213" s="402"/>
      <c r="AA1213" s="405"/>
      <c r="AB1213" s="405"/>
    </row>
    <row r="1214" ht="14.25" customHeight="1">
      <c r="A1214" s="497">
        <v>45524.0</v>
      </c>
      <c r="B1214" s="349" t="s">
        <v>783</v>
      </c>
      <c r="C1214" s="349" t="s">
        <v>784</v>
      </c>
      <c r="D1214" s="349" t="s">
        <v>54</v>
      </c>
      <c r="E1214" s="349" t="s">
        <v>1139</v>
      </c>
      <c r="F1214" s="413">
        <v>30000.0</v>
      </c>
      <c r="G1214" s="413">
        <v>0.0</v>
      </c>
      <c r="H1214" s="349" t="s">
        <v>1630</v>
      </c>
      <c r="I1214" s="402"/>
      <c r="J1214" s="402"/>
      <c r="K1214" s="402"/>
      <c r="L1214" s="402"/>
      <c r="M1214" s="402"/>
      <c r="N1214" s="402"/>
      <c r="O1214" s="402"/>
      <c r="P1214" s="402"/>
      <c r="Q1214" s="402"/>
      <c r="R1214" s="402"/>
      <c r="S1214" s="402"/>
      <c r="T1214" s="402"/>
      <c r="U1214" s="402"/>
      <c r="V1214" s="402"/>
      <c r="W1214" s="402"/>
      <c r="X1214" s="402"/>
      <c r="Y1214" s="402"/>
      <c r="Z1214" s="402"/>
      <c r="AA1214" s="405"/>
      <c r="AB1214" s="405"/>
    </row>
    <row r="1215" ht="14.25" customHeight="1">
      <c r="A1215" s="497">
        <v>45524.0</v>
      </c>
      <c r="B1215" s="414" t="s">
        <v>1525</v>
      </c>
      <c r="C1215" s="415" t="s">
        <v>1426</v>
      </c>
      <c r="D1215" s="415" t="s">
        <v>54</v>
      </c>
      <c r="E1215" s="349" t="s">
        <v>1139</v>
      </c>
      <c r="F1215" s="413">
        <v>6500.0</v>
      </c>
      <c r="G1215" s="413">
        <v>0.0</v>
      </c>
      <c r="H1215" s="349" t="s">
        <v>1631</v>
      </c>
      <c r="I1215" s="402"/>
      <c r="J1215" s="402"/>
      <c r="K1215" s="402"/>
      <c r="L1215" s="402"/>
      <c r="M1215" s="402"/>
      <c r="N1215" s="402"/>
      <c r="O1215" s="402"/>
      <c r="P1215" s="402"/>
      <c r="Q1215" s="402"/>
      <c r="R1215" s="402"/>
      <c r="S1215" s="402"/>
      <c r="T1215" s="402"/>
      <c r="U1215" s="402"/>
      <c r="V1215" s="402"/>
      <c r="W1215" s="402"/>
      <c r="X1215" s="402"/>
      <c r="Y1215" s="402"/>
      <c r="Z1215" s="402"/>
      <c r="AA1215" s="405"/>
      <c r="AB1215" s="405"/>
    </row>
    <row r="1216" ht="14.25" customHeight="1">
      <c r="A1216" s="497">
        <v>45524.0</v>
      </c>
      <c r="B1216" s="349" t="s">
        <v>698</v>
      </c>
      <c r="C1216" s="349" t="s">
        <v>1167</v>
      </c>
      <c r="D1216" s="349" t="s">
        <v>54</v>
      </c>
      <c r="E1216" s="349" t="s">
        <v>1168</v>
      </c>
      <c r="F1216" s="413">
        <v>15291.93</v>
      </c>
      <c r="G1216" s="403"/>
      <c r="H1216" s="349" t="s">
        <v>1639</v>
      </c>
      <c r="I1216" s="402"/>
      <c r="J1216" s="402"/>
      <c r="K1216" s="402"/>
      <c r="L1216" s="402"/>
      <c r="M1216" s="402"/>
      <c r="N1216" s="402"/>
      <c r="O1216" s="402"/>
      <c r="P1216" s="402"/>
      <c r="Q1216" s="402"/>
      <c r="R1216" s="402"/>
      <c r="S1216" s="402"/>
      <c r="T1216" s="402"/>
      <c r="U1216" s="402"/>
      <c r="V1216" s="402"/>
      <c r="W1216" s="402"/>
      <c r="X1216" s="402"/>
      <c r="Y1216" s="402"/>
      <c r="Z1216" s="402"/>
      <c r="AA1216" s="405"/>
      <c r="AB1216" s="405"/>
    </row>
    <row r="1217" ht="14.25" customHeight="1">
      <c r="A1217" s="497">
        <v>45524.0</v>
      </c>
      <c r="B1217" s="349" t="s">
        <v>997</v>
      </c>
      <c r="C1217" s="349" t="s">
        <v>998</v>
      </c>
      <c r="D1217" s="349" t="s">
        <v>263</v>
      </c>
      <c r="E1217" s="349" t="s">
        <v>1168</v>
      </c>
      <c r="F1217" s="413">
        <v>81947.25</v>
      </c>
      <c r="G1217" s="403"/>
      <c r="H1217" s="349" t="s">
        <v>1669</v>
      </c>
      <c r="I1217" s="402"/>
      <c r="J1217" s="402"/>
      <c r="K1217" s="402"/>
      <c r="L1217" s="402"/>
      <c r="M1217" s="402"/>
      <c r="N1217" s="402"/>
      <c r="O1217" s="402"/>
      <c r="P1217" s="402"/>
      <c r="Q1217" s="402"/>
      <c r="R1217" s="402"/>
      <c r="S1217" s="402"/>
      <c r="T1217" s="402"/>
      <c r="U1217" s="402"/>
      <c r="V1217" s="402"/>
      <c r="W1217" s="402"/>
      <c r="X1217" s="402"/>
      <c r="Y1217" s="402"/>
      <c r="Z1217" s="402"/>
      <c r="AA1217" s="405"/>
      <c r="AB1217" s="405"/>
    </row>
    <row r="1218" ht="14.25" customHeight="1">
      <c r="A1218" s="497">
        <v>45524.0</v>
      </c>
      <c r="B1218" s="343" t="s">
        <v>1223</v>
      </c>
      <c r="C1218" s="344" t="s">
        <v>998</v>
      </c>
      <c r="D1218" s="344" t="s">
        <v>346</v>
      </c>
      <c r="E1218" s="349" t="s">
        <v>1168</v>
      </c>
      <c r="F1218" s="452">
        <v>28350.0</v>
      </c>
      <c r="G1218" s="403"/>
      <c r="H1218" s="349" t="s">
        <v>1669</v>
      </c>
      <c r="I1218" s="402"/>
      <c r="J1218" s="402"/>
      <c r="K1218" s="402"/>
      <c r="L1218" s="402"/>
      <c r="M1218" s="402"/>
      <c r="N1218" s="402"/>
      <c r="O1218" s="402"/>
      <c r="P1218" s="402"/>
      <c r="Q1218" s="402"/>
      <c r="R1218" s="402"/>
      <c r="S1218" s="402"/>
      <c r="T1218" s="402"/>
      <c r="U1218" s="402"/>
      <c r="V1218" s="402"/>
      <c r="W1218" s="402"/>
      <c r="X1218" s="402"/>
      <c r="Y1218" s="402"/>
      <c r="Z1218" s="402"/>
      <c r="AA1218" s="405"/>
      <c r="AB1218" s="405"/>
    </row>
    <row r="1219" ht="14.25" customHeight="1">
      <c r="A1219" s="497">
        <v>45524.0</v>
      </c>
      <c r="B1219" s="343" t="s">
        <v>695</v>
      </c>
      <c r="C1219" s="344" t="s">
        <v>1529</v>
      </c>
      <c r="D1219" s="415" t="s">
        <v>1670</v>
      </c>
      <c r="E1219" s="349" t="s">
        <v>1168</v>
      </c>
      <c r="F1219" s="442">
        <v>61570.81</v>
      </c>
      <c r="G1219" s="413"/>
      <c r="H1219" s="349" t="s">
        <v>1671</v>
      </c>
      <c r="I1219" s="402"/>
      <c r="J1219" s="402"/>
      <c r="K1219" s="402"/>
      <c r="L1219" s="402"/>
      <c r="M1219" s="402"/>
      <c r="N1219" s="402"/>
      <c r="O1219" s="402"/>
      <c r="P1219" s="402"/>
      <c r="Q1219" s="402"/>
      <c r="R1219" s="402"/>
      <c r="S1219" s="402"/>
      <c r="T1219" s="402"/>
      <c r="U1219" s="402"/>
      <c r="V1219" s="402"/>
      <c r="W1219" s="402"/>
      <c r="X1219" s="402"/>
      <c r="Y1219" s="402"/>
      <c r="Z1219" s="402"/>
      <c r="AA1219" s="405"/>
      <c r="AB1219" s="405"/>
    </row>
    <row r="1220" ht="14.25" customHeight="1">
      <c r="A1220" s="497">
        <v>45524.0</v>
      </c>
      <c r="B1220" s="518" t="s">
        <v>691</v>
      </c>
      <c r="C1220" s="519" t="s">
        <v>692</v>
      </c>
      <c r="D1220" s="519" t="s">
        <v>54</v>
      </c>
      <c r="E1220" s="349" t="s">
        <v>1168</v>
      </c>
      <c r="F1220" s="442">
        <v>11150.0</v>
      </c>
      <c r="G1220" s="413"/>
      <c r="H1220" s="349" t="s">
        <v>1672</v>
      </c>
      <c r="I1220" s="402"/>
      <c r="J1220" s="402"/>
      <c r="K1220" s="402"/>
      <c r="L1220" s="402"/>
      <c r="M1220" s="402"/>
      <c r="N1220" s="402"/>
      <c r="O1220" s="402"/>
      <c r="P1220" s="402"/>
      <c r="Q1220" s="402"/>
      <c r="R1220" s="402"/>
      <c r="S1220" s="402"/>
      <c r="T1220" s="402"/>
      <c r="U1220" s="402"/>
      <c r="V1220" s="402"/>
      <c r="W1220" s="402"/>
      <c r="X1220" s="402"/>
      <c r="Y1220" s="402"/>
      <c r="Z1220" s="402"/>
      <c r="AA1220" s="405"/>
      <c r="AB1220" s="405"/>
    </row>
    <row r="1221" ht="14.25" customHeight="1">
      <c r="A1221" s="497">
        <v>45524.0</v>
      </c>
      <c r="B1221" s="515" t="s">
        <v>1673</v>
      </c>
      <c r="C1221" s="516" t="s">
        <v>1674</v>
      </c>
      <c r="D1221" s="516" t="s">
        <v>54</v>
      </c>
      <c r="E1221" s="349" t="s">
        <v>1168</v>
      </c>
      <c r="F1221" s="442">
        <v>34054.54</v>
      </c>
      <c r="G1221" s="403"/>
      <c r="H1221" s="349" t="s">
        <v>1336</v>
      </c>
      <c r="I1221" s="402"/>
      <c r="J1221" s="402"/>
      <c r="K1221" s="402"/>
      <c r="L1221" s="402"/>
      <c r="M1221" s="402"/>
      <c r="N1221" s="402"/>
      <c r="O1221" s="402"/>
      <c r="P1221" s="402"/>
      <c r="Q1221" s="402"/>
      <c r="R1221" s="402"/>
      <c r="S1221" s="402"/>
      <c r="T1221" s="402"/>
      <c r="U1221" s="402"/>
      <c r="V1221" s="402"/>
      <c r="W1221" s="402"/>
      <c r="X1221" s="402"/>
      <c r="Y1221" s="402"/>
      <c r="Z1221" s="402"/>
      <c r="AA1221" s="405"/>
      <c r="AB1221" s="405"/>
    </row>
    <row r="1222" ht="14.25" customHeight="1">
      <c r="A1222" s="497">
        <v>45524.0</v>
      </c>
      <c r="B1222" s="518" t="s">
        <v>764</v>
      </c>
      <c r="C1222" s="519" t="s">
        <v>765</v>
      </c>
      <c r="D1222" s="519" t="s">
        <v>54</v>
      </c>
      <c r="E1222" s="344" t="s">
        <v>1143</v>
      </c>
      <c r="F1222" s="442">
        <v>17881.75</v>
      </c>
      <c r="G1222" s="413">
        <v>22000.0</v>
      </c>
      <c r="H1222" s="349" t="s">
        <v>876</v>
      </c>
      <c r="I1222" s="402"/>
      <c r="J1222" s="402"/>
      <c r="K1222" s="402"/>
      <c r="L1222" s="402"/>
      <c r="M1222" s="402"/>
      <c r="N1222" s="402"/>
      <c r="O1222" s="402"/>
      <c r="P1222" s="402"/>
      <c r="Q1222" s="402"/>
      <c r="R1222" s="402"/>
      <c r="S1222" s="402"/>
      <c r="T1222" s="402"/>
      <c r="U1222" s="402"/>
      <c r="V1222" s="402"/>
      <c r="W1222" s="402"/>
      <c r="X1222" s="402"/>
      <c r="Y1222" s="402"/>
      <c r="Z1222" s="402"/>
      <c r="AA1222" s="405"/>
      <c r="AB1222" s="405"/>
    </row>
    <row r="1223" ht="14.25" customHeight="1">
      <c r="A1223" s="497">
        <v>45524.0</v>
      </c>
      <c r="B1223" s="518" t="s">
        <v>1644</v>
      </c>
      <c r="C1223" s="519" t="s">
        <v>1645</v>
      </c>
      <c r="D1223" s="519" t="s">
        <v>54</v>
      </c>
      <c r="E1223" s="344" t="s">
        <v>1143</v>
      </c>
      <c r="F1223" s="442">
        <v>39680.0</v>
      </c>
      <c r="G1223" s="403"/>
      <c r="H1223" s="402"/>
      <c r="I1223" s="402"/>
      <c r="J1223" s="402"/>
      <c r="K1223" s="402"/>
      <c r="L1223" s="402"/>
      <c r="M1223" s="402"/>
      <c r="N1223" s="402"/>
      <c r="O1223" s="402"/>
      <c r="P1223" s="402"/>
      <c r="Q1223" s="402"/>
      <c r="R1223" s="402"/>
      <c r="S1223" s="402"/>
      <c r="T1223" s="402"/>
      <c r="U1223" s="402"/>
      <c r="V1223" s="402"/>
      <c r="W1223" s="402"/>
      <c r="X1223" s="402"/>
      <c r="Y1223" s="402"/>
      <c r="Z1223" s="402"/>
      <c r="AA1223" s="405"/>
      <c r="AB1223" s="405"/>
    </row>
    <row r="1224" ht="14.25" customHeight="1">
      <c r="A1224" s="497">
        <v>45524.0</v>
      </c>
      <c r="B1224" s="414" t="s">
        <v>761</v>
      </c>
      <c r="C1224" s="415" t="s">
        <v>1596</v>
      </c>
      <c r="D1224" s="415" t="s">
        <v>59</v>
      </c>
      <c r="E1224" s="344" t="s">
        <v>1143</v>
      </c>
      <c r="F1224" s="442">
        <v>56203.64</v>
      </c>
      <c r="G1224" s="413">
        <v>0.0</v>
      </c>
      <c r="H1224" s="349" t="s">
        <v>1675</v>
      </c>
      <c r="I1224" s="402"/>
      <c r="J1224" s="402"/>
      <c r="K1224" s="402"/>
      <c r="L1224" s="402"/>
      <c r="M1224" s="402"/>
      <c r="N1224" s="402"/>
      <c r="O1224" s="402"/>
      <c r="P1224" s="402"/>
      <c r="Q1224" s="402"/>
      <c r="R1224" s="402"/>
      <c r="S1224" s="402"/>
      <c r="T1224" s="402"/>
      <c r="U1224" s="402"/>
      <c r="V1224" s="402"/>
      <c r="W1224" s="402"/>
      <c r="X1224" s="402"/>
      <c r="Y1224" s="402"/>
      <c r="Z1224" s="402"/>
      <c r="AA1224" s="405"/>
      <c r="AB1224" s="405"/>
    </row>
    <row r="1225" ht="14.25" customHeight="1">
      <c r="A1225" s="497">
        <v>45524.0</v>
      </c>
      <c r="B1225" s="343" t="s">
        <v>1503</v>
      </c>
      <c r="C1225" s="344" t="s">
        <v>1504</v>
      </c>
      <c r="D1225" s="344" t="s">
        <v>54</v>
      </c>
      <c r="E1225" s="344" t="s">
        <v>1143</v>
      </c>
      <c r="F1225" s="442">
        <v>16812.0</v>
      </c>
      <c r="G1225" s="413">
        <v>0.0</v>
      </c>
      <c r="H1225" s="349" t="s">
        <v>1676</v>
      </c>
      <c r="I1225" s="402"/>
      <c r="J1225" s="402"/>
      <c r="K1225" s="402"/>
      <c r="L1225" s="402"/>
      <c r="M1225" s="402"/>
      <c r="N1225" s="402"/>
      <c r="O1225" s="402"/>
      <c r="P1225" s="402"/>
      <c r="Q1225" s="402"/>
      <c r="R1225" s="402"/>
      <c r="S1225" s="402"/>
      <c r="T1225" s="402"/>
      <c r="U1225" s="402"/>
      <c r="V1225" s="402"/>
      <c r="W1225" s="402"/>
      <c r="X1225" s="402"/>
      <c r="Y1225" s="402"/>
      <c r="Z1225" s="402"/>
      <c r="AA1225" s="405"/>
      <c r="AB1225" s="405"/>
    </row>
    <row r="1226" ht="14.25" customHeight="1">
      <c r="A1226" s="497">
        <v>45524.0</v>
      </c>
      <c r="B1226" s="343" t="s">
        <v>1475</v>
      </c>
      <c r="C1226" s="344" t="s">
        <v>765</v>
      </c>
      <c r="D1226" s="344" t="s">
        <v>75</v>
      </c>
      <c r="E1226" s="344" t="s">
        <v>1143</v>
      </c>
      <c r="F1226" s="442">
        <v>95970.0</v>
      </c>
      <c r="G1226" s="413">
        <v>0.0</v>
      </c>
      <c r="H1226" s="349" t="s">
        <v>1677</v>
      </c>
      <c r="I1226" s="402"/>
      <c r="J1226" s="402"/>
      <c r="K1226" s="402"/>
      <c r="L1226" s="402"/>
      <c r="M1226" s="402"/>
      <c r="N1226" s="402"/>
      <c r="O1226" s="402"/>
      <c r="P1226" s="402"/>
      <c r="Q1226" s="402"/>
      <c r="R1226" s="402"/>
      <c r="S1226" s="402"/>
      <c r="T1226" s="402"/>
      <c r="U1226" s="402"/>
      <c r="V1226" s="402"/>
      <c r="W1226" s="402"/>
      <c r="X1226" s="402"/>
      <c r="Y1226" s="402"/>
      <c r="Z1226" s="402"/>
      <c r="AA1226" s="405"/>
      <c r="AB1226" s="405"/>
    </row>
    <row r="1227" ht="14.25" customHeight="1">
      <c r="A1227" s="497">
        <v>45524.0</v>
      </c>
      <c r="B1227" s="343" t="s">
        <v>788</v>
      </c>
      <c r="C1227" s="344" t="s">
        <v>789</v>
      </c>
      <c r="D1227" s="344" t="s">
        <v>54</v>
      </c>
      <c r="E1227" s="344" t="s">
        <v>1143</v>
      </c>
      <c r="F1227" s="442">
        <v>98777.16</v>
      </c>
      <c r="G1227" s="403"/>
      <c r="H1227" s="402"/>
      <c r="I1227" s="402"/>
      <c r="J1227" s="402"/>
      <c r="K1227" s="402"/>
      <c r="L1227" s="402"/>
      <c r="M1227" s="402"/>
      <c r="N1227" s="402"/>
      <c r="O1227" s="402"/>
      <c r="P1227" s="402"/>
      <c r="Q1227" s="402"/>
      <c r="R1227" s="402"/>
      <c r="S1227" s="402"/>
      <c r="T1227" s="402"/>
      <c r="U1227" s="402"/>
      <c r="V1227" s="402"/>
      <c r="W1227" s="402"/>
      <c r="X1227" s="402"/>
      <c r="Y1227" s="402"/>
      <c r="Z1227" s="402"/>
      <c r="AA1227" s="405"/>
      <c r="AB1227" s="405"/>
    </row>
    <row r="1228" ht="14.25" customHeight="1">
      <c r="A1228" s="497">
        <v>45524.0</v>
      </c>
      <c r="B1228" s="343" t="s">
        <v>1012</v>
      </c>
      <c r="C1228" s="344" t="s">
        <v>1013</v>
      </c>
      <c r="D1228" s="344" t="s">
        <v>75</v>
      </c>
      <c r="E1228" s="344" t="s">
        <v>1143</v>
      </c>
      <c r="F1228" s="442">
        <v>201725.0</v>
      </c>
      <c r="G1228" s="413">
        <v>0.0</v>
      </c>
      <c r="H1228" s="349" t="s">
        <v>1678</v>
      </c>
      <c r="I1228" s="402"/>
      <c r="J1228" s="402"/>
      <c r="K1228" s="402"/>
      <c r="L1228" s="402"/>
      <c r="M1228" s="402"/>
      <c r="N1228" s="402"/>
      <c r="O1228" s="402"/>
      <c r="P1228" s="402"/>
      <c r="Q1228" s="402"/>
      <c r="R1228" s="402"/>
      <c r="S1228" s="402"/>
      <c r="T1228" s="402"/>
      <c r="U1228" s="402"/>
      <c r="V1228" s="402"/>
      <c r="W1228" s="402"/>
      <c r="X1228" s="402"/>
      <c r="Y1228" s="402"/>
      <c r="Z1228" s="402"/>
      <c r="AA1228" s="405"/>
      <c r="AB1228" s="405"/>
    </row>
    <row r="1229" ht="14.25" customHeight="1">
      <c r="A1229" s="497">
        <v>45524.0</v>
      </c>
      <c r="B1229" s="410" t="s">
        <v>827</v>
      </c>
      <c r="C1229" s="411" t="s">
        <v>828</v>
      </c>
      <c r="D1229" s="411" t="s">
        <v>54</v>
      </c>
      <c r="E1229" s="411" t="s">
        <v>1143</v>
      </c>
      <c r="F1229" s="489">
        <v>500000.0</v>
      </c>
      <c r="G1229" s="413">
        <v>0.0</v>
      </c>
      <c r="H1229" s="349" t="s">
        <v>1679</v>
      </c>
      <c r="I1229" s="402"/>
      <c r="J1229" s="402"/>
      <c r="K1229" s="402"/>
      <c r="L1229" s="402"/>
      <c r="M1229" s="402"/>
      <c r="N1229" s="402"/>
      <c r="O1229" s="402"/>
      <c r="P1229" s="402"/>
      <c r="Q1229" s="402"/>
      <c r="R1229" s="402"/>
      <c r="S1229" s="402"/>
      <c r="T1229" s="402"/>
      <c r="U1229" s="402"/>
      <c r="V1229" s="402"/>
      <c r="W1229" s="402"/>
      <c r="X1229" s="402"/>
      <c r="Y1229" s="402"/>
      <c r="Z1229" s="402"/>
      <c r="AA1229" s="405"/>
      <c r="AB1229" s="405"/>
    </row>
    <row r="1230" ht="14.25" customHeight="1">
      <c r="A1230" s="497"/>
      <c r="B1230" s="402"/>
      <c r="C1230" s="402"/>
      <c r="D1230" s="402"/>
      <c r="E1230" s="402"/>
      <c r="F1230" s="403"/>
      <c r="G1230" s="403"/>
      <c r="H1230" s="402"/>
      <c r="I1230" s="402"/>
      <c r="J1230" s="402"/>
      <c r="K1230" s="402"/>
      <c r="L1230" s="402"/>
      <c r="M1230" s="402"/>
      <c r="N1230" s="402"/>
      <c r="O1230" s="402"/>
      <c r="P1230" s="402"/>
      <c r="Q1230" s="402"/>
      <c r="R1230" s="402"/>
      <c r="S1230" s="402"/>
      <c r="T1230" s="402"/>
      <c r="U1230" s="402"/>
      <c r="V1230" s="402"/>
      <c r="W1230" s="402"/>
      <c r="X1230" s="402"/>
      <c r="Y1230" s="402"/>
      <c r="Z1230" s="402"/>
      <c r="AA1230" s="405"/>
      <c r="AB1230" s="405"/>
    </row>
    <row r="1231" ht="14.25" customHeight="1">
      <c r="A1231" s="497"/>
      <c r="B1231" s="402"/>
      <c r="C1231" s="402"/>
      <c r="D1231" s="402"/>
      <c r="E1231" s="402"/>
      <c r="F1231" s="403"/>
      <c r="G1231" s="403"/>
      <c r="H1231" s="402"/>
      <c r="I1231" s="402"/>
      <c r="J1231" s="402"/>
      <c r="K1231" s="402"/>
      <c r="L1231" s="402"/>
      <c r="M1231" s="402"/>
      <c r="N1231" s="402"/>
      <c r="O1231" s="402"/>
      <c r="P1231" s="402"/>
      <c r="Q1231" s="402"/>
      <c r="R1231" s="402"/>
      <c r="S1231" s="402"/>
      <c r="T1231" s="402"/>
      <c r="U1231" s="402"/>
      <c r="V1231" s="402"/>
      <c r="W1231" s="402"/>
      <c r="X1231" s="402"/>
      <c r="Y1231" s="402"/>
      <c r="Z1231" s="402"/>
      <c r="AA1231" s="405"/>
      <c r="AB1231" s="405"/>
    </row>
    <row r="1232" ht="14.25" customHeight="1">
      <c r="A1232" s="497"/>
      <c r="B1232" s="402"/>
      <c r="C1232" s="402"/>
      <c r="D1232" s="402"/>
      <c r="E1232" s="402"/>
      <c r="F1232" s="403"/>
      <c r="G1232" s="403"/>
      <c r="H1232" s="402"/>
      <c r="I1232" s="402"/>
      <c r="J1232" s="402"/>
      <c r="K1232" s="402"/>
      <c r="L1232" s="402"/>
      <c r="M1232" s="402"/>
      <c r="N1232" s="402"/>
      <c r="O1232" s="402"/>
      <c r="P1232" s="402"/>
      <c r="Q1232" s="402"/>
      <c r="R1232" s="402"/>
      <c r="S1232" s="402"/>
      <c r="T1232" s="402"/>
      <c r="U1232" s="402"/>
      <c r="V1232" s="402"/>
      <c r="W1232" s="402"/>
      <c r="X1232" s="402"/>
      <c r="Y1232" s="402"/>
      <c r="Z1232" s="402"/>
      <c r="AA1232" s="405"/>
      <c r="AB1232" s="405"/>
    </row>
    <row r="1233" ht="14.25" customHeight="1">
      <c r="A1233" s="497"/>
      <c r="B1233" s="402"/>
      <c r="C1233" s="402"/>
      <c r="D1233" s="402"/>
      <c r="E1233" s="402"/>
      <c r="F1233" s="403"/>
      <c r="G1233" s="403"/>
      <c r="H1233" s="402"/>
      <c r="I1233" s="402"/>
      <c r="J1233" s="402"/>
      <c r="K1233" s="402"/>
      <c r="L1233" s="402"/>
      <c r="M1233" s="402"/>
      <c r="N1233" s="402"/>
      <c r="O1233" s="402"/>
      <c r="P1233" s="402"/>
      <c r="Q1233" s="402"/>
      <c r="R1233" s="402"/>
      <c r="S1233" s="402"/>
      <c r="T1233" s="402"/>
      <c r="U1233" s="402"/>
      <c r="V1233" s="402"/>
      <c r="W1233" s="402"/>
      <c r="X1233" s="402"/>
      <c r="Y1233" s="402"/>
      <c r="Z1233" s="402"/>
      <c r="AA1233" s="405"/>
      <c r="AB1233" s="405"/>
    </row>
    <row r="1234" ht="14.25" customHeight="1">
      <c r="A1234" s="497"/>
      <c r="B1234" s="402"/>
      <c r="C1234" s="402"/>
      <c r="D1234" s="402"/>
      <c r="E1234" s="402"/>
      <c r="F1234" s="403"/>
      <c r="G1234" s="403"/>
      <c r="H1234" s="402"/>
      <c r="I1234" s="402"/>
      <c r="J1234" s="402"/>
      <c r="K1234" s="402"/>
      <c r="L1234" s="402"/>
      <c r="M1234" s="402"/>
      <c r="N1234" s="402"/>
      <c r="O1234" s="402"/>
      <c r="P1234" s="402"/>
      <c r="Q1234" s="402"/>
      <c r="R1234" s="402"/>
      <c r="S1234" s="402"/>
      <c r="T1234" s="402"/>
      <c r="U1234" s="402"/>
      <c r="V1234" s="402"/>
      <c r="W1234" s="402"/>
      <c r="X1234" s="402"/>
      <c r="Y1234" s="402"/>
      <c r="Z1234" s="402"/>
      <c r="AA1234" s="405"/>
      <c r="AB1234" s="405"/>
    </row>
    <row r="1235" ht="14.25" customHeight="1">
      <c r="A1235" s="497"/>
      <c r="B1235" s="402"/>
      <c r="C1235" s="424" t="s">
        <v>797</v>
      </c>
      <c r="D1235" s="402"/>
      <c r="E1235" s="402"/>
      <c r="F1235" s="403"/>
      <c r="G1235" s="403"/>
      <c r="H1235" s="402"/>
      <c r="I1235" s="402"/>
      <c r="J1235" s="402"/>
      <c r="K1235" s="402"/>
      <c r="L1235" s="402"/>
      <c r="M1235" s="402"/>
      <c r="N1235" s="402"/>
      <c r="O1235" s="402"/>
      <c r="P1235" s="402"/>
      <c r="Q1235" s="402"/>
      <c r="R1235" s="402"/>
      <c r="S1235" s="402"/>
      <c r="T1235" s="402"/>
      <c r="U1235" s="402"/>
      <c r="V1235" s="402"/>
      <c r="W1235" s="402"/>
      <c r="X1235" s="402"/>
      <c r="Y1235" s="402"/>
      <c r="Z1235" s="402"/>
      <c r="AA1235" s="405"/>
      <c r="AB1235" s="405"/>
    </row>
    <row r="1236" ht="14.25" customHeight="1">
      <c r="A1236" s="497">
        <v>45524.0</v>
      </c>
      <c r="B1236" s="349" t="s">
        <v>1087</v>
      </c>
      <c r="C1236" s="349" t="s">
        <v>1088</v>
      </c>
      <c r="D1236" s="349" t="s">
        <v>54</v>
      </c>
      <c r="E1236" s="349" t="s">
        <v>1255</v>
      </c>
      <c r="F1236" s="413">
        <v>25000.0</v>
      </c>
      <c r="G1236" s="403"/>
      <c r="H1236" s="349" t="s">
        <v>1680</v>
      </c>
      <c r="I1236" s="402"/>
      <c r="J1236" s="402"/>
      <c r="K1236" s="402"/>
      <c r="L1236" s="402"/>
      <c r="M1236" s="402"/>
      <c r="N1236" s="402"/>
      <c r="O1236" s="402"/>
      <c r="P1236" s="402"/>
      <c r="Q1236" s="402"/>
      <c r="R1236" s="402"/>
      <c r="S1236" s="402"/>
      <c r="T1236" s="402"/>
      <c r="U1236" s="402"/>
      <c r="V1236" s="402"/>
      <c r="W1236" s="402"/>
      <c r="X1236" s="402"/>
      <c r="Y1236" s="402"/>
      <c r="Z1236" s="402"/>
      <c r="AA1236" s="405"/>
      <c r="AB1236" s="405"/>
    </row>
    <row r="1237" ht="14.25" customHeight="1">
      <c r="A1237" s="497">
        <v>45524.0</v>
      </c>
      <c r="B1237" s="349" t="s">
        <v>1329</v>
      </c>
      <c r="C1237" s="349" t="s">
        <v>1330</v>
      </c>
      <c r="D1237" s="349" t="s">
        <v>54</v>
      </c>
      <c r="E1237" s="349" t="s">
        <v>1255</v>
      </c>
      <c r="F1237" s="413">
        <v>500000.0</v>
      </c>
      <c r="G1237" s="403"/>
      <c r="H1237" s="349" t="s">
        <v>1681</v>
      </c>
      <c r="I1237" s="402"/>
      <c r="J1237" s="402"/>
      <c r="K1237" s="402"/>
      <c r="L1237" s="402"/>
      <c r="M1237" s="402"/>
      <c r="N1237" s="402"/>
      <c r="O1237" s="402"/>
      <c r="P1237" s="402"/>
      <c r="Q1237" s="402"/>
      <c r="R1237" s="402"/>
      <c r="S1237" s="402"/>
      <c r="T1237" s="402"/>
      <c r="U1237" s="402"/>
      <c r="V1237" s="402"/>
      <c r="W1237" s="402"/>
      <c r="X1237" s="402"/>
      <c r="Y1237" s="402"/>
      <c r="Z1237" s="402"/>
      <c r="AA1237" s="405"/>
      <c r="AB1237" s="405"/>
    </row>
    <row r="1238" ht="14.25" customHeight="1">
      <c r="A1238" s="497">
        <v>45524.0</v>
      </c>
      <c r="B1238" s="349" t="s">
        <v>800</v>
      </c>
      <c r="C1238" s="349" t="s">
        <v>801</v>
      </c>
      <c r="D1238" s="493" t="s">
        <v>54</v>
      </c>
      <c r="E1238" s="349" t="s">
        <v>1255</v>
      </c>
      <c r="F1238" s="413">
        <v>20000.0</v>
      </c>
      <c r="G1238" s="403"/>
      <c r="H1238" s="349" t="s">
        <v>1682</v>
      </c>
      <c r="I1238" s="402"/>
      <c r="J1238" s="402"/>
      <c r="K1238" s="402"/>
      <c r="L1238" s="402"/>
      <c r="M1238" s="402"/>
      <c r="N1238" s="402"/>
      <c r="O1238" s="402"/>
      <c r="P1238" s="402"/>
      <c r="Q1238" s="402"/>
      <c r="R1238" s="402"/>
      <c r="S1238" s="402"/>
      <c r="T1238" s="402"/>
      <c r="U1238" s="402"/>
      <c r="V1238" s="402"/>
      <c r="W1238" s="402"/>
      <c r="X1238" s="402"/>
      <c r="Y1238" s="402"/>
      <c r="Z1238" s="402"/>
      <c r="AA1238" s="405"/>
      <c r="AB1238" s="405"/>
    </row>
    <row r="1239" ht="14.25" customHeight="1">
      <c r="A1239" s="497">
        <v>45524.0</v>
      </c>
      <c r="B1239" s="349" t="s">
        <v>886</v>
      </c>
      <c r="C1239" s="349" t="s">
        <v>1095</v>
      </c>
      <c r="D1239" s="349" t="s">
        <v>54</v>
      </c>
      <c r="E1239" s="349" t="s">
        <v>1255</v>
      </c>
      <c r="F1239" s="413">
        <v>500000.0</v>
      </c>
      <c r="G1239" s="403"/>
      <c r="H1239" s="349" t="s">
        <v>1683</v>
      </c>
      <c r="I1239" s="349"/>
      <c r="J1239" s="349"/>
      <c r="K1239" s="402"/>
      <c r="L1239" s="402"/>
      <c r="M1239" s="402"/>
      <c r="N1239" s="402"/>
      <c r="O1239" s="402"/>
      <c r="P1239" s="402"/>
      <c r="Q1239" s="402"/>
      <c r="R1239" s="402"/>
      <c r="S1239" s="402"/>
      <c r="T1239" s="402"/>
      <c r="U1239" s="402"/>
      <c r="V1239" s="402"/>
      <c r="W1239" s="402"/>
      <c r="X1239" s="402"/>
      <c r="Y1239" s="402"/>
      <c r="Z1239" s="402"/>
      <c r="AA1239" s="405"/>
      <c r="AB1239" s="405"/>
    </row>
    <row r="1240" ht="14.25" customHeight="1">
      <c r="A1240" s="497"/>
      <c r="B1240" s="349"/>
      <c r="C1240" s="349"/>
      <c r="D1240" s="349"/>
      <c r="E1240" s="349"/>
      <c r="F1240" s="413"/>
      <c r="G1240" s="403"/>
      <c r="H1240" s="402"/>
      <c r="I1240" s="402"/>
      <c r="J1240" s="402"/>
      <c r="K1240" s="402"/>
      <c r="L1240" s="402"/>
      <c r="M1240" s="402"/>
      <c r="N1240" s="402"/>
      <c r="O1240" s="402"/>
      <c r="P1240" s="402"/>
      <c r="Q1240" s="402"/>
      <c r="R1240" s="402"/>
      <c r="S1240" s="402"/>
      <c r="T1240" s="402"/>
      <c r="U1240" s="402"/>
      <c r="V1240" s="402"/>
      <c r="W1240" s="402"/>
      <c r="X1240" s="402"/>
      <c r="Y1240" s="402"/>
      <c r="Z1240" s="402"/>
      <c r="AA1240" s="405"/>
      <c r="AB1240" s="405"/>
    </row>
    <row r="1241" ht="14.25" customHeight="1">
      <c r="A1241" s="497"/>
      <c r="B1241" s="349"/>
      <c r="C1241" s="349"/>
      <c r="D1241" s="349"/>
      <c r="E1241" s="349"/>
      <c r="F1241" s="413"/>
      <c r="G1241" s="403"/>
      <c r="H1241" s="402"/>
      <c r="I1241" s="402"/>
      <c r="J1241" s="402"/>
      <c r="K1241" s="402"/>
      <c r="L1241" s="402"/>
      <c r="M1241" s="402"/>
      <c r="N1241" s="402"/>
      <c r="O1241" s="402"/>
      <c r="P1241" s="402"/>
      <c r="Q1241" s="402"/>
      <c r="R1241" s="402"/>
      <c r="S1241" s="402"/>
      <c r="T1241" s="402"/>
      <c r="U1241" s="402"/>
      <c r="V1241" s="402"/>
      <c r="W1241" s="402"/>
      <c r="X1241" s="402"/>
      <c r="Y1241" s="402"/>
      <c r="Z1241" s="402"/>
      <c r="AA1241" s="405"/>
      <c r="AB1241" s="405"/>
    </row>
    <row r="1242" ht="14.25" customHeight="1">
      <c r="A1242" s="497"/>
      <c r="B1242" s="349"/>
      <c r="C1242" s="349"/>
      <c r="D1242" s="349"/>
      <c r="E1242" s="349"/>
      <c r="F1242" s="413"/>
      <c r="G1242" s="403"/>
      <c r="H1242" s="402"/>
      <c r="I1242" s="402"/>
      <c r="J1242" s="402"/>
      <c r="K1242" s="402"/>
      <c r="L1242" s="402"/>
      <c r="M1242" s="402"/>
      <c r="N1242" s="402"/>
      <c r="O1242" s="402"/>
      <c r="P1242" s="402"/>
      <c r="Q1242" s="402"/>
      <c r="R1242" s="402"/>
      <c r="S1242" s="402"/>
      <c r="T1242" s="402"/>
      <c r="U1242" s="402"/>
      <c r="V1242" s="402"/>
      <c r="W1242" s="402"/>
      <c r="X1242" s="402"/>
      <c r="Y1242" s="402"/>
      <c r="Z1242" s="402"/>
      <c r="AA1242" s="405"/>
      <c r="AB1242" s="405"/>
    </row>
    <row r="1243" ht="14.25" customHeight="1">
      <c r="A1243" s="497"/>
      <c r="B1243" s="349"/>
      <c r="C1243" s="349"/>
      <c r="D1243" s="493"/>
      <c r="E1243" s="349"/>
      <c r="F1243" s="413"/>
      <c r="G1243" s="403"/>
      <c r="H1243" s="402"/>
      <c r="I1243" s="402"/>
      <c r="J1243" s="402"/>
      <c r="K1243" s="402"/>
      <c r="L1243" s="402"/>
      <c r="M1243" s="402"/>
      <c r="N1243" s="402"/>
      <c r="O1243" s="402"/>
      <c r="P1243" s="402"/>
      <c r="Q1243" s="402"/>
      <c r="R1243" s="402"/>
      <c r="S1243" s="402"/>
      <c r="T1243" s="402"/>
      <c r="U1243" s="402"/>
      <c r="V1243" s="402"/>
      <c r="W1243" s="402"/>
      <c r="X1243" s="402"/>
      <c r="Y1243" s="402"/>
      <c r="Z1243" s="402"/>
      <c r="AA1243" s="405"/>
      <c r="AB1243" s="405"/>
    </row>
    <row r="1244" ht="14.25" customHeight="1">
      <c r="A1244" s="497"/>
      <c r="B1244" s="526" t="s">
        <v>1684</v>
      </c>
      <c r="C1244" s="402"/>
      <c r="D1244" s="402"/>
      <c r="E1244" s="402"/>
      <c r="F1244" s="403"/>
      <c r="G1244" s="403"/>
      <c r="H1244" s="402"/>
      <c r="I1244" s="402"/>
      <c r="J1244" s="402"/>
      <c r="K1244" s="402"/>
      <c r="L1244" s="402"/>
      <c r="M1244" s="402"/>
      <c r="N1244" s="402"/>
      <c r="O1244" s="402"/>
      <c r="P1244" s="402"/>
      <c r="Q1244" s="402"/>
      <c r="R1244" s="402"/>
      <c r="S1244" s="402"/>
      <c r="T1244" s="402"/>
      <c r="U1244" s="402"/>
      <c r="V1244" s="402"/>
      <c r="W1244" s="402"/>
      <c r="X1244" s="402"/>
      <c r="Y1244" s="402"/>
      <c r="Z1244" s="402"/>
      <c r="AA1244" s="405"/>
      <c r="AB1244" s="405"/>
    </row>
    <row r="1245" ht="14.25" customHeight="1">
      <c r="A1245" s="497">
        <v>45525.0</v>
      </c>
      <c r="B1245" s="349" t="s">
        <v>1117</v>
      </c>
      <c r="C1245" s="349" t="s">
        <v>1332</v>
      </c>
      <c r="D1245" s="349" t="s">
        <v>1115</v>
      </c>
      <c r="E1245" s="349" t="s">
        <v>1098</v>
      </c>
      <c r="F1245" s="413">
        <v>170000.0</v>
      </c>
      <c r="G1245" s="403"/>
      <c r="H1245" s="349"/>
      <c r="I1245" s="402"/>
      <c r="J1245" s="402"/>
      <c r="K1245" s="402"/>
      <c r="L1245" s="402"/>
      <c r="M1245" s="402"/>
      <c r="N1245" s="402"/>
      <c r="O1245" s="402"/>
      <c r="P1245" s="402"/>
      <c r="Q1245" s="402"/>
      <c r="R1245" s="402"/>
      <c r="S1245" s="402"/>
      <c r="T1245" s="402"/>
      <c r="U1245" s="402"/>
      <c r="V1245" s="402"/>
      <c r="W1245" s="402"/>
      <c r="X1245" s="402"/>
      <c r="Y1245" s="402"/>
      <c r="Z1245" s="402"/>
      <c r="AA1245" s="405"/>
      <c r="AB1245" s="405"/>
    </row>
    <row r="1246" ht="14.25" customHeight="1">
      <c r="A1246" s="497">
        <v>45525.0</v>
      </c>
      <c r="B1246" s="484" t="s">
        <v>1113</v>
      </c>
      <c r="C1246" s="349" t="s">
        <v>1332</v>
      </c>
      <c r="D1246" s="349" t="s">
        <v>1115</v>
      </c>
      <c r="E1246" s="349" t="s">
        <v>1098</v>
      </c>
      <c r="F1246" s="413">
        <v>170000.0</v>
      </c>
      <c r="G1246" s="403"/>
      <c r="H1246" s="349"/>
      <c r="I1246" s="402"/>
      <c r="J1246" s="402"/>
      <c r="K1246" s="402"/>
      <c r="L1246" s="402"/>
      <c r="M1246" s="402"/>
      <c r="N1246" s="402"/>
      <c r="O1246" s="402"/>
      <c r="P1246" s="402"/>
      <c r="Q1246" s="402"/>
      <c r="R1246" s="402"/>
      <c r="S1246" s="402"/>
      <c r="T1246" s="402"/>
      <c r="U1246" s="402"/>
      <c r="V1246" s="402"/>
      <c r="W1246" s="402"/>
      <c r="X1246" s="402"/>
      <c r="Y1246" s="402"/>
      <c r="Z1246" s="402"/>
      <c r="AA1246" s="405"/>
      <c r="AB1246" s="405"/>
    </row>
    <row r="1247" ht="14.25" customHeight="1">
      <c r="A1247" s="497">
        <v>45525.0</v>
      </c>
      <c r="B1247" s="349" t="s">
        <v>777</v>
      </c>
      <c r="C1247" s="349" t="s">
        <v>778</v>
      </c>
      <c r="D1247" s="349" t="s">
        <v>54</v>
      </c>
      <c r="E1247" s="349" t="s">
        <v>1098</v>
      </c>
      <c r="F1247" s="413">
        <v>119325.0</v>
      </c>
      <c r="G1247" s="403"/>
      <c r="H1247" s="349" t="s">
        <v>1685</v>
      </c>
      <c r="I1247" s="402"/>
      <c r="J1247" s="402"/>
      <c r="K1247" s="402"/>
      <c r="L1247" s="402"/>
      <c r="M1247" s="402"/>
      <c r="N1247" s="402"/>
      <c r="O1247" s="402"/>
      <c r="P1247" s="402"/>
      <c r="Q1247" s="402"/>
      <c r="R1247" s="402"/>
      <c r="S1247" s="402"/>
      <c r="T1247" s="402"/>
      <c r="U1247" s="402"/>
      <c r="V1247" s="402"/>
      <c r="W1247" s="402"/>
      <c r="X1247" s="402"/>
      <c r="Y1247" s="402"/>
      <c r="Z1247" s="402"/>
      <c r="AA1247" s="405"/>
      <c r="AB1247" s="405"/>
    </row>
    <row r="1248" ht="14.25" customHeight="1">
      <c r="A1248" s="497">
        <v>45525.0</v>
      </c>
      <c r="B1248" s="349" t="s">
        <v>711</v>
      </c>
      <c r="C1248" s="349" t="s">
        <v>1123</v>
      </c>
      <c r="D1248" s="349" t="s">
        <v>75</v>
      </c>
      <c r="E1248" s="349" t="s">
        <v>1098</v>
      </c>
      <c r="F1248" s="413">
        <v>26556.61</v>
      </c>
      <c r="G1248" s="403"/>
      <c r="H1248" s="349" t="s">
        <v>1686</v>
      </c>
      <c r="I1248" s="402"/>
      <c r="J1248" s="402"/>
      <c r="K1248" s="402"/>
      <c r="L1248" s="402"/>
      <c r="M1248" s="402"/>
      <c r="N1248" s="402"/>
      <c r="O1248" s="402"/>
      <c r="P1248" s="402"/>
      <c r="Q1248" s="402"/>
      <c r="R1248" s="402"/>
      <c r="S1248" s="402"/>
      <c r="T1248" s="402"/>
      <c r="U1248" s="402"/>
      <c r="V1248" s="402"/>
      <c r="W1248" s="402"/>
      <c r="X1248" s="402"/>
      <c r="Y1248" s="402"/>
      <c r="Z1248" s="402"/>
      <c r="AA1248" s="405"/>
      <c r="AB1248" s="405"/>
    </row>
    <row r="1249" ht="14.25" customHeight="1">
      <c r="A1249" s="497">
        <v>45525.0</v>
      </c>
      <c r="B1249" s="349" t="s">
        <v>701</v>
      </c>
      <c r="C1249" s="349" t="s">
        <v>702</v>
      </c>
      <c r="D1249" s="349" t="s">
        <v>54</v>
      </c>
      <c r="E1249" s="349" t="s">
        <v>1098</v>
      </c>
      <c r="F1249" s="413">
        <v>10771.93</v>
      </c>
      <c r="G1249" s="403"/>
      <c r="H1249" s="349" t="s">
        <v>1687</v>
      </c>
      <c r="I1249" s="402"/>
      <c r="J1249" s="402"/>
      <c r="K1249" s="402"/>
      <c r="L1249" s="402"/>
      <c r="M1249" s="402"/>
      <c r="N1249" s="402"/>
      <c r="O1249" s="402"/>
      <c r="P1249" s="402"/>
      <c r="Q1249" s="402"/>
      <c r="R1249" s="402"/>
      <c r="S1249" s="402"/>
      <c r="T1249" s="402"/>
      <c r="U1249" s="402"/>
      <c r="V1249" s="402"/>
      <c r="W1249" s="402"/>
      <c r="X1249" s="402"/>
      <c r="Y1249" s="402"/>
      <c r="Z1249" s="402"/>
      <c r="AA1249" s="405"/>
      <c r="AB1249" s="405"/>
    </row>
    <row r="1250" ht="14.25" customHeight="1">
      <c r="A1250" s="497">
        <v>45525.0</v>
      </c>
      <c r="B1250" s="509" t="s">
        <v>1381</v>
      </c>
      <c r="C1250" s="510" t="s">
        <v>1382</v>
      </c>
      <c r="D1250" s="510" t="s">
        <v>54</v>
      </c>
      <c r="E1250" s="349" t="s">
        <v>1098</v>
      </c>
      <c r="F1250" s="416">
        <v>198106.72</v>
      </c>
      <c r="G1250" s="403"/>
      <c r="H1250" s="349" t="s">
        <v>1656</v>
      </c>
      <c r="I1250" s="402"/>
      <c r="J1250" s="402"/>
      <c r="K1250" s="402"/>
      <c r="L1250" s="402"/>
      <c r="M1250" s="402"/>
      <c r="N1250" s="402"/>
      <c r="O1250" s="402"/>
      <c r="P1250" s="402"/>
      <c r="Q1250" s="402"/>
      <c r="R1250" s="402"/>
      <c r="S1250" s="402"/>
      <c r="T1250" s="402"/>
      <c r="U1250" s="402"/>
      <c r="V1250" s="402"/>
      <c r="W1250" s="402"/>
      <c r="X1250" s="402"/>
      <c r="Y1250" s="402"/>
      <c r="Z1250" s="402"/>
      <c r="AA1250" s="405"/>
      <c r="AB1250" s="405"/>
    </row>
    <row r="1251" ht="14.25" customHeight="1">
      <c r="A1251" s="497">
        <v>45525.0</v>
      </c>
      <c r="B1251" s="492" t="s">
        <v>729</v>
      </c>
      <c r="C1251" s="493" t="s">
        <v>995</v>
      </c>
      <c r="D1251" s="493" t="s">
        <v>54</v>
      </c>
      <c r="E1251" s="349" t="s">
        <v>1098</v>
      </c>
      <c r="F1251" s="494">
        <v>244832.0</v>
      </c>
      <c r="G1251" s="403"/>
      <c r="H1251" s="349" t="s">
        <v>1688</v>
      </c>
      <c r="I1251" s="402"/>
      <c r="J1251" s="402"/>
      <c r="K1251" s="402"/>
      <c r="L1251" s="402"/>
      <c r="M1251" s="402"/>
      <c r="N1251" s="402"/>
      <c r="O1251" s="402"/>
      <c r="P1251" s="402"/>
      <c r="Q1251" s="402"/>
      <c r="R1251" s="402"/>
      <c r="S1251" s="402"/>
      <c r="T1251" s="402"/>
      <c r="U1251" s="402"/>
      <c r="V1251" s="402"/>
      <c r="W1251" s="402"/>
      <c r="X1251" s="402"/>
      <c r="Y1251" s="402"/>
      <c r="Z1251" s="402"/>
      <c r="AA1251" s="405"/>
      <c r="AB1251" s="405"/>
    </row>
    <row r="1252" ht="14.25" customHeight="1">
      <c r="A1252" s="497">
        <v>45525.0</v>
      </c>
      <c r="B1252" s="515" t="s">
        <v>1034</v>
      </c>
      <c r="C1252" s="516" t="s">
        <v>1401</v>
      </c>
      <c r="D1252" s="516" t="s">
        <v>54</v>
      </c>
      <c r="E1252" s="349" t="s">
        <v>1098</v>
      </c>
      <c r="F1252" s="416">
        <v>32840.0</v>
      </c>
      <c r="G1252" s="403"/>
      <c r="H1252" s="349" t="s">
        <v>1689</v>
      </c>
      <c r="I1252" s="402"/>
      <c r="J1252" s="402"/>
      <c r="K1252" s="402"/>
      <c r="L1252" s="402"/>
      <c r="M1252" s="402"/>
      <c r="N1252" s="402"/>
      <c r="O1252" s="402"/>
      <c r="P1252" s="402"/>
      <c r="Q1252" s="402"/>
      <c r="R1252" s="402"/>
      <c r="S1252" s="402"/>
      <c r="T1252" s="402"/>
      <c r="U1252" s="402"/>
      <c r="V1252" s="402"/>
      <c r="W1252" s="402"/>
      <c r="X1252" s="402"/>
      <c r="Y1252" s="402"/>
      <c r="Z1252" s="402"/>
      <c r="AA1252" s="405"/>
      <c r="AB1252" s="405"/>
    </row>
    <row r="1253" ht="14.25" customHeight="1">
      <c r="A1253" s="497">
        <v>45525.0</v>
      </c>
      <c r="B1253" s="518" t="s">
        <v>1559</v>
      </c>
      <c r="C1253" s="519" t="s">
        <v>1457</v>
      </c>
      <c r="D1253" s="519" t="s">
        <v>54</v>
      </c>
      <c r="E1253" s="349" t="s">
        <v>1098</v>
      </c>
      <c r="F1253" s="416">
        <v>34000.0</v>
      </c>
      <c r="G1253" s="403"/>
      <c r="H1253" s="349" t="s">
        <v>1690</v>
      </c>
      <c r="I1253" s="402"/>
      <c r="J1253" s="402"/>
      <c r="K1253" s="402"/>
      <c r="L1253" s="402"/>
      <c r="M1253" s="402"/>
      <c r="N1253" s="402"/>
      <c r="O1253" s="402"/>
      <c r="P1253" s="402"/>
      <c r="Q1253" s="402"/>
      <c r="R1253" s="402"/>
      <c r="S1253" s="402"/>
      <c r="T1253" s="402"/>
      <c r="U1253" s="402"/>
      <c r="V1253" s="402"/>
      <c r="W1253" s="402"/>
      <c r="X1253" s="402"/>
      <c r="Y1253" s="402"/>
      <c r="Z1253" s="402"/>
      <c r="AA1253" s="405"/>
      <c r="AB1253" s="405"/>
    </row>
    <row r="1254" ht="14.25" customHeight="1">
      <c r="A1254" s="497">
        <v>45525.0</v>
      </c>
      <c r="B1254" s="518" t="s">
        <v>717</v>
      </c>
      <c r="C1254" s="519" t="s">
        <v>1587</v>
      </c>
      <c r="D1254" s="519" t="s">
        <v>54</v>
      </c>
      <c r="E1254" s="349" t="s">
        <v>1098</v>
      </c>
      <c r="F1254" s="416">
        <v>15378.82</v>
      </c>
      <c r="G1254" s="403"/>
      <c r="H1254" s="349" t="s">
        <v>1691</v>
      </c>
      <c r="I1254" s="402"/>
      <c r="J1254" s="402"/>
      <c r="K1254" s="402"/>
      <c r="L1254" s="402"/>
      <c r="M1254" s="402"/>
      <c r="N1254" s="402"/>
      <c r="O1254" s="402"/>
      <c r="P1254" s="402"/>
      <c r="Q1254" s="402"/>
      <c r="R1254" s="402"/>
      <c r="S1254" s="402"/>
      <c r="T1254" s="402"/>
      <c r="U1254" s="402"/>
      <c r="V1254" s="402"/>
      <c r="W1254" s="402"/>
      <c r="X1254" s="402"/>
      <c r="Y1254" s="402"/>
      <c r="Z1254" s="402"/>
      <c r="AA1254" s="405"/>
      <c r="AB1254" s="405"/>
    </row>
    <row r="1255" ht="14.25" customHeight="1">
      <c r="A1255" s="497">
        <v>45525.0</v>
      </c>
      <c r="B1255" s="515" t="s">
        <v>720</v>
      </c>
      <c r="C1255" s="516" t="s">
        <v>721</v>
      </c>
      <c r="D1255" s="516" t="s">
        <v>54</v>
      </c>
      <c r="E1255" s="349" t="s">
        <v>1098</v>
      </c>
      <c r="F1255" s="416">
        <v>50605.0</v>
      </c>
      <c r="G1255" s="413"/>
      <c r="H1255" s="349" t="s">
        <v>1692</v>
      </c>
      <c r="I1255" s="402"/>
      <c r="J1255" s="402"/>
      <c r="K1255" s="402"/>
      <c r="L1255" s="402"/>
      <c r="M1255" s="402"/>
      <c r="N1255" s="402"/>
      <c r="O1255" s="402"/>
      <c r="P1255" s="402"/>
      <c r="Q1255" s="402"/>
      <c r="R1255" s="402"/>
      <c r="S1255" s="402"/>
      <c r="T1255" s="402"/>
      <c r="U1255" s="402"/>
      <c r="V1255" s="402"/>
      <c r="W1255" s="402"/>
      <c r="X1255" s="402"/>
      <c r="Y1255" s="402"/>
      <c r="Z1255" s="402"/>
      <c r="AA1255" s="405"/>
      <c r="AB1255" s="405"/>
    </row>
    <row r="1256" ht="14.25" customHeight="1">
      <c r="A1256" s="497">
        <v>45525.0</v>
      </c>
      <c r="B1256" s="518" t="s">
        <v>1622</v>
      </c>
      <c r="C1256" s="519" t="s">
        <v>730</v>
      </c>
      <c r="D1256" s="519" t="s">
        <v>75</v>
      </c>
      <c r="E1256" s="415" t="s">
        <v>1153</v>
      </c>
      <c r="F1256" s="416">
        <v>1878449.0</v>
      </c>
      <c r="G1256" s="413"/>
      <c r="H1256" s="349" t="s">
        <v>1688</v>
      </c>
      <c r="I1256" s="402"/>
      <c r="J1256" s="402"/>
      <c r="K1256" s="402"/>
      <c r="L1256" s="402"/>
      <c r="M1256" s="402"/>
      <c r="N1256" s="402"/>
      <c r="O1256" s="402"/>
      <c r="P1256" s="402"/>
      <c r="Q1256" s="402"/>
      <c r="R1256" s="402"/>
      <c r="S1256" s="402"/>
      <c r="T1256" s="402"/>
      <c r="U1256" s="402"/>
      <c r="V1256" s="402"/>
      <c r="W1256" s="402"/>
      <c r="X1256" s="402"/>
      <c r="Y1256" s="402"/>
      <c r="Z1256" s="402"/>
      <c r="AA1256" s="405"/>
      <c r="AB1256" s="405"/>
    </row>
    <row r="1257" ht="14.25" customHeight="1">
      <c r="A1257" s="497">
        <v>45525.0</v>
      </c>
      <c r="B1257" s="349" t="s">
        <v>1155</v>
      </c>
      <c r="C1257" s="349" t="s">
        <v>1156</v>
      </c>
      <c r="D1257" s="493" t="s">
        <v>54</v>
      </c>
      <c r="E1257" s="415" t="s">
        <v>1153</v>
      </c>
      <c r="F1257" s="413">
        <v>295732.73</v>
      </c>
      <c r="G1257" s="413"/>
      <c r="H1257" s="349" t="s">
        <v>1693</v>
      </c>
      <c r="I1257" s="402"/>
      <c r="J1257" s="402"/>
      <c r="K1257" s="402"/>
      <c r="L1257" s="402"/>
      <c r="M1257" s="402"/>
      <c r="N1257" s="402"/>
      <c r="O1257" s="402"/>
      <c r="P1257" s="402"/>
      <c r="Q1257" s="402"/>
      <c r="R1257" s="402"/>
      <c r="S1257" s="402"/>
      <c r="T1257" s="402"/>
      <c r="U1257" s="402"/>
      <c r="V1257" s="402"/>
      <c r="W1257" s="402"/>
      <c r="X1257" s="402"/>
      <c r="Y1257" s="402"/>
      <c r="Z1257" s="402"/>
      <c r="AA1257" s="405"/>
      <c r="AB1257" s="405"/>
    </row>
    <row r="1258" ht="14.25" customHeight="1">
      <c r="A1258" s="497">
        <v>45525.0</v>
      </c>
      <c r="B1258" s="349" t="s">
        <v>960</v>
      </c>
      <c r="C1258" s="349" t="s">
        <v>961</v>
      </c>
      <c r="D1258" s="493" t="s">
        <v>54</v>
      </c>
      <c r="E1258" s="415" t="s">
        <v>1153</v>
      </c>
      <c r="F1258" s="413">
        <v>100000.0</v>
      </c>
      <c r="G1258" s="413"/>
      <c r="H1258" s="349" t="s">
        <v>1694</v>
      </c>
      <c r="I1258" s="402"/>
      <c r="J1258" s="402"/>
      <c r="K1258" s="402"/>
      <c r="L1258" s="402"/>
      <c r="M1258" s="402"/>
      <c r="N1258" s="402"/>
      <c r="O1258" s="402"/>
      <c r="P1258" s="402"/>
      <c r="Q1258" s="402"/>
      <c r="R1258" s="402"/>
      <c r="S1258" s="402"/>
      <c r="T1258" s="402"/>
      <c r="U1258" s="402"/>
      <c r="V1258" s="402"/>
      <c r="W1258" s="402"/>
      <c r="X1258" s="402"/>
      <c r="Y1258" s="402"/>
      <c r="Z1258" s="402"/>
      <c r="AA1258" s="405"/>
      <c r="AB1258" s="405"/>
    </row>
    <row r="1259" ht="14.25" customHeight="1">
      <c r="A1259" s="497">
        <v>45525.0</v>
      </c>
      <c r="B1259" s="349" t="s">
        <v>1346</v>
      </c>
      <c r="C1259" s="349" t="s">
        <v>1347</v>
      </c>
      <c r="D1259" s="411" t="s">
        <v>59</v>
      </c>
      <c r="E1259" s="415" t="s">
        <v>1153</v>
      </c>
      <c r="F1259" s="413">
        <v>300000.0</v>
      </c>
      <c r="G1259" s="413"/>
      <c r="H1259" s="349" t="s">
        <v>1695</v>
      </c>
      <c r="I1259" s="402"/>
      <c r="J1259" s="402"/>
      <c r="K1259" s="402"/>
      <c r="L1259" s="402"/>
      <c r="M1259" s="402"/>
      <c r="N1259" s="402"/>
      <c r="O1259" s="402"/>
      <c r="P1259" s="402"/>
      <c r="Q1259" s="402"/>
      <c r="R1259" s="402"/>
      <c r="S1259" s="402"/>
      <c r="T1259" s="402"/>
      <c r="U1259" s="402"/>
      <c r="V1259" s="402"/>
      <c r="W1259" s="402"/>
      <c r="X1259" s="402"/>
      <c r="Y1259" s="402"/>
      <c r="Z1259" s="402"/>
      <c r="AA1259" s="405"/>
      <c r="AB1259" s="405"/>
    </row>
    <row r="1260" ht="14.25" customHeight="1">
      <c r="A1260" s="497">
        <v>45525.0</v>
      </c>
      <c r="B1260" s="518" t="s">
        <v>746</v>
      </c>
      <c r="C1260" s="519" t="s">
        <v>747</v>
      </c>
      <c r="D1260" s="519" t="s">
        <v>54</v>
      </c>
      <c r="E1260" s="415" t="s">
        <v>1153</v>
      </c>
      <c r="F1260" s="413">
        <v>108000.0</v>
      </c>
      <c r="G1260" s="413"/>
      <c r="H1260" s="349" t="s">
        <v>1696</v>
      </c>
      <c r="I1260" s="402"/>
      <c r="J1260" s="402"/>
      <c r="K1260" s="402"/>
      <c r="L1260" s="402"/>
      <c r="M1260" s="402"/>
      <c r="N1260" s="402"/>
      <c r="O1260" s="402"/>
      <c r="P1260" s="402"/>
      <c r="Q1260" s="402"/>
      <c r="R1260" s="402"/>
      <c r="S1260" s="402"/>
      <c r="T1260" s="402"/>
      <c r="U1260" s="402"/>
      <c r="V1260" s="402"/>
      <c r="W1260" s="402"/>
      <c r="X1260" s="402"/>
      <c r="Y1260" s="402"/>
      <c r="Z1260" s="402"/>
      <c r="AA1260" s="405"/>
      <c r="AB1260" s="405"/>
    </row>
    <row r="1261" ht="14.25" customHeight="1">
      <c r="A1261" s="497">
        <v>45525.0</v>
      </c>
      <c r="B1261" s="518" t="s">
        <v>786</v>
      </c>
      <c r="C1261" s="519" t="s">
        <v>787</v>
      </c>
      <c r="D1261" s="519" t="s">
        <v>54</v>
      </c>
      <c r="E1261" s="411" t="s">
        <v>1153</v>
      </c>
      <c r="F1261" s="413">
        <v>15712.14</v>
      </c>
      <c r="G1261" s="413"/>
      <c r="H1261" s="349" t="s">
        <v>1697</v>
      </c>
      <c r="I1261" s="402"/>
      <c r="J1261" s="402"/>
      <c r="K1261" s="402"/>
      <c r="L1261" s="402"/>
      <c r="M1261" s="402"/>
      <c r="N1261" s="402"/>
      <c r="O1261" s="402"/>
      <c r="P1261" s="402"/>
      <c r="Q1261" s="402"/>
      <c r="R1261" s="402"/>
      <c r="S1261" s="402"/>
      <c r="T1261" s="402"/>
      <c r="U1261" s="402"/>
      <c r="V1261" s="402"/>
      <c r="W1261" s="402"/>
      <c r="X1261" s="402"/>
      <c r="Y1261" s="402"/>
      <c r="Z1261" s="402"/>
      <c r="AA1261" s="405"/>
      <c r="AB1261" s="405"/>
    </row>
    <row r="1262" ht="14.25" customHeight="1">
      <c r="A1262" s="497">
        <v>45525.0</v>
      </c>
      <c r="B1262" s="518" t="s">
        <v>744</v>
      </c>
      <c r="C1262" s="519" t="s">
        <v>745</v>
      </c>
      <c r="D1262" s="519" t="s">
        <v>54</v>
      </c>
      <c r="E1262" s="411" t="s">
        <v>1153</v>
      </c>
      <c r="F1262" s="413">
        <v>20000.0</v>
      </c>
      <c r="G1262" s="413"/>
      <c r="H1262" s="349" t="s">
        <v>1657</v>
      </c>
      <c r="I1262" s="402"/>
      <c r="J1262" s="402"/>
      <c r="K1262" s="402"/>
      <c r="L1262" s="402"/>
      <c r="M1262" s="402"/>
      <c r="N1262" s="402"/>
      <c r="O1262" s="402"/>
      <c r="P1262" s="402"/>
      <c r="Q1262" s="402"/>
      <c r="R1262" s="402"/>
      <c r="S1262" s="402"/>
      <c r="T1262" s="402"/>
      <c r="U1262" s="402"/>
      <c r="V1262" s="402"/>
      <c r="W1262" s="402"/>
      <c r="X1262" s="402"/>
      <c r="Y1262" s="402"/>
      <c r="Z1262" s="402"/>
      <c r="AA1262" s="405"/>
      <c r="AB1262" s="405"/>
    </row>
    <row r="1263" ht="14.25" customHeight="1">
      <c r="A1263" s="497">
        <v>45525.0</v>
      </c>
      <c r="B1263" s="518" t="s">
        <v>749</v>
      </c>
      <c r="C1263" s="519" t="s">
        <v>750</v>
      </c>
      <c r="D1263" s="519" t="s">
        <v>54</v>
      </c>
      <c r="E1263" s="349" t="s">
        <v>1153</v>
      </c>
      <c r="F1263" s="413">
        <v>27769.74</v>
      </c>
      <c r="G1263" s="413"/>
      <c r="H1263" s="349" t="s">
        <v>1698</v>
      </c>
      <c r="I1263" s="402"/>
      <c r="J1263" s="402"/>
      <c r="K1263" s="402"/>
      <c r="L1263" s="402"/>
      <c r="M1263" s="402"/>
      <c r="N1263" s="402"/>
      <c r="O1263" s="402"/>
      <c r="P1263" s="402"/>
      <c r="Q1263" s="402"/>
      <c r="R1263" s="402"/>
      <c r="S1263" s="402"/>
      <c r="T1263" s="402"/>
      <c r="U1263" s="402"/>
      <c r="V1263" s="402"/>
      <c r="W1263" s="402"/>
      <c r="X1263" s="402"/>
      <c r="Y1263" s="402"/>
      <c r="Z1263" s="402"/>
      <c r="AA1263" s="405"/>
      <c r="AB1263" s="405"/>
    </row>
    <row r="1264" ht="14.25" customHeight="1">
      <c r="A1264" s="497">
        <v>45525.0</v>
      </c>
      <c r="B1264" s="349" t="s">
        <v>783</v>
      </c>
      <c r="C1264" s="349" t="s">
        <v>784</v>
      </c>
      <c r="D1264" s="349" t="s">
        <v>54</v>
      </c>
      <c r="E1264" s="349" t="s">
        <v>1139</v>
      </c>
      <c r="F1264" s="413">
        <v>30000.0</v>
      </c>
      <c r="G1264" s="413"/>
      <c r="H1264" s="402"/>
      <c r="I1264" s="402"/>
      <c r="J1264" s="402"/>
      <c r="K1264" s="402"/>
      <c r="L1264" s="402"/>
      <c r="M1264" s="402"/>
      <c r="N1264" s="402"/>
      <c r="O1264" s="402"/>
      <c r="P1264" s="402"/>
      <c r="Q1264" s="402"/>
      <c r="R1264" s="402"/>
      <c r="S1264" s="402"/>
      <c r="T1264" s="402"/>
      <c r="U1264" s="402"/>
      <c r="V1264" s="402"/>
      <c r="W1264" s="402"/>
      <c r="X1264" s="402"/>
      <c r="Y1264" s="402"/>
      <c r="Z1264" s="402"/>
      <c r="AA1264" s="405"/>
      <c r="AB1264" s="405"/>
    </row>
    <row r="1265" ht="14.25" customHeight="1">
      <c r="A1265" s="497">
        <v>45525.0</v>
      </c>
      <c r="B1265" s="414" t="s">
        <v>1525</v>
      </c>
      <c r="C1265" s="415" t="s">
        <v>1426</v>
      </c>
      <c r="D1265" s="415" t="s">
        <v>54</v>
      </c>
      <c r="E1265" s="349" t="s">
        <v>1139</v>
      </c>
      <c r="F1265" s="413">
        <v>6500.0</v>
      </c>
      <c r="G1265" s="413"/>
      <c r="H1265" s="349" t="s">
        <v>1699</v>
      </c>
      <c r="I1265" s="402"/>
      <c r="J1265" s="402"/>
      <c r="K1265" s="402"/>
      <c r="L1265" s="402"/>
      <c r="M1265" s="402"/>
      <c r="N1265" s="402"/>
      <c r="O1265" s="402"/>
      <c r="P1265" s="402"/>
      <c r="Q1265" s="402"/>
      <c r="R1265" s="402"/>
      <c r="S1265" s="402"/>
      <c r="T1265" s="402"/>
      <c r="U1265" s="402"/>
      <c r="V1265" s="402"/>
      <c r="W1265" s="402"/>
      <c r="X1265" s="402"/>
      <c r="Y1265" s="402"/>
      <c r="Z1265" s="402"/>
      <c r="AA1265" s="405"/>
      <c r="AB1265" s="405"/>
    </row>
    <row r="1266" ht="14.25" customHeight="1">
      <c r="A1266" s="497">
        <v>45525.0</v>
      </c>
      <c r="B1266" s="349" t="s">
        <v>698</v>
      </c>
      <c r="C1266" s="349" t="s">
        <v>1167</v>
      </c>
      <c r="D1266" s="349" t="s">
        <v>54</v>
      </c>
      <c r="E1266" s="349" t="s">
        <v>1168</v>
      </c>
      <c r="F1266" s="413">
        <v>15291.93</v>
      </c>
      <c r="G1266" s="403"/>
      <c r="H1266" s="534" t="s">
        <v>1700</v>
      </c>
      <c r="I1266" s="402"/>
      <c r="J1266" s="402"/>
      <c r="K1266" s="402"/>
      <c r="L1266" s="402"/>
      <c r="M1266" s="402"/>
      <c r="N1266" s="402"/>
      <c r="O1266" s="402"/>
      <c r="P1266" s="402"/>
      <c r="Q1266" s="402"/>
      <c r="R1266" s="402"/>
      <c r="S1266" s="402"/>
      <c r="T1266" s="402"/>
      <c r="U1266" s="402"/>
      <c r="V1266" s="402"/>
      <c r="W1266" s="402"/>
      <c r="X1266" s="402"/>
      <c r="Y1266" s="402"/>
      <c r="Z1266" s="402"/>
      <c r="AA1266" s="405"/>
      <c r="AB1266" s="405"/>
    </row>
    <row r="1267" ht="14.25" customHeight="1">
      <c r="A1267" s="497">
        <v>45525.0</v>
      </c>
      <c r="B1267" s="343" t="s">
        <v>1223</v>
      </c>
      <c r="C1267" s="344" t="s">
        <v>998</v>
      </c>
      <c r="D1267" s="344" t="s">
        <v>346</v>
      </c>
      <c r="E1267" s="349" t="s">
        <v>1168</v>
      </c>
      <c r="F1267" s="452">
        <v>28350.0</v>
      </c>
      <c r="G1267" s="403"/>
      <c r="H1267" s="349" t="s">
        <v>1669</v>
      </c>
      <c r="I1267" s="402"/>
      <c r="J1267" s="402"/>
      <c r="K1267" s="402"/>
      <c r="L1267" s="402"/>
      <c r="M1267" s="402"/>
      <c r="N1267" s="402"/>
      <c r="O1267" s="402"/>
      <c r="P1267" s="402"/>
      <c r="Q1267" s="402"/>
      <c r="R1267" s="402"/>
      <c r="S1267" s="402"/>
      <c r="T1267" s="402"/>
      <c r="U1267" s="402"/>
      <c r="V1267" s="402"/>
      <c r="W1267" s="402"/>
      <c r="X1267" s="402"/>
      <c r="Y1267" s="402"/>
      <c r="Z1267" s="402"/>
      <c r="AA1267" s="405"/>
      <c r="AB1267" s="405"/>
    </row>
    <row r="1268" ht="14.25" customHeight="1">
      <c r="A1268" s="497">
        <v>45525.0</v>
      </c>
      <c r="B1268" s="349" t="s">
        <v>997</v>
      </c>
      <c r="C1268" s="349" t="s">
        <v>998</v>
      </c>
      <c r="D1268" s="349" t="s">
        <v>263</v>
      </c>
      <c r="E1268" s="349" t="s">
        <v>1168</v>
      </c>
      <c r="F1268" s="413">
        <v>81947.25</v>
      </c>
      <c r="G1268" s="403"/>
      <c r="H1268" s="349" t="s">
        <v>1669</v>
      </c>
      <c r="I1268" s="402"/>
      <c r="J1268" s="402"/>
      <c r="K1268" s="402"/>
      <c r="L1268" s="402"/>
      <c r="M1268" s="402"/>
      <c r="N1268" s="402"/>
      <c r="O1268" s="402"/>
      <c r="P1268" s="402"/>
      <c r="Q1268" s="402"/>
      <c r="R1268" s="402"/>
      <c r="S1268" s="402"/>
      <c r="T1268" s="402"/>
      <c r="U1268" s="402"/>
      <c r="V1268" s="402"/>
      <c r="W1268" s="402"/>
      <c r="X1268" s="402"/>
      <c r="Y1268" s="402"/>
      <c r="Z1268" s="402"/>
      <c r="AA1268" s="405"/>
      <c r="AB1268" s="405"/>
    </row>
    <row r="1269" ht="14.25" customHeight="1">
      <c r="A1269" s="497">
        <v>45525.0</v>
      </c>
      <c r="B1269" s="343" t="s">
        <v>695</v>
      </c>
      <c r="C1269" s="344" t="s">
        <v>1529</v>
      </c>
      <c r="D1269" s="415" t="s">
        <v>1670</v>
      </c>
      <c r="E1269" s="349" t="s">
        <v>1168</v>
      </c>
      <c r="F1269" s="442">
        <v>61570.81</v>
      </c>
      <c r="G1269" s="413"/>
      <c r="H1269" s="349" t="s">
        <v>1701</v>
      </c>
      <c r="I1269" s="402"/>
      <c r="J1269" s="402"/>
      <c r="K1269" s="402"/>
      <c r="L1269" s="402"/>
      <c r="M1269" s="402"/>
      <c r="N1269" s="402"/>
      <c r="O1269" s="402"/>
      <c r="P1269" s="402"/>
      <c r="Q1269" s="402"/>
      <c r="R1269" s="402"/>
      <c r="S1269" s="402"/>
      <c r="T1269" s="402"/>
      <c r="U1269" s="402"/>
      <c r="V1269" s="402"/>
      <c r="W1269" s="402"/>
      <c r="X1269" s="402"/>
      <c r="Y1269" s="402"/>
      <c r="Z1269" s="402"/>
      <c r="AA1269" s="405"/>
      <c r="AB1269" s="405"/>
    </row>
    <row r="1270" ht="14.25" customHeight="1">
      <c r="A1270" s="497">
        <v>45525.0</v>
      </c>
      <c r="B1270" s="518" t="s">
        <v>691</v>
      </c>
      <c r="C1270" s="519" t="s">
        <v>692</v>
      </c>
      <c r="D1270" s="519" t="s">
        <v>54</v>
      </c>
      <c r="E1270" s="349" t="s">
        <v>1168</v>
      </c>
      <c r="F1270" s="442">
        <v>11150.0</v>
      </c>
      <c r="G1270" s="413"/>
      <c r="H1270" s="349" t="s">
        <v>1702</v>
      </c>
      <c r="I1270" s="402"/>
      <c r="J1270" s="402"/>
      <c r="K1270" s="402"/>
      <c r="L1270" s="402"/>
      <c r="M1270" s="402"/>
      <c r="N1270" s="402"/>
      <c r="O1270" s="402"/>
      <c r="P1270" s="402"/>
      <c r="Q1270" s="402"/>
      <c r="R1270" s="402"/>
      <c r="S1270" s="402"/>
      <c r="T1270" s="402"/>
      <c r="U1270" s="402"/>
      <c r="V1270" s="402"/>
      <c r="W1270" s="402"/>
      <c r="X1270" s="402"/>
      <c r="Y1270" s="402"/>
      <c r="Z1270" s="402"/>
      <c r="AA1270" s="405"/>
      <c r="AB1270" s="405"/>
    </row>
    <row r="1271" ht="14.25" customHeight="1">
      <c r="A1271" s="497">
        <v>45525.0</v>
      </c>
      <c r="B1271" s="515" t="s">
        <v>1673</v>
      </c>
      <c r="C1271" s="516" t="s">
        <v>1674</v>
      </c>
      <c r="D1271" s="516" t="s">
        <v>54</v>
      </c>
      <c r="E1271" s="349" t="s">
        <v>1168</v>
      </c>
      <c r="F1271" s="442">
        <v>34054.54</v>
      </c>
      <c r="G1271" s="403"/>
      <c r="H1271" s="349" t="s">
        <v>1703</v>
      </c>
      <c r="I1271" s="402"/>
      <c r="J1271" s="402"/>
      <c r="K1271" s="402"/>
      <c r="L1271" s="402"/>
      <c r="M1271" s="402"/>
      <c r="N1271" s="402"/>
      <c r="O1271" s="402"/>
      <c r="P1271" s="402"/>
      <c r="Q1271" s="402"/>
      <c r="R1271" s="402"/>
      <c r="S1271" s="402"/>
      <c r="T1271" s="402"/>
      <c r="U1271" s="402"/>
      <c r="V1271" s="402"/>
      <c r="W1271" s="402"/>
      <c r="X1271" s="402"/>
      <c r="Y1271" s="402"/>
      <c r="Z1271" s="402"/>
      <c r="AA1271" s="405"/>
      <c r="AB1271" s="405"/>
    </row>
    <row r="1272" ht="14.25" customHeight="1">
      <c r="A1272" s="497">
        <v>45525.0</v>
      </c>
      <c r="B1272" s="518" t="s">
        <v>774</v>
      </c>
      <c r="C1272" s="519" t="s">
        <v>775</v>
      </c>
      <c r="D1272" s="519" t="s">
        <v>54</v>
      </c>
      <c r="E1272" s="344" t="s">
        <v>1143</v>
      </c>
      <c r="F1272" s="442">
        <v>222580.41</v>
      </c>
      <c r="G1272" s="413">
        <v>150000.0</v>
      </c>
      <c r="H1272" s="349" t="s">
        <v>1704</v>
      </c>
      <c r="I1272" s="402"/>
      <c r="J1272" s="402"/>
      <c r="K1272" s="402"/>
      <c r="L1272" s="402"/>
      <c r="M1272" s="402"/>
      <c r="N1272" s="402"/>
      <c r="O1272" s="402"/>
      <c r="P1272" s="402"/>
      <c r="Q1272" s="402"/>
      <c r="R1272" s="402"/>
      <c r="S1272" s="402"/>
      <c r="T1272" s="402"/>
      <c r="U1272" s="402"/>
      <c r="V1272" s="402"/>
      <c r="W1272" s="402"/>
      <c r="X1272" s="402"/>
      <c r="Y1272" s="402"/>
      <c r="Z1272" s="402"/>
      <c r="AA1272" s="405"/>
      <c r="AB1272" s="405"/>
    </row>
    <row r="1273" ht="14.25" customHeight="1">
      <c r="A1273" s="497">
        <v>45525.0</v>
      </c>
      <c r="B1273" s="518" t="s">
        <v>1644</v>
      </c>
      <c r="C1273" s="519" t="s">
        <v>1645</v>
      </c>
      <c r="D1273" s="519" t="s">
        <v>54</v>
      </c>
      <c r="E1273" s="344" t="s">
        <v>1143</v>
      </c>
      <c r="F1273" s="442">
        <v>39680.0</v>
      </c>
      <c r="G1273" s="403"/>
      <c r="H1273" s="349" t="s">
        <v>1705</v>
      </c>
      <c r="I1273" s="402"/>
      <c r="J1273" s="402"/>
      <c r="K1273" s="402"/>
      <c r="L1273" s="402"/>
      <c r="M1273" s="402"/>
      <c r="N1273" s="402"/>
      <c r="O1273" s="402"/>
      <c r="P1273" s="402"/>
      <c r="Q1273" s="402"/>
      <c r="R1273" s="402"/>
      <c r="S1273" s="402"/>
      <c r="T1273" s="402"/>
      <c r="U1273" s="402"/>
      <c r="V1273" s="402"/>
      <c r="W1273" s="402"/>
      <c r="X1273" s="402"/>
      <c r="Y1273" s="402"/>
      <c r="Z1273" s="402"/>
      <c r="AA1273" s="405"/>
      <c r="AB1273" s="405"/>
    </row>
    <row r="1274" ht="14.25" customHeight="1">
      <c r="A1274" s="497">
        <v>45525.0</v>
      </c>
      <c r="B1274" s="414" t="s">
        <v>761</v>
      </c>
      <c r="C1274" s="415" t="s">
        <v>1596</v>
      </c>
      <c r="D1274" s="415" t="s">
        <v>59</v>
      </c>
      <c r="E1274" s="344" t="s">
        <v>1143</v>
      </c>
      <c r="F1274" s="442">
        <v>56203.64</v>
      </c>
      <c r="G1274" s="413">
        <v>10000.0</v>
      </c>
      <c r="H1274" s="349" t="s">
        <v>1706</v>
      </c>
      <c r="I1274" s="402"/>
      <c r="J1274" s="402"/>
      <c r="K1274" s="402"/>
      <c r="L1274" s="402"/>
      <c r="M1274" s="402"/>
      <c r="N1274" s="402"/>
      <c r="O1274" s="402"/>
      <c r="P1274" s="402"/>
      <c r="Q1274" s="402"/>
      <c r="R1274" s="402"/>
      <c r="S1274" s="402"/>
      <c r="T1274" s="402"/>
      <c r="U1274" s="402"/>
      <c r="V1274" s="402"/>
      <c r="W1274" s="402"/>
      <c r="X1274" s="402"/>
      <c r="Y1274" s="402"/>
      <c r="Z1274" s="402"/>
      <c r="AA1274" s="405"/>
      <c r="AB1274" s="405"/>
    </row>
    <row r="1275" ht="14.25" customHeight="1">
      <c r="A1275" s="497">
        <v>45525.0</v>
      </c>
      <c r="B1275" s="343" t="s">
        <v>1503</v>
      </c>
      <c r="C1275" s="344" t="s">
        <v>1504</v>
      </c>
      <c r="D1275" s="344" t="s">
        <v>54</v>
      </c>
      <c r="E1275" s="344" t="s">
        <v>1143</v>
      </c>
      <c r="F1275" s="442">
        <v>16812.0</v>
      </c>
      <c r="G1275" s="413"/>
      <c r="H1275" s="349" t="s">
        <v>1707</v>
      </c>
      <c r="I1275" s="402"/>
      <c r="J1275" s="402"/>
      <c r="K1275" s="402"/>
      <c r="L1275" s="402"/>
      <c r="M1275" s="402"/>
      <c r="N1275" s="402"/>
      <c r="O1275" s="402"/>
      <c r="P1275" s="402"/>
      <c r="Q1275" s="402"/>
      <c r="R1275" s="402"/>
      <c r="S1275" s="402"/>
      <c r="T1275" s="402"/>
      <c r="U1275" s="402"/>
      <c r="V1275" s="402"/>
      <c r="W1275" s="402"/>
      <c r="X1275" s="402"/>
      <c r="Y1275" s="402"/>
      <c r="Z1275" s="402"/>
      <c r="AA1275" s="405"/>
      <c r="AB1275" s="405"/>
    </row>
    <row r="1276" ht="14.25" customHeight="1">
      <c r="A1276" s="497">
        <v>45525.0</v>
      </c>
      <c r="B1276" s="343" t="s">
        <v>1475</v>
      </c>
      <c r="C1276" s="344" t="s">
        <v>765</v>
      </c>
      <c r="D1276" s="344" t="s">
        <v>75</v>
      </c>
      <c r="E1276" s="344" t="s">
        <v>1143</v>
      </c>
      <c r="F1276" s="442">
        <v>95970.0</v>
      </c>
      <c r="G1276" s="413"/>
      <c r="H1276" s="349" t="s">
        <v>1708</v>
      </c>
      <c r="I1276" s="402"/>
      <c r="J1276" s="402"/>
      <c r="K1276" s="402"/>
      <c r="L1276" s="402"/>
      <c r="M1276" s="402"/>
      <c r="N1276" s="402"/>
      <c r="O1276" s="402"/>
      <c r="P1276" s="402"/>
      <c r="Q1276" s="402"/>
      <c r="R1276" s="402"/>
      <c r="S1276" s="402"/>
      <c r="T1276" s="402"/>
      <c r="U1276" s="402"/>
      <c r="V1276" s="402"/>
      <c r="W1276" s="402"/>
      <c r="X1276" s="402"/>
      <c r="Y1276" s="402"/>
      <c r="Z1276" s="402"/>
      <c r="AA1276" s="405"/>
      <c r="AB1276" s="405"/>
    </row>
    <row r="1277" ht="14.25" customHeight="1">
      <c r="A1277" s="497">
        <v>45525.0</v>
      </c>
      <c r="B1277" s="343" t="s">
        <v>788</v>
      </c>
      <c r="C1277" s="344" t="s">
        <v>789</v>
      </c>
      <c r="D1277" s="344" t="s">
        <v>54</v>
      </c>
      <c r="E1277" s="344" t="s">
        <v>1143</v>
      </c>
      <c r="F1277" s="442">
        <v>98777.16</v>
      </c>
      <c r="G1277" s="403"/>
      <c r="H1277" s="402"/>
      <c r="I1277" s="402"/>
      <c r="J1277" s="402"/>
      <c r="K1277" s="402"/>
      <c r="L1277" s="402"/>
      <c r="M1277" s="402"/>
      <c r="N1277" s="402"/>
      <c r="O1277" s="402"/>
      <c r="P1277" s="402"/>
      <c r="Q1277" s="402"/>
      <c r="R1277" s="402"/>
      <c r="S1277" s="402"/>
      <c r="T1277" s="402"/>
      <c r="U1277" s="402"/>
      <c r="V1277" s="402"/>
      <c r="W1277" s="402"/>
      <c r="X1277" s="402"/>
      <c r="Y1277" s="402"/>
      <c r="Z1277" s="402"/>
      <c r="AA1277" s="405"/>
      <c r="AB1277" s="405"/>
    </row>
    <row r="1278" ht="14.25" customHeight="1">
      <c r="A1278" s="497">
        <v>45525.0</v>
      </c>
      <c r="B1278" s="343" t="s">
        <v>1012</v>
      </c>
      <c r="C1278" s="344" t="s">
        <v>1013</v>
      </c>
      <c r="D1278" s="344" t="s">
        <v>75</v>
      </c>
      <c r="E1278" s="344" t="s">
        <v>1143</v>
      </c>
      <c r="F1278" s="442">
        <v>201725.0</v>
      </c>
      <c r="G1278" s="413"/>
      <c r="H1278" s="349" t="s">
        <v>1709</v>
      </c>
      <c r="I1278" s="402"/>
      <c r="J1278" s="402"/>
      <c r="K1278" s="402"/>
      <c r="L1278" s="402"/>
      <c r="M1278" s="402"/>
      <c r="N1278" s="402"/>
      <c r="O1278" s="402"/>
      <c r="P1278" s="402"/>
      <c r="Q1278" s="402"/>
      <c r="R1278" s="402"/>
      <c r="S1278" s="402"/>
      <c r="T1278" s="402"/>
      <c r="U1278" s="402"/>
      <c r="V1278" s="402"/>
      <c r="W1278" s="402"/>
      <c r="X1278" s="402"/>
      <c r="Y1278" s="402"/>
      <c r="Z1278" s="402"/>
      <c r="AA1278" s="405"/>
      <c r="AB1278" s="405"/>
    </row>
    <row r="1279" ht="14.25" customHeight="1">
      <c r="A1279" s="497">
        <v>45525.0</v>
      </c>
      <c r="B1279" s="410" t="s">
        <v>827</v>
      </c>
      <c r="C1279" s="411" t="s">
        <v>828</v>
      </c>
      <c r="D1279" s="411" t="s">
        <v>54</v>
      </c>
      <c r="E1279" s="411" t="s">
        <v>1143</v>
      </c>
      <c r="F1279" s="489">
        <v>500000.0</v>
      </c>
      <c r="G1279" s="413"/>
      <c r="H1279" s="349" t="s">
        <v>1710</v>
      </c>
      <c r="I1279" s="402"/>
      <c r="J1279" s="402"/>
      <c r="K1279" s="402"/>
      <c r="L1279" s="402"/>
      <c r="M1279" s="402"/>
      <c r="N1279" s="402"/>
      <c r="O1279" s="402"/>
      <c r="P1279" s="402"/>
      <c r="Q1279" s="402"/>
      <c r="R1279" s="402"/>
      <c r="S1279" s="402"/>
      <c r="T1279" s="402"/>
      <c r="U1279" s="402"/>
      <c r="V1279" s="402"/>
      <c r="W1279" s="402"/>
      <c r="X1279" s="402"/>
      <c r="Y1279" s="402"/>
      <c r="Z1279" s="402"/>
      <c r="AA1279" s="405"/>
      <c r="AB1279" s="405"/>
    </row>
    <row r="1280" ht="14.25" customHeight="1">
      <c r="A1280" s="497"/>
      <c r="B1280" s="402"/>
      <c r="C1280" s="402"/>
      <c r="D1280" s="402"/>
      <c r="E1280" s="402"/>
      <c r="F1280" s="403"/>
      <c r="G1280" s="403"/>
      <c r="H1280" s="402"/>
      <c r="I1280" s="402"/>
      <c r="J1280" s="402"/>
      <c r="K1280" s="402"/>
      <c r="L1280" s="402"/>
      <c r="M1280" s="402"/>
      <c r="N1280" s="402"/>
      <c r="O1280" s="402"/>
      <c r="P1280" s="402"/>
      <c r="Q1280" s="402"/>
      <c r="R1280" s="402"/>
      <c r="S1280" s="402"/>
      <c r="T1280" s="402"/>
      <c r="U1280" s="402"/>
      <c r="V1280" s="402"/>
      <c r="W1280" s="402"/>
      <c r="X1280" s="402"/>
      <c r="Y1280" s="402"/>
      <c r="Z1280" s="402"/>
      <c r="AA1280" s="405"/>
      <c r="AB1280" s="405"/>
    </row>
    <row r="1281" ht="14.25" customHeight="1">
      <c r="A1281" s="497"/>
      <c r="B1281" s="402"/>
      <c r="C1281" s="402"/>
      <c r="D1281" s="402"/>
      <c r="E1281" s="402"/>
      <c r="F1281" s="403"/>
      <c r="G1281" s="403"/>
      <c r="H1281" s="402"/>
      <c r="I1281" s="402"/>
      <c r="J1281" s="402"/>
      <c r="K1281" s="402"/>
      <c r="L1281" s="402"/>
      <c r="M1281" s="402"/>
      <c r="N1281" s="402"/>
      <c r="O1281" s="402"/>
      <c r="P1281" s="402"/>
      <c r="Q1281" s="402"/>
      <c r="R1281" s="402"/>
      <c r="S1281" s="402"/>
      <c r="T1281" s="402"/>
      <c r="U1281" s="402"/>
      <c r="V1281" s="402"/>
      <c r="W1281" s="402"/>
      <c r="X1281" s="402"/>
      <c r="Y1281" s="402"/>
      <c r="Z1281" s="402"/>
      <c r="AA1281" s="405"/>
      <c r="AB1281" s="405"/>
    </row>
    <row r="1282" ht="14.25" customHeight="1">
      <c r="A1282" s="497"/>
      <c r="B1282" s="402"/>
      <c r="C1282" s="402"/>
      <c r="D1282" s="402"/>
      <c r="E1282" s="402"/>
      <c r="F1282" s="403"/>
      <c r="G1282" s="403"/>
      <c r="H1282" s="402"/>
      <c r="I1282" s="402"/>
      <c r="J1282" s="402"/>
      <c r="K1282" s="402"/>
      <c r="L1282" s="402"/>
      <c r="M1282" s="402"/>
      <c r="N1282" s="402"/>
      <c r="O1282" s="402"/>
      <c r="P1282" s="402"/>
      <c r="Q1282" s="402"/>
      <c r="R1282" s="402"/>
      <c r="S1282" s="402"/>
      <c r="T1282" s="402"/>
      <c r="U1282" s="402"/>
      <c r="V1282" s="402"/>
      <c r="W1282" s="402"/>
      <c r="X1282" s="402"/>
      <c r="Y1282" s="402"/>
      <c r="Z1282" s="402"/>
      <c r="AA1282" s="405"/>
      <c r="AB1282" s="405"/>
    </row>
    <row r="1283" ht="14.25" customHeight="1">
      <c r="A1283" s="497"/>
      <c r="B1283" s="402"/>
      <c r="C1283" s="402"/>
      <c r="D1283" s="402"/>
      <c r="E1283" s="402"/>
      <c r="F1283" s="403"/>
      <c r="G1283" s="403"/>
      <c r="H1283" s="402"/>
      <c r="I1283" s="402"/>
      <c r="J1283" s="402"/>
      <c r="K1283" s="402"/>
      <c r="L1283" s="402"/>
      <c r="M1283" s="402"/>
      <c r="N1283" s="402"/>
      <c r="O1283" s="402"/>
      <c r="P1283" s="402"/>
      <c r="Q1283" s="402"/>
      <c r="R1283" s="402"/>
      <c r="S1283" s="402"/>
      <c r="T1283" s="402"/>
      <c r="U1283" s="402"/>
      <c r="V1283" s="402"/>
      <c r="W1283" s="402"/>
      <c r="X1283" s="402"/>
      <c r="Y1283" s="402"/>
      <c r="Z1283" s="402"/>
      <c r="AA1283" s="405"/>
      <c r="AB1283" s="405"/>
    </row>
    <row r="1284" ht="14.25" customHeight="1">
      <c r="A1284" s="497"/>
      <c r="B1284" s="402"/>
      <c r="C1284" s="424" t="s">
        <v>797</v>
      </c>
      <c r="D1284" s="402"/>
      <c r="E1284" s="402"/>
      <c r="F1284" s="403"/>
      <c r="G1284" s="403"/>
      <c r="H1284" s="402"/>
      <c r="I1284" s="402"/>
      <c r="J1284" s="402"/>
      <c r="K1284" s="402"/>
      <c r="L1284" s="402"/>
      <c r="M1284" s="402"/>
      <c r="N1284" s="402"/>
      <c r="O1284" s="402"/>
      <c r="P1284" s="402"/>
      <c r="Q1284" s="402"/>
      <c r="R1284" s="402"/>
      <c r="S1284" s="402"/>
      <c r="T1284" s="402"/>
      <c r="U1284" s="402"/>
      <c r="V1284" s="402"/>
      <c r="W1284" s="402"/>
      <c r="X1284" s="402"/>
      <c r="Y1284" s="402"/>
      <c r="Z1284" s="402"/>
      <c r="AA1284" s="405"/>
      <c r="AB1284" s="405"/>
    </row>
    <row r="1285" ht="14.25" customHeight="1">
      <c r="A1285" s="497">
        <v>45525.0</v>
      </c>
      <c r="B1285" s="349" t="s">
        <v>1087</v>
      </c>
      <c r="C1285" s="349" t="s">
        <v>1088</v>
      </c>
      <c r="D1285" s="349" t="s">
        <v>54</v>
      </c>
      <c r="E1285" s="349" t="s">
        <v>1255</v>
      </c>
      <c r="F1285" s="413">
        <v>25000.0</v>
      </c>
      <c r="G1285" s="403"/>
      <c r="H1285" s="349" t="s">
        <v>1711</v>
      </c>
      <c r="I1285" s="402"/>
      <c r="J1285" s="402"/>
      <c r="K1285" s="402"/>
      <c r="L1285" s="402"/>
      <c r="M1285" s="402"/>
      <c r="N1285" s="402"/>
      <c r="O1285" s="402"/>
      <c r="P1285" s="402"/>
      <c r="Q1285" s="402"/>
      <c r="R1285" s="402"/>
      <c r="S1285" s="402"/>
      <c r="T1285" s="402"/>
      <c r="U1285" s="402"/>
      <c r="V1285" s="402"/>
      <c r="W1285" s="402"/>
      <c r="X1285" s="402"/>
      <c r="Y1285" s="402"/>
      <c r="Z1285" s="402"/>
      <c r="AA1285" s="405"/>
      <c r="AB1285" s="405"/>
    </row>
    <row r="1286" ht="14.25" customHeight="1">
      <c r="A1286" s="497">
        <v>45525.0</v>
      </c>
      <c r="B1286" s="349" t="s">
        <v>800</v>
      </c>
      <c r="C1286" s="349" t="s">
        <v>801</v>
      </c>
      <c r="D1286" s="493" t="s">
        <v>54</v>
      </c>
      <c r="E1286" s="349" t="s">
        <v>1255</v>
      </c>
      <c r="F1286" s="413">
        <v>20000.0</v>
      </c>
      <c r="G1286" s="403"/>
      <c r="H1286" s="349" t="s">
        <v>1712</v>
      </c>
      <c r="I1286" s="402"/>
      <c r="J1286" s="402"/>
      <c r="K1286" s="402"/>
      <c r="L1286" s="402"/>
      <c r="M1286" s="402"/>
      <c r="N1286" s="402"/>
      <c r="O1286" s="402"/>
      <c r="P1286" s="402"/>
      <c r="Q1286" s="402"/>
      <c r="R1286" s="402"/>
      <c r="S1286" s="402"/>
      <c r="T1286" s="402"/>
      <c r="U1286" s="402"/>
      <c r="V1286" s="402"/>
      <c r="W1286" s="402"/>
      <c r="X1286" s="402"/>
      <c r="Y1286" s="402"/>
      <c r="Z1286" s="402"/>
      <c r="AA1286" s="405"/>
      <c r="AB1286" s="405"/>
    </row>
    <row r="1287" ht="14.25" customHeight="1">
      <c r="A1287" s="497">
        <v>45525.0</v>
      </c>
      <c r="B1287" s="349" t="s">
        <v>886</v>
      </c>
      <c r="C1287" s="349" t="s">
        <v>1095</v>
      </c>
      <c r="D1287" s="349" t="s">
        <v>54</v>
      </c>
      <c r="E1287" s="349" t="s">
        <v>1255</v>
      </c>
      <c r="F1287" s="413">
        <v>410000.0</v>
      </c>
      <c r="G1287" s="403"/>
      <c r="H1287" s="349" t="s">
        <v>1713</v>
      </c>
      <c r="I1287" s="402"/>
      <c r="J1287" s="402"/>
      <c r="K1287" s="402"/>
      <c r="L1287" s="402"/>
      <c r="M1287" s="402"/>
      <c r="N1287" s="402"/>
      <c r="O1287" s="402"/>
      <c r="P1287" s="402"/>
      <c r="Q1287" s="402"/>
      <c r="R1287" s="402"/>
      <c r="S1287" s="402"/>
      <c r="T1287" s="402"/>
      <c r="U1287" s="402"/>
      <c r="V1287" s="402"/>
      <c r="W1287" s="402"/>
      <c r="X1287" s="402"/>
      <c r="Y1287" s="402"/>
      <c r="Z1287" s="402"/>
      <c r="AA1287" s="405"/>
      <c r="AB1287" s="405"/>
    </row>
    <row r="1288" ht="14.25" customHeight="1">
      <c r="A1288" s="497">
        <v>45525.0</v>
      </c>
      <c r="B1288" s="349" t="s">
        <v>1329</v>
      </c>
      <c r="C1288" s="349" t="s">
        <v>1330</v>
      </c>
      <c r="D1288" s="349" t="s">
        <v>54</v>
      </c>
      <c r="E1288" s="349" t="s">
        <v>1255</v>
      </c>
      <c r="F1288" s="413">
        <v>1000000.0</v>
      </c>
      <c r="G1288" s="403"/>
      <c r="H1288" s="349" t="s">
        <v>1714</v>
      </c>
      <c r="I1288" s="402"/>
      <c r="J1288" s="402"/>
      <c r="K1288" s="402"/>
      <c r="L1288" s="402"/>
      <c r="M1288" s="402"/>
      <c r="N1288" s="402"/>
      <c r="O1288" s="402"/>
      <c r="P1288" s="402"/>
      <c r="Q1288" s="402"/>
      <c r="R1288" s="402"/>
      <c r="S1288" s="402"/>
      <c r="T1288" s="402"/>
      <c r="U1288" s="402"/>
      <c r="V1288" s="402"/>
      <c r="W1288" s="402"/>
      <c r="X1288" s="402"/>
      <c r="Y1288" s="402"/>
      <c r="Z1288" s="402"/>
      <c r="AA1288" s="405"/>
      <c r="AB1288" s="405"/>
    </row>
    <row r="1289" ht="14.25" customHeight="1">
      <c r="A1289" s="497">
        <v>45525.0</v>
      </c>
      <c r="B1289" s="349" t="s">
        <v>1715</v>
      </c>
      <c r="C1289" s="349" t="s">
        <v>1716</v>
      </c>
      <c r="D1289" s="349" t="s">
        <v>54</v>
      </c>
      <c r="E1289" s="349" t="s">
        <v>1255</v>
      </c>
      <c r="F1289" s="413">
        <v>10000.0</v>
      </c>
      <c r="G1289" s="413">
        <v>10000.0</v>
      </c>
      <c r="H1289" s="349" t="s">
        <v>710</v>
      </c>
      <c r="I1289" s="402"/>
      <c r="J1289" s="402"/>
      <c r="K1289" s="402"/>
      <c r="L1289" s="402"/>
      <c r="M1289" s="402"/>
      <c r="N1289" s="402"/>
      <c r="O1289" s="402"/>
      <c r="P1289" s="402"/>
      <c r="Q1289" s="402"/>
      <c r="R1289" s="402"/>
      <c r="S1289" s="402"/>
      <c r="T1289" s="402"/>
      <c r="U1289" s="402"/>
      <c r="V1289" s="402"/>
      <c r="W1289" s="402"/>
      <c r="X1289" s="402"/>
      <c r="Y1289" s="402"/>
      <c r="Z1289" s="402"/>
      <c r="AA1289" s="405"/>
      <c r="AB1289" s="405"/>
    </row>
    <row r="1290" ht="14.25" customHeight="1">
      <c r="A1290" s="497"/>
      <c r="B1290" s="402"/>
      <c r="C1290" s="402"/>
      <c r="D1290" s="402"/>
      <c r="E1290" s="402"/>
      <c r="F1290" s="403"/>
      <c r="G1290" s="403"/>
      <c r="H1290" s="402"/>
      <c r="I1290" s="402"/>
      <c r="J1290" s="402"/>
      <c r="K1290" s="402"/>
      <c r="L1290" s="402"/>
      <c r="M1290" s="402"/>
      <c r="N1290" s="402"/>
      <c r="O1290" s="402"/>
      <c r="P1290" s="402"/>
      <c r="Q1290" s="402"/>
      <c r="R1290" s="402"/>
      <c r="S1290" s="402"/>
      <c r="T1290" s="402"/>
      <c r="U1290" s="402"/>
      <c r="V1290" s="402"/>
      <c r="W1290" s="402"/>
      <c r="X1290" s="402"/>
      <c r="Y1290" s="402"/>
      <c r="Z1290" s="402"/>
      <c r="AA1290" s="405"/>
      <c r="AB1290" s="405"/>
    </row>
    <row r="1291" ht="14.25" customHeight="1">
      <c r="A1291" s="497"/>
      <c r="B1291" s="402"/>
      <c r="C1291" s="402"/>
      <c r="D1291" s="402"/>
      <c r="E1291" s="402"/>
      <c r="F1291" s="403"/>
      <c r="G1291" s="403"/>
      <c r="H1291" s="402"/>
      <c r="I1291" s="402"/>
      <c r="J1291" s="402"/>
      <c r="K1291" s="402"/>
      <c r="L1291" s="402"/>
      <c r="M1291" s="402"/>
      <c r="N1291" s="402"/>
      <c r="O1291" s="402"/>
      <c r="P1291" s="402"/>
      <c r="Q1291" s="402"/>
      <c r="R1291" s="402"/>
      <c r="S1291" s="402"/>
      <c r="T1291" s="402"/>
      <c r="U1291" s="402"/>
      <c r="V1291" s="402"/>
      <c r="W1291" s="402"/>
      <c r="X1291" s="402"/>
      <c r="Y1291" s="402"/>
      <c r="Z1291" s="402"/>
      <c r="AA1291" s="405"/>
      <c r="AB1291" s="405"/>
    </row>
    <row r="1292" ht="14.25" customHeight="1">
      <c r="A1292" s="497"/>
      <c r="B1292" s="402"/>
      <c r="C1292" s="402"/>
      <c r="D1292" s="402"/>
      <c r="E1292" s="402"/>
      <c r="F1292" s="403"/>
      <c r="G1292" s="403"/>
      <c r="H1292" s="402"/>
      <c r="I1292" s="402"/>
      <c r="J1292" s="402"/>
      <c r="K1292" s="402"/>
      <c r="L1292" s="402"/>
      <c r="M1292" s="402"/>
      <c r="N1292" s="402"/>
      <c r="O1292" s="402"/>
      <c r="P1292" s="402"/>
      <c r="Q1292" s="402"/>
      <c r="R1292" s="402"/>
      <c r="S1292" s="402"/>
      <c r="T1292" s="402"/>
      <c r="U1292" s="402"/>
      <c r="V1292" s="402"/>
      <c r="W1292" s="402"/>
      <c r="X1292" s="402"/>
      <c r="Y1292" s="402"/>
      <c r="Z1292" s="402"/>
      <c r="AA1292" s="405"/>
      <c r="AB1292" s="405"/>
    </row>
    <row r="1293" ht="14.25" customHeight="1">
      <c r="A1293" s="497"/>
      <c r="B1293" s="402"/>
      <c r="C1293" s="402"/>
      <c r="D1293" s="402"/>
      <c r="E1293" s="402"/>
      <c r="F1293" s="403"/>
      <c r="G1293" s="403"/>
      <c r="H1293" s="402"/>
      <c r="I1293" s="402"/>
      <c r="J1293" s="402"/>
      <c r="K1293" s="402"/>
      <c r="L1293" s="402"/>
      <c r="M1293" s="402"/>
      <c r="N1293" s="402"/>
      <c r="O1293" s="402"/>
      <c r="P1293" s="402"/>
      <c r="Q1293" s="402"/>
      <c r="R1293" s="402"/>
      <c r="S1293" s="402"/>
      <c r="T1293" s="402"/>
      <c r="U1293" s="402"/>
      <c r="V1293" s="402"/>
      <c r="W1293" s="402"/>
      <c r="X1293" s="402"/>
      <c r="Y1293" s="402"/>
      <c r="Z1293" s="402"/>
      <c r="AA1293" s="405"/>
      <c r="AB1293" s="405"/>
    </row>
    <row r="1294" ht="14.25" customHeight="1">
      <c r="A1294" s="497"/>
      <c r="B1294" s="424" t="s">
        <v>1717</v>
      </c>
      <c r="C1294" s="402"/>
      <c r="D1294" s="402"/>
      <c r="E1294" s="402"/>
      <c r="F1294" s="403"/>
      <c r="G1294" s="413"/>
      <c r="H1294" s="402"/>
      <c r="I1294" s="402"/>
      <c r="J1294" s="402"/>
      <c r="K1294" s="402"/>
      <c r="L1294" s="402"/>
      <c r="M1294" s="402"/>
      <c r="N1294" s="402"/>
      <c r="O1294" s="402"/>
      <c r="P1294" s="402"/>
      <c r="Q1294" s="402"/>
      <c r="R1294" s="402"/>
      <c r="S1294" s="402"/>
      <c r="T1294" s="402"/>
      <c r="U1294" s="402"/>
      <c r="V1294" s="402"/>
      <c r="W1294" s="402"/>
      <c r="X1294" s="402"/>
      <c r="Y1294" s="402"/>
      <c r="Z1294" s="402"/>
      <c r="AA1294" s="405"/>
      <c r="AB1294" s="405"/>
    </row>
    <row r="1295" ht="14.25" customHeight="1">
      <c r="A1295" s="497">
        <v>45526.0</v>
      </c>
      <c r="B1295" s="535" t="s">
        <v>729</v>
      </c>
      <c r="C1295" s="536" t="s">
        <v>730</v>
      </c>
      <c r="D1295" s="536" t="s">
        <v>54</v>
      </c>
      <c r="E1295" s="349" t="s">
        <v>1098</v>
      </c>
      <c r="F1295" s="413">
        <v>448823.71</v>
      </c>
      <c r="G1295" s="413">
        <v>0.0</v>
      </c>
      <c r="H1295" s="522" t="s">
        <v>1718</v>
      </c>
      <c r="I1295" s="402"/>
      <c r="J1295" s="402"/>
      <c r="K1295" s="402"/>
      <c r="L1295" s="402"/>
      <c r="M1295" s="402"/>
      <c r="N1295" s="402"/>
      <c r="O1295" s="402"/>
      <c r="P1295" s="402"/>
      <c r="Q1295" s="402"/>
      <c r="R1295" s="402"/>
      <c r="S1295" s="402"/>
      <c r="T1295" s="402"/>
      <c r="U1295" s="402"/>
      <c r="V1295" s="402"/>
      <c r="W1295" s="402"/>
      <c r="X1295" s="402"/>
      <c r="Y1295" s="402"/>
      <c r="Z1295" s="402"/>
      <c r="AA1295" s="405"/>
      <c r="AB1295" s="405"/>
    </row>
    <row r="1296" ht="14.25" customHeight="1">
      <c r="A1296" s="497">
        <v>45526.0</v>
      </c>
      <c r="B1296" s="349" t="s">
        <v>1719</v>
      </c>
      <c r="C1296" s="402" t="s">
        <v>727</v>
      </c>
      <c r="D1296" s="402" t="s">
        <v>481</v>
      </c>
      <c r="E1296" s="349" t="s">
        <v>1098</v>
      </c>
      <c r="F1296" s="413">
        <v>3196661.0</v>
      </c>
      <c r="G1296" s="413">
        <v>0.0</v>
      </c>
      <c r="H1296" s="349" t="s">
        <v>1720</v>
      </c>
      <c r="I1296" s="402"/>
      <c r="J1296" s="402"/>
      <c r="K1296" s="402"/>
      <c r="L1296" s="402"/>
      <c r="M1296" s="402"/>
      <c r="N1296" s="402"/>
      <c r="O1296" s="402"/>
      <c r="P1296" s="402"/>
      <c r="Q1296" s="402"/>
      <c r="R1296" s="402"/>
      <c r="S1296" s="402"/>
      <c r="T1296" s="402"/>
      <c r="U1296" s="402"/>
      <c r="V1296" s="402"/>
      <c r="W1296" s="402"/>
      <c r="X1296" s="402"/>
      <c r="Y1296" s="402"/>
      <c r="Z1296" s="402"/>
      <c r="AA1296" s="405"/>
      <c r="AB1296" s="405"/>
    </row>
    <row r="1297" ht="14.25" customHeight="1">
      <c r="A1297" s="497">
        <v>45526.0</v>
      </c>
      <c r="B1297" s="349" t="s">
        <v>1721</v>
      </c>
      <c r="C1297" s="349" t="s">
        <v>1722</v>
      </c>
      <c r="D1297" s="349" t="s">
        <v>54</v>
      </c>
      <c r="E1297" s="349" t="s">
        <v>1098</v>
      </c>
      <c r="F1297" s="413">
        <v>200000.0</v>
      </c>
      <c r="G1297" s="413">
        <v>0.0</v>
      </c>
      <c r="H1297" s="349" t="s">
        <v>1723</v>
      </c>
      <c r="I1297" s="402"/>
      <c r="J1297" s="402"/>
      <c r="K1297" s="402"/>
      <c r="L1297" s="402"/>
      <c r="M1297" s="402"/>
      <c r="N1297" s="402"/>
      <c r="O1297" s="402"/>
      <c r="P1297" s="402"/>
      <c r="Q1297" s="402"/>
      <c r="R1297" s="402"/>
      <c r="S1297" s="402"/>
      <c r="T1297" s="402"/>
      <c r="U1297" s="402"/>
      <c r="V1297" s="402"/>
      <c r="W1297" s="402"/>
      <c r="X1297" s="402"/>
      <c r="Y1297" s="402"/>
      <c r="Z1297" s="402"/>
      <c r="AA1297" s="405"/>
      <c r="AB1297" s="405"/>
    </row>
    <row r="1298" ht="14.25" customHeight="1">
      <c r="A1298" s="497">
        <v>45526.0</v>
      </c>
      <c r="B1298" s="349"/>
      <c r="C1298" s="349" t="s">
        <v>1088</v>
      </c>
      <c r="D1298" s="349" t="s">
        <v>59</v>
      </c>
      <c r="E1298" s="349" t="s">
        <v>1098</v>
      </c>
      <c r="F1298" s="413">
        <v>1000000.0</v>
      </c>
      <c r="G1298" s="413">
        <v>0.0</v>
      </c>
      <c r="H1298" s="402"/>
      <c r="I1298" s="402"/>
      <c r="J1298" s="402"/>
      <c r="K1298" s="402"/>
      <c r="L1298" s="402"/>
      <c r="M1298" s="402"/>
      <c r="N1298" s="402"/>
      <c r="O1298" s="402"/>
      <c r="P1298" s="402"/>
      <c r="Q1298" s="402"/>
      <c r="R1298" s="402"/>
      <c r="S1298" s="402"/>
      <c r="T1298" s="402"/>
      <c r="U1298" s="402"/>
      <c r="V1298" s="402"/>
      <c r="W1298" s="402"/>
      <c r="X1298" s="402"/>
      <c r="Y1298" s="402"/>
      <c r="Z1298" s="402"/>
      <c r="AA1298" s="405"/>
      <c r="AB1298" s="405"/>
    </row>
    <row r="1299" ht="14.25" customHeight="1">
      <c r="A1299" s="497">
        <v>45526.0</v>
      </c>
      <c r="B1299" s="349" t="s">
        <v>1724</v>
      </c>
      <c r="C1299" s="349" t="s">
        <v>1725</v>
      </c>
      <c r="D1299" s="349" t="s">
        <v>67</v>
      </c>
      <c r="E1299" s="349" t="s">
        <v>1098</v>
      </c>
      <c r="F1299" s="413">
        <v>452941.89</v>
      </c>
      <c r="G1299" s="413">
        <v>0.0</v>
      </c>
      <c r="H1299" s="537" t="s">
        <v>1726</v>
      </c>
      <c r="I1299" s="402"/>
      <c r="J1299" s="402"/>
      <c r="K1299" s="402"/>
      <c r="L1299" s="402"/>
      <c r="M1299" s="402"/>
      <c r="N1299" s="402"/>
      <c r="O1299" s="402"/>
      <c r="P1299" s="402"/>
      <c r="Q1299" s="402"/>
      <c r="R1299" s="402"/>
      <c r="S1299" s="402"/>
      <c r="T1299" s="402"/>
      <c r="U1299" s="402"/>
      <c r="V1299" s="402"/>
      <c r="W1299" s="402"/>
      <c r="X1299" s="402"/>
      <c r="Y1299" s="402"/>
      <c r="Z1299" s="402"/>
      <c r="AA1299" s="405"/>
      <c r="AB1299" s="405"/>
    </row>
    <row r="1300" ht="14.25" hidden="1" customHeight="1">
      <c r="A1300" s="497">
        <v>45526.0</v>
      </c>
      <c r="B1300" s="518" t="s">
        <v>1622</v>
      </c>
      <c r="C1300" s="349" t="s">
        <v>1727</v>
      </c>
      <c r="D1300" s="349" t="s">
        <v>75</v>
      </c>
      <c r="E1300" s="415" t="s">
        <v>1153</v>
      </c>
      <c r="F1300" s="416">
        <v>1878449.0</v>
      </c>
      <c r="G1300" s="413">
        <v>0.0</v>
      </c>
      <c r="H1300" s="402"/>
      <c r="I1300" s="402"/>
      <c r="J1300" s="402"/>
      <c r="K1300" s="402"/>
      <c r="L1300" s="402"/>
      <c r="M1300" s="402"/>
      <c r="N1300" s="402"/>
      <c r="O1300" s="402"/>
      <c r="P1300" s="402"/>
      <c r="Q1300" s="402"/>
      <c r="R1300" s="402"/>
      <c r="S1300" s="402"/>
      <c r="T1300" s="402"/>
      <c r="U1300" s="402"/>
      <c r="V1300" s="402"/>
      <c r="W1300" s="402"/>
      <c r="X1300" s="402"/>
      <c r="Y1300" s="402"/>
      <c r="Z1300" s="402"/>
      <c r="AA1300" s="405"/>
      <c r="AB1300" s="405"/>
    </row>
    <row r="1301" ht="14.25" customHeight="1">
      <c r="A1301" s="497">
        <v>45526.0</v>
      </c>
      <c r="B1301" s="349" t="s">
        <v>1155</v>
      </c>
      <c r="C1301" s="519" t="s">
        <v>730</v>
      </c>
      <c r="D1301" s="349" t="s">
        <v>75</v>
      </c>
      <c r="E1301" s="415" t="s">
        <v>1153</v>
      </c>
      <c r="F1301" s="416">
        <v>1878449.0</v>
      </c>
      <c r="G1301" s="413">
        <v>0.0</v>
      </c>
      <c r="H1301" s="538" t="s">
        <v>1728</v>
      </c>
      <c r="I1301" s="402"/>
      <c r="J1301" s="402"/>
      <c r="K1301" s="402"/>
      <c r="L1301" s="402"/>
      <c r="M1301" s="402"/>
      <c r="N1301" s="402"/>
      <c r="O1301" s="402"/>
      <c r="P1301" s="402"/>
      <c r="Q1301" s="402"/>
      <c r="R1301" s="402"/>
      <c r="S1301" s="402"/>
      <c r="T1301" s="402"/>
      <c r="U1301" s="402"/>
      <c r="V1301" s="402"/>
      <c r="W1301" s="402"/>
      <c r="X1301" s="402"/>
      <c r="Y1301" s="402"/>
      <c r="Z1301" s="402"/>
      <c r="AA1301" s="405"/>
      <c r="AB1301" s="405"/>
    </row>
    <row r="1302" ht="14.25" customHeight="1">
      <c r="A1302" s="497">
        <v>45526.0</v>
      </c>
      <c r="B1302" s="349" t="s">
        <v>960</v>
      </c>
      <c r="C1302" s="349" t="s">
        <v>1156</v>
      </c>
      <c r="D1302" s="349" t="s">
        <v>54</v>
      </c>
      <c r="E1302" s="415" t="s">
        <v>1153</v>
      </c>
      <c r="F1302" s="413">
        <v>295732.73</v>
      </c>
      <c r="G1302" s="413">
        <v>0.0</v>
      </c>
      <c r="H1302" s="349" t="s">
        <v>1729</v>
      </c>
      <c r="I1302" s="402"/>
      <c r="J1302" s="402"/>
      <c r="K1302" s="402"/>
      <c r="L1302" s="402"/>
      <c r="M1302" s="402"/>
      <c r="N1302" s="402"/>
      <c r="O1302" s="402"/>
      <c r="P1302" s="402"/>
      <c r="Q1302" s="402"/>
      <c r="R1302" s="402"/>
      <c r="S1302" s="402"/>
      <c r="T1302" s="402"/>
      <c r="U1302" s="402"/>
      <c r="V1302" s="402"/>
      <c r="W1302" s="402"/>
      <c r="X1302" s="402"/>
      <c r="Y1302" s="402"/>
      <c r="Z1302" s="402"/>
      <c r="AA1302" s="405"/>
      <c r="AB1302" s="405"/>
    </row>
    <row r="1303" ht="14.25" customHeight="1">
      <c r="A1303" s="497">
        <v>45526.0</v>
      </c>
      <c r="B1303" s="349" t="s">
        <v>1346</v>
      </c>
      <c r="C1303" s="349" t="s">
        <v>961</v>
      </c>
      <c r="D1303" s="349" t="s">
        <v>54</v>
      </c>
      <c r="E1303" s="415" t="s">
        <v>1153</v>
      </c>
      <c r="F1303" s="413">
        <v>100000.0</v>
      </c>
      <c r="G1303" s="413">
        <v>0.0</v>
      </c>
      <c r="H1303" s="349" t="s">
        <v>1730</v>
      </c>
      <c r="I1303" s="349"/>
      <c r="J1303" s="402"/>
      <c r="K1303" s="402"/>
      <c r="L1303" s="402"/>
      <c r="M1303" s="402"/>
      <c r="N1303" s="402"/>
      <c r="O1303" s="402"/>
      <c r="P1303" s="402"/>
      <c r="Q1303" s="402"/>
      <c r="R1303" s="402"/>
      <c r="S1303" s="402"/>
      <c r="T1303" s="402"/>
      <c r="U1303" s="402"/>
      <c r="V1303" s="402"/>
      <c r="W1303" s="402"/>
      <c r="X1303" s="402"/>
      <c r="Y1303" s="402"/>
      <c r="Z1303" s="402"/>
      <c r="AA1303" s="405"/>
      <c r="AB1303" s="405"/>
    </row>
    <row r="1304" ht="14.25" customHeight="1">
      <c r="A1304" s="497">
        <v>45526.0</v>
      </c>
      <c r="B1304" s="518" t="s">
        <v>746</v>
      </c>
      <c r="C1304" s="349" t="s">
        <v>1347</v>
      </c>
      <c r="D1304" s="349" t="s">
        <v>59</v>
      </c>
      <c r="E1304" s="415" t="s">
        <v>1153</v>
      </c>
      <c r="F1304" s="413">
        <v>300000.0</v>
      </c>
      <c r="G1304" s="413">
        <v>0.0</v>
      </c>
      <c r="H1304" s="349" t="s">
        <v>1731</v>
      </c>
      <c r="I1304" s="402"/>
      <c r="J1304" s="402"/>
      <c r="K1304" s="402"/>
      <c r="L1304" s="402"/>
      <c r="M1304" s="402"/>
      <c r="N1304" s="402"/>
      <c r="O1304" s="402"/>
      <c r="P1304" s="402"/>
      <c r="Q1304" s="402"/>
      <c r="R1304" s="402"/>
      <c r="S1304" s="402"/>
      <c r="T1304" s="402"/>
      <c r="U1304" s="402"/>
      <c r="V1304" s="402"/>
      <c r="W1304" s="402"/>
      <c r="X1304" s="402"/>
      <c r="Y1304" s="402"/>
      <c r="Z1304" s="402"/>
      <c r="AA1304" s="405"/>
      <c r="AB1304" s="405"/>
    </row>
    <row r="1305" ht="14.25" customHeight="1">
      <c r="A1305" s="497">
        <v>45526.0</v>
      </c>
      <c r="B1305" s="518" t="s">
        <v>786</v>
      </c>
      <c r="C1305" s="519" t="s">
        <v>747</v>
      </c>
      <c r="D1305" s="349" t="s">
        <v>54</v>
      </c>
      <c r="E1305" s="415" t="s">
        <v>1153</v>
      </c>
      <c r="F1305" s="413">
        <v>108000.0</v>
      </c>
      <c r="G1305" s="413">
        <v>0.0</v>
      </c>
      <c r="H1305" s="539" t="s">
        <v>1732</v>
      </c>
      <c r="I1305" s="402"/>
      <c r="J1305" s="402"/>
      <c r="K1305" s="402"/>
      <c r="L1305" s="402"/>
      <c r="M1305" s="402"/>
      <c r="N1305" s="402"/>
      <c r="O1305" s="402"/>
      <c r="P1305" s="402"/>
      <c r="Q1305" s="402"/>
      <c r="R1305" s="402"/>
      <c r="S1305" s="402"/>
      <c r="T1305" s="402"/>
      <c r="U1305" s="402"/>
      <c r="V1305" s="402"/>
      <c r="W1305" s="402"/>
      <c r="X1305" s="402"/>
      <c r="Y1305" s="402"/>
      <c r="Z1305" s="402"/>
      <c r="AA1305" s="405"/>
      <c r="AB1305" s="405"/>
    </row>
    <row r="1306" ht="14.25" customHeight="1">
      <c r="A1306" s="497">
        <v>45526.0</v>
      </c>
      <c r="B1306" s="518" t="s">
        <v>744</v>
      </c>
      <c r="C1306" s="519" t="s">
        <v>787</v>
      </c>
      <c r="D1306" s="349" t="s">
        <v>54</v>
      </c>
      <c r="E1306" s="411" t="s">
        <v>1153</v>
      </c>
      <c r="F1306" s="413">
        <v>15712.14</v>
      </c>
      <c r="G1306" s="413">
        <v>0.0</v>
      </c>
      <c r="H1306" s="539" t="s">
        <v>1733</v>
      </c>
      <c r="I1306" s="402"/>
      <c r="J1306" s="402"/>
      <c r="K1306" s="402"/>
      <c r="L1306" s="402"/>
      <c r="M1306" s="402"/>
      <c r="N1306" s="402"/>
      <c r="O1306" s="402"/>
      <c r="P1306" s="402"/>
      <c r="Q1306" s="402"/>
      <c r="R1306" s="402"/>
      <c r="S1306" s="402"/>
      <c r="T1306" s="402"/>
      <c r="U1306" s="402"/>
      <c r="V1306" s="402"/>
      <c r="W1306" s="402"/>
      <c r="X1306" s="402"/>
      <c r="Y1306" s="402"/>
      <c r="Z1306" s="402"/>
      <c r="AA1306" s="405"/>
      <c r="AB1306" s="405"/>
    </row>
    <row r="1307" ht="14.25" customHeight="1">
      <c r="A1307" s="497">
        <v>45526.0</v>
      </c>
      <c r="B1307" s="518" t="s">
        <v>749</v>
      </c>
      <c r="C1307" s="519" t="s">
        <v>745</v>
      </c>
      <c r="D1307" s="349" t="s">
        <v>54</v>
      </c>
      <c r="E1307" s="411" t="s">
        <v>1153</v>
      </c>
      <c r="F1307" s="413">
        <v>20000.0</v>
      </c>
      <c r="G1307" s="413">
        <v>0.0</v>
      </c>
      <c r="H1307" s="539" t="s">
        <v>1734</v>
      </c>
      <c r="I1307" s="402"/>
      <c r="J1307" s="402"/>
      <c r="K1307" s="402"/>
      <c r="L1307" s="402"/>
      <c r="M1307" s="402"/>
      <c r="N1307" s="402"/>
      <c r="O1307" s="402"/>
      <c r="P1307" s="402"/>
      <c r="Q1307" s="402"/>
      <c r="R1307" s="402"/>
      <c r="S1307" s="402"/>
      <c r="T1307" s="402"/>
      <c r="U1307" s="402"/>
      <c r="V1307" s="402"/>
      <c r="W1307" s="402"/>
      <c r="X1307" s="402"/>
      <c r="Y1307" s="402"/>
      <c r="Z1307" s="402"/>
      <c r="AA1307" s="405"/>
      <c r="AB1307" s="405"/>
    </row>
    <row r="1308" ht="14.25" customHeight="1">
      <c r="A1308" s="497">
        <v>45526.0</v>
      </c>
      <c r="B1308" s="518" t="s">
        <v>749</v>
      </c>
      <c r="C1308" s="519" t="s">
        <v>750</v>
      </c>
      <c r="D1308" s="349" t="s">
        <v>54</v>
      </c>
      <c r="E1308" s="349" t="s">
        <v>1153</v>
      </c>
      <c r="F1308" s="413">
        <v>27769.74</v>
      </c>
      <c r="G1308" s="413">
        <v>36000.0</v>
      </c>
      <c r="H1308" s="349" t="s">
        <v>710</v>
      </c>
      <c r="I1308" s="402"/>
      <c r="J1308" s="402"/>
      <c r="K1308" s="402"/>
      <c r="L1308" s="402"/>
      <c r="M1308" s="402"/>
      <c r="N1308" s="402"/>
      <c r="O1308" s="402"/>
      <c r="P1308" s="402"/>
      <c r="Q1308" s="402"/>
      <c r="R1308" s="402"/>
      <c r="S1308" s="402"/>
      <c r="T1308" s="402"/>
      <c r="U1308" s="402"/>
      <c r="V1308" s="402"/>
      <c r="W1308" s="402"/>
      <c r="X1308" s="402"/>
      <c r="Y1308" s="402"/>
      <c r="Z1308" s="402"/>
      <c r="AA1308" s="405"/>
      <c r="AB1308" s="405"/>
    </row>
    <row r="1309" ht="14.25" customHeight="1">
      <c r="A1309" s="497">
        <v>45526.0</v>
      </c>
      <c r="B1309" s="535" t="s">
        <v>735</v>
      </c>
      <c r="C1309" s="536" t="s">
        <v>736</v>
      </c>
      <c r="D1309" s="536" t="s">
        <v>54</v>
      </c>
      <c r="E1309" s="349" t="s">
        <v>1139</v>
      </c>
      <c r="F1309" s="413">
        <v>43500.0</v>
      </c>
      <c r="G1309" s="413">
        <v>0.0</v>
      </c>
      <c r="H1309" s="540"/>
      <c r="I1309" s="402"/>
      <c r="J1309" s="402"/>
      <c r="K1309" s="402"/>
      <c r="L1309" s="402"/>
      <c r="M1309" s="402"/>
      <c r="N1309" s="402"/>
      <c r="O1309" s="402"/>
      <c r="P1309" s="402"/>
      <c r="Q1309" s="402"/>
      <c r="R1309" s="402"/>
      <c r="S1309" s="402"/>
      <c r="T1309" s="402"/>
      <c r="U1309" s="402"/>
      <c r="V1309" s="402"/>
      <c r="W1309" s="402"/>
      <c r="X1309" s="402"/>
      <c r="Y1309" s="402"/>
      <c r="Z1309" s="402"/>
      <c r="AA1309" s="405"/>
      <c r="AB1309" s="405"/>
    </row>
    <row r="1310" ht="14.25" customHeight="1">
      <c r="A1310" s="497">
        <v>45526.0</v>
      </c>
      <c r="B1310" s="349" t="s">
        <v>1735</v>
      </c>
      <c r="C1310" s="349" t="s">
        <v>1736</v>
      </c>
      <c r="D1310" s="349" t="s">
        <v>54</v>
      </c>
      <c r="E1310" s="349" t="s">
        <v>1139</v>
      </c>
      <c r="F1310" s="541">
        <v>1136324.54</v>
      </c>
      <c r="G1310" s="413">
        <v>0.0</v>
      </c>
      <c r="H1310" s="540" t="s">
        <v>1737</v>
      </c>
      <c r="I1310" s="402"/>
      <c r="J1310" s="402"/>
      <c r="K1310" s="402"/>
      <c r="L1310" s="402"/>
      <c r="M1310" s="402"/>
      <c r="N1310" s="402"/>
      <c r="O1310" s="402"/>
      <c r="P1310" s="402"/>
      <c r="Q1310" s="402"/>
      <c r="R1310" s="402"/>
      <c r="S1310" s="402"/>
      <c r="T1310" s="402"/>
      <c r="U1310" s="402"/>
      <c r="V1310" s="402"/>
      <c r="W1310" s="402"/>
      <c r="X1310" s="402"/>
      <c r="Y1310" s="402"/>
      <c r="Z1310" s="402"/>
      <c r="AA1310" s="405"/>
      <c r="AB1310" s="405"/>
    </row>
    <row r="1311" ht="14.25" customHeight="1">
      <c r="A1311" s="497">
        <v>45526.0</v>
      </c>
      <c r="B1311" s="349" t="s">
        <v>1738</v>
      </c>
      <c r="C1311" s="349" t="s">
        <v>1739</v>
      </c>
      <c r="D1311" s="349" t="s">
        <v>54</v>
      </c>
      <c r="E1311" s="349" t="s">
        <v>1139</v>
      </c>
      <c r="F1311" s="542">
        <v>132000.0</v>
      </c>
      <c r="G1311" s="413">
        <v>0.0</v>
      </c>
      <c r="H1311" s="543" t="s">
        <v>1740</v>
      </c>
      <c r="I1311" s="402"/>
      <c r="J1311" s="402"/>
      <c r="K1311" s="402"/>
      <c r="L1311" s="402"/>
      <c r="M1311" s="402"/>
      <c r="N1311" s="402"/>
      <c r="O1311" s="402"/>
      <c r="P1311" s="402"/>
      <c r="Q1311" s="402"/>
      <c r="R1311" s="402"/>
      <c r="S1311" s="402"/>
      <c r="T1311" s="402"/>
      <c r="U1311" s="402"/>
      <c r="V1311" s="402"/>
      <c r="W1311" s="402"/>
      <c r="X1311" s="402"/>
      <c r="Y1311" s="402"/>
      <c r="Z1311" s="402"/>
      <c r="AA1311" s="405"/>
      <c r="AB1311" s="405"/>
    </row>
    <row r="1312" ht="14.25" customHeight="1">
      <c r="A1312" s="497">
        <v>45526.0</v>
      </c>
      <c r="B1312" s="349" t="s">
        <v>1741</v>
      </c>
      <c r="C1312" s="349" t="s">
        <v>1742</v>
      </c>
      <c r="D1312" s="349" t="s">
        <v>54</v>
      </c>
      <c r="E1312" s="349" t="s">
        <v>1139</v>
      </c>
      <c r="F1312" s="541">
        <v>2687856.74</v>
      </c>
      <c r="G1312" s="413">
        <v>0.0</v>
      </c>
      <c r="H1312" s="540" t="s">
        <v>1743</v>
      </c>
      <c r="I1312" s="402"/>
      <c r="J1312" s="402"/>
      <c r="K1312" s="402"/>
      <c r="L1312" s="402"/>
      <c r="M1312" s="402"/>
      <c r="N1312" s="402"/>
      <c r="O1312" s="402"/>
      <c r="P1312" s="402"/>
      <c r="Q1312" s="402"/>
      <c r="R1312" s="402"/>
      <c r="S1312" s="402"/>
      <c r="T1312" s="402"/>
      <c r="U1312" s="402"/>
      <c r="V1312" s="402"/>
      <c r="W1312" s="402"/>
      <c r="X1312" s="402"/>
      <c r="Y1312" s="402"/>
      <c r="Z1312" s="402"/>
      <c r="AA1312" s="405"/>
      <c r="AB1312" s="405"/>
    </row>
    <row r="1313" ht="14.25" customHeight="1">
      <c r="A1313" s="497">
        <v>45526.0</v>
      </c>
      <c r="B1313" s="349" t="s">
        <v>1744</v>
      </c>
      <c r="C1313" s="349" t="s">
        <v>1745</v>
      </c>
      <c r="D1313" s="349" t="s">
        <v>54</v>
      </c>
      <c r="E1313" s="349" t="s">
        <v>1139</v>
      </c>
      <c r="F1313" s="541">
        <v>1807948.64</v>
      </c>
      <c r="G1313" s="413">
        <v>0.0</v>
      </c>
      <c r="H1313" s="544" t="s">
        <v>1746</v>
      </c>
      <c r="I1313" s="402"/>
      <c r="J1313" s="402"/>
      <c r="K1313" s="402"/>
      <c r="L1313" s="402"/>
      <c r="M1313" s="402"/>
      <c r="N1313" s="402"/>
      <c r="O1313" s="402"/>
      <c r="P1313" s="402"/>
      <c r="Q1313" s="402"/>
      <c r="R1313" s="402"/>
      <c r="S1313" s="402"/>
      <c r="T1313" s="402"/>
      <c r="U1313" s="402"/>
      <c r="V1313" s="402"/>
      <c r="W1313" s="402"/>
      <c r="X1313" s="402"/>
      <c r="Y1313" s="402"/>
      <c r="Z1313" s="402"/>
      <c r="AA1313" s="405"/>
      <c r="AB1313" s="405"/>
    </row>
    <row r="1314" ht="14.25" customHeight="1">
      <c r="A1314" s="497">
        <v>45526.0</v>
      </c>
      <c r="B1314" s="349" t="s">
        <v>1747</v>
      </c>
      <c r="C1314" s="349" t="s">
        <v>1748</v>
      </c>
      <c r="D1314" s="349" t="s">
        <v>54</v>
      </c>
      <c r="E1314" s="349" t="s">
        <v>1139</v>
      </c>
      <c r="F1314" s="542">
        <v>1023310.0</v>
      </c>
      <c r="G1314" s="413">
        <v>0.0</v>
      </c>
      <c r="H1314" s="544" t="s">
        <v>1749</v>
      </c>
      <c r="I1314" s="402"/>
      <c r="J1314" s="402"/>
      <c r="K1314" s="402"/>
      <c r="L1314" s="402"/>
      <c r="M1314" s="402"/>
      <c r="N1314" s="402"/>
      <c r="O1314" s="402"/>
      <c r="P1314" s="402"/>
      <c r="Q1314" s="402"/>
      <c r="R1314" s="402"/>
      <c r="S1314" s="402"/>
      <c r="T1314" s="402"/>
      <c r="U1314" s="402"/>
      <c r="V1314" s="402"/>
      <c r="W1314" s="402"/>
      <c r="X1314" s="402"/>
      <c r="Y1314" s="402"/>
      <c r="Z1314" s="402"/>
      <c r="AA1314" s="405"/>
      <c r="AB1314" s="405"/>
    </row>
    <row r="1315" ht="14.25" customHeight="1">
      <c r="A1315" s="497">
        <v>45526.0</v>
      </c>
      <c r="B1315" s="349" t="s">
        <v>1750</v>
      </c>
      <c r="C1315" s="349" t="s">
        <v>1751</v>
      </c>
      <c r="D1315" s="349" t="s">
        <v>54</v>
      </c>
      <c r="E1315" s="349" t="s">
        <v>1139</v>
      </c>
      <c r="F1315" s="541">
        <v>658842.0</v>
      </c>
      <c r="G1315" s="413">
        <v>0.0</v>
      </c>
      <c r="H1315" s="540" t="s">
        <v>1752</v>
      </c>
      <c r="I1315" s="402"/>
      <c r="J1315" s="402"/>
      <c r="K1315" s="402"/>
      <c r="L1315" s="402"/>
      <c r="M1315" s="402"/>
      <c r="N1315" s="402"/>
      <c r="O1315" s="402"/>
      <c r="P1315" s="402"/>
      <c r="Q1315" s="402"/>
      <c r="R1315" s="402"/>
      <c r="S1315" s="402"/>
      <c r="T1315" s="402"/>
      <c r="U1315" s="402"/>
      <c r="V1315" s="402"/>
      <c r="W1315" s="402"/>
      <c r="X1315" s="402"/>
      <c r="Y1315" s="402"/>
      <c r="Z1315" s="402"/>
      <c r="AA1315" s="405"/>
      <c r="AB1315" s="405"/>
    </row>
    <row r="1316" ht="14.25" customHeight="1">
      <c r="A1316" s="497">
        <v>45526.0</v>
      </c>
      <c r="B1316" s="349" t="s">
        <v>1753</v>
      </c>
      <c r="C1316" s="349" t="s">
        <v>1754</v>
      </c>
      <c r="D1316" s="349" t="s">
        <v>54</v>
      </c>
      <c r="E1316" s="349" t="s">
        <v>1139</v>
      </c>
      <c r="F1316" s="413">
        <v>513027.0</v>
      </c>
      <c r="G1316" s="413">
        <v>0.0</v>
      </c>
      <c r="H1316" s="540" t="s">
        <v>1755</v>
      </c>
      <c r="I1316" s="402"/>
      <c r="J1316" s="402"/>
      <c r="K1316" s="402"/>
      <c r="L1316" s="402"/>
      <c r="M1316" s="402"/>
      <c r="N1316" s="402"/>
      <c r="O1316" s="402"/>
      <c r="P1316" s="402"/>
      <c r="Q1316" s="402"/>
      <c r="R1316" s="402"/>
      <c r="S1316" s="402"/>
      <c r="T1316" s="402"/>
      <c r="U1316" s="402"/>
      <c r="V1316" s="402"/>
      <c r="W1316" s="402"/>
      <c r="X1316" s="402"/>
      <c r="Y1316" s="402"/>
      <c r="Z1316" s="402"/>
      <c r="AA1316" s="405"/>
      <c r="AB1316" s="405"/>
    </row>
    <row r="1317" ht="14.25" customHeight="1">
      <c r="A1317" s="497">
        <v>45526.0</v>
      </c>
      <c r="B1317" s="349" t="s">
        <v>802</v>
      </c>
      <c r="C1317" s="349" t="s">
        <v>803</v>
      </c>
      <c r="D1317" s="349" t="s">
        <v>54</v>
      </c>
      <c r="E1317" s="349" t="s">
        <v>1139</v>
      </c>
      <c r="F1317" s="413">
        <v>313699.0</v>
      </c>
      <c r="G1317" s="413">
        <v>0.0</v>
      </c>
      <c r="H1317" s="545" t="s">
        <v>1756</v>
      </c>
      <c r="I1317" s="402"/>
      <c r="J1317" s="402"/>
      <c r="K1317" s="402"/>
      <c r="L1317" s="402"/>
      <c r="M1317" s="402"/>
      <c r="N1317" s="402"/>
      <c r="O1317" s="402"/>
      <c r="P1317" s="402"/>
      <c r="Q1317" s="402"/>
      <c r="R1317" s="402"/>
      <c r="S1317" s="402"/>
      <c r="T1317" s="402"/>
      <c r="U1317" s="402"/>
      <c r="V1317" s="402"/>
      <c r="W1317" s="402"/>
      <c r="X1317" s="402"/>
      <c r="Y1317" s="402"/>
      <c r="Z1317" s="402"/>
      <c r="AA1317" s="405"/>
      <c r="AB1317" s="405"/>
    </row>
    <row r="1318" ht="14.25" customHeight="1">
      <c r="A1318" s="497">
        <v>45526.0</v>
      </c>
      <c r="B1318" s="349" t="s">
        <v>997</v>
      </c>
      <c r="C1318" s="349" t="s">
        <v>998</v>
      </c>
      <c r="D1318" s="519" t="s">
        <v>54</v>
      </c>
      <c r="E1318" s="349" t="s">
        <v>1168</v>
      </c>
      <c r="F1318" s="452">
        <v>28350.0</v>
      </c>
      <c r="G1318" s="413">
        <v>0.0</v>
      </c>
      <c r="H1318" s="545" t="s">
        <v>1757</v>
      </c>
      <c r="I1318" s="402"/>
      <c r="J1318" s="402"/>
      <c r="K1318" s="402"/>
      <c r="L1318" s="402"/>
      <c r="M1318" s="402"/>
      <c r="N1318" s="402"/>
      <c r="O1318" s="402"/>
      <c r="P1318" s="402"/>
      <c r="Q1318" s="402"/>
      <c r="R1318" s="402"/>
      <c r="S1318" s="402"/>
      <c r="T1318" s="402"/>
      <c r="U1318" s="402"/>
      <c r="V1318" s="402"/>
      <c r="W1318" s="402"/>
      <c r="X1318" s="402"/>
      <c r="Y1318" s="402"/>
      <c r="Z1318" s="402"/>
      <c r="AA1318" s="405"/>
      <c r="AB1318" s="405"/>
    </row>
    <row r="1319" ht="14.25" customHeight="1">
      <c r="A1319" s="497">
        <v>45526.0</v>
      </c>
      <c r="B1319" s="349" t="s">
        <v>1223</v>
      </c>
      <c r="C1319" s="349" t="s">
        <v>998</v>
      </c>
      <c r="D1319" s="344" t="s">
        <v>346</v>
      </c>
      <c r="E1319" s="349" t="s">
        <v>1168</v>
      </c>
      <c r="F1319" s="413">
        <v>81947.25</v>
      </c>
      <c r="G1319" s="413">
        <v>0.0</v>
      </c>
      <c r="H1319" s="545" t="s">
        <v>1757</v>
      </c>
      <c r="I1319" s="402"/>
      <c r="J1319" s="402"/>
      <c r="K1319" s="402"/>
      <c r="L1319" s="402"/>
      <c r="M1319" s="402"/>
      <c r="N1319" s="402"/>
      <c r="O1319" s="402"/>
      <c r="P1319" s="402"/>
      <c r="Q1319" s="402"/>
      <c r="R1319" s="402"/>
      <c r="S1319" s="402"/>
      <c r="T1319" s="402"/>
      <c r="U1319" s="402"/>
      <c r="V1319" s="402"/>
      <c r="W1319" s="402"/>
      <c r="X1319" s="402"/>
      <c r="Y1319" s="402"/>
      <c r="Z1319" s="402"/>
      <c r="AA1319" s="405"/>
      <c r="AB1319" s="405"/>
    </row>
    <row r="1320" ht="14.25" customHeight="1">
      <c r="A1320" s="497">
        <v>45526.0</v>
      </c>
      <c r="B1320" s="349" t="s">
        <v>1673</v>
      </c>
      <c r="C1320" s="349" t="s">
        <v>1674</v>
      </c>
      <c r="D1320" s="519" t="s">
        <v>54</v>
      </c>
      <c r="E1320" s="349" t="s">
        <v>1168</v>
      </c>
      <c r="F1320" s="413">
        <v>58919.23</v>
      </c>
      <c r="G1320" s="413">
        <v>0.0</v>
      </c>
      <c r="H1320" s="545" t="s">
        <v>1758</v>
      </c>
      <c r="I1320" s="402"/>
      <c r="J1320" s="402"/>
      <c r="K1320" s="402"/>
      <c r="L1320" s="402"/>
      <c r="M1320" s="402"/>
      <c r="N1320" s="402"/>
      <c r="O1320" s="402"/>
      <c r="P1320" s="402"/>
      <c r="Q1320" s="402"/>
      <c r="R1320" s="402"/>
      <c r="S1320" s="402"/>
      <c r="T1320" s="402"/>
      <c r="U1320" s="402"/>
      <c r="V1320" s="402"/>
      <c r="W1320" s="402"/>
      <c r="X1320" s="402"/>
      <c r="Y1320" s="402"/>
      <c r="Z1320" s="402"/>
      <c r="AA1320" s="405"/>
      <c r="AB1320" s="405"/>
    </row>
    <row r="1321" ht="14.25" customHeight="1">
      <c r="A1321" s="497">
        <v>45526.0</v>
      </c>
      <c r="B1321" s="349" t="s">
        <v>698</v>
      </c>
      <c r="C1321" s="349" t="s">
        <v>1167</v>
      </c>
      <c r="D1321" s="516" t="s">
        <v>54</v>
      </c>
      <c r="E1321" s="349" t="s">
        <v>1168</v>
      </c>
      <c r="F1321" s="413">
        <v>15291.93</v>
      </c>
      <c r="G1321" s="413">
        <v>0.0</v>
      </c>
      <c r="H1321" s="65" t="s">
        <v>1759</v>
      </c>
      <c r="I1321" s="402"/>
      <c r="J1321" s="402"/>
      <c r="K1321" s="402"/>
      <c r="L1321" s="402"/>
      <c r="M1321" s="402"/>
      <c r="N1321" s="402"/>
      <c r="O1321" s="402"/>
      <c r="P1321" s="402"/>
      <c r="Q1321" s="402"/>
      <c r="R1321" s="402"/>
      <c r="S1321" s="402"/>
      <c r="T1321" s="402"/>
      <c r="U1321" s="402"/>
      <c r="V1321" s="402"/>
      <c r="W1321" s="402"/>
      <c r="X1321" s="402"/>
      <c r="Y1321" s="402"/>
      <c r="Z1321" s="402"/>
      <c r="AA1321" s="405"/>
      <c r="AB1321" s="405"/>
    </row>
    <row r="1322" ht="14.25" customHeight="1">
      <c r="A1322" s="497">
        <v>45526.0</v>
      </c>
      <c r="B1322" s="349" t="s">
        <v>691</v>
      </c>
      <c r="C1322" s="349" t="s">
        <v>692</v>
      </c>
      <c r="D1322" s="519" t="s">
        <v>54</v>
      </c>
      <c r="E1322" s="349" t="s">
        <v>1168</v>
      </c>
      <c r="F1322" s="413">
        <v>14450.0</v>
      </c>
      <c r="G1322" s="413">
        <v>14450.0</v>
      </c>
      <c r="H1322" s="349" t="s">
        <v>8</v>
      </c>
      <c r="I1322" s="402"/>
      <c r="J1322" s="402"/>
      <c r="K1322" s="402"/>
      <c r="L1322" s="402"/>
      <c r="M1322" s="402"/>
      <c r="N1322" s="402"/>
      <c r="O1322" s="402"/>
      <c r="P1322" s="402"/>
      <c r="Q1322" s="402"/>
      <c r="R1322" s="402"/>
      <c r="S1322" s="402"/>
      <c r="T1322" s="402"/>
      <c r="U1322" s="402"/>
      <c r="V1322" s="402"/>
      <c r="W1322" s="402"/>
      <c r="X1322" s="402"/>
      <c r="Y1322" s="402"/>
      <c r="Z1322" s="402"/>
      <c r="AA1322" s="405"/>
      <c r="AB1322" s="405"/>
    </row>
    <row r="1323" ht="14.25" customHeight="1">
      <c r="A1323" s="497">
        <v>45526.0</v>
      </c>
      <c r="B1323" s="343" t="s">
        <v>695</v>
      </c>
      <c r="C1323" s="344" t="s">
        <v>1529</v>
      </c>
      <c r="D1323" s="519" t="s">
        <v>54</v>
      </c>
      <c r="E1323" s="349" t="s">
        <v>1168</v>
      </c>
      <c r="F1323" s="442">
        <v>61570.81</v>
      </c>
      <c r="G1323" s="413">
        <v>0.0</v>
      </c>
      <c r="H1323" s="349" t="s">
        <v>1760</v>
      </c>
      <c r="I1323" s="402"/>
      <c r="J1323" s="402"/>
      <c r="K1323" s="402"/>
      <c r="L1323" s="402"/>
      <c r="M1323" s="402"/>
      <c r="N1323" s="402"/>
      <c r="O1323" s="402"/>
      <c r="P1323" s="402"/>
      <c r="Q1323" s="402"/>
      <c r="R1323" s="402"/>
      <c r="S1323" s="402"/>
      <c r="T1323" s="402"/>
      <c r="U1323" s="402"/>
      <c r="V1323" s="402"/>
      <c r="W1323" s="402"/>
      <c r="X1323" s="402"/>
      <c r="Y1323" s="402"/>
      <c r="Z1323" s="402"/>
      <c r="AA1323" s="405"/>
      <c r="AB1323" s="405"/>
    </row>
    <row r="1324" ht="14.25" customHeight="1">
      <c r="A1324" s="497">
        <v>45526.0</v>
      </c>
      <c r="B1324" s="546" t="s">
        <v>1761</v>
      </c>
      <c r="C1324" s="547" t="s">
        <v>1762</v>
      </c>
      <c r="D1324" s="349" t="s">
        <v>439</v>
      </c>
      <c r="E1324" s="349" t="s">
        <v>1168</v>
      </c>
      <c r="F1324" s="413">
        <v>350000.0</v>
      </c>
      <c r="G1324" s="413">
        <v>0.0</v>
      </c>
      <c r="H1324" s="548" t="s">
        <v>1763</v>
      </c>
      <c r="I1324" s="402"/>
      <c r="J1324" s="402"/>
      <c r="K1324" s="402"/>
      <c r="L1324" s="402"/>
      <c r="M1324" s="402"/>
      <c r="N1324" s="402"/>
      <c r="O1324" s="402"/>
      <c r="P1324" s="402"/>
      <c r="Q1324" s="402"/>
      <c r="R1324" s="402"/>
      <c r="S1324" s="402"/>
      <c r="T1324" s="402"/>
      <c r="U1324" s="402"/>
      <c r="V1324" s="402"/>
      <c r="W1324" s="402"/>
      <c r="X1324" s="402"/>
      <c r="Y1324" s="402"/>
      <c r="Z1324" s="402"/>
      <c r="AA1324" s="405"/>
      <c r="AB1324" s="405"/>
    </row>
    <row r="1325" ht="14.25" customHeight="1">
      <c r="A1325" s="497">
        <v>45526.0</v>
      </c>
      <c r="B1325" s="546" t="s">
        <v>1764</v>
      </c>
      <c r="C1325" s="349" t="s">
        <v>1765</v>
      </c>
      <c r="D1325" s="349" t="s">
        <v>668</v>
      </c>
      <c r="E1325" s="349" t="s">
        <v>1168</v>
      </c>
      <c r="F1325" s="549">
        <v>33490.0</v>
      </c>
      <c r="G1325" s="413">
        <v>0.0</v>
      </c>
      <c r="H1325" s="550" t="s">
        <v>1766</v>
      </c>
      <c r="I1325" s="402"/>
      <c r="J1325" s="402"/>
      <c r="K1325" s="402"/>
      <c r="L1325" s="402"/>
      <c r="M1325" s="402"/>
      <c r="N1325" s="402"/>
      <c r="O1325" s="402"/>
      <c r="P1325" s="402"/>
      <c r="Q1325" s="402"/>
      <c r="R1325" s="402"/>
      <c r="S1325" s="402"/>
      <c r="T1325" s="402"/>
      <c r="U1325" s="402"/>
      <c r="V1325" s="402"/>
      <c r="W1325" s="402"/>
      <c r="X1325" s="402"/>
      <c r="Y1325" s="402"/>
      <c r="Z1325" s="402"/>
      <c r="AA1325" s="405"/>
      <c r="AB1325" s="405"/>
    </row>
    <row r="1326" ht="14.25" customHeight="1">
      <c r="A1326" s="497">
        <v>45526.0</v>
      </c>
      <c r="B1326" s="546" t="s">
        <v>1767</v>
      </c>
      <c r="C1326" s="349" t="s">
        <v>1768</v>
      </c>
      <c r="D1326" s="349" t="s">
        <v>439</v>
      </c>
      <c r="E1326" s="349" t="s">
        <v>1168</v>
      </c>
      <c r="F1326" s="403"/>
      <c r="G1326" s="413">
        <v>0.0</v>
      </c>
      <c r="H1326" s="551" t="s">
        <v>1769</v>
      </c>
      <c r="I1326" s="402"/>
      <c r="J1326" s="402"/>
      <c r="K1326" s="402"/>
      <c r="L1326" s="402"/>
      <c r="M1326" s="402"/>
      <c r="N1326" s="402"/>
      <c r="O1326" s="402"/>
      <c r="P1326" s="402"/>
      <c r="Q1326" s="402"/>
      <c r="R1326" s="402"/>
      <c r="S1326" s="402"/>
      <c r="T1326" s="402"/>
      <c r="U1326" s="402"/>
      <c r="V1326" s="402"/>
      <c r="W1326" s="402"/>
      <c r="X1326" s="402"/>
      <c r="Y1326" s="402"/>
      <c r="Z1326" s="402"/>
      <c r="AA1326" s="405"/>
      <c r="AB1326" s="405"/>
    </row>
    <row r="1327" ht="14.25" customHeight="1">
      <c r="A1327" s="497">
        <v>45526.0</v>
      </c>
      <c r="B1327" s="546" t="s">
        <v>1770</v>
      </c>
      <c r="C1327" s="349" t="s">
        <v>1771</v>
      </c>
      <c r="D1327" s="349" t="s">
        <v>439</v>
      </c>
      <c r="E1327" s="349" t="s">
        <v>1168</v>
      </c>
      <c r="F1327" s="403"/>
      <c r="G1327" s="413">
        <v>0.0</v>
      </c>
      <c r="H1327" s="534" t="s">
        <v>1772</v>
      </c>
      <c r="I1327" s="402"/>
      <c r="J1327" s="402"/>
      <c r="K1327" s="402"/>
      <c r="L1327" s="402"/>
      <c r="M1327" s="402"/>
      <c r="N1327" s="402"/>
      <c r="O1327" s="402"/>
      <c r="P1327" s="402"/>
      <c r="Q1327" s="402"/>
      <c r="R1327" s="402"/>
      <c r="S1327" s="402"/>
      <c r="T1327" s="402"/>
      <c r="U1327" s="402"/>
      <c r="V1327" s="402"/>
      <c r="W1327" s="402"/>
      <c r="X1327" s="402"/>
      <c r="Y1327" s="402"/>
      <c r="Z1327" s="402"/>
      <c r="AA1327" s="405"/>
      <c r="AB1327" s="405"/>
    </row>
    <row r="1328" ht="14.25" customHeight="1">
      <c r="A1328" s="497">
        <v>45526.0</v>
      </c>
      <c r="B1328" s="546" t="s">
        <v>1773</v>
      </c>
      <c r="C1328" s="349" t="s">
        <v>1774</v>
      </c>
      <c r="D1328" s="349" t="s">
        <v>439</v>
      </c>
      <c r="E1328" s="349" t="s">
        <v>1168</v>
      </c>
      <c r="F1328" s="413">
        <v>500000.0</v>
      </c>
      <c r="G1328" s="413">
        <v>0.0</v>
      </c>
      <c r="H1328" s="349" t="s">
        <v>1775</v>
      </c>
      <c r="I1328" s="402"/>
      <c r="J1328" s="402"/>
      <c r="K1328" s="402"/>
      <c r="L1328" s="402"/>
      <c r="M1328" s="402"/>
      <c r="N1328" s="402"/>
      <c r="O1328" s="402"/>
      <c r="P1328" s="402"/>
      <c r="Q1328" s="402"/>
      <c r="R1328" s="402"/>
      <c r="S1328" s="402"/>
      <c r="T1328" s="402"/>
      <c r="U1328" s="402"/>
      <c r="V1328" s="402"/>
      <c r="W1328" s="402"/>
      <c r="X1328" s="402"/>
      <c r="Y1328" s="402"/>
      <c r="Z1328" s="402"/>
      <c r="AA1328" s="405"/>
      <c r="AB1328" s="405"/>
    </row>
    <row r="1329" ht="14.25" customHeight="1">
      <c r="A1329" s="497">
        <v>45526.0</v>
      </c>
      <c r="B1329" s="349" t="s">
        <v>1776</v>
      </c>
      <c r="C1329" s="349" t="s">
        <v>1777</v>
      </c>
      <c r="D1329" s="349" t="s">
        <v>54</v>
      </c>
      <c r="E1329" s="349" t="s">
        <v>1168</v>
      </c>
      <c r="F1329" s="403"/>
      <c r="G1329" s="413">
        <v>0.0</v>
      </c>
      <c r="H1329" s="552" t="s">
        <v>1778</v>
      </c>
      <c r="I1329" s="402"/>
      <c r="J1329" s="402"/>
      <c r="K1329" s="402"/>
      <c r="L1329" s="402"/>
      <c r="M1329" s="402"/>
      <c r="N1329" s="402"/>
      <c r="O1329" s="402"/>
      <c r="P1329" s="402"/>
      <c r="Q1329" s="402"/>
      <c r="R1329" s="402"/>
      <c r="S1329" s="402"/>
      <c r="T1329" s="402"/>
      <c r="U1329" s="402"/>
      <c r="V1329" s="402"/>
      <c r="W1329" s="402"/>
      <c r="X1329" s="402"/>
      <c r="Y1329" s="402"/>
      <c r="Z1329" s="402"/>
      <c r="AA1329" s="405"/>
      <c r="AB1329" s="405"/>
    </row>
    <row r="1330" ht="14.25" customHeight="1">
      <c r="A1330" s="497">
        <v>45526.0</v>
      </c>
      <c r="B1330" s="535" t="s">
        <v>788</v>
      </c>
      <c r="C1330" s="536" t="s">
        <v>789</v>
      </c>
      <c r="D1330" s="536" t="s">
        <v>54</v>
      </c>
      <c r="E1330" s="344" t="s">
        <v>1143</v>
      </c>
      <c r="F1330" s="413">
        <v>118488.02</v>
      </c>
      <c r="G1330" s="413">
        <v>0.0</v>
      </c>
      <c r="H1330" s="553" t="s">
        <v>1779</v>
      </c>
      <c r="I1330" s="402"/>
      <c r="J1330" s="402"/>
      <c r="K1330" s="402"/>
      <c r="L1330" s="402"/>
      <c r="M1330" s="402"/>
      <c r="N1330" s="402"/>
      <c r="O1330" s="402"/>
      <c r="P1330" s="402"/>
      <c r="Q1330" s="402"/>
      <c r="R1330" s="402"/>
      <c r="S1330" s="402"/>
      <c r="T1330" s="402"/>
      <c r="U1330" s="402"/>
      <c r="V1330" s="402"/>
      <c r="W1330" s="402"/>
      <c r="X1330" s="402"/>
      <c r="Y1330" s="402"/>
      <c r="Z1330" s="402"/>
      <c r="AA1330" s="405"/>
      <c r="AB1330" s="405"/>
    </row>
    <row r="1331" ht="14.25" customHeight="1">
      <c r="A1331" s="497">
        <v>45526.0</v>
      </c>
      <c r="B1331" s="518" t="s">
        <v>774</v>
      </c>
      <c r="C1331" s="519" t="s">
        <v>775</v>
      </c>
      <c r="D1331" s="519" t="s">
        <v>54</v>
      </c>
      <c r="E1331" s="344" t="s">
        <v>1143</v>
      </c>
      <c r="F1331" s="413">
        <v>100000.0</v>
      </c>
      <c r="G1331" s="413">
        <v>0.0</v>
      </c>
      <c r="H1331" s="554" t="s">
        <v>1780</v>
      </c>
      <c r="I1331" s="402"/>
      <c r="J1331" s="402"/>
      <c r="K1331" s="402"/>
      <c r="L1331" s="402"/>
      <c r="M1331" s="402"/>
      <c r="N1331" s="402"/>
      <c r="O1331" s="402"/>
      <c r="P1331" s="402"/>
      <c r="Q1331" s="402"/>
      <c r="R1331" s="402"/>
      <c r="S1331" s="402"/>
      <c r="T1331" s="402"/>
      <c r="U1331" s="402"/>
      <c r="V1331" s="402"/>
      <c r="W1331" s="402"/>
      <c r="X1331" s="402"/>
      <c r="Y1331" s="402"/>
      <c r="Z1331" s="402"/>
      <c r="AA1331" s="405"/>
      <c r="AB1331" s="405"/>
    </row>
    <row r="1332" ht="14.25" customHeight="1">
      <c r="A1332" s="402"/>
      <c r="B1332" s="402"/>
      <c r="C1332" s="402"/>
      <c r="D1332" s="402"/>
      <c r="E1332" s="402"/>
      <c r="F1332" s="403"/>
      <c r="G1332" s="403"/>
      <c r="H1332" s="402"/>
      <c r="I1332" s="402"/>
      <c r="J1332" s="402"/>
      <c r="K1332" s="402"/>
      <c r="L1332" s="402"/>
      <c r="M1332" s="402"/>
      <c r="N1332" s="402"/>
      <c r="O1332" s="402"/>
      <c r="P1332" s="402"/>
      <c r="Q1332" s="402"/>
      <c r="R1332" s="402"/>
      <c r="S1332" s="402"/>
      <c r="T1332" s="402"/>
      <c r="U1332" s="402"/>
      <c r="V1332" s="402"/>
      <c r="W1332" s="402"/>
      <c r="X1332" s="402"/>
      <c r="Y1332" s="402"/>
      <c r="Z1332" s="402"/>
      <c r="AA1332" s="405"/>
      <c r="AB1332" s="405"/>
    </row>
    <row r="1333" ht="14.25" customHeight="1">
      <c r="A1333" s="402"/>
      <c r="B1333" s="402"/>
      <c r="C1333" s="424" t="s">
        <v>797</v>
      </c>
      <c r="D1333" s="402"/>
      <c r="E1333" s="402"/>
      <c r="F1333" s="403"/>
      <c r="G1333" s="403"/>
      <c r="H1333" s="402"/>
      <c r="I1333" s="402"/>
      <c r="J1333" s="402"/>
      <c r="K1333" s="402"/>
      <c r="L1333" s="402"/>
      <c r="M1333" s="402"/>
      <c r="N1333" s="402"/>
      <c r="O1333" s="402"/>
      <c r="P1333" s="402"/>
      <c r="Q1333" s="402"/>
      <c r="R1333" s="402"/>
      <c r="S1333" s="402"/>
      <c r="T1333" s="402"/>
      <c r="U1333" s="402"/>
      <c r="V1333" s="402"/>
      <c r="W1333" s="402"/>
      <c r="X1333" s="402"/>
      <c r="Y1333" s="402"/>
      <c r="Z1333" s="402"/>
      <c r="AA1333" s="405"/>
      <c r="AB1333" s="405"/>
    </row>
    <row r="1334" ht="14.25" customHeight="1">
      <c r="A1334" s="497">
        <v>45526.0</v>
      </c>
      <c r="B1334" s="349" t="s">
        <v>886</v>
      </c>
      <c r="C1334" s="349" t="s">
        <v>1095</v>
      </c>
      <c r="D1334" s="349" t="s">
        <v>54</v>
      </c>
      <c r="E1334" s="349" t="s">
        <v>1255</v>
      </c>
      <c r="F1334" s="413">
        <v>410000.0</v>
      </c>
      <c r="G1334" s="403"/>
      <c r="H1334" s="349" t="s">
        <v>1781</v>
      </c>
      <c r="I1334" s="402"/>
      <c r="J1334" s="402"/>
      <c r="K1334" s="402"/>
      <c r="L1334" s="402"/>
      <c r="M1334" s="402"/>
      <c r="N1334" s="402"/>
      <c r="O1334" s="402"/>
      <c r="P1334" s="402"/>
      <c r="Q1334" s="402"/>
      <c r="R1334" s="402"/>
      <c r="S1334" s="402"/>
      <c r="T1334" s="402"/>
      <c r="U1334" s="402"/>
      <c r="V1334" s="402"/>
      <c r="W1334" s="402"/>
      <c r="X1334" s="402"/>
      <c r="Y1334" s="402"/>
      <c r="Z1334" s="402"/>
      <c r="AA1334" s="405"/>
      <c r="AB1334" s="405"/>
    </row>
    <row r="1335" ht="14.25" customHeight="1">
      <c r="A1335" s="497">
        <v>45526.0</v>
      </c>
      <c r="B1335" s="349" t="s">
        <v>1329</v>
      </c>
      <c r="C1335" s="349" t="s">
        <v>1330</v>
      </c>
      <c r="D1335" s="349" t="s">
        <v>54</v>
      </c>
      <c r="E1335" s="349" t="s">
        <v>1255</v>
      </c>
      <c r="F1335" s="413">
        <v>500000.0</v>
      </c>
      <c r="G1335" s="403"/>
      <c r="H1335" s="349" t="s">
        <v>1782</v>
      </c>
      <c r="I1335" s="402"/>
      <c r="J1335" s="402"/>
      <c r="K1335" s="402"/>
      <c r="L1335" s="402"/>
      <c r="M1335" s="402"/>
      <c r="N1335" s="402"/>
      <c r="O1335" s="402"/>
      <c r="P1335" s="402"/>
      <c r="Q1335" s="402"/>
      <c r="R1335" s="402"/>
      <c r="S1335" s="402"/>
      <c r="T1335" s="402"/>
      <c r="U1335" s="402"/>
      <c r="V1335" s="402"/>
      <c r="W1335" s="402"/>
      <c r="X1335" s="402"/>
      <c r="Y1335" s="402"/>
      <c r="Z1335" s="402"/>
      <c r="AA1335" s="405"/>
      <c r="AB1335" s="405"/>
    </row>
    <row r="1336" ht="14.25" customHeight="1">
      <c r="A1336" s="497">
        <v>45526.0</v>
      </c>
      <c r="B1336" s="349" t="s">
        <v>1181</v>
      </c>
      <c r="C1336" s="349" t="s">
        <v>1182</v>
      </c>
      <c r="D1336" s="349" t="s">
        <v>54</v>
      </c>
      <c r="E1336" s="349" t="s">
        <v>1255</v>
      </c>
      <c r="F1336" s="413">
        <v>350000.0</v>
      </c>
      <c r="G1336" s="403"/>
      <c r="H1336" s="349" t="s">
        <v>1783</v>
      </c>
      <c r="I1336" s="402"/>
      <c r="J1336" s="402"/>
      <c r="K1336" s="402"/>
      <c r="L1336" s="402"/>
      <c r="M1336" s="402"/>
      <c r="N1336" s="402"/>
      <c r="O1336" s="402"/>
      <c r="P1336" s="402"/>
      <c r="Q1336" s="402"/>
      <c r="R1336" s="402"/>
      <c r="S1336" s="402"/>
      <c r="T1336" s="402"/>
      <c r="U1336" s="402"/>
      <c r="V1336" s="402"/>
      <c r="W1336" s="402"/>
      <c r="X1336" s="402"/>
      <c r="Y1336" s="402"/>
      <c r="Z1336" s="402"/>
      <c r="AA1336" s="405"/>
      <c r="AB1336" s="405"/>
    </row>
    <row r="1337" ht="14.25" customHeight="1">
      <c r="A1337" s="497">
        <v>45526.0</v>
      </c>
      <c r="B1337" s="349" t="s">
        <v>1784</v>
      </c>
      <c r="C1337" s="349" t="s">
        <v>1785</v>
      </c>
      <c r="D1337" s="349" t="s">
        <v>54</v>
      </c>
      <c r="E1337" s="349" t="s">
        <v>1255</v>
      </c>
      <c r="F1337" s="413">
        <v>100000.0</v>
      </c>
      <c r="G1337" s="403"/>
      <c r="H1337" s="349" t="s">
        <v>1786</v>
      </c>
      <c r="I1337" s="402"/>
      <c r="J1337" s="402"/>
      <c r="K1337" s="402"/>
      <c r="L1337" s="402"/>
      <c r="M1337" s="402"/>
      <c r="N1337" s="402"/>
      <c r="O1337" s="402"/>
      <c r="P1337" s="402"/>
      <c r="Q1337" s="402"/>
      <c r="R1337" s="402"/>
      <c r="S1337" s="402"/>
      <c r="T1337" s="402"/>
      <c r="U1337" s="402"/>
      <c r="V1337" s="402"/>
      <c r="W1337" s="402"/>
      <c r="X1337" s="402"/>
      <c r="Y1337" s="402"/>
      <c r="Z1337" s="402"/>
      <c r="AA1337" s="405"/>
      <c r="AB1337" s="405"/>
    </row>
    <row r="1338" ht="14.25" customHeight="1">
      <c r="A1338" s="497">
        <v>45526.0</v>
      </c>
      <c r="B1338" s="349" t="s">
        <v>1715</v>
      </c>
      <c r="C1338" s="349" t="s">
        <v>1716</v>
      </c>
      <c r="D1338" s="349" t="s">
        <v>54</v>
      </c>
      <c r="E1338" s="349" t="s">
        <v>1255</v>
      </c>
      <c r="F1338" s="413">
        <v>10000.0</v>
      </c>
      <c r="G1338" s="413">
        <v>10000.0</v>
      </c>
      <c r="H1338" s="349" t="s">
        <v>710</v>
      </c>
      <c r="I1338" s="402"/>
      <c r="J1338" s="402"/>
      <c r="K1338" s="402"/>
      <c r="L1338" s="402"/>
      <c r="M1338" s="402"/>
      <c r="N1338" s="402"/>
      <c r="O1338" s="402"/>
      <c r="P1338" s="402"/>
      <c r="Q1338" s="402"/>
      <c r="R1338" s="402"/>
      <c r="S1338" s="402"/>
      <c r="T1338" s="402"/>
      <c r="U1338" s="402"/>
      <c r="V1338" s="402"/>
      <c r="W1338" s="402"/>
      <c r="X1338" s="402"/>
      <c r="Y1338" s="402"/>
      <c r="Z1338" s="402"/>
      <c r="AA1338" s="405"/>
      <c r="AB1338" s="405"/>
    </row>
    <row r="1339" ht="14.25" customHeight="1">
      <c r="A1339" s="497">
        <v>45526.0</v>
      </c>
      <c r="B1339" s="349" t="s">
        <v>1787</v>
      </c>
      <c r="C1339" s="349" t="s">
        <v>1788</v>
      </c>
      <c r="D1339" s="349" t="s">
        <v>54</v>
      </c>
      <c r="E1339" s="349" t="s">
        <v>1255</v>
      </c>
      <c r="F1339" s="413">
        <v>100000.0</v>
      </c>
      <c r="G1339" s="403"/>
      <c r="H1339" s="349" t="s">
        <v>1789</v>
      </c>
      <c r="I1339" s="402"/>
      <c r="J1339" s="402"/>
      <c r="K1339" s="402"/>
      <c r="L1339" s="402"/>
      <c r="M1339" s="402"/>
      <c r="N1339" s="402"/>
      <c r="O1339" s="402"/>
      <c r="P1339" s="402"/>
      <c r="Q1339" s="402"/>
      <c r="R1339" s="402"/>
      <c r="S1339" s="402"/>
      <c r="T1339" s="402"/>
      <c r="U1339" s="402"/>
      <c r="V1339" s="402"/>
      <c r="W1339" s="402"/>
      <c r="X1339" s="402"/>
      <c r="Y1339" s="402"/>
      <c r="Z1339" s="402"/>
      <c r="AA1339" s="405"/>
      <c r="AB1339" s="405"/>
    </row>
    <row r="1340" ht="14.25" customHeight="1">
      <c r="A1340" s="497">
        <v>45526.0</v>
      </c>
      <c r="B1340" s="349" t="s">
        <v>1790</v>
      </c>
      <c r="C1340" s="349" t="s">
        <v>1791</v>
      </c>
      <c r="D1340" s="349" t="s">
        <v>54</v>
      </c>
      <c r="E1340" s="349" t="s">
        <v>1255</v>
      </c>
      <c r="F1340" s="413">
        <v>35000.0</v>
      </c>
      <c r="G1340" s="403"/>
      <c r="H1340" s="349" t="s">
        <v>1792</v>
      </c>
      <c r="I1340" s="402"/>
      <c r="J1340" s="402"/>
      <c r="K1340" s="402"/>
      <c r="L1340" s="402"/>
      <c r="M1340" s="402"/>
      <c r="N1340" s="402"/>
      <c r="O1340" s="402"/>
      <c r="P1340" s="402"/>
      <c r="Q1340" s="402"/>
      <c r="R1340" s="402"/>
      <c r="S1340" s="402"/>
      <c r="T1340" s="402"/>
      <c r="U1340" s="402"/>
      <c r="V1340" s="402"/>
      <c r="W1340" s="402"/>
      <c r="X1340" s="402"/>
      <c r="Y1340" s="402"/>
      <c r="Z1340" s="402"/>
      <c r="AA1340" s="405"/>
      <c r="AB1340" s="405"/>
    </row>
    <row r="1341" ht="14.25" customHeight="1">
      <c r="A1341" s="497">
        <v>45526.0</v>
      </c>
      <c r="B1341" s="349" t="s">
        <v>1793</v>
      </c>
      <c r="C1341" s="349" t="s">
        <v>1794</v>
      </c>
      <c r="D1341" s="349" t="s">
        <v>54</v>
      </c>
      <c r="E1341" s="349" t="s">
        <v>1255</v>
      </c>
      <c r="F1341" s="413">
        <v>65000.0</v>
      </c>
      <c r="G1341" s="403"/>
      <c r="H1341" s="349" t="s">
        <v>1795</v>
      </c>
      <c r="I1341" s="402"/>
      <c r="J1341" s="402"/>
      <c r="K1341" s="402"/>
      <c r="L1341" s="402"/>
      <c r="M1341" s="402"/>
      <c r="N1341" s="402"/>
      <c r="O1341" s="402"/>
      <c r="P1341" s="402"/>
      <c r="Q1341" s="402"/>
      <c r="R1341" s="402"/>
      <c r="S1341" s="402"/>
      <c r="T1341" s="402"/>
      <c r="U1341" s="402"/>
      <c r="V1341" s="402"/>
      <c r="W1341" s="402"/>
      <c r="X1341" s="402"/>
      <c r="Y1341" s="402"/>
      <c r="Z1341" s="402"/>
      <c r="AA1341" s="405"/>
      <c r="AB1341" s="405"/>
    </row>
    <row r="1342" ht="14.25" customHeight="1">
      <c r="A1342" s="497">
        <v>45526.0</v>
      </c>
      <c r="B1342" s="349" t="s">
        <v>1796</v>
      </c>
      <c r="C1342" s="349" t="s">
        <v>1797</v>
      </c>
      <c r="D1342" s="349" t="s">
        <v>54</v>
      </c>
      <c r="E1342" s="349" t="s">
        <v>1255</v>
      </c>
      <c r="F1342" s="413">
        <v>50000.0</v>
      </c>
      <c r="G1342" s="403"/>
      <c r="H1342" s="349" t="s">
        <v>1798</v>
      </c>
      <c r="I1342" s="402"/>
      <c r="J1342" s="402"/>
      <c r="K1342" s="402"/>
      <c r="L1342" s="402"/>
      <c r="M1342" s="402"/>
      <c r="N1342" s="402"/>
      <c r="O1342" s="402"/>
      <c r="P1342" s="402"/>
      <c r="Q1342" s="402"/>
      <c r="R1342" s="402"/>
      <c r="S1342" s="402"/>
      <c r="T1342" s="402"/>
      <c r="U1342" s="402"/>
      <c r="V1342" s="402"/>
      <c r="W1342" s="402"/>
      <c r="X1342" s="402"/>
      <c r="Y1342" s="402"/>
      <c r="Z1342" s="402"/>
      <c r="AA1342" s="405"/>
      <c r="AB1342" s="405"/>
    </row>
    <row r="1343" ht="14.25" customHeight="1">
      <c r="A1343" s="497">
        <v>45526.0</v>
      </c>
      <c r="B1343" s="349" t="s">
        <v>1799</v>
      </c>
      <c r="C1343" s="349" t="s">
        <v>1800</v>
      </c>
      <c r="D1343" s="349" t="s">
        <v>54</v>
      </c>
      <c r="E1343" s="349" t="s">
        <v>1255</v>
      </c>
      <c r="F1343" s="413">
        <v>40000.0</v>
      </c>
      <c r="G1343" s="403"/>
      <c r="H1343" s="349" t="s">
        <v>1801</v>
      </c>
      <c r="I1343" s="402"/>
      <c r="J1343" s="402"/>
      <c r="K1343" s="402"/>
      <c r="L1343" s="402"/>
      <c r="M1343" s="402"/>
      <c r="N1343" s="402"/>
      <c r="O1343" s="402"/>
      <c r="P1343" s="402"/>
      <c r="Q1343" s="402"/>
      <c r="R1343" s="402"/>
      <c r="S1343" s="402"/>
      <c r="T1343" s="402"/>
      <c r="U1343" s="402"/>
      <c r="V1343" s="402"/>
      <c r="W1343" s="402"/>
      <c r="X1343" s="402"/>
      <c r="Y1343" s="402"/>
      <c r="Z1343" s="402"/>
      <c r="AA1343" s="405"/>
      <c r="AB1343" s="405"/>
    </row>
    <row r="1344" ht="14.25" customHeight="1">
      <c r="A1344" s="497">
        <v>45526.0</v>
      </c>
      <c r="B1344" s="349" t="s">
        <v>1802</v>
      </c>
      <c r="C1344" s="349" t="s">
        <v>1803</v>
      </c>
      <c r="D1344" s="349" t="s">
        <v>54</v>
      </c>
      <c r="E1344" s="349" t="s">
        <v>1255</v>
      </c>
      <c r="F1344" s="413">
        <v>35000.0</v>
      </c>
      <c r="G1344" s="403"/>
      <c r="H1344" s="349" t="s">
        <v>1804</v>
      </c>
      <c r="I1344" s="402"/>
      <c r="J1344" s="402"/>
      <c r="K1344" s="402"/>
      <c r="L1344" s="402"/>
      <c r="M1344" s="402"/>
      <c r="N1344" s="402"/>
      <c r="O1344" s="402"/>
      <c r="P1344" s="402"/>
      <c r="Q1344" s="402"/>
      <c r="R1344" s="402"/>
      <c r="S1344" s="402"/>
      <c r="T1344" s="402"/>
      <c r="U1344" s="402"/>
      <c r="V1344" s="402"/>
      <c r="W1344" s="402"/>
      <c r="X1344" s="402"/>
      <c r="Y1344" s="402"/>
      <c r="Z1344" s="402"/>
      <c r="AA1344" s="405"/>
      <c r="AB1344" s="405"/>
    </row>
    <row r="1345" ht="14.25" customHeight="1">
      <c r="A1345" s="402"/>
      <c r="B1345" s="402"/>
      <c r="C1345" s="402"/>
      <c r="D1345" s="402"/>
      <c r="E1345" s="402"/>
      <c r="F1345" s="403"/>
      <c r="G1345" s="403"/>
      <c r="H1345" s="402"/>
      <c r="I1345" s="402"/>
      <c r="J1345" s="402"/>
      <c r="K1345" s="402"/>
      <c r="L1345" s="402"/>
      <c r="M1345" s="402"/>
      <c r="N1345" s="402"/>
      <c r="O1345" s="402"/>
      <c r="P1345" s="402"/>
      <c r="Q1345" s="402"/>
      <c r="R1345" s="402"/>
      <c r="S1345" s="402"/>
      <c r="T1345" s="402"/>
      <c r="U1345" s="402"/>
      <c r="V1345" s="402"/>
      <c r="W1345" s="402"/>
      <c r="X1345" s="402"/>
      <c r="Y1345" s="402"/>
      <c r="Z1345" s="402"/>
      <c r="AA1345" s="405"/>
      <c r="AB1345" s="405"/>
    </row>
    <row r="1346" ht="14.25" customHeight="1">
      <c r="A1346" s="497">
        <v>45526.0</v>
      </c>
      <c r="B1346" s="402" t="s">
        <v>1805</v>
      </c>
      <c r="C1346" s="402" t="s">
        <v>1806</v>
      </c>
      <c r="D1346" s="349" t="s">
        <v>59</v>
      </c>
      <c r="E1346" s="349" t="s">
        <v>1302</v>
      </c>
      <c r="F1346" s="403"/>
      <c r="G1346" s="403"/>
      <c r="H1346" s="402"/>
      <c r="I1346" s="402"/>
      <c r="J1346" s="402"/>
      <c r="K1346" s="402"/>
      <c r="L1346" s="402"/>
      <c r="M1346" s="402"/>
      <c r="N1346" s="402"/>
      <c r="O1346" s="402"/>
      <c r="P1346" s="402"/>
      <c r="Q1346" s="402"/>
      <c r="R1346" s="402"/>
      <c r="S1346" s="402"/>
      <c r="T1346" s="402"/>
      <c r="U1346" s="402"/>
      <c r="V1346" s="402"/>
      <c r="W1346" s="402"/>
      <c r="X1346" s="402"/>
      <c r="Y1346" s="402"/>
      <c r="Z1346" s="402"/>
      <c r="AA1346" s="405"/>
      <c r="AB1346" s="405"/>
    </row>
    <row r="1347" ht="14.25" customHeight="1">
      <c r="A1347" s="497">
        <v>45526.0</v>
      </c>
      <c r="B1347" s="402" t="s">
        <v>1807</v>
      </c>
      <c r="C1347" s="402" t="s">
        <v>1808</v>
      </c>
      <c r="D1347" s="349" t="s">
        <v>59</v>
      </c>
      <c r="E1347" s="349" t="s">
        <v>1302</v>
      </c>
      <c r="F1347" s="403"/>
      <c r="G1347" s="403"/>
      <c r="H1347" s="349" t="s">
        <v>1809</v>
      </c>
      <c r="I1347" s="402"/>
      <c r="J1347" s="402"/>
      <c r="K1347" s="402"/>
      <c r="L1347" s="402"/>
      <c r="M1347" s="402"/>
      <c r="N1347" s="402"/>
      <c r="O1347" s="402"/>
      <c r="P1347" s="402"/>
      <c r="Q1347" s="402"/>
      <c r="R1347" s="402"/>
      <c r="S1347" s="402"/>
      <c r="T1347" s="402"/>
      <c r="U1347" s="402"/>
      <c r="V1347" s="402"/>
      <c r="W1347" s="402"/>
      <c r="X1347" s="402"/>
      <c r="Y1347" s="402"/>
      <c r="Z1347" s="402"/>
      <c r="AA1347" s="405"/>
      <c r="AB1347" s="405"/>
    </row>
    <row r="1348" ht="14.25" customHeight="1">
      <c r="A1348" s="497">
        <v>45526.0</v>
      </c>
      <c r="B1348" s="402" t="s">
        <v>1810</v>
      </c>
      <c r="C1348" s="402" t="s">
        <v>1811</v>
      </c>
      <c r="D1348" s="349" t="s">
        <v>59</v>
      </c>
      <c r="E1348" s="349" t="s">
        <v>1302</v>
      </c>
      <c r="F1348" s="403"/>
      <c r="G1348" s="403"/>
      <c r="H1348" s="349" t="s">
        <v>1812</v>
      </c>
      <c r="I1348" s="402"/>
      <c r="J1348" s="402"/>
      <c r="K1348" s="402"/>
      <c r="L1348" s="402"/>
      <c r="M1348" s="402"/>
      <c r="N1348" s="402"/>
      <c r="O1348" s="402"/>
      <c r="P1348" s="402"/>
      <c r="Q1348" s="402"/>
      <c r="R1348" s="402"/>
      <c r="S1348" s="402"/>
      <c r="T1348" s="402"/>
      <c r="U1348" s="402"/>
      <c r="V1348" s="402"/>
      <c r="W1348" s="402"/>
      <c r="X1348" s="402"/>
      <c r="Y1348" s="402"/>
      <c r="Z1348" s="402"/>
      <c r="AA1348" s="405"/>
      <c r="AB1348" s="405"/>
    </row>
    <row r="1349" ht="14.25" customHeight="1">
      <c r="A1349" s="497">
        <v>45526.0</v>
      </c>
      <c r="B1349" s="402" t="s">
        <v>1813</v>
      </c>
      <c r="C1349" s="402" t="s">
        <v>1814</v>
      </c>
      <c r="D1349" s="349" t="s">
        <v>59</v>
      </c>
      <c r="E1349" s="349" t="s">
        <v>1302</v>
      </c>
      <c r="F1349" s="403"/>
      <c r="G1349" s="403"/>
      <c r="H1349" s="349" t="s">
        <v>1815</v>
      </c>
      <c r="I1349" s="402"/>
      <c r="J1349" s="402"/>
      <c r="K1349" s="402"/>
      <c r="L1349" s="402"/>
      <c r="M1349" s="402"/>
      <c r="N1349" s="402"/>
      <c r="O1349" s="402"/>
      <c r="P1349" s="402"/>
      <c r="Q1349" s="402"/>
      <c r="R1349" s="402"/>
      <c r="S1349" s="402"/>
      <c r="T1349" s="402"/>
      <c r="U1349" s="402"/>
      <c r="V1349" s="402"/>
      <c r="W1349" s="402"/>
      <c r="X1349" s="402"/>
      <c r="Y1349" s="402"/>
      <c r="Z1349" s="402"/>
      <c r="AA1349" s="405"/>
      <c r="AB1349" s="405"/>
    </row>
    <row r="1350" ht="14.25" customHeight="1">
      <c r="A1350" s="497">
        <v>45526.0</v>
      </c>
      <c r="B1350" s="402" t="s">
        <v>1816</v>
      </c>
      <c r="C1350" s="402" t="s">
        <v>1817</v>
      </c>
      <c r="D1350" s="349" t="s">
        <v>59</v>
      </c>
      <c r="E1350" s="349" t="s">
        <v>1302</v>
      </c>
      <c r="F1350" s="403"/>
      <c r="G1350" s="403"/>
      <c r="H1350" s="349" t="s">
        <v>1818</v>
      </c>
      <c r="I1350" s="402"/>
      <c r="J1350" s="402"/>
      <c r="K1350" s="402"/>
      <c r="L1350" s="402"/>
      <c r="M1350" s="402"/>
      <c r="N1350" s="402"/>
      <c r="O1350" s="402"/>
      <c r="P1350" s="402"/>
      <c r="Q1350" s="402"/>
      <c r="R1350" s="402"/>
      <c r="S1350" s="402"/>
      <c r="T1350" s="402"/>
      <c r="U1350" s="402"/>
      <c r="V1350" s="402"/>
      <c r="W1350" s="402"/>
      <c r="X1350" s="402"/>
      <c r="Y1350" s="402"/>
      <c r="Z1350" s="402"/>
      <c r="AA1350" s="405"/>
      <c r="AB1350" s="405"/>
    </row>
    <row r="1351" ht="14.25" customHeight="1">
      <c r="A1351" s="402"/>
      <c r="B1351" s="402"/>
      <c r="C1351" s="402"/>
      <c r="D1351" s="402"/>
      <c r="E1351" s="402"/>
      <c r="F1351" s="403"/>
      <c r="G1351" s="403"/>
      <c r="H1351" s="402"/>
      <c r="I1351" s="402"/>
      <c r="J1351" s="402"/>
      <c r="K1351" s="402"/>
      <c r="L1351" s="402"/>
      <c r="M1351" s="402"/>
      <c r="N1351" s="402"/>
      <c r="O1351" s="402"/>
      <c r="P1351" s="402"/>
      <c r="Q1351" s="402"/>
      <c r="R1351" s="402"/>
      <c r="S1351" s="402"/>
      <c r="T1351" s="402"/>
      <c r="U1351" s="402"/>
      <c r="V1351" s="402"/>
      <c r="W1351" s="402"/>
      <c r="X1351" s="402"/>
      <c r="Y1351" s="402"/>
      <c r="Z1351" s="402"/>
      <c r="AA1351" s="405"/>
      <c r="AB1351" s="405"/>
    </row>
    <row r="1352" ht="14.25" customHeight="1">
      <c r="A1352" s="497">
        <v>45526.0</v>
      </c>
      <c r="B1352" s="555" t="s">
        <v>1329</v>
      </c>
      <c r="C1352" s="555" t="s">
        <v>1236</v>
      </c>
      <c r="D1352" s="471" t="s">
        <v>54</v>
      </c>
      <c r="E1352" s="555" t="s">
        <v>273</v>
      </c>
      <c r="F1352" s="413">
        <v>1100000.0</v>
      </c>
      <c r="G1352" s="403"/>
      <c r="H1352" s="349" t="s">
        <v>1819</v>
      </c>
      <c r="I1352" s="402"/>
      <c r="J1352" s="402"/>
      <c r="K1352" s="402"/>
      <c r="L1352" s="402"/>
      <c r="M1352" s="402"/>
      <c r="N1352" s="402"/>
      <c r="O1352" s="402"/>
      <c r="P1352" s="402"/>
      <c r="Q1352" s="402"/>
      <c r="R1352" s="402"/>
      <c r="S1352" s="402"/>
      <c r="T1352" s="402"/>
      <c r="U1352" s="402"/>
      <c r="V1352" s="402"/>
      <c r="W1352" s="402"/>
      <c r="X1352" s="402"/>
      <c r="Y1352" s="402"/>
      <c r="Z1352" s="402"/>
      <c r="AA1352" s="405"/>
      <c r="AB1352" s="405"/>
    </row>
    <row r="1353" ht="14.25" customHeight="1">
      <c r="A1353" s="497">
        <v>45526.0</v>
      </c>
      <c r="B1353" s="522" t="s">
        <v>1820</v>
      </c>
      <c r="C1353" s="522" t="s">
        <v>1821</v>
      </c>
      <c r="D1353" s="398" t="s">
        <v>59</v>
      </c>
      <c r="E1353" s="398" t="s">
        <v>273</v>
      </c>
      <c r="F1353" s="413">
        <v>3367237.28</v>
      </c>
      <c r="G1353" s="403"/>
      <c r="H1353" s="402"/>
      <c r="I1353" s="402"/>
      <c r="J1353" s="402"/>
      <c r="K1353" s="402"/>
      <c r="L1353" s="402"/>
      <c r="M1353" s="402"/>
      <c r="N1353" s="402"/>
      <c r="O1353" s="402"/>
      <c r="P1353" s="402"/>
      <c r="Q1353" s="402"/>
      <c r="R1353" s="402"/>
      <c r="S1353" s="402"/>
      <c r="T1353" s="402"/>
      <c r="U1353" s="402"/>
      <c r="V1353" s="402"/>
      <c r="W1353" s="402"/>
      <c r="X1353" s="402"/>
      <c r="Y1353" s="402"/>
      <c r="Z1353" s="402"/>
      <c r="AA1353" s="405"/>
      <c r="AB1353" s="405"/>
    </row>
    <row r="1354" ht="14.25" customHeight="1">
      <c r="A1354" s="402"/>
      <c r="B1354" s="402"/>
      <c r="C1354" s="402"/>
      <c r="D1354" s="402"/>
      <c r="E1354" s="402"/>
      <c r="F1354" s="403"/>
      <c r="G1354" s="403"/>
      <c r="H1354" s="402"/>
      <c r="I1354" s="402"/>
      <c r="J1354" s="402"/>
      <c r="K1354" s="402"/>
      <c r="L1354" s="402"/>
      <c r="M1354" s="402"/>
      <c r="N1354" s="402"/>
      <c r="O1354" s="402"/>
      <c r="P1354" s="402"/>
      <c r="Q1354" s="402"/>
      <c r="R1354" s="402"/>
      <c r="S1354" s="402"/>
      <c r="T1354" s="402"/>
      <c r="U1354" s="402"/>
      <c r="V1354" s="402"/>
      <c r="W1354" s="402"/>
      <c r="X1354" s="402"/>
      <c r="Y1354" s="402"/>
      <c r="Z1354" s="402"/>
      <c r="AA1354" s="405"/>
      <c r="AB1354" s="405"/>
    </row>
    <row r="1355" ht="14.25" customHeight="1">
      <c r="A1355" s="402"/>
      <c r="B1355" s="402"/>
      <c r="C1355" s="402"/>
      <c r="D1355" s="402"/>
      <c r="E1355" s="402"/>
      <c r="F1355" s="403"/>
      <c r="G1355" s="403"/>
      <c r="H1355" s="402"/>
      <c r="I1355" s="402"/>
      <c r="J1355" s="402"/>
      <c r="K1355" s="402"/>
      <c r="L1355" s="402"/>
      <c r="M1355" s="402"/>
      <c r="N1355" s="402"/>
      <c r="O1355" s="402"/>
      <c r="P1355" s="402"/>
      <c r="Q1355" s="402"/>
      <c r="R1355" s="402"/>
      <c r="S1355" s="402"/>
      <c r="T1355" s="402"/>
      <c r="U1355" s="402"/>
      <c r="V1355" s="402"/>
      <c r="W1355" s="402"/>
      <c r="X1355" s="402"/>
      <c r="Y1355" s="402"/>
      <c r="Z1355" s="402"/>
      <c r="AA1355" s="405"/>
      <c r="AB1355" s="405"/>
    </row>
    <row r="1356" ht="14.25" customHeight="1">
      <c r="A1356" s="402"/>
      <c r="B1356" s="402"/>
      <c r="C1356" s="402"/>
      <c r="D1356" s="402"/>
      <c r="E1356" s="402"/>
      <c r="F1356" s="403"/>
      <c r="G1356" s="403"/>
      <c r="H1356" s="402"/>
      <c r="I1356" s="402"/>
      <c r="J1356" s="402"/>
      <c r="K1356" s="402"/>
      <c r="L1356" s="402"/>
      <c r="M1356" s="402"/>
      <c r="N1356" s="402"/>
      <c r="O1356" s="402"/>
      <c r="P1356" s="402"/>
      <c r="Q1356" s="402"/>
      <c r="R1356" s="402"/>
      <c r="S1356" s="402"/>
      <c r="T1356" s="402"/>
      <c r="U1356" s="402"/>
      <c r="V1356" s="402"/>
      <c r="W1356" s="402"/>
      <c r="X1356" s="402"/>
      <c r="Y1356" s="402"/>
      <c r="Z1356" s="402"/>
      <c r="AA1356" s="405"/>
      <c r="AB1356" s="405"/>
    </row>
    <row r="1357" ht="14.25" customHeight="1">
      <c r="A1357" s="402"/>
      <c r="B1357" s="402"/>
      <c r="C1357" s="402"/>
      <c r="D1357" s="402"/>
      <c r="E1357" s="402"/>
      <c r="F1357" s="403"/>
      <c r="G1357" s="403"/>
      <c r="H1357" s="402"/>
      <c r="I1357" s="402"/>
      <c r="J1357" s="402"/>
      <c r="K1357" s="402"/>
      <c r="L1357" s="402"/>
      <c r="M1357" s="402"/>
      <c r="N1357" s="402"/>
      <c r="O1357" s="402"/>
      <c r="P1357" s="402"/>
      <c r="Q1357" s="402"/>
      <c r="R1357" s="402"/>
      <c r="S1357" s="402"/>
      <c r="T1357" s="402"/>
      <c r="U1357" s="402"/>
      <c r="V1357" s="402"/>
      <c r="W1357" s="402"/>
      <c r="X1357" s="402"/>
      <c r="Y1357" s="402"/>
      <c r="Z1357" s="402"/>
      <c r="AA1357" s="405"/>
      <c r="AB1357" s="405"/>
    </row>
    <row r="1358" ht="14.25" customHeight="1">
      <c r="A1358" s="402"/>
      <c r="B1358" s="526" t="s">
        <v>1822</v>
      </c>
      <c r="C1358" s="402"/>
      <c r="D1358" s="402"/>
      <c r="E1358" s="402"/>
      <c r="F1358" s="403"/>
      <c r="G1358" s="403"/>
      <c r="H1358" s="402"/>
      <c r="I1358" s="402"/>
      <c r="J1358" s="402"/>
      <c r="K1358" s="402"/>
      <c r="L1358" s="402"/>
      <c r="M1358" s="402"/>
      <c r="N1358" s="402"/>
      <c r="O1358" s="402"/>
      <c r="P1358" s="402"/>
      <c r="Q1358" s="402"/>
      <c r="R1358" s="402"/>
      <c r="S1358" s="402"/>
      <c r="T1358" s="402"/>
      <c r="U1358" s="402"/>
      <c r="V1358" s="402"/>
      <c r="W1358" s="402"/>
      <c r="X1358" s="402"/>
      <c r="Y1358" s="402"/>
      <c r="Z1358" s="402"/>
      <c r="AA1358" s="405"/>
      <c r="AB1358" s="405"/>
    </row>
    <row r="1359" ht="14.25" customHeight="1">
      <c r="A1359" s="497">
        <v>45527.0</v>
      </c>
      <c r="B1359" s="349" t="s">
        <v>1823</v>
      </c>
      <c r="C1359" s="349" t="s">
        <v>1824</v>
      </c>
      <c r="D1359" s="349" t="s">
        <v>668</v>
      </c>
      <c r="E1359" s="349" t="s">
        <v>1153</v>
      </c>
      <c r="F1359" s="413">
        <v>444483.04</v>
      </c>
      <c r="G1359" s="403"/>
      <c r="H1359" s="349" t="s">
        <v>1825</v>
      </c>
      <c r="I1359" s="402"/>
      <c r="J1359" s="402"/>
      <c r="K1359" s="402"/>
      <c r="L1359" s="402"/>
      <c r="M1359" s="402"/>
      <c r="N1359" s="402"/>
      <c r="O1359" s="402"/>
      <c r="P1359" s="402"/>
      <c r="Q1359" s="402"/>
      <c r="R1359" s="402"/>
      <c r="S1359" s="402"/>
      <c r="T1359" s="402"/>
      <c r="U1359" s="402"/>
      <c r="V1359" s="402"/>
      <c r="W1359" s="402"/>
      <c r="X1359" s="402"/>
      <c r="Y1359" s="402"/>
      <c r="Z1359" s="402"/>
      <c r="AA1359" s="405"/>
      <c r="AB1359" s="405"/>
    </row>
    <row r="1360" ht="14.25" customHeight="1">
      <c r="A1360" s="497">
        <v>45527.0</v>
      </c>
      <c r="B1360" s="349" t="s">
        <v>695</v>
      </c>
      <c r="C1360" s="349" t="s">
        <v>696</v>
      </c>
      <c r="D1360" s="349" t="s">
        <v>54</v>
      </c>
      <c r="E1360" s="349" t="s">
        <v>1153</v>
      </c>
      <c r="F1360" s="413">
        <v>60008.18</v>
      </c>
      <c r="G1360" s="413">
        <v>61500.0</v>
      </c>
      <c r="H1360" s="349" t="s">
        <v>267</v>
      </c>
      <c r="I1360" s="402"/>
      <c r="J1360" s="402"/>
      <c r="K1360" s="402"/>
      <c r="L1360" s="402"/>
      <c r="M1360" s="402"/>
      <c r="N1360" s="402"/>
      <c r="O1360" s="402"/>
      <c r="P1360" s="402"/>
      <c r="Q1360" s="402"/>
      <c r="R1360" s="402"/>
      <c r="S1360" s="402"/>
      <c r="T1360" s="402"/>
      <c r="U1360" s="402"/>
      <c r="V1360" s="402"/>
      <c r="W1360" s="402"/>
      <c r="X1360" s="402"/>
      <c r="Y1360" s="402"/>
      <c r="Z1360" s="402"/>
      <c r="AA1360" s="405"/>
      <c r="AB1360" s="405"/>
    </row>
    <row r="1361" ht="14.25" customHeight="1">
      <c r="A1361" s="497">
        <v>45527.0</v>
      </c>
      <c r="B1361" s="535" t="s">
        <v>841</v>
      </c>
      <c r="C1361" s="536" t="s">
        <v>842</v>
      </c>
      <c r="D1361" s="536" t="s">
        <v>54</v>
      </c>
      <c r="E1361" s="349" t="s">
        <v>1098</v>
      </c>
      <c r="F1361" s="413">
        <v>18000.0</v>
      </c>
      <c r="G1361" s="413">
        <v>11400.0</v>
      </c>
      <c r="H1361" s="349" t="s">
        <v>1826</v>
      </c>
      <c r="I1361" s="402"/>
      <c r="J1361" s="402"/>
      <c r="K1361" s="402"/>
      <c r="L1361" s="402"/>
      <c r="M1361" s="402"/>
      <c r="N1361" s="402"/>
      <c r="O1361" s="402"/>
      <c r="P1361" s="402"/>
      <c r="Q1361" s="402"/>
      <c r="R1361" s="402"/>
      <c r="S1361" s="402"/>
      <c r="T1361" s="402"/>
      <c r="U1361" s="402"/>
      <c r="V1361" s="402"/>
      <c r="W1361" s="402"/>
      <c r="X1361" s="402"/>
      <c r="Y1361" s="402"/>
      <c r="Z1361" s="402"/>
      <c r="AA1361" s="405"/>
      <c r="AB1361" s="405"/>
    </row>
    <row r="1362" ht="14.25" customHeight="1">
      <c r="A1362" s="497">
        <v>45527.0</v>
      </c>
      <c r="B1362" s="535" t="s">
        <v>811</v>
      </c>
      <c r="C1362" s="536" t="s">
        <v>812</v>
      </c>
      <c r="D1362" s="536" t="s">
        <v>54</v>
      </c>
      <c r="E1362" s="349" t="s">
        <v>1098</v>
      </c>
      <c r="F1362" s="413">
        <v>19040.0</v>
      </c>
      <c r="G1362" s="413">
        <v>20000.0</v>
      </c>
      <c r="H1362" s="349" t="s">
        <v>876</v>
      </c>
      <c r="I1362" s="402"/>
      <c r="J1362" s="402"/>
      <c r="K1362" s="402"/>
      <c r="L1362" s="402"/>
      <c r="M1362" s="402"/>
      <c r="N1362" s="402"/>
      <c r="O1362" s="402"/>
      <c r="P1362" s="402"/>
      <c r="Q1362" s="402"/>
      <c r="R1362" s="402"/>
      <c r="S1362" s="402"/>
      <c r="T1362" s="402"/>
      <c r="U1362" s="402"/>
      <c r="V1362" s="402"/>
      <c r="W1362" s="402"/>
      <c r="X1362" s="402"/>
      <c r="Y1362" s="402"/>
      <c r="Z1362" s="402"/>
      <c r="AA1362" s="405"/>
      <c r="AB1362" s="405"/>
    </row>
    <row r="1363" ht="14.25" customHeight="1">
      <c r="A1363" s="497">
        <v>45527.0</v>
      </c>
      <c r="B1363" s="535" t="s">
        <v>809</v>
      </c>
      <c r="C1363" s="536" t="s">
        <v>810</v>
      </c>
      <c r="D1363" s="516" t="s">
        <v>54</v>
      </c>
      <c r="E1363" s="349" t="s">
        <v>1098</v>
      </c>
      <c r="F1363" s="413">
        <v>185919.85</v>
      </c>
      <c r="G1363" s="403"/>
      <c r="H1363" s="349" t="s">
        <v>1827</v>
      </c>
      <c r="I1363" s="402"/>
      <c r="J1363" s="402"/>
      <c r="K1363" s="402"/>
      <c r="L1363" s="402"/>
      <c r="M1363" s="402"/>
      <c r="N1363" s="402"/>
      <c r="O1363" s="402"/>
      <c r="P1363" s="402"/>
      <c r="Q1363" s="402"/>
      <c r="R1363" s="402"/>
      <c r="S1363" s="402"/>
      <c r="T1363" s="402"/>
      <c r="U1363" s="402"/>
      <c r="V1363" s="402"/>
      <c r="W1363" s="402"/>
      <c r="X1363" s="402"/>
      <c r="Y1363" s="402"/>
      <c r="Z1363" s="402"/>
      <c r="AA1363" s="405"/>
      <c r="AB1363" s="405"/>
    </row>
    <row r="1364" ht="14.25" customHeight="1">
      <c r="A1364" s="497">
        <v>45527.0</v>
      </c>
      <c r="B1364" s="349" t="s">
        <v>1155</v>
      </c>
      <c r="C1364" s="519" t="s">
        <v>730</v>
      </c>
      <c r="D1364" s="349" t="s">
        <v>75</v>
      </c>
      <c r="E1364" s="415" t="s">
        <v>1153</v>
      </c>
      <c r="F1364" s="416">
        <v>1878449.0</v>
      </c>
      <c r="G1364" s="403"/>
      <c r="H1364" s="349" t="s">
        <v>1828</v>
      </c>
      <c r="I1364" s="402"/>
      <c r="J1364" s="402"/>
      <c r="K1364" s="402"/>
      <c r="L1364" s="402"/>
      <c r="M1364" s="402"/>
      <c r="N1364" s="402"/>
      <c r="O1364" s="402"/>
      <c r="P1364" s="402"/>
      <c r="Q1364" s="402"/>
      <c r="R1364" s="402"/>
      <c r="S1364" s="402"/>
      <c r="T1364" s="402"/>
      <c r="U1364" s="402"/>
      <c r="V1364" s="402"/>
      <c r="W1364" s="402"/>
      <c r="X1364" s="402"/>
      <c r="Y1364" s="402"/>
      <c r="Z1364" s="402"/>
      <c r="AA1364" s="405"/>
      <c r="AB1364" s="405"/>
    </row>
    <row r="1365" ht="14.25" customHeight="1">
      <c r="A1365" s="497">
        <v>45527.0</v>
      </c>
      <c r="B1365" s="349" t="s">
        <v>960</v>
      </c>
      <c r="C1365" s="349" t="s">
        <v>1156</v>
      </c>
      <c r="D1365" s="349" t="s">
        <v>54</v>
      </c>
      <c r="E1365" s="415" t="s">
        <v>1153</v>
      </c>
      <c r="F1365" s="413">
        <v>295732.73</v>
      </c>
      <c r="G1365" s="403"/>
      <c r="H1365" s="349" t="s">
        <v>1829</v>
      </c>
      <c r="I1365" s="402"/>
      <c r="J1365" s="402"/>
      <c r="K1365" s="402"/>
      <c r="L1365" s="402"/>
      <c r="M1365" s="402"/>
      <c r="N1365" s="402"/>
      <c r="O1365" s="402"/>
      <c r="P1365" s="402"/>
      <c r="Q1365" s="402"/>
      <c r="R1365" s="402"/>
      <c r="S1365" s="402"/>
      <c r="T1365" s="402"/>
      <c r="U1365" s="402"/>
      <c r="V1365" s="402"/>
      <c r="W1365" s="402"/>
      <c r="X1365" s="402"/>
      <c r="Y1365" s="402"/>
      <c r="Z1365" s="402"/>
      <c r="AA1365" s="405"/>
      <c r="AB1365" s="405"/>
    </row>
    <row r="1366" ht="14.25" customHeight="1">
      <c r="A1366" s="497">
        <v>45527.0</v>
      </c>
      <c r="B1366" s="349" t="s">
        <v>1346</v>
      </c>
      <c r="C1366" s="349" t="s">
        <v>961</v>
      </c>
      <c r="D1366" s="349" t="s">
        <v>54</v>
      </c>
      <c r="E1366" s="415" t="s">
        <v>1153</v>
      </c>
      <c r="F1366" s="413">
        <v>100000.0</v>
      </c>
      <c r="G1366" s="403"/>
      <c r="H1366" s="349" t="s">
        <v>1830</v>
      </c>
      <c r="I1366" s="402"/>
      <c r="J1366" s="402"/>
      <c r="K1366" s="402"/>
      <c r="L1366" s="402"/>
      <c r="M1366" s="402"/>
      <c r="N1366" s="402"/>
      <c r="O1366" s="402"/>
      <c r="P1366" s="402"/>
      <c r="Q1366" s="402"/>
      <c r="R1366" s="402"/>
      <c r="S1366" s="402"/>
      <c r="T1366" s="402"/>
      <c r="U1366" s="402"/>
      <c r="V1366" s="402"/>
      <c r="W1366" s="402"/>
      <c r="X1366" s="402"/>
      <c r="Y1366" s="402"/>
      <c r="Z1366" s="402"/>
      <c r="AA1366" s="405"/>
      <c r="AB1366" s="405"/>
    </row>
    <row r="1367" ht="14.25" hidden="1" customHeight="1">
      <c r="A1367" s="497">
        <v>45527.0</v>
      </c>
      <c r="B1367" s="556" t="s">
        <v>1155</v>
      </c>
      <c r="C1367" s="349" t="s">
        <v>1831</v>
      </c>
      <c r="D1367" s="349" t="s">
        <v>54</v>
      </c>
      <c r="E1367" s="415" t="s">
        <v>1153</v>
      </c>
      <c r="F1367" s="413"/>
      <c r="G1367" s="403"/>
      <c r="H1367" s="402"/>
      <c r="I1367" s="402"/>
      <c r="J1367" s="402"/>
      <c r="K1367" s="402"/>
      <c r="L1367" s="402"/>
      <c r="M1367" s="402"/>
      <c r="N1367" s="402"/>
      <c r="O1367" s="402"/>
      <c r="P1367" s="402"/>
      <c r="Q1367" s="402"/>
      <c r="R1367" s="402"/>
      <c r="S1367" s="402"/>
      <c r="T1367" s="402"/>
      <c r="U1367" s="402"/>
      <c r="V1367" s="402"/>
      <c r="W1367" s="402"/>
      <c r="X1367" s="402"/>
      <c r="Y1367" s="402"/>
      <c r="Z1367" s="402"/>
      <c r="AA1367" s="405"/>
      <c r="AB1367" s="405"/>
    </row>
    <row r="1368" ht="14.25" customHeight="1">
      <c r="A1368" s="497">
        <v>45527.0</v>
      </c>
      <c r="B1368" s="518" t="s">
        <v>786</v>
      </c>
      <c r="C1368" s="519" t="s">
        <v>747</v>
      </c>
      <c r="D1368" s="349" t="s">
        <v>54</v>
      </c>
      <c r="E1368" s="415" t="s">
        <v>1153</v>
      </c>
      <c r="F1368" s="413">
        <v>108000.0</v>
      </c>
      <c r="G1368" s="403"/>
      <c r="H1368" s="349" t="s">
        <v>1832</v>
      </c>
      <c r="I1368" s="402"/>
      <c r="J1368" s="402"/>
      <c r="K1368" s="402"/>
      <c r="L1368" s="402"/>
      <c r="M1368" s="402"/>
      <c r="N1368" s="402"/>
      <c r="O1368" s="402"/>
      <c r="P1368" s="402"/>
      <c r="Q1368" s="402"/>
      <c r="R1368" s="402"/>
      <c r="S1368" s="402"/>
      <c r="T1368" s="402"/>
      <c r="U1368" s="402"/>
      <c r="V1368" s="402"/>
      <c r="W1368" s="402"/>
      <c r="X1368" s="402"/>
      <c r="Y1368" s="402"/>
      <c r="Z1368" s="402"/>
      <c r="AA1368" s="405"/>
      <c r="AB1368" s="405"/>
    </row>
    <row r="1369" ht="14.25" customHeight="1">
      <c r="A1369" s="497">
        <v>45527.0</v>
      </c>
      <c r="B1369" s="518" t="s">
        <v>744</v>
      </c>
      <c r="C1369" s="519" t="s">
        <v>787</v>
      </c>
      <c r="D1369" s="349" t="s">
        <v>54</v>
      </c>
      <c r="E1369" s="415" t="s">
        <v>1153</v>
      </c>
      <c r="F1369" s="413">
        <v>15712.14</v>
      </c>
      <c r="G1369" s="403"/>
      <c r="H1369" s="349" t="s">
        <v>1833</v>
      </c>
      <c r="I1369" s="402"/>
      <c r="J1369" s="402"/>
      <c r="K1369" s="402"/>
      <c r="L1369" s="402"/>
      <c r="M1369" s="402"/>
      <c r="N1369" s="402"/>
      <c r="O1369" s="402"/>
      <c r="P1369" s="402"/>
      <c r="Q1369" s="402"/>
      <c r="R1369" s="402"/>
      <c r="S1369" s="402"/>
      <c r="T1369" s="402"/>
      <c r="U1369" s="402"/>
      <c r="V1369" s="402"/>
      <c r="W1369" s="402"/>
      <c r="X1369" s="402"/>
      <c r="Y1369" s="402"/>
      <c r="Z1369" s="402"/>
      <c r="AA1369" s="405"/>
      <c r="AB1369" s="405"/>
    </row>
    <row r="1370" ht="14.25" customHeight="1">
      <c r="A1370" s="497">
        <v>45527.0</v>
      </c>
      <c r="B1370" s="518" t="s">
        <v>749</v>
      </c>
      <c r="C1370" s="519" t="s">
        <v>745</v>
      </c>
      <c r="D1370" s="349" t="s">
        <v>54</v>
      </c>
      <c r="E1370" s="411" t="s">
        <v>1153</v>
      </c>
      <c r="F1370" s="413">
        <v>20000.0</v>
      </c>
      <c r="G1370" s="403"/>
      <c r="I1370" s="402"/>
      <c r="J1370" s="402"/>
      <c r="K1370" s="402"/>
      <c r="L1370" s="402"/>
      <c r="M1370" s="402"/>
      <c r="N1370" s="402"/>
      <c r="O1370" s="402"/>
      <c r="P1370" s="402"/>
      <c r="Q1370" s="402"/>
      <c r="R1370" s="402"/>
      <c r="S1370" s="402"/>
      <c r="T1370" s="402"/>
      <c r="U1370" s="402"/>
      <c r="V1370" s="402"/>
      <c r="W1370" s="402"/>
      <c r="X1370" s="402"/>
      <c r="Y1370" s="402"/>
      <c r="Z1370" s="402"/>
      <c r="AA1370" s="405"/>
      <c r="AB1370" s="405"/>
    </row>
    <row r="1371" ht="14.25" customHeight="1">
      <c r="A1371" s="497">
        <v>45527.0</v>
      </c>
      <c r="B1371" s="261" t="s">
        <v>825</v>
      </c>
      <c r="C1371" s="349" t="s">
        <v>826</v>
      </c>
      <c r="D1371" s="349" t="s">
        <v>54</v>
      </c>
      <c r="E1371" s="411" t="s">
        <v>1153</v>
      </c>
      <c r="F1371" s="557">
        <v>278877.0</v>
      </c>
      <c r="G1371" s="403"/>
      <c r="H1371" s="349" t="s">
        <v>1495</v>
      </c>
      <c r="I1371" s="402"/>
      <c r="J1371" s="402"/>
      <c r="K1371" s="402"/>
      <c r="L1371" s="402"/>
      <c r="M1371" s="402"/>
      <c r="N1371" s="402"/>
      <c r="O1371" s="402"/>
      <c r="P1371" s="402"/>
      <c r="Q1371" s="402"/>
      <c r="R1371" s="402"/>
      <c r="S1371" s="402"/>
      <c r="T1371" s="402"/>
      <c r="U1371" s="402"/>
      <c r="V1371" s="402"/>
      <c r="W1371" s="402"/>
      <c r="X1371" s="402"/>
      <c r="Y1371" s="402"/>
      <c r="Z1371" s="402"/>
      <c r="AA1371" s="405"/>
      <c r="AB1371" s="405"/>
    </row>
    <row r="1372" ht="14.25" customHeight="1">
      <c r="A1372" s="497">
        <v>45527.0</v>
      </c>
      <c r="B1372" s="558" t="s">
        <v>1834</v>
      </c>
      <c r="C1372" s="349" t="s">
        <v>1835</v>
      </c>
      <c r="D1372" s="349" t="s">
        <v>54</v>
      </c>
      <c r="E1372" s="349" t="s">
        <v>1153</v>
      </c>
      <c r="F1372" s="413">
        <v>57500.0</v>
      </c>
      <c r="G1372" s="413">
        <v>57500.0</v>
      </c>
      <c r="H1372" s="349" t="s">
        <v>267</v>
      </c>
      <c r="I1372" s="402"/>
      <c r="J1372" s="402"/>
      <c r="K1372" s="402"/>
      <c r="L1372" s="402"/>
      <c r="M1372" s="402"/>
      <c r="N1372" s="402"/>
      <c r="O1372" s="402"/>
      <c r="P1372" s="402"/>
      <c r="Q1372" s="402"/>
      <c r="R1372" s="402"/>
      <c r="S1372" s="402"/>
      <c r="T1372" s="402"/>
      <c r="U1372" s="402"/>
      <c r="V1372" s="402"/>
      <c r="W1372" s="402"/>
      <c r="X1372" s="402"/>
      <c r="Y1372" s="402"/>
      <c r="Z1372" s="402"/>
      <c r="AA1372" s="405"/>
      <c r="AB1372" s="405"/>
    </row>
    <row r="1373" ht="14.25" customHeight="1">
      <c r="A1373" s="497">
        <v>45527.0</v>
      </c>
      <c r="B1373" s="535" t="s">
        <v>735</v>
      </c>
      <c r="C1373" s="536" t="s">
        <v>736</v>
      </c>
      <c r="D1373" s="536" t="s">
        <v>54</v>
      </c>
      <c r="E1373" s="349" t="s">
        <v>1139</v>
      </c>
      <c r="F1373" s="413">
        <v>43500.0</v>
      </c>
      <c r="G1373" s="413">
        <v>43500.0</v>
      </c>
      <c r="H1373" s="540" t="s">
        <v>267</v>
      </c>
      <c r="I1373" s="402"/>
      <c r="J1373" s="402"/>
      <c r="K1373" s="402"/>
      <c r="L1373" s="402"/>
      <c r="M1373" s="402"/>
      <c r="N1373" s="402"/>
      <c r="O1373" s="402"/>
      <c r="P1373" s="402"/>
      <c r="Q1373" s="402"/>
      <c r="R1373" s="402"/>
      <c r="S1373" s="402"/>
      <c r="T1373" s="402"/>
      <c r="U1373" s="402"/>
      <c r="V1373" s="402"/>
      <c r="W1373" s="402"/>
      <c r="X1373" s="402"/>
      <c r="Y1373" s="402"/>
      <c r="Z1373" s="402"/>
      <c r="AA1373" s="405"/>
      <c r="AB1373" s="405"/>
    </row>
    <row r="1374" ht="14.25" customHeight="1">
      <c r="A1374" s="497">
        <v>45527.0</v>
      </c>
      <c r="B1374" s="349" t="s">
        <v>1446</v>
      </c>
      <c r="C1374" s="349" t="s">
        <v>994</v>
      </c>
      <c r="D1374" s="349" t="s">
        <v>54</v>
      </c>
      <c r="E1374" s="349" t="s">
        <v>1139</v>
      </c>
      <c r="F1374" s="542">
        <v>5040.0</v>
      </c>
      <c r="G1374" s="413">
        <v>5040.0</v>
      </c>
      <c r="H1374" s="543" t="s">
        <v>710</v>
      </c>
      <c r="I1374" s="402"/>
      <c r="J1374" s="402"/>
      <c r="K1374" s="402"/>
      <c r="L1374" s="402"/>
      <c r="M1374" s="402"/>
      <c r="N1374" s="402"/>
      <c r="O1374" s="402"/>
      <c r="P1374" s="402"/>
      <c r="Q1374" s="402"/>
      <c r="R1374" s="402"/>
      <c r="S1374" s="402"/>
      <c r="T1374" s="402"/>
      <c r="U1374" s="402"/>
      <c r="V1374" s="402"/>
      <c r="W1374" s="402"/>
      <c r="X1374" s="402"/>
      <c r="Y1374" s="402"/>
      <c r="Z1374" s="402"/>
      <c r="AA1374" s="405"/>
      <c r="AB1374" s="405"/>
    </row>
    <row r="1375" ht="14.25" customHeight="1">
      <c r="A1375" s="497">
        <v>45527.0</v>
      </c>
      <c r="B1375" s="349" t="s">
        <v>1741</v>
      </c>
      <c r="C1375" s="349" t="s">
        <v>1742</v>
      </c>
      <c r="D1375" s="349" t="s">
        <v>54</v>
      </c>
      <c r="E1375" s="349" t="s">
        <v>1139</v>
      </c>
      <c r="F1375" s="541">
        <v>2687856.74</v>
      </c>
      <c r="G1375" s="413">
        <v>0.0</v>
      </c>
      <c r="H1375" s="552" t="s">
        <v>1836</v>
      </c>
      <c r="I1375" s="402"/>
      <c r="J1375" s="402"/>
      <c r="K1375" s="402"/>
      <c r="L1375" s="402"/>
      <c r="M1375" s="402"/>
      <c r="N1375" s="402"/>
      <c r="O1375" s="402"/>
      <c r="P1375" s="402"/>
      <c r="Q1375" s="402"/>
      <c r="R1375" s="402"/>
      <c r="S1375" s="402"/>
      <c r="T1375" s="402"/>
      <c r="U1375" s="402"/>
      <c r="V1375" s="402"/>
      <c r="W1375" s="402"/>
      <c r="X1375" s="402"/>
      <c r="Y1375" s="402"/>
      <c r="Z1375" s="402"/>
      <c r="AA1375" s="405"/>
      <c r="AB1375" s="405"/>
    </row>
    <row r="1376" ht="14.25" customHeight="1">
      <c r="A1376" s="497">
        <v>45527.0</v>
      </c>
      <c r="B1376" s="349" t="s">
        <v>1747</v>
      </c>
      <c r="C1376" s="349" t="s">
        <v>1748</v>
      </c>
      <c r="D1376" s="349" t="s">
        <v>54</v>
      </c>
      <c r="E1376" s="349" t="s">
        <v>1139</v>
      </c>
      <c r="F1376" s="542">
        <v>1023310.0</v>
      </c>
      <c r="G1376" s="413">
        <v>0.0</v>
      </c>
      <c r="H1376" s="552" t="s">
        <v>1837</v>
      </c>
      <c r="I1376" s="402"/>
      <c r="J1376" s="402"/>
      <c r="K1376" s="402"/>
      <c r="L1376" s="402"/>
      <c r="M1376" s="402"/>
      <c r="N1376" s="402"/>
      <c r="O1376" s="402"/>
      <c r="P1376" s="402"/>
      <c r="Q1376" s="402"/>
      <c r="R1376" s="402"/>
      <c r="S1376" s="402"/>
      <c r="T1376" s="402"/>
      <c r="U1376" s="402"/>
      <c r="V1376" s="402"/>
      <c r="W1376" s="402"/>
      <c r="X1376" s="402"/>
      <c r="Y1376" s="402"/>
      <c r="Z1376" s="402"/>
      <c r="AA1376" s="405"/>
      <c r="AB1376" s="405"/>
    </row>
    <row r="1377" ht="14.25" customHeight="1">
      <c r="A1377" s="497">
        <v>45527.0</v>
      </c>
      <c r="B1377" s="349" t="s">
        <v>1750</v>
      </c>
      <c r="C1377" s="349" t="s">
        <v>1751</v>
      </c>
      <c r="D1377" s="349" t="s">
        <v>54</v>
      </c>
      <c r="E1377" s="349" t="s">
        <v>1139</v>
      </c>
      <c r="F1377" s="541">
        <v>658842.0</v>
      </c>
      <c r="G1377" s="413">
        <v>0.0</v>
      </c>
      <c r="H1377" s="552" t="s">
        <v>1838</v>
      </c>
      <c r="I1377" s="402"/>
      <c r="J1377" s="402"/>
      <c r="K1377" s="402"/>
      <c r="L1377" s="402"/>
      <c r="M1377" s="402"/>
      <c r="N1377" s="402"/>
      <c r="O1377" s="402"/>
      <c r="P1377" s="402"/>
      <c r="Q1377" s="402"/>
      <c r="R1377" s="402"/>
      <c r="S1377" s="402"/>
      <c r="T1377" s="402"/>
      <c r="U1377" s="402"/>
      <c r="V1377" s="402"/>
      <c r="W1377" s="402"/>
      <c r="X1377" s="402"/>
      <c r="Y1377" s="402"/>
      <c r="Z1377" s="402"/>
      <c r="AA1377" s="405"/>
      <c r="AB1377" s="405"/>
    </row>
    <row r="1378" ht="14.25" customHeight="1">
      <c r="A1378" s="497">
        <v>45527.0</v>
      </c>
      <c r="B1378" s="349" t="s">
        <v>1753</v>
      </c>
      <c r="C1378" s="349" t="s">
        <v>1754</v>
      </c>
      <c r="D1378" s="349" t="s">
        <v>54</v>
      </c>
      <c r="E1378" s="349" t="s">
        <v>1139</v>
      </c>
      <c r="F1378" s="559">
        <v>513027.0</v>
      </c>
      <c r="G1378" s="413">
        <v>0.0</v>
      </c>
      <c r="H1378" s="552" t="s">
        <v>1839</v>
      </c>
      <c r="I1378" s="402"/>
      <c r="J1378" s="402"/>
      <c r="K1378" s="402"/>
      <c r="L1378" s="402"/>
      <c r="M1378" s="402"/>
      <c r="N1378" s="402"/>
      <c r="O1378" s="402"/>
      <c r="P1378" s="402"/>
      <c r="Q1378" s="402"/>
      <c r="R1378" s="402"/>
      <c r="S1378" s="402"/>
      <c r="T1378" s="402"/>
      <c r="U1378" s="402"/>
      <c r="V1378" s="402"/>
      <c r="W1378" s="402"/>
      <c r="X1378" s="402"/>
      <c r="Y1378" s="402"/>
      <c r="Z1378" s="402"/>
      <c r="AA1378" s="405"/>
      <c r="AB1378" s="405"/>
    </row>
    <row r="1379" ht="14.25" customHeight="1">
      <c r="A1379" s="497">
        <v>45527.0</v>
      </c>
      <c r="B1379" s="349" t="s">
        <v>802</v>
      </c>
      <c r="C1379" s="349" t="s">
        <v>803</v>
      </c>
      <c r="D1379" s="349" t="s">
        <v>54</v>
      </c>
      <c r="E1379" s="349" t="s">
        <v>1139</v>
      </c>
      <c r="F1379" s="559">
        <v>313699.0</v>
      </c>
      <c r="G1379" s="413">
        <v>0.0</v>
      </c>
      <c r="H1379" s="545" t="s">
        <v>1840</v>
      </c>
      <c r="I1379" s="402"/>
      <c r="J1379" s="402"/>
      <c r="K1379" s="402"/>
      <c r="L1379" s="402"/>
      <c r="M1379" s="402"/>
      <c r="N1379" s="402"/>
      <c r="O1379" s="402"/>
      <c r="P1379" s="402"/>
      <c r="Q1379" s="402"/>
      <c r="R1379" s="402"/>
      <c r="S1379" s="402"/>
      <c r="T1379" s="402"/>
      <c r="U1379" s="402"/>
      <c r="V1379" s="402"/>
      <c r="W1379" s="402"/>
      <c r="X1379" s="402"/>
      <c r="Y1379" s="402"/>
      <c r="Z1379" s="402"/>
      <c r="AA1379" s="405"/>
      <c r="AB1379" s="405"/>
    </row>
    <row r="1380" ht="14.25" customHeight="1">
      <c r="A1380" s="497">
        <v>45527.0</v>
      </c>
      <c r="B1380" s="349" t="s">
        <v>1841</v>
      </c>
      <c r="C1380" s="349" t="s">
        <v>1842</v>
      </c>
      <c r="D1380" s="349" t="s">
        <v>54</v>
      </c>
      <c r="E1380" s="349" t="s">
        <v>1139</v>
      </c>
      <c r="F1380" s="559">
        <v>2786061.0</v>
      </c>
      <c r="G1380" s="413">
        <v>0.0</v>
      </c>
      <c r="H1380" s="552" t="s">
        <v>1843</v>
      </c>
      <c r="I1380" s="402"/>
      <c r="J1380" s="402"/>
      <c r="K1380" s="402"/>
      <c r="L1380" s="402"/>
      <c r="M1380" s="402"/>
      <c r="N1380" s="402"/>
      <c r="O1380" s="402"/>
      <c r="P1380" s="402"/>
      <c r="Q1380" s="402"/>
      <c r="R1380" s="402"/>
      <c r="S1380" s="402"/>
      <c r="T1380" s="402"/>
      <c r="U1380" s="402"/>
      <c r="V1380" s="402"/>
      <c r="W1380" s="402"/>
      <c r="X1380" s="402"/>
      <c r="Y1380" s="402"/>
      <c r="Z1380" s="402"/>
      <c r="AA1380" s="405"/>
      <c r="AB1380" s="405"/>
    </row>
    <row r="1381" ht="14.25" customHeight="1">
      <c r="A1381" s="497">
        <v>45527.0</v>
      </c>
      <c r="B1381" s="349" t="s">
        <v>1844</v>
      </c>
      <c r="C1381" s="349" t="s">
        <v>1845</v>
      </c>
      <c r="D1381" s="349" t="s">
        <v>54</v>
      </c>
      <c r="E1381" s="349" t="s">
        <v>1139</v>
      </c>
      <c r="F1381" s="560">
        <v>2031404.0</v>
      </c>
      <c r="G1381" s="413">
        <v>0.0</v>
      </c>
      <c r="H1381" s="552" t="s">
        <v>1846</v>
      </c>
      <c r="I1381" s="402"/>
      <c r="J1381" s="402"/>
      <c r="K1381" s="402"/>
      <c r="L1381" s="402"/>
      <c r="M1381" s="402"/>
      <c r="N1381" s="402"/>
      <c r="O1381" s="402"/>
      <c r="P1381" s="402"/>
      <c r="Q1381" s="402"/>
      <c r="R1381" s="402"/>
      <c r="S1381" s="402"/>
      <c r="T1381" s="402"/>
      <c r="U1381" s="402"/>
      <c r="V1381" s="402"/>
      <c r="W1381" s="402"/>
      <c r="X1381" s="402"/>
      <c r="Y1381" s="402"/>
      <c r="Z1381" s="402"/>
      <c r="AA1381" s="405"/>
      <c r="AB1381" s="405"/>
    </row>
    <row r="1382" ht="14.25" customHeight="1">
      <c r="A1382" s="497">
        <v>45527.0</v>
      </c>
      <c r="B1382" s="349" t="s">
        <v>1738</v>
      </c>
      <c r="C1382" s="349" t="s">
        <v>1739</v>
      </c>
      <c r="D1382" s="415" t="s">
        <v>54</v>
      </c>
      <c r="E1382" s="349" t="s">
        <v>1139</v>
      </c>
      <c r="F1382" s="453">
        <v>132000.0</v>
      </c>
      <c r="G1382" s="413">
        <v>0.0</v>
      </c>
      <c r="H1382" s="349" t="s">
        <v>1847</v>
      </c>
      <c r="I1382" s="402"/>
      <c r="J1382" s="402"/>
      <c r="K1382" s="402"/>
      <c r="L1382" s="402"/>
      <c r="M1382" s="402"/>
      <c r="N1382" s="402"/>
      <c r="O1382" s="402"/>
      <c r="P1382" s="402"/>
      <c r="Q1382" s="402"/>
      <c r="R1382" s="402"/>
      <c r="S1382" s="402"/>
      <c r="T1382" s="402"/>
      <c r="U1382" s="402"/>
      <c r="V1382" s="402"/>
      <c r="W1382" s="402"/>
      <c r="X1382" s="402"/>
      <c r="Y1382" s="402"/>
      <c r="Z1382" s="402"/>
      <c r="AA1382" s="405"/>
      <c r="AB1382" s="405"/>
    </row>
    <row r="1383" ht="14.25" customHeight="1">
      <c r="A1383" s="497">
        <v>45527.0</v>
      </c>
      <c r="B1383" s="349" t="s">
        <v>997</v>
      </c>
      <c r="C1383" s="349" t="s">
        <v>998</v>
      </c>
      <c r="D1383" s="344" t="s">
        <v>346</v>
      </c>
      <c r="E1383" s="349" t="s">
        <v>1168</v>
      </c>
      <c r="F1383" s="452">
        <v>28350.0</v>
      </c>
      <c r="G1383" s="413">
        <v>0.0</v>
      </c>
      <c r="H1383" s="545" t="s">
        <v>1848</v>
      </c>
      <c r="I1383" s="402"/>
      <c r="J1383" s="402"/>
      <c r="K1383" s="402"/>
      <c r="L1383" s="402"/>
      <c r="M1383" s="402"/>
      <c r="N1383" s="402"/>
      <c r="O1383" s="402"/>
      <c r="P1383" s="402"/>
      <c r="Q1383" s="402"/>
      <c r="R1383" s="402"/>
      <c r="S1383" s="402"/>
      <c r="T1383" s="402"/>
      <c r="U1383" s="402"/>
      <c r="V1383" s="402"/>
      <c r="W1383" s="402"/>
      <c r="X1383" s="402"/>
      <c r="Y1383" s="402"/>
      <c r="Z1383" s="402"/>
      <c r="AA1383" s="405"/>
      <c r="AB1383" s="405"/>
    </row>
    <row r="1384" ht="14.25" customHeight="1">
      <c r="A1384" s="497">
        <v>45527.0</v>
      </c>
      <c r="B1384" s="349" t="s">
        <v>1223</v>
      </c>
      <c r="C1384" s="349" t="s">
        <v>998</v>
      </c>
      <c r="D1384" s="519" t="s">
        <v>54</v>
      </c>
      <c r="E1384" s="349" t="s">
        <v>1168</v>
      </c>
      <c r="F1384" s="413">
        <v>81947.25</v>
      </c>
      <c r="G1384" s="413">
        <v>0.0</v>
      </c>
      <c r="H1384" s="545" t="s">
        <v>1848</v>
      </c>
      <c r="I1384" s="402"/>
      <c r="J1384" s="402"/>
      <c r="K1384" s="402"/>
      <c r="L1384" s="402"/>
      <c r="M1384" s="402"/>
      <c r="N1384" s="402"/>
      <c r="O1384" s="402"/>
      <c r="P1384" s="402"/>
      <c r="Q1384" s="402"/>
      <c r="R1384" s="402"/>
      <c r="S1384" s="402"/>
      <c r="T1384" s="402"/>
      <c r="U1384" s="402"/>
      <c r="V1384" s="402"/>
      <c r="W1384" s="402"/>
      <c r="X1384" s="402"/>
      <c r="Y1384" s="402"/>
      <c r="Z1384" s="402"/>
      <c r="AA1384" s="405"/>
      <c r="AB1384" s="405"/>
    </row>
    <row r="1385" ht="14.25" customHeight="1">
      <c r="A1385" s="497">
        <v>45527.0</v>
      </c>
      <c r="B1385" s="349" t="s">
        <v>1673</v>
      </c>
      <c r="C1385" s="349" t="s">
        <v>1674</v>
      </c>
      <c r="D1385" s="519" t="s">
        <v>54</v>
      </c>
      <c r="E1385" s="349" t="s">
        <v>1168</v>
      </c>
      <c r="F1385" s="413">
        <v>58919.23</v>
      </c>
      <c r="G1385" s="413">
        <v>0.0</v>
      </c>
      <c r="H1385" s="545" t="s">
        <v>1849</v>
      </c>
      <c r="I1385" s="402"/>
      <c r="J1385" s="402"/>
      <c r="K1385" s="402"/>
      <c r="L1385" s="402"/>
      <c r="M1385" s="402"/>
      <c r="N1385" s="402"/>
      <c r="O1385" s="402"/>
      <c r="P1385" s="402"/>
      <c r="Q1385" s="402"/>
      <c r="R1385" s="402"/>
      <c r="S1385" s="402"/>
      <c r="T1385" s="402"/>
      <c r="U1385" s="402"/>
      <c r="V1385" s="402"/>
      <c r="W1385" s="402"/>
      <c r="X1385" s="402"/>
      <c r="Y1385" s="402"/>
      <c r="Z1385" s="402"/>
      <c r="AA1385" s="405"/>
      <c r="AB1385" s="405"/>
    </row>
    <row r="1386" ht="14.25" customHeight="1">
      <c r="A1386" s="497">
        <v>45527.0</v>
      </c>
      <c r="B1386" s="349" t="s">
        <v>698</v>
      </c>
      <c r="C1386" s="349" t="s">
        <v>1167</v>
      </c>
      <c r="D1386" s="516" t="s">
        <v>54</v>
      </c>
      <c r="E1386" s="349" t="s">
        <v>1168</v>
      </c>
      <c r="F1386" s="413">
        <v>39696.03</v>
      </c>
      <c r="G1386" s="413">
        <v>0.0</v>
      </c>
      <c r="H1386" s="65" t="s">
        <v>1850</v>
      </c>
      <c r="I1386" s="402"/>
      <c r="J1386" s="402"/>
      <c r="K1386" s="402"/>
      <c r="L1386" s="402"/>
      <c r="M1386" s="402"/>
      <c r="N1386" s="402"/>
      <c r="O1386" s="402"/>
      <c r="P1386" s="402"/>
      <c r="Q1386" s="402"/>
      <c r="R1386" s="402"/>
      <c r="S1386" s="402"/>
      <c r="T1386" s="402"/>
      <c r="U1386" s="402"/>
      <c r="V1386" s="402"/>
      <c r="W1386" s="402"/>
      <c r="X1386" s="402"/>
      <c r="Y1386" s="402"/>
      <c r="Z1386" s="402"/>
      <c r="AA1386" s="405"/>
      <c r="AB1386" s="405"/>
    </row>
    <row r="1387" ht="14.25" customHeight="1">
      <c r="A1387" s="497">
        <v>45527.0</v>
      </c>
      <c r="B1387" s="343" t="s">
        <v>695</v>
      </c>
      <c r="C1387" s="344" t="s">
        <v>1529</v>
      </c>
      <c r="D1387" s="519" t="s">
        <v>54</v>
      </c>
      <c r="E1387" s="349" t="s">
        <v>1168</v>
      </c>
      <c r="F1387" s="442">
        <v>61570.81</v>
      </c>
      <c r="G1387" s="442">
        <v>61500.0</v>
      </c>
      <c r="H1387" s="349" t="s">
        <v>267</v>
      </c>
      <c r="I1387" s="402"/>
      <c r="J1387" s="402"/>
      <c r="K1387" s="402"/>
      <c r="L1387" s="402"/>
      <c r="M1387" s="402"/>
      <c r="N1387" s="402"/>
      <c r="O1387" s="402"/>
      <c r="P1387" s="402"/>
      <c r="Q1387" s="402"/>
      <c r="R1387" s="402"/>
      <c r="S1387" s="402"/>
      <c r="T1387" s="402"/>
      <c r="U1387" s="402"/>
      <c r="V1387" s="402"/>
      <c r="W1387" s="402"/>
      <c r="X1387" s="402"/>
      <c r="Y1387" s="402"/>
      <c r="Z1387" s="402"/>
      <c r="AA1387" s="405"/>
      <c r="AB1387" s="405"/>
    </row>
    <row r="1388" ht="14.25" customHeight="1">
      <c r="A1388" s="497">
        <v>45527.0</v>
      </c>
      <c r="B1388" s="343" t="s">
        <v>1851</v>
      </c>
      <c r="C1388" s="344" t="s">
        <v>1297</v>
      </c>
      <c r="D1388" s="344" t="s">
        <v>75</v>
      </c>
      <c r="E1388" s="349" t="s">
        <v>1168</v>
      </c>
      <c r="F1388" s="413">
        <v>46000.0</v>
      </c>
      <c r="G1388" s="413">
        <v>46000.0</v>
      </c>
      <c r="H1388" s="349" t="s">
        <v>267</v>
      </c>
      <c r="I1388" s="402"/>
      <c r="J1388" s="402"/>
      <c r="K1388" s="402"/>
      <c r="L1388" s="402"/>
      <c r="M1388" s="402"/>
      <c r="N1388" s="402"/>
      <c r="O1388" s="402"/>
      <c r="P1388" s="402"/>
      <c r="Q1388" s="402"/>
      <c r="R1388" s="402"/>
      <c r="S1388" s="402"/>
      <c r="T1388" s="402"/>
      <c r="U1388" s="402"/>
      <c r="V1388" s="402"/>
      <c r="W1388" s="402"/>
      <c r="X1388" s="402"/>
      <c r="Y1388" s="402"/>
      <c r="Z1388" s="402"/>
      <c r="AA1388" s="405"/>
      <c r="AB1388" s="405"/>
    </row>
    <row r="1389" ht="14.25" customHeight="1">
      <c r="A1389" s="497">
        <v>45527.0</v>
      </c>
      <c r="B1389" s="535" t="s">
        <v>827</v>
      </c>
      <c r="C1389" s="536" t="s">
        <v>828</v>
      </c>
      <c r="D1389" s="536" t="s">
        <v>54</v>
      </c>
      <c r="E1389" s="344" t="s">
        <v>1143</v>
      </c>
      <c r="F1389" s="413">
        <v>78823.16</v>
      </c>
      <c r="G1389" s="413">
        <v>0.0</v>
      </c>
      <c r="H1389" s="349" t="s">
        <v>1852</v>
      </c>
      <c r="I1389" s="402"/>
      <c r="J1389" s="402"/>
      <c r="K1389" s="402"/>
      <c r="L1389" s="402"/>
      <c r="M1389" s="402"/>
      <c r="N1389" s="402"/>
      <c r="O1389" s="402"/>
      <c r="P1389" s="402"/>
      <c r="Q1389" s="402"/>
      <c r="R1389" s="402"/>
      <c r="S1389" s="402"/>
      <c r="T1389" s="402"/>
      <c r="U1389" s="402"/>
      <c r="V1389" s="402"/>
      <c r="W1389" s="402"/>
      <c r="X1389" s="402"/>
      <c r="Y1389" s="402"/>
      <c r="Z1389" s="402"/>
      <c r="AA1389" s="405"/>
      <c r="AB1389" s="405"/>
    </row>
    <row r="1390" ht="14.25" customHeight="1">
      <c r="A1390" s="497">
        <v>45527.0</v>
      </c>
      <c r="B1390" s="349" t="s">
        <v>1648</v>
      </c>
      <c r="C1390" s="349" t="s">
        <v>1013</v>
      </c>
      <c r="D1390" s="349" t="s">
        <v>666</v>
      </c>
      <c r="E1390" s="344" t="s">
        <v>1143</v>
      </c>
      <c r="F1390" s="423">
        <v>358179.04</v>
      </c>
      <c r="G1390" s="413">
        <v>0.0</v>
      </c>
      <c r="H1390" s="349" t="s">
        <v>1853</v>
      </c>
      <c r="I1390" s="402"/>
      <c r="J1390" s="402"/>
      <c r="K1390" s="402"/>
      <c r="L1390" s="402"/>
      <c r="M1390" s="402"/>
      <c r="N1390" s="402"/>
      <c r="O1390" s="402"/>
      <c r="P1390" s="402"/>
      <c r="Q1390" s="402"/>
      <c r="R1390" s="402"/>
      <c r="S1390" s="402"/>
      <c r="T1390" s="402"/>
      <c r="U1390" s="402"/>
      <c r="V1390" s="402"/>
      <c r="W1390" s="402"/>
      <c r="X1390" s="402"/>
      <c r="Y1390" s="402"/>
      <c r="Z1390" s="402"/>
      <c r="AA1390" s="405"/>
      <c r="AB1390" s="405"/>
    </row>
    <row r="1391" ht="14.25" customHeight="1">
      <c r="A1391" s="497"/>
      <c r="B1391" s="349" t="s">
        <v>761</v>
      </c>
      <c r="C1391" s="349" t="s">
        <v>1854</v>
      </c>
      <c r="D1391" s="349" t="s">
        <v>666</v>
      </c>
      <c r="E1391" s="344" t="s">
        <v>1143</v>
      </c>
      <c r="F1391" s="413">
        <v>39974.39</v>
      </c>
      <c r="G1391" s="413">
        <v>15000.0</v>
      </c>
      <c r="H1391" s="349" t="s">
        <v>905</v>
      </c>
      <c r="I1391" s="402"/>
      <c r="J1391" s="402"/>
      <c r="K1391" s="402"/>
      <c r="L1391" s="402"/>
      <c r="M1391" s="402"/>
      <c r="N1391" s="402"/>
      <c r="O1391" s="402"/>
      <c r="P1391" s="402"/>
      <c r="Q1391" s="402"/>
      <c r="R1391" s="402"/>
      <c r="S1391" s="402"/>
      <c r="T1391" s="402"/>
      <c r="U1391" s="402"/>
      <c r="V1391" s="402"/>
      <c r="W1391" s="402"/>
      <c r="X1391" s="402"/>
      <c r="Y1391" s="402"/>
      <c r="Z1391" s="402"/>
      <c r="AA1391" s="405"/>
      <c r="AB1391" s="405"/>
    </row>
    <row r="1392" ht="14.25" customHeight="1">
      <c r="A1392" s="497"/>
      <c r="B1392" s="402"/>
      <c r="C1392" s="402"/>
      <c r="D1392" s="402"/>
      <c r="E1392" s="402"/>
      <c r="F1392" s="403"/>
      <c r="G1392" s="403"/>
      <c r="H1392" s="402"/>
      <c r="I1392" s="402"/>
      <c r="J1392" s="402"/>
      <c r="K1392" s="402"/>
      <c r="L1392" s="402"/>
      <c r="M1392" s="402"/>
      <c r="N1392" s="402"/>
      <c r="O1392" s="402"/>
      <c r="P1392" s="402"/>
      <c r="Q1392" s="402"/>
      <c r="R1392" s="402"/>
      <c r="S1392" s="402"/>
      <c r="T1392" s="402"/>
      <c r="U1392" s="402"/>
      <c r="V1392" s="402"/>
      <c r="W1392" s="402"/>
      <c r="X1392" s="402"/>
      <c r="Y1392" s="402"/>
      <c r="Z1392" s="402"/>
      <c r="AA1392" s="405"/>
      <c r="AB1392" s="405"/>
    </row>
    <row r="1393" ht="14.25" customHeight="1">
      <c r="A1393" s="497"/>
      <c r="B1393" s="402"/>
      <c r="C1393" s="424" t="s">
        <v>797</v>
      </c>
      <c r="D1393" s="402"/>
      <c r="E1393" s="402"/>
      <c r="F1393" s="403"/>
      <c r="G1393" s="403"/>
      <c r="H1393" s="402"/>
      <c r="I1393" s="402"/>
      <c r="J1393" s="402"/>
      <c r="K1393" s="402"/>
      <c r="L1393" s="402"/>
      <c r="M1393" s="402"/>
      <c r="N1393" s="402"/>
      <c r="O1393" s="402"/>
      <c r="P1393" s="402"/>
      <c r="Q1393" s="402"/>
      <c r="R1393" s="402"/>
      <c r="S1393" s="402"/>
      <c r="T1393" s="402"/>
      <c r="U1393" s="402"/>
      <c r="V1393" s="402"/>
      <c r="W1393" s="402"/>
      <c r="X1393" s="402"/>
      <c r="Y1393" s="402"/>
      <c r="Z1393" s="402"/>
      <c r="AA1393" s="405"/>
      <c r="AB1393" s="405"/>
    </row>
    <row r="1394" ht="14.25" customHeight="1">
      <c r="A1394" s="497">
        <v>45527.0</v>
      </c>
      <c r="B1394" s="349" t="s">
        <v>1744</v>
      </c>
      <c r="C1394" s="349" t="s">
        <v>1745</v>
      </c>
      <c r="D1394" s="349" t="s">
        <v>54</v>
      </c>
      <c r="E1394" s="349" t="s">
        <v>1255</v>
      </c>
      <c r="F1394" s="413">
        <v>35000.0</v>
      </c>
      <c r="G1394" s="403"/>
      <c r="H1394" s="349" t="s">
        <v>1855</v>
      </c>
      <c r="I1394" s="402"/>
      <c r="J1394" s="402"/>
      <c r="K1394" s="402"/>
      <c r="L1394" s="402"/>
      <c r="M1394" s="402"/>
      <c r="N1394" s="402"/>
      <c r="O1394" s="402"/>
      <c r="P1394" s="402"/>
      <c r="Q1394" s="402"/>
      <c r="R1394" s="402"/>
      <c r="S1394" s="402"/>
      <c r="T1394" s="402"/>
      <c r="U1394" s="402"/>
      <c r="V1394" s="402"/>
      <c r="W1394" s="402"/>
      <c r="X1394" s="402"/>
      <c r="Y1394" s="402"/>
      <c r="Z1394" s="402"/>
      <c r="AA1394" s="405"/>
      <c r="AB1394" s="405"/>
    </row>
    <row r="1395" ht="14.25" customHeight="1">
      <c r="A1395" s="497">
        <v>45527.0</v>
      </c>
      <c r="B1395" s="349" t="s">
        <v>1856</v>
      </c>
      <c r="C1395" s="349" t="s">
        <v>1857</v>
      </c>
      <c r="D1395" s="349" t="s">
        <v>54</v>
      </c>
      <c r="E1395" s="349" t="s">
        <v>1255</v>
      </c>
      <c r="F1395" s="413">
        <v>25000.0</v>
      </c>
      <c r="G1395" s="403"/>
      <c r="H1395" s="349" t="s">
        <v>1858</v>
      </c>
      <c r="I1395" s="402"/>
      <c r="J1395" s="402"/>
      <c r="K1395" s="402"/>
      <c r="L1395" s="402"/>
      <c r="M1395" s="402"/>
      <c r="N1395" s="402"/>
      <c r="O1395" s="402"/>
      <c r="P1395" s="402"/>
      <c r="Q1395" s="402"/>
      <c r="R1395" s="402"/>
      <c r="S1395" s="402"/>
      <c r="T1395" s="402"/>
      <c r="U1395" s="402"/>
      <c r="V1395" s="402"/>
      <c r="W1395" s="402"/>
      <c r="X1395" s="402"/>
      <c r="Y1395" s="402"/>
      <c r="Z1395" s="402"/>
      <c r="AA1395" s="405"/>
      <c r="AB1395" s="405"/>
    </row>
    <row r="1396" ht="14.25" customHeight="1">
      <c r="A1396" s="497">
        <v>45527.0</v>
      </c>
      <c r="B1396" s="349" t="s">
        <v>1735</v>
      </c>
      <c r="C1396" s="349" t="s">
        <v>1736</v>
      </c>
      <c r="D1396" s="349" t="s">
        <v>54</v>
      </c>
      <c r="E1396" s="349" t="s">
        <v>1255</v>
      </c>
      <c r="F1396" s="413">
        <v>23000.0</v>
      </c>
      <c r="G1396" s="403"/>
      <c r="H1396" s="349" t="s">
        <v>1859</v>
      </c>
      <c r="I1396" s="402"/>
      <c r="J1396" s="402"/>
      <c r="K1396" s="402"/>
      <c r="L1396" s="402"/>
      <c r="M1396" s="402"/>
      <c r="N1396" s="402"/>
      <c r="O1396" s="402"/>
      <c r="P1396" s="402"/>
      <c r="Q1396" s="402"/>
      <c r="R1396" s="402"/>
      <c r="S1396" s="402"/>
      <c r="T1396" s="402"/>
      <c r="U1396" s="402"/>
      <c r="V1396" s="402"/>
      <c r="W1396" s="402"/>
      <c r="X1396" s="402"/>
      <c r="Y1396" s="402"/>
      <c r="Z1396" s="402"/>
      <c r="AA1396" s="405"/>
      <c r="AB1396" s="405"/>
    </row>
    <row r="1397" ht="14.25" customHeight="1">
      <c r="A1397" s="497">
        <v>45527.0</v>
      </c>
      <c r="B1397" s="349" t="s">
        <v>1773</v>
      </c>
      <c r="C1397" s="349" t="s">
        <v>1774</v>
      </c>
      <c r="D1397" s="349" t="s">
        <v>54</v>
      </c>
      <c r="E1397" s="349" t="s">
        <v>1255</v>
      </c>
      <c r="F1397" s="413">
        <v>15500.0</v>
      </c>
      <c r="G1397" s="403"/>
      <c r="H1397" s="349" t="s">
        <v>1860</v>
      </c>
      <c r="I1397" s="402"/>
      <c r="J1397" s="402"/>
      <c r="K1397" s="402"/>
      <c r="L1397" s="402"/>
      <c r="M1397" s="402"/>
      <c r="N1397" s="402"/>
      <c r="O1397" s="402"/>
      <c r="P1397" s="402"/>
      <c r="Q1397" s="402"/>
      <c r="R1397" s="402"/>
      <c r="S1397" s="402"/>
      <c r="T1397" s="402"/>
      <c r="U1397" s="402"/>
      <c r="V1397" s="402"/>
      <c r="W1397" s="402"/>
      <c r="X1397" s="402"/>
      <c r="Y1397" s="402"/>
      <c r="Z1397" s="402"/>
      <c r="AA1397" s="405"/>
      <c r="AB1397" s="405"/>
    </row>
    <row r="1398" ht="14.25" customHeight="1">
      <c r="A1398" s="497">
        <v>45527.0</v>
      </c>
      <c r="B1398" s="349" t="s">
        <v>1796</v>
      </c>
      <c r="C1398" s="349" t="s">
        <v>1861</v>
      </c>
      <c r="D1398" s="349" t="s">
        <v>54</v>
      </c>
      <c r="E1398" s="349" t="s">
        <v>1255</v>
      </c>
      <c r="F1398" s="413">
        <v>67000.0</v>
      </c>
      <c r="G1398" s="403"/>
      <c r="H1398" s="349" t="s">
        <v>1862</v>
      </c>
      <c r="I1398" s="402"/>
      <c r="J1398" s="402"/>
      <c r="K1398" s="402"/>
      <c r="L1398" s="402"/>
      <c r="M1398" s="402"/>
      <c r="N1398" s="402"/>
      <c r="O1398" s="402"/>
      <c r="P1398" s="402"/>
      <c r="Q1398" s="402"/>
      <c r="R1398" s="402"/>
      <c r="S1398" s="402"/>
      <c r="T1398" s="402"/>
      <c r="U1398" s="402"/>
      <c r="V1398" s="402"/>
      <c r="W1398" s="402"/>
      <c r="X1398" s="402"/>
      <c r="Y1398" s="402"/>
      <c r="Z1398" s="402"/>
      <c r="AA1398" s="405"/>
      <c r="AB1398" s="405"/>
    </row>
    <row r="1399" ht="14.25" customHeight="1">
      <c r="A1399" s="497">
        <v>45527.0</v>
      </c>
      <c r="B1399" s="349" t="s">
        <v>1863</v>
      </c>
      <c r="C1399" s="349" t="s">
        <v>1864</v>
      </c>
      <c r="D1399" s="349" t="s">
        <v>54</v>
      </c>
      <c r="E1399" s="349" t="s">
        <v>1255</v>
      </c>
      <c r="F1399" s="413">
        <v>74000.0</v>
      </c>
      <c r="G1399" s="403"/>
      <c r="H1399" s="349" t="s">
        <v>1865</v>
      </c>
      <c r="I1399" s="402"/>
      <c r="J1399" s="402"/>
      <c r="K1399" s="402"/>
      <c r="L1399" s="402"/>
      <c r="M1399" s="402"/>
      <c r="N1399" s="402"/>
      <c r="O1399" s="402"/>
      <c r="P1399" s="402"/>
      <c r="Q1399" s="402"/>
      <c r="R1399" s="402"/>
      <c r="S1399" s="402"/>
      <c r="T1399" s="402"/>
      <c r="U1399" s="402"/>
      <c r="V1399" s="402"/>
      <c r="W1399" s="402"/>
      <c r="X1399" s="402"/>
      <c r="Y1399" s="402"/>
      <c r="Z1399" s="402"/>
      <c r="AA1399" s="405"/>
      <c r="AB1399" s="405"/>
    </row>
    <row r="1400" ht="14.25" customHeight="1">
      <c r="A1400" s="497">
        <v>45527.0</v>
      </c>
      <c r="B1400" s="349" t="s">
        <v>1866</v>
      </c>
      <c r="C1400" s="349" t="s">
        <v>1867</v>
      </c>
      <c r="D1400" s="349" t="s">
        <v>54</v>
      </c>
      <c r="E1400" s="349" t="s">
        <v>1255</v>
      </c>
      <c r="F1400" s="413">
        <v>14000.0</v>
      </c>
      <c r="G1400" s="403"/>
      <c r="H1400" s="349" t="s">
        <v>1868</v>
      </c>
      <c r="I1400" s="402"/>
      <c r="J1400" s="402"/>
      <c r="K1400" s="402"/>
      <c r="L1400" s="402"/>
      <c r="M1400" s="402"/>
      <c r="N1400" s="402"/>
      <c r="O1400" s="402"/>
      <c r="P1400" s="402"/>
      <c r="Q1400" s="402"/>
      <c r="R1400" s="402"/>
      <c r="S1400" s="402"/>
      <c r="T1400" s="402"/>
      <c r="U1400" s="402"/>
      <c r="V1400" s="402"/>
      <c r="W1400" s="402"/>
      <c r="X1400" s="402"/>
      <c r="Y1400" s="402"/>
      <c r="Z1400" s="402"/>
      <c r="AA1400" s="405"/>
      <c r="AB1400" s="405"/>
    </row>
    <row r="1401" ht="14.25" customHeight="1">
      <c r="A1401" s="497">
        <v>45527.0</v>
      </c>
      <c r="B1401" s="349" t="s">
        <v>1793</v>
      </c>
      <c r="C1401" s="349" t="s">
        <v>1869</v>
      </c>
      <c r="D1401" s="349" t="s">
        <v>54</v>
      </c>
      <c r="E1401" s="349" t="s">
        <v>1255</v>
      </c>
      <c r="F1401" s="413">
        <v>35400.0</v>
      </c>
      <c r="G1401" s="403"/>
      <c r="H1401" s="349" t="s">
        <v>1870</v>
      </c>
      <c r="I1401" s="402"/>
      <c r="J1401" s="402"/>
      <c r="K1401" s="402"/>
      <c r="L1401" s="402"/>
      <c r="M1401" s="402"/>
      <c r="N1401" s="402"/>
      <c r="O1401" s="402"/>
      <c r="P1401" s="402"/>
      <c r="Q1401" s="402"/>
      <c r="R1401" s="402"/>
      <c r="S1401" s="402"/>
      <c r="T1401" s="402"/>
      <c r="U1401" s="402"/>
      <c r="V1401" s="402"/>
      <c r="W1401" s="402"/>
      <c r="X1401" s="402"/>
      <c r="Y1401" s="402"/>
      <c r="Z1401" s="402"/>
      <c r="AA1401" s="405"/>
      <c r="AB1401" s="405"/>
    </row>
    <row r="1402" ht="14.25" customHeight="1">
      <c r="A1402" s="497">
        <v>45527.0</v>
      </c>
      <c r="B1402" s="349" t="s">
        <v>1871</v>
      </c>
      <c r="C1402" s="349" t="s">
        <v>1872</v>
      </c>
      <c r="D1402" s="349" t="s">
        <v>54</v>
      </c>
      <c r="E1402" s="349" t="s">
        <v>1255</v>
      </c>
      <c r="F1402" s="413">
        <v>57000.0</v>
      </c>
      <c r="G1402" s="403"/>
      <c r="H1402" s="349" t="s">
        <v>1873</v>
      </c>
      <c r="I1402" s="402"/>
      <c r="J1402" s="402"/>
      <c r="K1402" s="402"/>
      <c r="L1402" s="402"/>
      <c r="M1402" s="402"/>
      <c r="N1402" s="402"/>
      <c r="O1402" s="402"/>
      <c r="P1402" s="402"/>
      <c r="Q1402" s="402"/>
      <c r="R1402" s="402"/>
      <c r="S1402" s="402"/>
      <c r="T1402" s="402"/>
      <c r="U1402" s="402"/>
      <c r="V1402" s="402"/>
      <c r="W1402" s="402"/>
      <c r="X1402" s="402"/>
      <c r="Y1402" s="402"/>
      <c r="Z1402" s="402"/>
      <c r="AA1402" s="405"/>
      <c r="AB1402" s="405"/>
    </row>
    <row r="1403" ht="14.25" customHeight="1">
      <c r="A1403" s="497">
        <v>45527.0</v>
      </c>
      <c r="B1403" s="349" t="s">
        <v>886</v>
      </c>
      <c r="C1403" s="349" t="s">
        <v>1095</v>
      </c>
      <c r="D1403" s="349" t="s">
        <v>54</v>
      </c>
      <c r="E1403" s="349" t="s">
        <v>1255</v>
      </c>
      <c r="F1403" s="413">
        <v>410000.0</v>
      </c>
      <c r="G1403" s="403"/>
      <c r="H1403" s="349" t="s">
        <v>1874</v>
      </c>
      <c r="I1403" s="402"/>
      <c r="J1403" s="402"/>
      <c r="K1403" s="402"/>
      <c r="L1403" s="402"/>
      <c r="M1403" s="402"/>
      <c r="N1403" s="402"/>
      <c r="O1403" s="402"/>
      <c r="P1403" s="402"/>
      <c r="Q1403" s="402"/>
      <c r="R1403" s="402"/>
      <c r="S1403" s="402"/>
      <c r="T1403" s="402"/>
      <c r="U1403" s="402"/>
      <c r="V1403" s="402"/>
      <c r="W1403" s="402"/>
      <c r="X1403" s="402"/>
      <c r="Y1403" s="402"/>
      <c r="Z1403" s="402"/>
      <c r="AA1403" s="405"/>
      <c r="AB1403" s="405"/>
    </row>
    <row r="1404" ht="14.25" customHeight="1">
      <c r="A1404" s="497">
        <v>45527.0</v>
      </c>
      <c r="B1404" s="349" t="s">
        <v>1329</v>
      </c>
      <c r="C1404" s="349" t="s">
        <v>1330</v>
      </c>
      <c r="D1404" s="349" t="s">
        <v>54</v>
      </c>
      <c r="E1404" s="349" t="s">
        <v>1255</v>
      </c>
      <c r="F1404" s="413">
        <v>1000000.0</v>
      </c>
      <c r="G1404" s="403"/>
      <c r="H1404" s="349" t="s">
        <v>1875</v>
      </c>
      <c r="I1404" s="402"/>
      <c r="J1404" s="402"/>
      <c r="K1404" s="402"/>
      <c r="L1404" s="402"/>
      <c r="M1404" s="402"/>
      <c r="N1404" s="402"/>
      <c r="O1404" s="402"/>
      <c r="P1404" s="402"/>
      <c r="Q1404" s="402"/>
      <c r="R1404" s="402"/>
      <c r="S1404" s="402"/>
      <c r="T1404" s="402"/>
      <c r="U1404" s="402"/>
      <c r="V1404" s="402"/>
      <c r="W1404" s="402"/>
      <c r="X1404" s="402"/>
      <c r="Y1404" s="402"/>
      <c r="Z1404" s="402"/>
      <c r="AA1404" s="405"/>
      <c r="AB1404" s="405"/>
    </row>
    <row r="1405" ht="14.25" customHeight="1">
      <c r="A1405" s="497">
        <v>45527.0</v>
      </c>
      <c r="B1405" s="561" t="s">
        <v>1876</v>
      </c>
      <c r="C1405" s="561" t="s">
        <v>1877</v>
      </c>
      <c r="D1405" s="561" t="s">
        <v>67</v>
      </c>
      <c r="E1405" s="349" t="s">
        <v>1255</v>
      </c>
      <c r="F1405" s="403"/>
      <c r="G1405" s="403"/>
      <c r="H1405" s="349" t="s">
        <v>1878</v>
      </c>
      <c r="I1405" s="402"/>
      <c r="J1405" s="402"/>
      <c r="K1405" s="402"/>
      <c r="L1405" s="402"/>
      <c r="M1405" s="402"/>
      <c r="N1405" s="402"/>
      <c r="O1405" s="402"/>
      <c r="P1405" s="402"/>
      <c r="Q1405" s="402"/>
      <c r="R1405" s="402"/>
      <c r="S1405" s="402"/>
      <c r="T1405" s="402"/>
      <c r="U1405" s="402"/>
      <c r="V1405" s="402"/>
      <c r="W1405" s="402"/>
      <c r="X1405" s="402"/>
      <c r="Y1405" s="402"/>
      <c r="Z1405" s="402"/>
      <c r="AA1405" s="405"/>
      <c r="AB1405" s="405"/>
    </row>
    <row r="1406" ht="14.25" customHeight="1">
      <c r="A1406" s="497">
        <v>45527.0</v>
      </c>
      <c r="B1406" s="402" t="s">
        <v>1879</v>
      </c>
      <c r="C1406" s="402" t="s">
        <v>1880</v>
      </c>
      <c r="D1406" s="402" t="s">
        <v>1881</v>
      </c>
      <c r="E1406" s="349" t="s">
        <v>1255</v>
      </c>
      <c r="F1406" s="403"/>
      <c r="G1406" s="403"/>
      <c r="H1406" s="349" t="s">
        <v>1882</v>
      </c>
      <c r="I1406" s="402"/>
      <c r="J1406" s="402"/>
      <c r="K1406" s="402"/>
      <c r="L1406" s="402"/>
      <c r="M1406" s="402"/>
      <c r="N1406" s="402"/>
      <c r="O1406" s="402"/>
      <c r="P1406" s="402"/>
      <c r="Q1406" s="402"/>
      <c r="R1406" s="402"/>
      <c r="S1406" s="402"/>
      <c r="T1406" s="402"/>
      <c r="U1406" s="402"/>
      <c r="V1406" s="402"/>
      <c r="W1406" s="402"/>
      <c r="X1406" s="402"/>
      <c r="Y1406" s="402"/>
      <c r="Z1406" s="402"/>
      <c r="AA1406" s="405"/>
      <c r="AB1406" s="405"/>
    </row>
    <row r="1407" ht="14.25" customHeight="1">
      <c r="A1407" s="402"/>
      <c r="B1407" s="402"/>
      <c r="C1407" s="402"/>
      <c r="D1407" s="402"/>
      <c r="E1407" s="402"/>
      <c r="F1407" s="403"/>
      <c r="G1407" s="403"/>
      <c r="H1407" s="402"/>
      <c r="I1407" s="402"/>
      <c r="J1407" s="402"/>
      <c r="K1407" s="402"/>
      <c r="L1407" s="402"/>
      <c r="M1407" s="402"/>
      <c r="N1407" s="402"/>
      <c r="O1407" s="402"/>
      <c r="P1407" s="402"/>
      <c r="Q1407" s="402"/>
      <c r="R1407" s="402"/>
      <c r="S1407" s="402"/>
      <c r="T1407" s="402"/>
      <c r="U1407" s="402"/>
      <c r="V1407" s="402"/>
      <c r="W1407" s="402"/>
      <c r="X1407" s="402"/>
      <c r="Y1407" s="402"/>
      <c r="Z1407" s="402"/>
      <c r="AA1407" s="405"/>
      <c r="AB1407" s="405"/>
    </row>
    <row r="1408" ht="14.25" customHeight="1">
      <c r="A1408" s="402"/>
      <c r="B1408" s="402"/>
      <c r="C1408" s="402"/>
      <c r="D1408" s="402"/>
      <c r="E1408" s="402"/>
      <c r="F1408" s="403"/>
      <c r="G1408" s="403"/>
      <c r="H1408" s="402"/>
      <c r="I1408" s="402"/>
      <c r="J1408" s="402"/>
      <c r="K1408" s="402"/>
      <c r="L1408" s="402"/>
      <c r="M1408" s="402"/>
      <c r="N1408" s="402"/>
      <c r="O1408" s="402"/>
      <c r="P1408" s="402"/>
      <c r="Q1408" s="402"/>
      <c r="R1408" s="402"/>
      <c r="S1408" s="402"/>
      <c r="T1408" s="402"/>
      <c r="U1408" s="402"/>
      <c r="V1408" s="402"/>
      <c r="W1408" s="402"/>
      <c r="X1408" s="402"/>
      <c r="Y1408" s="402"/>
      <c r="Z1408" s="402"/>
      <c r="AA1408" s="405"/>
      <c r="AB1408" s="405"/>
    </row>
    <row r="1409" ht="14.25" customHeight="1">
      <c r="A1409" s="402"/>
      <c r="B1409" s="402" t="s">
        <v>1883</v>
      </c>
      <c r="C1409" s="402" t="s">
        <v>1884</v>
      </c>
      <c r="D1409" s="349" t="s">
        <v>666</v>
      </c>
      <c r="E1409" s="349" t="s">
        <v>1302</v>
      </c>
      <c r="F1409" s="403"/>
      <c r="G1409" s="403"/>
      <c r="H1409" s="402"/>
      <c r="I1409" s="402"/>
      <c r="J1409" s="402"/>
      <c r="K1409" s="402"/>
      <c r="L1409" s="402"/>
      <c r="M1409" s="402"/>
      <c r="N1409" s="402"/>
      <c r="O1409" s="402"/>
      <c r="P1409" s="402"/>
      <c r="Q1409" s="402"/>
      <c r="R1409" s="402"/>
      <c r="S1409" s="402"/>
      <c r="T1409" s="402"/>
      <c r="U1409" s="402"/>
      <c r="V1409" s="402"/>
      <c r="W1409" s="402"/>
      <c r="X1409" s="402"/>
      <c r="Y1409" s="402"/>
      <c r="Z1409" s="402"/>
      <c r="AA1409" s="405"/>
      <c r="AB1409" s="405"/>
    </row>
    <row r="1410" ht="14.25" customHeight="1">
      <c r="A1410" s="402"/>
      <c r="B1410" s="402"/>
      <c r="C1410" s="402"/>
      <c r="D1410" s="402"/>
      <c r="E1410" s="402"/>
      <c r="F1410" s="403"/>
      <c r="G1410" s="403"/>
      <c r="H1410" s="402"/>
      <c r="I1410" s="402"/>
      <c r="J1410" s="402"/>
      <c r="K1410" s="402"/>
      <c r="L1410" s="402"/>
      <c r="M1410" s="402"/>
      <c r="N1410" s="402"/>
      <c r="O1410" s="402"/>
      <c r="P1410" s="402"/>
      <c r="Q1410" s="402"/>
      <c r="R1410" s="402"/>
      <c r="S1410" s="402"/>
      <c r="T1410" s="402"/>
      <c r="U1410" s="402"/>
      <c r="V1410" s="402"/>
      <c r="W1410" s="402"/>
      <c r="X1410" s="402"/>
      <c r="Y1410" s="402"/>
      <c r="Z1410" s="402"/>
      <c r="AA1410" s="405"/>
      <c r="AB1410" s="405"/>
    </row>
    <row r="1411" ht="14.25" customHeight="1">
      <c r="A1411" s="402"/>
      <c r="B1411" s="402"/>
      <c r="C1411" s="402"/>
      <c r="D1411" s="402"/>
      <c r="E1411" s="402"/>
      <c r="F1411" s="403"/>
      <c r="G1411" s="403"/>
      <c r="H1411" s="402"/>
      <c r="I1411" s="402"/>
      <c r="J1411" s="402"/>
      <c r="K1411" s="402"/>
      <c r="L1411" s="402"/>
      <c r="M1411" s="402"/>
      <c r="N1411" s="402"/>
      <c r="O1411" s="402"/>
      <c r="P1411" s="402"/>
      <c r="Q1411" s="402"/>
      <c r="R1411" s="402"/>
      <c r="S1411" s="402"/>
      <c r="T1411" s="402"/>
      <c r="U1411" s="402"/>
      <c r="V1411" s="402"/>
      <c r="W1411" s="402"/>
      <c r="X1411" s="402"/>
      <c r="Y1411" s="402"/>
      <c r="Z1411" s="402"/>
      <c r="AA1411" s="405"/>
      <c r="AB1411" s="405"/>
    </row>
    <row r="1412" ht="14.25" customHeight="1">
      <c r="A1412" s="402"/>
      <c r="B1412" s="402"/>
      <c r="C1412" s="402"/>
      <c r="D1412" s="402"/>
      <c r="E1412" s="402"/>
      <c r="F1412" s="403"/>
      <c r="G1412" s="403"/>
      <c r="H1412" s="402"/>
      <c r="I1412" s="402"/>
      <c r="J1412" s="402"/>
      <c r="K1412" s="402"/>
      <c r="L1412" s="402"/>
      <c r="M1412" s="402"/>
      <c r="N1412" s="402"/>
      <c r="O1412" s="402"/>
      <c r="P1412" s="402"/>
      <c r="Q1412" s="402"/>
      <c r="R1412" s="402"/>
      <c r="S1412" s="402"/>
      <c r="T1412" s="402"/>
      <c r="U1412" s="402"/>
      <c r="V1412" s="402"/>
      <c r="W1412" s="402"/>
      <c r="X1412" s="402"/>
      <c r="Y1412" s="402"/>
      <c r="Z1412" s="402"/>
      <c r="AA1412" s="405"/>
      <c r="AB1412" s="405"/>
    </row>
    <row r="1413" ht="14.25" customHeight="1">
      <c r="A1413" s="402"/>
      <c r="B1413" s="526" t="s">
        <v>1885</v>
      </c>
      <c r="C1413" s="402"/>
      <c r="D1413" s="402"/>
      <c r="E1413" s="402"/>
      <c r="F1413" s="403"/>
      <c r="G1413" s="403"/>
      <c r="H1413" s="402"/>
      <c r="I1413" s="402"/>
      <c r="J1413" s="402"/>
      <c r="K1413" s="402"/>
      <c r="L1413" s="402"/>
      <c r="M1413" s="402"/>
      <c r="N1413" s="402"/>
      <c r="O1413" s="402"/>
      <c r="P1413" s="402"/>
      <c r="Q1413" s="402"/>
      <c r="R1413" s="402"/>
      <c r="S1413" s="402"/>
      <c r="T1413" s="402"/>
      <c r="U1413" s="402"/>
      <c r="V1413" s="402"/>
      <c r="W1413" s="402"/>
      <c r="X1413" s="402"/>
      <c r="Y1413" s="402"/>
      <c r="Z1413" s="402"/>
      <c r="AA1413" s="405"/>
      <c r="AB1413" s="405"/>
    </row>
    <row r="1414" ht="14.25" customHeight="1">
      <c r="A1414" s="497">
        <v>45528.0</v>
      </c>
      <c r="B1414" s="535" t="s">
        <v>809</v>
      </c>
      <c r="C1414" s="536" t="s">
        <v>810</v>
      </c>
      <c r="D1414" s="516" t="s">
        <v>54</v>
      </c>
      <c r="E1414" s="349" t="s">
        <v>1098</v>
      </c>
      <c r="F1414" s="413">
        <v>185919.85</v>
      </c>
      <c r="G1414" s="413">
        <v>243038.0</v>
      </c>
      <c r="H1414" s="349" t="s">
        <v>267</v>
      </c>
      <c r="I1414" s="402"/>
      <c r="J1414" s="402"/>
      <c r="K1414" s="402"/>
      <c r="L1414" s="402"/>
      <c r="M1414" s="402"/>
      <c r="N1414" s="402"/>
      <c r="O1414" s="402"/>
      <c r="P1414" s="402"/>
      <c r="Q1414" s="402"/>
      <c r="R1414" s="402"/>
      <c r="S1414" s="402"/>
      <c r="T1414" s="402"/>
      <c r="U1414" s="402"/>
      <c r="V1414" s="402"/>
      <c r="W1414" s="402"/>
      <c r="X1414" s="402"/>
      <c r="Y1414" s="402"/>
      <c r="Z1414" s="402"/>
      <c r="AA1414" s="405"/>
      <c r="AB1414" s="405"/>
    </row>
    <row r="1415" ht="14.25" customHeight="1">
      <c r="A1415" s="497">
        <v>45528.0</v>
      </c>
      <c r="B1415" s="535" t="s">
        <v>729</v>
      </c>
      <c r="C1415" s="536" t="s">
        <v>730</v>
      </c>
      <c r="D1415" s="536" t="s">
        <v>54</v>
      </c>
      <c r="E1415" s="349" t="s">
        <v>1098</v>
      </c>
      <c r="F1415" s="413">
        <v>448823.71</v>
      </c>
      <c r="G1415" s="413">
        <v>357832.0</v>
      </c>
      <c r="H1415" s="402"/>
      <c r="I1415" s="402"/>
      <c r="J1415" s="402"/>
      <c r="K1415" s="402"/>
      <c r="L1415" s="402"/>
      <c r="M1415" s="402"/>
      <c r="N1415" s="402"/>
      <c r="O1415" s="402"/>
      <c r="P1415" s="402"/>
      <c r="Q1415" s="402"/>
      <c r="R1415" s="402"/>
      <c r="S1415" s="402"/>
      <c r="T1415" s="402"/>
      <c r="U1415" s="402"/>
      <c r="V1415" s="402"/>
      <c r="W1415" s="402"/>
      <c r="X1415" s="402"/>
      <c r="Y1415" s="402"/>
      <c r="Z1415" s="402"/>
      <c r="AA1415" s="405"/>
      <c r="AB1415" s="405"/>
    </row>
    <row r="1416" ht="14.25" customHeight="1">
      <c r="A1416" s="497">
        <v>45528.0</v>
      </c>
      <c r="B1416" s="349" t="s">
        <v>777</v>
      </c>
      <c r="C1416" s="349" t="s">
        <v>778</v>
      </c>
      <c r="D1416" s="349" t="s">
        <v>54</v>
      </c>
      <c r="E1416" s="349" t="s">
        <v>1098</v>
      </c>
      <c r="F1416" s="413">
        <v>119325.0</v>
      </c>
      <c r="G1416" s="403"/>
      <c r="H1416" s="349" t="s">
        <v>1886</v>
      </c>
      <c r="I1416" s="402"/>
      <c r="J1416" s="402"/>
      <c r="K1416" s="402"/>
      <c r="L1416" s="402"/>
      <c r="M1416" s="402"/>
      <c r="N1416" s="402"/>
      <c r="O1416" s="402"/>
      <c r="P1416" s="402"/>
      <c r="Q1416" s="402"/>
      <c r="R1416" s="402"/>
      <c r="S1416" s="402"/>
      <c r="T1416" s="402"/>
      <c r="U1416" s="402"/>
      <c r="V1416" s="402"/>
      <c r="W1416" s="402"/>
      <c r="X1416" s="402"/>
      <c r="Y1416" s="402"/>
      <c r="Z1416" s="402"/>
      <c r="AA1416" s="405"/>
      <c r="AB1416" s="405"/>
    </row>
    <row r="1417" ht="14.25" customHeight="1">
      <c r="A1417" s="497">
        <v>45528.0</v>
      </c>
      <c r="B1417" s="349" t="s">
        <v>711</v>
      </c>
      <c r="C1417" s="349" t="s">
        <v>1123</v>
      </c>
      <c r="D1417" s="349" t="s">
        <v>75</v>
      </c>
      <c r="E1417" s="349" t="s">
        <v>1098</v>
      </c>
      <c r="F1417" s="413">
        <v>26556.61</v>
      </c>
      <c r="G1417" s="403"/>
      <c r="H1417" s="349" t="s">
        <v>1887</v>
      </c>
      <c r="I1417" s="402"/>
      <c r="J1417" s="402"/>
      <c r="K1417" s="402"/>
      <c r="L1417" s="402"/>
      <c r="M1417" s="402"/>
      <c r="N1417" s="402"/>
      <c r="O1417" s="402"/>
      <c r="P1417" s="402"/>
      <c r="Q1417" s="402"/>
      <c r="R1417" s="402"/>
      <c r="S1417" s="402"/>
      <c r="T1417" s="402"/>
      <c r="U1417" s="402"/>
      <c r="V1417" s="402"/>
      <c r="W1417" s="402"/>
      <c r="X1417" s="402"/>
      <c r="Y1417" s="402"/>
      <c r="Z1417" s="402"/>
      <c r="AA1417" s="405"/>
      <c r="AB1417" s="405"/>
    </row>
    <row r="1418" ht="14.25" customHeight="1">
      <c r="A1418" s="497">
        <v>45528.0</v>
      </c>
      <c r="B1418" s="349" t="s">
        <v>701</v>
      </c>
      <c r="C1418" s="349" t="s">
        <v>702</v>
      </c>
      <c r="D1418" s="349" t="s">
        <v>54</v>
      </c>
      <c r="E1418" s="349" t="s">
        <v>1098</v>
      </c>
      <c r="F1418" s="413">
        <v>10771.93</v>
      </c>
      <c r="G1418" s="403"/>
      <c r="H1418" s="402"/>
      <c r="I1418" s="402"/>
      <c r="J1418" s="402"/>
      <c r="K1418" s="402"/>
      <c r="L1418" s="402"/>
      <c r="M1418" s="402"/>
      <c r="N1418" s="402"/>
      <c r="O1418" s="402"/>
      <c r="P1418" s="402"/>
      <c r="Q1418" s="402"/>
      <c r="R1418" s="402"/>
      <c r="S1418" s="402"/>
      <c r="T1418" s="402"/>
      <c r="U1418" s="402"/>
      <c r="V1418" s="402"/>
      <c r="W1418" s="402"/>
      <c r="X1418" s="402"/>
      <c r="Y1418" s="402"/>
      <c r="Z1418" s="402"/>
      <c r="AA1418" s="405"/>
      <c r="AB1418" s="405"/>
    </row>
    <row r="1419" ht="14.25" customHeight="1">
      <c r="A1419" s="497">
        <v>45528.0</v>
      </c>
      <c r="B1419" s="509" t="s">
        <v>1381</v>
      </c>
      <c r="C1419" s="510" t="s">
        <v>1382</v>
      </c>
      <c r="D1419" s="510" t="s">
        <v>54</v>
      </c>
      <c r="E1419" s="349" t="s">
        <v>1098</v>
      </c>
      <c r="F1419" s="416">
        <v>198106.72</v>
      </c>
      <c r="G1419" s="403"/>
      <c r="H1419" s="349" t="s">
        <v>1656</v>
      </c>
      <c r="I1419" s="402"/>
      <c r="J1419" s="402"/>
      <c r="K1419" s="402"/>
      <c r="L1419" s="402"/>
      <c r="M1419" s="402"/>
      <c r="N1419" s="402"/>
      <c r="O1419" s="402"/>
      <c r="P1419" s="402"/>
      <c r="Q1419" s="402"/>
      <c r="R1419" s="402"/>
      <c r="S1419" s="402"/>
      <c r="T1419" s="402"/>
      <c r="U1419" s="402"/>
      <c r="V1419" s="402"/>
      <c r="W1419" s="402"/>
      <c r="X1419" s="402"/>
      <c r="Y1419" s="402"/>
      <c r="Z1419" s="402"/>
      <c r="AA1419" s="405"/>
      <c r="AB1419" s="405"/>
    </row>
    <row r="1420" ht="14.25" customHeight="1">
      <c r="A1420" s="497">
        <v>45528.0</v>
      </c>
      <c r="B1420" s="349" t="s">
        <v>720</v>
      </c>
      <c r="C1420" s="349" t="s">
        <v>715</v>
      </c>
      <c r="D1420" s="510" t="s">
        <v>54</v>
      </c>
      <c r="E1420" s="349" t="s">
        <v>1098</v>
      </c>
      <c r="F1420" s="413">
        <v>42585.25</v>
      </c>
      <c r="G1420" s="403"/>
      <c r="H1420" s="402"/>
      <c r="I1420" s="402"/>
      <c r="J1420" s="402"/>
      <c r="K1420" s="402"/>
      <c r="L1420" s="402"/>
      <c r="M1420" s="402"/>
      <c r="N1420" s="402"/>
      <c r="O1420" s="402"/>
      <c r="P1420" s="402"/>
      <c r="Q1420" s="402"/>
      <c r="R1420" s="402"/>
      <c r="S1420" s="402"/>
      <c r="T1420" s="402"/>
      <c r="U1420" s="402"/>
      <c r="V1420" s="402"/>
      <c r="W1420" s="402"/>
      <c r="X1420" s="402"/>
      <c r="Y1420" s="402"/>
      <c r="Z1420" s="402"/>
      <c r="AA1420" s="405"/>
      <c r="AB1420" s="405"/>
    </row>
    <row r="1421" ht="14.25" customHeight="1">
      <c r="A1421" s="497">
        <v>45528.0</v>
      </c>
      <c r="B1421" s="349" t="s">
        <v>807</v>
      </c>
      <c r="C1421" s="349" t="s">
        <v>1888</v>
      </c>
      <c r="D1421" s="510" t="s">
        <v>54</v>
      </c>
      <c r="E1421" s="349" t="s">
        <v>1098</v>
      </c>
      <c r="F1421" s="413">
        <v>31846.41</v>
      </c>
      <c r="G1421" s="403"/>
      <c r="H1421" s="349" t="s">
        <v>1313</v>
      </c>
      <c r="I1421" s="402"/>
      <c r="J1421" s="402"/>
      <c r="K1421" s="402"/>
      <c r="L1421" s="402"/>
      <c r="M1421" s="402"/>
      <c r="N1421" s="402"/>
      <c r="O1421" s="402"/>
      <c r="P1421" s="402"/>
      <c r="Q1421" s="402"/>
      <c r="R1421" s="402"/>
      <c r="S1421" s="402"/>
      <c r="T1421" s="402"/>
      <c r="U1421" s="402"/>
      <c r="V1421" s="402"/>
      <c r="W1421" s="402"/>
      <c r="X1421" s="402"/>
      <c r="Y1421" s="402"/>
      <c r="Z1421" s="402"/>
      <c r="AA1421" s="405"/>
      <c r="AB1421" s="405"/>
    </row>
    <row r="1422" ht="14.25" customHeight="1">
      <c r="A1422" s="497">
        <v>45528.0</v>
      </c>
      <c r="B1422" s="535" t="s">
        <v>868</v>
      </c>
      <c r="C1422" s="536" t="s">
        <v>869</v>
      </c>
      <c r="D1422" s="536" t="s">
        <v>54</v>
      </c>
      <c r="E1422" s="415" t="s">
        <v>1153</v>
      </c>
      <c r="F1422" s="413">
        <v>675260.25</v>
      </c>
      <c r="G1422" s="403"/>
      <c r="H1422" s="349" t="s">
        <v>1313</v>
      </c>
      <c r="I1422" s="402"/>
      <c r="J1422" s="402"/>
      <c r="K1422" s="402"/>
      <c r="L1422" s="402"/>
      <c r="M1422" s="402"/>
      <c r="N1422" s="402"/>
      <c r="O1422" s="402"/>
      <c r="P1422" s="402"/>
      <c r="Q1422" s="402"/>
      <c r="R1422" s="402"/>
      <c r="S1422" s="402"/>
      <c r="T1422" s="402"/>
      <c r="U1422" s="402"/>
      <c r="V1422" s="402"/>
      <c r="W1422" s="402"/>
      <c r="X1422" s="402"/>
      <c r="Y1422" s="402"/>
      <c r="Z1422" s="402"/>
      <c r="AA1422" s="405"/>
      <c r="AB1422" s="405"/>
    </row>
    <row r="1423" ht="14.25" customHeight="1">
      <c r="A1423" s="497">
        <v>45528.0</v>
      </c>
      <c r="B1423" s="349" t="s">
        <v>1155</v>
      </c>
      <c r="C1423" s="519" t="s">
        <v>730</v>
      </c>
      <c r="D1423" s="349" t="s">
        <v>75</v>
      </c>
      <c r="E1423" s="415" t="s">
        <v>1153</v>
      </c>
      <c r="F1423" s="416"/>
      <c r="G1423" s="403"/>
      <c r="H1423" s="402"/>
      <c r="I1423" s="402"/>
      <c r="J1423" s="402"/>
      <c r="K1423" s="402"/>
      <c r="L1423" s="402"/>
      <c r="M1423" s="402"/>
      <c r="N1423" s="402"/>
      <c r="O1423" s="402"/>
      <c r="P1423" s="402"/>
      <c r="Q1423" s="402"/>
      <c r="R1423" s="402"/>
      <c r="S1423" s="402"/>
      <c r="T1423" s="402"/>
      <c r="U1423" s="402"/>
      <c r="V1423" s="402"/>
      <c r="W1423" s="402"/>
      <c r="X1423" s="402"/>
      <c r="Y1423" s="402"/>
      <c r="Z1423" s="402"/>
      <c r="AA1423" s="405"/>
      <c r="AB1423" s="405"/>
    </row>
    <row r="1424" ht="14.25" customHeight="1">
      <c r="A1424" s="497">
        <v>45528.0</v>
      </c>
      <c r="B1424" s="518" t="s">
        <v>786</v>
      </c>
      <c r="C1424" s="519" t="s">
        <v>747</v>
      </c>
      <c r="D1424" s="349" t="s">
        <v>54</v>
      </c>
      <c r="E1424" s="415" t="s">
        <v>1153</v>
      </c>
      <c r="F1424" s="413">
        <v>108000.0</v>
      </c>
      <c r="G1424" s="403"/>
      <c r="H1424" s="349" t="s">
        <v>1655</v>
      </c>
      <c r="I1424" s="402"/>
      <c r="J1424" s="402"/>
      <c r="K1424" s="402"/>
      <c r="L1424" s="402"/>
      <c r="M1424" s="402"/>
      <c r="N1424" s="402"/>
      <c r="O1424" s="402"/>
      <c r="P1424" s="402"/>
      <c r="Q1424" s="402"/>
      <c r="R1424" s="402"/>
      <c r="S1424" s="402"/>
      <c r="T1424" s="402"/>
      <c r="U1424" s="402"/>
      <c r="V1424" s="402"/>
      <c r="W1424" s="402"/>
      <c r="X1424" s="402"/>
      <c r="Y1424" s="402"/>
      <c r="Z1424" s="402"/>
      <c r="AA1424" s="405"/>
      <c r="AB1424" s="405"/>
    </row>
    <row r="1425" ht="14.25" customHeight="1">
      <c r="A1425" s="497">
        <v>45528.0</v>
      </c>
      <c r="B1425" s="518" t="s">
        <v>744</v>
      </c>
      <c r="C1425" s="519" t="s">
        <v>787</v>
      </c>
      <c r="D1425" s="349" t="s">
        <v>54</v>
      </c>
      <c r="E1425" s="415" t="s">
        <v>1153</v>
      </c>
      <c r="F1425" s="413">
        <v>15712.14</v>
      </c>
      <c r="G1425" s="403"/>
      <c r="H1425" s="402"/>
      <c r="I1425" s="402"/>
      <c r="J1425" s="402"/>
      <c r="K1425" s="402"/>
      <c r="L1425" s="402"/>
      <c r="M1425" s="402"/>
      <c r="N1425" s="402"/>
      <c r="O1425" s="402"/>
      <c r="P1425" s="402"/>
      <c r="Q1425" s="402"/>
      <c r="R1425" s="402"/>
      <c r="S1425" s="402"/>
      <c r="T1425" s="402"/>
      <c r="U1425" s="402"/>
      <c r="V1425" s="402"/>
      <c r="W1425" s="402"/>
      <c r="X1425" s="402"/>
      <c r="Y1425" s="402"/>
      <c r="Z1425" s="402"/>
      <c r="AA1425" s="405"/>
      <c r="AB1425" s="405"/>
    </row>
    <row r="1426" ht="14.25" customHeight="1">
      <c r="A1426" s="497">
        <v>45528.0</v>
      </c>
      <c r="B1426" s="518" t="s">
        <v>749</v>
      </c>
      <c r="C1426" s="519" t="s">
        <v>745</v>
      </c>
      <c r="D1426" s="349" t="s">
        <v>54</v>
      </c>
      <c r="E1426" s="411" t="s">
        <v>1153</v>
      </c>
      <c r="F1426" s="413">
        <v>33570.0</v>
      </c>
      <c r="G1426" s="403"/>
      <c r="H1426" s="349" t="s">
        <v>1889</v>
      </c>
      <c r="I1426" s="402"/>
      <c r="J1426" s="402"/>
      <c r="K1426" s="402"/>
      <c r="L1426" s="402"/>
      <c r="M1426" s="402"/>
      <c r="N1426" s="402"/>
      <c r="O1426" s="402"/>
      <c r="P1426" s="402"/>
      <c r="Q1426" s="402"/>
      <c r="R1426" s="402"/>
      <c r="S1426" s="402"/>
      <c r="T1426" s="402"/>
      <c r="U1426" s="402"/>
      <c r="V1426" s="402"/>
      <c r="W1426" s="402"/>
      <c r="X1426" s="402"/>
      <c r="Y1426" s="402"/>
      <c r="Z1426" s="402"/>
      <c r="AA1426" s="405"/>
      <c r="AB1426" s="405"/>
    </row>
    <row r="1427" ht="14.25" customHeight="1">
      <c r="A1427" s="497">
        <v>45528.0</v>
      </c>
      <c r="B1427" s="321" t="s">
        <v>1096</v>
      </c>
      <c r="C1427" s="322" t="s">
        <v>1097</v>
      </c>
      <c r="D1427" s="536" t="s">
        <v>54</v>
      </c>
      <c r="E1427" s="415" t="s">
        <v>1153</v>
      </c>
      <c r="F1427" s="413">
        <v>30000.0</v>
      </c>
      <c r="G1427" s="403"/>
      <c r="H1427" s="349" t="s">
        <v>1890</v>
      </c>
      <c r="I1427" s="402"/>
      <c r="J1427" s="402"/>
      <c r="K1427" s="402"/>
      <c r="L1427" s="402"/>
      <c r="M1427" s="402"/>
      <c r="N1427" s="402"/>
      <c r="O1427" s="402"/>
      <c r="P1427" s="402"/>
      <c r="Q1427" s="402"/>
      <c r="R1427" s="402"/>
      <c r="S1427" s="402"/>
      <c r="T1427" s="402"/>
      <c r="U1427" s="402"/>
      <c r="V1427" s="402"/>
      <c r="W1427" s="402"/>
      <c r="X1427" s="402"/>
      <c r="Y1427" s="402"/>
      <c r="Z1427" s="402"/>
      <c r="AA1427" s="405"/>
      <c r="AB1427" s="405"/>
    </row>
    <row r="1428" ht="14.25" customHeight="1">
      <c r="A1428" s="497">
        <v>45528.0</v>
      </c>
      <c r="B1428" s="535" t="s">
        <v>870</v>
      </c>
      <c r="C1428" s="536" t="s">
        <v>871</v>
      </c>
      <c r="D1428" s="536" t="s">
        <v>54</v>
      </c>
      <c r="E1428" s="411" t="s">
        <v>1153</v>
      </c>
      <c r="F1428" s="413">
        <v>14225.08</v>
      </c>
      <c r="G1428" s="403"/>
      <c r="H1428" s="349" t="s">
        <v>1891</v>
      </c>
      <c r="I1428" s="402"/>
      <c r="J1428" s="402"/>
      <c r="K1428" s="402"/>
      <c r="L1428" s="402"/>
      <c r="M1428" s="402"/>
      <c r="N1428" s="402"/>
      <c r="O1428" s="402"/>
      <c r="P1428" s="402"/>
      <c r="Q1428" s="402"/>
      <c r="R1428" s="402"/>
      <c r="S1428" s="402"/>
      <c r="T1428" s="402"/>
      <c r="U1428" s="402"/>
      <c r="V1428" s="402"/>
      <c r="W1428" s="402"/>
      <c r="X1428" s="402"/>
      <c r="Y1428" s="402"/>
      <c r="Z1428" s="402"/>
      <c r="AA1428" s="405"/>
      <c r="AB1428" s="405"/>
    </row>
    <row r="1429" ht="14.25" customHeight="1">
      <c r="A1429" s="497">
        <v>45528.0</v>
      </c>
      <c r="B1429" s="349" t="s">
        <v>774</v>
      </c>
      <c r="C1429" s="349" t="s">
        <v>799</v>
      </c>
      <c r="D1429" s="349" t="s">
        <v>54</v>
      </c>
      <c r="E1429" s="349" t="s">
        <v>1139</v>
      </c>
      <c r="F1429" s="413">
        <v>128709.43</v>
      </c>
      <c r="G1429" s="413">
        <v>0.0</v>
      </c>
      <c r="H1429" s="349" t="s">
        <v>1892</v>
      </c>
      <c r="I1429" s="402"/>
      <c r="J1429" s="402"/>
      <c r="K1429" s="402"/>
      <c r="L1429" s="402"/>
      <c r="M1429" s="402"/>
      <c r="N1429" s="402"/>
      <c r="O1429" s="402"/>
      <c r="P1429" s="402"/>
      <c r="Q1429" s="402"/>
      <c r="R1429" s="402"/>
      <c r="S1429" s="402"/>
      <c r="T1429" s="402"/>
      <c r="U1429" s="402"/>
      <c r="V1429" s="402"/>
      <c r="W1429" s="402"/>
      <c r="X1429" s="402"/>
      <c r="Y1429" s="402"/>
      <c r="Z1429" s="402"/>
      <c r="AA1429" s="405"/>
      <c r="AB1429" s="405"/>
    </row>
    <row r="1430" ht="14.25" customHeight="1">
      <c r="A1430" s="497">
        <v>45528.0</v>
      </c>
      <c r="B1430" s="349" t="s">
        <v>1644</v>
      </c>
      <c r="C1430" s="349" t="s">
        <v>1893</v>
      </c>
      <c r="D1430" s="349" t="s">
        <v>54</v>
      </c>
      <c r="E1430" s="349" t="s">
        <v>1139</v>
      </c>
      <c r="F1430" s="413">
        <v>42664.0</v>
      </c>
      <c r="G1430" s="413">
        <v>0.0</v>
      </c>
      <c r="H1430" s="349" t="s">
        <v>1894</v>
      </c>
      <c r="I1430" s="402"/>
      <c r="J1430" s="402"/>
      <c r="K1430" s="402"/>
      <c r="L1430" s="402"/>
      <c r="M1430" s="402"/>
      <c r="N1430" s="402"/>
      <c r="O1430" s="402"/>
      <c r="P1430" s="402"/>
      <c r="Q1430" s="402"/>
      <c r="R1430" s="402"/>
      <c r="S1430" s="402"/>
      <c r="T1430" s="402"/>
      <c r="U1430" s="402"/>
      <c r="V1430" s="402"/>
      <c r="W1430" s="402"/>
      <c r="X1430" s="402"/>
      <c r="Y1430" s="402"/>
      <c r="Z1430" s="402"/>
      <c r="AA1430" s="405"/>
      <c r="AB1430" s="405"/>
    </row>
    <row r="1431" ht="14.25" customHeight="1">
      <c r="A1431" s="497">
        <v>45528.0</v>
      </c>
      <c r="B1431" s="349" t="s">
        <v>1475</v>
      </c>
      <c r="C1431" s="349" t="s">
        <v>1895</v>
      </c>
      <c r="D1431" s="349" t="s">
        <v>75</v>
      </c>
      <c r="E1431" s="349" t="s">
        <v>1139</v>
      </c>
      <c r="F1431" s="413">
        <v>101818.5</v>
      </c>
      <c r="G1431" s="413">
        <v>0.0</v>
      </c>
      <c r="H1431" s="349" t="s">
        <v>1896</v>
      </c>
      <c r="I1431" s="402"/>
      <c r="J1431" s="402"/>
      <c r="K1431" s="402"/>
      <c r="L1431" s="402"/>
      <c r="M1431" s="402"/>
      <c r="N1431" s="402"/>
      <c r="O1431" s="402"/>
      <c r="P1431" s="402"/>
      <c r="Q1431" s="402"/>
      <c r="R1431" s="402"/>
      <c r="S1431" s="402"/>
      <c r="T1431" s="402"/>
      <c r="U1431" s="402"/>
      <c r="V1431" s="402"/>
      <c r="W1431" s="402"/>
      <c r="X1431" s="402"/>
      <c r="Y1431" s="402"/>
      <c r="Z1431" s="402"/>
      <c r="AA1431" s="405"/>
      <c r="AB1431" s="405"/>
    </row>
    <row r="1432" ht="14.25" customHeight="1">
      <c r="A1432" s="497">
        <v>45528.0</v>
      </c>
      <c r="B1432" s="349" t="s">
        <v>1648</v>
      </c>
      <c r="C1432" s="349" t="s">
        <v>1013</v>
      </c>
      <c r="D1432" s="349" t="s">
        <v>59</v>
      </c>
      <c r="E1432" s="349" t="s">
        <v>1139</v>
      </c>
      <c r="F1432" s="413">
        <v>289174.43</v>
      </c>
      <c r="G1432" s="413">
        <v>0.0</v>
      </c>
      <c r="H1432" s="349" t="s">
        <v>1897</v>
      </c>
      <c r="I1432" s="402"/>
      <c r="J1432" s="402"/>
      <c r="K1432" s="402"/>
      <c r="L1432" s="402"/>
      <c r="M1432" s="402"/>
      <c r="N1432" s="402"/>
      <c r="O1432" s="402"/>
      <c r="P1432" s="402"/>
      <c r="Q1432" s="402"/>
      <c r="R1432" s="402"/>
      <c r="S1432" s="402"/>
      <c r="T1432" s="402"/>
      <c r="U1432" s="402"/>
      <c r="V1432" s="402"/>
      <c r="W1432" s="402"/>
      <c r="X1432" s="402"/>
      <c r="Y1432" s="402"/>
      <c r="Z1432" s="402"/>
      <c r="AA1432" s="405"/>
      <c r="AB1432" s="405"/>
    </row>
    <row r="1433" ht="14.25" customHeight="1">
      <c r="A1433" s="497">
        <v>45528.0</v>
      </c>
      <c r="B1433" s="349" t="s">
        <v>1503</v>
      </c>
      <c r="C1433" s="349" t="s">
        <v>1504</v>
      </c>
      <c r="D1433" s="349" t="s">
        <v>54</v>
      </c>
      <c r="E1433" s="349" t="s">
        <v>1139</v>
      </c>
      <c r="F1433" s="413">
        <v>11747.78</v>
      </c>
      <c r="G1433" s="413">
        <v>0.0</v>
      </c>
      <c r="H1433" s="349" t="s">
        <v>1898</v>
      </c>
      <c r="I1433" s="402"/>
      <c r="J1433" s="402"/>
      <c r="K1433" s="402"/>
      <c r="L1433" s="402"/>
      <c r="M1433" s="402"/>
      <c r="N1433" s="402"/>
      <c r="O1433" s="402"/>
      <c r="P1433" s="402"/>
      <c r="Q1433" s="402"/>
      <c r="R1433" s="402"/>
      <c r="S1433" s="402"/>
      <c r="T1433" s="402"/>
      <c r="U1433" s="402"/>
      <c r="V1433" s="402"/>
      <c r="W1433" s="402"/>
      <c r="X1433" s="402"/>
      <c r="Y1433" s="402"/>
      <c r="Z1433" s="402"/>
      <c r="AA1433" s="405"/>
      <c r="AB1433" s="405"/>
    </row>
    <row r="1434" ht="14.25" customHeight="1">
      <c r="A1434" s="497">
        <v>45528.0</v>
      </c>
      <c r="B1434" s="349" t="s">
        <v>1673</v>
      </c>
      <c r="C1434" s="349" t="s">
        <v>1674</v>
      </c>
      <c r="D1434" s="519" t="s">
        <v>54</v>
      </c>
      <c r="E1434" s="349" t="s">
        <v>1168</v>
      </c>
      <c r="F1434" s="413">
        <v>58919.23</v>
      </c>
      <c r="G1434" s="413">
        <v>0.0</v>
      </c>
      <c r="H1434" s="349" t="s">
        <v>1899</v>
      </c>
      <c r="I1434" s="402"/>
      <c r="J1434" s="402"/>
      <c r="K1434" s="402"/>
      <c r="L1434" s="402"/>
      <c r="M1434" s="402"/>
      <c r="N1434" s="402"/>
      <c r="O1434" s="402"/>
      <c r="P1434" s="402"/>
      <c r="Q1434" s="402"/>
      <c r="R1434" s="402"/>
      <c r="S1434" s="402"/>
      <c r="T1434" s="402"/>
      <c r="U1434" s="402"/>
      <c r="V1434" s="402"/>
      <c r="W1434" s="402"/>
      <c r="X1434" s="402"/>
      <c r="Y1434" s="402"/>
      <c r="Z1434" s="402"/>
      <c r="AA1434" s="405"/>
      <c r="AB1434" s="405"/>
    </row>
    <row r="1435" ht="14.25" customHeight="1">
      <c r="A1435" s="497">
        <v>45528.0</v>
      </c>
      <c r="B1435" s="349" t="s">
        <v>698</v>
      </c>
      <c r="C1435" s="349" t="s">
        <v>1167</v>
      </c>
      <c r="D1435" s="516" t="s">
        <v>54</v>
      </c>
      <c r="E1435" s="349" t="s">
        <v>1168</v>
      </c>
      <c r="F1435" s="413">
        <v>39696.03</v>
      </c>
      <c r="G1435" s="413">
        <v>0.0</v>
      </c>
      <c r="H1435" s="528" t="s">
        <v>1900</v>
      </c>
      <c r="I1435" s="402"/>
      <c r="J1435" s="402"/>
      <c r="K1435" s="402"/>
      <c r="L1435" s="402"/>
      <c r="M1435" s="402"/>
      <c r="N1435" s="402"/>
      <c r="O1435" s="402"/>
      <c r="P1435" s="402"/>
      <c r="Q1435" s="402"/>
      <c r="R1435" s="402"/>
      <c r="S1435" s="402"/>
      <c r="T1435" s="402"/>
      <c r="U1435" s="402"/>
      <c r="V1435" s="402"/>
      <c r="W1435" s="402"/>
      <c r="X1435" s="402"/>
      <c r="Y1435" s="402"/>
      <c r="Z1435" s="402"/>
      <c r="AA1435" s="405"/>
      <c r="AB1435" s="405"/>
    </row>
    <row r="1436" ht="14.25" customHeight="1">
      <c r="A1436" s="497">
        <v>45528.0</v>
      </c>
      <c r="B1436" s="349" t="s">
        <v>997</v>
      </c>
      <c r="C1436" s="349" t="s">
        <v>998</v>
      </c>
      <c r="D1436" s="344" t="s">
        <v>346</v>
      </c>
      <c r="E1436" s="349" t="s">
        <v>1168</v>
      </c>
      <c r="F1436" s="452">
        <v>28350.0</v>
      </c>
      <c r="G1436" s="413">
        <v>0.0</v>
      </c>
      <c r="H1436" s="65" t="s">
        <v>1901</v>
      </c>
      <c r="I1436" s="402"/>
      <c r="J1436" s="402"/>
      <c r="K1436" s="402"/>
      <c r="L1436" s="402"/>
      <c r="M1436" s="402"/>
      <c r="N1436" s="402"/>
      <c r="O1436" s="402"/>
      <c r="P1436" s="402"/>
      <c r="Q1436" s="402"/>
      <c r="R1436" s="402"/>
      <c r="S1436" s="402"/>
      <c r="T1436" s="402"/>
      <c r="U1436" s="402"/>
      <c r="V1436" s="402"/>
      <c r="W1436" s="402"/>
      <c r="X1436" s="402"/>
      <c r="Y1436" s="402"/>
      <c r="Z1436" s="402"/>
      <c r="AA1436" s="405"/>
      <c r="AB1436" s="405"/>
    </row>
    <row r="1437" ht="14.25" customHeight="1">
      <c r="A1437" s="497">
        <v>45528.0</v>
      </c>
      <c r="B1437" s="349" t="s">
        <v>1223</v>
      </c>
      <c r="C1437" s="349" t="s">
        <v>998</v>
      </c>
      <c r="D1437" s="519" t="s">
        <v>54</v>
      </c>
      <c r="E1437" s="349" t="s">
        <v>1168</v>
      </c>
      <c r="F1437" s="413">
        <v>81947.25</v>
      </c>
      <c r="G1437" s="413">
        <v>0.0</v>
      </c>
      <c r="H1437" s="65" t="s">
        <v>1902</v>
      </c>
      <c r="I1437" s="402"/>
      <c r="J1437" s="402"/>
      <c r="K1437" s="402"/>
      <c r="L1437" s="402"/>
      <c r="M1437" s="402"/>
      <c r="N1437" s="402"/>
      <c r="O1437" s="402"/>
      <c r="P1437" s="402"/>
      <c r="Q1437" s="402"/>
      <c r="R1437" s="402"/>
      <c r="S1437" s="402"/>
      <c r="T1437" s="402"/>
      <c r="U1437" s="402"/>
      <c r="V1437" s="402"/>
      <c r="W1437" s="402"/>
      <c r="X1437" s="402"/>
      <c r="Y1437" s="402"/>
      <c r="Z1437" s="402"/>
      <c r="AA1437" s="405"/>
      <c r="AB1437" s="405"/>
    </row>
    <row r="1438" ht="14.25" customHeight="1">
      <c r="A1438" s="497">
        <v>45528.0</v>
      </c>
      <c r="B1438" s="535" t="s">
        <v>1046</v>
      </c>
      <c r="C1438" s="536" t="s">
        <v>1145</v>
      </c>
      <c r="D1438" s="536" t="s">
        <v>54</v>
      </c>
      <c r="E1438" s="344" t="s">
        <v>1143</v>
      </c>
      <c r="F1438" s="413">
        <v>20520.2</v>
      </c>
      <c r="G1438" s="413">
        <v>0.0</v>
      </c>
      <c r="H1438" s="349" t="s">
        <v>1903</v>
      </c>
      <c r="I1438" s="402"/>
      <c r="J1438" s="402"/>
      <c r="K1438" s="402"/>
      <c r="L1438" s="402"/>
      <c r="M1438" s="402"/>
      <c r="N1438" s="402"/>
      <c r="O1438" s="402"/>
      <c r="P1438" s="402"/>
      <c r="Q1438" s="402"/>
      <c r="R1438" s="402"/>
      <c r="S1438" s="402"/>
      <c r="T1438" s="402"/>
      <c r="U1438" s="402"/>
      <c r="V1438" s="402"/>
      <c r="W1438" s="402"/>
      <c r="X1438" s="402"/>
      <c r="Y1438" s="402"/>
      <c r="Z1438" s="402"/>
      <c r="AA1438" s="405"/>
      <c r="AB1438" s="405"/>
    </row>
    <row r="1439" ht="14.25" customHeight="1">
      <c r="A1439" s="497">
        <v>45528.0</v>
      </c>
      <c r="B1439" s="349" t="s">
        <v>761</v>
      </c>
      <c r="C1439" s="349" t="s">
        <v>1596</v>
      </c>
      <c r="D1439" s="349" t="s">
        <v>666</v>
      </c>
      <c r="E1439" s="344" t="s">
        <v>1143</v>
      </c>
      <c r="F1439" s="413">
        <v>39974.39</v>
      </c>
      <c r="G1439" s="413">
        <v>0.0</v>
      </c>
      <c r="H1439" s="402"/>
      <c r="I1439" s="402"/>
      <c r="J1439" s="402"/>
      <c r="K1439" s="402"/>
      <c r="L1439" s="402"/>
      <c r="M1439" s="402"/>
      <c r="N1439" s="402"/>
      <c r="O1439" s="402"/>
      <c r="P1439" s="402"/>
      <c r="Q1439" s="402"/>
      <c r="R1439" s="402"/>
      <c r="S1439" s="402"/>
      <c r="T1439" s="402"/>
      <c r="U1439" s="402"/>
      <c r="V1439" s="402"/>
      <c r="W1439" s="402"/>
      <c r="X1439" s="402"/>
      <c r="Y1439" s="402"/>
      <c r="Z1439" s="402"/>
      <c r="AA1439" s="405"/>
      <c r="AB1439" s="405"/>
    </row>
    <row r="1440" ht="14.25" customHeight="1">
      <c r="A1440" s="497"/>
      <c r="B1440" s="402"/>
      <c r="C1440" s="402"/>
      <c r="D1440" s="402"/>
      <c r="E1440" s="402"/>
      <c r="F1440" s="403"/>
      <c r="G1440" s="403"/>
      <c r="H1440" s="402"/>
      <c r="I1440" s="402"/>
      <c r="J1440" s="402"/>
      <c r="K1440" s="402"/>
      <c r="L1440" s="402"/>
      <c r="M1440" s="402"/>
      <c r="N1440" s="402"/>
      <c r="O1440" s="402"/>
      <c r="P1440" s="402"/>
      <c r="Q1440" s="402"/>
      <c r="R1440" s="402"/>
      <c r="S1440" s="402"/>
      <c r="T1440" s="402"/>
      <c r="U1440" s="402"/>
      <c r="V1440" s="402"/>
      <c r="W1440" s="402"/>
      <c r="X1440" s="402"/>
      <c r="Y1440" s="402"/>
      <c r="Z1440" s="402"/>
      <c r="AA1440" s="405"/>
      <c r="AB1440" s="405"/>
    </row>
    <row r="1441" ht="14.25" customHeight="1">
      <c r="A1441" s="497"/>
      <c r="B1441" s="402"/>
      <c r="C1441" s="402"/>
      <c r="D1441" s="402"/>
      <c r="E1441" s="402"/>
      <c r="F1441" s="403"/>
      <c r="G1441" s="403"/>
      <c r="H1441" s="402"/>
      <c r="I1441" s="402"/>
      <c r="J1441" s="402"/>
      <c r="K1441" s="402"/>
      <c r="L1441" s="402"/>
      <c r="M1441" s="402"/>
      <c r="N1441" s="402"/>
      <c r="O1441" s="402"/>
      <c r="P1441" s="402"/>
      <c r="Q1441" s="402"/>
      <c r="R1441" s="402"/>
      <c r="S1441" s="402"/>
      <c r="T1441" s="402"/>
      <c r="U1441" s="402"/>
      <c r="V1441" s="402"/>
      <c r="W1441" s="402"/>
      <c r="X1441" s="402"/>
      <c r="Y1441" s="402"/>
      <c r="Z1441" s="402"/>
      <c r="AA1441" s="405"/>
      <c r="AB1441" s="405"/>
    </row>
    <row r="1442" ht="14.25" customHeight="1">
      <c r="A1442" s="497"/>
      <c r="B1442" s="402"/>
      <c r="C1442" s="424" t="s">
        <v>797</v>
      </c>
      <c r="D1442" s="402"/>
      <c r="E1442" s="402"/>
      <c r="F1442" s="403"/>
      <c r="G1442" s="403"/>
      <c r="H1442" s="402"/>
      <c r="I1442" s="402"/>
      <c r="J1442" s="402"/>
      <c r="K1442" s="402"/>
      <c r="L1442" s="402"/>
      <c r="M1442" s="402"/>
      <c r="N1442" s="402"/>
      <c r="O1442" s="402"/>
      <c r="P1442" s="402"/>
      <c r="Q1442" s="402"/>
      <c r="R1442" s="402"/>
      <c r="S1442" s="402"/>
      <c r="T1442" s="402"/>
      <c r="U1442" s="402"/>
      <c r="V1442" s="402"/>
      <c r="W1442" s="402"/>
      <c r="X1442" s="402"/>
      <c r="Y1442" s="402"/>
      <c r="Z1442" s="402"/>
      <c r="AA1442" s="405"/>
      <c r="AB1442" s="405"/>
    </row>
    <row r="1443" ht="14.25" customHeight="1">
      <c r="A1443" s="497">
        <v>45528.0</v>
      </c>
      <c r="B1443" s="349" t="s">
        <v>886</v>
      </c>
      <c r="C1443" s="349" t="s">
        <v>1095</v>
      </c>
      <c r="D1443" s="349" t="s">
        <v>54</v>
      </c>
      <c r="E1443" s="349" t="s">
        <v>1255</v>
      </c>
      <c r="F1443" s="413">
        <v>410000.0</v>
      </c>
      <c r="G1443" s="403"/>
      <c r="H1443" s="349" t="s">
        <v>1904</v>
      </c>
      <c r="I1443" s="402"/>
      <c r="J1443" s="402"/>
      <c r="K1443" s="402"/>
      <c r="L1443" s="402"/>
      <c r="M1443" s="402"/>
      <c r="N1443" s="402"/>
      <c r="O1443" s="402"/>
      <c r="P1443" s="402"/>
      <c r="Q1443" s="402"/>
      <c r="R1443" s="402"/>
      <c r="S1443" s="402"/>
      <c r="T1443" s="402"/>
      <c r="U1443" s="402"/>
      <c r="V1443" s="402"/>
      <c r="W1443" s="402"/>
      <c r="X1443" s="402"/>
      <c r="Y1443" s="402"/>
      <c r="Z1443" s="402"/>
      <c r="AA1443" s="405"/>
      <c r="AB1443" s="405"/>
    </row>
    <row r="1444" ht="14.25" customHeight="1">
      <c r="A1444" s="497">
        <v>45528.0</v>
      </c>
      <c r="B1444" s="349" t="s">
        <v>1329</v>
      </c>
      <c r="C1444" s="349" t="s">
        <v>1330</v>
      </c>
      <c r="D1444" s="349" t="s">
        <v>54</v>
      </c>
      <c r="E1444" s="349" t="s">
        <v>1255</v>
      </c>
      <c r="F1444" s="413">
        <v>550000.0</v>
      </c>
      <c r="G1444" s="403"/>
      <c r="H1444" s="349" t="s">
        <v>1875</v>
      </c>
      <c r="I1444" s="402"/>
      <c r="J1444" s="402"/>
      <c r="K1444" s="402"/>
      <c r="L1444" s="402"/>
      <c r="M1444" s="402"/>
      <c r="N1444" s="402"/>
      <c r="O1444" s="402"/>
      <c r="P1444" s="402"/>
      <c r="Q1444" s="402"/>
      <c r="R1444" s="402"/>
      <c r="S1444" s="402"/>
      <c r="T1444" s="402"/>
      <c r="U1444" s="402"/>
      <c r="V1444" s="402"/>
      <c r="W1444" s="402"/>
      <c r="X1444" s="402"/>
      <c r="Y1444" s="402"/>
      <c r="Z1444" s="402"/>
      <c r="AA1444" s="405"/>
      <c r="AB1444" s="405"/>
    </row>
    <row r="1445" ht="14.25" customHeight="1">
      <c r="A1445" s="497">
        <v>45528.0</v>
      </c>
      <c r="B1445" s="535" t="s">
        <v>1747</v>
      </c>
      <c r="C1445" s="536" t="s">
        <v>1748</v>
      </c>
      <c r="D1445" s="536" t="s">
        <v>54</v>
      </c>
      <c r="E1445" s="349" t="s">
        <v>1255</v>
      </c>
      <c r="F1445" s="413">
        <v>640000.0</v>
      </c>
      <c r="G1445" s="403"/>
      <c r="H1445" s="349" t="s">
        <v>1905</v>
      </c>
      <c r="I1445" s="402"/>
      <c r="J1445" s="402"/>
      <c r="K1445" s="402"/>
      <c r="L1445" s="402"/>
      <c r="M1445" s="402"/>
      <c r="N1445" s="402"/>
      <c r="O1445" s="402"/>
      <c r="P1445" s="402"/>
      <c r="Q1445" s="402"/>
      <c r="R1445" s="402"/>
      <c r="S1445" s="402"/>
      <c r="T1445" s="402"/>
      <c r="U1445" s="402"/>
      <c r="V1445" s="402"/>
      <c r="W1445" s="402"/>
      <c r="X1445" s="402"/>
      <c r="Y1445" s="402"/>
      <c r="Z1445" s="402"/>
      <c r="AA1445" s="405"/>
      <c r="AB1445" s="405"/>
    </row>
    <row r="1446" ht="14.25" customHeight="1">
      <c r="A1446" s="497"/>
      <c r="B1446" s="402"/>
      <c r="C1446" s="402"/>
      <c r="D1446" s="402"/>
      <c r="E1446" s="349"/>
      <c r="F1446" s="403"/>
      <c r="G1446" s="403"/>
      <c r="H1446" s="402"/>
      <c r="I1446" s="402"/>
      <c r="J1446" s="402"/>
      <c r="K1446" s="402"/>
      <c r="L1446" s="402"/>
      <c r="M1446" s="402"/>
      <c r="N1446" s="402"/>
      <c r="O1446" s="402"/>
      <c r="P1446" s="402"/>
      <c r="Q1446" s="402"/>
      <c r="R1446" s="402"/>
      <c r="S1446" s="402"/>
      <c r="T1446" s="402"/>
      <c r="U1446" s="402"/>
      <c r="V1446" s="402"/>
      <c r="W1446" s="402"/>
      <c r="X1446" s="402"/>
      <c r="Y1446" s="402"/>
      <c r="Z1446" s="402"/>
      <c r="AA1446" s="405"/>
      <c r="AB1446" s="405"/>
    </row>
    <row r="1447" ht="14.25" customHeight="1">
      <c r="A1447" s="497"/>
      <c r="B1447" s="349"/>
      <c r="C1447" s="402"/>
      <c r="D1447" s="402"/>
      <c r="E1447" s="349"/>
      <c r="F1447" s="403"/>
      <c r="G1447" s="403"/>
      <c r="H1447" s="402"/>
      <c r="I1447" s="402"/>
      <c r="J1447" s="402"/>
      <c r="K1447" s="402"/>
      <c r="L1447" s="402"/>
      <c r="M1447" s="402"/>
      <c r="N1447" s="402"/>
      <c r="O1447" s="402"/>
      <c r="P1447" s="402"/>
      <c r="Q1447" s="402"/>
      <c r="R1447" s="402"/>
      <c r="S1447" s="402"/>
      <c r="T1447" s="402"/>
      <c r="U1447" s="402"/>
      <c r="V1447" s="402"/>
      <c r="W1447" s="402"/>
      <c r="X1447" s="402"/>
      <c r="Y1447" s="402"/>
      <c r="Z1447" s="402"/>
      <c r="AA1447" s="405"/>
      <c r="AB1447" s="405"/>
    </row>
    <row r="1448" ht="14.25" customHeight="1">
      <c r="A1448" s="497"/>
      <c r="B1448" s="349"/>
      <c r="C1448" s="402"/>
      <c r="D1448" s="402"/>
      <c r="E1448" s="349"/>
      <c r="F1448" s="403"/>
      <c r="G1448" s="403"/>
      <c r="H1448" s="402"/>
      <c r="I1448" s="402"/>
      <c r="J1448" s="402"/>
      <c r="K1448" s="402"/>
      <c r="L1448" s="402"/>
      <c r="M1448" s="402"/>
      <c r="N1448" s="402"/>
      <c r="O1448" s="402"/>
      <c r="P1448" s="402"/>
      <c r="Q1448" s="402"/>
      <c r="R1448" s="402"/>
      <c r="S1448" s="402"/>
      <c r="T1448" s="402"/>
      <c r="U1448" s="402"/>
      <c r="V1448" s="402"/>
      <c r="W1448" s="402"/>
      <c r="X1448" s="402"/>
      <c r="Y1448" s="402"/>
      <c r="Z1448" s="402"/>
      <c r="AA1448" s="405"/>
      <c r="AB1448" s="405"/>
    </row>
    <row r="1449" ht="14.25" customHeight="1">
      <c r="A1449" s="497"/>
      <c r="B1449" s="402"/>
      <c r="C1449" s="402"/>
      <c r="D1449" s="402"/>
      <c r="E1449" s="349"/>
      <c r="F1449" s="403"/>
      <c r="G1449" s="403"/>
      <c r="H1449" s="402"/>
      <c r="I1449" s="402"/>
      <c r="J1449" s="402"/>
      <c r="K1449" s="402"/>
      <c r="L1449" s="402"/>
      <c r="M1449" s="402"/>
      <c r="N1449" s="402"/>
      <c r="O1449" s="402"/>
      <c r="P1449" s="402"/>
      <c r="Q1449" s="402"/>
      <c r="R1449" s="402"/>
      <c r="S1449" s="402"/>
      <c r="T1449" s="402"/>
      <c r="U1449" s="402"/>
      <c r="V1449" s="402"/>
      <c r="W1449" s="402"/>
      <c r="X1449" s="402"/>
      <c r="Y1449" s="402"/>
      <c r="Z1449" s="402"/>
      <c r="AA1449" s="405"/>
      <c r="AB1449" s="405"/>
    </row>
    <row r="1450" ht="14.25" customHeight="1">
      <c r="A1450" s="497"/>
      <c r="B1450" s="526" t="s">
        <v>1906</v>
      </c>
      <c r="C1450" s="402"/>
      <c r="D1450" s="402"/>
      <c r="E1450" s="349"/>
      <c r="F1450" s="403"/>
      <c r="G1450" s="403"/>
      <c r="H1450" s="402"/>
      <c r="I1450" s="402"/>
      <c r="J1450" s="402"/>
      <c r="K1450" s="402"/>
      <c r="L1450" s="402"/>
      <c r="M1450" s="402"/>
      <c r="N1450" s="402"/>
      <c r="O1450" s="402"/>
      <c r="P1450" s="402"/>
      <c r="Q1450" s="402"/>
      <c r="R1450" s="402"/>
      <c r="S1450" s="402"/>
      <c r="T1450" s="402"/>
      <c r="U1450" s="402"/>
      <c r="V1450" s="402"/>
      <c r="W1450" s="402"/>
      <c r="X1450" s="402"/>
      <c r="Y1450" s="402"/>
      <c r="Z1450" s="402"/>
      <c r="AA1450" s="405"/>
      <c r="AB1450" s="405"/>
    </row>
    <row r="1451" ht="14.25" customHeight="1">
      <c r="A1451" s="497">
        <v>45530.0</v>
      </c>
      <c r="B1451" s="535" t="s">
        <v>1907</v>
      </c>
      <c r="C1451" s="536" t="s">
        <v>1103</v>
      </c>
      <c r="D1451" s="536" t="s">
        <v>75</v>
      </c>
      <c r="E1451" s="349" t="s">
        <v>1098</v>
      </c>
      <c r="F1451" s="413">
        <v>990000.0</v>
      </c>
      <c r="G1451" s="403"/>
      <c r="H1451" s="562" t="s">
        <v>1908</v>
      </c>
      <c r="I1451" s="402"/>
      <c r="J1451" s="402"/>
      <c r="K1451" s="402"/>
      <c r="L1451" s="402"/>
      <c r="M1451" s="402"/>
      <c r="N1451" s="402"/>
      <c r="O1451" s="402"/>
      <c r="P1451" s="402"/>
      <c r="Q1451" s="402"/>
      <c r="R1451" s="402"/>
      <c r="S1451" s="402"/>
      <c r="T1451" s="402"/>
      <c r="U1451" s="402"/>
      <c r="V1451" s="402"/>
      <c r="W1451" s="402"/>
      <c r="X1451" s="402"/>
      <c r="Y1451" s="402"/>
      <c r="Z1451" s="402"/>
      <c r="AA1451" s="405"/>
      <c r="AB1451" s="405"/>
    </row>
    <row r="1452" ht="14.25" customHeight="1">
      <c r="A1452" s="497">
        <v>45530.0</v>
      </c>
      <c r="B1452" s="349" t="s">
        <v>777</v>
      </c>
      <c r="C1452" s="349" t="s">
        <v>778</v>
      </c>
      <c r="D1452" s="349" t="s">
        <v>54</v>
      </c>
      <c r="E1452" s="349" t="s">
        <v>1098</v>
      </c>
      <c r="F1452" s="413">
        <v>119325.0</v>
      </c>
      <c r="G1452" s="403"/>
      <c r="H1452" s="562" t="s">
        <v>1909</v>
      </c>
      <c r="I1452" s="402"/>
      <c r="J1452" s="402"/>
      <c r="K1452" s="402"/>
      <c r="L1452" s="402"/>
      <c r="M1452" s="402"/>
      <c r="N1452" s="402"/>
      <c r="O1452" s="402"/>
      <c r="P1452" s="402"/>
      <c r="Q1452" s="402"/>
      <c r="R1452" s="402"/>
      <c r="S1452" s="402"/>
      <c r="T1452" s="402"/>
      <c r="U1452" s="402"/>
      <c r="V1452" s="402"/>
      <c r="W1452" s="402"/>
      <c r="X1452" s="402"/>
      <c r="Y1452" s="402"/>
      <c r="Z1452" s="402"/>
      <c r="AA1452" s="405"/>
      <c r="AB1452" s="405"/>
    </row>
    <row r="1453" ht="14.25" customHeight="1">
      <c r="A1453" s="497">
        <v>45530.0</v>
      </c>
      <c r="B1453" s="349" t="s">
        <v>711</v>
      </c>
      <c r="C1453" s="349" t="s">
        <v>1123</v>
      </c>
      <c r="D1453" s="349" t="s">
        <v>75</v>
      </c>
      <c r="E1453" s="349" t="s">
        <v>1098</v>
      </c>
      <c r="F1453" s="413">
        <v>26556.61</v>
      </c>
      <c r="G1453" s="403"/>
      <c r="H1453" s="562" t="s">
        <v>1910</v>
      </c>
      <c r="I1453" s="402"/>
      <c r="J1453" s="402"/>
      <c r="K1453" s="402"/>
      <c r="L1453" s="402"/>
      <c r="M1453" s="402"/>
      <c r="N1453" s="402"/>
      <c r="O1453" s="402"/>
      <c r="P1453" s="402"/>
      <c r="Q1453" s="402"/>
      <c r="R1453" s="402"/>
      <c r="S1453" s="402"/>
      <c r="T1453" s="402"/>
      <c r="U1453" s="402"/>
      <c r="V1453" s="402"/>
      <c r="W1453" s="402"/>
      <c r="X1453" s="402"/>
      <c r="Y1453" s="402"/>
      <c r="Z1453" s="402"/>
      <c r="AA1453" s="405"/>
      <c r="AB1453" s="405"/>
    </row>
    <row r="1454" ht="14.25" customHeight="1">
      <c r="A1454" s="497">
        <v>45530.0</v>
      </c>
      <c r="B1454" s="349" t="s">
        <v>701</v>
      </c>
      <c r="C1454" s="349" t="s">
        <v>702</v>
      </c>
      <c r="D1454" s="349" t="s">
        <v>54</v>
      </c>
      <c r="E1454" s="349" t="s">
        <v>1098</v>
      </c>
      <c r="F1454" s="413">
        <v>10771.93</v>
      </c>
      <c r="G1454" s="403"/>
      <c r="H1454" s="562" t="s">
        <v>1911</v>
      </c>
      <c r="I1454" s="402"/>
      <c r="J1454" s="402"/>
      <c r="K1454" s="402"/>
      <c r="L1454" s="402"/>
      <c r="M1454" s="402"/>
      <c r="N1454" s="402"/>
      <c r="O1454" s="402"/>
      <c r="P1454" s="402"/>
      <c r="Q1454" s="402"/>
      <c r="R1454" s="402"/>
      <c r="S1454" s="402"/>
      <c r="T1454" s="402"/>
      <c r="U1454" s="402"/>
      <c r="V1454" s="402"/>
      <c r="W1454" s="402"/>
      <c r="X1454" s="402"/>
      <c r="Y1454" s="402"/>
      <c r="Z1454" s="402"/>
      <c r="AA1454" s="405"/>
      <c r="AB1454" s="405"/>
    </row>
    <row r="1455" ht="14.25" customHeight="1">
      <c r="A1455" s="497">
        <v>45530.0</v>
      </c>
      <c r="B1455" s="509" t="s">
        <v>1381</v>
      </c>
      <c r="C1455" s="510" t="s">
        <v>1382</v>
      </c>
      <c r="D1455" s="510" t="s">
        <v>54</v>
      </c>
      <c r="E1455" s="349" t="s">
        <v>1098</v>
      </c>
      <c r="F1455" s="416">
        <v>198106.72</v>
      </c>
      <c r="G1455" s="403"/>
      <c r="H1455" s="562" t="s">
        <v>1912</v>
      </c>
      <c r="I1455" s="402"/>
      <c r="J1455" s="402"/>
      <c r="K1455" s="402"/>
      <c r="L1455" s="402"/>
      <c r="M1455" s="402"/>
      <c r="N1455" s="402"/>
      <c r="O1455" s="402"/>
      <c r="P1455" s="402"/>
      <c r="Q1455" s="402"/>
      <c r="R1455" s="402"/>
      <c r="S1455" s="402"/>
      <c r="T1455" s="402"/>
      <c r="U1455" s="402"/>
      <c r="V1455" s="402"/>
      <c r="W1455" s="402"/>
      <c r="X1455" s="402"/>
      <c r="Y1455" s="402"/>
      <c r="Z1455" s="402"/>
      <c r="AA1455" s="405"/>
      <c r="AB1455" s="405"/>
    </row>
    <row r="1456" ht="14.25" customHeight="1">
      <c r="A1456" s="497">
        <v>45530.0</v>
      </c>
      <c r="B1456" s="349" t="s">
        <v>1559</v>
      </c>
      <c r="C1456" s="421" t="s">
        <v>1913</v>
      </c>
      <c r="D1456" s="510" t="s">
        <v>54</v>
      </c>
      <c r="E1456" s="349" t="s">
        <v>1098</v>
      </c>
      <c r="F1456" s="416">
        <v>235627.0</v>
      </c>
      <c r="G1456" s="413">
        <v>235627.0</v>
      </c>
      <c r="H1456" s="562" t="s">
        <v>710</v>
      </c>
      <c r="I1456" s="402"/>
      <c r="J1456" s="402"/>
      <c r="K1456" s="402"/>
      <c r="L1456" s="402"/>
      <c r="M1456" s="402"/>
      <c r="N1456" s="402"/>
      <c r="O1456" s="402"/>
      <c r="P1456" s="402"/>
      <c r="Q1456" s="402"/>
      <c r="R1456" s="402"/>
      <c r="S1456" s="402"/>
      <c r="T1456" s="402"/>
      <c r="U1456" s="402"/>
      <c r="V1456" s="402"/>
      <c r="W1456" s="402"/>
      <c r="X1456" s="402"/>
      <c r="Y1456" s="402"/>
      <c r="Z1456" s="402"/>
      <c r="AA1456" s="405"/>
      <c r="AB1456" s="405"/>
    </row>
    <row r="1457" ht="14.25" customHeight="1">
      <c r="A1457" s="497">
        <v>45530.0</v>
      </c>
      <c r="B1457" s="349" t="s">
        <v>720</v>
      </c>
      <c r="C1457" s="349" t="s">
        <v>715</v>
      </c>
      <c r="D1457" s="510" t="s">
        <v>54</v>
      </c>
      <c r="E1457" s="349" t="s">
        <v>1098</v>
      </c>
      <c r="F1457" s="413">
        <v>42585.25</v>
      </c>
      <c r="G1457" s="403"/>
      <c r="H1457" s="562" t="s">
        <v>1914</v>
      </c>
      <c r="I1457" s="402"/>
      <c r="J1457" s="402"/>
      <c r="K1457" s="402"/>
      <c r="L1457" s="402"/>
      <c r="M1457" s="402"/>
      <c r="N1457" s="402"/>
      <c r="O1457" s="402"/>
      <c r="P1457" s="402"/>
      <c r="Q1457" s="402"/>
      <c r="R1457" s="402"/>
      <c r="S1457" s="402"/>
      <c r="T1457" s="402"/>
      <c r="U1457" s="402"/>
      <c r="V1457" s="402"/>
      <c r="W1457" s="402"/>
      <c r="X1457" s="402"/>
      <c r="Y1457" s="402"/>
      <c r="Z1457" s="402"/>
      <c r="AA1457" s="405"/>
      <c r="AB1457" s="405"/>
    </row>
    <row r="1458" ht="14.25" customHeight="1">
      <c r="A1458" s="497">
        <v>45530.0</v>
      </c>
      <c r="B1458" s="349" t="s">
        <v>807</v>
      </c>
      <c r="C1458" s="349" t="s">
        <v>1888</v>
      </c>
      <c r="D1458" s="510" t="s">
        <v>54</v>
      </c>
      <c r="E1458" s="349" t="s">
        <v>1098</v>
      </c>
      <c r="F1458" s="413">
        <v>31846.41</v>
      </c>
      <c r="G1458" s="403"/>
      <c r="H1458" s="562" t="s">
        <v>1119</v>
      </c>
      <c r="I1458" s="402"/>
      <c r="J1458" s="402"/>
      <c r="K1458" s="402"/>
      <c r="L1458" s="402"/>
      <c r="M1458" s="402"/>
      <c r="N1458" s="402"/>
      <c r="O1458" s="402"/>
      <c r="P1458" s="402"/>
      <c r="Q1458" s="402"/>
      <c r="R1458" s="402"/>
      <c r="S1458" s="402"/>
      <c r="T1458" s="402"/>
      <c r="U1458" s="402"/>
      <c r="V1458" s="402"/>
      <c r="W1458" s="402"/>
      <c r="X1458" s="402"/>
      <c r="Y1458" s="402"/>
      <c r="Z1458" s="402"/>
      <c r="AA1458" s="405"/>
      <c r="AB1458" s="405"/>
    </row>
    <row r="1459" ht="14.25" customHeight="1">
      <c r="A1459" s="497">
        <v>45530.0</v>
      </c>
      <c r="B1459" s="529" t="s">
        <v>705</v>
      </c>
      <c r="C1459" s="530" t="s">
        <v>1110</v>
      </c>
      <c r="D1459" s="510" t="s">
        <v>54</v>
      </c>
      <c r="E1459" s="349" t="s">
        <v>1098</v>
      </c>
      <c r="F1459" s="413">
        <v>5860.68</v>
      </c>
      <c r="G1459" s="403"/>
      <c r="H1459" s="562" t="s">
        <v>1915</v>
      </c>
      <c r="I1459" s="402"/>
      <c r="J1459" s="402"/>
      <c r="K1459" s="402"/>
      <c r="L1459" s="402"/>
      <c r="M1459" s="402"/>
      <c r="N1459" s="402"/>
      <c r="O1459" s="402"/>
      <c r="P1459" s="402"/>
      <c r="Q1459" s="402"/>
      <c r="R1459" s="402"/>
      <c r="S1459" s="402"/>
      <c r="T1459" s="402"/>
      <c r="U1459" s="402"/>
      <c r="V1459" s="402"/>
      <c r="W1459" s="402"/>
      <c r="X1459" s="402"/>
      <c r="Y1459" s="402"/>
      <c r="Z1459" s="402"/>
      <c r="AA1459" s="405"/>
      <c r="AB1459" s="405"/>
    </row>
    <row r="1460" ht="14.25" customHeight="1">
      <c r="A1460" s="497">
        <v>45530.0</v>
      </c>
      <c r="B1460" s="321" t="s">
        <v>1096</v>
      </c>
      <c r="C1460" s="322" t="s">
        <v>1097</v>
      </c>
      <c r="D1460" s="536" t="s">
        <v>54</v>
      </c>
      <c r="E1460" s="415" t="s">
        <v>1098</v>
      </c>
      <c r="F1460" s="413">
        <v>30000.0</v>
      </c>
      <c r="G1460" s="403"/>
      <c r="H1460" s="562" t="s">
        <v>1916</v>
      </c>
      <c r="I1460" s="402"/>
      <c r="J1460" s="402"/>
      <c r="K1460" s="402"/>
      <c r="L1460" s="402"/>
      <c r="M1460" s="402"/>
      <c r="N1460" s="402"/>
      <c r="O1460" s="402"/>
      <c r="P1460" s="402"/>
      <c r="Q1460" s="402"/>
      <c r="R1460" s="402"/>
      <c r="S1460" s="402"/>
      <c r="T1460" s="402"/>
      <c r="U1460" s="402"/>
      <c r="V1460" s="402"/>
      <c r="W1460" s="402"/>
      <c r="X1460" s="402"/>
      <c r="Y1460" s="402"/>
      <c r="Z1460" s="402"/>
      <c r="AA1460" s="405"/>
      <c r="AB1460" s="405"/>
    </row>
    <row r="1461" ht="14.25" customHeight="1">
      <c r="A1461" s="497">
        <v>45530.0</v>
      </c>
      <c r="B1461" s="535" t="s">
        <v>1917</v>
      </c>
      <c r="C1461" s="536" t="s">
        <v>1918</v>
      </c>
      <c r="D1461" s="536" t="s">
        <v>75</v>
      </c>
      <c r="E1461" s="349" t="s">
        <v>1098</v>
      </c>
      <c r="F1461" s="413">
        <v>448000.0</v>
      </c>
      <c r="G1461" s="403"/>
      <c r="H1461" s="562" t="s">
        <v>1919</v>
      </c>
      <c r="I1461" s="402"/>
      <c r="J1461" s="402"/>
      <c r="K1461" s="402"/>
      <c r="L1461" s="402"/>
      <c r="M1461" s="402"/>
      <c r="N1461" s="402"/>
      <c r="O1461" s="402"/>
      <c r="P1461" s="402"/>
      <c r="Q1461" s="402"/>
      <c r="R1461" s="402"/>
      <c r="S1461" s="402"/>
      <c r="T1461" s="402"/>
      <c r="U1461" s="402"/>
      <c r="V1461" s="402"/>
      <c r="W1461" s="402"/>
      <c r="X1461" s="402"/>
      <c r="Y1461" s="402"/>
      <c r="Z1461" s="402"/>
      <c r="AA1461" s="405"/>
      <c r="AB1461" s="405"/>
    </row>
    <row r="1462" ht="14.25" customHeight="1">
      <c r="A1462" s="497">
        <v>45530.0</v>
      </c>
      <c r="B1462" s="349" t="s">
        <v>729</v>
      </c>
      <c r="C1462" s="519" t="s">
        <v>730</v>
      </c>
      <c r="D1462" s="349" t="s">
        <v>75</v>
      </c>
      <c r="E1462" s="415" t="s">
        <v>1153</v>
      </c>
      <c r="F1462" s="416">
        <v>1567616.76</v>
      </c>
      <c r="G1462" s="413">
        <v>250000.0</v>
      </c>
      <c r="H1462" s="562" t="s">
        <v>1920</v>
      </c>
      <c r="I1462" s="402"/>
      <c r="J1462" s="402"/>
      <c r="K1462" s="402"/>
      <c r="L1462" s="402"/>
      <c r="M1462" s="402"/>
      <c r="N1462" s="402"/>
      <c r="O1462" s="402"/>
      <c r="P1462" s="402"/>
      <c r="Q1462" s="402"/>
      <c r="R1462" s="402"/>
      <c r="S1462" s="402"/>
      <c r="T1462" s="402"/>
      <c r="U1462" s="402"/>
      <c r="V1462" s="402"/>
      <c r="W1462" s="402"/>
      <c r="X1462" s="402"/>
      <c r="Y1462" s="402"/>
      <c r="Z1462" s="402"/>
      <c r="AA1462" s="405"/>
      <c r="AB1462" s="405"/>
    </row>
    <row r="1463" ht="14.25" customHeight="1">
      <c r="A1463" s="497">
        <v>45530.0</v>
      </c>
      <c r="B1463" s="518" t="s">
        <v>786</v>
      </c>
      <c r="C1463" s="519" t="s">
        <v>747</v>
      </c>
      <c r="D1463" s="349" t="s">
        <v>54</v>
      </c>
      <c r="E1463" s="415" t="s">
        <v>1153</v>
      </c>
      <c r="F1463" s="413">
        <v>108000.0</v>
      </c>
      <c r="G1463" s="403"/>
      <c r="H1463" s="349" t="s">
        <v>1655</v>
      </c>
      <c r="I1463" s="402"/>
      <c r="J1463" s="402"/>
      <c r="K1463" s="402"/>
      <c r="L1463" s="402"/>
      <c r="M1463" s="402"/>
      <c r="N1463" s="402"/>
      <c r="O1463" s="402"/>
      <c r="P1463" s="402"/>
      <c r="Q1463" s="402"/>
      <c r="R1463" s="402"/>
      <c r="S1463" s="402"/>
      <c r="T1463" s="402"/>
      <c r="U1463" s="402"/>
      <c r="V1463" s="402"/>
      <c r="W1463" s="402"/>
      <c r="X1463" s="402"/>
      <c r="Y1463" s="402"/>
      <c r="Z1463" s="402"/>
      <c r="AA1463" s="405"/>
      <c r="AB1463" s="405"/>
    </row>
    <row r="1464" ht="14.25" customHeight="1">
      <c r="A1464" s="497">
        <v>45530.0</v>
      </c>
      <c r="B1464" s="518" t="s">
        <v>744</v>
      </c>
      <c r="C1464" s="519" t="s">
        <v>787</v>
      </c>
      <c r="D1464" s="349" t="s">
        <v>54</v>
      </c>
      <c r="E1464" s="415" t="s">
        <v>1153</v>
      </c>
      <c r="F1464" s="413">
        <v>15712.14</v>
      </c>
      <c r="G1464" s="413">
        <v>6500.0</v>
      </c>
      <c r="H1464" s="349" t="s">
        <v>1921</v>
      </c>
      <c r="I1464" s="402"/>
      <c r="J1464" s="402"/>
      <c r="K1464" s="402"/>
      <c r="L1464" s="402"/>
      <c r="M1464" s="402"/>
      <c r="N1464" s="402"/>
      <c r="O1464" s="402"/>
      <c r="P1464" s="402"/>
      <c r="Q1464" s="402"/>
      <c r="R1464" s="402"/>
      <c r="S1464" s="402"/>
      <c r="T1464" s="402"/>
      <c r="U1464" s="402"/>
      <c r="V1464" s="402"/>
      <c r="W1464" s="402"/>
      <c r="X1464" s="402"/>
      <c r="Y1464" s="402"/>
      <c r="Z1464" s="402"/>
      <c r="AA1464" s="405"/>
      <c r="AB1464" s="405"/>
    </row>
    <row r="1465" ht="14.25" customHeight="1">
      <c r="A1465" s="497">
        <v>45530.0</v>
      </c>
      <c r="B1465" s="535" t="s">
        <v>870</v>
      </c>
      <c r="C1465" s="536" t="s">
        <v>871</v>
      </c>
      <c r="D1465" s="536" t="s">
        <v>54</v>
      </c>
      <c r="E1465" s="411" t="s">
        <v>1153</v>
      </c>
      <c r="F1465" s="413">
        <v>14225.08</v>
      </c>
      <c r="G1465" s="403"/>
      <c r="H1465" s="349" t="s">
        <v>1922</v>
      </c>
      <c r="I1465" s="402"/>
      <c r="J1465" s="402"/>
      <c r="K1465" s="402"/>
      <c r="L1465" s="402"/>
      <c r="M1465" s="402"/>
      <c r="N1465" s="402"/>
      <c r="O1465" s="402"/>
      <c r="P1465" s="402"/>
      <c r="Q1465" s="402"/>
      <c r="R1465" s="402"/>
      <c r="S1465" s="402"/>
      <c r="T1465" s="402"/>
      <c r="U1465" s="402"/>
      <c r="V1465" s="402"/>
      <c r="W1465" s="402"/>
      <c r="X1465" s="402"/>
      <c r="Y1465" s="402"/>
      <c r="Z1465" s="402"/>
      <c r="AA1465" s="405"/>
      <c r="AB1465" s="405"/>
    </row>
    <row r="1466" ht="14.25" customHeight="1">
      <c r="A1466" s="497">
        <v>45530.0</v>
      </c>
      <c r="B1466" s="343" t="s">
        <v>945</v>
      </c>
      <c r="C1466" s="344" t="s">
        <v>946</v>
      </c>
      <c r="D1466" s="344" t="s">
        <v>59</v>
      </c>
      <c r="E1466" s="411" t="s">
        <v>1153</v>
      </c>
      <c r="F1466" s="413">
        <v>206050.0</v>
      </c>
      <c r="G1466" s="413">
        <v>207025.0</v>
      </c>
      <c r="H1466" s="349" t="s">
        <v>267</v>
      </c>
      <c r="I1466" s="402"/>
      <c r="J1466" s="402"/>
      <c r="K1466" s="402"/>
      <c r="L1466" s="402"/>
      <c r="M1466" s="402"/>
      <c r="N1466" s="402"/>
      <c r="O1466" s="402"/>
      <c r="P1466" s="402"/>
      <c r="Q1466" s="402"/>
      <c r="R1466" s="402"/>
      <c r="S1466" s="402"/>
      <c r="T1466" s="402"/>
      <c r="U1466" s="402"/>
      <c r="V1466" s="402"/>
      <c r="W1466" s="402"/>
      <c r="X1466" s="402"/>
      <c r="Y1466" s="402"/>
      <c r="Z1466" s="402"/>
      <c r="AA1466" s="405"/>
      <c r="AB1466" s="405"/>
    </row>
    <row r="1467" ht="14.25" customHeight="1">
      <c r="A1467" s="497">
        <v>45530.0</v>
      </c>
      <c r="B1467" s="518" t="s">
        <v>749</v>
      </c>
      <c r="C1467" s="519" t="s">
        <v>745</v>
      </c>
      <c r="D1467" s="349" t="s">
        <v>54</v>
      </c>
      <c r="E1467" s="411" t="s">
        <v>1153</v>
      </c>
      <c r="F1467" s="413">
        <v>33570.0</v>
      </c>
      <c r="G1467" s="413">
        <v>17000.0</v>
      </c>
      <c r="H1467" s="349" t="s">
        <v>1923</v>
      </c>
      <c r="I1467" s="402"/>
      <c r="J1467" s="402"/>
      <c r="K1467" s="402"/>
      <c r="L1467" s="402"/>
      <c r="M1467" s="402"/>
      <c r="N1467" s="402"/>
      <c r="O1467" s="402"/>
      <c r="P1467" s="402"/>
      <c r="Q1467" s="402"/>
      <c r="R1467" s="402"/>
      <c r="S1467" s="402"/>
      <c r="T1467" s="402"/>
      <c r="U1467" s="402"/>
      <c r="V1467" s="402"/>
      <c r="W1467" s="402"/>
      <c r="X1467" s="402"/>
      <c r="Y1467" s="402"/>
      <c r="Z1467" s="402"/>
      <c r="AA1467" s="405"/>
      <c r="AB1467" s="405"/>
    </row>
    <row r="1468" ht="14.25" hidden="1" customHeight="1">
      <c r="A1468" s="497">
        <v>45530.0</v>
      </c>
      <c r="B1468" s="321" t="s">
        <v>1096</v>
      </c>
      <c r="C1468" s="322" t="s">
        <v>1097</v>
      </c>
      <c r="D1468" s="536" t="s">
        <v>54</v>
      </c>
      <c r="E1468" s="415" t="s">
        <v>1153</v>
      </c>
      <c r="F1468" s="413">
        <v>30000.0</v>
      </c>
      <c r="G1468" s="403"/>
      <c r="H1468" s="402"/>
      <c r="I1468" s="402"/>
      <c r="J1468" s="402"/>
      <c r="K1468" s="402"/>
      <c r="L1468" s="402"/>
      <c r="M1468" s="402"/>
      <c r="N1468" s="402"/>
      <c r="O1468" s="402"/>
      <c r="P1468" s="402"/>
      <c r="Q1468" s="402"/>
      <c r="R1468" s="402"/>
      <c r="S1468" s="402"/>
      <c r="T1468" s="402"/>
      <c r="U1468" s="402"/>
      <c r="V1468" s="402"/>
      <c r="W1468" s="402"/>
      <c r="X1468" s="402"/>
      <c r="Y1468" s="402"/>
      <c r="Z1468" s="402"/>
      <c r="AA1468" s="405"/>
      <c r="AB1468" s="405"/>
    </row>
    <row r="1469" ht="14.25" customHeight="1">
      <c r="A1469" s="497">
        <v>45530.0</v>
      </c>
      <c r="B1469" s="535" t="s">
        <v>868</v>
      </c>
      <c r="C1469" s="536" t="s">
        <v>869</v>
      </c>
      <c r="D1469" s="536" t="s">
        <v>54</v>
      </c>
      <c r="E1469" s="415" t="s">
        <v>1153</v>
      </c>
      <c r="F1469" s="413">
        <v>709023.26</v>
      </c>
      <c r="G1469" s="403"/>
      <c r="H1469" s="349" t="s">
        <v>1313</v>
      </c>
      <c r="I1469" s="402"/>
      <c r="J1469" s="402"/>
      <c r="K1469" s="402"/>
      <c r="L1469" s="402"/>
      <c r="M1469" s="402"/>
      <c r="N1469" s="402"/>
      <c r="O1469" s="402"/>
      <c r="P1469" s="402"/>
      <c r="Q1469" s="402"/>
      <c r="R1469" s="402"/>
      <c r="S1469" s="402"/>
      <c r="T1469" s="402"/>
      <c r="U1469" s="402"/>
      <c r="V1469" s="402"/>
      <c r="W1469" s="402"/>
      <c r="X1469" s="402"/>
      <c r="Y1469" s="402"/>
      <c r="Z1469" s="402"/>
      <c r="AA1469" s="405"/>
      <c r="AB1469" s="405"/>
    </row>
    <row r="1470" ht="14.25" customHeight="1">
      <c r="A1470" s="497">
        <v>45530.0</v>
      </c>
      <c r="B1470" s="349" t="s">
        <v>774</v>
      </c>
      <c r="C1470" s="349" t="s">
        <v>799</v>
      </c>
      <c r="D1470" s="349" t="s">
        <v>54</v>
      </c>
      <c r="E1470" s="349" t="s">
        <v>1139</v>
      </c>
      <c r="F1470" s="413">
        <v>129709.43</v>
      </c>
      <c r="G1470" s="413">
        <v>0.0</v>
      </c>
      <c r="H1470" s="349" t="s">
        <v>1924</v>
      </c>
      <c r="I1470" s="402"/>
      <c r="J1470" s="402"/>
      <c r="K1470" s="402"/>
      <c r="L1470" s="402"/>
      <c r="M1470" s="402"/>
      <c r="N1470" s="402"/>
      <c r="O1470" s="402"/>
      <c r="P1470" s="402"/>
      <c r="Q1470" s="402"/>
      <c r="R1470" s="402"/>
      <c r="S1470" s="402"/>
      <c r="T1470" s="402"/>
      <c r="U1470" s="402"/>
      <c r="V1470" s="402"/>
      <c r="W1470" s="402"/>
      <c r="X1470" s="402"/>
      <c r="Y1470" s="402"/>
      <c r="Z1470" s="402"/>
      <c r="AA1470" s="405"/>
      <c r="AB1470" s="405"/>
    </row>
    <row r="1471" ht="14.25" customHeight="1">
      <c r="A1471" s="497">
        <v>45530.0</v>
      </c>
      <c r="B1471" s="535" t="s">
        <v>918</v>
      </c>
      <c r="C1471" s="536" t="s">
        <v>919</v>
      </c>
      <c r="D1471" s="536" t="s">
        <v>54</v>
      </c>
      <c r="E1471" s="349" t="s">
        <v>1139</v>
      </c>
      <c r="F1471" s="413">
        <v>35745.44</v>
      </c>
      <c r="G1471" s="413">
        <v>0.0</v>
      </c>
      <c r="H1471" s="349" t="s">
        <v>1925</v>
      </c>
      <c r="I1471" s="402"/>
      <c r="J1471" s="402"/>
      <c r="K1471" s="402"/>
      <c r="L1471" s="402"/>
      <c r="M1471" s="402"/>
      <c r="N1471" s="402"/>
      <c r="O1471" s="402"/>
      <c r="P1471" s="402"/>
      <c r="Q1471" s="402"/>
      <c r="R1471" s="402"/>
      <c r="S1471" s="402"/>
      <c r="T1471" s="402"/>
      <c r="U1471" s="402"/>
      <c r="V1471" s="402"/>
      <c r="W1471" s="402"/>
      <c r="X1471" s="402"/>
      <c r="Y1471" s="402"/>
      <c r="Z1471" s="402"/>
      <c r="AA1471" s="405"/>
      <c r="AB1471" s="405"/>
    </row>
    <row r="1472" ht="14.25" customHeight="1">
      <c r="A1472" s="497">
        <v>45530.0</v>
      </c>
      <c r="B1472" s="535" t="s">
        <v>783</v>
      </c>
      <c r="C1472" s="536" t="s">
        <v>784</v>
      </c>
      <c r="D1472" s="536" t="s">
        <v>54</v>
      </c>
      <c r="E1472" s="349" t="s">
        <v>1139</v>
      </c>
      <c r="F1472" s="413">
        <v>100000.0</v>
      </c>
      <c r="G1472" s="413">
        <v>0.0</v>
      </c>
      <c r="H1472" s="349" t="s">
        <v>1926</v>
      </c>
      <c r="I1472" s="402"/>
      <c r="J1472" s="402"/>
      <c r="K1472" s="402"/>
      <c r="L1472" s="402"/>
      <c r="M1472" s="402"/>
      <c r="N1472" s="402"/>
      <c r="O1472" s="402"/>
      <c r="P1472" s="402"/>
      <c r="Q1472" s="402"/>
      <c r="R1472" s="402"/>
      <c r="S1472" s="402"/>
      <c r="T1472" s="402"/>
      <c r="U1472" s="402"/>
      <c r="V1472" s="402"/>
      <c r="W1472" s="402"/>
      <c r="X1472" s="402"/>
      <c r="Y1472" s="402"/>
      <c r="Z1472" s="402"/>
      <c r="AA1472" s="405"/>
      <c r="AB1472" s="405"/>
    </row>
    <row r="1473" ht="14.25" customHeight="1">
      <c r="A1473" s="497">
        <v>45530.0</v>
      </c>
      <c r="B1473" s="349" t="s">
        <v>1503</v>
      </c>
      <c r="C1473" s="349" t="s">
        <v>1504</v>
      </c>
      <c r="D1473" s="349" t="s">
        <v>54</v>
      </c>
      <c r="E1473" s="349" t="s">
        <v>1139</v>
      </c>
      <c r="F1473" s="413">
        <v>11747.78</v>
      </c>
      <c r="G1473" s="413">
        <v>0.0</v>
      </c>
      <c r="H1473" s="349" t="s">
        <v>1898</v>
      </c>
      <c r="I1473" s="402"/>
      <c r="J1473" s="402"/>
      <c r="K1473" s="402"/>
      <c r="L1473" s="402"/>
      <c r="M1473" s="402"/>
      <c r="N1473" s="402"/>
      <c r="O1473" s="402"/>
      <c r="P1473" s="402"/>
      <c r="Q1473" s="402"/>
      <c r="R1473" s="402"/>
      <c r="S1473" s="402"/>
      <c r="T1473" s="402"/>
      <c r="U1473" s="402"/>
      <c r="V1473" s="402"/>
      <c r="W1473" s="402"/>
      <c r="X1473" s="402"/>
      <c r="Y1473" s="402"/>
      <c r="Z1473" s="402"/>
      <c r="AA1473" s="405"/>
      <c r="AB1473" s="405"/>
    </row>
    <row r="1474" ht="14.25" customHeight="1">
      <c r="A1474" s="497">
        <v>45530.0</v>
      </c>
      <c r="B1474" s="349" t="s">
        <v>1648</v>
      </c>
      <c r="C1474" s="349" t="s">
        <v>1013</v>
      </c>
      <c r="D1474" s="349" t="s">
        <v>59</v>
      </c>
      <c r="E1474" s="349" t="s">
        <v>1168</v>
      </c>
      <c r="F1474" s="413">
        <v>289174.43</v>
      </c>
      <c r="G1474" s="413">
        <v>0.0</v>
      </c>
      <c r="H1474" s="349" t="s">
        <v>1927</v>
      </c>
      <c r="I1474" s="402"/>
      <c r="J1474" s="402"/>
      <c r="K1474" s="402"/>
      <c r="L1474" s="402"/>
      <c r="M1474" s="402"/>
      <c r="N1474" s="402"/>
      <c r="O1474" s="402"/>
      <c r="P1474" s="402"/>
      <c r="Q1474" s="402"/>
      <c r="R1474" s="402"/>
      <c r="S1474" s="402"/>
      <c r="T1474" s="402"/>
      <c r="U1474" s="402"/>
      <c r="V1474" s="402"/>
      <c r="W1474" s="402"/>
      <c r="X1474" s="402"/>
      <c r="Y1474" s="402"/>
      <c r="Z1474" s="402"/>
      <c r="AA1474" s="405"/>
      <c r="AB1474" s="405"/>
    </row>
    <row r="1475" ht="14.25" customHeight="1">
      <c r="A1475" s="497">
        <v>45530.0</v>
      </c>
      <c r="B1475" s="349" t="s">
        <v>1673</v>
      </c>
      <c r="C1475" s="349" t="s">
        <v>1674</v>
      </c>
      <c r="D1475" s="519" t="s">
        <v>54</v>
      </c>
      <c r="E1475" s="349" t="s">
        <v>1168</v>
      </c>
      <c r="F1475" s="413">
        <v>58919.23</v>
      </c>
      <c r="G1475" s="413">
        <v>0.0</v>
      </c>
      <c r="H1475" s="349" t="s">
        <v>1928</v>
      </c>
      <c r="I1475" s="402"/>
      <c r="J1475" s="402"/>
      <c r="K1475" s="402"/>
      <c r="L1475" s="402"/>
      <c r="M1475" s="402"/>
      <c r="N1475" s="402"/>
      <c r="O1475" s="402"/>
      <c r="P1475" s="402"/>
      <c r="Q1475" s="402"/>
      <c r="R1475" s="402"/>
      <c r="S1475" s="402"/>
      <c r="T1475" s="402"/>
      <c r="U1475" s="402"/>
      <c r="V1475" s="402"/>
      <c r="W1475" s="402"/>
      <c r="X1475" s="402"/>
      <c r="Y1475" s="402"/>
      <c r="Z1475" s="402"/>
      <c r="AA1475" s="405"/>
      <c r="AB1475" s="405"/>
    </row>
    <row r="1476" ht="14.25" customHeight="1">
      <c r="A1476" s="497">
        <v>45530.0</v>
      </c>
      <c r="B1476" s="349" t="s">
        <v>698</v>
      </c>
      <c r="C1476" s="349" t="s">
        <v>1167</v>
      </c>
      <c r="D1476" s="516" t="s">
        <v>54</v>
      </c>
      <c r="E1476" s="349" t="s">
        <v>1168</v>
      </c>
      <c r="F1476" s="413">
        <v>39696.03</v>
      </c>
      <c r="G1476" s="413">
        <v>0.0</v>
      </c>
      <c r="H1476" s="65" t="s">
        <v>1929</v>
      </c>
      <c r="I1476" s="402"/>
      <c r="J1476" s="402"/>
      <c r="K1476" s="402"/>
      <c r="L1476" s="402"/>
      <c r="M1476" s="402"/>
      <c r="N1476" s="402"/>
      <c r="O1476" s="402"/>
      <c r="P1476" s="402"/>
      <c r="Q1476" s="402"/>
      <c r="R1476" s="402"/>
      <c r="S1476" s="402"/>
      <c r="T1476" s="402"/>
      <c r="U1476" s="402"/>
      <c r="V1476" s="402"/>
      <c r="W1476" s="402"/>
      <c r="X1476" s="402"/>
      <c r="Y1476" s="402"/>
      <c r="Z1476" s="402"/>
      <c r="AA1476" s="405"/>
      <c r="AB1476" s="405"/>
    </row>
    <row r="1477" ht="14.25" customHeight="1">
      <c r="A1477" s="497">
        <v>45530.0</v>
      </c>
      <c r="B1477" s="349" t="s">
        <v>997</v>
      </c>
      <c r="C1477" s="349" t="s">
        <v>998</v>
      </c>
      <c r="D1477" s="344" t="s">
        <v>346</v>
      </c>
      <c r="E1477" s="349" t="s">
        <v>1168</v>
      </c>
      <c r="F1477" s="452">
        <v>28350.0</v>
      </c>
      <c r="G1477" s="413">
        <v>0.0</v>
      </c>
      <c r="H1477" s="545" t="s">
        <v>1930</v>
      </c>
      <c r="I1477" s="402"/>
      <c r="J1477" s="402"/>
      <c r="K1477" s="402"/>
      <c r="L1477" s="402"/>
      <c r="M1477" s="402"/>
      <c r="N1477" s="402"/>
      <c r="O1477" s="402"/>
      <c r="P1477" s="402"/>
      <c r="Q1477" s="402"/>
      <c r="R1477" s="402"/>
      <c r="S1477" s="402"/>
      <c r="T1477" s="402"/>
      <c r="U1477" s="402"/>
      <c r="V1477" s="402"/>
      <c r="W1477" s="402"/>
      <c r="X1477" s="402"/>
      <c r="Y1477" s="402"/>
      <c r="Z1477" s="402"/>
      <c r="AA1477" s="405"/>
      <c r="AB1477" s="405"/>
    </row>
    <row r="1478" ht="14.25" customHeight="1">
      <c r="A1478" s="497">
        <v>45530.0</v>
      </c>
      <c r="B1478" s="349" t="s">
        <v>1223</v>
      </c>
      <c r="C1478" s="349" t="s">
        <v>998</v>
      </c>
      <c r="D1478" s="519" t="s">
        <v>54</v>
      </c>
      <c r="E1478" s="349" t="s">
        <v>1168</v>
      </c>
      <c r="F1478" s="413">
        <v>81947.25</v>
      </c>
      <c r="G1478" s="413">
        <v>0.0</v>
      </c>
      <c r="H1478" s="545" t="s">
        <v>1930</v>
      </c>
      <c r="I1478" s="402"/>
      <c r="J1478" s="402"/>
      <c r="K1478" s="402"/>
      <c r="L1478" s="402"/>
      <c r="M1478" s="402"/>
      <c r="N1478" s="402"/>
      <c r="O1478" s="402"/>
      <c r="P1478" s="402"/>
      <c r="Q1478" s="402"/>
      <c r="R1478" s="402"/>
      <c r="S1478" s="402"/>
      <c r="T1478" s="402"/>
      <c r="U1478" s="402"/>
      <c r="V1478" s="402"/>
      <c r="W1478" s="402"/>
      <c r="X1478" s="402"/>
      <c r="Y1478" s="402"/>
      <c r="Z1478" s="402"/>
      <c r="AA1478" s="405"/>
      <c r="AB1478" s="405"/>
    </row>
    <row r="1479" ht="14.25" customHeight="1">
      <c r="A1479" s="497">
        <v>45530.0</v>
      </c>
      <c r="B1479" s="349" t="s">
        <v>1644</v>
      </c>
      <c r="C1479" s="349" t="s">
        <v>1893</v>
      </c>
      <c r="D1479" s="349" t="s">
        <v>54</v>
      </c>
      <c r="E1479" s="349" t="s">
        <v>1168</v>
      </c>
      <c r="F1479" s="413">
        <v>42664.0</v>
      </c>
      <c r="G1479" s="423">
        <v>25000.0</v>
      </c>
      <c r="H1479" s="349" t="s">
        <v>1931</v>
      </c>
      <c r="I1479" s="402"/>
      <c r="J1479" s="402"/>
      <c r="K1479" s="402"/>
      <c r="L1479" s="402"/>
      <c r="M1479" s="402"/>
      <c r="N1479" s="402"/>
      <c r="O1479" s="402"/>
      <c r="P1479" s="402"/>
      <c r="Q1479" s="402"/>
      <c r="R1479" s="402"/>
      <c r="S1479" s="402"/>
      <c r="T1479" s="402"/>
      <c r="U1479" s="402"/>
      <c r="V1479" s="402"/>
      <c r="W1479" s="402"/>
      <c r="X1479" s="402"/>
      <c r="Y1479" s="402"/>
      <c r="Z1479" s="402"/>
      <c r="AA1479" s="405"/>
      <c r="AB1479" s="405"/>
    </row>
    <row r="1480" ht="14.25" customHeight="1">
      <c r="A1480" s="497">
        <v>45530.0</v>
      </c>
      <c r="B1480" s="535" t="s">
        <v>915</v>
      </c>
      <c r="C1480" s="536" t="s">
        <v>916</v>
      </c>
      <c r="D1480" s="536" t="s">
        <v>54</v>
      </c>
      <c r="E1480" s="344" t="s">
        <v>1143</v>
      </c>
      <c r="F1480" s="563">
        <v>43399.96</v>
      </c>
      <c r="G1480" s="413">
        <v>0.0</v>
      </c>
      <c r="H1480" s="517" t="s">
        <v>1932</v>
      </c>
      <c r="I1480" s="402"/>
      <c r="J1480" s="402"/>
      <c r="K1480" s="402"/>
      <c r="L1480" s="402"/>
      <c r="M1480" s="402"/>
      <c r="N1480" s="402"/>
      <c r="O1480" s="402"/>
      <c r="P1480" s="402"/>
      <c r="Q1480" s="402"/>
      <c r="R1480" s="402"/>
      <c r="S1480" s="402"/>
      <c r="T1480" s="402"/>
      <c r="U1480" s="402"/>
      <c r="V1480" s="402"/>
      <c r="W1480" s="402"/>
      <c r="X1480" s="402"/>
      <c r="Y1480" s="402"/>
      <c r="Z1480" s="402"/>
      <c r="AA1480" s="405"/>
      <c r="AB1480" s="405"/>
    </row>
    <row r="1481" ht="14.25" customHeight="1">
      <c r="A1481" s="497">
        <v>45530.0</v>
      </c>
      <c r="B1481" s="535" t="s">
        <v>1933</v>
      </c>
      <c r="C1481" s="536" t="s">
        <v>1934</v>
      </c>
      <c r="D1481" s="536" t="s">
        <v>54</v>
      </c>
      <c r="E1481" s="344" t="s">
        <v>1143</v>
      </c>
      <c r="F1481" s="563">
        <v>550000.0</v>
      </c>
      <c r="G1481" s="413">
        <v>77500.0</v>
      </c>
      <c r="H1481" s="349" t="s">
        <v>1935</v>
      </c>
      <c r="I1481" s="402"/>
      <c r="J1481" s="402"/>
      <c r="K1481" s="402"/>
      <c r="L1481" s="402"/>
      <c r="M1481" s="402"/>
      <c r="N1481" s="402"/>
      <c r="O1481" s="402"/>
      <c r="P1481" s="402"/>
      <c r="Q1481" s="402"/>
      <c r="R1481" s="402"/>
      <c r="S1481" s="402"/>
      <c r="T1481" s="402"/>
      <c r="U1481" s="402"/>
      <c r="V1481" s="402"/>
      <c r="W1481" s="402"/>
      <c r="X1481" s="402"/>
      <c r="Y1481" s="402"/>
      <c r="Z1481" s="402"/>
      <c r="AA1481" s="405"/>
      <c r="AB1481" s="405"/>
    </row>
    <row r="1482" ht="14.25" customHeight="1">
      <c r="A1482" s="497">
        <v>45530.0</v>
      </c>
      <c r="B1482" s="535" t="s">
        <v>1046</v>
      </c>
      <c r="C1482" s="536" t="s">
        <v>1145</v>
      </c>
      <c r="D1482" s="536" t="s">
        <v>54</v>
      </c>
      <c r="E1482" s="344" t="s">
        <v>1143</v>
      </c>
      <c r="F1482" s="413">
        <v>20520.2</v>
      </c>
      <c r="G1482" s="413">
        <v>0.0</v>
      </c>
      <c r="H1482" s="349" t="s">
        <v>1936</v>
      </c>
      <c r="I1482" s="402"/>
      <c r="J1482" s="402"/>
      <c r="K1482" s="402"/>
      <c r="L1482" s="402"/>
      <c r="M1482" s="402"/>
      <c r="N1482" s="402"/>
      <c r="O1482" s="402"/>
      <c r="P1482" s="402"/>
      <c r="Q1482" s="402"/>
      <c r="R1482" s="402"/>
      <c r="S1482" s="402"/>
      <c r="T1482" s="402"/>
      <c r="U1482" s="402"/>
      <c r="V1482" s="402"/>
      <c r="W1482" s="402"/>
      <c r="X1482" s="402"/>
      <c r="Y1482" s="402"/>
      <c r="Z1482" s="402"/>
      <c r="AA1482" s="405"/>
      <c r="AB1482" s="405"/>
    </row>
    <row r="1483" ht="14.25" customHeight="1">
      <c r="A1483" s="497">
        <v>45530.0</v>
      </c>
      <c r="B1483" s="349" t="s">
        <v>761</v>
      </c>
      <c r="C1483" s="349" t="s">
        <v>1596</v>
      </c>
      <c r="D1483" s="349" t="s">
        <v>59</v>
      </c>
      <c r="E1483" s="344" t="s">
        <v>1143</v>
      </c>
      <c r="F1483" s="413">
        <v>39974.39</v>
      </c>
      <c r="G1483" s="413">
        <v>0.0</v>
      </c>
      <c r="H1483" s="349" t="s">
        <v>1937</v>
      </c>
      <c r="I1483" s="402"/>
      <c r="J1483" s="402"/>
      <c r="K1483" s="402"/>
      <c r="L1483" s="402"/>
      <c r="M1483" s="402"/>
      <c r="N1483" s="402"/>
      <c r="O1483" s="402"/>
      <c r="P1483" s="402"/>
      <c r="Q1483" s="402"/>
      <c r="R1483" s="402"/>
      <c r="S1483" s="402"/>
      <c r="T1483" s="402"/>
      <c r="U1483" s="402"/>
      <c r="V1483" s="402"/>
      <c r="W1483" s="402"/>
      <c r="X1483" s="402"/>
      <c r="Y1483" s="402"/>
      <c r="Z1483" s="402"/>
      <c r="AA1483" s="405"/>
      <c r="AB1483" s="405"/>
    </row>
    <row r="1484" ht="14.25" customHeight="1">
      <c r="A1484" s="497">
        <v>45530.0</v>
      </c>
      <c r="B1484" s="343" t="s">
        <v>954</v>
      </c>
      <c r="C1484" s="344" t="s">
        <v>955</v>
      </c>
      <c r="D1484" s="344" t="s">
        <v>54</v>
      </c>
      <c r="E1484" s="344" t="s">
        <v>1143</v>
      </c>
      <c r="F1484" s="413">
        <v>193007.16</v>
      </c>
      <c r="G1484" s="413">
        <v>193007.16</v>
      </c>
      <c r="H1484" s="349" t="s">
        <v>1320</v>
      </c>
      <c r="I1484" s="402"/>
      <c r="J1484" s="402"/>
      <c r="K1484" s="402"/>
      <c r="L1484" s="402"/>
      <c r="M1484" s="402"/>
      <c r="N1484" s="402"/>
      <c r="O1484" s="402"/>
      <c r="P1484" s="402"/>
      <c r="Q1484" s="402"/>
      <c r="R1484" s="402"/>
      <c r="S1484" s="402"/>
      <c r="T1484" s="402"/>
      <c r="U1484" s="402"/>
      <c r="V1484" s="402"/>
      <c r="W1484" s="402"/>
      <c r="X1484" s="402"/>
      <c r="Y1484" s="402"/>
      <c r="Z1484" s="402"/>
      <c r="AA1484" s="405"/>
      <c r="AB1484" s="405"/>
    </row>
    <row r="1485" ht="14.25" customHeight="1">
      <c r="A1485" s="497">
        <v>45530.0</v>
      </c>
      <c r="B1485" s="349" t="s">
        <v>1475</v>
      </c>
      <c r="C1485" s="349" t="s">
        <v>1895</v>
      </c>
      <c r="D1485" s="349" t="s">
        <v>75</v>
      </c>
      <c r="E1485" s="344" t="s">
        <v>1143</v>
      </c>
      <c r="F1485" s="413">
        <v>101818.5</v>
      </c>
      <c r="G1485" s="413">
        <v>0.0</v>
      </c>
      <c r="H1485" s="349" t="s">
        <v>1938</v>
      </c>
      <c r="I1485" s="402"/>
      <c r="J1485" s="402"/>
      <c r="K1485" s="402"/>
      <c r="L1485" s="402"/>
      <c r="M1485" s="402"/>
      <c r="N1485" s="402"/>
      <c r="O1485" s="402"/>
      <c r="P1485" s="402"/>
      <c r="Q1485" s="402"/>
      <c r="R1485" s="402"/>
      <c r="S1485" s="402"/>
      <c r="T1485" s="402"/>
      <c r="U1485" s="402"/>
      <c r="V1485" s="402"/>
      <c r="W1485" s="402"/>
      <c r="X1485" s="402"/>
      <c r="Y1485" s="402"/>
      <c r="Z1485" s="402"/>
      <c r="AA1485" s="405"/>
      <c r="AB1485" s="405"/>
    </row>
    <row r="1486" ht="14.25" customHeight="1">
      <c r="A1486" s="497">
        <v>45530.0</v>
      </c>
      <c r="B1486" s="552" t="s">
        <v>1939</v>
      </c>
      <c r="C1486" s="349" t="s">
        <v>1940</v>
      </c>
      <c r="D1486" s="349" t="s">
        <v>59</v>
      </c>
      <c r="E1486" s="415" t="s">
        <v>1302</v>
      </c>
      <c r="F1486" s="413">
        <v>3670000.0</v>
      </c>
      <c r="G1486" s="413">
        <v>0.0</v>
      </c>
      <c r="H1486" s="402"/>
      <c r="I1486" s="402"/>
      <c r="J1486" s="402"/>
      <c r="K1486" s="402"/>
      <c r="L1486" s="402"/>
      <c r="M1486" s="402"/>
      <c r="N1486" s="402"/>
      <c r="O1486" s="402"/>
      <c r="P1486" s="402"/>
      <c r="Q1486" s="402"/>
      <c r="R1486" s="402"/>
      <c r="S1486" s="402"/>
      <c r="T1486" s="402"/>
      <c r="U1486" s="402"/>
      <c r="V1486" s="402"/>
      <c r="W1486" s="402"/>
      <c r="X1486" s="402"/>
      <c r="Y1486" s="402"/>
      <c r="Z1486" s="402"/>
      <c r="AA1486" s="405"/>
      <c r="AB1486" s="405"/>
    </row>
    <row r="1487" ht="14.25" customHeight="1">
      <c r="A1487" s="497"/>
      <c r="B1487" s="402"/>
      <c r="C1487" s="402"/>
      <c r="D1487" s="402"/>
      <c r="E1487" s="344"/>
      <c r="F1487" s="403"/>
      <c r="G1487" s="403"/>
      <c r="H1487" s="402"/>
      <c r="I1487" s="402"/>
      <c r="J1487" s="402"/>
      <c r="K1487" s="402"/>
      <c r="L1487" s="402"/>
      <c r="M1487" s="402"/>
      <c r="N1487" s="402"/>
      <c r="O1487" s="402"/>
      <c r="P1487" s="402"/>
      <c r="Q1487" s="402"/>
      <c r="R1487" s="402"/>
      <c r="S1487" s="402"/>
      <c r="T1487" s="402"/>
      <c r="U1487" s="402"/>
      <c r="V1487" s="402"/>
      <c r="W1487" s="402"/>
      <c r="X1487" s="402"/>
      <c r="Y1487" s="402"/>
      <c r="Z1487" s="402"/>
      <c r="AA1487" s="405"/>
      <c r="AB1487" s="405"/>
    </row>
    <row r="1488" ht="14.25" customHeight="1">
      <c r="A1488" s="497"/>
      <c r="B1488" s="402"/>
      <c r="C1488" s="402"/>
      <c r="D1488" s="402"/>
      <c r="E1488" s="402"/>
      <c r="F1488" s="403"/>
      <c r="G1488" s="403"/>
      <c r="H1488" s="402"/>
      <c r="I1488" s="402"/>
      <c r="J1488" s="402"/>
      <c r="K1488" s="402"/>
      <c r="L1488" s="402"/>
      <c r="M1488" s="402"/>
      <c r="N1488" s="402"/>
      <c r="O1488" s="402"/>
      <c r="P1488" s="402"/>
      <c r="Q1488" s="402"/>
      <c r="R1488" s="402"/>
      <c r="S1488" s="402"/>
      <c r="T1488" s="402"/>
      <c r="U1488" s="402"/>
      <c r="V1488" s="402"/>
      <c r="W1488" s="402"/>
      <c r="X1488" s="402"/>
      <c r="Y1488" s="402"/>
      <c r="Z1488" s="402"/>
      <c r="AA1488" s="405"/>
      <c r="AB1488" s="405"/>
    </row>
    <row r="1489" ht="14.25" customHeight="1">
      <c r="A1489" s="497"/>
      <c r="B1489" s="402"/>
      <c r="C1489" s="402"/>
      <c r="D1489" s="402"/>
      <c r="E1489" s="402"/>
      <c r="F1489" s="403"/>
      <c r="G1489" s="403"/>
      <c r="H1489" s="402"/>
      <c r="I1489" s="402"/>
      <c r="J1489" s="402"/>
      <c r="K1489" s="402"/>
      <c r="L1489" s="402"/>
      <c r="M1489" s="402"/>
      <c r="N1489" s="402"/>
      <c r="O1489" s="402"/>
      <c r="P1489" s="402"/>
      <c r="Q1489" s="402"/>
      <c r="R1489" s="402"/>
      <c r="S1489" s="402"/>
      <c r="T1489" s="402"/>
      <c r="U1489" s="402"/>
      <c r="V1489" s="402"/>
      <c r="W1489" s="402"/>
      <c r="X1489" s="402"/>
      <c r="Y1489" s="402"/>
      <c r="Z1489" s="402"/>
      <c r="AA1489" s="405"/>
      <c r="AB1489" s="405"/>
    </row>
    <row r="1490" ht="14.25" customHeight="1">
      <c r="A1490" s="497"/>
      <c r="B1490" s="402"/>
      <c r="C1490" s="402"/>
      <c r="D1490" s="402"/>
      <c r="E1490" s="402"/>
      <c r="F1490" s="403"/>
      <c r="G1490" s="403"/>
      <c r="H1490" s="402"/>
      <c r="I1490" s="402"/>
      <c r="J1490" s="402"/>
      <c r="K1490" s="402"/>
      <c r="L1490" s="402"/>
      <c r="M1490" s="402"/>
      <c r="N1490" s="402"/>
      <c r="O1490" s="402"/>
      <c r="P1490" s="402"/>
      <c r="Q1490" s="402"/>
      <c r="R1490" s="402"/>
      <c r="S1490" s="402"/>
      <c r="T1490" s="402"/>
      <c r="U1490" s="402"/>
      <c r="V1490" s="402"/>
      <c r="W1490" s="402"/>
      <c r="X1490" s="402"/>
      <c r="Y1490" s="402"/>
      <c r="Z1490" s="402"/>
      <c r="AA1490" s="405"/>
      <c r="AB1490" s="405"/>
    </row>
    <row r="1491" ht="14.25" customHeight="1">
      <c r="A1491" s="497"/>
      <c r="B1491" s="402"/>
      <c r="C1491" s="424" t="s">
        <v>797</v>
      </c>
      <c r="D1491" s="402"/>
      <c r="E1491" s="402"/>
      <c r="F1491" s="403"/>
      <c r="G1491" s="403"/>
      <c r="H1491" s="402"/>
      <c r="I1491" s="402"/>
      <c r="J1491" s="402"/>
      <c r="K1491" s="402"/>
      <c r="L1491" s="402"/>
      <c r="M1491" s="402"/>
      <c r="N1491" s="402"/>
      <c r="O1491" s="402"/>
      <c r="P1491" s="402"/>
      <c r="Q1491" s="402"/>
      <c r="R1491" s="402"/>
      <c r="S1491" s="402"/>
      <c r="T1491" s="402"/>
      <c r="U1491" s="402"/>
      <c r="V1491" s="402"/>
      <c r="W1491" s="402"/>
      <c r="X1491" s="402"/>
      <c r="Y1491" s="402"/>
      <c r="Z1491" s="402"/>
      <c r="AA1491" s="405"/>
      <c r="AB1491" s="405"/>
    </row>
    <row r="1492" ht="14.25" customHeight="1">
      <c r="A1492" s="497">
        <v>45530.0</v>
      </c>
      <c r="B1492" s="349" t="s">
        <v>1087</v>
      </c>
      <c r="C1492" s="349" t="s">
        <v>1088</v>
      </c>
      <c r="D1492" s="349" t="s">
        <v>54</v>
      </c>
      <c r="E1492" s="349" t="s">
        <v>1255</v>
      </c>
      <c r="F1492" s="413">
        <v>35000.0</v>
      </c>
      <c r="G1492" s="413">
        <v>50000.0</v>
      </c>
      <c r="H1492" s="349" t="s">
        <v>710</v>
      </c>
      <c r="I1492" s="402"/>
      <c r="J1492" s="402"/>
      <c r="K1492" s="402"/>
      <c r="L1492" s="402"/>
      <c r="M1492" s="402"/>
      <c r="N1492" s="402"/>
      <c r="O1492" s="402"/>
      <c r="P1492" s="402"/>
      <c r="Q1492" s="402"/>
      <c r="R1492" s="402"/>
      <c r="S1492" s="402"/>
      <c r="T1492" s="402"/>
      <c r="U1492" s="402"/>
      <c r="V1492" s="402"/>
      <c r="W1492" s="402"/>
      <c r="X1492" s="402"/>
      <c r="Y1492" s="402"/>
      <c r="Z1492" s="402"/>
      <c r="AA1492" s="405"/>
      <c r="AB1492" s="405"/>
    </row>
    <row r="1493" ht="14.25" customHeight="1">
      <c r="A1493" s="497">
        <v>45530.0</v>
      </c>
      <c r="B1493" s="349" t="s">
        <v>886</v>
      </c>
      <c r="C1493" s="349" t="s">
        <v>1095</v>
      </c>
      <c r="D1493" s="349" t="s">
        <v>54</v>
      </c>
      <c r="E1493" s="349" t="s">
        <v>1255</v>
      </c>
      <c r="F1493" s="413">
        <v>410000.0</v>
      </c>
      <c r="G1493" s="403"/>
      <c r="H1493" s="349" t="s">
        <v>1941</v>
      </c>
      <c r="I1493" s="402"/>
      <c r="J1493" s="402"/>
      <c r="K1493" s="402"/>
      <c r="L1493" s="402"/>
      <c r="M1493" s="402"/>
      <c r="N1493" s="402"/>
      <c r="O1493" s="402"/>
      <c r="P1493" s="402"/>
      <c r="Q1493" s="402"/>
      <c r="R1493" s="402"/>
      <c r="S1493" s="402"/>
      <c r="T1493" s="402"/>
      <c r="U1493" s="402"/>
      <c r="V1493" s="402"/>
      <c r="W1493" s="402"/>
      <c r="X1493" s="402"/>
      <c r="Y1493" s="402"/>
      <c r="Z1493" s="402"/>
      <c r="AA1493" s="405"/>
      <c r="AB1493" s="405"/>
    </row>
    <row r="1494" ht="14.25" customHeight="1">
      <c r="A1494" s="497">
        <v>45530.0</v>
      </c>
      <c r="B1494" s="349" t="s">
        <v>1329</v>
      </c>
      <c r="C1494" s="349" t="s">
        <v>1330</v>
      </c>
      <c r="D1494" s="349" t="s">
        <v>54</v>
      </c>
      <c r="E1494" s="349" t="s">
        <v>1255</v>
      </c>
      <c r="F1494" s="413">
        <v>550000.0</v>
      </c>
      <c r="G1494" s="403"/>
      <c r="H1494" s="349" t="s">
        <v>1942</v>
      </c>
      <c r="I1494" s="402"/>
      <c r="J1494" s="402"/>
      <c r="K1494" s="402"/>
      <c r="L1494" s="402"/>
      <c r="M1494" s="402"/>
      <c r="N1494" s="402"/>
      <c r="O1494" s="402"/>
      <c r="P1494" s="402"/>
      <c r="Q1494" s="402"/>
      <c r="R1494" s="402"/>
      <c r="S1494" s="402"/>
      <c r="T1494" s="402"/>
      <c r="U1494" s="402"/>
      <c r="V1494" s="402"/>
      <c r="W1494" s="402"/>
      <c r="X1494" s="402"/>
      <c r="Y1494" s="402"/>
      <c r="Z1494" s="402"/>
      <c r="AA1494" s="405"/>
      <c r="AB1494" s="405"/>
    </row>
    <row r="1495" ht="14.25" customHeight="1">
      <c r="A1495" s="497">
        <v>45530.0</v>
      </c>
      <c r="B1495" s="349" t="s">
        <v>800</v>
      </c>
      <c r="C1495" s="349" t="s">
        <v>801</v>
      </c>
      <c r="D1495" s="493" t="s">
        <v>54</v>
      </c>
      <c r="E1495" s="349" t="s">
        <v>1255</v>
      </c>
      <c r="F1495" s="413">
        <v>20000.0</v>
      </c>
      <c r="G1495" s="403"/>
      <c r="H1495" s="349" t="s">
        <v>1943</v>
      </c>
      <c r="I1495" s="402"/>
      <c r="J1495" s="402"/>
      <c r="K1495" s="402"/>
      <c r="L1495" s="402"/>
      <c r="M1495" s="402"/>
      <c r="N1495" s="402"/>
      <c r="O1495" s="402"/>
      <c r="P1495" s="402"/>
      <c r="Q1495" s="402"/>
      <c r="R1495" s="402"/>
      <c r="S1495" s="402"/>
      <c r="T1495" s="402"/>
      <c r="U1495" s="402"/>
      <c r="V1495" s="402"/>
      <c r="W1495" s="402"/>
      <c r="X1495" s="402"/>
      <c r="Y1495" s="402"/>
      <c r="Z1495" s="402"/>
      <c r="AA1495" s="405"/>
      <c r="AB1495" s="405"/>
    </row>
    <row r="1496" ht="14.25" customHeight="1">
      <c r="A1496" s="497">
        <v>45530.0</v>
      </c>
      <c r="B1496" s="349" t="s">
        <v>1715</v>
      </c>
      <c r="C1496" s="349" t="s">
        <v>1716</v>
      </c>
      <c r="D1496" s="349" t="s">
        <v>54</v>
      </c>
      <c r="E1496" s="349" t="s">
        <v>1255</v>
      </c>
      <c r="F1496" s="413">
        <v>10000.0</v>
      </c>
      <c r="G1496" s="403"/>
      <c r="H1496" s="349" t="s">
        <v>1944</v>
      </c>
      <c r="I1496" s="402"/>
      <c r="J1496" s="402"/>
      <c r="K1496" s="402"/>
      <c r="L1496" s="402"/>
      <c r="M1496" s="402"/>
      <c r="N1496" s="402"/>
      <c r="O1496" s="402"/>
      <c r="P1496" s="402"/>
      <c r="Q1496" s="402"/>
      <c r="R1496" s="402"/>
      <c r="S1496" s="402"/>
      <c r="T1496" s="402"/>
      <c r="U1496" s="402"/>
      <c r="V1496" s="402"/>
      <c r="W1496" s="402"/>
      <c r="X1496" s="402"/>
      <c r="Y1496" s="402"/>
      <c r="Z1496" s="402"/>
      <c r="AA1496" s="405"/>
      <c r="AB1496" s="405"/>
    </row>
    <row r="1497" ht="14.25" customHeight="1">
      <c r="A1497" s="497">
        <v>45530.0</v>
      </c>
      <c r="B1497" s="349" t="s">
        <v>1181</v>
      </c>
      <c r="C1497" s="349" t="s">
        <v>1182</v>
      </c>
      <c r="D1497" s="349" t="s">
        <v>75</v>
      </c>
      <c r="E1497" s="349" t="s">
        <v>1255</v>
      </c>
      <c r="F1497" s="413">
        <v>250000.0</v>
      </c>
      <c r="G1497" s="403"/>
      <c r="H1497" s="349" t="s">
        <v>1945</v>
      </c>
      <c r="I1497" s="402"/>
      <c r="J1497" s="402"/>
      <c r="K1497" s="402"/>
      <c r="L1497" s="402"/>
      <c r="M1497" s="402"/>
      <c r="N1497" s="402"/>
      <c r="O1497" s="402"/>
      <c r="P1497" s="402"/>
      <c r="Q1497" s="402"/>
      <c r="R1497" s="402"/>
      <c r="S1497" s="402"/>
      <c r="T1497" s="402"/>
      <c r="U1497" s="402"/>
      <c r="V1497" s="402"/>
      <c r="W1497" s="402"/>
      <c r="X1497" s="402"/>
      <c r="Y1497" s="402"/>
      <c r="Z1497" s="402"/>
      <c r="AA1497" s="405"/>
      <c r="AB1497" s="405"/>
    </row>
    <row r="1498" ht="14.25" customHeight="1">
      <c r="A1498" s="402"/>
      <c r="B1498" s="402"/>
      <c r="C1498" s="402"/>
      <c r="D1498" s="402"/>
      <c r="E1498" s="402"/>
      <c r="F1498" s="403"/>
      <c r="G1498" s="403"/>
      <c r="H1498" s="402"/>
      <c r="I1498" s="402"/>
      <c r="J1498" s="402"/>
      <c r="K1498" s="402"/>
      <c r="L1498" s="402"/>
      <c r="M1498" s="402"/>
      <c r="N1498" s="402"/>
      <c r="O1498" s="402"/>
      <c r="P1498" s="402"/>
      <c r="Q1498" s="402"/>
      <c r="R1498" s="402"/>
      <c r="S1498" s="402"/>
      <c r="T1498" s="402"/>
      <c r="U1498" s="402"/>
      <c r="V1498" s="402"/>
      <c r="W1498" s="402"/>
      <c r="X1498" s="402"/>
      <c r="Y1498" s="402"/>
      <c r="Z1498" s="402"/>
      <c r="AA1498" s="405"/>
      <c r="AB1498" s="405"/>
    </row>
    <row r="1499" ht="14.25" customHeight="1">
      <c r="A1499" s="402"/>
      <c r="B1499" s="402"/>
      <c r="C1499" s="402"/>
      <c r="D1499" s="402"/>
      <c r="E1499" s="402"/>
      <c r="F1499" s="403"/>
      <c r="G1499" s="403"/>
      <c r="H1499" s="402"/>
      <c r="I1499" s="402"/>
      <c r="J1499" s="402"/>
      <c r="K1499" s="402"/>
      <c r="L1499" s="402"/>
      <c r="M1499" s="402"/>
      <c r="N1499" s="402"/>
      <c r="O1499" s="402"/>
      <c r="P1499" s="402"/>
      <c r="Q1499" s="402"/>
      <c r="R1499" s="402"/>
      <c r="S1499" s="402"/>
      <c r="T1499" s="402"/>
      <c r="U1499" s="402"/>
      <c r="V1499" s="402"/>
      <c r="W1499" s="402"/>
      <c r="X1499" s="402"/>
      <c r="Y1499" s="402"/>
      <c r="Z1499" s="402"/>
      <c r="AA1499" s="405"/>
      <c r="AB1499" s="405"/>
    </row>
    <row r="1500" ht="14.25" customHeight="1">
      <c r="A1500" s="402"/>
      <c r="B1500" s="402"/>
      <c r="C1500" s="402"/>
      <c r="D1500" s="402"/>
      <c r="E1500" s="402"/>
      <c r="F1500" s="403"/>
      <c r="G1500" s="403"/>
      <c r="H1500" s="402"/>
      <c r="I1500" s="402"/>
      <c r="J1500" s="402"/>
      <c r="K1500" s="402"/>
      <c r="L1500" s="402"/>
      <c r="M1500" s="402"/>
      <c r="N1500" s="402"/>
      <c r="O1500" s="402"/>
      <c r="P1500" s="402"/>
      <c r="Q1500" s="402"/>
      <c r="R1500" s="402"/>
      <c r="S1500" s="402"/>
      <c r="T1500" s="402"/>
      <c r="U1500" s="402"/>
      <c r="V1500" s="402"/>
      <c r="W1500" s="402"/>
      <c r="X1500" s="402"/>
      <c r="Y1500" s="402"/>
      <c r="Z1500" s="402"/>
      <c r="AA1500" s="405"/>
      <c r="AB1500" s="405"/>
    </row>
    <row r="1501" ht="14.25" customHeight="1">
      <c r="A1501" s="402"/>
      <c r="B1501" s="402"/>
      <c r="C1501" s="402"/>
      <c r="D1501" s="402"/>
      <c r="E1501" s="402"/>
      <c r="F1501" s="403"/>
      <c r="G1501" s="403"/>
      <c r="H1501" s="402"/>
      <c r="I1501" s="402"/>
      <c r="J1501" s="402"/>
      <c r="K1501" s="402"/>
      <c r="L1501" s="402"/>
      <c r="M1501" s="402"/>
      <c r="N1501" s="402"/>
      <c r="O1501" s="402"/>
      <c r="P1501" s="402"/>
      <c r="Q1501" s="402"/>
      <c r="R1501" s="402"/>
      <c r="S1501" s="402"/>
      <c r="T1501" s="402"/>
      <c r="U1501" s="402"/>
      <c r="V1501" s="402"/>
      <c r="W1501" s="402"/>
      <c r="X1501" s="402"/>
      <c r="Y1501" s="402"/>
      <c r="Z1501" s="402"/>
      <c r="AA1501" s="405"/>
      <c r="AB1501" s="405"/>
    </row>
    <row r="1502" ht="14.25" customHeight="1">
      <c r="A1502" s="402"/>
      <c r="B1502" s="402"/>
      <c r="C1502" s="402"/>
      <c r="D1502" s="402"/>
      <c r="E1502" s="402"/>
      <c r="F1502" s="403"/>
      <c r="G1502" s="403"/>
      <c r="H1502" s="402"/>
      <c r="I1502" s="402"/>
      <c r="J1502" s="402"/>
      <c r="K1502" s="402"/>
      <c r="L1502" s="402"/>
      <c r="M1502" s="402"/>
      <c r="N1502" s="402"/>
      <c r="O1502" s="402"/>
      <c r="P1502" s="402"/>
      <c r="Q1502" s="402"/>
      <c r="R1502" s="402"/>
      <c r="S1502" s="402"/>
      <c r="T1502" s="402"/>
      <c r="U1502" s="402"/>
      <c r="V1502" s="402"/>
      <c r="W1502" s="402"/>
      <c r="X1502" s="402"/>
      <c r="Y1502" s="402"/>
      <c r="Z1502" s="402"/>
      <c r="AA1502" s="405"/>
      <c r="AB1502" s="405"/>
    </row>
    <row r="1503" ht="14.25" customHeight="1">
      <c r="A1503" s="402"/>
      <c r="B1503" s="424" t="s">
        <v>1946</v>
      </c>
      <c r="C1503" s="402"/>
      <c r="D1503" s="402"/>
      <c r="E1503" s="402"/>
      <c r="F1503" s="403"/>
      <c r="G1503" s="403"/>
      <c r="H1503" s="402"/>
      <c r="I1503" s="402"/>
      <c r="J1503" s="402"/>
      <c r="K1503" s="402"/>
      <c r="L1503" s="402"/>
      <c r="M1503" s="402"/>
      <c r="N1503" s="402"/>
      <c r="O1503" s="402"/>
      <c r="P1503" s="402"/>
      <c r="Q1503" s="402"/>
      <c r="R1503" s="402"/>
      <c r="S1503" s="402"/>
      <c r="T1503" s="402"/>
      <c r="U1503" s="402"/>
      <c r="V1503" s="402"/>
      <c r="W1503" s="402"/>
      <c r="X1503" s="402"/>
      <c r="Y1503" s="402"/>
      <c r="Z1503" s="402"/>
      <c r="AA1503" s="405"/>
      <c r="AB1503" s="405"/>
    </row>
    <row r="1504" ht="14.25" customHeight="1">
      <c r="A1504" s="497">
        <v>45531.0</v>
      </c>
      <c r="B1504" s="535" t="s">
        <v>1618</v>
      </c>
      <c r="C1504" s="536" t="s">
        <v>1024</v>
      </c>
      <c r="D1504" s="536" t="s">
        <v>59</v>
      </c>
      <c r="E1504" s="349" t="s">
        <v>1098</v>
      </c>
      <c r="F1504" s="413">
        <v>3173213.0</v>
      </c>
      <c r="G1504" s="403"/>
      <c r="H1504" s="349" t="s">
        <v>1947</v>
      </c>
      <c r="I1504" s="402"/>
      <c r="J1504" s="402"/>
      <c r="K1504" s="402"/>
      <c r="L1504" s="402"/>
      <c r="M1504" s="402"/>
      <c r="N1504" s="402"/>
      <c r="O1504" s="402"/>
      <c r="P1504" s="402"/>
      <c r="Q1504" s="402"/>
      <c r="R1504" s="402"/>
      <c r="S1504" s="402"/>
      <c r="T1504" s="402"/>
      <c r="U1504" s="402"/>
      <c r="V1504" s="402"/>
      <c r="W1504" s="402"/>
      <c r="X1504" s="402"/>
      <c r="Y1504" s="402"/>
      <c r="Z1504" s="402"/>
      <c r="AA1504" s="405"/>
      <c r="AB1504" s="405"/>
    </row>
    <row r="1505" ht="14.25" customHeight="1">
      <c r="A1505" s="497">
        <v>45531.0</v>
      </c>
      <c r="B1505" s="535" t="s">
        <v>1907</v>
      </c>
      <c r="C1505" s="536" t="s">
        <v>1103</v>
      </c>
      <c r="D1505" s="536" t="s">
        <v>75</v>
      </c>
      <c r="E1505" s="349" t="s">
        <v>1098</v>
      </c>
      <c r="F1505" s="413">
        <v>1039500.0</v>
      </c>
      <c r="G1505" s="403"/>
      <c r="H1505" s="349" t="s">
        <v>1948</v>
      </c>
      <c r="I1505" s="402"/>
      <c r="J1505" s="402"/>
      <c r="K1505" s="402"/>
      <c r="L1505" s="402"/>
      <c r="M1505" s="402"/>
      <c r="N1505" s="402"/>
      <c r="O1505" s="402"/>
      <c r="P1505" s="402"/>
      <c r="Q1505" s="402"/>
      <c r="R1505" s="402"/>
      <c r="S1505" s="402"/>
      <c r="T1505" s="402"/>
      <c r="U1505" s="402"/>
      <c r="V1505" s="402"/>
      <c r="W1505" s="402"/>
      <c r="X1505" s="402"/>
      <c r="Y1505" s="402"/>
      <c r="Z1505" s="402"/>
      <c r="AA1505" s="405"/>
      <c r="AB1505" s="405"/>
    </row>
    <row r="1506" ht="14.25" customHeight="1">
      <c r="A1506" s="497">
        <v>45531.0</v>
      </c>
      <c r="B1506" s="349" t="s">
        <v>711</v>
      </c>
      <c r="C1506" s="349" t="s">
        <v>1123</v>
      </c>
      <c r="D1506" s="349" t="s">
        <v>75</v>
      </c>
      <c r="E1506" s="349" t="s">
        <v>1098</v>
      </c>
      <c r="F1506" s="413">
        <v>26556.61</v>
      </c>
      <c r="G1506" s="403"/>
      <c r="H1506" s="349" t="s">
        <v>1949</v>
      </c>
      <c r="I1506" s="402"/>
      <c r="J1506" s="402"/>
      <c r="K1506" s="402"/>
      <c r="L1506" s="402"/>
      <c r="M1506" s="402"/>
      <c r="N1506" s="402"/>
      <c r="O1506" s="402"/>
      <c r="P1506" s="402"/>
      <c r="Q1506" s="402"/>
      <c r="R1506" s="402"/>
      <c r="S1506" s="402"/>
      <c r="T1506" s="402"/>
      <c r="U1506" s="402"/>
      <c r="V1506" s="402"/>
      <c r="W1506" s="402"/>
      <c r="X1506" s="402"/>
      <c r="Y1506" s="402"/>
      <c r="Z1506" s="402"/>
      <c r="AA1506" s="405"/>
      <c r="AB1506" s="405"/>
    </row>
    <row r="1507" ht="14.25" customHeight="1">
      <c r="A1507" s="497">
        <v>45531.0</v>
      </c>
      <c r="B1507" s="349" t="s">
        <v>701</v>
      </c>
      <c r="C1507" s="349" t="s">
        <v>702</v>
      </c>
      <c r="D1507" s="349" t="s">
        <v>54</v>
      </c>
      <c r="E1507" s="349" t="s">
        <v>1098</v>
      </c>
      <c r="F1507" s="413">
        <v>10771.93</v>
      </c>
      <c r="G1507" s="403"/>
      <c r="H1507" s="349" t="s">
        <v>1950</v>
      </c>
      <c r="I1507" s="402"/>
      <c r="J1507" s="402"/>
      <c r="K1507" s="402"/>
      <c r="L1507" s="402"/>
      <c r="M1507" s="402"/>
      <c r="N1507" s="402"/>
      <c r="O1507" s="402"/>
      <c r="P1507" s="402"/>
      <c r="Q1507" s="402"/>
      <c r="R1507" s="402"/>
      <c r="S1507" s="402"/>
      <c r="T1507" s="402"/>
      <c r="U1507" s="402"/>
      <c r="V1507" s="402"/>
      <c r="W1507" s="402"/>
      <c r="X1507" s="402"/>
      <c r="Y1507" s="402"/>
      <c r="Z1507" s="402"/>
      <c r="AA1507" s="405"/>
      <c r="AB1507" s="405"/>
    </row>
    <row r="1508" ht="14.25" customHeight="1">
      <c r="A1508" s="497">
        <v>45531.0</v>
      </c>
      <c r="B1508" s="509" t="s">
        <v>1381</v>
      </c>
      <c r="C1508" s="510" t="s">
        <v>1382</v>
      </c>
      <c r="D1508" s="510" t="s">
        <v>54</v>
      </c>
      <c r="E1508" s="349" t="s">
        <v>1098</v>
      </c>
      <c r="F1508" s="416">
        <v>198106.72</v>
      </c>
      <c r="G1508" s="403"/>
      <c r="H1508" s="349" t="s">
        <v>1951</v>
      </c>
      <c r="I1508" s="402"/>
      <c r="J1508" s="402"/>
      <c r="K1508" s="402"/>
      <c r="L1508" s="402"/>
      <c r="M1508" s="402"/>
      <c r="N1508" s="402"/>
      <c r="O1508" s="402"/>
      <c r="P1508" s="402"/>
      <c r="Q1508" s="402"/>
      <c r="R1508" s="402"/>
      <c r="S1508" s="402"/>
      <c r="T1508" s="402"/>
      <c r="U1508" s="402"/>
      <c r="V1508" s="402"/>
      <c r="W1508" s="402"/>
      <c r="X1508" s="402"/>
      <c r="Y1508" s="402"/>
      <c r="Z1508" s="402"/>
      <c r="AA1508" s="405"/>
      <c r="AB1508" s="405"/>
    </row>
    <row r="1509" ht="14.25" customHeight="1">
      <c r="A1509" s="497">
        <v>45531.0</v>
      </c>
      <c r="B1509" s="349" t="s">
        <v>720</v>
      </c>
      <c r="C1509" s="349" t="s">
        <v>721</v>
      </c>
      <c r="D1509" s="349" t="s">
        <v>54</v>
      </c>
      <c r="E1509" s="349" t="s">
        <v>1098</v>
      </c>
      <c r="F1509" s="413">
        <v>2585.25</v>
      </c>
      <c r="G1509" s="403"/>
      <c r="H1509" s="349" t="s">
        <v>1952</v>
      </c>
      <c r="I1509" s="402"/>
      <c r="J1509" s="402"/>
      <c r="K1509" s="402"/>
      <c r="L1509" s="402"/>
      <c r="M1509" s="402"/>
      <c r="N1509" s="402"/>
      <c r="O1509" s="402"/>
      <c r="P1509" s="402"/>
      <c r="Q1509" s="402"/>
      <c r="R1509" s="402"/>
      <c r="S1509" s="402"/>
      <c r="T1509" s="402"/>
      <c r="U1509" s="402"/>
      <c r="V1509" s="402"/>
      <c r="W1509" s="402"/>
      <c r="X1509" s="402"/>
      <c r="Y1509" s="402"/>
      <c r="Z1509" s="402"/>
      <c r="AA1509" s="405"/>
      <c r="AB1509" s="405"/>
    </row>
    <row r="1510" ht="14.25" customHeight="1">
      <c r="A1510" s="497">
        <v>45531.0</v>
      </c>
      <c r="B1510" s="349" t="s">
        <v>1953</v>
      </c>
      <c r="C1510" s="349" t="s">
        <v>721</v>
      </c>
      <c r="D1510" s="349" t="s">
        <v>75</v>
      </c>
      <c r="E1510" s="349" t="s">
        <v>1098</v>
      </c>
      <c r="F1510" s="413">
        <v>115000.0</v>
      </c>
      <c r="G1510" s="403"/>
      <c r="H1510" s="349" t="s">
        <v>1952</v>
      </c>
      <c r="I1510" s="402"/>
      <c r="J1510" s="402"/>
      <c r="K1510" s="402"/>
      <c r="L1510" s="402"/>
      <c r="M1510" s="402"/>
      <c r="N1510" s="402"/>
      <c r="O1510" s="402"/>
      <c r="P1510" s="402"/>
      <c r="Q1510" s="402"/>
      <c r="R1510" s="402"/>
      <c r="S1510" s="402"/>
      <c r="T1510" s="402"/>
      <c r="U1510" s="402"/>
      <c r="V1510" s="402"/>
      <c r="W1510" s="402"/>
      <c r="X1510" s="402"/>
      <c r="Y1510" s="402"/>
      <c r="Z1510" s="402"/>
      <c r="AA1510" s="405"/>
      <c r="AB1510" s="405"/>
    </row>
    <row r="1511" ht="14.25" customHeight="1">
      <c r="A1511" s="497">
        <v>45531.0</v>
      </c>
      <c r="B1511" s="349" t="s">
        <v>807</v>
      </c>
      <c r="C1511" s="349" t="s">
        <v>1888</v>
      </c>
      <c r="D1511" s="510" t="s">
        <v>54</v>
      </c>
      <c r="E1511" s="349" t="s">
        <v>1098</v>
      </c>
      <c r="F1511" s="413">
        <v>31846.41</v>
      </c>
      <c r="G1511" s="403"/>
      <c r="H1511" s="349" t="s">
        <v>1954</v>
      </c>
      <c r="I1511" s="402"/>
      <c r="J1511" s="402"/>
      <c r="K1511" s="402"/>
      <c r="L1511" s="402"/>
      <c r="M1511" s="402"/>
      <c r="N1511" s="402"/>
      <c r="O1511" s="402"/>
      <c r="P1511" s="402"/>
      <c r="Q1511" s="402"/>
      <c r="R1511" s="402"/>
      <c r="S1511" s="402"/>
      <c r="T1511" s="402"/>
      <c r="U1511" s="402"/>
      <c r="V1511" s="402"/>
      <c r="W1511" s="402"/>
      <c r="X1511" s="402"/>
      <c r="Y1511" s="402"/>
      <c r="Z1511" s="402"/>
      <c r="AA1511" s="405"/>
      <c r="AB1511" s="405"/>
    </row>
    <row r="1512" ht="14.25" customHeight="1">
      <c r="A1512" s="497">
        <v>45531.0</v>
      </c>
      <c r="B1512" s="529" t="s">
        <v>705</v>
      </c>
      <c r="C1512" s="530" t="s">
        <v>1110</v>
      </c>
      <c r="D1512" s="510" t="s">
        <v>54</v>
      </c>
      <c r="E1512" s="349" t="s">
        <v>1098</v>
      </c>
      <c r="F1512" s="413">
        <v>5860.68</v>
      </c>
      <c r="G1512" s="403"/>
      <c r="H1512" s="562" t="s">
        <v>1915</v>
      </c>
      <c r="I1512" s="402"/>
      <c r="J1512" s="402"/>
      <c r="K1512" s="402"/>
      <c r="L1512" s="402"/>
      <c r="M1512" s="402"/>
      <c r="N1512" s="402"/>
      <c r="O1512" s="402"/>
      <c r="P1512" s="402"/>
      <c r="Q1512" s="402"/>
      <c r="R1512" s="402"/>
      <c r="S1512" s="402"/>
      <c r="T1512" s="402"/>
      <c r="U1512" s="402"/>
      <c r="V1512" s="402"/>
      <c r="W1512" s="402"/>
      <c r="X1512" s="402"/>
      <c r="Y1512" s="402"/>
      <c r="Z1512" s="402"/>
      <c r="AA1512" s="405"/>
      <c r="AB1512" s="405"/>
    </row>
    <row r="1513" ht="14.25" customHeight="1">
      <c r="A1513" s="497">
        <v>45531.0</v>
      </c>
      <c r="B1513" s="321" t="s">
        <v>1096</v>
      </c>
      <c r="C1513" s="322" t="s">
        <v>1097</v>
      </c>
      <c r="D1513" s="536" t="s">
        <v>54</v>
      </c>
      <c r="E1513" s="415" t="s">
        <v>1098</v>
      </c>
      <c r="F1513" s="413">
        <v>30000.0</v>
      </c>
      <c r="G1513" s="403"/>
      <c r="H1513" s="562" t="s">
        <v>1916</v>
      </c>
      <c r="I1513" s="402"/>
      <c r="J1513" s="402"/>
      <c r="K1513" s="402"/>
      <c r="L1513" s="402"/>
      <c r="M1513" s="402"/>
      <c r="N1513" s="402"/>
      <c r="O1513" s="402"/>
      <c r="P1513" s="402"/>
      <c r="Q1513" s="402"/>
      <c r="R1513" s="402"/>
      <c r="S1513" s="402"/>
      <c r="T1513" s="402"/>
      <c r="U1513" s="402"/>
      <c r="V1513" s="402"/>
      <c r="W1513" s="402"/>
      <c r="X1513" s="402"/>
      <c r="Y1513" s="402"/>
      <c r="Z1513" s="402"/>
      <c r="AA1513" s="405"/>
      <c r="AB1513" s="405"/>
    </row>
    <row r="1514" ht="14.25" customHeight="1">
      <c r="A1514" s="497">
        <v>45531.0</v>
      </c>
      <c r="B1514" s="535" t="s">
        <v>1917</v>
      </c>
      <c r="C1514" s="536" t="s">
        <v>1918</v>
      </c>
      <c r="D1514" s="536" t="s">
        <v>75</v>
      </c>
      <c r="E1514" s="349" t="s">
        <v>1098</v>
      </c>
      <c r="F1514" s="413">
        <v>448000.0</v>
      </c>
      <c r="G1514" s="413">
        <v>448000.0</v>
      </c>
      <c r="H1514" s="349" t="s">
        <v>710</v>
      </c>
      <c r="I1514" s="402"/>
      <c r="J1514" s="402"/>
      <c r="K1514" s="402"/>
      <c r="L1514" s="402"/>
      <c r="M1514" s="402"/>
      <c r="N1514" s="402"/>
      <c r="O1514" s="402"/>
      <c r="P1514" s="402"/>
      <c r="Q1514" s="402"/>
      <c r="R1514" s="402"/>
      <c r="S1514" s="402"/>
      <c r="T1514" s="402"/>
      <c r="U1514" s="402"/>
      <c r="V1514" s="402"/>
      <c r="W1514" s="402"/>
      <c r="X1514" s="402"/>
      <c r="Y1514" s="402"/>
      <c r="Z1514" s="402"/>
      <c r="AA1514" s="405"/>
      <c r="AB1514" s="405"/>
    </row>
    <row r="1515" ht="14.25" customHeight="1">
      <c r="A1515" s="497">
        <v>45531.0</v>
      </c>
      <c r="B1515" s="349" t="s">
        <v>1955</v>
      </c>
      <c r="C1515" s="349" t="s">
        <v>1956</v>
      </c>
      <c r="D1515" s="349" t="s">
        <v>67</v>
      </c>
      <c r="E1515" s="349" t="s">
        <v>1098</v>
      </c>
      <c r="F1515" s="413">
        <v>275000.0</v>
      </c>
      <c r="G1515" s="403"/>
      <c r="H1515" s="349" t="s">
        <v>1957</v>
      </c>
      <c r="I1515" s="402"/>
      <c r="J1515" s="402"/>
      <c r="K1515" s="402"/>
      <c r="L1515" s="402"/>
      <c r="M1515" s="402"/>
      <c r="N1515" s="402"/>
      <c r="O1515" s="402"/>
      <c r="P1515" s="402"/>
      <c r="Q1515" s="402"/>
      <c r="R1515" s="402"/>
      <c r="S1515" s="402"/>
      <c r="T1515" s="402"/>
      <c r="U1515" s="402"/>
      <c r="V1515" s="402"/>
      <c r="W1515" s="402"/>
      <c r="X1515" s="402"/>
      <c r="Y1515" s="402"/>
      <c r="Z1515" s="402"/>
      <c r="AA1515" s="405"/>
      <c r="AB1515" s="405"/>
    </row>
    <row r="1516" ht="14.25" customHeight="1">
      <c r="A1516" s="497">
        <v>45531.0</v>
      </c>
      <c r="B1516" s="349" t="s">
        <v>841</v>
      </c>
      <c r="C1516" s="349" t="s">
        <v>842</v>
      </c>
      <c r="D1516" s="349" t="s">
        <v>54</v>
      </c>
      <c r="E1516" s="349" t="s">
        <v>1098</v>
      </c>
      <c r="F1516" s="413">
        <v>17009.56</v>
      </c>
      <c r="G1516" s="403"/>
      <c r="H1516" s="564" t="s">
        <v>1958</v>
      </c>
      <c r="I1516" s="402"/>
      <c r="J1516" s="402"/>
      <c r="K1516" s="402"/>
      <c r="L1516" s="402"/>
      <c r="M1516" s="402"/>
      <c r="N1516" s="402"/>
      <c r="O1516" s="402"/>
      <c r="P1516" s="402"/>
      <c r="Q1516" s="402"/>
      <c r="R1516" s="402"/>
      <c r="S1516" s="402"/>
      <c r="T1516" s="402"/>
      <c r="U1516" s="402"/>
      <c r="V1516" s="402"/>
      <c r="W1516" s="402"/>
      <c r="X1516" s="402"/>
      <c r="Y1516" s="402"/>
      <c r="Z1516" s="402"/>
      <c r="AA1516" s="405"/>
      <c r="AB1516" s="405"/>
    </row>
    <row r="1517" ht="14.25" customHeight="1">
      <c r="A1517" s="497">
        <v>45531.0</v>
      </c>
      <c r="B1517" s="518" t="s">
        <v>1568</v>
      </c>
      <c r="C1517" s="519" t="s">
        <v>910</v>
      </c>
      <c r="D1517" s="519" t="s">
        <v>59</v>
      </c>
      <c r="E1517" s="415" t="s">
        <v>1153</v>
      </c>
      <c r="F1517" s="416">
        <v>156608.0</v>
      </c>
      <c r="G1517" s="413"/>
      <c r="H1517" s="349" t="s">
        <v>1163</v>
      </c>
      <c r="I1517" s="402"/>
      <c r="J1517" s="402"/>
      <c r="K1517" s="402"/>
      <c r="L1517" s="402"/>
      <c r="M1517" s="402"/>
      <c r="N1517" s="402"/>
      <c r="O1517" s="402"/>
      <c r="P1517" s="402"/>
      <c r="Q1517" s="402"/>
      <c r="R1517" s="402"/>
      <c r="S1517" s="402"/>
      <c r="T1517" s="402"/>
      <c r="U1517" s="402"/>
      <c r="V1517" s="402"/>
      <c r="W1517" s="402"/>
      <c r="X1517" s="402"/>
      <c r="Y1517" s="402"/>
      <c r="Z1517" s="402"/>
      <c r="AA1517" s="405"/>
      <c r="AB1517" s="405"/>
    </row>
    <row r="1518" ht="14.25" customHeight="1">
      <c r="A1518" s="497">
        <v>45531.0</v>
      </c>
      <c r="B1518" s="349" t="s">
        <v>729</v>
      </c>
      <c r="C1518" s="519" t="s">
        <v>730</v>
      </c>
      <c r="D1518" s="349" t="s">
        <v>75</v>
      </c>
      <c r="E1518" s="415" t="s">
        <v>1153</v>
      </c>
      <c r="F1518" s="416">
        <v>300000.0</v>
      </c>
      <c r="G1518" s="413"/>
      <c r="H1518" s="349" t="s">
        <v>1949</v>
      </c>
      <c r="I1518" s="402"/>
      <c r="J1518" s="402"/>
      <c r="K1518" s="402"/>
      <c r="L1518" s="402"/>
      <c r="M1518" s="402"/>
      <c r="N1518" s="402"/>
      <c r="O1518" s="402"/>
      <c r="P1518" s="402"/>
      <c r="Q1518" s="402"/>
      <c r="R1518" s="402"/>
      <c r="S1518" s="402"/>
      <c r="T1518" s="402"/>
      <c r="U1518" s="402"/>
      <c r="V1518" s="402"/>
      <c r="W1518" s="402"/>
      <c r="X1518" s="402"/>
      <c r="Y1518" s="402"/>
      <c r="Z1518" s="402"/>
      <c r="AA1518" s="405"/>
      <c r="AB1518" s="405"/>
    </row>
    <row r="1519" ht="14.25" customHeight="1">
      <c r="A1519" s="497">
        <v>45531.0</v>
      </c>
      <c r="B1519" s="518" t="s">
        <v>786</v>
      </c>
      <c r="C1519" s="519" t="s">
        <v>747</v>
      </c>
      <c r="D1519" s="349" t="s">
        <v>54</v>
      </c>
      <c r="E1519" s="415" t="s">
        <v>1153</v>
      </c>
      <c r="F1519" s="413">
        <v>108000.0</v>
      </c>
      <c r="G1519" s="403"/>
      <c r="H1519" s="349" t="s">
        <v>1959</v>
      </c>
      <c r="I1519" s="402"/>
      <c r="J1519" s="402"/>
      <c r="K1519" s="402"/>
      <c r="L1519" s="402"/>
      <c r="M1519" s="402"/>
      <c r="N1519" s="402"/>
      <c r="O1519" s="402"/>
      <c r="P1519" s="402"/>
      <c r="Q1519" s="402"/>
      <c r="R1519" s="402"/>
      <c r="S1519" s="402"/>
      <c r="T1519" s="402"/>
      <c r="U1519" s="402"/>
      <c r="V1519" s="402"/>
      <c r="W1519" s="402"/>
      <c r="X1519" s="402"/>
      <c r="Y1519" s="402"/>
      <c r="Z1519" s="402"/>
      <c r="AA1519" s="405"/>
      <c r="AB1519" s="405"/>
    </row>
    <row r="1520" ht="14.25" customHeight="1">
      <c r="A1520" s="497">
        <v>45531.0</v>
      </c>
      <c r="B1520" s="535" t="s">
        <v>870</v>
      </c>
      <c r="C1520" s="536" t="s">
        <v>871</v>
      </c>
      <c r="D1520" s="536" t="s">
        <v>54</v>
      </c>
      <c r="E1520" s="411" t="s">
        <v>1153</v>
      </c>
      <c r="F1520" s="413">
        <v>14225.08</v>
      </c>
      <c r="G1520" s="403"/>
      <c r="H1520" s="349" t="s">
        <v>1960</v>
      </c>
      <c r="I1520" s="402"/>
      <c r="J1520" s="402"/>
      <c r="K1520" s="402"/>
      <c r="L1520" s="402"/>
      <c r="M1520" s="402"/>
      <c r="N1520" s="402"/>
      <c r="O1520" s="402"/>
      <c r="P1520" s="402"/>
      <c r="Q1520" s="402"/>
      <c r="R1520" s="402"/>
      <c r="S1520" s="402"/>
      <c r="T1520" s="402"/>
      <c r="U1520" s="402"/>
      <c r="V1520" s="402"/>
      <c r="W1520" s="402"/>
      <c r="X1520" s="402"/>
      <c r="Y1520" s="402"/>
      <c r="Z1520" s="402"/>
      <c r="AA1520" s="405"/>
      <c r="AB1520" s="405"/>
    </row>
    <row r="1521" ht="16.5" customHeight="1">
      <c r="A1521" s="497">
        <v>45531.0</v>
      </c>
      <c r="B1521" s="500" t="s">
        <v>752</v>
      </c>
      <c r="C1521" s="319" t="s">
        <v>753</v>
      </c>
      <c r="D1521" s="536" t="s">
        <v>54</v>
      </c>
      <c r="E1521" s="415" t="s">
        <v>1153</v>
      </c>
      <c r="F1521" s="413">
        <v>1040588.0</v>
      </c>
      <c r="G1521" s="413">
        <v>1040588.0</v>
      </c>
      <c r="H1521" s="349" t="s">
        <v>1163</v>
      </c>
      <c r="I1521" s="402"/>
      <c r="J1521" s="402"/>
      <c r="K1521" s="402"/>
      <c r="L1521" s="402"/>
      <c r="M1521" s="402"/>
      <c r="N1521" s="402"/>
      <c r="O1521" s="402"/>
      <c r="P1521" s="402"/>
      <c r="Q1521" s="402"/>
      <c r="R1521" s="402"/>
      <c r="S1521" s="402"/>
      <c r="T1521" s="402"/>
      <c r="U1521" s="402"/>
      <c r="V1521" s="402"/>
      <c r="W1521" s="402"/>
      <c r="X1521" s="402"/>
      <c r="Y1521" s="402"/>
      <c r="Z1521" s="402"/>
      <c r="AA1521" s="405"/>
      <c r="AB1521" s="405"/>
    </row>
    <row r="1522" ht="14.25" customHeight="1">
      <c r="A1522" s="497">
        <v>45531.0</v>
      </c>
      <c r="B1522" s="535" t="s">
        <v>868</v>
      </c>
      <c r="C1522" s="536" t="s">
        <v>869</v>
      </c>
      <c r="D1522" s="536" t="s">
        <v>54</v>
      </c>
      <c r="E1522" s="415" t="s">
        <v>1153</v>
      </c>
      <c r="F1522" s="413">
        <v>32070.26</v>
      </c>
      <c r="G1522" s="403"/>
      <c r="H1522" s="349" t="s">
        <v>1163</v>
      </c>
      <c r="I1522" s="402"/>
      <c r="J1522" s="402"/>
      <c r="K1522" s="402"/>
      <c r="L1522" s="402"/>
      <c r="M1522" s="402"/>
      <c r="N1522" s="402"/>
      <c r="O1522" s="402"/>
      <c r="P1522" s="402"/>
      <c r="Q1522" s="402"/>
      <c r="R1522" s="402"/>
      <c r="S1522" s="402"/>
      <c r="T1522" s="402"/>
      <c r="U1522" s="402"/>
      <c r="V1522" s="402"/>
      <c r="W1522" s="402"/>
      <c r="X1522" s="402"/>
      <c r="Y1522" s="402"/>
      <c r="Z1522" s="402"/>
      <c r="AA1522" s="405"/>
      <c r="AB1522" s="405"/>
    </row>
    <row r="1523" ht="14.25" customHeight="1">
      <c r="A1523" s="497">
        <v>45531.0</v>
      </c>
      <c r="B1523" s="349" t="s">
        <v>1961</v>
      </c>
      <c r="C1523" s="349" t="s">
        <v>787</v>
      </c>
      <c r="D1523" s="349" t="s">
        <v>75</v>
      </c>
      <c r="E1523" s="349" t="s">
        <v>1153</v>
      </c>
      <c r="F1523" s="413">
        <v>69000.0</v>
      </c>
      <c r="G1523" s="413">
        <v>29000.0</v>
      </c>
      <c r="H1523" s="349" t="s">
        <v>1962</v>
      </c>
      <c r="I1523" s="402"/>
      <c r="J1523" s="402"/>
      <c r="K1523" s="402"/>
      <c r="L1523" s="402"/>
      <c r="M1523" s="402"/>
      <c r="N1523" s="402"/>
      <c r="O1523" s="402"/>
      <c r="P1523" s="402"/>
      <c r="Q1523" s="402"/>
      <c r="R1523" s="402"/>
      <c r="S1523" s="402"/>
      <c r="T1523" s="402"/>
      <c r="U1523" s="402"/>
      <c r="V1523" s="402"/>
      <c r="W1523" s="402"/>
      <c r="X1523" s="402"/>
      <c r="Y1523" s="402"/>
      <c r="Z1523" s="402"/>
      <c r="AA1523" s="405"/>
      <c r="AB1523" s="405"/>
    </row>
    <row r="1524" ht="14.25" customHeight="1">
      <c r="A1524" s="497">
        <v>45531.0</v>
      </c>
      <c r="B1524" s="349" t="s">
        <v>774</v>
      </c>
      <c r="C1524" s="349" t="s">
        <v>799</v>
      </c>
      <c r="D1524" s="349" t="s">
        <v>54</v>
      </c>
      <c r="E1524" s="349" t="s">
        <v>1139</v>
      </c>
      <c r="F1524" s="413">
        <v>129709.43</v>
      </c>
      <c r="G1524" s="413">
        <v>0.0</v>
      </c>
      <c r="H1524" s="402"/>
      <c r="I1524" s="402"/>
      <c r="J1524" s="402"/>
      <c r="K1524" s="402"/>
      <c r="L1524" s="402"/>
      <c r="M1524" s="402"/>
      <c r="N1524" s="402"/>
      <c r="O1524" s="402"/>
      <c r="P1524" s="402"/>
      <c r="Q1524" s="402"/>
      <c r="R1524" s="402"/>
      <c r="S1524" s="402"/>
      <c r="T1524" s="402"/>
      <c r="U1524" s="402"/>
      <c r="V1524" s="402"/>
      <c r="W1524" s="402"/>
      <c r="X1524" s="402"/>
      <c r="Y1524" s="402"/>
      <c r="Z1524" s="402"/>
      <c r="AA1524" s="405"/>
      <c r="AB1524" s="405"/>
    </row>
    <row r="1525" ht="14.25" customHeight="1">
      <c r="A1525" s="497">
        <v>45531.0</v>
      </c>
      <c r="B1525" s="535" t="s">
        <v>918</v>
      </c>
      <c r="C1525" s="536" t="s">
        <v>919</v>
      </c>
      <c r="D1525" s="536" t="s">
        <v>54</v>
      </c>
      <c r="E1525" s="349" t="s">
        <v>1139</v>
      </c>
      <c r="F1525" s="413">
        <v>35745.44</v>
      </c>
      <c r="G1525" s="413">
        <v>3000.0</v>
      </c>
      <c r="H1525" s="349" t="s">
        <v>1963</v>
      </c>
      <c r="I1525" s="402"/>
      <c r="J1525" s="402"/>
      <c r="K1525" s="402"/>
      <c r="L1525" s="402"/>
      <c r="M1525" s="402"/>
      <c r="N1525" s="402"/>
      <c r="O1525" s="402"/>
      <c r="P1525" s="402"/>
      <c r="Q1525" s="402"/>
      <c r="R1525" s="402"/>
      <c r="S1525" s="402"/>
      <c r="T1525" s="402"/>
      <c r="U1525" s="402"/>
      <c r="V1525" s="402"/>
      <c r="W1525" s="402"/>
      <c r="X1525" s="402"/>
      <c r="Y1525" s="402"/>
      <c r="Z1525" s="402"/>
      <c r="AA1525" s="405"/>
      <c r="AB1525" s="405"/>
    </row>
    <row r="1526" ht="14.25" customHeight="1">
      <c r="A1526" s="497">
        <v>45531.0</v>
      </c>
      <c r="B1526" s="535" t="s">
        <v>783</v>
      </c>
      <c r="C1526" s="536" t="s">
        <v>784</v>
      </c>
      <c r="D1526" s="536" t="s">
        <v>54</v>
      </c>
      <c r="E1526" s="349" t="s">
        <v>1139</v>
      </c>
      <c r="F1526" s="413">
        <v>100000.0</v>
      </c>
      <c r="G1526" s="413">
        <v>0.0</v>
      </c>
      <c r="H1526" s="349" t="s">
        <v>1964</v>
      </c>
      <c r="I1526" s="402"/>
      <c r="J1526" s="402"/>
      <c r="K1526" s="402"/>
      <c r="L1526" s="402"/>
      <c r="M1526" s="402"/>
      <c r="N1526" s="402"/>
      <c r="O1526" s="402"/>
      <c r="P1526" s="402"/>
      <c r="Q1526" s="402"/>
      <c r="R1526" s="402"/>
      <c r="S1526" s="402"/>
      <c r="T1526" s="402"/>
      <c r="U1526" s="402"/>
      <c r="V1526" s="402"/>
      <c r="W1526" s="402"/>
      <c r="X1526" s="402"/>
      <c r="Y1526" s="402"/>
      <c r="Z1526" s="402"/>
      <c r="AA1526" s="405"/>
      <c r="AB1526" s="405"/>
    </row>
    <row r="1527" ht="14.25" customHeight="1">
      <c r="A1527" s="497">
        <v>45531.0</v>
      </c>
      <c r="B1527" s="349" t="s">
        <v>870</v>
      </c>
      <c r="C1527" s="349" t="s">
        <v>871</v>
      </c>
      <c r="D1527" s="349" t="s">
        <v>54</v>
      </c>
      <c r="E1527" s="349" t="s">
        <v>1139</v>
      </c>
      <c r="F1527" s="413">
        <v>18936.33</v>
      </c>
      <c r="G1527" s="413">
        <v>0.0</v>
      </c>
      <c r="H1527" s="349" t="s">
        <v>1965</v>
      </c>
      <c r="I1527" s="402"/>
      <c r="J1527" s="402"/>
      <c r="K1527" s="402"/>
      <c r="L1527" s="402"/>
      <c r="M1527" s="402"/>
      <c r="N1527" s="402"/>
      <c r="O1527" s="402"/>
      <c r="P1527" s="402"/>
      <c r="Q1527" s="402"/>
      <c r="R1527" s="402"/>
      <c r="S1527" s="402"/>
      <c r="T1527" s="402"/>
      <c r="U1527" s="402"/>
      <c r="V1527" s="402"/>
      <c r="W1527" s="402"/>
      <c r="X1527" s="402"/>
      <c r="Y1527" s="402"/>
      <c r="Z1527" s="402"/>
      <c r="AA1527" s="405"/>
      <c r="AB1527" s="405"/>
    </row>
    <row r="1528" ht="14.25" customHeight="1">
      <c r="A1528" s="497">
        <v>45531.0</v>
      </c>
      <c r="B1528" s="535" t="s">
        <v>915</v>
      </c>
      <c r="C1528" s="536" t="s">
        <v>916</v>
      </c>
      <c r="D1528" s="536" t="s">
        <v>54</v>
      </c>
      <c r="E1528" s="349" t="s">
        <v>1139</v>
      </c>
      <c r="F1528" s="563">
        <v>43399.96</v>
      </c>
      <c r="G1528" s="413">
        <v>0.0</v>
      </c>
      <c r="H1528" s="349" t="s">
        <v>1966</v>
      </c>
      <c r="I1528" s="402"/>
      <c r="J1528" s="402"/>
      <c r="K1528" s="402"/>
      <c r="L1528" s="402"/>
      <c r="M1528" s="402"/>
      <c r="N1528" s="402"/>
      <c r="O1528" s="402"/>
      <c r="P1528" s="402"/>
      <c r="Q1528" s="402"/>
      <c r="R1528" s="402"/>
      <c r="S1528" s="402"/>
      <c r="T1528" s="402"/>
      <c r="U1528" s="402"/>
      <c r="V1528" s="402"/>
      <c r="W1528" s="402"/>
      <c r="X1528" s="402"/>
      <c r="Y1528" s="402"/>
      <c r="Z1528" s="402"/>
      <c r="AA1528" s="405"/>
      <c r="AB1528" s="405"/>
    </row>
    <row r="1529" ht="14.25" customHeight="1">
      <c r="A1529" s="497">
        <v>45531.0</v>
      </c>
      <c r="B1529" s="518" t="s">
        <v>950</v>
      </c>
      <c r="C1529" s="519" t="s">
        <v>951</v>
      </c>
      <c r="D1529" s="519" t="s">
        <v>54</v>
      </c>
      <c r="E1529" s="349" t="s">
        <v>1168</v>
      </c>
      <c r="F1529" s="413">
        <v>50167.0</v>
      </c>
      <c r="G1529" s="413">
        <v>50167.0</v>
      </c>
      <c r="H1529" s="349" t="s">
        <v>267</v>
      </c>
      <c r="I1529" s="402"/>
      <c r="J1529" s="402"/>
      <c r="K1529" s="402"/>
      <c r="L1529" s="402"/>
      <c r="M1529" s="402"/>
      <c r="N1529" s="402"/>
      <c r="O1529" s="402"/>
      <c r="P1529" s="402"/>
      <c r="Q1529" s="402"/>
      <c r="R1529" s="402"/>
      <c r="S1529" s="402"/>
      <c r="T1529" s="402"/>
      <c r="U1529" s="402"/>
      <c r="V1529" s="402"/>
      <c r="W1529" s="402"/>
      <c r="X1529" s="402"/>
      <c r="Y1529" s="402"/>
      <c r="Z1529" s="402"/>
      <c r="AA1529" s="405"/>
      <c r="AB1529" s="405"/>
    </row>
    <row r="1530" ht="14.25" customHeight="1">
      <c r="A1530" s="497">
        <v>45531.0</v>
      </c>
      <c r="B1530" s="518" t="s">
        <v>1967</v>
      </c>
      <c r="C1530" s="519" t="s">
        <v>1968</v>
      </c>
      <c r="D1530" s="349" t="s">
        <v>54</v>
      </c>
      <c r="E1530" s="349" t="s">
        <v>1168</v>
      </c>
      <c r="F1530" s="413">
        <v>141540.0</v>
      </c>
      <c r="G1530" s="413">
        <v>149540.0</v>
      </c>
      <c r="H1530" s="349" t="s">
        <v>267</v>
      </c>
      <c r="I1530" s="402"/>
      <c r="J1530" s="402"/>
      <c r="K1530" s="402"/>
      <c r="L1530" s="402"/>
      <c r="M1530" s="402"/>
      <c r="N1530" s="402"/>
      <c r="O1530" s="402"/>
      <c r="P1530" s="402"/>
      <c r="Q1530" s="402"/>
      <c r="R1530" s="402"/>
      <c r="S1530" s="402"/>
      <c r="T1530" s="402"/>
      <c r="U1530" s="402"/>
      <c r="V1530" s="402"/>
      <c r="W1530" s="402"/>
      <c r="X1530" s="402"/>
      <c r="Y1530" s="402"/>
      <c r="Z1530" s="402"/>
      <c r="AA1530" s="405"/>
      <c r="AB1530" s="405"/>
    </row>
    <row r="1531" ht="14.25" customHeight="1">
      <c r="A1531" s="497">
        <v>45531.0</v>
      </c>
      <c r="B1531" s="349" t="s">
        <v>1648</v>
      </c>
      <c r="C1531" s="349" t="s">
        <v>1013</v>
      </c>
      <c r="D1531" s="349" t="s">
        <v>59</v>
      </c>
      <c r="E1531" s="349" t="s">
        <v>1168</v>
      </c>
      <c r="F1531" s="413">
        <v>289174.43</v>
      </c>
      <c r="G1531" s="413">
        <v>40000.0</v>
      </c>
      <c r="H1531" s="349" t="s">
        <v>905</v>
      </c>
      <c r="I1531" s="402"/>
      <c r="J1531" s="402"/>
      <c r="K1531" s="402"/>
      <c r="L1531" s="402"/>
      <c r="M1531" s="402"/>
      <c r="N1531" s="402"/>
      <c r="O1531" s="402"/>
      <c r="P1531" s="402"/>
      <c r="Q1531" s="402"/>
      <c r="R1531" s="402"/>
      <c r="S1531" s="402"/>
      <c r="T1531" s="402"/>
      <c r="U1531" s="402"/>
      <c r="V1531" s="402"/>
      <c r="W1531" s="402"/>
      <c r="X1531" s="402"/>
      <c r="Y1531" s="402"/>
      <c r="Z1531" s="402"/>
      <c r="AA1531" s="405"/>
      <c r="AB1531" s="405"/>
    </row>
    <row r="1532" ht="14.25" customHeight="1">
      <c r="A1532" s="497">
        <v>45531.0</v>
      </c>
      <c r="B1532" s="349"/>
      <c r="C1532" s="349" t="s">
        <v>1969</v>
      </c>
      <c r="D1532" s="415" t="s">
        <v>67</v>
      </c>
      <c r="E1532" s="349" t="s">
        <v>1168</v>
      </c>
      <c r="F1532" s="413">
        <v>38067.0</v>
      </c>
      <c r="G1532" s="413">
        <v>38067.0</v>
      </c>
      <c r="H1532" s="349" t="s">
        <v>267</v>
      </c>
      <c r="I1532" s="402"/>
      <c r="J1532" s="402"/>
      <c r="K1532" s="402"/>
      <c r="L1532" s="402"/>
      <c r="M1532" s="402"/>
      <c r="N1532" s="402"/>
      <c r="O1532" s="402"/>
      <c r="P1532" s="402"/>
      <c r="Q1532" s="402"/>
      <c r="R1532" s="402"/>
      <c r="S1532" s="402"/>
      <c r="T1532" s="402"/>
      <c r="U1532" s="402"/>
      <c r="V1532" s="402"/>
      <c r="W1532" s="402"/>
      <c r="X1532" s="402"/>
      <c r="Y1532" s="402"/>
      <c r="Z1532" s="402"/>
      <c r="AA1532" s="405"/>
      <c r="AB1532" s="405"/>
    </row>
    <row r="1533" ht="14.25" customHeight="1">
      <c r="A1533" s="497">
        <v>45531.0</v>
      </c>
      <c r="B1533" s="349" t="s">
        <v>1673</v>
      </c>
      <c r="C1533" s="349" t="s">
        <v>1674</v>
      </c>
      <c r="D1533" s="519" t="s">
        <v>54</v>
      </c>
      <c r="E1533" s="349" t="s">
        <v>1168</v>
      </c>
      <c r="F1533" s="413">
        <v>58919.23</v>
      </c>
      <c r="G1533" s="413">
        <v>0.0</v>
      </c>
      <c r="H1533" s="349" t="s">
        <v>1970</v>
      </c>
      <c r="I1533" s="402"/>
      <c r="J1533" s="402"/>
      <c r="K1533" s="402"/>
      <c r="L1533" s="402"/>
      <c r="M1533" s="402"/>
      <c r="N1533" s="402"/>
      <c r="O1533" s="402"/>
      <c r="P1533" s="402"/>
      <c r="Q1533" s="402"/>
      <c r="R1533" s="402"/>
      <c r="S1533" s="402"/>
      <c r="T1533" s="402"/>
      <c r="U1533" s="402"/>
      <c r="V1533" s="402"/>
      <c r="W1533" s="402"/>
      <c r="X1533" s="402"/>
      <c r="Y1533" s="402"/>
      <c r="Z1533" s="402"/>
      <c r="AA1533" s="405"/>
      <c r="AB1533" s="405"/>
    </row>
    <row r="1534" ht="14.25" customHeight="1">
      <c r="A1534" s="497">
        <v>45531.0</v>
      </c>
      <c r="B1534" s="349" t="s">
        <v>698</v>
      </c>
      <c r="C1534" s="349" t="s">
        <v>1167</v>
      </c>
      <c r="D1534" s="516" t="s">
        <v>54</v>
      </c>
      <c r="E1534" s="349" t="s">
        <v>1168</v>
      </c>
      <c r="F1534" s="413">
        <v>39696.03</v>
      </c>
      <c r="G1534" s="413">
        <v>0.0</v>
      </c>
      <c r="H1534" s="349" t="s">
        <v>1971</v>
      </c>
      <c r="I1534" s="402"/>
      <c r="J1534" s="402"/>
      <c r="K1534" s="402"/>
      <c r="L1534" s="402"/>
      <c r="M1534" s="402"/>
      <c r="N1534" s="402"/>
      <c r="O1534" s="402"/>
      <c r="P1534" s="402"/>
      <c r="Q1534" s="402"/>
      <c r="R1534" s="402"/>
      <c r="S1534" s="402"/>
      <c r="T1534" s="402"/>
      <c r="U1534" s="402"/>
      <c r="V1534" s="402"/>
      <c r="W1534" s="402"/>
      <c r="X1534" s="402"/>
      <c r="Y1534" s="402"/>
      <c r="Z1534" s="402"/>
      <c r="AA1534" s="405"/>
      <c r="AB1534" s="405"/>
    </row>
    <row r="1535" ht="14.25" customHeight="1">
      <c r="A1535" s="497">
        <v>45531.0</v>
      </c>
      <c r="B1535" s="349" t="s">
        <v>997</v>
      </c>
      <c r="C1535" s="349" t="s">
        <v>998</v>
      </c>
      <c r="D1535" s="344" t="s">
        <v>346</v>
      </c>
      <c r="E1535" s="349" t="s">
        <v>1168</v>
      </c>
      <c r="F1535" s="452">
        <v>28350.0</v>
      </c>
      <c r="G1535" s="413">
        <v>0.0</v>
      </c>
      <c r="H1535" s="545" t="s">
        <v>1972</v>
      </c>
      <c r="I1535" s="402"/>
      <c r="J1535" s="402"/>
      <c r="K1535" s="402"/>
      <c r="L1535" s="402"/>
      <c r="M1535" s="402"/>
      <c r="N1535" s="402"/>
      <c r="O1535" s="402"/>
      <c r="P1535" s="402"/>
      <c r="Q1535" s="402"/>
      <c r="R1535" s="402"/>
      <c r="S1535" s="402"/>
      <c r="T1535" s="402"/>
      <c r="U1535" s="402"/>
      <c r="V1535" s="402"/>
      <c r="W1535" s="402"/>
      <c r="X1535" s="402"/>
      <c r="Y1535" s="402"/>
      <c r="Z1535" s="402"/>
      <c r="AA1535" s="405"/>
      <c r="AB1535" s="405"/>
    </row>
    <row r="1536" ht="14.25" customHeight="1">
      <c r="A1536" s="497">
        <v>45531.0</v>
      </c>
      <c r="B1536" s="349" t="s">
        <v>1223</v>
      </c>
      <c r="C1536" s="349" t="s">
        <v>998</v>
      </c>
      <c r="D1536" s="519" t="s">
        <v>54</v>
      </c>
      <c r="E1536" s="349" t="s">
        <v>1168</v>
      </c>
      <c r="F1536" s="413">
        <v>81947.25</v>
      </c>
      <c r="G1536" s="413">
        <v>0.0</v>
      </c>
      <c r="H1536" s="545" t="s">
        <v>1972</v>
      </c>
      <c r="I1536" s="402"/>
      <c r="J1536" s="402"/>
      <c r="K1536" s="402"/>
      <c r="L1536" s="402"/>
      <c r="M1536" s="402"/>
      <c r="N1536" s="402"/>
      <c r="O1536" s="402"/>
      <c r="P1536" s="402"/>
      <c r="Q1536" s="402"/>
      <c r="R1536" s="402"/>
      <c r="S1536" s="402"/>
      <c r="T1536" s="402"/>
      <c r="U1536" s="402"/>
      <c r="V1536" s="402"/>
      <c r="W1536" s="402"/>
      <c r="X1536" s="402"/>
      <c r="Y1536" s="402"/>
      <c r="Z1536" s="402"/>
      <c r="AA1536" s="405"/>
      <c r="AB1536" s="405"/>
    </row>
    <row r="1537" ht="14.25" customHeight="1">
      <c r="A1537" s="497">
        <v>45531.0</v>
      </c>
      <c r="B1537" s="349" t="s">
        <v>1644</v>
      </c>
      <c r="C1537" s="349" t="s">
        <v>1893</v>
      </c>
      <c r="D1537" s="349" t="s">
        <v>54</v>
      </c>
      <c r="E1537" s="349" t="s">
        <v>1168</v>
      </c>
      <c r="F1537" s="413">
        <v>19000.0</v>
      </c>
      <c r="G1537" s="413">
        <v>0.0</v>
      </c>
      <c r="H1537" s="349" t="s">
        <v>1973</v>
      </c>
      <c r="I1537" s="402"/>
      <c r="J1537" s="402"/>
      <c r="K1537" s="402"/>
      <c r="L1537" s="402"/>
      <c r="M1537" s="402"/>
      <c r="N1537" s="402"/>
      <c r="O1537" s="402"/>
      <c r="P1537" s="402"/>
      <c r="Q1537" s="402"/>
      <c r="R1537" s="402"/>
      <c r="S1537" s="402"/>
      <c r="T1537" s="402"/>
      <c r="U1537" s="402"/>
      <c r="V1537" s="402"/>
      <c r="W1537" s="402"/>
      <c r="X1537" s="402"/>
      <c r="Y1537" s="402"/>
      <c r="Z1537" s="402"/>
      <c r="AA1537" s="405"/>
      <c r="AB1537" s="405"/>
    </row>
    <row r="1538" ht="14.25" customHeight="1">
      <c r="A1538" s="497">
        <v>45531.0</v>
      </c>
      <c r="B1538" s="535" t="s">
        <v>1046</v>
      </c>
      <c r="C1538" s="536" t="s">
        <v>1145</v>
      </c>
      <c r="D1538" s="536" t="s">
        <v>54</v>
      </c>
      <c r="E1538" s="349" t="s">
        <v>1168</v>
      </c>
      <c r="F1538" s="413">
        <v>20520.2</v>
      </c>
      <c r="G1538" s="413">
        <v>0.0</v>
      </c>
      <c r="H1538" s="349" t="s">
        <v>1974</v>
      </c>
      <c r="I1538" s="402"/>
      <c r="J1538" s="402"/>
      <c r="K1538" s="402"/>
      <c r="L1538" s="402"/>
      <c r="M1538" s="402"/>
      <c r="N1538" s="402"/>
      <c r="O1538" s="402"/>
      <c r="P1538" s="402"/>
      <c r="Q1538" s="402"/>
      <c r="R1538" s="402"/>
      <c r="S1538" s="402"/>
      <c r="T1538" s="402"/>
      <c r="U1538" s="402"/>
      <c r="V1538" s="402"/>
      <c r="W1538" s="402"/>
      <c r="X1538" s="402"/>
      <c r="Y1538" s="402"/>
      <c r="Z1538" s="402"/>
      <c r="AA1538" s="405"/>
      <c r="AB1538" s="405"/>
    </row>
    <row r="1539" ht="14.25" customHeight="1">
      <c r="A1539" s="497">
        <v>45531.0</v>
      </c>
      <c r="B1539" s="349" t="s">
        <v>761</v>
      </c>
      <c r="C1539" s="349" t="s">
        <v>1596</v>
      </c>
      <c r="D1539" s="349" t="s">
        <v>59</v>
      </c>
      <c r="E1539" s="349" t="s">
        <v>1168</v>
      </c>
      <c r="F1539" s="413">
        <v>39974.39</v>
      </c>
      <c r="G1539" s="413">
        <v>0.0</v>
      </c>
      <c r="H1539" s="65" t="s">
        <v>1974</v>
      </c>
      <c r="I1539" s="402"/>
      <c r="J1539" s="402"/>
      <c r="K1539" s="402"/>
      <c r="L1539" s="402"/>
      <c r="M1539" s="402"/>
      <c r="N1539" s="402"/>
      <c r="O1539" s="402"/>
      <c r="P1539" s="402"/>
      <c r="Q1539" s="402"/>
      <c r="R1539" s="402"/>
      <c r="S1539" s="402"/>
      <c r="T1539" s="402"/>
      <c r="U1539" s="402"/>
      <c r="V1539" s="402"/>
      <c r="W1539" s="402"/>
      <c r="X1539" s="402"/>
      <c r="Y1539" s="402"/>
      <c r="Z1539" s="402"/>
      <c r="AA1539" s="405"/>
      <c r="AB1539" s="405"/>
    </row>
    <row r="1540" ht="14.25" customHeight="1">
      <c r="A1540" s="497">
        <v>45531.0</v>
      </c>
      <c r="B1540" s="349" t="s">
        <v>1475</v>
      </c>
      <c r="C1540" s="349" t="s">
        <v>1895</v>
      </c>
      <c r="D1540" s="349" t="s">
        <v>75</v>
      </c>
      <c r="E1540" s="349" t="s">
        <v>1168</v>
      </c>
      <c r="F1540" s="413">
        <v>101818.5</v>
      </c>
      <c r="G1540" s="413">
        <v>0.0</v>
      </c>
      <c r="H1540" s="349" t="s">
        <v>1975</v>
      </c>
      <c r="I1540" s="402"/>
      <c r="J1540" s="402"/>
      <c r="K1540" s="402"/>
      <c r="L1540" s="402"/>
      <c r="M1540" s="402"/>
      <c r="N1540" s="402"/>
      <c r="O1540" s="402"/>
      <c r="P1540" s="402"/>
      <c r="Q1540" s="402"/>
      <c r="R1540" s="402"/>
      <c r="S1540" s="402"/>
      <c r="T1540" s="402"/>
      <c r="U1540" s="402"/>
      <c r="V1540" s="402"/>
      <c r="W1540" s="402"/>
      <c r="X1540" s="402"/>
      <c r="Y1540" s="402"/>
      <c r="Z1540" s="402"/>
      <c r="AA1540" s="405"/>
      <c r="AB1540" s="405"/>
    </row>
    <row r="1541" ht="14.25" customHeight="1">
      <c r="A1541" s="497">
        <v>45531.0</v>
      </c>
      <c r="B1541" s="349" t="s">
        <v>1503</v>
      </c>
      <c r="C1541" s="349" t="s">
        <v>1504</v>
      </c>
      <c r="D1541" s="349" t="s">
        <v>54</v>
      </c>
      <c r="E1541" s="349" t="s">
        <v>1168</v>
      </c>
      <c r="F1541" s="413">
        <v>11747.78</v>
      </c>
      <c r="G1541" s="413">
        <v>0.0</v>
      </c>
      <c r="H1541" s="349" t="s">
        <v>1976</v>
      </c>
      <c r="I1541" s="402"/>
      <c r="J1541" s="402"/>
      <c r="K1541" s="402"/>
      <c r="L1541" s="402"/>
      <c r="M1541" s="402"/>
      <c r="N1541" s="402"/>
      <c r="O1541" s="402"/>
      <c r="P1541" s="402"/>
      <c r="Q1541" s="402"/>
      <c r="R1541" s="402"/>
      <c r="S1541" s="402"/>
      <c r="T1541" s="402"/>
      <c r="U1541" s="402"/>
      <c r="V1541" s="402"/>
      <c r="W1541" s="402"/>
      <c r="X1541" s="402"/>
      <c r="Y1541" s="402"/>
      <c r="Z1541" s="402"/>
      <c r="AA1541" s="405"/>
      <c r="AB1541" s="405"/>
    </row>
    <row r="1542" ht="14.25" customHeight="1">
      <c r="A1542" s="497"/>
      <c r="B1542" s="402"/>
      <c r="C1542" s="424" t="s">
        <v>797</v>
      </c>
      <c r="D1542" s="349"/>
      <c r="E1542" s="415"/>
      <c r="F1542" s="413"/>
      <c r="G1542" s="403"/>
      <c r="H1542" s="402"/>
      <c r="I1542" s="402"/>
      <c r="J1542" s="402"/>
      <c r="K1542" s="402"/>
      <c r="L1542" s="402"/>
      <c r="M1542" s="402"/>
      <c r="N1542" s="402"/>
      <c r="O1542" s="402"/>
      <c r="P1542" s="402"/>
      <c r="Q1542" s="402"/>
      <c r="R1542" s="402"/>
      <c r="S1542" s="402"/>
      <c r="T1542" s="402"/>
      <c r="U1542" s="402"/>
      <c r="V1542" s="402"/>
      <c r="W1542" s="402"/>
      <c r="X1542" s="402"/>
      <c r="Y1542" s="402"/>
      <c r="Z1542" s="402"/>
      <c r="AA1542" s="405"/>
      <c r="AB1542" s="405"/>
    </row>
    <row r="1543" ht="14.25" customHeight="1">
      <c r="A1543" s="497">
        <v>45531.0</v>
      </c>
      <c r="B1543" s="349" t="s">
        <v>886</v>
      </c>
      <c r="C1543" s="349" t="s">
        <v>1095</v>
      </c>
      <c r="D1543" s="349" t="s">
        <v>54</v>
      </c>
      <c r="E1543" s="349" t="s">
        <v>1255</v>
      </c>
      <c r="F1543" s="413">
        <v>410000.0</v>
      </c>
      <c r="G1543" s="403"/>
      <c r="H1543" s="349" t="s">
        <v>1977</v>
      </c>
      <c r="I1543" s="402"/>
      <c r="J1543" s="402"/>
      <c r="K1543" s="402"/>
      <c r="L1543" s="402"/>
      <c r="M1543" s="402"/>
      <c r="N1543" s="402"/>
      <c r="O1543" s="402"/>
      <c r="P1543" s="402"/>
      <c r="Q1543" s="402"/>
      <c r="R1543" s="402"/>
      <c r="S1543" s="402"/>
      <c r="T1543" s="402"/>
      <c r="U1543" s="402"/>
      <c r="V1543" s="402"/>
      <c r="W1543" s="402"/>
      <c r="X1543" s="402"/>
      <c r="Y1543" s="402"/>
      <c r="Z1543" s="402"/>
      <c r="AA1543" s="405"/>
      <c r="AB1543" s="405"/>
    </row>
    <row r="1544" ht="14.25" customHeight="1">
      <c r="A1544" s="497">
        <v>45531.0</v>
      </c>
      <c r="B1544" s="349" t="s">
        <v>1329</v>
      </c>
      <c r="C1544" s="349" t="s">
        <v>1330</v>
      </c>
      <c r="D1544" s="349" t="s">
        <v>54</v>
      </c>
      <c r="E1544" s="349" t="s">
        <v>1255</v>
      </c>
      <c r="F1544" s="413">
        <v>550000.0</v>
      </c>
      <c r="G1544" s="403"/>
      <c r="H1544" s="349" t="s">
        <v>1978</v>
      </c>
      <c r="I1544" s="402"/>
      <c r="J1544" s="402"/>
      <c r="K1544" s="402"/>
      <c r="L1544" s="402"/>
      <c r="M1544" s="402"/>
      <c r="N1544" s="402"/>
      <c r="O1544" s="402"/>
      <c r="P1544" s="402"/>
      <c r="Q1544" s="402"/>
      <c r="R1544" s="402"/>
      <c r="S1544" s="402"/>
      <c r="T1544" s="402"/>
      <c r="U1544" s="402"/>
      <c r="V1544" s="402"/>
      <c r="W1544" s="402"/>
      <c r="X1544" s="402"/>
      <c r="Y1544" s="402"/>
      <c r="Z1544" s="402"/>
      <c r="AA1544" s="405"/>
      <c r="AB1544" s="405"/>
    </row>
    <row r="1545" ht="14.25" customHeight="1">
      <c r="A1545" s="497">
        <v>45531.0</v>
      </c>
      <c r="B1545" s="349" t="s">
        <v>800</v>
      </c>
      <c r="C1545" s="349" t="s">
        <v>801</v>
      </c>
      <c r="D1545" s="493" t="s">
        <v>54</v>
      </c>
      <c r="E1545" s="349" t="s">
        <v>1255</v>
      </c>
      <c r="F1545" s="413">
        <v>20000.0</v>
      </c>
      <c r="G1545" s="403"/>
      <c r="H1545" s="349" t="s">
        <v>1979</v>
      </c>
      <c r="I1545" s="402"/>
      <c r="J1545" s="402"/>
      <c r="K1545" s="402"/>
      <c r="L1545" s="402"/>
      <c r="M1545" s="402"/>
      <c r="N1545" s="402"/>
      <c r="O1545" s="402"/>
      <c r="P1545" s="402"/>
      <c r="Q1545" s="402"/>
      <c r="R1545" s="402"/>
      <c r="S1545" s="402"/>
      <c r="T1545" s="402"/>
      <c r="U1545" s="402"/>
      <c r="V1545" s="402"/>
      <c r="W1545" s="402"/>
      <c r="X1545" s="402"/>
      <c r="Y1545" s="402"/>
      <c r="Z1545" s="402"/>
      <c r="AA1545" s="405"/>
      <c r="AB1545" s="405"/>
    </row>
    <row r="1546" ht="14.25" customHeight="1">
      <c r="A1546" s="497">
        <v>45531.0</v>
      </c>
      <c r="B1546" s="349" t="s">
        <v>777</v>
      </c>
      <c r="C1546" s="349" t="s">
        <v>778</v>
      </c>
      <c r="D1546" s="349" t="s">
        <v>54</v>
      </c>
      <c r="E1546" s="349" t="s">
        <v>1255</v>
      </c>
      <c r="F1546" s="413">
        <v>119325.0</v>
      </c>
      <c r="G1546" s="403"/>
      <c r="H1546" s="349" t="s">
        <v>1980</v>
      </c>
      <c r="I1546" s="402"/>
      <c r="J1546" s="402"/>
      <c r="K1546" s="402"/>
      <c r="L1546" s="402"/>
      <c r="M1546" s="402"/>
      <c r="N1546" s="402"/>
      <c r="O1546" s="402"/>
      <c r="P1546" s="402"/>
      <c r="Q1546" s="402"/>
      <c r="R1546" s="402"/>
      <c r="S1546" s="402"/>
      <c r="T1546" s="402"/>
      <c r="U1546" s="402"/>
      <c r="V1546" s="402"/>
      <c r="W1546" s="402"/>
      <c r="X1546" s="402"/>
      <c r="Y1546" s="402"/>
      <c r="Z1546" s="402"/>
      <c r="AA1546" s="405"/>
      <c r="AB1546" s="405"/>
    </row>
    <row r="1547" ht="14.25" customHeight="1">
      <c r="A1547" s="497">
        <v>45531.0</v>
      </c>
      <c r="B1547" s="349" t="s">
        <v>1981</v>
      </c>
      <c r="C1547" s="349" t="s">
        <v>1982</v>
      </c>
      <c r="D1547" s="349" t="s">
        <v>59</v>
      </c>
      <c r="E1547" s="349" t="s">
        <v>273</v>
      </c>
      <c r="F1547" s="413">
        <v>1000000.0</v>
      </c>
      <c r="G1547" s="403"/>
      <c r="H1547" s="402"/>
      <c r="I1547" s="402"/>
      <c r="J1547" s="402"/>
      <c r="K1547" s="402"/>
      <c r="L1547" s="402"/>
      <c r="M1547" s="402"/>
      <c r="N1547" s="402"/>
      <c r="O1547" s="402"/>
      <c r="P1547" s="402"/>
      <c r="Q1547" s="402"/>
      <c r="R1547" s="402"/>
      <c r="S1547" s="402"/>
      <c r="T1547" s="402"/>
      <c r="U1547" s="402"/>
      <c r="V1547" s="402"/>
      <c r="W1547" s="402"/>
      <c r="X1547" s="402"/>
      <c r="Y1547" s="402"/>
      <c r="Z1547" s="402"/>
      <c r="AA1547" s="405"/>
      <c r="AB1547" s="405"/>
    </row>
    <row r="1548" ht="14.25" customHeight="1">
      <c r="A1548" s="497"/>
      <c r="B1548" s="349"/>
      <c r="C1548" s="349"/>
      <c r="D1548" s="349"/>
      <c r="E1548" s="349"/>
      <c r="F1548" s="413"/>
      <c r="G1548" s="403"/>
      <c r="H1548" s="402"/>
      <c r="I1548" s="402"/>
      <c r="J1548" s="402"/>
      <c r="K1548" s="402"/>
      <c r="L1548" s="402"/>
      <c r="M1548" s="402"/>
      <c r="N1548" s="402"/>
      <c r="O1548" s="402"/>
      <c r="P1548" s="402"/>
      <c r="Q1548" s="402"/>
      <c r="R1548" s="402"/>
      <c r="S1548" s="402"/>
      <c r="T1548" s="402"/>
      <c r="U1548" s="402"/>
      <c r="V1548" s="402"/>
      <c r="W1548" s="402"/>
      <c r="X1548" s="402"/>
      <c r="Y1548" s="402"/>
      <c r="Z1548" s="402"/>
      <c r="AA1548" s="405"/>
      <c r="AB1548" s="405"/>
    </row>
    <row r="1549" ht="14.25" customHeight="1">
      <c r="A1549" s="497"/>
      <c r="B1549" s="349"/>
      <c r="C1549" s="349"/>
      <c r="D1549" s="349"/>
      <c r="E1549" s="349"/>
      <c r="F1549" s="413"/>
      <c r="G1549" s="403"/>
      <c r="H1549" s="402"/>
      <c r="I1549" s="402"/>
      <c r="J1549" s="402"/>
      <c r="K1549" s="402"/>
      <c r="L1549" s="402"/>
      <c r="M1549" s="402"/>
      <c r="N1549" s="402"/>
      <c r="O1549" s="402"/>
      <c r="P1549" s="402"/>
      <c r="Q1549" s="402"/>
      <c r="R1549" s="402"/>
      <c r="S1549" s="402"/>
      <c r="T1549" s="402"/>
      <c r="U1549" s="402"/>
      <c r="V1549" s="402"/>
      <c r="W1549" s="402"/>
      <c r="X1549" s="402"/>
      <c r="Y1549" s="402"/>
      <c r="Z1549" s="402"/>
      <c r="AA1549" s="405"/>
      <c r="AB1549" s="405"/>
    </row>
    <row r="1550" ht="14.25" customHeight="1">
      <c r="A1550" s="497"/>
      <c r="B1550" s="349"/>
      <c r="C1550" s="349"/>
      <c r="D1550" s="349"/>
      <c r="E1550" s="349"/>
      <c r="F1550" s="413"/>
      <c r="G1550" s="403"/>
      <c r="H1550" s="402"/>
      <c r="I1550" s="402"/>
      <c r="J1550" s="402"/>
      <c r="K1550" s="402"/>
      <c r="L1550" s="402"/>
      <c r="M1550" s="402"/>
      <c r="N1550" s="402"/>
      <c r="O1550" s="402"/>
      <c r="P1550" s="402"/>
      <c r="Q1550" s="402"/>
      <c r="R1550" s="402"/>
      <c r="S1550" s="402"/>
      <c r="T1550" s="402"/>
      <c r="U1550" s="402"/>
      <c r="V1550" s="402"/>
      <c r="W1550" s="402"/>
      <c r="X1550" s="402"/>
      <c r="Y1550" s="402"/>
      <c r="Z1550" s="402"/>
      <c r="AA1550" s="405"/>
      <c r="AB1550" s="405"/>
    </row>
    <row r="1551" ht="14.25" customHeight="1">
      <c r="A1551" s="497"/>
      <c r="B1551" s="349"/>
      <c r="C1551" s="349"/>
      <c r="D1551" s="349"/>
      <c r="E1551" s="349"/>
      <c r="F1551" s="413"/>
      <c r="G1551" s="403"/>
      <c r="H1551" s="402"/>
      <c r="I1551" s="402"/>
      <c r="J1551" s="402"/>
      <c r="K1551" s="402"/>
      <c r="L1551" s="402"/>
      <c r="M1551" s="402"/>
      <c r="N1551" s="402"/>
      <c r="O1551" s="402"/>
      <c r="P1551" s="402"/>
      <c r="Q1551" s="402"/>
      <c r="R1551" s="402"/>
      <c r="S1551" s="402"/>
      <c r="T1551" s="402"/>
      <c r="U1551" s="402"/>
      <c r="V1551" s="402"/>
      <c r="W1551" s="402"/>
      <c r="X1551" s="402"/>
      <c r="Y1551" s="402"/>
      <c r="Z1551" s="402"/>
      <c r="AA1551" s="405"/>
      <c r="AB1551" s="405"/>
    </row>
    <row r="1552" ht="14.25" customHeight="1">
      <c r="A1552" s="497"/>
      <c r="B1552" s="424" t="s">
        <v>1983</v>
      </c>
      <c r="C1552" s="349"/>
      <c r="D1552" s="402"/>
      <c r="E1552" s="349"/>
      <c r="F1552" s="413"/>
      <c r="G1552" s="403"/>
      <c r="H1552" s="402"/>
      <c r="I1552" s="402"/>
      <c r="J1552" s="402"/>
      <c r="K1552" s="402"/>
      <c r="L1552" s="402"/>
      <c r="M1552" s="402"/>
      <c r="N1552" s="402"/>
      <c r="O1552" s="402"/>
      <c r="P1552" s="402"/>
      <c r="Q1552" s="402"/>
      <c r="R1552" s="402"/>
      <c r="S1552" s="402"/>
      <c r="T1552" s="402"/>
      <c r="U1552" s="402"/>
      <c r="V1552" s="402"/>
      <c r="W1552" s="402"/>
      <c r="X1552" s="402"/>
      <c r="Y1552" s="402"/>
      <c r="Z1552" s="402"/>
      <c r="AA1552" s="405"/>
      <c r="AB1552" s="405"/>
    </row>
    <row r="1553" ht="14.25" customHeight="1">
      <c r="A1553" s="497">
        <v>45532.0</v>
      </c>
      <c r="B1553" s="535" t="s">
        <v>1618</v>
      </c>
      <c r="C1553" s="536" t="s">
        <v>1024</v>
      </c>
      <c r="D1553" s="536" t="s">
        <v>59</v>
      </c>
      <c r="E1553" s="349" t="s">
        <v>1098</v>
      </c>
      <c r="F1553" s="413">
        <v>178000.0</v>
      </c>
      <c r="G1553" s="403"/>
      <c r="H1553" s="402"/>
      <c r="I1553" s="402"/>
      <c r="J1553" s="402"/>
      <c r="K1553" s="402"/>
      <c r="L1553" s="402"/>
      <c r="M1553" s="402"/>
      <c r="N1553" s="402"/>
      <c r="O1553" s="402"/>
      <c r="P1553" s="402"/>
      <c r="Q1553" s="402"/>
      <c r="R1553" s="402"/>
      <c r="S1553" s="402"/>
      <c r="T1553" s="402"/>
      <c r="U1553" s="402"/>
      <c r="V1553" s="402"/>
      <c r="W1553" s="402"/>
      <c r="X1553" s="402"/>
      <c r="Y1553" s="402"/>
      <c r="Z1553" s="402"/>
      <c r="AA1553" s="405"/>
      <c r="AB1553" s="405"/>
    </row>
    <row r="1554" ht="14.25" customHeight="1">
      <c r="A1554" s="497">
        <v>45532.0</v>
      </c>
      <c r="B1554" s="535" t="s">
        <v>1907</v>
      </c>
      <c r="C1554" s="536" t="s">
        <v>1103</v>
      </c>
      <c r="D1554" s="536" t="s">
        <v>75</v>
      </c>
      <c r="E1554" s="349" t="s">
        <v>1098</v>
      </c>
      <c r="F1554" s="413">
        <v>1039500.0</v>
      </c>
      <c r="G1554" s="403"/>
      <c r="H1554" s="349" t="s">
        <v>1984</v>
      </c>
      <c r="I1554" s="402"/>
      <c r="J1554" s="402"/>
      <c r="K1554" s="402"/>
      <c r="L1554" s="402"/>
      <c r="M1554" s="402"/>
      <c r="N1554" s="402"/>
      <c r="O1554" s="402"/>
      <c r="P1554" s="402"/>
      <c r="Q1554" s="402"/>
      <c r="R1554" s="402"/>
      <c r="S1554" s="402"/>
      <c r="T1554" s="402"/>
      <c r="U1554" s="402"/>
      <c r="V1554" s="402"/>
      <c r="W1554" s="402"/>
      <c r="X1554" s="402"/>
      <c r="Y1554" s="402"/>
      <c r="Z1554" s="402"/>
      <c r="AA1554" s="405"/>
      <c r="AB1554" s="405"/>
    </row>
    <row r="1555" ht="14.25" customHeight="1">
      <c r="A1555" s="497">
        <v>45532.0</v>
      </c>
      <c r="B1555" s="349" t="s">
        <v>701</v>
      </c>
      <c r="C1555" s="349" t="s">
        <v>702</v>
      </c>
      <c r="D1555" s="349" t="s">
        <v>54</v>
      </c>
      <c r="E1555" s="349" t="s">
        <v>1098</v>
      </c>
      <c r="F1555" s="413">
        <v>10771.93</v>
      </c>
      <c r="G1555" s="403"/>
      <c r="H1555" s="349" t="s">
        <v>1985</v>
      </c>
      <c r="I1555" s="402"/>
      <c r="J1555" s="402"/>
      <c r="K1555" s="402"/>
      <c r="L1555" s="402"/>
      <c r="M1555" s="402"/>
      <c r="N1555" s="402"/>
      <c r="O1555" s="402"/>
      <c r="P1555" s="402"/>
      <c r="Q1555" s="402"/>
      <c r="R1555" s="402"/>
      <c r="S1555" s="402"/>
      <c r="T1555" s="402"/>
      <c r="U1555" s="402"/>
      <c r="V1555" s="402"/>
      <c r="W1555" s="402"/>
      <c r="X1555" s="402"/>
      <c r="Y1555" s="402"/>
      <c r="Z1555" s="402"/>
      <c r="AA1555" s="405"/>
      <c r="AB1555" s="405"/>
    </row>
    <row r="1556" ht="14.25" customHeight="1">
      <c r="A1556" s="497">
        <v>45532.0</v>
      </c>
      <c r="B1556" s="509" t="s">
        <v>1381</v>
      </c>
      <c r="C1556" s="510" t="s">
        <v>1382</v>
      </c>
      <c r="D1556" s="510" t="s">
        <v>54</v>
      </c>
      <c r="E1556" s="349" t="s">
        <v>1098</v>
      </c>
      <c r="F1556" s="416">
        <v>198106.72</v>
      </c>
      <c r="G1556" s="403"/>
      <c r="H1556" s="349" t="s">
        <v>1986</v>
      </c>
      <c r="I1556" s="402"/>
      <c r="J1556" s="402"/>
      <c r="K1556" s="402"/>
      <c r="L1556" s="402"/>
      <c r="M1556" s="402"/>
      <c r="N1556" s="402"/>
      <c r="O1556" s="402"/>
      <c r="P1556" s="402"/>
      <c r="Q1556" s="402"/>
      <c r="R1556" s="402"/>
      <c r="S1556" s="402"/>
      <c r="T1556" s="402"/>
      <c r="U1556" s="402"/>
      <c r="V1556" s="402"/>
      <c r="W1556" s="402"/>
      <c r="X1556" s="402"/>
      <c r="Y1556" s="402"/>
      <c r="Z1556" s="402"/>
      <c r="AA1556" s="405"/>
      <c r="AB1556" s="405"/>
    </row>
    <row r="1557" ht="14.25" customHeight="1">
      <c r="A1557" s="497">
        <v>45532.0</v>
      </c>
      <c r="B1557" s="349" t="s">
        <v>720</v>
      </c>
      <c r="C1557" s="349" t="s">
        <v>721</v>
      </c>
      <c r="D1557" s="349" t="s">
        <v>54</v>
      </c>
      <c r="E1557" s="349" t="s">
        <v>1098</v>
      </c>
      <c r="F1557" s="413">
        <v>2585.25</v>
      </c>
      <c r="G1557" s="413">
        <v>2586.0</v>
      </c>
      <c r="H1557" s="349" t="s">
        <v>149</v>
      </c>
      <c r="I1557" s="402"/>
      <c r="J1557" s="402"/>
      <c r="K1557" s="402"/>
      <c r="L1557" s="402"/>
      <c r="M1557" s="402"/>
      <c r="N1557" s="402"/>
      <c r="O1557" s="402"/>
      <c r="P1557" s="402"/>
      <c r="Q1557" s="402"/>
      <c r="R1557" s="402"/>
      <c r="S1557" s="402"/>
      <c r="T1557" s="402"/>
      <c r="U1557" s="402"/>
      <c r="V1557" s="402"/>
      <c r="W1557" s="402"/>
      <c r="X1557" s="402"/>
      <c r="Y1557" s="402"/>
      <c r="Z1557" s="402"/>
      <c r="AA1557" s="405"/>
      <c r="AB1557" s="405"/>
    </row>
    <row r="1558" ht="14.25" customHeight="1">
      <c r="A1558" s="497">
        <v>45532.0</v>
      </c>
      <c r="B1558" s="349" t="s">
        <v>1953</v>
      </c>
      <c r="C1558" s="349" t="s">
        <v>721</v>
      </c>
      <c r="D1558" s="349" t="s">
        <v>75</v>
      </c>
      <c r="E1558" s="349" t="s">
        <v>1098</v>
      </c>
      <c r="F1558" s="413">
        <v>115000.0</v>
      </c>
      <c r="G1558" s="413">
        <v>115000.0</v>
      </c>
      <c r="H1558" s="349" t="s">
        <v>149</v>
      </c>
      <c r="I1558" s="402"/>
      <c r="J1558" s="402"/>
      <c r="K1558" s="402"/>
      <c r="L1558" s="402"/>
      <c r="M1558" s="402"/>
      <c r="N1558" s="402"/>
      <c r="O1558" s="402"/>
      <c r="P1558" s="402"/>
      <c r="Q1558" s="402"/>
      <c r="R1558" s="402"/>
      <c r="S1558" s="402"/>
      <c r="T1558" s="402"/>
      <c r="U1558" s="402"/>
      <c r="V1558" s="402"/>
      <c r="W1558" s="402"/>
      <c r="X1558" s="402"/>
      <c r="Y1558" s="402"/>
      <c r="Z1558" s="402"/>
      <c r="AA1558" s="405"/>
      <c r="AB1558" s="405"/>
    </row>
    <row r="1559" ht="14.25" customHeight="1">
      <c r="A1559" s="497">
        <v>45532.0</v>
      </c>
      <c r="B1559" s="349" t="s">
        <v>807</v>
      </c>
      <c r="C1559" s="349" t="s">
        <v>1888</v>
      </c>
      <c r="D1559" s="510" t="s">
        <v>54</v>
      </c>
      <c r="E1559" s="349" t="s">
        <v>1098</v>
      </c>
      <c r="F1559" s="413">
        <v>31846.41</v>
      </c>
      <c r="G1559" s="403"/>
      <c r="H1559" s="349" t="s">
        <v>1987</v>
      </c>
      <c r="I1559" s="402"/>
      <c r="J1559" s="402"/>
      <c r="K1559" s="402"/>
      <c r="L1559" s="402"/>
      <c r="M1559" s="402"/>
      <c r="N1559" s="402"/>
      <c r="O1559" s="402"/>
      <c r="P1559" s="402"/>
      <c r="Q1559" s="402"/>
      <c r="R1559" s="402"/>
      <c r="S1559" s="402"/>
      <c r="T1559" s="402"/>
      <c r="U1559" s="402"/>
      <c r="V1559" s="402"/>
      <c r="W1559" s="402"/>
      <c r="X1559" s="402"/>
      <c r="Y1559" s="402"/>
      <c r="Z1559" s="402"/>
      <c r="AA1559" s="405"/>
      <c r="AB1559" s="405"/>
    </row>
    <row r="1560" ht="14.25" customHeight="1">
      <c r="A1560" s="497">
        <v>45532.0</v>
      </c>
      <c r="B1560" s="529" t="s">
        <v>705</v>
      </c>
      <c r="C1560" s="530" t="s">
        <v>1110</v>
      </c>
      <c r="D1560" s="510" t="s">
        <v>54</v>
      </c>
      <c r="E1560" s="349" t="s">
        <v>1098</v>
      </c>
      <c r="F1560" s="413">
        <v>5860.68</v>
      </c>
      <c r="G1560" s="403"/>
      <c r="H1560" s="562" t="s">
        <v>1915</v>
      </c>
      <c r="I1560" s="402"/>
      <c r="J1560" s="402"/>
      <c r="K1560" s="402"/>
      <c r="L1560" s="402"/>
      <c r="M1560" s="402"/>
      <c r="N1560" s="402"/>
      <c r="O1560" s="402"/>
      <c r="P1560" s="402"/>
      <c r="Q1560" s="402"/>
      <c r="R1560" s="402"/>
      <c r="S1560" s="402"/>
      <c r="T1560" s="402"/>
      <c r="U1560" s="402"/>
      <c r="V1560" s="402"/>
      <c r="W1560" s="402"/>
      <c r="X1560" s="402"/>
      <c r="Y1560" s="402"/>
      <c r="Z1560" s="402"/>
      <c r="AA1560" s="405"/>
      <c r="AB1560" s="405"/>
    </row>
    <row r="1561" ht="14.25" customHeight="1">
      <c r="A1561" s="497">
        <v>45532.0</v>
      </c>
      <c r="B1561" s="565" t="s">
        <v>1096</v>
      </c>
      <c r="C1561" s="322" t="s">
        <v>1097</v>
      </c>
      <c r="D1561" s="536" t="s">
        <v>54</v>
      </c>
      <c r="E1561" s="415" t="s">
        <v>1098</v>
      </c>
      <c r="F1561" s="413">
        <v>30000.0</v>
      </c>
      <c r="G1561" s="403"/>
      <c r="H1561" s="562" t="s">
        <v>1916</v>
      </c>
      <c r="I1561" s="402"/>
      <c r="J1561" s="402"/>
      <c r="K1561" s="402"/>
      <c r="L1561" s="402"/>
      <c r="M1561" s="402"/>
      <c r="N1561" s="402"/>
      <c r="O1561" s="402"/>
      <c r="P1561" s="402"/>
      <c r="Q1561" s="402"/>
      <c r="R1561" s="402"/>
      <c r="S1561" s="402"/>
      <c r="T1561" s="402"/>
      <c r="U1561" s="402"/>
      <c r="V1561" s="402"/>
      <c r="W1561" s="402"/>
      <c r="X1561" s="402"/>
      <c r="Y1561" s="402"/>
      <c r="Z1561" s="402"/>
      <c r="AA1561" s="405"/>
      <c r="AB1561" s="405"/>
    </row>
    <row r="1562" ht="14.25" customHeight="1">
      <c r="A1562" s="497">
        <v>45532.0</v>
      </c>
      <c r="B1562" s="349" t="s">
        <v>1955</v>
      </c>
      <c r="C1562" s="349" t="s">
        <v>1956</v>
      </c>
      <c r="D1562" s="349" t="s">
        <v>67</v>
      </c>
      <c r="E1562" s="349" t="s">
        <v>1098</v>
      </c>
      <c r="F1562" s="413">
        <v>275000.0</v>
      </c>
      <c r="G1562" s="403"/>
      <c r="H1562" s="402"/>
      <c r="I1562" s="402"/>
      <c r="J1562" s="402"/>
      <c r="K1562" s="402"/>
      <c r="L1562" s="402"/>
      <c r="M1562" s="402"/>
      <c r="N1562" s="402"/>
      <c r="O1562" s="402"/>
      <c r="P1562" s="402"/>
      <c r="Q1562" s="402"/>
      <c r="R1562" s="402"/>
      <c r="S1562" s="402"/>
      <c r="T1562" s="402"/>
      <c r="U1562" s="402"/>
      <c r="V1562" s="402"/>
      <c r="W1562" s="402"/>
      <c r="X1562" s="402"/>
      <c r="Y1562" s="402"/>
      <c r="Z1562" s="402"/>
      <c r="AA1562" s="405"/>
      <c r="AB1562" s="405"/>
    </row>
    <row r="1563" ht="14.25" customHeight="1">
      <c r="A1563" s="497">
        <v>45532.0</v>
      </c>
      <c r="B1563" s="518" t="s">
        <v>1988</v>
      </c>
      <c r="C1563" s="519" t="s">
        <v>1989</v>
      </c>
      <c r="D1563" s="519" t="s">
        <v>54</v>
      </c>
      <c r="E1563" s="349" t="s">
        <v>1098</v>
      </c>
      <c r="F1563" s="416">
        <v>273203.1</v>
      </c>
      <c r="G1563" s="413">
        <v>281602.0</v>
      </c>
      <c r="H1563" s="349" t="s">
        <v>710</v>
      </c>
      <c r="I1563" s="402"/>
      <c r="J1563" s="402"/>
      <c r="K1563" s="402"/>
      <c r="L1563" s="402"/>
      <c r="M1563" s="402"/>
      <c r="N1563" s="402"/>
      <c r="O1563" s="402"/>
      <c r="P1563" s="402"/>
      <c r="Q1563" s="402"/>
      <c r="R1563" s="402"/>
      <c r="S1563" s="402"/>
      <c r="T1563" s="402"/>
      <c r="U1563" s="402"/>
      <c r="V1563" s="402"/>
      <c r="W1563" s="402"/>
      <c r="X1563" s="402"/>
      <c r="Y1563" s="402"/>
      <c r="Z1563" s="402"/>
      <c r="AA1563" s="405"/>
      <c r="AB1563" s="405"/>
    </row>
    <row r="1564" ht="14.25" customHeight="1">
      <c r="A1564" s="497">
        <v>45532.0</v>
      </c>
      <c r="B1564" s="518" t="s">
        <v>1568</v>
      </c>
      <c r="C1564" s="519" t="s">
        <v>910</v>
      </c>
      <c r="D1564" s="519" t="s">
        <v>59</v>
      </c>
      <c r="E1564" s="415" t="s">
        <v>1153</v>
      </c>
      <c r="F1564" s="566">
        <v>156608.0</v>
      </c>
      <c r="G1564" s="413"/>
      <c r="H1564" s="349" t="s">
        <v>1313</v>
      </c>
      <c r="I1564" s="402"/>
      <c r="J1564" s="402"/>
      <c r="K1564" s="402"/>
      <c r="L1564" s="402"/>
      <c r="M1564" s="402"/>
      <c r="N1564" s="402"/>
      <c r="O1564" s="402"/>
      <c r="P1564" s="402"/>
      <c r="Q1564" s="402"/>
      <c r="R1564" s="402"/>
      <c r="S1564" s="402"/>
      <c r="T1564" s="402"/>
      <c r="U1564" s="402"/>
      <c r="V1564" s="402"/>
      <c r="W1564" s="402"/>
      <c r="X1564" s="402"/>
      <c r="Y1564" s="402"/>
      <c r="Z1564" s="402"/>
      <c r="AA1564" s="405"/>
      <c r="AB1564" s="405"/>
    </row>
    <row r="1565" ht="14.25" customHeight="1">
      <c r="A1565" s="497">
        <v>45532.0</v>
      </c>
      <c r="B1565" s="349" t="s">
        <v>1622</v>
      </c>
      <c r="C1565" s="519" t="s">
        <v>730</v>
      </c>
      <c r="D1565" s="349" t="s">
        <v>75</v>
      </c>
      <c r="E1565" s="415" t="s">
        <v>1153</v>
      </c>
      <c r="F1565" s="566">
        <v>300000.0</v>
      </c>
      <c r="G1565" s="413"/>
      <c r="H1565" s="402"/>
      <c r="I1565" s="402"/>
      <c r="J1565" s="402"/>
      <c r="K1565" s="402"/>
      <c r="L1565" s="402"/>
      <c r="M1565" s="402"/>
      <c r="N1565" s="402"/>
      <c r="O1565" s="402"/>
      <c r="P1565" s="402"/>
      <c r="Q1565" s="402"/>
      <c r="R1565" s="402"/>
      <c r="S1565" s="402"/>
      <c r="T1565" s="402"/>
      <c r="U1565" s="402"/>
      <c r="V1565" s="402"/>
      <c r="W1565" s="402"/>
      <c r="X1565" s="402"/>
      <c r="Y1565" s="402"/>
      <c r="Z1565" s="402"/>
      <c r="AA1565" s="405"/>
      <c r="AB1565" s="405"/>
    </row>
    <row r="1566" ht="14.25" customHeight="1">
      <c r="A1566" s="497">
        <v>45532.0</v>
      </c>
      <c r="B1566" s="518" t="s">
        <v>786</v>
      </c>
      <c r="C1566" s="519" t="s">
        <v>747</v>
      </c>
      <c r="D1566" s="349" t="s">
        <v>54</v>
      </c>
      <c r="E1566" s="415" t="s">
        <v>1153</v>
      </c>
      <c r="F1566" s="559">
        <v>108000.0</v>
      </c>
      <c r="G1566" s="403"/>
      <c r="H1566" s="484" t="s">
        <v>1990</v>
      </c>
      <c r="I1566" s="402"/>
      <c r="J1566" s="402"/>
      <c r="K1566" s="402"/>
      <c r="L1566" s="402"/>
      <c r="M1566" s="402"/>
      <c r="N1566" s="402"/>
      <c r="O1566" s="402"/>
      <c r="P1566" s="402"/>
      <c r="Q1566" s="402"/>
      <c r="R1566" s="402"/>
      <c r="S1566" s="402"/>
      <c r="T1566" s="402"/>
      <c r="U1566" s="402"/>
      <c r="V1566" s="402"/>
      <c r="W1566" s="402"/>
      <c r="X1566" s="402"/>
      <c r="Y1566" s="402"/>
      <c r="Z1566" s="402"/>
      <c r="AA1566" s="405"/>
      <c r="AB1566" s="405"/>
    </row>
    <row r="1567" ht="14.25" customHeight="1">
      <c r="A1567" s="497">
        <v>45532.0</v>
      </c>
      <c r="B1567" s="535" t="s">
        <v>870</v>
      </c>
      <c r="C1567" s="536" t="s">
        <v>871</v>
      </c>
      <c r="D1567" s="536" t="s">
        <v>54</v>
      </c>
      <c r="E1567" s="411" t="s">
        <v>1153</v>
      </c>
      <c r="F1567" s="559">
        <v>14225.08</v>
      </c>
      <c r="G1567" s="403"/>
      <c r="H1567" s="349" t="s">
        <v>1991</v>
      </c>
      <c r="I1567" s="402"/>
      <c r="J1567" s="402"/>
      <c r="K1567" s="402"/>
      <c r="L1567" s="402"/>
      <c r="M1567" s="402"/>
      <c r="N1567" s="402"/>
      <c r="O1567" s="402"/>
      <c r="P1567" s="402"/>
      <c r="Q1567" s="402"/>
      <c r="R1567" s="402"/>
      <c r="S1567" s="402"/>
      <c r="T1567" s="402"/>
      <c r="U1567" s="402"/>
      <c r="V1567" s="402"/>
      <c r="W1567" s="402"/>
      <c r="X1567" s="402"/>
      <c r="Y1567" s="402"/>
      <c r="Z1567" s="402"/>
      <c r="AA1567" s="405"/>
      <c r="AB1567" s="405"/>
    </row>
    <row r="1568" ht="14.25" customHeight="1">
      <c r="A1568" s="497">
        <v>45532.0</v>
      </c>
      <c r="B1568" s="349" t="s">
        <v>1961</v>
      </c>
      <c r="C1568" s="349" t="s">
        <v>787</v>
      </c>
      <c r="D1568" s="349" t="s">
        <v>75</v>
      </c>
      <c r="E1568" s="349" t="s">
        <v>1153</v>
      </c>
      <c r="F1568" s="559">
        <v>51864.64</v>
      </c>
      <c r="G1568" s="403"/>
      <c r="H1568" s="349" t="s">
        <v>1992</v>
      </c>
      <c r="I1568" s="402"/>
      <c r="J1568" s="402"/>
      <c r="K1568" s="402"/>
      <c r="L1568" s="402"/>
      <c r="M1568" s="402"/>
      <c r="N1568" s="402"/>
      <c r="O1568" s="402"/>
      <c r="P1568" s="402"/>
      <c r="Q1568" s="402"/>
      <c r="R1568" s="402"/>
      <c r="S1568" s="402"/>
      <c r="T1568" s="402"/>
      <c r="U1568" s="402"/>
      <c r="V1568" s="402"/>
      <c r="W1568" s="402"/>
      <c r="X1568" s="402"/>
      <c r="Y1568" s="402"/>
      <c r="Z1568" s="402"/>
      <c r="AA1568" s="405"/>
      <c r="AB1568" s="405"/>
    </row>
    <row r="1569" ht="14.25" customHeight="1">
      <c r="A1569" s="497">
        <v>45532.0</v>
      </c>
      <c r="B1569" s="558" t="s">
        <v>1003</v>
      </c>
      <c r="C1569" s="65" t="s">
        <v>1004</v>
      </c>
      <c r="D1569" s="536" t="s">
        <v>54</v>
      </c>
      <c r="E1569" s="349" t="s">
        <v>1153</v>
      </c>
      <c r="F1569" s="567">
        <v>3000000.0</v>
      </c>
      <c r="G1569" s="413">
        <v>366000.0</v>
      </c>
      <c r="H1569" s="349" t="s">
        <v>1993</v>
      </c>
      <c r="I1569" s="402"/>
      <c r="J1569" s="402"/>
      <c r="K1569" s="402"/>
      <c r="L1569" s="402"/>
      <c r="M1569" s="402"/>
      <c r="N1569" s="402"/>
      <c r="O1569" s="402"/>
      <c r="P1569" s="402"/>
      <c r="Q1569" s="402"/>
      <c r="R1569" s="402"/>
      <c r="S1569" s="402"/>
      <c r="T1569" s="402"/>
      <c r="U1569" s="402"/>
      <c r="V1569" s="402"/>
      <c r="W1569" s="402"/>
      <c r="X1569" s="402"/>
      <c r="Y1569" s="402"/>
      <c r="Z1569" s="402"/>
      <c r="AA1569" s="405"/>
      <c r="AB1569" s="405"/>
    </row>
    <row r="1570" ht="14.25" customHeight="1">
      <c r="A1570" s="497">
        <v>45532.0</v>
      </c>
      <c r="B1570" s="558" t="s">
        <v>1001</v>
      </c>
      <c r="C1570" s="349" t="s">
        <v>1002</v>
      </c>
      <c r="D1570" s="536" t="s">
        <v>54</v>
      </c>
      <c r="E1570" s="349" t="s">
        <v>1153</v>
      </c>
      <c r="F1570" s="567">
        <v>85022.0</v>
      </c>
      <c r="G1570" s="413"/>
      <c r="H1570" s="349" t="s">
        <v>1313</v>
      </c>
      <c r="I1570" s="402"/>
      <c r="J1570" s="402"/>
      <c r="K1570" s="402"/>
      <c r="L1570" s="402"/>
      <c r="M1570" s="402"/>
      <c r="N1570" s="402"/>
      <c r="O1570" s="402"/>
      <c r="P1570" s="402"/>
      <c r="Q1570" s="402"/>
      <c r="R1570" s="402"/>
      <c r="S1570" s="402"/>
      <c r="T1570" s="402"/>
      <c r="U1570" s="402"/>
      <c r="V1570" s="402"/>
      <c r="W1570" s="402"/>
      <c r="X1570" s="402"/>
      <c r="Y1570" s="402"/>
      <c r="Z1570" s="402"/>
      <c r="AA1570" s="405"/>
      <c r="AB1570" s="405"/>
    </row>
    <row r="1571" ht="14.25" customHeight="1">
      <c r="A1571" s="497">
        <v>45532.0</v>
      </c>
      <c r="B1571" s="349" t="s">
        <v>774</v>
      </c>
      <c r="C1571" s="349" t="s">
        <v>799</v>
      </c>
      <c r="D1571" s="349" t="s">
        <v>54</v>
      </c>
      <c r="E1571" s="349" t="s">
        <v>1139</v>
      </c>
      <c r="F1571" s="413">
        <v>129709.43</v>
      </c>
      <c r="G1571" s="413">
        <v>0.0</v>
      </c>
      <c r="H1571" s="349" t="s">
        <v>1994</v>
      </c>
      <c r="I1571" s="402"/>
      <c r="J1571" s="402"/>
      <c r="K1571" s="402"/>
      <c r="L1571" s="402"/>
      <c r="M1571" s="402"/>
      <c r="N1571" s="402"/>
      <c r="O1571" s="402"/>
      <c r="P1571" s="402"/>
      <c r="Q1571" s="402"/>
      <c r="R1571" s="402"/>
      <c r="S1571" s="402"/>
      <c r="T1571" s="402"/>
      <c r="U1571" s="402"/>
      <c r="V1571" s="402"/>
      <c r="W1571" s="402"/>
      <c r="X1571" s="402"/>
      <c r="Y1571" s="402"/>
      <c r="Z1571" s="402"/>
      <c r="AA1571" s="405"/>
      <c r="AB1571" s="405"/>
    </row>
    <row r="1572" ht="14.25" customHeight="1">
      <c r="A1572" s="497">
        <v>45532.0</v>
      </c>
      <c r="B1572" s="535" t="s">
        <v>918</v>
      </c>
      <c r="C1572" s="536" t="s">
        <v>919</v>
      </c>
      <c r="D1572" s="536" t="s">
        <v>54</v>
      </c>
      <c r="E1572" s="349" t="s">
        <v>1139</v>
      </c>
      <c r="F1572" s="413">
        <v>32745.44</v>
      </c>
      <c r="G1572" s="413">
        <v>0.0</v>
      </c>
      <c r="H1572" s="349" t="s">
        <v>1995</v>
      </c>
      <c r="I1572" s="402"/>
      <c r="J1572" s="402"/>
      <c r="K1572" s="402"/>
      <c r="L1572" s="402"/>
      <c r="M1572" s="402"/>
      <c r="N1572" s="402"/>
      <c r="O1572" s="402"/>
      <c r="P1572" s="402"/>
      <c r="Q1572" s="402"/>
      <c r="R1572" s="402"/>
      <c r="S1572" s="402"/>
      <c r="T1572" s="402"/>
      <c r="U1572" s="402"/>
      <c r="V1572" s="402"/>
      <c r="W1572" s="402"/>
      <c r="X1572" s="402"/>
      <c r="Y1572" s="402"/>
      <c r="Z1572" s="402"/>
      <c r="AA1572" s="405"/>
      <c r="AB1572" s="405"/>
    </row>
    <row r="1573" ht="14.25" customHeight="1">
      <c r="A1573" s="497">
        <v>45532.0</v>
      </c>
      <c r="B1573" s="535" t="s">
        <v>783</v>
      </c>
      <c r="C1573" s="536" t="s">
        <v>784</v>
      </c>
      <c r="D1573" s="536" t="s">
        <v>54</v>
      </c>
      <c r="E1573" s="349" t="s">
        <v>1139</v>
      </c>
      <c r="F1573" s="413">
        <v>100000.0</v>
      </c>
      <c r="G1573" s="413">
        <v>0.0</v>
      </c>
      <c r="H1573" s="349" t="s">
        <v>1996</v>
      </c>
      <c r="I1573" s="402"/>
      <c r="J1573" s="402"/>
      <c r="K1573" s="402"/>
      <c r="L1573" s="402"/>
      <c r="M1573" s="402"/>
      <c r="N1573" s="402"/>
      <c r="O1573" s="402"/>
      <c r="P1573" s="402"/>
      <c r="Q1573" s="402"/>
      <c r="R1573" s="402"/>
      <c r="S1573" s="402"/>
      <c r="T1573" s="402"/>
      <c r="U1573" s="402"/>
      <c r="V1573" s="402"/>
      <c r="W1573" s="402"/>
      <c r="X1573" s="402"/>
      <c r="Y1573" s="402"/>
      <c r="Z1573" s="402"/>
      <c r="AA1573" s="405"/>
      <c r="AB1573" s="405"/>
    </row>
    <row r="1574" ht="14.25" customHeight="1">
      <c r="A1574" s="497">
        <v>45532.0</v>
      </c>
      <c r="B1574" s="349" t="s">
        <v>870</v>
      </c>
      <c r="C1574" s="349" t="s">
        <v>871</v>
      </c>
      <c r="D1574" s="349" t="s">
        <v>54</v>
      </c>
      <c r="E1574" s="349" t="s">
        <v>1139</v>
      </c>
      <c r="F1574" s="413">
        <v>18936.33</v>
      </c>
      <c r="G1574" s="413">
        <v>0.0</v>
      </c>
      <c r="H1574" s="349" t="s">
        <v>1991</v>
      </c>
      <c r="I1574" s="402"/>
      <c r="J1574" s="402"/>
      <c r="K1574" s="402"/>
      <c r="L1574" s="402"/>
      <c r="M1574" s="402"/>
      <c r="N1574" s="402"/>
      <c r="O1574" s="402"/>
      <c r="P1574" s="402"/>
      <c r="Q1574" s="402"/>
      <c r="R1574" s="402"/>
      <c r="S1574" s="402"/>
      <c r="T1574" s="402"/>
      <c r="U1574" s="402"/>
      <c r="V1574" s="402"/>
      <c r="W1574" s="402"/>
      <c r="X1574" s="402"/>
      <c r="Y1574" s="402"/>
      <c r="Z1574" s="402"/>
      <c r="AA1574" s="405"/>
      <c r="AB1574" s="405"/>
    </row>
    <row r="1575" ht="14.25" customHeight="1">
      <c r="A1575" s="497">
        <v>45532.0</v>
      </c>
      <c r="B1575" s="535" t="s">
        <v>915</v>
      </c>
      <c r="C1575" s="536" t="s">
        <v>916</v>
      </c>
      <c r="D1575" s="536" t="s">
        <v>54</v>
      </c>
      <c r="E1575" s="349" t="s">
        <v>1139</v>
      </c>
      <c r="F1575" s="563">
        <v>43399.96</v>
      </c>
      <c r="G1575" s="413">
        <v>0.0</v>
      </c>
      <c r="H1575" s="349" t="s">
        <v>1997</v>
      </c>
      <c r="I1575" s="402"/>
      <c r="J1575" s="402"/>
      <c r="K1575" s="402"/>
      <c r="L1575" s="402"/>
      <c r="M1575" s="402"/>
      <c r="N1575" s="402"/>
      <c r="O1575" s="402"/>
      <c r="P1575" s="402"/>
      <c r="Q1575" s="402"/>
      <c r="R1575" s="402"/>
      <c r="S1575" s="402"/>
      <c r="T1575" s="402"/>
      <c r="U1575" s="402"/>
      <c r="V1575" s="402"/>
      <c r="W1575" s="402"/>
      <c r="X1575" s="402"/>
      <c r="Y1575" s="402"/>
      <c r="Z1575" s="402"/>
      <c r="AA1575" s="405"/>
      <c r="AB1575" s="405"/>
    </row>
    <row r="1576" ht="14.25" customHeight="1">
      <c r="A1576" s="497">
        <v>45532.0</v>
      </c>
      <c r="B1576" s="518" t="s">
        <v>781</v>
      </c>
      <c r="C1576" s="519" t="s">
        <v>782</v>
      </c>
      <c r="D1576" s="519" t="s">
        <v>54</v>
      </c>
      <c r="E1576" s="349" t="s">
        <v>1168</v>
      </c>
      <c r="F1576" s="489">
        <v>21420.98</v>
      </c>
      <c r="G1576" s="413">
        <v>0.0</v>
      </c>
      <c r="H1576" s="349" t="s">
        <v>1998</v>
      </c>
      <c r="I1576" s="402"/>
      <c r="J1576" s="402"/>
      <c r="K1576" s="402"/>
      <c r="L1576" s="402"/>
      <c r="M1576" s="402"/>
      <c r="N1576" s="402"/>
      <c r="O1576" s="402"/>
      <c r="P1576" s="402"/>
      <c r="Q1576" s="402"/>
      <c r="R1576" s="402"/>
      <c r="S1576" s="402"/>
      <c r="T1576" s="402"/>
      <c r="U1576" s="402"/>
      <c r="V1576" s="402"/>
      <c r="W1576" s="402"/>
      <c r="X1576" s="402"/>
      <c r="Y1576" s="402"/>
      <c r="Z1576" s="402"/>
      <c r="AA1576" s="405"/>
      <c r="AB1576" s="405"/>
    </row>
    <row r="1577" ht="14.25" customHeight="1">
      <c r="A1577" s="497">
        <v>45532.0</v>
      </c>
      <c r="B1577" s="349" t="s">
        <v>1648</v>
      </c>
      <c r="C1577" s="349" t="s">
        <v>1013</v>
      </c>
      <c r="D1577" s="349" t="s">
        <v>59</v>
      </c>
      <c r="E1577" s="349" t="s">
        <v>1168</v>
      </c>
      <c r="F1577" s="413">
        <v>249174.43</v>
      </c>
      <c r="G1577" s="413">
        <v>0.0</v>
      </c>
      <c r="H1577" s="349" t="s">
        <v>1999</v>
      </c>
      <c r="I1577" s="402"/>
      <c r="J1577" s="402"/>
      <c r="K1577" s="402"/>
      <c r="L1577" s="402"/>
      <c r="M1577" s="402"/>
      <c r="N1577" s="402"/>
      <c r="O1577" s="402"/>
      <c r="P1577" s="402"/>
      <c r="Q1577" s="402"/>
      <c r="R1577" s="402"/>
      <c r="S1577" s="402"/>
      <c r="T1577" s="402"/>
      <c r="U1577" s="402"/>
      <c r="V1577" s="402"/>
      <c r="W1577" s="402"/>
      <c r="X1577" s="402"/>
      <c r="Y1577" s="402"/>
      <c r="Z1577" s="402"/>
      <c r="AA1577" s="405"/>
      <c r="AB1577" s="405"/>
    </row>
    <row r="1578" ht="14.25" customHeight="1">
      <c r="A1578" s="497">
        <v>45532.0</v>
      </c>
      <c r="B1578" s="349" t="s">
        <v>1673</v>
      </c>
      <c r="C1578" s="349" t="s">
        <v>1674</v>
      </c>
      <c r="D1578" s="519" t="s">
        <v>54</v>
      </c>
      <c r="E1578" s="349" t="s">
        <v>1168</v>
      </c>
      <c r="F1578" s="413">
        <v>58919.23</v>
      </c>
      <c r="G1578" s="413">
        <v>0.0</v>
      </c>
      <c r="H1578" s="349" t="s">
        <v>1970</v>
      </c>
      <c r="I1578" s="402"/>
      <c r="J1578" s="402"/>
      <c r="K1578" s="402"/>
      <c r="L1578" s="402"/>
      <c r="M1578" s="402"/>
      <c r="N1578" s="402"/>
      <c r="O1578" s="402"/>
      <c r="P1578" s="402"/>
      <c r="Q1578" s="402"/>
      <c r="R1578" s="402"/>
      <c r="S1578" s="402"/>
      <c r="T1578" s="402"/>
      <c r="U1578" s="402"/>
      <c r="V1578" s="402"/>
      <c r="W1578" s="402"/>
      <c r="X1578" s="402"/>
      <c r="Y1578" s="402"/>
      <c r="Z1578" s="402"/>
      <c r="AA1578" s="405"/>
      <c r="AB1578" s="405"/>
    </row>
    <row r="1579" ht="14.25" customHeight="1">
      <c r="A1579" s="497">
        <v>45532.0</v>
      </c>
      <c r="B1579" s="349" t="s">
        <v>698</v>
      </c>
      <c r="C1579" s="349" t="s">
        <v>1167</v>
      </c>
      <c r="D1579" s="516" t="s">
        <v>54</v>
      </c>
      <c r="E1579" s="349" t="s">
        <v>1168</v>
      </c>
      <c r="F1579" s="413">
        <v>39696.03</v>
      </c>
      <c r="G1579" s="413">
        <v>0.0</v>
      </c>
      <c r="H1579" s="349" t="s">
        <v>2000</v>
      </c>
      <c r="I1579" s="402"/>
      <c r="J1579" s="402"/>
      <c r="K1579" s="402"/>
      <c r="L1579" s="402"/>
      <c r="M1579" s="402"/>
      <c r="N1579" s="402"/>
      <c r="O1579" s="402"/>
      <c r="P1579" s="402"/>
      <c r="Q1579" s="402"/>
      <c r="R1579" s="402"/>
      <c r="S1579" s="402"/>
      <c r="T1579" s="402"/>
      <c r="U1579" s="402"/>
      <c r="V1579" s="402"/>
      <c r="W1579" s="402"/>
      <c r="X1579" s="402"/>
      <c r="Y1579" s="402"/>
      <c r="Z1579" s="402"/>
      <c r="AA1579" s="405"/>
      <c r="AB1579" s="405"/>
    </row>
    <row r="1580" ht="14.25" customHeight="1">
      <c r="A1580" s="497">
        <v>45532.0</v>
      </c>
      <c r="B1580" s="349" t="s">
        <v>997</v>
      </c>
      <c r="C1580" s="349" t="s">
        <v>998</v>
      </c>
      <c r="D1580" s="344" t="s">
        <v>346</v>
      </c>
      <c r="E1580" s="349" t="s">
        <v>1168</v>
      </c>
      <c r="F1580" s="452">
        <v>28350.0</v>
      </c>
      <c r="G1580" s="413">
        <v>0.0</v>
      </c>
      <c r="H1580" s="552" t="s">
        <v>2001</v>
      </c>
      <c r="I1580" s="402"/>
      <c r="J1580" s="402"/>
      <c r="K1580" s="402"/>
      <c r="L1580" s="402"/>
      <c r="M1580" s="402"/>
      <c r="N1580" s="402"/>
      <c r="O1580" s="402"/>
      <c r="P1580" s="402"/>
      <c r="Q1580" s="402"/>
      <c r="R1580" s="402"/>
      <c r="S1580" s="402"/>
      <c r="T1580" s="402"/>
      <c r="U1580" s="402"/>
      <c r="V1580" s="402"/>
      <c r="W1580" s="402"/>
      <c r="X1580" s="402"/>
      <c r="Y1580" s="402"/>
      <c r="Z1580" s="402"/>
      <c r="AA1580" s="405"/>
      <c r="AB1580" s="405"/>
    </row>
    <row r="1581" ht="14.25" customHeight="1">
      <c r="A1581" s="497">
        <v>45532.0</v>
      </c>
      <c r="B1581" s="349" t="s">
        <v>1223</v>
      </c>
      <c r="C1581" s="349" t="s">
        <v>998</v>
      </c>
      <c r="D1581" s="415" t="s">
        <v>319</v>
      </c>
      <c r="E1581" s="349" t="s">
        <v>1168</v>
      </c>
      <c r="F1581" s="413">
        <v>173053.18</v>
      </c>
      <c r="G1581" s="568">
        <v>30000.0</v>
      </c>
      <c r="H1581" s="349" t="s">
        <v>2002</v>
      </c>
      <c r="I1581" s="402"/>
      <c r="J1581" s="402"/>
      <c r="K1581" s="402"/>
      <c r="L1581" s="402"/>
      <c r="M1581" s="402"/>
      <c r="N1581" s="402"/>
      <c r="O1581" s="402"/>
      <c r="P1581" s="402"/>
      <c r="Q1581" s="402"/>
      <c r="R1581" s="402"/>
      <c r="S1581" s="402"/>
      <c r="T1581" s="402"/>
      <c r="U1581" s="402"/>
      <c r="V1581" s="402"/>
      <c r="W1581" s="402"/>
      <c r="X1581" s="402"/>
      <c r="Y1581" s="402"/>
      <c r="Z1581" s="402"/>
      <c r="AA1581" s="405"/>
      <c r="AB1581" s="405"/>
    </row>
    <row r="1582" ht="14.25" customHeight="1">
      <c r="A1582" s="497">
        <v>45532.0</v>
      </c>
      <c r="B1582" s="349" t="s">
        <v>1644</v>
      </c>
      <c r="C1582" s="349" t="s">
        <v>1893</v>
      </c>
      <c r="D1582" s="349" t="s">
        <v>54</v>
      </c>
      <c r="E1582" s="349" t="s">
        <v>1168</v>
      </c>
      <c r="F1582" s="413">
        <v>16680.0</v>
      </c>
      <c r="G1582" s="413">
        <v>0.0</v>
      </c>
      <c r="H1582" s="349" t="s">
        <v>2003</v>
      </c>
      <c r="I1582" s="402"/>
      <c r="J1582" s="402"/>
      <c r="K1582" s="402"/>
      <c r="L1582" s="402"/>
      <c r="M1582" s="402"/>
      <c r="N1582" s="402"/>
      <c r="O1582" s="402"/>
      <c r="P1582" s="402"/>
      <c r="Q1582" s="402"/>
      <c r="R1582" s="402"/>
      <c r="S1582" s="402"/>
      <c r="T1582" s="402"/>
      <c r="U1582" s="402"/>
      <c r="V1582" s="402"/>
      <c r="W1582" s="402"/>
      <c r="X1582" s="402"/>
      <c r="Y1582" s="402"/>
      <c r="Z1582" s="402"/>
      <c r="AA1582" s="405"/>
      <c r="AB1582" s="405"/>
    </row>
    <row r="1583" ht="14.25" customHeight="1">
      <c r="A1583" s="497">
        <v>45532.0</v>
      </c>
      <c r="B1583" s="535" t="s">
        <v>1046</v>
      </c>
      <c r="C1583" s="536" t="s">
        <v>1145</v>
      </c>
      <c r="D1583" s="536" t="s">
        <v>54</v>
      </c>
      <c r="E1583" s="349" t="s">
        <v>1168</v>
      </c>
      <c r="F1583" s="413">
        <v>20520.2</v>
      </c>
      <c r="G1583" s="413">
        <v>0.0</v>
      </c>
      <c r="H1583" s="349" t="s">
        <v>2004</v>
      </c>
      <c r="I1583" s="402"/>
      <c r="J1583" s="402"/>
      <c r="K1583" s="402"/>
      <c r="L1583" s="402"/>
      <c r="M1583" s="402"/>
      <c r="N1583" s="402"/>
      <c r="O1583" s="402"/>
      <c r="P1583" s="402"/>
      <c r="Q1583" s="402"/>
      <c r="R1583" s="402"/>
      <c r="S1583" s="402"/>
      <c r="T1583" s="402"/>
      <c r="U1583" s="402"/>
      <c r="V1583" s="402"/>
      <c r="W1583" s="402"/>
      <c r="X1583" s="402"/>
      <c r="Y1583" s="402"/>
      <c r="Z1583" s="402"/>
      <c r="AA1583" s="405"/>
      <c r="AB1583" s="405"/>
    </row>
    <row r="1584" ht="14.25" customHeight="1">
      <c r="A1584" s="497">
        <v>45532.0</v>
      </c>
      <c r="B1584" s="349" t="s">
        <v>761</v>
      </c>
      <c r="C1584" s="349" t="s">
        <v>1596</v>
      </c>
      <c r="D1584" s="349" t="s">
        <v>59</v>
      </c>
      <c r="E1584" s="349" t="s">
        <v>1168</v>
      </c>
      <c r="F1584" s="413">
        <v>26223.11</v>
      </c>
      <c r="G1584" s="413">
        <v>0.0</v>
      </c>
      <c r="H1584" s="349" t="s">
        <v>2005</v>
      </c>
      <c r="I1584" s="402"/>
      <c r="J1584" s="402"/>
      <c r="K1584" s="402"/>
      <c r="L1584" s="402"/>
      <c r="M1584" s="402"/>
      <c r="N1584" s="402"/>
      <c r="O1584" s="402"/>
      <c r="P1584" s="402"/>
      <c r="Q1584" s="402"/>
      <c r="R1584" s="402"/>
      <c r="S1584" s="402"/>
      <c r="T1584" s="402"/>
      <c r="U1584" s="402"/>
      <c r="V1584" s="402"/>
      <c r="W1584" s="402"/>
      <c r="X1584" s="402"/>
      <c r="Y1584" s="402"/>
      <c r="Z1584" s="402"/>
      <c r="AA1584" s="405"/>
      <c r="AB1584" s="405"/>
    </row>
    <row r="1585" ht="14.25" customHeight="1">
      <c r="A1585" s="497">
        <v>45532.0</v>
      </c>
      <c r="B1585" s="349" t="s">
        <v>1475</v>
      </c>
      <c r="C1585" s="349" t="s">
        <v>1895</v>
      </c>
      <c r="D1585" s="349" t="s">
        <v>75</v>
      </c>
      <c r="E1585" s="349" t="s">
        <v>1168</v>
      </c>
      <c r="F1585" s="413">
        <v>106909.0</v>
      </c>
      <c r="G1585" s="413">
        <v>0.0</v>
      </c>
      <c r="H1585" s="349" t="s">
        <v>1998</v>
      </c>
      <c r="I1585" s="402"/>
      <c r="J1585" s="402"/>
      <c r="K1585" s="402"/>
      <c r="L1585" s="402"/>
      <c r="M1585" s="402"/>
      <c r="N1585" s="402"/>
      <c r="O1585" s="402"/>
      <c r="P1585" s="402"/>
      <c r="Q1585" s="402"/>
      <c r="R1585" s="402"/>
      <c r="S1585" s="402"/>
      <c r="T1585" s="402"/>
      <c r="U1585" s="402"/>
      <c r="V1585" s="402"/>
      <c r="W1585" s="402"/>
      <c r="X1585" s="402"/>
      <c r="Y1585" s="402"/>
      <c r="Z1585" s="402"/>
      <c r="AA1585" s="405"/>
      <c r="AB1585" s="405"/>
    </row>
    <row r="1586" ht="14.25" customHeight="1">
      <c r="A1586" s="497">
        <v>45532.0</v>
      </c>
      <c r="B1586" s="349" t="s">
        <v>1503</v>
      </c>
      <c r="C1586" s="349" t="s">
        <v>1504</v>
      </c>
      <c r="D1586" s="349" t="s">
        <v>54</v>
      </c>
      <c r="E1586" s="349" t="s">
        <v>1168</v>
      </c>
      <c r="F1586" s="413">
        <v>11747.78</v>
      </c>
      <c r="G1586" s="413">
        <v>0.0</v>
      </c>
      <c r="H1586" s="349" t="s">
        <v>2006</v>
      </c>
      <c r="I1586" s="402"/>
      <c r="J1586" s="402"/>
      <c r="K1586" s="402"/>
      <c r="L1586" s="402"/>
      <c r="M1586" s="402"/>
      <c r="N1586" s="402"/>
      <c r="O1586" s="402"/>
      <c r="P1586" s="402"/>
      <c r="Q1586" s="402"/>
      <c r="R1586" s="402"/>
      <c r="S1586" s="402"/>
      <c r="T1586" s="402"/>
      <c r="U1586" s="402"/>
      <c r="V1586" s="402"/>
      <c r="W1586" s="402"/>
      <c r="X1586" s="402"/>
      <c r="Y1586" s="402"/>
      <c r="Z1586" s="402"/>
      <c r="AA1586" s="405"/>
      <c r="AB1586" s="405"/>
    </row>
    <row r="1587" ht="14.25" customHeight="1">
      <c r="A1587" s="497"/>
      <c r="B1587" s="402"/>
      <c r="C1587" s="402"/>
      <c r="D1587" s="402"/>
      <c r="E1587" s="402"/>
      <c r="F1587" s="403"/>
      <c r="G1587" s="403"/>
      <c r="H1587" s="402"/>
      <c r="I1587" s="402"/>
      <c r="J1587" s="402"/>
      <c r="K1587" s="402"/>
      <c r="L1587" s="402"/>
      <c r="M1587" s="402"/>
      <c r="N1587" s="402"/>
      <c r="O1587" s="402"/>
      <c r="P1587" s="402"/>
      <c r="Q1587" s="402"/>
      <c r="R1587" s="402"/>
      <c r="S1587" s="402"/>
      <c r="T1587" s="402"/>
      <c r="U1587" s="402"/>
      <c r="V1587" s="402"/>
      <c r="W1587" s="402"/>
      <c r="X1587" s="402"/>
      <c r="Y1587" s="402"/>
      <c r="Z1587" s="402"/>
      <c r="AA1587" s="405"/>
      <c r="AB1587" s="405"/>
    </row>
    <row r="1588" ht="14.25" customHeight="1">
      <c r="A1588" s="497"/>
      <c r="B1588" s="402"/>
      <c r="C1588" s="424" t="s">
        <v>797</v>
      </c>
      <c r="D1588" s="402"/>
      <c r="E1588" s="402"/>
      <c r="F1588" s="403"/>
      <c r="G1588" s="403"/>
      <c r="H1588" s="402"/>
      <c r="I1588" s="402"/>
      <c r="J1588" s="402"/>
      <c r="K1588" s="402"/>
      <c r="L1588" s="402"/>
      <c r="M1588" s="402"/>
      <c r="N1588" s="402"/>
      <c r="O1588" s="402"/>
      <c r="P1588" s="402"/>
      <c r="Q1588" s="402"/>
      <c r="R1588" s="402"/>
      <c r="S1588" s="402"/>
      <c r="T1588" s="402"/>
      <c r="U1588" s="402"/>
      <c r="V1588" s="402"/>
      <c r="W1588" s="402"/>
      <c r="X1588" s="402"/>
      <c r="Y1588" s="402"/>
      <c r="Z1588" s="402"/>
      <c r="AA1588" s="405"/>
      <c r="AB1588" s="405"/>
    </row>
    <row r="1589" ht="14.25" customHeight="1">
      <c r="A1589" s="497">
        <v>45532.0</v>
      </c>
      <c r="B1589" s="349" t="s">
        <v>800</v>
      </c>
      <c r="C1589" s="349" t="s">
        <v>801</v>
      </c>
      <c r="D1589" s="493" t="s">
        <v>54</v>
      </c>
      <c r="E1589" s="349" t="s">
        <v>1255</v>
      </c>
      <c r="F1589" s="413">
        <v>20000.0</v>
      </c>
      <c r="G1589" s="403"/>
      <c r="H1589" s="349" t="s">
        <v>2007</v>
      </c>
      <c r="I1589" s="402"/>
      <c r="J1589" s="402"/>
      <c r="K1589" s="402"/>
      <c r="L1589" s="402"/>
      <c r="M1589" s="402"/>
      <c r="N1589" s="402"/>
      <c r="O1589" s="402"/>
      <c r="P1589" s="402"/>
      <c r="Q1589" s="402"/>
      <c r="R1589" s="402"/>
      <c r="S1589" s="402"/>
      <c r="T1589" s="402"/>
      <c r="U1589" s="402"/>
      <c r="V1589" s="402"/>
      <c r="W1589" s="402"/>
      <c r="X1589" s="402"/>
      <c r="Y1589" s="402"/>
      <c r="Z1589" s="402"/>
      <c r="AA1589" s="405"/>
      <c r="AB1589" s="405"/>
    </row>
    <row r="1590" ht="14.25" customHeight="1">
      <c r="A1590" s="497">
        <v>45532.0</v>
      </c>
      <c r="B1590" s="349" t="s">
        <v>777</v>
      </c>
      <c r="C1590" s="349" t="s">
        <v>778</v>
      </c>
      <c r="D1590" s="349" t="s">
        <v>54</v>
      </c>
      <c r="E1590" s="349" t="s">
        <v>1255</v>
      </c>
      <c r="F1590" s="413">
        <v>119325.0</v>
      </c>
      <c r="G1590" s="403"/>
      <c r="H1590" s="349" t="s">
        <v>2008</v>
      </c>
      <c r="I1590" s="402"/>
      <c r="J1590" s="402"/>
      <c r="K1590" s="402"/>
      <c r="L1590" s="402"/>
      <c r="M1590" s="402"/>
      <c r="N1590" s="402"/>
      <c r="O1590" s="402"/>
      <c r="P1590" s="402"/>
      <c r="Q1590" s="402"/>
      <c r="R1590" s="402"/>
      <c r="S1590" s="402"/>
      <c r="T1590" s="402"/>
      <c r="U1590" s="402"/>
      <c r="V1590" s="402"/>
      <c r="W1590" s="402"/>
      <c r="X1590" s="402"/>
      <c r="Y1590" s="402"/>
      <c r="Z1590" s="402"/>
      <c r="AA1590" s="405"/>
      <c r="AB1590" s="405"/>
    </row>
    <row r="1591" ht="14.25" customHeight="1">
      <c r="A1591" s="497">
        <v>45532.0</v>
      </c>
      <c r="B1591" s="349" t="s">
        <v>711</v>
      </c>
      <c r="C1591" s="349" t="s">
        <v>1123</v>
      </c>
      <c r="D1591" s="349" t="s">
        <v>75</v>
      </c>
      <c r="E1591" s="349" t="s">
        <v>1255</v>
      </c>
      <c r="F1591" s="413">
        <v>31742.59</v>
      </c>
      <c r="G1591" s="403"/>
      <c r="H1591" s="349" t="s">
        <v>710</v>
      </c>
      <c r="I1591" s="402"/>
      <c r="J1591" s="402"/>
      <c r="K1591" s="402"/>
      <c r="L1591" s="402"/>
      <c r="M1591" s="402"/>
      <c r="N1591" s="402"/>
      <c r="O1591" s="402"/>
      <c r="P1591" s="402"/>
      <c r="Q1591" s="402"/>
      <c r="R1591" s="402"/>
      <c r="S1591" s="402"/>
      <c r="T1591" s="402"/>
      <c r="U1591" s="402"/>
      <c r="V1591" s="402"/>
      <c r="W1591" s="402"/>
      <c r="X1591" s="402"/>
      <c r="Y1591" s="402"/>
      <c r="Z1591" s="402"/>
      <c r="AA1591" s="405"/>
      <c r="AB1591" s="405"/>
    </row>
    <row r="1592" ht="14.25" customHeight="1">
      <c r="A1592" s="497">
        <v>45532.0</v>
      </c>
      <c r="B1592" s="349" t="s">
        <v>774</v>
      </c>
      <c r="C1592" s="349" t="s">
        <v>2009</v>
      </c>
      <c r="D1592" s="349" t="s">
        <v>2010</v>
      </c>
      <c r="E1592" s="555" t="s">
        <v>273</v>
      </c>
      <c r="F1592" s="413">
        <v>1500000.0</v>
      </c>
      <c r="G1592" s="403"/>
      <c r="H1592" s="349" t="s">
        <v>2011</v>
      </c>
      <c r="I1592" s="402"/>
      <c r="J1592" s="402"/>
      <c r="K1592" s="402"/>
      <c r="L1592" s="402"/>
      <c r="M1592" s="402"/>
      <c r="N1592" s="402"/>
      <c r="O1592" s="402"/>
      <c r="P1592" s="402"/>
      <c r="Q1592" s="402"/>
      <c r="R1592" s="402"/>
      <c r="S1592" s="402"/>
      <c r="T1592" s="402"/>
      <c r="U1592" s="402"/>
      <c r="V1592" s="402"/>
      <c r="W1592" s="402"/>
      <c r="X1592" s="402"/>
      <c r="Y1592" s="402"/>
      <c r="Z1592" s="402"/>
      <c r="AA1592" s="405"/>
      <c r="AB1592" s="405"/>
    </row>
    <row r="1593" ht="14.25" customHeight="1">
      <c r="A1593" s="497">
        <v>45532.0</v>
      </c>
      <c r="B1593" s="402"/>
      <c r="C1593" s="402"/>
      <c r="D1593" s="402"/>
      <c r="E1593" s="402"/>
      <c r="F1593" s="403"/>
      <c r="G1593" s="403"/>
      <c r="H1593" s="402"/>
      <c r="I1593" s="402"/>
      <c r="J1593" s="402"/>
      <c r="K1593" s="402"/>
      <c r="L1593" s="402"/>
      <c r="M1593" s="402"/>
      <c r="N1593" s="402"/>
      <c r="O1593" s="402"/>
      <c r="P1593" s="402"/>
      <c r="Q1593" s="402"/>
      <c r="R1593" s="402"/>
      <c r="S1593" s="402"/>
      <c r="T1593" s="402"/>
      <c r="U1593" s="402"/>
      <c r="V1593" s="402"/>
      <c r="W1593" s="402"/>
      <c r="X1593" s="402"/>
      <c r="Y1593" s="402"/>
      <c r="Z1593" s="402"/>
      <c r="AA1593" s="405"/>
      <c r="AB1593" s="405"/>
    </row>
    <row r="1594" ht="14.25" customHeight="1">
      <c r="A1594" s="497">
        <v>45532.0</v>
      </c>
      <c r="B1594" s="569" t="s">
        <v>1329</v>
      </c>
      <c r="C1594" s="555" t="s">
        <v>1236</v>
      </c>
      <c r="D1594" s="471" t="s">
        <v>54</v>
      </c>
      <c r="E1594" s="555" t="s">
        <v>273</v>
      </c>
      <c r="F1594" s="570">
        <v>1000000.0</v>
      </c>
      <c r="G1594" s="571"/>
      <c r="H1594" s="555"/>
      <c r="I1594" s="402"/>
      <c r="J1594" s="402"/>
      <c r="K1594" s="402"/>
      <c r="L1594" s="402"/>
      <c r="M1594" s="402"/>
      <c r="N1594" s="402"/>
      <c r="O1594" s="402"/>
      <c r="P1594" s="402"/>
      <c r="Q1594" s="402"/>
      <c r="R1594" s="402"/>
      <c r="S1594" s="402"/>
      <c r="T1594" s="402"/>
      <c r="U1594" s="402"/>
      <c r="V1594" s="402"/>
      <c r="W1594" s="402"/>
      <c r="X1594" s="402"/>
      <c r="Y1594" s="402"/>
      <c r="Z1594" s="402"/>
      <c r="AA1594" s="405"/>
      <c r="AB1594" s="405"/>
    </row>
    <row r="1595" ht="14.25" customHeight="1">
      <c r="A1595" s="402"/>
      <c r="B1595" s="402"/>
      <c r="C1595" s="402"/>
      <c r="D1595" s="402"/>
      <c r="E1595" s="402"/>
      <c r="F1595" s="403"/>
      <c r="G1595" s="403"/>
      <c r="H1595" s="402"/>
      <c r="I1595" s="402"/>
      <c r="J1595" s="402"/>
      <c r="K1595" s="402"/>
      <c r="L1595" s="402"/>
      <c r="M1595" s="402"/>
      <c r="N1595" s="402"/>
      <c r="O1595" s="402"/>
      <c r="P1595" s="402"/>
      <c r="Q1595" s="402"/>
      <c r="R1595" s="402"/>
      <c r="S1595" s="402"/>
      <c r="T1595" s="402"/>
      <c r="U1595" s="402"/>
      <c r="V1595" s="402"/>
      <c r="W1595" s="402"/>
      <c r="X1595" s="402"/>
      <c r="Y1595" s="402"/>
      <c r="Z1595" s="402"/>
      <c r="AA1595" s="405"/>
      <c r="AB1595" s="405"/>
    </row>
    <row r="1596" ht="14.25" customHeight="1">
      <c r="A1596" s="402"/>
      <c r="B1596" s="402"/>
      <c r="C1596" s="402"/>
      <c r="D1596" s="402"/>
      <c r="E1596" s="402"/>
      <c r="F1596" s="403"/>
      <c r="G1596" s="403"/>
      <c r="H1596" s="402"/>
      <c r="I1596" s="402"/>
      <c r="J1596" s="402"/>
      <c r="K1596" s="402"/>
      <c r="L1596" s="402"/>
      <c r="M1596" s="402"/>
      <c r="N1596" s="402"/>
      <c r="O1596" s="402"/>
      <c r="P1596" s="402"/>
      <c r="Q1596" s="402"/>
      <c r="R1596" s="402"/>
      <c r="S1596" s="402"/>
      <c r="T1596" s="402"/>
      <c r="U1596" s="402"/>
      <c r="V1596" s="402"/>
      <c r="W1596" s="402"/>
      <c r="X1596" s="402"/>
      <c r="Y1596" s="402"/>
      <c r="Z1596" s="402"/>
      <c r="AA1596" s="405"/>
      <c r="AB1596" s="405"/>
    </row>
    <row r="1597" ht="14.25" customHeight="1">
      <c r="A1597" s="402"/>
      <c r="B1597" s="402"/>
      <c r="C1597" s="402"/>
      <c r="D1597" s="402"/>
      <c r="E1597" s="402"/>
      <c r="F1597" s="403"/>
      <c r="G1597" s="403"/>
      <c r="H1597" s="402"/>
      <c r="I1597" s="402"/>
      <c r="J1597" s="402"/>
      <c r="K1597" s="402"/>
      <c r="L1597" s="402"/>
      <c r="M1597" s="402"/>
      <c r="N1597" s="402"/>
      <c r="O1597" s="402"/>
      <c r="P1597" s="402"/>
      <c r="Q1597" s="402"/>
      <c r="R1597" s="402"/>
      <c r="S1597" s="402"/>
      <c r="T1597" s="402"/>
      <c r="U1597" s="402"/>
      <c r="V1597" s="402"/>
      <c r="W1597" s="402"/>
      <c r="X1597" s="402"/>
      <c r="Y1597" s="402"/>
      <c r="Z1597" s="402"/>
      <c r="AA1597" s="405"/>
      <c r="AB1597" s="405"/>
    </row>
    <row r="1598" ht="14.25" customHeight="1">
      <c r="A1598" s="402"/>
      <c r="B1598" s="402"/>
      <c r="C1598" s="402"/>
      <c r="D1598" s="402"/>
      <c r="E1598" s="402"/>
      <c r="F1598" s="403"/>
      <c r="G1598" s="403"/>
      <c r="H1598" s="402"/>
      <c r="I1598" s="402"/>
      <c r="J1598" s="402"/>
      <c r="K1598" s="402"/>
      <c r="L1598" s="402"/>
      <c r="M1598" s="402"/>
      <c r="N1598" s="402"/>
      <c r="O1598" s="402"/>
      <c r="P1598" s="402"/>
      <c r="Q1598" s="402"/>
      <c r="R1598" s="402"/>
      <c r="S1598" s="402"/>
      <c r="T1598" s="402"/>
      <c r="U1598" s="402"/>
      <c r="V1598" s="402"/>
      <c r="W1598" s="402"/>
      <c r="X1598" s="402"/>
      <c r="Y1598" s="402"/>
      <c r="Z1598" s="402"/>
      <c r="AA1598" s="405"/>
      <c r="AB1598" s="405"/>
    </row>
    <row r="1599" ht="14.25" customHeight="1">
      <c r="A1599" s="402"/>
      <c r="B1599" s="424" t="s">
        <v>2012</v>
      </c>
      <c r="C1599" s="402"/>
      <c r="D1599" s="402"/>
      <c r="E1599" s="402"/>
      <c r="F1599" s="403"/>
      <c r="G1599" s="403"/>
      <c r="H1599" s="402"/>
      <c r="I1599" s="402"/>
      <c r="J1599" s="402"/>
      <c r="K1599" s="402"/>
      <c r="L1599" s="402"/>
      <c r="M1599" s="402"/>
      <c r="N1599" s="402"/>
      <c r="O1599" s="402"/>
      <c r="P1599" s="402"/>
      <c r="Q1599" s="402"/>
      <c r="R1599" s="402"/>
      <c r="S1599" s="402"/>
      <c r="T1599" s="402"/>
      <c r="U1599" s="402"/>
      <c r="V1599" s="402"/>
      <c r="W1599" s="402"/>
      <c r="X1599" s="402"/>
      <c r="Y1599" s="402"/>
      <c r="Z1599" s="402"/>
      <c r="AA1599" s="405"/>
      <c r="AB1599" s="405"/>
    </row>
    <row r="1600" ht="14.25" customHeight="1">
      <c r="A1600" s="497">
        <v>45533.0</v>
      </c>
      <c r="B1600" s="535" t="s">
        <v>1618</v>
      </c>
      <c r="C1600" s="536" t="s">
        <v>1024</v>
      </c>
      <c r="D1600" s="536" t="s">
        <v>59</v>
      </c>
      <c r="E1600" s="349" t="s">
        <v>1098</v>
      </c>
      <c r="F1600" s="413">
        <v>178000.0</v>
      </c>
      <c r="G1600" s="403"/>
      <c r="H1600" s="349" t="s">
        <v>2013</v>
      </c>
      <c r="I1600" s="402"/>
      <c r="J1600" s="402"/>
      <c r="K1600" s="402"/>
      <c r="L1600" s="402"/>
      <c r="M1600" s="402"/>
      <c r="N1600" s="402"/>
      <c r="O1600" s="402"/>
      <c r="P1600" s="402"/>
      <c r="Q1600" s="402"/>
      <c r="R1600" s="402"/>
      <c r="S1600" s="402"/>
      <c r="T1600" s="402"/>
      <c r="U1600" s="402"/>
      <c r="V1600" s="402"/>
      <c r="W1600" s="402"/>
      <c r="X1600" s="402"/>
      <c r="Y1600" s="402"/>
      <c r="Z1600" s="402"/>
      <c r="AA1600" s="405"/>
      <c r="AB1600" s="405"/>
    </row>
    <row r="1601" ht="14.25" customHeight="1">
      <c r="A1601" s="497">
        <v>45533.0</v>
      </c>
      <c r="B1601" s="535" t="s">
        <v>1907</v>
      </c>
      <c r="C1601" s="536" t="s">
        <v>1103</v>
      </c>
      <c r="D1601" s="536" t="s">
        <v>75</v>
      </c>
      <c r="E1601" s="349" t="s">
        <v>1098</v>
      </c>
      <c r="F1601" s="413">
        <v>1039500.0</v>
      </c>
      <c r="G1601" s="403"/>
      <c r="H1601" s="349" t="s">
        <v>2014</v>
      </c>
      <c r="I1601" s="402"/>
      <c r="J1601" s="402"/>
      <c r="K1601" s="402"/>
      <c r="L1601" s="402"/>
      <c r="M1601" s="402"/>
      <c r="N1601" s="402"/>
      <c r="O1601" s="402"/>
      <c r="P1601" s="402"/>
      <c r="Q1601" s="402"/>
      <c r="R1601" s="402"/>
      <c r="S1601" s="402"/>
      <c r="T1601" s="402"/>
      <c r="U1601" s="402"/>
      <c r="V1601" s="402"/>
      <c r="W1601" s="402"/>
      <c r="X1601" s="402"/>
      <c r="Y1601" s="402"/>
      <c r="Z1601" s="402"/>
      <c r="AA1601" s="405"/>
      <c r="AB1601" s="405"/>
    </row>
    <row r="1602" ht="14.25" customHeight="1">
      <c r="A1602" s="497">
        <v>45533.0</v>
      </c>
      <c r="B1602" s="349" t="s">
        <v>701</v>
      </c>
      <c r="C1602" s="349" t="s">
        <v>702</v>
      </c>
      <c r="D1602" s="349" t="s">
        <v>54</v>
      </c>
      <c r="E1602" s="349" t="s">
        <v>1098</v>
      </c>
      <c r="F1602" s="413">
        <v>10771.93</v>
      </c>
      <c r="G1602" s="403"/>
      <c r="H1602" s="349" t="s">
        <v>2015</v>
      </c>
      <c r="I1602" s="402"/>
      <c r="J1602" s="402"/>
      <c r="K1602" s="402"/>
      <c r="L1602" s="402"/>
      <c r="M1602" s="402"/>
      <c r="N1602" s="402"/>
      <c r="O1602" s="402"/>
      <c r="P1602" s="402"/>
      <c r="Q1602" s="402"/>
      <c r="R1602" s="402"/>
      <c r="S1602" s="402"/>
      <c r="T1602" s="402"/>
      <c r="U1602" s="402"/>
      <c r="V1602" s="402"/>
      <c r="W1602" s="402"/>
      <c r="X1602" s="402"/>
      <c r="Y1602" s="402"/>
      <c r="Z1602" s="402"/>
      <c r="AA1602" s="405"/>
      <c r="AB1602" s="405"/>
    </row>
    <row r="1603" ht="14.25" customHeight="1">
      <c r="A1603" s="497">
        <v>45533.0</v>
      </c>
      <c r="B1603" s="509" t="s">
        <v>1381</v>
      </c>
      <c r="C1603" s="510" t="s">
        <v>1382</v>
      </c>
      <c r="D1603" s="510" t="s">
        <v>54</v>
      </c>
      <c r="E1603" s="349" t="s">
        <v>1098</v>
      </c>
      <c r="F1603" s="416">
        <v>198106.72</v>
      </c>
      <c r="G1603" s="403"/>
      <c r="H1603" s="349" t="s">
        <v>2016</v>
      </c>
      <c r="I1603" s="402"/>
      <c r="J1603" s="402"/>
      <c r="K1603" s="402"/>
      <c r="L1603" s="402"/>
      <c r="M1603" s="402"/>
      <c r="N1603" s="402"/>
      <c r="O1603" s="402"/>
      <c r="P1603" s="402"/>
      <c r="Q1603" s="402"/>
      <c r="R1603" s="402"/>
      <c r="S1603" s="402"/>
      <c r="T1603" s="402"/>
      <c r="U1603" s="402"/>
      <c r="V1603" s="402"/>
      <c r="W1603" s="402"/>
      <c r="X1603" s="402"/>
      <c r="Y1603" s="402"/>
      <c r="Z1603" s="402"/>
      <c r="AA1603" s="405"/>
      <c r="AB1603" s="405"/>
    </row>
    <row r="1604" ht="14.25" customHeight="1">
      <c r="A1604" s="497">
        <v>45533.0</v>
      </c>
      <c r="B1604" s="349" t="s">
        <v>807</v>
      </c>
      <c r="C1604" s="349" t="s">
        <v>1888</v>
      </c>
      <c r="D1604" s="510" t="s">
        <v>54</v>
      </c>
      <c r="E1604" s="349" t="s">
        <v>1098</v>
      </c>
      <c r="F1604" s="413">
        <v>31846.41</v>
      </c>
      <c r="G1604" s="403"/>
      <c r="H1604" s="349" t="s">
        <v>2017</v>
      </c>
      <c r="I1604" s="402"/>
      <c r="J1604" s="402"/>
      <c r="K1604" s="402"/>
      <c r="L1604" s="402"/>
      <c r="M1604" s="402"/>
      <c r="N1604" s="402"/>
      <c r="O1604" s="402"/>
      <c r="P1604" s="402"/>
      <c r="Q1604" s="402"/>
      <c r="R1604" s="402"/>
      <c r="S1604" s="402"/>
      <c r="T1604" s="402"/>
      <c r="U1604" s="402"/>
      <c r="V1604" s="402"/>
      <c r="W1604" s="402"/>
      <c r="X1604" s="402"/>
      <c r="Y1604" s="402"/>
      <c r="Z1604" s="402"/>
      <c r="AA1604" s="405"/>
      <c r="AB1604" s="405"/>
    </row>
    <row r="1605" ht="14.25" customHeight="1">
      <c r="A1605" s="497">
        <v>45533.0</v>
      </c>
      <c r="B1605" s="529" t="s">
        <v>705</v>
      </c>
      <c r="C1605" s="530" t="s">
        <v>1110</v>
      </c>
      <c r="D1605" s="510" t="s">
        <v>54</v>
      </c>
      <c r="E1605" s="349" t="s">
        <v>1098</v>
      </c>
      <c r="F1605" s="413">
        <v>5860.68</v>
      </c>
      <c r="G1605" s="403"/>
      <c r="H1605" s="349" t="s">
        <v>2018</v>
      </c>
      <c r="I1605" s="402"/>
      <c r="J1605" s="402"/>
      <c r="K1605" s="402"/>
      <c r="L1605" s="402"/>
      <c r="M1605" s="402"/>
      <c r="N1605" s="402"/>
      <c r="O1605" s="402"/>
      <c r="P1605" s="402"/>
      <c r="Q1605" s="402"/>
      <c r="R1605" s="402"/>
      <c r="S1605" s="402"/>
      <c r="T1605" s="402"/>
      <c r="U1605" s="402"/>
      <c r="V1605" s="402"/>
      <c r="W1605" s="402"/>
      <c r="X1605" s="402"/>
      <c r="Y1605" s="402"/>
      <c r="Z1605" s="402"/>
      <c r="AA1605" s="405"/>
      <c r="AB1605" s="405"/>
    </row>
    <row r="1606" ht="14.25" customHeight="1">
      <c r="A1606" s="497">
        <v>45533.0</v>
      </c>
      <c r="B1606" s="565" t="s">
        <v>1096</v>
      </c>
      <c r="C1606" s="322" t="s">
        <v>1097</v>
      </c>
      <c r="D1606" s="536" t="s">
        <v>54</v>
      </c>
      <c r="E1606" s="415" t="s">
        <v>1098</v>
      </c>
      <c r="F1606" s="413">
        <v>30000.0</v>
      </c>
      <c r="G1606" s="403"/>
      <c r="H1606" s="562" t="s">
        <v>1916</v>
      </c>
      <c r="I1606" s="402"/>
      <c r="J1606" s="402"/>
      <c r="K1606" s="402"/>
      <c r="L1606" s="402"/>
      <c r="M1606" s="402"/>
      <c r="N1606" s="402"/>
      <c r="O1606" s="402"/>
      <c r="P1606" s="402"/>
      <c r="Q1606" s="402"/>
      <c r="R1606" s="402"/>
      <c r="S1606" s="402"/>
      <c r="T1606" s="402"/>
      <c r="U1606" s="402"/>
      <c r="V1606" s="402"/>
      <c r="W1606" s="402"/>
      <c r="X1606" s="402"/>
      <c r="Y1606" s="402"/>
      <c r="Z1606" s="402"/>
      <c r="AA1606" s="405"/>
      <c r="AB1606" s="405"/>
    </row>
    <row r="1607" ht="14.25" customHeight="1">
      <c r="A1607" s="497">
        <v>45533.0</v>
      </c>
      <c r="B1607" s="518" t="s">
        <v>1568</v>
      </c>
      <c r="C1607" s="519" t="s">
        <v>910</v>
      </c>
      <c r="D1607" s="519" t="s">
        <v>59</v>
      </c>
      <c r="E1607" s="415" t="s">
        <v>1153</v>
      </c>
      <c r="F1607" s="566">
        <v>156608.0</v>
      </c>
      <c r="G1607" s="413"/>
      <c r="H1607" s="349" t="s">
        <v>1313</v>
      </c>
      <c r="I1607" s="402"/>
      <c r="J1607" s="402"/>
      <c r="K1607" s="402"/>
      <c r="L1607" s="402"/>
      <c r="M1607" s="402"/>
      <c r="N1607" s="402"/>
      <c r="O1607" s="402"/>
      <c r="P1607" s="402"/>
      <c r="Q1607" s="402"/>
      <c r="R1607" s="402"/>
      <c r="S1607" s="402"/>
      <c r="T1607" s="402"/>
      <c r="U1607" s="402"/>
      <c r="V1607" s="402"/>
      <c r="W1607" s="402"/>
      <c r="X1607" s="402"/>
      <c r="Y1607" s="402"/>
      <c r="Z1607" s="402"/>
      <c r="AA1607" s="405"/>
      <c r="AB1607" s="405"/>
    </row>
    <row r="1608" ht="14.25" customHeight="1">
      <c r="A1608" s="497">
        <v>45533.0</v>
      </c>
      <c r="B1608" s="349" t="s">
        <v>1622</v>
      </c>
      <c r="C1608" s="519" t="s">
        <v>730</v>
      </c>
      <c r="D1608" s="349" t="s">
        <v>75</v>
      </c>
      <c r="E1608" s="415" t="s">
        <v>1153</v>
      </c>
      <c r="F1608" s="566">
        <v>300000.0</v>
      </c>
      <c r="G1608" s="413"/>
      <c r="H1608" s="349" t="s">
        <v>2019</v>
      </c>
      <c r="I1608" s="402"/>
      <c r="J1608" s="402"/>
      <c r="K1608" s="402"/>
      <c r="L1608" s="402"/>
      <c r="M1608" s="402"/>
      <c r="N1608" s="402"/>
      <c r="O1608" s="402"/>
      <c r="P1608" s="402"/>
      <c r="Q1608" s="402"/>
      <c r="R1608" s="402"/>
      <c r="S1608" s="402"/>
      <c r="T1608" s="402"/>
      <c r="U1608" s="402"/>
      <c r="V1608" s="402"/>
      <c r="W1608" s="402"/>
      <c r="X1608" s="402"/>
      <c r="Y1608" s="402"/>
      <c r="Z1608" s="402"/>
      <c r="AA1608" s="405"/>
      <c r="AB1608" s="405"/>
    </row>
    <row r="1609" ht="14.25" customHeight="1">
      <c r="A1609" s="497">
        <v>45533.0</v>
      </c>
      <c r="B1609" s="518" t="s">
        <v>786</v>
      </c>
      <c r="C1609" s="519" t="s">
        <v>747</v>
      </c>
      <c r="D1609" s="349" t="s">
        <v>54</v>
      </c>
      <c r="E1609" s="415" t="s">
        <v>1153</v>
      </c>
      <c r="F1609" s="559">
        <v>108000.0</v>
      </c>
      <c r="G1609" s="403"/>
      <c r="H1609" s="484" t="s">
        <v>1990</v>
      </c>
      <c r="I1609" s="402"/>
      <c r="J1609" s="402"/>
      <c r="K1609" s="402"/>
      <c r="L1609" s="402"/>
      <c r="M1609" s="402"/>
      <c r="N1609" s="402"/>
      <c r="O1609" s="402"/>
      <c r="P1609" s="402"/>
      <c r="Q1609" s="402"/>
      <c r="R1609" s="402"/>
      <c r="S1609" s="402"/>
      <c r="T1609" s="402"/>
      <c r="U1609" s="402"/>
      <c r="V1609" s="402"/>
      <c r="W1609" s="402"/>
      <c r="X1609" s="402"/>
      <c r="Y1609" s="402"/>
      <c r="Z1609" s="402"/>
      <c r="AA1609" s="405"/>
      <c r="AB1609" s="405"/>
    </row>
    <row r="1610" ht="14.25" customHeight="1">
      <c r="A1610" s="497">
        <v>45533.0</v>
      </c>
      <c r="B1610" s="535" t="s">
        <v>870</v>
      </c>
      <c r="C1610" s="536" t="s">
        <v>871</v>
      </c>
      <c r="D1610" s="536" t="s">
        <v>54</v>
      </c>
      <c r="E1610" s="411" t="s">
        <v>1153</v>
      </c>
      <c r="F1610" s="559">
        <v>14225.08</v>
      </c>
      <c r="G1610" s="403"/>
      <c r="H1610" s="490" t="s">
        <v>2020</v>
      </c>
      <c r="I1610" s="402"/>
      <c r="J1610" s="402"/>
      <c r="K1610" s="402"/>
      <c r="L1610" s="402"/>
      <c r="M1610" s="402"/>
      <c r="N1610" s="402"/>
      <c r="O1610" s="402"/>
      <c r="P1610" s="402"/>
      <c r="Q1610" s="402"/>
      <c r="R1610" s="402"/>
      <c r="S1610" s="402"/>
      <c r="T1610" s="402"/>
      <c r="U1610" s="402"/>
      <c r="V1610" s="402"/>
      <c r="W1610" s="402"/>
      <c r="X1610" s="402"/>
      <c r="Y1610" s="402"/>
      <c r="Z1610" s="402"/>
      <c r="AA1610" s="405"/>
      <c r="AB1610" s="405"/>
    </row>
    <row r="1611" ht="14.25" customHeight="1">
      <c r="A1611" s="497">
        <v>45533.0</v>
      </c>
      <c r="B1611" s="349" t="s">
        <v>1961</v>
      </c>
      <c r="C1611" s="349" t="s">
        <v>787</v>
      </c>
      <c r="D1611" s="349" t="s">
        <v>75</v>
      </c>
      <c r="E1611" s="349" t="s">
        <v>1153</v>
      </c>
      <c r="F1611" s="559">
        <v>51864.64</v>
      </c>
      <c r="G1611" s="413">
        <v>10000.0</v>
      </c>
      <c r="H1611" s="349" t="s">
        <v>2021</v>
      </c>
      <c r="I1611" s="402"/>
      <c r="J1611" s="402"/>
      <c r="K1611" s="402"/>
      <c r="L1611" s="402"/>
      <c r="M1611" s="402"/>
      <c r="N1611" s="402"/>
      <c r="O1611" s="402"/>
      <c r="P1611" s="402"/>
      <c r="Q1611" s="402"/>
      <c r="R1611" s="402"/>
      <c r="S1611" s="402"/>
      <c r="T1611" s="402"/>
      <c r="U1611" s="402"/>
      <c r="V1611" s="402"/>
      <c r="W1611" s="402"/>
      <c r="X1611" s="402"/>
      <c r="Y1611" s="402"/>
      <c r="Z1611" s="402"/>
      <c r="AA1611" s="405"/>
      <c r="AB1611" s="405"/>
    </row>
    <row r="1612" ht="14.25" customHeight="1">
      <c r="A1612" s="497">
        <v>45533.0</v>
      </c>
      <c r="B1612" s="558" t="s">
        <v>1003</v>
      </c>
      <c r="C1612" s="65" t="s">
        <v>1004</v>
      </c>
      <c r="D1612" s="536" t="s">
        <v>54</v>
      </c>
      <c r="E1612" s="349" t="s">
        <v>1153</v>
      </c>
      <c r="F1612" s="567">
        <v>366000.0</v>
      </c>
      <c r="G1612" s="413"/>
      <c r="H1612" s="349" t="s">
        <v>267</v>
      </c>
      <c r="I1612" s="402"/>
      <c r="J1612" s="402"/>
      <c r="K1612" s="402"/>
      <c r="L1612" s="402"/>
      <c r="M1612" s="402"/>
      <c r="N1612" s="402"/>
      <c r="O1612" s="402"/>
      <c r="P1612" s="402"/>
      <c r="Q1612" s="402"/>
      <c r="R1612" s="402"/>
      <c r="S1612" s="402"/>
      <c r="T1612" s="402"/>
      <c r="U1612" s="402"/>
      <c r="V1612" s="402"/>
      <c r="W1612" s="402"/>
      <c r="X1612" s="402"/>
      <c r="Y1612" s="402"/>
      <c r="Z1612" s="402"/>
      <c r="AA1612" s="405"/>
      <c r="AB1612" s="405"/>
    </row>
    <row r="1613" ht="14.25" customHeight="1">
      <c r="A1613" s="497">
        <v>45533.0</v>
      </c>
      <c r="B1613" s="558" t="s">
        <v>1001</v>
      </c>
      <c r="C1613" s="349" t="s">
        <v>1002</v>
      </c>
      <c r="D1613" s="536" t="s">
        <v>54</v>
      </c>
      <c r="E1613" s="349" t="s">
        <v>1153</v>
      </c>
      <c r="F1613" s="567">
        <v>85022.0</v>
      </c>
      <c r="G1613" s="413"/>
      <c r="H1613" s="349" t="s">
        <v>1313</v>
      </c>
      <c r="I1613" s="402"/>
      <c r="J1613" s="402"/>
      <c r="K1613" s="402"/>
      <c r="L1613" s="402"/>
      <c r="M1613" s="402"/>
      <c r="N1613" s="402"/>
      <c r="O1613" s="402"/>
      <c r="P1613" s="402"/>
      <c r="Q1613" s="402"/>
      <c r="R1613" s="402"/>
      <c r="S1613" s="402"/>
      <c r="T1613" s="402"/>
      <c r="U1613" s="402"/>
      <c r="V1613" s="402"/>
      <c r="W1613" s="402"/>
      <c r="X1613" s="402"/>
      <c r="Y1613" s="402"/>
      <c r="Z1613" s="402"/>
      <c r="AA1613" s="405"/>
      <c r="AB1613" s="405"/>
    </row>
    <row r="1614" ht="14.25" customHeight="1">
      <c r="A1614" s="497">
        <v>45533.0</v>
      </c>
      <c r="B1614" s="349" t="s">
        <v>774</v>
      </c>
      <c r="C1614" s="349" t="s">
        <v>799</v>
      </c>
      <c r="D1614" s="349" t="s">
        <v>54</v>
      </c>
      <c r="E1614" s="349" t="s">
        <v>1139</v>
      </c>
      <c r="F1614" s="413">
        <v>129709.43</v>
      </c>
      <c r="G1614" s="413"/>
      <c r="H1614" s="349" t="s">
        <v>2022</v>
      </c>
      <c r="I1614" s="402"/>
      <c r="J1614" s="402"/>
      <c r="K1614" s="402"/>
      <c r="L1614" s="402"/>
      <c r="M1614" s="402"/>
      <c r="N1614" s="402"/>
      <c r="O1614" s="402"/>
      <c r="P1614" s="402"/>
      <c r="Q1614" s="402"/>
      <c r="R1614" s="402"/>
      <c r="S1614" s="402"/>
      <c r="T1614" s="402"/>
      <c r="U1614" s="402"/>
      <c r="V1614" s="402"/>
      <c r="W1614" s="402"/>
      <c r="X1614" s="402"/>
      <c r="Y1614" s="402"/>
      <c r="Z1614" s="402"/>
      <c r="AA1614" s="405"/>
      <c r="AB1614" s="405"/>
    </row>
    <row r="1615" ht="14.25" customHeight="1">
      <c r="A1615" s="497">
        <v>45533.0</v>
      </c>
      <c r="B1615" s="535" t="s">
        <v>918</v>
      </c>
      <c r="C1615" s="536" t="s">
        <v>919</v>
      </c>
      <c r="D1615" s="536" t="s">
        <v>54</v>
      </c>
      <c r="E1615" s="349" t="s">
        <v>1139</v>
      </c>
      <c r="F1615" s="413">
        <v>32745.44</v>
      </c>
      <c r="G1615" s="413"/>
      <c r="H1615" s="349" t="s">
        <v>2023</v>
      </c>
      <c r="I1615" s="402"/>
      <c r="J1615" s="402"/>
      <c r="K1615" s="402"/>
      <c r="L1615" s="402"/>
      <c r="M1615" s="402"/>
      <c r="N1615" s="402"/>
      <c r="O1615" s="402"/>
      <c r="P1615" s="402"/>
      <c r="Q1615" s="402"/>
      <c r="R1615" s="402"/>
      <c r="S1615" s="402"/>
      <c r="T1615" s="402"/>
      <c r="U1615" s="402"/>
      <c r="V1615" s="402"/>
      <c r="W1615" s="402"/>
      <c r="X1615" s="402"/>
      <c r="Y1615" s="402"/>
      <c r="Z1615" s="402"/>
      <c r="AA1615" s="405"/>
      <c r="AB1615" s="405"/>
    </row>
    <row r="1616" ht="14.25" customHeight="1">
      <c r="A1616" s="497">
        <v>45533.0</v>
      </c>
      <c r="B1616" s="535" t="s">
        <v>783</v>
      </c>
      <c r="C1616" s="536" t="s">
        <v>784</v>
      </c>
      <c r="D1616" s="536" t="s">
        <v>54</v>
      </c>
      <c r="E1616" s="349" t="s">
        <v>1139</v>
      </c>
      <c r="F1616" s="413">
        <v>130000.0</v>
      </c>
      <c r="G1616" s="413"/>
      <c r="H1616" s="349" t="s">
        <v>2024</v>
      </c>
      <c r="I1616" s="402"/>
      <c r="J1616" s="402"/>
      <c r="K1616" s="402"/>
      <c r="L1616" s="402"/>
      <c r="M1616" s="402"/>
      <c r="N1616" s="402"/>
      <c r="O1616" s="402"/>
      <c r="P1616" s="402"/>
      <c r="Q1616" s="402"/>
      <c r="R1616" s="402"/>
      <c r="S1616" s="402"/>
      <c r="T1616" s="402"/>
      <c r="U1616" s="402"/>
      <c r="V1616" s="402"/>
      <c r="W1616" s="402"/>
      <c r="X1616" s="402"/>
      <c r="Y1616" s="402"/>
      <c r="Z1616" s="402"/>
      <c r="AA1616" s="405"/>
      <c r="AB1616" s="405"/>
    </row>
    <row r="1617" ht="14.25" customHeight="1">
      <c r="A1617" s="497">
        <v>45533.0</v>
      </c>
      <c r="B1617" s="349" t="s">
        <v>870</v>
      </c>
      <c r="C1617" s="349" t="s">
        <v>871</v>
      </c>
      <c r="D1617" s="349" t="s">
        <v>54</v>
      </c>
      <c r="E1617" s="349" t="s">
        <v>1139</v>
      </c>
      <c r="F1617" s="413">
        <v>18936.33</v>
      </c>
      <c r="G1617" s="413"/>
      <c r="H1617" s="349" t="s">
        <v>2025</v>
      </c>
      <c r="I1617" s="402"/>
      <c r="J1617" s="402"/>
      <c r="K1617" s="402"/>
      <c r="L1617" s="402"/>
      <c r="M1617" s="402"/>
      <c r="N1617" s="402"/>
      <c r="O1617" s="402"/>
      <c r="P1617" s="402"/>
      <c r="Q1617" s="402"/>
      <c r="R1617" s="402"/>
      <c r="S1617" s="402"/>
      <c r="T1617" s="402"/>
      <c r="U1617" s="402"/>
      <c r="V1617" s="402"/>
      <c r="W1617" s="402"/>
      <c r="X1617" s="402"/>
      <c r="Y1617" s="402"/>
      <c r="Z1617" s="402"/>
      <c r="AA1617" s="405"/>
      <c r="AB1617" s="405"/>
    </row>
    <row r="1618" ht="14.25" customHeight="1">
      <c r="A1618" s="497">
        <v>45533.0</v>
      </c>
      <c r="B1618" s="535" t="s">
        <v>915</v>
      </c>
      <c r="C1618" s="536" t="s">
        <v>916</v>
      </c>
      <c r="D1618" s="536" t="s">
        <v>54</v>
      </c>
      <c r="E1618" s="349" t="s">
        <v>1139</v>
      </c>
      <c r="F1618" s="563">
        <v>43399.96</v>
      </c>
      <c r="G1618" s="413"/>
      <c r="H1618" s="349" t="s">
        <v>2026</v>
      </c>
      <c r="I1618" s="402"/>
      <c r="J1618" s="402"/>
      <c r="K1618" s="402"/>
      <c r="L1618" s="402"/>
      <c r="M1618" s="402"/>
      <c r="N1618" s="402"/>
      <c r="O1618" s="402"/>
      <c r="P1618" s="402"/>
      <c r="Q1618" s="402"/>
      <c r="R1618" s="402"/>
      <c r="S1618" s="402"/>
      <c r="T1618" s="402"/>
      <c r="U1618" s="402"/>
      <c r="V1618" s="402"/>
      <c r="W1618" s="402"/>
      <c r="X1618" s="402"/>
      <c r="Y1618" s="402"/>
      <c r="Z1618" s="402"/>
      <c r="AA1618" s="405"/>
      <c r="AB1618" s="405"/>
    </row>
    <row r="1619" ht="14.25" customHeight="1">
      <c r="A1619" s="497">
        <v>45533.0</v>
      </c>
      <c r="B1619" s="518" t="s">
        <v>1012</v>
      </c>
      <c r="C1619" s="519" t="s">
        <v>1013</v>
      </c>
      <c r="D1619" s="519" t="s">
        <v>75</v>
      </c>
      <c r="E1619" s="349" t="s">
        <v>1168</v>
      </c>
      <c r="F1619" s="489">
        <v>194829.4</v>
      </c>
      <c r="G1619" s="413"/>
      <c r="H1619" s="349" t="s">
        <v>2027</v>
      </c>
      <c r="I1619" s="402"/>
      <c r="J1619" s="402"/>
      <c r="K1619" s="402"/>
      <c r="L1619" s="402"/>
      <c r="M1619" s="402"/>
      <c r="N1619" s="402"/>
      <c r="O1619" s="402"/>
      <c r="P1619" s="402"/>
      <c r="Q1619" s="402"/>
      <c r="R1619" s="402"/>
      <c r="S1619" s="402"/>
      <c r="T1619" s="402"/>
      <c r="U1619" s="402"/>
      <c r="V1619" s="402"/>
      <c r="W1619" s="402"/>
      <c r="X1619" s="402"/>
      <c r="Y1619" s="402"/>
      <c r="Z1619" s="402"/>
      <c r="AA1619" s="405"/>
      <c r="AB1619" s="405"/>
    </row>
    <row r="1620" ht="14.25" customHeight="1">
      <c r="A1620" s="497">
        <v>45533.0</v>
      </c>
      <c r="B1620" s="518" t="s">
        <v>2028</v>
      </c>
      <c r="C1620" s="519" t="s">
        <v>2029</v>
      </c>
      <c r="D1620" s="519" t="s">
        <v>54</v>
      </c>
      <c r="E1620" s="349" t="s">
        <v>1168</v>
      </c>
      <c r="F1620" s="489">
        <v>53496.0</v>
      </c>
      <c r="G1620" s="489">
        <v>53496.0</v>
      </c>
      <c r="H1620" s="349" t="s">
        <v>2030</v>
      </c>
      <c r="I1620" s="402"/>
      <c r="J1620" s="402"/>
      <c r="K1620" s="402"/>
      <c r="L1620" s="402"/>
      <c r="M1620" s="402"/>
      <c r="N1620" s="402"/>
      <c r="O1620" s="402"/>
      <c r="P1620" s="402"/>
      <c r="Q1620" s="402"/>
      <c r="R1620" s="402"/>
      <c r="S1620" s="402"/>
      <c r="T1620" s="402"/>
      <c r="U1620" s="402"/>
      <c r="V1620" s="402"/>
      <c r="W1620" s="402"/>
      <c r="X1620" s="402"/>
      <c r="Y1620" s="402"/>
      <c r="Z1620" s="402"/>
      <c r="AA1620" s="405"/>
      <c r="AB1620" s="405"/>
    </row>
    <row r="1621" ht="14.25" customHeight="1">
      <c r="A1621" s="497">
        <v>45533.0</v>
      </c>
      <c r="B1621" s="518" t="s">
        <v>2031</v>
      </c>
      <c r="C1621" s="519" t="s">
        <v>2032</v>
      </c>
      <c r="D1621" s="519" t="s">
        <v>54</v>
      </c>
      <c r="E1621" s="349" t="s">
        <v>1168</v>
      </c>
      <c r="F1621" s="489">
        <v>22073.0</v>
      </c>
      <c r="G1621" s="413"/>
      <c r="H1621" s="349" t="s">
        <v>2033</v>
      </c>
      <c r="I1621" s="402"/>
      <c r="J1621" s="402"/>
      <c r="K1621" s="402"/>
      <c r="L1621" s="402"/>
      <c r="M1621" s="402"/>
      <c r="N1621" s="402"/>
      <c r="O1621" s="402"/>
      <c r="P1621" s="402"/>
      <c r="Q1621" s="402"/>
      <c r="R1621" s="402"/>
      <c r="S1621" s="402"/>
      <c r="T1621" s="402"/>
      <c r="U1621" s="402"/>
      <c r="V1621" s="402"/>
      <c r="W1621" s="402"/>
      <c r="X1621" s="402"/>
      <c r="Y1621" s="402"/>
      <c r="Z1621" s="402"/>
      <c r="AA1621" s="405"/>
      <c r="AB1621" s="405"/>
    </row>
    <row r="1622" ht="14.25" customHeight="1">
      <c r="A1622" s="497">
        <v>45533.0</v>
      </c>
      <c r="B1622" s="518" t="s">
        <v>781</v>
      </c>
      <c r="C1622" s="519" t="s">
        <v>782</v>
      </c>
      <c r="D1622" s="519" t="s">
        <v>54</v>
      </c>
      <c r="E1622" s="349" t="s">
        <v>1168</v>
      </c>
      <c r="F1622" s="489">
        <v>21420.98</v>
      </c>
      <c r="G1622" s="413"/>
      <c r="H1622" s="349" t="s">
        <v>2034</v>
      </c>
      <c r="I1622" s="402"/>
      <c r="J1622" s="402"/>
      <c r="K1622" s="402"/>
      <c r="L1622" s="402"/>
      <c r="M1622" s="402"/>
      <c r="N1622" s="402"/>
      <c r="O1622" s="402"/>
      <c r="P1622" s="402"/>
      <c r="Q1622" s="402"/>
      <c r="R1622" s="402"/>
      <c r="S1622" s="402"/>
      <c r="T1622" s="402"/>
      <c r="U1622" s="402"/>
      <c r="V1622" s="402"/>
      <c r="W1622" s="402"/>
      <c r="X1622" s="402"/>
      <c r="Y1622" s="402"/>
      <c r="Z1622" s="402"/>
      <c r="AA1622" s="405"/>
      <c r="AB1622" s="405"/>
    </row>
    <row r="1623" ht="14.25" customHeight="1">
      <c r="A1623" s="497">
        <v>45533.0</v>
      </c>
      <c r="B1623" s="349" t="s">
        <v>1648</v>
      </c>
      <c r="C1623" s="349" t="s">
        <v>1013</v>
      </c>
      <c r="D1623" s="349" t="s">
        <v>59</v>
      </c>
      <c r="E1623" s="349" t="s">
        <v>1168</v>
      </c>
      <c r="F1623" s="413">
        <v>249174.43</v>
      </c>
      <c r="G1623" s="413"/>
      <c r="H1623" s="349" t="s">
        <v>2027</v>
      </c>
      <c r="I1623" s="402"/>
      <c r="J1623" s="402"/>
      <c r="K1623" s="402"/>
      <c r="L1623" s="402"/>
      <c r="M1623" s="402"/>
      <c r="N1623" s="402"/>
      <c r="O1623" s="402"/>
      <c r="P1623" s="402"/>
      <c r="Q1623" s="402"/>
      <c r="R1623" s="402"/>
      <c r="S1623" s="402"/>
      <c r="T1623" s="402"/>
      <c r="U1623" s="402"/>
      <c r="V1623" s="402"/>
      <c r="W1623" s="402"/>
      <c r="X1623" s="402"/>
      <c r="Y1623" s="402"/>
      <c r="Z1623" s="402"/>
      <c r="AA1623" s="405"/>
      <c r="AB1623" s="405"/>
    </row>
    <row r="1624" ht="14.25" customHeight="1">
      <c r="A1624" s="497">
        <v>45533.0</v>
      </c>
      <c r="B1624" s="349" t="s">
        <v>1673</v>
      </c>
      <c r="C1624" s="349" t="s">
        <v>1674</v>
      </c>
      <c r="D1624" s="519" t="s">
        <v>54</v>
      </c>
      <c r="E1624" s="349" t="s">
        <v>1168</v>
      </c>
      <c r="F1624" s="413">
        <v>58919.23</v>
      </c>
      <c r="G1624" s="413"/>
      <c r="H1624" s="349" t="s">
        <v>2035</v>
      </c>
      <c r="I1624" s="402"/>
      <c r="J1624" s="402"/>
      <c r="K1624" s="402"/>
      <c r="L1624" s="402"/>
      <c r="M1624" s="402"/>
      <c r="N1624" s="402"/>
      <c r="O1624" s="402"/>
      <c r="P1624" s="402"/>
      <c r="Q1624" s="402"/>
      <c r="R1624" s="402"/>
      <c r="S1624" s="402"/>
      <c r="T1624" s="402"/>
      <c r="U1624" s="402"/>
      <c r="V1624" s="402"/>
      <c r="W1624" s="402"/>
      <c r="X1624" s="402"/>
      <c r="Y1624" s="402"/>
      <c r="Z1624" s="402"/>
      <c r="AA1624" s="405"/>
      <c r="AB1624" s="405"/>
    </row>
    <row r="1625" ht="14.25" customHeight="1">
      <c r="A1625" s="497">
        <v>45533.0</v>
      </c>
      <c r="B1625" s="349" t="s">
        <v>698</v>
      </c>
      <c r="C1625" s="349" t="s">
        <v>1167</v>
      </c>
      <c r="D1625" s="516" t="s">
        <v>54</v>
      </c>
      <c r="E1625" s="349" t="s">
        <v>1168</v>
      </c>
      <c r="F1625" s="413">
        <v>39696.03</v>
      </c>
      <c r="G1625" s="413"/>
      <c r="H1625" s="349" t="s">
        <v>2036</v>
      </c>
      <c r="I1625" s="402"/>
      <c r="J1625" s="402"/>
      <c r="K1625" s="402"/>
      <c r="L1625" s="402"/>
      <c r="M1625" s="402"/>
      <c r="N1625" s="402"/>
      <c r="O1625" s="402"/>
      <c r="P1625" s="402"/>
      <c r="Q1625" s="402"/>
      <c r="R1625" s="402"/>
      <c r="S1625" s="402"/>
      <c r="T1625" s="402"/>
      <c r="U1625" s="402"/>
      <c r="V1625" s="402"/>
      <c r="W1625" s="402"/>
      <c r="X1625" s="402"/>
      <c r="Y1625" s="402"/>
      <c r="Z1625" s="402"/>
      <c r="AA1625" s="405"/>
      <c r="AB1625" s="405"/>
    </row>
    <row r="1626" ht="14.25" customHeight="1">
      <c r="A1626" s="497">
        <v>45533.0</v>
      </c>
      <c r="B1626" s="349" t="s">
        <v>997</v>
      </c>
      <c r="C1626" s="349" t="s">
        <v>998</v>
      </c>
      <c r="D1626" s="344" t="s">
        <v>346</v>
      </c>
      <c r="E1626" s="349" t="s">
        <v>1168</v>
      </c>
      <c r="F1626" s="452">
        <v>28350.0</v>
      </c>
      <c r="G1626" s="413"/>
      <c r="H1626" s="349" t="s">
        <v>2037</v>
      </c>
      <c r="I1626" s="402"/>
      <c r="J1626" s="402"/>
      <c r="K1626" s="402"/>
      <c r="L1626" s="402"/>
      <c r="M1626" s="402"/>
      <c r="N1626" s="402"/>
      <c r="O1626" s="402"/>
      <c r="P1626" s="402"/>
      <c r="Q1626" s="402"/>
      <c r="R1626" s="402"/>
      <c r="S1626" s="402"/>
      <c r="T1626" s="402"/>
      <c r="U1626" s="402"/>
      <c r="V1626" s="402"/>
      <c r="W1626" s="402"/>
      <c r="X1626" s="402"/>
      <c r="Y1626" s="402"/>
      <c r="Z1626" s="402"/>
      <c r="AA1626" s="405"/>
      <c r="AB1626" s="405"/>
    </row>
    <row r="1627" ht="14.25" customHeight="1">
      <c r="A1627" s="497">
        <v>45533.0</v>
      </c>
      <c r="B1627" s="349" t="s">
        <v>1223</v>
      </c>
      <c r="C1627" s="349" t="s">
        <v>998</v>
      </c>
      <c r="D1627" s="415" t="s">
        <v>319</v>
      </c>
      <c r="E1627" s="349" t="s">
        <v>1168</v>
      </c>
      <c r="F1627" s="413">
        <v>143053.18</v>
      </c>
      <c r="G1627" s="568"/>
      <c r="H1627" s="349" t="s">
        <v>2037</v>
      </c>
      <c r="I1627" s="402"/>
      <c r="J1627" s="402"/>
      <c r="K1627" s="402"/>
      <c r="L1627" s="402"/>
      <c r="M1627" s="402"/>
      <c r="N1627" s="402"/>
      <c r="O1627" s="402"/>
      <c r="P1627" s="402"/>
      <c r="Q1627" s="402"/>
      <c r="R1627" s="402"/>
      <c r="S1627" s="402"/>
      <c r="T1627" s="402"/>
      <c r="U1627" s="402"/>
      <c r="V1627" s="402"/>
      <c r="W1627" s="402"/>
      <c r="X1627" s="402"/>
      <c r="Y1627" s="402"/>
      <c r="Z1627" s="402"/>
      <c r="AA1627" s="405"/>
      <c r="AB1627" s="405"/>
    </row>
    <row r="1628" ht="14.25" customHeight="1">
      <c r="A1628" s="497">
        <v>45533.0</v>
      </c>
      <c r="B1628" s="349" t="s">
        <v>1644</v>
      </c>
      <c r="C1628" s="349" t="s">
        <v>1893</v>
      </c>
      <c r="D1628" s="349" t="s">
        <v>54</v>
      </c>
      <c r="E1628" s="349" t="s">
        <v>1168</v>
      </c>
      <c r="F1628" s="413">
        <v>16680.0</v>
      </c>
      <c r="G1628" s="413"/>
      <c r="H1628" s="349" t="s">
        <v>2038</v>
      </c>
      <c r="I1628" s="402"/>
      <c r="J1628" s="402"/>
      <c r="K1628" s="402"/>
      <c r="L1628" s="402"/>
      <c r="M1628" s="402"/>
      <c r="N1628" s="402"/>
      <c r="O1628" s="402"/>
      <c r="P1628" s="402"/>
      <c r="Q1628" s="402"/>
      <c r="R1628" s="402"/>
      <c r="S1628" s="402"/>
      <c r="T1628" s="402"/>
      <c r="U1628" s="402"/>
      <c r="V1628" s="402"/>
      <c r="W1628" s="402"/>
      <c r="X1628" s="402"/>
      <c r="Y1628" s="402"/>
      <c r="Z1628" s="402"/>
      <c r="AA1628" s="405"/>
      <c r="AB1628" s="405"/>
    </row>
    <row r="1629" ht="14.25" customHeight="1">
      <c r="A1629" s="497">
        <v>45533.0</v>
      </c>
      <c r="B1629" s="535" t="s">
        <v>1046</v>
      </c>
      <c r="C1629" s="536" t="s">
        <v>1145</v>
      </c>
      <c r="D1629" s="536" t="s">
        <v>54</v>
      </c>
      <c r="E1629" s="349" t="s">
        <v>1168</v>
      </c>
      <c r="F1629" s="413">
        <v>20520.2</v>
      </c>
      <c r="G1629" s="413"/>
      <c r="H1629" s="349" t="s">
        <v>2039</v>
      </c>
      <c r="I1629" s="402"/>
      <c r="J1629" s="402"/>
      <c r="K1629" s="402"/>
      <c r="L1629" s="402"/>
      <c r="M1629" s="402"/>
      <c r="N1629" s="402"/>
      <c r="O1629" s="402"/>
      <c r="P1629" s="402"/>
      <c r="Q1629" s="402"/>
      <c r="R1629" s="402"/>
      <c r="S1629" s="402"/>
      <c r="T1629" s="402"/>
      <c r="U1629" s="402"/>
      <c r="V1629" s="402"/>
      <c r="W1629" s="402"/>
      <c r="X1629" s="402"/>
      <c r="Y1629" s="402"/>
      <c r="Z1629" s="402"/>
      <c r="AA1629" s="405"/>
      <c r="AB1629" s="405"/>
    </row>
    <row r="1630" ht="14.25" customHeight="1">
      <c r="A1630" s="497">
        <v>45533.0</v>
      </c>
      <c r="B1630" s="349" t="s">
        <v>761</v>
      </c>
      <c r="C1630" s="349" t="s">
        <v>1596</v>
      </c>
      <c r="D1630" s="349" t="s">
        <v>59</v>
      </c>
      <c r="E1630" s="349" t="s">
        <v>1168</v>
      </c>
      <c r="F1630" s="413">
        <v>26223.11</v>
      </c>
      <c r="G1630" s="413"/>
      <c r="H1630" s="349" t="s">
        <v>2040</v>
      </c>
      <c r="I1630" s="402"/>
      <c r="J1630" s="402"/>
      <c r="K1630" s="402"/>
      <c r="L1630" s="402"/>
      <c r="M1630" s="402"/>
      <c r="N1630" s="402"/>
      <c r="O1630" s="402"/>
      <c r="P1630" s="402"/>
      <c r="Q1630" s="402"/>
      <c r="R1630" s="402"/>
      <c r="S1630" s="402"/>
      <c r="T1630" s="402"/>
      <c r="U1630" s="402"/>
      <c r="V1630" s="402"/>
      <c r="W1630" s="402"/>
      <c r="X1630" s="402"/>
      <c r="Y1630" s="402"/>
      <c r="Z1630" s="402"/>
      <c r="AA1630" s="405"/>
      <c r="AB1630" s="405"/>
    </row>
    <row r="1631" ht="14.25" customHeight="1">
      <c r="A1631" s="497">
        <v>45533.0</v>
      </c>
      <c r="B1631" s="349" t="s">
        <v>1475</v>
      </c>
      <c r="C1631" s="349" t="s">
        <v>1895</v>
      </c>
      <c r="D1631" s="349" t="s">
        <v>75</v>
      </c>
      <c r="E1631" s="349" t="s">
        <v>1168</v>
      </c>
      <c r="F1631" s="413">
        <v>106909.0</v>
      </c>
      <c r="G1631" s="413"/>
      <c r="H1631" s="349" t="s">
        <v>2041</v>
      </c>
      <c r="I1631" s="402"/>
      <c r="J1631" s="402"/>
      <c r="K1631" s="402"/>
      <c r="L1631" s="402"/>
      <c r="M1631" s="402"/>
      <c r="N1631" s="402"/>
      <c r="O1631" s="402"/>
      <c r="P1631" s="402"/>
      <c r="Q1631" s="402"/>
      <c r="R1631" s="402"/>
      <c r="S1631" s="402"/>
      <c r="T1631" s="402"/>
      <c r="U1631" s="402"/>
      <c r="V1631" s="402"/>
      <c r="W1631" s="402"/>
      <c r="X1631" s="402"/>
      <c r="Y1631" s="402"/>
      <c r="Z1631" s="402"/>
      <c r="AA1631" s="405"/>
      <c r="AB1631" s="405"/>
    </row>
    <row r="1632" ht="14.25" customHeight="1">
      <c r="A1632" s="497">
        <v>45533.0</v>
      </c>
      <c r="B1632" s="349" t="s">
        <v>1503</v>
      </c>
      <c r="C1632" s="349" t="s">
        <v>1504</v>
      </c>
      <c r="D1632" s="349" t="s">
        <v>54</v>
      </c>
      <c r="E1632" s="349" t="s">
        <v>1168</v>
      </c>
      <c r="F1632" s="413">
        <v>11747.78</v>
      </c>
      <c r="G1632" s="413"/>
      <c r="H1632" s="349" t="s">
        <v>2042</v>
      </c>
      <c r="I1632" s="402"/>
      <c r="J1632" s="402"/>
      <c r="K1632" s="402"/>
      <c r="L1632" s="402"/>
      <c r="M1632" s="402"/>
      <c r="N1632" s="402"/>
      <c r="O1632" s="402"/>
      <c r="P1632" s="402"/>
      <c r="Q1632" s="402"/>
      <c r="R1632" s="402"/>
      <c r="S1632" s="402"/>
      <c r="T1632" s="402"/>
      <c r="U1632" s="402"/>
      <c r="V1632" s="402"/>
      <c r="W1632" s="402"/>
      <c r="X1632" s="402"/>
      <c r="Y1632" s="402"/>
      <c r="Z1632" s="402"/>
      <c r="AA1632" s="405"/>
      <c r="AB1632" s="405"/>
    </row>
    <row r="1633" ht="14.25" customHeight="1">
      <c r="A1633" s="497"/>
      <c r="B1633" s="402"/>
      <c r="C1633" s="402"/>
      <c r="D1633" s="402"/>
      <c r="E1633" s="402"/>
      <c r="F1633" s="403"/>
      <c r="G1633" s="403"/>
      <c r="H1633" s="402"/>
      <c r="I1633" s="402"/>
      <c r="J1633" s="402"/>
      <c r="K1633" s="402"/>
      <c r="L1633" s="402"/>
      <c r="M1633" s="402"/>
      <c r="N1633" s="402"/>
      <c r="O1633" s="402"/>
      <c r="P1633" s="402"/>
      <c r="Q1633" s="402"/>
      <c r="R1633" s="402"/>
      <c r="S1633" s="402"/>
      <c r="T1633" s="402"/>
      <c r="U1633" s="402"/>
      <c r="V1633" s="402"/>
      <c r="W1633" s="402"/>
      <c r="X1633" s="402"/>
      <c r="Y1633" s="402"/>
      <c r="Z1633" s="402"/>
      <c r="AA1633" s="405"/>
      <c r="AB1633" s="405"/>
    </row>
    <row r="1634" ht="14.25" customHeight="1">
      <c r="A1634" s="497"/>
      <c r="B1634" s="402"/>
      <c r="C1634" s="402"/>
      <c r="D1634" s="402"/>
      <c r="E1634" s="402"/>
      <c r="F1634" s="403"/>
      <c r="G1634" s="403"/>
      <c r="H1634" s="402"/>
      <c r="I1634" s="402"/>
      <c r="J1634" s="402"/>
      <c r="K1634" s="402"/>
      <c r="L1634" s="402"/>
      <c r="M1634" s="402"/>
      <c r="N1634" s="402"/>
      <c r="O1634" s="402"/>
      <c r="P1634" s="402"/>
      <c r="Q1634" s="402"/>
      <c r="R1634" s="402"/>
      <c r="S1634" s="402"/>
      <c r="T1634" s="402"/>
      <c r="U1634" s="402"/>
      <c r="V1634" s="402"/>
      <c r="W1634" s="402"/>
      <c r="X1634" s="402"/>
      <c r="Y1634" s="402"/>
      <c r="Z1634" s="402"/>
      <c r="AA1634" s="405"/>
      <c r="AB1634" s="405"/>
    </row>
    <row r="1635" ht="14.25" customHeight="1">
      <c r="A1635" s="497"/>
      <c r="B1635" s="402"/>
      <c r="C1635" s="424" t="s">
        <v>797</v>
      </c>
      <c r="D1635" s="402"/>
      <c r="E1635" s="402"/>
      <c r="F1635" s="403"/>
      <c r="G1635" s="403"/>
      <c r="H1635" s="402"/>
      <c r="I1635" s="402"/>
      <c r="J1635" s="402"/>
      <c r="K1635" s="402"/>
      <c r="L1635" s="402"/>
      <c r="M1635" s="402"/>
      <c r="N1635" s="402"/>
      <c r="O1635" s="402"/>
      <c r="P1635" s="402"/>
      <c r="Q1635" s="402"/>
      <c r="R1635" s="402"/>
      <c r="S1635" s="402"/>
      <c r="T1635" s="402"/>
      <c r="U1635" s="402"/>
      <c r="V1635" s="402"/>
      <c r="W1635" s="402"/>
      <c r="X1635" s="402"/>
      <c r="Y1635" s="402"/>
      <c r="Z1635" s="402"/>
      <c r="AA1635" s="405"/>
      <c r="AB1635" s="405"/>
    </row>
    <row r="1636" ht="14.25" customHeight="1">
      <c r="A1636" s="497">
        <v>45533.0</v>
      </c>
      <c r="B1636" s="349" t="s">
        <v>800</v>
      </c>
      <c r="C1636" s="349" t="s">
        <v>801</v>
      </c>
      <c r="D1636" s="493" t="s">
        <v>54</v>
      </c>
      <c r="E1636" s="349" t="s">
        <v>1255</v>
      </c>
      <c r="F1636" s="413">
        <v>20000.0</v>
      </c>
      <c r="G1636" s="403"/>
      <c r="H1636" s="349" t="s">
        <v>2043</v>
      </c>
      <c r="I1636" s="402"/>
      <c r="J1636" s="402"/>
      <c r="K1636" s="402"/>
      <c r="L1636" s="402"/>
      <c r="M1636" s="402"/>
      <c r="N1636" s="402"/>
      <c r="O1636" s="402"/>
      <c r="P1636" s="402"/>
      <c r="Q1636" s="402"/>
      <c r="R1636" s="402"/>
      <c r="S1636" s="402"/>
      <c r="T1636" s="402"/>
      <c r="U1636" s="402"/>
      <c r="V1636" s="402"/>
      <c r="W1636" s="402"/>
      <c r="X1636" s="402"/>
      <c r="Y1636" s="402"/>
      <c r="Z1636" s="402"/>
      <c r="AA1636" s="405"/>
      <c r="AB1636" s="405"/>
    </row>
    <row r="1637" ht="14.25" customHeight="1">
      <c r="A1637" s="497">
        <v>45533.0</v>
      </c>
      <c r="B1637" s="349" t="s">
        <v>777</v>
      </c>
      <c r="C1637" s="349" t="s">
        <v>778</v>
      </c>
      <c r="D1637" s="349" t="s">
        <v>54</v>
      </c>
      <c r="E1637" s="349" t="s">
        <v>1255</v>
      </c>
      <c r="F1637" s="413">
        <v>119325.0</v>
      </c>
      <c r="G1637" s="403"/>
      <c r="H1637" s="349" t="s">
        <v>2044</v>
      </c>
      <c r="I1637" s="402"/>
      <c r="J1637" s="402"/>
      <c r="K1637" s="402"/>
      <c r="L1637" s="402"/>
      <c r="M1637" s="402"/>
      <c r="N1637" s="402"/>
      <c r="O1637" s="402"/>
      <c r="P1637" s="402"/>
      <c r="Q1637" s="402"/>
      <c r="R1637" s="402"/>
      <c r="S1637" s="402"/>
      <c r="T1637" s="402"/>
      <c r="U1637" s="402"/>
      <c r="V1637" s="402"/>
      <c r="W1637" s="402"/>
      <c r="X1637" s="402"/>
      <c r="Y1637" s="402"/>
      <c r="Z1637" s="402"/>
      <c r="AA1637" s="405"/>
      <c r="AB1637" s="405"/>
    </row>
    <row r="1638" ht="14.25" customHeight="1">
      <c r="A1638" s="497">
        <v>45533.0</v>
      </c>
      <c r="B1638" s="349" t="s">
        <v>1181</v>
      </c>
      <c r="C1638" s="349" t="s">
        <v>1182</v>
      </c>
      <c r="D1638" s="349" t="s">
        <v>54</v>
      </c>
      <c r="E1638" s="349" t="s">
        <v>1255</v>
      </c>
      <c r="F1638" s="413">
        <v>300000.0</v>
      </c>
      <c r="G1638" s="403"/>
      <c r="H1638" s="349" t="s">
        <v>2045</v>
      </c>
      <c r="I1638" s="402"/>
      <c r="J1638" s="402"/>
      <c r="K1638" s="402"/>
      <c r="L1638" s="402"/>
      <c r="M1638" s="402"/>
      <c r="N1638" s="402"/>
      <c r="O1638" s="402"/>
      <c r="P1638" s="402"/>
      <c r="Q1638" s="402"/>
      <c r="R1638" s="402"/>
      <c r="S1638" s="402"/>
      <c r="T1638" s="402"/>
      <c r="U1638" s="402"/>
      <c r="V1638" s="402"/>
      <c r="W1638" s="402"/>
      <c r="X1638" s="402"/>
      <c r="Y1638" s="402"/>
      <c r="Z1638" s="402"/>
      <c r="AA1638" s="405"/>
      <c r="AB1638" s="405"/>
    </row>
    <row r="1639" ht="14.25" customHeight="1">
      <c r="A1639" s="497">
        <v>45533.0</v>
      </c>
      <c r="B1639" s="349" t="s">
        <v>1176</v>
      </c>
      <c r="C1639" s="349" t="s">
        <v>1366</v>
      </c>
      <c r="D1639" s="349" t="s">
        <v>54</v>
      </c>
      <c r="E1639" s="349" t="s">
        <v>1302</v>
      </c>
      <c r="F1639" s="413">
        <v>500000.0</v>
      </c>
      <c r="G1639" s="403"/>
      <c r="H1639" s="402"/>
      <c r="I1639" s="402"/>
      <c r="J1639" s="402"/>
      <c r="K1639" s="402"/>
      <c r="L1639" s="402"/>
      <c r="M1639" s="402"/>
      <c r="N1639" s="402"/>
      <c r="O1639" s="402"/>
      <c r="P1639" s="402"/>
      <c r="Q1639" s="402"/>
      <c r="R1639" s="402"/>
      <c r="S1639" s="402"/>
      <c r="T1639" s="402"/>
      <c r="U1639" s="402"/>
      <c r="V1639" s="402"/>
      <c r="W1639" s="402"/>
      <c r="X1639" s="402"/>
      <c r="Y1639" s="402"/>
      <c r="Z1639" s="402"/>
      <c r="AA1639" s="405"/>
      <c r="AB1639" s="405"/>
    </row>
    <row r="1640" ht="14.25" customHeight="1">
      <c r="A1640" s="497">
        <v>45533.0</v>
      </c>
      <c r="B1640" s="349" t="s">
        <v>1329</v>
      </c>
      <c r="C1640" s="569" t="s">
        <v>1236</v>
      </c>
      <c r="D1640" s="349" t="s">
        <v>54</v>
      </c>
      <c r="E1640" s="349" t="s">
        <v>273</v>
      </c>
      <c r="F1640" s="413">
        <v>1000000.0</v>
      </c>
      <c r="G1640" s="403"/>
      <c r="H1640" s="402"/>
      <c r="I1640" s="402"/>
      <c r="J1640" s="402"/>
      <c r="K1640" s="402"/>
      <c r="L1640" s="402"/>
      <c r="M1640" s="402"/>
      <c r="N1640" s="402"/>
      <c r="O1640" s="402"/>
      <c r="P1640" s="402"/>
      <c r="Q1640" s="402"/>
      <c r="R1640" s="402"/>
      <c r="S1640" s="402"/>
      <c r="T1640" s="402"/>
      <c r="U1640" s="402"/>
      <c r="V1640" s="402"/>
      <c r="W1640" s="402"/>
      <c r="X1640" s="402"/>
      <c r="Y1640" s="402"/>
      <c r="Z1640" s="402"/>
      <c r="AA1640" s="405"/>
      <c r="AB1640" s="405"/>
    </row>
    <row r="1641" ht="14.25" customHeight="1">
      <c r="A1641" s="497">
        <v>45533.0</v>
      </c>
      <c r="B1641" s="349" t="s">
        <v>1544</v>
      </c>
      <c r="C1641" s="572" t="s">
        <v>1545</v>
      </c>
      <c r="D1641" s="349" t="s">
        <v>59</v>
      </c>
      <c r="E1641" s="349" t="s">
        <v>273</v>
      </c>
      <c r="F1641" s="413">
        <v>5000000.0</v>
      </c>
      <c r="G1641" s="403"/>
      <c r="H1641" s="349" t="s">
        <v>2046</v>
      </c>
      <c r="I1641" s="402"/>
      <c r="J1641" s="402"/>
      <c r="K1641" s="402"/>
      <c r="L1641" s="402"/>
      <c r="M1641" s="402"/>
      <c r="N1641" s="402"/>
      <c r="O1641" s="402"/>
      <c r="P1641" s="402"/>
      <c r="Q1641" s="402"/>
      <c r="R1641" s="402"/>
      <c r="S1641" s="402"/>
      <c r="T1641" s="402"/>
      <c r="U1641" s="402"/>
      <c r="V1641" s="402"/>
      <c r="W1641" s="402"/>
      <c r="X1641" s="402"/>
      <c r="Y1641" s="402"/>
      <c r="Z1641" s="402"/>
      <c r="AA1641" s="405"/>
      <c r="AB1641" s="405"/>
    </row>
    <row r="1642" ht="14.25" customHeight="1">
      <c r="A1642" s="402"/>
      <c r="B1642" s="402"/>
      <c r="C1642" s="402"/>
      <c r="D1642" s="402"/>
      <c r="E1642" s="402"/>
      <c r="F1642" s="403"/>
      <c r="G1642" s="403"/>
      <c r="H1642" s="402"/>
      <c r="I1642" s="402"/>
      <c r="J1642" s="402"/>
      <c r="K1642" s="402"/>
      <c r="L1642" s="402"/>
      <c r="M1642" s="402"/>
      <c r="N1642" s="402"/>
      <c r="O1642" s="402"/>
      <c r="P1642" s="402"/>
      <c r="Q1642" s="402"/>
      <c r="R1642" s="402"/>
      <c r="S1642" s="402"/>
      <c r="T1642" s="402"/>
      <c r="U1642" s="402"/>
      <c r="V1642" s="402"/>
      <c r="W1642" s="402"/>
      <c r="X1642" s="402"/>
      <c r="Y1642" s="402"/>
      <c r="Z1642" s="402"/>
      <c r="AA1642" s="405"/>
      <c r="AB1642" s="405"/>
    </row>
    <row r="1643" ht="14.25" customHeight="1">
      <c r="A1643" s="402"/>
      <c r="B1643" s="402"/>
      <c r="C1643" s="402"/>
      <c r="D1643" s="402"/>
      <c r="E1643" s="402"/>
      <c r="F1643" s="403"/>
      <c r="G1643" s="403"/>
      <c r="H1643" s="402"/>
      <c r="I1643" s="402"/>
      <c r="J1643" s="402"/>
      <c r="K1643" s="402"/>
      <c r="L1643" s="402"/>
      <c r="M1643" s="402"/>
      <c r="N1643" s="402"/>
      <c r="O1643" s="402"/>
      <c r="P1643" s="402"/>
      <c r="Q1643" s="402"/>
      <c r="R1643" s="402"/>
      <c r="S1643" s="402"/>
      <c r="T1643" s="402"/>
      <c r="U1643" s="402"/>
      <c r="V1643" s="402"/>
      <c r="W1643" s="402"/>
      <c r="X1643" s="402"/>
      <c r="Y1643" s="402"/>
      <c r="Z1643" s="402"/>
      <c r="AA1643" s="405"/>
      <c r="AB1643" s="405"/>
    </row>
    <row r="1644" ht="14.25" customHeight="1">
      <c r="A1644" s="402"/>
      <c r="B1644" s="402"/>
      <c r="C1644" s="402"/>
      <c r="D1644" s="402"/>
      <c r="E1644" s="402"/>
      <c r="F1644" s="403"/>
      <c r="G1644" s="403"/>
      <c r="H1644" s="402"/>
      <c r="I1644" s="402"/>
      <c r="J1644" s="402"/>
      <c r="K1644" s="402"/>
      <c r="L1644" s="402"/>
      <c r="M1644" s="402"/>
      <c r="N1644" s="402"/>
      <c r="O1644" s="402"/>
      <c r="P1644" s="402"/>
      <c r="Q1644" s="402"/>
      <c r="R1644" s="402"/>
      <c r="S1644" s="402"/>
      <c r="T1644" s="402"/>
      <c r="U1644" s="402"/>
      <c r="V1644" s="402"/>
      <c r="W1644" s="402"/>
      <c r="X1644" s="402"/>
      <c r="Y1644" s="402"/>
      <c r="Z1644" s="402"/>
      <c r="AA1644" s="405"/>
      <c r="AB1644" s="405"/>
    </row>
    <row r="1645" ht="14.25" customHeight="1">
      <c r="A1645" s="402"/>
      <c r="B1645" s="402"/>
      <c r="C1645" s="402"/>
      <c r="D1645" s="402"/>
      <c r="E1645" s="402"/>
      <c r="F1645" s="403"/>
      <c r="G1645" s="403"/>
      <c r="H1645" s="402"/>
      <c r="I1645" s="402"/>
      <c r="J1645" s="402"/>
      <c r="K1645" s="402"/>
      <c r="L1645" s="402"/>
      <c r="M1645" s="402"/>
      <c r="N1645" s="402"/>
      <c r="O1645" s="402"/>
      <c r="P1645" s="402"/>
      <c r="Q1645" s="402"/>
      <c r="R1645" s="402"/>
      <c r="S1645" s="402"/>
      <c r="T1645" s="402"/>
      <c r="U1645" s="402"/>
      <c r="V1645" s="402"/>
      <c r="W1645" s="402"/>
      <c r="X1645" s="402"/>
      <c r="Y1645" s="402"/>
      <c r="Z1645" s="402"/>
      <c r="AA1645" s="405"/>
      <c r="AB1645" s="405"/>
    </row>
    <row r="1646" ht="14.25" customHeight="1">
      <c r="A1646" s="402"/>
      <c r="B1646" s="402"/>
      <c r="C1646" s="402"/>
      <c r="D1646" s="402"/>
      <c r="E1646" s="402"/>
      <c r="F1646" s="403"/>
      <c r="G1646" s="403"/>
      <c r="H1646" s="402"/>
      <c r="I1646" s="402"/>
      <c r="J1646" s="402"/>
      <c r="K1646" s="402"/>
      <c r="L1646" s="402"/>
      <c r="M1646" s="402"/>
      <c r="N1646" s="402"/>
      <c r="O1646" s="402"/>
      <c r="P1646" s="402"/>
      <c r="Q1646" s="402"/>
      <c r="R1646" s="402"/>
      <c r="S1646" s="402"/>
      <c r="T1646" s="402"/>
      <c r="U1646" s="402"/>
      <c r="V1646" s="402"/>
      <c r="W1646" s="402"/>
      <c r="X1646" s="402"/>
      <c r="Y1646" s="402"/>
      <c r="Z1646" s="402"/>
      <c r="AA1646" s="405"/>
      <c r="AB1646" s="405"/>
    </row>
    <row r="1647" ht="14.25" customHeight="1">
      <c r="A1647" s="402"/>
      <c r="B1647" s="402"/>
      <c r="C1647" s="402"/>
      <c r="D1647" s="402"/>
      <c r="E1647" s="402"/>
      <c r="F1647" s="403"/>
      <c r="G1647" s="403"/>
      <c r="H1647" s="402"/>
      <c r="I1647" s="402"/>
      <c r="J1647" s="402"/>
      <c r="K1647" s="402"/>
      <c r="L1647" s="402"/>
      <c r="M1647" s="402"/>
      <c r="N1647" s="402"/>
      <c r="O1647" s="402"/>
      <c r="P1647" s="402"/>
      <c r="Q1647" s="402"/>
      <c r="R1647" s="402"/>
      <c r="S1647" s="402"/>
      <c r="T1647" s="402"/>
      <c r="U1647" s="402"/>
      <c r="V1647" s="402"/>
      <c r="W1647" s="402"/>
      <c r="X1647" s="402"/>
      <c r="Y1647" s="402"/>
      <c r="Z1647" s="402"/>
      <c r="AA1647" s="405"/>
      <c r="AB1647" s="405"/>
    </row>
    <row r="1648" ht="14.25" customHeight="1">
      <c r="A1648" s="402"/>
      <c r="B1648" s="424" t="s">
        <v>2047</v>
      </c>
      <c r="C1648" s="402"/>
      <c r="D1648" s="402"/>
      <c r="E1648" s="402"/>
      <c r="F1648" s="403"/>
      <c r="G1648" s="403"/>
      <c r="H1648" s="402"/>
      <c r="I1648" s="402"/>
      <c r="J1648" s="402"/>
      <c r="K1648" s="402"/>
      <c r="L1648" s="402"/>
      <c r="M1648" s="402"/>
      <c r="N1648" s="402"/>
      <c r="O1648" s="402"/>
      <c r="P1648" s="402"/>
      <c r="Q1648" s="402"/>
      <c r="R1648" s="402"/>
      <c r="S1648" s="402"/>
      <c r="T1648" s="402"/>
      <c r="U1648" s="402"/>
      <c r="V1648" s="402"/>
      <c r="W1648" s="402"/>
      <c r="X1648" s="402"/>
      <c r="Y1648" s="402"/>
      <c r="Z1648" s="402"/>
      <c r="AA1648" s="405"/>
      <c r="AB1648" s="405"/>
    </row>
    <row r="1649" ht="14.25" customHeight="1">
      <c r="A1649" s="497">
        <v>45534.0</v>
      </c>
      <c r="B1649" s="349" t="s">
        <v>774</v>
      </c>
      <c r="C1649" s="349" t="s">
        <v>799</v>
      </c>
      <c r="D1649" s="349" t="s">
        <v>54</v>
      </c>
      <c r="E1649" s="349" t="s">
        <v>1139</v>
      </c>
      <c r="F1649" s="413">
        <v>129710.0</v>
      </c>
      <c r="G1649" s="413">
        <v>0.0</v>
      </c>
      <c r="H1649" s="349" t="s">
        <v>2048</v>
      </c>
      <c r="I1649" s="402"/>
      <c r="J1649" s="402"/>
      <c r="K1649" s="402"/>
      <c r="L1649" s="402"/>
      <c r="M1649" s="402"/>
      <c r="N1649" s="402"/>
      <c r="O1649" s="402"/>
      <c r="P1649" s="402"/>
      <c r="Q1649" s="402"/>
      <c r="R1649" s="402"/>
      <c r="S1649" s="402"/>
      <c r="T1649" s="402"/>
      <c r="U1649" s="402"/>
      <c r="V1649" s="402"/>
      <c r="W1649" s="402"/>
      <c r="X1649" s="402"/>
      <c r="Y1649" s="402"/>
      <c r="Z1649" s="402"/>
      <c r="AA1649" s="405"/>
      <c r="AB1649" s="405"/>
    </row>
    <row r="1650" ht="14.25" customHeight="1">
      <c r="A1650" s="497">
        <v>45534.0</v>
      </c>
      <c r="B1650" s="535" t="s">
        <v>918</v>
      </c>
      <c r="C1650" s="536" t="s">
        <v>919</v>
      </c>
      <c r="D1650" s="536" t="s">
        <v>54</v>
      </c>
      <c r="E1650" s="349" t="s">
        <v>1139</v>
      </c>
      <c r="F1650" s="413">
        <v>42847.0</v>
      </c>
      <c r="G1650" s="413">
        <v>23000.0</v>
      </c>
      <c r="H1650" s="349" t="s">
        <v>2049</v>
      </c>
      <c r="I1650" s="402"/>
      <c r="J1650" s="402"/>
      <c r="K1650" s="402"/>
      <c r="L1650" s="402"/>
      <c r="M1650" s="402"/>
      <c r="N1650" s="402"/>
      <c r="O1650" s="402"/>
      <c r="P1650" s="402"/>
      <c r="Q1650" s="402"/>
      <c r="R1650" s="402"/>
      <c r="S1650" s="402"/>
      <c r="T1650" s="402"/>
      <c r="U1650" s="402"/>
      <c r="V1650" s="402"/>
      <c r="W1650" s="402"/>
      <c r="X1650" s="402"/>
      <c r="Y1650" s="402"/>
      <c r="Z1650" s="402"/>
      <c r="AA1650" s="405"/>
      <c r="AB1650" s="405"/>
    </row>
    <row r="1651" ht="14.25" customHeight="1">
      <c r="A1651" s="497">
        <v>45534.0</v>
      </c>
      <c r="B1651" s="535" t="s">
        <v>783</v>
      </c>
      <c r="C1651" s="536" t="s">
        <v>784</v>
      </c>
      <c r="D1651" s="536" t="s">
        <v>54</v>
      </c>
      <c r="E1651" s="349" t="s">
        <v>1139</v>
      </c>
      <c r="F1651" s="413">
        <v>130000.0</v>
      </c>
      <c r="G1651" s="413">
        <v>0.0</v>
      </c>
      <c r="H1651" s="349" t="s">
        <v>2050</v>
      </c>
      <c r="I1651" s="402"/>
      <c r="J1651" s="402"/>
      <c r="K1651" s="402"/>
      <c r="L1651" s="402"/>
      <c r="M1651" s="402"/>
      <c r="N1651" s="402"/>
      <c r="O1651" s="402"/>
      <c r="P1651" s="402"/>
      <c r="Q1651" s="402"/>
      <c r="R1651" s="402"/>
      <c r="S1651" s="402"/>
      <c r="T1651" s="402"/>
      <c r="U1651" s="402"/>
      <c r="V1651" s="402"/>
      <c r="W1651" s="402"/>
      <c r="X1651" s="402"/>
      <c r="Y1651" s="402"/>
      <c r="Z1651" s="402"/>
      <c r="AA1651" s="405"/>
      <c r="AB1651" s="405"/>
    </row>
    <row r="1652" ht="14.25" customHeight="1">
      <c r="A1652" s="497">
        <v>45534.0</v>
      </c>
      <c r="B1652" s="349" t="s">
        <v>870</v>
      </c>
      <c r="C1652" s="349" t="s">
        <v>871</v>
      </c>
      <c r="D1652" s="349" t="s">
        <v>54</v>
      </c>
      <c r="E1652" s="349" t="s">
        <v>1139</v>
      </c>
      <c r="F1652" s="413">
        <v>18936.33</v>
      </c>
      <c r="G1652" s="413">
        <v>0.0</v>
      </c>
      <c r="H1652" s="349" t="s">
        <v>2051</v>
      </c>
      <c r="I1652" s="402"/>
      <c r="J1652" s="402"/>
      <c r="K1652" s="402"/>
      <c r="L1652" s="402"/>
      <c r="M1652" s="402"/>
      <c r="N1652" s="402"/>
      <c r="O1652" s="402"/>
      <c r="P1652" s="402"/>
      <c r="Q1652" s="402"/>
      <c r="R1652" s="402"/>
      <c r="S1652" s="402"/>
      <c r="T1652" s="402"/>
      <c r="U1652" s="402"/>
      <c r="V1652" s="402"/>
      <c r="W1652" s="402"/>
      <c r="X1652" s="402"/>
      <c r="Y1652" s="402"/>
      <c r="Z1652" s="402"/>
      <c r="AA1652" s="405"/>
      <c r="AB1652" s="405"/>
    </row>
    <row r="1653" ht="14.25" customHeight="1">
      <c r="A1653" s="497">
        <v>45534.0</v>
      </c>
      <c r="B1653" s="535" t="s">
        <v>915</v>
      </c>
      <c r="C1653" s="536" t="s">
        <v>916</v>
      </c>
      <c r="D1653" s="536" t="s">
        <v>54</v>
      </c>
      <c r="E1653" s="349" t="s">
        <v>1139</v>
      </c>
      <c r="F1653" s="573">
        <v>50971.0</v>
      </c>
      <c r="G1653" s="413">
        <v>0.0</v>
      </c>
      <c r="H1653" s="349" t="s">
        <v>2052</v>
      </c>
      <c r="I1653" s="402"/>
      <c r="J1653" s="402"/>
      <c r="K1653" s="402"/>
      <c r="L1653" s="402"/>
      <c r="M1653" s="402"/>
      <c r="N1653" s="402"/>
      <c r="O1653" s="402"/>
      <c r="P1653" s="402"/>
      <c r="Q1653" s="402"/>
      <c r="R1653" s="402"/>
      <c r="S1653" s="402"/>
      <c r="T1653" s="402"/>
      <c r="U1653" s="402"/>
      <c r="V1653" s="402"/>
      <c r="W1653" s="402"/>
      <c r="X1653" s="402"/>
      <c r="Y1653" s="402"/>
      <c r="Z1653" s="402"/>
      <c r="AA1653" s="405"/>
      <c r="AB1653" s="405"/>
    </row>
    <row r="1654" ht="14.25" customHeight="1">
      <c r="A1654" s="497">
        <v>45534.0</v>
      </c>
      <c r="B1654" s="518" t="s">
        <v>1012</v>
      </c>
      <c r="C1654" s="519" t="s">
        <v>1013</v>
      </c>
      <c r="D1654" s="519" t="s">
        <v>75</v>
      </c>
      <c r="E1654" s="349" t="s">
        <v>1139</v>
      </c>
      <c r="F1654" s="489">
        <v>194829.4</v>
      </c>
      <c r="G1654" s="413">
        <v>0.0</v>
      </c>
      <c r="H1654" s="349" t="s">
        <v>2053</v>
      </c>
      <c r="I1654" s="402"/>
      <c r="J1654" s="402"/>
      <c r="K1654" s="402"/>
      <c r="L1654" s="402"/>
      <c r="M1654" s="402"/>
      <c r="N1654" s="402"/>
      <c r="O1654" s="402"/>
      <c r="P1654" s="402"/>
      <c r="Q1654" s="402"/>
      <c r="R1654" s="402"/>
      <c r="S1654" s="402"/>
      <c r="T1654" s="402"/>
      <c r="U1654" s="402"/>
      <c r="V1654" s="402"/>
      <c r="W1654" s="402"/>
      <c r="X1654" s="402"/>
      <c r="Y1654" s="402"/>
      <c r="Z1654" s="402"/>
      <c r="AA1654" s="405"/>
      <c r="AB1654" s="405"/>
    </row>
    <row r="1655" ht="14.25" customHeight="1">
      <c r="A1655" s="497">
        <v>45534.0</v>
      </c>
      <c r="B1655" s="349" t="s">
        <v>1648</v>
      </c>
      <c r="C1655" s="349" t="s">
        <v>1013</v>
      </c>
      <c r="D1655" s="349" t="s">
        <v>59</v>
      </c>
      <c r="E1655" s="349" t="s">
        <v>1139</v>
      </c>
      <c r="F1655" s="413">
        <v>249174.43</v>
      </c>
      <c r="G1655" s="413">
        <v>0.0</v>
      </c>
      <c r="H1655" s="349" t="s">
        <v>2053</v>
      </c>
      <c r="I1655" s="402"/>
      <c r="J1655" s="402"/>
      <c r="K1655" s="402"/>
      <c r="L1655" s="402"/>
      <c r="M1655" s="402"/>
      <c r="N1655" s="402"/>
      <c r="O1655" s="402"/>
      <c r="P1655" s="402"/>
      <c r="Q1655" s="402"/>
      <c r="R1655" s="402"/>
      <c r="S1655" s="402"/>
      <c r="T1655" s="402"/>
      <c r="U1655" s="402"/>
      <c r="V1655" s="402"/>
      <c r="W1655" s="402"/>
      <c r="X1655" s="402"/>
      <c r="Y1655" s="402"/>
      <c r="Z1655" s="402"/>
      <c r="AA1655" s="405"/>
      <c r="AB1655" s="405"/>
    </row>
    <row r="1656" ht="14.25" customHeight="1">
      <c r="A1656" s="497">
        <v>45534.0</v>
      </c>
      <c r="B1656" s="518"/>
      <c r="C1656" s="415" t="s">
        <v>2054</v>
      </c>
      <c r="D1656" s="415" t="s">
        <v>54</v>
      </c>
      <c r="E1656" s="349" t="s">
        <v>1139</v>
      </c>
      <c r="F1656" s="489">
        <v>2175.0</v>
      </c>
      <c r="G1656" s="413">
        <v>0.0</v>
      </c>
      <c r="H1656" s="349" t="s">
        <v>2055</v>
      </c>
      <c r="I1656" s="402"/>
      <c r="J1656" s="402"/>
      <c r="K1656" s="402"/>
      <c r="L1656" s="402"/>
      <c r="M1656" s="402"/>
      <c r="N1656" s="402"/>
      <c r="O1656" s="402"/>
      <c r="P1656" s="402"/>
      <c r="Q1656" s="402"/>
      <c r="R1656" s="402"/>
      <c r="S1656" s="402"/>
      <c r="T1656" s="402"/>
      <c r="U1656" s="402"/>
      <c r="V1656" s="402"/>
      <c r="W1656" s="402"/>
      <c r="X1656" s="402"/>
      <c r="Y1656" s="402"/>
      <c r="Z1656" s="402"/>
      <c r="AA1656" s="405"/>
      <c r="AB1656" s="405"/>
    </row>
    <row r="1657" ht="14.25" customHeight="1">
      <c r="A1657" s="497">
        <v>45534.0</v>
      </c>
      <c r="B1657" s="518" t="s">
        <v>781</v>
      </c>
      <c r="C1657" s="519" t="s">
        <v>782</v>
      </c>
      <c r="D1657" s="519" t="s">
        <v>54</v>
      </c>
      <c r="E1657" s="349" t="s">
        <v>1139</v>
      </c>
      <c r="F1657" s="489">
        <v>10420.98</v>
      </c>
      <c r="G1657" s="413">
        <v>0.0</v>
      </c>
      <c r="H1657" s="349" t="s">
        <v>2056</v>
      </c>
      <c r="I1657" s="402"/>
      <c r="J1657" s="402"/>
      <c r="K1657" s="402"/>
      <c r="L1657" s="402"/>
      <c r="M1657" s="402"/>
      <c r="N1657" s="402"/>
      <c r="O1657" s="402"/>
      <c r="P1657" s="402"/>
      <c r="Q1657" s="402"/>
      <c r="R1657" s="402"/>
      <c r="S1657" s="402"/>
      <c r="T1657" s="402"/>
      <c r="U1657" s="402"/>
      <c r="V1657" s="402"/>
      <c r="W1657" s="402"/>
      <c r="X1657" s="402"/>
      <c r="Y1657" s="402"/>
      <c r="Z1657" s="402"/>
      <c r="AA1657" s="405"/>
      <c r="AB1657" s="405"/>
    </row>
    <row r="1658" ht="14.25" hidden="1" customHeight="1">
      <c r="A1658" s="497">
        <v>45534.0</v>
      </c>
      <c r="B1658" s="529"/>
      <c r="C1658" s="530"/>
      <c r="D1658" s="530"/>
      <c r="E1658" s="349"/>
      <c r="F1658" s="489"/>
      <c r="G1658" s="403"/>
      <c r="H1658" s="402"/>
      <c r="I1658" s="402"/>
      <c r="J1658" s="402"/>
      <c r="K1658" s="402"/>
      <c r="L1658" s="402"/>
      <c r="M1658" s="402"/>
      <c r="N1658" s="402"/>
      <c r="O1658" s="402"/>
      <c r="P1658" s="402"/>
      <c r="Q1658" s="402"/>
      <c r="R1658" s="402"/>
      <c r="S1658" s="402"/>
      <c r="T1658" s="402"/>
      <c r="U1658" s="402"/>
      <c r="V1658" s="402"/>
      <c r="W1658" s="402"/>
      <c r="X1658" s="402"/>
      <c r="Y1658" s="402"/>
      <c r="Z1658" s="402"/>
      <c r="AA1658" s="405"/>
      <c r="AB1658" s="405"/>
    </row>
    <row r="1659" ht="14.25" customHeight="1">
      <c r="A1659" s="497">
        <v>45534.0</v>
      </c>
      <c r="B1659" s="529" t="s">
        <v>1955</v>
      </c>
      <c r="C1659" s="530" t="s">
        <v>1956</v>
      </c>
      <c r="D1659" s="530" t="s">
        <v>67</v>
      </c>
      <c r="E1659" s="349" t="s">
        <v>1098</v>
      </c>
      <c r="F1659" s="489">
        <v>276000.0</v>
      </c>
      <c r="G1659" s="403"/>
      <c r="H1659" s="349" t="s">
        <v>2057</v>
      </c>
      <c r="I1659" s="402"/>
      <c r="J1659" s="402"/>
      <c r="K1659" s="402"/>
      <c r="L1659" s="402"/>
      <c r="M1659" s="402"/>
      <c r="N1659" s="402"/>
      <c r="O1659" s="402"/>
      <c r="P1659" s="402"/>
      <c r="Q1659" s="402"/>
      <c r="R1659" s="402"/>
      <c r="S1659" s="402"/>
      <c r="T1659" s="402"/>
      <c r="U1659" s="402"/>
      <c r="V1659" s="402"/>
      <c r="W1659" s="402"/>
      <c r="X1659" s="402"/>
      <c r="Y1659" s="402"/>
      <c r="Z1659" s="402"/>
      <c r="AA1659" s="405"/>
      <c r="AB1659" s="405"/>
    </row>
    <row r="1660" ht="14.25" customHeight="1">
      <c r="A1660" s="497">
        <v>45534.0</v>
      </c>
      <c r="B1660" s="535" t="s">
        <v>1907</v>
      </c>
      <c r="C1660" s="536" t="s">
        <v>1103</v>
      </c>
      <c r="D1660" s="536" t="s">
        <v>75</v>
      </c>
      <c r="E1660" s="349" t="s">
        <v>1098</v>
      </c>
      <c r="F1660" s="413">
        <v>1039500.0</v>
      </c>
      <c r="G1660" s="403"/>
      <c r="H1660" s="349" t="s">
        <v>2058</v>
      </c>
      <c r="I1660" s="402"/>
      <c r="J1660" s="402"/>
      <c r="K1660" s="402"/>
      <c r="L1660" s="402"/>
      <c r="M1660" s="402"/>
      <c r="N1660" s="402"/>
      <c r="O1660" s="402"/>
      <c r="P1660" s="402"/>
      <c r="Q1660" s="402"/>
      <c r="R1660" s="402"/>
      <c r="S1660" s="402"/>
      <c r="T1660" s="402"/>
      <c r="U1660" s="402"/>
      <c r="V1660" s="402"/>
      <c r="W1660" s="402"/>
      <c r="X1660" s="402"/>
      <c r="Y1660" s="402"/>
      <c r="Z1660" s="402"/>
      <c r="AA1660" s="405"/>
      <c r="AB1660" s="405"/>
    </row>
    <row r="1661" ht="14.25" customHeight="1">
      <c r="A1661" s="497">
        <v>45534.0</v>
      </c>
      <c r="B1661" s="349" t="s">
        <v>701</v>
      </c>
      <c r="C1661" s="349" t="s">
        <v>702</v>
      </c>
      <c r="D1661" s="349" t="s">
        <v>54</v>
      </c>
      <c r="E1661" s="349" t="s">
        <v>1098</v>
      </c>
      <c r="F1661" s="413">
        <v>10771.93</v>
      </c>
      <c r="G1661" s="403"/>
      <c r="H1661" s="349" t="s">
        <v>1377</v>
      </c>
      <c r="I1661" s="402"/>
      <c r="J1661" s="402"/>
      <c r="K1661" s="402"/>
      <c r="L1661" s="402"/>
      <c r="M1661" s="402"/>
      <c r="N1661" s="402"/>
      <c r="O1661" s="402"/>
      <c r="P1661" s="402"/>
      <c r="Q1661" s="402"/>
      <c r="R1661" s="402"/>
      <c r="S1661" s="402"/>
      <c r="T1661" s="402"/>
      <c r="U1661" s="402"/>
      <c r="V1661" s="402"/>
      <c r="W1661" s="402"/>
      <c r="X1661" s="402"/>
      <c r="Y1661" s="402"/>
      <c r="Z1661" s="402"/>
      <c r="AA1661" s="405"/>
      <c r="AB1661" s="405"/>
    </row>
    <row r="1662" ht="14.25" customHeight="1">
      <c r="A1662" s="497">
        <v>45534.0</v>
      </c>
      <c r="B1662" s="509" t="s">
        <v>1381</v>
      </c>
      <c r="C1662" s="510" t="s">
        <v>1382</v>
      </c>
      <c r="D1662" s="510" t="s">
        <v>54</v>
      </c>
      <c r="E1662" s="349" t="s">
        <v>1098</v>
      </c>
      <c r="F1662" s="416">
        <v>198106.72</v>
      </c>
      <c r="G1662" s="413">
        <v>334161.0</v>
      </c>
      <c r="H1662" s="402"/>
      <c r="I1662" s="402"/>
      <c r="J1662" s="402"/>
      <c r="K1662" s="402"/>
      <c r="L1662" s="402"/>
      <c r="M1662" s="402"/>
      <c r="N1662" s="402"/>
      <c r="O1662" s="402"/>
      <c r="P1662" s="402"/>
      <c r="Q1662" s="402"/>
      <c r="R1662" s="402"/>
      <c r="S1662" s="402"/>
      <c r="T1662" s="402"/>
      <c r="U1662" s="402"/>
      <c r="V1662" s="402"/>
      <c r="W1662" s="402"/>
      <c r="X1662" s="402"/>
      <c r="Y1662" s="402"/>
      <c r="Z1662" s="402"/>
      <c r="AA1662" s="405"/>
      <c r="AB1662" s="405"/>
    </row>
    <row r="1663" ht="14.25" customHeight="1">
      <c r="A1663" s="497">
        <v>45534.0</v>
      </c>
      <c r="B1663" s="349" t="s">
        <v>807</v>
      </c>
      <c r="C1663" s="349" t="s">
        <v>1888</v>
      </c>
      <c r="D1663" s="510" t="s">
        <v>54</v>
      </c>
      <c r="E1663" s="349" t="s">
        <v>1098</v>
      </c>
      <c r="F1663" s="413">
        <v>40233.73</v>
      </c>
      <c r="G1663" s="403"/>
      <c r="H1663" s="349" t="s">
        <v>2059</v>
      </c>
      <c r="I1663" s="402"/>
      <c r="J1663" s="402"/>
      <c r="K1663" s="402"/>
      <c r="L1663" s="402"/>
      <c r="M1663" s="402"/>
      <c r="N1663" s="402"/>
      <c r="O1663" s="402"/>
      <c r="P1663" s="402"/>
      <c r="Q1663" s="402"/>
      <c r="R1663" s="402"/>
      <c r="S1663" s="402"/>
      <c r="T1663" s="402"/>
      <c r="U1663" s="402"/>
      <c r="V1663" s="402"/>
      <c r="W1663" s="402"/>
      <c r="X1663" s="402"/>
      <c r="Y1663" s="402"/>
      <c r="Z1663" s="402"/>
      <c r="AA1663" s="405"/>
      <c r="AB1663" s="405"/>
    </row>
    <row r="1664" ht="14.25" customHeight="1">
      <c r="A1664" s="497">
        <v>45534.0</v>
      </c>
      <c r="B1664" s="529" t="s">
        <v>705</v>
      </c>
      <c r="C1664" s="530" t="s">
        <v>1110</v>
      </c>
      <c r="D1664" s="510" t="s">
        <v>54</v>
      </c>
      <c r="E1664" s="349" t="s">
        <v>1098</v>
      </c>
      <c r="F1664" s="413">
        <v>5860.68</v>
      </c>
      <c r="G1664" s="413">
        <v>8100.0</v>
      </c>
      <c r="H1664" s="402"/>
      <c r="I1664" s="402"/>
      <c r="J1664" s="402"/>
      <c r="K1664" s="402"/>
      <c r="L1664" s="402"/>
      <c r="M1664" s="402"/>
      <c r="N1664" s="402"/>
      <c r="O1664" s="402"/>
      <c r="P1664" s="402"/>
      <c r="Q1664" s="402"/>
      <c r="R1664" s="402"/>
      <c r="S1664" s="402"/>
      <c r="T1664" s="402"/>
      <c r="U1664" s="402"/>
      <c r="V1664" s="402"/>
      <c r="W1664" s="402"/>
      <c r="X1664" s="402"/>
      <c r="Y1664" s="402"/>
      <c r="Z1664" s="402"/>
      <c r="AA1664" s="405"/>
      <c r="AB1664" s="405"/>
    </row>
    <row r="1665" ht="14.25" customHeight="1">
      <c r="A1665" s="497">
        <v>45534.0</v>
      </c>
      <c r="B1665" s="565" t="s">
        <v>1096</v>
      </c>
      <c r="C1665" s="322" t="s">
        <v>1097</v>
      </c>
      <c r="D1665" s="536" t="s">
        <v>54</v>
      </c>
      <c r="E1665" s="415" t="s">
        <v>1098</v>
      </c>
      <c r="F1665" s="413">
        <v>30000.0</v>
      </c>
      <c r="G1665" s="403"/>
      <c r="H1665" s="349" t="s">
        <v>2060</v>
      </c>
      <c r="I1665" s="402"/>
      <c r="J1665" s="402"/>
      <c r="K1665" s="402"/>
      <c r="L1665" s="402"/>
      <c r="M1665" s="402"/>
      <c r="N1665" s="402"/>
      <c r="O1665" s="402"/>
      <c r="P1665" s="402"/>
      <c r="Q1665" s="402"/>
      <c r="R1665" s="402"/>
      <c r="S1665" s="402"/>
      <c r="T1665" s="402"/>
      <c r="U1665" s="402"/>
      <c r="V1665" s="402"/>
      <c r="W1665" s="402"/>
      <c r="X1665" s="402"/>
      <c r="Y1665" s="402"/>
      <c r="Z1665" s="402"/>
      <c r="AA1665" s="405"/>
      <c r="AB1665" s="405"/>
    </row>
    <row r="1666" ht="14.25" customHeight="1">
      <c r="A1666" s="497">
        <v>45534.0</v>
      </c>
      <c r="B1666" s="414" t="s">
        <v>1113</v>
      </c>
      <c r="C1666" s="415" t="s">
        <v>2061</v>
      </c>
      <c r="D1666" s="415" t="s">
        <v>1021</v>
      </c>
      <c r="E1666" s="415" t="s">
        <v>1098</v>
      </c>
      <c r="F1666" s="566">
        <v>170000.0</v>
      </c>
      <c r="G1666" s="403"/>
      <c r="H1666" s="349" t="s">
        <v>2062</v>
      </c>
      <c r="I1666" s="402"/>
      <c r="J1666" s="402"/>
      <c r="K1666" s="402"/>
      <c r="L1666" s="402"/>
      <c r="M1666" s="402"/>
      <c r="N1666" s="402"/>
      <c r="O1666" s="402"/>
      <c r="P1666" s="402"/>
      <c r="Q1666" s="402"/>
      <c r="R1666" s="402"/>
      <c r="S1666" s="402"/>
      <c r="T1666" s="402"/>
      <c r="U1666" s="402"/>
      <c r="V1666" s="402"/>
      <c r="W1666" s="402"/>
      <c r="X1666" s="402"/>
      <c r="Y1666" s="402"/>
      <c r="Z1666" s="402"/>
      <c r="AA1666" s="405"/>
      <c r="AB1666" s="405"/>
    </row>
    <row r="1667" ht="14.25" customHeight="1">
      <c r="A1667" s="497">
        <v>45534.0</v>
      </c>
      <c r="B1667" s="414" t="s">
        <v>1117</v>
      </c>
      <c r="C1667" s="415" t="s">
        <v>2061</v>
      </c>
      <c r="D1667" s="415" t="s">
        <v>1021</v>
      </c>
      <c r="E1667" s="415" t="s">
        <v>1098</v>
      </c>
      <c r="F1667" s="566">
        <v>170000.0</v>
      </c>
      <c r="G1667" s="403"/>
      <c r="H1667" s="349" t="s">
        <v>2062</v>
      </c>
      <c r="I1667" s="402"/>
      <c r="J1667" s="402"/>
      <c r="K1667" s="402"/>
      <c r="L1667" s="402"/>
      <c r="M1667" s="402"/>
      <c r="N1667" s="402"/>
      <c r="O1667" s="402"/>
      <c r="P1667" s="402"/>
      <c r="Q1667" s="402"/>
      <c r="R1667" s="402"/>
      <c r="S1667" s="402"/>
      <c r="T1667" s="402"/>
      <c r="U1667" s="402"/>
      <c r="V1667" s="402"/>
      <c r="W1667" s="402"/>
      <c r="X1667" s="402"/>
      <c r="Y1667" s="402"/>
      <c r="Z1667" s="402"/>
      <c r="AA1667" s="405"/>
      <c r="AB1667" s="405"/>
    </row>
    <row r="1668" ht="14.25" customHeight="1">
      <c r="A1668" s="497">
        <v>45534.0</v>
      </c>
      <c r="B1668" s="518" t="s">
        <v>1568</v>
      </c>
      <c r="C1668" s="519" t="s">
        <v>910</v>
      </c>
      <c r="D1668" s="519" t="s">
        <v>59</v>
      </c>
      <c r="E1668" s="415" t="s">
        <v>1153</v>
      </c>
      <c r="F1668" s="566">
        <v>10074.4</v>
      </c>
      <c r="G1668" s="403"/>
      <c r="H1668" s="349" t="s">
        <v>2063</v>
      </c>
      <c r="I1668" s="402"/>
      <c r="J1668" s="402"/>
      <c r="K1668" s="402"/>
      <c r="L1668" s="402"/>
      <c r="M1668" s="402"/>
      <c r="N1668" s="402"/>
      <c r="O1668" s="402"/>
      <c r="P1668" s="402"/>
      <c r="Q1668" s="402"/>
      <c r="R1668" s="402"/>
      <c r="S1668" s="402"/>
      <c r="T1668" s="402"/>
      <c r="U1668" s="402"/>
      <c r="V1668" s="402"/>
      <c r="W1668" s="402"/>
      <c r="X1668" s="402"/>
      <c r="Y1668" s="402"/>
      <c r="Z1668" s="402"/>
      <c r="AA1668" s="405"/>
      <c r="AB1668" s="405"/>
    </row>
    <row r="1669" ht="14.25" customHeight="1">
      <c r="A1669" s="497">
        <v>45534.0</v>
      </c>
      <c r="B1669" s="349" t="s">
        <v>1622</v>
      </c>
      <c r="C1669" s="519" t="s">
        <v>730</v>
      </c>
      <c r="D1669" s="349" t="s">
        <v>75</v>
      </c>
      <c r="E1669" s="415" t="s">
        <v>1153</v>
      </c>
      <c r="F1669" s="566">
        <v>500000.0</v>
      </c>
      <c r="G1669" s="403"/>
      <c r="H1669" s="402"/>
      <c r="I1669" s="402"/>
      <c r="J1669" s="402"/>
      <c r="K1669" s="402"/>
      <c r="L1669" s="402"/>
      <c r="M1669" s="402"/>
      <c r="N1669" s="402"/>
      <c r="O1669" s="402"/>
      <c r="P1669" s="402"/>
      <c r="Q1669" s="402"/>
      <c r="R1669" s="402"/>
      <c r="S1669" s="402"/>
      <c r="T1669" s="402"/>
      <c r="U1669" s="402"/>
      <c r="V1669" s="402"/>
      <c r="W1669" s="402"/>
      <c r="X1669" s="402"/>
      <c r="Y1669" s="402"/>
      <c r="Z1669" s="402"/>
      <c r="AA1669" s="405"/>
      <c r="AB1669" s="405"/>
    </row>
    <row r="1670" ht="14.25" customHeight="1">
      <c r="A1670" s="497">
        <v>45534.0</v>
      </c>
      <c r="B1670" s="518" t="s">
        <v>786</v>
      </c>
      <c r="C1670" s="519" t="s">
        <v>747</v>
      </c>
      <c r="D1670" s="349" t="s">
        <v>54</v>
      </c>
      <c r="E1670" s="415" t="s">
        <v>1153</v>
      </c>
      <c r="F1670" s="559">
        <v>136961.8</v>
      </c>
      <c r="G1670" s="403"/>
      <c r="H1670" s="349" t="s">
        <v>2064</v>
      </c>
      <c r="I1670" s="402"/>
      <c r="J1670" s="402"/>
      <c r="K1670" s="402"/>
      <c r="L1670" s="402"/>
      <c r="M1670" s="402"/>
      <c r="N1670" s="402"/>
      <c r="O1670" s="402"/>
      <c r="P1670" s="402"/>
      <c r="Q1670" s="402"/>
      <c r="R1670" s="402"/>
      <c r="S1670" s="402"/>
      <c r="T1670" s="402"/>
      <c r="U1670" s="402"/>
      <c r="V1670" s="402"/>
      <c r="W1670" s="402"/>
      <c r="X1670" s="402"/>
      <c r="Y1670" s="402"/>
      <c r="Z1670" s="402"/>
      <c r="AA1670" s="405"/>
      <c r="AB1670" s="405"/>
    </row>
    <row r="1671" ht="14.25" customHeight="1">
      <c r="A1671" s="497">
        <v>45534.0</v>
      </c>
      <c r="B1671" s="535" t="s">
        <v>870</v>
      </c>
      <c r="C1671" s="536" t="s">
        <v>871</v>
      </c>
      <c r="D1671" s="536" t="s">
        <v>54</v>
      </c>
      <c r="E1671" s="411" t="s">
        <v>1153</v>
      </c>
      <c r="F1671" s="559">
        <v>14225.08</v>
      </c>
      <c r="G1671" s="413">
        <v>19830.0</v>
      </c>
      <c r="H1671" s="349" t="s">
        <v>710</v>
      </c>
      <c r="I1671" s="402"/>
      <c r="J1671" s="402"/>
      <c r="K1671" s="402"/>
      <c r="L1671" s="402"/>
      <c r="M1671" s="402"/>
      <c r="N1671" s="402"/>
      <c r="O1671" s="402"/>
      <c r="P1671" s="402"/>
      <c r="Q1671" s="402"/>
      <c r="R1671" s="402"/>
      <c r="S1671" s="402"/>
      <c r="T1671" s="402"/>
      <c r="U1671" s="402"/>
      <c r="V1671" s="402"/>
      <c r="W1671" s="402"/>
      <c r="X1671" s="402"/>
      <c r="Y1671" s="402"/>
      <c r="Z1671" s="402"/>
      <c r="AA1671" s="405"/>
      <c r="AB1671" s="405"/>
    </row>
    <row r="1672" ht="14.25" customHeight="1">
      <c r="A1672" s="497">
        <v>45534.0</v>
      </c>
      <c r="B1672" s="349" t="s">
        <v>1961</v>
      </c>
      <c r="C1672" s="349" t="s">
        <v>787</v>
      </c>
      <c r="D1672" s="349" t="s">
        <v>75</v>
      </c>
      <c r="E1672" s="349" t="s">
        <v>1153</v>
      </c>
      <c r="F1672" s="559">
        <v>51864.64</v>
      </c>
      <c r="G1672" s="403"/>
      <c r="H1672" s="349" t="s">
        <v>2065</v>
      </c>
      <c r="I1672" s="402"/>
      <c r="J1672" s="402"/>
      <c r="K1672" s="402"/>
      <c r="L1672" s="402"/>
      <c r="M1672" s="402"/>
      <c r="N1672" s="402"/>
      <c r="O1672" s="402"/>
      <c r="P1672" s="402"/>
      <c r="Q1672" s="402"/>
      <c r="R1672" s="402"/>
      <c r="S1672" s="402"/>
      <c r="T1672" s="402"/>
      <c r="U1672" s="402"/>
      <c r="V1672" s="402"/>
      <c r="W1672" s="402"/>
      <c r="X1672" s="402"/>
      <c r="Y1672" s="402"/>
      <c r="Z1672" s="402"/>
      <c r="AA1672" s="405"/>
      <c r="AB1672" s="405"/>
    </row>
    <row r="1673" ht="14.25" customHeight="1">
      <c r="A1673" s="497">
        <v>45534.0</v>
      </c>
      <c r="B1673" s="558" t="s">
        <v>1001</v>
      </c>
      <c r="C1673" s="349" t="s">
        <v>1002</v>
      </c>
      <c r="D1673" s="536" t="s">
        <v>54</v>
      </c>
      <c r="E1673" s="349" t="s">
        <v>1153</v>
      </c>
      <c r="F1673" s="567">
        <v>85022.0</v>
      </c>
      <c r="G1673" s="403"/>
      <c r="H1673" s="349" t="s">
        <v>2063</v>
      </c>
      <c r="I1673" s="402"/>
      <c r="J1673" s="402"/>
      <c r="K1673" s="402"/>
      <c r="L1673" s="402"/>
      <c r="M1673" s="402"/>
      <c r="N1673" s="402"/>
      <c r="O1673" s="402"/>
      <c r="P1673" s="402"/>
      <c r="Q1673" s="402"/>
      <c r="R1673" s="402"/>
      <c r="S1673" s="402"/>
      <c r="T1673" s="402"/>
      <c r="U1673" s="402"/>
      <c r="V1673" s="402"/>
      <c r="W1673" s="402"/>
      <c r="X1673" s="402"/>
      <c r="Y1673" s="402"/>
      <c r="Z1673" s="402"/>
      <c r="AA1673" s="405"/>
      <c r="AB1673" s="405"/>
    </row>
    <row r="1674" ht="14.25" customHeight="1">
      <c r="A1674" s="497">
        <v>45534.0</v>
      </c>
      <c r="B1674" s="552" t="s">
        <v>825</v>
      </c>
      <c r="C1674" s="349" t="s">
        <v>2066</v>
      </c>
      <c r="D1674" s="536" t="s">
        <v>54</v>
      </c>
      <c r="E1674" s="349" t="s">
        <v>1153</v>
      </c>
      <c r="F1674" s="25">
        <v>278877.0</v>
      </c>
      <c r="G1674" s="403"/>
      <c r="H1674" s="349" t="s">
        <v>2063</v>
      </c>
      <c r="I1674" s="402"/>
      <c r="J1674" s="402"/>
      <c r="K1674" s="402"/>
      <c r="L1674" s="402"/>
      <c r="M1674" s="402"/>
      <c r="N1674" s="402"/>
      <c r="O1674" s="402"/>
      <c r="P1674" s="402"/>
      <c r="Q1674" s="402"/>
      <c r="R1674" s="402"/>
      <c r="S1674" s="402"/>
      <c r="T1674" s="402"/>
      <c r="U1674" s="402"/>
      <c r="V1674" s="402"/>
      <c r="W1674" s="402"/>
      <c r="X1674" s="402"/>
      <c r="Y1674" s="402"/>
      <c r="Z1674" s="402"/>
      <c r="AA1674" s="405"/>
      <c r="AB1674" s="405"/>
    </row>
    <row r="1675" ht="14.25" customHeight="1">
      <c r="A1675" s="497">
        <v>45534.0</v>
      </c>
      <c r="B1675" s="349" t="s">
        <v>1823</v>
      </c>
      <c r="C1675" s="349" t="s">
        <v>2067</v>
      </c>
      <c r="D1675" s="349" t="s">
        <v>668</v>
      </c>
      <c r="E1675" s="349" t="s">
        <v>1153</v>
      </c>
      <c r="F1675" s="403"/>
      <c r="G1675" s="403"/>
      <c r="H1675" s="349" t="s">
        <v>2068</v>
      </c>
      <c r="I1675" s="402"/>
      <c r="J1675" s="402"/>
      <c r="K1675" s="402"/>
      <c r="L1675" s="402"/>
      <c r="M1675" s="402"/>
      <c r="N1675" s="402"/>
      <c r="O1675" s="402"/>
      <c r="P1675" s="402"/>
      <c r="Q1675" s="402"/>
      <c r="R1675" s="402"/>
      <c r="S1675" s="402"/>
      <c r="T1675" s="402"/>
      <c r="U1675" s="402"/>
      <c r="V1675" s="402"/>
      <c r="W1675" s="402"/>
      <c r="X1675" s="402"/>
      <c r="Y1675" s="402"/>
      <c r="Z1675" s="402"/>
      <c r="AA1675" s="405"/>
      <c r="AB1675" s="405"/>
    </row>
    <row r="1676" ht="14.25" hidden="1" customHeight="1">
      <c r="A1676" s="497">
        <v>45534.0</v>
      </c>
      <c r="B1676" s="402"/>
      <c r="C1676" s="402"/>
      <c r="D1676" s="402"/>
      <c r="E1676" s="402"/>
      <c r="F1676" s="403"/>
      <c r="G1676" s="403"/>
      <c r="H1676" s="402"/>
      <c r="I1676" s="402"/>
      <c r="J1676" s="402"/>
      <c r="K1676" s="402"/>
      <c r="L1676" s="402"/>
      <c r="M1676" s="402"/>
      <c r="N1676" s="402"/>
      <c r="O1676" s="402"/>
      <c r="P1676" s="402"/>
      <c r="Q1676" s="402"/>
      <c r="R1676" s="402"/>
      <c r="S1676" s="402"/>
      <c r="T1676" s="402"/>
      <c r="U1676" s="402"/>
      <c r="V1676" s="402"/>
      <c r="W1676" s="402"/>
      <c r="X1676" s="402"/>
      <c r="Y1676" s="402"/>
      <c r="Z1676" s="402"/>
      <c r="AA1676" s="405"/>
      <c r="AB1676" s="405"/>
    </row>
    <row r="1677" ht="14.25" customHeight="1">
      <c r="A1677" s="497">
        <v>45534.0</v>
      </c>
      <c r="B1677" s="518" t="s">
        <v>2031</v>
      </c>
      <c r="C1677" s="519" t="s">
        <v>2032</v>
      </c>
      <c r="D1677" s="519" t="s">
        <v>54</v>
      </c>
      <c r="E1677" s="349" t="s">
        <v>1168</v>
      </c>
      <c r="F1677" s="489">
        <v>22073.0</v>
      </c>
      <c r="G1677" s="413">
        <v>22073.0</v>
      </c>
      <c r="H1677" s="349" t="s">
        <v>710</v>
      </c>
      <c r="I1677" s="402"/>
      <c r="J1677" s="402"/>
      <c r="K1677" s="402"/>
      <c r="L1677" s="402"/>
      <c r="M1677" s="402"/>
      <c r="N1677" s="402"/>
      <c r="O1677" s="402"/>
      <c r="P1677" s="402"/>
      <c r="Q1677" s="402"/>
      <c r="R1677" s="402"/>
      <c r="S1677" s="402"/>
      <c r="T1677" s="402"/>
      <c r="U1677" s="402"/>
      <c r="V1677" s="402"/>
      <c r="W1677" s="402"/>
      <c r="X1677" s="402"/>
      <c r="Y1677" s="402"/>
      <c r="Z1677" s="402"/>
      <c r="AA1677" s="405"/>
      <c r="AB1677" s="405"/>
    </row>
    <row r="1678" ht="14.25" customHeight="1">
      <c r="A1678" s="497">
        <v>45534.0</v>
      </c>
      <c r="B1678" s="349" t="s">
        <v>1673</v>
      </c>
      <c r="C1678" s="349" t="s">
        <v>1674</v>
      </c>
      <c r="D1678" s="519" t="s">
        <v>54</v>
      </c>
      <c r="E1678" s="349" t="s">
        <v>1168</v>
      </c>
      <c r="F1678" s="413">
        <v>58919.23</v>
      </c>
      <c r="G1678" s="413">
        <v>0.0</v>
      </c>
      <c r="H1678" s="349" t="s">
        <v>2035</v>
      </c>
      <c r="I1678" s="402"/>
      <c r="J1678" s="402"/>
      <c r="K1678" s="402"/>
      <c r="L1678" s="402"/>
      <c r="M1678" s="402"/>
      <c r="N1678" s="402"/>
      <c r="O1678" s="402"/>
      <c r="P1678" s="402"/>
      <c r="Q1678" s="402"/>
      <c r="R1678" s="402"/>
      <c r="S1678" s="402"/>
      <c r="T1678" s="402"/>
      <c r="U1678" s="402"/>
      <c r="V1678" s="402"/>
      <c r="W1678" s="402"/>
      <c r="X1678" s="402"/>
      <c r="Y1678" s="402"/>
      <c r="Z1678" s="402"/>
      <c r="AA1678" s="405"/>
      <c r="AB1678" s="405"/>
    </row>
    <row r="1679" ht="14.25" customHeight="1">
      <c r="A1679" s="497">
        <v>45534.0</v>
      </c>
      <c r="B1679" s="349" t="s">
        <v>698</v>
      </c>
      <c r="C1679" s="349" t="s">
        <v>1167</v>
      </c>
      <c r="D1679" s="516" t="s">
        <v>54</v>
      </c>
      <c r="E1679" s="349" t="s">
        <v>1168</v>
      </c>
      <c r="F1679" s="413">
        <v>59680.83</v>
      </c>
      <c r="G1679" s="413"/>
      <c r="H1679" s="574" t="s">
        <v>2069</v>
      </c>
      <c r="I1679" s="402"/>
      <c r="J1679" s="402"/>
      <c r="K1679" s="402"/>
      <c r="L1679" s="402"/>
      <c r="M1679" s="402"/>
      <c r="N1679" s="402"/>
      <c r="O1679" s="402"/>
      <c r="P1679" s="402"/>
      <c r="Q1679" s="402"/>
      <c r="R1679" s="402"/>
      <c r="S1679" s="402"/>
      <c r="T1679" s="402"/>
      <c r="U1679" s="402"/>
      <c r="V1679" s="402"/>
      <c r="W1679" s="402"/>
      <c r="X1679" s="402"/>
      <c r="Y1679" s="402"/>
      <c r="Z1679" s="402"/>
      <c r="AA1679" s="405"/>
      <c r="AB1679" s="405"/>
    </row>
    <row r="1680" ht="14.25" customHeight="1">
      <c r="A1680" s="497">
        <v>45534.0</v>
      </c>
      <c r="B1680" s="349" t="s">
        <v>997</v>
      </c>
      <c r="C1680" s="349" t="s">
        <v>998</v>
      </c>
      <c r="D1680" s="344" t="s">
        <v>346</v>
      </c>
      <c r="E1680" s="349" t="s">
        <v>1168</v>
      </c>
      <c r="F1680" s="452">
        <v>28350.0</v>
      </c>
      <c r="G1680" s="413">
        <v>0.0</v>
      </c>
      <c r="H1680" s="349" t="s">
        <v>2070</v>
      </c>
      <c r="I1680" s="402"/>
      <c r="J1680" s="402"/>
      <c r="K1680" s="402"/>
      <c r="L1680" s="402"/>
      <c r="M1680" s="402"/>
      <c r="N1680" s="402"/>
      <c r="O1680" s="402"/>
      <c r="P1680" s="402"/>
      <c r="Q1680" s="402"/>
      <c r="R1680" s="402"/>
      <c r="S1680" s="402"/>
      <c r="T1680" s="402"/>
      <c r="U1680" s="402"/>
      <c r="V1680" s="402"/>
      <c r="W1680" s="402"/>
      <c r="X1680" s="402"/>
      <c r="Y1680" s="402"/>
      <c r="Z1680" s="402"/>
      <c r="AA1680" s="405"/>
      <c r="AB1680" s="405"/>
    </row>
    <row r="1681" ht="14.25" customHeight="1">
      <c r="A1681" s="497">
        <v>45534.0</v>
      </c>
      <c r="B1681" s="349" t="s">
        <v>1223</v>
      </c>
      <c r="C1681" s="349" t="s">
        <v>998</v>
      </c>
      <c r="D1681" s="415" t="s">
        <v>319</v>
      </c>
      <c r="E1681" s="349" t="s">
        <v>1168</v>
      </c>
      <c r="F1681" s="413">
        <v>147799.99</v>
      </c>
      <c r="G1681" s="413">
        <v>0.0</v>
      </c>
      <c r="H1681" s="349" t="s">
        <v>2070</v>
      </c>
      <c r="I1681" s="402"/>
      <c r="J1681" s="402"/>
      <c r="K1681" s="402"/>
      <c r="L1681" s="402"/>
      <c r="M1681" s="402"/>
      <c r="N1681" s="402"/>
      <c r="O1681" s="402"/>
      <c r="P1681" s="402"/>
      <c r="Q1681" s="402"/>
      <c r="R1681" s="402"/>
      <c r="S1681" s="402"/>
      <c r="T1681" s="402"/>
      <c r="U1681" s="402"/>
      <c r="V1681" s="402"/>
      <c r="W1681" s="402"/>
      <c r="X1681" s="402"/>
      <c r="Y1681" s="402"/>
      <c r="Z1681" s="402"/>
      <c r="AA1681" s="405"/>
      <c r="AB1681" s="405"/>
    </row>
    <row r="1682" ht="14.25" customHeight="1">
      <c r="A1682" s="497">
        <v>45534.0</v>
      </c>
      <c r="B1682" s="349" t="s">
        <v>1644</v>
      </c>
      <c r="C1682" s="349" t="s">
        <v>1893</v>
      </c>
      <c r="D1682" s="349" t="s">
        <v>54</v>
      </c>
      <c r="E1682" s="349" t="s">
        <v>1168</v>
      </c>
      <c r="F1682" s="413">
        <v>16680.0</v>
      </c>
      <c r="G1682" s="413">
        <v>0.0</v>
      </c>
      <c r="H1682" s="552" t="s">
        <v>2071</v>
      </c>
      <c r="I1682" s="402"/>
      <c r="J1682" s="402"/>
      <c r="K1682" s="402"/>
      <c r="L1682" s="402"/>
      <c r="M1682" s="402"/>
      <c r="N1682" s="402"/>
      <c r="O1682" s="402"/>
      <c r="P1682" s="402"/>
      <c r="Q1682" s="402"/>
      <c r="R1682" s="402"/>
      <c r="S1682" s="402"/>
      <c r="T1682" s="402"/>
      <c r="U1682" s="402"/>
      <c r="V1682" s="402"/>
      <c r="W1682" s="402"/>
      <c r="X1682" s="402"/>
      <c r="Y1682" s="402"/>
      <c r="Z1682" s="402"/>
      <c r="AA1682" s="405"/>
      <c r="AB1682" s="405"/>
    </row>
    <row r="1683" ht="14.25" customHeight="1">
      <c r="A1683" s="497">
        <v>45534.0</v>
      </c>
      <c r="B1683" s="535" t="s">
        <v>1046</v>
      </c>
      <c r="C1683" s="536" t="s">
        <v>1145</v>
      </c>
      <c r="D1683" s="536" t="s">
        <v>54</v>
      </c>
      <c r="E1683" s="349" t="s">
        <v>1168</v>
      </c>
      <c r="F1683" s="413">
        <v>20520.2</v>
      </c>
      <c r="G1683" s="413">
        <v>0.0</v>
      </c>
      <c r="H1683" s="349" t="s">
        <v>2039</v>
      </c>
      <c r="I1683" s="402"/>
      <c r="J1683" s="402"/>
      <c r="K1683" s="402"/>
      <c r="L1683" s="402"/>
      <c r="M1683" s="402"/>
      <c r="N1683" s="402"/>
      <c r="O1683" s="402"/>
      <c r="P1683" s="402"/>
      <c r="Q1683" s="402"/>
      <c r="R1683" s="402"/>
      <c r="S1683" s="402"/>
      <c r="T1683" s="402"/>
      <c r="U1683" s="402"/>
      <c r="V1683" s="402"/>
      <c r="W1683" s="402"/>
      <c r="X1683" s="402"/>
      <c r="Y1683" s="402"/>
      <c r="Z1683" s="402"/>
      <c r="AA1683" s="405"/>
      <c r="AB1683" s="405"/>
    </row>
    <row r="1684" ht="14.25" customHeight="1">
      <c r="A1684" s="497">
        <v>45534.0</v>
      </c>
      <c r="B1684" s="349" t="s">
        <v>761</v>
      </c>
      <c r="C1684" s="349" t="s">
        <v>1596</v>
      </c>
      <c r="D1684" s="349" t="s">
        <v>59</v>
      </c>
      <c r="E1684" s="349" t="s">
        <v>1168</v>
      </c>
      <c r="F1684" s="413">
        <v>26223.11</v>
      </c>
      <c r="G1684" s="413">
        <v>15000.0</v>
      </c>
      <c r="H1684" s="349" t="s">
        <v>2072</v>
      </c>
      <c r="I1684" s="402"/>
      <c r="J1684" s="402"/>
      <c r="K1684" s="402"/>
      <c r="L1684" s="402"/>
      <c r="M1684" s="402"/>
      <c r="N1684" s="402"/>
      <c r="O1684" s="402"/>
      <c r="P1684" s="402"/>
      <c r="Q1684" s="402"/>
      <c r="R1684" s="402"/>
      <c r="S1684" s="402"/>
      <c r="T1684" s="402"/>
      <c r="U1684" s="402"/>
      <c r="V1684" s="402"/>
      <c r="W1684" s="402"/>
      <c r="X1684" s="402"/>
      <c r="Y1684" s="402"/>
      <c r="Z1684" s="402"/>
      <c r="AA1684" s="405"/>
      <c r="AB1684" s="405"/>
    </row>
    <row r="1685" ht="14.25" customHeight="1">
      <c r="A1685" s="497">
        <v>45534.0</v>
      </c>
      <c r="B1685" s="349" t="s">
        <v>1475</v>
      </c>
      <c r="C1685" s="349" t="s">
        <v>1895</v>
      </c>
      <c r="D1685" s="349" t="s">
        <v>75</v>
      </c>
      <c r="E1685" s="349" t="s">
        <v>1168</v>
      </c>
      <c r="F1685" s="413">
        <v>106909.0</v>
      </c>
      <c r="G1685" s="413">
        <v>0.0</v>
      </c>
      <c r="H1685" s="552" t="s">
        <v>2073</v>
      </c>
      <c r="I1685" s="402"/>
      <c r="J1685" s="402"/>
      <c r="K1685" s="402"/>
      <c r="L1685" s="402"/>
      <c r="M1685" s="402"/>
      <c r="N1685" s="402"/>
      <c r="O1685" s="402"/>
      <c r="P1685" s="402"/>
      <c r="Q1685" s="402"/>
      <c r="R1685" s="402"/>
      <c r="S1685" s="402"/>
      <c r="T1685" s="402"/>
      <c r="U1685" s="402"/>
      <c r="V1685" s="402"/>
      <c r="W1685" s="402"/>
      <c r="X1685" s="402"/>
      <c r="Y1685" s="402"/>
      <c r="Z1685" s="402"/>
      <c r="AA1685" s="405"/>
      <c r="AB1685" s="405"/>
    </row>
    <row r="1686" ht="14.25" customHeight="1">
      <c r="A1686" s="497">
        <v>45534.0</v>
      </c>
      <c r="B1686" s="349" t="s">
        <v>1503</v>
      </c>
      <c r="C1686" s="349" t="s">
        <v>1504</v>
      </c>
      <c r="D1686" s="349" t="s">
        <v>54</v>
      </c>
      <c r="E1686" s="349" t="s">
        <v>1168</v>
      </c>
      <c r="F1686" s="413">
        <v>11747.78</v>
      </c>
      <c r="G1686" s="413">
        <v>15000.0</v>
      </c>
      <c r="H1686" s="349" t="s">
        <v>710</v>
      </c>
      <c r="I1686" s="402"/>
      <c r="J1686" s="402"/>
      <c r="K1686" s="402"/>
      <c r="L1686" s="402"/>
      <c r="M1686" s="402"/>
      <c r="N1686" s="402"/>
      <c r="O1686" s="402"/>
      <c r="P1686" s="402"/>
      <c r="Q1686" s="402"/>
      <c r="R1686" s="402"/>
      <c r="S1686" s="402"/>
      <c r="T1686" s="402"/>
      <c r="U1686" s="402"/>
      <c r="V1686" s="402"/>
      <c r="W1686" s="402"/>
      <c r="X1686" s="402"/>
      <c r="Y1686" s="402"/>
      <c r="Z1686" s="402"/>
      <c r="AA1686" s="405"/>
      <c r="AB1686" s="405"/>
    </row>
    <row r="1687" ht="14.25" customHeight="1">
      <c r="A1687" s="497"/>
      <c r="B1687" s="402"/>
      <c r="C1687" s="402"/>
      <c r="D1687" s="402"/>
      <c r="E1687" s="402"/>
      <c r="F1687" s="403"/>
      <c r="G1687" s="403"/>
      <c r="H1687" s="402"/>
      <c r="I1687" s="402"/>
      <c r="J1687" s="402"/>
      <c r="K1687" s="402"/>
      <c r="L1687" s="402"/>
      <c r="M1687" s="402"/>
      <c r="N1687" s="402"/>
      <c r="O1687" s="402"/>
      <c r="P1687" s="402"/>
      <c r="Q1687" s="402"/>
      <c r="R1687" s="402"/>
      <c r="S1687" s="402"/>
      <c r="T1687" s="402"/>
      <c r="U1687" s="402"/>
      <c r="V1687" s="402"/>
      <c r="W1687" s="402"/>
      <c r="X1687" s="402"/>
      <c r="Y1687" s="402"/>
      <c r="Z1687" s="402"/>
      <c r="AA1687" s="405"/>
      <c r="AB1687" s="405"/>
    </row>
    <row r="1688" ht="14.25" hidden="1" customHeight="1">
      <c r="A1688" s="497"/>
      <c r="B1688" s="402"/>
      <c r="C1688" s="402"/>
      <c r="D1688" s="402"/>
      <c r="E1688" s="402"/>
      <c r="F1688" s="403"/>
      <c r="G1688" s="403"/>
      <c r="H1688" s="402"/>
      <c r="I1688" s="402"/>
      <c r="J1688" s="402"/>
      <c r="K1688" s="402"/>
      <c r="L1688" s="402"/>
      <c r="M1688" s="402"/>
      <c r="N1688" s="402"/>
      <c r="O1688" s="402"/>
      <c r="P1688" s="402"/>
      <c r="Q1688" s="402"/>
      <c r="R1688" s="402"/>
      <c r="S1688" s="402"/>
      <c r="T1688" s="402"/>
      <c r="U1688" s="402"/>
      <c r="V1688" s="402"/>
      <c r="W1688" s="402"/>
      <c r="X1688" s="402"/>
      <c r="Y1688" s="402"/>
      <c r="Z1688" s="402"/>
      <c r="AA1688" s="405"/>
      <c r="AB1688" s="405"/>
    </row>
    <row r="1689" ht="14.25" customHeight="1">
      <c r="A1689" s="497"/>
      <c r="B1689" s="424"/>
      <c r="C1689" s="424" t="s">
        <v>797</v>
      </c>
      <c r="D1689" s="402"/>
      <c r="E1689" s="403"/>
      <c r="F1689" s="403"/>
      <c r="G1689" s="403"/>
      <c r="H1689" s="402"/>
      <c r="I1689" s="402"/>
      <c r="J1689" s="402"/>
      <c r="K1689" s="402"/>
      <c r="L1689" s="402"/>
      <c r="M1689" s="402"/>
      <c r="N1689" s="402"/>
      <c r="O1689" s="402"/>
      <c r="P1689" s="402"/>
      <c r="Q1689" s="402"/>
      <c r="R1689" s="402"/>
      <c r="S1689" s="402"/>
      <c r="T1689" s="402"/>
      <c r="U1689" s="402"/>
      <c r="V1689" s="402"/>
      <c r="W1689" s="402"/>
      <c r="X1689" s="402"/>
      <c r="Y1689" s="402"/>
      <c r="Z1689" s="402"/>
      <c r="AA1689" s="405"/>
      <c r="AB1689" s="405"/>
    </row>
    <row r="1690" ht="14.25" customHeight="1">
      <c r="A1690" s="497">
        <v>45534.0</v>
      </c>
      <c r="B1690" s="349" t="s">
        <v>800</v>
      </c>
      <c r="C1690" s="349" t="s">
        <v>801</v>
      </c>
      <c r="D1690" s="493" t="s">
        <v>54</v>
      </c>
      <c r="E1690" s="349" t="s">
        <v>1255</v>
      </c>
      <c r="F1690" s="413">
        <v>20000.0</v>
      </c>
      <c r="G1690" s="403"/>
      <c r="H1690" s="349" t="s">
        <v>2074</v>
      </c>
      <c r="I1690" s="402"/>
      <c r="J1690" s="402"/>
      <c r="K1690" s="402"/>
      <c r="L1690" s="402"/>
      <c r="M1690" s="402"/>
      <c r="N1690" s="402"/>
      <c r="O1690" s="402"/>
      <c r="P1690" s="402"/>
      <c r="Q1690" s="402"/>
      <c r="R1690" s="402"/>
      <c r="S1690" s="402"/>
      <c r="T1690" s="402"/>
      <c r="U1690" s="402"/>
      <c r="V1690" s="402"/>
      <c r="W1690" s="402"/>
      <c r="X1690" s="402"/>
      <c r="Y1690" s="402"/>
      <c r="Z1690" s="402"/>
      <c r="AA1690" s="405"/>
      <c r="AB1690" s="405"/>
    </row>
    <row r="1691" ht="14.25" customHeight="1">
      <c r="A1691" s="497">
        <v>45534.0</v>
      </c>
      <c r="B1691" s="349" t="s">
        <v>777</v>
      </c>
      <c r="C1691" s="349" t="s">
        <v>778</v>
      </c>
      <c r="D1691" s="349" t="s">
        <v>54</v>
      </c>
      <c r="E1691" s="349" t="s">
        <v>1255</v>
      </c>
      <c r="F1691" s="413">
        <v>115100.0</v>
      </c>
      <c r="G1691" s="413">
        <v>39500.0</v>
      </c>
      <c r="H1691" s="349" t="s">
        <v>2075</v>
      </c>
      <c r="I1691" s="402"/>
      <c r="J1691" s="402"/>
      <c r="K1691" s="402"/>
      <c r="L1691" s="402"/>
      <c r="M1691" s="402"/>
      <c r="N1691" s="402"/>
      <c r="O1691" s="402"/>
      <c r="P1691" s="402"/>
      <c r="Q1691" s="402"/>
      <c r="R1691" s="402"/>
      <c r="S1691" s="402"/>
      <c r="T1691" s="402"/>
      <c r="U1691" s="402"/>
      <c r="V1691" s="402"/>
      <c r="W1691" s="402"/>
      <c r="X1691" s="402"/>
      <c r="Y1691" s="402"/>
      <c r="Z1691" s="402"/>
      <c r="AA1691" s="405"/>
      <c r="AB1691" s="405"/>
    </row>
    <row r="1692" ht="14.25" customHeight="1">
      <c r="A1692" s="497">
        <v>45534.0</v>
      </c>
      <c r="B1692" s="349" t="s">
        <v>1176</v>
      </c>
      <c r="C1692" s="349" t="s">
        <v>1366</v>
      </c>
      <c r="D1692" s="349" t="s">
        <v>54</v>
      </c>
      <c r="E1692" s="349" t="s">
        <v>1255</v>
      </c>
      <c r="F1692" s="413">
        <v>500000.0</v>
      </c>
      <c r="G1692" s="403"/>
      <c r="H1692" s="349" t="s">
        <v>2076</v>
      </c>
      <c r="I1692" s="402"/>
      <c r="J1692" s="402"/>
      <c r="K1692" s="402"/>
      <c r="L1692" s="402"/>
      <c r="M1692" s="402"/>
      <c r="N1692" s="402"/>
      <c r="O1692" s="402"/>
      <c r="P1692" s="402"/>
      <c r="Q1692" s="402"/>
      <c r="R1692" s="402"/>
      <c r="S1692" s="402"/>
      <c r="T1692" s="402"/>
      <c r="U1692" s="402"/>
      <c r="V1692" s="402"/>
      <c r="W1692" s="402"/>
      <c r="X1692" s="402"/>
      <c r="Y1692" s="402"/>
      <c r="Z1692" s="402"/>
      <c r="AA1692" s="405"/>
      <c r="AB1692" s="405"/>
    </row>
    <row r="1693" ht="14.25" customHeight="1">
      <c r="A1693" s="497">
        <v>45534.0</v>
      </c>
      <c r="B1693" s="349" t="s">
        <v>1544</v>
      </c>
      <c r="C1693" s="572" t="s">
        <v>1545</v>
      </c>
      <c r="D1693" s="349" t="s">
        <v>59</v>
      </c>
      <c r="E1693" s="349" t="s">
        <v>273</v>
      </c>
      <c r="F1693" s="413">
        <v>5000000.0</v>
      </c>
      <c r="G1693" s="413">
        <v>5000000.0</v>
      </c>
      <c r="H1693" s="349" t="s">
        <v>710</v>
      </c>
      <c r="I1693" s="402"/>
      <c r="J1693" s="402"/>
      <c r="K1693" s="402"/>
      <c r="L1693" s="402"/>
      <c r="M1693" s="402"/>
      <c r="N1693" s="402"/>
      <c r="O1693" s="402"/>
      <c r="P1693" s="402"/>
      <c r="Q1693" s="402"/>
      <c r="R1693" s="402"/>
      <c r="S1693" s="402"/>
      <c r="T1693" s="402"/>
      <c r="U1693" s="402"/>
      <c r="V1693" s="402"/>
      <c r="W1693" s="402"/>
      <c r="X1693" s="402"/>
      <c r="Y1693" s="402"/>
      <c r="Z1693" s="402"/>
      <c r="AA1693" s="405"/>
      <c r="AB1693" s="405"/>
    </row>
    <row r="1694" ht="14.25" customHeight="1">
      <c r="A1694" s="497">
        <v>45534.0</v>
      </c>
      <c r="B1694" s="349" t="s">
        <v>2077</v>
      </c>
      <c r="C1694" s="349" t="s">
        <v>2078</v>
      </c>
      <c r="D1694" s="349" t="s">
        <v>27</v>
      </c>
      <c r="E1694" s="349" t="s">
        <v>2079</v>
      </c>
      <c r="F1694" s="413">
        <v>3100000.0</v>
      </c>
      <c r="G1694" s="403"/>
      <c r="H1694" s="349" t="s">
        <v>2080</v>
      </c>
      <c r="I1694" s="402"/>
      <c r="J1694" s="402"/>
      <c r="K1694" s="402"/>
      <c r="L1694" s="402"/>
      <c r="M1694" s="402"/>
      <c r="N1694" s="402"/>
      <c r="O1694" s="402"/>
      <c r="P1694" s="402"/>
      <c r="Q1694" s="402"/>
      <c r="R1694" s="402"/>
      <c r="S1694" s="402"/>
      <c r="T1694" s="402"/>
      <c r="U1694" s="402"/>
      <c r="V1694" s="402"/>
      <c r="W1694" s="402"/>
      <c r="X1694" s="402"/>
      <c r="Y1694" s="402"/>
      <c r="Z1694" s="402"/>
      <c r="AA1694" s="405"/>
      <c r="AB1694" s="405"/>
    </row>
    <row r="1695" ht="14.25" customHeight="1">
      <c r="A1695" s="497"/>
      <c r="B1695" s="402"/>
      <c r="C1695" s="402"/>
      <c r="D1695" s="402"/>
      <c r="E1695" s="402"/>
      <c r="F1695" s="403"/>
      <c r="G1695" s="403"/>
      <c r="H1695" s="402"/>
      <c r="I1695" s="402"/>
      <c r="J1695" s="402"/>
      <c r="K1695" s="402"/>
      <c r="L1695" s="402"/>
      <c r="M1695" s="402"/>
      <c r="N1695" s="402"/>
      <c r="O1695" s="402"/>
      <c r="P1695" s="402"/>
      <c r="Q1695" s="402"/>
      <c r="R1695" s="402"/>
      <c r="S1695" s="402"/>
      <c r="T1695" s="402"/>
      <c r="U1695" s="402"/>
      <c r="V1695" s="402"/>
      <c r="W1695" s="402"/>
      <c r="X1695" s="402"/>
      <c r="Y1695" s="402"/>
      <c r="Z1695" s="402"/>
      <c r="AA1695" s="405"/>
      <c r="AB1695" s="405"/>
    </row>
    <row r="1696" ht="14.25" customHeight="1">
      <c r="A1696" s="497"/>
      <c r="B1696" s="402"/>
      <c r="C1696" s="402"/>
      <c r="D1696" s="402"/>
      <c r="E1696" s="402"/>
      <c r="F1696" s="403"/>
      <c r="G1696" s="403"/>
      <c r="H1696" s="402"/>
      <c r="I1696" s="402"/>
      <c r="J1696" s="402"/>
      <c r="K1696" s="402"/>
      <c r="L1696" s="402"/>
      <c r="M1696" s="402"/>
      <c r="N1696" s="402"/>
      <c r="O1696" s="402"/>
      <c r="P1696" s="402"/>
      <c r="Q1696" s="402"/>
      <c r="R1696" s="402"/>
      <c r="S1696" s="402"/>
      <c r="T1696" s="402"/>
      <c r="U1696" s="402"/>
      <c r="V1696" s="402"/>
      <c r="W1696" s="402"/>
      <c r="X1696" s="402"/>
      <c r="Y1696" s="402"/>
      <c r="Z1696" s="402"/>
      <c r="AA1696" s="405"/>
      <c r="AB1696" s="405"/>
    </row>
    <row r="1697" ht="14.25" customHeight="1">
      <c r="A1697" s="497">
        <v>45534.0</v>
      </c>
      <c r="B1697" s="575" t="s">
        <v>1981</v>
      </c>
      <c r="C1697" s="576" t="s">
        <v>1982</v>
      </c>
      <c r="D1697" s="471" t="s">
        <v>59</v>
      </c>
      <c r="E1697" s="571" t="s">
        <v>273</v>
      </c>
      <c r="F1697" s="577">
        <v>1000000.0</v>
      </c>
      <c r="G1697" s="571"/>
      <c r="H1697" s="402"/>
      <c r="I1697" s="402"/>
      <c r="J1697" s="402"/>
      <c r="K1697" s="402"/>
      <c r="L1697" s="402"/>
      <c r="M1697" s="402"/>
      <c r="N1697" s="402"/>
      <c r="O1697" s="402"/>
      <c r="P1697" s="402"/>
      <c r="Q1697" s="402"/>
      <c r="R1697" s="402"/>
      <c r="S1697" s="402"/>
      <c r="T1697" s="402"/>
      <c r="U1697" s="402"/>
      <c r="V1697" s="402"/>
      <c r="W1697" s="402"/>
      <c r="X1697" s="402"/>
      <c r="Y1697" s="402"/>
      <c r="Z1697" s="402"/>
      <c r="AA1697" s="405"/>
      <c r="AB1697" s="405"/>
    </row>
    <row r="1698" ht="14.25" customHeight="1">
      <c r="A1698" s="497"/>
      <c r="B1698" s="402"/>
      <c r="C1698" s="402"/>
      <c r="D1698" s="402"/>
      <c r="E1698" s="402"/>
      <c r="F1698" s="403"/>
      <c r="G1698" s="403"/>
      <c r="H1698" s="402"/>
      <c r="I1698" s="402"/>
      <c r="J1698" s="402"/>
      <c r="K1698" s="402"/>
      <c r="L1698" s="402"/>
      <c r="M1698" s="402"/>
      <c r="N1698" s="402"/>
      <c r="O1698" s="402"/>
      <c r="P1698" s="402"/>
      <c r="Q1698" s="402"/>
      <c r="R1698" s="402"/>
      <c r="S1698" s="402"/>
      <c r="T1698" s="402"/>
      <c r="U1698" s="402"/>
      <c r="V1698" s="402"/>
      <c r="W1698" s="402"/>
      <c r="X1698" s="402"/>
      <c r="Y1698" s="402"/>
      <c r="Z1698" s="402"/>
      <c r="AA1698" s="405"/>
      <c r="AB1698" s="405"/>
    </row>
    <row r="1699" ht="14.25" customHeight="1">
      <c r="A1699" s="497"/>
      <c r="B1699" s="402"/>
      <c r="C1699" s="402"/>
      <c r="D1699" s="402"/>
      <c r="E1699" s="402"/>
      <c r="F1699" s="403"/>
      <c r="G1699" s="403"/>
      <c r="H1699" s="402"/>
      <c r="I1699" s="402"/>
      <c r="J1699" s="402"/>
      <c r="K1699" s="402"/>
      <c r="L1699" s="402"/>
      <c r="M1699" s="402"/>
      <c r="N1699" s="402"/>
      <c r="O1699" s="402"/>
      <c r="P1699" s="402"/>
      <c r="Q1699" s="402"/>
      <c r="R1699" s="402"/>
      <c r="S1699" s="402"/>
      <c r="T1699" s="402"/>
      <c r="U1699" s="402"/>
      <c r="V1699" s="402"/>
      <c r="W1699" s="402"/>
      <c r="X1699" s="402"/>
      <c r="Y1699" s="402"/>
      <c r="Z1699" s="402"/>
      <c r="AA1699" s="405"/>
      <c r="AB1699" s="405"/>
    </row>
    <row r="1700" ht="14.25" customHeight="1">
      <c r="A1700" s="497"/>
      <c r="B1700" s="402"/>
      <c r="C1700" s="402"/>
      <c r="D1700" s="402"/>
      <c r="E1700" s="402"/>
      <c r="F1700" s="403"/>
      <c r="G1700" s="403"/>
      <c r="H1700" s="402"/>
      <c r="I1700" s="402"/>
      <c r="J1700" s="402"/>
      <c r="K1700" s="402"/>
      <c r="L1700" s="402"/>
      <c r="M1700" s="402"/>
      <c r="N1700" s="402"/>
      <c r="O1700" s="402"/>
      <c r="P1700" s="402"/>
      <c r="Q1700" s="402"/>
      <c r="R1700" s="402"/>
      <c r="S1700" s="402"/>
      <c r="T1700" s="402"/>
      <c r="U1700" s="402"/>
      <c r="V1700" s="402"/>
      <c r="W1700" s="402"/>
      <c r="X1700" s="402"/>
      <c r="Y1700" s="402"/>
      <c r="Z1700" s="402"/>
      <c r="AA1700" s="405"/>
      <c r="AB1700" s="405"/>
    </row>
    <row r="1701" ht="14.25" customHeight="1">
      <c r="A1701" s="402"/>
      <c r="B1701" s="402"/>
      <c r="C1701" s="402"/>
      <c r="D1701" s="402"/>
      <c r="E1701" s="402"/>
      <c r="F1701" s="403"/>
      <c r="G1701" s="403"/>
      <c r="H1701" s="402"/>
      <c r="I1701" s="402"/>
      <c r="J1701" s="402"/>
      <c r="K1701" s="402"/>
      <c r="L1701" s="402"/>
      <c r="M1701" s="402"/>
      <c r="N1701" s="402"/>
      <c r="O1701" s="402"/>
      <c r="P1701" s="402"/>
      <c r="Q1701" s="402"/>
      <c r="R1701" s="402"/>
      <c r="S1701" s="402"/>
      <c r="T1701" s="402"/>
      <c r="U1701" s="402"/>
      <c r="V1701" s="402"/>
      <c r="W1701" s="402"/>
      <c r="X1701" s="402"/>
      <c r="Y1701" s="402"/>
      <c r="Z1701" s="402"/>
      <c r="AA1701" s="405"/>
      <c r="AB1701" s="405"/>
    </row>
    <row r="1702" ht="14.25" customHeight="1">
      <c r="A1702" s="402"/>
      <c r="B1702" s="424" t="s">
        <v>2081</v>
      </c>
      <c r="C1702" s="402"/>
      <c r="D1702" s="402"/>
      <c r="E1702" s="402"/>
      <c r="F1702" s="403"/>
      <c r="G1702" s="403"/>
      <c r="H1702" s="402"/>
      <c r="I1702" s="402"/>
      <c r="J1702" s="402"/>
      <c r="K1702" s="402"/>
      <c r="L1702" s="402"/>
      <c r="M1702" s="402"/>
      <c r="N1702" s="402"/>
      <c r="O1702" s="402"/>
      <c r="P1702" s="402"/>
      <c r="Q1702" s="402"/>
      <c r="R1702" s="402"/>
      <c r="S1702" s="402"/>
      <c r="T1702" s="402"/>
      <c r="U1702" s="402"/>
      <c r="V1702" s="402"/>
      <c r="W1702" s="402"/>
      <c r="X1702" s="402"/>
      <c r="Y1702" s="402"/>
      <c r="Z1702" s="402"/>
      <c r="AA1702" s="405"/>
      <c r="AB1702" s="405"/>
    </row>
    <row r="1703" ht="14.25" customHeight="1">
      <c r="A1703" s="497"/>
      <c r="B1703" s="529"/>
      <c r="C1703" s="530"/>
      <c r="D1703" s="530"/>
      <c r="E1703" s="349"/>
      <c r="F1703" s="489"/>
      <c r="G1703" s="403"/>
      <c r="H1703" s="402"/>
      <c r="I1703" s="402"/>
      <c r="J1703" s="402"/>
      <c r="K1703" s="402"/>
      <c r="L1703" s="402"/>
      <c r="M1703" s="402"/>
      <c r="N1703" s="402"/>
      <c r="O1703" s="402"/>
      <c r="P1703" s="402"/>
      <c r="Q1703" s="402"/>
      <c r="R1703" s="402"/>
      <c r="S1703" s="402"/>
      <c r="T1703" s="402"/>
      <c r="U1703" s="402"/>
      <c r="V1703" s="402"/>
      <c r="W1703" s="402"/>
      <c r="X1703" s="402"/>
      <c r="Y1703" s="402"/>
      <c r="Z1703" s="402"/>
      <c r="AA1703" s="405"/>
      <c r="AB1703" s="405"/>
    </row>
    <row r="1704" ht="14.25" customHeight="1">
      <c r="A1704" s="497">
        <v>45535.0</v>
      </c>
      <c r="B1704" s="535" t="s">
        <v>1907</v>
      </c>
      <c r="C1704" s="536" t="s">
        <v>1103</v>
      </c>
      <c r="D1704" s="536" t="s">
        <v>75</v>
      </c>
      <c r="E1704" s="349" t="s">
        <v>1098</v>
      </c>
      <c r="F1704" s="413">
        <v>1039500.0</v>
      </c>
      <c r="G1704" s="413">
        <v>1081000.0</v>
      </c>
      <c r="H1704" s="349" t="s">
        <v>401</v>
      </c>
      <c r="I1704" s="402"/>
      <c r="J1704" s="402"/>
      <c r="K1704" s="402"/>
      <c r="L1704" s="402"/>
      <c r="M1704" s="402"/>
      <c r="N1704" s="402"/>
      <c r="O1704" s="402"/>
      <c r="P1704" s="402"/>
      <c r="Q1704" s="402"/>
      <c r="R1704" s="402"/>
      <c r="S1704" s="402"/>
      <c r="T1704" s="402"/>
      <c r="U1704" s="402"/>
      <c r="V1704" s="402"/>
      <c r="W1704" s="402"/>
      <c r="X1704" s="402"/>
      <c r="Y1704" s="402"/>
      <c r="Z1704" s="402"/>
      <c r="AA1704" s="405"/>
      <c r="AB1704" s="405"/>
    </row>
    <row r="1705" ht="14.25" customHeight="1">
      <c r="A1705" s="497">
        <v>45535.0</v>
      </c>
      <c r="B1705" s="349" t="s">
        <v>701</v>
      </c>
      <c r="C1705" s="349" t="s">
        <v>702</v>
      </c>
      <c r="D1705" s="349" t="s">
        <v>54</v>
      </c>
      <c r="E1705" s="349" t="s">
        <v>1098</v>
      </c>
      <c r="F1705" s="413">
        <v>16076.06</v>
      </c>
      <c r="G1705" s="403"/>
      <c r="H1705" s="349" t="s">
        <v>2015</v>
      </c>
      <c r="I1705" s="402"/>
      <c r="J1705" s="402"/>
      <c r="K1705" s="402"/>
      <c r="L1705" s="402"/>
      <c r="M1705" s="402"/>
      <c r="N1705" s="402"/>
      <c r="O1705" s="402"/>
      <c r="P1705" s="402"/>
      <c r="Q1705" s="402"/>
      <c r="R1705" s="402"/>
      <c r="S1705" s="402"/>
      <c r="T1705" s="402"/>
      <c r="U1705" s="402"/>
      <c r="V1705" s="402"/>
      <c r="W1705" s="402"/>
      <c r="X1705" s="402"/>
      <c r="Y1705" s="402"/>
      <c r="Z1705" s="402"/>
      <c r="AA1705" s="405"/>
      <c r="AB1705" s="405"/>
    </row>
    <row r="1706" ht="14.25" customHeight="1">
      <c r="A1706" s="497">
        <v>45535.0</v>
      </c>
      <c r="B1706" s="349" t="s">
        <v>807</v>
      </c>
      <c r="C1706" s="349" t="s">
        <v>1888</v>
      </c>
      <c r="D1706" s="510" t="s">
        <v>54</v>
      </c>
      <c r="E1706" s="349" t="s">
        <v>1098</v>
      </c>
      <c r="F1706" s="413">
        <v>40233.73</v>
      </c>
      <c r="G1706" s="403"/>
      <c r="H1706" s="349" t="s">
        <v>2017</v>
      </c>
      <c r="I1706" s="402"/>
      <c r="J1706" s="402"/>
      <c r="K1706" s="402"/>
      <c r="L1706" s="402"/>
      <c r="M1706" s="402"/>
      <c r="N1706" s="402"/>
      <c r="O1706" s="402"/>
      <c r="P1706" s="402"/>
      <c r="Q1706" s="402"/>
      <c r="R1706" s="402"/>
      <c r="S1706" s="402"/>
      <c r="T1706" s="402"/>
      <c r="U1706" s="402"/>
      <c r="V1706" s="402"/>
      <c r="W1706" s="402"/>
      <c r="X1706" s="402"/>
      <c r="Y1706" s="402"/>
      <c r="Z1706" s="402"/>
      <c r="AA1706" s="405"/>
      <c r="AB1706" s="405"/>
    </row>
    <row r="1707" ht="14.25" customHeight="1">
      <c r="A1707" s="497">
        <v>45535.0</v>
      </c>
      <c r="B1707" s="565" t="s">
        <v>1096</v>
      </c>
      <c r="C1707" s="322" t="s">
        <v>1097</v>
      </c>
      <c r="D1707" s="536" t="s">
        <v>54</v>
      </c>
      <c r="E1707" s="415" t="s">
        <v>1098</v>
      </c>
      <c r="F1707" s="413">
        <v>30000.0</v>
      </c>
      <c r="G1707" s="403"/>
      <c r="H1707" s="562" t="s">
        <v>1916</v>
      </c>
      <c r="I1707" s="402"/>
      <c r="J1707" s="402"/>
      <c r="K1707" s="402"/>
      <c r="L1707" s="402"/>
      <c r="M1707" s="402"/>
      <c r="N1707" s="402"/>
      <c r="O1707" s="402"/>
      <c r="P1707" s="402"/>
      <c r="Q1707" s="402"/>
      <c r="R1707" s="402"/>
      <c r="S1707" s="402"/>
      <c r="T1707" s="402"/>
      <c r="U1707" s="402"/>
      <c r="V1707" s="402"/>
      <c r="W1707" s="402"/>
      <c r="X1707" s="402"/>
      <c r="Y1707" s="402"/>
      <c r="Z1707" s="402"/>
      <c r="AA1707" s="405"/>
      <c r="AB1707" s="405"/>
    </row>
    <row r="1708" ht="14.25" customHeight="1">
      <c r="A1708" s="497">
        <v>45535.0</v>
      </c>
      <c r="B1708" s="414" t="s">
        <v>1113</v>
      </c>
      <c r="C1708" s="415" t="s">
        <v>2061</v>
      </c>
      <c r="D1708" s="415" t="s">
        <v>1021</v>
      </c>
      <c r="E1708" s="415" t="s">
        <v>1098</v>
      </c>
      <c r="F1708" s="566">
        <v>170000.0</v>
      </c>
      <c r="G1708" s="403"/>
      <c r="H1708" s="349" t="s">
        <v>2062</v>
      </c>
      <c r="I1708" s="402"/>
      <c r="J1708" s="402"/>
      <c r="K1708" s="402"/>
      <c r="L1708" s="402"/>
      <c r="M1708" s="402"/>
      <c r="N1708" s="402"/>
      <c r="O1708" s="402"/>
      <c r="P1708" s="402"/>
      <c r="Q1708" s="402"/>
      <c r="R1708" s="402"/>
      <c r="S1708" s="402"/>
      <c r="T1708" s="402"/>
      <c r="U1708" s="402"/>
      <c r="V1708" s="402"/>
      <c r="W1708" s="402"/>
      <c r="X1708" s="402"/>
      <c r="Y1708" s="402"/>
      <c r="Z1708" s="402"/>
      <c r="AA1708" s="405"/>
      <c r="AB1708" s="405"/>
    </row>
    <row r="1709" ht="14.25" customHeight="1">
      <c r="A1709" s="497">
        <v>45535.0</v>
      </c>
      <c r="B1709" s="414" t="s">
        <v>1117</v>
      </c>
      <c r="C1709" s="415" t="s">
        <v>2061</v>
      </c>
      <c r="D1709" s="415" t="s">
        <v>1021</v>
      </c>
      <c r="E1709" s="415" t="s">
        <v>1098</v>
      </c>
      <c r="F1709" s="566">
        <v>170000.0</v>
      </c>
      <c r="G1709" s="403"/>
      <c r="H1709" s="349" t="s">
        <v>2062</v>
      </c>
      <c r="I1709" s="402"/>
      <c r="J1709" s="402"/>
      <c r="K1709" s="402"/>
      <c r="L1709" s="402"/>
      <c r="M1709" s="402"/>
      <c r="N1709" s="402"/>
      <c r="O1709" s="402"/>
      <c r="P1709" s="402"/>
      <c r="Q1709" s="402"/>
      <c r="R1709" s="402"/>
      <c r="S1709" s="402"/>
      <c r="T1709" s="402"/>
      <c r="U1709" s="402"/>
      <c r="V1709" s="402"/>
      <c r="W1709" s="402"/>
      <c r="X1709" s="402"/>
      <c r="Y1709" s="402"/>
      <c r="Z1709" s="402"/>
      <c r="AA1709" s="405"/>
      <c r="AB1709" s="405"/>
    </row>
    <row r="1710" ht="14.25" customHeight="1">
      <c r="A1710" s="497">
        <v>45535.0</v>
      </c>
      <c r="B1710" s="414" t="s">
        <v>729</v>
      </c>
      <c r="C1710" s="415" t="s">
        <v>995</v>
      </c>
      <c r="D1710" s="415" t="s">
        <v>54</v>
      </c>
      <c r="E1710" s="415" t="s">
        <v>1098</v>
      </c>
      <c r="F1710" s="566">
        <v>233063.2</v>
      </c>
      <c r="G1710" s="403"/>
      <c r="H1710" s="349" t="s">
        <v>2082</v>
      </c>
      <c r="I1710" s="402"/>
      <c r="J1710" s="402"/>
      <c r="K1710" s="402"/>
      <c r="L1710" s="402"/>
      <c r="M1710" s="402"/>
      <c r="N1710" s="402"/>
      <c r="O1710" s="402"/>
      <c r="P1710" s="402"/>
      <c r="Q1710" s="402"/>
      <c r="R1710" s="402"/>
      <c r="S1710" s="402"/>
      <c r="T1710" s="402"/>
      <c r="U1710" s="402"/>
      <c r="V1710" s="402"/>
      <c r="W1710" s="402"/>
      <c r="X1710" s="402"/>
      <c r="Y1710" s="402"/>
      <c r="Z1710" s="402"/>
      <c r="AA1710" s="405"/>
      <c r="AB1710" s="405"/>
    </row>
    <row r="1711" ht="14.25" customHeight="1">
      <c r="A1711" s="497">
        <v>45535.0</v>
      </c>
      <c r="B1711" s="349" t="s">
        <v>1622</v>
      </c>
      <c r="C1711" s="519" t="s">
        <v>730</v>
      </c>
      <c r="D1711" s="349" t="s">
        <v>75</v>
      </c>
      <c r="E1711" s="415" t="s">
        <v>1153</v>
      </c>
      <c r="F1711" s="566">
        <v>500000.0</v>
      </c>
      <c r="G1711" s="403"/>
      <c r="H1711" s="402"/>
      <c r="I1711" s="402"/>
      <c r="J1711" s="402"/>
      <c r="K1711" s="402"/>
      <c r="L1711" s="402"/>
      <c r="M1711" s="402"/>
      <c r="N1711" s="402"/>
      <c r="O1711" s="402"/>
      <c r="P1711" s="402"/>
      <c r="Q1711" s="402"/>
      <c r="R1711" s="402"/>
      <c r="S1711" s="402"/>
      <c r="T1711" s="402"/>
      <c r="U1711" s="402"/>
      <c r="V1711" s="402"/>
      <c r="W1711" s="402"/>
      <c r="X1711" s="402"/>
      <c r="Y1711" s="402"/>
      <c r="Z1711" s="402"/>
      <c r="AA1711" s="405"/>
      <c r="AB1711" s="405"/>
    </row>
    <row r="1712" ht="14.25" customHeight="1">
      <c r="A1712" s="497">
        <v>45535.0</v>
      </c>
      <c r="B1712" s="414" t="s">
        <v>825</v>
      </c>
      <c r="C1712" s="519" t="s">
        <v>747</v>
      </c>
      <c r="D1712" s="349" t="s">
        <v>826</v>
      </c>
      <c r="E1712" s="415" t="s">
        <v>1153</v>
      </c>
      <c r="F1712" s="559">
        <v>136961.8</v>
      </c>
      <c r="G1712" s="413">
        <v>278877.0</v>
      </c>
      <c r="H1712" s="349" t="s">
        <v>267</v>
      </c>
      <c r="I1712" s="402"/>
      <c r="J1712" s="402"/>
      <c r="K1712" s="402"/>
      <c r="L1712" s="402"/>
      <c r="M1712" s="402"/>
      <c r="N1712" s="402"/>
      <c r="O1712" s="402"/>
      <c r="P1712" s="402"/>
      <c r="Q1712" s="402"/>
      <c r="R1712" s="402"/>
      <c r="S1712" s="402"/>
      <c r="T1712" s="402"/>
      <c r="U1712" s="402"/>
      <c r="V1712" s="402"/>
      <c r="W1712" s="402"/>
      <c r="X1712" s="402"/>
      <c r="Y1712" s="402"/>
      <c r="Z1712" s="402"/>
      <c r="AA1712" s="405"/>
      <c r="AB1712" s="405"/>
    </row>
    <row r="1713" ht="14.25" customHeight="1">
      <c r="A1713" s="497">
        <v>45535.0</v>
      </c>
      <c r="B1713" s="349" t="s">
        <v>1961</v>
      </c>
      <c r="C1713" s="349" t="s">
        <v>787</v>
      </c>
      <c r="D1713" s="349" t="s">
        <v>75</v>
      </c>
      <c r="E1713" s="349" t="s">
        <v>1153</v>
      </c>
      <c r="F1713" s="559">
        <v>45457.87</v>
      </c>
      <c r="G1713" s="403"/>
      <c r="H1713" s="402"/>
      <c r="I1713" s="402"/>
      <c r="J1713" s="402"/>
      <c r="K1713" s="402"/>
      <c r="L1713" s="402"/>
      <c r="M1713" s="402"/>
      <c r="N1713" s="402"/>
      <c r="O1713" s="402"/>
      <c r="P1713" s="402"/>
      <c r="Q1713" s="402"/>
      <c r="R1713" s="402"/>
      <c r="S1713" s="402"/>
      <c r="T1713" s="402"/>
      <c r="U1713" s="402"/>
      <c r="V1713" s="402"/>
      <c r="W1713" s="402"/>
      <c r="X1713" s="402"/>
      <c r="Y1713" s="402"/>
      <c r="Z1713" s="402"/>
      <c r="AA1713" s="405"/>
      <c r="AB1713" s="405"/>
    </row>
    <row r="1714" ht="14.25" customHeight="1">
      <c r="A1714" s="497">
        <v>45535.0</v>
      </c>
      <c r="B1714" s="558" t="s">
        <v>1001</v>
      </c>
      <c r="C1714" s="349" t="s">
        <v>1002</v>
      </c>
      <c r="D1714" s="536" t="s">
        <v>54</v>
      </c>
      <c r="E1714" s="349" t="s">
        <v>1153</v>
      </c>
      <c r="F1714" s="567">
        <v>85022.0</v>
      </c>
      <c r="G1714" s="413">
        <v>85022.0</v>
      </c>
      <c r="H1714" s="349" t="s">
        <v>1534</v>
      </c>
      <c r="I1714" s="402"/>
      <c r="J1714" s="402"/>
      <c r="K1714" s="402"/>
      <c r="L1714" s="402"/>
      <c r="M1714" s="402"/>
      <c r="N1714" s="402"/>
      <c r="O1714" s="402"/>
      <c r="P1714" s="402"/>
      <c r="Q1714" s="402"/>
      <c r="R1714" s="402"/>
      <c r="S1714" s="402"/>
      <c r="T1714" s="402"/>
      <c r="U1714" s="402"/>
      <c r="V1714" s="402"/>
      <c r="W1714" s="402"/>
      <c r="X1714" s="402"/>
      <c r="Y1714" s="402"/>
      <c r="Z1714" s="402"/>
      <c r="AA1714" s="405"/>
      <c r="AB1714" s="405"/>
    </row>
    <row r="1715" ht="14.25" customHeight="1">
      <c r="A1715" s="497">
        <v>45535.0</v>
      </c>
      <c r="B1715" s="343" t="s">
        <v>2083</v>
      </c>
      <c r="C1715" s="344" t="s">
        <v>2084</v>
      </c>
      <c r="D1715" s="344" t="s">
        <v>59</v>
      </c>
      <c r="E1715" s="349" t="s">
        <v>1153</v>
      </c>
      <c r="F1715" s="413">
        <v>283000.0</v>
      </c>
      <c r="G1715" s="413">
        <v>283000.0</v>
      </c>
      <c r="H1715" s="349" t="s">
        <v>2085</v>
      </c>
      <c r="I1715" s="402"/>
      <c r="J1715" s="402"/>
      <c r="K1715" s="402"/>
      <c r="L1715" s="402"/>
      <c r="M1715" s="402"/>
      <c r="N1715" s="402"/>
      <c r="O1715" s="402"/>
      <c r="P1715" s="402"/>
      <c r="Q1715" s="402"/>
      <c r="R1715" s="402"/>
      <c r="S1715" s="402"/>
      <c r="T1715" s="402"/>
      <c r="U1715" s="402"/>
      <c r="V1715" s="402"/>
      <c r="W1715" s="402"/>
      <c r="X1715" s="402"/>
      <c r="Y1715" s="402"/>
      <c r="Z1715" s="402"/>
      <c r="AA1715" s="405"/>
      <c r="AB1715" s="405"/>
    </row>
    <row r="1716" ht="14.25" customHeight="1">
      <c r="A1716" s="497">
        <v>45535.0</v>
      </c>
      <c r="B1716" s="578" t="s">
        <v>918</v>
      </c>
      <c r="C1716" s="536" t="s">
        <v>919</v>
      </c>
      <c r="D1716" s="536" t="s">
        <v>54</v>
      </c>
      <c r="E1716" s="349" t="s">
        <v>1139</v>
      </c>
      <c r="F1716" s="413">
        <v>22847.0</v>
      </c>
      <c r="G1716" s="413">
        <v>0.0</v>
      </c>
      <c r="H1716" s="349" t="s">
        <v>2086</v>
      </c>
      <c r="I1716" s="402"/>
      <c r="J1716" s="402"/>
      <c r="K1716" s="402"/>
      <c r="L1716" s="402"/>
      <c r="M1716" s="402"/>
      <c r="N1716" s="402"/>
      <c r="O1716" s="402"/>
      <c r="P1716" s="402"/>
      <c r="Q1716" s="402"/>
      <c r="R1716" s="402"/>
      <c r="S1716" s="402"/>
      <c r="T1716" s="402"/>
      <c r="U1716" s="402"/>
      <c r="V1716" s="402"/>
      <c r="W1716" s="402"/>
      <c r="X1716" s="402"/>
      <c r="Y1716" s="402"/>
      <c r="Z1716" s="402"/>
      <c r="AA1716" s="405"/>
      <c r="AB1716" s="405"/>
    </row>
    <row r="1717" ht="14.25" customHeight="1">
      <c r="A1717" s="497">
        <v>45535.0</v>
      </c>
      <c r="B1717" s="535" t="s">
        <v>783</v>
      </c>
      <c r="C1717" s="536" t="s">
        <v>784</v>
      </c>
      <c r="D1717" s="536" t="s">
        <v>54</v>
      </c>
      <c r="E1717" s="349" t="s">
        <v>1139</v>
      </c>
      <c r="F1717" s="413">
        <v>130000.0</v>
      </c>
      <c r="G1717" s="413">
        <v>0.0</v>
      </c>
      <c r="H1717" s="349" t="s">
        <v>2087</v>
      </c>
      <c r="I1717" s="402"/>
      <c r="J1717" s="402"/>
      <c r="K1717" s="402"/>
      <c r="L1717" s="402"/>
      <c r="M1717" s="402"/>
      <c r="N1717" s="402"/>
      <c r="O1717" s="402"/>
      <c r="P1717" s="402"/>
      <c r="Q1717" s="402"/>
      <c r="R1717" s="402"/>
      <c r="S1717" s="402"/>
      <c r="T1717" s="402"/>
      <c r="U1717" s="402"/>
      <c r="V1717" s="402"/>
      <c r="W1717" s="402"/>
      <c r="X1717" s="402"/>
      <c r="Y1717" s="402"/>
      <c r="Z1717" s="402"/>
      <c r="AA1717" s="405"/>
      <c r="AB1717" s="405"/>
    </row>
    <row r="1718" ht="14.25" customHeight="1">
      <c r="A1718" s="497">
        <v>45535.0</v>
      </c>
      <c r="B1718" s="349" t="s">
        <v>870</v>
      </c>
      <c r="C1718" s="349" t="s">
        <v>871</v>
      </c>
      <c r="D1718" s="349" t="s">
        <v>54</v>
      </c>
      <c r="E1718" s="349" t="s">
        <v>1139</v>
      </c>
      <c r="F1718" s="413">
        <v>18936.33</v>
      </c>
      <c r="G1718" s="413">
        <v>0.0</v>
      </c>
      <c r="H1718" s="349" t="s">
        <v>2088</v>
      </c>
      <c r="I1718" s="402"/>
      <c r="J1718" s="402"/>
      <c r="K1718" s="402"/>
      <c r="L1718" s="402"/>
      <c r="M1718" s="402"/>
      <c r="N1718" s="402"/>
      <c r="O1718" s="402"/>
      <c r="P1718" s="402"/>
      <c r="Q1718" s="402"/>
      <c r="R1718" s="402"/>
      <c r="S1718" s="402"/>
      <c r="T1718" s="402"/>
      <c r="U1718" s="402"/>
      <c r="V1718" s="402"/>
      <c r="W1718" s="402"/>
      <c r="X1718" s="402"/>
      <c r="Y1718" s="402"/>
      <c r="Z1718" s="402"/>
      <c r="AA1718" s="405"/>
      <c r="AB1718" s="405"/>
    </row>
    <row r="1719" ht="14.25" customHeight="1">
      <c r="A1719" s="497">
        <v>45535.0</v>
      </c>
      <c r="B1719" s="535" t="s">
        <v>915</v>
      </c>
      <c r="C1719" s="536" t="s">
        <v>916</v>
      </c>
      <c r="D1719" s="536" t="s">
        <v>54</v>
      </c>
      <c r="E1719" s="349" t="s">
        <v>1139</v>
      </c>
      <c r="F1719" s="573">
        <v>50971.0</v>
      </c>
      <c r="G1719" s="413">
        <v>0.0</v>
      </c>
      <c r="H1719" s="349" t="s">
        <v>2089</v>
      </c>
      <c r="I1719" s="402"/>
      <c r="J1719" s="402"/>
      <c r="K1719" s="402"/>
      <c r="L1719" s="402"/>
      <c r="M1719" s="402"/>
      <c r="N1719" s="402"/>
      <c r="O1719" s="402"/>
      <c r="P1719" s="402"/>
      <c r="Q1719" s="402"/>
      <c r="R1719" s="402"/>
      <c r="S1719" s="402"/>
      <c r="T1719" s="402"/>
      <c r="U1719" s="402"/>
      <c r="V1719" s="402"/>
      <c r="W1719" s="402"/>
      <c r="X1719" s="402"/>
      <c r="Y1719" s="402"/>
      <c r="Z1719" s="402"/>
      <c r="AA1719" s="405"/>
      <c r="AB1719" s="405"/>
    </row>
    <row r="1720" ht="14.25" customHeight="1">
      <c r="A1720" s="497">
        <v>45535.0</v>
      </c>
      <c r="B1720" s="518" t="s">
        <v>1012</v>
      </c>
      <c r="C1720" s="519" t="s">
        <v>1013</v>
      </c>
      <c r="D1720" s="519" t="s">
        <v>75</v>
      </c>
      <c r="E1720" s="349" t="s">
        <v>1139</v>
      </c>
      <c r="F1720" s="489">
        <v>194829.4</v>
      </c>
      <c r="G1720" s="413">
        <v>0.0</v>
      </c>
      <c r="H1720" s="349" t="s">
        <v>2090</v>
      </c>
      <c r="I1720" s="402"/>
      <c r="J1720" s="402"/>
      <c r="K1720" s="402"/>
      <c r="L1720" s="402"/>
      <c r="M1720" s="402"/>
      <c r="N1720" s="402"/>
      <c r="O1720" s="402"/>
      <c r="P1720" s="402"/>
      <c r="Q1720" s="402"/>
      <c r="R1720" s="402"/>
      <c r="S1720" s="402"/>
      <c r="T1720" s="402"/>
      <c r="U1720" s="402"/>
      <c r="V1720" s="402"/>
      <c r="W1720" s="402"/>
      <c r="X1720" s="402"/>
      <c r="Y1720" s="402"/>
      <c r="Z1720" s="402"/>
      <c r="AA1720" s="405"/>
      <c r="AB1720" s="405"/>
    </row>
    <row r="1721" ht="14.25" customHeight="1">
      <c r="A1721" s="497">
        <v>45535.0</v>
      </c>
      <c r="B1721" s="349" t="s">
        <v>1648</v>
      </c>
      <c r="C1721" s="349" t="s">
        <v>1013</v>
      </c>
      <c r="D1721" s="349" t="s">
        <v>59</v>
      </c>
      <c r="E1721" s="349" t="s">
        <v>1139</v>
      </c>
      <c r="F1721" s="413">
        <v>303633.15</v>
      </c>
      <c r="G1721" s="413">
        <v>0.0</v>
      </c>
      <c r="H1721" s="349" t="s">
        <v>2090</v>
      </c>
      <c r="I1721" s="402"/>
      <c r="J1721" s="402"/>
      <c r="K1721" s="402"/>
      <c r="L1721" s="402"/>
      <c r="M1721" s="402"/>
      <c r="N1721" s="402"/>
      <c r="O1721" s="402"/>
      <c r="P1721" s="402"/>
      <c r="Q1721" s="402"/>
      <c r="R1721" s="402"/>
      <c r="S1721" s="402"/>
      <c r="T1721" s="402"/>
      <c r="U1721" s="402"/>
      <c r="V1721" s="402"/>
      <c r="W1721" s="402"/>
      <c r="X1721" s="402"/>
      <c r="Y1721" s="402"/>
      <c r="Z1721" s="402"/>
      <c r="AA1721" s="405"/>
      <c r="AB1721" s="405"/>
    </row>
    <row r="1722" ht="14.25" customHeight="1">
      <c r="A1722" s="497">
        <v>45535.0</v>
      </c>
      <c r="B1722" s="414" t="s">
        <v>735</v>
      </c>
      <c r="C1722" s="415" t="s">
        <v>2054</v>
      </c>
      <c r="D1722" s="415" t="s">
        <v>54</v>
      </c>
      <c r="E1722" s="349" t="s">
        <v>1139</v>
      </c>
      <c r="F1722" s="489">
        <v>2175.0</v>
      </c>
      <c r="G1722" s="413">
        <v>0.0</v>
      </c>
      <c r="H1722" s="349" t="s">
        <v>2091</v>
      </c>
      <c r="I1722" s="402"/>
      <c r="J1722" s="402"/>
      <c r="K1722" s="402"/>
      <c r="L1722" s="402"/>
      <c r="M1722" s="402"/>
      <c r="N1722" s="402"/>
      <c r="O1722" s="402"/>
      <c r="P1722" s="402"/>
      <c r="Q1722" s="402"/>
      <c r="R1722" s="402"/>
      <c r="S1722" s="402"/>
      <c r="T1722" s="402"/>
      <c r="U1722" s="402"/>
      <c r="V1722" s="402"/>
      <c r="W1722" s="402"/>
      <c r="X1722" s="402"/>
      <c r="Y1722" s="402"/>
      <c r="Z1722" s="402"/>
      <c r="AA1722" s="405"/>
      <c r="AB1722" s="405"/>
    </row>
    <row r="1723" ht="14.25" customHeight="1">
      <c r="A1723" s="497">
        <v>45535.0</v>
      </c>
      <c r="B1723" s="518" t="s">
        <v>781</v>
      </c>
      <c r="C1723" s="519" t="s">
        <v>782</v>
      </c>
      <c r="D1723" s="519" t="s">
        <v>54</v>
      </c>
      <c r="E1723" s="349" t="s">
        <v>1139</v>
      </c>
      <c r="F1723" s="489">
        <v>10420.98</v>
      </c>
      <c r="G1723" s="413">
        <v>0.0</v>
      </c>
      <c r="H1723" s="349" t="s">
        <v>2092</v>
      </c>
      <c r="I1723" s="402"/>
      <c r="J1723" s="402"/>
      <c r="K1723" s="402"/>
      <c r="L1723" s="402"/>
      <c r="M1723" s="402"/>
      <c r="N1723" s="402"/>
      <c r="O1723" s="402"/>
      <c r="P1723" s="402"/>
      <c r="Q1723" s="402"/>
      <c r="R1723" s="402"/>
      <c r="S1723" s="402"/>
      <c r="T1723" s="402"/>
      <c r="U1723" s="402"/>
      <c r="V1723" s="402"/>
      <c r="W1723" s="402"/>
      <c r="X1723" s="402"/>
      <c r="Y1723" s="402"/>
      <c r="Z1723" s="402"/>
      <c r="AA1723" s="405"/>
      <c r="AB1723" s="405"/>
    </row>
    <row r="1724" ht="14.25" customHeight="1">
      <c r="A1724" s="497">
        <v>45535.0</v>
      </c>
      <c r="B1724" s="410" t="s">
        <v>2031</v>
      </c>
      <c r="C1724" s="411" t="s">
        <v>2093</v>
      </c>
      <c r="D1724" s="519" t="s">
        <v>54</v>
      </c>
      <c r="E1724" s="349" t="s">
        <v>1168</v>
      </c>
      <c r="F1724" s="489">
        <v>1103.65</v>
      </c>
      <c r="G1724" s="413">
        <v>0.0</v>
      </c>
      <c r="H1724" s="349" t="s">
        <v>2094</v>
      </c>
      <c r="I1724" s="402"/>
      <c r="J1724" s="402"/>
      <c r="K1724" s="402"/>
      <c r="L1724" s="402"/>
      <c r="M1724" s="402"/>
      <c r="N1724" s="402"/>
      <c r="O1724" s="402"/>
      <c r="P1724" s="402"/>
      <c r="Q1724" s="402"/>
      <c r="R1724" s="402"/>
      <c r="S1724" s="402"/>
      <c r="T1724" s="402"/>
      <c r="U1724" s="402"/>
      <c r="V1724" s="402"/>
      <c r="W1724" s="402"/>
      <c r="X1724" s="402"/>
      <c r="Y1724" s="402"/>
      <c r="Z1724" s="402"/>
      <c r="AA1724" s="405"/>
      <c r="AB1724" s="405"/>
    </row>
    <row r="1725" ht="14.25" customHeight="1">
      <c r="A1725" s="497">
        <v>45535.0</v>
      </c>
      <c r="B1725" s="349" t="s">
        <v>1673</v>
      </c>
      <c r="C1725" s="349" t="s">
        <v>1674</v>
      </c>
      <c r="D1725" s="519" t="s">
        <v>54</v>
      </c>
      <c r="E1725" s="349" t="s">
        <v>1168</v>
      </c>
      <c r="F1725" s="413">
        <v>58919.23</v>
      </c>
      <c r="G1725" s="413">
        <v>0.0</v>
      </c>
      <c r="H1725" s="349" t="s">
        <v>2035</v>
      </c>
      <c r="I1725" s="402"/>
      <c r="J1725" s="402"/>
      <c r="K1725" s="402"/>
      <c r="L1725" s="402"/>
      <c r="M1725" s="402"/>
      <c r="N1725" s="402"/>
      <c r="O1725" s="402"/>
      <c r="P1725" s="402"/>
      <c r="Q1725" s="402"/>
      <c r="R1725" s="402"/>
      <c r="S1725" s="402"/>
      <c r="T1725" s="402"/>
      <c r="U1725" s="402"/>
      <c r="V1725" s="402"/>
      <c r="W1725" s="402"/>
      <c r="X1725" s="402"/>
      <c r="Y1725" s="402"/>
      <c r="Z1725" s="402"/>
      <c r="AA1725" s="405"/>
      <c r="AB1725" s="405"/>
    </row>
    <row r="1726" ht="14.25" customHeight="1">
      <c r="A1726" s="497">
        <v>45535.0</v>
      </c>
      <c r="B1726" s="349" t="s">
        <v>698</v>
      </c>
      <c r="C1726" s="349" t="s">
        <v>1167</v>
      </c>
      <c r="D1726" s="516" t="s">
        <v>54</v>
      </c>
      <c r="E1726" s="349" t="s">
        <v>1168</v>
      </c>
      <c r="F1726" s="413">
        <v>59680.83</v>
      </c>
      <c r="G1726" s="413">
        <v>23650.0</v>
      </c>
      <c r="H1726" s="574" t="s">
        <v>2069</v>
      </c>
      <c r="I1726" s="402"/>
      <c r="J1726" s="402"/>
      <c r="K1726" s="402"/>
      <c r="L1726" s="402"/>
      <c r="M1726" s="402"/>
      <c r="N1726" s="402"/>
      <c r="O1726" s="402"/>
      <c r="P1726" s="402"/>
      <c r="Q1726" s="402"/>
      <c r="R1726" s="402"/>
      <c r="S1726" s="402"/>
      <c r="T1726" s="402"/>
      <c r="U1726" s="402"/>
      <c r="V1726" s="402"/>
      <c r="W1726" s="402"/>
      <c r="X1726" s="402"/>
      <c r="Y1726" s="402"/>
      <c r="Z1726" s="402"/>
      <c r="AA1726" s="405"/>
      <c r="AB1726" s="405"/>
    </row>
    <row r="1727" ht="14.25" customHeight="1">
      <c r="A1727" s="497">
        <v>45535.0</v>
      </c>
      <c r="B1727" s="349" t="s">
        <v>997</v>
      </c>
      <c r="C1727" s="349" t="s">
        <v>998</v>
      </c>
      <c r="D1727" s="344" t="s">
        <v>346</v>
      </c>
      <c r="E1727" s="349" t="s">
        <v>1168</v>
      </c>
      <c r="F1727" s="452">
        <v>28350.0</v>
      </c>
      <c r="G1727" s="413"/>
      <c r="H1727" s="349" t="s">
        <v>2070</v>
      </c>
      <c r="I1727" s="402"/>
      <c r="J1727" s="402"/>
      <c r="K1727" s="402"/>
      <c r="L1727" s="402"/>
      <c r="M1727" s="402"/>
      <c r="N1727" s="402"/>
      <c r="O1727" s="402"/>
      <c r="P1727" s="402"/>
      <c r="Q1727" s="402"/>
      <c r="R1727" s="402"/>
      <c r="S1727" s="402"/>
      <c r="T1727" s="402"/>
      <c r="U1727" s="402"/>
      <c r="V1727" s="402"/>
      <c r="W1727" s="402"/>
      <c r="X1727" s="402"/>
      <c r="Y1727" s="402"/>
      <c r="Z1727" s="402"/>
      <c r="AA1727" s="405"/>
      <c r="AB1727" s="405"/>
    </row>
    <row r="1728" ht="14.25" customHeight="1">
      <c r="A1728" s="497">
        <v>45535.0</v>
      </c>
      <c r="B1728" s="349" t="s">
        <v>1223</v>
      </c>
      <c r="C1728" s="349" t="s">
        <v>998</v>
      </c>
      <c r="D1728" s="415" t="s">
        <v>319</v>
      </c>
      <c r="E1728" s="349" t="s">
        <v>1168</v>
      </c>
      <c r="F1728" s="413">
        <v>147799.99</v>
      </c>
      <c r="G1728" s="413"/>
      <c r="H1728" s="349" t="s">
        <v>2070</v>
      </c>
      <c r="I1728" s="402"/>
      <c r="J1728" s="402"/>
      <c r="K1728" s="402"/>
      <c r="L1728" s="402"/>
      <c r="M1728" s="402"/>
      <c r="N1728" s="402"/>
      <c r="O1728" s="402"/>
      <c r="P1728" s="402"/>
      <c r="Q1728" s="402"/>
      <c r="R1728" s="402"/>
      <c r="S1728" s="402"/>
      <c r="T1728" s="402"/>
      <c r="U1728" s="402"/>
      <c r="V1728" s="402"/>
      <c r="W1728" s="402"/>
      <c r="X1728" s="402"/>
      <c r="Y1728" s="402"/>
      <c r="Z1728" s="402"/>
      <c r="AA1728" s="405"/>
      <c r="AB1728" s="405"/>
    </row>
    <row r="1729" ht="14.25" customHeight="1">
      <c r="A1729" s="497">
        <v>45535.0</v>
      </c>
      <c r="B1729" s="349" t="s">
        <v>1644</v>
      </c>
      <c r="C1729" s="349" t="s">
        <v>1893</v>
      </c>
      <c r="D1729" s="349" t="s">
        <v>54</v>
      </c>
      <c r="E1729" s="349" t="s">
        <v>1168</v>
      </c>
      <c r="F1729" s="413">
        <v>19797.2</v>
      </c>
      <c r="G1729" s="413"/>
      <c r="H1729" s="349" t="s">
        <v>2095</v>
      </c>
      <c r="I1729" s="402"/>
      <c r="J1729" s="402"/>
      <c r="K1729" s="402"/>
      <c r="L1729" s="402"/>
      <c r="M1729" s="402"/>
      <c r="N1729" s="402"/>
      <c r="O1729" s="402"/>
      <c r="P1729" s="402"/>
      <c r="Q1729" s="402"/>
      <c r="R1729" s="402"/>
      <c r="S1729" s="402"/>
      <c r="T1729" s="402"/>
      <c r="U1729" s="402"/>
      <c r="V1729" s="402"/>
      <c r="W1729" s="402"/>
      <c r="X1729" s="402"/>
      <c r="Y1729" s="402"/>
      <c r="Z1729" s="402"/>
      <c r="AA1729" s="405"/>
      <c r="AB1729" s="405"/>
    </row>
    <row r="1730" ht="14.25" customHeight="1">
      <c r="A1730" s="497">
        <v>45535.0</v>
      </c>
      <c r="B1730" s="535" t="s">
        <v>1046</v>
      </c>
      <c r="C1730" s="536" t="s">
        <v>1145</v>
      </c>
      <c r="D1730" s="536" t="s">
        <v>54</v>
      </c>
      <c r="E1730" s="349" t="s">
        <v>1168</v>
      </c>
      <c r="F1730" s="413">
        <v>20520.2</v>
      </c>
      <c r="G1730" s="413"/>
      <c r="H1730" s="349" t="s">
        <v>2096</v>
      </c>
      <c r="I1730" s="402"/>
      <c r="J1730" s="402"/>
      <c r="K1730" s="402"/>
      <c r="L1730" s="402"/>
      <c r="M1730" s="402"/>
      <c r="N1730" s="402"/>
      <c r="O1730" s="402"/>
      <c r="P1730" s="402"/>
      <c r="Q1730" s="402"/>
      <c r="R1730" s="402"/>
      <c r="S1730" s="402"/>
      <c r="T1730" s="402"/>
      <c r="U1730" s="402"/>
      <c r="V1730" s="402"/>
      <c r="W1730" s="402"/>
      <c r="X1730" s="402"/>
      <c r="Y1730" s="402"/>
      <c r="Z1730" s="402"/>
      <c r="AA1730" s="405"/>
      <c r="AB1730" s="405"/>
    </row>
    <row r="1731" ht="14.25" customHeight="1">
      <c r="A1731" s="497">
        <v>45535.0</v>
      </c>
      <c r="B1731" s="349" t="s">
        <v>761</v>
      </c>
      <c r="C1731" s="349" t="s">
        <v>1596</v>
      </c>
      <c r="D1731" s="349" t="s">
        <v>59</v>
      </c>
      <c r="E1731" s="349" t="s">
        <v>1168</v>
      </c>
      <c r="F1731" s="413">
        <v>11223.11</v>
      </c>
      <c r="G1731" s="413"/>
      <c r="H1731" s="349" t="s">
        <v>2097</v>
      </c>
      <c r="I1731" s="402"/>
      <c r="J1731" s="402"/>
      <c r="K1731" s="402"/>
      <c r="L1731" s="402"/>
      <c r="M1731" s="402"/>
      <c r="N1731" s="402"/>
      <c r="O1731" s="402"/>
      <c r="P1731" s="402"/>
      <c r="Q1731" s="402"/>
      <c r="R1731" s="402"/>
      <c r="S1731" s="402"/>
      <c r="T1731" s="402"/>
      <c r="U1731" s="402"/>
      <c r="V1731" s="402"/>
      <c r="W1731" s="402"/>
      <c r="X1731" s="402"/>
      <c r="Y1731" s="402"/>
      <c r="Z1731" s="402"/>
      <c r="AA1731" s="405"/>
      <c r="AB1731" s="405"/>
    </row>
    <row r="1732" ht="14.25" customHeight="1">
      <c r="A1732" s="497">
        <v>45535.0</v>
      </c>
      <c r="B1732" s="349" t="s">
        <v>1475</v>
      </c>
      <c r="C1732" s="349" t="s">
        <v>1895</v>
      </c>
      <c r="D1732" s="349" t="s">
        <v>75</v>
      </c>
      <c r="E1732" s="349" t="s">
        <v>1168</v>
      </c>
      <c r="F1732" s="413">
        <v>106909.0</v>
      </c>
      <c r="G1732" s="413"/>
      <c r="H1732" s="349" t="s">
        <v>2098</v>
      </c>
      <c r="I1732" s="402"/>
      <c r="J1732" s="402"/>
      <c r="K1732" s="402"/>
      <c r="L1732" s="402"/>
      <c r="M1732" s="402"/>
      <c r="N1732" s="402"/>
      <c r="O1732" s="402"/>
      <c r="P1732" s="402"/>
      <c r="Q1732" s="402"/>
      <c r="R1732" s="402"/>
      <c r="S1732" s="402"/>
      <c r="T1732" s="402"/>
      <c r="U1732" s="402"/>
      <c r="V1732" s="402"/>
      <c r="W1732" s="402"/>
      <c r="X1732" s="402"/>
      <c r="Y1732" s="402"/>
      <c r="Z1732" s="402"/>
      <c r="AA1732" s="405"/>
      <c r="AB1732" s="405"/>
    </row>
    <row r="1733" ht="14.25" customHeight="1">
      <c r="A1733" s="497"/>
      <c r="B1733" s="402"/>
      <c r="C1733" s="402"/>
      <c r="D1733" s="402"/>
      <c r="E1733" s="402"/>
      <c r="F1733" s="403"/>
      <c r="G1733" s="403"/>
      <c r="H1733" s="349"/>
      <c r="I1733" s="402"/>
      <c r="J1733" s="402"/>
      <c r="K1733" s="402"/>
      <c r="L1733" s="402"/>
      <c r="M1733" s="402"/>
      <c r="N1733" s="402"/>
      <c r="O1733" s="402"/>
      <c r="P1733" s="402"/>
      <c r="Q1733" s="402"/>
      <c r="R1733" s="402"/>
      <c r="S1733" s="402"/>
      <c r="T1733" s="402"/>
      <c r="U1733" s="402"/>
      <c r="V1733" s="402"/>
      <c r="W1733" s="402"/>
      <c r="X1733" s="402"/>
      <c r="Y1733" s="402"/>
      <c r="Z1733" s="402"/>
      <c r="AA1733" s="405"/>
      <c r="AB1733" s="405"/>
    </row>
    <row r="1734" ht="14.25" customHeight="1">
      <c r="A1734" s="497"/>
      <c r="B1734" s="402"/>
      <c r="C1734" s="402"/>
      <c r="D1734" s="402"/>
      <c r="E1734" s="402"/>
      <c r="F1734" s="403"/>
      <c r="G1734" s="403"/>
      <c r="I1734" s="402"/>
      <c r="J1734" s="402"/>
      <c r="K1734" s="402"/>
      <c r="L1734" s="402"/>
      <c r="M1734" s="402"/>
      <c r="N1734" s="402"/>
      <c r="O1734" s="402"/>
      <c r="P1734" s="402"/>
      <c r="Q1734" s="402"/>
      <c r="R1734" s="402"/>
      <c r="S1734" s="402"/>
      <c r="T1734" s="402"/>
      <c r="U1734" s="402"/>
      <c r="V1734" s="402"/>
      <c r="W1734" s="402"/>
      <c r="X1734" s="402"/>
      <c r="Y1734" s="402"/>
      <c r="Z1734" s="402"/>
      <c r="AA1734" s="405"/>
      <c r="AB1734" s="405"/>
    </row>
    <row r="1735" ht="14.25" customHeight="1">
      <c r="A1735" s="497"/>
      <c r="B1735" s="402"/>
      <c r="C1735" s="402"/>
      <c r="D1735" s="402"/>
      <c r="E1735" s="402"/>
      <c r="F1735" s="403"/>
      <c r="G1735" s="403"/>
      <c r="H1735" s="402"/>
      <c r="I1735" s="402"/>
      <c r="J1735" s="402"/>
      <c r="K1735" s="402"/>
      <c r="L1735" s="402"/>
      <c r="M1735" s="402"/>
      <c r="N1735" s="402"/>
      <c r="O1735" s="402"/>
      <c r="P1735" s="402"/>
      <c r="Q1735" s="402"/>
      <c r="R1735" s="402"/>
      <c r="S1735" s="402"/>
      <c r="T1735" s="402"/>
      <c r="U1735" s="402"/>
      <c r="V1735" s="402"/>
      <c r="W1735" s="402"/>
      <c r="X1735" s="402"/>
      <c r="Y1735" s="402"/>
      <c r="Z1735" s="402"/>
      <c r="AA1735" s="405"/>
      <c r="AB1735" s="405"/>
    </row>
    <row r="1736" ht="14.25" customHeight="1">
      <c r="A1736" s="497"/>
      <c r="B1736" s="402"/>
      <c r="C1736" s="424" t="s">
        <v>797</v>
      </c>
      <c r="D1736" s="402"/>
      <c r="E1736" s="402"/>
      <c r="F1736" s="403"/>
      <c r="G1736" s="403"/>
      <c r="H1736" s="349"/>
      <c r="I1736" s="402"/>
      <c r="J1736" s="402"/>
      <c r="K1736" s="402"/>
      <c r="L1736" s="402"/>
      <c r="M1736" s="402"/>
      <c r="N1736" s="402"/>
      <c r="O1736" s="402"/>
      <c r="P1736" s="402"/>
      <c r="Q1736" s="402"/>
      <c r="R1736" s="402"/>
      <c r="S1736" s="402"/>
      <c r="T1736" s="402"/>
      <c r="U1736" s="402"/>
      <c r="V1736" s="402"/>
      <c r="W1736" s="402"/>
      <c r="X1736" s="402"/>
      <c r="Y1736" s="402"/>
      <c r="Z1736" s="402"/>
      <c r="AA1736" s="405"/>
      <c r="AB1736" s="405"/>
    </row>
    <row r="1737" ht="14.25" customHeight="1">
      <c r="A1737" s="497">
        <v>45535.0</v>
      </c>
      <c r="B1737" s="349" t="s">
        <v>777</v>
      </c>
      <c r="C1737" s="349" t="s">
        <v>778</v>
      </c>
      <c r="D1737" s="349" t="s">
        <v>54</v>
      </c>
      <c r="E1737" s="349" t="s">
        <v>1255</v>
      </c>
      <c r="F1737" s="413">
        <v>86500.0</v>
      </c>
      <c r="G1737" s="403"/>
      <c r="H1737" s="349" t="s">
        <v>2099</v>
      </c>
      <c r="I1737" s="402"/>
      <c r="J1737" s="402"/>
      <c r="K1737" s="402"/>
      <c r="L1737" s="402"/>
      <c r="M1737" s="402"/>
      <c r="N1737" s="402"/>
      <c r="O1737" s="402"/>
      <c r="P1737" s="402"/>
      <c r="Q1737" s="402"/>
      <c r="R1737" s="402"/>
      <c r="S1737" s="402"/>
      <c r="T1737" s="402"/>
      <c r="U1737" s="402"/>
      <c r="V1737" s="402"/>
      <c r="W1737" s="402"/>
      <c r="X1737" s="402"/>
      <c r="Y1737" s="402"/>
      <c r="Z1737" s="402"/>
      <c r="AA1737" s="405"/>
      <c r="AB1737" s="405"/>
    </row>
    <row r="1738" ht="14.25" customHeight="1">
      <c r="A1738" s="497">
        <v>45535.0</v>
      </c>
      <c r="B1738" s="349" t="s">
        <v>1181</v>
      </c>
      <c r="C1738" s="349" t="s">
        <v>1182</v>
      </c>
      <c r="D1738" s="349" t="s">
        <v>54</v>
      </c>
      <c r="E1738" s="349" t="s">
        <v>1255</v>
      </c>
      <c r="F1738" s="413">
        <v>250000.0</v>
      </c>
      <c r="G1738" s="403"/>
      <c r="H1738" s="349" t="s">
        <v>2100</v>
      </c>
      <c r="I1738" s="402"/>
      <c r="J1738" s="402"/>
      <c r="K1738" s="402"/>
      <c r="L1738" s="402"/>
      <c r="M1738" s="402"/>
      <c r="N1738" s="402"/>
      <c r="O1738" s="402"/>
      <c r="P1738" s="402"/>
      <c r="Q1738" s="402"/>
      <c r="R1738" s="402"/>
      <c r="S1738" s="402"/>
      <c r="T1738" s="402"/>
      <c r="U1738" s="402"/>
      <c r="V1738" s="402"/>
      <c r="W1738" s="402"/>
      <c r="X1738" s="402"/>
      <c r="Y1738" s="402"/>
      <c r="Z1738" s="402"/>
      <c r="AA1738" s="405"/>
      <c r="AB1738" s="405"/>
    </row>
    <row r="1739" ht="14.25" customHeight="1">
      <c r="A1739" s="497">
        <v>45535.0</v>
      </c>
      <c r="B1739" s="349" t="s">
        <v>2077</v>
      </c>
      <c r="C1739" s="349" t="s">
        <v>2078</v>
      </c>
      <c r="D1739" s="349" t="s">
        <v>27</v>
      </c>
      <c r="E1739" s="349" t="s">
        <v>2079</v>
      </c>
      <c r="F1739" s="413">
        <v>1000000.0</v>
      </c>
      <c r="G1739" s="403"/>
      <c r="H1739" s="349" t="s">
        <v>2101</v>
      </c>
      <c r="I1739" s="402"/>
      <c r="J1739" s="402"/>
      <c r="K1739" s="402"/>
      <c r="L1739" s="402"/>
      <c r="M1739" s="402"/>
      <c r="N1739" s="402"/>
      <c r="O1739" s="402"/>
      <c r="P1739" s="402"/>
      <c r="Q1739" s="402"/>
      <c r="R1739" s="402"/>
      <c r="S1739" s="402"/>
      <c r="T1739" s="402"/>
      <c r="U1739" s="402"/>
      <c r="V1739" s="402"/>
      <c r="W1739" s="402"/>
      <c r="X1739" s="402"/>
      <c r="Y1739" s="402"/>
      <c r="Z1739" s="402"/>
      <c r="AA1739" s="405"/>
      <c r="AB1739" s="405"/>
    </row>
    <row r="1740" ht="14.25" customHeight="1">
      <c r="A1740" s="497">
        <v>45535.0</v>
      </c>
      <c r="B1740" s="349" t="s">
        <v>1176</v>
      </c>
      <c r="C1740" s="349" t="s">
        <v>1366</v>
      </c>
      <c r="D1740" s="349" t="s">
        <v>666</v>
      </c>
      <c r="E1740" s="349" t="s">
        <v>1298</v>
      </c>
      <c r="F1740" s="413">
        <v>300000.0</v>
      </c>
      <c r="G1740" s="413">
        <v>150000.0</v>
      </c>
      <c r="H1740" s="349" t="s">
        <v>2102</v>
      </c>
      <c r="I1740" s="402"/>
      <c r="J1740" s="402"/>
      <c r="K1740" s="402"/>
      <c r="L1740" s="402"/>
      <c r="M1740" s="402"/>
      <c r="N1740" s="402"/>
      <c r="O1740" s="402"/>
      <c r="P1740" s="402"/>
      <c r="Q1740" s="402"/>
      <c r="R1740" s="402"/>
      <c r="S1740" s="402"/>
      <c r="T1740" s="402"/>
      <c r="U1740" s="402"/>
      <c r="V1740" s="402"/>
      <c r="W1740" s="402"/>
      <c r="X1740" s="402"/>
      <c r="Y1740" s="402"/>
      <c r="Z1740" s="402"/>
      <c r="AA1740" s="405"/>
      <c r="AB1740" s="405"/>
    </row>
    <row r="1741" ht="14.25" customHeight="1">
      <c r="A1741" s="402"/>
      <c r="B1741" s="402"/>
      <c r="C1741" s="402"/>
      <c r="D1741" s="402"/>
      <c r="E1741" s="402"/>
      <c r="F1741" s="403"/>
      <c r="G1741" s="403"/>
      <c r="H1741" s="402"/>
      <c r="I1741" s="402"/>
      <c r="J1741" s="402"/>
      <c r="K1741" s="402"/>
      <c r="L1741" s="402"/>
      <c r="M1741" s="402"/>
      <c r="N1741" s="402"/>
      <c r="O1741" s="402"/>
      <c r="P1741" s="402"/>
      <c r="Q1741" s="402"/>
      <c r="R1741" s="402"/>
      <c r="S1741" s="402"/>
      <c r="T1741" s="402"/>
      <c r="U1741" s="402"/>
      <c r="V1741" s="402"/>
      <c r="W1741" s="402"/>
      <c r="X1741" s="402"/>
      <c r="Y1741" s="402"/>
      <c r="Z1741" s="402"/>
      <c r="AA1741" s="405"/>
      <c r="AB1741" s="405"/>
    </row>
    <row r="1742" ht="14.25" customHeight="1">
      <c r="A1742" s="402"/>
      <c r="B1742" s="402"/>
      <c r="C1742" s="402"/>
      <c r="D1742" s="402"/>
      <c r="E1742" s="402"/>
      <c r="F1742" s="403"/>
      <c r="G1742" s="403"/>
      <c r="H1742" s="402"/>
      <c r="I1742" s="402"/>
      <c r="J1742" s="402"/>
      <c r="K1742" s="402"/>
      <c r="L1742" s="402"/>
      <c r="M1742" s="402"/>
      <c r="N1742" s="402"/>
      <c r="O1742" s="402"/>
      <c r="P1742" s="402"/>
      <c r="Q1742" s="402"/>
      <c r="R1742" s="402"/>
      <c r="S1742" s="402"/>
      <c r="T1742" s="402"/>
      <c r="U1742" s="402"/>
      <c r="V1742" s="402"/>
      <c r="W1742" s="402"/>
      <c r="X1742" s="402"/>
      <c r="Y1742" s="402"/>
      <c r="Z1742" s="402"/>
      <c r="AA1742" s="405"/>
      <c r="AB1742" s="405"/>
    </row>
    <row r="1743" ht="14.25" customHeight="1">
      <c r="A1743" s="402"/>
      <c r="B1743" s="402"/>
      <c r="C1743" s="402"/>
      <c r="D1743" s="402"/>
      <c r="E1743" s="402"/>
      <c r="F1743" s="403"/>
      <c r="G1743" s="403"/>
      <c r="H1743" s="402"/>
      <c r="I1743" s="402"/>
      <c r="J1743" s="402"/>
      <c r="K1743" s="402"/>
      <c r="L1743" s="402"/>
      <c r="M1743" s="402"/>
      <c r="N1743" s="402"/>
      <c r="O1743" s="402"/>
      <c r="P1743" s="402"/>
      <c r="Q1743" s="402"/>
      <c r="R1743" s="402"/>
      <c r="S1743" s="402"/>
      <c r="T1743" s="402"/>
      <c r="U1743" s="402"/>
      <c r="V1743" s="402"/>
      <c r="W1743" s="402"/>
      <c r="X1743" s="402"/>
      <c r="Y1743" s="402"/>
      <c r="Z1743" s="402"/>
      <c r="AA1743" s="405"/>
      <c r="AB1743" s="405"/>
    </row>
    <row r="1744" ht="14.25" customHeight="1">
      <c r="A1744" s="402"/>
      <c r="B1744" s="461">
        <v>45331.0</v>
      </c>
      <c r="C1744" s="402"/>
      <c r="D1744" s="402"/>
      <c r="E1744" s="402"/>
      <c r="F1744" s="403"/>
      <c r="G1744" s="403"/>
      <c r="H1744" s="402"/>
      <c r="I1744" s="402"/>
      <c r="J1744" s="402"/>
      <c r="K1744" s="402"/>
      <c r="L1744" s="402"/>
      <c r="M1744" s="402"/>
      <c r="N1744" s="402"/>
      <c r="O1744" s="402"/>
      <c r="P1744" s="402"/>
      <c r="Q1744" s="402"/>
      <c r="R1744" s="402"/>
      <c r="S1744" s="402"/>
      <c r="T1744" s="402"/>
      <c r="U1744" s="402"/>
      <c r="V1744" s="402"/>
      <c r="W1744" s="402"/>
      <c r="X1744" s="402"/>
      <c r="Y1744" s="402"/>
      <c r="Z1744" s="402"/>
      <c r="AA1744" s="405"/>
      <c r="AB1744" s="405"/>
    </row>
    <row r="1745" ht="14.25" customHeight="1">
      <c r="A1745" s="497">
        <v>45537.0</v>
      </c>
      <c r="B1745" s="349" t="s">
        <v>701</v>
      </c>
      <c r="C1745" s="349" t="s">
        <v>702</v>
      </c>
      <c r="D1745" s="349" t="s">
        <v>54</v>
      </c>
      <c r="E1745" s="349" t="s">
        <v>1098</v>
      </c>
      <c r="F1745" s="413">
        <v>16076.06</v>
      </c>
      <c r="G1745" s="413">
        <v>15000.0</v>
      </c>
      <c r="H1745" s="349" t="s">
        <v>2103</v>
      </c>
      <c r="I1745" s="402"/>
      <c r="J1745" s="402"/>
      <c r="K1745" s="402"/>
      <c r="L1745" s="402"/>
      <c r="M1745" s="402"/>
      <c r="N1745" s="402"/>
      <c r="O1745" s="402"/>
      <c r="P1745" s="402"/>
      <c r="Q1745" s="402"/>
      <c r="R1745" s="402"/>
      <c r="S1745" s="402"/>
      <c r="T1745" s="402"/>
      <c r="U1745" s="402"/>
      <c r="V1745" s="402"/>
      <c r="W1745" s="402"/>
      <c r="X1745" s="402"/>
      <c r="Y1745" s="402"/>
      <c r="Z1745" s="402"/>
      <c r="AA1745" s="405"/>
      <c r="AB1745" s="405"/>
    </row>
    <row r="1746" ht="14.25" customHeight="1">
      <c r="A1746" s="497">
        <v>45537.0</v>
      </c>
      <c r="B1746" s="349" t="s">
        <v>807</v>
      </c>
      <c r="C1746" s="349" t="s">
        <v>1888</v>
      </c>
      <c r="D1746" s="510" t="s">
        <v>54</v>
      </c>
      <c r="E1746" s="349" t="s">
        <v>1098</v>
      </c>
      <c r="F1746" s="413">
        <v>40233.73</v>
      </c>
      <c r="G1746" s="413">
        <v>17500.0</v>
      </c>
      <c r="H1746" s="349" t="s">
        <v>401</v>
      </c>
      <c r="I1746" s="402"/>
      <c r="J1746" s="402"/>
      <c r="K1746" s="402"/>
      <c r="L1746" s="402"/>
      <c r="M1746" s="402"/>
      <c r="N1746" s="402"/>
      <c r="O1746" s="402"/>
      <c r="P1746" s="402"/>
      <c r="Q1746" s="402"/>
      <c r="R1746" s="402"/>
      <c r="S1746" s="402"/>
      <c r="T1746" s="402"/>
      <c r="U1746" s="402"/>
      <c r="V1746" s="402"/>
      <c r="W1746" s="402"/>
      <c r="X1746" s="402"/>
      <c r="Y1746" s="402"/>
      <c r="Z1746" s="402"/>
      <c r="AA1746" s="405"/>
      <c r="AB1746" s="405"/>
    </row>
    <row r="1747" ht="14.25" customHeight="1">
      <c r="A1747" s="497">
        <v>45537.0</v>
      </c>
      <c r="B1747" s="565" t="s">
        <v>1096</v>
      </c>
      <c r="C1747" s="322" t="s">
        <v>1097</v>
      </c>
      <c r="D1747" s="536" t="s">
        <v>54</v>
      </c>
      <c r="E1747" s="415" t="s">
        <v>1098</v>
      </c>
      <c r="F1747" s="413">
        <v>30000.0</v>
      </c>
      <c r="G1747" s="403"/>
      <c r="H1747" s="562" t="s">
        <v>1916</v>
      </c>
      <c r="I1747" s="402"/>
      <c r="J1747" s="402"/>
      <c r="K1747" s="402"/>
      <c r="L1747" s="402"/>
      <c r="M1747" s="402"/>
      <c r="N1747" s="402"/>
      <c r="O1747" s="402"/>
      <c r="P1747" s="402"/>
      <c r="Q1747" s="402"/>
      <c r="R1747" s="402"/>
      <c r="S1747" s="402"/>
      <c r="T1747" s="402"/>
      <c r="U1747" s="402"/>
      <c r="V1747" s="402"/>
      <c r="W1747" s="402"/>
      <c r="X1747" s="402"/>
      <c r="Y1747" s="402"/>
      <c r="Z1747" s="402"/>
      <c r="AA1747" s="405"/>
      <c r="AB1747" s="405"/>
    </row>
    <row r="1748" ht="14.25" customHeight="1">
      <c r="A1748" s="497">
        <v>45537.0</v>
      </c>
      <c r="B1748" s="414" t="s">
        <v>1113</v>
      </c>
      <c r="C1748" s="415" t="s">
        <v>2061</v>
      </c>
      <c r="D1748" s="415" t="s">
        <v>1021</v>
      </c>
      <c r="E1748" s="415" t="s">
        <v>1098</v>
      </c>
      <c r="F1748" s="566">
        <v>170000.0</v>
      </c>
      <c r="G1748" s="403"/>
      <c r="H1748" s="349" t="s">
        <v>2062</v>
      </c>
      <c r="I1748" s="402"/>
      <c r="J1748" s="402"/>
      <c r="K1748" s="402"/>
      <c r="L1748" s="402"/>
      <c r="M1748" s="402"/>
      <c r="N1748" s="402"/>
      <c r="O1748" s="402"/>
      <c r="P1748" s="402"/>
      <c r="Q1748" s="402"/>
      <c r="R1748" s="402"/>
      <c r="S1748" s="402"/>
      <c r="T1748" s="402"/>
      <c r="U1748" s="402"/>
      <c r="V1748" s="402"/>
      <c r="W1748" s="402"/>
      <c r="X1748" s="402"/>
      <c r="Y1748" s="402"/>
      <c r="Z1748" s="402"/>
      <c r="AA1748" s="405"/>
      <c r="AB1748" s="405"/>
    </row>
    <row r="1749" ht="14.25" customHeight="1">
      <c r="A1749" s="497">
        <v>45537.0</v>
      </c>
      <c r="B1749" s="414" t="s">
        <v>1117</v>
      </c>
      <c r="C1749" s="415" t="s">
        <v>2061</v>
      </c>
      <c r="D1749" s="415" t="s">
        <v>1021</v>
      </c>
      <c r="E1749" s="415" t="s">
        <v>1098</v>
      </c>
      <c r="F1749" s="566">
        <v>170000.0</v>
      </c>
      <c r="G1749" s="403"/>
      <c r="H1749" s="349" t="s">
        <v>2062</v>
      </c>
      <c r="I1749" s="402"/>
      <c r="J1749" s="402"/>
      <c r="K1749" s="402"/>
      <c r="L1749" s="402"/>
      <c r="M1749" s="402"/>
      <c r="N1749" s="402"/>
      <c r="O1749" s="402"/>
      <c r="P1749" s="402"/>
      <c r="Q1749" s="402"/>
      <c r="R1749" s="402"/>
      <c r="S1749" s="402"/>
      <c r="T1749" s="402"/>
      <c r="U1749" s="402"/>
      <c r="V1749" s="402"/>
      <c r="W1749" s="402"/>
      <c r="X1749" s="402"/>
      <c r="Y1749" s="402"/>
      <c r="Z1749" s="402"/>
      <c r="AA1749" s="405"/>
      <c r="AB1749" s="405"/>
    </row>
    <row r="1750" ht="14.25" customHeight="1">
      <c r="A1750" s="497">
        <v>45537.0</v>
      </c>
      <c r="B1750" s="414" t="s">
        <v>729</v>
      </c>
      <c r="C1750" s="415" t="s">
        <v>995</v>
      </c>
      <c r="D1750" s="415" t="s">
        <v>54</v>
      </c>
      <c r="E1750" s="415" t="s">
        <v>1098</v>
      </c>
      <c r="F1750" s="566">
        <v>233063.2</v>
      </c>
      <c r="G1750" s="403"/>
      <c r="H1750" s="349" t="s">
        <v>2104</v>
      </c>
      <c r="I1750" s="402"/>
      <c r="J1750" s="402"/>
      <c r="K1750" s="402"/>
      <c r="L1750" s="402"/>
      <c r="M1750" s="402"/>
      <c r="N1750" s="402"/>
      <c r="O1750" s="402"/>
      <c r="P1750" s="402"/>
      <c r="Q1750" s="402"/>
      <c r="R1750" s="402"/>
      <c r="S1750" s="402"/>
      <c r="T1750" s="402"/>
      <c r="U1750" s="402"/>
      <c r="V1750" s="402"/>
      <c r="W1750" s="402"/>
      <c r="X1750" s="402"/>
      <c r="Y1750" s="402"/>
      <c r="Z1750" s="402"/>
      <c r="AA1750" s="405"/>
      <c r="AB1750" s="405"/>
    </row>
    <row r="1751" ht="14.25" customHeight="1">
      <c r="A1751" s="497">
        <v>45537.0</v>
      </c>
      <c r="B1751" s="518" t="s">
        <v>1200</v>
      </c>
      <c r="C1751" s="519" t="s">
        <v>1201</v>
      </c>
      <c r="D1751" s="415" t="s">
        <v>54</v>
      </c>
      <c r="E1751" s="415" t="s">
        <v>1098</v>
      </c>
      <c r="F1751" s="566">
        <v>12827.0</v>
      </c>
      <c r="G1751" s="413">
        <v>12834.0</v>
      </c>
      <c r="H1751" s="349" t="s">
        <v>401</v>
      </c>
      <c r="I1751" s="402"/>
      <c r="J1751" s="402"/>
      <c r="K1751" s="402"/>
      <c r="L1751" s="402"/>
      <c r="M1751" s="402"/>
      <c r="N1751" s="402"/>
      <c r="O1751" s="402"/>
      <c r="P1751" s="402"/>
      <c r="Q1751" s="402"/>
      <c r="R1751" s="402"/>
      <c r="S1751" s="402"/>
      <c r="T1751" s="402"/>
      <c r="U1751" s="402"/>
      <c r="V1751" s="402"/>
      <c r="W1751" s="402"/>
      <c r="X1751" s="402"/>
      <c r="Y1751" s="402"/>
      <c r="Z1751" s="402"/>
      <c r="AA1751" s="405"/>
      <c r="AB1751" s="405"/>
    </row>
    <row r="1752" ht="14.25" customHeight="1">
      <c r="A1752" s="497">
        <v>45537.0</v>
      </c>
      <c r="B1752" s="518" t="s">
        <v>1104</v>
      </c>
      <c r="C1752" s="519" t="s">
        <v>1105</v>
      </c>
      <c r="D1752" s="519" t="s">
        <v>54</v>
      </c>
      <c r="E1752" s="415" t="s">
        <v>1098</v>
      </c>
      <c r="F1752" s="566">
        <v>17110.44</v>
      </c>
      <c r="G1752" s="413">
        <v>17110.0</v>
      </c>
      <c r="H1752" s="349" t="s">
        <v>401</v>
      </c>
      <c r="I1752" s="402"/>
      <c r="J1752" s="402"/>
      <c r="K1752" s="402"/>
      <c r="L1752" s="402"/>
      <c r="M1752" s="402"/>
      <c r="N1752" s="402"/>
      <c r="O1752" s="402"/>
      <c r="P1752" s="402"/>
      <c r="Q1752" s="402"/>
      <c r="R1752" s="402"/>
      <c r="S1752" s="402"/>
      <c r="T1752" s="402"/>
      <c r="U1752" s="402"/>
      <c r="V1752" s="402"/>
      <c r="W1752" s="402"/>
      <c r="X1752" s="402"/>
      <c r="Y1752" s="402"/>
      <c r="Z1752" s="402"/>
      <c r="AA1752" s="405"/>
      <c r="AB1752" s="405"/>
    </row>
    <row r="1753" ht="14.25" customHeight="1">
      <c r="A1753" s="497">
        <v>45537.0</v>
      </c>
      <c r="B1753" s="518" t="s">
        <v>1102</v>
      </c>
      <c r="C1753" s="519" t="s">
        <v>1103</v>
      </c>
      <c r="D1753" s="519" t="s">
        <v>54</v>
      </c>
      <c r="E1753" s="415" t="s">
        <v>1098</v>
      </c>
      <c r="F1753" s="566">
        <v>314270.22</v>
      </c>
      <c r="G1753" s="413">
        <v>355900.0</v>
      </c>
      <c r="H1753" s="349" t="s">
        <v>401</v>
      </c>
      <c r="I1753" s="402"/>
      <c r="J1753" s="402"/>
      <c r="K1753" s="402"/>
      <c r="L1753" s="402"/>
      <c r="M1753" s="402"/>
      <c r="N1753" s="402"/>
      <c r="O1753" s="402"/>
      <c r="P1753" s="402"/>
      <c r="Q1753" s="402"/>
      <c r="R1753" s="402"/>
      <c r="S1753" s="402"/>
      <c r="T1753" s="402"/>
      <c r="U1753" s="402"/>
      <c r="V1753" s="402"/>
      <c r="W1753" s="402"/>
      <c r="X1753" s="402"/>
      <c r="Y1753" s="402"/>
      <c r="Z1753" s="402"/>
      <c r="AA1753" s="405"/>
      <c r="AB1753" s="405"/>
    </row>
    <row r="1754" ht="14.25" customHeight="1">
      <c r="A1754" s="497">
        <v>45537.0</v>
      </c>
      <c r="B1754" s="410" t="s">
        <v>1090</v>
      </c>
      <c r="C1754" s="579" t="s">
        <v>1118</v>
      </c>
      <c r="D1754" s="411" t="s">
        <v>59</v>
      </c>
      <c r="E1754" s="415" t="s">
        <v>1098</v>
      </c>
      <c r="F1754" s="580">
        <v>124107.0</v>
      </c>
      <c r="G1754" s="413">
        <v>124107.0</v>
      </c>
      <c r="H1754" s="349" t="s">
        <v>1119</v>
      </c>
      <c r="I1754" s="402"/>
      <c r="J1754" s="402"/>
      <c r="K1754" s="402"/>
      <c r="L1754" s="402"/>
      <c r="M1754" s="402"/>
      <c r="N1754" s="402"/>
      <c r="O1754" s="402"/>
      <c r="P1754" s="402"/>
      <c r="Q1754" s="402"/>
      <c r="R1754" s="402"/>
      <c r="S1754" s="402"/>
      <c r="T1754" s="402"/>
      <c r="U1754" s="402"/>
      <c r="V1754" s="402"/>
      <c r="W1754" s="402"/>
      <c r="X1754" s="402"/>
      <c r="Y1754" s="402"/>
      <c r="Z1754" s="402"/>
      <c r="AA1754" s="405"/>
      <c r="AB1754" s="405"/>
    </row>
    <row r="1755" ht="14.25" customHeight="1">
      <c r="A1755" s="497">
        <v>45537.0</v>
      </c>
      <c r="B1755" s="410" t="s">
        <v>1955</v>
      </c>
      <c r="C1755" s="415" t="s">
        <v>1956</v>
      </c>
      <c r="D1755" s="411" t="s">
        <v>67</v>
      </c>
      <c r="E1755" s="415" t="s">
        <v>1098</v>
      </c>
      <c r="F1755" s="566">
        <v>100000.0</v>
      </c>
      <c r="G1755" s="403"/>
      <c r="H1755" s="349" t="s">
        <v>2105</v>
      </c>
      <c r="I1755" s="402"/>
      <c r="J1755" s="402"/>
      <c r="K1755" s="402"/>
      <c r="L1755" s="402"/>
      <c r="M1755" s="402"/>
      <c r="N1755" s="402"/>
      <c r="O1755" s="402"/>
      <c r="P1755" s="402"/>
      <c r="Q1755" s="402"/>
      <c r="R1755" s="402"/>
      <c r="S1755" s="402"/>
      <c r="T1755" s="402"/>
      <c r="U1755" s="402"/>
      <c r="V1755" s="402"/>
      <c r="W1755" s="402"/>
      <c r="X1755" s="402"/>
      <c r="Y1755" s="402"/>
      <c r="Z1755" s="402"/>
      <c r="AA1755" s="405"/>
      <c r="AB1755" s="405"/>
    </row>
    <row r="1756" ht="14.25" customHeight="1">
      <c r="A1756" s="497">
        <v>45537.0</v>
      </c>
      <c r="B1756" s="349" t="s">
        <v>1622</v>
      </c>
      <c r="C1756" s="519" t="s">
        <v>730</v>
      </c>
      <c r="D1756" s="349" t="s">
        <v>75</v>
      </c>
      <c r="E1756" s="415" t="s">
        <v>1153</v>
      </c>
      <c r="F1756" s="566">
        <v>500000.0</v>
      </c>
      <c r="G1756" s="403"/>
      <c r="H1756" s="349" t="s">
        <v>2106</v>
      </c>
      <c r="I1756" s="402"/>
      <c r="J1756" s="402"/>
      <c r="K1756" s="402"/>
      <c r="L1756" s="402"/>
      <c r="M1756" s="402"/>
      <c r="N1756" s="402"/>
      <c r="O1756" s="402"/>
      <c r="P1756" s="402"/>
      <c r="Q1756" s="402"/>
      <c r="R1756" s="402"/>
      <c r="S1756" s="402"/>
      <c r="T1756" s="402"/>
      <c r="U1756" s="402"/>
      <c r="V1756" s="402"/>
      <c r="W1756" s="402"/>
      <c r="X1756" s="402"/>
      <c r="Y1756" s="402"/>
      <c r="Z1756" s="405"/>
      <c r="AA1756" s="405"/>
    </row>
    <row r="1757" ht="14.25" customHeight="1">
      <c r="A1757" s="497">
        <v>45537.0</v>
      </c>
      <c r="B1757" s="414" t="s">
        <v>825</v>
      </c>
      <c r="C1757" s="519" t="s">
        <v>747</v>
      </c>
      <c r="D1757" s="349" t="s">
        <v>54</v>
      </c>
      <c r="E1757" s="415" t="s">
        <v>1153</v>
      </c>
      <c r="F1757" s="559">
        <v>136961.8</v>
      </c>
      <c r="G1757" s="413"/>
      <c r="H1757" s="349" t="s">
        <v>2107</v>
      </c>
      <c r="I1757" s="402"/>
      <c r="J1757" s="402"/>
      <c r="K1757" s="402"/>
      <c r="L1757" s="402"/>
      <c r="M1757" s="402"/>
      <c r="N1757" s="402"/>
      <c r="O1757" s="402"/>
      <c r="P1757" s="402"/>
      <c r="Q1757" s="402"/>
      <c r="R1757" s="402"/>
      <c r="S1757" s="402"/>
      <c r="T1757" s="402"/>
      <c r="U1757" s="402"/>
      <c r="V1757" s="402"/>
      <c r="W1757" s="402"/>
      <c r="X1757" s="402"/>
      <c r="Y1757" s="402"/>
      <c r="Z1757" s="402"/>
      <c r="AA1757" s="405"/>
      <c r="AB1757" s="405"/>
    </row>
    <row r="1758" ht="14.25" customHeight="1">
      <c r="A1758" s="497">
        <v>45537.0</v>
      </c>
      <c r="B1758" s="349" t="s">
        <v>1961</v>
      </c>
      <c r="C1758" s="349" t="s">
        <v>787</v>
      </c>
      <c r="D1758" s="349" t="s">
        <v>75</v>
      </c>
      <c r="E1758" s="349" t="s">
        <v>1153</v>
      </c>
      <c r="F1758" s="559">
        <v>45457.87</v>
      </c>
      <c r="G1758" s="403"/>
      <c r="H1758" s="349" t="s">
        <v>2094</v>
      </c>
      <c r="I1758" s="402"/>
      <c r="J1758" s="402"/>
      <c r="K1758" s="402"/>
      <c r="L1758" s="402"/>
      <c r="M1758" s="402"/>
      <c r="N1758" s="402"/>
      <c r="O1758" s="402"/>
      <c r="P1758" s="402"/>
      <c r="Q1758" s="402"/>
      <c r="R1758" s="402"/>
      <c r="S1758" s="402"/>
      <c r="T1758" s="402"/>
      <c r="U1758" s="402"/>
      <c r="V1758" s="402"/>
      <c r="W1758" s="402"/>
      <c r="X1758" s="402"/>
      <c r="Y1758" s="402"/>
      <c r="Z1758" s="402"/>
      <c r="AA1758" s="405"/>
      <c r="AB1758" s="405"/>
    </row>
    <row r="1759" ht="14.25" customHeight="1">
      <c r="A1759" s="497">
        <v>45537.0</v>
      </c>
      <c r="B1759" s="343" t="s">
        <v>2108</v>
      </c>
      <c r="C1759" s="344" t="s">
        <v>1209</v>
      </c>
      <c r="D1759" s="344" t="s">
        <v>75</v>
      </c>
      <c r="E1759" s="349" t="s">
        <v>1153</v>
      </c>
      <c r="F1759" s="413">
        <v>57500.0</v>
      </c>
      <c r="G1759" s="413">
        <v>57500.0</v>
      </c>
      <c r="H1759" s="349" t="s">
        <v>267</v>
      </c>
      <c r="I1759" s="402"/>
      <c r="J1759" s="402"/>
      <c r="K1759" s="402"/>
      <c r="L1759" s="402"/>
      <c r="M1759" s="402"/>
      <c r="N1759" s="402"/>
      <c r="O1759" s="402"/>
      <c r="P1759" s="402"/>
      <c r="Q1759" s="402"/>
      <c r="R1759" s="402"/>
      <c r="S1759" s="402"/>
      <c r="T1759" s="402"/>
      <c r="U1759" s="402"/>
      <c r="V1759" s="402"/>
      <c r="W1759" s="402"/>
      <c r="X1759" s="402"/>
      <c r="Y1759" s="402"/>
      <c r="Z1759" s="402"/>
      <c r="AA1759" s="405"/>
      <c r="AB1759" s="405"/>
    </row>
    <row r="1760" ht="14.25" customHeight="1">
      <c r="A1760" s="497">
        <v>45537.0</v>
      </c>
      <c r="B1760" s="518" t="s">
        <v>1568</v>
      </c>
      <c r="C1760" s="415" t="s">
        <v>2109</v>
      </c>
      <c r="D1760" s="415" t="s">
        <v>2110</v>
      </c>
      <c r="E1760" s="349" t="s">
        <v>1153</v>
      </c>
      <c r="F1760" s="566">
        <v>156608.0</v>
      </c>
      <c r="G1760" s="413"/>
      <c r="H1760" s="349" t="s">
        <v>2111</v>
      </c>
      <c r="I1760" s="402"/>
      <c r="J1760" s="402"/>
      <c r="K1760" s="402"/>
      <c r="L1760" s="402"/>
      <c r="M1760" s="402"/>
      <c r="N1760" s="402"/>
      <c r="O1760" s="402"/>
      <c r="P1760" s="402"/>
      <c r="Q1760" s="402"/>
      <c r="R1760" s="402"/>
      <c r="S1760" s="402"/>
      <c r="T1760" s="402"/>
      <c r="U1760" s="402"/>
      <c r="V1760" s="402"/>
      <c r="W1760" s="402"/>
      <c r="X1760" s="402"/>
      <c r="Y1760" s="402"/>
      <c r="Z1760" s="402"/>
      <c r="AA1760" s="405"/>
      <c r="AB1760" s="405"/>
    </row>
    <row r="1761" ht="14.25" customHeight="1">
      <c r="A1761" s="497">
        <v>45537.0</v>
      </c>
      <c r="B1761" s="581" t="s">
        <v>825</v>
      </c>
      <c r="C1761" s="349" t="s">
        <v>2112</v>
      </c>
      <c r="D1761" s="530" t="s">
        <v>54</v>
      </c>
      <c r="E1761" s="349" t="s">
        <v>1153</v>
      </c>
      <c r="F1761" s="25">
        <v>278877.0</v>
      </c>
      <c r="G1761" s="413"/>
      <c r="H1761" s="349" t="s">
        <v>2111</v>
      </c>
      <c r="I1761" s="402"/>
      <c r="J1761" s="402"/>
      <c r="K1761" s="402"/>
      <c r="L1761" s="402"/>
      <c r="M1761" s="402"/>
      <c r="N1761" s="402"/>
      <c r="O1761" s="402"/>
      <c r="P1761" s="402"/>
      <c r="Q1761" s="402"/>
      <c r="R1761" s="402"/>
      <c r="S1761" s="402"/>
      <c r="T1761" s="402"/>
      <c r="U1761" s="402"/>
      <c r="V1761" s="402"/>
      <c r="W1761" s="402"/>
      <c r="X1761" s="402"/>
      <c r="Y1761" s="402"/>
      <c r="Z1761" s="402"/>
      <c r="AA1761" s="405"/>
      <c r="AB1761" s="405"/>
    </row>
    <row r="1762" ht="14.25" customHeight="1">
      <c r="A1762" s="497">
        <v>45537.0</v>
      </c>
      <c r="B1762" s="417" t="s">
        <v>1141</v>
      </c>
      <c r="C1762" s="344" t="s">
        <v>1142</v>
      </c>
      <c r="D1762" s="344" t="s">
        <v>54</v>
      </c>
      <c r="E1762" s="349" t="s">
        <v>1139</v>
      </c>
      <c r="F1762" s="413">
        <v>15500.0</v>
      </c>
      <c r="G1762" s="413">
        <v>30000.0</v>
      </c>
      <c r="H1762" s="349" t="s">
        <v>267</v>
      </c>
      <c r="I1762" s="402"/>
      <c r="J1762" s="402"/>
      <c r="K1762" s="402"/>
      <c r="L1762" s="402"/>
      <c r="M1762" s="402"/>
      <c r="N1762" s="402"/>
      <c r="O1762" s="402"/>
      <c r="P1762" s="402"/>
      <c r="Q1762" s="402"/>
      <c r="R1762" s="402"/>
      <c r="S1762" s="402"/>
      <c r="T1762" s="402"/>
      <c r="U1762" s="402"/>
      <c r="V1762" s="402"/>
      <c r="W1762" s="402"/>
      <c r="X1762" s="402"/>
      <c r="Y1762" s="402"/>
      <c r="Z1762" s="402"/>
      <c r="AA1762" s="405"/>
      <c r="AB1762" s="405"/>
    </row>
    <row r="1763" ht="14.25" customHeight="1">
      <c r="A1763" s="497">
        <v>45537.0</v>
      </c>
      <c r="B1763" s="578" t="s">
        <v>918</v>
      </c>
      <c r="C1763" s="536" t="s">
        <v>919</v>
      </c>
      <c r="D1763" s="536" t="s">
        <v>54</v>
      </c>
      <c r="E1763" s="349" t="s">
        <v>1139</v>
      </c>
      <c r="F1763" s="413">
        <v>22847.0</v>
      </c>
      <c r="G1763" s="413">
        <v>0.0</v>
      </c>
      <c r="H1763" s="349" t="s">
        <v>2113</v>
      </c>
      <c r="I1763" s="402"/>
      <c r="J1763" s="402"/>
      <c r="K1763" s="402"/>
      <c r="L1763" s="402"/>
      <c r="M1763" s="402"/>
      <c r="N1763" s="402"/>
      <c r="O1763" s="402"/>
      <c r="P1763" s="402"/>
      <c r="Q1763" s="402"/>
      <c r="R1763" s="402"/>
      <c r="S1763" s="402"/>
      <c r="T1763" s="402"/>
      <c r="U1763" s="402"/>
      <c r="V1763" s="402"/>
      <c r="W1763" s="402"/>
      <c r="X1763" s="402"/>
      <c r="Y1763" s="402"/>
      <c r="Z1763" s="402"/>
      <c r="AA1763" s="405"/>
      <c r="AB1763" s="405"/>
    </row>
    <row r="1764" ht="14.25" customHeight="1">
      <c r="A1764" s="497">
        <v>45537.0</v>
      </c>
      <c r="B1764" s="535" t="s">
        <v>783</v>
      </c>
      <c r="C1764" s="536" t="s">
        <v>784</v>
      </c>
      <c r="D1764" s="536" t="s">
        <v>54</v>
      </c>
      <c r="E1764" s="349" t="s">
        <v>1139</v>
      </c>
      <c r="F1764" s="413">
        <v>130000.0</v>
      </c>
      <c r="G1764" s="413">
        <v>0.0</v>
      </c>
      <c r="H1764" s="349" t="s">
        <v>2114</v>
      </c>
      <c r="I1764" s="402"/>
      <c r="J1764" s="402"/>
      <c r="K1764" s="402"/>
      <c r="L1764" s="402"/>
      <c r="M1764" s="402"/>
      <c r="N1764" s="402"/>
      <c r="O1764" s="402"/>
      <c r="P1764" s="402"/>
      <c r="Q1764" s="402"/>
      <c r="R1764" s="402"/>
      <c r="S1764" s="402"/>
      <c r="T1764" s="402"/>
      <c r="U1764" s="402"/>
      <c r="V1764" s="402"/>
      <c r="W1764" s="402"/>
      <c r="X1764" s="402"/>
      <c r="Y1764" s="402"/>
      <c r="Z1764" s="402"/>
      <c r="AA1764" s="405"/>
      <c r="AB1764" s="405"/>
    </row>
    <row r="1765" ht="14.25" customHeight="1">
      <c r="A1765" s="497">
        <v>45537.0</v>
      </c>
      <c r="B1765" s="535" t="s">
        <v>915</v>
      </c>
      <c r="C1765" s="536" t="s">
        <v>916</v>
      </c>
      <c r="D1765" s="536" t="s">
        <v>54</v>
      </c>
      <c r="E1765" s="349" t="s">
        <v>1139</v>
      </c>
      <c r="F1765" s="573">
        <v>50971.0</v>
      </c>
      <c r="G1765" s="413">
        <v>0.0</v>
      </c>
      <c r="H1765" s="349" t="s">
        <v>2115</v>
      </c>
      <c r="I1765" s="402"/>
      <c r="J1765" s="402"/>
      <c r="K1765" s="402"/>
      <c r="L1765" s="402"/>
      <c r="M1765" s="402"/>
      <c r="N1765" s="402"/>
      <c r="O1765" s="402"/>
      <c r="P1765" s="402"/>
      <c r="Q1765" s="402"/>
      <c r="R1765" s="402"/>
      <c r="S1765" s="402"/>
      <c r="T1765" s="402"/>
      <c r="U1765" s="402"/>
      <c r="V1765" s="402"/>
      <c r="W1765" s="402"/>
      <c r="X1765" s="402"/>
      <c r="Y1765" s="402"/>
      <c r="Z1765" s="402"/>
      <c r="AA1765" s="405"/>
      <c r="AB1765" s="405"/>
    </row>
    <row r="1766" ht="14.25" customHeight="1">
      <c r="A1766" s="497">
        <v>45537.0</v>
      </c>
      <c r="B1766" s="518" t="s">
        <v>1012</v>
      </c>
      <c r="C1766" s="519" t="s">
        <v>1013</v>
      </c>
      <c r="D1766" s="519" t="s">
        <v>75</v>
      </c>
      <c r="E1766" s="349" t="s">
        <v>1139</v>
      </c>
      <c r="F1766" s="489">
        <v>194829.4</v>
      </c>
      <c r="G1766" s="413">
        <v>0.0</v>
      </c>
      <c r="H1766" s="349" t="s">
        <v>2116</v>
      </c>
      <c r="I1766" s="402"/>
      <c r="J1766" s="402"/>
      <c r="K1766" s="402"/>
      <c r="L1766" s="402"/>
      <c r="M1766" s="402"/>
      <c r="N1766" s="402"/>
      <c r="O1766" s="402"/>
      <c r="P1766" s="402"/>
      <c r="Q1766" s="402"/>
      <c r="R1766" s="402"/>
      <c r="S1766" s="402"/>
      <c r="T1766" s="402"/>
      <c r="U1766" s="402"/>
      <c r="V1766" s="402"/>
      <c r="W1766" s="402"/>
      <c r="X1766" s="402"/>
      <c r="Y1766" s="402"/>
      <c r="Z1766" s="402"/>
      <c r="AA1766" s="405"/>
      <c r="AB1766" s="405"/>
    </row>
    <row r="1767" ht="14.25" customHeight="1">
      <c r="A1767" s="497">
        <v>45537.0</v>
      </c>
      <c r="B1767" s="349" t="s">
        <v>1648</v>
      </c>
      <c r="C1767" s="349" t="s">
        <v>1013</v>
      </c>
      <c r="D1767" s="349" t="s">
        <v>59</v>
      </c>
      <c r="E1767" s="349" t="s">
        <v>1139</v>
      </c>
      <c r="F1767" s="413">
        <v>303633.15</v>
      </c>
      <c r="G1767" s="413">
        <v>0.0</v>
      </c>
      <c r="H1767" s="349" t="s">
        <v>2116</v>
      </c>
      <c r="I1767" s="402"/>
      <c r="J1767" s="402"/>
      <c r="K1767" s="402"/>
      <c r="L1767" s="402"/>
      <c r="M1767" s="402"/>
      <c r="N1767" s="402"/>
      <c r="O1767" s="402"/>
      <c r="P1767" s="402"/>
      <c r="Q1767" s="402"/>
      <c r="R1767" s="402"/>
      <c r="S1767" s="402"/>
      <c r="T1767" s="402"/>
      <c r="U1767" s="402"/>
      <c r="V1767" s="402"/>
      <c r="W1767" s="402"/>
      <c r="X1767" s="402"/>
      <c r="Y1767" s="402"/>
      <c r="Z1767" s="402"/>
      <c r="AA1767" s="405"/>
      <c r="AB1767" s="405"/>
    </row>
    <row r="1768" ht="14.25" customHeight="1">
      <c r="A1768" s="497">
        <v>45537.0</v>
      </c>
      <c r="B1768" s="414" t="s">
        <v>735</v>
      </c>
      <c r="C1768" s="415" t="s">
        <v>2054</v>
      </c>
      <c r="D1768" s="415" t="s">
        <v>54</v>
      </c>
      <c r="E1768" s="349" t="s">
        <v>1139</v>
      </c>
      <c r="F1768" s="489">
        <v>2175.0</v>
      </c>
      <c r="G1768" s="413">
        <v>0.0</v>
      </c>
      <c r="H1768" s="349" t="s">
        <v>2117</v>
      </c>
      <c r="I1768" s="402"/>
      <c r="J1768" s="402"/>
      <c r="K1768" s="402"/>
      <c r="L1768" s="402"/>
      <c r="M1768" s="402"/>
      <c r="N1768" s="402"/>
      <c r="O1768" s="402"/>
      <c r="P1768" s="402"/>
      <c r="Q1768" s="402"/>
      <c r="R1768" s="402"/>
      <c r="S1768" s="402"/>
      <c r="T1768" s="402"/>
      <c r="U1768" s="402"/>
      <c r="V1768" s="402"/>
      <c r="W1768" s="402"/>
      <c r="X1768" s="402"/>
      <c r="Y1768" s="402"/>
      <c r="Z1768" s="402"/>
      <c r="AA1768" s="405"/>
      <c r="AB1768" s="405"/>
    </row>
    <row r="1769" ht="14.25" customHeight="1">
      <c r="A1769" s="497">
        <v>45537.0</v>
      </c>
      <c r="B1769" s="518" t="s">
        <v>781</v>
      </c>
      <c r="C1769" s="519" t="s">
        <v>782</v>
      </c>
      <c r="D1769" s="519" t="s">
        <v>54</v>
      </c>
      <c r="E1769" s="349" t="s">
        <v>1139</v>
      </c>
      <c r="F1769" s="489">
        <v>10420.98</v>
      </c>
      <c r="G1769" s="413">
        <v>5000.0</v>
      </c>
      <c r="H1769" s="349" t="s">
        <v>2118</v>
      </c>
      <c r="I1769" s="402"/>
      <c r="J1769" s="402"/>
      <c r="K1769" s="402"/>
      <c r="L1769" s="402"/>
      <c r="M1769" s="402"/>
      <c r="N1769" s="402"/>
      <c r="O1769" s="402"/>
      <c r="P1769" s="402"/>
      <c r="Q1769" s="402"/>
      <c r="R1769" s="402"/>
      <c r="S1769" s="402"/>
      <c r="T1769" s="402"/>
      <c r="U1769" s="402"/>
      <c r="V1769" s="402"/>
      <c r="W1769" s="402"/>
      <c r="X1769" s="402"/>
      <c r="Y1769" s="402"/>
      <c r="Z1769" s="402"/>
      <c r="AA1769" s="405"/>
      <c r="AB1769" s="405"/>
    </row>
    <row r="1770" ht="14.25" customHeight="1">
      <c r="A1770" s="497">
        <v>45537.0</v>
      </c>
      <c r="B1770" s="410" t="s">
        <v>2031</v>
      </c>
      <c r="C1770" s="411" t="s">
        <v>2093</v>
      </c>
      <c r="D1770" s="519" t="s">
        <v>54</v>
      </c>
      <c r="E1770" s="349" t="s">
        <v>1168</v>
      </c>
      <c r="F1770" s="489">
        <v>1103.65</v>
      </c>
      <c r="G1770" s="413">
        <v>0.0</v>
      </c>
      <c r="H1770" s="349" t="s">
        <v>2094</v>
      </c>
      <c r="I1770" s="402"/>
      <c r="J1770" s="402"/>
      <c r="K1770" s="402"/>
      <c r="L1770" s="402"/>
      <c r="M1770" s="402"/>
      <c r="N1770" s="402"/>
      <c r="O1770" s="402"/>
      <c r="P1770" s="402"/>
      <c r="Q1770" s="402"/>
      <c r="R1770" s="402"/>
      <c r="S1770" s="402"/>
      <c r="T1770" s="402"/>
      <c r="U1770" s="402"/>
      <c r="V1770" s="402"/>
      <c r="W1770" s="402"/>
      <c r="X1770" s="402"/>
      <c r="Y1770" s="402"/>
      <c r="Z1770" s="402"/>
      <c r="AA1770" s="405"/>
      <c r="AB1770" s="405"/>
    </row>
    <row r="1771" ht="14.25" customHeight="1">
      <c r="A1771" s="497">
        <v>45537.0</v>
      </c>
      <c r="B1771" s="349" t="s">
        <v>1673</v>
      </c>
      <c r="C1771" s="349" t="s">
        <v>1674</v>
      </c>
      <c r="D1771" s="519" t="s">
        <v>54</v>
      </c>
      <c r="E1771" s="349" t="s">
        <v>1168</v>
      </c>
      <c r="F1771" s="413">
        <v>58919.23</v>
      </c>
      <c r="G1771" s="413">
        <v>0.0</v>
      </c>
      <c r="H1771" s="539" t="s">
        <v>2119</v>
      </c>
      <c r="I1771" s="402"/>
      <c r="J1771" s="402"/>
      <c r="K1771" s="402"/>
      <c r="L1771" s="402"/>
      <c r="M1771" s="402"/>
      <c r="N1771" s="402"/>
      <c r="O1771" s="402"/>
      <c r="P1771" s="402"/>
      <c r="Q1771" s="402"/>
      <c r="R1771" s="402"/>
      <c r="S1771" s="402"/>
      <c r="T1771" s="402"/>
      <c r="U1771" s="402"/>
      <c r="V1771" s="402"/>
      <c r="W1771" s="402"/>
      <c r="X1771" s="402"/>
      <c r="Y1771" s="402"/>
      <c r="Z1771" s="402"/>
      <c r="AA1771" s="405"/>
      <c r="AB1771" s="405"/>
    </row>
    <row r="1772" ht="14.25" customHeight="1">
      <c r="A1772" s="497">
        <v>45537.0</v>
      </c>
      <c r="B1772" s="349" t="s">
        <v>698</v>
      </c>
      <c r="C1772" s="349" t="s">
        <v>1167</v>
      </c>
      <c r="D1772" s="516" t="s">
        <v>54</v>
      </c>
      <c r="E1772" s="349" t="s">
        <v>1168</v>
      </c>
      <c r="F1772" s="413">
        <v>59680.83</v>
      </c>
      <c r="G1772" s="413">
        <v>0.0</v>
      </c>
      <c r="H1772" s="349" t="s">
        <v>2120</v>
      </c>
      <c r="I1772" s="402"/>
      <c r="J1772" s="402"/>
      <c r="K1772" s="402"/>
      <c r="L1772" s="402"/>
      <c r="M1772" s="402"/>
      <c r="N1772" s="402"/>
      <c r="O1772" s="402"/>
      <c r="P1772" s="402"/>
      <c r="Q1772" s="402"/>
      <c r="R1772" s="402"/>
      <c r="S1772" s="402"/>
      <c r="T1772" s="402"/>
      <c r="U1772" s="402"/>
      <c r="V1772" s="402"/>
      <c r="W1772" s="402"/>
      <c r="X1772" s="402"/>
      <c r="Y1772" s="402"/>
      <c r="Z1772" s="402"/>
      <c r="AA1772" s="405"/>
      <c r="AB1772" s="405"/>
    </row>
    <row r="1773" ht="14.25" customHeight="1">
      <c r="A1773" s="497">
        <v>45537.0</v>
      </c>
      <c r="B1773" s="349" t="s">
        <v>997</v>
      </c>
      <c r="C1773" s="349" t="s">
        <v>998</v>
      </c>
      <c r="D1773" s="344" t="s">
        <v>346</v>
      </c>
      <c r="E1773" s="349" t="s">
        <v>1168</v>
      </c>
      <c r="F1773" s="453">
        <v>58117.5</v>
      </c>
      <c r="G1773" s="413">
        <v>0.0</v>
      </c>
      <c r="H1773" s="349" t="s">
        <v>2121</v>
      </c>
      <c r="I1773" s="402"/>
      <c r="J1773" s="402"/>
      <c r="K1773" s="402"/>
      <c r="L1773" s="402"/>
      <c r="M1773" s="402"/>
      <c r="N1773" s="402"/>
      <c r="O1773" s="402"/>
      <c r="P1773" s="402"/>
      <c r="Q1773" s="402"/>
      <c r="R1773" s="402"/>
      <c r="S1773" s="402"/>
      <c r="T1773" s="402"/>
      <c r="U1773" s="402"/>
      <c r="V1773" s="402"/>
      <c r="W1773" s="402"/>
      <c r="X1773" s="402"/>
      <c r="Y1773" s="402"/>
      <c r="Z1773" s="402"/>
      <c r="AA1773" s="405"/>
      <c r="AB1773" s="405"/>
    </row>
    <row r="1774" ht="14.25" customHeight="1">
      <c r="A1774" s="497">
        <v>45537.0</v>
      </c>
      <c r="B1774" s="349" t="s">
        <v>1223</v>
      </c>
      <c r="C1774" s="349" t="s">
        <v>998</v>
      </c>
      <c r="D1774" s="415" t="s">
        <v>319</v>
      </c>
      <c r="E1774" s="349" t="s">
        <v>1168</v>
      </c>
      <c r="F1774" s="413">
        <v>100000.0</v>
      </c>
      <c r="G1774" s="413">
        <v>0.0</v>
      </c>
      <c r="H1774" s="349" t="s">
        <v>2121</v>
      </c>
      <c r="I1774" s="402"/>
      <c r="J1774" s="402"/>
      <c r="K1774" s="402"/>
      <c r="L1774" s="402"/>
      <c r="M1774" s="402"/>
      <c r="N1774" s="402"/>
      <c r="O1774" s="402"/>
      <c r="P1774" s="402"/>
      <c r="Q1774" s="402"/>
      <c r="R1774" s="402"/>
      <c r="S1774" s="402"/>
      <c r="T1774" s="402"/>
      <c r="U1774" s="402"/>
      <c r="V1774" s="402"/>
      <c r="W1774" s="402"/>
      <c r="X1774" s="402"/>
      <c r="Y1774" s="402"/>
      <c r="Z1774" s="402"/>
      <c r="AA1774" s="405"/>
      <c r="AB1774" s="405"/>
    </row>
    <row r="1775" ht="14.25" customHeight="1">
      <c r="A1775" s="497">
        <v>45537.0</v>
      </c>
      <c r="B1775" s="349" t="s">
        <v>1644</v>
      </c>
      <c r="C1775" s="349" t="s">
        <v>1893</v>
      </c>
      <c r="D1775" s="349" t="s">
        <v>54</v>
      </c>
      <c r="E1775" s="349" t="s">
        <v>1168</v>
      </c>
      <c r="F1775" s="413">
        <v>19797.2</v>
      </c>
      <c r="G1775" s="413">
        <v>5000.0</v>
      </c>
      <c r="H1775" s="349" t="s">
        <v>2122</v>
      </c>
      <c r="I1775" s="402"/>
      <c r="J1775" s="402"/>
      <c r="K1775" s="402"/>
      <c r="L1775" s="402"/>
      <c r="M1775" s="402"/>
      <c r="N1775" s="402"/>
      <c r="O1775" s="402"/>
      <c r="P1775" s="402"/>
      <c r="Q1775" s="402"/>
      <c r="R1775" s="402"/>
      <c r="S1775" s="402"/>
      <c r="T1775" s="402"/>
      <c r="U1775" s="402"/>
      <c r="V1775" s="402"/>
      <c r="W1775" s="402"/>
      <c r="X1775" s="402"/>
      <c r="Y1775" s="402"/>
      <c r="Z1775" s="402"/>
      <c r="AA1775" s="405"/>
      <c r="AB1775" s="405"/>
    </row>
    <row r="1776" ht="14.25" customHeight="1">
      <c r="A1776" s="497">
        <v>45537.0</v>
      </c>
      <c r="B1776" s="535" t="s">
        <v>1046</v>
      </c>
      <c r="C1776" s="536" t="s">
        <v>1145</v>
      </c>
      <c r="D1776" s="536" t="s">
        <v>54</v>
      </c>
      <c r="E1776" s="349" t="s">
        <v>1168</v>
      </c>
      <c r="F1776" s="413">
        <v>20520.2</v>
      </c>
      <c r="G1776" s="413">
        <v>0.0</v>
      </c>
      <c r="H1776" s="349" t="s">
        <v>2123</v>
      </c>
      <c r="I1776" s="402"/>
      <c r="J1776" s="402"/>
      <c r="K1776" s="402"/>
      <c r="L1776" s="402"/>
      <c r="M1776" s="402"/>
      <c r="N1776" s="402"/>
      <c r="O1776" s="402"/>
      <c r="P1776" s="402"/>
      <c r="Q1776" s="402"/>
      <c r="R1776" s="402"/>
      <c r="S1776" s="402"/>
      <c r="T1776" s="402"/>
      <c r="U1776" s="402"/>
      <c r="V1776" s="402"/>
      <c r="W1776" s="402"/>
      <c r="X1776" s="402"/>
      <c r="Y1776" s="402"/>
      <c r="Z1776" s="402"/>
      <c r="AA1776" s="405"/>
      <c r="AB1776" s="405"/>
    </row>
    <row r="1777" ht="14.25" customHeight="1">
      <c r="A1777" s="497">
        <v>45537.0</v>
      </c>
      <c r="B1777" s="349" t="s">
        <v>761</v>
      </c>
      <c r="C1777" s="349" t="s">
        <v>1596</v>
      </c>
      <c r="D1777" s="349" t="s">
        <v>59</v>
      </c>
      <c r="E1777" s="349" t="s">
        <v>1168</v>
      </c>
      <c r="F1777" s="413">
        <v>11223.11</v>
      </c>
      <c r="G1777" s="413">
        <v>0.0</v>
      </c>
      <c r="H1777" s="349" t="s">
        <v>2124</v>
      </c>
      <c r="I1777" s="402"/>
      <c r="J1777" s="402"/>
      <c r="K1777" s="402"/>
      <c r="L1777" s="402"/>
      <c r="M1777" s="402"/>
      <c r="N1777" s="402"/>
      <c r="O1777" s="402"/>
      <c r="P1777" s="402"/>
      <c r="Q1777" s="402"/>
      <c r="R1777" s="402"/>
      <c r="S1777" s="402"/>
      <c r="T1777" s="402"/>
      <c r="U1777" s="402"/>
      <c r="V1777" s="402"/>
      <c r="W1777" s="402"/>
      <c r="X1777" s="402"/>
      <c r="Y1777" s="402"/>
      <c r="Z1777" s="402"/>
      <c r="AA1777" s="405"/>
      <c r="AB1777" s="405"/>
    </row>
    <row r="1778" ht="14.25" customHeight="1">
      <c r="A1778" s="497">
        <v>45537.0</v>
      </c>
      <c r="B1778" s="349" t="s">
        <v>1475</v>
      </c>
      <c r="C1778" s="349" t="s">
        <v>1895</v>
      </c>
      <c r="D1778" s="349" t="s">
        <v>75</v>
      </c>
      <c r="E1778" s="349" t="s">
        <v>1168</v>
      </c>
      <c r="F1778" s="413">
        <v>106909.0</v>
      </c>
      <c r="G1778" s="413">
        <v>0.0</v>
      </c>
      <c r="H1778" s="349" t="s">
        <v>2125</v>
      </c>
      <c r="I1778" s="402"/>
      <c r="J1778" s="402"/>
      <c r="K1778" s="402"/>
      <c r="L1778" s="402"/>
      <c r="M1778" s="402"/>
      <c r="N1778" s="402"/>
      <c r="O1778" s="402"/>
      <c r="P1778" s="402"/>
      <c r="Q1778" s="402"/>
      <c r="R1778" s="402"/>
      <c r="S1778" s="402"/>
      <c r="T1778" s="402"/>
      <c r="U1778" s="402"/>
      <c r="V1778" s="402"/>
      <c r="W1778" s="402"/>
      <c r="X1778" s="402"/>
      <c r="Y1778" s="402"/>
      <c r="Z1778" s="402"/>
      <c r="AA1778" s="405"/>
      <c r="AB1778" s="405"/>
    </row>
    <row r="1779" ht="14.25" customHeight="1">
      <c r="A1779" s="497"/>
      <c r="B1779" s="402"/>
      <c r="C1779" s="402"/>
      <c r="D1779" s="402"/>
      <c r="E1779" s="402"/>
      <c r="F1779" s="403"/>
      <c r="G1779" s="403"/>
      <c r="H1779" s="402"/>
      <c r="I1779" s="402"/>
      <c r="J1779" s="402"/>
      <c r="K1779" s="402"/>
      <c r="L1779" s="402"/>
      <c r="M1779" s="402"/>
      <c r="N1779" s="402"/>
      <c r="O1779" s="402"/>
      <c r="P1779" s="402"/>
      <c r="Q1779" s="402"/>
      <c r="R1779" s="402"/>
      <c r="S1779" s="402"/>
      <c r="T1779" s="402"/>
      <c r="U1779" s="402"/>
      <c r="V1779" s="402"/>
      <c r="W1779" s="402"/>
      <c r="X1779" s="402"/>
      <c r="Y1779" s="402"/>
      <c r="Z1779" s="402"/>
      <c r="AA1779" s="405"/>
      <c r="AB1779" s="405"/>
    </row>
    <row r="1780" ht="14.25" customHeight="1">
      <c r="A1780" s="497"/>
      <c r="B1780" s="402"/>
      <c r="C1780" s="402"/>
      <c r="D1780" s="402"/>
      <c r="E1780" s="402"/>
      <c r="F1780" s="403"/>
      <c r="G1780" s="403"/>
      <c r="H1780" s="402"/>
      <c r="I1780" s="402"/>
      <c r="J1780" s="402"/>
      <c r="K1780" s="402"/>
      <c r="L1780" s="402"/>
      <c r="M1780" s="402"/>
      <c r="N1780" s="402"/>
      <c r="O1780" s="402"/>
      <c r="P1780" s="402"/>
      <c r="Q1780" s="402"/>
      <c r="R1780" s="402"/>
      <c r="S1780" s="402"/>
      <c r="T1780" s="402"/>
      <c r="U1780" s="402"/>
      <c r="V1780" s="402"/>
      <c r="W1780" s="402"/>
      <c r="X1780" s="402"/>
      <c r="Y1780" s="402"/>
      <c r="Z1780" s="402"/>
      <c r="AA1780" s="405"/>
      <c r="AB1780" s="405"/>
    </row>
    <row r="1781" ht="14.25" customHeight="1">
      <c r="A1781" s="497"/>
      <c r="B1781" s="402"/>
      <c r="C1781" s="402"/>
      <c r="D1781" s="402"/>
      <c r="E1781" s="402"/>
      <c r="F1781" s="403"/>
      <c r="G1781" s="403"/>
      <c r="H1781" s="402"/>
      <c r="I1781" s="402"/>
      <c r="J1781" s="402"/>
      <c r="K1781" s="402"/>
      <c r="L1781" s="402"/>
      <c r="M1781" s="402"/>
      <c r="N1781" s="402"/>
      <c r="O1781" s="402"/>
      <c r="P1781" s="402"/>
      <c r="Q1781" s="402"/>
      <c r="R1781" s="402"/>
      <c r="S1781" s="402"/>
      <c r="T1781" s="402"/>
      <c r="U1781" s="402"/>
      <c r="V1781" s="402"/>
      <c r="W1781" s="402"/>
      <c r="X1781" s="402"/>
      <c r="Y1781" s="402"/>
      <c r="Z1781" s="402"/>
      <c r="AA1781" s="405"/>
      <c r="AB1781" s="405"/>
    </row>
    <row r="1782" ht="14.25" customHeight="1">
      <c r="A1782" s="497"/>
      <c r="B1782" s="402"/>
      <c r="C1782" s="424" t="s">
        <v>797</v>
      </c>
      <c r="D1782" s="402"/>
      <c r="E1782" s="402"/>
      <c r="F1782" s="403"/>
      <c r="G1782" s="403"/>
      <c r="H1782" s="402"/>
      <c r="I1782" s="402"/>
      <c r="J1782" s="402"/>
      <c r="K1782" s="402"/>
      <c r="L1782" s="402"/>
      <c r="M1782" s="402"/>
      <c r="N1782" s="402"/>
      <c r="O1782" s="402"/>
      <c r="P1782" s="402"/>
      <c r="Q1782" s="402"/>
      <c r="R1782" s="402"/>
      <c r="S1782" s="402"/>
      <c r="T1782" s="402"/>
      <c r="U1782" s="402"/>
      <c r="V1782" s="402"/>
      <c r="W1782" s="402"/>
      <c r="X1782" s="402"/>
      <c r="Y1782" s="402"/>
      <c r="Z1782" s="402"/>
      <c r="AA1782" s="405"/>
      <c r="AB1782" s="405"/>
    </row>
    <row r="1783" ht="14.25" customHeight="1">
      <c r="A1783" s="497">
        <v>45537.0</v>
      </c>
      <c r="B1783" s="349" t="s">
        <v>777</v>
      </c>
      <c r="C1783" s="349" t="s">
        <v>778</v>
      </c>
      <c r="D1783" s="349" t="s">
        <v>54</v>
      </c>
      <c r="E1783" s="349" t="s">
        <v>1255</v>
      </c>
      <c r="F1783" s="413">
        <v>86500.0</v>
      </c>
      <c r="G1783" s="403"/>
      <c r="H1783" s="349" t="s">
        <v>2126</v>
      </c>
      <c r="I1783" s="402"/>
      <c r="J1783" s="402"/>
      <c r="K1783" s="402"/>
      <c r="L1783" s="402"/>
      <c r="M1783" s="402"/>
      <c r="N1783" s="402"/>
      <c r="O1783" s="402"/>
      <c r="P1783" s="402"/>
      <c r="Q1783" s="402"/>
      <c r="R1783" s="402"/>
      <c r="S1783" s="402"/>
      <c r="T1783" s="402"/>
      <c r="U1783" s="402"/>
      <c r="V1783" s="402"/>
      <c r="W1783" s="402"/>
      <c r="X1783" s="402"/>
      <c r="Y1783" s="402"/>
      <c r="Z1783" s="402"/>
      <c r="AA1783" s="405"/>
      <c r="AB1783" s="405"/>
    </row>
    <row r="1784" ht="14.25" customHeight="1">
      <c r="A1784" s="497">
        <v>45537.0</v>
      </c>
      <c r="B1784" s="349" t="s">
        <v>1181</v>
      </c>
      <c r="C1784" s="349" t="s">
        <v>1182</v>
      </c>
      <c r="D1784" s="349" t="s">
        <v>54</v>
      </c>
      <c r="E1784" s="349" t="s">
        <v>1255</v>
      </c>
      <c r="F1784" s="413">
        <v>250000.0</v>
      </c>
      <c r="G1784" s="403"/>
      <c r="H1784" s="349" t="s">
        <v>2127</v>
      </c>
      <c r="I1784" s="402"/>
      <c r="J1784" s="402"/>
      <c r="K1784" s="402"/>
      <c r="L1784" s="402"/>
      <c r="M1784" s="402"/>
      <c r="N1784" s="402"/>
      <c r="O1784" s="402"/>
      <c r="P1784" s="402"/>
      <c r="Q1784" s="402"/>
      <c r="R1784" s="402"/>
      <c r="S1784" s="402"/>
      <c r="T1784" s="402"/>
      <c r="U1784" s="402"/>
      <c r="V1784" s="402"/>
      <c r="W1784" s="402"/>
      <c r="X1784" s="402"/>
      <c r="Y1784" s="402"/>
      <c r="Z1784" s="402"/>
      <c r="AA1784" s="405"/>
      <c r="AB1784" s="405"/>
    </row>
    <row r="1785" ht="14.25" customHeight="1">
      <c r="A1785" s="497">
        <v>45537.0</v>
      </c>
      <c r="B1785" s="349" t="s">
        <v>800</v>
      </c>
      <c r="C1785" s="349" t="s">
        <v>801</v>
      </c>
      <c r="D1785" s="493" t="s">
        <v>54</v>
      </c>
      <c r="E1785" s="349" t="s">
        <v>1255</v>
      </c>
      <c r="F1785" s="413">
        <v>20000.0</v>
      </c>
      <c r="G1785" s="403"/>
      <c r="H1785" s="349" t="s">
        <v>2128</v>
      </c>
      <c r="I1785" s="402"/>
      <c r="J1785" s="402"/>
      <c r="K1785" s="402"/>
      <c r="L1785" s="402"/>
      <c r="M1785" s="402"/>
      <c r="N1785" s="402"/>
      <c r="O1785" s="402"/>
      <c r="P1785" s="402"/>
      <c r="Q1785" s="402"/>
      <c r="R1785" s="402"/>
      <c r="S1785" s="402"/>
      <c r="T1785" s="402"/>
      <c r="U1785" s="402"/>
      <c r="V1785" s="402"/>
      <c r="W1785" s="402"/>
      <c r="X1785" s="402"/>
      <c r="Y1785" s="402"/>
      <c r="Z1785" s="402"/>
      <c r="AA1785" s="405"/>
      <c r="AB1785" s="405"/>
    </row>
    <row r="1786" ht="14.25" customHeight="1">
      <c r="A1786" s="497">
        <v>45537.0</v>
      </c>
      <c r="B1786" s="349" t="s">
        <v>2077</v>
      </c>
      <c r="C1786" s="349" t="s">
        <v>2078</v>
      </c>
      <c r="D1786" s="349" t="s">
        <v>27</v>
      </c>
      <c r="E1786" s="349" t="s">
        <v>2079</v>
      </c>
      <c r="F1786" s="582">
        <v>1000000.0</v>
      </c>
      <c r="G1786" s="403"/>
      <c r="H1786" s="349" t="s">
        <v>2129</v>
      </c>
      <c r="I1786" s="402"/>
      <c r="J1786" s="402"/>
      <c r="K1786" s="402"/>
      <c r="L1786" s="402"/>
      <c r="M1786" s="402"/>
      <c r="N1786" s="402"/>
      <c r="O1786" s="402"/>
      <c r="P1786" s="402"/>
      <c r="Q1786" s="402"/>
      <c r="R1786" s="402"/>
      <c r="S1786" s="402"/>
      <c r="T1786" s="402"/>
      <c r="U1786" s="402"/>
      <c r="V1786" s="402"/>
      <c r="W1786" s="402"/>
      <c r="X1786" s="402"/>
      <c r="Y1786" s="402"/>
      <c r="Z1786" s="402"/>
      <c r="AA1786" s="405"/>
      <c r="AB1786" s="405"/>
    </row>
    <row r="1787" ht="14.25" customHeight="1">
      <c r="A1787" s="497"/>
      <c r="B1787" s="402"/>
      <c r="C1787" s="402"/>
      <c r="D1787" s="402"/>
      <c r="E1787" s="402"/>
      <c r="F1787" s="403"/>
      <c r="G1787" s="403"/>
      <c r="H1787" s="402"/>
      <c r="I1787" s="402"/>
      <c r="J1787" s="402"/>
      <c r="K1787" s="402"/>
      <c r="L1787" s="402"/>
      <c r="M1787" s="402"/>
      <c r="N1787" s="402"/>
      <c r="O1787" s="402"/>
      <c r="P1787" s="402"/>
      <c r="Q1787" s="402"/>
      <c r="R1787" s="402"/>
      <c r="S1787" s="402"/>
      <c r="T1787" s="402"/>
      <c r="U1787" s="402"/>
      <c r="V1787" s="402"/>
      <c r="W1787" s="402"/>
      <c r="X1787" s="402"/>
      <c r="Y1787" s="402"/>
      <c r="Z1787" s="402"/>
      <c r="AA1787" s="405"/>
      <c r="AB1787" s="405"/>
    </row>
    <row r="1788" ht="14.25" customHeight="1">
      <c r="A1788" s="497"/>
      <c r="B1788" s="402"/>
      <c r="C1788" s="402"/>
      <c r="D1788" s="402"/>
      <c r="E1788" s="402"/>
      <c r="F1788" s="403"/>
      <c r="G1788" s="403"/>
      <c r="H1788" s="402"/>
      <c r="I1788" s="402"/>
      <c r="J1788" s="402"/>
      <c r="K1788" s="402"/>
      <c r="L1788" s="402"/>
      <c r="M1788" s="402"/>
      <c r="N1788" s="402"/>
      <c r="O1788" s="402"/>
      <c r="P1788" s="402"/>
      <c r="Q1788" s="402"/>
      <c r="R1788" s="402"/>
      <c r="S1788" s="402"/>
      <c r="T1788" s="402"/>
      <c r="U1788" s="402"/>
      <c r="V1788" s="402"/>
      <c r="W1788" s="402"/>
      <c r="X1788" s="402"/>
      <c r="Y1788" s="402"/>
      <c r="Z1788" s="402"/>
      <c r="AA1788" s="405"/>
      <c r="AB1788" s="405"/>
    </row>
    <row r="1789" ht="14.25" customHeight="1">
      <c r="A1789" s="497"/>
      <c r="B1789" s="402"/>
      <c r="C1789" s="402"/>
      <c r="D1789" s="402"/>
      <c r="E1789" s="402"/>
      <c r="F1789" s="403"/>
      <c r="G1789" s="403"/>
      <c r="H1789" s="402"/>
      <c r="I1789" s="402"/>
      <c r="J1789" s="402"/>
      <c r="K1789" s="402"/>
      <c r="L1789" s="402"/>
      <c r="M1789" s="402"/>
      <c r="N1789" s="402"/>
      <c r="O1789" s="402"/>
      <c r="P1789" s="402"/>
      <c r="Q1789" s="402"/>
      <c r="R1789" s="402"/>
      <c r="S1789" s="402"/>
      <c r="T1789" s="402"/>
      <c r="U1789" s="402"/>
      <c r="V1789" s="402"/>
      <c r="W1789" s="402"/>
      <c r="X1789" s="402"/>
      <c r="Y1789" s="402"/>
      <c r="Z1789" s="402"/>
      <c r="AA1789" s="405"/>
      <c r="AB1789" s="405"/>
    </row>
    <row r="1790" ht="14.25" customHeight="1">
      <c r="A1790" s="497"/>
      <c r="B1790" s="402"/>
      <c r="C1790" s="402"/>
      <c r="D1790" s="402"/>
      <c r="E1790" s="402"/>
      <c r="F1790" s="403"/>
      <c r="G1790" s="403"/>
      <c r="H1790" s="402"/>
      <c r="I1790" s="402"/>
      <c r="J1790" s="402"/>
      <c r="K1790" s="402"/>
      <c r="L1790" s="402"/>
      <c r="M1790" s="402"/>
      <c r="N1790" s="402"/>
      <c r="O1790" s="402"/>
      <c r="P1790" s="402"/>
      <c r="Q1790" s="402"/>
      <c r="R1790" s="402"/>
      <c r="S1790" s="402"/>
      <c r="T1790" s="402"/>
      <c r="U1790" s="402"/>
      <c r="V1790" s="402"/>
      <c r="W1790" s="402"/>
      <c r="X1790" s="402"/>
      <c r="Y1790" s="402"/>
      <c r="Z1790" s="402"/>
      <c r="AA1790" s="405"/>
      <c r="AB1790" s="405"/>
    </row>
    <row r="1791" ht="14.25" customHeight="1">
      <c r="A1791" s="497"/>
      <c r="B1791" s="461">
        <v>45359.0</v>
      </c>
      <c r="C1791" s="402"/>
      <c r="D1791" s="402"/>
      <c r="E1791" s="402"/>
      <c r="F1791" s="403"/>
      <c r="G1791" s="403"/>
      <c r="H1791" s="402"/>
      <c r="I1791" s="402"/>
      <c r="J1791" s="402"/>
      <c r="K1791" s="402"/>
      <c r="L1791" s="402"/>
      <c r="M1791" s="402"/>
      <c r="N1791" s="402"/>
      <c r="O1791" s="402"/>
      <c r="P1791" s="402"/>
      <c r="Q1791" s="402"/>
      <c r="R1791" s="402"/>
      <c r="S1791" s="402"/>
      <c r="T1791" s="402"/>
      <c r="U1791" s="402"/>
      <c r="V1791" s="402"/>
      <c r="W1791" s="402"/>
      <c r="X1791" s="402"/>
      <c r="Y1791" s="402"/>
      <c r="Z1791" s="402"/>
      <c r="AA1791" s="405"/>
      <c r="AB1791" s="405"/>
    </row>
    <row r="1792" ht="14.25" customHeight="1">
      <c r="A1792" s="497">
        <v>45538.0</v>
      </c>
      <c r="B1792" s="402"/>
      <c r="C1792" s="402"/>
      <c r="D1792" s="402"/>
      <c r="E1792" s="402"/>
      <c r="F1792" s="403"/>
      <c r="G1792" s="403"/>
      <c r="H1792" s="402"/>
      <c r="I1792" s="402"/>
      <c r="J1792" s="402"/>
      <c r="K1792" s="402"/>
      <c r="L1792" s="402"/>
      <c r="M1792" s="402"/>
      <c r="N1792" s="402"/>
      <c r="O1792" s="402"/>
      <c r="P1792" s="402"/>
      <c r="Q1792" s="402"/>
      <c r="R1792" s="402"/>
      <c r="S1792" s="402"/>
      <c r="T1792" s="402"/>
      <c r="U1792" s="402"/>
      <c r="V1792" s="402"/>
      <c r="W1792" s="402"/>
      <c r="X1792" s="402"/>
      <c r="Y1792" s="402"/>
      <c r="Z1792" s="402"/>
      <c r="AA1792" s="405"/>
      <c r="AB1792" s="405"/>
    </row>
    <row r="1793" ht="14.25" customHeight="1">
      <c r="A1793" s="497">
        <v>45538.0</v>
      </c>
      <c r="B1793" s="402"/>
      <c r="C1793" s="402"/>
      <c r="D1793" s="402"/>
      <c r="E1793" s="402"/>
      <c r="F1793" s="403"/>
      <c r="G1793" s="403"/>
      <c r="H1793" s="402"/>
      <c r="I1793" s="402"/>
      <c r="J1793" s="402"/>
      <c r="K1793" s="402"/>
      <c r="L1793" s="402"/>
      <c r="M1793" s="402"/>
      <c r="N1793" s="402"/>
      <c r="O1793" s="402"/>
      <c r="P1793" s="402"/>
      <c r="Q1793" s="402"/>
      <c r="R1793" s="402"/>
      <c r="S1793" s="402"/>
      <c r="T1793" s="402"/>
      <c r="U1793" s="402"/>
      <c r="V1793" s="402"/>
      <c r="W1793" s="402"/>
      <c r="X1793" s="402"/>
      <c r="Y1793" s="402"/>
      <c r="Z1793" s="402"/>
      <c r="AA1793" s="405"/>
      <c r="AB1793" s="405"/>
    </row>
    <row r="1794" ht="14.25" customHeight="1">
      <c r="A1794" s="497">
        <v>45538.0</v>
      </c>
      <c r="B1794" s="402"/>
      <c r="C1794" s="402"/>
      <c r="D1794" s="402"/>
      <c r="E1794" s="402"/>
      <c r="F1794" s="403"/>
      <c r="G1794" s="403"/>
      <c r="H1794" s="402"/>
      <c r="I1794" s="402"/>
      <c r="J1794" s="402"/>
      <c r="K1794" s="402"/>
      <c r="L1794" s="402"/>
      <c r="M1794" s="402"/>
      <c r="N1794" s="402"/>
      <c r="O1794" s="402"/>
      <c r="P1794" s="402"/>
      <c r="Q1794" s="402"/>
      <c r="R1794" s="402"/>
      <c r="S1794" s="402"/>
      <c r="T1794" s="402"/>
      <c r="U1794" s="402"/>
      <c r="V1794" s="402"/>
      <c r="W1794" s="402"/>
      <c r="X1794" s="402"/>
      <c r="Y1794" s="402"/>
      <c r="Z1794" s="402"/>
      <c r="AA1794" s="405"/>
      <c r="AB1794" s="405"/>
    </row>
    <row r="1795" ht="14.25" customHeight="1">
      <c r="A1795" s="497">
        <v>45538.0</v>
      </c>
      <c r="B1795" s="402"/>
      <c r="C1795" s="402"/>
      <c r="D1795" s="402"/>
      <c r="E1795" s="402"/>
      <c r="F1795" s="403"/>
      <c r="G1795" s="403"/>
      <c r="H1795" s="402"/>
      <c r="I1795" s="402"/>
      <c r="J1795" s="402"/>
      <c r="K1795" s="402"/>
      <c r="L1795" s="402"/>
      <c r="M1795" s="402"/>
      <c r="N1795" s="402"/>
      <c r="O1795" s="402"/>
      <c r="P1795" s="402"/>
      <c r="Q1795" s="402"/>
      <c r="R1795" s="402"/>
      <c r="S1795" s="402"/>
      <c r="T1795" s="402"/>
      <c r="U1795" s="402"/>
      <c r="V1795" s="402"/>
      <c r="W1795" s="402"/>
      <c r="X1795" s="402"/>
      <c r="Y1795" s="402"/>
      <c r="Z1795" s="402"/>
      <c r="AA1795" s="405"/>
      <c r="AB1795" s="405"/>
    </row>
    <row r="1796" ht="14.25" customHeight="1">
      <c r="A1796" s="497">
        <v>45538.0</v>
      </c>
      <c r="B1796" s="402"/>
      <c r="C1796" s="402"/>
      <c r="D1796" s="402"/>
      <c r="E1796" s="402"/>
      <c r="F1796" s="403"/>
      <c r="G1796" s="403"/>
      <c r="H1796" s="402"/>
      <c r="I1796" s="402"/>
      <c r="J1796" s="402"/>
      <c r="K1796" s="402"/>
      <c r="L1796" s="402"/>
      <c r="M1796" s="402"/>
      <c r="N1796" s="402"/>
      <c r="O1796" s="402"/>
      <c r="P1796" s="402"/>
      <c r="Q1796" s="402"/>
      <c r="R1796" s="402"/>
      <c r="S1796" s="402"/>
      <c r="T1796" s="402"/>
      <c r="U1796" s="402"/>
      <c r="V1796" s="402"/>
      <c r="W1796" s="402"/>
      <c r="X1796" s="402"/>
      <c r="Y1796" s="402"/>
      <c r="Z1796" s="402"/>
      <c r="AA1796" s="405"/>
      <c r="AB1796" s="405"/>
    </row>
    <row r="1797" ht="14.25" customHeight="1">
      <c r="A1797" s="497">
        <v>45538.0</v>
      </c>
      <c r="B1797" s="402"/>
      <c r="C1797" s="402"/>
      <c r="D1797" s="402"/>
      <c r="E1797" s="402"/>
      <c r="F1797" s="403"/>
      <c r="G1797" s="403"/>
      <c r="H1797" s="402"/>
      <c r="I1797" s="402"/>
      <c r="J1797" s="402"/>
      <c r="K1797" s="402"/>
      <c r="L1797" s="402"/>
      <c r="M1797" s="402"/>
      <c r="N1797" s="402"/>
      <c r="O1797" s="402"/>
      <c r="P1797" s="402"/>
      <c r="Q1797" s="402"/>
      <c r="R1797" s="402"/>
      <c r="S1797" s="402"/>
      <c r="T1797" s="402"/>
      <c r="U1797" s="402"/>
      <c r="V1797" s="402"/>
      <c r="W1797" s="402"/>
      <c r="X1797" s="402"/>
      <c r="Y1797" s="402"/>
      <c r="Z1797" s="402"/>
      <c r="AA1797" s="405"/>
      <c r="AB1797" s="405"/>
    </row>
    <row r="1798" ht="14.25" customHeight="1">
      <c r="A1798" s="497">
        <v>45538.0</v>
      </c>
      <c r="B1798" s="402"/>
      <c r="C1798" s="402"/>
      <c r="D1798" s="402"/>
      <c r="E1798" s="402"/>
      <c r="F1798" s="403"/>
      <c r="G1798" s="403"/>
      <c r="H1798" s="402"/>
      <c r="I1798" s="402"/>
      <c r="J1798" s="402"/>
      <c r="K1798" s="402"/>
      <c r="L1798" s="402"/>
      <c r="M1798" s="402"/>
      <c r="N1798" s="402"/>
      <c r="O1798" s="402"/>
      <c r="P1798" s="402"/>
      <c r="Q1798" s="402"/>
      <c r="R1798" s="402"/>
      <c r="S1798" s="402"/>
      <c r="T1798" s="402"/>
      <c r="U1798" s="402"/>
      <c r="V1798" s="402"/>
      <c r="W1798" s="402"/>
      <c r="X1798" s="402"/>
      <c r="Y1798" s="402"/>
      <c r="Z1798" s="402"/>
      <c r="AA1798" s="405"/>
      <c r="AB1798" s="405"/>
    </row>
    <row r="1799" ht="14.25" customHeight="1">
      <c r="A1799" s="497">
        <v>45538.0</v>
      </c>
      <c r="B1799" s="402"/>
      <c r="C1799" s="402"/>
      <c r="D1799" s="402"/>
      <c r="E1799" s="402"/>
      <c r="F1799" s="403"/>
      <c r="G1799" s="403"/>
      <c r="H1799" s="402"/>
      <c r="I1799" s="402"/>
      <c r="J1799" s="402"/>
      <c r="K1799" s="402"/>
      <c r="L1799" s="402"/>
      <c r="M1799" s="402"/>
      <c r="N1799" s="402"/>
      <c r="O1799" s="402"/>
      <c r="P1799" s="402"/>
      <c r="Q1799" s="402"/>
      <c r="R1799" s="402"/>
      <c r="S1799" s="402"/>
      <c r="T1799" s="402"/>
      <c r="U1799" s="402"/>
      <c r="V1799" s="402"/>
      <c r="W1799" s="402"/>
      <c r="X1799" s="402"/>
      <c r="Y1799" s="402"/>
      <c r="Z1799" s="402"/>
      <c r="AA1799" s="405"/>
      <c r="AB1799" s="405"/>
    </row>
    <row r="1800" ht="14.25" customHeight="1">
      <c r="A1800" s="497">
        <v>45538.0</v>
      </c>
      <c r="B1800" s="402"/>
      <c r="C1800" s="402"/>
      <c r="D1800" s="402"/>
      <c r="E1800" s="402"/>
      <c r="F1800" s="403"/>
      <c r="G1800" s="403"/>
      <c r="H1800" s="402"/>
      <c r="I1800" s="402"/>
      <c r="J1800" s="402"/>
      <c r="K1800" s="402"/>
      <c r="L1800" s="402"/>
      <c r="M1800" s="402"/>
      <c r="N1800" s="402"/>
      <c r="O1800" s="402"/>
      <c r="P1800" s="402"/>
      <c r="Q1800" s="402"/>
      <c r="R1800" s="402"/>
      <c r="S1800" s="402"/>
      <c r="T1800" s="402"/>
      <c r="U1800" s="402"/>
      <c r="V1800" s="402"/>
      <c r="W1800" s="402"/>
      <c r="X1800" s="402"/>
      <c r="Y1800" s="402"/>
      <c r="Z1800" s="402"/>
      <c r="AA1800" s="405"/>
      <c r="AB1800" s="405"/>
    </row>
    <row r="1801" ht="14.25" customHeight="1">
      <c r="A1801" s="497">
        <v>45538.0</v>
      </c>
      <c r="B1801" s="402"/>
      <c r="C1801" s="402"/>
      <c r="D1801" s="402"/>
      <c r="E1801" s="402"/>
      <c r="F1801" s="403"/>
      <c r="G1801" s="403"/>
      <c r="H1801" s="402"/>
      <c r="I1801" s="402"/>
      <c r="J1801" s="402"/>
      <c r="K1801" s="402"/>
      <c r="L1801" s="402"/>
      <c r="M1801" s="402"/>
      <c r="N1801" s="402"/>
      <c r="O1801" s="402"/>
      <c r="P1801" s="402"/>
      <c r="Q1801" s="402"/>
      <c r="R1801" s="402"/>
      <c r="S1801" s="402"/>
      <c r="T1801" s="402"/>
      <c r="U1801" s="402"/>
      <c r="V1801" s="402"/>
      <c r="W1801" s="402"/>
      <c r="X1801" s="402"/>
      <c r="Y1801" s="402"/>
      <c r="Z1801" s="402"/>
      <c r="AA1801" s="405"/>
      <c r="AB1801" s="405"/>
    </row>
    <row r="1802" ht="14.25" customHeight="1">
      <c r="A1802" s="497">
        <v>45538.0</v>
      </c>
      <c r="B1802" s="402"/>
      <c r="C1802" s="402"/>
      <c r="D1802" s="402"/>
      <c r="E1802" s="402"/>
      <c r="F1802" s="403"/>
      <c r="G1802" s="403"/>
      <c r="H1802" s="402"/>
      <c r="I1802" s="402"/>
      <c r="J1802" s="402"/>
      <c r="K1802" s="402"/>
      <c r="L1802" s="402"/>
      <c r="M1802" s="402"/>
      <c r="N1802" s="402"/>
      <c r="O1802" s="402"/>
      <c r="P1802" s="402"/>
      <c r="Q1802" s="402"/>
      <c r="R1802" s="402"/>
      <c r="S1802" s="402"/>
      <c r="T1802" s="402"/>
      <c r="U1802" s="402"/>
      <c r="V1802" s="402"/>
      <c r="W1802" s="402"/>
      <c r="X1802" s="402"/>
      <c r="Y1802" s="402"/>
      <c r="Z1802" s="402"/>
      <c r="AA1802" s="405"/>
      <c r="AB1802" s="405"/>
    </row>
    <row r="1803" ht="14.25" customHeight="1">
      <c r="A1803" s="497">
        <v>45538.0</v>
      </c>
      <c r="B1803" s="402"/>
      <c r="C1803" s="402"/>
      <c r="D1803" s="402"/>
      <c r="E1803" s="402"/>
      <c r="F1803" s="403"/>
      <c r="G1803" s="403"/>
      <c r="H1803" s="402"/>
      <c r="I1803" s="402"/>
      <c r="J1803" s="402"/>
      <c r="K1803" s="402"/>
      <c r="L1803" s="402"/>
      <c r="M1803" s="402"/>
      <c r="N1803" s="402"/>
      <c r="O1803" s="402"/>
      <c r="P1803" s="402"/>
      <c r="Q1803" s="402"/>
      <c r="R1803" s="402"/>
      <c r="S1803" s="402"/>
      <c r="T1803" s="402"/>
      <c r="U1803" s="402"/>
      <c r="V1803" s="402"/>
      <c r="W1803" s="402"/>
      <c r="X1803" s="402"/>
      <c r="Y1803" s="402"/>
      <c r="Z1803" s="402"/>
      <c r="AA1803" s="405"/>
      <c r="AB1803" s="405"/>
    </row>
    <row r="1804" ht="14.25" customHeight="1">
      <c r="A1804" s="497">
        <v>45538.0</v>
      </c>
      <c r="B1804" s="402"/>
      <c r="C1804" s="402"/>
      <c r="D1804" s="402"/>
      <c r="E1804" s="402"/>
      <c r="F1804" s="403"/>
      <c r="G1804" s="403"/>
      <c r="H1804" s="402"/>
      <c r="I1804" s="402"/>
      <c r="J1804" s="402"/>
      <c r="K1804" s="402"/>
      <c r="L1804" s="402"/>
      <c r="M1804" s="402"/>
      <c r="N1804" s="402"/>
      <c r="O1804" s="402"/>
      <c r="P1804" s="402"/>
      <c r="Q1804" s="402"/>
      <c r="R1804" s="402"/>
      <c r="S1804" s="402"/>
      <c r="T1804" s="402"/>
      <c r="U1804" s="402"/>
      <c r="V1804" s="402"/>
      <c r="W1804" s="402"/>
      <c r="X1804" s="402"/>
      <c r="Y1804" s="402"/>
      <c r="Z1804" s="402"/>
      <c r="AA1804" s="405"/>
      <c r="AB1804" s="405"/>
    </row>
    <row r="1805" ht="14.25" customHeight="1">
      <c r="A1805" s="497">
        <v>45538.0</v>
      </c>
      <c r="B1805" s="402"/>
      <c r="C1805" s="402"/>
      <c r="D1805" s="402"/>
      <c r="E1805" s="402"/>
      <c r="F1805" s="403"/>
      <c r="G1805" s="403"/>
      <c r="H1805" s="402"/>
      <c r="I1805" s="402"/>
      <c r="J1805" s="402"/>
      <c r="K1805" s="402"/>
      <c r="L1805" s="402"/>
      <c r="M1805" s="402"/>
      <c r="N1805" s="402"/>
      <c r="O1805" s="402"/>
      <c r="P1805" s="402"/>
      <c r="Q1805" s="402"/>
      <c r="R1805" s="402"/>
      <c r="S1805" s="402"/>
      <c r="T1805" s="402"/>
      <c r="U1805" s="402"/>
      <c r="V1805" s="402"/>
      <c r="W1805" s="402"/>
      <c r="X1805" s="402"/>
      <c r="Y1805" s="402"/>
      <c r="Z1805" s="402"/>
      <c r="AA1805" s="405"/>
      <c r="AB1805" s="405"/>
    </row>
    <row r="1806" ht="14.25" customHeight="1">
      <c r="A1806" s="497">
        <v>45538.0</v>
      </c>
      <c r="B1806" s="402"/>
      <c r="C1806" s="402"/>
      <c r="D1806" s="402"/>
      <c r="E1806" s="402"/>
      <c r="F1806" s="403"/>
      <c r="G1806" s="403"/>
      <c r="H1806" s="402"/>
      <c r="I1806" s="402"/>
      <c r="J1806" s="402"/>
      <c r="K1806" s="402"/>
      <c r="L1806" s="402"/>
      <c r="M1806" s="402"/>
      <c r="N1806" s="402"/>
      <c r="O1806" s="402"/>
      <c r="P1806" s="402"/>
      <c r="Q1806" s="402"/>
      <c r="R1806" s="402"/>
      <c r="S1806" s="402"/>
      <c r="T1806" s="402"/>
      <c r="U1806" s="402"/>
      <c r="V1806" s="402"/>
      <c r="W1806" s="402"/>
      <c r="X1806" s="402"/>
      <c r="Y1806" s="402"/>
      <c r="Z1806" s="402"/>
      <c r="AA1806" s="405"/>
      <c r="AB1806" s="405"/>
    </row>
    <row r="1807" ht="14.25" customHeight="1">
      <c r="A1807" s="497">
        <v>45538.0</v>
      </c>
      <c r="B1807" s="402"/>
      <c r="C1807" s="402"/>
      <c r="D1807" s="402"/>
      <c r="E1807" s="402"/>
      <c r="F1807" s="403"/>
      <c r="G1807" s="403"/>
      <c r="H1807" s="402"/>
      <c r="I1807" s="402"/>
      <c r="J1807" s="402"/>
      <c r="K1807" s="402"/>
      <c r="L1807" s="402"/>
      <c r="M1807" s="402"/>
      <c r="N1807" s="402"/>
      <c r="O1807" s="402"/>
      <c r="P1807" s="402"/>
      <c r="Q1807" s="402"/>
      <c r="R1807" s="402"/>
      <c r="S1807" s="402"/>
      <c r="T1807" s="402"/>
      <c r="U1807" s="402"/>
      <c r="V1807" s="402"/>
      <c r="W1807" s="402"/>
      <c r="X1807" s="402"/>
      <c r="Y1807" s="402"/>
      <c r="Z1807" s="402"/>
      <c r="AA1807" s="405"/>
      <c r="AB1807" s="405"/>
    </row>
    <row r="1808" ht="14.25" customHeight="1">
      <c r="A1808" s="497">
        <v>45538.0</v>
      </c>
      <c r="B1808" s="402"/>
      <c r="C1808" s="402"/>
      <c r="D1808" s="402"/>
      <c r="E1808" s="402"/>
      <c r="F1808" s="403"/>
      <c r="G1808" s="403"/>
      <c r="H1808" s="402"/>
      <c r="I1808" s="402"/>
      <c r="J1808" s="402"/>
      <c r="K1808" s="402"/>
      <c r="L1808" s="402"/>
      <c r="M1808" s="402"/>
      <c r="N1808" s="402"/>
      <c r="O1808" s="402"/>
      <c r="P1808" s="402"/>
      <c r="Q1808" s="402"/>
      <c r="R1808" s="402"/>
      <c r="S1808" s="402"/>
      <c r="T1808" s="402"/>
      <c r="U1808" s="402"/>
      <c r="V1808" s="402"/>
      <c r="W1808" s="402"/>
      <c r="X1808" s="402"/>
      <c r="Y1808" s="402"/>
      <c r="Z1808" s="402"/>
      <c r="AA1808" s="405"/>
      <c r="AB1808" s="405"/>
    </row>
    <row r="1809" ht="14.25" customHeight="1">
      <c r="A1809" s="497">
        <v>45538.0</v>
      </c>
      <c r="B1809" s="402"/>
      <c r="C1809" s="402"/>
      <c r="D1809" s="402"/>
      <c r="E1809" s="402"/>
      <c r="F1809" s="403"/>
      <c r="G1809" s="403"/>
      <c r="H1809" s="402"/>
      <c r="I1809" s="402"/>
      <c r="J1809" s="402"/>
      <c r="K1809" s="402"/>
      <c r="L1809" s="402"/>
      <c r="M1809" s="402"/>
      <c r="N1809" s="402"/>
      <c r="O1809" s="402"/>
      <c r="P1809" s="402"/>
      <c r="Q1809" s="402"/>
      <c r="R1809" s="402"/>
      <c r="S1809" s="402"/>
      <c r="T1809" s="402"/>
      <c r="U1809" s="402"/>
      <c r="V1809" s="402"/>
      <c r="W1809" s="402"/>
      <c r="X1809" s="402"/>
      <c r="Y1809" s="402"/>
      <c r="Z1809" s="402"/>
      <c r="AA1809" s="405"/>
      <c r="AB1809" s="405"/>
    </row>
    <row r="1810" ht="14.25" customHeight="1">
      <c r="A1810" s="497">
        <v>45538.0</v>
      </c>
      <c r="B1810" s="402"/>
      <c r="C1810" s="402"/>
      <c r="D1810" s="402"/>
      <c r="E1810" s="402"/>
      <c r="F1810" s="403"/>
      <c r="G1810" s="403"/>
      <c r="H1810" s="402"/>
      <c r="I1810" s="402"/>
      <c r="J1810" s="402"/>
      <c r="K1810" s="402"/>
      <c r="L1810" s="402"/>
      <c r="M1810" s="402"/>
      <c r="N1810" s="402"/>
      <c r="O1810" s="402"/>
      <c r="P1810" s="402"/>
      <c r="Q1810" s="402"/>
      <c r="R1810" s="402"/>
      <c r="S1810" s="402"/>
      <c r="T1810" s="402"/>
      <c r="U1810" s="402"/>
      <c r="V1810" s="402"/>
      <c r="W1810" s="402"/>
      <c r="X1810" s="402"/>
      <c r="Y1810" s="402"/>
      <c r="Z1810" s="402"/>
      <c r="AA1810" s="405"/>
      <c r="AB1810" s="405"/>
    </row>
    <row r="1811" ht="14.25" customHeight="1">
      <c r="A1811" s="497">
        <v>45538.0</v>
      </c>
      <c r="B1811" s="402"/>
      <c r="C1811" s="402"/>
      <c r="D1811" s="402"/>
      <c r="E1811" s="402"/>
      <c r="F1811" s="403"/>
      <c r="G1811" s="403"/>
      <c r="H1811" s="402"/>
      <c r="I1811" s="402"/>
      <c r="J1811" s="402"/>
      <c r="K1811" s="402"/>
      <c r="L1811" s="402"/>
      <c r="M1811" s="402"/>
      <c r="N1811" s="402"/>
      <c r="O1811" s="402"/>
      <c r="P1811" s="402"/>
      <c r="Q1811" s="402"/>
      <c r="R1811" s="402"/>
      <c r="S1811" s="402"/>
      <c r="T1811" s="402"/>
      <c r="U1811" s="402"/>
      <c r="V1811" s="402"/>
      <c r="W1811" s="402"/>
      <c r="X1811" s="402"/>
      <c r="Y1811" s="402"/>
      <c r="Z1811" s="402"/>
      <c r="AA1811" s="405"/>
      <c r="AB1811" s="405"/>
    </row>
    <row r="1812" ht="14.25" customHeight="1">
      <c r="A1812" s="497">
        <v>45538.0</v>
      </c>
      <c r="B1812" s="402"/>
      <c r="C1812" s="402"/>
      <c r="D1812" s="402"/>
      <c r="E1812" s="402"/>
      <c r="F1812" s="403"/>
      <c r="G1812" s="403"/>
      <c r="H1812" s="402"/>
      <c r="I1812" s="402"/>
      <c r="J1812" s="402"/>
      <c r="K1812" s="402"/>
      <c r="L1812" s="402"/>
      <c r="M1812" s="402"/>
      <c r="N1812" s="402"/>
      <c r="O1812" s="402"/>
      <c r="P1812" s="402"/>
      <c r="Q1812" s="402"/>
      <c r="R1812" s="402"/>
      <c r="S1812" s="402"/>
      <c r="T1812" s="402"/>
      <c r="U1812" s="402"/>
      <c r="V1812" s="402"/>
      <c r="W1812" s="402"/>
      <c r="X1812" s="402"/>
      <c r="Y1812" s="402"/>
      <c r="Z1812" s="402"/>
      <c r="AA1812" s="405"/>
      <c r="AB1812" s="405"/>
    </row>
    <row r="1813" ht="14.25" customHeight="1">
      <c r="A1813" s="497">
        <v>45538.0</v>
      </c>
      <c r="B1813" s="402"/>
      <c r="C1813" s="402"/>
      <c r="D1813" s="402"/>
      <c r="E1813" s="402"/>
      <c r="F1813" s="403"/>
      <c r="G1813" s="403"/>
      <c r="H1813" s="402"/>
      <c r="I1813" s="402"/>
      <c r="J1813" s="402"/>
      <c r="K1813" s="402"/>
      <c r="L1813" s="402"/>
      <c r="M1813" s="402"/>
      <c r="N1813" s="402"/>
      <c r="O1813" s="402"/>
      <c r="P1813" s="402"/>
      <c r="Q1813" s="402"/>
      <c r="R1813" s="402"/>
      <c r="S1813" s="402"/>
      <c r="T1813" s="402"/>
      <c r="U1813" s="402"/>
      <c r="V1813" s="402"/>
      <c r="W1813" s="402"/>
      <c r="X1813" s="402"/>
      <c r="Y1813" s="402"/>
      <c r="Z1813" s="402"/>
      <c r="AA1813" s="405"/>
      <c r="AB1813" s="405"/>
    </row>
    <row r="1814" ht="14.25" customHeight="1">
      <c r="A1814" s="497">
        <v>45538.0</v>
      </c>
      <c r="B1814" s="402"/>
      <c r="C1814" s="402"/>
      <c r="D1814" s="402"/>
      <c r="E1814" s="402"/>
      <c r="F1814" s="403"/>
      <c r="G1814" s="403"/>
      <c r="H1814" s="402"/>
      <c r="I1814" s="402"/>
      <c r="J1814" s="402"/>
      <c r="K1814" s="402"/>
      <c r="L1814" s="402"/>
      <c r="M1814" s="402"/>
      <c r="N1814" s="402"/>
      <c r="O1814" s="402"/>
      <c r="P1814" s="402"/>
      <c r="Q1814" s="402"/>
      <c r="R1814" s="402"/>
      <c r="S1814" s="402"/>
      <c r="T1814" s="402"/>
      <c r="U1814" s="402"/>
      <c r="V1814" s="402"/>
      <c r="W1814" s="402"/>
      <c r="X1814" s="402"/>
      <c r="Y1814" s="402"/>
      <c r="Z1814" s="402"/>
      <c r="AA1814" s="405"/>
      <c r="AB1814" s="405"/>
    </row>
    <row r="1815" ht="14.25" customHeight="1">
      <c r="A1815" s="497">
        <v>45538.0</v>
      </c>
      <c r="B1815" s="402"/>
      <c r="C1815" s="402"/>
      <c r="D1815" s="402"/>
      <c r="E1815" s="402"/>
      <c r="F1815" s="403"/>
      <c r="G1815" s="403"/>
      <c r="H1815" s="402"/>
      <c r="I1815" s="402"/>
      <c r="J1815" s="402"/>
      <c r="K1815" s="402"/>
      <c r="L1815" s="402"/>
      <c r="M1815" s="402"/>
      <c r="N1815" s="402"/>
      <c r="O1815" s="402"/>
      <c r="P1815" s="402"/>
      <c r="Q1815" s="402"/>
      <c r="R1815" s="402"/>
      <c r="S1815" s="402"/>
      <c r="T1815" s="402"/>
      <c r="U1815" s="402"/>
      <c r="V1815" s="402"/>
      <c r="W1815" s="402"/>
      <c r="X1815" s="402"/>
      <c r="Y1815" s="402"/>
      <c r="Z1815" s="402"/>
      <c r="AA1815" s="405"/>
      <c r="AB1815" s="405"/>
    </row>
    <row r="1816" ht="14.25" customHeight="1">
      <c r="A1816" s="497">
        <v>45538.0</v>
      </c>
      <c r="B1816" s="402"/>
      <c r="C1816" s="402"/>
      <c r="D1816" s="402"/>
      <c r="E1816" s="402"/>
      <c r="F1816" s="403"/>
      <c r="G1816" s="403"/>
      <c r="H1816" s="402"/>
      <c r="I1816" s="402"/>
      <c r="J1816" s="402"/>
      <c r="K1816" s="402"/>
      <c r="L1816" s="402"/>
      <c r="M1816" s="402"/>
      <c r="N1816" s="402"/>
      <c r="O1816" s="402"/>
      <c r="P1816" s="402"/>
      <c r="Q1816" s="402"/>
      <c r="R1816" s="402"/>
      <c r="S1816" s="402"/>
      <c r="T1816" s="402"/>
      <c r="U1816" s="402"/>
      <c r="V1816" s="402"/>
      <c r="W1816" s="402"/>
      <c r="X1816" s="402"/>
      <c r="Y1816" s="402"/>
      <c r="Z1816" s="402"/>
      <c r="AA1816" s="405"/>
      <c r="AB1816" s="405"/>
    </row>
    <row r="1817" ht="14.25" customHeight="1">
      <c r="A1817" s="497">
        <v>45538.0</v>
      </c>
      <c r="B1817" s="402"/>
      <c r="C1817" s="402"/>
      <c r="D1817" s="402"/>
      <c r="E1817" s="402"/>
      <c r="F1817" s="403"/>
      <c r="G1817" s="403"/>
      <c r="H1817" s="402"/>
      <c r="I1817" s="402"/>
      <c r="J1817" s="402"/>
      <c r="K1817" s="402"/>
      <c r="L1817" s="402"/>
      <c r="M1817" s="402"/>
      <c r="N1817" s="402"/>
      <c r="O1817" s="402"/>
      <c r="P1817" s="402"/>
      <c r="Q1817" s="402"/>
      <c r="R1817" s="402"/>
      <c r="S1817" s="402"/>
      <c r="T1817" s="402"/>
      <c r="U1817" s="402"/>
      <c r="V1817" s="402"/>
      <c r="W1817" s="402"/>
      <c r="X1817" s="402"/>
      <c r="Y1817" s="402"/>
      <c r="Z1817" s="402"/>
      <c r="AA1817" s="405"/>
      <c r="AB1817" s="405"/>
    </row>
    <row r="1818" ht="14.25" customHeight="1">
      <c r="A1818" s="497">
        <v>45538.0</v>
      </c>
      <c r="B1818" s="402"/>
      <c r="C1818" s="402"/>
      <c r="D1818" s="402"/>
      <c r="E1818" s="402"/>
      <c r="F1818" s="403"/>
      <c r="G1818" s="403"/>
      <c r="H1818" s="402"/>
      <c r="I1818" s="402"/>
      <c r="J1818" s="402"/>
      <c r="K1818" s="402"/>
      <c r="L1818" s="402"/>
      <c r="M1818" s="402"/>
      <c r="N1818" s="402"/>
      <c r="O1818" s="402"/>
      <c r="P1818" s="402"/>
      <c r="Q1818" s="402"/>
      <c r="R1818" s="402"/>
      <c r="S1818" s="402"/>
      <c r="T1818" s="402"/>
      <c r="U1818" s="402"/>
      <c r="V1818" s="402"/>
      <c r="W1818" s="402"/>
      <c r="X1818" s="402"/>
      <c r="Y1818" s="402"/>
      <c r="Z1818" s="402"/>
      <c r="AA1818" s="405"/>
      <c r="AB1818" s="405"/>
    </row>
    <row r="1819" ht="14.25" customHeight="1">
      <c r="A1819" s="497">
        <v>45538.0</v>
      </c>
      <c r="B1819" s="402"/>
      <c r="C1819" s="402"/>
      <c r="D1819" s="402"/>
      <c r="E1819" s="402"/>
      <c r="F1819" s="403"/>
      <c r="G1819" s="403"/>
      <c r="H1819" s="402"/>
      <c r="I1819" s="402"/>
      <c r="J1819" s="402"/>
      <c r="K1819" s="402"/>
      <c r="L1819" s="402"/>
      <c r="M1819" s="402"/>
      <c r="N1819" s="402"/>
      <c r="O1819" s="402"/>
      <c r="P1819" s="402"/>
      <c r="Q1819" s="402"/>
      <c r="R1819" s="402"/>
      <c r="S1819" s="402"/>
      <c r="T1819" s="402"/>
      <c r="U1819" s="402"/>
      <c r="V1819" s="402"/>
      <c r="W1819" s="402"/>
      <c r="X1819" s="402"/>
      <c r="Y1819" s="402"/>
      <c r="Z1819" s="402"/>
      <c r="AA1819" s="405"/>
      <c r="AB1819" s="405"/>
    </row>
    <row r="1820" ht="14.25" customHeight="1">
      <c r="A1820" s="497">
        <v>45538.0</v>
      </c>
      <c r="B1820" s="402"/>
      <c r="C1820" s="402"/>
      <c r="D1820" s="402"/>
      <c r="E1820" s="402"/>
      <c r="F1820" s="403"/>
      <c r="G1820" s="403"/>
      <c r="H1820" s="402"/>
      <c r="I1820" s="402"/>
      <c r="J1820" s="402"/>
      <c r="K1820" s="402"/>
      <c r="L1820" s="402"/>
      <c r="M1820" s="402"/>
      <c r="N1820" s="402"/>
      <c r="O1820" s="402"/>
      <c r="P1820" s="402"/>
      <c r="Q1820" s="402"/>
      <c r="R1820" s="402"/>
      <c r="S1820" s="402"/>
      <c r="T1820" s="402"/>
      <c r="U1820" s="402"/>
      <c r="V1820" s="402"/>
      <c r="W1820" s="402"/>
      <c r="X1820" s="402"/>
      <c r="Y1820" s="402"/>
      <c r="Z1820" s="402"/>
      <c r="AA1820" s="405"/>
      <c r="AB1820" s="405"/>
    </row>
    <row r="1821" ht="14.25" customHeight="1">
      <c r="A1821" s="497">
        <v>45538.0</v>
      </c>
      <c r="B1821" s="402"/>
      <c r="C1821" s="402"/>
      <c r="D1821" s="402"/>
      <c r="E1821" s="402"/>
      <c r="F1821" s="403"/>
      <c r="G1821" s="403"/>
      <c r="H1821" s="402"/>
      <c r="I1821" s="402"/>
      <c r="J1821" s="402"/>
      <c r="K1821" s="402"/>
      <c r="L1821" s="402"/>
      <c r="M1821" s="402"/>
      <c r="N1821" s="402"/>
      <c r="O1821" s="402"/>
      <c r="P1821" s="402"/>
      <c r="Q1821" s="402"/>
      <c r="R1821" s="402"/>
      <c r="S1821" s="402"/>
      <c r="T1821" s="402"/>
      <c r="U1821" s="402"/>
      <c r="V1821" s="402"/>
      <c r="W1821" s="402"/>
      <c r="X1821" s="402"/>
      <c r="Y1821" s="402"/>
      <c r="Z1821" s="402"/>
      <c r="AA1821" s="405"/>
      <c r="AB1821" s="405"/>
    </row>
    <row r="1822" ht="14.25" customHeight="1">
      <c r="A1822" s="497">
        <v>45538.0</v>
      </c>
      <c r="B1822" s="402"/>
      <c r="C1822" s="402"/>
      <c r="D1822" s="402"/>
      <c r="E1822" s="402"/>
      <c r="F1822" s="403"/>
      <c r="G1822" s="403"/>
      <c r="H1822" s="402"/>
      <c r="I1822" s="402"/>
      <c r="J1822" s="402"/>
      <c r="K1822" s="402"/>
      <c r="L1822" s="402"/>
      <c r="M1822" s="402"/>
      <c r="N1822" s="402"/>
      <c r="O1822" s="402"/>
      <c r="P1822" s="402"/>
      <c r="Q1822" s="402"/>
      <c r="R1822" s="402"/>
      <c r="S1822" s="402"/>
      <c r="T1822" s="402"/>
      <c r="U1822" s="402"/>
      <c r="V1822" s="402"/>
      <c r="W1822" s="402"/>
      <c r="X1822" s="402"/>
      <c r="Y1822" s="402"/>
      <c r="Z1822" s="402"/>
      <c r="AA1822" s="405"/>
      <c r="AB1822" s="405"/>
    </row>
    <row r="1823" ht="14.25" customHeight="1">
      <c r="A1823" s="497">
        <v>45538.0</v>
      </c>
      <c r="B1823" s="402"/>
      <c r="C1823" s="402"/>
      <c r="D1823" s="402"/>
      <c r="E1823" s="402"/>
      <c r="F1823" s="403"/>
      <c r="G1823" s="403"/>
      <c r="H1823" s="402"/>
      <c r="I1823" s="402"/>
      <c r="J1823" s="402"/>
      <c r="K1823" s="402"/>
      <c r="L1823" s="402"/>
      <c r="M1823" s="402"/>
      <c r="N1823" s="402"/>
      <c r="O1823" s="402"/>
      <c r="P1823" s="402"/>
      <c r="Q1823" s="402"/>
      <c r="R1823" s="402"/>
      <c r="S1823" s="402"/>
      <c r="T1823" s="402"/>
      <c r="U1823" s="402"/>
      <c r="V1823" s="402"/>
      <c r="W1823" s="402"/>
      <c r="X1823" s="402"/>
      <c r="Y1823" s="402"/>
      <c r="Z1823" s="402"/>
      <c r="AA1823" s="405"/>
      <c r="AB1823" s="405"/>
    </row>
    <row r="1824" ht="14.25" customHeight="1">
      <c r="A1824" s="497">
        <v>45538.0</v>
      </c>
      <c r="B1824" s="402"/>
      <c r="C1824" s="402"/>
      <c r="D1824" s="402"/>
      <c r="E1824" s="402"/>
      <c r="F1824" s="403"/>
      <c r="G1824" s="403"/>
      <c r="H1824" s="402"/>
      <c r="I1824" s="402"/>
      <c r="J1824" s="402"/>
      <c r="K1824" s="402"/>
      <c r="L1824" s="402"/>
      <c r="M1824" s="402"/>
      <c r="N1824" s="402"/>
      <c r="O1824" s="402"/>
      <c r="P1824" s="402"/>
      <c r="Q1824" s="402"/>
      <c r="R1824" s="402"/>
      <c r="S1824" s="402"/>
      <c r="T1824" s="402"/>
      <c r="U1824" s="402"/>
      <c r="V1824" s="402"/>
      <c r="W1824" s="402"/>
      <c r="X1824" s="402"/>
      <c r="Y1824" s="402"/>
      <c r="Z1824" s="402"/>
      <c r="AA1824" s="405"/>
      <c r="AB1824" s="405"/>
    </row>
    <row r="1825" ht="14.25" customHeight="1">
      <c r="A1825" s="497">
        <v>45538.0</v>
      </c>
      <c r="B1825" s="402"/>
      <c r="C1825" s="402"/>
      <c r="D1825" s="402"/>
      <c r="E1825" s="402"/>
      <c r="F1825" s="403"/>
      <c r="G1825" s="403"/>
      <c r="H1825" s="402"/>
      <c r="I1825" s="402"/>
      <c r="J1825" s="402"/>
      <c r="K1825" s="402"/>
      <c r="L1825" s="402"/>
      <c r="M1825" s="402"/>
      <c r="N1825" s="402"/>
      <c r="O1825" s="402"/>
      <c r="P1825" s="402"/>
      <c r="Q1825" s="402"/>
      <c r="R1825" s="402"/>
      <c r="S1825" s="402"/>
      <c r="T1825" s="402"/>
      <c r="U1825" s="402"/>
      <c r="V1825" s="402"/>
      <c r="W1825" s="402"/>
      <c r="X1825" s="402"/>
      <c r="Y1825" s="402"/>
      <c r="Z1825" s="402"/>
      <c r="AA1825" s="405"/>
      <c r="AB1825" s="405"/>
    </row>
    <row r="1826" ht="14.25" customHeight="1">
      <c r="A1826" s="497">
        <v>45538.0</v>
      </c>
      <c r="B1826" s="402"/>
      <c r="C1826" s="402"/>
      <c r="D1826" s="402"/>
      <c r="E1826" s="402"/>
      <c r="F1826" s="403"/>
      <c r="G1826" s="403"/>
      <c r="H1826" s="402"/>
      <c r="I1826" s="402"/>
      <c r="J1826" s="402"/>
      <c r="K1826" s="402"/>
      <c r="L1826" s="402"/>
      <c r="M1826" s="402"/>
      <c r="N1826" s="402"/>
      <c r="O1826" s="402"/>
      <c r="P1826" s="402"/>
      <c r="Q1826" s="402"/>
      <c r="R1826" s="402"/>
      <c r="S1826" s="402"/>
      <c r="T1826" s="402"/>
      <c r="U1826" s="402"/>
      <c r="V1826" s="402"/>
      <c r="W1826" s="402"/>
      <c r="X1826" s="402"/>
      <c r="Y1826" s="402"/>
      <c r="Z1826" s="402"/>
      <c r="AA1826" s="405"/>
      <c r="AB1826" s="405"/>
    </row>
    <row r="1827" ht="14.25" customHeight="1">
      <c r="A1827" s="497">
        <v>45538.0</v>
      </c>
      <c r="B1827" s="402"/>
      <c r="C1827" s="402"/>
      <c r="D1827" s="402"/>
      <c r="E1827" s="402"/>
      <c r="F1827" s="403"/>
      <c r="G1827" s="403"/>
      <c r="H1827" s="402"/>
      <c r="I1827" s="402"/>
      <c r="J1827" s="402"/>
      <c r="K1827" s="402"/>
      <c r="L1827" s="402"/>
      <c r="M1827" s="402"/>
      <c r="N1827" s="402"/>
      <c r="O1827" s="402"/>
      <c r="P1827" s="402"/>
      <c r="Q1827" s="402"/>
      <c r="R1827" s="402"/>
      <c r="S1827" s="402"/>
      <c r="T1827" s="402"/>
      <c r="U1827" s="402"/>
      <c r="V1827" s="402"/>
      <c r="W1827" s="402"/>
      <c r="X1827" s="402"/>
      <c r="Y1827" s="402"/>
      <c r="Z1827" s="402"/>
      <c r="AA1827" s="405"/>
      <c r="AB1827" s="405"/>
    </row>
    <row r="1828" ht="14.25" customHeight="1">
      <c r="A1828" s="497">
        <v>45538.0</v>
      </c>
      <c r="B1828" s="402"/>
      <c r="C1828" s="402"/>
      <c r="D1828" s="402"/>
      <c r="E1828" s="402"/>
      <c r="F1828" s="403"/>
      <c r="G1828" s="403"/>
      <c r="H1828" s="402"/>
      <c r="I1828" s="402"/>
      <c r="J1828" s="402"/>
      <c r="K1828" s="402"/>
      <c r="L1828" s="402"/>
      <c r="M1828" s="402"/>
      <c r="N1828" s="402"/>
      <c r="O1828" s="402"/>
      <c r="P1828" s="402"/>
      <c r="Q1828" s="402"/>
      <c r="R1828" s="402"/>
      <c r="S1828" s="402"/>
      <c r="T1828" s="402"/>
      <c r="U1828" s="402"/>
      <c r="V1828" s="402"/>
      <c r="W1828" s="402"/>
      <c r="X1828" s="402"/>
      <c r="Y1828" s="402"/>
      <c r="Z1828" s="402"/>
      <c r="AA1828" s="405"/>
      <c r="AB1828" s="405"/>
    </row>
    <row r="1829" ht="14.25" customHeight="1">
      <c r="A1829" s="497">
        <v>45538.0</v>
      </c>
      <c r="B1829" s="402"/>
      <c r="C1829" s="402"/>
      <c r="D1829" s="402"/>
      <c r="E1829" s="402"/>
      <c r="F1829" s="403"/>
      <c r="G1829" s="403"/>
      <c r="H1829" s="402"/>
      <c r="I1829" s="402"/>
      <c r="J1829" s="402"/>
      <c r="K1829" s="402"/>
      <c r="L1829" s="402"/>
      <c r="M1829" s="402"/>
      <c r="N1829" s="402"/>
      <c r="O1829" s="402"/>
      <c r="P1829" s="402"/>
      <c r="Q1829" s="402"/>
      <c r="R1829" s="402"/>
      <c r="S1829" s="402"/>
      <c r="T1829" s="402"/>
      <c r="U1829" s="402"/>
      <c r="V1829" s="402"/>
      <c r="W1829" s="402"/>
      <c r="X1829" s="402"/>
      <c r="Y1829" s="402"/>
      <c r="Z1829" s="402"/>
      <c r="AA1829" s="405"/>
      <c r="AB1829" s="405"/>
    </row>
    <row r="1830" ht="14.25" customHeight="1">
      <c r="A1830" s="497">
        <v>45538.0</v>
      </c>
      <c r="B1830" s="402"/>
      <c r="C1830" s="402"/>
      <c r="D1830" s="402"/>
      <c r="E1830" s="402"/>
      <c r="F1830" s="403"/>
      <c r="G1830" s="403"/>
      <c r="H1830" s="402"/>
      <c r="I1830" s="402"/>
      <c r="J1830" s="402"/>
      <c r="K1830" s="402"/>
      <c r="L1830" s="402"/>
      <c r="M1830" s="402"/>
      <c r="N1830" s="402"/>
      <c r="O1830" s="402"/>
      <c r="P1830" s="402"/>
      <c r="Q1830" s="402"/>
      <c r="R1830" s="402"/>
      <c r="S1830" s="402"/>
      <c r="T1830" s="402"/>
      <c r="U1830" s="402"/>
      <c r="V1830" s="402"/>
      <c r="W1830" s="402"/>
      <c r="X1830" s="402"/>
      <c r="Y1830" s="402"/>
      <c r="Z1830" s="402"/>
      <c r="AA1830" s="405"/>
      <c r="AB1830" s="405"/>
    </row>
    <row r="1831" ht="14.25" customHeight="1">
      <c r="A1831" s="497">
        <v>45538.0</v>
      </c>
      <c r="B1831" s="402"/>
      <c r="C1831" s="402"/>
      <c r="D1831" s="402"/>
      <c r="E1831" s="402"/>
      <c r="F1831" s="403"/>
      <c r="G1831" s="403"/>
      <c r="H1831" s="402"/>
      <c r="I1831" s="402"/>
      <c r="J1831" s="402"/>
      <c r="K1831" s="402"/>
      <c r="L1831" s="402"/>
      <c r="M1831" s="402"/>
      <c r="N1831" s="402"/>
      <c r="O1831" s="402"/>
      <c r="P1831" s="402"/>
      <c r="Q1831" s="402"/>
      <c r="R1831" s="402"/>
      <c r="S1831" s="402"/>
      <c r="T1831" s="402"/>
      <c r="U1831" s="402"/>
      <c r="V1831" s="402"/>
      <c r="W1831" s="402"/>
      <c r="X1831" s="402"/>
      <c r="Y1831" s="402"/>
      <c r="Z1831" s="402"/>
      <c r="AA1831" s="405"/>
      <c r="AB1831" s="405"/>
    </row>
    <row r="1832" ht="14.25" customHeight="1">
      <c r="A1832" s="497">
        <v>45538.0</v>
      </c>
      <c r="B1832" s="402"/>
      <c r="C1832" s="402"/>
      <c r="D1832" s="402"/>
      <c r="E1832" s="402"/>
      <c r="F1832" s="403"/>
      <c r="G1832" s="403"/>
      <c r="H1832" s="402"/>
      <c r="I1832" s="402"/>
      <c r="J1832" s="402"/>
      <c r="K1832" s="402"/>
      <c r="L1832" s="402"/>
      <c r="M1832" s="402"/>
      <c r="N1832" s="402"/>
      <c r="O1832" s="402"/>
      <c r="P1832" s="402"/>
      <c r="Q1832" s="402"/>
      <c r="R1832" s="402"/>
      <c r="S1832" s="402"/>
      <c r="T1832" s="402"/>
      <c r="U1832" s="402"/>
      <c r="V1832" s="402"/>
      <c r="W1832" s="402"/>
      <c r="X1832" s="402"/>
      <c r="Y1832" s="402"/>
      <c r="Z1832" s="402"/>
      <c r="AA1832" s="405"/>
      <c r="AB1832" s="405"/>
    </row>
    <row r="1833" ht="14.25" customHeight="1">
      <c r="A1833" s="497">
        <v>45538.0</v>
      </c>
      <c r="B1833" s="402"/>
      <c r="C1833" s="402"/>
      <c r="D1833" s="402"/>
      <c r="E1833" s="402"/>
      <c r="F1833" s="403"/>
      <c r="G1833" s="403"/>
      <c r="H1833" s="402"/>
      <c r="I1833" s="402"/>
      <c r="J1833" s="402"/>
      <c r="K1833" s="402"/>
      <c r="L1833" s="402"/>
      <c r="M1833" s="402"/>
      <c r="N1833" s="402"/>
      <c r="O1833" s="402"/>
      <c r="P1833" s="402"/>
      <c r="Q1833" s="402"/>
      <c r="R1833" s="402"/>
      <c r="S1833" s="402"/>
      <c r="T1833" s="402"/>
      <c r="U1833" s="402"/>
      <c r="V1833" s="402"/>
      <c r="W1833" s="402"/>
      <c r="X1833" s="402"/>
      <c r="Y1833" s="402"/>
      <c r="Z1833" s="402"/>
      <c r="AA1833" s="405"/>
      <c r="AB1833" s="405"/>
    </row>
    <row r="1834" ht="14.25" customHeight="1">
      <c r="A1834" s="497">
        <v>45538.0</v>
      </c>
      <c r="B1834" s="402"/>
      <c r="C1834" s="402"/>
      <c r="D1834" s="402"/>
      <c r="E1834" s="402"/>
      <c r="F1834" s="403"/>
      <c r="G1834" s="403"/>
      <c r="H1834" s="402"/>
      <c r="I1834" s="402"/>
      <c r="J1834" s="402"/>
      <c r="K1834" s="402"/>
      <c r="L1834" s="402"/>
      <c r="M1834" s="402"/>
      <c r="N1834" s="402"/>
      <c r="O1834" s="402"/>
      <c r="P1834" s="402"/>
      <c r="Q1834" s="402"/>
      <c r="R1834" s="402"/>
      <c r="S1834" s="402"/>
      <c r="T1834" s="402"/>
      <c r="U1834" s="402"/>
      <c r="V1834" s="402"/>
      <c r="W1834" s="402"/>
      <c r="X1834" s="402"/>
      <c r="Y1834" s="402"/>
      <c r="Z1834" s="402"/>
      <c r="AA1834" s="405"/>
      <c r="AB1834" s="405"/>
    </row>
    <row r="1835" ht="14.25" customHeight="1">
      <c r="A1835" s="497">
        <v>45538.0</v>
      </c>
      <c r="B1835" s="402"/>
      <c r="C1835" s="402"/>
      <c r="D1835" s="402"/>
      <c r="E1835" s="402"/>
      <c r="F1835" s="403"/>
      <c r="G1835" s="403"/>
      <c r="H1835" s="402"/>
      <c r="I1835" s="402"/>
      <c r="J1835" s="402"/>
      <c r="K1835" s="402"/>
      <c r="L1835" s="402"/>
      <c r="M1835" s="402"/>
      <c r="N1835" s="402"/>
      <c r="O1835" s="402"/>
      <c r="P1835" s="402"/>
      <c r="Q1835" s="402"/>
      <c r="R1835" s="402"/>
      <c r="S1835" s="402"/>
      <c r="T1835" s="402"/>
      <c r="U1835" s="402"/>
      <c r="V1835" s="402"/>
      <c r="W1835" s="402"/>
      <c r="X1835" s="402"/>
      <c r="Y1835" s="402"/>
      <c r="Z1835" s="402"/>
      <c r="AA1835" s="405"/>
      <c r="AB1835" s="405"/>
    </row>
    <row r="1836" ht="14.25" customHeight="1">
      <c r="A1836" s="497">
        <v>45538.0</v>
      </c>
      <c r="B1836" s="402"/>
      <c r="C1836" s="402"/>
      <c r="D1836" s="402"/>
      <c r="E1836" s="402"/>
      <c r="F1836" s="403"/>
      <c r="G1836" s="403"/>
      <c r="H1836" s="402"/>
      <c r="I1836" s="402"/>
      <c r="J1836" s="402"/>
      <c r="K1836" s="402"/>
      <c r="L1836" s="402"/>
      <c r="M1836" s="402"/>
      <c r="N1836" s="402"/>
      <c r="O1836" s="402"/>
      <c r="P1836" s="402"/>
      <c r="Q1836" s="402"/>
      <c r="R1836" s="402"/>
      <c r="S1836" s="402"/>
      <c r="T1836" s="402"/>
      <c r="U1836" s="402"/>
      <c r="V1836" s="402"/>
      <c r="W1836" s="402"/>
      <c r="X1836" s="402"/>
      <c r="Y1836" s="402"/>
      <c r="Z1836" s="402"/>
      <c r="AA1836" s="405"/>
      <c r="AB1836" s="405"/>
    </row>
    <row r="1837" ht="14.25" customHeight="1">
      <c r="A1837" s="497">
        <v>45538.0</v>
      </c>
      <c r="B1837" s="402"/>
      <c r="C1837" s="402"/>
      <c r="D1837" s="402"/>
      <c r="E1837" s="402"/>
      <c r="F1837" s="403"/>
      <c r="G1837" s="403"/>
      <c r="H1837" s="402"/>
      <c r="I1837" s="402"/>
      <c r="J1837" s="402"/>
      <c r="K1837" s="402"/>
      <c r="L1837" s="402"/>
      <c r="M1837" s="402"/>
      <c r="N1837" s="402"/>
      <c r="O1837" s="402"/>
      <c r="P1837" s="402"/>
      <c r="Q1837" s="402"/>
      <c r="R1837" s="402"/>
      <c r="S1837" s="402"/>
      <c r="T1837" s="402"/>
      <c r="U1837" s="402"/>
      <c r="V1837" s="402"/>
      <c r="W1837" s="402"/>
      <c r="X1837" s="402"/>
      <c r="Y1837" s="402"/>
      <c r="Z1837" s="402"/>
      <c r="AA1837" s="405"/>
      <c r="AB1837" s="405"/>
    </row>
    <row r="1838" ht="14.25" customHeight="1">
      <c r="A1838" s="497">
        <v>45538.0</v>
      </c>
      <c r="B1838" s="402"/>
      <c r="C1838" s="402"/>
      <c r="D1838" s="402"/>
      <c r="E1838" s="402"/>
      <c r="F1838" s="403"/>
      <c r="G1838" s="403"/>
      <c r="H1838" s="402"/>
      <c r="I1838" s="402"/>
      <c r="J1838" s="402"/>
      <c r="K1838" s="402"/>
      <c r="L1838" s="402"/>
      <c r="M1838" s="402"/>
      <c r="N1838" s="402"/>
      <c r="O1838" s="402"/>
      <c r="P1838" s="402"/>
      <c r="Q1838" s="402"/>
      <c r="R1838" s="402"/>
      <c r="S1838" s="402"/>
      <c r="T1838" s="402"/>
      <c r="U1838" s="402"/>
      <c r="V1838" s="402"/>
      <c r="W1838" s="402"/>
      <c r="X1838" s="402"/>
      <c r="Y1838" s="402"/>
      <c r="Z1838" s="402"/>
      <c r="AA1838" s="405"/>
      <c r="AB1838" s="405"/>
    </row>
    <row r="1839" ht="14.25" customHeight="1">
      <c r="A1839" s="497">
        <v>45538.0</v>
      </c>
      <c r="B1839" s="402"/>
      <c r="C1839" s="402"/>
      <c r="D1839" s="402"/>
      <c r="E1839" s="402"/>
      <c r="F1839" s="403"/>
      <c r="G1839" s="403"/>
      <c r="H1839" s="402"/>
      <c r="I1839" s="402"/>
      <c r="J1839" s="402"/>
      <c r="K1839" s="402"/>
      <c r="L1839" s="402"/>
      <c r="M1839" s="402"/>
      <c r="N1839" s="402"/>
      <c r="O1839" s="402"/>
      <c r="P1839" s="402"/>
      <c r="Q1839" s="402"/>
      <c r="R1839" s="402"/>
      <c r="S1839" s="402"/>
      <c r="T1839" s="402"/>
      <c r="U1839" s="402"/>
      <c r="V1839" s="402"/>
      <c r="W1839" s="402"/>
      <c r="X1839" s="402"/>
      <c r="Y1839" s="402"/>
      <c r="Z1839" s="402"/>
      <c r="AA1839" s="405"/>
      <c r="AB1839" s="405"/>
    </row>
    <row r="1840" ht="14.25" customHeight="1">
      <c r="A1840" s="497">
        <v>45538.0</v>
      </c>
      <c r="B1840" s="402"/>
      <c r="C1840" s="402"/>
      <c r="D1840" s="402"/>
      <c r="E1840" s="402"/>
      <c r="F1840" s="403"/>
      <c r="G1840" s="403"/>
      <c r="H1840" s="402"/>
      <c r="I1840" s="402"/>
      <c r="J1840" s="402"/>
      <c r="K1840" s="402"/>
      <c r="L1840" s="402"/>
      <c r="M1840" s="402"/>
      <c r="N1840" s="402"/>
      <c r="O1840" s="402"/>
      <c r="P1840" s="402"/>
      <c r="Q1840" s="402"/>
      <c r="R1840" s="402"/>
      <c r="S1840" s="402"/>
      <c r="T1840" s="402"/>
      <c r="U1840" s="402"/>
      <c r="V1840" s="402"/>
      <c r="W1840" s="402"/>
      <c r="X1840" s="402"/>
      <c r="Y1840" s="402"/>
      <c r="Z1840" s="402"/>
      <c r="AA1840" s="405"/>
      <c r="AB1840" s="405"/>
    </row>
    <row r="1841" ht="14.25" customHeight="1">
      <c r="A1841" s="497">
        <v>45538.0</v>
      </c>
      <c r="B1841" s="402"/>
      <c r="C1841" s="402"/>
      <c r="D1841" s="402"/>
      <c r="E1841" s="402"/>
      <c r="F1841" s="403"/>
      <c r="G1841" s="403"/>
      <c r="H1841" s="402"/>
      <c r="I1841" s="402"/>
      <c r="J1841" s="402"/>
      <c r="K1841" s="402"/>
      <c r="L1841" s="402"/>
      <c r="M1841" s="402"/>
      <c r="N1841" s="402"/>
      <c r="O1841" s="402"/>
      <c r="P1841" s="402"/>
      <c r="Q1841" s="402"/>
      <c r="R1841" s="402"/>
      <c r="S1841" s="402"/>
      <c r="T1841" s="402"/>
      <c r="U1841" s="402"/>
      <c r="V1841" s="402"/>
      <c r="W1841" s="402"/>
      <c r="X1841" s="402"/>
      <c r="Y1841" s="402"/>
      <c r="Z1841" s="402"/>
      <c r="AA1841" s="405"/>
      <c r="AB1841" s="405"/>
    </row>
    <row r="1842" ht="14.25" customHeight="1">
      <c r="A1842" s="497">
        <v>45538.0</v>
      </c>
      <c r="B1842" s="402"/>
      <c r="C1842" s="402"/>
      <c r="D1842" s="402"/>
      <c r="E1842" s="402"/>
      <c r="F1842" s="403"/>
      <c r="G1842" s="403"/>
      <c r="H1842" s="402"/>
      <c r="I1842" s="402"/>
      <c r="J1842" s="402"/>
      <c r="K1842" s="402"/>
      <c r="L1842" s="402"/>
      <c r="M1842" s="402"/>
      <c r="N1842" s="402"/>
      <c r="O1842" s="402"/>
      <c r="P1842" s="402"/>
      <c r="Q1842" s="402"/>
      <c r="R1842" s="402"/>
      <c r="S1842" s="402"/>
      <c r="T1842" s="402"/>
      <c r="U1842" s="402"/>
      <c r="V1842" s="402"/>
      <c r="W1842" s="402"/>
      <c r="X1842" s="402"/>
      <c r="Y1842" s="402"/>
      <c r="Z1842" s="402"/>
      <c r="AA1842" s="405"/>
      <c r="AB1842" s="405"/>
    </row>
    <row r="1843" ht="14.25" customHeight="1">
      <c r="A1843" s="497">
        <v>45538.0</v>
      </c>
      <c r="B1843" s="402"/>
      <c r="C1843" s="402"/>
      <c r="D1843" s="402"/>
      <c r="E1843" s="402"/>
      <c r="F1843" s="403"/>
      <c r="G1843" s="403"/>
      <c r="H1843" s="402"/>
      <c r="I1843" s="402"/>
      <c r="J1843" s="402"/>
      <c r="K1843" s="402"/>
      <c r="L1843" s="402"/>
      <c r="M1843" s="402"/>
      <c r="N1843" s="402"/>
      <c r="O1843" s="402"/>
      <c r="P1843" s="402"/>
      <c r="Q1843" s="402"/>
      <c r="R1843" s="402"/>
      <c r="S1843" s="402"/>
      <c r="T1843" s="402"/>
      <c r="U1843" s="402"/>
      <c r="V1843" s="402"/>
      <c r="W1843" s="402"/>
      <c r="X1843" s="402"/>
      <c r="Y1843" s="402"/>
      <c r="Z1843" s="402"/>
      <c r="AA1843" s="405"/>
      <c r="AB1843" s="405"/>
    </row>
    <row r="1844" ht="14.25" customHeight="1">
      <c r="A1844" s="497">
        <v>45538.0</v>
      </c>
      <c r="B1844" s="402"/>
      <c r="C1844" s="402"/>
      <c r="D1844" s="402"/>
      <c r="E1844" s="402"/>
      <c r="F1844" s="403"/>
      <c r="G1844" s="403"/>
      <c r="H1844" s="402"/>
      <c r="I1844" s="402"/>
      <c r="J1844" s="402"/>
      <c r="K1844" s="402"/>
      <c r="L1844" s="402"/>
      <c r="M1844" s="402"/>
      <c r="N1844" s="402"/>
      <c r="O1844" s="402"/>
      <c r="P1844" s="402"/>
      <c r="Q1844" s="402"/>
      <c r="R1844" s="402"/>
      <c r="S1844" s="402"/>
      <c r="T1844" s="402"/>
      <c r="U1844" s="402"/>
      <c r="V1844" s="402"/>
      <c r="W1844" s="402"/>
      <c r="X1844" s="402"/>
      <c r="Y1844" s="402"/>
      <c r="Z1844" s="402"/>
      <c r="AA1844" s="405"/>
      <c r="AB1844" s="405"/>
    </row>
    <row r="1845" ht="14.25" customHeight="1">
      <c r="A1845" s="497">
        <v>45538.0</v>
      </c>
      <c r="B1845" s="402"/>
      <c r="C1845" s="402"/>
      <c r="D1845" s="402"/>
      <c r="E1845" s="402"/>
      <c r="F1845" s="403"/>
      <c r="G1845" s="403"/>
      <c r="H1845" s="402"/>
      <c r="I1845" s="402"/>
      <c r="J1845" s="402"/>
      <c r="K1845" s="402"/>
      <c r="L1845" s="402"/>
      <c r="M1845" s="402"/>
      <c r="N1845" s="402"/>
      <c r="O1845" s="402"/>
      <c r="P1845" s="402"/>
      <c r="Q1845" s="402"/>
      <c r="R1845" s="402"/>
      <c r="S1845" s="402"/>
      <c r="T1845" s="402"/>
      <c r="U1845" s="402"/>
      <c r="V1845" s="402"/>
      <c r="W1845" s="402"/>
      <c r="X1845" s="402"/>
      <c r="Y1845" s="402"/>
      <c r="Z1845" s="402"/>
      <c r="AA1845" s="405"/>
      <c r="AB1845" s="405"/>
    </row>
    <row r="1846" ht="14.25" customHeight="1">
      <c r="A1846" s="497">
        <v>45538.0</v>
      </c>
      <c r="B1846" s="402"/>
      <c r="C1846" s="402"/>
      <c r="D1846" s="402"/>
      <c r="E1846" s="402"/>
      <c r="F1846" s="403"/>
      <c r="G1846" s="403"/>
      <c r="H1846" s="402"/>
      <c r="I1846" s="402"/>
      <c r="J1846" s="402"/>
      <c r="K1846" s="402"/>
      <c r="L1846" s="402"/>
      <c r="M1846" s="402"/>
      <c r="N1846" s="402"/>
      <c r="O1846" s="402"/>
      <c r="P1846" s="402"/>
      <c r="Q1846" s="402"/>
      <c r="R1846" s="402"/>
      <c r="S1846" s="402"/>
      <c r="T1846" s="402"/>
      <c r="U1846" s="402"/>
      <c r="V1846" s="402"/>
      <c r="W1846" s="402"/>
      <c r="X1846" s="402"/>
      <c r="Y1846" s="402"/>
      <c r="Z1846" s="402"/>
      <c r="AA1846" s="405"/>
      <c r="AB1846" s="405"/>
    </row>
    <row r="1847" ht="14.25" customHeight="1">
      <c r="A1847" s="497">
        <v>45538.0</v>
      </c>
      <c r="B1847" s="402"/>
      <c r="C1847" s="402"/>
      <c r="D1847" s="402"/>
      <c r="E1847" s="402"/>
      <c r="F1847" s="403"/>
      <c r="G1847" s="403"/>
      <c r="H1847" s="402"/>
      <c r="I1847" s="402"/>
      <c r="J1847" s="402"/>
      <c r="K1847" s="402"/>
      <c r="L1847" s="402"/>
      <c r="M1847" s="402"/>
      <c r="N1847" s="402"/>
      <c r="O1847" s="402"/>
      <c r="P1847" s="402"/>
      <c r="Q1847" s="402"/>
      <c r="R1847" s="402"/>
      <c r="S1847" s="402"/>
      <c r="T1847" s="402"/>
      <c r="U1847" s="402"/>
      <c r="V1847" s="402"/>
      <c r="W1847" s="402"/>
      <c r="X1847" s="402"/>
      <c r="Y1847" s="402"/>
      <c r="Z1847" s="402"/>
      <c r="AA1847" s="405"/>
      <c r="AB1847" s="405"/>
    </row>
    <row r="1848" ht="14.25" customHeight="1">
      <c r="A1848" s="497">
        <v>45538.0</v>
      </c>
      <c r="B1848" s="402"/>
      <c r="C1848" s="402"/>
      <c r="D1848" s="402"/>
      <c r="E1848" s="402"/>
      <c r="F1848" s="403"/>
      <c r="G1848" s="403"/>
      <c r="H1848" s="402"/>
      <c r="I1848" s="402"/>
      <c r="J1848" s="402"/>
      <c r="K1848" s="402"/>
      <c r="L1848" s="402"/>
      <c r="M1848" s="402"/>
      <c r="N1848" s="402"/>
      <c r="O1848" s="402"/>
      <c r="P1848" s="402"/>
      <c r="Q1848" s="402"/>
      <c r="R1848" s="402"/>
      <c r="S1848" s="402"/>
      <c r="T1848" s="402"/>
      <c r="U1848" s="402"/>
      <c r="V1848" s="402"/>
      <c r="W1848" s="402"/>
      <c r="X1848" s="402"/>
      <c r="Y1848" s="402"/>
      <c r="Z1848" s="402"/>
      <c r="AA1848" s="405"/>
      <c r="AB1848" s="405"/>
    </row>
    <row r="1849" ht="14.25" customHeight="1">
      <c r="A1849" s="497">
        <v>45538.0</v>
      </c>
      <c r="B1849" s="402"/>
      <c r="C1849" s="402"/>
      <c r="D1849" s="402"/>
      <c r="E1849" s="402"/>
      <c r="F1849" s="403"/>
      <c r="G1849" s="403"/>
      <c r="H1849" s="402"/>
      <c r="I1849" s="402"/>
      <c r="J1849" s="402"/>
      <c r="K1849" s="402"/>
      <c r="L1849" s="402"/>
      <c r="M1849" s="402"/>
      <c r="N1849" s="402"/>
      <c r="O1849" s="402"/>
      <c r="P1849" s="402"/>
      <c r="Q1849" s="402"/>
      <c r="R1849" s="402"/>
      <c r="S1849" s="402"/>
      <c r="T1849" s="402"/>
      <c r="U1849" s="402"/>
      <c r="V1849" s="402"/>
      <c r="W1849" s="402"/>
      <c r="X1849" s="402"/>
      <c r="Y1849" s="402"/>
      <c r="Z1849" s="402"/>
      <c r="AA1849" s="405"/>
      <c r="AB1849" s="405"/>
    </row>
    <row r="1850" ht="14.25" customHeight="1">
      <c r="A1850" s="497">
        <v>45538.0</v>
      </c>
      <c r="B1850" s="402"/>
      <c r="C1850" s="402"/>
      <c r="D1850" s="402"/>
      <c r="E1850" s="402"/>
      <c r="F1850" s="403"/>
      <c r="G1850" s="403"/>
      <c r="H1850" s="402"/>
      <c r="I1850" s="402"/>
      <c r="J1850" s="402"/>
      <c r="K1850" s="402"/>
      <c r="L1850" s="402"/>
      <c r="M1850" s="402"/>
      <c r="N1850" s="402"/>
      <c r="O1850" s="402"/>
      <c r="P1850" s="402"/>
      <c r="Q1850" s="402"/>
      <c r="R1850" s="402"/>
      <c r="S1850" s="402"/>
      <c r="T1850" s="402"/>
      <c r="U1850" s="402"/>
      <c r="V1850" s="402"/>
      <c r="W1850" s="402"/>
      <c r="X1850" s="402"/>
      <c r="Y1850" s="402"/>
      <c r="Z1850" s="402"/>
      <c r="AA1850" s="405"/>
      <c r="AB1850" s="405"/>
    </row>
    <row r="1851" ht="14.25" customHeight="1">
      <c r="A1851" s="497">
        <v>45538.0</v>
      </c>
      <c r="B1851" s="402"/>
      <c r="C1851" s="402"/>
      <c r="D1851" s="402"/>
      <c r="E1851" s="402"/>
      <c r="F1851" s="403"/>
      <c r="G1851" s="403"/>
      <c r="H1851" s="402"/>
      <c r="I1851" s="402"/>
      <c r="J1851" s="402"/>
      <c r="K1851" s="402"/>
      <c r="L1851" s="402"/>
      <c r="M1851" s="402"/>
      <c r="N1851" s="402"/>
      <c r="O1851" s="402"/>
      <c r="P1851" s="402"/>
      <c r="Q1851" s="402"/>
      <c r="R1851" s="402"/>
      <c r="S1851" s="402"/>
      <c r="T1851" s="402"/>
      <c r="U1851" s="402"/>
      <c r="V1851" s="402"/>
      <c r="W1851" s="402"/>
      <c r="X1851" s="402"/>
      <c r="Y1851" s="402"/>
      <c r="Z1851" s="402"/>
      <c r="AA1851" s="405"/>
      <c r="AB1851" s="405"/>
    </row>
    <row r="1852" ht="14.25" customHeight="1">
      <c r="A1852" s="497">
        <v>45538.0</v>
      </c>
      <c r="B1852" s="402"/>
      <c r="C1852" s="402"/>
      <c r="D1852" s="402"/>
      <c r="E1852" s="402"/>
      <c r="F1852" s="403"/>
      <c r="G1852" s="403"/>
      <c r="H1852" s="402"/>
      <c r="I1852" s="402"/>
      <c r="J1852" s="402"/>
      <c r="K1852" s="402"/>
      <c r="L1852" s="402"/>
      <c r="M1852" s="402"/>
      <c r="N1852" s="402"/>
      <c r="O1852" s="402"/>
      <c r="P1852" s="402"/>
      <c r="Q1852" s="402"/>
      <c r="R1852" s="402"/>
      <c r="S1852" s="402"/>
      <c r="T1852" s="402"/>
      <c r="U1852" s="402"/>
      <c r="V1852" s="402"/>
      <c r="W1852" s="402"/>
      <c r="X1852" s="402"/>
      <c r="Y1852" s="402"/>
      <c r="Z1852" s="402"/>
      <c r="AA1852" s="405"/>
      <c r="AB1852" s="405"/>
    </row>
    <row r="1853" ht="14.25" customHeight="1">
      <c r="A1853" s="497">
        <v>45538.0</v>
      </c>
      <c r="B1853" s="402"/>
      <c r="C1853" s="402"/>
      <c r="D1853" s="402"/>
      <c r="E1853" s="402"/>
      <c r="F1853" s="403"/>
      <c r="G1853" s="403"/>
      <c r="H1853" s="402"/>
      <c r="I1853" s="402"/>
      <c r="J1853" s="402"/>
      <c r="K1853" s="402"/>
      <c r="L1853" s="402"/>
      <c r="M1853" s="402"/>
      <c r="N1853" s="402"/>
      <c r="O1853" s="402"/>
      <c r="P1853" s="402"/>
      <c r="Q1853" s="402"/>
      <c r="R1853" s="402"/>
      <c r="S1853" s="402"/>
      <c r="T1853" s="402"/>
      <c r="U1853" s="402"/>
      <c r="V1853" s="402"/>
      <c r="W1853" s="402"/>
      <c r="X1853" s="402"/>
      <c r="Y1853" s="402"/>
      <c r="Z1853" s="402"/>
      <c r="AA1853" s="405"/>
      <c r="AB1853" s="405"/>
    </row>
    <row r="1854" ht="14.25" customHeight="1">
      <c r="A1854" s="402"/>
      <c r="B1854" s="402"/>
      <c r="C1854" s="402"/>
      <c r="D1854" s="402"/>
      <c r="E1854" s="402"/>
      <c r="F1854" s="403"/>
      <c r="G1854" s="403"/>
      <c r="H1854" s="402"/>
      <c r="I1854" s="402"/>
      <c r="J1854" s="402"/>
      <c r="K1854" s="402"/>
      <c r="L1854" s="402"/>
      <c r="M1854" s="402"/>
      <c r="N1854" s="402"/>
      <c r="O1854" s="402"/>
      <c r="P1854" s="402"/>
      <c r="Q1854" s="402"/>
      <c r="R1854" s="402"/>
      <c r="S1854" s="402"/>
      <c r="T1854" s="402"/>
      <c r="U1854" s="402"/>
      <c r="V1854" s="402"/>
      <c r="W1854" s="402"/>
      <c r="X1854" s="402"/>
      <c r="Y1854" s="402"/>
      <c r="Z1854" s="402"/>
      <c r="AA1854" s="405"/>
      <c r="AB1854" s="405"/>
    </row>
    <row r="1855" ht="14.25" customHeight="1">
      <c r="A1855" s="402"/>
      <c r="B1855" s="402"/>
      <c r="C1855" s="402"/>
      <c r="D1855" s="402"/>
      <c r="E1855" s="402"/>
      <c r="F1855" s="403"/>
      <c r="G1855" s="403"/>
      <c r="H1855" s="402"/>
      <c r="I1855" s="402"/>
      <c r="J1855" s="402"/>
      <c r="K1855" s="402"/>
      <c r="L1855" s="402"/>
      <c r="M1855" s="402"/>
      <c r="N1855" s="402"/>
      <c r="O1855" s="402"/>
      <c r="P1855" s="402"/>
      <c r="Q1855" s="402"/>
      <c r="R1855" s="402"/>
      <c r="S1855" s="402"/>
      <c r="T1855" s="402"/>
      <c r="U1855" s="402"/>
      <c r="V1855" s="402"/>
      <c r="W1855" s="402"/>
      <c r="X1855" s="402"/>
      <c r="Y1855" s="402"/>
      <c r="Z1855" s="402"/>
      <c r="AA1855" s="405"/>
      <c r="AB1855" s="405"/>
    </row>
    <row r="1856" ht="14.25" customHeight="1">
      <c r="A1856" s="402"/>
      <c r="B1856" s="402"/>
      <c r="C1856" s="402"/>
      <c r="D1856" s="402"/>
      <c r="E1856" s="402"/>
      <c r="F1856" s="403"/>
      <c r="G1856" s="403"/>
      <c r="H1856" s="402"/>
      <c r="I1856" s="402"/>
      <c r="J1856" s="402"/>
      <c r="K1856" s="402"/>
      <c r="L1856" s="402"/>
      <c r="M1856" s="402"/>
      <c r="N1856" s="402"/>
      <c r="O1856" s="402"/>
      <c r="P1856" s="402"/>
      <c r="Q1856" s="402"/>
      <c r="R1856" s="402"/>
      <c r="S1856" s="402"/>
      <c r="T1856" s="402"/>
      <c r="U1856" s="402"/>
      <c r="V1856" s="402"/>
      <c r="W1856" s="402"/>
      <c r="X1856" s="402"/>
      <c r="Y1856" s="402"/>
      <c r="Z1856" s="402"/>
      <c r="AA1856" s="405"/>
      <c r="AB1856" s="405"/>
    </row>
    <row r="1857" ht="14.25" customHeight="1">
      <c r="A1857" s="402"/>
      <c r="B1857" s="402"/>
      <c r="C1857" s="402"/>
      <c r="D1857" s="402"/>
      <c r="E1857" s="402"/>
      <c r="F1857" s="403"/>
      <c r="G1857" s="403"/>
      <c r="H1857" s="402"/>
      <c r="I1857" s="402"/>
      <c r="J1857" s="402"/>
      <c r="K1857" s="402"/>
      <c r="L1857" s="402"/>
      <c r="M1857" s="402"/>
      <c r="N1857" s="402"/>
      <c r="O1857" s="402"/>
      <c r="P1857" s="402"/>
      <c r="Q1857" s="402"/>
      <c r="R1857" s="402"/>
      <c r="S1857" s="402"/>
      <c r="T1857" s="402"/>
      <c r="U1857" s="402"/>
      <c r="V1857" s="402"/>
      <c r="W1857" s="402"/>
      <c r="X1857" s="402"/>
      <c r="Y1857" s="402"/>
      <c r="Z1857" s="402"/>
      <c r="AA1857" s="405"/>
      <c r="AB1857" s="405"/>
    </row>
    <row r="1858" ht="14.25" customHeight="1">
      <c r="A1858" s="402"/>
      <c r="B1858" s="402"/>
      <c r="C1858" s="402"/>
      <c r="D1858" s="402"/>
      <c r="E1858" s="402"/>
      <c r="F1858" s="403"/>
      <c r="G1858" s="403"/>
      <c r="H1858" s="402"/>
      <c r="I1858" s="402"/>
      <c r="J1858" s="402"/>
      <c r="K1858" s="402"/>
      <c r="L1858" s="402"/>
      <c r="M1858" s="402"/>
      <c r="N1858" s="402"/>
      <c r="O1858" s="402"/>
      <c r="P1858" s="402"/>
      <c r="Q1858" s="402"/>
      <c r="R1858" s="402"/>
      <c r="S1858" s="402"/>
      <c r="T1858" s="402"/>
      <c r="U1858" s="402"/>
      <c r="V1858" s="402"/>
      <c r="W1858" s="402"/>
      <c r="X1858" s="402"/>
      <c r="Y1858" s="402"/>
      <c r="Z1858" s="402"/>
      <c r="AA1858" s="405"/>
      <c r="AB1858" s="405"/>
    </row>
    <row r="1859" ht="14.25" customHeight="1">
      <c r="A1859" s="402"/>
      <c r="B1859" s="402"/>
      <c r="C1859" s="402"/>
      <c r="D1859" s="402"/>
      <c r="E1859" s="402"/>
      <c r="F1859" s="403"/>
      <c r="G1859" s="403"/>
      <c r="H1859" s="402"/>
      <c r="I1859" s="402"/>
      <c r="J1859" s="402"/>
      <c r="K1859" s="402"/>
      <c r="L1859" s="402"/>
      <c r="M1859" s="402"/>
      <c r="N1859" s="402"/>
      <c r="O1859" s="402"/>
      <c r="P1859" s="402"/>
      <c r="Q1859" s="402"/>
      <c r="R1859" s="402"/>
      <c r="S1859" s="402"/>
      <c r="T1859" s="402"/>
      <c r="U1859" s="402"/>
      <c r="V1859" s="402"/>
      <c r="W1859" s="402"/>
      <c r="X1859" s="402"/>
      <c r="Y1859" s="402"/>
      <c r="Z1859" s="402"/>
      <c r="AA1859" s="405"/>
      <c r="AB1859" s="405"/>
    </row>
    <row r="1860" ht="14.25" customHeight="1">
      <c r="A1860" s="402"/>
      <c r="B1860" s="402"/>
      <c r="C1860" s="402"/>
      <c r="D1860" s="402"/>
      <c r="E1860" s="402"/>
      <c r="F1860" s="403"/>
      <c r="G1860" s="403"/>
      <c r="H1860" s="402"/>
      <c r="I1860" s="402"/>
      <c r="J1860" s="402"/>
      <c r="K1860" s="402"/>
      <c r="L1860" s="402"/>
      <c r="M1860" s="402"/>
      <c r="N1860" s="402"/>
      <c r="O1860" s="402"/>
      <c r="P1860" s="402"/>
      <c r="Q1860" s="402"/>
      <c r="R1860" s="402"/>
      <c r="S1860" s="402"/>
      <c r="T1860" s="402"/>
      <c r="U1860" s="402"/>
      <c r="V1860" s="402"/>
      <c r="W1860" s="402"/>
      <c r="X1860" s="402"/>
      <c r="Y1860" s="402"/>
      <c r="Z1860" s="402"/>
      <c r="AA1860" s="405"/>
      <c r="AB1860" s="405"/>
    </row>
    <row r="1861" ht="14.25" customHeight="1">
      <c r="A1861" s="402"/>
      <c r="B1861" s="402"/>
      <c r="C1861" s="402"/>
      <c r="D1861" s="402"/>
      <c r="E1861" s="402"/>
      <c r="F1861" s="403"/>
      <c r="G1861" s="403"/>
      <c r="H1861" s="402"/>
      <c r="I1861" s="402"/>
      <c r="J1861" s="402"/>
      <c r="K1861" s="402"/>
      <c r="L1861" s="402"/>
      <c r="M1861" s="402"/>
      <c r="N1861" s="402"/>
      <c r="O1861" s="402"/>
      <c r="P1861" s="402"/>
      <c r="Q1861" s="402"/>
      <c r="R1861" s="402"/>
      <c r="S1861" s="402"/>
      <c r="T1861" s="402"/>
      <c r="U1861" s="402"/>
      <c r="V1861" s="402"/>
      <c r="W1861" s="402"/>
      <c r="X1861" s="402"/>
      <c r="Y1861" s="402"/>
      <c r="Z1861" s="402"/>
      <c r="AA1861" s="405"/>
      <c r="AB1861" s="405"/>
    </row>
    <row r="1862" ht="14.25" customHeight="1">
      <c r="A1862" s="402"/>
      <c r="B1862" s="402"/>
      <c r="C1862" s="402"/>
      <c r="D1862" s="402"/>
      <c r="E1862" s="402"/>
      <c r="F1862" s="403"/>
      <c r="G1862" s="403"/>
      <c r="H1862" s="402"/>
      <c r="I1862" s="402"/>
      <c r="J1862" s="402"/>
      <c r="K1862" s="402"/>
      <c r="L1862" s="402"/>
      <c r="M1862" s="402"/>
      <c r="N1862" s="402"/>
      <c r="O1862" s="402"/>
      <c r="P1862" s="402"/>
      <c r="Q1862" s="402"/>
      <c r="R1862" s="402"/>
      <c r="S1862" s="402"/>
      <c r="T1862" s="402"/>
      <c r="U1862" s="402"/>
      <c r="V1862" s="402"/>
      <c r="W1862" s="402"/>
      <c r="X1862" s="402"/>
      <c r="Y1862" s="402"/>
      <c r="Z1862" s="402"/>
      <c r="AA1862" s="405"/>
      <c r="AB1862" s="405"/>
    </row>
    <row r="1863" ht="14.25" customHeight="1">
      <c r="A1863" s="402"/>
      <c r="B1863" s="402"/>
      <c r="C1863" s="402"/>
      <c r="D1863" s="402"/>
      <c r="E1863" s="402"/>
      <c r="F1863" s="403"/>
      <c r="G1863" s="403"/>
      <c r="H1863" s="402"/>
      <c r="I1863" s="402"/>
      <c r="J1863" s="402"/>
      <c r="K1863" s="402"/>
      <c r="L1863" s="402"/>
      <c r="M1863" s="402"/>
      <c r="N1863" s="402"/>
      <c r="O1863" s="402"/>
      <c r="P1863" s="402"/>
      <c r="Q1863" s="402"/>
      <c r="R1863" s="402"/>
      <c r="S1863" s="402"/>
      <c r="T1863" s="402"/>
      <c r="U1863" s="402"/>
      <c r="V1863" s="402"/>
      <c r="W1863" s="402"/>
      <c r="X1863" s="402"/>
      <c r="Y1863" s="402"/>
      <c r="Z1863" s="402"/>
      <c r="AA1863" s="405"/>
      <c r="AB1863" s="405"/>
    </row>
    <row r="1864" ht="14.25" customHeight="1">
      <c r="A1864" s="402"/>
      <c r="B1864" s="402"/>
      <c r="C1864" s="402"/>
      <c r="D1864" s="402"/>
      <c r="E1864" s="402"/>
      <c r="F1864" s="403"/>
      <c r="G1864" s="403"/>
      <c r="H1864" s="402"/>
      <c r="I1864" s="402"/>
      <c r="J1864" s="402"/>
      <c r="K1864" s="402"/>
      <c r="L1864" s="402"/>
      <c r="M1864" s="402"/>
      <c r="N1864" s="402"/>
      <c r="O1864" s="402"/>
      <c r="P1864" s="402"/>
      <c r="Q1864" s="402"/>
      <c r="R1864" s="402"/>
      <c r="S1864" s="402"/>
      <c r="T1864" s="402"/>
      <c r="U1864" s="402"/>
      <c r="V1864" s="402"/>
      <c r="W1864" s="402"/>
      <c r="X1864" s="402"/>
      <c r="Y1864" s="402"/>
      <c r="Z1864" s="402"/>
      <c r="AA1864" s="405"/>
      <c r="AB1864" s="405"/>
    </row>
    <row r="1865" ht="14.25" customHeight="1">
      <c r="A1865" s="402"/>
      <c r="B1865" s="402"/>
      <c r="C1865" s="402"/>
      <c r="D1865" s="402"/>
      <c r="E1865" s="402"/>
      <c r="F1865" s="403"/>
      <c r="G1865" s="403"/>
      <c r="H1865" s="402"/>
      <c r="I1865" s="402"/>
      <c r="J1865" s="402"/>
      <c r="K1865" s="402"/>
      <c r="L1865" s="402"/>
      <c r="M1865" s="402"/>
      <c r="N1865" s="402"/>
      <c r="O1865" s="402"/>
      <c r="P1865" s="402"/>
      <c r="Q1865" s="402"/>
      <c r="R1865" s="402"/>
      <c r="S1865" s="402"/>
      <c r="T1865" s="402"/>
      <c r="U1865" s="402"/>
      <c r="V1865" s="402"/>
      <c r="W1865" s="402"/>
      <c r="X1865" s="402"/>
      <c r="Y1865" s="402"/>
      <c r="Z1865" s="402"/>
      <c r="AA1865" s="405"/>
      <c r="AB1865" s="405"/>
    </row>
    <row r="1866" ht="14.25" customHeight="1">
      <c r="A1866" s="402"/>
      <c r="B1866" s="402"/>
      <c r="C1866" s="402"/>
      <c r="D1866" s="402"/>
      <c r="E1866" s="402"/>
      <c r="F1866" s="403"/>
      <c r="G1866" s="403"/>
      <c r="H1866" s="402"/>
      <c r="I1866" s="402"/>
      <c r="J1866" s="402"/>
      <c r="K1866" s="402"/>
      <c r="L1866" s="402"/>
      <c r="M1866" s="402"/>
      <c r="N1866" s="402"/>
      <c r="O1866" s="402"/>
      <c r="P1866" s="402"/>
      <c r="Q1866" s="402"/>
      <c r="R1866" s="402"/>
      <c r="S1866" s="402"/>
      <c r="T1866" s="402"/>
      <c r="U1866" s="402"/>
      <c r="V1866" s="402"/>
      <c r="W1866" s="402"/>
      <c r="X1866" s="402"/>
      <c r="Y1866" s="402"/>
      <c r="Z1866" s="402"/>
      <c r="AA1866" s="405"/>
      <c r="AB1866" s="405"/>
    </row>
    <row r="1867" ht="14.25" customHeight="1">
      <c r="A1867" s="402"/>
      <c r="B1867" s="402"/>
      <c r="C1867" s="402"/>
      <c r="D1867" s="402"/>
      <c r="E1867" s="402"/>
      <c r="F1867" s="403"/>
      <c r="G1867" s="403"/>
      <c r="H1867" s="402"/>
      <c r="I1867" s="402"/>
      <c r="J1867" s="402"/>
      <c r="K1867" s="402"/>
      <c r="L1867" s="402"/>
      <c r="M1867" s="402"/>
      <c r="N1867" s="402"/>
      <c r="O1867" s="402"/>
      <c r="P1867" s="402"/>
      <c r="Q1867" s="402"/>
      <c r="R1867" s="402"/>
      <c r="S1867" s="402"/>
      <c r="T1867" s="402"/>
      <c r="U1867" s="402"/>
      <c r="V1867" s="402"/>
      <c r="W1867" s="402"/>
      <c r="X1867" s="402"/>
      <c r="Y1867" s="402"/>
      <c r="Z1867" s="402"/>
      <c r="AA1867" s="405"/>
      <c r="AB1867" s="405"/>
    </row>
    <row r="1868" ht="14.25" customHeight="1">
      <c r="A1868" s="402"/>
      <c r="B1868" s="402"/>
      <c r="C1868" s="402"/>
      <c r="D1868" s="402"/>
      <c r="E1868" s="402"/>
      <c r="F1868" s="403"/>
      <c r="G1868" s="403"/>
      <c r="H1868" s="402"/>
      <c r="I1868" s="402"/>
      <c r="J1868" s="402"/>
      <c r="K1868" s="402"/>
      <c r="L1868" s="402"/>
      <c r="M1868" s="402"/>
      <c r="N1868" s="402"/>
      <c r="O1868" s="402"/>
      <c r="P1868" s="402"/>
      <c r="Q1868" s="402"/>
      <c r="R1868" s="402"/>
      <c r="S1868" s="402"/>
      <c r="T1868" s="402"/>
      <c r="U1868" s="402"/>
      <c r="V1868" s="402"/>
      <c r="W1868" s="402"/>
      <c r="X1868" s="402"/>
      <c r="Y1868" s="402"/>
      <c r="Z1868" s="402"/>
      <c r="AA1868" s="405"/>
      <c r="AB1868" s="405"/>
    </row>
    <row r="1869" ht="14.25" customHeight="1">
      <c r="A1869" s="402"/>
      <c r="B1869" s="402"/>
      <c r="C1869" s="402"/>
      <c r="D1869" s="402"/>
      <c r="E1869" s="402"/>
      <c r="F1869" s="403"/>
      <c r="G1869" s="403"/>
      <c r="H1869" s="402"/>
      <c r="I1869" s="402"/>
      <c r="J1869" s="402"/>
      <c r="K1869" s="402"/>
      <c r="L1869" s="402"/>
      <c r="M1869" s="402"/>
      <c r="N1869" s="402"/>
      <c r="O1869" s="402"/>
      <c r="P1869" s="402"/>
      <c r="Q1869" s="402"/>
      <c r="R1869" s="402"/>
      <c r="S1869" s="402"/>
      <c r="T1869" s="402"/>
      <c r="U1869" s="402"/>
      <c r="V1869" s="402"/>
      <c r="W1869" s="402"/>
      <c r="X1869" s="402"/>
      <c r="Y1869" s="402"/>
      <c r="Z1869" s="402"/>
      <c r="AA1869" s="405"/>
      <c r="AB1869" s="405"/>
    </row>
    <row r="1870" ht="14.25" customHeight="1">
      <c r="A1870" s="402"/>
      <c r="B1870" s="402"/>
      <c r="C1870" s="402"/>
      <c r="D1870" s="402"/>
      <c r="E1870" s="402"/>
      <c r="F1870" s="403"/>
      <c r="G1870" s="403"/>
      <c r="H1870" s="402"/>
      <c r="I1870" s="402"/>
      <c r="J1870" s="402"/>
      <c r="K1870" s="402"/>
      <c r="L1870" s="402"/>
      <c r="M1870" s="402"/>
      <c r="N1870" s="402"/>
      <c r="O1870" s="402"/>
      <c r="P1870" s="402"/>
      <c r="Q1870" s="402"/>
      <c r="R1870" s="402"/>
      <c r="S1870" s="402"/>
      <c r="T1870" s="402"/>
      <c r="U1870" s="402"/>
      <c r="V1870" s="402"/>
      <c r="W1870" s="402"/>
      <c r="X1870" s="402"/>
      <c r="Y1870" s="402"/>
      <c r="Z1870" s="402"/>
      <c r="AA1870" s="405"/>
      <c r="AB1870" s="405"/>
    </row>
    <row r="1871" ht="14.25" customHeight="1">
      <c r="A1871" s="402"/>
      <c r="B1871" s="402"/>
      <c r="C1871" s="402"/>
      <c r="D1871" s="402"/>
      <c r="E1871" s="402"/>
      <c r="F1871" s="403"/>
      <c r="G1871" s="403"/>
      <c r="H1871" s="402"/>
      <c r="I1871" s="402"/>
      <c r="J1871" s="402"/>
      <c r="K1871" s="402"/>
      <c r="L1871" s="402"/>
      <c r="M1871" s="402"/>
      <c r="N1871" s="402"/>
      <c r="O1871" s="402"/>
      <c r="P1871" s="402"/>
      <c r="Q1871" s="402"/>
      <c r="R1871" s="402"/>
      <c r="S1871" s="402"/>
      <c r="T1871" s="402"/>
      <c r="U1871" s="402"/>
      <c r="V1871" s="402"/>
      <c r="W1871" s="402"/>
      <c r="X1871" s="402"/>
      <c r="Y1871" s="402"/>
      <c r="Z1871" s="402"/>
      <c r="AA1871" s="405"/>
      <c r="AB1871" s="405"/>
    </row>
    <row r="1872" ht="14.25" customHeight="1">
      <c r="A1872" s="402"/>
      <c r="B1872" s="402"/>
      <c r="C1872" s="402"/>
      <c r="D1872" s="402"/>
      <c r="E1872" s="402"/>
      <c r="F1872" s="403"/>
      <c r="G1872" s="403"/>
      <c r="H1872" s="402"/>
      <c r="I1872" s="402"/>
      <c r="J1872" s="402"/>
      <c r="K1872" s="402"/>
      <c r="L1872" s="402"/>
      <c r="M1872" s="402"/>
      <c r="N1872" s="402"/>
      <c r="O1872" s="402"/>
      <c r="P1872" s="402"/>
      <c r="Q1872" s="402"/>
      <c r="R1872" s="402"/>
      <c r="S1872" s="402"/>
      <c r="T1872" s="402"/>
      <c r="U1872" s="402"/>
      <c r="V1872" s="402"/>
      <c r="W1872" s="402"/>
      <c r="X1872" s="402"/>
      <c r="Y1872" s="402"/>
      <c r="Z1872" s="402"/>
      <c r="AA1872" s="405"/>
      <c r="AB1872" s="405"/>
    </row>
    <row r="1873" ht="14.25" customHeight="1">
      <c r="A1873" s="402"/>
      <c r="B1873" s="402"/>
      <c r="C1873" s="402"/>
      <c r="D1873" s="402"/>
      <c r="E1873" s="402"/>
      <c r="F1873" s="403"/>
      <c r="G1873" s="403"/>
      <c r="H1873" s="402"/>
      <c r="I1873" s="402"/>
      <c r="J1873" s="402"/>
      <c r="K1873" s="402"/>
      <c r="L1873" s="402"/>
      <c r="M1873" s="402"/>
      <c r="N1873" s="402"/>
      <c r="O1873" s="402"/>
      <c r="P1873" s="402"/>
      <c r="Q1873" s="402"/>
      <c r="R1873" s="402"/>
      <c r="S1873" s="402"/>
      <c r="T1873" s="402"/>
      <c r="U1873" s="402"/>
      <c r="V1873" s="402"/>
      <c r="W1873" s="402"/>
      <c r="X1873" s="402"/>
      <c r="Y1873" s="402"/>
      <c r="Z1873" s="402"/>
      <c r="AA1873" s="405"/>
      <c r="AB1873" s="405"/>
    </row>
    <row r="1874" ht="14.25" customHeight="1">
      <c r="A1874" s="402"/>
      <c r="B1874" s="402"/>
      <c r="C1874" s="402"/>
      <c r="D1874" s="402"/>
      <c r="E1874" s="402"/>
      <c r="F1874" s="403"/>
      <c r="G1874" s="403"/>
      <c r="H1874" s="402"/>
      <c r="I1874" s="402"/>
      <c r="J1874" s="402"/>
      <c r="K1874" s="402"/>
      <c r="L1874" s="402"/>
      <c r="M1874" s="402"/>
      <c r="N1874" s="402"/>
      <c r="O1874" s="402"/>
      <c r="P1874" s="402"/>
      <c r="Q1874" s="402"/>
      <c r="R1874" s="402"/>
      <c r="S1874" s="402"/>
      <c r="T1874" s="402"/>
      <c r="U1874" s="402"/>
      <c r="V1874" s="402"/>
      <c r="W1874" s="402"/>
      <c r="X1874" s="402"/>
      <c r="Y1874" s="402"/>
      <c r="Z1874" s="402"/>
      <c r="AA1874" s="405"/>
      <c r="AB1874" s="405"/>
    </row>
    <row r="1875" ht="14.25" customHeight="1">
      <c r="A1875" s="402"/>
      <c r="B1875" s="402"/>
      <c r="C1875" s="402"/>
      <c r="D1875" s="402"/>
      <c r="E1875" s="402"/>
      <c r="F1875" s="403"/>
      <c r="G1875" s="403"/>
      <c r="H1875" s="402"/>
      <c r="I1875" s="402"/>
      <c r="J1875" s="402"/>
      <c r="K1875" s="402"/>
      <c r="L1875" s="402"/>
      <c r="M1875" s="402"/>
      <c r="N1875" s="402"/>
      <c r="O1875" s="402"/>
      <c r="P1875" s="402"/>
      <c r="Q1875" s="402"/>
      <c r="R1875" s="402"/>
      <c r="S1875" s="402"/>
      <c r="T1875" s="402"/>
      <c r="U1875" s="402"/>
      <c r="V1875" s="402"/>
      <c r="W1875" s="402"/>
      <c r="X1875" s="402"/>
      <c r="Y1875" s="402"/>
      <c r="Z1875" s="402"/>
      <c r="AA1875" s="405"/>
      <c r="AB1875" s="405"/>
    </row>
    <row r="1876" ht="14.25" customHeight="1">
      <c r="A1876" s="402"/>
      <c r="B1876" s="402"/>
      <c r="C1876" s="402"/>
      <c r="D1876" s="402"/>
      <c r="E1876" s="402"/>
      <c r="F1876" s="403"/>
      <c r="G1876" s="403"/>
      <c r="H1876" s="402"/>
      <c r="I1876" s="402"/>
      <c r="J1876" s="402"/>
      <c r="K1876" s="402"/>
      <c r="L1876" s="402"/>
      <c r="M1876" s="402"/>
      <c r="N1876" s="402"/>
      <c r="O1876" s="402"/>
      <c r="P1876" s="402"/>
      <c r="Q1876" s="402"/>
      <c r="R1876" s="402"/>
      <c r="S1876" s="402"/>
      <c r="T1876" s="402"/>
      <c r="U1876" s="402"/>
      <c r="V1876" s="402"/>
      <c r="W1876" s="402"/>
      <c r="X1876" s="402"/>
      <c r="Y1876" s="402"/>
      <c r="Z1876" s="402"/>
      <c r="AA1876" s="405"/>
      <c r="AB1876" s="405"/>
    </row>
    <row r="1877" ht="14.25" customHeight="1">
      <c r="A1877" s="402"/>
      <c r="B1877" s="402"/>
      <c r="C1877" s="402"/>
      <c r="D1877" s="402"/>
      <c r="E1877" s="402"/>
      <c r="F1877" s="403"/>
      <c r="G1877" s="403"/>
      <c r="H1877" s="402"/>
      <c r="I1877" s="402"/>
      <c r="J1877" s="402"/>
      <c r="K1877" s="402"/>
      <c r="L1877" s="402"/>
      <c r="M1877" s="402"/>
      <c r="N1877" s="402"/>
      <c r="O1877" s="402"/>
      <c r="P1877" s="402"/>
      <c r="Q1877" s="402"/>
      <c r="R1877" s="402"/>
      <c r="S1877" s="402"/>
      <c r="T1877" s="402"/>
      <c r="U1877" s="402"/>
      <c r="V1877" s="402"/>
      <c r="W1877" s="402"/>
      <c r="X1877" s="402"/>
      <c r="Y1877" s="402"/>
      <c r="Z1877" s="402"/>
      <c r="AA1877" s="405"/>
      <c r="AB1877" s="405"/>
    </row>
    <row r="1878" ht="14.25" customHeight="1">
      <c r="A1878" s="402"/>
      <c r="B1878" s="402"/>
      <c r="C1878" s="402"/>
      <c r="D1878" s="402"/>
      <c r="E1878" s="402"/>
      <c r="F1878" s="403"/>
      <c r="G1878" s="403"/>
      <c r="H1878" s="402"/>
      <c r="I1878" s="402"/>
      <c r="J1878" s="402"/>
      <c r="K1878" s="402"/>
      <c r="L1878" s="402"/>
      <c r="M1878" s="402"/>
      <c r="N1878" s="402"/>
      <c r="O1878" s="402"/>
      <c r="P1878" s="402"/>
      <c r="Q1878" s="402"/>
      <c r="R1878" s="402"/>
      <c r="S1878" s="402"/>
      <c r="T1878" s="402"/>
      <c r="U1878" s="402"/>
      <c r="V1878" s="402"/>
      <c r="W1878" s="402"/>
      <c r="X1878" s="402"/>
      <c r="Y1878" s="402"/>
      <c r="Z1878" s="402"/>
      <c r="AA1878" s="405"/>
      <c r="AB1878" s="405"/>
    </row>
    <row r="1879" ht="14.25" customHeight="1">
      <c r="A1879" s="402"/>
      <c r="B1879" s="402"/>
      <c r="C1879" s="402"/>
      <c r="D1879" s="402"/>
      <c r="E1879" s="402"/>
      <c r="F1879" s="403"/>
      <c r="G1879" s="403"/>
      <c r="H1879" s="402"/>
      <c r="I1879" s="402"/>
      <c r="J1879" s="402"/>
      <c r="K1879" s="402"/>
      <c r="L1879" s="402"/>
      <c r="M1879" s="402"/>
      <c r="N1879" s="402"/>
      <c r="O1879" s="402"/>
      <c r="P1879" s="402"/>
      <c r="Q1879" s="402"/>
      <c r="R1879" s="402"/>
      <c r="S1879" s="402"/>
      <c r="T1879" s="402"/>
      <c r="U1879" s="402"/>
      <c r="V1879" s="402"/>
      <c r="W1879" s="402"/>
      <c r="X1879" s="402"/>
      <c r="Y1879" s="402"/>
      <c r="Z1879" s="402"/>
      <c r="AA1879" s="405"/>
      <c r="AB1879" s="405"/>
    </row>
    <row r="1880" ht="14.25" customHeight="1">
      <c r="A1880" s="402"/>
      <c r="B1880" s="402"/>
      <c r="C1880" s="402"/>
      <c r="D1880" s="402"/>
      <c r="E1880" s="402"/>
      <c r="F1880" s="403"/>
      <c r="G1880" s="403"/>
      <c r="H1880" s="402"/>
      <c r="I1880" s="402"/>
      <c r="J1880" s="402"/>
      <c r="K1880" s="402"/>
      <c r="L1880" s="402"/>
      <c r="M1880" s="402"/>
      <c r="N1880" s="402"/>
      <c r="O1880" s="402"/>
      <c r="P1880" s="402"/>
      <c r="Q1880" s="402"/>
      <c r="R1880" s="402"/>
      <c r="S1880" s="402"/>
      <c r="T1880" s="402"/>
      <c r="U1880" s="402"/>
      <c r="V1880" s="402"/>
      <c r="W1880" s="402"/>
      <c r="X1880" s="402"/>
      <c r="Y1880" s="402"/>
      <c r="Z1880" s="402"/>
      <c r="AA1880" s="405"/>
      <c r="AB1880" s="405"/>
    </row>
    <row r="1881" ht="14.25" customHeight="1">
      <c r="A1881" s="402"/>
      <c r="B1881" s="402"/>
      <c r="C1881" s="402"/>
      <c r="D1881" s="402"/>
      <c r="E1881" s="402"/>
      <c r="F1881" s="403"/>
      <c r="G1881" s="403"/>
      <c r="H1881" s="402"/>
      <c r="I1881" s="402"/>
      <c r="J1881" s="402"/>
      <c r="K1881" s="402"/>
      <c r="L1881" s="402"/>
      <c r="M1881" s="402"/>
      <c r="N1881" s="402"/>
      <c r="O1881" s="402"/>
      <c r="P1881" s="402"/>
      <c r="Q1881" s="402"/>
      <c r="R1881" s="402"/>
      <c r="S1881" s="402"/>
      <c r="T1881" s="402"/>
      <c r="U1881" s="402"/>
      <c r="V1881" s="402"/>
      <c r="W1881" s="402"/>
      <c r="X1881" s="402"/>
      <c r="Y1881" s="402"/>
      <c r="Z1881" s="402"/>
      <c r="AA1881" s="405"/>
      <c r="AB1881" s="405"/>
    </row>
    <row r="1882" ht="14.25" customHeight="1">
      <c r="A1882" s="402"/>
      <c r="B1882" s="402"/>
      <c r="C1882" s="402"/>
      <c r="D1882" s="402"/>
      <c r="E1882" s="402"/>
      <c r="F1882" s="403"/>
      <c r="G1882" s="403"/>
      <c r="H1882" s="402"/>
      <c r="I1882" s="402"/>
      <c r="J1882" s="402"/>
      <c r="K1882" s="402"/>
      <c r="L1882" s="402"/>
      <c r="M1882" s="402"/>
      <c r="N1882" s="402"/>
      <c r="O1882" s="402"/>
      <c r="P1882" s="402"/>
      <c r="Q1882" s="402"/>
      <c r="R1882" s="402"/>
      <c r="S1882" s="402"/>
      <c r="T1882" s="402"/>
      <c r="U1882" s="402"/>
      <c r="V1882" s="402"/>
      <c r="W1882" s="402"/>
      <c r="X1882" s="402"/>
      <c r="Y1882" s="402"/>
      <c r="Z1882" s="402"/>
      <c r="AA1882" s="405"/>
      <c r="AB1882" s="405"/>
    </row>
    <row r="1883" ht="14.25" customHeight="1">
      <c r="A1883" s="402"/>
      <c r="B1883" s="402"/>
      <c r="C1883" s="402"/>
      <c r="D1883" s="402"/>
      <c r="E1883" s="402"/>
      <c r="F1883" s="403"/>
      <c r="G1883" s="403"/>
      <c r="H1883" s="402"/>
      <c r="I1883" s="402"/>
      <c r="J1883" s="402"/>
      <c r="K1883" s="402"/>
      <c r="L1883" s="402"/>
      <c r="M1883" s="402"/>
      <c r="N1883" s="402"/>
      <c r="O1883" s="402"/>
      <c r="P1883" s="402"/>
      <c r="Q1883" s="402"/>
      <c r="R1883" s="402"/>
      <c r="S1883" s="402"/>
      <c r="T1883" s="402"/>
      <c r="U1883" s="402"/>
      <c r="V1883" s="402"/>
      <c r="W1883" s="402"/>
      <c r="X1883" s="402"/>
      <c r="Y1883" s="402"/>
      <c r="Z1883" s="402"/>
      <c r="AA1883" s="405"/>
      <c r="AB1883" s="405"/>
    </row>
    <row r="1884" ht="14.25" customHeight="1">
      <c r="A1884" s="402"/>
      <c r="B1884" s="402"/>
      <c r="C1884" s="402"/>
      <c r="D1884" s="402"/>
      <c r="E1884" s="402"/>
      <c r="F1884" s="403"/>
      <c r="G1884" s="403"/>
      <c r="H1884" s="402"/>
      <c r="I1884" s="402"/>
      <c r="J1884" s="402"/>
      <c r="K1884" s="402"/>
      <c r="L1884" s="402"/>
      <c r="M1884" s="402"/>
      <c r="N1884" s="402"/>
      <c r="O1884" s="402"/>
      <c r="P1884" s="402"/>
      <c r="Q1884" s="402"/>
      <c r="R1884" s="402"/>
      <c r="S1884" s="402"/>
      <c r="T1884" s="402"/>
      <c r="U1884" s="402"/>
      <c r="V1884" s="402"/>
      <c r="W1884" s="402"/>
      <c r="X1884" s="402"/>
      <c r="Y1884" s="402"/>
      <c r="Z1884" s="402"/>
      <c r="AA1884" s="405"/>
      <c r="AB1884" s="405"/>
    </row>
    <row r="1885" ht="14.25" customHeight="1">
      <c r="A1885" s="402"/>
      <c r="B1885" s="402"/>
      <c r="C1885" s="402"/>
      <c r="D1885" s="402"/>
      <c r="E1885" s="402"/>
      <c r="F1885" s="403"/>
      <c r="G1885" s="403"/>
      <c r="H1885" s="402"/>
      <c r="I1885" s="402"/>
      <c r="J1885" s="402"/>
      <c r="K1885" s="402"/>
      <c r="L1885" s="402"/>
      <c r="M1885" s="402"/>
      <c r="N1885" s="402"/>
      <c r="O1885" s="402"/>
      <c r="P1885" s="402"/>
      <c r="Q1885" s="402"/>
      <c r="R1885" s="402"/>
      <c r="S1885" s="402"/>
      <c r="T1885" s="402"/>
      <c r="U1885" s="402"/>
      <c r="V1885" s="402"/>
      <c r="W1885" s="402"/>
      <c r="X1885" s="402"/>
      <c r="Y1885" s="402"/>
      <c r="Z1885" s="402"/>
      <c r="AA1885" s="405"/>
      <c r="AB1885" s="405"/>
    </row>
    <row r="1886" ht="14.25" customHeight="1">
      <c r="A1886" s="402"/>
      <c r="B1886" s="402"/>
      <c r="C1886" s="402"/>
      <c r="D1886" s="402"/>
      <c r="E1886" s="402"/>
      <c r="F1886" s="403"/>
      <c r="G1886" s="403"/>
      <c r="H1886" s="402"/>
      <c r="I1886" s="402"/>
      <c r="J1886" s="402"/>
      <c r="K1886" s="402"/>
      <c r="L1886" s="402"/>
      <c r="M1886" s="402"/>
      <c r="N1886" s="402"/>
      <c r="O1886" s="402"/>
      <c r="P1886" s="402"/>
      <c r="Q1886" s="402"/>
      <c r="R1886" s="402"/>
      <c r="S1886" s="402"/>
      <c r="T1886" s="402"/>
      <c r="U1886" s="402"/>
      <c r="V1886" s="402"/>
      <c r="W1886" s="402"/>
      <c r="X1886" s="402"/>
      <c r="Y1886" s="402"/>
      <c r="Z1886" s="402"/>
      <c r="AA1886" s="405"/>
      <c r="AB1886" s="405"/>
    </row>
    <row r="1887" ht="14.25" customHeight="1">
      <c r="A1887" s="402"/>
      <c r="B1887" s="402"/>
      <c r="C1887" s="402"/>
      <c r="D1887" s="402"/>
      <c r="E1887" s="402"/>
      <c r="F1887" s="403"/>
      <c r="G1887" s="403"/>
      <c r="H1887" s="402"/>
      <c r="I1887" s="402"/>
      <c r="J1887" s="402"/>
      <c r="K1887" s="402"/>
      <c r="L1887" s="402"/>
      <c r="M1887" s="402"/>
      <c r="N1887" s="402"/>
      <c r="O1887" s="402"/>
      <c r="P1887" s="402"/>
      <c r="Q1887" s="402"/>
      <c r="R1887" s="402"/>
      <c r="S1887" s="402"/>
      <c r="T1887" s="402"/>
      <c r="U1887" s="402"/>
      <c r="V1887" s="402"/>
      <c r="W1887" s="402"/>
      <c r="X1887" s="402"/>
      <c r="Y1887" s="402"/>
      <c r="Z1887" s="402"/>
      <c r="AA1887" s="405"/>
      <c r="AB1887" s="405"/>
    </row>
    <row r="1888" ht="14.25" customHeight="1">
      <c r="A1888" s="402"/>
      <c r="B1888" s="402"/>
      <c r="C1888" s="402"/>
      <c r="D1888" s="402"/>
      <c r="E1888" s="402"/>
      <c r="F1888" s="403"/>
      <c r="G1888" s="403"/>
      <c r="H1888" s="402"/>
      <c r="I1888" s="402"/>
      <c r="J1888" s="402"/>
      <c r="K1888" s="402"/>
      <c r="L1888" s="402"/>
      <c r="M1888" s="402"/>
      <c r="N1888" s="402"/>
      <c r="O1888" s="402"/>
      <c r="P1888" s="402"/>
      <c r="Q1888" s="402"/>
      <c r="R1888" s="402"/>
      <c r="S1888" s="402"/>
      <c r="T1888" s="402"/>
      <c r="U1888" s="402"/>
      <c r="V1888" s="402"/>
      <c r="W1888" s="402"/>
      <c r="X1888" s="402"/>
      <c r="Y1888" s="402"/>
      <c r="Z1888" s="402"/>
      <c r="AA1888" s="405"/>
      <c r="AB1888" s="405"/>
    </row>
    <row r="1889" ht="14.25" customHeight="1">
      <c r="A1889" s="402"/>
      <c r="B1889" s="402"/>
      <c r="C1889" s="402"/>
      <c r="D1889" s="402"/>
      <c r="E1889" s="402"/>
      <c r="F1889" s="403"/>
      <c r="G1889" s="403"/>
      <c r="H1889" s="402"/>
      <c r="I1889" s="402"/>
      <c r="J1889" s="402"/>
      <c r="K1889" s="402"/>
      <c r="L1889" s="402"/>
      <c r="M1889" s="402"/>
      <c r="N1889" s="402"/>
      <c r="O1889" s="402"/>
      <c r="P1889" s="402"/>
      <c r="Q1889" s="402"/>
      <c r="R1889" s="402"/>
      <c r="S1889" s="402"/>
      <c r="T1889" s="402"/>
      <c r="U1889" s="402"/>
      <c r="V1889" s="402"/>
      <c r="W1889" s="402"/>
      <c r="X1889" s="402"/>
      <c r="Y1889" s="402"/>
      <c r="Z1889" s="402"/>
      <c r="AA1889" s="405"/>
      <c r="AB1889" s="405"/>
    </row>
    <row r="1890" ht="14.25" customHeight="1">
      <c r="A1890" s="402"/>
      <c r="B1890" s="402"/>
      <c r="C1890" s="402"/>
      <c r="D1890" s="402"/>
      <c r="E1890" s="402"/>
      <c r="F1890" s="403"/>
      <c r="G1890" s="403"/>
      <c r="H1890" s="402"/>
      <c r="I1890" s="402"/>
      <c r="J1890" s="402"/>
      <c r="K1890" s="402"/>
      <c r="L1890" s="402"/>
      <c r="M1890" s="402"/>
      <c r="N1890" s="402"/>
      <c r="O1890" s="402"/>
      <c r="P1890" s="402"/>
      <c r="Q1890" s="402"/>
      <c r="R1890" s="402"/>
      <c r="S1890" s="402"/>
      <c r="T1890" s="402"/>
      <c r="U1890" s="402"/>
      <c r="V1890" s="402"/>
      <c r="W1890" s="402"/>
      <c r="X1890" s="402"/>
      <c r="Y1890" s="402"/>
      <c r="Z1890" s="402"/>
      <c r="AA1890" s="405"/>
      <c r="AB1890" s="405"/>
    </row>
    <row r="1891" ht="14.25" customHeight="1">
      <c r="A1891" s="402"/>
      <c r="B1891" s="402"/>
      <c r="C1891" s="402"/>
      <c r="D1891" s="402"/>
      <c r="E1891" s="402"/>
      <c r="F1891" s="403"/>
      <c r="G1891" s="403"/>
      <c r="H1891" s="402"/>
      <c r="I1891" s="402"/>
      <c r="J1891" s="402"/>
      <c r="K1891" s="402"/>
      <c r="L1891" s="402"/>
      <c r="M1891" s="402"/>
      <c r="N1891" s="402"/>
      <c r="O1891" s="402"/>
      <c r="P1891" s="402"/>
      <c r="Q1891" s="402"/>
      <c r="R1891" s="402"/>
      <c r="S1891" s="402"/>
      <c r="T1891" s="402"/>
      <c r="U1891" s="402"/>
      <c r="V1891" s="402"/>
      <c r="W1891" s="402"/>
      <c r="X1891" s="402"/>
      <c r="Y1891" s="402"/>
      <c r="Z1891" s="402"/>
      <c r="AA1891" s="405"/>
      <c r="AB1891" s="405"/>
    </row>
    <row r="1892" ht="14.25" customHeight="1">
      <c r="A1892" s="405"/>
      <c r="B1892" s="405"/>
      <c r="C1892" s="405"/>
      <c r="D1892" s="405"/>
      <c r="E1892" s="405"/>
      <c r="F1892" s="583"/>
      <c r="G1892" s="583"/>
      <c r="H1892" s="405"/>
      <c r="I1892" s="405"/>
      <c r="J1892" s="405"/>
      <c r="K1892" s="405"/>
      <c r="L1892" s="405"/>
      <c r="M1892" s="405"/>
      <c r="N1892" s="405"/>
      <c r="O1892" s="405"/>
      <c r="P1892" s="405"/>
      <c r="Q1892" s="405"/>
      <c r="R1892" s="405"/>
      <c r="S1892" s="405"/>
      <c r="T1892" s="405"/>
      <c r="U1892" s="405"/>
      <c r="V1892" s="405"/>
      <c r="W1892" s="405"/>
      <c r="X1892" s="405"/>
      <c r="Y1892" s="405"/>
      <c r="Z1892" s="405"/>
      <c r="AA1892" s="405"/>
      <c r="AB1892" s="405"/>
    </row>
    <row r="1893" ht="14.25" customHeight="1">
      <c r="A1893" s="405"/>
      <c r="B1893" s="405"/>
      <c r="C1893" s="405"/>
      <c r="D1893" s="405"/>
      <c r="E1893" s="405"/>
      <c r="F1893" s="583"/>
      <c r="G1893" s="583"/>
      <c r="H1893" s="405"/>
      <c r="I1893" s="405"/>
      <c r="J1893" s="405"/>
      <c r="K1893" s="405"/>
      <c r="L1893" s="405"/>
      <c r="M1893" s="405"/>
      <c r="N1893" s="405"/>
      <c r="O1893" s="405"/>
      <c r="P1893" s="405"/>
      <c r="Q1893" s="405"/>
      <c r="R1893" s="405"/>
      <c r="S1893" s="405"/>
      <c r="T1893" s="405"/>
      <c r="U1893" s="405"/>
      <c r="V1893" s="405"/>
      <c r="W1893" s="405"/>
      <c r="X1893" s="405"/>
      <c r="Y1893" s="405"/>
      <c r="Z1893" s="405"/>
      <c r="AA1893" s="405"/>
      <c r="AB1893" s="405"/>
    </row>
    <row r="1894" ht="14.25" customHeight="1">
      <c r="A1894" s="405"/>
      <c r="B1894" s="405"/>
      <c r="C1894" s="405"/>
      <c r="D1894" s="405"/>
      <c r="E1894" s="405"/>
      <c r="F1894" s="583"/>
      <c r="G1894" s="583"/>
      <c r="H1894" s="405"/>
      <c r="I1894" s="405"/>
      <c r="J1894" s="405"/>
      <c r="K1894" s="405"/>
      <c r="L1894" s="405"/>
      <c r="M1894" s="405"/>
      <c r="N1894" s="405"/>
      <c r="O1894" s="405"/>
      <c r="P1894" s="405"/>
      <c r="Q1894" s="405"/>
      <c r="R1894" s="405"/>
      <c r="S1894" s="405"/>
      <c r="T1894" s="405"/>
      <c r="U1894" s="405"/>
      <c r="V1894" s="405"/>
      <c r="W1894" s="405"/>
      <c r="X1894" s="405"/>
      <c r="Y1894" s="405"/>
      <c r="Z1894" s="405"/>
      <c r="AA1894" s="405"/>
      <c r="AB1894" s="405"/>
    </row>
    <row r="1895" ht="14.25" customHeight="1">
      <c r="A1895" s="405"/>
      <c r="B1895" s="405"/>
      <c r="C1895" s="405"/>
      <c r="D1895" s="405"/>
      <c r="E1895" s="405"/>
      <c r="F1895" s="583"/>
      <c r="G1895" s="583"/>
      <c r="H1895" s="405"/>
      <c r="I1895" s="405"/>
      <c r="J1895" s="405"/>
      <c r="K1895" s="405"/>
      <c r="L1895" s="405"/>
      <c r="M1895" s="405"/>
      <c r="N1895" s="405"/>
      <c r="O1895" s="405"/>
      <c r="P1895" s="405"/>
      <c r="Q1895" s="405"/>
      <c r="R1895" s="405"/>
      <c r="S1895" s="405"/>
      <c r="T1895" s="405"/>
      <c r="U1895" s="405"/>
      <c r="V1895" s="405"/>
      <c r="W1895" s="405"/>
      <c r="X1895" s="405"/>
      <c r="Y1895" s="405"/>
      <c r="Z1895" s="405"/>
      <c r="AA1895" s="405"/>
      <c r="AB1895" s="405"/>
    </row>
    <row r="1896" ht="14.25" customHeight="1">
      <c r="A1896" s="405"/>
      <c r="B1896" s="405"/>
      <c r="C1896" s="405"/>
      <c r="D1896" s="405"/>
      <c r="E1896" s="405"/>
      <c r="F1896" s="583"/>
      <c r="G1896" s="583"/>
      <c r="H1896" s="405"/>
      <c r="I1896" s="405"/>
      <c r="J1896" s="405"/>
      <c r="K1896" s="405"/>
      <c r="L1896" s="405"/>
      <c r="M1896" s="405"/>
      <c r="N1896" s="405"/>
      <c r="O1896" s="405"/>
      <c r="P1896" s="405"/>
      <c r="Q1896" s="405"/>
      <c r="R1896" s="405"/>
      <c r="S1896" s="405"/>
      <c r="T1896" s="405"/>
      <c r="U1896" s="405"/>
      <c r="V1896" s="405"/>
      <c r="W1896" s="405"/>
      <c r="X1896" s="405"/>
      <c r="Y1896" s="405"/>
      <c r="Z1896" s="405"/>
      <c r="AA1896" s="405"/>
      <c r="AB1896" s="405"/>
    </row>
    <row r="1897" ht="14.25" customHeight="1">
      <c r="A1897" s="405"/>
      <c r="B1897" s="405"/>
      <c r="C1897" s="405"/>
      <c r="D1897" s="405"/>
      <c r="E1897" s="405"/>
      <c r="F1897" s="583"/>
      <c r="G1897" s="583"/>
      <c r="H1897" s="405"/>
      <c r="I1897" s="405"/>
      <c r="J1897" s="405"/>
      <c r="K1897" s="405"/>
      <c r="L1897" s="405"/>
      <c r="M1897" s="405"/>
      <c r="N1897" s="405"/>
      <c r="O1897" s="405"/>
      <c r="P1897" s="405"/>
      <c r="Q1897" s="405"/>
      <c r="R1897" s="405"/>
      <c r="S1897" s="405"/>
      <c r="T1897" s="405"/>
      <c r="U1897" s="405"/>
      <c r="V1897" s="405"/>
      <c r="W1897" s="405"/>
      <c r="X1897" s="405"/>
      <c r="Y1897" s="405"/>
      <c r="Z1897" s="405"/>
      <c r="AA1897" s="405"/>
      <c r="AB1897" s="405"/>
    </row>
    <row r="1898" ht="14.25" customHeight="1">
      <c r="A1898" s="405"/>
      <c r="B1898" s="405"/>
      <c r="C1898" s="405"/>
      <c r="D1898" s="405"/>
      <c r="E1898" s="405"/>
      <c r="F1898" s="583"/>
      <c r="G1898" s="583"/>
      <c r="H1898" s="405"/>
      <c r="I1898" s="405"/>
      <c r="J1898" s="405"/>
      <c r="K1898" s="405"/>
      <c r="L1898" s="405"/>
      <c r="M1898" s="405"/>
      <c r="N1898" s="405"/>
      <c r="O1898" s="405"/>
      <c r="P1898" s="405"/>
      <c r="Q1898" s="405"/>
      <c r="R1898" s="405"/>
      <c r="S1898" s="405"/>
      <c r="T1898" s="405"/>
      <c r="U1898" s="405"/>
      <c r="V1898" s="405"/>
      <c r="W1898" s="405"/>
      <c r="X1898" s="405"/>
      <c r="Y1898" s="405"/>
      <c r="Z1898" s="405"/>
      <c r="AA1898" s="405"/>
      <c r="AB1898" s="405"/>
    </row>
    <row r="1899" ht="14.25" customHeight="1">
      <c r="A1899" s="405"/>
      <c r="B1899" s="405"/>
      <c r="C1899" s="405"/>
      <c r="D1899" s="405"/>
      <c r="E1899" s="405"/>
      <c r="F1899" s="583"/>
      <c r="G1899" s="583"/>
      <c r="H1899" s="405"/>
      <c r="I1899" s="405"/>
      <c r="J1899" s="405"/>
      <c r="K1899" s="405"/>
      <c r="L1899" s="405"/>
      <c r="M1899" s="405"/>
      <c r="N1899" s="405"/>
      <c r="O1899" s="405"/>
      <c r="P1899" s="405"/>
      <c r="Q1899" s="405"/>
      <c r="R1899" s="405"/>
      <c r="S1899" s="405"/>
      <c r="T1899" s="405"/>
      <c r="U1899" s="405"/>
      <c r="V1899" s="405"/>
      <c r="W1899" s="405"/>
      <c r="X1899" s="405"/>
      <c r="Y1899" s="405"/>
      <c r="Z1899" s="405"/>
      <c r="AA1899" s="405"/>
      <c r="AB1899" s="405"/>
    </row>
    <row r="1900" ht="14.25" customHeight="1">
      <c r="A1900" s="405"/>
      <c r="B1900" s="405"/>
      <c r="C1900" s="405"/>
      <c r="D1900" s="405"/>
      <c r="E1900" s="405"/>
      <c r="F1900" s="583"/>
      <c r="G1900" s="583"/>
      <c r="H1900" s="405"/>
      <c r="I1900" s="405"/>
      <c r="J1900" s="405"/>
      <c r="K1900" s="405"/>
      <c r="L1900" s="405"/>
      <c r="M1900" s="405"/>
      <c r="N1900" s="405"/>
      <c r="O1900" s="405"/>
      <c r="P1900" s="405"/>
      <c r="Q1900" s="405"/>
      <c r="R1900" s="405"/>
      <c r="S1900" s="405"/>
      <c r="T1900" s="405"/>
      <c r="U1900" s="405"/>
      <c r="V1900" s="405"/>
      <c r="W1900" s="405"/>
      <c r="X1900" s="405"/>
      <c r="Y1900" s="405"/>
      <c r="Z1900" s="405"/>
      <c r="AA1900" s="405"/>
      <c r="AB1900" s="405"/>
    </row>
    <row r="1901" ht="14.25" customHeight="1">
      <c r="A1901" s="405"/>
      <c r="B1901" s="405"/>
      <c r="C1901" s="405"/>
      <c r="D1901" s="405"/>
      <c r="E1901" s="405"/>
      <c r="F1901" s="583"/>
      <c r="G1901" s="583"/>
      <c r="H1901" s="405"/>
      <c r="I1901" s="405"/>
      <c r="J1901" s="405"/>
      <c r="K1901" s="405"/>
      <c r="L1901" s="405"/>
      <c r="M1901" s="405"/>
      <c r="N1901" s="405"/>
      <c r="O1901" s="405"/>
      <c r="P1901" s="405"/>
      <c r="Q1901" s="405"/>
      <c r="R1901" s="405"/>
      <c r="S1901" s="405"/>
      <c r="T1901" s="405"/>
      <c r="U1901" s="405"/>
      <c r="V1901" s="405"/>
      <c r="W1901" s="405"/>
      <c r="X1901" s="405"/>
      <c r="Y1901" s="405"/>
      <c r="Z1901" s="405"/>
      <c r="AA1901" s="405"/>
      <c r="AB1901" s="405"/>
    </row>
    <row r="1902" ht="14.25" customHeight="1">
      <c r="A1902" s="405"/>
      <c r="B1902" s="405"/>
      <c r="C1902" s="405"/>
      <c r="D1902" s="405"/>
      <c r="E1902" s="405"/>
      <c r="F1902" s="583"/>
      <c r="G1902" s="583"/>
      <c r="H1902" s="405"/>
      <c r="I1902" s="405"/>
      <c r="J1902" s="405"/>
      <c r="K1902" s="405"/>
      <c r="L1902" s="405"/>
      <c r="M1902" s="405"/>
      <c r="N1902" s="405"/>
      <c r="O1902" s="405"/>
      <c r="P1902" s="405"/>
      <c r="Q1902" s="405"/>
      <c r="R1902" s="405"/>
      <c r="S1902" s="405"/>
      <c r="T1902" s="405"/>
      <c r="U1902" s="405"/>
      <c r="V1902" s="405"/>
      <c r="W1902" s="405"/>
      <c r="X1902" s="405"/>
      <c r="Y1902" s="405"/>
      <c r="Z1902" s="405"/>
      <c r="AA1902" s="405"/>
      <c r="AB1902" s="405"/>
    </row>
    <row r="1903" ht="14.25" customHeight="1">
      <c r="A1903" s="405"/>
      <c r="B1903" s="405"/>
      <c r="C1903" s="405"/>
      <c r="D1903" s="405"/>
      <c r="E1903" s="405"/>
      <c r="F1903" s="583"/>
      <c r="G1903" s="583"/>
      <c r="H1903" s="405"/>
      <c r="I1903" s="405"/>
      <c r="J1903" s="405"/>
      <c r="K1903" s="405"/>
      <c r="L1903" s="405"/>
      <c r="M1903" s="405"/>
      <c r="N1903" s="405"/>
      <c r="O1903" s="405"/>
      <c r="P1903" s="405"/>
      <c r="Q1903" s="405"/>
      <c r="R1903" s="405"/>
      <c r="S1903" s="405"/>
      <c r="T1903" s="405"/>
      <c r="U1903" s="405"/>
      <c r="V1903" s="405"/>
      <c r="W1903" s="405"/>
      <c r="X1903" s="405"/>
      <c r="Y1903" s="405"/>
      <c r="Z1903" s="405"/>
      <c r="AA1903" s="405"/>
      <c r="AB1903" s="405"/>
    </row>
    <row r="1904" ht="14.25" customHeight="1">
      <c r="A1904" s="405"/>
      <c r="B1904" s="405"/>
      <c r="C1904" s="405"/>
      <c r="D1904" s="405"/>
      <c r="E1904" s="405"/>
      <c r="F1904" s="583"/>
      <c r="G1904" s="583"/>
      <c r="H1904" s="405"/>
      <c r="I1904" s="405"/>
      <c r="J1904" s="405"/>
      <c r="K1904" s="405"/>
      <c r="L1904" s="405"/>
      <c r="M1904" s="405"/>
      <c r="N1904" s="405"/>
      <c r="O1904" s="405"/>
      <c r="P1904" s="405"/>
      <c r="Q1904" s="405"/>
      <c r="R1904" s="405"/>
      <c r="S1904" s="405"/>
      <c r="T1904" s="405"/>
      <c r="U1904" s="405"/>
      <c r="V1904" s="405"/>
      <c r="W1904" s="405"/>
      <c r="X1904" s="405"/>
      <c r="Y1904" s="405"/>
      <c r="Z1904" s="405"/>
      <c r="AA1904" s="405"/>
      <c r="AB1904" s="405"/>
    </row>
    <row r="1905" ht="14.25" customHeight="1">
      <c r="A1905" s="405"/>
      <c r="B1905" s="405"/>
      <c r="C1905" s="405"/>
      <c r="D1905" s="405"/>
      <c r="E1905" s="405"/>
      <c r="F1905" s="583"/>
      <c r="G1905" s="583"/>
      <c r="H1905" s="405"/>
      <c r="I1905" s="405"/>
      <c r="J1905" s="405"/>
      <c r="K1905" s="405"/>
      <c r="L1905" s="405"/>
      <c r="M1905" s="405"/>
      <c r="N1905" s="405"/>
      <c r="O1905" s="405"/>
      <c r="P1905" s="405"/>
      <c r="Q1905" s="405"/>
      <c r="R1905" s="405"/>
      <c r="S1905" s="405"/>
      <c r="T1905" s="405"/>
      <c r="U1905" s="405"/>
      <c r="V1905" s="405"/>
      <c r="W1905" s="405"/>
      <c r="X1905" s="405"/>
      <c r="Y1905" s="405"/>
      <c r="Z1905" s="405"/>
      <c r="AA1905" s="405"/>
      <c r="AB1905" s="405"/>
    </row>
    <row r="1906" ht="14.25" customHeight="1">
      <c r="A1906" s="405"/>
      <c r="B1906" s="405"/>
      <c r="C1906" s="405"/>
      <c r="D1906" s="405"/>
      <c r="E1906" s="405"/>
      <c r="F1906" s="583"/>
      <c r="G1906" s="583"/>
      <c r="H1906" s="405"/>
      <c r="I1906" s="405"/>
      <c r="J1906" s="405"/>
      <c r="K1906" s="405"/>
      <c r="L1906" s="405"/>
      <c r="M1906" s="405"/>
      <c r="N1906" s="405"/>
      <c r="O1906" s="405"/>
      <c r="P1906" s="405"/>
      <c r="Q1906" s="405"/>
      <c r="R1906" s="405"/>
      <c r="S1906" s="405"/>
      <c r="T1906" s="405"/>
      <c r="U1906" s="405"/>
      <c r="V1906" s="405"/>
      <c r="W1906" s="405"/>
      <c r="X1906" s="405"/>
      <c r="Y1906" s="405"/>
      <c r="Z1906" s="405"/>
      <c r="AA1906" s="405"/>
      <c r="AB1906" s="405"/>
    </row>
    <row r="1907" ht="14.25" customHeight="1">
      <c r="A1907" s="405"/>
      <c r="B1907" s="405"/>
      <c r="C1907" s="405"/>
      <c r="D1907" s="405"/>
      <c r="E1907" s="405"/>
      <c r="F1907" s="583"/>
      <c r="G1907" s="583"/>
      <c r="H1907" s="405"/>
      <c r="I1907" s="405"/>
      <c r="J1907" s="405"/>
      <c r="K1907" s="405"/>
      <c r="L1907" s="405"/>
      <c r="M1907" s="405"/>
      <c r="N1907" s="405"/>
      <c r="O1907" s="405"/>
      <c r="P1907" s="405"/>
      <c r="Q1907" s="405"/>
      <c r="R1907" s="405"/>
      <c r="S1907" s="405"/>
      <c r="T1907" s="405"/>
      <c r="U1907" s="405"/>
      <c r="V1907" s="405"/>
      <c r="W1907" s="405"/>
      <c r="X1907" s="405"/>
      <c r="Y1907" s="405"/>
      <c r="Z1907" s="405"/>
      <c r="AA1907" s="405"/>
      <c r="AB1907" s="405"/>
    </row>
    <row r="1908" ht="14.25" customHeight="1">
      <c r="A1908" s="405"/>
      <c r="B1908" s="405"/>
      <c r="C1908" s="405"/>
      <c r="D1908" s="405"/>
      <c r="E1908" s="405"/>
      <c r="F1908" s="583"/>
      <c r="G1908" s="583"/>
      <c r="H1908" s="405"/>
      <c r="I1908" s="405"/>
      <c r="J1908" s="405"/>
      <c r="K1908" s="405"/>
      <c r="L1908" s="405"/>
      <c r="M1908" s="405"/>
      <c r="N1908" s="405"/>
      <c r="O1908" s="405"/>
      <c r="P1908" s="405"/>
      <c r="Q1908" s="405"/>
      <c r="R1908" s="405"/>
      <c r="S1908" s="405"/>
      <c r="T1908" s="405"/>
      <c r="U1908" s="405"/>
      <c r="V1908" s="405"/>
      <c r="W1908" s="405"/>
      <c r="X1908" s="405"/>
      <c r="Y1908" s="405"/>
      <c r="Z1908" s="405"/>
      <c r="AA1908" s="405"/>
      <c r="AB1908" s="405"/>
    </row>
    <row r="1909" ht="14.25" customHeight="1">
      <c r="A1909" s="405"/>
      <c r="B1909" s="405"/>
      <c r="C1909" s="405"/>
      <c r="D1909" s="405"/>
      <c r="E1909" s="405"/>
      <c r="F1909" s="583"/>
      <c r="G1909" s="583"/>
      <c r="H1909" s="405"/>
      <c r="I1909" s="405"/>
      <c r="J1909" s="405"/>
      <c r="K1909" s="405"/>
      <c r="L1909" s="405"/>
      <c r="M1909" s="405"/>
      <c r="N1909" s="405"/>
      <c r="O1909" s="405"/>
      <c r="P1909" s="405"/>
      <c r="Q1909" s="405"/>
      <c r="R1909" s="405"/>
      <c r="S1909" s="405"/>
      <c r="T1909" s="405"/>
      <c r="U1909" s="405"/>
      <c r="V1909" s="405"/>
      <c r="W1909" s="405"/>
      <c r="X1909" s="405"/>
      <c r="Y1909" s="405"/>
      <c r="Z1909" s="405"/>
      <c r="AA1909" s="405"/>
      <c r="AB1909" s="405"/>
    </row>
    <row r="1910" ht="14.25" customHeight="1">
      <c r="A1910" s="405"/>
      <c r="B1910" s="405"/>
      <c r="C1910" s="405"/>
      <c r="D1910" s="405"/>
      <c r="E1910" s="405"/>
      <c r="F1910" s="583"/>
      <c r="G1910" s="583"/>
      <c r="H1910" s="405"/>
      <c r="I1910" s="405"/>
      <c r="J1910" s="405"/>
      <c r="K1910" s="405"/>
      <c r="L1910" s="405"/>
      <c r="M1910" s="405"/>
      <c r="N1910" s="405"/>
      <c r="O1910" s="405"/>
      <c r="P1910" s="405"/>
      <c r="Q1910" s="405"/>
      <c r="R1910" s="405"/>
      <c r="S1910" s="405"/>
      <c r="T1910" s="405"/>
      <c r="U1910" s="405"/>
      <c r="V1910" s="405"/>
      <c r="W1910" s="405"/>
      <c r="X1910" s="405"/>
      <c r="Y1910" s="405"/>
      <c r="Z1910" s="405"/>
      <c r="AA1910" s="405"/>
      <c r="AB1910" s="405"/>
    </row>
    <row r="1911" ht="14.25" customHeight="1">
      <c r="A1911" s="405"/>
      <c r="B1911" s="405"/>
      <c r="C1911" s="405"/>
      <c r="D1911" s="405"/>
      <c r="E1911" s="405"/>
      <c r="F1911" s="583"/>
      <c r="G1911" s="583"/>
      <c r="H1911" s="405"/>
      <c r="I1911" s="405"/>
      <c r="J1911" s="405"/>
      <c r="K1911" s="405"/>
      <c r="L1911" s="405"/>
      <c r="M1911" s="405"/>
      <c r="N1911" s="405"/>
      <c r="O1911" s="405"/>
      <c r="P1911" s="405"/>
      <c r="Q1911" s="405"/>
      <c r="R1911" s="405"/>
      <c r="S1911" s="405"/>
      <c r="T1911" s="405"/>
      <c r="U1911" s="405"/>
      <c r="V1911" s="405"/>
      <c r="W1911" s="405"/>
      <c r="X1911" s="405"/>
      <c r="Y1911" s="405"/>
      <c r="Z1911" s="405"/>
      <c r="AA1911" s="405"/>
      <c r="AB1911" s="405"/>
    </row>
    <row r="1912" ht="14.25" customHeight="1">
      <c r="A1912" s="405"/>
      <c r="B1912" s="405"/>
      <c r="C1912" s="405"/>
      <c r="D1912" s="405"/>
      <c r="E1912" s="405"/>
      <c r="F1912" s="583"/>
      <c r="G1912" s="583"/>
      <c r="H1912" s="405"/>
      <c r="I1912" s="405"/>
      <c r="J1912" s="405"/>
      <c r="K1912" s="405"/>
      <c r="L1912" s="405"/>
      <c r="M1912" s="405"/>
      <c r="N1912" s="405"/>
      <c r="O1912" s="405"/>
      <c r="P1912" s="405"/>
      <c r="Q1912" s="405"/>
      <c r="R1912" s="405"/>
      <c r="S1912" s="405"/>
      <c r="T1912" s="405"/>
      <c r="U1912" s="405"/>
      <c r="V1912" s="405"/>
      <c r="W1912" s="405"/>
      <c r="X1912" s="405"/>
      <c r="Y1912" s="405"/>
      <c r="Z1912" s="405"/>
      <c r="AA1912" s="405"/>
      <c r="AB1912" s="405"/>
    </row>
    <row r="1913" ht="14.25" customHeight="1">
      <c r="A1913" s="405"/>
      <c r="B1913" s="405"/>
      <c r="C1913" s="405"/>
      <c r="D1913" s="405"/>
      <c r="E1913" s="405"/>
      <c r="F1913" s="583"/>
      <c r="G1913" s="583"/>
      <c r="H1913" s="405"/>
      <c r="I1913" s="405"/>
      <c r="J1913" s="405"/>
      <c r="K1913" s="405"/>
      <c r="L1913" s="405"/>
      <c r="M1913" s="405"/>
      <c r="N1913" s="405"/>
      <c r="O1913" s="405"/>
      <c r="P1913" s="405"/>
      <c r="Q1913" s="405"/>
      <c r="R1913" s="405"/>
      <c r="S1913" s="405"/>
      <c r="T1913" s="405"/>
      <c r="U1913" s="405"/>
      <c r="V1913" s="405"/>
      <c r="W1913" s="405"/>
      <c r="X1913" s="405"/>
      <c r="Y1913" s="405"/>
      <c r="Z1913" s="405"/>
      <c r="AA1913" s="405"/>
      <c r="AB1913" s="405"/>
    </row>
    <row r="1914" ht="14.25" customHeight="1">
      <c r="A1914" s="405"/>
      <c r="B1914" s="405"/>
      <c r="C1914" s="405"/>
      <c r="D1914" s="405"/>
      <c r="E1914" s="405"/>
      <c r="F1914" s="583"/>
      <c r="G1914" s="583"/>
      <c r="H1914" s="405"/>
      <c r="I1914" s="405"/>
      <c r="J1914" s="405"/>
      <c r="K1914" s="405"/>
      <c r="L1914" s="405"/>
      <c r="M1914" s="405"/>
      <c r="N1914" s="405"/>
      <c r="O1914" s="405"/>
      <c r="P1914" s="405"/>
      <c r="Q1914" s="405"/>
      <c r="R1914" s="405"/>
      <c r="S1914" s="405"/>
      <c r="T1914" s="405"/>
      <c r="U1914" s="405"/>
      <c r="V1914" s="405"/>
      <c r="W1914" s="405"/>
      <c r="X1914" s="405"/>
      <c r="Y1914" s="405"/>
      <c r="Z1914" s="405"/>
      <c r="AA1914" s="405"/>
      <c r="AB1914" s="405"/>
    </row>
    <row r="1915" ht="14.25" customHeight="1">
      <c r="A1915" s="405"/>
      <c r="B1915" s="405"/>
      <c r="C1915" s="405"/>
      <c r="D1915" s="405"/>
      <c r="E1915" s="405"/>
      <c r="F1915" s="583"/>
      <c r="G1915" s="583"/>
      <c r="H1915" s="405"/>
      <c r="I1915" s="405"/>
      <c r="J1915" s="405"/>
      <c r="K1915" s="405"/>
      <c r="L1915" s="405"/>
      <c r="M1915" s="405"/>
      <c r="N1915" s="405"/>
      <c r="O1915" s="405"/>
      <c r="P1915" s="405"/>
      <c r="Q1915" s="405"/>
      <c r="R1915" s="405"/>
      <c r="S1915" s="405"/>
      <c r="T1915" s="405"/>
      <c r="U1915" s="405"/>
      <c r="V1915" s="405"/>
      <c r="W1915" s="405"/>
      <c r="X1915" s="405"/>
      <c r="Y1915" s="405"/>
      <c r="Z1915" s="405"/>
      <c r="AA1915" s="405"/>
      <c r="AB1915" s="405"/>
    </row>
    <row r="1916" ht="14.25" customHeight="1">
      <c r="A1916" s="405"/>
      <c r="B1916" s="405"/>
      <c r="C1916" s="405"/>
      <c r="D1916" s="405"/>
      <c r="E1916" s="405"/>
      <c r="F1916" s="583"/>
      <c r="G1916" s="583"/>
      <c r="H1916" s="405"/>
      <c r="I1916" s="405"/>
      <c r="J1916" s="405"/>
      <c r="K1916" s="405"/>
      <c r="L1916" s="405"/>
      <c r="M1916" s="405"/>
      <c r="N1916" s="405"/>
      <c r="O1916" s="405"/>
      <c r="P1916" s="405"/>
      <c r="Q1916" s="405"/>
      <c r="R1916" s="405"/>
      <c r="S1916" s="405"/>
      <c r="T1916" s="405"/>
      <c r="U1916" s="405"/>
      <c r="V1916" s="405"/>
      <c r="W1916" s="405"/>
      <c r="X1916" s="405"/>
      <c r="Y1916" s="405"/>
      <c r="Z1916" s="405"/>
      <c r="AA1916" s="405"/>
      <c r="AB1916" s="405"/>
    </row>
    <row r="1917" ht="14.25" customHeight="1">
      <c r="A1917" s="405"/>
      <c r="B1917" s="405"/>
      <c r="C1917" s="405"/>
      <c r="D1917" s="405"/>
      <c r="E1917" s="405"/>
      <c r="F1917" s="583"/>
      <c r="G1917" s="583"/>
      <c r="H1917" s="405"/>
      <c r="I1917" s="405"/>
      <c r="J1917" s="405"/>
      <c r="K1917" s="405"/>
      <c r="L1917" s="405"/>
      <c r="M1917" s="405"/>
      <c r="N1917" s="405"/>
      <c r="O1917" s="405"/>
      <c r="P1917" s="405"/>
      <c r="Q1917" s="405"/>
      <c r="R1917" s="405"/>
      <c r="S1917" s="405"/>
      <c r="T1917" s="405"/>
      <c r="U1917" s="405"/>
      <c r="V1917" s="405"/>
      <c r="W1917" s="405"/>
      <c r="X1917" s="405"/>
      <c r="Y1917" s="405"/>
      <c r="Z1917" s="405"/>
      <c r="AA1917" s="405"/>
      <c r="AB1917" s="405"/>
    </row>
    <row r="1918" ht="14.25" customHeight="1">
      <c r="A1918" s="405"/>
      <c r="B1918" s="405"/>
      <c r="C1918" s="405"/>
      <c r="D1918" s="405"/>
      <c r="E1918" s="405"/>
      <c r="F1918" s="583"/>
      <c r="G1918" s="583"/>
      <c r="H1918" s="405"/>
      <c r="I1918" s="405"/>
      <c r="J1918" s="405"/>
      <c r="K1918" s="405"/>
      <c r="L1918" s="405"/>
      <c r="M1918" s="405"/>
      <c r="N1918" s="405"/>
      <c r="O1918" s="405"/>
      <c r="P1918" s="405"/>
      <c r="Q1918" s="405"/>
      <c r="R1918" s="405"/>
      <c r="S1918" s="405"/>
      <c r="T1918" s="405"/>
      <c r="U1918" s="405"/>
      <c r="V1918" s="405"/>
      <c r="W1918" s="405"/>
      <c r="X1918" s="405"/>
      <c r="Y1918" s="405"/>
      <c r="Z1918" s="405"/>
      <c r="AA1918" s="405"/>
      <c r="AB1918" s="405"/>
    </row>
    <row r="1919" ht="14.25" customHeight="1">
      <c r="A1919" s="405"/>
      <c r="B1919" s="405"/>
      <c r="C1919" s="405"/>
      <c r="D1919" s="405"/>
      <c r="E1919" s="405"/>
      <c r="F1919" s="583"/>
      <c r="G1919" s="583"/>
      <c r="H1919" s="405"/>
      <c r="I1919" s="405"/>
      <c r="J1919" s="405"/>
      <c r="K1919" s="405"/>
      <c r="L1919" s="405"/>
      <c r="M1919" s="405"/>
      <c r="N1919" s="405"/>
      <c r="O1919" s="405"/>
      <c r="P1919" s="405"/>
      <c r="Q1919" s="405"/>
      <c r="R1919" s="405"/>
      <c r="S1919" s="405"/>
      <c r="T1919" s="405"/>
      <c r="U1919" s="405"/>
      <c r="V1919" s="405"/>
      <c r="W1919" s="405"/>
      <c r="X1919" s="405"/>
      <c r="Y1919" s="405"/>
      <c r="Z1919" s="405"/>
      <c r="AA1919" s="405"/>
      <c r="AB1919" s="405"/>
    </row>
    <row r="1920" ht="14.25" customHeight="1">
      <c r="A1920" s="405"/>
      <c r="B1920" s="405"/>
      <c r="C1920" s="405"/>
      <c r="D1920" s="405"/>
      <c r="E1920" s="405"/>
      <c r="F1920" s="583"/>
      <c r="G1920" s="583"/>
      <c r="H1920" s="405"/>
      <c r="I1920" s="405"/>
      <c r="J1920" s="405"/>
      <c r="K1920" s="405"/>
      <c r="L1920" s="405"/>
      <c r="M1920" s="405"/>
      <c r="N1920" s="405"/>
      <c r="O1920" s="405"/>
      <c r="P1920" s="405"/>
      <c r="Q1920" s="405"/>
      <c r="R1920" s="405"/>
      <c r="S1920" s="405"/>
      <c r="T1920" s="405"/>
      <c r="U1920" s="405"/>
      <c r="V1920" s="405"/>
      <c r="W1920" s="405"/>
      <c r="X1920" s="405"/>
      <c r="Y1920" s="405"/>
      <c r="Z1920" s="405"/>
      <c r="AA1920" s="405"/>
      <c r="AB1920" s="405"/>
    </row>
    <row r="1921" ht="14.25" customHeight="1">
      <c r="A1921" s="405"/>
      <c r="B1921" s="405"/>
      <c r="C1921" s="405"/>
      <c r="D1921" s="405"/>
      <c r="E1921" s="405"/>
      <c r="F1921" s="583"/>
      <c r="G1921" s="583"/>
      <c r="H1921" s="405"/>
      <c r="I1921" s="405"/>
      <c r="J1921" s="405"/>
      <c r="K1921" s="405"/>
      <c r="L1921" s="405"/>
      <c r="M1921" s="405"/>
      <c r="N1921" s="405"/>
      <c r="O1921" s="405"/>
      <c r="P1921" s="405"/>
      <c r="Q1921" s="405"/>
      <c r="R1921" s="405"/>
      <c r="S1921" s="405"/>
      <c r="T1921" s="405"/>
      <c r="U1921" s="405"/>
      <c r="V1921" s="405"/>
      <c r="W1921" s="405"/>
      <c r="X1921" s="405"/>
      <c r="Y1921" s="405"/>
      <c r="Z1921" s="405"/>
      <c r="AA1921" s="405"/>
      <c r="AB1921" s="405"/>
    </row>
    <row r="1922" ht="14.25" customHeight="1">
      <c r="A1922" s="405"/>
      <c r="B1922" s="405"/>
      <c r="C1922" s="405"/>
      <c r="D1922" s="405"/>
      <c r="E1922" s="405"/>
      <c r="F1922" s="583"/>
      <c r="G1922" s="583"/>
      <c r="H1922" s="405"/>
      <c r="I1922" s="405"/>
      <c r="J1922" s="405"/>
      <c r="K1922" s="405"/>
      <c r="L1922" s="405"/>
      <c r="M1922" s="405"/>
      <c r="N1922" s="405"/>
      <c r="O1922" s="405"/>
      <c r="P1922" s="405"/>
      <c r="Q1922" s="405"/>
      <c r="R1922" s="405"/>
      <c r="S1922" s="405"/>
      <c r="T1922" s="405"/>
      <c r="U1922" s="405"/>
      <c r="V1922" s="405"/>
      <c r="W1922" s="405"/>
      <c r="X1922" s="405"/>
      <c r="Y1922" s="405"/>
      <c r="Z1922" s="405"/>
      <c r="AA1922" s="405"/>
      <c r="AB1922" s="405"/>
    </row>
    <row r="1923" ht="14.25" customHeight="1">
      <c r="A1923" s="405"/>
      <c r="B1923" s="405"/>
      <c r="C1923" s="405"/>
      <c r="D1923" s="405"/>
      <c r="E1923" s="405"/>
      <c r="F1923" s="583"/>
      <c r="G1923" s="583"/>
      <c r="H1923" s="405"/>
      <c r="I1923" s="405"/>
      <c r="J1923" s="405"/>
      <c r="K1923" s="405"/>
      <c r="L1923" s="405"/>
      <c r="M1923" s="405"/>
      <c r="N1923" s="405"/>
      <c r="O1923" s="405"/>
      <c r="P1923" s="405"/>
      <c r="Q1923" s="405"/>
      <c r="R1923" s="405"/>
      <c r="S1923" s="405"/>
      <c r="T1923" s="405"/>
      <c r="U1923" s="405"/>
      <c r="V1923" s="405"/>
      <c r="W1923" s="405"/>
      <c r="X1923" s="405"/>
      <c r="Y1923" s="405"/>
      <c r="Z1923" s="405"/>
      <c r="AA1923" s="405"/>
      <c r="AB1923" s="405"/>
    </row>
    <row r="1924" ht="14.25" customHeight="1">
      <c r="A1924" s="405"/>
      <c r="B1924" s="405"/>
      <c r="C1924" s="405"/>
      <c r="D1924" s="405"/>
      <c r="E1924" s="405"/>
      <c r="F1924" s="583"/>
      <c r="G1924" s="583"/>
      <c r="H1924" s="405"/>
      <c r="I1924" s="405"/>
      <c r="J1924" s="405"/>
      <c r="K1924" s="405"/>
      <c r="L1924" s="405"/>
      <c r="M1924" s="405"/>
      <c r="N1924" s="405"/>
      <c r="O1924" s="405"/>
      <c r="P1924" s="405"/>
      <c r="Q1924" s="405"/>
      <c r="R1924" s="405"/>
      <c r="S1924" s="405"/>
      <c r="T1924" s="405"/>
      <c r="U1924" s="405"/>
      <c r="V1924" s="405"/>
      <c r="W1924" s="405"/>
      <c r="X1924" s="405"/>
      <c r="Y1924" s="405"/>
      <c r="Z1924" s="405"/>
      <c r="AA1924" s="405"/>
      <c r="AB1924" s="405"/>
    </row>
    <row r="1925" ht="14.25" customHeight="1">
      <c r="A1925" s="405"/>
      <c r="B1925" s="405"/>
      <c r="C1925" s="405"/>
      <c r="D1925" s="405"/>
      <c r="E1925" s="405"/>
      <c r="F1925" s="583"/>
      <c r="G1925" s="583"/>
      <c r="H1925" s="405"/>
      <c r="I1925" s="405"/>
      <c r="J1925" s="405"/>
      <c r="K1925" s="405"/>
      <c r="L1925" s="405"/>
      <c r="M1925" s="405"/>
      <c r="N1925" s="405"/>
      <c r="O1925" s="405"/>
      <c r="P1925" s="405"/>
      <c r="Q1925" s="405"/>
      <c r="R1925" s="405"/>
      <c r="S1925" s="405"/>
      <c r="T1925" s="405"/>
      <c r="U1925" s="405"/>
      <c r="V1925" s="405"/>
      <c r="W1925" s="405"/>
      <c r="X1925" s="405"/>
      <c r="Y1925" s="405"/>
      <c r="Z1925" s="405"/>
      <c r="AA1925" s="405"/>
      <c r="AB1925" s="405"/>
    </row>
    <row r="1926" ht="14.25" customHeight="1">
      <c r="A1926" s="405"/>
      <c r="B1926" s="405"/>
      <c r="C1926" s="405"/>
      <c r="D1926" s="405"/>
      <c r="E1926" s="405"/>
      <c r="F1926" s="583"/>
      <c r="G1926" s="583"/>
      <c r="H1926" s="405"/>
      <c r="I1926" s="405"/>
      <c r="J1926" s="405"/>
      <c r="K1926" s="405"/>
      <c r="L1926" s="405"/>
      <c r="M1926" s="405"/>
      <c r="N1926" s="405"/>
      <c r="O1926" s="405"/>
      <c r="P1926" s="405"/>
      <c r="Q1926" s="405"/>
      <c r="R1926" s="405"/>
      <c r="S1926" s="405"/>
      <c r="T1926" s="405"/>
      <c r="U1926" s="405"/>
      <c r="V1926" s="405"/>
      <c r="W1926" s="405"/>
      <c r="X1926" s="405"/>
      <c r="Y1926" s="405"/>
      <c r="Z1926" s="405"/>
      <c r="AA1926" s="405"/>
      <c r="AB1926" s="405"/>
    </row>
    <row r="1927" ht="14.25" customHeight="1">
      <c r="A1927" s="405"/>
      <c r="B1927" s="405"/>
      <c r="C1927" s="405"/>
      <c r="D1927" s="405"/>
      <c r="E1927" s="405"/>
      <c r="F1927" s="583"/>
      <c r="G1927" s="583"/>
      <c r="H1927" s="405"/>
      <c r="I1927" s="405"/>
      <c r="J1927" s="405"/>
      <c r="K1927" s="405"/>
      <c r="L1927" s="405"/>
      <c r="M1927" s="405"/>
      <c r="N1927" s="405"/>
      <c r="O1927" s="405"/>
      <c r="P1927" s="405"/>
      <c r="Q1927" s="405"/>
      <c r="R1927" s="405"/>
      <c r="S1927" s="405"/>
      <c r="T1927" s="405"/>
      <c r="U1927" s="405"/>
      <c r="V1927" s="405"/>
      <c r="W1927" s="405"/>
      <c r="X1927" s="405"/>
      <c r="Y1927" s="405"/>
      <c r="Z1927" s="405"/>
      <c r="AA1927" s="405"/>
      <c r="AB1927" s="405"/>
    </row>
    <row r="1928" ht="14.25" customHeight="1">
      <c r="A1928" s="405"/>
      <c r="B1928" s="405"/>
      <c r="C1928" s="405"/>
      <c r="D1928" s="405"/>
      <c r="E1928" s="405"/>
      <c r="F1928" s="583"/>
      <c r="G1928" s="583"/>
      <c r="H1928" s="405"/>
      <c r="I1928" s="405"/>
      <c r="J1928" s="405"/>
      <c r="K1928" s="405"/>
      <c r="L1928" s="405"/>
      <c r="M1928" s="405"/>
      <c r="N1928" s="405"/>
      <c r="O1928" s="405"/>
      <c r="P1928" s="405"/>
      <c r="Q1928" s="405"/>
      <c r="R1928" s="405"/>
      <c r="S1928" s="405"/>
      <c r="T1928" s="405"/>
      <c r="U1928" s="405"/>
      <c r="V1928" s="405"/>
      <c r="W1928" s="405"/>
      <c r="X1928" s="405"/>
      <c r="Y1928" s="405"/>
      <c r="Z1928" s="405"/>
      <c r="AA1928" s="405"/>
      <c r="AB1928" s="405"/>
    </row>
    <row r="1929" ht="14.25" customHeight="1">
      <c r="A1929" s="405"/>
      <c r="B1929" s="405"/>
      <c r="C1929" s="405"/>
      <c r="D1929" s="405"/>
      <c r="E1929" s="405"/>
      <c r="F1929" s="583"/>
      <c r="G1929" s="583"/>
      <c r="H1929" s="405"/>
      <c r="I1929" s="405"/>
      <c r="J1929" s="405"/>
      <c r="K1929" s="405"/>
      <c r="L1929" s="405"/>
      <c r="M1929" s="405"/>
      <c r="N1929" s="405"/>
      <c r="O1929" s="405"/>
      <c r="P1929" s="405"/>
      <c r="Q1929" s="405"/>
      <c r="R1929" s="405"/>
      <c r="S1929" s="405"/>
      <c r="T1929" s="405"/>
      <c r="U1929" s="405"/>
      <c r="V1929" s="405"/>
      <c r="W1929" s="405"/>
      <c r="X1929" s="405"/>
      <c r="Y1929" s="405"/>
      <c r="Z1929" s="405"/>
      <c r="AA1929" s="405"/>
      <c r="AB1929" s="405"/>
    </row>
    <row r="1930" ht="14.25" customHeight="1">
      <c r="A1930" s="405"/>
      <c r="B1930" s="405"/>
      <c r="C1930" s="405"/>
      <c r="D1930" s="405"/>
      <c r="E1930" s="405"/>
      <c r="F1930" s="583"/>
      <c r="G1930" s="583"/>
      <c r="H1930" s="405"/>
      <c r="I1930" s="405"/>
      <c r="J1930" s="405"/>
      <c r="K1930" s="405"/>
      <c r="L1930" s="405"/>
      <c r="M1930" s="405"/>
      <c r="N1930" s="405"/>
      <c r="O1930" s="405"/>
      <c r="P1930" s="405"/>
      <c r="Q1930" s="405"/>
      <c r="R1930" s="405"/>
      <c r="S1930" s="405"/>
      <c r="T1930" s="405"/>
      <c r="U1930" s="405"/>
      <c r="V1930" s="405"/>
      <c r="W1930" s="405"/>
      <c r="X1930" s="405"/>
      <c r="Y1930" s="405"/>
      <c r="Z1930" s="405"/>
      <c r="AA1930" s="405"/>
      <c r="AB1930" s="405"/>
    </row>
    <row r="1931" ht="14.25" customHeight="1">
      <c r="A1931" s="405"/>
      <c r="B1931" s="405"/>
      <c r="C1931" s="405"/>
      <c r="D1931" s="405"/>
      <c r="E1931" s="405"/>
      <c r="F1931" s="583"/>
      <c r="G1931" s="583"/>
      <c r="H1931" s="405"/>
      <c r="I1931" s="405"/>
      <c r="J1931" s="405"/>
      <c r="K1931" s="405"/>
      <c r="L1931" s="405"/>
      <c r="M1931" s="405"/>
      <c r="N1931" s="405"/>
      <c r="O1931" s="405"/>
      <c r="P1931" s="405"/>
      <c r="Q1931" s="405"/>
      <c r="R1931" s="405"/>
      <c r="S1931" s="405"/>
      <c r="T1931" s="405"/>
      <c r="U1931" s="405"/>
      <c r="V1931" s="405"/>
      <c r="W1931" s="405"/>
      <c r="X1931" s="405"/>
      <c r="Y1931" s="405"/>
      <c r="Z1931" s="405"/>
      <c r="AA1931" s="405"/>
      <c r="AB1931" s="405"/>
    </row>
    <row r="1932" ht="14.25" customHeight="1">
      <c r="A1932" s="405"/>
      <c r="B1932" s="405"/>
      <c r="C1932" s="405"/>
      <c r="D1932" s="405"/>
      <c r="E1932" s="405"/>
      <c r="F1932" s="583"/>
      <c r="G1932" s="583"/>
      <c r="H1932" s="405"/>
      <c r="I1932" s="405"/>
      <c r="J1932" s="405"/>
      <c r="K1932" s="405"/>
      <c r="L1932" s="405"/>
      <c r="M1932" s="405"/>
      <c r="N1932" s="405"/>
      <c r="O1932" s="405"/>
      <c r="P1932" s="405"/>
      <c r="Q1932" s="405"/>
      <c r="R1932" s="405"/>
      <c r="S1932" s="405"/>
      <c r="T1932" s="405"/>
      <c r="U1932" s="405"/>
      <c r="V1932" s="405"/>
      <c r="W1932" s="405"/>
      <c r="X1932" s="405"/>
      <c r="Y1932" s="405"/>
      <c r="Z1932" s="405"/>
      <c r="AA1932" s="405"/>
      <c r="AB1932" s="405"/>
    </row>
    <row r="1933" ht="14.25" customHeight="1">
      <c r="A1933" s="405"/>
      <c r="B1933" s="405"/>
      <c r="C1933" s="405"/>
      <c r="D1933" s="405"/>
      <c r="E1933" s="405"/>
      <c r="F1933" s="583"/>
      <c r="G1933" s="583"/>
      <c r="H1933" s="405"/>
      <c r="I1933" s="405"/>
      <c r="J1933" s="405"/>
      <c r="K1933" s="405"/>
      <c r="L1933" s="405"/>
      <c r="M1933" s="405"/>
      <c r="N1933" s="405"/>
      <c r="O1933" s="405"/>
      <c r="P1933" s="405"/>
      <c r="Q1933" s="405"/>
      <c r="R1933" s="405"/>
      <c r="S1933" s="405"/>
      <c r="T1933" s="405"/>
      <c r="U1933" s="405"/>
      <c r="V1933" s="405"/>
      <c r="W1933" s="405"/>
      <c r="X1933" s="405"/>
      <c r="Y1933" s="405"/>
      <c r="Z1933" s="405"/>
      <c r="AA1933" s="405"/>
      <c r="AB1933" s="405"/>
    </row>
    <row r="1934" ht="14.25" customHeight="1">
      <c r="A1934" s="405"/>
      <c r="B1934" s="405"/>
      <c r="C1934" s="405"/>
      <c r="D1934" s="405"/>
      <c r="E1934" s="405"/>
      <c r="F1934" s="583"/>
      <c r="G1934" s="583"/>
      <c r="H1934" s="405"/>
      <c r="I1934" s="405"/>
      <c r="J1934" s="405"/>
      <c r="K1934" s="405"/>
      <c r="L1934" s="405"/>
      <c r="M1934" s="405"/>
      <c r="N1934" s="405"/>
      <c r="O1934" s="405"/>
      <c r="P1934" s="405"/>
      <c r="Q1934" s="405"/>
      <c r="R1934" s="405"/>
      <c r="S1934" s="405"/>
      <c r="T1934" s="405"/>
      <c r="U1934" s="405"/>
      <c r="V1934" s="405"/>
      <c r="W1934" s="405"/>
      <c r="X1934" s="405"/>
      <c r="Y1934" s="405"/>
      <c r="Z1934" s="405"/>
      <c r="AA1934" s="405"/>
      <c r="AB1934" s="405"/>
    </row>
    <row r="1935" ht="14.25" customHeight="1">
      <c r="A1935" s="405"/>
      <c r="B1935" s="405"/>
      <c r="C1935" s="405"/>
      <c r="D1935" s="405"/>
      <c r="E1935" s="405"/>
      <c r="F1935" s="583"/>
      <c r="G1935" s="583"/>
      <c r="H1935" s="405"/>
      <c r="I1935" s="405"/>
      <c r="J1935" s="405"/>
      <c r="K1935" s="405"/>
      <c r="L1935" s="405"/>
      <c r="M1935" s="405"/>
      <c r="N1935" s="405"/>
      <c r="O1935" s="405"/>
      <c r="P1935" s="405"/>
      <c r="Q1935" s="405"/>
      <c r="R1935" s="405"/>
      <c r="S1935" s="405"/>
      <c r="T1935" s="405"/>
      <c r="U1935" s="405"/>
      <c r="V1935" s="405"/>
      <c r="W1935" s="405"/>
      <c r="X1935" s="405"/>
      <c r="Y1935" s="405"/>
      <c r="Z1935" s="405"/>
      <c r="AA1935" s="405"/>
      <c r="AB1935" s="405"/>
    </row>
    <row r="1936" ht="14.25" customHeight="1">
      <c r="A1936" s="405"/>
      <c r="B1936" s="405"/>
      <c r="C1936" s="405"/>
      <c r="D1936" s="405"/>
      <c r="E1936" s="405"/>
      <c r="F1936" s="583"/>
      <c r="G1936" s="583"/>
      <c r="H1936" s="405"/>
      <c r="I1936" s="405"/>
      <c r="J1936" s="405"/>
      <c r="K1936" s="405"/>
      <c r="L1936" s="405"/>
      <c r="M1936" s="405"/>
      <c r="N1936" s="405"/>
      <c r="O1936" s="405"/>
      <c r="P1936" s="405"/>
      <c r="Q1936" s="405"/>
      <c r="R1936" s="405"/>
      <c r="S1936" s="405"/>
      <c r="T1936" s="405"/>
      <c r="U1936" s="405"/>
      <c r="V1936" s="405"/>
      <c r="W1936" s="405"/>
      <c r="X1936" s="405"/>
      <c r="Y1936" s="405"/>
      <c r="Z1936" s="405"/>
      <c r="AA1936" s="405"/>
      <c r="AB1936" s="405"/>
    </row>
    <row r="1937" ht="14.25" customHeight="1">
      <c r="A1937" s="405"/>
      <c r="B1937" s="405"/>
      <c r="C1937" s="405"/>
      <c r="D1937" s="405"/>
      <c r="E1937" s="405"/>
      <c r="F1937" s="583"/>
      <c r="G1937" s="583"/>
      <c r="H1937" s="405"/>
      <c r="I1937" s="405"/>
      <c r="J1937" s="405"/>
      <c r="K1937" s="405"/>
      <c r="L1937" s="405"/>
      <c r="M1937" s="405"/>
      <c r="N1937" s="405"/>
      <c r="O1937" s="405"/>
      <c r="P1937" s="405"/>
      <c r="Q1937" s="405"/>
      <c r="R1937" s="405"/>
      <c r="S1937" s="405"/>
      <c r="T1937" s="405"/>
      <c r="U1937" s="405"/>
      <c r="V1937" s="405"/>
      <c r="W1937" s="405"/>
      <c r="X1937" s="405"/>
      <c r="Y1937" s="405"/>
      <c r="Z1937" s="405"/>
      <c r="AA1937" s="405"/>
      <c r="AB1937" s="405"/>
    </row>
    <row r="1938" ht="14.25" customHeight="1">
      <c r="A1938" s="405"/>
      <c r="B1938" s="405"/>
      <c r="C1938" s="405"/>
      <c r="D1938" s="405"/>
      <c r="E1938" s="405"/>
      <c r="F1938" s="583"/>
      <c r="G1938" s="583"/>
      <c r="H1938" s="405"/>
      <c r="I1938" s="405"/>
      <c r="J1938" s="405"/>
      <c r="K1938" s="405"/>
      <c r="L1938" s="405"/>
      <c r="M1938" s="405"/>
      <c r="N1938" s="405"/>
      <c r="O1938" s="405"/>
      <c r="P1938" s="405"/>
      <c r="Q1938" s="405"/>
      <c r="R1938" s="405"/>
      <c r="S1938" s="405"/>
      <c r="T1938" s="405"/>
      <c r="U1938" s="405"/>
      <c r="V1938" s="405"/>
      <c r="W1938" s="405"/>
      <c r="X1938" s="405"/>
      <c r="Y1938" s="405"/>
      <c r="Z1938" s="405"/>
      <c r="AA1938" s="405"/>
      <c r="AB1938" s="405"/>
    </row>
    <row r="1939" ht="14.25" customHeight="1">
      <c r="A1939" s="405"/>
      <c r="B1939" s="405"/>
      <c r="C1939" s="405"/>
      <c r="D1939" s="405"/>
      <c r="E1939" s="405"/>
      <c r="F1939" s="583"/>
      <c r="G1939" s="583"/>
      <c r="H1939" s="405"/>
      <c r="I1939" s="405"/>
      <c r="J1939" s="405"/>
      <c r="K1939" s="405"/>
      <c r="L1939" s="405"/>
      <c r="M1939" s="405"/>
      <c r="N1939" s="405"/>
      <c r="O1939" s="405"/>
      <c r="P1939" s="405"/>
      <c r="Q1939" s="405"/>
      <c r="R1939" s="405"/>
      <c r="S1939" s="405"/>
      <c r="T1939" s="405"/>
      <c r="U1939" s="405"/>
      <c r="V1939" s="405"/>
      <c r="W1939" s="405"/>
      <c r="X1939" s="405"/>
      <c r="Y1939" s="405"/>
      <c r="Z1939" s="405"/>
      <c r="AA1939" s="405"/>
      <c r="AB1939" s="405"/>
    </row>
    <row r="1940" ht="14.25" customHeight="1">
      <c r="A1940" s="405"/>
      <c r="B1940" s="405"/>
      <c r="C1940" s="405"/>
      <c r="D1940" s="405"/>
      <c r="E1940" s="405"/>
      <c r="F1940" s="583"/>
      <c r="G1940" s="583"/>
      <c r="H1940" s="405"/>
      <c r="I1940" s="405"/>
      <c r="J1940" s="405"/>
      <c r="K1940" s="405"/>
      <c r="L1940" s="405"/>
      <c r="M1940" s="405"/>
      <c r="N1940" s="405"/>
      <c r="O1940" s="405"/>
      <c r="P1940" s="405"/>
      <c r="Q1940" s="405"/>
      <c r="R1940" s="405"/>
      <c r="S1940" s="405"/>
      <c r="T1940" s="405"/>
      <c r="U1940" s="405"/>
      <c r="V1940" s="405"/>
      <c r="W1940" s="405"/>
      <c r="X1940" s="405"/>
      <c r="Y1940" s="405"/>
      <c r="Z1940" s="405"/>
      <c r="AA1940" s="405"/>
      <c r="AB1940" s="405"/>
    </row>
    <row r="1941" ht="14.25" customHeight="1">
      <c r="A1941" s="405"/>
      <c r="B1941" s="405"/>
      <c r="C1941" s="405"/>
      <c r="D1941" s="405"/>
      <c r="E1941" s="405"/>
      <c r="F1941" s="583"/>
      <c r="G1941" s="583"/>
      <c r="H1941" s="405"/>
      <c r="I1941" s="405"/>
      <c r="J1941" s="405"/>
      <c r="K1941" s="405"/>
      <c r="L1941" s="405"/>
      <c r="M1941" s="405"/>
      <c r="N1941" s="405"/>
      <c r="O1941" s="405"/>
      <c r="P1941" s="405"/>
      <c r="Q1941" s="405"/>
      <c r="R1941" s="405"/>
      <c r="S1941" s="405"/>
      <c r="T1941" s="405"/>
      <c r="U1941" s="405"/>
      <c r="V1941" s="405"/>
      <c r="W1941" s="405"/>
      <c r="X1941" s="405"/>
      <c r="Y1941" s="405"/>
      <c r="Z1941" s="405"/>
      <c r="AA1941" s="405"/>
      <c r="AB1941" s="405"/>
    </row>
    <row r="1942" ht="14.25" customHeight="1">
      <c r="A1942" s="405"/>
      <c r="B1942" s="405"/>
      <c r="C1942" s="405"/>
      <c r="D1942" s="405"/>
      <c r="E1942" s="405"/>
      <c r="F1942" s="583"/>
      <c r="G1942" s="583"/>
      <c r="H1942" s="405"/>
      <c r="I1942" s="405"/>
      <c r="J1942" s="405"/>
      <c r="K1942" s="405"/>
      <c r="L1942" s="405"/>
      <c r="M1942" s="405"/>
      <c r="N1942" s="405"/>
      <c r="O1942" s="405"/>
      <c r="P1942" s="405"/>
      <c r="Q1942" s="405"/>
      <c r="R1942" s="405"/>
      <c r="S1942" s="405"/>
      <c r="T1942" s="405"/>
      <c r="U1942" s="405"/>
      <c r="V1942" s="405"/>
      <c r="W1942" s="405"/>
      <c r="X1942" s="405"/>
      <c r="Y1942" s="405"/>
      <c r="Z1942" s="405"/>
      <c r="AA1942" s="405"/>
      <c r="AB1942" s="405"/>
    </row>
    <row r="1943" ht="14.25" customHeight="1">
      <c r="A1943" s="405"/>
      <c r="B1943" s="405"/>
      <c r="C1943" s="405"/>
      <c r="D1943" s="405"/>
      <c r="E1943" s="405"/>
      <c r="F1943" s="583"/>
      <c r="G1943" s="583"/>
      <c r="H1943" s="405"/>
      <c r="I1943" s="405"/>
      <c r="J1943" s="405"/>
      <c r="K1943" s="405"/>
      <c r="L1943" s="405"/>
      <c r="M1943" s="405"/>
      <c r="N1943" s="405"/>
      <c r="O1943" s="405"/>
      <c r="P1943" s="405"/>
      <c r="Q1943" s="405"/>
      <c r="R1943" s="405"/>
      <c r="S1943" s="405"/>
      <c r="T1943" s="405"/>
      <c r="U1943" s="405"/>
      <c r="V1943" s="405"/>
      <c r="W1943" s="405"/>
      <c r="X1943" s="405"/>
      <c r="Y1943" s="405"/>
      <c r="Z1943" s="405"/>
      <c r="AA1943" s="405"/>
      <c r="AB1943" s="405"/>
    </row>
    <row r="1944" ht="14.25" customHeight="1">
      <c r="A1944" s="405"/>
      <c r="B1944" s="405"/>
      <c r="C1944" s="405"/>
      <c r="D1944" s="405"/>
      <c r="E1944" s="405"/>
      <c r="F1944" s="583"/>
      <c r="G1944" s="583"/>
      <c r="H1944" s="405"/>
      <c r="I1944" s="405"/>
      <c r="J1944" s="405"/>
      <c r="K1944" s="405"/>
      <c r="L1944" s="405"/>
      <c r="M1944" s="405"/>
      <c r="N1944" s="405"/>
      <c r="O1944" s="405"/>
      <c r="P1944" s="405"/>
      <c r="Q1944" s="405"/>
      <c r="R1944" s="405"/>
      <c r="S1944" s="405"/>
      <c r="T1944" s="405"/>
      <c r="U1944" s="405"/>
      <c r="V1944" s="405"/>
      <c r="W1944" s="405"/>
      <c r="X1944" s="405"/>
      <c r="Y1944" s="405"/>
      <c r="Z1944" s="405"/>
      <c r="AA1944" s="405"/>
      <c r="AB1944" s="405"/>
    </row>
    <row r="1945" ht="14.25" customHeight="1">
      <c r="A1945" s="405"/>
      <c r="B1945" s="405"/>
      <c r="C1945" s="405"/>
      <c r="D1945" s="405"/>
      <c r="E1945" s="405"/>
      <c r="F1945" s="583"/>
      <c r="G1945" s="583"/>
      <c r="H1945" s="405"/>
      <c r="I1945" s="405"/>
      <c r="J1945" s="405"/>
      <c r="K1945" s="405"/>
      <c r="L1945" s="405"/>
      <c r="M1945" s="405"/>
      <c r="N1945" s="405"/>
      <c r="O1945" s="405"/>
      <c r="P1945" s="405"/>
      <c r="Q1945" s="405"/>
      <c r="R1945" s="405"/>
      <c r="S1945" s="405"/>
      <c r="T1945" s="405"/>
      <c r="U1945" s="405"/>
      <c r="V1945" s="405"/>
      <c r="W1945" s="405"/>
      <c r="X1945" s="405"/>
      <c r="Y1945" s="405"/>
      <c r="Z1945" s="405"/>
      <c r="AA1945" s="405"/>
      <c r="AB1945" s="405"/>
    </row>
    <row r="1946" ht="14.25" customHeight="1">
      <c r="A1946" s="405"/>
      <c r="B1946" s="405"/>
      <c r="C1946" s="405"/>
      <c r="D1946" s="405"/>
      <c r="E1946" s="405"/>
      <c r="F1946" s="583"/>
      <c r="G1946" s="583"/>
      <c r="H1946" s="405"/>
      <c r="I1946" s="405"/>
      <c r="J1946" s="405"/>
      <c r="K1946" s="405"/>
      <c r="L1946" s="405"/>
      <c r="M1946" s="405"/>
      <c r="N1946" s="405"/>
      <c r="O1946" s="405"/>
      <c r="P1946" s="405"/>
      <c r="Q1946" s="405"/>
      <c r="R1946" s="405"/>
      <c r="S1946" s="405"/>
      <c r="T1946" s="405"/>
      <c r="U1946" s="405"/>
      <c r="V1946" s="405"/>
      <c r="W1946" s="405"/>
      <c r="X1946" s="405"/>
      <c r="Y1946" s="405"/>
      <c r="Z1946" s="405"/>
      <c r="AA1946" s="405"/>
      <c r="AB1946" s="405"/>
    </row>
    <row r="1947" ht="14.25" customHeight="1">
      <c r="A1947" s="405"/>
      <c r="B1947" s="405"/>
      <c r="C1947" s="405"/>
      <c r="D1947" s="405"/>
      <c r="E1947" s="405"/>
      <c r="F1947" s="583"/>
      <c r="G1947" s="583"/>
      <c r="H1947" s="405"/>
      <c r="I1947" s="405"/>
      <c r="J1947" s="405"/>
      <c r="K1947" s="405"/>
      <c r="L1947" s="405"/>
      <c r="M1947" s="405"/>
      <c r="N1947" s="405"/>
      <c r="O1947" s="405"/>
      <c r="P1947" s="405"/>
      <c r="Q1947" s="405"/>
      <c r="R1947" s="405"/>
      <c r="S1947" s="405"/>
      <c r="T1947" s="405"/>
      <c r="U1947" s="405"/>
      <c r="V1947" s="405"/>
      <c r="W1947" s="405"/>
      <c r="X1947" s="405"/>
      <c r="Y1947" s="405"/>
      <c r="Z1947" s="405"/>
      <c r="AA1947" s="405"/>
      <c r="AB1947" s="405"/>
    </row>
    <row r="1948" ht="14.25" customHeight="1">
      <c r="A1948" s="405"/>
      <c r="B1948" s="405"/>
      <c r="C1948" s="405"/>
      <c r="D1948" s="405"/>
      <c r="E1948" s="405"/>
      <c r="F1948" s="583"/>
      <c r="G1948" s="583"/>
      <c r="H1948" s="405"/>
      <c r="I1948" s="405"/>
      <c r="J1948" s="405"/>
      <c r="K1948" s="405"/>
      <c r="L1948" s="405"/>
      <c r="M1948" s="405"/>
      <c r="N1948" s="405"/>
      <c r="O1948" s="405"/>
      <c r="P1948" s="405"/>
      <c r="Q1948" s="405"/>
      <c r="R1948" s="405"/>
      <c r="S1948" s="405"/>
      <c r="T1948" s="405"/>
      <c r="U1948" s="405"/>
      <c r="V1948" s="405"/>
      <c r="W1948" s="405"/>
      <c r="X1948" s="405"/>
      <c r="Y1948" s="405"/>
      <c r="Z1948" s="405"/>
      <c r="AA1948" s="405"/>
      <c r="AB1948" s="405"/>
    </row>
    <row r="1949" ht="14.25" customHeight="1">
      <c r="A1949" s="405"/>
      <c r="B1949" s="405"/>
      <c r="C1949" s="405"/>
      <c r="D1949" s="405"/>
      <c r="E1949" s="405"/>
      <c r="F1949" s="583"/>
      <c r="G1949" s="583"/>
      <c r="H1949" s="405"/>
      <c r="I1949" s="405"/>
      <c r="J1949" s="405"/>
      <c r="K1949" s="405"/>
      <c r="L1949" s="405"/>
      <c r="M1949" s="405"/>
      <c r="N1949" s="405"/>
      <c r="O1949" s="405"/>
      <c r="P1949" s="405"/>
      <c r="Q1949" s="405"/>
      <c r="R1949" s="405"/>
      <c r="S1949" s="405"/>
      <c r="T1949" s="405"/>
      <c r="U1949" s="405"/>
      <c r="V1949" s="405"/>
      <c r="W1949" s="405"/>
      <c r="X1949" s="405"/>
      <c r="Y1949" s="405"/>
      <c r="Z1949" s="405"/>
      <c r="AA1949" s="405"/>
      <c r="AB1949" s="405"/>
    </row>
    <row r="1950" ht="14.25" customHeight="1">
      <c r="A1950" s="405"/>
      <c r="B1950" s="405"/>
      <c r="C1950" s="405"/>
      <c r="D1950" s="405"/>
      <c r="E1950" s="405"/>
      <c r="F1950" s="583"/>
      <c r="G1950" s="583"/>
      <c r="H1950" s="405"/>
      <c r="I1950" s="405"/>
      <c r="J1950" s="405"/>
      <c r="K1950" s="405"/>
      <c r="L1950" s="405"/>
      <c r="M1950" s="405"/>
      <c r="N1950" s="405"/>
      <c r="O1950" s="405"/>
      <c r="P1950" s="405"/>
      <c r="Q1950" s="405"/>
      <c r="R1950" s="405"/>
      <c r="S1950" s="405"/>
      <c r="T1950" s="405"/>
      <c r="U1950" s="405"/>
      <c r="V1950" s="405"/>
      <c r="W1950" s="405"/>
      <c r="X1950" s="405"/>
      <c r="Y1950" s="405"/>
      <c r="Z1950" s="405"/>
      <c r="AA1950" s="405"/>
      <c r="AB1950" s="405"/>
    </row>
    <row r="1951" ht="14.25" customHeight="1">
      <c r="A1951" s="405"/>
      <c r="B1951" s="405"/>
      <c r="C1951" s="405"/>
      <c r="D1951" s="405"/>
      <c r="E1951" s="405"/>
      <c r="F1951" s="583"/>
      <c r="G1951" s="583"/>
      <c r="H1951" s="405"/>
      <c r="I1951" s="405"/>
      <c r="J1951" s="405"/>
      <c r="K1951" s="405"/>
      <c r="L1951" s="405"/>
      <c r="M1951" s="405"/>
      <c r="N1951" s="405"/>
      <c r="O1951" s="405"/>
      <c r="P1951" s="405"/>
      <c r="Q1951" s="405"/>
      <c r="R1951" s="405"/>
      <c r="S1951" s="405"/>
      <c r="T1951" s="405"/>
      <c r="U1951" s="405"/>
      <c r="V1951" s="405"/>
      <c r="W1951" s="405"/>
      <c r="X1951" s="405"/>
      <c r="Y1951" s="405"/>
      <c r="Z1951" s="405"/>
      <c r="AA1951" s="405"/>
      <c r="AB1951" s="405"/>
    </row>
    <row r="1952" ht="14.25" customHeight="1">
      <c r="A1952" s="405"/>
      <c r="B1952" s="405"/>
      <c r="C1952" s="405"/>
      <c r="D1952" s="405"/>
      <c r="E1952" s="405"/>
      <c r="F1952" s="583"/>
      <c r="G1952" s="583"/>
      <c r="H1952" s="405"/>
      <c r="I1952" s="405"/>
      <c r="J1952" s="405"/>
      <c r="K1952" s="405"/>
      <c r="L1952" s="405"/>
      <c r="M1952" s="405"/>
      <c r="N1952" s="405"/>
      <c r="O1952" s="405"/>
      <c r="P1952" s="405"/>
      <c r="Q1952" s="405"/>
      <c r="R1952" s="405"/>
      <c r="S1952" s="405"/>
      <c r="T1952" s="405"/>
      <c r="U1952" s="405"/>
      <c r="V1952" s="405"/>
      <c r="W1952" s="405"/>
      <c r="X1952" s="405"/>
      <c r="Y1952" s="405"/>
      <c r="Z1952" s="405"/>
      <c r="AA1952" s="405"/>
      <c r="AB1952" s="405"/>
    </row>
    <row r="1953" ht="14.25" customHeight="1">
      <c r="A1953" s="405"/>
      <c r="B1953" s="405"/>
      <c r="C1953" s="405"/>
      <c r="D1953" s="405"/>
      <c r="E1953" s="405"/>
      <c r="F1953" s="583"/>
      <c r="G1953" s="583"/>
      <c r="H1953" s="405"/>
      <c r="I1953" s="405"/>
      <c r="J1953" s="405"/>
      <c r="K1953" s="405"/>
      <c r="L1953" s="405"/>
      <c r="M1953" s="405"/>
      <c r="N1953" s="405"/>
      <c r="O1953" s="405"/>
      <c r="P1953" s="405"/>
      <c r="Q1953" s="405"/>
      <c r="R1953" s="405"/>
      <c r="S1953" s="405"/>
      <c r="T1953" s="405"/>
      <c r="U1953" s="405"/>
      <c r="V1953" s="405"/>
      <c r="W1953" s="405"/>
      <c r="X1953" s="405"/>
      <c r="Y1953" s="405"/>
      <c r="Z1953" s="405"/>
      <c r="AA1953" s="405"/>
      <c r="AB1953" s="405"/>
    </row>
    <row r="1954" ht="14.25" customHeight="1">
      <c r="A1954" s="405"/>
      <c r="B1954" s="405"/>
      <c r="C1954" s="405"/>
      <c r="D1954" s="405"/>
      <c r="E1954" s="405"/>
      <c r="F1954" s="583"/>
      <c r="G1954" s="583"/>
      <c r="H1954" s="405"/>
      <c r="I1954" s="405"/>
      <c r="J1954" s="405"/>
      <c r="K1954" s="405"/>
      <c r="L1954" s="405"/>
      <c r="M1954" s="405"/>
      <c r="N1954" s="405"/>
      <c r="O1954" s="405"/>
      <c r="P1954" s="405"/>
      <c r="Q1954" s="405"/>
      <c r="R1954" s="405"/>
      <c r="S1954" s="405"/>
      <c r="T1954" s="405"/>
      <c r="U1954" s="405"/>
      <c r="V1954" s="405"/>
      <c r="W1954" s="405"/>
      <c r="X1954" s="405"/>
      <c r="Y1954" s="405"/>
      <c r="Z1954" s="405"/>
      <c r="AA1954" s="405"/>
      <c r="AB1954" s="405"/>
    </row>
    <row r="1955" ht="14.25" customHeight="1">
      <c r="A1955" s="405"/>
      <c r="B1955" s="405"/>
      <c r="C1955" s="405"/>
      <c r="D1955" s="405"/>
      <c r="E1955" s="405"/>
      <c r="F1955" s="583"/>
      <c r="G1955" s="583"/>
      <c r="H1955" s="405"/>
      <c r="I1955" s="405"/>
      <c r="J1955" s="405"/>
      <c r="K1955" s="405"/>
      <c r="L1955" s="405"/>
      <c r="M1955" s="405"/>
      <c r="N1955" s="405"/>
      <c r="O1955" s="405"/>
      <c r="P1955" s="405"/>
      <c r="Q1955" s="405"/>
      <c r="R1955" s="405"/>
      <c r="S1955" s="405"/>
      <c r="T1955" s="405"/>
      <c r="U1955" s="405"/>
      <c r="V1955" s="405"/>
      <c r="W1955" s="405"/>
      <c r="X1955" s="405"/>
      <c r="Y1955" s="405"/>
      <c r="Z1955" s="405"/>
      <c r="AA1955" s="405"/>
      <c r="AB1955" s="405"/>
    </row>
    <row r="1956" ht="14.25" customHeight="1">
      <c r="A1956" s="405"/>
      <c r="B1956" s="405"/>
      <c r="C1956" s="405"/>
      <c r="D1956" s="405"/>
      <c r="E1956" s="405"/>
      <c r="F1956" s="583"/>
      <c r="G1956" s="583"/>
      <c r="H1956" s="405"/>
      <c r="I1956" s="405"/>
      <c r="J1956" s="405"/>
      <c r="K1956" s="405"/>
      <c r="L1956" s="405"/>
      <c r="M1956" s="405"/>
      <c r="N1956" s="405"/>
      <c r="O1956" s="405"/>
      <c r="P1956" s="405"/>
      <c r="Q1956" s="405"/>
      <c r="R1956" s="405"/>
      <c r="S1956" s="405"/>
      <c r="T1956" s="405"/>
      <c r="U1956" s="405"/>
      <c r="V1956" s="405"/>
      <c r="W1956" s="405"/>
      <c r="X1956" s="405"/>
      <c r="Y1956" s="405"/>
      <c r="Z1956" s="405"/>
      <c r="AA1956" s="405"/>
      <c r="AB1956" s="405"/>
    </row>
    <row r="1957" ht="14.25" customHeight="1">
      <c r="A1957" s="405"/>
      <c r="B1957" s="405"/>
      <c r="C1957" s="405"/>
      <c r="D1957" s="405"/>
      <c r="E1957" s="405"/>
      <c r="F1957" s="583"/>
      <c r="G1957" s="583"/>
      <c r="H1957" s="405"/>
      <c r="I1957" s="405"/>
      <c r="J1957" s="405"/>
      <c r="K1957" s="405"/>
      <c r="L1957" s="405"/>
      <c r="M1957" s="405"/>
      <c r="N1957" s="405"/>
      <c r="O1957" s="405"/>
      <c r="P1957" s="405"/>
      <c r="Q1957" s="405"/>
      <c r="R1957" s="405"/>
      <c r="S1957" s="405"/>
      <c r="T1957" s="405"/>
      <c r="U1957" s="405"/>
      <c r="V1957" s="405"/>
      <c r="W1957" s="405"/>
      <c r="X1957" s="405"/>
      <c r="Y1957" s="405"/>
      <c r="Z1957" s="405"/>
      <c r="AA1957" s="405"/>
      <c r="AB1957" s="405"/>
    </row>
    <row r="1958" ht="14.25" customHeight="1">
      <c r="A1958" s="405"/>
      <c r="B1958" s="405"/>
      <c r="C1958" s="405"/>
      <c r="D1958" s="405"/>
      <c r="E1958" s="405"/>
      <c r="F1958" s="583"/>
      <c r="G1958" s="583"/>
      <c r="H1958" s="405"/>
      <c r="I1958" s="405"/>
      <c r="J1958" s="405"/>
      <c r="K1958" s="405"/>
      <c r="L1958" s="405"/>
      <c r="M1958" s="405"/>
      <c r="N1958" s="405"/>
      <c r="O1958" s="405"/>
      <c r="P1958" s="405"/>
      <c r="Q1958" s="405"/>
      <c r="R1958" s="405"/>
      <c r="S1958" s="405"/>
      <c r="T1958" s="405"/>
      <c r="U1958" s="405"/>
      <c r="V1958" s="405"/>
      <c r="W1958" s="405"/>
      <c r="X1958" s="405"/>
      <c r="Y1958" s="405"/>
      <c r="Z1958" s="405"/>
      <c r="AA1958" s="405"/>
      <c r="AB1958" s="405"/>
    </row>
    <row r="1959" ht="14.25" customHeight="1">
      <c r="A1959" s="405"/>
      <c r="B1959" s="405"/>
      <c r="C1959" s="405"/>
      <c r="D1959" s="405"/>
      <c r="E1959" s="405"/>
      <c r="F1959" s="583"/>
      <c r="G1959" s="583"/>
      <c r="H1959" s="405"/>
      <c r="I1959" s="405"/>
      <c r="J1959" s="405"/>
      <c r="K1959" s="405"/>
      <c r="L1959" s="405"/>
      <c r="M1959" s="405"/>
      <c r="N1959" s="405"/>
      <c r="O1959" s="405"/>
      <c r="P1959" s="405"/>
      <c r="Q1959" s="405"/>
      <c r="R1959" s="405"/>
      <c r="S1959" s="405"/>
      <c r="T1959" s="405"/>
      <c r="U1959" s="405"/>
      <c r="V1959" s="405"/>
      <c r="W1959" s="405"/>
      <c r="X1959" s="405"/>
      <c r="Y1959" s="405"/>
      <c r="Z1959" s="405"/>
      <c r="AA1959" s="405"/>
      <c r="AB1959" s="405"/>
    </row>
    <row r="1960" ht="14.25" customHeight="1">
      <c r="A1960" s="405"/>
      <c r="B1960" s="405"/>
      <c r="C1960" s="405"/>
      <c r="D1960" s="405"/>
      <c r="E1960" s="405"/>
      <c r="F1960" s="583"/>
      <c r="G1960" s="583"/>
      <c r="H1960" s="405"/>
      <c r="I1960" s="405"/>
      <c r="J1960" s="405"/>
      <c r="K1960" s="405"/>
      <c r="L1960" s="405"/>
      <c r="M1960" s="405"/>
      <c r="N1960" s="405"/>
      <c r="O1960" s="405"/>
      <c r="P1960" s="405"/>
      <c r="Q1960" s="405"/>
      <c r="R1960" s="405"/>
      <c r="S1960" s="405"/>
      <c r="T1960" s="405"/>
      <c r="U1960" s="405"/>
      <c r="V1960" s="405"/>
      <c r="W1960" s="405"/>
      <c r="X1960" s="405"/>
      <c r="Y1960" s="405"/>
      <c r="Z1960" s="405"/>
      <c r="AA1960" s="405"/>
      <c r="AB1960" s="405"/>
    </row>
    <row r="1961" ht="14.25" customHeight="1">
      <c r="A1961" s="405"/>
      <c r="B1961" s="405"/>
      <c r="C1961" s="405"/>
      <c r="D1961" s="405"/>
      <c r="E1961" s="405"/>
      <c r="F1961" s="583"/>
      <c r="G1961" s="583"/>
      <c r="H1961" s="405"/>
      <c r="I1961" s="405"/>
      <c r="J1961" s="405"/>
      <c r="K1961" s="405"/>
      <c r="L1961" s="405"/>
      <c r="M1961" s="405"/>
      <c r="N1961" s="405"/>
      <c r="O1961" s="405"/>
      <c r="P1961" s="405"/>
      <c r="Q1961" s="405"/>
      <c r="R1961" s="405"/>
      <c r="S1961" s="405"/>
      <c r="T1961" s="405"/>
      <c r="U1961" s="405"/>
      <c r="V1961" s="405"/>
      <c r="W1961" s="405"/>
      <c r="X1961" s="405"/>
      <c r="Y1961" s="405"/>
      <c r="Z1961" s="405"/>
      <c r="AA1961" s="405"/>
      <c r="AB1961" s="405"/>
    </row>
    <row r="1962" ht="14.25" customHeight="1">
      <c r="A1962" s="405"/>
      <c r="B1962" s="405"/>
      <c r="C1962" s="405"/>
      <c r="D1962" s="405"/>
      <c r="E1962" s="405"/>
      <c r="F1962" s="583"/>
      <c r="G1962" s="583"/>
      <c r="H1962" s="405"/>
      <c r="I1962" s="405"/>
      <c r="J1962" s="405"/>
      <c r="K1962" s="405"/>
      <c r="L1962" s="405"/>
      <c r="M1962" s="405"/>
      <c r="N1962" s="405"/>
      <c r="O1962" s="405"/>
      <c r="P1962" s="405"/>
      <c r="Q1962" s="405"/>
      <c r="R1962" s="405"/>
      <c r="S1962" s="405"/>
      <c r="T1962" s="405"/>
      <c r="U1962" s="405"/>
      <c r="V1962" s="405"/>
      <c r="W1962" s="405"/>
      <c r="X1962" s="405"/>
      <c r="Y1962" s="405"/>
      <c r="Z1962" s="405"/>
      <c r="AA1962" s="405"/>
      <c r="AB1962" s="405"/>
    </row>
    <row r="1963" ht="14.25" customHeight="1">
      <c r="A1963" s="405"/>
      <c r="B1963" s="405"/>
      <c r="C1963" s="405"/>
      <c r="D1963" s="405"/>
      <c r="E1963" s="405"/>
      <c r="F1963" s="583"/>
      <c r="G1963" s="583"/>
      <c r="H1963" s="405"/>
      <c r="I1963" s="405"/>
      <c r="J1963" s="405"/>
      <c r="K1963" s="405"/>
      <c r="L1963" s="405"/>
      <c r="M1963" s="405"/>
      <c r="N1963" s="405"/>
      <c r="O1963" s="405"/>
      <c r="P1963" s="405"/>
      <c r="Q1963" s="405"/>
      <c r="R1963" s="405"/>
      <c r="S1963" s="405"/>
      <c r="T1963" s="405"/>
      <c r="U1963" s="405"/>
      <c r="V1963" s="405"/>
      <c r="W1963" s="405"/>
      <c r="X1963" s="405"/>
      <c r="Y1963" s="405"/>
      <c r="Z1963" s="405"/>
      <c r="AA1963" s="405"/>
      <c r="AB1963" s="405"/>
    </row>
    <row r="1964" ht="14.25" customHeight="1">
      <c r="A1964" s="405"/>
      <c r="B1964" s="405"/>
      <c r="C1964" s="405"/>
      <c r="D1964" s="405"/>
      <c r="E1964" s="405"/>
      <c r="F1964" s="583"/>
      <c r="G1964" s="583"/>
      <c r="H1964" s="405"/>
      <c r="I1964" s="405"/>
      <c r="J1964" s="405"/>
      <c r="K1964" s="405"/>
      <c r="L1964" s="405"/>
      <c r="M1964" s="405"/>
      <c r="N1964" s="405"/>
      <c r="O1964" s="405"/>
      <c r="P1964" s="405"/>
      <c r="Q1964" s="405"/>
      <c r="R1964" s="405"/>
      <c r="S1964" s="405"/>
      <c r="T1964" s="405"/>
      <c r="U1964" s="405"/>
      <c r="V1964" s="405"/>
      <c r="W1964" s="405"/>
      <c r="X1964" s="405"/>
      <c r="Y1964" s="405"/>
      <c r="Z1964" s="405"/>
      <c r="AA1964" s="405"/>
      <c r="AB1964" s="405"/>
    </row>
    <row r="1965" ht="14.25" customHeight="1">
      <c r="A1965" s="405"/>
      <c r="B1965" s="405"/>
      <c r="C1965" s="405"/>
      <c r="D1965" s="405"/>
      <c r="E1965" s="405"/>
      <c r="F1965" s="583"/>
      <c r="G1965" s="583"/>
      <c r="H1965" s="405"/>
      <c r="I1965" s="405"/>
      <c r="J1965" s="405"/>
      <c r="K1965" s="405"/>
      <c r="L1965" s="405"/>
      <c r="M1965" s="405"/>
      <c r="N1965" s="405"/>
      <c r="O1965" s="405"/>
      <c r="P1965" s="405"/>
      <c r="Q1965" s="405"/>
      <c r="R1965" s="405"/>
      <c r="S1965" s="405"/>
      <c r="T1965" s="405"/>
      <c r="U1965" s="405"/>
      <c r="V1965" s="405"/>
      <c r="W1965" s="405"/>
      <c r="X1965" s="405"/>
      <c r="Y1965" s="405"/>
      <c r="Z1965" s="405"/>
      <c r="AA1965" s="405"/>
      <c r="AB1965" s="405"/>
    </row>
    <row r="1966" ht="14.25" customHeight="1">
      <c r="A1966" s="405"/>
      <c r="B1966" s="405"/>
      <c r="C1966" s="405"/>
      <c r="D1966" s="405"/>
      <c r="E1966" s="405"/>
      <c r="F1966" s="583"/>
      <c r="G1966" s="583"/>
      <c r="H1966" s="405"/>
      <c r="I1966" s="405"/>
      <c r="J1966" s="405"/>
      <c r="K1966" s="405"/>
      <c r="L1966" s="405"/>
      <c r="M1966" s="405"/>
      <c r="N1966" s="405"/>
      <c r="O1966" s="405"/>
      <c r="P1966" s="405"/>
      <c r="Q1966" s="405"/>
      <c r="R1966" s="405"/>
      <c r="S1966" s="405"/>
      <c r="T1966" s="405"/>
      <c r="U1966" s="405"/>
      <c r="V1966" s="405"/>
      <c r="W1966" s="405"/>
      <c r="X1966" s="405"/>
      <c r="Y1966" s="405"/>
      <c r="Z1966" s="405"/>
      <c r="AA1966" s="405"/>
      <c r="AB1966" s="405"/>
    </row>
    <row r="1967" ht="14.25" customHeight="1">
      <c r="A1967" s="405"/>
      <c r="B1967" s="405"/>
      <c r="C1967" s="405"/>
      <c r="D1967" s="405"/>
      <c r="E1967" s="405"/>
      <c r="F1967" s="583"/>
      <c r="G1967" s="583"/>
      <c r="H1967" s="405"/>
      <c r="I1967" s="405"/>
      <c r="J1967" s="405"/>
      <c r="K1967" s="405"/>
      <c r="L1967" s="405"/>
      <c r="M1967" s="405"/>
      <c r="N1967" s="405"/>
      <c r="O1967" s="405"/>
      <c r="P1967" s="405"/>
      <c r="Q1967" s="405"/>
      <c r="R1967" s="405"/>
      <c r="S1967" s="405"/>
      <c r="T1967" s="405"/>
      <c r="U1967" s="405"/>
      <c r="V1967" s="405"/>
      <c r="W1967" s="405"/>
      <c r="X1967" s="405"/>
      <c r="Y1967" s="405"/>
      <c r="Z1967" s="405"/>
      <c r="AA1967" s="405"/>
      <c r="AB1967" s="405"/>
    </row>
    <row r="1968" ht="14.25" customHeight="1">
      <c r="A1968" s="405"/>
      <c r="B1968" s="405"/>
      <c r="C1968" s="405"/>
      <c r="D1968" s="405"/>
      <c r="E1968" s="405"/>
      <c r="F1968" s="583"/>
      <c r="G1968" s="583"/>
      <c r="H1968" s="405"/>
      <c r="I1968" s="405"/>
      <c r="J1968" s="405"/>
      <c r="K1968" s="405"/>
      <c r="L1968" s="405"/>
      <c r="M1968" s="405"/>
      <c r="N1968" s="405"/>
      <c r="O1968" s="405"/>
      <c r="P1968" s="405"/>
      <c r="Q1968" s="405"/>
      <c r="R1968" s="405"/>
      <c r="S1968" s="405"/>
      <c r="T1968" s="405"/>
      <c r="U1968" s="405"/>
      <c r="V1968" s="405"/>
      <c r="W1968" s="405"/>
      <c r="X1968" s="405"/>
      <c r="Y1968" s="405"/>
      <c r="Z1968" s="405"/>
      <c r="AA1968" s="405"/>
      <c r="AB1968" s="405"/>
    </row>
    <row r="1969" ht="14.25" customHeight="1">
      <c r="A1969" s="405"/>
      <c r="B1969" s="405"/>
      <c r="C1969" s="405"/>
      <c r="D1969" s="405"/>
      <c r="E1969" s="405"/>
      <c r="F1969" s="583"/>
      <c r="G1969" s="583"/>
      <c r="H1969" s="405"/>
      <c r="I1969" s="405"/>
      <c r="J1969" s="405"/>
      <c r="K1969" s="405"/>
      <c r="L1969" s="405"/>
      <c r="M1969" s="405"/>
      <c r="N1969" s="405"/>
      <c r="O1969" s="405"/>
      <c r="P1969" s="405"/>
      <c r="Q1969" s="405"/>
      <c r="R1969" s="405"/>
      <c r="S1969" s="405"/>
      <c r="T1969" s="405"/>
      <c r="U1969" s="405"/>
      <c r="V1969" s="405"/>
      <c r="W1969" s="405"/>
      <c r="X1969" s="405"/>
      <c r="Y1969" s="405"/>
      <c r="Z1969" s="405"/>
      <c r="AA1969" s="405"/>
      <c r="AB1969" s="405"/>
    </row>
    <row r="1970" ht="14.25" customHeight="1">
      <c r="A1970" s="405"/>
      <c r="B1970" s="405"/>
      <c r="C1970" s="405"/>
      <c r="D1970" s="405"/>
      <c r="E1970" s="405"/>
      <c r="F1970" s="583"/>
      <c r="G1970" s="583"/>
      <c r="H1970" s="405"/>
      <c r="I1970" s="405"/>
      <c r="J1970" s="405"/>
      <c r="K1970" s="405"/>
      <c r="L1970" s="405"/>
      <c r="M1970" s="405"/>
      <c r="N1970" s="405"/>
      <c r="O1970" s="405"/>
      <c r="P1970" s="405"/>
      <c r="Q1970" s="405"/>
      <c r="R1970" s="405"/>
      <c r="S1970" s="405"/>
      <c r="T1970" s="405"/>
      <c r="U1970" s="405"/>
      <c r="V1970" s="405"/>
      <c r="W1970" s="405"/>
      <c r="X1970" s="405"/>
      <c r="Y1970" s="405"/>
      <c r="Z1970" s="405"/>
      <c r="AA1970" s="405"/>
      <c r="AB1970" s="405"/>
    </row>
    <row r="1971" ht="14.25" customHeight="1">
      <c r="A1971" s="405"/>
      <c r="B1971" s="405"/>
      <c r="C1971" s="405"/>
      <c r="D1971" s="405"/>
      <c r="E1971" s="405"/>
      <c r="F1971" s="583"/>
      <c r="G1971" s="583"/>
      <c r="H1971" s="405"/>
      <c r="I1971" s="405"/>
      <c r="J1971" s="405"/>
      <c r="K1971" s="405"/>
      <c r="L1971" s="405"/>
      <c r="M1971" s="405"/>
      <c r="N1971" s="405"/>
      <c r="O1971" s="405"/>
      <c r="P1971" s="405"/>
      <c r="Q1971" s="405"/>
      <c r="R1971" s="405"/>
      <c r="S1971" s="405"/>
      <c r="T1971" s="405"/>
      <c r="U1971" s="405"/>
      <c r="V1971" s="405"/>
      <c r="W1971" s="405"/>
      <c r="X1971" s="405"/>
      <c r="Y1971" s="405"/>
      <c r="Z1971" s="405"/>
      <c r="AA1971" s="405"/>
      <c r="AB1971" s="405"/>
    </row>
    <row r="1972" ht="14.25" customHeight="1">
      <c r="A1972" s="405"/>
      <c r="B1972" s="405"/>
      <c r="C1972" s="405"/>
      <c r="D1972" s="405"/>
      <c r="E1972" s="405"/>
      <c r="F1972" s="583"/>
      <c r="G1972" s="583"/>
      <c r="H1972" s="405"/>
      <c r="I1972" s="405"/>
      <c r="J1972" s="405"/>
      <c r="K1972" s="405"/>
      <c r="L1972" s="405"/>
      <c r="M1972" s="405"/>
      <c r="N1972" s="405"/>
      <c r="O1972" s="405"/>
      <c r="P1972" s="405"/>
      <c r="Q1972" s="405"/>
      <c r="R1972" s="405"/>
      <c r="S1972" s="405"/>
      <c r="T1972" s="405"/>
      <c r="U1972" s="405"/>
      <c r="V1972" s="405"/>
      <c r="W1972" s="405"/>
      <c r="X1972" s="405"/>
      <c r="Y1972" s="405"/>
      <c r="Z1972" s="405"/>
      <c r="AA1972" s="405"/>
      <c r="AB1972" s="405"/>
    </row>
    <row r="1973" ht="14.25" customHeight="1">
      <c r="A1973" s="405"/>
      <c r="B1973" s="405"/>
      <c r="C1973" s="405"/>
      <c r="D1973" s="405"/>
      <c r="E1973" s="405"/>
      <c r="F1973" s="583"/>
      <c r="G1973" s="583"/>
      <c r="H1973" s="405"/>
      <c r="I1973" s="405"/>
      <c r="J1973" s="405"/>
      <c r="K1973" s="405"/>
      <c r="L1973" s="405"/>
      <c r="M1973" s="405"/>
      <c r="N1973" s="405"/>
      <c r="O1973" s="405"/>
      <c r="P1973" s="405"/>
      <c r="Q1973" s="405"/>
      <c r="R1973" s="405"/>
      <c r="S1973" s="405"/>
      <c r="T1973" s="405"/>
      <c r="U1973" s="405"/>
      <c r="V1973" s="405"/>
      <c r="W1973" s="405"/>
      <c r="X1973" s="405"/>
      <c r="Y1973" s="405"/>
      <c r="Z1973" s="405"/>
      <c r="AA1973" s="405"/>
      <c r="AB1973" s="405"/>
    </row>
    <row r="1974" ht="14.25" customHeight="1">
      <c r="A1974" s="405"/>
      <c r="B1974" s="405"/>
      <c r="C1974" s="405"/>
      <c r="D1974" s="405"/>
      <c r="E1974" s="405"/>
      <c r="F1974" s="583"/>
      <c r="G1974" s="583"/>
      <c r="H1974" s="405"/>
      <c r="I1974" s="405"/>
      <c r="J1974" s="405"/>
      <c r="K1974" s="405"/>
      <c r="L1974" s="405"/>
      <c r="M1974" s="405"/>
      <c r="N1974" s="405"/>
      <c r="O1974" s="405"/>
      <c r="P1974" s="405"/>
      <c r="Q1974" s="405"/>
      <c r="R1974" s="405"/>
      <c r="S1974" s="405"/>
      <c r="T1974" s="405"/>
      <c r="U1974" s="405"/>
      <c r="V1974" s="405"/>
      <c r="W1974" s="405"/>
      <c r="X1974" s="405"/>
      <c r="Y1974" s="405"/>
      <c r="Z1974" s="405"/>
      <c r="AA1974" s="405"/>
      <c r="AB1974" s="405"/>
    </row>
    <row r="1975" ht="14.25" customHeight="1">
      <c r="A1975" s="405"/>
      <c r="B1975" s="405"/>
      <c r="C1975" s="405"/>
      <c r="D1975" s="405"/>
      <c r="E1975" s="405"/>
      <c r="F1975" s="583"/>
      <c r="G1975" s="583"/>
      <c r="H1975" s="405"/>
      <c r="I1975" s="405"/>
      <c r="J1975" s="405"/>
      <c r="K1975" s="405"/>
      <c r="L1975" s="405"/>
      <c r="M1975" s="405"/>
      <c r="N1975" s="405"/>
      <c r="O1975" s="405"/>
      <c r="P1975" s="405"/>
      <c r="Q1975" s="405"/>
      <c r="R1975" s="405"/>
      <c r="S1975" s="405"/>
      <c r="T1975" s="405"/>
      <c r="U1975" s="405"/>
      <c r="V1975" s="405"/>
      <c r="W1975" s="405"/>
      <c r="X1975" s="405"/>
      <c r="Y1975" s="405"/>
      <c r="Z1975" s="405"/>
      <c r="AA1975" s="405"/>
      <c r="AB1975" s="405"/>
    </row>
    <row r="1976" ht="14.25" customHeight="1">
      <c r="A1976" s="405"/>
      <c r="B1976" s="405"/>
      <c r="C1976" s="405"/>
      <c r="D1976" s="405"/>
      <c r="E1976" s="405"/>
      <c r="F1976" s="583"/>
      <c r="G1976" s="583"/>
      <c r="H1976" s="405"/>
      <c r="I1976" s="405"/>
      <c r="J1976" s="405"/>
      <c r="K1976" s="405"/>
      <c r="L1976" s="405"/>
      <c r="M1976" s="405"/>
      <c r="N1976" s="405"/>
      <c r="O1976" s="405"/>
      <c r="P1976" s="405"/>
      <c r="Q1976" s="405"/>
      <c r="R1976" s="405"/>
      <c r="S1976" s="405"/>
      <c r="T1976" s="405"/>
      <c r="U1976" s="405"/>
      <c r="V1976" s="405"/>
      <c r="W1976" s="405"/>
      <c r="X1976" s="405"/>
      <c r="Y1976" s="405"/>
      <c r="Z1976" s="405"/>
      <c r="AA1976" s="405"/>
      <c r="AB1976" s="405"/>
    </row>
    <row r="1977" ht="14.25" customHeight="1">
      <c r="A1977" s="405"/>
      <c r="B1977" s="405"/>
      <c r="C1977" s="405"/>
      <c r="D1977" s="405"/>
      <c r="E1977" s="405"/>
      <c r="F1977" s="583"/>
      <c r="G1977" s="583"/>
      <c r="H1977" s="405"/>
      <c r="I1977" s="405"/>
      <c r="J1977" s="405"/>
      <c r="K1977" s="405"/>
      <c r="L1977" s="405"/>
      <c r="M1977" s="405"/>
      <c r="N1977" s="405"/>
      <c r="O1977" s="405"/>
      <c r="P1977" s="405"/>
      <c r="Q1977" s="405"/>
      <c r="R1977" s="405"/>
      <c r="S1977" s="405"/>
      <c r="T1977" s="405"/>
      <c r="U1977" s="405"/>
      <c r="V1977" s="405"/>
      <c r="W1977" s="405"/>
      <c r="X1977" s="405"/>
      <c r="Y1977" s="405"/>
      <c r="Z1977" s="405"/>
      <c r="AA1977" s="405"/>
      <c r="AB1977" s="405"/>
    </row>
    <row r="1978" ht="14.25" customHeight="1">
      <c r="A1978" s="405"/>
      <c r="B1978" s="405"/>
      <c r="C1978" s="405"/>
      <c r="D1978" s="405"/>
      <c r="E1978" s="405"/>
      <c r="F1978" s="583"/>
      <c r="G1978" s="583"/>
      <c r="H1978" s="405"/>
      <c r="I1978" s="405"/>
      <c r="J1978" s="405"/>
      <c r="K1978" s="405"/>
      <c r="L1978" s="405"/>
      <c r="M1978" s="405"/>
      <c r="N1978" s="405"/>
      <c r="O1978" s="405"/>
      <c r="P1978" s="405"/>
      <c r="Q1978" s="405"/>
      <c r="R1978" s="405"/>
      <c r="S1978" s="405"/>
      <c r="T1978" s="405"/>
      <c r="U1978" s="405"/>
      <c r="V1978" s="405"/>
      <c r="W1978" s="405"/>
      <c r="X1978" s="405"/>
      <c r="Y1978" s="405"/>
      <c r="Z1978" s="405"/>
      <c r="AA1978" s="405"/>
      <c r="AB1978" s="405"/>
    </row>
    <row r="1979" ht="14.25" customHeight="1">
      <c r="A1979" s="405"/>
      <c r="B1979" s="405"/>
      <c r="C1979" s="405"/>
      <c r="D1979" s="405"/>
      <c r="E1979" s="405"/>
      <c r="F1979" s="583"/>
      <c r="G1979" s="583"/>
      <c r="H1979" s="405"/>
      <c r="I1979" s="405"/>
      <c r="J1979" s="405"/>
      <c r="K1979" s="405"/>
      <c r="L1979" s="405"/>
      <c r="M1979" s="405"/>
      <c r="N1979" s="405"/>
      <c r="O1979" s="405"/>
      <c r="P1979" s="405"/>
      <c r="Q1979" s="405"/>
      <c r="R1979" s="405"/>
      <c r="S1979" s="405"/>
      <c r="T1979" s="405"/>
      <c r="U1979" s="405"/>
      <c r="V1979" s="405"/>
      <c r="W1979" s="405"/>
      <c r="X1979" s="405"/>
      <c r="Y1979" s="405"/>
      <c r="Z1979" s="405"/>
      <c r="AA1979" s="405"/>
      <c r="AB1979" s="405"/>
    </row>
    <row r="1980" ht="14.25" customHeight="1">
      <c r="A1980" s="405"/>
      <c r="B1980" s="405"/>
      <c r="C1980" s="405"/>
      <c r="D1980" s="405"/>
      <c r="E1980" s="405"/>
      <c r="F1980" s="583"/>
      <c r="G1980" s="583"/>
      <c r="H1980" s="405"/>
      <c r="I1980" s="405"/>
      <c r="J1980" s="405"/>
      <c r="K1980" s="405"/>
      <c r="L1980" s="405"/>
      <c r="M1980" s="405"/>
      <c r="N1980" s="405"/>
      <c r="O1980" s="405"/>
      <c r="P1980" s="405"/>
      <c r="Q1980" s="405"/>
      <c r="R1980" s="405"/>
      <c r="S1980" s="405"/>
      <c r="T1980" s="405"/>
      <c r="U1980" s="405"/>
      <c r="V1980" s="405"/>
      <c r="W1980" s="405"/>
      <c r="X1980" s="405"/>
      <c r="Y1980" s="405"/>
      <c r="Z1980" s="405"/>
      <c r="AA1980" s="405"/>
      <c r="AB1980" s="405"/>
    </row>
    <row r="1981" ht="14.25" customHeight="1">
      <c r="A1981" s="405"/>
      <c r="B1981" s="405"/>
      <c r="C1981" s="405"/>
      <c r="D1981" s="405"/>
      <c r="E1981" s="405"/>
      <c r="F1981" s="583"/>
      <c r="G1981" s="583"/>
      <c r="H1981" s="405"/>
      <c r="I1981" s="405"/>
      <c r="J1981" s="405"/>
      <c r="K1981" s="405"/>
      <c r="L1981" s="405"/>
      <c r="M1981" s="405"/>
      <c r="N1981" s="405"/>
      <c r="O1981" s="405"/>
      <c r="P1981" s="405"/>
      <c r="Q1981" s="405"/>
      <c r="R1981" s="405"/>
      <c r="S1981" s="405"/>
      <c r="T1981" s="405"/>
      <c r="U1981" s="405"/>
      <c r="V1981" s="405"/>
      <c r="W1981" s="405"/>
      <c r="X1981" s="405"/>
      <c r="Y1981" s="405"/>
      <c r="Z1981" s="405"/>
      <c r="AA1981" s="405"/>
      <c r="AB1981" s="405"/>
    </row>
    <row r="1982" ht="14.25" customHeight="1">
      <c r="A1982" s="405"/>
      <c r="B1982" s="405"/>
      <c r="C1982" s="405"/>
      <c r="D1982" s="405"/>
      <c r="E1982" s="405"/>
      <c r="F1982" s="583"/>
      <c r="G1982" s="583"/>
      <c r="H1982" s="405"/>
      <c r="I1982" s="405"/>
      <c r="J1982" s="405"/>
      <c r="K1982" s="405"/>
      <c r="L1982" s="405"/>
      <c r="M1982" s="405"/>
      <c r="N1982" s="405"/>
      <c r="O1982" s="405"/>
      <c r="P1982" s="405"/>
      <c r="Q1982" s="405"/>
      <c r="R1982" s="405"/>
      <c r="S1982" s="405"/>
      <c r="T1982" s="405"/>
      <c r="U1982" s="405"/>
      <c r="V1982" s="405"/>
      <c r="W1982" s="405"/>
      <c r="X1982" s="405"/>
      <c r="Y1982" s="405"/>
      <c r="Z1982" s="405"/>
      <c r="AA1982" s="405"/>
      <c r="AB1982" s="405"/>
    </row>
    <row r="1983" ht="14.25" customHeight="1">
      <c r="A1983" s="405"/>
      <c r="B1983" s="405"/>
      <c r="C1983" s="405"/>
      <c r="D1983" s="405"/>
      <c r="E1983" s="405"/>
      <c r="F1983" s="583"/>
      <c r="G1983" s="583"/>
      <c r="H1983" s="405"/>
      <c r="I1983" s="405"/>
      <c r="J1983" s="405"/>
      <c r="K1983" s="405"/>
      <c r="L1983" s="405"/>
      <c r="M1983" s="405"/>
      <c r="N1983" s="405"/>
      <c r="O1983" s="405"/>
      <c r="P1983" s="405"/>
      <c r="Q1983" s="405"/>
      <c r="R1983" s="405"/>
      <c r="S1983" s="405"/>
      <c r="T1983" s="405"/>
      <c r="U1983" s="405"/>
      <c r="V1983" s="405"/>
      <c r="W1983" s="405"/>
      <c r="X1983" s="405"/>
      <c r="Y1983" s="405"/>
      <c r="Z1983" s="405"/>
      <c r="AA1983" s="405"/>
      <c r="AB1983" s="405"/>
    </row>
    <row r="1984" ht="14.25" customHeight="1">
      <c r="A1984" s="405"/>
      <c r="B1984" s="405"/>
      <c r="C1984" s="405"/>
      <c r="D1984" s="405"/>
      <c r="E1984" s="405"/>
      <c r="F1984" s="583"/>
      <c r="G1984" s="583"/>
      <c r="H1984" s="405"/>
      <c r="I1984" s="405"/>
      <c r="J1984" s="405"/>
      <c r="K1984" s="405"/>
      <c r="L1984" s="405"/>
      <c r="M1984" s="405"/>
      <c r="N1984" s="405"/>
      <c r="O1984" s="405"/>
      <c r="P1984" s="405"/>
      <c r="Q1984" s="405"/>
      <c r="R1984" s="405"/>
      <c r="S1984" s="405"/>
      <c r="T1984" s="405"/>
      <c r="U1984" s="405"/>
      <c r="V1984" s="405"/>
      <c r="W1984" s="405"/>
      <c r="X1984" s="405"/>
      <c r="Y1984" s="405"/>
      <c r="Z1984" s="405"/>
      <c r="AA1984" s="405"/>
      <c r="AB1984" s="405"/>
    </row>
    <row r="1985" ht="14.25" customHeight="1">
      <c r="A1985" s="405"/>
      <c r="B1985" s="405"/>
      <c r="C1985" s="405"/>
      <c r="D1985" s="405"/>
      <c r="E1985" s="405"/>
      <c r="F1985" s="583"/>
      <c r="G1985" s="583"/>
      <c r="H1985" s="405"/>
      <c r="I1985" s="405"/>
      <c r="J1985" s="405"/>
      <c r="K1985" s="405"/>
      <c r="L1985" s="405"/>
      <c r="M1985" s="405"/>
      <c r="N1985" s="405"/>
      <c r="O1985" s="405"/>
      <c r="P1985" s="405"/>
      <c r="Q1985" s="405"/>
      <c r="R1985" s="405"/>
      <c r="S1985" s="405"/>
      <c r="T1985" s="405"/>
      <c r="U1985" s="405"/>
      <c r="V1985" s="405"/>
      <c r="W1985" s="405"/>
      <c r="X1985" s="405"/>
      <c r="Y1985" s="405"/>
      <c r="Z1985" s="405"/>
      <c r="AA1985" s="405"/>
      <c r="AB1985" s="405"/>
    </row>
    <row r="1986" ht="14.25" customHeight="1">
      <c r="A1986" s="405"/>
      <c r="B1986" s="405"/>
      <c r="C1986" s="405"/>
      <c r="D1986" s="405"/>
      <c r="E1986" s="405"/>
      <c r="F1986" s="583"/>
      <c r="G1986" s="583"/>
      <c r="H1986" s="405"/>
      <c r="I1986" s="405"/>
      <c r="J1986" s="405"/>
      <c r="K1986" s="405"/>
      <c r="L1986" s="405"/>
      <c r="M1986" s="405"/>
      <c r="N1986" s="405"/>
      <c r="O1986" s="405"/>
      <c r="P1986" s="405"/>
      <c r="Q1986" s="405"/>
      <c r="R1986" s="405"/>
      <c r="S1986" s="405"/>
      <c r="T1986" s="405"/>
      <c r="U1986" s="405"/>
      <c r="V1986" s="405"/>
      <c r="W1986" s="405"/>
      <c r="X1986" s="405"/>
      <c r="Y1986" s="405"/>
      <c r="Z1986" s="405"/>
      <c r="AA1986" s="405"/>
      <c r="AB1986" s="405"/>
    </row>
    <row r="1987" ht="14.25" customHeight="1">
      <c r="A1987" s="405"/>
      <c r="B1987" s="405"/>
      <c r="C1987" s="405"/>
      <c r="D1987" s="405"/>
      <c r="E1987" s="405"/>
      <c r="F1987" s="583"/>
      <c r="G1987" s="583"/>
      <c r="H1987" s="405"/>
      <c r="I1987" s="405"/>
      <c r="J1987" s="405"/>
      <c r="K1987" s="405"/>
      <c r="L1987" s="405"/>
      <c r="M1987" s="405"/>
      <c r="N1987" s="405"/>
      <c r="O1987" s="405"/>
      <c r="P1987" s="405"/>
      <c r="Q1987" s="405"/>
      <c r="R1987" s="405"/>
      <c r="S1987" s="405"/>
      <c r="T1987" s="405"/>
      <c r="U1987" s="405"/>
      <c r="V1987" s="405"/>
      <c r="W1987" s="405"/>
      <c r="X1987" s="405"/>
      <c r="Y1987" s="405"/>
      <c r="Z1987" s="405"/>
      <c r="AA1987" s="405"/>
      <c r="AB1987" s="405"/>
    </row>
    <row r="1988" ht="14.25" customHeight="1">
      <c r="A1988" s="405"/>
      <c r="B1988" s="405"/>
      <c r="C1988" s="405"/>
      <c r="D1988" s="405"/>
      <c r="E1988" s="405"/>
      <c r="F1988" s="583"/>
      <c r="G1988" s="583"/>
      <c r="H1988" s="405"/>
      <c r="I1988" s="405"/>
      <c r="J1988" s="405"/>
      <c r="K1988" s="405"/>
      <c r="L1988" s="405"/>
      <c r="M1988" s="405"/>
      <c r="N1988" s="405"/>
      <c r="O1988" s="405"/>
      <c r="P1988" s="405"/>
      <c r="Q1988" s="405"/>
      <c r="R1988" s="405"/>
      <c r="S1988" s="405"/>
      <c r="T1988" s="405"/>
      <c r="U1988" s="405"/>
      <c r="V1988" s="405"/>
      <c r="W1988" s="405"/>
      <c r="X1988" s="405"/>
      <c r="Y1988" s="405"/>
      <c r="Z1988" s="405"/>
      <c r="AA1988" s="405"/>
      <c r="AB1988" s="405"/>
    </row>
    <row r="1989" ht="14.25" customHeight="1">
      <c r="A1989" s="405"/>
      <c r="B1989" s="405"/>
      <c r="C1989" s="405"/>
      <c r="D1989" s="405"/>
      <c r="E1989" s="405"/>
      <c r="F1989" s="583"/>
      <c r="G1989" s="583"/>
      <c r="H1989" s="405"/>
      <c r="I1989" s="405"/>
      <c r="J1989" s="405"/>
      <c r="K1989" s="405"/>
      <c r="L1989" s="405"/>
      <c r="M1989" s="405"/>
      <c r="N1989" s="405"/>
      <c r="O1989" s="405"/>
      <c r="P1989" s="405"/>
      <c r="Q1989" s="405"/>
      <c r="R1989" s="405"/>
      <c r="S1989" s="405"/>
      <c r="T1989" s="405"/>
      <c r="U1989" s="405"/>
      <c r="V1989" s="405"/>
      <c r="W1989" s="405"/>
      <c r="X1989" s="405"/>
      <c r="Y1989" s="405"/>
      <c r="Z1989" s="405"/>
      <c r="AA1989" s="405"/>
      <c r="AB1989" s="405"/>
    </row>
    <row r="1990" ht="14.25" customHeight="1">
      <c r="A1990" s="405"/>
      <c r="B1990" s="405"/>
      <c r="C1990" s="405"/>
      <c r="D1990" s="405"/>
      <c r="E1990" s="405"/>
      <c r="F1990" s="583"/>
      <c r="G1990" s="583"/>
      <c r="H1990" s="405"/>
      <c r="I1990" s="405"/>
      <c r="J1990" s="405"/>
      <c r="K1990" s="405"/>
      <c r="L1990" s="405"/>
      <c r="M1990" s="405"/>
      <c r="N1990" s="405"/>
      <c r="O1990" s="405"/>
      <c r="P1990" s="405"/>
      <c r="Q1990" s="405"/>
      <c r="R1990" s="405"/>
      <c r="S1990" s="405"/>
      <c r="T1990" s="405"/>
      <c r="U1990" s="405"/>
      <c r="V1990" s="405"/>
      <c r="W1990" s="405"/>
      <c r="X1990" s="405"/>
      <c r="Y1990" s="405"/>
      <c r="Z1990" s="405"/>
      <c r="AA1990" s="405"/>
      <c r="AB1990" s="405"/>
    </row>
    <row r="1991" ht="14.25" customHeight="1">
      <c r="A1991" s="405"/>
      <c r="B1991" s="405"/>
      <c r="C1991" s="405"/>
      <c r="D1991" s="405"/>
      <c r="E1991" s="405"/>
      <c r="F1991" s="583"/>
      <c r="G1991" s="583"/>
      <c r="H1991" s="405"/>
      <c r="I1991" s="405"/>
      <c r="J1991" s="405"/>
      <c r="K1991" s="405"/>
      <c r="L1991" s="405"/>
      <c r="M1991" s="405"/>
      <c r="N1991" s="405"/>
      <c r="O1991" s="405"/>
      <c r="P1991" s="405"/>
      <c r="Q1991" s="405"/>
      <c r="R1991" s="405"/>
      <c r="S1991" s="405"/>
      <c r="T1991" s="405"/>
      <c r="U1991" s="405"/>
      <c r="V1991" s="405"/>
      <c r="W1991" s="405"/>
      <c r="X1991" s="405"/>
      <c r="Y1991" s="405"/>
      <c r="Z1991" s="405"/>
      <c r="AA1991" s="405"/>
      <c r="AB1991" s="405"/>
    </row>
    <row r="1992" ht="14.25" customHeight="1">
      <c r="A1992" s="405"/>
      <c r="B1992" s="405"/>
      <c r="C1992" s="405"/>
      <c r="D1992" s="405"/>
      <c r="E1992" s="405"/>
      <c r="F1992" s="583"/>
      <c r="G1992" s="583"/>
      <c r="H1992" s="405"/>
      <c r="I1992" s="405"/>
      <c r="J1992" s="405"/>
      <c r="K1992" s="405"/>
      <c r="L1992" s="405"/>
      <c r="M1992" s="405"/>
      <c r="N1992" s="405"/>
      <c r="O1992" s="405"/>
      <c r="P1992" s="405"/>
      <c r="Q1992" s="405"/>
      <c r="R1992" s="405"/>
      <c r="S1992" s="405"/>
      <c r="T1992" s="405"/>
      <c r="U1992" s="405"/>
      <c r="V1992" s="405"/>
      <c r="W1992" s="405"/>
      <c r="X1992" s="405"/>
      <c r="Y1992" s="405"/>
      <c r="Z1992" s="405"/>
      <c r="AA1992" s="405"/>
      <c r="AB1992" s="405"/>
    </row>
    <row r="1993" ht="14.25" customHeight="1">
      <c r="A1993" s="405"/>
      <c r="B1993" s="405"/>
      <c r="C1993" s="405"/>
      <c r="D1993" s="405"/>
      <c r="E1993" s="405"/>
      <c r="F1993" s="583"/>
      <c r="G1993" s="583"/>
      <c r="H1993" s="405"/>
      <c r="I1993" s="405"/>
      <c r="J1993" s="405"/>
      <c r="K1993" s="405"/>
      <c r="L1993" s="405"/>
      <c r="M1993" s="405"/>
      <c r="N1993" s="405"/>
      <c r="O1993" s="405"/>
      <c r="P1993" s="405"/>
      <c r="Q1993" s="405"/>
      <c r="R1993" s="405"/>
      <c r="S1993" s="405"/>
      <c r="T1993" s="405"/>
      <c r="U1993" s="405"/>
      <c r="V1993" s="405"/>
      <c r="W1993" s="405"/>
      <c r="X1993" s="405"/>
      <c r="Y1993" s="405"/>
      <c r="Z1993" s="405"/>
      <c r="AA1993" s="405"/>
      <c r="AB1993" s="405"/>
    </row>
    <row r="1994" ht="14.25" customHeight="1">
      <c r="A1994" s="405"/>
      <c r="B1994" s="405"/>
      <c r="C1994" s="405"/>
      <c r="D1994" s="405"/>
      <c r="E1994" s="405"/>
      <c r="F1994" s="583"/>
      <c r="G1994" s="583"/>
      <c r="H1994" s="405"/>
      <c r="I1994" s="405"/>
      <c r="J1994" s="405"/>
      <c r="K1994" s="405"/>
      <c r="L1994" s="405"/>
      <c r="M1994" s="405"/>
      <c r="N1994" s="405"/>
      <c r="O1994" s="405"/>
      <c r="P1994" s="405"/>
      <c r="Q1994" s="405"/>
      <c r="R1994" s="405"/>
      <c r="S1994" s="405"/>
      <c r="T1994" s="405"/>
      <c r="U1994" s="405"/>
      <c r="V1994" s="405"/>
      <c r="W1994" s="405"/>
      <c r="X1994" s="405"/>
      <c r="Y1994" s="405"/>
      <c r="Z1994" s="405"/>
      <c r="AA1994" s="405"/>
      <c r="AB1994" s="405"/>
    </row>
    <row r="1995" ht="14.25" customHeight="1">
      <c r="A1995" s="405"/>
      <c r="B1995" s="405"/>
      <c r="C1995" s="405"/>
      <c r="D1995" s="405"/>
      <c r="E1995" s="405"/>
      <c r="F1995" s="583"/>
      <c r="G1995" s="583"/>
      <c r="H1995" s="405"/>
      <c r="I1995" s="405"/>
      <c r="J1995" s="405"/>
      <c r="K1995" s="405"/>
      <c r="L1995" s="405"/>
      <c r="M1995" s="405"/>
      <c r="N1995" s="405"/>
      <c r="O1995" s="405"/>
      <c r="P1995" s="405"/>
      <c r="Q1995" s="405"/>
      <c r="R1995" s="405"/>
      <c r="S1995" s="405"/>
      <c r="T1995" s="405"/>
      <c r="U1995" s="405"/>
      <c r="V1995" s="405"/>
      <c r="W1995" s="405"/>
      <c r="X1995" s="405"/>
      <c r="Y1995" s="405"/>
      <c r="Z1995" s="405"/>
      <c r="AA1995" s="405"/>
      <c r="AB1995" s="405"/>
    </row>
    <row r="1996" ht="14.25" customHeight="1">
      <c r="A1996" s="405"/>
      <c r="B1996" s="405"/>
      <c r="C1996" s="405"/>
      <c r="D1996" s="405"/>
      <c r="E1996" s="405"/>
      <c r="F1996" s="583"/>
      <c r="G1996" s="583"/>
      <c r="H1996" s="405"/>
      <c r="I1996" s="405"/>
      <c r="J1996" s="405"/>
      <c r="K1996" s="405"/>
      <c r="L1996" s="405"/>
      <c r="M1996" s="405"/>
      <c r="N1996" s="405"/>
      <c r="O1996" s="405"/>
      <c r="P1996" s="405"/>
      <c r="Q1996" s="405"/>
      <c r="R1996" s="405"/>
      <c r="S1996" s="405"/>
      <c r="T1996" s="405"/>
      <c r="U1996" s="405"/>
      <c r="V1996" s="405"/>
      <c r="W1996" s="405"/>
      <c r="X1996" s="405"/>
      <c r="Y1996" s="405"/>
      <c r="Z1996" s="405"/>
      <c r="AA1996" s="405"/>
      <c r="AB1996" s="405"/>
    </row>
    <row r="1997" ht="14.25" customHeight="1">
      <c r="A1997" s="405"/>
      <c r="B1997" s="405"/>
      <c r="C1997" s="405"/>
      <c r="D1997" s="405"/>
      <c r="E1997" s="405"/>
      <c r="F1997" s="583"/>
      <c r="G1997" s="583"/>
      <c r="H1997" s="405"/>
      <c r="I1997" s="405"/>
      <c r="J1997" s="405"/>
      <c r="K1997" s="405"/>
      <c r="L1997" s="405"/>
      <c r="M1997" s="405"/>
      <c r="N1997" s="405"/>
      <c r="O1997" s="405"/>
      <c r="P1997" s="405"/>
      <c r="Q1997" s="405"/>
      <c r="R1997" s="405"/>
      <c r="S1997" s="405"/>
      <c r="T1997" s="405"/>
      <c r="U1997" s="405"/>
      <c r="V1997" s="405"/>
      <c r="W1997" s="405"/>
      <c r="X1997" s="405"/>
      <c r="Y1997" s="405"/>
      <c r="Z1997" s="405"/>
      <c r="AA1997" s="405"/>
      <c r="AB1997" s="405"/>
    </row>
    <row r="1998" ht="14.25" customHeight="1">
      <c r="A1998" s="405"/>
      <c r="B1998" s="405"/>
      <c r="C1998" s="405"/>
      <c r="D1998" s="405"/>
      <c r="E1998" s="405"/>
      <c r="F1998" s="583"/>
      <c r="G1998" s="583"/>
      <c r="H1998" s="405"/>
      <c r="I1998" s="405"/>
      <c r="J1998" s="405"/>
      <c r="K1998" s="405"/>
      <c r="L1998" s="405"/>
      <c r="M1998" s="405"/>
      <c r="N1998" s="405"/>
      <c r="O1998" s="405"/>
      <c r="P1998" s="405"/>
      <c r="Q1998" s="405"/>
      <c r="R1998" s="405"/>
      <c r="S1998" s="405"/>
      <c r="T1998" s="405"/>
      <c r="U1998" s="405"/>
      <c r="V1998" s="405"/>
      <c r="W1998" s="405"/>
      <c r="X1998" s="405"/>
      <c r="Y1998" s="405"/>
      <c r="Z1998" s="405"/>
      <c r="AA1998" s="405"/>
      <c r="AB1998" s="405"/>
    </row>
    <row r="1999" ht="14.25" customHeight="1">
      <c r="A1999" s="405"/>
      <c r="B1999" s="405"/>
      <c r="C1999" s="405"/>
      <c r="D1999" s="405"/>
      <c r="E1999" s="405"/>
      <c r="F1999" s="583"/>
      <c r="G1999" s="583"/>
      <c r="H1999" s="405"/>
      <c r="I1999" s="405"/>
      <c r="J1999" s="405"/>
      <c r="K1999" s="405"/>
      <c r="L1999" s="405"/>
      <c r="M1999" s="405"/>
      <c r="N1999" s="405"/>
      <c r="O1999" s="405"/>
      <c r="P1999" s="405"/>
      <c r="Q1999" s="405"/>
      <c r="R1999" s="405"/>
      <c r="S1999" s="405"/>
      <c r="T1999" s="405"/>
      <c r="U1999" s="405"/>
      <c r="V1999" s="405"/>
      <c r="W1999" s="405"/>
      <c r="X1999" s="405"/>
      <c r="Y1999" s="405"/>
      <c r="Z1999" s="405"/>
      <c r="AA1999" s="405"/>
      <c r="AB1999" s="405"/>
    </row>
    <row r="2000" ht="14.25" customHeight="1">
      <c r="A2000" s="405"/>
      <c r="B2000" s="405"/>
      <c r="C2000" s="405"/>
      <c r="D2000" s="405"/>
      <c r="E2000" s="405"/>
      <c r="F2000" s="583"/>
      <c r="G2000" s="583"/>
      <c r="H2000" s="405"/>
      <c r="I2000" s="405"/>
      <c r="J2000" s="405"/>
      <c r="K2000" s="405"/>
      <c r="L2000" s="405"/>
      <c r="M2000" s="405"/>
      <c r="N2000" s="405"/>
      <c r="O2000" s="405"/>
      <c r="P2000" s="405"/>
      <c r="Q2000" s="405"/>
      <c r="R2000" s="405"/>
      <c r="S2000" s="405"/>
      <c r="T2000" s="405"/>
      <c r="U2000" s="405"/>
      <c r="V2000" s="405"/>
      <c r="W2000" s="405"/>
      <c r="X2000" s="405"/>
      <c r="Y2000" s="405"/>
      <c r="Z2000" s="405"/>
      <c r="AA2000" s="405"/>
      <c r="AB2000" s="405"/>
    </row>
    <row r="2001" ht="14.25" customHeight="1">
      <c r="A2001" s="405"/>
      <c r="B2001" s="405"/>
      <c r="C2001" s="405"/>
      <c r="D2001" s="405"/>
      <c r="E2001" s="405"/>
      <c r="F2001" s="583"/>
      <c r="G2001" s="583"/>
      <c r="H2001" s="405"/>
      <c r="I2001" s="405"/>
      <c r="J2001" s="405"/>
      <c r="K2001" s="405"/>
      <c r="L2001" s="405"/>
      <c r="M2001" s="405"/>
      <c r="N2001" s="405"/>
      <c r="O2001" s="405"/>
      <c r="P2001" s="405"/>
      <c r="Q2001" s="405"/>
      <c r="R2001" s="405"/>
      <c r="S2001" s="405"/>
      <c r="T2001" s="405"/>
      <c r="U2001" s="405"/>
      <c r="V2001" s="405"/>
      <c r="W2001" s="405"/>
      <c r="X2001" s="405"/>
      <c r="Y2001" s="405"/>
      <c r="Z2001" s="405"/>
      <c r="AA2001" s="405"/>
      <c r="AB2001" s="405"/>
    </row>
    <row r="2002" ht="14.25" customHeight="1">
      <c r="A2002" s="405"/>
      <c r="B2002" s="405"/>
      <c r="C2002" s="405"/>
      <c r="D2002" s="405"/>
      <c r="E2002" s="405"/>
      <c r="F2002" s="583"/>
      <c r="G2002" s="583"/>
      <c r="H2002" s="405"/>
      <c r="I2002" s="405"/>
      <c r="J2002" s="405"/>
      <c r="K2002" s="405"/>
      <c r="L2002" s="405"/>
      <c r="M2002" s="405"/>
      <c r="N2002" s="405"/>
      <c r="O2002" s="405"/>
      <c r="P2002" s="405"/>
      <c r="Q2002" s="405"/>
      <c r="R2002" s="405"/>
      <c r="S2002" s="405"/>
      <c r="T2002" s="405"/>
      <c r="U2002" s="405"/>
      <c r="V2002" s="405"/>
      <c r="W2002" s="405"/>
      <c r="X2002" s="405"/>
      <c r="Y2002" s="405"/>
      <c r="Z2002" s="405"/>
      <c r="AA2002" s="405"/>
      <c r="AB2002" s="405"/>
    </row>
    <row r="2003" ht="14.25" customHeight="1">
      <c r="A2003" s="405"/>
      <c r="B2003" s="405"/>
      <c r="C2003" s="405"/>
      <c r="D2003" s="405"/>
      <c r="E2003" s="405"/>
      <c r="F2003" s="583"/>
      <c r="G2003" s="583"/>
      <c r="H2003" s="405"/>
      <c r="I2003" s="405"/>
      <c r="J2003" s="405"/>
      <c r="K2003" s="405"/>
      <c r="L2003" s="405"/>
      <c r="M2003" s="405"/>
      <c r="N2003" s="405"/>
      <c r="O2003" s="405"/>
      <c r="P2003" s="405"/>
      <c r="Q2003" s="405"/>
      <c r="R2003" s="405"/>
      <c r="S2003" s="405"/>
      <c r="T2003" s="405"/>
      <c r="U2003" s="405"/>
      <c r="V2003" s="405"/>
      <c r="W2003" s="405"/>
      <c r="X2003" s="405"/>
      <c r="Y2003" s="405"/>
      <c r="Z2003" s="405"/>
      <c r="AA2003" s="405"/>
      <c r="AB2003" s="405"/>
    </row>
    <row r="2004" ht="14.25" customHeight="1">
      <c r="A2004" s="405"/>
      <c r="B2004" s="405"/>
      <c r="C2004" s="405"/>
      <c r="D2004" s="405"/>
      <c r="E2004" s="405"/>
      <c r="F2004" s="583"/>
      <c r="G2004" s="583"/>
      <c r="H2004" s="405"/>
      <c r="I2004" s="405"/>
      <c r="J2004" s="405"/>
      <c r="K2004" s="405"/>
      <c r="L2004" s="405"/>
      <c r="M2004" s="405"/>
      <c r="N2004" s="405"/>
      <c r="O2004" s="405"/>
      <c r="P2004" s="405"/>
      <c r="Q2004" s="405"/>
      <c r="R2004" s="405"/>
      <c r="S2004" s="405"/>
      <c r="T2004" s="405"/>
      <c r="U2004" s="405"/>
      <c r="V2004" s="405"/>
      <c r="W2004" s="405"/>
      <c r="X2004" s="405"/>
      <c r="Y2004" s="405"/>
      <c r="Z2004" s="405"/>
      <c r="AA2004" s="405"/>
      <c r="AB2004" s="405"/>
    </row>
    <row r="2005" ht="14.25" customHeight="1">
      <c r="A2005" s="405"/>
      <c r="B2005" s="405"/>
      <c r="C2005" s="405"/>
      <c r="D2005" s="405"/>
      <c r="E2005" s="405"/>
      <c r="F2005" s="583"/>
      <c r="G2005" s="583"/>
      <c r="H2005" s="405"/>
      <c r="I2005" s="405"/>
      <c r="J2005" s="405"/>
      <c r="K2005" s="405"/>
      <c r="L2005" s="405"/>
      <c r="M2005" s="405"/>
      <c r="N2005" s="405"/>
      <c r="O2005" s="405"/>
      <c r="P2005" s="405"/>
      <c r="Q2005" s="405"/>
      <c r="R2005" s="405"/>
      <c r="S2005" s="405"/>
      <c r="T2005" s="405"/>
      <c r="U2005" s="405"/>
      <c r="V2005" s="405"/>
      <c r="W2005" s="405"/>
      <c r="X2005" s="405"/>
      <c r="Y2005" s="405"/>
      <c r="Z2005" s="405"/>
      <c r="AA2005" s="405"/>
      <c r="AB2005" s="405"/>
    </row>
    <row r="2006" ht="14.25" customHeight="1">
      <c r="A2006" s="405"/>
      <c r="B2006" s="405"/>
      <c r="C2006" s="405"/>
      <c r="D2006" s="405"/>
      <c r="E2006" s="405"/>
      <c r="F2006" s="583"/>
      <c r="G2006" s="583"/>
      <c r="H2006" s="405"/>
      <c r="I2006" s="405"/>
      <c r="J2006" s="405"/>
      <c r="K2006" s="405"/>
      <c r="L2006" s="405"/>
      <c r="M2006" s="405"/>
      <c r="N2006" s="405"/>
      <c r="O2006" s="405"/>
      <c r="P2006" s="405"/>
      <c r="Q2006" s="405"/>
      <c r="R2006" s="405"/>
      <c r="S2006" s="405"/>
      <c r="T2006" s="405"/>
      <c r="U2006" s="405"/>
      <c r="V2006" s="405"/>
      <c r="W2006" s="405"/>
      <c r="X2006" s="405"/>
      <c r="Y2006" s="405"/>
      <c r="Z2006" s="405"/>
      <c r="AA2006" s="405"/>
      <c r="AB2006" s="405"/>
    </row>
    <row r="2007" ht="14.25" customHeight="1">
      <c r="A2007" s="405"/>
      <c r="B2007" s="405"/>
      <c r="C2007" s="405"/>
      <c r="D2007" s="405"/>
      <c r="E2007" s="405"/>
      <c r="F2007" s="583"/>
      <c r="G2007" s="583"/>
      <c r="H2007" s="405"/>
      <c r="I2007" s="405"/>
      <c r="J2007" s="405"/>
      <c r="K2007" s="405"/>
      <c r="L2007" s="405"/>
      <c r="M2007" s="405"/>
      <c r="N2007" s="405"/>
      <c r="O2007" s="405"/>
      <c r="P2007" s="405"/>
      <c r="Q2007" s="405"/>
      <c r="R2007" s="405"/>
      <c r="S2007" s="405"/>
      <c r="T2007" s="405"/>
      <c r="U2007" s="405"/>
      <c r="V2007" s="405"/>
      <c r="W2007" s="405"/>
      <c r="X2007" s="405"/>
      <c r="Y2007" s="405"/>
      <c r="Z2007" s="405"/>
      <c r="AA2007" s="405"/>
      <c r="AB2007" s="405"/>
    </row>
    <row r="2008" ht="14.25" customHeight="1">
      <c r="A2008" s="405"/>
      <c r="B2008" s="405"/>
      <c r="C2008" s="405"/>
      <c r="D2008" s="405"/>
      <c r="E2008" s="405"/>
      <c r="F2008" s="583"/>
      <c r="G2008" s="583"/>
      <c r="H2008" s="405"/>
      <c r="I2008" s="405"/>
      <c r="J2008" s="405"/>
      <c r="K2008" s="405"/>
      <c r="L2008" s="405"/>
      <c r="M2008" s="405"/>
      <c r="N2008" s="405"/>
      <c r="O2008" s="405"/>
      <c r="P2008" s="405"/>
      <c r="Q2008" s="405"/>
      <c r="R2008" s="405"/>
      <c r="S2008" s="405"/>
      <c r="T2008" s="405"/>
      <c r="U2008" s="405"/>
      <c r="V2008" s="405"/>
      <c r="W2008" s="405"/>
      <c r="X2008" s="405"/>
      <c r="Y2008" s="405"/>
      <c r="Z2008" s="405"/>
      <c r="AA2008" s="405"/>
      <c r="AB2008" s="405"/>
    </row>
    <row r="2009" ht="14.25" customHeight="1">
      <c r="A2009" s="405"/>
      <c r="B2009" s="405"/>
      <c r="C2009" s="405"/>
      <c r="D2009" s="405"/>
      <c r="E2009" s="405"/>
      <c r="F2009" s="583"/>
      <c r="G2009" s="583"/>
      <c r="H2009" s="405"/>
      <c r="I2009" s="405"/>
      <c r="J2009" s="405"/>
      <c r="K2009" s="405"/>
      <c r="L2009" s="405"/>
      <c r="M2009" s="405"/>
      <c r="N2009" s="405"/>
      <c r="O2009" s="405"/>
      <c r="P2009" s="405"/>
      <c r="Q2009" s="405"/>
      <c r="R2009" s="405"/>
      <c r="S2009" s="405"/>
      <c r="T2009" s="405"/>
      <c r="U2009" s="405"/>
      <c r="V2009" s="405"/>
      <c r="W2009" s="405"/>
      <c r="X2009" s="405"/>
      <c r="Y2009" s="405"/>
      <c r="Z2009" s="405"/>
      <c r="AA2009" s="405"/>
      <c r="AB2009" s="405"/>
    </row>
    <row r="2010" ht="14.25" customHeight="1">
      <c r="A2010" s="405"/>
      <c r="B2010" s="405"/>
      <c r="C2010" s="405"/>
      <c r="D2010" s="405"/>
      <c r="E2010" s="405"/>
      <c r="F2010" s="583"/>
      <c r="G2010" s="583"/>
      <c r="H2010" s="405"/>
      <c r="I2010" s="405"/>
      <c r="J2010" s="405"/>
      <c r="K2010" s="405"/>
      <c r="L2010" s="405"/>
      <c r="M2010" s="405"/>
      <c r="N2010" s="405"/>
      <c r="O2010" s="405"/>
      <c r="P2010" s="405"/>
      <c r="Q2010" s="405"/>
      <c r="R2010" s="405"/>
      <c r="S2010" s="405"/>
      <c r="T2010" s="405"/>
      <c r="U2010" s="405"/>
      <c r="V2010" s="405"/>
      <c r="W2010" s="405"/>
      <c r="X2010" s="405"/>
      <c r="Y2010" s="405"/>
      <c r="Z2010" s="405"/>
      <c r="AA2010" s="405"/>
      <c r="AB2010" s="405"/>
    </row>
    <row r="2011" ht="14.25" customHeight="1">
      <c r="A2011" s="405"/>
      <c r="B2011" s="405"/>
      <c r="C2011" s="405"/>
      <c r="D2011" s="405"/>
      <c r="E2011" s="405"/>
      <c r="F2011" s="583"/>
      <c r="G2011" s="583"/>
      <c r="H2011" s="405"/>
      <c r="I2011" s="405"/>
      <c r="J2011" s="405"/>
      <c r="K2011" s="405"/>
      <c r="L2011" s="405"/>
      <c r="M2011" s="405"/>
      <c r="N2011" s="405"/>
      <c r="O2011" s="405"/>
      <c r="P2011" s="405"/>
      <c r="Q2011" s="405"/>
      <c r="R2011" s="405"/>
      <c r="S2011" s="405"/>
      <c r="T2011" s="405"/>
      <c r="U2011" s="405"/>
      <c r="V2011" s="405"/>
      <c r="W2011" s="405"/>
      <c r="X2011" s="405"/>
      <c r="Y2011" s="405"/>
      <c r="Z2011" s="405"/>
      <c r="AA2011" s="405"/>
      <c r="AB2011" s="405"/>
    </row>
    <row r="2012" ht="14.25" customHeight="1">
      <c r="A2012" s="405"/>
      <c r="B2012" s="405"/>
      <c r="C2012" s="405"/>
      <c r="D2012" s="405"/>
      <c r="E2012" s="405"/>
      <c r="F2012" s="583"/>
      <c r="G2012" s="583"/>
      <c r="H2012" s="405"/>
      <c r="I2012" s="405"/>
      <c r="J2012" s="405"/>
      <c r="K2012" s="405"/>
      <c r="L2012" s="405"/>
      <c r="M2012" s="405"/>
      <c r="N2012" s="405"/>
      <c r="O2012" s="405"/>
      <c r="P2012" s="405"/>
      <c r="Q2012" s="405"/>
      <c r="R2012" s="405"/>
      <c r="S2012" s="405"/>
      <c r="T2012" s="405"/>
      <c r="U2012" s="405"/>
      <c r="V2012" s="405"/>
      <c r="W2012" s="405"/>
      <c r="X2012" s="405"/>
      <c r="Y2012" s="405"/>
      <c r="Z2012" s="405"/>
      <c r="AA2012" s="405"/>
      <c r="AB2012" s="405"/>
    </row>
    <row r="2013" ht="14.25" customHeight="1">
      <c r="A2013" s="405"/>
      <c r="B2013" s="405"/>
      <c r="C2013" s="405"/>
      <c r="D2013" s="405"/>
      <c r="E2013" s="405"/>
      <c r="F2013" s="583"/>
      <c r="G2013" s="583"/>
      <c r="H2013" s="405"/>
      <c r="I2013" s="405"/>
      <c r="J2013" s="405"/>
      <c r="K2013" s="405"/>
      <c r="L2013" s="405"/>
      <c r="M2013" s="405"/>
      <c r="N2013" s="405"/>
      <c r="O2013" s="405"/>
      <c r="P2013" s="405"/>
      <c r="Q2013" s="405"/>
      <c r="R2013" s="405"/>
      <c r="S2013" s="405"/>
      <c r="T2013" s="405"/>
      <c r="U2013" s="405"/>
      <c r="V2013" s="405"/>
      <c r="W2013" s="405"/>
      <c r="X2013" s="405"/>
      <c r="Y2013" s="405"/>
      <c r="Z2013" s="405"/>
      <c r="AA2013" s="405"/>
      <c r="AB2013" s="405"/>
    </row>
    <row r="2014" ht="14.25" customHeight="1">
      <c r="A2014" s="405"/>
      <c r="B2014" s="405"/>
      <c r="C2014" s="405"/>
      <c r="D2014" s="405"/>
      <c r="E2014" s="405"/>
      <c r="F2014" s="583"/>
      <c r="G2014" s="583"/>
      <c r="H2014" s="405"/>
      <c r="I2014" s="405"/>
      <c r="J2014" s="405"/>
      <c r="K2014" s="405"/>
      <c r="L2014" s="405"/>
      <c r="M2014" s="405"/>
      <c r="N2014" s="405"/>
      <c r="O2014" s="405"/>
      <c r="P2014" s="405"/>
      <c r="Q2014" s="405"/>
      <c r="R2014" s="405"/>
      <c r="S2014" s="405"/>
      <c r="T2014" s="405"/>
      <c r="U2014" s="405"/>
      <c r="V2014" s="405"/>
      <c r="W2014" s="405"/>
      <c r="X2014" s="405"/>
      <c r="Y2014" s="405"/>
      <c r="Z2014" s="405"/>
      <c r="AA2014" s="405"/>
      <c r="AB2014" s="405"/>
    </row>
    <row r="2015" ht="14.25" customHeight="1">
      <c r="A2015" s="405"/>
      <c r="B2015" s="405"/>
      <c r="C2015" s="405"/>
      <c r="D2015" s="405"/>
      <c r="E2015" s="405"/>
      <c r="F2015" s="583"/>
      <c r="G2015" s="583"/>
      <c r="H2015" s="405"/>
      <c r="I2015" s="405"/>
      <c r="J2015" s="405"/>
      <c r="K2015" s="405"/>
      <c r="L2015" s="405"/>
      <c r="M2015" s="405"/>
      <c r="N2015" s="405"/>
      <c r="O2015" s="405"/>
      <c r="P2015" s="405"/>
      <c r="Q2015" s="405"/>
      <c r="R2015" s="405"/>
      <c r="S2015" s="405"/>
      <c r="T2015" s="405"/>
      <c r="U2015" s="405"/>
      <c r="V2015" s="405"/>
      <c r="W2015" s="405"/>
      <c r="X2015" s="405"/>
      <c r="Y2015" s="405"/>
      <c r="Z2015" s="405"/>
      <c r="AA2015" s="405"/>
      <c r="AB2015" s="405"/>
    </row>
    <row r="2016" ht="14.25" customHeight="1">
      <c r="A2016" s="405"/>
      <c r="B2016" s="405"/>
      <c r="C2016" s="405"/>
      <c r="D2016" s="405"/>
      <c r="E2016" s="405"/>
      <c r="F2016" s="583"/>
      <c r="G2016" s="583"/>
      <c r="H2016" s="405"/>
      <c r="I2016" s="405"/>
      <c r="J2016" s="405"/>
      <c r="K2016" s="405"/>
      <c r="L2016" s="405"/>
      <c r="M2016" s="405"/>
      <c r="N2016" s="405"/>
      <c r="O2016" s="405"/>
      <c r="P2016" s="405"/>
      <c r="Q2016" s="405"/>
      <c r="R2016" s="405"/>
      <c r="S2016" s="405"/>
      <c r="T2016" s="405"/>
      <c r="U2016" s="405"/>
      <c r="V2016" s="405"/>
      <c r="W2016" s="405"/>
      <c r="X2016" s="405"/>
      <c r="Y2016" s="405"/>
      <c r="Z2016" s="405"/>
      <c r="AA2016" s="405"/>
      <c r="AB2016" s="405"/>
    </row>
    <row r="2017" ht="14.25" customHeight="1">
      <c r="A2017" s="405"/>
      <c r="B2017" s="405"/>
      <c r="C2017" s="405"/>
      <c r="D2017" s="405"/>
      <c r="E2017" s="405"/>
      <c r="F2017" s="583"/>
      <c r="G2017" s="583"/>
      <c r="H2017" s="405"/>
      <c r="I2017" s="405"/>
      <c r="J2017" s="405"/>
      <c r="K2017" s="405"/>
      <c r="L2017" s="405"/>
      <c r="M2017" s="405"/>
      <c r="N2017" s="405"/>
      <c r="O2017" s="405"/>
      <c r="P2017" s="405"/>
      <c r="Q2017" s="405"/>
      <c r="R2017" s="405"/>
      <c r="S2017" s="405"/>
      <c r="T2017" s="405"/>
      <c r="U2017" s="405"/>
      <c r="V2017" s="405"/>
      <c r="W2017" s="405"/>
      <c r="X2017" s="405"/>
      <c r="Y2017" s="405"/>
      <c r="Z2017" s="405"/>
      <c r="AA2017" s="405"/>
      <c r="AB2017" s="405"/>
    </row>
    <row r="2018" ht="14.25" customHeight="1">
      <c r="A2018" s="405"/>
      <c r="B2018" s="405"/>
      <c r="C2018" s="405"/>
      <c r="D2018" s="405"/>
      <c r="E2018" s="405"/>
      <c r="F2018" s="583"/>
      <c r="G2018" s="583"/>
      <c r="H2018" s="405"/>
      <c r="I2018" s="405"/>
      <c r="J2018" s="405"/>
      <c r="K2018" s="405"/>
      <c r="L2018" s="405"/>
      <c r="M2018" s="405"/>
      <c r="N2018" s="405"/>
      <c r="O2018" s="405"/>
      <c r="P2018" s="405"/>
      <c r="Q2018" s="405"/>
      <c r="R2018" s="405"/>
      <c r="S2018" s="405"/>
      <c r="T2018" s="405"/>
      <c r="U2018" s="405"/>
      <c r="V2018" s="405"/>
      <c r="W2018" s="405"/>
      <c r="X2018" s="405"/>
      <c r="Y2018" s="405"/>
      <c r="Z2018" s="405"/>
      <c r="AA2018" s="405"/>
      <c r="AB2018" s="405"/>
    </row>
    <row r="2019" ht="14.25" customHeight="1">
      <c r="A2019" s="405"/>
      <c r="B2019" s="405"/>
      <c r="C2019" s="405"/>
      <c r="D2019" s="405"/>
      <c r="E2019" s="405"/>
      <c r="F2019" s="583"/>
      <c r="G2019" s="583"/>
      <c r="H2019" s="405"/>
      <c r="I2019" s="405"/>
      <c r="J2019" s="405"/>
      <c r="K2019" s="405"/>
      <c r="L2019" s="405"/>
      <c r="M2019" s="405"/>
      <c r="N2019" s="405"/>
      <c r="O2019" s="405"/>
      <c r="P2019" s="405"/>
      <c r="Q2019" s="405"/>
      <c r="R2019" s="405"/>
      <c r="S2019" s="405"/>
      <c r="T2019" s="405"/>
      <c r="U2019" s="405"/>
      <c r="V2019" s="405"/>
      <c r="W2019" s="405"/>
      <c r="X2019" s="405"/>
      <c r="Y2019" s="405"/>
      <c r="Z2019" s="405"/>
      <c r="AA2019" s="405"/>
      <c r="AB2019" s="405"/>
    </row>
    <row r="2020" ht="14.25" customHeight="1">
      <c r="A2020" s="405"/>
      <c r="B2020" s="405"/>
      <c r="C2020" s="405"/>
      <c r="D2020" s="405"/>
      <c r="E2020" s="405"/>
      <c r="F2020" s="583"/>
      <c r="G2020" s="583"/>
      <c r="H2020" s="405"/>
      <c r="I2020" s="405"/>
      <c r="J2020" s="405"/>
      <c r="K2020" s="405"/>
      <c r="L2020" s="405"/>
      <c r="M2020" s="405"/>
      <c r="N2020" s="405"/>
      <c r="O2020" s="405"/>
      <c r="P2020" s="405"/>
      <c r="Q2020" s="405"/>
      <c r="R2020" s="405"/>
      <c r="S2020" s="405"/>
      <c r="T2020" s="405"/>
      <c r="U2020" s="405"/>
      <c r="V2020" s="405"/>
      <c r="W2020" s="405"/>
      <c r="X2020" s="405"/>
      <c r="Y2020" s="405"/>
      <c r="Z2020" s="405"/>
      <c r="AA2020" s="405"/>
      <c r="AB2020" s="405"/>
    </row>
    <row r="2021" ht="14.25" customHeight="1">
      <c r="A2021" s="405"/>
      <c r="B2021" s="405"/>
      <c r="C2021" s="405"/>
      <c r="D2021" s="405"/>
      <c r="E2021" s="405"/>
      <c r="F2021" s="583"/>
      <c r="G2021" s="583"/>
      <c r="H2021" s="405"/>
      <c r="I2021" s="405"/>
      <c r="J2021" s="405"/>
      <c r="K2021" s="405"/>
      <c r="L2021" s="405"/>
      <c r="M2021" s="405"/>
      <c r="N2021" s="405"/>
      <c r="O2021" s="405"/>
      <c r="P2021" s="405"/>
      <c r="Q2021" s="405"/>
      <c r="R2021" s="405"/>
      <c r="S2021" s="405"/>
      <c r="T2021" s="405"/>
      <c r="U2021" s="405"/>
      <c r="V2021" s="405"/>
      <c r="W2021" s="405"/>
      <c r="X2021" s="405"/>
      <c r="Y2021" s="405"/>
      <c r="Z2021" s="405"/>
      <c r="AA2021" s="405"/>
      <c r="AB2021" s="405"/>
    </row>
    <row r="2022" ht="14.25" customHeight="1">
      <c r="A2022" s="405"/>
      <c r="B2022" s="405"/>
      <c r="C2022" s="405"/>
      <c r="D2022" s="405"/>
      <c r="E2022" s="405"/>
      <c r="F2022" s="583"/>
      <c r="G2022" s="583"/>
      <c r="H2022" s="405"/>
      <c r="I2022" s="405"/>
      <c r="J2022" s="405"/>
      <c r="K2022" s="405"/>
      <c r="L2022" s="405"/>
      <c r="M2022" s="405"/>
      <c r="N2022" s="405"/>
      <c r="O2022" s="405"/>
      <c r="P2022" s="405"/>
      <c r="Q2022" s="405"/>
      <c r="R2022" s="405"/>
      <c r="S2022" s="405"/>
      <c r="T2022" s="405"/>
      <c r="U2022" s="405"/>
      <c r="V2022" s="405"/>
      <c r="W2022" s="405"/>
      <c r="X2022" s="405"/>
      <c r="Y2022" s="405"/>
      <c r="Z2022" s="405"/>
      <c r="AA2022" s="405"/>
      <c r="AB2022" s="405"/>
    </row>
    <row r="2023" ht="14.25" customHeight="1">
      <c r="A2023" s="405"/>
      <c r="B2023" s="405"/>
      <c r="C2023" s="405"/>
      <c r="D2023" s="405"/>
      <c r="E2023" s="405"/>
      <c r="F2023" s="583"/>
      <c r="G2023" s="583"/>
      <c r="H2023" s="405"/>
      <c r="I2023" s="405"/>
      <c r="J2023" s="405"/>
      <c r="K2023" s="405"/>
      <c r="L2023" s="405"/>
      <c r="M2023" s="405"/>
      <c r="N2023" s="405"/>
      <c r="O2023" s="405"/>
      <c r="P2023" s="405"/>
      <c r="Q2023" s="405"/>
      <c r="R2023" s="405"/>
      <c r="S2023" s="405"/>
      <c r="T2023" s="405"/>
      <c r="U2023" s="405"/>
      <c r="V2023" s="405"/>
      <c r="W2023" s="405"/>
      <c r="X2023" s="405"/>
      <c r="Y2023" s="405"/>
      <c r="Z2023" s="405"/>
      <c r="AA2023" s="405"/>
      <c r="AB2023" s="405"/>
    </row>
    <row r="2024" ht="14.25" customHeight="1">
      <c r="A2024" s="405"/>
      <c r="B2024" s="405"/>
      <c r="C2024" s="405"/>
      <c r="D2024" s="405"/>
      <c r="E2024" s="405"/>
      <c r="F2024" s="583"/>
      <c r="G2024" s="583"/>
      <c r="H2024" s="405"/>
      <c r="I2024" s="405"/>
      <c r="J2024" s="405"/>
      <c r="K2024" s="405"/>
      <c r="L2024" s="405"/>
      <c r="M2024" s="405"/>
      <c r="N2024" s="405"/>
      <c r="O2024" s="405"/>
      <c r="P2024" s="405"/>
      <c r="Q2024" s="405"/>
      <c r="R2024" s="405"/>
      <c r="S2024" s="405"/>
      <c r="T2024" s="405"/>
      <c r="U2024" s="405"/>
      <c r="V2024" s="405"/>
      <c r="W2024" s="405"/>
      <c r="X2024" s="405"/>
      <c r="Y2024" s="405"/>
      <c r="Z2024" s="405"/>
      <c r="AA2024" s="405"/>
      <c r="AB2024" s="405"/>
    </row>
    <row r="2025" ht="14.25" customHeight="1">
      <c r="A2025" s="405"/>
      <c r="B2025" s="405"/>
      <c r="C2025" s="405"/>
      <c r="D2025" s="405"/>
      <c r="E2025" s="405"/>
      <c r="F2025" s="583"/>
      <c r="G2025" s="583"/>
      <c r="H2025" s="405"/>
      <c r="I2025" s="405"/>
      <c r="J2025" s="405"/>
      <c r="K2025" s="405"/>
      <c r="L2025" s="405"/>
      <c r="M2025" s="405"/>
      <c r="N2025" s="405"/>
      <c r="O2025" s="405"/>
      <c r="P2025" s="405"/>
      <c r="Q2025" s="405"/>
      <c r="R2025" s="405"/>
      <c r="S2025" s="405"/>
      <c r="T2025" s="405"/>
      <c r="U2025" s="405"/>
      <c r="V2025" s="405"/>
      <c r="W2025" s="405"/>
      <c r="X2025" s="405"/>
      <c r="Y2025" s="405"/>
      <c r="Z2025" s="405"/>
      <c r="AA2025" s="405"/>
      <c r="AB2025" s="405"/>
    </row>
    <row r="2026" ht="14.25" customHeight="1">
      <c r="A2026" s="405"/>
      <c r="B2026" s="405"/>
      <c r="C2026" s="405"/>
      <c r="D2026" s="405"/>
      <c r="E2026" s="405"/>
      <c r="F2026" s="583"/>
      <c r="G2026" s="583"/>
      <c r="H2026" s="405"/>
      <c r="I2026" s="405"/>
      <c r="J2026" s="405"/>
      <c r="K2026" s="405"/>
      <c r="L2026" s="405"/>
      <c r="M2026" s="405"/>
      <c r="N2026" s="405"/>
      <c r="O2026" s="405"/>
      <c r="P2026" s="405"/>
      <c r="Q2026" s="405"/>
      <c r="R2026" s="405"/>
      <c r="S2026" s="405"/>
      <c r="T2026" s="405"/>
      <c r="U2026" s="405"/>
      <c r="V2026" s="405"/>
      <c r="W2026" s="405"/>
      <c r="X2026" s="405"/>
      <c r="Y2026" s="405"/>
      <c r="Z2026" s="405"/>
      <c r="AA2026" s="405"/>
      <c r="AB2026" s="405"/>
    </row>
    <row r="2027" ht="14.25" customHeight="1">
      <c r="A2027" s="405"/>
      <c r="B2027" s="405"/>
      <c r="C2027" s="405"/>
      <c r="D2027" s="405"/>
      <c r="E2027" s="405"/>
      <c r="F2027" s="583"/>
      <c r="G2027" s="583"/>
      <c r="H2027" s="405"/>
      <c r="I2027" s="405"/>
      <c r="J2027" s="405"/>
      <c r="K2027" s="405"/>
      <c r="L2027" s="405"/>
      <c r="M2027" s="405"/>
      <c r="N2027" s="405"/>
      <c r="O2027" s="405"/>
      <c r="P2027" s="405"/>
      <c r="Q2027" s="405"/>
      <c r="R2027" s="405"/>
      <c r="S2027" s="405"/>
      <c r="T2027" s="405"/>
      <c r="U2027" s="405"/>
      <c r="V2027" s="405"/>
      <c r="W2027" s="405"/>
      <c r="X2027" s="405"/>
      <c r="Y2027" s="405"/>
      <c r="Z2027" s="405"/>
      <c r="AA2027" s="405"/>
      <c r="AB2027" s="405"/>
    </row>
    <row r="2028" ht="14.25" customHeight="1">
      <c r="A2028" s="405"/>
      <c r="B2028" s="405"/>
      <c r="C2028" s="405"/>
      <c r="D2028" s="405"/>
      <c r="E2028" s="405"/>
      <c r="F2028" s="583"/>
      <c r="G2028" s="583"/>
      <c r="H2028" s="405"/>
      <c r="I2028" s="405"/>
      <c r="J2028" s="405"/>
      <c r="K2028" s="405"/>
      <c r="L2028" s="405"/>
      <c r="M2028" s="405"/>
      <c r="N2028" s="405"/>
      <c r="O2028" s="405"/>
      <c r="P2028" s="405"/>
      <c r="Q2028" s="405"/>
      <c r="R2028" s="405"/>
      <c r="S2028" s="405"/>
      <c r="T2028" s="405"/>
      <c r="U2028" s="405"/>
      <c r="V2028" s="405"/>
      <c r="W2028" s="405"/>
      <c r="X2028" s="405"/>
      <c r="Y2028" s="405"/>
      <c r="Z2028" s="405"/>
      <c r="AA2028" s="405"/>
      <c r="AB2028" s="405"/>
    </row>
    <row r="2029" ht="14.25" customHeight="1">
      <c r="A2029" s="405"/>
      <c r="B2029" s="405"/>
      <c r="C2029" s="405"/>
      <c r="D2029" s="405"/>
      <c r="E2029" s="405"/>
      <c r="F2029" s="583"/>
      <c r="G2029" s="583"/>
      <c r="H2029" s="405"/>
      <c r="I2029" s="405"/>
      <c r="J2029" s="405"/>
      <c r="K2029" s="405"/>
      <c r="L2029" s="405"/>
      <c r="M2029" s="405"/>
      <c r="N2029" s="405"/>
      <c r="O2029" s="405"/>
      <c r="P2029" s="405"/>
      <c r="Q2029" s="405"/>
      <c r="R2029" s="405"/>
      <c r="S2029" s="405"/>
      <c r="T2029" s="405"/>
      <c r="U2029" s="405"/>
      <c r="V2029" s="405"/>
      <c r="W2029" s="405"/>
      <c r="X2029" s="405"/>
      <c r="Y2029" s="405"/>
      <c r="Z2029" s="405"/>
      <c r="AA2029" s="405"/>
      <c r="AB2029" s="405"/>
    </row>
    <row r="2030" ht="14.25" customHeight="1">
      <c r="A2030" s="405"/>
      <c r="B2030" s="405"/>
      <c r="C2030" s="405"/>
      <c r="D2030" s="405"/>
      <c r="E2030" s="405"/>
      <c r="F2030" s="583"/>
      <c r="G2030" s="583"/>
      <c r="H2030" s="405"/>
      <c r="I2030" s="405"/>
      <c r="J2030" s="405"/>
      <c r="K2030" s="405"/>
      <c r="L2030" s="405"/>
      <c r="M2030" s="405"/>
      <c r="N2030" s="405"/>
      <c r="O2030" s="405"/>
      <c r="P2030" s="405"/>
      <c r="Q2030" s="405"/>
      <c r="R2030" s="405"/>
      <c r="S2030" s="405"/>
      <c r="T2030" s="405"/>
      <c r="U2030" s="405"/>
      <c r="V2030" s="405"/>
      <c r="W2030" s="405"/>
      <c r="X2030" s="405"/>
      <c r="Y2030" s="405"/>
      <c r="Z2030" s="405"/>
      <c r="AA2030" s="405"/>
      <c r="AB2030" s="405"/>
    </row>
    <row r="2031" ht="14.25" customHeight="1">
      <c r="A2031" s="405"/>
      <c r="B2031" s="405"/>
      <c r="C2031" s="405"/>
      <c r="D2031" s="405"/>
      <c r="E2031" s="405"/>
      <c r="F2031" s="583"/>
      <c r="G2031" s="583"/>
      <c r="H2031" s="405"/>
      <c r="I2031" s="405"/>
      <c r="J2031" s="405"/>
      <c r="K2031" s="405"/>
      <c r="L2031" s="405"/>
      <c r="M2031" s="405"/>
      <c r="N2031" s="405"/>
      <c r="O2031" s="405"/>
      <c r="P2031" s="405"/>
      <c r="Q2031" s="405"/>
      <c r="R2031" s="405"/>
      <c r="S2031" s="405"/>
      <c r="T2031" s="405"/>
      <c r="U2031" s="405"/>
      <c r="V2031" s="405"/>
      <c r="W2031" s="405"/>
      <c r="X2031" s="405"/>
      <c r="Y2031" s="405"/>
      <c r="Z2031" s="405"/>
      <c r="AA2031" s="405"/>
      <c r="AB2031" s="405"/>
    </row>
    <row r="2032" ht="14.25" customHeight="1">
      <c r="A2032" s="405"/>
      <c r="B2032" s="405"/>
      <c r="C2032" s="405"/>
      <c r="D2032" s="405"/>
      <c r="E2032" s="405"/>
      <c r="F2032" s="583"/>
      <c r="G2032" s="583"/>
      <c r="H2032" s="405"/>
      <c r="I2032" s="405"/>
      <c r="J2032" s="405"/>
      <c r="K2032" s="405"/>
      <c r="L2032" s="405"/>
      <c r="M2032" s="405"/>
      <c r="N2032" s="405"/>
      <c r="O2032" s="405"/>
      <c r="P2032" s="405"/>
      <c r="Q2032" s="405"/>
      <c r="R2032" s="405"/>
      <c r="S2032" s="405"/>
      <c r="T2032" s="405"/>
      <c r="U2032" s="405"/>
      <c r="V2032" s="405"/>
      <c r="W2032" s="405"/>
      <c r="X2032" s="405"/>
      <c r="Y2032" s="405"/>
      <c r="Z2032" s="405"/>
      <c r="AA2032" s="405"/>
      <c r="AB2032" s="405"/>
    </row>
    <row r="2033" ht="14.25" customHeight="1">
      <c r="A2033" s="405"/>
      <c r="B2033" s="405"/>
      <c r="C2033" s="405"/>
      <c r="D2033" s="405"/>
      <c r="E2033" s="405"/>
      <c r="F2033" s="583"/>
      <c r="G2033" s="583"/>
      <c r="H2033" s="405"/>
      <c r="I2033" s="405"/>
      <c r="J2033" s="405"/>
      <c r="K2033" s="405"/>
      <c r="L2033" s="405"/>
      <c r="M2033" s="405"/>
      <c r="N2033" s="405"/>
      <c r="O2033" s="405"/>
      <c r="P2033" s="405"/>
      <c r="Q2033" s="405"/>
      <c r="R2033" s="405"/>
      <c r="S2033" s="405"/>
      <c r="T2033" s="405"/>
      <c r="U2033" s="405"/>
      <c r="V2033" s="405"/>
      <c r="W2033" s="405"/>
      <c r="X2033" s="405"/>
      <c r="Y2033" s="405"/>
      <c r="Z2033" s="405"/>
      <c r="AA2033" s="405"/>
      <c r="AB2033" s="405"/>
    </row>
    <row r="2034" ht="14.25" customHeight="1">
      <c r="A2034" s="405"/>
      <c r="B2034" s="405"/>
      <c r="C2034" s="405"/>
      <c r="D2034" s="405"/>
      <c r="E2034" s="405"/>
      <c r="F2034" s="583"/>
      <c r="G2034" s="583"/>
      <c r="H2034" s="405"/>
      <c r="I2034" s="405"/>
      <c r="J2034" s="405"/>
      <c r="K2034" s="405"/>
      <c r="L2034" s="405"/>
      <c r="M2034" s="405"/>
      <c r="N2034" s="405"/>
      <c r="O2034" s="405"/>
      <c r="P2034" s="405"/>
      <c r="Q2034" s="405"/>
      <c r="R2034" s="405"/>
      <c r="S2034" s="405"/>
      <c r="T2034" s="405"/>
      <c r="U2034" s="405"/>
      <c r="V2034" s="405"/>
      <c r="W2034" s="405"/>
      <c r="X2034" s="405"/>
      <c r="Y2034" s="405"/>
      <c r="Z2034" s="405"/>
      <c r="AA2034" s="405"/>
      <c r="AB2034" s="405"/>
    </row>
    <row r="2035" ht="14.25" customHeight="1">
      <c r="A2035" s="405"/>
      <c r="B2035" s="405"/>
      <c r="C2035" s="405"/>
      <c r="D2035" s="405"/>
      <c r="E2035" s="405"/>
      <c r="F2035" s="583"/>
      <c r="G2035" s="583"/>
      <c r="H2035" s="405"/>
      <c r="I2035" s="405"/>
      <c r="J2035" s="405"/>
      <c r="K2035" s="405"/>
      <c r="L2035" s="405"/>
      <c r="M2035" s="405"/>
      <c r="N2035" s="405"/>
      <c r="O2035" s="405"/>
      <c r="P2035" s="405"/>
      <c r="Q2035" s="405"/>
      <c r="R2035" s="405"/>
      <c r="S2035" s="405"/>
      <c r="T2035" s="405"/>
      <c r="U2035" s="405"/>
      <c r="V2035" s="405"/>
      <c r="W2035" s="405"/>
      <c r="X2035" s="405"/>
      <c r="Y2035" s="405"/>
      <c r="Z2035" s="405"/>
      <c r="AA2035" s="405"/>
      <c r="AB2035" s="405"/>
    </row>
    <row r="2036" ht="14.25" customHeight="1">
      <c r="A2036" s="405"/>
      <c r="B2036" s="405"/>
      <c r="C2036" s="405"/>
      <c r="D2036" s="405"/>
      <c r="E2036" s="405"/>
      <c r="F2036" s="583"/>
      <c r="G2036" s="583"/>
      <c r="H2036" s="405"/>
      <c r="I2036" s="405"/>
      <c r="J2036" s="405"/>
      <c r="K2036" s="405"/>
      <c r="L2036" s="405"/>
      <c r="M2036" s="405"/>
      <c r="N2036" s="405"/>
      <c r="O2036" s="405"/>
      <c r="P2036" s="405"/>
      <c r="Q2036" s="405"/>
      <c r="R2036" s="405"/>
      <c r="S2036" s="405"/>
      <c r="T2036" s="405"/>
      <c r="U2036" s="405"/>
      <c r="V2036" s="405"/>
      <c r="W2036" s="405"/>
      <c r="X2036" s="405"/>
      <c r="Y2036" s="405"/>
      <c r="Z2036" s="405"/>
      <c r="AA2036" s="405"/>
      <c r="AB2036" s="405"/>
    </row>
    <row r="2037" ht="14.25" customHeight="1">
      <c r="A2037" s="405"/>
      <c r="B2037" s="405"/>
      <c r="C2037" s="405"/>
      <c r="D2037" s="405"/>
      <c r="E2037" s="405"/>
      <c r="F2037" s="583"/>
      <c r="G2037" s="583"/>
      <c r="H2037" s="405"/>
      <c r="I2037" s="405"/>
      <c r="J2037" s="405"/>
      <c r="K2037" s="405"/>
      <c r="L2037" s="405"/>
      <c r="M2037" s="405"/>
      <c r="N2037" s="405"/>
      <c r="O2037" s="405"/>
      <c r="P2037" s="405"/>
      <c r="Q2037" s="405"/>
      <c r="R2037" s="405"/>
      <c r="S2037" s="405"/>
      <c r="T2037" s="405"/>
      <c r="U2037" s="405"/>
      <c r="V2037" s="405"/>
      <c r="W2037" s="405"/>
      <c r="X2037" s="405"/>
      <c r="Y2037" s="405"/>
      <c r="Z2037" s="405"/>
      <c r="AA2037" s="405"/>
      <c r="AB2037" s="405"/>
    </row>
    <row r="2038" ht="14.25" customHeight="1">
      <c r="A2038" s="405"/>
      <c r="B2038" s="405"/>
      <c r="C2038" s="405"/>
      <c r="D2038" s="405"/>
      <c r="E2038" s="405"/>
      <c r="F2038" s="583"/>
      <c r="G2038" s="583"/>
      <c r="H2038" s="405"/>
      <c r="I2038" s="405"/>
      <c r="J2038" s="405"/>
      <c r="K2038" s="405"/>
      <c r="L2038" s="405"/>
      <c r="M2038" s="405"/>
      <c r="N2038" s="405"/>
      <c r="O2038" s="405"/>
      <c r="P2038" s="405"/>
      <c r="Q2038" s="405"/>
      <c r="R2038" s="405"/>
      <c r="S2038" s="405"/>
      <c r="T2038" s="405"/>
      <c r="U2038" s="405"/>
      <c r="V2038" s="405"/>
      <c r="W2038" s="405"/>
      <c r="X2038" s="405"/>
      <c r="Y2038" s="405"/>
      <c r="Z2038" s="405"/>
      <c r="AA2038" s="405"/>
      <c r="AB2038" s="405"/>
    </row>
    <row r="2039" ht="14.25" customHeight="1">
      <c r="A2039" s="405"/>
      <c r="B2039" s="405"/>
      <c r="C2039" s="405"/>
      <c r="D2039" s="405"/>
      <c r="E2039" s="405"/>
      <c r="F2039" s="583"/>
      <c r="G2039" s="583"/>
      <c r="H2039" s="405"/>
      <c r="I2039" s="405"/>
      <c r="J2039" s="405"/>
      <c r="K2039" s="405"/>
      <c r="L2039" s="405"/>
      <c r="M2039" s="405"/>
      <c r="N2039" s="405"/>
      <c r="O2039" s="405"/>
      <c r="P2039" s="405"/>
      <c r="Q2039" s="405"/>
      <c r="R2039" s="405"/>
      <c r="S2039" s="405"/>
      <c r="T2039" s="405"/>
      <c r="U2039" s="405"/>
      <c r="V2039" s="405"/>
      <c r="W2039" s="405"/>
      <c r="X2039" s="405"/>
      <c r="Y2039" s="405"/>
      <c r="Z2039" s="405"/>
      <c r="AA2039" s="405"/>
      <c r="AB2039" s="405"/>
    </row>
    <row r="2040" ht="14.25" customHeight="1">
      <c r="A2040" s="405"/>
      <c r="B2040" s="405"/>
      <c r="C2040" s="405"/>
      <c r="D2040" s="405"/>
      <c r="E2040" s="405"/>
      <c r="F2040" s="583"/>
      <c r="G2040" s="583"/>
      <c r="H2040" s="405"/>
      <c r="I2040" s="405"/>
      <c r="J2040" s="405"/>
      <c r="K2040" s="405"/>
      <c r="L2040" s="405"/>
      <c r="M2040" s="405"/>
      <c r="N2040" s="405"/>
      <c r="O2040" s="405"/>
      <c r="P2040" s="405"/>
      <c r="Q2040" s="405"/>
      <c r="R2040" s="405"/>
      <c r="S2040" s="405"/>
      <c r="T2040" s="405"/>
      <c r="U2040" s="405"/>
      <c r="V2040" s="405"/>
      <c r="W2040" s="405"/>
      <c r="X2040" s="405"/>
      <c r="Y2040" s="405"/>
      <c r="Z2040" s="405"/>
      <c r="AA2040" s="405"/>
      <c r="AB2040" s="405"/>
    </row>
    <row r="2041" ht="14.25" customHeight="1">
      <c r="A2041" s="405"/>
      <c r="B2041" s="405"/>
      <c r="C2041" s="405"/>
      <c r="D2041" s="405"/>
      <c r="E2041" s="405"/>
      <c r="F2041" s="583"/>
      <c r="G2041" s="583"/>
      <c r="H2041" s="405"/>
      <c r="I2041" s="405"/>
      <c r="J2041" s="405"/>
      <c r="K2041" s="405"/>
      <c r="L2041" s="405"/>
      <c r="M2041" s="405"/>
      <c r="N2041" s="405"/>
      <c r="O2041" s="405"/>
      <c r="P2041" s="405"/>
      <c r="Q2041" s="405"/>
      <c r="R2041" s="405"/>
      <c r="S2041" s="405"/>
      <c r="T2041" s="405"/>
      <c r="U2041" s="405"/>
      <c r="V2041" s="405"/>
      <c r="W2041" s="405"/>
      <c r="X2041" s="405"/>
      <c r="Y2041" s="405"/>
      <c r="Z2041" s="405"/>
      <c r="AA2041" s="405"/>
      <c r="AB2041" s="405"/>
    </row>
    <row r="2042" ht="14.25" customHeight="1">
      <c r="A2042" s="405"/>
      <c r="B2042" s="405"/>
      <c r="C2042" s="405"/>
      <c r="D2042" s="405"/>
      <c r="E2042" s="405"/>
      <c r="F2042" s="583"/>
      <c r="G2042" s="583"/>
      <c r="H2042" s="405"/>
      <c r="I2042" s="405"/>
      <c r="J2042" s="405"/>
      <c r="K2042" s="405"/>
      <c r="L2042" s="405"/>
      <c r="M2042" s="405"/>
      <c r="N2042" s="405"/>
      <c r="O2042" s="405"/>
      <c r="P2042" s="405"/>
      <c r="Q2042" s="405"/>
      <c r="R2042" s="405"/>
      <c r="S2042" s="405"/>
      <c r="T2042" s="405"/>
      <c r="U2042" s="405"/>
      <c r="V2042" s="405"/>
      <c r="W2042" s="405"/>
      <c r="X2042" s="405"/>
      <c r="Y2042" s="405"/>
      <c r="Z2042" s="405"/>
      <c r="AA2042" s="405"/>
      <c r="AB2042" s="405"/>
    </row>
    <row r="2043" ht="14.25" customHeight="1">
      <c r="A2043" s="405"/>
      <c r="B2043" s="405"/>
      <c r="C2043" s="405"/>
      <c r="D2043" s="405"/>
      <c r="E2043" s="405"/>
      <c r="F2043" s="583"/>
      <c r="G2043" s="583"/>
      <c r="H2043" s="405"/>
      <c r="I2043" s="405"/>
      <c r="J2043" s="405"/>
      <c r="K2043" s="405"/>
      <c r="L2043" s="405"/>
      <c r="M2043" s="405"/>
      <c r="N2043" s="405"/>
      <c r="O2043" s="405"/>
      <c r="P2043" s="405"/>
      <c r="Q2043" s="405"/>
      <c r="R2043" s="405"/>
      <c r="S2043" s="405"/>
      <c r="T2043" s="405"/>
      <c r="U2043" s="405"/>
      <c r="V2043" s="405"/>
      <c r="W2043" s="405"/>
      <c r="X2043" s="405"/>
      <c r="Y2043" s="405"/>
      <c r="Z2043" s="405"/>
      <c r="AA2043" s="405"/>
      <c r="AB2043" s="405"/>
    </row>
    <row r="2044" ht="14.25" customHeight="1">
      <c r="A2044" s="405"/>
      <c r="B2044" s="405"/>
      <c r="C2044" s="405"/>
      <c r="D2044" s="405"/>
      <c r="E2044" s="405"/>
      <c r="F2044" s="583"/>
      <c r="G2044" s="583"/>
      <c r="H2044" s="405"/>
      <c r="I2044" s="405"/>
      <c r="J2044" s="405"/>
      <c r="K2044" s="405"/>
      <c r="L2044" s="405"/>
      <c r="M2044" s="405"/>
      <c r="N2044" s="405"/>
      <c r="O2044" s="405"/>
      <c r="P2044" s="405"/>
      <c r="Q2044" s="405"/>
      <c r="R2044" s="405"/>
      <c r="S2044" s="405"/>
      <c r="T2044" s="405"/>
      <c r="U2044" s="405"/>
      <c r="V2044" s="405"/>
      <c r="W2044" s="405"/>
      <c r="X2044" s="405"/>
      <c r="Y2044" s="405"/>
      <c r="Z2044" s="405"/>
      <c r="AA2044" s="405"/>
      <c r="AB2044" s="405"/>
    </row>
    <row r="2045" ht="14.25" customHeight="1">
      <c r="A2045" s="405"/>
      <c r="B2045" s="405"/>
      <c r="C2045" s="405"/>
      <c r="D2045" s="405"/>
      <c r="E2045" s="405"/>
      <c r="F2045" s="583"/>
      <c r="G2045" s="583"/>
      <c r="H2045" s="405"/>
      <c r="I2045" s="405"/>
      <c r="J2045" s="405"/>
      <c r="K2045" s="405"/>
      <c r="L2045" s="405"/>
      <c r="M2045" s="405"/>
      <c r="N2045" s="405"/>
      <c r="O2045" s="405"/>
      <c r="P2045" s="405"/>
      <c r="Q2045" s="405"/>
      <c r="R2045" s="405"/>
      <c r="S2045" s="405"/>
      <c r="T2045" s="405"/>
      <c r="U2045" s="405"/>
      <c r="V2045" s="405"/>
      <c r="W2045" s="405"/>
      <c r="X2045" s="405"/>
      <c r="Y2045" s="405"/>
      <c r="Z2045" s="405"/>
      <c r="AA2045" s="405"/>
      <c r="AB2045" s="405"/>
    </row>
    <row r="2046" ht="14.25" customHeight="1">
      <c r="A2046" s="405"/>
      <c r="B2046" s="405"/>
      <c r="C2046" s="405"/>
      <c r="D2046" s="405"/>
      <c r="E2046" s="405"/>
      <c r="F2046" s="583"/>
      <c r="G2046" s="583"/>
      <c r="H2046" s="405"/>
      <c r="I2046" s="405"/>
      <c r="J2046" s="405"/>
      <c r="K2046" s="405"/>
      <c r="L2046" s="405"/>
      <c r="M2046" s="405"/>
      <c r="N2046" s="405"/>
      <c r="O2046" s="405"/>
      <c r="P2046" s="405"/>
      <c r="Q2046" s="405"/>
      <c r="R2046" s="405"/>
      <c r="S2046" s="405"/>
      <c r="T2046" s="405"/>
      <c r="U2046" s="405"/>
      <c r="V2046" s="405"/>
      <c r="W2046" s="405"/>
      <c r="X2046" s="405"/>
      <c r="Y2046" s="405"/>
      <c r="Z2046" s="405"/>
      <c r="AA2046" s="405"/>
      <c r="AB2046" s="405"/>
    </row>
    <row r="2047" ht="14.25" customHeight="1">
      <c r="A2047" s="405"/>
      <c r="B2047" s="405"/>
      <c r="C2047" s="405"/>
      <c r="D2047" s="405"/>
      <c r="E2047" s="405"/>
      <c r="F2047" s="583"/>
      <c r="G2047" s="583"/>
      <c r="H2047" s="405"/>
      <c r="I2047" s="405"/>
      <c r="J2047" s="405"/>
      <c r="K2047" s="405"/>
      <c r="L2047" s="405"/>
      <c r="M2047" s="405"/>
      <c r="N2047" s="405"/>
      <c r="O2047" s="405"/>
      <c r="P2047" s="405"/>
      <c r="Q2047" s="405"/>
      <c r="R2047" s="405"/>
      <c r="S2047" s="405"/>
      <c r="T2047" s="405"/>
      <c r="U2047" s="405"/>
      <c r="V2047" s="405"/>
      <c r="W2047" s="405"/>
      <c r="X2047" s="405"/>
      <c r="Y2047" s="405"/>
      <c r="Z2047" s="405"/>
      <c r="AA2047" s="405"/>
      <c r="AB2047" s="405"/>
    </row>
    <row r="2048" ht="14.25" customHeight="1">
      <c r="A2048" s="405"/>
      <c r="B2048" s="405"/>
      <c r="C2048" s="405"/>
      <c r="D2048" s="405"/>
      <c r="E2048" s="405"/>
      <c r="F2048" s="583"/>
      <c r="G2048" s="583"/>
      <c r="H2048" s="405"/>
      <c r="I2048" s="405"/>
      <c r="J2048" s="405"/>
      <c r="K2048" s="405"/>
      <c r="L2048" s="405"/>
      <c r="M2048" s="405"/>
      <c r="N2048" s="405"/>
      <c r="O2048" s="405"/>
      <c r="P2048" s="405"/>
      <c r="Q2048" s="405"/>
      <c r="R2048" s="405"/>
      <c r="S2048" s="405"/>
      <c r="T2048" s="405"/>
      <c r="U2048" s="405"/>
      <c r="V2048" s="405"/>
      <c r="W2048" s="405"/>
      <c r="X2048" s="405"/>
      <c r="Y2048" s="405"/>
      <c r="Z2048" s="405"/>
      <c r="AA2048" s="405"/>
      <c r="AB2048" s="405"/>
    </row>
    <row r="2049" ht="14.25" customHeight="1">
      <c r="A2049" s="405"/>
      <c r="B2049" s="405"/>
      <c r="C2049" s="405"/>
      <c r="D2049" s="405"/>
      <c r="E2049" s="405"/>
      <c r="F2049" s="583"/>
      <c r="G2049" s="583"/>
      <c r="H2049" s="405"/>
      <c r="I2049" s="405"/>
      <c r="J2049" s="405"/>
      <c r="K2049" s="405"/>
      <c r="L2049" s="405"/>
      <c r="M2049" s="405"/>
      <c r="N2049" s="405"/>
      <c r="O2049" s="405"/>
      <c r="P2049" s="405"/>
      <c r="Q2049" s="405"/>
      <c r="R2049" s="405"/>
      <c r="S2049" s="405"/>
      <c r="T2049" s="405"/>
      <c r="U2049" s="405"/>
      <c r="V2049" s="405"/>
      <c r="W2049" s="405"/>
      <c r="X2049" s="405"/>
      <c r="Y2049" s="405"/>
      <c r="Z2049" s="405"/>
      <c r="AA2049" s="405"/>
      <c r="AB2049" s="405"/>
    </row>
    <row r="2050" ht="14.25" customHeight="1">
      <c r="A2050" s="405"/>
      <c r="B2050" s="405"/>
      <c r="C2050" s="405"/>
      <c r="D2050" s="405"/>
      <c r="E2050" s="405"/>
      <c r="F2050" s="583"/>
      <c r="G2050" s="583"/>
      <c r="H2050" s="405"/>
      <c r="I2050" s="405"/>
      <c r="J2050" s="405"/>
      <c r="K2050" s="405"/>
      <c r="L2050" s="405"/>
      <c r="M2050" s="405"/>
      <c r="N2050" s="405"/>
      <c r="O2050" s="405"/>
      <c r="P2050" s="405"/>
      <c r="Q2050" s="405"/>
      <c r="R2050" s="405"/>
      <c r="S2050" s="405"/>
      <c r="T2050" s="405"/>
      <c r="U2050" s="405"/>
      <c r="V2050" s="405"/>
      <c r="W2050" s="405"/>
      <c r="X2050" s="405"/>
      <c r="Y2050" s="405"/>
      <c r="Z2050" s="405"/>
      <c r="AA2050" s="405"/>
      <c r="AB2050" s="405"/>
    </row>
    <row r="2051" ht="14.25" customHeight="1">
      <c r="A2051" s="405"/>
      <c r="B2051" s="405"/>
      <c r="C2051" s="405"/>
      <c r="D2051" s="405"/>
      <c r="E2051" s="405"/>
      <c r="F2051" s="583"/>
      <c r="G2051" s="583"/>
      <c r="H2051" s="405"/>
      <c r="I2051" s="405"/>
      <c r="J2051" s="405"/>
      <c r="K2051" s="405"/>
      <c r="L2051" s="405"/>
      <c r="M2051" s="405"/>
      <c r="N2051" s="405"/>
      <c r="O2051" s="405"/>
      <c r="P2051" s="405"/>
      <c r="Q2051" s="405"/>
      <c r="R2051" s="405"/>
      <c r="S2051" s="405"/>
      <c r="T2051" s="405"/>
      <c r="U2051" s="405"/>
      <c r="V2051" s="405"/>
      <c r="W2051" s="405"/>
      <c r="X2051" s="405"/>
      <c r="Y2051" s="405"/>
      <c r="Z2051" s="405"/>
      <c r="AA2051" s="405"/>
      <c r="AB2051" s="405"/>
    </row>
    <row r="2052" ht="14.25" customHeight="1">
      <c r="A2052" s="405"/>
      <c r="B2052" s="405"/>
      <c r="C2052" s="405"/>
      <c r="D2052" s="405"/>
      <c r="E2052" s="405"/>
      <c r="F2052" s="583"/>
      <c r="G2052" s="583"/>
      <c r="H2052" s="405"/>
      <c r="I2052" s="405"/>
      <c r="J2052" s="405"/>
      <c r="K2052" s="405"/>
      <c r="L2052" s="405"/>
      <c r="M2052" s="405"/>
      <c r="N2052" s="405"/>
      <c r="O2052" s="405"/>
      <c r="P2052" s="405"/>
      <c r="Q2052" s="405"/>
      <c r="R2052" s="405"/>
      <c r="S2052" s="405"/>
      <c r="T2052" s="405"/>
      <c r="U2052" s="405"/>
      <c r="V2052" s="405"/>
      <c r="W2052" s="405"/>
      <c r="X2052" s="405"/>
      <c r="Y2052" s="405"/>
      <c r="Z2052" s="405"/>
      <c r="AA2052" s="405"/>
      <c r="AB2052" s="405"/>
    </row>
    <row r="2053" ht="14.25" customHeight="1">
      <c r="A2053" s="405"/>
      <c r="B2053" s="405"/>
      <c r="C2053" s="405"/>
      <c r="D2053" s="405"/>
      <c r="E2053" s="405"/>
      <c r="F2053" s="583"/>
      <c r="G2053" s="583"/>
      <c r="H2053" s="405"/>
      <c r="I2053" s="405"/>
      <c r="J2053" s="405"/>
      <c r="K2053" s="405"/>
      <c r="L2053" s="405"/>
      <c r="M2053" s="405"/>
      <c r="N2053" s="405"/>
      <c r="O2053" s="405"/>
      <c r="P2053" s="405"/>
      <c r="Q2053" s="405"/>
      <c r="R2053" s="405"/>
      <c r="S2053" s="405"/>
      <c r="T2053" s="405"/>
      <c r="U2053" s="405"/>
      <c r="V2053" s="405"/>
      <c r="W2053" s="405"/>
      <c r="X2053" s="405"/>
      <c r="Y2053" s="405"/>
      <c r="Z2053" s="405"/>
      <c r="AA2053" s="405"/>
      <c r="AB2053" s="405"/>
    </row>
    <row r="2054" ht="14.25" customHeight="1">
      <c r="A2054" s="405"/>
      <c r="B2054" s="405"/>
      <c r="C2054" s="405"/>
      <c r="D2054" s="405"/>
      <c r="E2054" s="405"/>
      <c r="F2054" s="583"/>
      <c r="G2054" s="583"/>
      <c r="H2054" s="405"/>
      <c r="I2054" s="405"/>
      <c r="J2054" s="405"/>
      <c r="K2054" s="405"/>
      <c r="L2054" s="405"/>
      <c r="M2054" s="405"/>
      <c r="N2054" s="405"/>
      <c r="O2054" s="405"/>
      <c r="P2054" s="405"/>
      <c r="Q2054" s="405"/>
      <c r="R2054" s="405"/>
      <c r="S2054" s="405"/>
      <c r="T2054" s="405"/>
      <c r="U2054" s="405"/>
      <c r="V2054" s="405"/>
      <c r="W2054" s="405"/>
      <c r="X2054" s="405"/>
      <c r="Y2054" s="405"/>
      <c r="Z2054" s="405"/>
      <c r="AA2054" s="405"/>
      <c r="AB2054" s="405"/>
    </row>
    <row r="2055" ht="14.25" customHeight="1">
      <c r="A2055" s="405"/>
      <c r="B2055" s="405"/>
      <c r="C2055" s="405"/>
      <c r="D2055" s="405"/>
      <c r="E2055" s="405"/>
      <c r="F2055" s="583"/>
      <c r="G2055" s="583"/>
      <c r="H2055" s="405"/>
      <c r="I2055" s="405"/>
      <c r="J2055" s="405"/>
      <c r="K2055" s="405"/>
      <c r="L2055" s="405"/>
      <c r="M2055" s="405"/>
      <c r="N2055" s="405"/>
      <c r="O2055" s="405"/>
      <c r="P2055" s="405"/>
      <c r="Q2055" s="405"/>
      <c r="R2055" s="405"/>
      <c r="S2055" s="405"/>
      <c r="T2055" s="405"/>
      <c r="U2055" s="405"/>
      <c r="V2055" s="405"/>
      <c r="W2055" s="405"/>
      <c r="X2055" s="405"/>
      <c r="Y2055" s="405"/>
      <c r="Z2055" s="405"/>
      <c r="AA2055" s="405"/>
      <c r="AB2055" s="405"/>
    </row>
    <row r="2056" ht="14.25" customHeight="1">
      <c r="A2056" s="405"/>
      <c r="B2056" s="405"/>
      <c r="C2056" s="405"/>
      <c r="D2056" s="405"/>
      <c r="E2056" s="405"/>
      <c r="F2056" s="583"/>
      <c r="G2056" s="583"/>
      <c r="H2056" s="405"/>
      <c r="I2056" s="405"/>
      <c r="J2056" s="405"/>
      <c r="K2056" s="405"/>
      <c r="L2056" s="405"/>
      <c r="M2056" s="405"/>
      <c r="N2056" s="405"/>
      <c r="O2056" s="405"/>
      <c r="P2056" s="405"/>
      <c r="Q2056" s="405"/>
      <c r="R2056" s="405"/>
      <c r="S2056" s="405"/>
      <c r="T2056" s="405"/>
      <c r="U2056" s="405"/>
      <c r="V2056" s="405"/>
      <c r="W2056" s="405"/>
      <c r="X2056" s="405"/>
      <c r="Y2056" s="405"/>
      <c r="Z2056" s="405"/>
      <c r="AA2056" s="405"/>
      <c r="AB2056" s="405"/>
    </row>
    <row r="2057" ht="14.25" customHeight="1">
      <c r="A2057" s="405"/>
      <c r="B2057" s="405"/>
      <c r="C2057" s="405"/>
      <c r="D2057" s="405"/>
      <c r="E2057" s="405"/>
      <c r="F2057" s="583"/>
      <c r="G2057" s="583"/>
      <c r="H2057" s="405"/>
      <c r="I2057" s="405"/>
      <c r="J2057" s="405"/>
      <c r="K2057" s="405"/>
      <c r="L2057" s="405"/>
      <c r="M2057" s="405"/>
      <c r="N2057" s="405"/>
      <c r="O2057" s="405"/>
      <c r="P2057" s="405"/>
      <c r="Q2057" s="405"/>
      <c r="R2057" s="405"/>
      <c r="S2057" s="405"/>
      <c r="T2057" s="405"/>
      <c r="U2057" s="405"/>
      <c r="V2057" s="405"/>
      <c r="W2057" s="405"/>
      <c r="X2057" s="405"/>
      <c r="Y2057" s="405"/>
      <c r="Z2057" s="405"/>
      <c r="AA2057" s="405"/>
      <c r="AB2057" s="405"/>
    </row>
    <row r="2058" ht="14.25" customHeight="1">
      <c r="A2058" s="405"/>
      <c r="B2058" s="405"/>
      <c r="C2058" s="405"/>
      <c r="D2058" s="405"/>
      <c r="E2058" s="405"/>
      <c r="F2058" s="583"/>
      <c r="G2058" s="583"/>
      <c r="H2058" s="405"/>
      <c r="I2058" s="405"/>
      <c r="J2058" s="405"/>
      <c r="K2058" s="405"/>
      <c r="L2058" s="405"/>
      <c r="M2058" s="405"/>
      <c r="N2058" s="405"/>
      <c r="O2058" s="405"/>
      <c r="P2058" s="405"/>
      <c r="Q2058" s="405"/>
      <c r="R2058" s="405"/>
      <c r="S2058" s="405"/>
      <c r="T2058" s="405"/>
      <c r="U2058" s="405"/>
      <c r="V2058" s="405"/>
      <c r="W2058" s="405"/>
      <c r="X2058" s="405"/>
      <c r="Y2058" s="405"/>
      <c r="Z2058" s="405"/>
      <c r="AA2058" s="405"/>
      <c r="AB2058" s="405"/>
    </row>
    <row r="2059" ht="14.25" customHeight="1">
      <c r="A2059" s="405"/>
      <c r="B2059" s="405"/>
      <c r="C2059" s="405"/>
      <c r="D2059" s="405"/>
      <c r="E2059" s="405"/>
      <c r="F2059" s="583"/>
      <c r="G2059" s="583"/>
      <c r="H2059" s="405"/>
      <c r="I2059" s="405"/>
      <c r="J2059" s="405"/>
      <c r="K2059" s="405"/>
      <c r="L2059" s="405"/>
      <c r="M2059" s="405"/>
      <c r="N2059" s="405"/>
      <c r="O2059" s="405"/>
      <c r="P2059" s="405"/>
      <c r="Q2059" s="405"/>
      <c r="R2059" s="405"/>
      <c r="S2059" s="405"/>
      <c r="T2059" s="405"/>
      <c r="U2059" s="405"/>
      <c r="V2059" s="405"/>
      <c r="W2059" s="405"/>
      <c r="X2059" s="405"/>
      <c r="Y2059" s="405"/>
      <c r="Z2059" s="405"/>
      <c r="AA2059" s="405"/>
      <c r="AB2059" s="405"/>
    </row>
    <row r="2060" ht="14.25" customHeight="1">
      <c r="A2060" s="405"/>
      <c r="B2060" s="405"/>
      <c r="C2060" s="405"/>
      <c r="D2060" s="405"/>
      <c r="E2060" s="405"/>
      <c r="F2060" s="583"/>
      <c r="G2060" s="583"/>
      <c r="H2060" s="405"/>
      <c r="I2060" s="405"/>
      <c r="J2060" s="405"/>
      <c r="K2060" s="405"/>
      <c r="L2060" s="405"/>
      <c r="M2060" s="405"/>
      <c r="N2060" s="405"/>
      <c r="O2060" s="405"/>
      <c r="P2060" s="405"/>
      <c r="Q2060" s="405"/>
      <c r="R2060" s="405"/>
      <c r="S2060" s="405"/>
      <c r="T2060" s="405"/>
      <c r="U2060" s="405"/>
      <c r="V2060" s="405"/>
      <c r="W2060" s="405"/>
      <c r="X2060" s="405"/>
      <c r="Y2060" s="405"/>
      <c r="Z2060" s="405"/>
      <c r="AA2060" s="405"/>
      <c r="AB2060" s="405"/>
    </row>
    <row r="2061" ht="14.25" customHeight="1">
      <c r="A2061" s="405"/>
      <c r="B2061" s="405"/>
      <c r="C2061" s="405"/>
      <c r="D2061" s="405"/>
      <c r="E2061" s="405"/>
      <c r="F2061" s="583"/>
      <c r="G2061" s="583"/>
      <c r="H2061" s="405"/>
      <c r="I2061" s="405"/>
      <c r="J2061" s="405"/>
      <c r="K2061" s="405"/>
      <c r="L2061" s="405"/>
      <c r="M2061" s="405"/>
      <c r="N2061" s="405"/>
      <c r="O2061" s="405"/>
      <c r="P2061" s="405"/>
      <c r="Q2061" s="405"/>
      <c r="R2061" s="405"/>
      <c r="S2061" s="405"/>
      <c r="T2061" s="405"/>
      <c r="U2061" s="405"/>
      <c r="V2061" s="405"/>
      <c r="W2061" s="405"/>
      <c r="X2061" s="405"/>
      <c r="Y2061" s="405"/>
      <c r="Z2061" s="405"/>
      <c r="AA2061" s="405"/>
      <c r="AB2061" s="405"/>
    </row>
    <row r="2062" ht="14.25" customHeight="1">
      <c r="A2062" s="405"/>
      <c r="B2062" s="405"/>
      <c r="C2062" s="405"/>
      <c r="D2062" s="405"/>
      <c r="E2062" s="405"/>
      <c r="F2062" s="583"/>
      <c r="G2062" s="583"/>
      <c r="H2062" s="405"/>
      <c r="I2062" s="405"/>
      <c r="J2062" s="405"/>
      <c r="K2062" s="405"/>
      <c r="L2062" s="405"/>
      <c r="M2062" s="405"/>
      <c r="N2062" s="405"/>
      <c r="O2062" s="405"/>
      <c r="P2062" s="405"/>
      <c r="Q2062" s="405"/>
      <c r="R2062" s="405"/>
      <c r="S2062" s="405"/>
      <c r="T2062" s="405"/>
      <c r="U2062" s="405"/>
      <c r="V2062" s="405"/>
      <c r="W2062" s="405"/>
      <c r="X2062" s="405"/>
      <c r="Y2062" s="405"/>
      <c r="Z2062" s="405"/>
      <c r="AA2062" s="405"/>
      <c r="AB2062" s="405"/>
    </row>
    <row r="2063" ht="14.25" customHeight="1">
      <c r="A2063" s="405"/>
      <c r="B2063" s="405"/>
      <c r="C2063" s="405"/>
      <c r="D2063" s="405"/>
      <c r="E2063" s="405"/>
      <c r="F2063" s="583"/>
      <c r="G2063" s="583"/>
      <c r="H2063" s="405"/>
      <c r="I2063" s="405"/>
      <c r="J2063" s="405"/>
      <c r="K2063" s="405"/>
      <c r="L2063" s="405"/>
      <c r="M2063" s="405"/>
      <c r="N2063" s="405"/>
      <c r="O2063" s="405"/>
      <c r="P2063" s="405"/>
      <c r="Q2063" s="405"/>
      <c r="R2063" s="405"/>
      <c r="S2063" s="405"/>
      <c r="T2063" s="405"/>
      <c r="U2063" s="405"/>
      <c r="V2063" s="405"/>
      <c r="W2063" s="405"/>
      <c r="X2063" s="405"/>
      <c r="Y2063" s="405"/>
      <c r="Z2063" s="405"/>
      <c r="AA2063" s="405"/>
      <c r="AB2063" s="405"/>
    </row>
    <row r="2064" ht="14.25" customHeight="1">
      <c r="A2064" s="405"/>
      <c r="B2064" s="405"/>
      <c r="C2064" s="405"/>
      <c r="D2064" s="405"/>
      <c r="E2064" s="405"/>
      <c r="F2064" s="583"/>
      <c r="G2064" s="583"/>
      <c r="H2064" s="405"/>
      <c r="I2064" s="405"/>
      <c r="J2064" s="405"/>
      <c r="K2064" s="405"/>
      <c r="L2064" s="405"/>
      <c r="M2064" s="405"/>
      <c r="N2064" s="405"/>
      <c r="O2064" s="405"/>
      <c r="P2064" s="405"/>
      <c r="Q2064" s="405"/>
      <c r="R2064" s="405"/>
      <c r="S2064" s="405"/>
      <c r="T2064" s="405"/>
      <c r="U2064" s="405"/>
      <c r="V2064" s="405"/>
      <c r="W2064" s="405"/>
      <c r="X2064" s="405"/>
      <c r="Y2064" s="405"/>
      <c r="Z2064" s="405"/>
      <c r="AA2064" s="405"/>
      <c r="AB2064" s="405"/>
    </row>
    <row r="2065" ht="14.25" customHeight="1">
      <c r="A2065" s="405"/>
      <c r="B2065" s="405"/>
      <c r="C2065" s="405"/>
      <c r="D2065" s="405"/>
      <c r="E2065" s="405"/>
      <c r="F2065" s="583"/>
      <c r="G2065" s="583"/>
      <c r="H2065" s="405"/>
      <c r="I2065" s="405"/>
      <c r="J2065" s="405"/>
      <c r="K2065" s="405"/>
      <c r="L2065" s="405"/>
      <c r="M2065" s="405"/>
      <c r="N2065" s="405"/>
      <c r="O2065" s="405"/>
      <c r="P2065" s="405"/>
      <c r="Q2065" s="405"/>
      <c r="R2065" s="405"/>
      <c r="S2065" s="405"/>
      <c r="T2065" s="405"/>
      <c r="U2065" s="405"/>
      <c r="V2065" s="405"/>
      <c r="W2065" s="405"/>
      <c r="X2065" s="405"/>
      <c r="Y2065" s="405"/>
      <c r="Z2065" s="405"/>
      <c r="AA2065" s="405"/>
      <c r="AB2065" s="405"/>
    </row>
    <row r="2066" ht="14.25" customHeight="1">
      <c r="A2066" s="405"/>
      <c r="B2066" s="405"/>
      <c r="C2066" s="405"/>
      <c r="D2066" s="405"/>
      <c r="E2066" s="405"/>
      <c r="F2066" s="583"/>
      <c r="G2066" s="583"/>
      <c r="H2066" s="405"/>
      <c r="I2066" s="405"/>
      <c r="J2066" s="405"/>
      <c r="K2066" s="405"/>
      <c r="L2066" s="405"/>
      <c r="M2066" s="405"/>
      <c r="N2066" s="405"/>
      <c r="O2066" s="405"/>
      <c r="P2066" s="405"/>
      <c r="Q2066" s="405"/>
      <c r="R2066" s="405"/>
      <c r="S2066" s="405"/>
      <c r="T2066" s="405"/>
      <c r="U2066" s="405"/>
      <c r="V2066" s="405"/>
      <c r="W2066" s="405"/>
      <c r="X2066" s="405"/>
      <c r="Y2066" s="405"/>
      <c r="Z2066" s="405"/>
      <c r="AA2066" s="405"/>
      <c r="AB2066" s="405"/>
    </row>
    <row r="2067" ht="14.25" customHeight="1">
      <c r="A2067" s="405"/>
      <c r="B2067" s="405"/>
      <c r="C2067" s="405"/>
      <c r="D2067" s="405"/>
      <c r="E2067" s="405"/>
      <c r="F2067" s="583"/>
      <c r="G2067" s="583"/>
      <c r="H2067" s="405"/>
      <c r="I2067" s="405"/>
      <c r="J2067" s="405"/>
      <c r="K2067" s="405"/>
      <c r="L2067" s="405"/>
      <c r="M2067" s="405"/>
      <c r="N2067" s="405"/>
      <c r="O2067" s="405"/>
      <c r="P2067" s="405"/>
      <c r="Q2067" s="405"/>
      <c r="R2067" s="405"/>
      <c r="S2067" s="405"/>
      <c r="T2067" s="405"/>
      <c r="U2067" s="405"/>
      <c r="V2067" s="405"/>
      <c r="W2067" s="405"/>
      <c r="X2067" s="405"/>
      <c r="Y2067" s="405"/>
      <c r="Z2067" s="405"/>
      <c r="AA2067" s="405"/>
      <c r="AB2067" s="405"/>
    </row>
    <row r="2068" ht="14.25" customHeight="1">
      <c r="A2068" s="405"/>
      <c r="B2068" s="405"/>
      <c r="C2068" s="405"/>
      <c r="D2068" s="405"/>
      <c r="E2068" s="405"/>
      <c r="F2068" s="583"/>
      <c r="G2068" s="583"/>
      <c r="H2068" s="405"/>
      <c r="I2068" s="405"/>
      <c r="J2068" s="405"/>
      <c r="K2068" s="405"/>
      <c r="L2068" s="405"/>
      <c r="M2068" s="405"/>
      <c r="N2068" s="405"/>
      <c r="O2068" s="405"/>
      <c r="P2068" s="405"/>
      <c r="Q2068" s="405"/>
      <c r="R2068" s="405"/>
      <c r="S2068" s="405"/>
      <c r="T2068" s="405"/>
      <c r="U2068" s="405"/>
      <c r="V2068" s="405"/>
      <c r="W2068" s="405"/>
      <c r="X2068" s="405"/>
      <c r="Y2068" s="405"/>
      <c r="Z2068" s="405"/>
      <c r="AA2068" s="405"/>
      <c r="AB2068" s="405"/>
    </row>
    <row r="2069" ht="14.25" customHeight="1">
      <c r="A2069" s="405"/>
      <c r="B2069" s="405"/>
      <c r="C2069" s="405"/>
      <c r="D2069" s="405"/>
      <c r="E2069" s="405"/>
      <c r="F2069" s="583"/>
      <c r="G2069" s="583"/>
      <c r="H2069" s="405"/>
      <c r="I2069" s="405"/>
      <c r="J2069" s="405"/>
      <c r="K2069" s="405"/>
      <c r="L2069" s="405"/>
      <c r="M2069" s="405"/>
      <c r="N2069" s="405"/>
      <c r="O2069" s="405"/>
      <c r="P2069" s="405"/>
      <c r="Q2069" s="405"/>
      <c r="R2069" s="405"/>
      <c r="S2069" s="405"/>
      <c r="T2069" s="405"/>
      <c r="U2069" s="405"/>
      <c r="V2069" s="405"/>
      <c r="W2069" s="405"/>
      <c r="X2069" s="405"/>
      <c r="Y2069" s="405"/>
      <c r="Z2069" s="405"/>
      <c r="AA2069" s="405"/>
      <c r="AB2069" s="405"/>
    </row>
    <row r="2070" ht="14.25" customHeight="1">
      <c r="A2070" s="405"/>
      <c r="B2070" s="405"/>
      <c r="C2070" s="405"/>
      <c r="D2070" s="405"/>
      <c r="E2070" s="405"/>
      <c r="F2070" s="583"/>
      <c r="G2070" s="583"/>
      <c r="H2070" s="405"/>
      <c r="I2070" s="405"/>
      <c r="J2070" s="405"/>
      <c r="K2070" s="405"/>
      <c r="L2070" s="405"/>
      <c r="M2070" s="405"/>
      <c r="N2070" s="405"/>
      <c r="O2070" s="405"/>
      <c r="P2070" s="405"/>
      <c r="Q2070" s="405"/>
      <c r="R2070" s="405"/>
      <c r="S2070" s="405"/>
      <c r="T2070" s="405"/>
      <c r="U2070" s="405"/>
      <c r="V2070" s="405"/>
      <c r="W2070" s="405"/>
      <c r="X2070" s="405"/>
      <c r="Y2070" s="405"/>
      <c r="Z2070" s="405"/>
      <c r="AA2070" s="405"/>
      <c r="AB2070" s="405"/>
    </row>
    <row r="2071" ht="14.25" customHeight="1">
      <c r="A2071" s="405"/>
      <c r="B2071" s="405"/>
      <c r="C2071" s="405"/>
      <c r="D2071" s="405"/>
      <c r="E2071" s="405"/>
      <c r="F2071" s="583"/>
      <c r="G2071" s="583"/>
      <c r="H2071" s="405"/>
      <c r="I2071" s="405"/>
      <c r="J2071" s="405"/>
      <c r="K2071" s="405"/>
      <c r="L2071" s="405"/>
      <c r="M2071" s="405"/>
      <c r="N2071" s="405"/>
      <c r="O2071" s="405"/>
      <c r="P2071" s="405"/>
      <c r="Q2071" s="405"/>
      <c r="R2071" s="405"/>
      <c r="S2071" s="405"/>
      <c r="T2071" s="405"/>
      <c r="U2071" s="405"/>
      <c r="V2071" s="405"/>
      <c r="W2071" s="405"/>
      <c r="X2071" s="405"/>
      <c r="Y2071" s="405"/>
      <c r="Z2071" s="405"/>
      <c r="AA2071" s="405"/>
      <c r="AB2071" s="405"/>
    </row>
    <row r="2072" ht="14.25" customHeight="1">
      <c r="A2072" s="405"/>
      <c r="B2072" s="405"/>
      <c r="C2072" s="405"/>
      <c r="D2072" s="405"/>
      <c r="E2072" s="405"/>
      <c r="F2072" s="583"/>
      <c r="G2072" s="583"/>
      <c r="H2072" s="405"/>
      <c r="I2072" s="405"/>
      <c r="J2072" s="405"/>
      <c r="K2072" s="405"/>
      <c r="L2072" s="405"/>
      <c r="M2072" s="405"/>
      <c r="N2072" s="405"/>
      <c r="O2072" s="405"/>
      <c r="P2072" s="405"/>
      <c r="Q2072" s="405"/>
      <c r="R2072" s="405"/>
      <c r="S2072" s="405"/>
      <c r="T2072" s="405"/>
      <c r="U2072" s="405"/>
      <c r="V2072" s="405"/>
      <c r="W2072" s="405"/>
      <c r="X2072" s="405"/>
      <c r="Y2072" s="405"/>
      <c r="Z2072" s="405"/>
      <c r="AA2072" s="405"/>
      <c r="AB2072" s="405"/>
    </row>
    <row r="2073" ht="14.25" customHeight="1">
      <c r="A2073" s="405"/>
      <c r="B2073" s="405"/>
      <c r="C2073" s="405"/>
      <c r="D2073" s="405"/>
      <c r="E2073" s="405"/>
      <c r="F2073" s="583"/>
      <c r="G2073" s="583"/>
      <c r="H2073" s="405"/>
      <c r="I2073" s="405"/>
      <c r="J2073" s="405"/>
      <c r="K2073" s="405"/>
      <c r="L2073" s="405"/>
      <c r="M2073" s="405"/>
      <c r="N2073" s="405"/>
      <c r="O2073" s="405"/>
      <c r="P2073" s="405"/>
      <c r="Q2073" s="405"/>
      <c r="R2073" s="405"/>
      <c r="S2073" s="405"/>
      <c r="T2073" s="405"/>
      <c r="U2073" s="405"/>
      <c r="V2073" s="405"/>
      <c r="W2073" s="405"/>
      <c r="X2073" s="405"/>
      <c r="Y2073" s="405"/>
      <c r="Z2073" s="405"/>
      <c r="AA2073" s="405"/>
      <c r="AB2073" s="405"/>
    </row>
    <row r="2074" ht="14.25" customHeight="1">
      <c r="A2074" s="405"/>
      <c r="B2074" s="405"/>
      <c r="C2074" s="405"/>
      <c r="D2074" s="405"/>
      <c r="E2074" s="405"/>
      <c r="F2074" s="583"/>
      <c r="G2074" s="583"/>
      <c r="H2074" s="405"/>
      <c r="I2074" s="405"/>
      <c r="J2074" s="405"/>
      <c r="K2074" s="405"/>
      <c r="L2074" s="405"/>
      <c r="M2074" s="405"/>
      <c r="N2074" s="405"/>
      <c r="O2074" s="405"/>
      <c r="P2074" s="405"/>
      <c r="Q2074" s="405"/>
      <c r="R2074" s="405"/>
      <c r="S2074" s="405"/>
      <c r="T2074" s="405"/>
      <c r="U2074" s="405"/>
      <c r="V2074" s="405"/>
      <c r="W2074" s="405"/>
      <c r="X2074" s="405"/>
      <c r="Y2074" s="405"/>
      <c r="Z2074" s="405"/>
      <c r="AA2074" s="405"/>
      <c r="AB2074" s="405"/>
    </row>
    <row r="2075" ht="14.25" customHeight="1">
      <c r="A2075" s="405"/>
      <c r="B2075" s="405"/>
      <c r="C2075" s="405"/>
      <c r="D2075" s="405"/>
      <c r="E2075" s="405"/>
      <c r="F2075" s="583"/>
      <c r="G2075" s="583"/>
      <c r="H2075" s="405"/>
      <c r="I2075" s="405"/>
      <c r="J2075" s="405"/>
      <c r="K2075" s="405"/>
      <c r="L2075" s="405"/>
      <c r="M2075" s="405"/>
      <c r="N2075" s="405"/>
      <c r="O2075" s="405"/>
      <c r="P2075" s="405"/>
      <c r="Q2075" s="405"/>
      <c r="R2075" s="405"/>
      <c r="S2075" s="405"/>
      <c r="T2075" s="405"/>
      <c r="U2075" s="405"/>
      <c r="V2075" s="405"/>
      <c r="W2075" s="405"/>
      <c r="X2075" s="405"/>
      <c r="Y2075" s="405"/>
      <c r="Z2075" s="405"/>
      <c r="AA2075" s="405"/>
      <c r="AB2075" s="405"/>
    </row>
    <row r="2076" ht="14.25" customHeight="1">
      <c r="A2076" s="405"/>
      <c r="B2076" s="405"/>
      <c r="C2076" s="405"/>
      <c r="D2076" s="405"/>
      <c r="E2076" s="405"/>
      <c r="F2076" s="583"/>
      <c r="G2076" s="583"/>
      <c r="H2076" s="405"/>
      <c r="I2076" s="405"/>
      <c r="J2076" s="405"/>
      <c r="K2076" s="405"/>
      <c r="L2076" s="405"/>
      <c r="M2076" s="405"/>
      <c r="N2076" s="405"/>
      <c r="O2076" s="405"/>
      <c r="P2076" s="405"/>
      <c r="Q2076" s="405"/>
      <c r="R2076" s="405"/>
      <c r="S2076" s="405"/>
      <c r="T2076" s="405"/>
      <c r="U2076" s="405"/>
      <c r="V2076" s="405"/>
      <c r="W2076" s="405"/>
      <c r="X2076" s="405"/>
      <c r="Y2076" s="405"/>
      <c r="Z2076" s="405"/>
      <c r="AA2076" s="405"/>
      <c r="AB2076" s="405"/>
    </row>
    <row r="2077" ht="14.25" customHeight="1">
      <c r="A2077" s="405"/>
      <c r="B2077" s="405"/>
      <c r="C2077" s="405"/>
      <c r="D2077" s="405"/>
      <c r="E2077" s="405"/>
      <c r="F2077" s="583"/>
      <c r="G2077" s="583"/>
      <c r="H2077" s="405"/>
      <c r="I2077" s="405"/>
      <c r="J2077" s="405"/>
      <c r="K2077" s="405"/>
      <c r="L2077" s="405"/>
      <c r="M2077" s="405"/>
      <c r="N2077" s="405"/>
      <c r="O2077" s="405"/>
      <c r="P2077" s="405"/>
      <c r="Q2077" s="405"/>
      <c r="R2077" s="405"/>
      <c r="S2077" s="405"/>
      <c r="T2077" s="405"/>
      <c r="U2077" s="405"/>
      <c r="V2077" s="405"/>
      <c r="W2077" s="405"/>
      <c r="X2077" s="405"/>
      <c r="Y2077" s="405"/>
      <c r="Z2077" s="405"/>
      <c r="AA2077" s="405"/>
      <c r="AB2077" s="405"/>
    </row>
    <row r="2078" ht="14.25" customHeight="1">
      <c r="A2078" s="405"/>
      <c r="B2078" s="405"/>
      <c r="C2078" s="405"/>
      <c r="D2078" s="405"/>
      <c r="E2078" s="405"/>
      <c r="F2078" s="583"/>
      <c r="G2078" s="583"/>
      <c r="H2078" s="405"/>
      <c r="I2078" s="405"/>
      <c r="J2078" s="405"/>
      <c r="K2078" s="405"/>
      <c r="L2078" s="405"/>
      <c r="M2078" s="405"/>
      <c r="N2078" s="405"/>
      <c r="O2078" s="405"/>
      <c r="P2078" s="405"/>
      <c r="Q2078" s="405"/>
      <c r="R2078" s="405"/>
      <c r="S2078" s="405"/>
      <c r="T2078" s="405"/>
      <c r="U2078" s="405"/>
      <c r="V2078" s="405"/>
      <c r="W2078" s="405"/>
      <c r="X2078" s="405"/>
      <c r="Y2078" s="405"/>
      <c r="Z2078" s="405"/>
      <c r="AA2078" s="405"/>
      <c r="AB2078" s="405"/>
    </row>
    <row r="2079" ht="14.25" customHeight="1">
      <c r="A2079" s="405"/>
      <c r="B2079" s="405"/>
      <c r="C2079" s="405"/>
      <c r="D2079" s="405"/>
      <c r="E2079" s="405"/>
      <c r="F2079" s="583"/>
      <c r="G2079" s="583"/>
      <c r="H2079" s="405"/>
      <c r="I2079" s="405"/>
      <c r="J2079" s="405"/>
      <c r="K2079" s="405"/>
      <c r="L2079" s="405"/>
      <c r="M2079" s="405"/>
      <c r="N2079" s="405"/>
      <c r="O2079" s="405"/>
      <c r="P2079" s="405"/>
      <c r="Q2079" s="405"/>
      <c r="R2079" s="405"/>
      <c r="S2079" s="405"/>
      <c r="T2079" s="405"/>
      <c r="U2079" s="405"/>
      <c r="V2079" s="405"/>
      <c r="W2079" s="405"/>
      <c r="X2079" s="405"/>
      <c r="Y2079" s="405"/>
      <c r="Z2079" s="405"/>
      <c r="AA2079" s="405"/>
      <c r="AB2079" s="405"/>
    </row>
    <row r="2080" ht="14.25" customHeight="1">
      <c r="A2080" s="405"/>
      <c r="B2080" s="405"/>
      <c r="C2080" s="405"/>
      <c r="D2080" s="405"/>
      <c r="E2080" s="405"/>
      <c r="F2080" s="583"/>
      <c r="G2080" s="583"/>
      <c r="H2080" s="405"/>
      <c r="I2080" s="405"/>
      <c r="J2080" s="405"/>
      <c r="K2080" s="405"/>
      <c r="L2080" s="405"/>
      <c r="M2080" s="405"/>
      <c r="N2080" s="405"/>
      <c r="O2080" s="405"/>
      <c r="P2080" s="405"/>
      <c r="Q2080" s="405"/>
      <c r="R2080" s="405"/>
      <c r="S2080" s="405"/>
      <c r="T2080" s="405"/>
      <c r="U2080" s="405"/>
      <c r="V2080" s="405"/>
      <c r="W2080" s="405"/>
      <c r="X2080" s="405"/>
      <c r="Y2080" s="405"/>
      <c r="Z2080" s="405"/>
      <c r="AA2080" s="405"/>
      <c r="AB2080" s="405"/>
    </row>
    <row r="2081" ht="14.25" customHeight="1">
      <c r="A2081" s="405"/>
      <c r="B2081" s="405"/>
      <c r="C2081" s="405"/>
      <c r="D2081" s="405"/>
      <c r="E2081" s="405"/>
      <c r="F2081" s="583"/>
      <c r="G2081" s="583"/>
      <c r="H2081" s="405"/>
      <c r="I2081" s="405"/>
      <c r="J2081" s="405"/>
      <c r="K2081" s="405"/>
      <c r="L2081" s="405"/>
      <c r="M2081" s="405"/>
      <c r="N2081" s="405"/>
      <c r="O2081" s="405"/>
      <c r="P2081" s="405"/>
      <c r="Q2081" s="405"/>
      <c r="R2081" s="405"/>
      <c r="S2081" s="405"/>
      <c r="T2081" s="405"/>
      <c r="U2081" s="405"/>
      <c r="V2081" s="405"/>
      <c r="W2081" s="405"/>
      <c r="X2081" s="405"/>
      <c r="Y2081" s="405"/>
      <c r="Z2081" s="405"/>
      <c r="AA2081" s="405"/>
      <c r="AB2081" s="405"/>
    </row>
    <row r="2082" ht="14.25" customHeight="1">
      <c r="A2082" s="405"/>
      <c r="B2082" s="405"/>
      <c r="C2082" s="405"/>
      <c r="D2082" s="405"/>
      <c r="E2082" s="405"/>
      <c r="F2082" s="583"/>
      <c r="G2082" s="583"/>
      <c r="H2082" s="405"/>
      <c r="I2082" s="405"/>
      <c r="J2082" s="405"/>
      <c r="K2082" s="405"/>
      <c r="L2082" s="405"/>
      <c r="M2082" s="405"/>
      <c r="N2082" s="405"/>
      <c r="O2082" s="405"/>
      <c r="P2082" s="405"/>
      <c r="Q2082" s="405"/>
      <c r="R2082" s="405"/>
      <c r="S2082" s="405"/>
      <c r="T2082" s="405"/>
      <c r="U2082" s="405"/>
      <c r="V2082" s="405"/>
      <c r="W2082" s="405"/>
      <c r="X2082" s="405"/>
      <c r="Y2082" s="405"/>
      <c r="Z2082" s="405"/>
      <c r="AA2082" s="405"/>
      <c r="AB2082" s="405"/>
    </row>
    <row r="2083" ht="14.25" customHeight="1">
      <c r="A2083" s="405"/>
      <c r="B2083" s="405"/>
      <c r="C2083" s="405"/>
      <c r="D2083" s="405"/>
      <c r="E2083" s="405"/>
      <c r="F2083" s="583"/>
      <c r="G2083" s="583"/>
      <c r="H2083" s="405"/>
      <c r="I2083" s="405"/>
      <c r="J2083" s="405"/>
      <c r="K2083" s="405"/>
      <c r="L2083" s="405"/>
      <c r="M2083" s="405"/>
      <c r="N2083" s="405"/>
      <c r="O2083" s="405"/>
      <c r="P2083" s="405"/>
      <c r="Q2083" s="405"/>
      <c r="R2083" s="405"/>
      <c r="S2083" s="405"/>
      <c r="T2083" s="405"/>
      <c r="U2083" s="405"/>
      <c r="V2083" s="405"/>
      <c r="W2083" s="405"/>
      <c r="X2083" s="405"/>
      <c r="Y2083" s="405"/>
      <c r="Z2083" s="405"/>
      <c r="AA2083" s="405"/>
      <c r="AB2083" s="405"/>
    </row>
    <row r="2084" ht="14.25" customHeight="1">
      <c r="A2084" s="405"/>
      <c r="B2084" s="405"/>
      <c r="C2084" s="405"/>
      <c r="D2084" s="405"/>
      <c r="E2084" s="405"/>
      <c r="F2084" s="583"/>
      <c r="G2084" s="583"/>
      <c r="H2084" s="405"/>
      <c r="I2084" s="405"/>
      <c r="J2084" s="405"/>
      <c r="K2084" s="405"/>
      <c r="L2084" s="405"/>
      <c r="M2084" s="405"/>
      <c r="N2084" s="405"/>
      <c r="O2084" s="405"/>
      <c r="P2084" s="405"/>
      <c r="Q2084" s="405"/>
      <c r="R2084" s="405"/>
      <c r="S2084" s="405"/>
      <c r="T2084" s="405"/>
      <c r="U2084" s="405"/>
      <c r="V2084" s="405"/>
      <c r="W2084" s="405"/>
      <c r="X2084" s="405"/>
      <c r="Y2084" s="405"/>
      <c r="Z2084" s="405"/>
      <c r="AA2084" s="405"/>
      <c r="AB2084" s="405"/>
    </row>
    <row r="2085" ht="14.25" customHeight="1">
      <c r="A2085" s="405"/>
      <c r="B2085" s="405"/>
      <c r="C2085" s="405"/>
      <c r="D2085" s="405"/>
      <c r="E2085" s="405"/>
      <c r="F2085" s="583"/>
      <c r="G2085" s="583"/>
      <c r="H2085" s="405"/>
      <c r="I2085" s="405"/>
      <c r="J2085" s="405"/>
      <c r="K2085" s="405"/>
      <c r="L2085" s="405"/>
      <c r="M2085" s="405"/>
      <c r="N2085" s="405"/>
      <c r="O2085" s="405"/>
      <c r="P2085" s="405"/>
      <c r="Q2085" s="405"/>
      <c r="R2085" s="405"/>
      <c r="S2085" s="405"/>
      <c r="T2085" s="405"/>
      <c r="U2085" s="405"/>
      <c r="V2085" s="405"/>
      <c r="W2085" s="405"/>
      <c r="X2085" s="405"/>
      <c r="Y2085" s="405"/>
      <c r="Z2085" s="405"/>
      <c r="AA2085" s="405"/>
      <c r="AB2085" s="405"/>
    </row>
    <row r="2086" ht="14.25" customHeight="1">
      <c r="A2086" s="405"/>
      <c r="B2086" s="405"/>
      <c r="C2086" s="405"/>
      <c r="D2086" s="405"/>
      <c r="E2086" s="405"/>
      <c r="F2086" s="583"/>
      <c r="G2086" s="583"/>
      <c r="H2086" s="405"/>
      <c r="I2086" s="405"/>
      <c r="J2086" s="405"/>
      <c r="K2086" s="405"/>
      <c r="L2086" s="405"/>
      <c r="M2086" s="405"/>
      <c r="N2086" s="405"/>
      <c r="O2086" s="405"/>
      <c r="P2086" s="405"/>
      <c r="Q2086" s="405"/>
      <c r="R2086" s="405"/>
      <c r="S2086" s="405"/>
      <c r="T2086" s="405"/>
      <c r="U2086" s="405"/>
      <c r="V2086" s="405"/>
      <c r="W2086" s="405"/>
      <c r="X2086" s="405"/>
      <c r="Y2086" s="405"/>
      <c r="Z2086" s="405"/>
      <c r="AA2086" s="405"/>
      <c r="AB2086" s="405"/>
    </row>
    <row r="2087" ht="14.25" customHeight="1">
      <c r="A2087" s="405"/>
      <c r="B2087" s="405"/>
      <c r="C2087" s="405"/>
      <c r="D2087" s="405"/>
      <c r="E2087" s="405"/>
      <c r="F2087" s="583"/>
      <c r="G2087" s="583"/>
      <c r="H2087" s="405"/>
      <c r="I2087" s="405"/>
      <c r="J2087" s="405"/>
      <c r="K2087" s="405"/>
      <c r="L2087" s="405"/>
      <c r="M2087" s="405"/>
      <c r="N2087" s="405"/>
      <c r="O2087" s="405"/>
      <c r="P2087" s="405"/>
      <c r="Q2087" s="405"/>
      <c r="R2087" s="405"/>
      <c r="S2087" s="405"/>
      <c r="T2087" s="405"/>
      <c r="U2087" s="405"/>
      <c r="V2087" s="405"/>
      <c r="W2087" s="405"/>
      <c r="X2087" s="405"/>
      <c r="Y2087" s="405"/>
      <c r="Z2087" s="405"/>
      <c r="AA2087" s="405"/>
      <c r="AB2087" s="405"/>
    </row>
    <row r="2088" ht="14.25" customHeight="1">
      <c r="A2088" s="405"/>
      <c r="B2088" s="405"/>
      <c r="C2088" s="405"/>
      <c r="D2088" s="405"/>
      <c r="E2088" s="405"/>
      <c r="F2088" s="583"/>
      <c r="G2088" s="583"/>
      <c r="H2088" s="405"/>
      <c r="I2088" s="405"/>
      <c r="J2088" s="405"/>
      <c r="K2088" s="405"/>
      <c r="L2088" s="405"/>
      <c r="M2088" s="405"/>
      <c r="N2088" s="405"/>
      <c r="O2088" s="405"/>
      <c r="P2088" s="405"/>
      <c r="Q2088" s="405"/>
      <c r="R2088" s="405"/>
      <c r="S2088" s="405"/>
      <c r="T2088" s="405"/>
      <c r="U2088" s="405"/>
      <c r="V2088" s="405"/>
      <c r="W2088" s="405"/>
      <c r="X2088" s="405"/>
      <c r="Y2088" s="405"/>
      <c r="Z2088" s="405"/>
      <c r="AA2088" s="405"/>
      <c r="AB2088" s="405"/>
    </row>
    <row r="2089" ht="14.25" customHeight="1">
      <c r="A2089" s="405"/>
      <c r="B2089" s="405"/>
      <c r="C2089" s="405"/>
      <c r="D2089" s="405"/>
      <c r="E2089" s="405"/>
      <c r="F2089" s="583"/>
      <c r="G2089" s="583"/>
      <c r="H2089" s="405"/>
      <c r="I2089" s="405"/>
      <c r="J2089" s="405"/>
      <c r="K2089" s="405"/>
      <c r="L2089" s="405"/>
      <c r="M2089" s="405"/>
      <c r="N2089" s="405"/>
      <c r="O2089" s="405"/>
      <c r="P2089" s="405"/>
      <c r="Q2089" s="405"/>
      <c r="R2089" s="405"/>
      <c r="S2089" s="405"/>
      <c r="T2089" s="405"/>
      <c r="U2089" s="405"/>
      <c r="V2089" s="405"/>
      <c r="W2089" s="405"/>
      <c r="X2089" s="405"/>
      <c r="Y2089" s="405"/>
      <c r="Z2089" s="405"/>
      <c r="AA2089" s="405"/>
      <c r="AB2089" s="405"/>
    </row>
    <row r="2090" ht="14.25" customHeight="1">
      <c r="A2090" s="405"/>
      <c r="B2090" s="405"/>
      <c r="C2090" s="405"/>
      <c r="D2090" s="405"/>
      <c r="E2090" s="405"/>
      <c r="F2090" s="583"/>
      <c r="G2090" s="583"/>
      <c r="H2090" s="405"/>
      <c r="I2090" s="405"/>
      <c r="J2090" s="405"/>
      <c r="K2090" s="405"/>
      <c r="L2090" s="405"/>
      <c r="M2090" s="405"/>
      <c r="N2090" s="405"/>
      <c r="O2090" s="405"/>
      <c r="P2090" s="405"/>
      <c r="Q2090" s="405"/>
      <c r="R2090" s="405"/>
      <c r="S2090" s="405"/>
      <c r="T2090" s="405"/>
      <c r="U2090" s="405"/>
      <c r="V2090" s="405"/>
      <c r="W2090" s="405"/>
      <c r="X2090" s="405"/>
      <c r="Y2090" s="405"/>
      <c r="Z2090" s="405"/>
      <c r="AA2090" s="405"/>
      <c r="AB2090" s="405"/>
    </row>
    <row r="2091" ht="14.25" customHeight="1">
      <c r="A2091" s="405"/>
      <c r="B2091" s="405"/>
      <c r="C2091" s="405"/>
      <c r="D2091" s="405"/>
      <c r="E2091" s="405"/>
      <c r="F2091" s="583"/>
      <c r="G2091" s="583"/>
      <c r="H2091" s="405"/>
      <c r="I2091" s="405"/>
      <c r="J2091" s="405"/>
      <c r="K2091" s="405"/>
      <c r="L2091" s="405"/>
      <c r="M2091" s="405"/>
      <c r="N2091" s="405"/>
      <c r="O2091" s="405"/>
      <c r="P2091" s="405"/>
      <c r="Q2091" s="405"/>
      <c r="R2091" s="405"/>
      <c r="S2091" s="405"/>
      <c r="T2091" s="405"/>
      <c r="U2091" s="405"/>
      <c r="V2091" s="405"/>
      <c r="W2091" s="405"/>
      <c r="X2091" s="405"/>
      <c r="Y2091" s="405"/>
      <c r="Z2091" s="405"/>
      <c r="AA2091" s="405"/>
      <c r="AB2091" s="405"/>
    </row>
    <row r="2092" ht="14.25" customHeight="1">
      <c r="A2092" s="405"/>
      <c r="B2092" s="405"/>
      <c r="C2092" s="405"/>
      <c r="D2092" s="405"/>
      <c r="E2092" s="405"/>
      <c r="F2092" s="583"/>
      <c r="G2092" s="583"/>
      <c r="H2092" s="405"/>
      <c r="I2092" s="405"/>
      <c r="J2092" s="405"/>
      <c r="K2092" s="405"/>
      <c r="L2092" s="405"/>
      <c r="M2092" s="405"/>
      <c r="N2092" s="405"/>
      <c r="O2092" s="405"/>
      <c r="P2092" s="405"/>
      <c r="Q2092" s="405"/>
      <c r="R2092" s="405"/>
      <c r="S2092" s="405"/>
      <c r="T2092" s="405"/>
      <c r="U2092" s="405"/>
      <c r="V2092" s="405"/>
      <c r="W2092" s="405"/>
      <c r="X2092" s="405"/>
      <c r="Y2092" s="405"/>
      <c r="Z2092" s="405"/>
      <c r="AA2092" s="405"/>
      <c r="AB2092" s="405"/>
    </row>
    <row r="2093" ht="14.25" customHeight="1">
      <c r="A2093" s="405"/>
      <c r="B2093" s="405"/>
      <c r="C2093" s="405"/>
      <c r="D2093" s="405"/>
      <c r="E2093" s="405"/>
      <c r="F2093" s="583"/>
      <c r="G2093" s="583"/>
      <c r="H2093" s="405"/>
      <c r="I2093" s="405"/>
      <c r="J2093" s="405"/>
      <c r="K2093" s="405"/>
      <c r="L2093" s="405"/>
      <c r="M2093" s="405"/>
      <c r="N2093" s="405"/>
      <c r="O2093" s="405"/>
      <c r="P2093" s="405"/>
      <c r="Q2093" s="405"/>
      <c r="R2093" s="405"/>
      <c r="S2093" s="405"/>
      <c r="T2093" s="405"/>
      <c r="U2093" s="405"/>
      <c r="V2093" s="405"/>
      <c r="W2093" s="405"/>
      <c r="X2093" s="405"/>
      <c r="Y2093" s="405"/>
      <c r="Z2093" s="405"/>
      <c r="AA2093" s="405"/>
      <c r="AB2093" s="405"/>
    </row>
    <row r="2094" ht="14.25" customHeight="1">
      <c r="A2094" s="405"/>
      <c r="B2094" s="405"/>
      <c r="C2094" s="405"/>
      <c r="D2094" s="405"/>
      <c r="E2094" s="405"/>
      <c r="F2094" s="583"/>
      <c r="G2094" s="583"/>
      <c r="H2094" s="405"/>
      <c r="I2094" s="405"/>
      <c r="J2094" s="405"/>
      <c r="K2094" s="405"/>
      <c r="L2094" s="405"/>
      <c r="M2094" s="405"/>
      <c r="N2094" s="405"/>
      <c r="O2094" s="405"/>
      <c r="P2094" s="405"/>
      <c r="Q2094" s="405"/>
      <c r="R2094" s="405"/>
      <c r="S2094" s="405"/>
      <c r="T2094" s="405"/>
      <c r="U2094" s="405"/>
      <c r="V2094" s="405"/>
      <c r="W2094" s="405"/>
      <c r="X2094" s="405"/>
      <c r="Y2094" s="405"/>
      <c r="Z2094" s="405"/>
      <c r="AA2094" s="405"/>
      <c r="AB2094" s="405"/>
    </row>
    <row r="2095" ht="14.25" customHeight="1">
      <c r="A2095" s="405"/>
      <c r="B2095" s="405"/>
      <c r="C2095" s="405"/>
      <c r="D2095" s="405"/>
      <c r="E2095" s="405"/>
      <c r="F2095" s="583"/>
      <c r="G2095" s="583"/>
      <c r="H2095" s="405"/>
      <c r="I2095" s="405"/>
      <c r="J2095" s="405"/>
      <c r="K2095" s="405"/>
      <c r="L2095" s="405"/>
      <c r="M2095" s="405"/>
      <c r="N2095" s="405"/>
      <c r="O2095" s="405"/>
      <c r="P2095" s="405"/>
      <c r="Q2095" s="405"/>
      <c r="R2095" s="405"/>
      <c r="S2095" s="405"/>
      <c r="T2095" s="405"/>
      <c r="U2095" s="405"/>
      <c r="V2095" s="405"/>
      <c r="W2095" s="405"/>
      <c r="X2095" s="405"/>
      <c r="Y2095" s="405"/>
      <c r="Z2095" s="405"/>
      <c r="AA2095" s="405"/>
      <c r="AB2095" s="405"/>
    </row>
    <row r="2096" ht="14.25" customHeight="1">
      <c r="A2096" s="405"/>
      <c r="B2096" s="405"/>
      <c r="C2096" s="405"/>
      <c r="D2096" s="405"/>
      <c r="E2096" s="405"/>
      <c r="F2096" s="583"/>
      <c r="G2096" s="583"/>
      <c r="H2096" s="405"/>
      <c r="I2096" s="405"/>
      <c r="J2096" s="405"/>
      <c r="K2096" s="405"/>
      <c r="L2096" s="405"/>
      <c r="M2096" s="405"/>
      <c r="N2096" s="405"/>
      <c r="O2096" s="405"/>
      <c r="P2096" s="405"/>
      <c r="Q2096" s="405"/>
      <c r="R2096" s="405"/>
      <c r="S2096" s="405"/>
      <c r="T2096" s="405"/>
      <c r="U2096" s="405"/>
      <c r="V2096" s="405"/>
      <c r="W2096" s="405"/>
      <c r="X2096" s="405"/>
      <c r="Y2096" s="405"/>
      <c r="Z2096" s="405"/>
      <c r="AA2096" s="405"/>
      <c r="AB2096" s="405"/>
    </row>
    <row r="2097" ht="14.25" customHeight="1">
      <c r="A2097" s="405"/>
      <c r="B2097" s="405"/>
      <c r="C2097" s="405"/>
      <c r="D2097" s="405"/>
      <c r="E2097" s="405"/>
      <c r="F2097" s="583"/>
      <c r="G2097" s="583"/>
      <c r="H2097" s="405"/>
      <c r="I2097" s="405"/>
      <c r="J2097" s="405"/>
      <c r="K2097" s="405"/>
      <c r="L2097" s="405"/>
      <c r="M2097" s="405"/>
      <c r="N2097" s="405"/>
      <c r="O2097" s="405"/>
      <c r="P2097" s="405"/>
      <c r="Q2097" s="405"/>
      <c r="R2097" s="405"/>
      <c r="S2097" s="405"/>
      <c r="T2097" s="405"/>
      <c r="U2097" s="405"/>
      <c r="V2097" s="405"/>
      <c r="W2097" s="405"/>
      <c r="X2097" s="405"/>
      <c r="Y2097" s="405"/>
      <c r="Z2097" s="405"/>
      <c r="AA2097" s="405"/>
      <c r="AB2097" s="405"/>
    </row>
    <row r="2098" ht="14.25" customHeight="1">
      <c r="A2098" s="405"/>
      <c r="B2098" s="405"/>
      <c r="C2098" s="405"/>
      <c r="D2098" s="405"/>
      <c r="E2098" s="405"/>
      <c r="F2098" s="583"/>
      <c r="G2098" s="583"/>
      <c r="H2098" s="405"/>
      <c r="I2098" s="405"/>
      <c r="J2098" s="405"/>
      <c r="K2098" s="405"/>
      <c r="L2098" s="405"/>
      <c r="M2098" s="405"/>
      <c r="N2098" s="405"/>
      <c r="O2098" s="405"/>
      <c r="P2098" s="405"/>
      <c r="Q2098" s="405"/>
      <c r="R2098" s="405"/>
      <c r="S2098" s="405"/>
      <c r="T2098" s="405"/>
      <c r="U2098" s="405"/>
      <c r="V2098" s="405"/>
      <c r="W2098" s="405"/>
      <c r="X2098" s="405"/>
      <c r="Y2098" s="405"/>
      <c r="Z2098" s="405"/>
      <c r="AA2098" s="405"/>
      <c r="AB2098" s="405"/>
    </row>
    <row r="2099" ht="14.25" customHeight="1">
      <c r="A2099" s="405"/>
      <c r="B2099" s="405"/>
      <c r="C2099" s="405"/>
      <c r="D2099" s="405"/>
      <c r="E2099" s="405"/>
      <c r="F2099" s="583"/>
      <c r="G2099" s="583"/>
      <c r="H2099" s="405"/>
      <c r="I2099" s="405"/>
      <c r="J2099" s="405"/>
      <c r="K2099" s="405"/>
      <c r="L2099" s="405"/>
      <c r="M2099" s="405"/>
      <c r="N2099" s="405"/>
      <c r="O2099" s="405"/>
      <c r="P2099" s="405"/>
      <c r="Q2099" s="405"/>
      <c r="R2099" s="405"/>
      <c r="S2099" s="405"/>
      <c r="T2099" s="405"/>
      <c r="U2099" s="405"/>
      <c r="V2099" s="405"/>
      <c r="W2099" s="405"/>
      <c r="X2099" s="405"/>
      <c r="Y2099" s="405"/>
      <c r="Z2099" s="405"/>
      <c r="AA2099" s="405"/>
      <c r="AB2099" s="405"/>
    </row>
    <row r="2100" ht="14.25" customHeight="1">
      <c r="A2100" s="405"/>
      <c r="B2100" s="405"/>
      <c r="C2100" s="405"/>
      <c r="D2100" s="405"/>
      <c r="E2100" s="405"/>
      <c r="F2100" s="583"/>
      <c r="G2100" s="583"/>
      <c r="H2100" s="405"/>
      <c r="I2100" s="405"/>
      <c r="J2100" s="405"/>
      <c r="K2100" s="405"/>
      <c r="L2100" s="405"/>
      <c r="M2100" s="405"/>
      <c r="N2100" s="405"/>
      <c r="O2100" s="405"/>
      <c r="P2100" s="405"/>
      <c r="Q2100" s="405"/>
      <c r="R2100" s="405"/>
      <c r="S2100" s="405"/>
      <c r="T2100" s="405"/>
      <c r="U2100" s="405"/>
      <c r="V2100" s="405"/>
      <c r="W2100" s="405"/>
      <c r="X2100" s="405"/>
      <c r="Y2100" s="405"/>
      <c r="Z2100" s="405"/>
      <c r="AA2100" s="405"/>
      <c r="AB2100" s="405"/>
    </row>
    <row r="2101" ht="14.25" customHeight="1">
      <c r="A2101" s="405"/>
      <c r="B2101" s="405"/>
      <c r="C2101" s="405"/>
      <c r="D2101" s="405"/>
      <c r="E2101" s="405"/>
      <c r="F2101" s="583"/>
      <c r="G2101" s="583"/>
      <c r="H2101" s="405"/>
      <c r="I2101" s="405"/>
      <c r="J2101" s="405"/>
      <c r="K2101" s="405"/>
      <c r="L2101" s="405"/>
      <c r="M2101" s="405"/>
      <c r="N2101" s="405"/>
      <c r="O2101" s="405"/>
      <c r="P2101" s="405"/>
      <c r="Q2101" s="405"/>
      <c r="R2101" s="405"/>
      <c r="S2101" s="405"/>
      <c r="T2101" s="405"/>
      <c r="U2101" s="405"/>
      <c r="V2101" s="405"/>
      <c r="W2101" s="405"/>
      <c r="X2101" s="405"/>
      <c r="Y2101" s="405"/>
      <c r="Z2101" s="405"/>
      <c r="AA2101" s="405"/>
      <c r="AB2101" s="405"/>
    </row>
    <row r="2102" ht="14.25" customHeight="1">
      <c r="A2102" s="405"/>
      <c r="B2102" s="405"/>
      <c r="C2102" s="405"/>
      <c r="D2102" s="405"/>
      <c r="E2102" s="405"/>
      <c r="F2102" s="583"/>
      <c r="G2102" s="583"/>
      <c r="H2102" s="405"/>
      <c r="I2102" s="405"/>
      <c r="J2102" s="405"/>
      <c r="K2102" s="405"/>
      <c r="L2102" s="405"/>
      <c r="M2102" s="405"/>
      <c r="N2102" s="405"/>
      <c r="O2102" s="405"/>
      <c r="P2102" s="405"/>
      <c r="Q2102" s="405"/>
      <c r="R2102" s="405"/>
      <c r="S2102" s="405"/>
      <c r="T2102" s="405"/>
      <c r="U2102" s="405"/>
      <c r="V2102" s="405"/>
      <c r="W2102" s="405"/>
      <c r="X2102" s="405"/>
      <c r="Y2102" s="405"/>
      <c r="Z2102" s="405"/>
      <c r="AA2102" s="405"/>
      <c r="AB2102" s="405"/>
    </row>
    <row r="2103" ht="14.25" customHeight="1">
      <c r="A2103" s="405"/>
      <c r="B2103" s="405"/>
      <c r="C2103" s="405"/>
      <c r="D2103" s="405"/>
      <c r="E2103" s="405"/>
      <c r="F2103" s="583"/>
      <c r="G2103" s="583"/>
      <c r="H2103" s="405"/>
      <c r="I2103" s="405"/>
      <c r="J2103" s="405"/>
      <c r="K2103" s="405"/>
      <c r="L2103" s="405"/>
      <c r="M2103" s="405"/>
      <c r="N2103" s="405"/>
      <c r="O2103" s="405"/>
      <c r="P2103" s="405"/>
      <c r="Q2103" s="405"/>
      <c r="R2103" s="405"/>
      <c r="S2103" s="405"/>
      <c r="T2103" s="405"/>
      <c r="U2103" s="405"/>
      <c r="V2103" s="405"/>
      <c r="W2103" s="405"/>
      <c r="X2103" s="405"/>
      <c r="Y2103" s="405"/>
      <c r="Z2103" s="405"/>
      <c r="AA2103" s="405"/>
      <c r="AB2103" s="405"/>
    </row>
    <row r="2104" ht="14.25" customHeight="1">
      <c r="A2104" s="405"/>
      <c r="B2104" s="405"/>
      <c r="C2104" s="405"/>
      <c r="D2104" s="405"/>
      <c r="E2104" s="405"/>
      <c r="F2104" s="583"/>
      <c r="G2104" s="583"/>
      <c r="H2104" s="405"/>
      <c r="I2104" s="405"/>
      <c r="J2104" s="405"/>
      <c r="K2104" s="405"/>
      <c r="L2104" s="405"/>
      <c r="M2104" s="405"/>
      <c r="N2104" s="405"/>
      <c r="O2104" s="405"/>
      <c r="P2104" s="405"/>
      <c r="Q2104" s="405"/>
      <c r="R2104" s="405"/>
      <c r="S2104" s="405"/>
      <c r="T2104" s="405"/>
      <c r="U2104" s="405"/>
      <c r="V2104" s="405"/>
      <c r="W2104" s="405"/>
      <c r="X2104" s="405"/>
      <c r="Y2104" s="405"/>
      <c r="Z2104" s="405"/>
      <c r="AA2104" s="405"/>
      <c r="AB2104" s="405"/>
    </row>
    <row r="2105" ht="14.25" customHeight="1">
      <c r="A2105" s="405"/>
      <c r="B2105" s="405"/>
      <c r="C2105" s="405"/>
      <c r="D2105" s="405"/>
      <c r="E2105" s="405"/>
      <c r="F2105" s="583"/>
      <c r="G2105" s="583"/>
      <c r="H2105" s="405"/>
      <c r="I2105" s="405"/>
      <c r="J2105" s="405"/>
      <c r="K2105" s="405"/>
      <c r="L2105" s="405"/>
      <c r="M2105" s="405"/>
      <c r="N2105" s="405"/>
      <c r="O2105" s="405"/>
      <c r="P2105" s="405"/>
      <c r="Q2105" s="405"/>
      <c r="R2105" s="405"/>
      <c r="S2105" s="405"/>
      <c r="T2105" s="405"/>
      <c r="U2105" s="405"/>
      <c r="V2105" s="405"/>
      <c r="W2105" s="405"/>
      <c r="X2105" s="405"/>
      <c r="Y2105" s="405"/>
      <c r="Z2105" s="405"/>
      <c r="AA2105" s="405"/>
      <c r="AB2105" s="405"/>
    </row>
    <row r="2106" ht="14.25" customHeight="1">
      <c r="A2106" s="405"/>
      <c r="B2106" s="405"/>
      <c r="C2106" s="405"/>
      <c r="D2106" s="405"/>
      <c r="E2106" s="405"/>
      <c r="F2106" s="583"/>
      <c r="G2106" s="583"/>
      <c r="H2106" s="405"/>
      <c r="I2106" s="405"/>
      <c r="J2106" s="405"/>
      <c r="K2106" s="405"/>
      <c r="L2106" s="405"/>
      <c r="M2106" s="405"/>
      <c r="N2106" s="405"/>
      <c r="O2106" s="405"/>
      <c r="P2106" s="405"/>
      <c r="Q2106" s="405"/>
      <c r="R2106" s="405"/>
      <c r="S2106" s="405"/>
      <c r="T2106" s="405"/>
      <c r="U2106" s="405"/>
      <c r="V2106" s="405"/>
      <c r="W2106" s="405"/>
      <c r="X2106" s="405"/>
      <c r="Y2106" s="405"/>
      <c r="Z2106" s="405"/>
      <c r="AA2106" s="405"/>
      <c r="AB2106" s="405"/>
    </row>
    <row r="2107" ht="14.25" customHeight="1">
      <c r="A2107" s="405"/>
      <c r="B2107" s="405"/>
      <c r="C2107" s="405"/>
      <c r="D2107" s="405"/>
      <c r="E2107" s="405"/>
      <c r="F2107" s="583"/>
      <c r="G2107" s="583"/>
      <c r="H2107" s="405"/>
      <c r="I2107" s="405"/>
      <c r="J2107" s="405"/>
      <c r="K2107" s="405"/>
      <c r="L2107" s="405"/>
      <c r="M2107" s="405"/>
      <c r="N2107" s="405"/>
      <c r="O2107" s="405"/>
      <c r="P2107" s="405"/>
      <c r="Q2107" s="405"/>
      <c r="R2107" s="405"/>
      <c r="S2107" s="405"/>
      <c r="T2107" s="405"/>
      <c r="U2107" s="405"/>
      <c r="V2107" s="405"/>
      <c r="W2107" s="405"/>
      <c r="X2107" s="405"/>
      <c r="Y2107" s="405"/>
      <c r="Z2107" s="405"/>
      <c r="AA2107" s="405"/>
      <c r="AB2107" s="405"/>
    </row>
    <row r="2108" ht="14.25" customHeight="1">
      <c r="A2108" s="405"/>
      <c r="B2108" s="405"/>
      <c r="C2108" s="405"/>
      <c r="D2108" s="405"/>
      <c r="E2108" s="405"/>
      <c r="F2108" s="583"/>
      <c r="G2108" s="583"/>
      <c r="H2108" s="405"/>
      <c r="I2108" s="405"/>
      <c r="J2108" s="405"/>
      <c r="K2108" s="405"/>
      <c r="L2108" s="405"/>
      <c r="M2108" s="405"/>
      <c r="N2108" s="405"/>
      <c r="O2108" s="405"/>
      <c r="P2108" s="405"/>
      <c r="Q2108" s="405"/>
      <c r="R2108" s="405"/>
      <c r="S2108" s="405"/>
      <c r="T2108" s="405"/>
      <c r="U2108" s="405"/>
      <c r="V2108" s="405"/>
      <c r="W2108" s="405"/>
      <c r="X2108" s="405"/>
      <c r="Y2108" s="405"/>
      <c r="Z2108" s="405"/>
      <c r="AA2108" s="405"/>
      <c r="AB2108" s="405"/>
    </row>
    <row r="2109" ht="14.25" customHeight="1">
      <c r="A2109" s="405"/>
      <c r="B2109" s="405"/>
      <c r="C2109" s="405"/>
      <c r="D2109" s="405"/>
      <c r="E2109" s="405"/>
      <c r="F2109" s="583"/>
      <c r="G2109" s="583"/>
      <c r="H2109" s="405"/>
      <c r="I2109" s="405"/>
      <c r="J2109" s="405"/>
      <c r="K2109" s="405"/>
      <c r="L2109" s="405"/>
      <c r="M2109" s="405"/>
      <c r="N2109" s="405"/>
      <c r="O2109" s="405"/>
      <c r="P2109" s="405"/>
      <c r="Q2109" s="405"/>
      <c r="R2109" s="405"/>
      <c r="S2109" s="405"/>
      <c r="T2109" s="405"/>
      <c r="U2109" s="405"/>
      <c r="V2109" s="405"/>
      <c r="W2109" s="405"/>
      <c r="X2109" s="405"/>
      <c r="Y2109" s="405"/>
      <c r="Z2109" s="405"/>
      <c r="AA2109" s="405"/>
      <c r="AB2109" s="405"/>
    </row>
    <row r="2110" ht="14.25" customHeight="1">
      <c r="A2110" s="405"/>
      <c r="B2110" s="405"/>
      <c r="C2110" s="405"/>
      <c r="D2110" s="405"/>
      <c r="E2110" s="405"/>
      <c r="F2110" s="583"/>
      <c r="G2110" s="583"/>
      <c r="H2110" s="405"/>
      <c r="I2110" s="405"/>
      <c r="J2110" s="405"/>
      <c r="K2110" s="405"/>
      <c r="L2110" s="405"/>
      <c r="M2110" s="405"/>
      <c r="N2110" s="405"/>
      <c r="O2110" s="405"/>
      <c r="P2110" s="405"/>
      <c r="Q2110" s="405"/>
      <c r="R2110" s="405"/>
      <c r="S2110" s="405"/>
      <c r="T2110" s="405"/>
      <c r="U2110" s="405"/>
      <c r="V2110" s="405"/>
      <c r="W2110" s="405"/>
      <c r="X2110" s="405"/>
      <c r="Y2110" s="405"/>
      <c r="Z2110" s="405"/>
      <c r="AA2110" s="405"/>
      <c r="AB2110" s="405"/>
    </row>
    <row r="2111" ht="14.25" customHeight="1">
      <c r="A2111" s="405"/>
      <c r="B2111" s="405"/>
      <c r="C2111" s="405"/>
      <c r="D2111" s="405"/>
      <c r="E2111" s="405"/>
      <c r="F2111" s="583"/>
      <c r="G2111" s="583"/>
      <c r="H2111" s="405"/>
      <c r="I2111" s="405"/>
      <c r="J2111" s="405"/>
      <c r="K2111" s="405"/>
      <c r="L2111" s="405"/>
      <c r="M2111" s="405"/>
      <c r="N2111" s="405"/>
      <c r="O2111" s="405"/>
      <c r="P2111" s="405"/>
      <c r="Q2111" s="405"/>
      <c r="R2111" s="405"/>
      <c r="S2111" s="405"/>
      <c r="T2111" s="405"/>
      <c r="U2111" s="405"/>
      <c r="V2111" s="405"/>
      <c r="W2111" s="405"/>
      <c r="X2111" s="405"/>
      <c r="Y2111" s="405"/>
      <c r="Z2111" s="405"/>
      <c r="AA2111" s="405"/>
      <c r="AB2111" s="405"/>
    </row>
    <row r="2112" ht="14.25" customHeight="1">
      <c r="A2112" s="405"/>
      <c r="B2112" s="405"/>
      <c r="C2112" s="405"/>
      <c r="D2112" s="405"/>
      <c r="E2112" s="405"/>
      <c r="F2112" s="583"/>
      <c r="G2112" s="583"/>
      <c r="H2112" s="405"/>
      <c r="I2112" s="405"/>
      <c r="J2112" s="405"/>
      <c r="K2112" s="405"/>
      <c r="L2112" s="405"/>
      <c r="M2112" s="405"/>
      <c r="N2112" s="405"/>
      <c r="O2112" s="405"/>
      <c r="P2112" s="405"/>
      <c r="Q2112" s="405"/>
      <c r="R2112" s="405"/>
      <c r="S2112" s="405"/>
      <c r="T2112" s="405"/>
      <c r="U2112" s="405"/>
      <c r="V2112" s="405"/>
      <c r="W2112" s="405"/>
      <c r="X2112" s="405"/>
      <c r="Y2112" s="405"/>
      <c r="Z2112" s="405"/>
      <c r="AA2112" s="405"/>
      <c r="AB2112" s="405"/>
    </row>
    <row r="2113" ht="14.25" customHeight="1">
      <c r="A2113" s="405"/>
      <c r="B2113" s="405"/>
      <c r="C2113" s="405"/>
      <c r="D2113" s="405"/>
      <c r="E2113" s="405"/>
      <c r="F2113" s="583"/>
      <c r="G2113" s="583"/>
      <c r="H2113" s="405"/>
      <c r="I2113" s="405"/>
      <c r="J2113" s="405"/>
      <c r="K2113" s="405"/>
      <c r="L2113" s="405"/>
      <c r="M2113" s="405"/>
      <c r="N2113" s="405"/>
      <c r="O2113" s="405"/>
      <c r="P2113" s="405"/>
      <c r="Q2113" s="405"/>
      <c r="R2113" s="405"/>
      <c r="S2113" s="405"/>
      <c r="T2113" s="405"/>
      <c r="U2113" s="405"/>
      <c r="V2113" s="405"/>
      <c r="W2113" s="405"/>
      <c r="X2113" s="405"/>
      <c r="Y2113" s="405"/>
      <c r="Z2113" s="405"/>
      <c r="AA2113" s="405"/>
      <c r="AB2113" s="405"/>
    </row>
    <row r="2114" ht="14.25" customHeight="1">
      <c r="A2114" s="405"/>
      <c r="B2114" s="405"/>
      <c r="C2114" s="405"/>
      <c r="D2114" s="405"/>
      <c r="E2114" s="405"/>
      <c r="F2114" s="583"/>
      <c r="G2114" s="583"/>
      <c r="H2114" s="405"/>
      <c r="I2114" s="405"/>
      <c r="J2114" s="405"/>
      <c r="K2114" s="405"/>
      <c r="L2114" s="405"/>
      <c r="M2114" s="405"/>
      <c r="N2114" s="405"/>
      <c r="O2114" s="405"/>
      <c r="P2114" s="405"/>
      <c r="Q2114" s="405"/>
      <c r="R2114" s="405"/>
      <c r="S2114" s="405"/>
      <c r="T2114" s="405"/>
      <c r="U2114" s="405"/>
      <c r="V2114" s="405"/>
      <c r="W2114" s="405"/>
      <c r="X2114" s="405"/>
      <c r="Y2114" s="405"/>
      <c r="Z2114" s="405"/>
      <c r="AA2114" s="405"/>
      <c r="AB2114" s="405"/>
    </row>
    <row r="2115" ht="14.25" customHeight="1">
      <c r="A2115" s="405"/>
      <c r="B2115" s="405"/>
      <c r="C2115" s="405"/>
      <c r="D2115" s="405"/>
      <c r="E2115" s="405"/>
      <c r="F2115" s="583"/>
      <c r="G2115" s="583"/>
      <c r="H2115" s="405"/>
      <c r="I2115" s="405"/>
      <c r="J2115" s="405"/>
      <c r="K2115" s="405"/>
      <c r="L2115" s="405"/>
      <c r="M2115" s="405"/>
      <c r="N2115" s="405"/>
      <c r="O2115" s="405"/>
      <c r="P2115" s="405"/>
      <c r="Q2115" s="405"/>
      <c r="R2115" s="405"/>
      <c r="S2115" s="405"/>
      <c r="T2115" s="405"/>
      <c r="U2115" s="405"/>
      <c r="V2115" s="405"/>
      <c r="W2115" s="405"/>
      <c r="X2115" s="405"/>
      <c r="Y2115" s="405"/>
      <c r="Z2115" s="405"/>
      <c r="AA2115" s="405"/>
      <c r="AB2115" s="405"/>
    </row>
    <row r="2116" ht="14.25" customHeight="1">
      <c r="A2116" s="405"/>
      <c r="B2116" s="405"/>
      <c r="C2116" s="405"/>
      <c r="D2116" s="405"/>
      <c r="E2116" s="405"/>
      <c r="F2116" s="583"/>
      <c r="G2116" s="583"/>
      <c r="H2116" s="405"/>
      <c r="I2116" s="405"/>
      <c r="J2116" s="405"/>
      <c r="K2116" s="405"/>
      <c r="L2116" s="405"/>
      <c r="M2116" s="405"/>
      <c r="N2116" s="405"/>
      <c r="O2116" s="405"/>
      <c r="P2116" s="405"/>
      <c r="Q2116" s="405"/>
      <c r="R2116" s="405"/>
      <c r="S2116" s="405"/>
      <c r="T2116" s="405"/>
      <c r="U2116" s="405"/>
      <c r="V2116" s="405"/>
      <c r="W2116" s="405"/>
      <c r="X2116" s="405"/>
      <c r="Y2116" s="405"/>
      <c r="Z2116" s="405"/>
      <c r="AA2116" s="405"/>
      <c r="AB2116" s="405"/>
    </row>
    <row r="2117" ht="14.25" customHeight="1">
      <c r="A2117" s="405"/>
      <c r="B2117" s="405"/>
      <c r="C2117" s="405"/>
      <c r="D2117" s="405"/>
      <c r="E2117" s="405"/>
      <c r="F2117" s="583"/>
      <c r="G2117" s="583"/>
      <c r="H2117" s="405"/>
      <c r="I2117" s="405"/>
      <c r="J2117" s="405"/>
      <c r="K2117" s="405"/>
      <c r="L2117" s="405"/>
      <c r="M2117" s="405"/>
      <c r="N2117" s="405"/>
      <c r="O2117" s="405"/>
      <c r="P2117" s="405"/>
      <c r="Q2117" s="405"/>
      <c r="R2117" s="405"/>
      <c r="S2117" s="405"/>
      <c r="T2117" s="405"/>
      <c r="U2117" s="405"/>
      <c r="V2117" s="405"/>
      <c r="W2117" s="405"/>
      <c r="X2117" s="405"/>
      <c r="Y2117" s="405"/>
      <c r="Z2117" s="405"/>
      <c r="AA2117" s="405"/>
      <c r="AB2117" s="405"/>
    </row>
    <row r="2118" ht="14.25" customHeight="1">
      <c r="A2118" s="405"/>
      <c r="B2118" s="405"/>
      <c r="C2118" s="405"/>
      <c r="D2118" s="405"/>
      <c r="E2118" s="405"/>
      <c r="F2118" s="583"/>
      <c r="G2118" s="583"/>
      <c r="H2118" s="405"/>
      <c r="I2118" s="405"/>
      <c r="J2118" s="405"/>
      <c r="K2118" s="405"/>
      <c r="L2118" s="405"/>
      <c r="M2118" s="405"/>
      <c r="N2118" s="405"/>
      <c r="O2118" s="405"/>
      <c r="P2118" s="405"/>
      <c r="Q2118" s="405"/>
      <c r="R2118" s="405"/>
      <c r="S2118" s="405"/>
      <c r="T2118" s="405"/>
      <c r="U2118" s="405"/>
      <c r="V2118" s="405"/>
      <c r="W2118" s="405"/>
      <c r="X2118" s="405"/>
      <c r="Y2118" s="405"/>
      <c r="Z2118" s="405"/>
      <c r="AA2118" s="405"/>
      <c r="AB2118" s="405"/>
    </row>
    <row r="2119" ht="14.25" customHeight="1">
      <c r="A2119" s="405"/>
      <c r="B2119" s="405"/>
      <c r="C2119" s="405"/>
      <c r="D2119" s="405"/>
      <c r="E2119" s="405"/>
      <c r="F2119" s="583"/>
      <c r="G2119" s="583"/>
      <c r="H2119" s="405"/>
      <c r="I2119" s="405"/>
      <c r="J2119" s="405"/>
      <c r="K2119" s="405"/>
      <c r="L2119" s="405"/>
      <c r="M2119" s="405"/>
      <c r="N2119" s="405"/>
      <c r="O2119" s="405"/>
      <c r="P2119" s="405"/>
      <c r="Q2119" s="405"/>
      <c r="R2119" s="405"/>
      <c r="S2119" s="405"/>
      <c r="T2119" s="405"/>
      <c r="U2119" s="405"/>
      <c r="V2119" s="405"/>
      <c r="W2119" s="405"/>
      <c r="X2119" s="405"/>
      <c r="Y2119" s="405"/>
      <c r="Z2119" s="405"/>
      <c r="AA2119" s="405"/>
      <c r="AB2119" s="405"/>
    </row>
    <row r="2120" ht="14.25" customHeight="1">
      <c r="A2120" s="405"/>
      <c r="B2120" s="405"/>
      <c r="C2120" s="405"/>
      <c r="D2120" s="405"/>
      <c r="E2120" s="405"/>
      <c r="F2120" s="583"/>
      <c r="G2120" s="583"/>
      <c r="H2120" s="405"/>
      <c r="I2120" s="405"/>
      <c r="J2120" s="405"/>
      <c r="K2120" s="405"/>
      <c r="L2120" s="405"/>
      <c r="M2120" s="405"/>
      <c r="N2120" s="405"/>
      <c r="O2120" s="405"/>
      <c r="P2120" s="405"/>
      <c r="Q2120" s="405"/>
      <c r="R2120" s="405"/>
      <c r="S2120" s="405"/>
      <c r="T2120" s="405"/>
      <c r="U2120" s="405"/>
      <c r="V2120" s="405"/>
      <c r="W2120" s="405"/>
      <c r="X2120" s="405"/>
      <c r="Y2120" s="405"/>
      <c r="Z2120" s="405"/>
      <c r="AA2120" s="405"/>
      <c r="AB2120" s="405"/>
    </row>
    <row r="2121" ht="14.25" customHeight="1">
      <c r="A2121" s="405"/>
      <c r="B2121" s="405"/>
      <c r="C2121" s="405"/>
      <c r="D2121" s="405"/>
      <c r="E2121" s="405"/>
      <c r="F2121" s="583"/>
      <c r="G2121" s="583"/>
      <c r="H2121" s="405"/>
      <c r="I2121" s="405"/>
      <c r="J2121" s="405"/>
      <c r="K2121" s="405"/>
      <c r="L2121" s="405"/>
      <c r="M2121" s="405"/>
      <c r="N2121" s="405"/>
      <c r="O2121" s="405"/>
      <c r="P2121" s="405"/>
      <c r="Q2121" s="405"/>
      <c r="R2121" s="405"/>
      <c r="S2121" s="405"/>
      <c r="T2121" s="405"/>
      <c r="U2121" s="405"/>
      <c r="V2121" s="405"/>
      <c r="W2121" s="405"/>
      <c r="X2121" s="405"/>
      <c r="Y2121" s="405"/>
      <c r="Z2121" s="405"/>
      <c r="AA2121" s="405"/>
      <c r="AB2121" s="405"/>
    </row>
    <row r="2122" ht="14.25" customHeight="1">
      <c r="A2122" s="405"/>
      <c r="B2122" s="405"/>
      <c r="C2122" s="405"/>
      <c r="D2122" s="405"/>
      <c r="E2122" s="405"/>
      <c r="F2122" s="583"/>
      <c r="G2122" s="583"/>
      <c r="H2122" s="405"/>
      <c r="I2122" s="405"/>
      <c r="J2122" s="405"/>
      <c r="K2122" s="405"/>
      <c r="L2122" s="405"/>
      <c r="M2122" s="405"/>
      <c r="N2122" s="405"/>
      <c r="O2122" s="405"/>
      <c r="P2122" s="405"/>
      <c r="Q2122" s="405"/>
      <c r="R2122" s="405"/>
      <c r="S2122" s="405"/>
      <c r="T2122" s="405"/>
      <c r="U2122" s="405"/>
      <c r="V2122" s="405"/>
      <c r="W2122" s="405"/>
      <c r="X2122" s="405"/>
      <c r="Y2122" s="405"/>
      <c r="Z2122" s="405"/>
      <c r="AA2122" s="405"/>
      <c r="AB2122" s="405"/>
    </row>
    <row r="2123" ht="14.25" customHeight="1">
      <c r="A2123" s="405"/>
      <c r="B2123" s="405"/>
      <c r="C2123" s="405"/>
      <c r="D2123" s="405"/>
      <c r="E2123" s="405"/>
      <c r="F2123" s="583"/>
      <c r="G2123" s="583"/>
      <c r="H2123" s="405"/>
      <c r="I2123" s="405"/>
      <c r="J2123" s="405"/>
      <c r="K2123" s="405"/>
      <c r="L2123" s="405"/>
      <c r="M2123" s="405"/>
      <c r="N2123" s="405"/>
      <c r="O2123" s="405"/>
      <c r="P2123" s="405"/>
      <c r="Q2123" s="405"/>
      <c r="R2123" s="405"/>
      <c r="S2123" s="405"/>
      <c r="T2123" s="405"/>
      <c r="U2123" s="405"/>
      <c r="V2123" s="405"/>
      <c r="W2123" s="405"/>
      <c r="X2123" s="405"/>
      <c r="Y2123" s="405"/>
      <c r="Z2123" s="405"/>
      <c r="AA2123" s="405"/>
      <c r="AB2123" s="405"/>
    </row>
    <row r="2124" ht="14.25" customHeight="1">
      <c r="A2124" s="405"/>
      <c r="B2124" s="405"/>
      <c r="C2124" s="405"/>
      <c r="D2124" s="405"/>
      <c r="E2124" s="405"/>
      <c r="F2124" s="583"/>
      <c r="G2124" s="583"/>
      <c r="H2124" s="405"/>
      <c r="I2124" s="405"/>
      <c r="J2124" s="405"/>
      <c r="K2124" s="405"/>
      <c r="L2124" s="405"/>
      <c r="M2124" s="405"/>
      <c r="N2124" s="405"/>
      <c r="O2124" s="405"/>
      <c r="P2124" s="405"/>
      <c r="Q2124" s="405"/>
      <c r="R2124" s="405"/>
      <c r="S2124" s="405"/>
      <c r="T2124" s="405"/>
      <c r="U2124" s="405"/>
      <c r="V2124" s="405"/>
      <c r="W2124" s="405"/>
      <c r="X2124" s="405"/>
      <c r="Y2124" s="405"/>
      <c r="Z2124" s="405"/>
      <c r="AA2124" s="405"/>
      <c r="AB2124" s="405"/>
    </row>
    <row r="2125" ht="14.25" customHeight="1">
      <c r="A2125" s="405"/>
      <c r="B2125" s="405"/>
      <c r="C2125" s="405"/>
      <c r="D2125" s="405"/>
      <c r="E2125" s="405"/>
      <c r="F2125" s="583"/>
      <c r="G2125" s="583"/>
      <c r="H2125" s="405"/>
      <c r="I2125" s="405"/>
      <c r="J2125" s="405"/>
      <c r="K2125" s="405"/>
      <c r="L2125" s="405"/>
      <c r="M2125" s="405"/>
      <c r="N2125" s="405"/>
      <c r="O2125" s="405"/>
      <c r="P2125" s="405"/>
      <c r="Q2125" s="405"/>
      <c r="R2125" s="405"/>
      <c r="S2125" s="405"/>
      <c r="T2125" s="405"/>
      <c r="U2125" s="405"/>
      <c r="V2125" s="405"/>
      <c r="W2125" s="405"/>
      <c r="X2125" s="405"/>
      <c r="Y2125" s="405"/>
      <c r="Z2125" s="405"/>
      <c r="AA2125" s="405"/>
      <c r="AB2125" s="405"/>
    </row>
    <row r="2126" ht="14.25" customHeight="1">
      <c r="A2126" s="405"/>
      <c r="B2126" s="405"/>
      <c r="C2126" s="405"/>
      <c r="D2126" s="405"/>
      <c r="E2126" s="405"/>
      <c r="F2126" s="583"/>
      <c r="G2126" s="583"/>
      <c r="H2126" s="405"/>
      <c r="I2126" s="405"/>
      <c r="J2126" s="405"/>
      <c r="K2126" s="405"/>
      <c r="L2126" s="405"/>
      <c r="M2126" s="405"/>
      <c r="N2126" s="405"/>
      <c r="O2126" s="405"/>
      <c r="P2126" s="405"/>
      <c r="Q2126" s="405"/>
      <c r="R2126" s="405"/>
      <c r="S2126" s="405"/>
      <c r="T2126" s="405"/>
      <c r="U2126" s="405"/>
      <c r="V2126" s="405"/>
      <c r="W2126" s="405"/>
      <c r="X2126" s="405"/>
      <c r="Y2126" s="405"/>
      <c r="Z2126" s="405"/>
      <c r="AA2126" s="405"/>
      <c r="AB2126" s="405"/>
    </row>
    <row r="2127" ht="14.25" customHeight="1">
      <c r="A2127" s="405"/>
      <c r="B2127" s="405"/>
      <c r="C2127" s="405"/>
      <c r="D2127" s="405"/>
      <c r="E2127" s="405"/>
      <c r="F2127" s="583"/>
      <c r="G2127" s="583"/>
      <c r="H2127" s="405"/>
      <c r="I2127" s="405"/>
      <c r="J2127" s="405"/>
      <c r="K2127" s="405"/>
      <c r="L2127" s="405"/>
      <c r="M2127" s="405"/>
      <c r="N2127" s="405"/>
      <c r="O2127" s="405"/>
      <c r="P2127" s="405"/>
      <c r="Q2127" s="405"/>
      <c r="R2127" s="405"/>
      <c r="S2127" s="405"/>
      <c r="T2127" s="405"/>
      <c r="U2127" s="405"/>
      <c r="V2127" s="405"/>
      <c r="W2127" s="405"/>
      <c r="X2127" s="405"/>
      <c r="Y2127" s="405"/>
      <c r="Z2127" s="405"/>
      <c r="AA2127" s="405"/>
      <c r="AB2127" s="405"/>
    </row>
    <row r="2128" ht="14.25" customHeight="1">
      <c r="A2128" s="405"/>
      <c r="B2128" s="405"/>
      <c r="C2128" s="405"/>
      <c r="D2128" s="405"/>
      <c r="E2128" s="405"/>
      <c r="F2128" s="583"/>
      <c r="G2128" s="583"/>
      <c r="H2128" s="405"/>
      <c r="I2128" s="405"/>
      <c r="J2128" s="405"/>
      <c r="K2128" s="405"/>
      <c r="L2128" s="405"/>
      <c r="M2128" s="405"/>
      <c r="N2128" s="405"/>
      <c r="O2128" s="405"/>
      <c r="P2128" s="405"/>
      <c r="Q2128" s="405"/>
      <c r="R2128" s="405"/>
      <c r="S2128" s="405"/>
      <c r="T2128" s="405"/>
      <c r="U2128" s="405"/>
      <c r="V2128" s="405"/>
      <c r="W2128" s="405"/>
      <c r="X2128" s="405"/>
      <c r="Y2128" s="405"/>
      <c r="Z2128" s="405"/>
      <c r="AA2128" s="405"/>
      <c r="AB2128" s="405"/>
    </row>
    <row r="2129" ht="14.25" customHeight="1">
      <c r="A2129" s="405"/>
      <c r="B2129" s="405"/>
      <c r="C2129" s="405"/>
      <c r="D2129" s="405"/>
      <c r="E2129" s="405"/>
      <c r="F2129" s="583"/>
      <c r="G2129" s="583"/>
      <c r="H2129" s="405"/>
      <c r="I2129" s="405"/>
      <c r="J2129" s="405"/>
      <c r="K2129" s="405"/>
      <c r="L2129" s="405"/>
      <c r="M2129" s="405"/>
      <c r="N2129" s="405"/>
      <c r="O2129" s="405"/>
      <c r="P2129" s="405"/>
      <c r="Q2129" s="405"/>
      <c r="R2129" s="405"/>
      <c r="S2129" s="405"/>
      <c r="T2129" s="405"/>
      <c r="U2129" s="405"/>
      <c r="V2129" s="405"/>
      <c r="W2129" s="405"/>
      <c r="X2129" s="405"/>
      <c r="Y2129" s="405"/>
      <c r="Z2129" s="405"/>
      <c r="AA2129" s="405"/>
      <c r="AB2129" s="405"/>
    </row>
    <row r="2130" ht="14.25" customHeight="1">
      <c r="A2130" s="405"/>
      <c r="B2130" s="405"/>
      <c r="C2130" s="405"/>
      <c r="D2130" s="405"/>
      <c r="E2130" s="405"/>
      <c r="F2130" s="583"/>
      <c r="G2130" s="583"/>
      <c r="H2130" s="405"/>
      <c r="I2130" s="405"/>
      <c r="J2130" s="405"/>
      <c r="K2130" s="405"/>
      <c r="L2130" s="405"/>
      <c r="M2130" s="405"/>
      <c r="N2130" s="405"/>
      <c r="O2130" s="405"/>
      <c r="P2130" s="405"/>
      <c r="Q2130" s="405"/>
      <c r="R2130" s="405"/>
      <c r="S2130" s="405"/>
      <c r="T2130" s="405"/>
      <c r="U2130" s="405"/>
      <c r="V2130" s="405"/>
      <c r="W2130" s="405"/>
      <c r="X2130" s="405"/>
      <c r="Y2130" s="405"/>
      <c r="Z2130" s="405"/>
      <c r="AA2130" s="405"/>
      <c r="AB2130" s="405"/>
    </row>
    <row r="2131" ht="14.25" customHeight="1">
      <c r="A2131" s="405"/>
      <c r="B2131" s="405"/>
      <c r="C2131" s="405"/>
      <c r="D2131" s="405"/>
      <c r="E2131" s="405"/>
      <c r="F2131" s="583"/>
      <c r="G2131" s="583"/>
      <c r="H2131" s="405"/>
      <c r="I2131" s="405"/>
      <c r="J2131" s="405"/>
      <c r="K2131" s="405"/>
      <c r="L2131" s="405"/>
      <c r="M2131" s="405"/>
      <c r="N2131" s="405"/>
      <c r="O2131" s="405"/>
      <c r="P2131" s="405"/>
      <c r="Q2131" s="405"/>
      <c r="R2131" s="405"/>
      <c r="S2131" s="405"/>
      <c r="T2131" s="405"/>
      <c r="U2131" s="405"/>
      <c r="V2131" s="405"/>
      <c r="W2131" s="405"/>
      <c r="X2131" s="405"/>
      <c r="Y2131" s="405"/>
      <c r="Z2131" s="405"/>
      <c r="AA2131" s="405"/>
      <c r="AB2131" s="405"/>
    </row>
    <row r="2132" ht="14.25" customHeight="1">
      <c r="A2132" s="405"/>
      <c r="B2132" s="405"/>
      <c r="C2132" s="405"/>
      <c r="D2132" s="405"/>
      <c r="E2132" s="405"/>
      <c r="F2132" s="583"/>
      <c r="G2132" s="583"/>
      <c r="H2132" s="405"/>
      <c r="I2132" s="405"/>
      <c r="J2132" s="405"/>
      <c r="K2132" s="405"/>
      <c r="L2132" s="405"/>
      <c r="M2132" s="405"/>
      <c r="N2132" s="405"/>
      <c r="O2132" s="405"/>
      <c r="P2132" s="405"/>
      <c r="Q2132" s="405"/>
      <c r="R2132" s="405"/>
      <c r="S2132" s="405"/>
      <c r="T2132" s="405"/>
      <c r="U2132" s="405"/>
      <c r="V2132" s="405"/>
      <c r="W2132" s="405"/>
      <c r="X2132" s="405"/>
      <c r="Y2132" s="405"/>
      <c r="Z2132" s="405"/>
      <c r="AA2132" s="405"/>
      <c r="AB2132" s="405"/>
    </row>
    <row r="2133" ht="14.25" customHeight="1">
      <c r="A2133" s="405"/>
      <c r="B2133" s="405"/>
      <c r="C2133" s="405"/>
      <c r="D2133" s="405"/>
      <c r="E2133" s="405"/>
      <c r="F2133" s="583"/>
      <c r="G2133" s="583"/>
      <c r="H2133" s="405"/>
      <c r="I2133" s="405"/>
      <c r="J2133" s="405"/>
      <c r="K2133" s="405"/>
      <c r="L2133" s="405"/>
      <c r="M2133" s="405"/>
      <c r="N2133" s="405"/>
      <c r="O2133" s="405"/>
      <c r="P2133" s="405"/>
      <c r="Q2133" s="405"/>
      <c r="R2133" s="405"/>
      <c r="S2133" s="405"/>
      <c r="T2133" s="405"/>
      <c r="U2133" s="405"/>
      <c r="V2133" s="405"/>
      <c r="W2133" s="405"/>
      <c r="X2133" s="405"/>
      <c r="Y2133" s="405"/>
      <c r="Z2133" s="405"/>
      <c r="AA2133" s="405"/>
      <c r="AB2133" s="405"/>
    </row>
    <row r="2134" ht="14.25" customHeight="1">
      <c r="A2134" s="405"/>
      <c r="B2134" s="405"/>
      <c r="C2134" s="405"/>
      <c r="D2134" s="405"/>
      <c r="E2134" s="405"/>
      <c r="F2134" s="583"/>
      <c r="G2134" s="583"/>
      <c r="H2134" s="405"/>
      <c r="I2134" s="405"/>
      <c r="J2134" s="405"/>
      <c r="K2134" s="405"/>
      <c r="L2134" s="405"/>
      <c r="M2134" s="405"/>
      <c r="N2134" s="405"/>
      <c r="O2134" s="405"/>
      <c r="P2134" s="405"/>
      <c r="Q2134" s="405"/>
      <c r="R2134" s="405"/>
      <c r="S2134" s="405"/>
      <c r="T2134" s="405"/>
      <c r="U2134" s="405"/>
      <c r="V2134" s="405"/>
      <c r="W2134" s="405"/>
      <c r="X2134" s="405"/>
      <c r="Y2134" s="405"/>
      <c r="Z2134" s="405"/>
      <c r="AA2134" s="405"/>
      <c r="AB2134" s="405"/>
    </row>
    <row r="2135" ht="14.25" customHeight="1">
      <c r="A2135" s="405"/>
      <c r="B2135" s="405"/>
      <c r="C2135" s="405"/>
      <c r="D2135" s="405"/>
      <c r="E2135" s="405"/>
      <c r="F2135" s="583"/>
      <c r="G2135" s="583"/>
      <c r="H2135" s="405"/>
      <c r="I2135" s="405"/>
      <c r="J2135" s="405"/>
      <c r="K2135" s="405"/>
      <c r="L2135" s="405"/>
      <c r="M2135" s="405"/>
      <c r="N2135" s="405"/>
      <c r="O2135" s="405"/>
      <c r="P2135" s="405"/>
      <c r="Q2135" s="405"/>
      <c r="R2135" s="405"/>
      <c r="S2135" s="405"/>
      <c r="T2135" s="405"/>
      <c r="U2135" s="405"/>
      <c r="V2135" s="405"/>
      <c r="W2135" s="405"/>
      <c r="X2135" s="405"/>
      <c r="Y2135" s="405"/>
      <c r="Z2135" s="405"/>
      <c r="AA2135" s="405"/>
      <c r="AB2135" s="405"/>
    </row>
    <row r="2136" ht="14.25" customHeight="1">
      <c r="A2136" s="405"/>
      <c r="B2136" s="405"/>
      <c r="C2136" s="405"/>
      <c r="D2136" s="405"/>
      <c r="E2136" s="405"/>
      <c r="F2136" s="583"/>
      <c r="G2136" s="583"/>
      <c r="H2136" s="405"/>
      <c r="I2136" s="405"/>
      <c r="J2136" s="405"/>
      <c r="K2136" s="405"/>
      <c r="L2136" s="405"/>
      <c r="M2136" s="405"/>
      <c r="N2136" s="405"/>
      <c r="O2136" s="405"/>
      <c r="P2136" s="405"/>
      <c r="Q2136" s="405"/>
      <c r="R2136" s="405"/>
      <c r="S2136" s="405"/>
      <c r="T2136" s="405"/>
      <c r="U2136" s="405"/>
      <c r="V2136" s="405"/>
      <c r="W2136" s="405"/>
      <c r="X2136" s="405"/>
      <c r="Y2136" s="405"/>
      <c r="Z2136" s="405"/>
      <c r="AA2136" s="405"/>
      <c r="AB2136" s="405"/>
    </row>
    <row r="2137" ht="14.25" customHeight="1">
      <c r="A2137" s="405"/>
      <c r="B2137" s="405"/>
      <c r="C2137" s="405"/>
      <c r="D2137" s="405"/>
      <c r="E2137" s="405"/>
      <c r="F2137" s="583"/>
      <c r="G2137" s="583"/>
      <c r="H2137" s="405"/>
      <c r="I2137" s="405"/>
      <c r="J2137" s="405"/>
      <c r="K2137" s="405"/>
      <c r="L2137" s="405"/>
      <c r="M2137" s="405"/>
      <c r="N2137" s="405"/>
      <c r="O2137" s="405"/>
      <c r="P2137" s="405"/>
      <c r="Q2137" s="405"/>
      <c r="R2137" s="405"/>
      <c r="S2137" s="405"/>
      <c r="T2137" s="405"/>
      <c r="U2137" s="405"/>
      <c r="V2137" s="405"/>
      <c r="W2137" s="405"/>
      <c r="X2137" s="405"/>
      <c r="Y2137" s="405"/>
      <c r="Z2137" s="405"/>
      <c r="AA2137" s="405"/>
      <c r="AB2137" s="405"/>
    </row>
    <row r="2138" ht="14.25" customHeight="1">
      <c r="A2138" s="405"/>
      <c r="B2138" s="405"/>
      <c r="C2138" s="405"/>
      <c r="D2138" s="405"/>
      <c r="E2138" s="405"/>
      <c r="F2138" s="583"/>
      <c r="G2138" s="583"/>
      <c r="H2138" s="405"/>
      <c r="I2138" s="405"/>
      <c r="J2138" s="405"/>
      <c r="K2138" s="405"/>
      <c r="L2138" s="405"/>
      <c r="M2138" s="405"/>
      <c r="N2138" s="405"/>
      <c r="O2138" s="405"/>
      <c r="P2138" s="405"/>
      <c r="Q2138" s="405"/>
      <c r="R2138" s="405"/>
      <c r="S2138" s="405"/>
      <c r="T2138" s="405"/>
      <c r="U2138" s="405"/>
      <c r="V2138" s="405"/>
      <c r="W2138" s="405"/>
      <c r="X2138" s="405"/>
      <c r="Y2138" s="405"/>
      <c r="Z2138" s="405"/>
      <c r="AA2138" s="405"/>
      <c r="AB2138" s="405"/>
    </row>
    <row r="2139" ht="14.25" customHeight="1">
      <c r="A2139" s="405"/>
      <c r="B2139" s="405"/>
      <c r="C2139" s="405"/>
      <c r="D2139" s="405"/>
      <c r="E2139" s="405"/>
      <c r="F2139" s="583"/>
      <c r="G2139" s="583"/>
      <c r="H2139" s="405"/>
      <c r="I2139" s="405"/>
      <c r="J2139" s="405"/>
      <c r="K2139" s="405"/>
      <c r="L2139" s="405"/>
      <c r="M2139" s="405"/>
      <c r="N2139" s="405"/>
      <c r="O2139" s="405"/>
      <c r="P2139" s="405"/>
      <c r="Q2139" s="405"/>
      <c r="R2139" s="405"/>
      <c r="S2139" s="405"/>
      <c r="T2139" s="405"/>
      <c r="U2139" s="405"/>
      <c r="V2139" s="405"/>
      <c r="W2139" s="405"/>
      <c r="X2139" s="405"/>
      <c r="Y2139" s="405"/>
      <c r="Z2139" s="405"/>
      <c r="AA2139" s="405"/>
      <c r="AB2139" s="405"/>
    </row>
    <row r="2140" ht="14.25" customHeight="1">
      <c r="A2140" s="405"/>
      <c r="B2140" s="405"/>
      <c r="C2140" s="405"/>
      <c r="D2140" s="405"/>
      <c r="E2140" s="405"/>
      <c r="F2140" s="583"/>
      <c r="G2140" s="583"/>
      <c r="H2140" s="405"/>
      <c r="I2140" s="405"/>
      <c r="J2140" s="405"/>
      <c r="K2140" s="405"/>
      <c r="L2140" s="405"/>
      <c r="M2140" s="405"/>
      <c r="N2140" s="405"/>
      <c r="O2140" s="405"/>
      <c r="P2140" s="405"/>
      <c r="Q2140" s="405"/>
      <c r="R2140" s="405"/>
      <c r="S2140" s="405"/>
      <c r="T2140" s="405"/>
      <c r="U2140" s="405"/>
      <c r="V2140" s="405"/>
      <c r="W2140" s="405"/>
      <c r="X2140" s="405"/>
      <c r="Y2140" s="405"/>
      <c r="Z2140" s="405"/>
      <c r="AA2140" s="405"/>
      <c r="AB2140" s="405"/>
    </row>
    <row r="2141" ht="14.25" customHeight="1">
      <c r="A2141" s="405"/>
      <c r="B2141" s="405"/>
      <c r="C2141" s="405"/>
      <c r="D2141" s="405"/>
      <c r="E2141" s="405"/>
      <c r="F2141" s="583"/>
      <c r="G2141" s="583"/>
      <c r="H2141" s="405"/>
      <c r="I2141" s="405"/>
      <c r="J2141" s="405"/>
      <c r="K2141" s="405"/>
      <c r="L2141" s="405"/>
      <c r="M2141" s="405"/>
      <c r="N2141" s="405"/>
      <c r="O2141" s="405"/>
      <c r="P2141" s="405"/>
      <c r="Q2141" s="405"/>
      <c r="R2141" s="405"/>
      <c r="S2141" s="405"/>
      <c r="T2141" s="405"/>
      <c r="U2141" s="405"/>
      <c r="V2141" s="405"/>
      <c r="W2141" s="405"/>
      <c r="X2141" s="405"/>
      <c r="Y2141" s="405"/>
      <c r="Z2141" s="405"/>
      <c r="AA2141" s="405"/>
      <c r="AB2141" s="405"/>
    </row>
    <row r="2142" ht="14.25" customHeight="1">
      <c r="A2142" s="405"/>
      <c r="B2142" s="405"/>
      <c r="C2142" s="405"/>
      <c r="D2142" s="405"/>
      <c r="E2142" s="405"/>
      <c r="F2142" s="583"/>
      <c r="G2142" s="583"/>
      <c r="H2142" s="405"/>
      <c r="I2142" s="405"/>
      <c r="J2142" s="405"/>
      <c r="K2142" s="405"/>
      <c r="L2142" s="405"/>
      <c r="M2142" s="405"/>
      <c r="N2142" s="405"/>
      <c r="O2142" s="405"/>
      <c r="P2142" s="405"/>
      <c r="Q2142" s="405"/>
      <c r="R2142" s="405"/>
      <c r="S2142" s="405"/>
      <c r="T2142" s="405"/>
      <c r="U2142" s="405"/>
      <c r="V2142" s="405"/>
      <c r="W2142" s="405"/>
      <c r="X2142" s="405"/>
      <c r="Y2142" s="405"/>
      <c r="Z2142" s="405"/>
      <c r="AA2142" s="405"/>
      <c r="AB2142" s="405"/>
    </row>
    <row r="2143" ht="14.25" customHeight="1">
      <c r="A2143" s="405"/>
      <c r="B2143" s="405"/>
      <c r="C2143" s="405"/>
      <c r="D2143" s="405"/>
      <c r="E2143" s="405"/>
      <c r="F2143" s="583"/>
      <c r="G2143" s="583"/>
      <c r="H2143" s="405"/>
      <c r="I2143" s="405"/>
      <c r="J2143" s="405"/>
      <c r="K2143" s="405"/>
      <c r="L2143" s="405"/>
      <c r="M2143" s="405"/>
      <c r="N2143" s="405"/>
      <c r="O2143" s="405"/>
      <c r="P2143" s="405"/>
      <c r="Q2143" s="405"/>
      <c r="R2143" s="405"/>
      <c r="S2143" s="405"/>
      <c r="T2143" s="405"/>
      <c r="U2143" s="405"/>
      <c r="V2143" s="405"/>
      <c r="W2143" s="405"/>
      <c r="X2143" s="405"/>
      <c r="Y2143" s="405"/>
      <c r="Z2143" s="405"/>
      <c r="AA2143" s="405"/>
      <c r="AB2143" s="405"/>
    </row>
    <row r="2144" ht="14.25" customHeight="1">
      <c r="A2144" s="405"/>
      <c r="B2144" s="405"/>
      <c r="C2144" s="405"/>
      <c r="D2144" s="405"/>
      <c r="E2144" s="405"/>
      <c r="F2144" s="583"/>
      <c r="G2144" s="583"/>
      <c r="H2144" s="405"/>
      <c r="I2144" s="405"/>
      <c r="J2144" s="405"/>
      <c r="K2144" s="405"/>
      <c r="L2144" s="405"/>
      <c r="M2144" s="405"/>
      <c r="N2144" s="405"/>
      <c r="O2144" s="405"/>
      <c r="P2144" s="405"/>
      <c r="Q2144" s="405"/>
      <c r="R2144" s="405"/>
      <c r="S2144" s="405"/>
      <c r="T2144" s="405"/>
      <c r="U2144" s="405"/>
      <c r="V2144" s="405"/>
      <c r="W2144" s="405"/>
      <c r="X2144" s="405"/>
      <c r="Y2144" s="405"/>
      <c r="Z2144" s="405"/>
      <c r="AA2144" s="405"/>
      <c r="AB2144" s="405"/>
    </row>
    <row r="2145" ht="14.25" customHeight="1">
      <c r="A2145" s="405"/>
      <c r="B2145" s="405"/>
      <c r="C2145" s="405"/>
      <c r="D2145" s="405"/>
      <c r="E2145" s="405"/>
      <c r="F2145" s="583"/>
      <c r="G2145" s="583"/>
      <c r="H2145" s="405"/>
      <c r="I2145" s="405"/>
      <c r="J2145" s="405"/>
      <c r="K2145" s="405"/>
      <c r="L2145" s="405"/>
      <c r="M2145" s="405"/>
      <c r="N2145" s="405"/>
      <c r="O2145" s="405"/>
      <c r="P2145" s="405"/>
      <c r="Q2145" s="405"/>
      <c r="R2145" s="405"/>
      <c r="S2145" s="405"/>
      <c r="T2145" s="405"/>
      <c r="U2145" s="405"/>
      <c r="V2145" s="405"/>
      <c r="W2145" s="405"/>
      <c r="X2145" s="405"/>
      <c r="Y2145" s="405"/>
      <c r="Z2145" s="405"/>
      <c r="AA2145" s="405"/>
      <c r="AB2145" s="405"/>
    </row>
    <row r="2146" ht="14.25" customHeight="1">
      <c r="A2146" s="405"/>
      <c r="B2146" s="405"/>
      <c r="C2146" s="405"/>
      <c r="D2146" s="405"/>
      <c r="E2146" s="405"/>
      <c r="F2146" s="583"/>
      <c r="G2146" s="583"/>
      <c r="H2146" s="405"/>
      <c r="I2146" s="405"/>
      <c r="J2146" s="405"/>
      <c r="K2146" s="405"/>
      <c r="L2146" s="405"/>
      <c r="M2146" s="405"/>
      <c r="N2146" s="405"/>
      <c r="O2146" s="405"/>
      <c r="P2146" s="405"/>
      <c r="Q2146" s="405"/>
      <c r="R2146" s="405"/>
      <c r="S2146" s="405"/>
      <c r="T2146" s="405"/>
      <c r="U2146" s="405"/>
      <c r="V2146" s="405"/>
      <c r="W2146" s="405"/>
      <c r="X2146" s="405"/>
      <c r="Y2146" s="405"/>
      <c r="Z2146" s="405"/>
      <c r="AA2146" s="405"/>
      <c r="AB2146" s="405"/>
    </row>
    <row r="2147" ht="14.25" customHeight="1">
      <c r="A2147" s="405"/>
      <c r="B2147" s="405"/>
      <c r="C2147" s="405"/>
      <c r="D2147" s="405"/>
      <c r="E2147" s="405"/>
      <c r="F2147" s="583"/>
      <c r="G2147" s="583"/>
      <c r="H2147" s="405"/>
      <c r="I2147" s="405"/>
      <c r="J2147" s="405"/>
      <c r="K2147" s="405"/>
      <c r="L2147" s="405"/>
      <c r="M2147" s="405"/>
      <c r="N2147" s="405"/>
      <c r="O2147" s="405"/>
      <c r="P2147" s="405"/>
      <c r="Q2147" s="405"/>
      <c r="R2147" s="405"/>
      <c r="S2147" s="405"/>
      <c r="T2147" s="405"/>
      <c r="U2147" s="405"/>
      <c r="V2147" s="405"/>
      <c r="W2147" s="405"/>
      <c r="X2147" s="405"/>
      <c r="Y2147" s="405"/>
      <c r="Z2147" s="405"/>
      <c r="AA2147" s="405"/>
      <c r="AB2147" s="405"/>
    </row>
    <row r="2148" ht="14.25" customHeight="1">
      <c r="A2148" s="405"/>
      <c r="B2148" s="405"/>
      <c r="C2148" s="405"/>
      <c r="D2148" s="405"/>
      <c r="E2148" s="405"/>
      <c r="F2148" s="583"/>
      <c r="G2148" s="583"/>
      <c r="H2148" s="405"/>
      <c r="I2148" s="405"/>
      <c r="J2148" s="405"/>
      <c r="K2148" s="405"/>
      <c r="L2148" s="405"/>
      <c r="M2148" s="405"/>
      <c r="N2148" s="405"/>
      <c r="O2148" s="405"/>
      <c r="P2148" s="405"/>
      <c r="Q2148" s="405"/>
      <c r="R2148" s="405"/>
      <c r="S2148" s="405"/>
      <c r="T2148" s="405"/>
      <c r="U2148" s="405"/>
      <c r="V2148" s="405"/>
      <c r="W2148" s="405"/>
      <c r="X2148" s="405"/>
      <c r="Y2148" s="405"/>
      <c r="Z2148" s="405"/>
      <c r="AA2148" s="405"/>
      <c r="AB2148" s="405"/>
    </row>
    <row r="2149" ht="14.25" customHeight="1">
      <c r="A2149" s="405"/>
      <c r="B2149" s="405"/>
      <c r="C2149" s="405"/>
      <c r="D2149" s="405"/>
      <c r="E2149" s="405"/>
      <c r="F2149" s="583"/>
      <c r="G2149" s="583"/>
      <c r="H2149" s="405"/>
      <c r="I2149" s="405"/>
      <c r="J2149" s="405"/>
      <c r="K2149" s="405"/>
      <c r="L2149" s="405"/>
      <c r="M2149" s="405"/>
      <c r="N2149" s="405"/>
      <c r="O2149" s="405"/>
      <c r="P2149" s="405"/>
      <c r="Q2149" s="405"/>
      <c r="R2149" s="405"/>
      <c r="S2149" s="405"/>
      <c r="T2149" s="405"/>
      <c r="U2149" s="405"/>
      <c r="V2149" s="405"/>
      <c r="W2149" s="405"/>
      <c r="X2149" s="405"/>
      <c r="Y2149" s="405"/>
      <c r="Z2149" s="405"/>
      <c r="AA2149" s="405"/>
      <c r="AB2149" s="405"/>
    </row>
    <row r="2150" ht="14.25" customHeight="1">
      <c r="A2150" s="405"/>
      <c r="B2150" s="405"/>
      <c r="C2150" s="405"/>
      <c r="D2150" s="405"/>
      <c r="E2150" s="405"/>
      <c r="F2150" s="583"/>
      <c r="G2150" s="583"/>
      <c r="H2150" s="405"/>
      <c r="I2150" s="405"/>
      <c r="J2150" s="405"/>
      <c r="K2150" s="405"/>
      <c r="L2150" s="405"/>
      <c r="M2150" s="405"/>
      <c r="N2150" s="405"/>
      <c r="O2150" s="405"/>
      <c r="P2150" s="405"/>
      <c r="Q2150" s="405"/>
      <c r="R2150" s="405"/>
      <c r="S2150" s="405"/>
      <c r="T2150" s="405"/>
      <c r="U2150" s="405"/>
      <c r="V2150" s="405"/>
      <c r="W2150" s="405"/>
      <c r="X2150" s="405"/>
      <c r="Y2150" s="405"/>
      <c r="Z2150" s="405"/>
      <c r="AA2150" s="405"/>
      <c r="AB2150" s="405"/>
    </row>
    <row r="2151" ht="14.25" customHeight="1">
      <c r="A2151" s="405"/>
      <c r="B2151" s="405"/>
      <c r="C2151" s="405"/>
      <c r="D2151" s="405"/>
      <c r="E2151" s="405"/>
      <c r="F2151" s="583"/>
      <c r="G2151" s="583"/>
      <c r="H2151" s="405"/>
      <c r="I2151" s="405"/>
      <c r="J2151" s="405"/>
      <c r="K2151" s="405"/>
      <c r="L2151" s="405"/>
      <c r="M2151" s="405"/>
      <c r="N2151" s="405"/>
      <c r="O2151" s="405"/>
      <c r="P2151" s="405"/>
      <c r="Q2151" s="405"/>
      <c r="R2151" s="405"/>
      <c r="S2151" s="405"/>
      <c r="T2151" s="405"/>
      <c r="U2151" s="405"/>
      <c r="V2151" s="405"/>
      <c r="W2151" s="405"/>
      <c r="X2151" s="405"/>
      <c r="Y2151" s="405"/>
      <c r="Z2151" s="405"/>
      <c r="AA2151" s="405"/>
      <c r="AB2151" s="405"/>
    </row>
    <row r="2152" ht="14.25" customHeight="1">
      <c r="A2152" s="405"/>
      <c r="B2152" s="405"/>
      <c r="C2152" s="405"/>
      <c r="D2152" s="405"/>
      <c r="E2152" s="405"/>
      <c r="F2152" s="583"/>
      <c r="G2152" s="583"/>
      <c r="H2152" s="405"/>
      <c r="I2152" s="405"/>
      <c r="J2152" s="405"/>
      <c r="K2152" s="405"/>
      <c r="L2152" s="405"/>
      <c r="M2152" s="405"/>
      <c r="N2152" s="405"/>
      <c r="O2152" s="405"/>
      <c r="P2152" s="405"/>
      <c r="Q2152" s="405"/>
      <c r="R2152" s="405"/>
      <c r="S2152" s="405"/>
      <c r="T2152" s="405"/>
      <c r="U2152" s="405"/>
      <c r="V2152" s="405"/>
      <c r="W2152" s="405"/>
      <c r="X2152" s="405"/>
      <c r="Y2152" s="405"/>
      <c r="Z2152" s="405"/>
      <c r="AA2152" s="405"/>
      <c r="AB2152" s="405"/>
    </row>
    <row r="2153" ht="14.25" customHeight="1">
      <c r="A2153" s="405"/>
      <c r="B2153" s="405"/>
      <c r="C2153" s="405"/>
      <c r="D2153" s="405"/>
      <c r="E2153" s="405"/>
      <c r="F2153" s="583"/>
      <c r="G2153" s="583"/>
      <c r="H2153" s="405"/>
      <c r="I2153" s="405"/>
      <c r="J2153" s="405"/>
      <c r="K2153" s="405"/>
      <c r="L2153" s="405"/>
      <c r="M2153" s="405"/>
      <c r="N2153" s="405"/>
      <c r="O2153" s="405"/>
      <c r="P2153" s="405"/>
      <c r="Q2153" s="405"/>
      <c r="R2153" s="405"/>
      <c r="S2153" s="405"/>
      <c r="T2153" s="405"/>
      <c r="U2153" s="405"/>
      <c r="V2153" s="405"/>
      <c r="W2153" s="405"/>
      <c r="X2153" s="405"/>
      <c r="Y2153" s="405"/>
      <c r="Z2153" s="405"/>
      <c r="AA2153" s="405"/>
      <c r="AB2153" s="405"/>
    </row>
    <row r="2154" ht="14.25" customHeight="1">
      <c r="A2154" s="405"/>
      <c r="B2154" s="405"/>
      <c r="C2154" s="405"/>
      <c r="D2154" s="405"/>
      <c r="E2154" s="405"/>
      <c r="F2154" s="583"/>
      <c r="G2154" s="583"/>
      <c r="H2154" s="405"/>
      <c r="I2154" s="405"/>
      <c r="J2154" s="405"/>
      <c r="K2154" s="405"/>
      <c r="L2154" s="405"/>
      <c r="M2154" s="405"/>
      <c r="N2154" s="405"/>
      <c r="O2154" s="405"/>
      <c r="P2154" s="405"/>
      <c r="Q2154" s="405"/>
      <c r="R2154" s="405"/>
      <c r="S2154" s="405"/>
      <c r="T2154" s="405"/>
      <c r="U2154" s="405"/>
      <c r="V2154" s="405"/>
      <c r="W2154" s="405"/>
      <c r="X2154" s="405"/>
      <c r="Y2154" s="405"/>
      <c r="Z2154" s="405"/>
      <c r="AA2154" s="405"/>
      <c r="AB2154" s="405"/>
    </row>
    <row r="2155" ht="14.25" customHeight="1">
      <c r="A2155" s="405"/>
      <c r="B2155" s="405"/>
      <c r="C2155" s="405"/>
      <c r="D2155" s="405"/>
      <c r="E2155" s="405"/>
      <c r="F2155" s="583"/>
      <c r="G2155" s="583"/>
      <c r="H2155" s="405"/>
      <c r="I2155" s="405"/>
      <c r="J2155" s="405"/>
      <c r="K2155" s="405"/>
      <c r="L2155" s="405"/>
      <c r="M2155" s="405"/>
      <c r="N2155" s="405"/>
      <c r="O2155" s="405"/>
      <c r="P2155" s="405"/>
      <c r="Q2155" s="405"/>
      <c r="R2155" s="405"/>
      <c r="S2155" s="405"/>
      <c r="T2155" s="405"/>
      <c r="U2155" s="405"/>
      <c r="V2155" s="405"/>
      <c r="W2155" s="405"/>
      <c r="X2155" s="405"/>
      <c r="Y2155" s="405"/>
      <c r="Z2155" s="405"/>
      <c r="AA2155" s="405"/>
      <c r="AB2155" s="405"/>
    </row>
    <row r="2156" ht="14.25" customHeight="1">
      <c r="A2156" s="405"/>
      <c r="B2156" s="405"/>
      <c r="C2156" s="405"/>
      <c r="D2156" s="405"/>
      <c r="E2156" s="405"/>
      <c r="F2156" s="583"/>
      <c r="G2156" s="583"/>
      <c r="H2156" s="405"/>
      <c r="I2156" s="405"/>
      <c r="J2156" s="405"/>
      <c r="K2156" s="405"/>
      <c r="L2156" s="405"/>
      <c r="M2156" s="405"/>
      <c r="N2156" s="405"/>
      <c r="O2156" s="405"/>
      <c r="P2156" s="405"/>
      <c r="Q2156" s="405"/>
      <c r="R2156" s="405"/>
      <c r="S2156" s="405"/>
      <c r="T2156" s="405"/>
      <c r="U2156" s="405"/>
      <c r="V2156" s="405"/>
      <c r="W2156" s="405"/>
      <c r="X2156" s="405"/>
      <c r="Y2156" s="405"/>
      <c r="Z2156" s="405"/>
      <c r="AA2156" s="405"/>
      <c r="AB2156" s="405"/>
    </row>
    <row r="2157" ht="14.25" customHeight="1">
      <c r="A2157" s="405"/>
      <c r="B2157" s="405"/>
      <c r="C2157" s="405"/>
      <c r="D2157" s="405"/>
      <c r="E2157" s="405"/>
      <c r="F2157" s="583"/>
      <c r="G2157" s="583"/>
      <c r="H2157" s="405"/>
      <c r="I2157" s="405"/>
      <c r="J2157" s="405"/>
      <c r="K2157" s="405"/>
      <c r="L2157" s="405"/>
      <c r="M2157" s="405"/>
      <c r="N2157" s="405"/>
      <c r="O2157" s="405"/>
      <c r="P2157" s="405"/>
      <c r="Q2157" s="405"/>
      <c r="R2157" s="405"/>
      <c r="S2157" s="405"/>
      <c r="T2157" s="405"/>
      <c r="U2157" s="405"/>
      <c r="V2157" s="405"/>
      <c r="W2157" s="405"/>
      <c r="X2157" s="405"/>
      <c r="Y2157" s="405"/>
      <c r="Z2157" s="405"/>
      <c r="AA2157" s="405"/>
      <c r="AB2157" s="405"/>
    </row>
    <row r="2158" ht="14.25" customHeight="1">
      <c r="A2158" s="405"/>
      <c r="B2158" s="405"/>
      <c r="C2158" s="405"/>
      <c r="D2158" s="405"/>
      <c r="E2158" s="405"/>
      <c r="F2158" s="583"/>
      <c r="G2158" s="583"/>
      <c r="H2158" s="405"/>
      <c r="I2158" s="405"/>
      <c r="J2158" s="405"/>
      <c r="K2158" s="405"/>
      <c r="L2158" s="405"/>
      <c r="M2158" s="405"/>
      <c r="N2158" s="405"/>
      <c r="O2158" s="405"/>
      <c r="P2158" s="405"/>
      <c r="Q2158" s="405"/>
      <c r="R2158" s="405"/>
      <c r="S2158" s="405"/>
      <c r="T2158" s="405"/>
      <c r="U2158" s="405"/>
      <c r="V2158" s="405"/>
      <c r="W2158" s="405"/>
      <c r="X2158" s="405"/>
      <c r="Y2158" s="405"/>
      <c r="Z2158" s="405"/>
      <c r="AA2158" s="405"/>
      <c r="AB2158" s="405"/>
    </row>
    <row r="2159" ht="14.25" customHeight="1">
      <c r="A2159" s="405"/>
      <c r="B2159" s="405"/>
      <c r="C2159" s="405"/>
      <c r="D2159" s="405"/>
      <c r="E2159" s="405"/>
      <c r="F2159" s="583"/>
      <c r="G2159" s="583"/>
      <c r="H2159" s="405"/>
      <c r="I2159" s="405"/>
      <c r="J2159" s="405"/>
      <c r="K2159" s="405"/>
      <c r="L2159" s="405"/>
      <c r="M2159" s="405"/>
      <c r="N2159" s="405"/>
      <c r="O2159" s="405"/>
      <c r="P2159" s="405"/>
      <c r="Q2159" s="405"/>
      <c r="R2159" s="405"/>
      <c r="S2159" s="405"/>
      <c r="T2159" s="405"/>
      <c r="U2159" s="405"/>
      <c r="V2159" s="405"/>
      <c r="W2159" s="405"/>
      <c r="X2159" s="405"/>
      <c r="Y2159" s="405"/>
      <c r="Z2159" s="405"/>
      <c r="AA2159" s="405"/>
      <c r="AB2159" s="405"/>
    </row>
    <row r="2160" ht="14.25" customHeight="1">
      <c r="A2160" s="405"/>
      <c r="B2160" s="405"/>
      <c r="C2160" s="405"/>
      <c r="D2160" s="405"/>
      <c r="E2160" s="405"/>
      <c r="F2160" s="583"/>
      <c r="G2160" s="583"/>
      <c r="H2160" s="405"/>
      <c r="I2160" s="405"/>
      <c r="J2160" s="405"/>
      <c r="K2160" s="405"/>
      <c r="L2160" s="405"/>
      <c r="M2160" s="405"/>
      <c r="N2160" s="405"/>
      <c r="O2160" s="405"/>
      <c r="P2160" s="405"/>
      <c r="Q2160" s="405"/>
      <c r="R2160" s="405"/>
      <c r="S2160" s="405"/>
      <c r="T2160" s="405"/>
      <c r="U2160" s="405"/>
      <c r="V2160" s="405"/>
      <c r="W2160" s="405"/>
      <c r="X2160" s="405"/>
      <c r="Y2160" s="405"/>
      <c r="Z2160" s="405"/>
      <c r="AA2160" s="405"/>
      <c r="AB2160" s="405"/>
    </row>
    <row r="2161" ht="14.25" customHeight="1">
      <c r="A2161" s="405"/>
      <c r="B2161" s="405"/>
      <c r="C2161" s="405"/>
      <c r="D2161" s="405"/>
      <c r="E2161" s="405"/>
      <c r="F2161" s="583"/>
      <c r="G2161" s="583"/>
      <c r="H2161" s="405"/>
      <c r="I2161" s="405"/>
      <c r="J2161" s="405"/>
      <c r="K2161" s="405"/>
      <c r="L2161" s="405"/>
      <c r="M2161" s="405"/>
      <c r="N2161" s="405"/>
      <c r="O2161" s="405"/>
      <c r="P2161" s="405"/>
      <c r="Q2161" s="405"/>
      <c r="R2161" s="405"/>
      <c r="S2161" s="405"/>
      <c r="T2161" s="405"/>
      <c r="U2161" s="405"/>
      <c r="V2161" s="405"/>
      <c r="W2161" s="405"/>
      <c r="X2161" s="405"/>
      <c r="Y2161" s="405"/>
      <c r="Z2161" s="405"/>
      <c r="AA2161" s="405"/>
      <c r="AB2161" s="405"/>
    </row>
    <row r="2162" ht="14.25" customHeight="1">
      <c r="A2162" s="405"/>
      <c r="B2162" s="405"/>
      <c r="C2162" s="405"/>
      <c r="D2162" s="405"/>
      <c r="E2162" s="405"/>
      <c r="F2162" s="583"/>
      <c r="G2162" s="583"/>
      <c r="H2162" s="405"/>
      <c r="I2162" s="405"/>
      <c r="J2162" s="405"/>
      <c r="K2162" s="405"/>
      <c r="L2162" s="405"/>
      <c r="M2162" s="405"/>
      <c r="N2162" s="405"/>
      <c r="O2162" s="405"/>
      <c r="P2162" s="405"/>
      <c r="Q2162" s="405"/>
      <c r="R2162" s="405"/>
      <c r="S2162" s="405"/>
      <c r="T2162" s="405"/>
      <c r="U2162" s="405"/>
      <c r="V2162" s="405"/>
      <c r="W2162" s="405"/>
      <c r="X2162" s="405"/>
      <c r="Y2162" s="405"/>
      <c r="Z2162" s="405"/>
      <c r="AA2162" s="405"/>
      <c r="AB2162" s="405"/>
    </row>
    <row r="2163" ht="14.25" customHeight="1">
      <c r="A2163" s="405"/>
      <c r="B2163" s="405"/>
      <c r="C2163" s="405"/>
      <c r="D2163" s="405"/>
      <c r="E2163" s="405"/>
      <c r="F2163" s="583"/>
      <c r="G2163" s="583"/>
      <c r="H2163" s="405"/>
      <c r="I2163" s="405"/>
      <c r="J2163" s="405"/>
      <c r="K2163" s="405"/>
      <c r="L2163" s="405"/>
      <c r="M2163" s="405"/>
      <c r="N2163" s="405"/>
      <c r="O2163" s="405"/>
      <c r="P2163" s="405"/>
      <c r="Q2163" s="405"/>
      <c r="R2163" s="405"/>
      <c r="S2163" s="405"/>
      <c r="T2163" s="405"/>
      <c r="U2163" s="405"/>
      <c r="V2163" s="405"/>
      <c r="W2163" s="405"/>
      <c r="X2163" s="405"/>
      <c r="Y2163" s="405"/>
      <c r="Z2163" s="405"/>
      <c r="AA2163" s="405"/>
      <c r="AB2163" s="405"/>
    </row>
    <row r="2164" ht="14.25" customHeight="1">
      <c r="A2164" s="405"/>
      <c r="B2164" s="405"/>
      <c r="C2164" s="405"/>
      <c r="D2164" s="405"/>
      <c r="E2164" s="405"/>
      <c r="F2164" s="583"/>
      <c r="G2164" s="583"/>
      <c r="H2164" s="405"/>
      <c r="I2164" s="405"/>
      <c r="J2164" s="405"/>
      <c r="K2164" s="405"/>
      <c r="L2164" s="405"/>
      <c r="M2164" s="405"/>
      <c r="N2164" s="405"/>
      <c r="O2164" s="405"/>
      <c r="P2164" s="405"/>
      <c r="Q2164" s="405"/>
      <c r="R2164" s="405"/>
      <c r="S2164" s="405"/>
      <c r="T2164" s="405"/>
      <c r="U2164" s="405"/>
      <c r="V2164" s="405"/>
      <c r="W2164" s="405"/>
      <c r="X2164" s="405"/>
      <c r="Y2164" s="405"/>
      <c r="Z2164" s="405"/>
      <c r="AA2164" s="405"/>
      <c r="AB2164" s="405"/>
    </row>
    <row r="2165" ht="14.25" customHeight="1">
      <c r="A2165" s="405"/>
      <c r="B2165" s="405"/>
      <c r="C2165" s="405"/>
      <c r="D2165" s="405"/>
      <c r="E2165" s="405"/>
      <c r="F2165" s="583"/>
      <c r="G2165" s="583"/>
      <c r="H2165" s="405"/>
      <c r="I2165" s="405"/>
      <c r="J2165" s="405"/>
      <c r="K2165" s="405"/>
      <c r="L2165" s="405"/>
      <c r="M2165" s="405"/>
      <c r="N2165" s="405"/>
      <c r="O2165" s="405"/>
      <c r="P2165" s="405"/>
      <c r="Q2165" s="405"/>
      <c r="R2165" s="405"/>
      <c r="S2165" s="405"/>
      <c r="T2165" s="405"/>
      <c r="U2165" s="405"/>
      <c r="V2165" s="405"/>
      <c r="W2165" s="405"/>
      <c r="X2165" s="405"/>
      <c r="Y2165" s="405"/>
      <c r="Z2165" s="405"/>
      <c r="AA2165" s="405"/>
      <c r="AB2165" s="405"/>
    </row>
    <row r="2166" ht="14.25" customHeight="1">
      <c r="A2166" s="405"/>
      <c r="B2166" s="405"/>
      <c r="C2166" s="405"/>
      <c r="D2166" s="405"/>
      <c r="E2166" s="405"/>
      <c r="F2166" s="583"/>
      <c r="G2166" s="583"/>
      <c r="H2166" s="405"/>
      <c r="I2166" s="405"/>
      <c r="J2166" s="405"/>
      <c r="K2166" s="405"/>
      <c r="L2166" s="405"/>
      <c r="M2166" s="405"/>
      <c r="N2166" s="405"/>
      <c r="O2166" s="405"/>
      <c r="P2166" s="405"/>
      <c r="Q2166" s="405"/>
      <c r="R2166" s="405"/>
      <c r="S2166" s="405"/>
      <c r="T2166" s="405"/>
      <c r="U2166" s="405"/>
      <c r="V2166" s="405"/>
      <c r="W2166" s="405"/>
      <c r="X2166" s="405"/>
      <c r="Y2166" s="405"/>
      <c r="Z2166" s="405"/>
      <c r="AA2166" s="405"/>
      <c r="AB2166" s="405"/>
    </row>
    <row r="2167" ht="14.25" customHeight="1">
      <c r="A2167" s="405"/>
      <c r="B2167" s="405"/>
      <c r="C2167" s="405"/>
      <c r="D2167" s="405"/>
      <c r="E2167" s="405"/>
      <c r="F2167" s="583"/>
      <c r="G2167" s="583"/>
      <c r="H2167" s="405"/>
      <c r="I2167" s="405"/>
      <c r="J2167" s="405"/>
      <c r="K2167" s="405"/>
      <c r="L2167" s="405"/>
      <c r="M2167" s="405"/>
      <c r="N2167" s="405"/>
      <c r="O2167" s="405"/>
      <c r="P2167" s="405"/>
      <c r="Q2167" s="405"/>
      <c r="R2167" s="405"/>
      <c r="S2167" s="405"/>
      <c r="T2167" s="405"/>
      <c r="U2167" s="405"/>
      <c r="V2167" s="405"/>
      <c r="W2167" s="405"/>
      <c r="X2167" s="405"/>
      <c r="Y2167" s="405"/>
      <c r="Z2167" s="405"/>
      <c r="AA2167" s="405"/>
      <c r="AB2167" s="405"/>
    </row>
    <row r="2168" ht="14.25" customHeight="1">
      <c r="A2168" s="405"/>
      <c r="B2168" s="405"/>
      <c r="C2168" s="405"/>
      <c r="D2168" s="405"/>
      <c r="E2168" s="405"/>
      <c r="F2168" s="583"/>
      <c r="G2168" s="583"/>
      <c r="H2168" s="405"/>
      <c r="I2168" s="405"/>
      <c r="J2168" s="405"/>
      <c r="K2168" s="405"/>
      <c r="L2168" s="405"/>
      <c r="M2168" s="405"/>
      <c r="N2168" s="405"/>
      <c r="O2168" s="405"/>
      <c r="P2168" s="405"/>
      <c r="Q2168" s="405"/>
      <c r="R2168" s="405"/>
      <c r="S2168" s="405"/>
      <c r="T2168" s="405"/>
      <c r="U2168" s="405"/>
      <c r="V2168" s="405"/>
      <c r="W2168" s="405"/>
      <c r="X2168" s="405"/>
      <c r="Y2168" s="405"/>
      <c r="Z2168" s="405"/>
      <c r="AA2168" s="405"/>
      <c r="AB2168" s="405"/>
    </row>
    <row r="2169" ht="14.25" customHeight="1">
      <c r="A2169" s="405"/>
      <c r="B2169" s="405"/>
      <c r="C2169" s="405"/>
      <c r="D2169" s="405"/>
      <c r="E2169" s="405"/>
      <c r="F2169" s="583"/>
      <c r="G2169" s="583"/>
      <c r="H2169" s="405"/>
      <c r="I2169" s="405"/>
      <c r="J2169" s="405"/>
      <c r="K2169" s="405"/>
      <c r="L2169" s="405"/>
      <c r="M2169" s="405"/>
      <c r="N2169" s="405"/>
      <c r="O2169" s="405"/>
      <c r="P2169" s="405"/>
      <c r="Q2169" s="405"/>
      <c r="R2169" s="405"/>
      <c r="S2169" s="405"/>
      <c r="T2169" s="405"/>
      <c r="U2169" s="405"/>
      <c r="V2169" s="405"/>
      <c r="W2169" s="405"/>
      <c r="X2169" s="405"/>
      <c r="Y2169" s="405"/>
      <c r="Z2169" s="405"/>
      <c r="AA2169" s="405"/>
      <c r="AB2169" s="405"/>
    </row>
    <row r="2170" ht="14.25" customHeight="1">
      <c r="A2170" s="405"/>
      <c r="B2170" s="405"/>
      <c r="C2170" s="405"/>
      <c r="D2170" s="405"/>
      <c r="E2170" s="405"/>
      <c r="F2170" s="583"/>
      <c r="G2170" s="583"/>
      <c r="H2170" s="405"/>
      <c r="I2170" s="405"/>
      <c r="J2170" s="405"/>
      <c r="K2170" s="405"/>
      <c r="L2170" s="405"/>
      <c r="M2170" s="405"/>
      <c r="N2170" s="405"/>
      <c r="O2170" s="405"/>
      <c r="P2170" s="405"/>
      <c r="Q2170" s="405"/>
      <c r="R2170" s="405"/>
      <c r="S2170" s="405"/>
      <c r="T2170" s="405"/>
      <c r="U2170" s="405"/>
      <c r="V2170" s="405"/>
      <c r="W2170" s="405"/>
      <c r="X2170" s="405"/>
      <c r="Y2170" s="405"/>
      <c r="Z2170" s="405"/>
      <c r="AA2170" s="405"/>
      <c r="AB2170" s="405"/>
    </row>
    <row r="2171" ht="14.25" customHeight="1">
      <c r="A2171" s="405"/>
      <c r="B2171" s="405"/>
      <c r="C2171" s="405"/>
      <c r="D2171" s="405"/>
      <c r="E2171" s="405"/>
      <c r="F2171" s="583"/>
      <c r="G2171" s="583"/>
      <c r="H2171" s="405"/>
      <c r="I2171" s="405"/>
      <c r="J2171" s="405"/>
      <c r="K2171" s="405"/>
      <c r="L2171" s="405"/>
      <c r="M2171" s="405"/>
      <c r="N2171" s="405"/>
      <c r="O2171" s="405"/>
      <c r="P2171" s="405"/>
      <c r="Q2171" s="405"/>
      <c r="R2171" s="405"/>
      <c r="S2171" s="405"/>
      <c r="T2171" s="405"/>
      <c r="U2171" s="405"/>
      <c r="V2171" s="405"/>
      <c r="W2171" s="405"/>
      <c r="X2171" s="405"/>
      <c r="Y2171" s="405"/>
      <c r="Z2171" s="405"/>
      <c r="AA2171" s="405"/>
      <c r="AB2171" s="405"/>
    </row>
    <row r="2172" ht="14.25" customHeight="1">
      <c r="A2172" s="405"/>
      <c r="B2172" s="405"/>
      <c r="C2172" s="405"/>
      <c r="D2172" s="405"/>
      <c r="E2172" s="405"/>
      <c r="F2172" s="583"/>
      <c r="G2172" s="583"/>
      <c r="H2172" s="405"/>
      <c r="I2172" s="405"/>
      <c r="J2172" s="405"/>
      <c r="K2172" s="405"/>
      <c r="L2172" s="405"/>
      <c r="M2172" s="405"/>
      <c r="N2172" s="405"/>
      <c r="O2172" s="405"/>
      <c r="P2172" s="405"/>
      <c r="Q2172" s="405"/>
      <c r="R2172" s="405"/>
      <c r="S2172" s="405"/>
      <c r="T2172" s="405"/>
      <c r="U2172" s="405"/>
      <c r="V2172" s="405"/>
      <c r="W2172" s="405"/>
      <c r="X2172" s="405"/>
      <c r="Y2172" s="405"/>
      <c r="Z2172" s="405"/>
      <c r="AA2172" s="405"/>
      <c r="AB2172" s="405"/>
    </row>
    <row r="2173" ht="14.25" customHeight="1">
      <c r="A2173" s="405"/>
      <c r="B2173" s="405"/>
      <c r="C2173" s="405"/>
      <c r="D2173" s="405"/>
      <c r="E2173" s="405"/>
      <c r="F2173" s="583"/>
      <c r="G2173" s="583"/>
      <c r="H2173" s="405"/>
      <c r="I2173" s="405"/>
      <c r="J2173" s="405"/>
      <c r="K2173" s="405"/>
      <c r="L2173" s="405"/>
      <c r="M2173" s="405"/>
      <c r="N2173" s="405"/>
      <c r="O2173" s="405"/>
      <c r="P2173" s="405"/>
      <c r="Q2173" s="405"/>
      <c r="R2173" s="405"/>
      <c r="S2173" s="405"/>
      <c r="T2173" s="405"/>
      <c r="U2173" s="405"/>
      <c r="V2173" s="405"/>
      <c r="W2173" s="405"/>
      <c r="X2173" s="405"/>
      <c r="Y2173" s="405"/>
      <c r="Z2173" s="405"/>
      <c r="AA2173" s="405"/>
      <c r="AB2173" s="405"/>
    </row>
    <row r="2174" ht="14.25" customHeight="1">
      <c r="A2174" s="405"/>
      <c r="B2174" s="405"/>
      <c r="C2174" s="405"/>
      <c r="D2174" s="405"/>
      <c r="E2174" s="405"/>
      <c r="F2174" s="583"/>
      <c r="G2174" s="583"/>
      <c r="H2174" s="405"/>
      <c r="I2174" s="405"/>
      <c r="J2174" s="405"/>
      <c r="K2174" s="405"/>
      <c r="L2174" s="405"/>
      <c r="M2174" s="405"/>
      <c r="N2174" s="405"/>
      <c r="O2174" s="405"/>
      <c r="P2174" s="405"/>
      <c r="Q2174" s="405"/>
      <c r="R2174" s="405"/>
      <c r="S2174" s="405"/>
      <c r="T2174" s="405"/>
      <c r="U2174" s="405"/>
      <c r="V2174" s="405"/>
      <c r="W2174" s="405"/>
      <c r="X2174" s="405"/>
      <c r="Y2174" s="405"/>
      <c r="Z2174" s="405"/>
      <c r="AA2174" s="405"/>
      <c r="AB2174" s="405"/>
    </row>
    <row r="2175" ht="14.25" customHeight="1">
      <c r="A2175" s="405"/>
      <c r="B2175" s="405"/>
      <c r="C2175" s="405"/>
      <c r="D2175" s="405"/>
      <c r="E2175" s="405"/>
      <c r="F2175" s="583"/>
      <c r="G2175" s="583"/>
      <c r="H2175" s="405"/>
      <c r="I2175" s="405"/>
      <c r="J2175" s="405"/>
      <c r="K2175" s="405"/>
      <c r="L2175" s="405"/>
      <c r="M2175" s="405"/>
      <c r="N2175" s="405"/>
      <c r="O2175" s="405"/>
      <c r="P2175" s="405"/>
      <c r="Q2175" s="405"/>
      <c r="R2175" s="405"/>
      <c r="S2175" s="405"/>
      <c r="T2175" s="405"/>
      <c r="U2175" s="405"/>
      <c r="V2175" s="405"/>
      <c r="W2175" s="405"/>
      <c r="X2175" s="405"/>
      <c r="Y2175" s="405"/>
      <c r="Z2175" s="405"/>
      <c r="AA2175" s="405"/>
      <c r="AB2175" s="405"/>
    </row>
    <row r="2176" ht="14.25" customHeight="1">
      <c r="A2176" s="405"/>
      <c r="B2176" s="405"/>
      <c r="C2176" s="405"/>
      <c r="D2176" s="405"/>
      <c r="E2176" s="405"/>
      <c r="F2176" s="583"/>
      <c r="G2176" s="583"/>
      <c r="H2176" s="405"/>
      <c r="I2176" s="405"/>
      <c r="J2176" s="405"/>
      <c r="K2176" s="405"/>
      <c r="L2176" s="405"/>
      <c r="M2176" s="405"/>
      <c r="N2176" s="405"/>
      <c r="O2176" s="405"/>
      <c r="P2176" s="405"/>
      <c r="Q2176" s="405"/>
      <c r="R2176" s="405"/>
      <c r="S2176" s="405"/>
      <c r="T2176" s="405"/>
      <c r="U2176" s="405"/>
      <c r="V2176" s="405"/>
      <c r="W2176" s="405"/>
      <c r="X2176" s="405"/>
      <c r="Y2176" s="405"/>
      <c r="Z2176" s="405"/>
      <c r="AA2176" s="405"/>
      <c r="AB2176" s="405"/>
    </row>
    <row r="2177" ht="14.25" customHeight="1">
      <c r="A2177" s="405"/>
      <c r="B2177" s="405"/>
      <c r="C2177" s="405"/>
      <c r="D2177" s="405"/>
      <c r="E2177" s="405"/>
      <c r="F2177" s="583"/>
      <c r="G2177" s="583"/>
      <c r="H2177" s="405"/>
      <c r="I2177" s="405"/>
      <c r="J2177" s="405"/>
      <c r="K2177" s="405"/>
      <c r="L2177" s="405"/>
      <c r="M2177" s="405"/>
      <c r="N2177" s="405"/>
      <c r="O2177" s="405"/>
      <c r="P2177" s="405"/>
      <c r="Q2177" s="405"/>
      <c r="R2177" s="405"/>
      <c r="S2177" s="405"/>
      <c r="T2177" s="405"/>
      <c r="U2177" s="405"/>
      <c r="V2177" s="405"/>
      <c r="W2177" s="405"/>
      <c r="X2177" s="405"/>
      <c r="Y2177" s="405"/>
      <c r="Z2177" s="405"/>
      <c r="AA2177" s="405"/>
      <c r="AB2177" s="405"/>
    </row>
    <row r="2178" ht="14.25" customHeight="1">
      <c r="A2178" s="405"/>
      <c r="B2178" s="405"/>
      <c r="C2178" s="405"/>
      <c r="D2178" s="405"/>
      <c r="E2178" s="405"/>
      <c r="F2178" s="583"/>
      <c r="G2178" s="583"/>
      <c r="H2178" s="405"/>
      <c r="I2178" s="405"/>
      <c r="J2178" s="405"/>
      <c r="K2178" s="405"/>
      <c r="L2178" s="405"/>
      <c r="M2178" s="405"/>
      <c r="N2178" s="405"/>
      <c r="O2178" s="405"/>
      <c r="P2178" s="405"/>
      <c r="Q2178" s="405"/>
      <c r="R2178" s="405"/>
      <c r="S2178" s="405"/>
      <c r="T2178" s="405"/>
      <c r="U2178" s="405"/>
      <c r="V2178" s="405"/>
      <c r="W2178" s="405"/>
      <c r="X2178" s="405"/>
      <c r="Y2178" s="405"/>
      <c r="Z2178" s="405"/>
      <c r="AA2178" s="405"/>
      <c r="AB2178" s="405"/>
    </row>
    <row r="2179" ht="14.25" customHeight="1">
      <c r="A2179" s="405"/>
      <c r="B2179" s="405"/>
      <c r="C2179" s="405"/>
      <c r="D2179" s="405"/>
      <c r="E2179" s="405"/>
      <c r="F2179" s="583"/>
      <c r="G2179" s="583"/>
      <c r="H2179" s="405"/>
      <c r="I2179" s="405"/>
      <c r="J2179" s="405"/>
      <c r="K2179" s="405"/>
      <c r="L2179" s="405"/>
      <c r="M2179" s="405"/>
      <c r="N2179" s="405"/>
      <c r="O2179" s="405"/>
      <c r="P2179" s="405"/>
      <c r="Q2179" s="405"/>
      <c r="R2179" s="405"/>
      <c r="S2179" s="405"/>
      <c r="T2179" s="405"/>
      <c r="U2179" s="405"/>
      <c r="V2179" s="405"/>
      <c r="W2179" s="405"/>
      <c r="X2179" s="405"/>
      <c r="Y2179" s="405"/>
      <c r="Z2179" s="405"/>
      <c r="AA2179" s="405"/>
      <c r="AB2179" s="405"/>
    </row>
    <row r="2180" ht="14.25" customHeight="1">
      <c r="A2180" s="405"/>
      <c r="B2180" s="405"/>
      <c r="C2180" s="405"/>
      <c r="D2180" s="405"/>
      <c r="E2180" s="405"/>
      <c r="F2180" s="583"/>
      <c r="G2180" s="583"/>
      <c r="H2180" s="405"/>
      <c r="I2180" s="405"/>
      <c r="J2180" s="405"/>
      <c r="K2180" s="405"/>
      <c r="L2180" s="405"/>
      <c r="M2180" s="405"/>
      <c r="N2180" s="405"/>
      <c r="O2180" s="405"/>
      <c r="P2180" s="405"/>
      <c r="Q2180" s="405"/>
      <c r="R2180" s="405"/>
      <c r="S2180" s="405"/>
      <c r="T2180" s="405"/>
      <c r="U2180" s="405"/>
      <c r="V2180" s="405"/>
      <c r="W2180" s="405"/>
      <c r="X2180" s="405"/>
      <c r="Y2180" s="405"/>
      <c r="Z2180" s="405"/>
      <c r="AA2180" s="405"/>
      <c r="AB2180" s="405"/>
    </row>
    <row r="2181" ht="14.25" customHeight="1">
      <c r="A2181" s="405"/>
      <c r="B2181" s="405"/>
      <c r="C2181" s="405"/>
      <c r="D2181" s="405"/>
      <c r="E2181" s="405"/>
      <c r="F2181" s="583"/>
      <c r="G2181" s="583"/>
      <c r="H2181" s="405"/>
      <c r="I2181" s="405"/>
      <c r="J2181" s="405"/>
      <c r="K2181" s="405"/>
      <c r="L2181" s="405"/>
      <c r="M2181" s="405"/>
      <c r="N2181" s="405"/>
      <c r="O2181" s="405"/>
      <c r="P2181" s="405"/>
      <c r="Q2181" s="405"/>
      <c r="R2181" s="405"/>
      <c r="S2181" s="405"/>
      <c r="T2181" s="405"/>
      <c r="U2181" s="405"/>
      <c r="V2181" s="405"/>
      <c r="W2181" s="405"/>
      <c r="X2181" s="405"/>
      <c r="Y2181" s="405"/>
      <c r="Z2181" s="405"/>
      <c r="AA2181" s="405"/>
      <c r="AB2181" s="405"/>
    </row>
    <row r="2182" ht="14.25" customHeight="1">
      <c r="A2182" s="405"/>
      <c r="B2182" s="405"/>
      <c r="C2182" s="405"/>
      <c r="D2182" s="405"/>
      <c r="E2182" s="405"/>
      <c r="F2182" s="583"/>
      <c r="G2182" s="583"/>
      <c r="H2182" s="405"/>
      <c r="I2182" s="405"/>
      <c r="J2182" s="405"/>
      <c r="K2182" s="405"/>
      <c r="L2182" s="405"/>
      <c r="M2182" s="405"/>
      <c r="N2182" s="405"/>
      <c r="O2182" s="405"/>
      <c r="P2182" s="405"/>
      <c r="Q2182" s="405"/>
      <c r="R2182" s="405"/>
      <c r="S2182" s="405"/>
      <c r="T2182" s="405"/>
      <c r="U2182" s="405"/>
      <c r="V2182" s="405"/>
      <c r="W2182" s="405"/>
      <c r="X2182" s="405"/>
      <c r="Y2182" s="405"/>
      <c r="Z2182" s="405"/>
      <c r="AA2182" s="405"/>
      <c r="AB2182" s="405"/>
    </row>
    <row r="2183" ht="14.25" customHeight="1">
      <c r="A2183" s="405"/>
      <c r="B2183" s="405"/>
      <c r="C2183" s="405"/>
      <c r="D2183" s="405"/>
      <c r="E2183" s="405"/>
      <c r="F2183" s="583"/>
      <c r="G2183" s="583"/>
      <c r="H2183" s="405"/>
      <c r="I2183" s="405"/>
      <c r="J2183" s="405"/>
      <c r="K2183" s="405"/>
      <c r="L2183" s="405"/>
      <c r="M2183" s="405"/>
      <c r="N2183" s="405"/>
      <c r="O2183" s="405"/>
      <c r="P2183" s="405"/>
      <c r="Q2183" s="405"/>
      <c r="R2183" s="405"/>
      <c r="S2183" s="405"/>
      <c r="T2183" s="405"/>
      <c r="U2183" s="405"/>
      <c r="V2183" s="405"/>
      <c r="W2183" s="405"/>
      <c r="X2183" s="405"/>
      <c r="Y2183" s="405"/>
      <c r="Z2183" s="405"/>
      <c r="AA2183" s="405"/>
      <c r="AB2183" s="405"/>
    </row>
    <row r="2184" ht="14.25" customHeight="1">
      <c r="A2184" s="405"/>
      <c r="B2184" s="405"/>
      <c r="C2184" s="405"/>
      <c r="D2184" s="405"/>
      <c r="E2184" s="405"/>
      <c r="F2184" s="583"/>
      <c r="G2184" s="583"/>
      <c r="H2184" s="405"/>
      <c r="I2184" s="405"/>
      <c r="J2184" s="405"/>
      <c r="K2184" s="405"/>
      <c r="L2184" s="405"/>
      <c r="M2184" s="405"/>
      <c r="N2184" s="405"/>
      <c r="O2184" s="405"/>
      <c r="P2184" s="405"/>
      <c r="Q2184" s="405"/>
      <c r="R2184" s="405"/>
      <c r="S2184" s="405"/>
      <c r="T2184" s="405"/>
      <c r="U2184" s="405"/>
      <c r="V2184" s="405"/>
      <c r="W2184" s="405"/>
      <c r="X2184" s="405"/>
      <c r="Y2184" s="405"/>
      <c r="Z2184" s="405"/>
      <c r="AA2184" s="405"/>
      <c r="AB2184" s="405"/>
    </row>
    <row r="2185" ht="14.25" customHeight="1">
      <c r="A2185" s="405"/>
      <c r="B2185" s="405"/>
      <c r="C2185" s="405"/>
      <c r="D2185" s="405"/>
      <c r="E2185" s="405"/>
      <c r="F2185" s="583"/>
      <c r="G2185" s="583"/>
      <c r="H2185" s="405"/>
      <c r="I2185" s="405"/>
      <c r="J2185" s="405"/>
      <c r="K2185" s="405"/>
      <c r="L2185" s="405"/>
      <c r="M2185" s="405"/>
      <c r="N2185" s="405"/>
      <c r="O2185" s="405"/>
      <c r="P2185" s="405"/>
      <c r="Q2185" s="405"/>
      <c r="R2185" s="405"/>
      <c r="S2185" s="405"/>
      <c r="T2185" s="405"/>
      <c r="U2185" s="405"/>
      <c r="V2185" s="405"/>
      <c r="W2185" s="405"/>
      <c r="X2185" s="405"/>
      <c r="Y2185" s="405"/>
      <c r="Z2185" s="405"/>
      <c r="AA2185" s="405"/>
      <c r="AB2185" s="405"/>
    </row>
    <row r="2186" ht="14.25" customHeight="1">
      <c r="A2186" s="405"/>
      <c r="B2186" s="405"/>
      <c r="C2186" s="405"/>
      <c r="D2186" s="405"/>
      <c r="E2186" s="405"/>
      <c r="F2186" s="583"/>
      <c r="G2186" s="583"/>
      <c r="H2186" s="405"/>
      <c r="I2186" s="405"/>
      <c r="J2186" s="405"/>
      <c r="K2186" s="405"/>
      <c r="L2186" s="405"/>
      <c r="M2186" s="405"/>
      <c r="N2186" s="405"/>
      <c r="O2186" s="405"/>
      <c r="P2186" s="405"/>
      <c r="Q2186" s="405"/>
      <c r="R2186" s="405"/>
      <c r="S2186" s="405"/>
      <c r="T2186" s="405"/>
      <c r="U2186" s="405"/>
      <c r="V2186" s="405"/>
      <c r="W2186" s="405"/>
      <c r="X2186" s="405"/>
      <c r="Y2186" s="405"/>
      <c r="Z2186" s="405"/>
      <c r="AA2186" s="405"/>
      <c r="AB2186" s="405"/>
    </row>
    <row r="2187" ht="14.25" customHeight="1">
      <c r="A2187" s="405"/>
      <c r="B2187" s="405"/>
      <c r="C2187" s="405"/>
      <c r="D2187" s="405"/>
      <c r="E2187" s="405"/>
      <c r="F2187" s="583"/>
      <c r="G2187" s="583"/>
      <c r="H2187" s="405"/>
      <c r="I2187" s="405"/>
      <c r="J2187" s="405"/>
      <c r="K2187" s="405"/>
      <c r="L2187" s="405"/>
      <c r="M2187" s="405"/>
      <c r="N2187" s="405"/>
      <c r="O2187" s="405"/>
      <c r="P2187" s="405"/>
      <c r="Q2187" s="405"/>
      <c r="R2187" s="405"/>
      <c r="S2187" s="405"/>
      <c r="T2187" s="405"/>
      <c r="U2187" s="405"/>
      <c r="V2187" s="405"/>
      <c r="W2187" s="405"/>
      <c r="X2187" s="405"/>
      <c r="Y2187" s="405"/>
      <c r="Z2187" s="405"/>
      <c r="AA2187" s="405"/>
      <c r="AB2187" s="405"/>
    </row>
    <row r="2188" ht="14.25" customHeight="1">
      <c r="A2188" s="405"/>
      <c r="B2188" s="405"/>
      <c r="C2188" s="405"/>
      <c r="D2188" s="405"/>
      <c r="E2188" s="405"/>
      <c r="F2188" s="583"/>
      <c r="G2188" s="583"/>
      <c r="H2188" s="405"/>
      <c r="I2188" s="405"/>
      <c r="J2188" s="405"/>
      <c r="K2188" s="405"/>
      <c r="L2188" s="405"/>
      <c r="M2188" s="405"/>
      <c r="N2188" s="405"/>
      <c r="O2188" s="405"/>
      <c r="P2188" s="405"/>
      <c r="Q2188" s="405"/>
      <c r="R2188" s="405"/>
      <c r="S2188" s="405"/>
      <c r="T2188" s="405"/>
      <c r="U2188" s="405"/>
      <c r="V2188" s="405"/>
      <c r="W2188" s="405"/>
      <c r="X2188" s="405"/>
      <c r="Y2188" s="405"/>
      <c r="Z2188" s="405"/>
      <c r="AA2188" s="405"/>
      <c r="AB2188" s="405"/>
    </row>
    <row r="2189" ht="14.25" customHeight="1">
      <c r="A2189" s="405"/>
      <c r="B2189" s="405"/>
      <c r="C2189" s="405"/>
      <c r="D2189" s="405"/>
      <c r="E2189" s="405"/>
      <c r="F2189" s="583"/>
      <c r="G2189" s="583"/>
      <c r="H2189" s="405"/>
      <c r="I2189" s="405"/>
      <c r="J2189" s="405"/>
      <c r="K2189" s="405"/>
      <c r="L2189" s="405"/>
      <c r="M2189" s="405"/>
      <c r="N2189" s="405"/>
      <c r="O2189" s="405"/>
      <c r="P2189" s="405"/>
      <c r="Q2189" s="405"/>
      <c r="R2189" s="405"/>
      <c r="S2189" s="405"/>
      <c r="T2189" s="405"/>
      <c r="U2189" s="405"/>
      <c r="V2189" s="405"/>
      <c r="W2189" s="405"/>
      <c r="X2189" s="405"/>
      <c r="Y2189" s="405"/>
      <c r="Z2189" s="405"/>
      <c r="AA2189" s="405"/>
      <c r="AB2189" s="405"/>
    </row>
    <row r="2190" ht="14.25" customHeight="1">
      <c r="A2190" s="405"/>
      <c r="B2190" s="405"/>
      <c r="C2190" s="405"/>
      <c r="D2190" s="405"/>
      <c r="E2190" s="405"/>
      <c r="F2190" s="583"/>
      <c r="G2190" s="583"/>
      <c r="H2190" s="405"/>
      <c r="I2190" s="405"/>
      <c r="J2190" s="405"/>
      <c r="K2190" s="405"/>
      <c r="L2190" s="405"/>
      <c r="M2190" s="405"/>
      <c r="N2190" s="405"/>
      <c r="O2190" s="405"/>
      <c r="P2190" s="405"/>
      <c r="Q2190" s="405"/>
      <c r="R2190" s="405"/>
      <c r="S2190" s="405"/>
      <c r="T2190" s="405"/>
      <c r="U2190" s="405"/>
      <c r="V2190" s="405"/>
      <c r="W2190" s="405"/>
      <c r="X2190" s="405"/>
      <c r="Y2190" s="405"/>
      <c r="Z2190" s="405"/>
      <c r="AA2190" s="405"/>
      <c r="AB2190" s="405"/>
    </row>
    <row r="2191" ht="14.25" customHeight="1">
      <c r="A2191" s="405"/>
      <c r="B2191" s="405"/>
      <c r="C2191" s="405"/>
      <c r="D2191" s="405"/>
      <c r="E2191" s="405"/>
      <c r="F2191" s="583"/>
      <c r="G2191" s="583"/>
      <c r="H2191" s="405"/>
      <c r="I2191" s="405"/>
      <c r="J2191" s="405"/>
      <c r="K2191" s="405"/>
      <c r="L2191" s="405"/>
      <c r="M2191" s="405"/>
      <c r="N2191" s="405"/>
      <c r="O2191" s="405"/>
      <c r="P2191" s="405"/>
      <c r="Q2191" s="405"/>
      <c r="R2191" s="405"/>
      <c r="S2191" s="405"/>
      <c r="T2191" s="405"/>
      <c r="U2191" s="405"/>
      <c r="V2191" s="405"/>
      <c r="W2191" s="405"/>
      <c r="X2191" s="405"/>
      <c r="Y2191" s="405"/>
      <c r="Z2191" s="405"/>
      <c r="AA2191" s="405"/>
      <c r="AB2191" s="405"/>
    </row>
    <row r="2192" ht="14.25" customHeight="1">
      <c r="A2192" s="405"/>
      <c r="B2192" s="405"/>
      <c r="C2192" s="405"/>
      <c r="D2192" s="405"/>
      <c r="E2192" s="405"/>
      <c r="F2192" s="583"/>
      <c r="G2192" s="583"/>
      <c r="H2192" s="405"/>
      <c r="I2192" s="405"/>
      <c r="J2192" s="405"/>
      <c r="K2192" s="405"/>
      <c r="L2192" s="405"/>
      <c r="M2192" s="405"/>
      <c r="N2192" s="405"/>
      <c r="O2192" s="405"/>
      <c r="P2192" s="405"/>
      <c r="Q2192" s="405"/>
      <c r="R2192" s="405"/>
      <c r="S2192" s="405"/>
      <c r="T2192" s="405"/>
      <c r="U2192" s="405"/>
      <c r="V2192" s="405"/>
      <c r="W2192" s="405"/>
      <c r="X2192" s="405"/>
      <c r="Y2192" s="405"/>
      <c r="Z2192" s="405"/>
      <c r="AA2192" s="405"/>
      <c r="AB2192" s="405"/>
    </row>
    <row r="2193" ht="14.25" customHeight="1">
      <c r="A2193" s="405"/>
      <c r="B2193" s="405"/>
      <c r="C2193" s="405"/>
      <c r="D2193" s="405"/>
      <c r="E2193" s="405"/>
      <c r="F2193" s="583"/>
      <c r="G2193" s="583"/>
      <c r="H2193" s="405"/>
      <c r="I2193" s="405"/>
      <c r="J2193" s="405"/>
      <c r="K2193" s="405"/>
      <c r="L2193" s="405"/>
      <c r="M2193" s="405"/>
      <c r="N2193" s="405"/>
      <c r="O2193" s="405"/>
      <c r="P2193" s="405"/>
      <c r="Q2193" s="405"/>
      <c r="R2193" s="405"/>
      <c r="S2193" s="405"/>
      <c r="T2193" s="405"/>
      <c r="U2193" s="405"/>
      <c r="V2193" s="405"/>
      <c r="W2193" s="405"/>
      <c r="X2193" s="405"/>
      <c r="Y2193" s="405"/>
      <c r="Z2193" s="405"/>
      <c r="AA2193" s="405"/>
      <c r="AB2193" s="405"/>
    </row>
    <row r="2194" ht="14.25" customHeight="1">
      <c r="A2194" s="405"/>
      <c r="B2194" s="405"/>
      <c r="C2194" s="405"/>
      <c r="D2194" s="405"/>
      <c r="E2194" s="405"/>
      <c r="F2194" s="583"/>
      <c r="G2194" s="583"/>
      <c r="H2194" s="405"/>
      <c r="I2194" s="405"/>
      <c r="J2194" s="405"/>
      <c r="K2194" s="405"/>
      <c r="L2194" s="405"/>
      <c r="M2194" s="405"/>
      <c r="N2194" s="405"/>
      <c r="O2194" s="405"/>
      <c r="P2194" s="405"/>
      <c r="Q2194" s="405"/>
      <c r="R2194" s="405"/>
      <c r="S2194" s="405"/>
      <c r="T2194" s="405"/>
      <c r="U2194" s="405"/>
      <c r="V2194" s="405"/>
      <c r="W2194" s="405"/>
      <c r="X2194" s="405"/>
      <c r="Y2194" s="405"/>
      <c r="Z2194" s="405"/>
      <c r="AA2194" s="405"/>
      <c r="AB2194" s="405"/>
    </row>
    <row r="2195" ht="14.25" customHeight="1">
      <c r="A2195" s="405"/>
      <c r="B2195" s="405"/>
      <c r="C2195" s="405"/>
      <c r="D2195" s="405"/>
      <c r="E2195" s="405"/>
      <c r="F2195" s="583"/>
      <c r="G2195" s="583"/>
      <c r="H2195" s="405"/>
      <c r="I2195" s="405"/>
      <c r="J2195" s="405"/>
      <c r="K2195" s="405"/>
      <c r="L2195" s="405"/>
      <c r="M2195" s="405"/>
      <c r="N2195" s="405"/>
      <c r="O2195" s="405"/>
      <c r="P2195" s="405"/>
      <c r="Q2195" s="405"/>
      <c r="R2195" s="405"/>
      <c r="S2195" s="405"/>
      <c r="T2195" s="405"/>
      <c r="U2195" s="405"/>
      <c r="V2195" s="405"/>
      <c r="W2195" s="405"/>
      <c r="X2195" s="405"/>
      <c r="Y2195" s="405"/>
      <c r="Z2195" s="405"/>
      <c r="AA2195" s="405"/>
      <c r="AB2195" s="405"/>
    </row>
    <row r="2196" ht="14.25" customHeight="1">
      <c r="A2196" s="405"/>
      <c r="B2196" s="405"/>
      <c r="C2196" s="405"/>
      <c r="D2196" s="405"/>
      <c r="E2196" s="405"/>
      <c r="F2196" s="583"/>
      <c r="G2196" s="583"/>
      <c r="H2196" s="405"/>
      <c r="I2196" s="405"/>
      <c r="J2196" s="405"/>
      <c r="K2196" s="405"/>
      <c r="L2196" s="405"/>
      <c r="M2196" s="405"/>
      <c r="N2196" s="405"/>
      <c r="O2196" s="405"/>
      <c r="P2196" s="405"/>
      <c r="Q2196" s="405"/>
      <c r="R2196" s="405"/>
      <c r="S2196" s="405"/>
      <c r="T2196" s="405"/>
      <c r="U2196" s="405"/>
      <c r="V2196" s="405"/>
      <c r="W2196" s="405"/>
      <c r="X2196" s="405"/>
      <c r="Y2196" s="405"/>
      <c r="Z2196" s="405"/>
      <c r="AA2196" s="405"/>
      <c r="AB2196" s="405"/>
    </row>
    <row r="2197" ht="14.25" customHeight="1">
      <c r="A2197" s="405"/>
      <c r="B2197" s="405"/>
      <c r="C2197" s="405"/>
      <c r="D2197" s="405"/>
      <c r="E2197" s="405"/>
      <c r="F2197" s="583"/>
      <c r="G2197" s="583"/>
      <c r="H2197" s="405"/>
      <c r="I2197" s="405"/>
      <c r="J2197" s="405"/>
      <c r="K2197" s="405"/>
      <c r="L2197" s="405"/>
      <c r="M2197" s="405"/>
      <c r="N2197" s="405"/>
      <c r="O2197" s="405"/>
      <c r="P2197" s="405"/>
      <c r="Q2197" s="405"/>
      <c r="R2197" s="405"/>
      <c r="S2197" s="405"/>
      <c r="T2197" s="405"/>
      <c r="U2197" s="405"/>
      <c r="V2197" s="405"/>
      <c r="W2197" s="405"/>
      <c r="X2197" s="405"/>
      <c r="Y2197" s="405"/>
      <c r="Z2197" s="405"/>
      <c r="AA2197" s="405"/>
      <c r="AB2197" s="405"/>
    </row>
    <row r="2198" ht="14.25" customHeight="1">
      <c r="A2198" s="405"/>
      <c r="B2198" s="405"/>
      <c r="C2198" s="405"/>
      <c r="D2198" s="405"/>
      <c r="E2198" s="405"/>
      <c r="F2198" s="583"/>
      <c r="G2198" s="583"/>
      <c r="H2198" s="405"/>
      <c r="I2198" s="405"/>
      <c r="J2198" s="405"/>
      <c r="K2198" s="405"/>
      <c r="L2198" s="405"/>
      <c r="M2198" s="405"/>
      <c r="N2198" s="405"/>
      <c r="O2198" s="405"/>
      <c r="P2198" s="405"/>
      <c r="Q2198" s="405"/>
      <c r="R2198" s="405"/>
      <c r="S2198" s="405"/>
      <c r="T2198" s="405"/>
      <c r="U2198" s="405"/>
      <c r="V2198" s="405"/>
      <c r="W2198" s="405"/>
      <c r="X2198" s="405"/>
      <c r="Y2198" s="405"/>
      <c r="Z2198" s="405"/>
      <c r="AA2198" s="405"/>
      <c r="AB2198" s="405"/>
    </row>
    <row r="2199" ht="14.25" customHeight="1">
      <c r="A2199" s="405"/>
      <c r="B2199" s="405"/>
      <c r="C2199" s="405"/>
      <c r="D2199" s="405"/>
      <c r="E2199" s="405"/>
      <c r="F2199" s="583"/>
      <c r="G2199" s="583"/>
      <c r="H2199" s="405"/>
      <c r="I2199" s="405"/>
      <c r="J2199" s="405"/>
      <c r="K2199" s="405"/>
      <c r="L2199" s="405"/>
      <c r="M2199" s="405"/>
      <c r="N2199" s="405"/>
      <c r="O2199" s="405"/>
      <c r="P2199" s="405"/>
      <c r="Q2199" s="405"/>
      <c r="R2199" s="405"/>
      <c r="S2199" s="405"/>
      <c r="T2199" s="405"/>
      <c r="U2199" s="405"/>
      <c r="V2199" s="405"/>
      <c r="W2199" s="405"/>
      <c r="X2199" s="405"/>
      <c r="Y2199" s="405"/>
      <c r="Z2199" s="405"/>
      <c r="AA2199" s="405"/>
      <c r="AB2199" s="405"/>
    </row>
    <row r="2200" ht="14.25" customHeight="1">
      <c r="A2200" s="405"/>
      <c r="B2200" s="405"/>
      <c r="C2200" s="405"/>
      <c r="D2200" s="405"/>
      <c r="E2200" s="405"/>
      <c r="F2200" s="583"/>
      <c r="G2200" s="583"/>
      <c r="H2200" s="405"/>
      <c r="I2200" s="405"/>
      <c r="J2200" s="405"/>
      <c r="K2200" s="405"/>
      <c r="L2200" s="405"/>
      <c r="M2200" s="405"/>
      <c r="N2200" s="405"/>
      <c r="O2200" s="405"/>
      <c r="P2200" s="405"/>
      <c r="Q2200" s="405"/>
      <c r="R2200" s="405"/>
      <c r="S2200" s="405"/>
      <c r="T2200" s="405"/>
      <c r="U2200" s="405"/>
      <c r="V2200" s="405"/>
      <c r="W2200" s="405"/>
      <c r="X2200" s="405"/>
      <c r="Y2200" s="405"/>
      <c r="Z2200" s="405"/>
      <c r="AA2200" s="405"/>
      <c r="AB2200" s="405"/>
    </row>
    <row r="2201" ht="14.25" customHeight="1">
      <c r="A2201" s="405"/>
      <c r="B2201" s="405"/>
      <c r="C2201" s="405"/>
      <c r="D2201" s="405"/>
      <c r="E2201" s="405"/>
      <c r="F2201" s="583"/>
      <c r="G2201" s="583"/>
      <c r="H2201" s="405"/>
      <c r="I2201" s="405"/>
      <c r="J2201" s="405"/>
      <c r="K2201" s="405"/>
      <c r="L2201" s="405"/>
      <c r="M2201" s="405"/>
      <c r="N2201" s="405"/>
      <c r="O2201" s="405"/>
      <c r="P2201" s="405"/>
      <c r="Q2201" s="405"/>
      <c r="R2201" s="405"/>
      <c r="S2201" s="405"/>
      <c r="T2201" s="405"/>
      <c r="U2201" s="405"/>
      <c r="V2201" s="405"/>
      <c r="W2201" s="405"/>
      <c r="X2201" s="405"/>
      <c r="Y2201" s="405"/>
      <c r="Z2201" s="405"/>
      <c r="AA2201" s="405"/>
      <c r="AB2201" s="405"/>
    </row>
    <row r="2202" ht="14.25" customHeight="1">
      <c r="A2202" s="405"/>
      <c r="B2202" s="405"/>
      <c r="C2202" s="405"/>
      <c r="D2202" s="405"/>
      <c r="E2202" s="405"/>
      <c r="F2202" s="583"/>
      <c r="G2202" s="583"/>
      <c r="H2202" s="405"/>
      <c r="I2202" s="405"/>
      <c r="J2202" s="405"/>
      <c r="K2202" s="405"/>
      <c r="L2202" s="405"/>
      <c r="M2202" s="405"/>
      <c r="N2202" s="405"/>
      <c r="O2202" s="405"/>
      <c r="P2202" s="405"/>
      <c r="Q2202" s="405"/>
      <c r="R2202" s="405"/>
      <c r="S2202" s="405"/>
      <c r="T2202" s="405"/>
      <c r="U2202" s="405"/>
      <c r="V2202" s="405"/>
      <c r="W2202" s="405"/>
      <c r="X2202" s="405"/>
      <c r="Y2202" s="405"/>
      <c r="Z2202" s="405"/>
      <c r="AA2202" s="405"/>
      <c r="AB2202" s="405"/>
    </row>
    <row r="2203" ht="14.25" customHeight="1">
      <c r="A2203" s="405"/>
      <c r="B2203" s="405"/>
      <c r="C2203" s="405"/>
      <c r="D2203" s="405"/>
      <c r="E2203" s="405"/>
      <c r="F2203" s="583"/>
      <c r="G2203" s="583"/>
      <c r="H2203" s="405"/>
      <c r="I2203" s="405"/>
      <c r="J2203" s="405"/>
      <c r="K2203" s="405"/>
      <c r="L2203" s="405"/>
      <c r="M2203" s="405"/>
      <c r="N2203" s="405"/>
      <c r="O2203" s="405"/>
      <c r="P2203" s="405"/>
      <c r="Q2203" s="405"/>
      <c r="R2203" s="405"/>
      <c r="S2203" s="405"/>
      <c r="T2203" s="405"/>
      <c r="U2203" s="405"/>
      <c r="V2203" s="405"/>
      <c r="W2203" s="405"/>
      <c r="X2203" s="405"/>
      <c r="Y2203" s="405"/>
      <c r="Z2203" s="405"/>
      <c r="AA2203" s="405"/>
      <c r="AB2203" s="405"/>
    </row>
    <row r="2204" ht="14.25" customHeight="1">
      <c r="A2204" s="405"/>
      <c r="B2204" s="405"/>
      <c r="C2204" s="405"/>
      <c r="D2204" s="405"/>
      <c r="E2204" s="405"/>
      <c r="F2204" s="583"/>
      <c r="G2204" s="583"/>
      <c r="H2204" s="405"/>
      <c r="I2204" s="405"/>
      <c r="J2204" s="405"/>
      <c r="K2204" s="405"/>
      <c r="L2204" s="405"/>
      <c r="M2204" s="405"/>
      <c r="N2204" s="405"/>
      <c r="O2204" s="405"/>
      <c r="P2204" s="405"/>
      <c r="Q2204" s="405"/>
      <c r="R2204" s="405"/>
      <c r="S2204" s="405"/>
      <c r="T2204" s="405"/>
      <c r="U2204" s="405"/>
      <c r="V2204" s="405"/>
      <c r="W2204" s="405"/>
      <c r="X2204" s="405"/>
      <c r="Y2204" s="405"/>
      <c r="Z2204" s="405"/>
      <c r="AA2204" s="405"/>
      <c r="AB2204" s="405"/>
    </row>
    <row r="2205" ht="14.25" customHeight="1">
      <c r="A2205" s="405"/>
      <c r="B2205" s="405"/>
      <c r="C2205" s="405"/>
      <c r="D2205" s="405"/>
      <c r="E2205" s="405"/>
      <c r="F2205" s="583"/>
      <c r="G2205" s="583"/>
      <c r="H2205" s="405"/>
      <c r="I2205" s="405"/>
      <c r="J2205" s="405"/>
      <c r="K2205" s="405"/>
      <c r="L2205" s="405"/>
      <c r="M2205" s="405"/>
      <c r="N2205" s="405"/>
      <c r="O2205" s="405"/>
      <c r="P2205" s="405"/>
      <c r="Q2205" s="405"/>
      <c r="R2205" s="405"/>
      <c r="S2205" s="405"/>
      <c r="T2205" s="405"/>
      <c r="U2205" s="405"/>
      <c r="V2205" s="405"/>
      <c r="W2205" s="405"/>
      <c r="X2205" s="405"/>
      <c r="Y2205" s="405"/>
      <c r="Z2205" s="405"/>
      <c r="AA2205" s="405"/>
      <c r="AB2205" s="405"/>
    </row>
    <row r="2206" ht="14.25" customHeight="1">
      <c r="A2206" s="405"/>
      <c r="B2206" s="405"/>
      <c r="C2206" s="405"/>
      <c r="D2206" s="405"/>
      <c r="E2206" s="405"/>
      <c r="F2206" s="583"/>
      <c r="G2206" s="583"/>
      <c r="H2206" s="405"/>
      <c r="I2206" s="405"/>
      <c r="J2206" s="405"/>
      <c r="K2206" s="405"/>
      <c r="L2206" s="405"/>
      <c r="M2206" s="405"/>
      <c r="N2206" s="405"/>
      <c r="O2206" s="405"/>
      <c r="P2206" s="405"/>
      <c r="Q2206" s="405"/>
      <c r="R2206" s="405"/>
      <c r="S2206" s="405"/>
      <c r="T2206" s="405"/>
      <c r="U2206" s="405"/>
      <c r="V2206" s="405"/>
      <c r="W2206" s="405"/>
      <c r="X2206" s="405"/>
      <c r="Y2206" s="405"/>
      <c r="Z2206" s="405"/>
      <c r="AA2206" s="405"/>
      <c r="AB2206" s="405"/>
    </row>
    <row r="2207" ht="14.25" customHeight="1">
      <c r="A2207" s="405"/>
      <c r="B2207" s="405"/>
      <c r="C2207" s="405"/>
      <c r="D2207" s="405"/>
      <c r="E2207" s="405"/>
      <c r="F2207" s="583"/>
      <c r="G2207" s="583"/>
      <c r="H2207" s="405"/>
      <c r="I2207" s="405"/>
      <c r="J2207" s="405"/>
      <c r="K2207" s="405"/>
      <c r="L2207" s="405"/>
      <c r="M2207" s="405"/>
      <c r="N2207" s="405"/>
      <c r="O2207" s="405"/>
      <c r="P2207" s="405"/>
      <c r="Q2207" s="405"/>
      <c r="R2207" s="405"/>
      <c r="S2207" s="405"/>
      <c r="T2207" s="405"/>
      <c r="U2207" s="405"/>
      <c r="V2207" s="405"/>
      <c r="W2207" s="405"/>
      <c r="X2207" s="405"/>
      <c r="Y2207" s="405"/>
      <c r="Z2207" s="405"/>
      <c r="AA2207" s="405"/>
      <c r="AB2207" s="405"/>
    </row>
    <row r="2208" ht="14.25" customHeight="1">
      <c r="A2208" s="405"/>
      <c r="B2208" s="405"/>
      <c r="C2208" s="405"/>
      <c r="D2208" s="405"/>
      <c r="E2208" s="405"/>
      <c r="F2208" s="583"/>
      <c r="G2208" s="583"/>
      <c r="H2208" s="405"/>
      <c r="I2208" s="405"/>
      <c r="J2208" s="405"/>
      <c r="K2208" s="405"/>
      <c r="L2208" s="405"/>
      <c r="M2208" s="405"/>
      <c r="N2208" s="405"/>
      <c r="O2208" s="405"/>
      <c r="P2208" s="405"/>
      <c r="Q2208" s="405"/>
      <c r="R2208" s="405"/>
      <c r="S2208" s="405"/>
      <c r="T2208" s="405"/>
      <c r="U2208" s="405"/>
      <c r="V2208" s="405"/>
      <c r="W2208" s="405"/>
      <c r="X2208" s="405"/>
      <c r="Y2208" s="405"/>
      <c r="Z2208" s="405"/>
      <c r="AA2208" s="405"/>
      <c r="AB2208" s="405"/>
    </row>
    <row r="2209" ht="14.25" customHeight="1">
      <c r="A2209" s="405"/>
      <c r="B2209" s="405"/>
      <c r="C2209" s="405"/>
      <c r="D2209" s="405"/>
      <c r="E2209" s="405"/>
      <c r="F2209" s="583"/>
      <c r="G2209" s="583"/>
      <c r="H2209" s="405"/>
      <c r="I2209" s="405"/>
      <c r="J2209" s="405"/>
      <c r="K2209" s="405"/>
      <c r="L2209" s="405"/>
      <c r="M2209" s="405"/>
      <c r="N2209" s="405"/>
      <c r="O2209" s="405"/>
      <c r="P2209" s="405"/>
      <c r="Q2209" s="405"/>
      <c r="R2209" s="405"/>
      <c r="S2209" s="405"/>
      <c r="T2209" s="405"/>
      <c r="U2209" s="405"/>
      <c r="V2209" s="405"/>
      <c r="W2209" s="405"/>
      <c r="X2209" s="405"/>
      <c r="Y2209" s="405"/>
      <c r="Z2209" s="405"/>
      <c r="AA2209" s="405"/>
      <c r="AB2209" s="405"/>
    </row>
    <row r="2210" ht="14.25" customHeight="1">
      <c r="A2210" s="405"/>
      <c r="B2210" s="405"/>
      <c r="C2210" s="405"/>
      <c r="D2210" s="405"/>
      <c r="E2210" s="405"/>
      <c r="F2210" s="583"/>
      <c r="G2210" s="583"/>
      <c r="H2210" s="405"/>
      <c r="I2210" s="405"/>
      <c r="J2210" s="405"/>
      <c r="K2210" s="405"/>
      <c r="L2210" s="405"/>
      <c r="M2210" s="405"/>
      <c r="N2210" s="405"/>
      <c r="O2210" s="405"/>
      <c r="P2210" s="405"/>
      <c r="Q2210" s="405"/>
      <c r="R2210" s="405"/>
      <c r="S2210" s="405"/>
      <c r="T2210" s="405"/>
      <c r="U2210" s="405"/>
      <c r="V2210" s="405"/>
      <c r="W2210" s="405"/>
      <c r="X2210" s="405"/>
      <c r="Y2210" s="405"/>
      <c r="Z2210" s="405"/>
      <c r="AA2210" s="405"/>
      <c r="AB2210" s="405"/>
    </row>
    <row r="2211" ht="14.25" customHeight="1">
      <c r="A2211" s="405"/>
      <c r="B2211" s="405"/>
      <c r="C2211" s="405"/>
      <c r="D2211" s="405"/>
      <c r="E2211" s="405"/>
      <c r="F2211" s="583"/>
      <c r="G2211" s="583"/>
      <c r="H2211" s="405"/>
      <c r="I2211" s="405"/>
      <c r="J2211" s="405"/>
      <c r="K2211" s="405"/>
      <c r="L2211" s="405"/>
      <c r="M2211" s="405"/>
      <c r="N2211" s="405"/>
      <c r="O2211" s="405"/>
      <c r="P2211" s="405"/>
      <c r="Q2211" s="405"/>
      <c r="R2211" s="405"/>
      <c r="S2211" s="405"/>
      <c r="T2211" s="405"/>
      <c r="U2211" s="405"/>
      <c r="V2211" s="405"/>
      <c r="W2211" s="405"/>
      <c r="X2211" s="405"/>
      <c r="Y2211" s="405"/>
      <c r="Z2211" s="405"/>
      <c r="AA2211" s="405"/>
      <c r="AB2211" s="405"/>
    </row>
    <row r="2212" ht="14.25" customHeight="1">
      <c r="A2212" s="405"/>
      <c r="B2212" s="405"/>
      <c r="C2212" s="405"/>
      <c r="D2212" s="405"/>
      <c r="E2212" s="405"/>
      <c r="F2212" s="583"/>
      <c r="G2212" s="583"/>
      <c r="H2212" s="405"/>
      <c r="I2212" s="405"/>
      <c r="J2212" s="405"/>
      <c r="K2212" s="405"/>
      <c r="L2212" s="405"/>
      <c r="M2212" s="405"/>
      <c r="N2212" s="405"/>
      <c r="O2212" s="405"/>
      <c r="P2212" s="405"/>
      <c r="Q2212" s="405"/>
      <c r="R2212" s="405"/>
      <c r="S2212" s="405"/>
      <c r="T2212" s="405"/>
      <c r="U2212" s="405"/>
      <c r="V2212" s="405"/>
      <c r="W2212" s="405"/>
      <c r="X2212" s="405"/>
      <c r="Y2212" s="405"/>
      <c r="Z2212" s="405"/>
      <c r="AA2212" s="405"/>
      <c r="AB2212" s="405"/>
    </row>
    <row r="2213" ht="14.25" customHeight="1">
      <c r="A2213" s="405"/>
      <c r="B2213" s="405"/>
      <c r="C2213" s="405"/>
      <c r="D2213" s="405"/>
      <c r="E2213" s="405"/>
      <c r="F2213" s="583"/>
      <c r="G2213" s="583"/>
      <c r="H2213" s="405"/>
      <c r="I2213" s="405"/>
      <c r="J2213" s="405"/>
      <c r="K2213" s="405"/>
      <c r="L2213" s="405"/>
      <c r="M2213" s="405"/>
      <c r="N2213" s="405"/>
      <c r="O2213" s="405"/>
      <c r="P2213" s="405"/>
      <c r="Q2213" s="405"/>
      <c r="R2213" s="405"/>
      <c r="S2213" s="405"/>
      <c r="T2213" s="405"/>
      <c r="U2213" s="405"/>
      <c r="V2213" s="405"/>
      <c r="W2213" s="405"/>
      <c r="X2213" s="405"/>
      <c r="Y2213" s="405"/>
      <c r="Z2213" s="405"/>
      <c r="AA2213" s="405"/>
      <c r="AB2213" s="405"/>
    </row>
    <row r="2214" ht="14.25" customHeight="1">
      <c r="A2214" s="405"/>
      <c r="B2214" s="405"/>
      <c r="C2214" s="405"/>
      <c r="D2214" s="405"/>
      <c r="E2214" s="405"/>
      <c r="F2214" s="583"/>
      <c r="G2214" s="583"/>
      <c r="H2214" s="405"/>
      <c r="I2214" s="405"/>
      <c r="J2214" s="405"/>
      <c r="K2214" s="405"/>
      <c r="L2214" s="405"/>
      <c r="M2214" s="405"/>
      <c r="N2214" s="405"/>
      <c r="O2214" s="405"/>
      <c r="P2214" s="405"/>
      <c r="Q2214" s="405"/>
      <c r="R2214" s="405"/>
      <c r="S2214" s="405"/>
      <c r="T2214" s="405"/>
      <c r="U2214" s="405"/>
      <c r="V2214" s="405"/>
      <c r="W2214" s="405"/>
      <c r="X2214" s="405"/>
      <c r="Y2214" s="405"/>
      <c r="Z2214" s="405"/>
      <c r="AA2214" s="405"/>
      <c r="AB2214" s="405"/>
    </row>
    <row r="2215" ht="14.25" customHeight="1">
      <c r="A2215" s="405"/>
      <c r="B2215" s="405"/>
      <c r="C2215" s="405"/>
      <c r="D2215" s="405"/>
      <c r="E2215" s="405"/>
      <c r="F2215" s="583"/>
      <c r="G2215" s="583"/>
      <c r="H2215" s="405"/>
      <c r="I2215" s="405"/>
      <c r="J2215" s="405"/>
      <c r="K2215" s="405"/>
      <c r="L2215" s="405"/>
      <c r="M2215" s="405"/>
      <c r="N2215" s="405"/>
      <c r="O2215" s="405"/>
      <c r="P2215" s="405"/>
      <c r="Q2215" s="405"/>
      <c r="R2215" s="405"/>
      <c r="S2215" s="405"/>
      <c r="T2215" s="405"/>
      <c r="U2215" s="405"/>
      <c r="V2215" s="405"/>
      <c r="W2215" s="405"/>
      <c r="X2215" s="405"/>
      <c r="Y2215" s="405"/>
      <c r="Z2215" s="405"/>
      <c r="AA2215" s="405"/>
      <c r="AB2215" s="405"/>
    </row>
    <row r="2216" ht="14.25" customHeight="1">
      <c r="A2216" s="405"/>
      <c r="B2216" s="405"/>
      <c r="C2216" s="405"/>
      <c r="D2216" s="405"/>
      <c r="E2216" s="405"/>
      <c r="F2216" s="583"/>
      <c r="G2216" s="583"/>
      <c r="H2216" s="405"/>
      <c r="I2216" s="405"/>
      <c r="J2216" s="405"/>
      <c r="K2216" s="405"/>
      <c r="L2216" s="405"/>
      <c r="M2216" s="405"/>
      <c r="N2216" s="405"/>
      <c r="O2216" s="405"/>
      <c r="P2216" s="405"/>
      <c r="Q2216" s="405"/>
      <c r="R2216" s="405"/>
      <c r="S2216" s="405"/>
      <c r="T2216" s="405"/>
      <c r="U2216" s="405"/>
      <c r="V2216" s="405"/>
      <c r="W2216" s="405"/>
      <c r="X2216" s="405"/>
      <c r="Y2216" s="405"/>
      <c r="Z2216" s="405"/>
      <c r="AA2216" s="405"/>
      <c r="AB2216" s="405"/>
    </row>
    <row r="2217" ht="14.25" customHeight="1">
      <c r="A2217" s="405"/>
      <c r="B2217" s="405"/>
      <c r="C2217" s="405"/>
      <c r="D2217" s="405"/>
      <c r="E2217" s="405"/>
      <c r="F2217" s="583"/>
      <c r="G2217" s="583"/>
      <c r="H2217" s="405"/>
      <c r="I2217" s="405"/>
      <c r="J2217" s="405"/>
      <c r="K2217" s="405"/>
      <c r="L2217" s="405"/>
      <c r="M2217" s="405"/>
      <c r="N2217" s="405"/>
      <c r="O2217" s="405"/>
      <c r="P2217" s="405"/>
      <c r="Q2217" s="405"/>
      <c r="R2217" s="405"/>
      <c r="S2217" s="405"/>
      <c r="T2217" s="405"/>
      <c r="U2217" s="405"/>
      <c r="V2217" s="405"/>
      <c r="W2217" s="405"/>
      <c r="X2217" s="405"/>
      <c r="Y2217" s="405"/>
      <c r="Z2217" s="405"/>
      <c r="AA2217" s="405"/>
      <c r="AB2217" s="405"/>
    </row>
    <row r="2218" ht="14.25" customHeight="1">
      <c r="A2218" s="405"/>
      <c r="B2218" s="405"/>
      <c r="C2218" s="405"/>
      <c r="D2218" s="405"/>
      <c r="E2218" s="405"/>
      <c r="F2218" s="583"/>
      <c r="G2218" s="583"/>
      <c r="H2218" s="405"/>
      <c r="I2218" s="405"/>
      <c r="J2218" s="405"/>
      <c r="K2218" s="405"/>
      <c r="L2218" s="405"/>
      <c r="M2218" s="405"/>
      <c r="N2218" s="405"/>
      <c r="O2218" s="405"/>
      <c r="P2218" s="405"/>
      <c r="Q2218" s="405"/>
      <c r="R2218" s="405"/>
      <c r="S2218" s="405"/>
      <c r="T2218" s="405"/>
      <c r="U2218" s="405"/>
      <c r="V2218" s="405"/>
      <c r="W2218" s="405"/>
      <c r="X2218" s="405"/>
      <c r="Y2218" s="405"/>
      <c r="Z2218" s="405"/>
      <c r="AA2218" s="405"/>
      <c r="AB2218" s="405"/>
    </row>
    <row r="2219" ht="14.25" customHeight="1">
      <c r="A2219" s="405"/>
      <c r="B2219" s="405"/>
      <c r="C2219" s="405"/>
      <c r="D2219" s="405"/>
      <c r="E2219" s="405"/>
      <c r="F2219" s="583"/>
      <c r="G2219" s="583"/>
      <c r="H2219" s="405"/>
      <c r="I2219" s="405"/>
      <c r="J2219" s="405"/>
      <c r="K2219" s="405"/>
      <c r="L2219" s="405"/>
      <c r="M2219" s="405"/>
      <c r="N2219" s="405"/>
      <c r="O2219" s="405"/>
      <c r="P2219" s="405"/>
      <c r="Q2219" s="405"/>
      <c r="R2219" s="405"/>
      <c r="S2219" s="405"/>
      <c r="T2219" s="405"/>
      <c r="U2219" s="405"/>
      <c r="V2219" s="405"/>
      <c r="W2219" s="405"/>
      <c r="X2219" s="405"/>
      <c r="Y2219" s="405"/>
      <c r="Z2219" s="405"/>
      <c r="AA2219" s="405"/>
      <c r="AB2219" s="405"/>
    </row>
    <row r="2220" ht="14.25" customHeight="1">
      <c r="A2220" s="405"/>
      <c r="B2220" s="405"/>
      <c r="C2220" s="405"/>
      <c r="D2220" s="405"/>
      <c r="E2220" s="405"/>
      <c r="F2220" s="583"/>
      <c r="G2220" s="583"/>
      <c r="H2220" s="405"/>
      <c r="I2220" s="405"/>
      <c r="J2220" s="405"/>
      <c r="K2220" s="405"/>
      <c r="L2220" s="405"/>
      <c r="M2220" s="405"/>
      <c r="N2220" s="405"/>
      <c r="O2220" s="405"/>
      <c r="P2220" s="405"/>
      <c r="Q2220" s="405"/>
      <c r="R2220" s="405"/>
      <c r="S2220" s="405"/>
      <c r="T2220" s="405"/>
      <c r="U2220" s="405"/>
      <c r="V2220" s="405"/>
      <c r="W2220" s="405"/>
      <c r="X2220" s="405"/>
      <c r="Y2220" s="405"/>
      <c r="Z2220" s="405"/>
      <c r="AA2220" s="405"/>
      <c r="AB2220" s="405"/>
    </row>
    <row r="2221" ht="14.25" customHeight="1">
      <c r="A2221" s="405"/>
      <c r="B2221" s="405"/>
      <c r="C2221" s="405"/>
      <c r="D2221" s="405"/>
      <c r="E2221" s="405"/>
      <c r="F2221" s="583"/>
      <c r="G2221" s="583"/>
      <c r="H2221" s="405"/>
      <c r="I2221" s="405"/>
      <c r="J2221" s="405"/>
      <c r="K2221" s="405"/>
      <c r="L2221" s="405"/>
      <c r="M2221" s="405"/>
      <c r="N2221" s="405"/>
      <c r="O2221" s="405"/>
      <c r="P2221" s="405"/>
      <c r="Q2221" s="405"/>
      <c r="R2221" s="405"/>
      <c r="S2221" s="405"/>
      <c r="T2221" s="405"/>
      <c r="U2221" s="405"/>
      <c r="V2221" s="405"/>
      <c r="W2221" s="405"/>
      <c r="X2221" s="405"/>
      <c r="Y2221" s="405"/>
      <c r="Z2221" s="405"/>
      <c r="AA2221" s="405"/>
      <c r="AB2221" s="405"/>
    </row>
    <row r="2222" ht="14.25" customHeight="1">
      <c r="A2222" s="405"/>
      <c r="B2222" s="405"/>
      <c r="C2222" s="405"/>
      <c r="D2222" s="405"/>
      <c r="E2222" s="405"/>
      <c r="F2222" s="583"/>
      <c r="G2222" s="583"/>
      <c r="H2222" s="405"/>
      <c r="I2222" s="405"/>
      <c r="J2222" s="405"/>
      <c r="K2222" s="405"/>
      <c r="L2222" s="405"/>
      <c r="M2222" s="405"/>
      <c r="N2222" s="405"/>
      <c r="O2222" s="405"/>
      <c r="P2222" s="405"/>
      <c r="Q2222" s="405"/>
      <c r="R2222" s="405"/>
      <c r="S2222" s="405"/>
      <c r="T2222" s="405"/>
      <c r="U2222" s="405"/>
      <c r="V2222" s="405"/>
      <c r="W2222" s="405"/>
      <c r="X2222" s="405"/>
      <c r="Y2222" s="405"/>
      <c r="Z2222" s="405"/>
      <c r="AA2222" s="405"/>
      <c r="AB2222" s="405"/>
    </row>
    <row r="2223" ht="14.25" customHeight="1">
      <c r="A2223" s="405"/>
      <c r="B2223" s="405"/>
      <c r="C2223" s="405"/>
      <c r="D2223" s="405"/>
      <c r="E2223" s="405"/>
      <c r="F2223" s="583"/>
      <c r="G2223" s="583"/>
      <c r="H2223" s="405"/>
      <c r="I2223" s="405"/>
      <c r="J2223" s="405"/>
      <c r="K2223" s="405"/>
      <c r="L2223" s="405"/>
      <c r="M2223" s="405"/>
      <c r="N2223" s="405"/>
      <c r="O2223" s="405"/>
      <c r="P2223" s="405"/>
      <c r="Q2223" s="405"/>
      <c r="R2223" s="405"/>
      <c r="S2223" s="405"/>
      <c r="T2223" s="405"/>
      <c r="U2223" s="405"/>
      <c r="V2223" s="405"/>
      <c r="W2223" s="405"/>
      <c r="X2223" s="405"/>
      <c r="Y2223" s="405"/>
      <c r="Z2223" s="405"/>
      <c r="AA2223" s="405"/>
      <c r="AB2223" s="405"/>
    </row>
    <row r="2224" ht="14.25" customHeight="1">
      <c r="A2224" s="405"/>
      <c r="B2224" s="405"/>
      <c r="C2224" s="405"/>
      <c r="D2224" s="405"/>
      <c r="E2224" s="405"/>
      <c r="F2224" s="583"/>
      <c r="G2224" s="583"/>
      <c r="H2224" s="405"/>
      <c r="I2224" s="405"/>
      <c r="J2224" s="405"/>
      <c r="K2224" s="405"/>
      <c r="L2224" s="405"/>
      <c r="M2224" s="405"/>
      <c r="N2224" s="405"/>
      <c r="O2224" s="405"/>
      <c r="P2224" s="405"/>
      <c r="Q2224" s="405"/>
      <c r="R2224" s="405"/>
      <c r="S2224" s="405"/>
      <c r="T2224" s="405"/>
      <c r="U2224" s="405"/>
      <c r="V2224" s="405"/>
      <c r="W2224" s="405"/>
      <c r="X2224" s="405"/>
      <c r="Y2224" s="405"/>
      <c r="Z2224" s="405"/>
      <c r="AA2224" s="405"/>
      <c r="AB2224" s="405"/>
    </row>
    <row r="2225" ht="14.25" customHeight="1">
      <c r="A2225" s="405"/>
      <c r="B2225" s="405"/>
      <c r="C2225" s="405"/>
      <c r="D2225" s="405"/>
      <c r="E2225" s="405"/>
      <c r="F2225" s="583"/>
      <c r="G2225" s="583"/>
      <c r="H2225" s="405"/>
      <c r="I2225" s="405"/>
      <c r="J2225" s="405"/>
      <c r="K2225" s="405"/>
      <c r="L2225" s="405"/>
      <c r="M2225" s="405"/>
      <c r="N2225" s="405"/>
      <c r="O2225" s="405"/>
      <c r="P2225" s="405"/>
      <c r="Q2225" s="405"/>
      <c r="R2225" s="405"/>
      <c r="S2225" s="405"/>
      <c r="T2225" s="405"/>
      <c r="U2225" s="405"/>
      <c r="V2225" s="405"/>
      <c r="W2225" s="405"/>
      <c r="X2225" s="405"/>
      <c r="Y2225" s="405"/>
      <c r="Z2225" s="405"/>
      <c r="AA2225" s="405"/>
      <c r="AB2225" s="405"/>
    </row>
    <row r="2226" ht="14.25" customHeight="1">
      <c r="A2226" s="405"/>
      <c r="B2226" s="405"/>
      <c r="C2226" s="405"/>
      <c r="D2226" s="405"/>
      <c r="E2226" s="405"/>
      <c r="F2226" s="583"/>
      <c r="G2226" s="583"/>
      <c r="H2226" s="405"/>
      <c r="I2226" s="405"/>
      <c r="J2226" s="405"/>
      <c r="K2226" s="405"/>
      <c r="L2226" s="405"/>
      <c r="M2226" s="405"/>
      <c r="N2226" s="405"/>
      <c r="O2226" s="405"/>
      <c r="P2226" s="405"/>
      <c r="Q2226" s="405"/>
      <c r="R2226" s="405"/>
      <c r="S2226" s="405"/>
      <c r="T2226" s="405"/>
      <c r="U2226" s="405"/>
      <c r="V2226" s="405"/>
      <c r="W2226" s="405"/>
      <c r="X2226" s="405"/>
      <c r="Y2226" s="405"/>
      <c r="Z2226" s="405"/>
      <c r="AA2226" s="405"/>
      <c r="AB2226" s="405"/>
    </row>
    <row r="2227" ht="14.25" customHeight="1">
      <c r="A2227" s="405"/>
      <c r="B2227" s="405"/>
      <c r="C2227" s="405"/>
      <c r="D2227" s="405"/>
      <c r="E2227" s="405"/>
      <c r="F2227" s="583"/>
      <c r="G2227" s="583"/>
      <c r="H2227" s="405"/>
      <c r="I2227" s="405"/>
      <c r="J2227" s="405"/>
      <c r="K2227" s="405"/>
      <c r="L2227" s="405"/>
      <c r="M2227" s="405"/>
      <c r="N2227" s="405"/>
      <c r="O2227" s="405"/>
      <c r="P2227" s="405"/>
      <c r="Q2227" s="405"/>
      <c r="R2227" s="405"/>
      <c r="S2227" s="405"/>
      <c r="T2227" s="405"/>
      <c r="U2227" s="405"/>
      <c r="V2227" s="405"/>
      <c r="W2227" s="405"/>
      <c r="X2227" s="405"/>
      <c r="Y2227" s="405"/>
      <c r="Z2227" s="405"/>
      <c r="AA2227" s="405"/>
      <c r="AB2227" s="405"/>
    </row>
    <row r="2228" ht="14.25" customHeight="1">
      <c r="A2228" s="405"/>
      <c r="B2228" s="405"/>
      <c r="C2228" s="405"/>
      <c r="D2228" s="405"/>
      <c r="E2228" s="405"/>
      <c r="F2228" s="583"/>
      <c r="G2228" s="583"/>
      <c r="H2228" s="405"/>
      <c r="I2228" s="405"/>
      <c r="J2228" s="405"/>
      <c r="K2228" s="405"/>
      <c r="L2228" s="405"/>
      <c r="M2228" s="405"/>
      <c r="N2228" s="405"/>
      <c r="O2228" s="405"/>
      <c r="P2228" s="405"/>
      <c r="Q2228" s="405"/>
      <c r="R2228" s="405"/>
      <c r="S2228" s="405"/>
      <c r="T2228" s="405"/>
      <c r="U2228" s="405"/>
      <c r="V2228" s="405"/>
      <c r="W2228" s="405"/>
      <c r="X2228" s="405"/>
      <c r="Y2228" s="405"/>
      <c r="Z2228" s="405"/>
      <c r="AA2228" s="405"/>
      <c r="AB2228" s="405"/>
    </row>
    <row r="2229" ht="14.25" customHeight="1">
      <c r="A2229" s="405"/>
      <c r="B2229" s="405"/>
      <c r="C2229" s="405"/>
      <c r="D2229" s="405"/>
      <c r="E2229" s="405"/>
      <c r="F2229" s="583"/>
      <c r="G2229" s="583"/>
      <c r="H2229" s="405"/>
      <c r="I2229" s="405"/>
      <c r="J2229" s="405"/>
      <c r="K2229" s="405"/>
      <c r="L2229" s="405"/>
      <c r="M2229" s="405"/>
      <c r="N2229" s="405"/>
      <c r="O2229" s="405"/>
      <c r="P2229" s="405"/>
      <c r="Q2229" s="405"/>
      <c r="R2229" s="405"/>
      <c r="S2229" s="405"/>
      <c r="T2229" s="405"/>
      <c r="U2229" s="405"/>
      <c r="V2229" s="405"/>
      <c r="W2229" s="405"/>
      <c r="X2229" s="405"/>
      <c r="Y2229" s="405"/>
      <c r="Z2229" s="405"/>
      <c r="AA2229" s="405"/>
      <c r="AB2229" s="405"/>
    </row>
    <row r="2230" ht="14.25" customHeight="1">
      <c r="A2230" s="405"/>
      <c r="B2230" s="405"/>
      <c r="C2230" s="405"/>
      <c r="D2230" s="405"/>
      <c r="E2230" s="405"/>
      <c r="F2230" s="583"/>
      <c r="G2230" s="583"/>
      <c r="H2230" s="405"/>
      <c r="I2230" s="405"/>
      <c r="J2230" s="405"/>
      <c r="K2230" s="405"/>
      <c r="L2230" s="405"/>
      <c r="M2230" s="405"/>
      <c r="N2230" s="405"/>
      <c r="O2230" s="405"/>
      <c r="P2230" s="405"/>
      <c r="Q2230" s="405"/>
      <c r="R2230" s="405"/>
      <c r="S2230" s="405"/>
      <c r="T2230" s="405"/>
      <c r="U2230" s="405"/>
      <c r="V2230" s="405"/>
      <c r="W2230" s="405"/>
      <c r="X2230" s="405"/>
      <c r="Y2230" s="405"/>
      <c r="Z2230" s="405"/>
      <c r="AA2230" s="405"/>
      <c r="AB2230" s="405"/>
    </row>
    <row r="2231" ht="14.25" customHeight="1">
      <c r="A2231" s="405"/>
      <c r="B2231" s="405"/>
      <c r="C2231" s="405"/>
      <c r="D2231" s="405"/>
      <c r="E2231" s="405"/>
      <c r="F2231" s="583"/>
      <c r="G2231" s="583"/>
      <c r="H2231" s="405"/>
      <c r="I2231" s="405"/>
      <c r="J2231" s="405"/>
      <c r="K2231" s="405"/>
      <c r="L2231" s="405"/>
      <c r="M2231" s="405"/>
      <c r="N2231" s="405"/>
      <c r="O2231" s="405"/>
      <c r="P2231" s="405"/>
      <c r="Q2231" s="405"/>
      <c r="R2231" s="405"/>
      <c r="S2231" s="405"/>
      <c r="T2231" s="405"/>
      <c r="U2231" s="405"/>
      <c r="V2231" s="405"/>
      <c r="W2231" s="405"/>
      <c r="X2231" s="405"/>
      <c r="Y2231" s="405"/>
      <c r="Z2231" s="405"/>
      <c r="AA2231" s="405"/>
      <c r="AB2231" s="405"/>
    </row>
    <row r="2232" ht="14.25" customHeight="1">
      <c r="A2232" s="405"/>
      <c r="B2232" s="405"/>
      <c r="C2232" s="405"/>
      <c r="D2232" s="405"/>
      <c r="E2232" s="405"/>
      <c r="F2232" s="583"/>
      <c r="G2232" s="583"/>
      <c r="H2232" s="405"/>
      <c r="I2232" s="405"/>
      <c r="J2232" s="405"/>
      <c r="K2232" s="405"/>
      <c r="L2232" s="405"/>
      <c r="M2232" s="405"/>
      <c r="N2232" s="405"/>
      <c r="O2232" s="405"/>
      <c r="P2232" s="405"/>
      <c r="Q2232" s="405"/>
      <c r="R2232" s="405"/>
      <c r="S2232" s="405"/>
      <c r="T2232" s="405"/>
      <c r="U2232" s="405"/>
      <c r="V2232" s="405"/>
      <c r="W2232" s="405"/>
      <c r="X2232" s="405"/>
      <c r="Y2232" s="405"/>
      <c r="Z2232" s="405"/>
      <c r="AA2232" s="405"/>
      <c r="AB2232" s="405"/>
    </row>
    <row r="2233" ht="14.25" customHeight="1">
      <c r="A2233" s="405"/>
      <c r="B2233" s="405"/>
      <c r="C2233" s="405"/>
      <c r="D2233" s="405"/>
      <c r="E2233" s="405"/>
      <c r="F2233" s="583"/>
      <c r="G2233" s="583"/>
      <c r="H2233" s="405"/>
      <c r="I2233" s="405"/>
      <c r="J2233" s="405"/>
      <c r="K2233" s="405"/>
      <c r="L2233" s="405"/>
      <c r="M2233" s="405"/>
      <c r="N2233" s="405"/>
      <c r="O2233" s="405"/>
      <c r="P2233" s="405"/>
      <c r="Q2233" s="405"/>
      <c r="R2233" s="405"/>
      <c r="S2233" s="405"/>
      <c r="T2233" s="405"/>
      <c r="U2233" s="405"/>
      <c r="V2233" s="405"/>
      <c r="W2233" s="405"/>
      <c r="X2233" s="405"/>
      <c r="Y2233" s="405"/>
      <c r="Z2233" s="405"/>
      <c r="AA2233" s="405"/>
      <c r="AB2233" s="405"/>
    </row>
    <row r="2234" ht="14.25" customHeight="1">
      <c r="A2234" s="405"/>
      <c r="B2234" s="405"/>
      <c r="C2234" s="405"/>
      <c r="D2234" s="405"/>
      <c r="E2234" s="405"/>
      <c r="F2234" s="583"/>
      <c r="G2234" s="583"/>
      <c r="H2234" s="405"/>
      <c r="I2234" s="405"/>
      <c r="J2234" s="405"/>
      <c r="K2234" s="405"/>
      <c r="L2234" s="405"/>
      <c r="M2234" s="405"/>
      <c r="N2234" s="405"/>
      <c r="O2234" s="405"/>
      <c r="P2234" s="405"/>
      <c r="Q2234" s="405"/>
      <c r="R2234" s="405"/>
      <c r="S2234" s="405"/>
      <c r="T2234" s="405"/>
      <c r="U2234" s="405"/>
      <c r="V2234" s="405"/>
      <c r="W2234" s="405"/>
      <c r="X2234" s="405"/>
      <c r="Y2234" s="405"/>
      <c r="Z2234" s="405"/>
      <c r="AA2234" s="405"/>
      <c r="AB2234" s="405"/>
    </row>
    <row r="2235" ht="14.25" customHeight="1">
      <c r="A2235" s="405"/>
      <c r="B2235" s="405"/>
      <c r="C2235" s="405"/>
      <c r="D2235" s="405"/>
      <c r="E2235" s="405"/>
      <c r="F2235" s="583"/>
      <c r="G2235" s="583"/>
      <c r="H2235" s="405"/>
      <c r="I2235" s="405"/>
      <c r="J2235" s="405"/>
      <c r="K2235" s="405"/>
      <c r="L2235" s="405"/>
      <c r="M2235" s="405"/>
      <c r="N2235" s="405"/>
      <c r="O2235" s="405"/>
      <c r="P2235" s="405"/>
      <c r="Q2235" s="405"/>
      <c r="R2235" s="405"/>
      <c r="S2235" s="405"/>
      <c r="T2235" s="405"/>
      <c r="U2235" s="405"/>
      <c r="V2235" s="405"/>
      <c r="W2235" s="405"/>
      <c r="X2235" s="405"/>
      <c r="Y2235" s="405"/>
      <c r="Z2235" s="405"/>
      <c r="AA2235" s="405"/>
      <c r="AB2235" s="405"/>
    </row>
    <row r="2236" ht="14.25" customHeight="1">
      <c r="A2236" s="405"/>
      <c r="B2236" s="405"/>
      <c r="C2236" s="405"/>
      <c r="D2236" s="405"/>
      <c r="E2236" s="405"/>
      <c r="F2236" s="583"/>
      <c r="G2236" s="583"/>
      <c r="H2236" s="405"/>
      <c r="I2236" s="405"/>
      <c r="J2236" s="405"/>
      <c r="K2236" s="405"/>
      <c r="L2236" s="405"/>
      <c r="M2236" s="405"/>
      <c r="N2236" s="405"/>
      <c r="O2236" s="405"/>
      <c r="P2236" s="405"/>
      <c r="Q2236" s="405"/>
      <c r="R2236" s="405"/>
      <c r="S2236" s="405"/>
      <c r="T2236" s="405"/>
      <c r="U2236" s="405"/>
      <c r="V2236" s="405"/>
      <c r="W2236" s="405"/>
      <c r="X2236" s="405"/>
      <c r="Y2236" s="405"/>
      <c r="Z2236" s="405"/>
      <c r="AA2236" s="405"/>
      <c r="AB2236" s="405"/>
    </row>
    <row r="2237" ht="14.25" customHeight="1">
      <c r="A2237" s="405"/>
      <c r="B2237" s="405"/>
      <c r="C2237" s="405"/>
      <c r="D2237" s="405"/>
      <c r="E2237" s="405"/>
      <c r="F2237" s="583"/>
      <c r="G2237" s="583"/>
      <c r="H2237" s="405"/>
      <c r="I2237" s="405"/>
      <c r="J2237" s="405"/>
      <c r="K2237" s="405"/>
      <c r="L2237" s="405"/>
      <c r="M2237" s="405"/>
      <c r="N2237" s="405"/>
      <c r="O2237" s="405"/>
      <c r="P2237" s="405"/>
      <c r="Q2237" s="405"/>
      <c r="R2237" s="405"/>
      <c r="S2237" s="405"/>
      <c r="T2237" s="405"/>
      <c r="U2237" s="405"/>
      <c r="V2237" s="405"/>
      <c r="W2237" s="405"/>
      <c r="X2237" s="405"/>
      <c r="Y2237" s="405"/>
      <c r="Z2237" s="405"/>
      <c r="AA2237" s="405"/>
      <c r="AB2237" s="405"/>
    </row>
    <row r="2238" ht="14.25" customHeight="1">
      <c r="A2238" s="405"/>
      <c r="B2238" s="405"/>
      <c r="C2238" s="405"/>
      <c r="D2238" s="405"/>
      <c r="E2238" s="405"/>
      <c r="F2238" s="583"/>
      <c r="G2238" s="583"/>
      <c r="H2238" s="405"/>
      <c r="I2238" s="405"/>
      <c r="J2238" s="405"/>
      <c r="K2238" s="405"/>
      <c r="L2238" s="405"/>
      <c r="M2238" s="405"/>
      <c r="N2238" s="405"/>
      <c r="O2238" s="405"/>
      <c r="P2238" s="405"/>
      <c r="Q2238" s="405"/>
      <c r="R2238" s="405"/>
      <c r="S2238" s="405"/>
      <c r="T2238" s="405"/>
      <c r="U2238" s="405"/>
      <c r="V2238" s="405"/>
      <c r="W2238" s="405"/>
      <c r="X2238" s="405"/>
      <c r="Y2238" s="405"/>
      <c r="Z2238" s="405"/>
      <c r="AA2238" s="405"/>
      <c r="AB2238" s="405"/>
    </row>
    <row r="2239" ht="14.25" customHeight="1">
      <c r="A2239" s="405"/>
      <c r="B2239" s="405"/>
      <c r="C2239" s="405"/>
      <c r="D2239" s="405"/>
      <c r="E2239" s="405"/>
      <c r="F2239" s="583"/>
      <c r="G2239" s="583"/>
      <c r="H2239" s="405"/>
      <c r="I2239" s="405"/>
      <c r="J2239" s="405"/>
      <c r="K2239" s="405"/>
      <c r="L2239" s="405"/>
      <c r="M2239" s="405"/>
      <c r="N2239" s="405"/>
      <c r="O2239" s="405"/>
      <c r="P2239" s="405"/>
      <c r="Q2239" s="405"/>
      <c r="R2239" s="405"/>
      <c r="S2239" s="405"/>
      <c r="T2239" s="405"/>
      <c r="U2239" s="405"/>
      <c r="V2239" s="405"/>
      <c r="W2239" s="405"/>
      <c r="X2239" s="405"/>
      <c r="Y2239" s="405"/>
      <c r="Z2239" s="405"/>
      <c r="AA2239" s="405"/>
      <c r="AB2239" s="405"/>
    </row>
    <row r="2240" ht="14.25" customHeight="1">
      <c r="A2240" s="405"/>
      <c r="B2240" s="405"/>
      <c r="C2240" s="405"/>
      <c r="D2240" s="405"/>
      <c r="E2240" s="405"/>
      <c r="F2240" s="583"/>
      <c r="G2240" s="583"/>
      <c r="H2240" s="405"/>
      <c r="I2240" s="405"/>
      <c r="J2240" s="405"/>
      <c r="K2240" s="405"/>
      <c r="L2240" s="405"/>
      <c r="M2240" s="405"/>
      <c r="N2240" s="405"/>
      <c r="O2240" s="405"/>
      <c r="P2240" s="405"/>
      <c r="Q2240" s="405"/>
      <c r="R2240" s="405"/>
      <c r="S2240" s="405"/>
      <c r="T2240" s="405"/>
      <c r="U2240" s="405"/>
      <c r="V2240" s="405"/>
      <c r="W2240" s="405"/>
      <c r="X2240" s="405"/>
      <c r="Y2240" s="405"/>
      <c r="Z2240" s="405"/>
      <c r="AA2240" s="405"/>
      <c r="AB2240" s="405"/>
    </row>
    <row r="2241" ht="14.25" customHeight="1">
      <c r="A2241" s="405"/>
      <c r="B2241" s="405"/>
      <c r="C2241" s="405"/>
      <c r="D2241" s="405"/>
      <c r="E2241" s="405"/>
      <c r="F2241" s="583"/>
      <c r="G2241" s="583"/>
      <c r="H2241" s="405"/>
      <c r="I2241" s="405"/>
      <c r="J2241" s="405"/>
      <c r="K2241" s="405"/>
      <c r="L2241" s="405"/>
      <c r="M2241" s="405"/>
      <c r="N2241" s="405"/>
      <c r="O2241" s="405"/>
      <c r="P2241" s="405"/>
      <c r="Q2241" s="405"/>
      <c r="R2241" s="405"/>
      <c r="S2241" s="405"/>
      <c r="T2241" s="405"/>
      <c r="U2241" s="405"/>
      <c r="V2241" s="405"/>
      <c r="W2241" s="405"/>
      <c r="X2241" s="405"/>
      <c r="Y2241" s="405"/>
      <c r="Z2241" s="405"/>
      <c r="AA2241" s="405"/>
      <c r="AB2241" s="405"/>
    </row>
    <row r="2242" ht="14.25" customHeight="1">
      <c r="A2242" s="405"/>
      <c r="B2242" s="405"/>
      <c r="C2242" s="405"/>
      <c r="D2242" s="405"/>
      <c r="E2242" s="405"/>
      <c r="F2242" s="583"/>
      <c r="G2242" s="583"/>
      <c r="H2242" s="405"/>
      <c r="I2242" s="405"/>
      <c r="J2242" s="405"/>
      <c r="K2242" s="405"/>
      <c r="L2242" s="405"/>
      <c r="M2242" s="405"/>
      <c r="N2242" s="405"/>
      <c r="O2242" s="405"/>
      <c r="P2242" s="405"/>
      <c r="Q2242" s="405"/>
      <c r="R2242" s="405"/>
      <c r="S2242" s="405"/>
      <c r="T2242" s="405"/>
      <c r="U2242" s="405"/>
      <c r="V2242" s="405"/>
      <c r="W2242" s="405"/>
      <c r="X2242" s="405"/>
      <c r="Y2242" s="405"/>
      <c r="Z2242" s="405"/>
      <c r="AA2242" s="405"/>
      <c r="AB2242" s="405"/>
    </row>
    <row r="2243" ht="14.25" customHeight="1">
      <c r="A2243" s="405"/>
      <c r="B2243" s="405"/>
      <c r="C2243" s="405"/>
      <c r="D2243" s="405"/>
      <c r="E2243" s="405"/>
      <c r="F2243" s="583"/>
      <c r="G2243" s="583"/>
      <c r="H2243" s="405"/>
      <c r="I2243" s="405"/>
      <c r="J2243" s="405"/>
      <c r="K2243" s="405"/>
      <c r="L2243" s="405"/>
      <c r="M2243" s="405"/>
      <c r="N2243" s="405"/>
      <c r="O2243" s="405"/>
      <c r="P2243" s="405"/>
      <c r="Q2243" s="405"/>
      <c r="R2243" s="405"/>
      <c r="S2243" s="405"/>
      <c r="T2243" s="405"/>
      <c r="U2243" s="405"/>
      <c r="V2243" s="405"/>
      <c r="W2243" s="405"/>
      <c r="X2243" s="405"/>
      <c r="Y2243" s="405"/>
      <c r="Z2243" s="405"/>
      <c r="AA2243" s="405"/>
      <c r="AB2243" s="405"/>
    </row>
    <row r="2244" ht="14.25" customHeight="1">
      <c r="A2244" s="405"/>
      <c r="B2244" s="405"/>
      <c r="C2244" s="405"/>
      <c r="D2244" s="405"/>
      <c r="E2244" s="405"/>
      <c r="F2244" s="583"/>
      <c r="G2244" s="583"/>
      <c r="H2244" s="405"/>
      <c r="I2244" s="405"/>
      <c r="J2244" s="405"/>
      <c r="K2244" s="405"/>
      <c r="L2244" s="405"/>
      <c r="M2244" s="405"/>
      <c r="N2244" s="405"/>
      <c r="O2244" s="405"/>
      <c r="P2244" s="405"/>
      <c r="Q2244" s="405"/>
      <c r="R2244" s="405"/>
      <c r="S2244" s="405"/>
      <c r="T2244" s="405"/>
      <c r="U2244" s="405"/>
      <c r="V2244" s="405"/>
      <c r="W2244" s="405"/>
      <c r="X2244" s="405"/>
      <c r="Y2244" s="405"/>
      <c r="Z2244" s="405"/>
      <c r="AA2244" s="405"/>
      <c r="AB2244" s="405"/>
    </row>
    <row r="2245" ht="14.25" customHeight="1">
      <c r="A2245" s="405"/>
      <c r="B2245" s="405"/>
      <c r="C2245" s="405"/>
      <c r="D2245" s="405"/>
      <c r="E2245" s="405"/>
      <c r="F2245" s="583"/>
      <c r="G2245" s="583"/>
      <c r="H2245" s="405"/>
      <c r="I2245" s="405"/>
      <c r="J2245" s="405"/>
      <c r="K2245" s="405"/>
      <c r="L2245" s="405"/>
      <c r="M2245" s="405"/>
      <c r="N2245" s="405"/>
      <c r="O2245" s="405"/>
      <c r="P2245" s="405"/>
      <c r="Q2245" s="405"/>
      <c r="R2245" s="405"/>
      <c r="S2245" s="405"/>
      <c r="T2245" s="405"/>
      <c r="U2245" s="405"/>
      <c r="V2245" s="405"/>
      <c r="W2245" s="405"/>
      <c r="X2245" s="405"/>
      <c r="Y2245" s="405"/>
      <c r="Z2245" s="405"/>
      <c r="AA2245" s="405"/>
      <c r="AB2245" s="405"/>
    </row>
    <row r="2246" ht="14.25" customHeight="1">
      <c r="A2246" s="405"/>
      <c r="B2246" s="405"/>
      <c r="C2246" s="405"/>
      <c r="D2246" s="405"/>
      <c r="E2246" s="405"/>
      <c r="F2246" s="583"/>
      <c r="G2246" s="583"/>
      <c r="H2246" s="405"/>
      <c r="I2246" s="405"/>
      <c r="J2246" s="405"/>
      <c r="K2246" s="405"/>
      <c r="L2246" s="405"/>
      <c r="M2246" s="405"/>
      <c r="N2246" s="405"/>
      <c r="O2246" s="405"/>
      <c r="P2246" s="405"/>
      <c r="Q2246" s="405"/>
      <c r="R2246" s="405"/>
      <c r="S2246" s="405"/>
      <c r="T2246" s="405"/>
      <c r="U2246" s="405"/>
      <c r="V2246" s="405"/>
      <c r="W2246" s="405"/>
      <c r="X2246" s="405"/>
      <c r="Y2246" s="405"/>
      <c r="Z2246" s="405"/>
      <c r="AA2246" s="405"/>
      <c r="AB2246" s="405"/>
    </row>
    <row r="2247" ht="14.25" customHeight="1">
      <c r="A2247" s="405"/>
      <c r="B2247" s="405"/>
      <c r="C2247" s="405"/>
      <c r="D2247" s="405"/>
      <c r="E2247" s="405"/>
      <c r="F2247" s="583"/>
      <c r="G2247" s="583"/>
      <c r="H2247" s="405"/>
      <c r="I2247" s="405"/>
      <c r="J2247" s="405"/>
      <c r="K2247" s="405"/>
      <c r="L2247" s="405"/>
      <c r="M2247" s="405"/>
      <c r="N2247" s="405"/>
      <c r="O2247" s="405"/>
      <c r="P2247" s="405"/>
      <c r="Q2247" s="405"/>
      <c r="R2247" s="405"/>
      <c r="S2247" s="405"/>
      <c r="T2247" s="405"/>
      <c r="U2247" s="405"/>
      <c r="V2247" s="405"/>
      <c r="W2247" s="405"/>
      <c r="X2247" s="405"/>
      <c r="Y2247" s="405"/>
      <c r="Z2247" s="405"/>
      <c r="AA2247" s="405"/>
      <c r="AB2247" s="405"/>
    </row>
    <row r="2248" ht="14.25" customHeight="1">
      <c r="A2248" s="405"/>
      <c r="B2248" s="405"/>
      <c r="C2248" s="405"/>
      <c r="D2248" s="405"/>
      <c r="E2248" s="405"/>
      <c r="F2248" s="583"/>
      <c r="G2248" s="583"/>
      <c r="H2248" s="405"/>
      <c r="I2248" s="405"/>
      <c r="J2248" s="405"/>
      <c r="K2248" s="405"/>
      <c r="L2248" s="405"/>
      <c r="M2248" s="405"/>
      <c r="N2248" s="405"/>
      <c r="O2248" s="405"/>
      <c r="P2248" s="405"/>
      <c r="Q2248" s="405"/>
      <c r="R2248" s="405"/>
      <c r="S2248" s="405"/>
      <c r="T2248" s="405"/>
      <c r="U2248" s="405"/>
      <c r="V2248" s="405"/>
      <c r="W2248" s="405"/>
      <c r="X2248" s="405"/>
      <c r="Y2248" s="405"/>
      <c r="Z2248" s="405"/>
      <c r="AA2248" s="405"/>
      <c r="AB2248" s="405"/>
    </row>
    <row r="2249" ht="14.25" customHeight="1">
      <c r="A2249" s="405"/>
      <c r="B2249" s="405"/>
      <c r="C2249" s="405"/>
      <c r="D2249" s="405"/>
      <c r="E2249" s="405"/>
      <c r="F2249" s="583"/>
      <c r="G2249" s="583"/>
      <c r="H2249" s="405"/>
      <c r="I2249" s="405"/>
      <c r="J2249" s="405"/>
      <c r="K2249" s="405"/>
      <c r="L2249" s="405"/>
      <c r="M2249" s="405"/>
      <c r="N2249" s="405"/>
      <c r="O2249" s="405"/>
      <c r="P2249" s="405"/>
      <c r="Q2249" s="405"/>
      <c r="R2249" s="405"/>
      <c r="S2249" s="405"/>
      <c r="T2249" s="405"/>
      <c r="U2249" s="405"/>
      <c r="V2249" s="405"/>
      <c r="W2249" s="405"/>
      <c r="X2249" s="405"/>
      <c r="Y2249" s="405"/>
      <c r="Z2249" s="405"/>
      <c r="AA2249" s="405"/>
      <c r="AB2249" s="405"/>
    </row>
    <row r="2250" ht="14.25" customHeight="1">
      <c r="A2250" s="405"/>
      <c r="B2250" s="405"/>
      <c r="C2250" s="405"/>
      <c r="D2250" s="405"/>
      <c r="E2250" s="405"/>
      <c r="F2250" s="583"/>
      <c r="G2250" s="583"/>
      <c r="H2250" s="405"/>
      <c r="I2250" s="405"/>
      <c r="J2250" s="405"/>
      <c r="K2250" s="405"/>
      <c r="L2250" s="405"/>
      <c r="M2250" s="405"/>
      <c r="N2250" s="405"/>
      <c r="O2250" s="405"/>
      <c r="P2250" s="405"/>
      <c r="Q2250" s="405"/>
      <c r="R2250" s="405"/>
      <c r="S2250" s="405"/>
      <c r="T2250" s="405"/>
      <c r="U2250" s="405"/>
      <c r="V2250" s="405"/>
      <c r="W2250" s="405"/>
      <c r="X2250" s="405"/>
      <c r="Y2250" s="405"/>
      <c r="Z2250" s="405"/>
      <c r="AA2250" s="405"/>
      <c r="AB2250" s="405"/>
    </row>
    <row r="2251" ht="14.25" customHeight="1">
      <c r="A2251" s="405"/>
      <c r="B2251" s="405"/>
      <c r="C2251" s="405"/>
      <c r="D2251" s="405"/>
      <c r="E2251" s="405"/>
      <c r="F2251" s="583"/>
      <c r="G2251" s="583"/>
      <c r="H2251" s="405"/>
      <c r="I2251" s="405"/>
      <c r="J2251" s="405"/>
      <c r="K2251" s="405"/>
      <c r="L2251" s="405"/>
      <c r="M2251" s="405"/>
      <c r="N2251" s="405"/>
      <c r="O2251" s="405"/>
      <c r="P2251" s="405"/>
      <c r="Q2251" s="405"/>
      <c r="R2251" s="405"/>
      <c r="S2251" s="405"/>
      <c r="T2251" s="405"/>
      <c r="U2251" s="405"/>
      <c r="V2251" s="405"/>
      <c r="W2251" s="405"/>
      <c r="X2251" s="405"/>
      <c r="Y2251" s="405"/>
      <c r="Z2251" s="405"/>
      <c r="AA2251" s="405"/>
      <c r="AB2251" s="405"/>
    </row>
    <row r="2252" ht="14.25" customHeight="1">
      <c r="A2252" s="405"/>
      <c r="B2252" s="405"/>
      <c r="C2252" s="405"/>
      <c r="D2252" s="405"/>
      <c r="E2252" s="405"/>
      <c r="F2252" s="583"/>
      <c r="G2252" s="583"/>
      <c r="H2252" s="405"/>
      <c r="I2252" s="405"/>
      <c r="J2252" s="405"/>
      <c r="K2252" s="405"/>
      <c r="L2252" s="405"/>
      <c r="M2252" s="405"/>
      <c r="N2252" s="405"/>
      <c r="O2252" s="405"/>
      <c r="P2252" s="405"/>
      <c r="Q2252" s="405"/>
      <c r="R2252" s="405"/>
      <c r="S2252" s="405"/>
      <c r="T2252" s="405"/>
      <c r="U2252" s="405"/>
      <c r="V2252" s="405"/>
      <c r="W2252" s="405"/>
      <c r="X2252" s="405"/>
      <c r="Y2252" s="405"/>
      <c r="Z2252" s="405"/>
      <c r="AA2252" s="405"/>
      <c r="AB2252" s="405"/>
    </row>
    <row r="2253" ht="14.25" customHeight="1">
      <c r="A2253" s="405"/>
      <c r="B2253" s="405"/>
      <c r="C2253" s="405"/>
      <c r="D2253" s="405"/>
      <c r="E2253" s="405"/>
      <c r="F2253" s="583"/>
      <c r="G2253" s="583"/>
      <c r="H2253" s="405"/>
      <c r="I2253" s="405"/>
      <c r="J2253" s="405"/>
      <c r="K2253" s="405"/>
      <c r="L2253" s="405"/>
      <c r="M2253" s="405"/>
      <c r="N2253" s="405"/>
      <c r="O2253" s="405"/>
      <c r="P2253" s="405"/>
      <c r="Q2253" s="405"/>
      <c r="R2253" s="405"/>
      <c r="S2253" s="405"/>
      <c r="T2253" s="405"/>
      <c r="U2253" s="405"/>
      <c r="V2253" s="405"/>
      <c r="W2253" s="405"/>
      <c r="X2253" s="405"/>
      <c r="Y2253" s="405"/>
      <c r="Z2253" s="405"/>
      <c r="AA2253" s="405"/>
      <c r="AB2253" s="405"/>
    </row>
    <row r="2254" ht="14.25" customHeight="1">
      <c r="A2254" s="405"/>
      <c r="B2254" s="405"/>
      <c r="C2254" s="405"/>
      <c r="D2254" s="405"/>
      <c r="E2254" s="405"/>
      <c r="F2254" s="583"/>
      <c r="G2254" s="583"/>
      <c r="H2254" s="405"/>
      <c r="I2254" s="405"/>
      <c r="J2254" s="405"/>
      <c r="K2254" s="405"/>
      <c r="L2254" s="405"/>
      <c r="M2254" s="405"/>
      <c r="N2254" s="405"/>
      <c r="O2254" s="405"/>
      <c r="P2254" s="405"/>
      <c r="Q2254" s="405"/>
      <c r="R2254" s="405"/>
      <c r="S2254" s="405"/>
      <c r="T2254" s="405"/>
      <c r="U2254" s="405"/>
      <c r="V2254" s="405"/>
      <c r="W2254" s="405"/>
      <c r="X2254" s="405"/>
      <c r="Y2254" s="405"/>
      <c r="Z2254" s="405"/>
      <c r="AA2254" s="405"/>
      <c r="AB2254" s="405"/>
    </row>
    <row r="2255" ht="14.25" customHeight="1">
      <c r="A2255" s="405"/>
      <c r="B2255" s="405"/>
      <c r="C2255" s="405"/>
      <c r="D2255" s="405"/>
      <c r="E2255" s="405"/>
      <c r="F2255" s="583"/>
      <c r="G2255" s="583"/>
      <c r="H2255" s="405"/>
      <c r="I2255" s="405"/>
      <c r="J2255" s="405"/>
      <c r="K2255" s="405"/>
      <c r="L2255" s="405"/>
      <c r="M2255" s="405"/>
      <c r="N2255" s="405"/>
      <c r="O2255" s="405"/>
      <c r="P2255" s="405"/>
      <c r="Q2255" s="405"/>
      <c r="R2255" s="405"/>
      <c r="S2255" s="405"/>
      <c r="T2255" s="405"/>
      <c r="U2255" s="405"/>
      <c r="V2255" s="405"/>
      <c r="W2255" s="405"/>
      <c r="X2255" s="405"/>
      <c r="Y2255" s="405"/>
      <c r="Z2255" s="405"/>
      <c r="AA2255" s="405"/>
      <c r="AB2255" s="405"/>
    </row>
    <row r="2256" ht="14.25" customHeight="1">
      <c r="A2256" s="405"/>
      <c r="B2256" s="405"/>
      <c r="C2256" s="405"/>
      <c r="D2256" s="405"/>
      <c r="E2256" s="405"/>
      <c r="F2256" s="583"/>
      <c r="G2256" s="583"/>
      <c r="H2256" s="405"/>
      <c r="I2256" s="405"/>
      <c r="J2256" s="405"/>
      <c r="K2256" s="405"/>
      <c r="L2256" s="405"/>
      <c r="M2256" s="405"/>
      <c r="N2256" s="405"/>
      <c r="O2256" s="405"/>
      <c r="P2256" s="405"/>
      <c r="Q2256" s="405"/>
      <c r="R2256" s="405"/>
      <c r="S2256" s="405"/>
      <c r="T2256" s="405"/>
      <c r="U2256" s="405"/>
      <c r="V2256" s="405"/>
      <c r="W2256" s="405"/>
      <c r="X2256" s="405"/>
      <c r="Y2256" s="405"/>
      <c r="Z2256" s="405"/>
      <c r="AA2256" s="405"/>
      <c r="AB2256" s="405"/>
    </row>
    <row r="2257" ht="14.25" customHeight="1">
      <c r="A2257" s="405"/>
      <c r="B2257" s="405"/>
      <c r="C2257" s="405"/>
      <c r="D2257" s="405"/>
      <c r="E2257" s="405"/>
      <c r="F2257" s="583"/>
      <c r="G2257" s="583"/>
      <c r="H2257" s="405"/>
      <c r="I2257" s="405"/>
      <c r="J2257" s="405"/>
      <c r="K2257" s="405"/>
      <c r="L2257" s="405"/>
      <c r="M2257" s="405"/>
      <c r="N2257" s="405"/>
      <c r="O2257" s="405"/>
      <c r="P2257" s="405"/>
      <c r="Q2257" s="405"/>
      <c r="R2257" s="405"/>
      <c r="S2257" s="405"/>
      <c r="T2257" s="405"/>
      <c r="U2257" s="405"/>
      <c r="V2257" s="405"/>
      <c r="W2257" s="405"/>
      <c r="X2257" s="405"/>
      <c r="Y2257" s="405"/>
      <c r="Z2257" s="405"/>
      <c r="AA2257" s="405"/>
      <c r="AB2257" s="405"/>
    </row>
    <row r="2258" ht="14.25" customHeight="1">
      <c r="A2258" s="405"/>
      <c r="B2258" s="405"/>
      <c r="C2258" s="405"/>
      <c r="D2258" s="405"/>
      <c r="E2258" s="405"/>
      <c r="F2258" s="583"/>
      <c r="G2258" s="583"/>
      <c r="H2258" s="405"/>
      <c r="I2258" s="405"/>
      <c r="J2258" s="405"/>
      <c r="K2258" s="405"/>
      <c r="L2258" s="405"/>
      <c r="M2258" s="405"/>
      <c r="N2258" s="405"/>
      <c r="O2258" s="405"/>
      <c r="P2258" s="405"/>
      <c r="Q2258" s="405"/>
      <c r="R2258" s="405"/>
      <c r="S2258" s="405"/>
      <c r="T2258" s="405"/>
      <c r="U2258" s="405"/>
      <c r="V2258" s="405"/>
      <c r="W2258" s="405"/>
      <c r="X2258" s="405"/>
      <c r="Y2258" s="405"/>
      <c r="Z2258" s="405"/>
      <c r="AA2258" s="405"/>
      <c r="AB2258" s="405"/>
    </row>
    <row r="2259" ht="14.25" customHeight="1">
      <c r="A2259" s="405"/>
      <c r="B2259" s="405"/>
      <c r="C2259" s="405"/>
      <c r="D2259" s="405"/>
      <c r="E2259" s="405"/>
      <c r="F2259" s="583"/>
      <c r="G2259" s="583"/>
      <c r="H2259" s="405"/>
      <c r="I2259" s="405"/>
      <c r="J2259" s="405"/>
      <c r="K2259" s="405"/>
      <c r="L2259" s="405"/>
      <c r="M2259" s="405"/>
      <c r="N2259" s="405"/>
      <c r="O2259" s="405"/>
      <c r="P2259" s="405"/>
      <c r="Q2259" s="405"/>
      <c r="R2259" s="405"/>
      <c r="S2259" s="405"/>
      <c r="T2259" s="405"/>
      <c r="U2259" s="405"/>
      <c r="V2259" s="405"/>
      <c r="W2259" s="405"/>
      <c r="X2259" s="405"/>
      <c r="Y2259" s="405"/>
      <c r="Z2259" s="405"/>
      <c r="AA2259" s="405"/>
      <c r="AB2259" s="405"/>
    </row>
    <row r="2260" ht="14.25" customHeight="1">
      <c r="A2260" s="405"/>
      <c r="B2260" s="405"/>
      <c r="C2260" s="405"/>
      <c r="D2260" s="405"/>
      <c r="E2260" s="405"/>
      <c r="F2260" s="583"/>
      <c r="G2260" s="583"/>
      <c r="H2260" s="405"/>
      <c r="I2260" s="405"/>
      <c r="J2260" s="405"/>
      <c r="K2260" s="405"/>
      <c r="L2260" s="405"/>
      <c r="M2260" s="405"/>
      <c r="N2260" s="405"/>
      <c r="O2260" s="405"/>
      <c r="P2260" s="405"/>
      <c r="Q2260" s="405"/>
      <c r="R2260" s="405"/>
      <c r="S2260" s="405"/>
      <c r="T2260" s="405"/>
      <c r="U2260" s="405"/>
      <c r="V2260" s="405"/>
      <c r="W2260" s="405"/>
      <c r="X2260" s="405"/>
      <c r="Y2260" s="405"/>
      <c r="Z2260" s="405"/>
      <c r="AA2260" s="405"/>
      <c r="AB2260" s="405"/>
    </row>
    <row r="2261" ht="14.25" customHeight="1">
      <c r="A2261" s="405"/>
      <c r="B2261" s="405"/>
      <c r="C2261" s="405"/>
      <c r="D2261" s="405"/>
      <c r="E2261" s="405"/>
      <c r="F2261" s="583"/>
      <c r="G2261" s="583"/>
      <c r="H2261" s="405"/>
      <c r="I2261" s="405"/>
      <c r="J2261" s="405"/>
      <c r="K2261" s="405"/>
      <c r="L2261" s="405"/>
      <c r="M2261" s="405"/>
      <c r="N2261" s="405"/>
      <c r="O2261" s="405"/>
      <c r="P2261" s="405"/>
      <c r="Q2261" s="405"/>
      <c r="R2261" s="405"/>
      <c r="S2261" s="405"/>
      <c r="T2261" s="405"/>
      <c r="U2261" s="405"/>
      <c r="V2261" s="405"/>
      <c r="W2261" s="405"/>
      <c r="X2261" s="405"/>
      <c r="Y2261" s="405"/>
      <c r="Z2261" s="405"/>
      <c r="AA2261" s="405"/>
      <c r="AB2261" s="405"/>
    </row>
    <row r="2262" ht="14.25" customHeight="1">
      <c r="A2262" s="405"/>
      <c r="B2262" s="405"/>
      <c r="C2262" s="405"/>
      <c r="D2262" s="405"/>
      <c r="E2262" s="405"/>
      <c r="F2262" s="583"/>
      <c r="G2262" s="583"/>
      <c r="H2262" s="405"/>
      <c r="I2262" s="405"/>
      <c r="J2262" s="405"/>
      <c r="K2262" s="405"/>
      <c r="L2262" s="405"/>
      <c r="M2262" s="405"/>
      <c r="N2262" s="405"/>
      <c r="O2262" s="405"/>
      <c r="P2262" s="405"/>
      <c r="Q2262" s="405"/>
      <c r="R2262" s="405"/>
      <c r="S2262" s="405"/>
      <c r="T2262" s="405"/>
      <c r="U2262" s="405"/>
      <c r="V2262" s="405"/>
      <c r="W2262" s="405"/>
      <c r="X2262" s="405"/>
      <c r="Y2262" s="405"/>
      <c r="Z2262" s="405"/>
      <c r="AA2262" s="405"/>
      <c r="AB2262" s="405"/>
    </row>
    <row r="2263" ht="14.25" customHeight="1">
      <c r="A2263" s="405"/>
      <c r="B2263" s="405"/>
      <c r="C2263" s="405"/>
      <c r="D2263" s="405"/>
      <c r="E2263" s="405"/>
      <c r="F2263" s="583"/>
      <c r="G2263" s="583"/>
      <c r="H2263" s="405"/>
      <c r="I2263" s="405"/>
      <c r="J2263" s="405"/>
      <c r="K2263" s="405"/>
      <c r="L2263" s="405"/>
      <c r="M2263" s="405"/>
      <c r="N2263" s="405"/>
      <c r="O2263" s="405"/>
      <c r="P2263" s="405"/>
      <c r="Q2263" s="405"/>
      <c r="R2263" s="405"/>
      <c r="S2263" s="405"/>
      <c r="T2263" s="405"/>
      <c r="U2263" s="405"/>
      <c r="V2263" s="405"/>
      <c r="W2263" s="405"/>
      <c r="X2263" s="405"/>
      <c r="Y2263" s="405"/>
      <c r="Z2263" s="405"/>
      <c r="AA2263" s="405"/>
      <c r="AB2263" s="405"/>
    </row>
    <row r="2264" ht="14.25" customHeight="1">
      <c r="A2264" s="405"/>
      <c r="B2264" s="405"/>
      <c r="C2264" s="405"/>
      <c r="D2264" s="405"/>
      <c r="E2264" s="405"/>
      <c r="F2264" s="583"/>
      <c r="G2264" s="583"/>
      <c r="H2264" s="405"/>
      <c r="I2264" s="405"/>
      <c r="J2264" s="405"/>
      <c r="K2264" s="405"/>
      <c r="L2264" s="405"/>
      <c r="M2264" s="405"/>
      <c r="N2264" s="405"/>
      <c r="O2264" s="405"/>
      <c r="P2264" s="405"/>
      <c r="Q2264" s="405"/>
      <c r="R2264" s="405"/>
      <c r="S2264" s="405"/>
      <c r="T2264" s="405"/>
      <c r="U2264" s="405"/>
      <c r="V2264" s="405"/>
      <c r="W2264" s="405"/>
      <c r="X2264" s="405"/>
      <c r="Y2264" s="405"/>
      <c r="Z2264" s="405"/>
      <c r="AA2264" s="405"/>
      <c r="AB2264" s="405"/>
    </row>
    <row r="2265" ht="14.25" customHeight="1">
      <c r="A2265" s="405"/>
      <c r="B2265" s="405"/>
      <c r="C2265" s="405"/>
      <c r="D2265" s="405"/>
      <c r="E2265" s="405"/>
      <c r="F2265" s="583"/>
      <c r="G2265" s="583"/>
      <c r="H2265" s="405"/>
      <c r="I2265" s="405"/>
      <c r="J2265" s="405"/>
      <c r="K2265" s="405"/>
      <c r="L2265" s="405"/>
      <c r="M2265" s="405"/>
      <c r="N2265" s="405"/>
      <c r="O2265" s="405"/>
      <c r="P2265" s="405"/>
      <c r="Q2265" s="405"/>
      <c r="R2265" s="405"/>
      <c r="S2265" s="405"/>
      <c r="T2265" s="405"/>
      <c r="U2265" s="405"/>
      <c r="V2265" s="405"/>
      <c r="W2265" s="405"/>
      <c r="X2265" s="405"/>
      <c r="Y2265" s="405"/>
      <c r="Z2265" s="405"/>
      <c r="AA2265" s="405"/>
      <c r="AB2265" s="405"/>
    </row>
    <row r="2266" ht="14.25" customHeight="1">
      <c r="A2266" s="405"/>
      <c r="B2266" s="405"/>
      <c r="C2266" s="405"/>
      <c r="D2266" s="405"/>
      <c r="E2266" s="405"/>
      <c r="F2266" s="583"/>
      <c r="G2266" s="583"/>
      <c r="H2266" s="405"/>
      <c r="I2266" s="405"/>
      <c r="J2266" s="405"/>
      <c r="K2266" s="405"/>
      <c r="L2266" s="405"/>
      <c r="M2266" s="405"/>
      <c r="N2266" s="405"/>
      <c r="O2266" s="405"/>
      <c r="P2266" s="405"/>
      <c r="Q2266" s="405"/>
      <c r="R2266" s="405"/>
      <c r="S2266" s="405"/>
      <c r="T2266" s="405"/>
      <c r="U2266" s="405"/>
      <c r="V2266" s="405"/>
      <c r="W2266" s="405"/>
      <c r="X2266" s="405"/>
      <c r="Y2266" s="405"/>
      <c r="Z2266" s="405"/>
      <c r="AA2266" s="405"/>
      <c r="AB2266" s="405"/>
    </row>
    <row r="2267" ht="14.25" customHeight="1">
      <c r="A2267" s="405"/>
      <c r="B2267" s="405"/>
      <c r="C2267" s="405"/>
      <c r="D2267" s="405"/>
      <c r="E2267" s="405"/>
      <c r="F2267" s="583"/>
      <c r="G2267" s="583"/>
      <c r="H2267" s="405"/>
      <c r="I2267" s="405"/>
      <c r="J2267" s="405"/>
      <c r="K2267" s="405"/>
      <c r="L2267" s="405"/>
      <c r="M2267" s="405"/>
      <c r="N2267" s="405"/>
      <c r="O2267" s="405"/>
      <c r="P2267" s="405"/>
      <c r="Q2267" s="405"/>
      <c r="R2267" s="405"/>
      <c r="S2267" s="405"/>
      <c r="T2267" s="405"/>
      <c r="U2267" s="405"/>
      <c r="V2267" s="405"/>
      <c r="W2267" s="405"/>
      <c r="X2267" s="405"/>
      <c r="Y2267" s="405"/>
      <c r="Z2267" s="405"/>
      <c r="AA2267" s="405"/>
      <c r="AB2267" s="405"/>
    </row>
    <row r="2268" ht="14.25" customHeight="1">
      <c r="A2268" s="405"/>
      <c r="B2268" s="405"/>
      <c r="C2268" s="405"/>
      <c r="D2268" s="405"/>
      <c r="E2268" s="405"/>
      <c r="F2268" s="583"/>
      <c r="G2268" s="583"/>
      <c r="H2268" s="405"/>
      <c r="I2268" s="405"/>
      <c r="J2268" s="405"/>
      <c r="K2268" s="405"/>
      <c r="L2268" s="405"/>
      <c r="M2268" s="405"/>
      <c r="N2268" s="405"/>
      <c r="O2268" s="405"/>
      <c r="P2268" s="405"/>
      <c r="Q2268" s="405"/>
      <c r="R2268" s="405"/>
      <c r="S2268" s="405"/>
      <c r="T2268" s="405"/>
      <c r="U2268" s="405"/>
      <c r="V2268" s="405"/>
      <c r="W2268" s="405"/>
      <c r="X2268" s="405"/>
      <c r="Y2268" s="405"/>
      <c r="Z2268" s="405"/>
      <c r="AA2268" s="405"/>
      <c r="AB2268" s="405"/>
    </row>
    <row r="2269" ht="14.25" customHeight="1">
      <c r="A2269" s="405"/>
      <c r="B2269" s="405"/>
      <c r="C2269" s="405"/>
      <c r="D2269" s="405"/>
      <c r="E2269" s="405"/>
      <c r="F2269" s="583"/>
      <c r="G2269" s="583"/>
      <c r="H2269" s="405"/>
      <c r="I2269" s="405"/>
      <c r="J2269" s="405"/>
      <c r="K2269" s="405"/>
      <c r="L2269" s="405"/>
      <c r="M2269" s="405"/>
      <c r="N2269" s="405"/>
      <c r="O2269" s="405"/>
      <c r="P2269" s="405"/>
      <c r="Q2269" s="405"/>
      <c r="R2269" s="405"/>
      <c r="S2269" s="405"/>
      <c r="T2269" s="405"/>
      <c r="U2269" s="405"/>
      <c r="V2269" s="405"/>
      <c r="W2269" s="405"/>
      <c r="X2269" s="405"/>
      <c r="Y2269" s="405"/>
      <c r="Z2269" s="405"/>
      <c r="AA2269" s="405"/>
      <c r="AB2269" s="405"/>
    </row>
    <row r="2270" ht="14.25" customHeight="1">
      <c r="A2270" s="405"/>
      <c r="B2270" s="405"/>
      <c r="C2270" s="405"/>
      <c r="D2270" s="405"/>
      <c r="E2270" s="405"/>
      <c r="F2270" s="583"/>
      <c r="G2270" s="583"/>
      <c r="H2270" s="405"/>
      <c r="I2270" s="405"/>
      <c r="J2270" s="405"/>
      <c r="K2270" s="405"/>
      <c r="L2270" s="405"/>
      <c r="M2270" s="405"/>
      <c r="N2270" s="405"/>
      <c r="O2270" s="405"/>
      <c r="P2270" s="405"/>
      <c r="Q2270" s="405"/>
      <c r="R2270" s="405"/>
      <c r="S2270" s="405"/>
      <c r="T2270" s="405"/>
      <c r="U2270" s="405"/>
      <c r="V2270" s="405"/>
      <c r="W2270" s="405"/>
      <c r="X2270" s="405"/>
      <c r="Y2270" s="405"/>
      <c r="Z2270" s="405"/>
      <c r="AA2270" s="405"/>
      <c r="AB2270" s="405"/>
    </row>
    <row r="2271" ht="14.25" customHeight="1">
      <c r="A2271" s="405"/>
      <c r="B2271" s="405"/>
      <c r="C2271" s="405"/>
      <c r="D2271" s="405"/>
      <c r="E2271" s="405"/>
      <c r="F2271" s="583"/>
      <c r="G2271" s="583"/>
      <c r="H2271" s="405"/>
      <c r="I2271" s="405"/>
      <c r="J2271" s="405"/>
      <c r="K2271" s="405"/>
      <c r="L2271" s="405"/>
      <c r="M2271" s="405"/>
      <c r="N2271" s="405"/>
      <c r="O2271" s="405"/>
      <c r="P2271" s="405"/>
      <c r="Q2271" s="405"/>
      <c r="R2271" s="405"/>
      <c r="S2271" s="405"/>
      <c r="T2271" s="405"/>
      <c r="U2271" s="405"/>
      <c r="V2271" s="405"/>
      <c r="W2271" s="405"/>
      <c r="X2271" s="405"/>
      <c r="Y2271" s="405"/>
      <c r="Z2271" s="405"/>
      <c r="AA2271" s="405"/>
      <c r="AB2271" s="405"/>
    </row>
    <row r="2272" ht="14.25" customHeight="1">
      <c r="A2272" s="405"/>
      <c r="B2272" s="405"/>
      <c r="C2272" s="405"/>
      <c r="D2272" s="405"/>
      <c r="E2272" s="405"/>
      <c r="F2272" s="583"/>
      <c r="G2272" s="583"/>
      <c r="H2272" s="405"/>
      <c r="I2272" s="405"/>
      <c r="J2272" s="405"/>
      <c r="K2272" s="405"/>
      <c r="L2272" s="405"/>
      <c r="M2272" s="405"/>
      <c r="N2272" s="405"/>
      <c r="O2272" s="405"/>
      <c r="P2272" s="405"/>
      <c r="Q2272" s="405"/>
      <c r="R2272" s="405"/>
      <c r="S2272" s="405"/>
      <c r="T2272" s="405"/>
      <c r="U2272" s="405"/>
      <c r="V2272" s="405"/>
      <c r="W2272" s="405"/>
      <c r="X2272" s="405"/>
      <c r="Y2272" s="405"/>
      <c r="Z2272" s="405"/>
      <c r="AA2272" s="405"/>
      <c r="AB2272" s="405"/>
    </row>
    <row r="2273" ht="14.25" customHeight="1">
      <c r="A2273" s="405"/>
      <c r="B2273" s="405"/>
      <c r="C2273" s="405"/>
      <c r="D2273" s="405"/>
      <c r="E2273" s="405"/>
      <c r="F2273" s="583"/>
      <c r="G2273" s="583"/>
      <c r="H2273" s="405"/>
      <c r="I2273" s="405"/>
      <c r="J2273" s="405"/>
      <c r="K2273" s="405"/>
      <c r="L2273" s="405"/>
      <c r="M2273" s="405"/>
      <c r="N2273" s="405"/>
      <c r="O2273" s="405"/>
      <c r="P2273" s="405"/>
      <c r="Q2273" s="405"/>
      <c r="R2273" s="405"/>
      <c r="S2273" s="405"/>
      <c r="T2273" s="405"/>
      <c r="U2273" s="405"/>
      <c r="V2273" s="405"/>
      <c r="W2273" s="405"/>
      <c r="X2273" s="405"/>
      <c r="Y2273" s="405"/>
      <c r="Z2273" s="405"/>
      <c r="AA2273" s="405"/>
      <c r="AB2273" s="405"/>
    </row>
    <row r="2274" ht="14.25" customHeight="1">
      <c r="A2274" s="405"/>
      <c r="B2274" s="405"/>
      <c r="C2274" s="405"/>
      <c r="D2274" s="405"/>
      <c r="E2274" s="405"/>
      <c r="F2274" s="583"/>
      <c r="G2274" s="583"/>
      <c r="H2274" s="405"/>
      <c r="I2274" s="405"/>
      <c r="J2274" s="405"/>
      <c r="K2274" s="405"/>
      <c r="L2274" s="405"/>
      <c r="M2274" s="405"/>
      <c r="N2274" s="405"/>
      <c r="O2274" s="405"/>
      <c r="P2274" s="405"/>
      <c r="Q2274" s="405"/>
      <c r="R2274" s="405"/>
      <c r="S2274" s="405"/>
      <c r="T2274" s="405"/>
      <c r="U2274" s="405"/>
      <c r="V2274" s="405"/>
      <c r="W2274" s="405"/>
      <c r="X2274" s="405"/>
      <c r="Y2274" s="405"/>
      <c r="Z2274" s="405"/>
      <c r="AA2274" s="405"/>
      <c r="AB2274" s="405"/>
    </row>
    <row r="2275" ht="14.25" customHeight="1">
      <c r="A2275" s="405"/>
      <c r="B2275" s="405"/>
      <c r="C2275" s="405"/>
      <c r="D2275" s="405"/>
      <c r="E2275" s="405"/>
      <c r="F2275" s="583"/>
      <c r="G2275" s="583"/>
      <c r="H2275" s="405"/>
      <c r="I2275" s="405"/>
      <c r="J2275" s="405"/>
      <c r="K2275" s="405"/>
      <c r="L2275" s="405"/>
      <c r="M2275" s="405"/>
      <c r="N2275" s="405"/>
      <c r="O2275" s="405"/>
      <c r="P2275" s="405"/>
      <c r="Q2275" s="405"/>
      <c r="R2275" s="405"/>
      <c r="S2275" s="405"/>
      <c r="T2275" s="405"/>
      <c r="U2275" s="405"/>
      <c r="V2275" s="405"/>
      <c r="W2275" s="405"/>
      <c r="X2275" s="405"/>
      <c r="Y2275" s="405"/>
      <c r="Z2275" s="405"/>
      <c r="AA2275" s="405"/>
      <c r="AB2275" s="405"/>
    </row>
    <row r="2276" ht="14.25" customHeight="1">
      <c r="A2276" s="405"/>
      <c r="B2276" s="405"/>
      <c r="C2276" s="405"/>
      <c r="D2276" s="405"/>
      <c r="E2276" s="405"/>
      <c r="F2276" s="583"/>
      <c r="G2276" s="583"/>
      <c r="H2276" s="405"/>
      <c r="I2276" s="405"/>
      <c r="J2276" s="405"/>
      <c r="K2276" s="405"/>
      <c r="L2276" s="405"/>
      <c r="M2276" s="405"/>
      <c r="N2276" s="405"/>
      <c r="O2276" s="405"/>
      <c r="P2276" s="405"/>
      <c r="Q2276" s="405"/>
      <c r="R2276" s="405"/>
      <c r="S2276" s="405"/>
      <c r="T2276" s="405"/>
      <c r="U2276" s="405"/>
      <c r="V2276" s="405"/>
      <c r="W2276" s="405"/>
      <c r="X2276" s="405"/>
      <c r="Y2276" s="405"/>
      <c r="Z2276" s="405"/>
      <c r="AA2276" s="405"/>
      <c r="AB2276" s="405"/>
    </row>
    <row r="2277" ht="14.25" customHeight="1">
      <c r="A2277" s="405"/>
      <c r="B2277" s="405"/>
      <c r="C2277" s="405"/>
      <c r="D2277" s="405"/>
      <c r="E2277" s="405"/>
      <c r="F2277" s="583"/>
      <c r="G2277" s="583"/>
      <c r="H2277" s="405"/>
      <c r="I2277" s="405"/>
      <c r="J2277" s="405"/>
      <c r="K2277" s="405"/>
      <c r="L2277" s="405"/>
      <c r="M2277" s="405"/>
      <c r="N2277" s="405"/>
      <c r="O2277" s="405"/>
      <c r="P2277" s="405"/>
      <c r="Q2277" s="405"/>
      <c r="R2277" s="405"/>
      <c r="S2277" s="405"/>
      <c r="T2277" s="405"/>
      <c r="U2277" s="405"/>
      <c r="V2277" s="405"/>
      <c r="W2277" s="405"/>
      <c r="X2277" s="405"/>
      <c r="Y2277" s="405"/>
      <c r="Z2277" s="405"/>
      <c r="AA2277" s="405"/>
      <c r="AB2277" s="405"/>
    </row>
    <row r="2278" ht="14.25" customHeight="1">
      <c r="A2278" s="405"/>
      <c r="B2278" s="405"/>
      <c r="C2278" s="405"/>
      <c r="D2278" s="405"/>
      <c r="E2278" s="405"/>
      <c r="F2278" s="583"/>
      <c r="G2278" s="583"/>
      <c r="H2278" s="405"/>
      <c r="I2278" s="405"/>
      <c r="J2278" s="405"/>
      <c r="K2278" s="405"/>
      <c r="L2278" s="405"/>
      <c r="M2278" s="405"/>
      <c r="N2278" s="405"/>
      <c r="O2278" s="405"/>
      <c r="P2278" s="405"/>
      <c r="Q2278" s="405"/>
      <c r="R2278" s="405"/>
      <c r="S2278" s="405"/>
      <c r="T2278" s="405"/>
      <c r="U2278" s="405"/>
      <c r="V2278" s="405"/>
      <c r="W2278" s="405"/>
      <c r="X2278" s="405"/>
      <c r="Y2278" s="405"/>
      <c r="Z2278" s="405"/>
      <c r="AA2278" s="405"/>
      <c r="AB2278" s="405"/>
    </row>
    <row r="2279" ht="14.25" customHeight="1">
      <c r="A2279" s="405"/>
      <c r="B2279" s="405"/>
      <c r="C2279" s="405"/>
      <c r="D2279" s="405"/>
      <c r="E2279" s="405"/>
      <c r="F2279" s="583"/>
      <c r="G2279" s="583"/>
      <c r="H2279" s="405"/>
      <c r="I2279" s="405"/>
      <c r="J2279" s="405"/>
      <c r="K2279" s="405"/>
      <c r="L2279" s="405"/>
      <c r="M2279" s="405"/>
      <c r="N2279" s="405"/>
      <c r="O2279" s="405"/>
      <c r="P2279" s="405"/>
      <c r="Q2279" s="405"/>
      <c r="R2279" s="405"/>
      <c r="S2279" s="405"/>
      <c r="T2279" s="405"/>
      <c r="U2279" s="405"/>
      <c r="V2279" s="405"/>
      <c r="W2279" s="405"/>
      <c r="X2279" s="405"/>
      <c r="Y2279" s="405"/>
      <c r="Z2279" s="405"/>
      <c r="AA2279" s="405"/>
      <c r="AB2279" s="405"/>
    </row>
    <row r="2280" ht="14.25" customHeight="1">
      <c r="A2280" s="405"/>
      <c r="B2280" s="405"/>
      <c r="C2280" s="405"/>
      <c r="D2280" s="405"/>
      <c r="E2280" s="405"/>
      <c r="F2280" s="583"/>
      <c r="G2280" s="583"/>
      <c r="H2280" s="405"/>
      <c r="I2280" s="405"/>
      <c r="J2280" s="405"/>
      <c r="K2280" s="405"/>
      <c r="L2280" s="405"/>
      <c r="M2280" s="405"/>
      <c r="N2280" s="405"/>
      <c r="O2280" s="405"/>
      <c r="P2280" s="405"/>
      <c r="Q2280" s="405"/>
      <c r="R2280" s="405"/>
      <c r="S2280" s="405"/>
      <c r="T2280" s="405"/>
      <c r="U2280" s="405"/>
      <c r="V2280" s="405"/>
      <c r="W2280" s="405"/>
      <c r="X2280" s="405"/>
      <c r="Y2280" s="405"/>
      <c r="Z2280" s="405"/>
      <c r="AA2280" s="405"/>
      <c r="AB2280" s="405"/>
    </row>
    <row r="2281" ht="14.25" customHeight="1">
      <c r="A2281" s="405"/>
      <c r="B2281" s="405"/>
      <c r="C2281" s="405"/>
      <c r="D2281" s="405"/>
      <c r="E2281" s="405"/>
      <c r="F2281" s="583"/>
      <c r="G2281" s="583"/>
      <c r="H2281" s="405"/>
      <c r="I2281" s="405"/>
      <c r="J2281" s="405"/>
      <c r="K2281" s="405"/>
      <c r="L2281" s="405"/>
      <c r="M2281" s="405"/>
      <c r="N2281" s="405"/>
      <c r="O2281" s="405"/>
      <c r="P2281" s="405"/>
      <c r="Q2281" s="405"/>
      <c r="R2281" s="405"/>
      <c r="S2281" s="405"/>
      <c r="T2281" s="405"/>
      <c r="U2281" s="405"/>
      <c r="V2281" s="405"/>
      <c r="W2281" s="405"/>
      <c r="X2281" s="405"/>
      <c r="Y2281" s="405"/>
      <c r="Z2281" s="405"/>
      <c r="AA2281" s="405"/>
      <c r="AB2281" s="405"/>
    </row>
    <row r="2282" ht="14.25" customHeight="1">
      <c r="A2282" s="405"/>
      <c r="B2282" s="405"/>
      <c r="C2282" s="405"/>
      <c r="D2282" s="405"/>
      <c r="E2282" s="405"/>
      <c r="F2282" s="583"/>
      <c r="G2282" s="583"/>
      <c r="H2282" s="405"/>
      <c r="I2282" s="405"/>
      <c r="J2282" s="405"/>
      <c r="K2282" s="405"/>
      <c r="L2282" s="405"/>
      <c r="M2282" s="405"/>
      <c r="N2282" s="405"/>
      <c r="O2282" s="405"/>
      <c r="P2282" s="405"/>
      <c r="Q2282" s="405"/>
      <c r="R2282" s="405"/>
      <c r="S2282" s="405"/>
      <c r="T2282" s="405"/>
      <c r="U2282" s="405"/>
      <c r="V2282" s="405"/>
      <c r="W2282" s="405"/>
      <c r="X2282" s="405"/>
      <c r="Y2282" s="405"/>
      <c r="Z2282" s="405"/>
      <c r="AA2282" s="405"/>
      <c r="AB2282" s="405"/>
    </row>
    <row r="2283" ht="14.25" customHeight="1">
      <c r="A2283" s="405"/>
      <c r="B2283" s="405"/>
      <c r="C2283" s="405"/>
      <c r="D2283" s="405"/>
      <c r="E2283" s="405"/>
      <c r="F2283" s="583"/>
      <c r="G2283" s="583"/>
      <c r="H2283" s="405"/>
      <c r="I2283" s="405"/>
      <c r="J2283" s="405"/>
      <c r="K2283" s="405"/>
      <c r="L2283" s="405"/>
      <c r="M2283" s="405"/>
      <c r="N2283" s="405"/>
      <c r="O2283" s="405"/>
      <c r="P2283" s="405"/>
      <c r="Q2283" s="405"/>
      <c r="R2283" s="405"/>
      <c r="S2283" s="405"/>
      <c r="T2283" s="405"/>
      <c r="U2283" s="405"/>
      <c r="V2283" s="405"/>
      <c r="W2283" s="405"/>
      <c r="X2283" s="405"/>
      <c r="Y2283" s="405"/>
      <c r="Z2283" s="405"/>
      <c r="AA2283" s="405"/>
      <c r="AB2283" s="405"/>
    </row>
    <row r="2284" ht="14.25" customHeight="1">
      <c r="A2284" s="405"/>
      <c r="B2284" s="405"/>
      <c r="C2284" s="405"/>
      <c r="D2284" s="405"/>
      <c r="E2284" s="405"/>
      <c r="F2284" s="583"/>
      <c r="G2284" s="583"/>
      <c r="H2284" s="405"/>
      <c r="I2284" s="405"/>
      <c r="J2284" s="405"/>
      <c r="K2284" s="405"/>
      <c r="L2284" s="405"/>
      <c r="M2284" s="405"/>
      <c r="N2284" s="405"/>
      <c r="O2284" s="405"/>
      <c r="P2284" s="405"/>
      <c r="Q2284" s="405"/>
      <c r="R2284" s="405"/>
      <c r="S2284" s="405"/>
      <c r="T2284" s="405"/>
      <c r="U2284" s="405"/>
      <c r="V2284" s="405"/>
      <c r="W2284" s="405"/>
      <c r="X2284" s="405"/>
      <c r="Y2284" s="405"/>
      <c r="Z2284" s="405"/>
      <c r="AA2284" s="405"/>
      <c r="AB2284" s="405"/>
    </row>
    <row r="2285" ht="14.25" customHeight="1">
      <c r="A2285" s="405"/>
      <c r="B2285" s="405"/>
      <c r="C2285" s="405"/>
      <c r="D2285" s="405"/>
      <c r="E2285" s="405"/>
      <c r="F2285" s="583"/>
      <c r="G2285" s="583"/>
      <c r="H2285" s="405"/>
      <c r="I2285" s="405"/>
      <c r="J2285" s="405"/>
      <c r="K2285" s="405"/>
      <c r="L2285" s="405"/>
      <c r="M2285" s="405"/>
      <c r="N2285" s="405"/>
      <c r="O2285" s="405"/>
      <c r="P2285" s="405"/>
      <c r="Q2285" s="405"/>
      <c r="R2285" s="405"/>
      <c r="S2285" s="405"/>
      <c r="T2285" s="405"/>
      <c r="U2285" s="405"/>
      <c r="V2285" s="405"/>
      <c r="W2285" s="405"/>
      <c r="X2285" s="405"/>
      <c r="Y2285" s="405"/>
      <c r="Z2285" s="405"/>
      <c r="AA2285" s="405"/>
      <c r="AB2285" s="405"/>
    </row>
    <row r="2286" ht="14.25" customHeight="1">
      <c r="A2286" s="405"/>
      <c r="B2286" s="405"/>
      <c r="C2286" s="405"/>
      <c r="D2286" s="405"/>
      <c r="E2286" s="405"/>
      <c r="F2286" s="583"/>
      <c r="G2286" s="583"/>
      <c r="H2286" s="405"/>
      <c r="I2286" s="405"/>
      <c r="J2286" s="405"/>
      <c r="K2286" s="405"/>
      <c r="L2286" s="405"/>
      <c r="M2286" s="405"/>
      <c r="N2286" s="405"/>
      <c r="O2286" s="405"/>
      <c r="P2286" s="405"/>
      <c r="Q2286" s="405"/>
      <c r="R2286" s="405"/>
      <c r="S2286" s="405"/>
      <c r="T2286" s="405"/>
      <c r="U2286" s="405"/>
      <c r="V2286" s="405"/>
      <c r="W2286" s="405"/>
      <c r="X2286" s="405"/>
      <c r="Y2286" s="405"/>
      <c r="Z2286" s="405"/>
      <c r="AA2286" s="405"/>
      <c r="AB2286" s="405"/>
    </row>
    <row r="2287" ht="14.25" customHeight="1">
      <c r="A2287" s="405"/>
      <c r="B2287" s="405"/>
      <c r="C2287" s="405"/>
      <c r="D2287" s="405"/>
      <c r="E2287" s="405"/>
      <c r="F2287" s="583"/>
      <c r="G2287" s="583"/>
      <c r="H2287" s="405"/>
      <c r="I2287" s="405"/>
      <c r="J2287" s="405"/>
      <c r="K2287" s="405"/>
      <c r="L2287" s="405"/>
      <c r="M2287" s="405"/>
      <c r="N2287" s="405"/>
      <c r="O2287" s="405"/>
      <c r="P2287" s="405"/>
      <c r="Q2287" s="405"/>
      <c r="R2287" s="405"/>
      <c r="S2287" s="405"/>
      <c r="T2287" s="405"/>
      <c r="U2287" s="405"/>
      <c r="V2287" s="405"/>
      <c r="W2287" s="405"/>
      <c r="X2287" s="405"/>
      <c r="Y2287" s="405"/>
      <c r="Z2287" s="405"/>
      <c r="AA2287" s="405"/>
      <c r="AB2287" s="405"/>
    </row>
    <row r="2288" ht="14.25" customHeight="1">
      <c r="A2288" s="405"/>
      <c r="B2288" s="405"/>
      <c r="C2288" s="405"/>
      <c r="D2288" s="405"/>
      <c r="E2288" s="405"/>
      <c r="F2288" s="583"/>
      <c r="G2288" s="583"/>
      <c r="H2288" s="405"/>
      <c r="I2288" s="405"/>
      <c r="J2288" s="405"/>
      <c r="K2288" s="405"/>
      <c r="L2288" s="405"/>
      <c r="M2288" s="405"/>
      <c r="N2288" s="405"/>
      <c r="O2288" s="405"/>
      <c r="P2288" s="405"/>
      <c r="Q2288" s="405"/>
      <c r="R2288" s="405"/>
      <c r="S2288" s="405"/>
      <c r="T2288" s="405"/>
      <c r="U2288" s="405"/>
      <c r="V2288" s="405"/>
      <c r="W2288" s="405"/>
      <c r="X2288" s="405"/>
      <c r="Y2288" s="405"/>
      <c r="Z2288" s="405"/>
      <c r="AA2288" s="405"/>
      <c r="AB2288" s="405"/>
    </row>
    <row r="2289" ht="14.25" customHeight="1">
      <c r="A2289" s="405"/>
      <c r="B2289" s="405"/>
      <c r="C2289" s="405"/>
      <c r="D2289" s="405"/>
      <c r="E2289" s="405"/>
      <c r="F2289" s="583"/>
      <c r="G2289" s="583"/>
      <c r="H2289" s="405"/>
      <c r="I2289" s="405"/>
      <c r="J2289" s="405"/>
      <c r="K2289" s="405"/>
      <c r="L2289" s="405"/>
      <c r="M2289" s="405"/>
      <c r="N2289" s="405"/>
      <c r="O2289" s="405"/>
      <c r="P2289" s="405"/>
      <c r="Q2289" s="405"/>
      <c r="R2289" s="405"/>
      <c r="S2289" s="405"/>
      <c r="T2289" s="405"/>
      <c r="U2289" s="405"/>
      <c r="V2289" s="405"/>
      <c r="W2289" s="405"/>
      <c r="X2289" s="405"/>
      <c r="Y2289" s="405"/>
      <c r="Z2289" s="405"/>
      <c r="AA2289" s="405"/>
      <c r="AB2289" s="405"/>
    </row>
    <row r="2290" ht="14.25" customHeight="1">
      <c r="A2290" s="405"/>
      <c r="B2290" s="405"/>
      <c r="C2290" s="405"/>
      <c r="D2290" s="405"/>
      <c r="E2290" s="405"/>
      <c r="F2290" s="583"/>
      <c r="G2290" s="583"/>
      <c r="H2290" s="405"/>
      <c r="I2290" s="405"/>
      <c r="J2290" s="405"/>
      <c r="K2290" s="405"/>
      <c r="L2290" s="405"/>
      <c r="M2290" s="405"/>
      <c r="N2290" s="405"/>
      <c r="O2290" s="405"/>
      <c r="P2290" s="405"/>
      <c r="Q2290" s="405"/>
      <c r="R2290" s="405"/>
      <c r="S2290" s="405"/>
      <c r="T2290" s="405"/>
      <c r="U2290" s="405"/>
      <c r="V2290" s="405"/>
      <c r="W2290" s="405"/>
      <c r="X2290" s="405"/>
      <c r="Y2290" s="405"/>
      <c r="Z2290" s="405"/>
      <c r="AA2290" s="405"/>
      <c r="AB2290" s="405"/>
    </row>
    <row r="2291" ht="14.25" customHeight="1">
      <c r="A2291" s="405"/>
      <c r="B2291" s="405"/>
      <c r="C2291" s="405"/>
      <c r="D2291" s="405"/>
      <c r="E2291" s="405"/>
      <c r="F2291" s="583"/>
      <c r="G2291" s="583"/>
      <c r="H2291" s="405"/>
      <c r="I2291" s="405"/>
      <c r="J2291" s="405"/>
      <c r="K2291" s="405"/>
      <c r="L2291" s="405"/>
      <c r="M2291" s="405"/>
      <c r="N2291" s="405"/>
      <c r="O2291" s="405"/>
      <c r="P2291" s="405"/>
      <c r="Q2291" s="405"/>
      <c r="R2291" s="405"/>
      <c r="S2291" s="405"/>
      <c r="T2291" s="405"/>
      <c r="U2291" s="405"/>
      <c r="V2291" s="405"/>
      <c r="W2291" s="405"/>
      <c r="X2291" s="405"/>
      <c r="Y2291" s="405"/>
      <c r="Z2291" s="405"/>
      <c r="AA2291" s="405"/>
      <c r="AB2291" s="405"/>
    </row>
    <row r="2292" ht="14.25" customHeight="1">
      <c r="A2292" s="405"/>
      <c r="B2292" s="405"/>
      <c r="C2292" s="405"/>
      <c r="D2292" s="405"/>
      <c r="E2292" s="405"/>
      <c r="F2292" s="583"/>
      <c r="G2292" s="583"/>
      <c r="H2292" s="405"/>
      <c r="I2292" s="405"/>
      <c r="J2292" s="405"/>
      <c r="K2292" s="405"/>
      <c r="L2292" s="405"/>
      <c r="M2292" s="405"/>
      <c r="N2292" s="405"/>
      <c r="O2292" s="405"/>
      <c r="P2292" s="405"/>
      <c r="Q2292" s="405"/>
      <c r="R2292" s="405"/>
      <c r="S2292" s="405"/>
      <c r="T2292" s="405"/>
      <c r="U2292" s="405"/>
      <c r="V2292" s="405"/>
      <c r="W2292" s="405"/>
      <c r="X2292" s="405"/>
      <c r="Y2292" s="405"/>
      <c r="Z2292" s="405"/>
      <c r="AA2292" s="405"/>
      <c r="AB2292" s="405"/>
    </row>
    <row r="2293" ht="14.25" customHeight="1">
      <c r="A2293" s="405"/>
      <c r="B2293" s="405"/>
      <c r="C2293" s="405"/>
      <c r="D2293" s="405"/>
      <c r="E2293" s="405"/>
      <c r="F2293" s="583"/>
      <c r="G2293" s="583"/>
      <c r="H2293" s="405"/>
      <c r="I2293" s="405"/>
      <c r="J2293" s="405"/>
      <c r="K2293" s="405"/>
      <c r="L2293" s="405"/>
      <c r="M2293" s="405"/>
      <c r="N2293" s="405"/>
      <c r="O2293" s="405"/>
      <c r="P2293" s="405"/>
      <c r="Q2293" s="405"/>
      <c r="R2293" s="405"/>
      <c r="S2293" s="405"/>
      <c r="T2293" s="405"/>
      <c r="U2293" s="405"/>
      <c r="V2293" s="405"/>
      <c r="W2293" s="405"/>
      <c r="X2293" s="405"/>
      <c r="Y2293" s="405"/>
      <c r="Z2293" s="405"/>
      <c r="AA2293" s="405"/>
      <c r="AB2293" s="405"/>
    </row>
    <row r="2294" ht="14.25" customHeight="1">
      <c r="A2294" s="405"/>
      <c r="B2294" s="405"/>
      <c r="C2294" s="405"/>
      <c r="D2294" s="405"/>
      <c r="E2294" s="405"/>
      <c r="F2294" s="583"/>
      <c r="G2294" s="583"/>
      <c r="H2294" s="405"/>
      <c r="I2294" s="405"/>
      <c r="J2294" s="405"/>
      <c r="K2294" s="405"/>
      <c r="L2294" s="405"/>
      <c r="M2294" s="405"/>
      <c r="N2294" s="405"/>
      <c r="O2294" s="405"/>
      <c r="P2294" s="405"/>
      <c r="Q2294" s="405"/>
      <c r="R2294" s="405"/>
      <c r="S2294" s="405"/>
      <c r="T2294" s="405"/>
      <c r="U2294" s="405"/>
      <c r="V2294" s="405"/>
      <c r="W2294" s="405"/>
      <c r="X2294" s="405"/>
      <c r="Y2294" s="405"/>
      <c r="Z2294" s="405"/>
      <c r="AA2294" s="405"/>
      <c r="AB2294" s="405"/>
    </row>
    <row r="2295" ht="14.25" customHeight="1">
      <c r="A2295" s="405"/>
      <c r="B2295" s="405"/>
      <c r="C2295" s="405"/>
      <c r="D2295" s="405"/>
      <c r="E2295" s="405"/>
      <c r="F2295" s="583"/>
      <c r="G2295" s="583"/>
      <c r="H2295" s="405"/>
      <c r="I2295" s="405"/>
      <c r="J2295" s="405"/>
      <c r="K2295" s="405"/>
      <c r="L2295" s="405"/>
      <c r="M2295" s="405"/>
      <c r="N2295" s="405"/>
      <c r="O2295" s="405"/>
      <c r="P2295" s="405"/>
      <c r="Q2295" s="405"/>
      <c r="R2295" s="405"/>
      <c r="S2295" s="405"/>
      <c r="T2295" s="405"/>
      <c r="U2295" s="405"/>
      <c r="V2295" s="405"/>
      <c r="W2295" s="405"/>
      <c r="X2295" s="405"/>
      <c r="Y2295" s="405"/>
      <c r="Z2295" s="405"/>
      <c r="AA2295" s="405"/>
      <c r="AB2295" s="405"/>
    </row>
    <row r="2296" ht="14.25" customHeight="1">
      <c r="A2296" s="405"/>
      <c r="B2296" s="405"/>
      <c r="C2296" s="405"/>
      <c r="D2296" s="405"/>
      <c r="E2296" s="405"/>
      <c r="F2296" s="583"/>
      <c r="G2296" s="583"/>
      <c r="H2296" s="405"/>
      <c r="I2296" s="405"/>
      <c r="J2296" s="405"/>
      <c r="K2296" s="405"/>
      <c r="L2296" s="405"/>
      <c r="M2296" s="405"/>
      <c r="N2296" s="405"/>
      <c r="O2296" s="405"/>
      <c r="P2296" s="405"/>
      <c r="Q2296" s="405"/>
      <c r="R2296" s="405"/>
      <c r="S2296" s="405"/>
      <c r="T2296" s="405"/>
      <c r="U2296" s="405"/>
      <c r="V2296" s="405"/>
      <c r="W2296" s="405"/>
      <c r="X2296" s="405"/>
      <c r="Y2296" s="405"/>
      <c r="Z2296" s="405"/>
      <c r="AA2296" s="405"/>
      <c r="AB2296" s="405"/>
    </row>
    <row r="2297" ht="14.25" customHeight="1">
      <c r="A2297" s="405"/>
      <c r="B2297" s="405"/>
      <c r="C2297" s="405"/>
      <c r="D2297" s="405"/>
      <c r="E2297" s="405"/>
      <c r="F2297" s="583"/>
      <c r="G2297" s="583"/>
      <c r="H2297" s="405"/>
      <c r="I2297" s="405"/>
      <c r="J2297" s="405"/>
      <c r="K2297" s="405"/>
      <c r="L2297" s="405"/>
      <c r="M2297" s="405"/>
      <c r="N2297" s="405"/>
      <c r="O2297" s="405"/>
      <c r="P2297" s="405"/>
      <c r="Q2297" s="405"/>
      <c r="R2297" s="405"/>
      <c r="S2297" s="405"/>
      <c r="T2297" s="405"/>
      <c r="U2297" s="405"/>
      <c r="V2297" s="405"/>
      <c r="W2297" s="405"/>
      <c r="X2297" s="405"/>
      <c r="Y2297" s="405"/>
      <c r="Z2297" s="405"/>
      <c r="AA2297" s="405"/>
      <c r="AB2297" s="405"/>
    </row>
    <row r="2298" ht="14.25" customHeight="1">
      <c r="A2298" s="405"/>
      <c r="B2298" s="405"/>
      <c r="C2298" s="405"/>
      <c r="D2298" s="405"/>
      <c r="E2298" s="405"/>
      <c r="F2298" s="583"/>
      <c r="G2298" s="583"/>
      <c r="H2298" s="405"/>
      <c r="I2298" s="405"/>
      <c r="J2298" s="405"/>
      <c r="K2298" s="405"/>
      <c r="L2298" s="405"/>
      <c r="M2298" s="405"/>
      <c r="N2298" s="405"/>
      <c r="O2298" s="405"/>
      <c r="P2298" s="405"/>
      <c r="Q2298" s="405"/>
      <c r="R2298" s="405"/>
      <c r="S2298" s="405"/>
      <c r="T2298" s="405"/>
      <c r="U2298" s="405"/>
      <c r="V2298" s="405"/>
      <c r="W2298" s="405"/>
      <c r="X2298" s="405"/>
      <c r="Y2298" s="405"/>
      <c r="Z2298" s="405"/>
      <c r="AA2298" s="405"/>
      <c r="AB2298" s="405"/>
    </row>
    <row r="2299" ht="14.25" customHeight="1">
      <c r="A2299" s="405"/>
      <c r="B2299" s="405"/>
      <c r="C2299" s="405"/>
      <c r="D2299" s="405"/>
      <c r="E2299" s="405"/>
      <c r="F2299" s="583"/>
      <c r="G2299" s="583"/>
      <c r="H2299" s="405"/>
      <c r="I2299" s="405"/>
      <c r="J2299" s="405"/>
      <c r="K2299" s="405"/>
      <c r="L2299" s="405"/>
      <c r="M2299" s="405"/>
      <c r="N2299" s="405"/>
      <c r="O2299" s="405"/>
      <c r="P2299" s="405"/>
      <c r="Q2299" s="405"/>
      <c r="R2299" s="405"/>
      <c r="S2299" s="405"/>
      <c r="T2299" s="405"/>
      <c r="U2299" s="405"/>
      <c r="V2299" s="405"/>
      <c r="W2299" s="405"/>
      <c r="X2299" s="405"/>
      <c r="Y2299" s="405"/>
      <c r="Z2299" s="405"/>
      <c r="AA2299" s="405"/>
      <c r="AB2299" s="405"/>
    </row>
    <row r="2300" ht="14.25" customHeight="1">
      <c r="A2300" s="405"/>
      <c r="B2300" s="405"/>
      <c r="C2300" s="405"/>
      <c r="D2300" s="405"/>
      <c r="E2300" s="405"/>
      <c r="F2300" s="583"/>
      <c r="G2300" s="583"/>
      <c r="H2300" s="405"/>
      <c r="I2300" s="405"/>
      <c r="J2300" s="405"/>
      <c r="K2300" s="405"/>
      <c r="L2300" s="405"/>
      <c r="M2300" s="405"/>
      <c r="N2300" s="405"/>
      <c r="O2300" s="405"/>
      <c r="P2300" s="405"/>
      <c r="Q2300" s="405"/>
      <c r="R2300" s="405"/>
      <c r="S2300" s="405"/>
      <c r="T2300" s="405"/>
      <c r="U2300" s="405"/>
      <c r="V2300" s="405"/>
      <c r="W2300" s="405"/>
      <c r="X2300" s="405"/>
      <c r="Y2300" s="405"/>
      <c r="Z2300" s="405"/>
      <c r="AA2300" s="405"/>
      <c r="AB2300" s="405"/>
    </row>
    <row r="2301" ht="14.25" customHeight="1">
      <c r="A2301" s="405"/>
      <c r="B2301" s="405"/>
      <c r="C2301" s="405"/>
      <c r="D2301" s="405"/>
      <c r="E2301" s="405"/>
      <c r="F2301" s="583"/>
      <c r="G2301" s="583"/>
      <c r="H2301" s="405"/>
      <c r="I2301" s="405"/>
      <c r="J2301" s="405"/>
      <c r="K2301" s="405"/>
      <c r="L2301" s="405"/>
      <c r="M2301" s="405"/>
      <c r="N2301" s="405"/>
      <c r="O2301" s="405"/>
      <c r="P2301" s="405"/>
      <c r="Q2301" s="405"/>
      <c r="R2301" s="405"/>
      <c r="S2301" s="405"/>
      <c r="T2301" s="405"/>
      <c r="U2301" s="405"/>
      <c r="V2301" s="405"/>
      <c r="W2301" s="405"/>
      <c r="X2301" s="405"/>
      <c r="Y2301" s="405"/>
      <c r="Z2301" s="405"/>
      <c r="AA2301" s="405"/>
      <c r="AB2301" s="405"/>
    </row>
    <row r="2302" ht="14.25" customHeight="1">
      <c r="A2302" s="405"/>
      <c r="B2302" s="405"/>
      <c r="C2302" s="405"/>
      <c r="D2302" s="405"/>
      <c r="E2302" s="405"/>
      <c r="F2302" s="583"/>
      <c r="G2302" s="583"/>
      <c r="H2302" s="405"/>
      <c r="I2302" s="405"/>
      <c r="J2302" s="405"/>
      <c r="K2302" s="405"/>
      <c r="L2302" s="405"/>
      <c r="M2302" s="405"/>
      <c r="N2302" s="405"/>
      <c r="O2302" s="405"/>
      <c r="P2302" s="405"/>
      <c r="Q2302" s="405"/>
      <c r="R2302" s="405"/>
      <c r="S2302" s="405"/>
      <c r="T2302" s="405"/>
      <c r="U2302" s="405"/>
      <c r="V2302" s="405"/>
      <c r="W2302" s="405"/>
      <c r="X2302" s="405"/>
      <c r="Y2302" s="405"/>
      <c r="Z2302" s="405"/>
      <c r="AA2302" s="405"/>
      <c r="AB2302" s="405"/>
    </row>
    <row r="2303" ht="14.25" customHeight="1">
      <c r="A2303" s="405"/>
      <c r="B2303" s="405"/>
      <c r="C2303" s="405"/>
      <c r="D2303" s="405"/>
      <c r="E2303" s="405"/>
      <c r="F2303" s="583"/>
      <c r="G2303" s="583"/>
      <c r="H2303" s="405"/>
      <c r="I2303" s="405"/>
      <c r="J2303" s="405"/>
      <c r="K2303" s="405"/>
      <c r="L2303" s="405"/>
      <c r="M2303" s="405"/>
      <c r="N2303" s="405"/>
      <c r="O2303" s="405"/>
      <c r="P2303" s="405"/>
      <c r="Q2303" s="405"/>
      <c r="R2303" s="405"/>
      <c r="S2303" s="405"/>
      <c r="T2303" s="405"/>
      <c r="U2303" s="405"/>
      <c r="V2303" s="405"/>
      <c r="W2303" s="405"/>
      <c r="X2303" s="405"/>
      <c r="Y2303" s="405"/>
      <c r="Z2303" s="405"/>
      <c r="AA2303" s="405"/>
      <c r="AB2303" s="405"/>
    </row>
    <row r="2304" ht="14.25" customHeight="1">
      <c r="A2304" s="405"/>
      <c r="B2304" s="405"/>
      <c r="C2304" s="405"/>
      <c r="D2304" s="405"/>
      <c r="E2304" s="405"/>
      <c r="F2304" s="583"/>
      <c r="G2304" s="583"/>
      <c r="H2304" s="405"/>
      <c r="I2304" s="405"/>
      <c r="J2304" s="405"/>
      <c r="K2304" s="405"/>
      <c r="L2304" s="405"/>
      <c r="M2304" s="405"/>
      <c r="N2304" s="405"/>
      <c r="O2304" s="405"/>
      <c r="P2304" s="405"/>
      <c r="Q2304" s="405"/>
      <c r="R2304" s="405"/>
      <c r="S2304" s="405"/>
      <c r="T2304" s="405"/>
      <c r="U2304" s="405"/>
      <c r="V2304" s="405"/>
      <c r="W2304" s="405"/>
      <c r="X2304" s="405"/>
      <c r="Y2304" s="405"/>
      <c r="Z2304" s="405"/>
      <c r="AA2304" s="405"/>
      <c r="AB2304" s="405"/>
    </row>
    <row r="2305" ht="14.25" customHeight="1">
      <c r="A2305" s="405"/>
      <c r="B2305" s="405"/>
      <c r="C2305" s="405"/>
      <c r="D2305" s="405"/>
      <c r="E2305" s="405"/>
      <c r="F2305" s="583"/>
      <c r="G2305" s="583"/>
      <c r="H2305" s="405"/>
      <c r="I2305" s="405"/>
      <c r="J2305" s="405"/>
      <c r="K2305" s="405"/>
      <c r="L2305" s="405"/>
      <c r="M2305" s="405"/>
      <c r="N2305" s="405"/>
      <c r="O2305" s="405"/>
      <c r="P2305" s="405"/>
      <c r="Q2305" s="405"/>
      <c r="R2305" s="405"/>
      <c r="S2305" s="405"/>
      <c r="T2305" s="405"/>
      <c r="U2305" s="405"/>
      <c r="V2305" s="405"/>
      <c r="W2305" s="405"/>
      <c r="X2305" s="405"/>
      <c r="Y2305" s="405"/>
      <c r="Z2305" s="405"/>
      <c r="AA2305" s="405"/>
      <c r="AB2305" s="405"/>
    </row>
    <row r="2306" ht="14.25" customHeight="1">
      <c r="A2306" s="405"/>
      <c r="B2306" s="405"/>
      <c r="C2306" s="405"/>
      <c r="D2306" s="405"/>
      <c r="E2306" s="405"/>
      <c r="F2306" s="583"/>
      <c r="G2306" s="583"/>
      <c r="H2306" s="405"/>
      <c r="I2306" s="405"/>
      <c r="J2306" s="405"/>
      <c r="K2306" s="405"/>
      <c r="L2306" s="405"/>
      <c r="M2306" s="405"/>
      <c r="N2306" s="405"/>
      <c r="O2306" s="405"/>
      <c r="P2306" s="405"/>
      <c r="Q2306" s="405"/>
      <c r="R2306" s="405"/>
      <c r="S2306" s="405"/>
      <c r="T2306" s="405"/>
      <c r="U2306" s="405"/>
      <c r="V2306" s="405"/>
      <c r="W2306" s="405"/>
      <c r="X2306" s="405"/>
      <c r="Y2306" s="405"/>
      <c r="Z2306" s="405"/>
      <c r="AA2306" s="405"/>
      <c r="AB2306" s="405"/>
    </row>
    <row r="2307" ht="14.25" customHeight="1">
      <c r="A2307" s="405"/>
      <c r="B2307" s="405"/>
      <c r="C2307" s="405"/>
      <c r="D2307" s="405"/>
      <c r="E2307" s="405"/>
      <c r="F2307" s="583"/>
      <c r="G2307" s="583"/>
      <c r="H2307" s="405"/>
      <c r="I2307" s="405"/>
      <c r="J2307" s="405"/>
      <c r="K2307" s="405"/>
      <c r="L2307" s="405"/>
      <c r="M2307" s="405"/>
      <c r="N2307" s="405"/>
      <c r="O2307" s="405"/>
      <c r="P2307" s="405"/>
      <c r="Q2307" s="405"/>
      <c r="R2307" s="405"/>
      <c r="S2307" s="405"/>
      <c r="T2307" s="405"/>
      <c r="U2307" s="405"/>
      <c r="V2307" s="405"/>
      <c r="W2307" s="405"/>
      <c r="X2307" s="405"/>
      <c r="Y2307" s="405"/>
      <c r="Z2307" s="405"/>
      <c r="AA2307" s="405"/>
      <c r="AB2307" s="405"/>
    </row>
    <row r="2308" ht="14.25" customHeight="1">
      <c r="A2308" s="405"/>
      <c r="B2308" s="405"/>
      <c r="C2308" s="405"/>
      <c r="D2308" s="405"/>
      <c r="E2308" s="405"/>
      <c r="F2308" s="583"/>
      <c r="G2308" s="583"/>
      <c r="H2308" s="405"/>
      <c r="I2308" s="405"/>
      <c r="J2308" s="405"/>
      <c r="K2308" s="405"/>
      <c r="L2308" s="405"/>
      <c r="M2308" s="405"/>
      <c r="N2308" s="405"/>
      <c r="O2308" s="405"/>
      <c r="P2308" s="405"/>
      <c r="Q2308" s="405"/>
      <c r="R2308" s="405"/>
      <c r="S2308" s="405"/>
      <c r="T2308" s="405"/>
      <c r="U2308" s="405"/>
      <c r="V2308" s="405"/>
      <c r="W2308" s="405"/>
      <c r="X2308" s="405"/>
      <c r="Y2308" s="405"/>
      <c r="Z2308" s="405"/>
      <c r="AA2308" s="405"/>
      <c r="AB2308" s="405"/>
    </row>
    <row r="2309" ht="14.25" customHeight="1">
      <c r="A2309" s="405"/>
      <c r="B2309" s="405"/>
      <c r="C2309" s="405"/>
      <c r="D2309" s="405"/>
      <c r="E2309" s="405"/>
      <c r="F2309" s="583"/>
      <c r="G2309" s="583"/>
      <c r="H2309" s="405"/>
      <c r="I2309" s="405"/>
      <c r="J2309" s="405"/>
      <c r="K2309" s="405"/>
      <c r="L2309" s="405"/>
      <c r="M2309" s="405"/>
      <c r="N2309" s="405"/>
      <c r="O2309" s="405"/>
      <c r="P2309" s="405"/>
      <c r="Q2309" s="405"/>
      <c r="R2309" s="405"/>
      <c r="S2309" s="405"/>
      <c r="T2309" s="405"/>
      <c r="U2309" s="405"/>
      <c r="V2309" s="405"/>
      <c r="W2309" s="405"/>
      <c r="X2309" s="405"/>
      <c r="Y2309" s="405"/>
      <c r="Z2309" s="405"/>
      <c r="AA2309" s="405"/>
      <c r="AB2309" s="405"/>
    </row>
    <row r="2310" ht="14.25" customHeight="1">
      <c r="A2310" s="405"/>
      <c r="B2310" s="405"/>
      <c r="C2310" s="405"/>
      <c r="D2310" s="405"/>
      <c r="E2310" s="405"/>
      <c r="F2310" s="583"/>
      <c r="G2310" s="583"/>
      <c r="H2310" s="405"/>
      <c r="I2310" s="405"/>
      <c r="J2310" s="405"/>
      <c r="K2310" s="405"/>
      <c r="L2310" s="405"/>
      <c r="M2310" s="405"/>
      <c r="N2310" s="405"/>
      <c r="O2310" s="405"/>
      <c r="P2310" s="405"/>
      <c r="Q2310" s="405"/>
      <c r="R2310" s="405"/>
      <c r="S2310" s="405"/>
      <c r="T2310" s="405"/>
      <c r="U2310" s="405"/>
      <c r="V2310" s="405"/>
      <c r="W2310" s="405"/>
      <c r="X2310" s="405"/>
      <c r="Y2310" s="405"/>
      <c r="Z2310" s="405"/>
      <c r="AA2310" s="405"/>
      <c r="AB2310" s="405"/>
    </row>
    <row r="2311" ht="14.25" customHeight="1">
      <c r="A2311" s="405"/>
      <c r="B2311" s="405"/>
      <c r="C2311" s="405"/>
      <c r="D2311" s="405"/>
      <c r="E2311" s="405"/>
      <c r="F2311" s="583"/>
      <c r="G2311" s="583"/>
      <c r="H2311" s="405"/>
      <c r="I2311" s="405"/>
      <c r="J2311" s="405"/>
      <c r="K2311" s="405"/>
      <c r="L2311" s="405"/>
      <c r="M2311" s="405"/>
      <c r="N2311" s="405"/>
      <c r="O2311" s="405"/>
      <c r="P2311" s="405"/>
      <c r="Q2311" s="405"/>
      <c r="R2311" s="405"/>
      <c r="S2311" s="405"/>
      <c r="T2311" s="405"/>
      <c r="U2311" s="405"/>
      <c r="V2311" s="405"/>
      <c r="W2311" s="405"/>
      <c r="X2311" s="405"/>
      <c r="Y2311" s="405"/>
      <c r="Z2311" s="405"/>
      <c r="AA2311" s="405"/>
      <c r="AB2311" s="405"/>
    </row>
    <row r="2312" ht="14.25" customHeight="1">
      <c r="A2312" s="405"/>
      <c r="B2312" s="405"/>
      <c r="C2312" s="405"/>
      <c r="D2312" s="405"/>
      <c r="E2312" s="405"/>
      <c r="F2312" s="583"/>
      <c r="G2312" s="583"/>
      <c r="H2312" s="405"/>
      <c r="I2312" s="405"/>
      <c r="J2312" s="405"/>
      <c r="K2312" s="405"/>
      <c r="L2312" s="405"/>
      <c r="M2312" s="405"/>
      <c r="N2312" s="405"/>
      <c r="O2312" s="405"/>
      <c r="P2312" s="405"/>
      <c r="Q2312" s="405"/>
      <c r="R2312" s="405"/>
      <c r="S2312" s="405"/>
      <c r="T2312" s="405"/>
      <c r="U2312" s="405"/>
      <c r="V2312" s="405"/>
      <c r="W2312" s="405"/>
      <c r="X2312" s="405"/>
      <c r="Y2312" s="405"/>
      <c r="Z2312" s="405"/>
      <c r="AA2312" s="405"/>
      <c r="AB2312" s="405"/>
    </row>
    <row r="2313" ht="14.25" customHeight="1">
      <c r="A2313" s="405"/>
      <c r="B2313" s="405"/>
      <c r="C2313" s="405"/>
      <c r="D2313" s="405"/>
      <c r="E2313" s="405"/>
      <c r="F2313" s="583"/>
      <c r="G2313" s="583"/>
      <c r="H2313" s="405"/>
      <c r="I2313" s="405"/>
      <c r="J2313" s="405"/>
      <c r="K2313" s="405"/>
      <c r="L2313" s="405"/>
      <c r="M2313" s="405"/>
      <c r="N2313" s="405"/>
      <c r="O2313" s="405"/>
      <c r="P2313" s="405"/>
      <c r="Q2313" s="405"/>
      <c r="R2313" s="405"/>
      <c r="S2313" s="405"/>
      <c r="T2313" s="405"/>
      <c r="U2313" s="405"/>
      <c r="V2313" s="405"/>
      <c r="W2313" s="405"/>
      <c r="X2313" s="405"/>
      <c r="Y2313" s="405"/>
      <c r="Z2313" s="405"/>
      <c r="AA2313" s="405"/>
      <c r="AB2313" s="405"/>
    </row>
    <row r="2314" ht="14.25" customHeight="1">
      <c r="A2314" s="405"/>
      <c r="B2314" s="405"/>
      <c r="C2314" s="405"/>
      <c r="D2314" s="405"/>
      <c r="E2314" s="405"/>
      <c r="F2314" s="583"/>
      <c r="G2314" s="583"/>
      <c r="H2314" s="405"/>
      <c r="I2314" s="405"/>
      <c r="J2314" s="405"/>
      <c r="K2314" s="405"/>
      <c r="L2314" s="405"/>
      <c r="M2314" s="405"/>
      <c r="N2314" s="405"/>
      <c r="O2314" s="405"/>
      <c r="P2314" s="405"/>
      <c r="Q2314" s="405"/>
      <c r="R2314" s="405"/>
      <c r="S2314" s="405"/>
      <c r="T2314" s="405"/>
      <c r="U2314" s="405"/>
      <c r="V2314" s="405"/>
      <c r="W2314" s="405"/>
      <c r="X2314" s="405"/>
      <c r="Y2314" s="405"/>
      <c r="Z2314" s="405"/>
      <c r="AA2314" s="405"/>
      <c r="AB2314" s="405"/>
    </row>
    <row r="2315" ht="14.25" customHeight="1">
      <c r="A2315" s="405"/>
      <c r="B2315" s="405"/>
      <c r="C2315" s="405"/>
      <c r="D2315" s="405"/>
      <c r="E2315" s="405"/>
      <c r="F2315" s="583"/>
      <c r="G2315" s="583"/>
      <c r="H2315" s="405"/>
      <c r="I2315" s="405"/>
      <c r="J2315" s="405"/>
      <c r="K2315" s="405"/>
      <c r="L2315" s="405"/>
      <c r="M2315" s="405"/>
      <c r="N2315" s="405"/>
      <c r="O2315" s="405"/>
      <c r="P2315" s="405"/>
      <c r="Q2315" s="405"/>
      <c r="R2315" s="405"/>
      <c r="S2315" s="405"/>
      <c r="T2315" s="405"/>
      <c r="U2315" s="405"/>
      <c r="V2315" s="405"/>
      <c r="W2315" s="405"/>
      <c r="X2315" s="405"/>
      <c r="Y2315" s="405"/>
      <c r="Z2315" s="405"/>
      <c r="AA2315" s="405"/>
      <c r="AB2315" s="405"/>
    </row>
    <row r="2316" ht="14.25" customHeight="1">
      <c r="A2316" s="405"/>
      <c r="B2316" s="405"/>
      <c r="C2316" s="405"/>
      <c r="D2316" s="405"/>
      <c r="E2316" s="405"/>
      <c r="F2316" s="583"/>
      <c r="G2316" s="583"/>
      <c r="H2316" s="405"/>
      <c r="I2316" s="405"/>
      <c r="J2316" s="405"/>
      <c r="K2316" s="405"/>
      <c r="L2316" s="405"/>
      <c r="M2316" s="405"/>
      <c r="N2316" s="405"/>
      <c r="O2316" s="405"/>
      <c r="P2316" s="405"/>
      <c r="Q2316" s="405"/>
      <c r="R2316" s="405"/>
      <c r="S2316" s="405"/>
      <c r="T2316" s="405"/>
      <c r="U2316" s="405"/>
      <c r="V2316" s="405"/>
      <c r="W2316" s="405"/>
      <c r="X2316" s="405"/>
      <c r="Y2316" s="405"/>
      <c r="Z2316" s="405"/>
      <c r="AA2316" s="405"/>
      <c r="AB2316" s="405"/>
    </row>
    <row r="2317" ht="14.25" customHeight="1">
      <c r="A2317" s="405"/>
      <c r="B2317" s="405"/>
      <c r="C2317" s="405"/>
      <c r="D2317" s="405"/>
      <c r="E2317" s="405"/>
      <c r="F2317" s="583"/>
      <c r="G2317" s="583"/>
      <c r="H2317" s="405"/>
      <c r="I2317" s="405"/>
      <c r="J2317" s="405"/>
      <c r="K2317" s="405"/>
      <c r="L2317" s="405"/>
      <c r="M2317" s="405"/>
      <c r="N2317" s="405"/>
      <c r="O2317" s="405"/>
      <c r="P2317" s="405"/>
      <c r="Q2317" s="405"/>
      <c r="R2317" s="405"/>
      <c r="S2317" s="405"/>
      <c r="T2317" s="405"/>
      <c r="U2317" s="405"/>
      <c r="V2317" s="405"/>
      <c r="W2317" s="405"/>
      <c r="X2317" s="405"/>
      <c r="Y2317" s="405"/>
      <c r="Z2317" s="405"/>
      <c r="AA2317" s="405"/>
      <c r="AB2317" s="405"/>
    </row>
    <row r="2318" ht="14.25" customHeight="1">
      <c r="A2318" s="405"/>
      <c r="B2318" s="405"/>
      <c r="C2318" s="405"/>
      <c r="D2318" s="405"/>
      <c r="E2318" s="405"/>
      <c r="F2318" s="583"/>
      <c r="G2318" s="583"/>
      <c r="H2318" s="405"/>
      <c r="I2318" s="405"/>
      <c r="J2318" s="405"/>
      <c r="K2318" s="405"/>
      <c r="L2318" s="405"/>
      <c r="M2318" s="405"/>
      <c r="N2318" s="405"/>
      <c r="O2318" s="405"/>
      <c r="P2318" s="405"/>
      <c r="Q2318" s="405"/>
      <c r="R2318" s="405"/>
      <c r="S2318" s="405"/>
      <c r="T2318" s="405"/>
      <c r="U2318" s="405"/>
      <c r="V2318" s="405"/>
      <c r="W2318" s="405"/>
      <c r="X2318" s="405"/>
      <c r="Y2318" s="405"/>
      <c r="Z2318" s="405"/>
      <c r="AA2318" s="405"/>
      <c r="AB2318" s="405"/>
    </row>
    <row r="2319" ht="14.25" customHeight="1">
      <c r="A2319" s="405"/>
      <c r="B2319" s="405"/>
      <c r="C2319" s="405"/>
      <c r="D2319" s="405"/>
      <c r="E2319" s="405"/>
      <c r="F2319" s="583"/>
      <c r="G2319" s="583"/>
      <c r="H2319" s="405"/>
      <c r="I2319" s="405"/>
      <c r="J2319" s="405"/>
      <c r="K2319" s="405"/>
      <c r="L2319" s="405"/>
      <c r="M2319" s="405"/>
      <c r="N2319" s="405"/>
      <c r="O2319" s="405"/>
      <c r="P2319" s="405"/>
      <c r="Q2319" s="405"/>
      <c r="R2319" s="405"/>
      <c r="S2319" s="405"/>
      <c r="T2319" s="405"/>
      <c r="U2319" s="405"/>
      <c r="V2319" s="405"/>
      <c r="W2319" s="405"/>
      <c r="X2319" s="405"/>
      <c r="Y2319" s="405"/>
      <c r="Z2319" s="405"/>
      <c r="AA2319" s="405"/>
      <c r="AB2319" s="405"/>
    </row>
    <row r="2320" ht="14.25" customHeight="1">
      <c r="A2320" s="405"/>
      <c r="B2320" s="405"/>
      <c r="C2320" s="405"/>
      <c r="D2320" s="405"/>
      <c r="E2320" s="405"/>
      <c r="F2320" s="583"/>
      <c r="G2320" s="583"/>
      <c r="H2320" s="405"/>
      <c r="I2320" s="405"/>
      <c r="J2320" s="405"/>
      <c r="K2320" s="405"/>
      <c r="L2320" s="405"/>
      <c r="M2320" s="405"/>
      <c r="N2320" s="405"/>
      <c r="O2320" s="405"/>
      <c r="P2320" s="405"/>
      <c r="Q2320" s="405"/>
      <c r="R2320" s="405"/>
      <c r="S2320" s="405"/>
      <c r="T2320" s="405"/>
      <c r="U2320" s="405"/>
      <c r="V2320" s="405"/>
      <c r="W2320" s="405"/>
      <c r="X2320" s="405"/>
      <c r="Y2320" s="405"/>
      <c r="Z2320" s="405"/>
      <c r="AA2320" s="405"/>
      <c r="AB2320" s="405"/>
    </row>
    <row r="2321" ht="14.25" customHeight="1">
      <c r="A2321" s="405"/>
      <c r="B2321" s="405"/>
      <c r="C2321" s="405"/>
      <c r="D2321" s="405"/>
      <c r="E2321" s="405"/>
      <c r="F2321" s="583"/>
      <c r="G2321" s="583"/>
      <c r="H2321" s="405"/>
      <c r="I2321" s="405"/>
      <c r="J2321" s="405"/>
      <c r="K2321" s="405"/>
      <c r="L2321" s="405"/>
      <c r="M2321" s="405"/>
      <c r="N2321" s="405"/>
      <c r="O2321" s="405"/>
      <c r="P2321" s="405"/>
      <c r="Q2321" s="405"/>
      <c r="R2321" s="405"/>
      <c r="S2321" s="405"/>
      <c r="T2321" s="405"/>
      <c r="U2321" s="405"/>
      <c r="V2321" s="405"/>
      <c r="W2321" s="405"/>
      <c r="X2321" s="405"/>
      <c r="Y2321" s="405"/>
      <c r="Z2321" s="405"/>
      <c r="AA2321" s="405"/>
      <c r="AB2321" s="405"/>
    </row>
    <row r="2322" ht="14.25" customHeight="1">
      <c r="A2322" s="405"/>
      <c r="B2322" s="405"/>
      <c r="C2322" s="405"/>
      <c r="D2322" s="405"/>
      <c r="E2322" s="405"/>
      <c r="F2322" s="583"/>
      <c r="G2322" s="583"/>
      <c r="H2322" s="405"/>
      <c r="I2322" s="405"/>
      <c r="J2322" s="405"/>
      <c r="K2322" s="405"/>
      <c r="L2322" s="405"/>
      <c r="M2322" s="405"/>
      <c r="N2322" s="405"/>
      <c r="O2322" s="405"/>
      <c r="P2322" s="405"/>
      <c r="Q2322" s="405"/>
      <c r="R2322" s="405"/>
      <c r="S2322" s="405"/>
      <c r="T2322" s="405"/>
      <c r="U2322" s="405"/>
      <c r="V2322" s="405"/>
      <c r="W2322" s="405"/>
      <c r="X2322" s="405"/>
      <c r="Y2322" s="405"/>
      <c r="Z2322" s="405"/>
      <c r="AA2322" s="405"/>
      <c r="AB2322" s="405"/>
    </row>
    <row r="2323" ht="14.25" customHeight="1">
      <c r="A2323" s="405"/>
      <c r="B2323" s="405"/>
      <c r="C2323" s="405"/>
      <c r="D2323" s="405"/>
      <c r="E2323" s="405"/>
      <c r="F2323" s="583"/>
      <c r="G2323" s="583"/>
      <c r="H2323" s="405"/>
      <c r="I2323" s="405"/>
      <c r="J2323" s="405"/>
      <c r="K2323" s="405"/>
      <c r="L2323" s="405"/>
      <c r="M2323" s="405"/>
      <c r="N2323" s="405"/>
      <c r="O2323" s="405"/>
      <c r="P2323" s="405"/>
      <c r="Q2323" s="405"/>
      <c r="R2323" s="405"/>
      <c r="S2323" s="405"/>
      <c r="T2323" s="405"/>
      <c r="U2323" s="405"/>
      <c r="V2323" s="405"/>
      <c r="W2323" s="405"/>
      <c r="X2323" s="405"/>
      <c r="Y2323" s="405"/>
      <c r="Z2323" s="405"/>
      <c r="AA2323" s="405"/>
      <c r="AB2323" s="405"/>
    </row>
    <row r="2324" ht="14.25" customHeight="1">
      <c r="A2324" s="405"/>
      <c r="B2324" s="405"/>
      <c r="C2324" s="405"/>
      <c r="D2324" s="405"/>
      <c r="E2324" s="405"/>
      <c r="F2324" s="583"/>
      <c r="G2324" s="583"/>
      <c r="H2324" s="405"/>
      <c r="I2324" s="405"/>
      <c r="J2324" s="405"/>
      <c r="K2324" s="405"/>
      <c r="L2324" s="405"/>
      <c r="M2324" s="405"/>
      <c r="N2324" s="405"/>
      <c r="O2324" s="405"/>
      <c r="P2324" s="405"/>
      <c r="Q2324" s="405"/>
      <c r="R2324" s="405"/>
      <c r="S2324" s="405"/>
      <c r="T2324" s="405"/>
      <c r="U2324" s="405"/>
      <c r="V2324" s="405"/>
      <c r="W2324" s="405"/>
      <c r="X2324" s="405"/>
      <c r="Y2324" s="405"/>
      <c r="Z2324" s="405"/>
      <c r="AA2324" s="405"/>
      <c r="AB2324" s="405"/>
    </row>
    <row r="2325" ht="14.25" customHeight="1">
      <c r="A2325" s="405"/>
      <c r="B2325" s="405"/>
      <c r="C2325" s="405"/>
      <c r="D2325" s="405"/>
      <c r="E2325" s="405"/>
      <c r="F2325" s="583"/>
      <c r="G2325" s="583"/>
      <c r="H2325" s="405"/>
      <c r="I2325" s="405"/>
      <c r="J2325" s="405"/>
      <c r="K2325" s="405"/>
      <c r="L2325" s="405"/>
      <c r="M2325" s="405"/>
      <c r="N2325" s="405"/>
      <c r="O2325" s="405"/>
      <c r="P2325" s="405"/>
      <c r="Q2325" s="405"/>
      <c r="R2325" s="405"/>
      <c r="S2325" s="405"/>
      <c r="T2325" s="405"/>
      <c r="U2325" s="405"/>
      <c r="V2325" s="405"/>
      <c r="W2325" s="405"/>
      <c r="X2325" s="405"/>
      <c r="Y2325" s="405"/>
      <c r="Z2325" s="405"/>
      <c r="AA2325" s="405"/>
      <c r="AB2325" s="405"/>
    </row>
    <row r="2326" ht="14.25" customHeight="1">
      <c r="A2326" s="405"/>
      <c r="B2326" s="405"/>
      <c r="C2326" s="405"/>
      <c r="D2326" s="405"/>
      <c r="E2326" s="405"/>
      <c r="F2326" s="583"/>
      <c r="G2326" s="583"/>
      <c r="H2326" s="405"/>
      <c r="I2326" s="405"/>
      <c r="J2326" s="405"/>
      <c r="K2326" s="405"/>
      <c r="L2326" s="405"/>
      <c r="M2326" s="405"/>
      <c r="N2326" s="405"/>
      <c r="O2326" s="405"/>
      <c r="P2326" s="405"/>
      <c r="Q2326" s="405"/>
      <c r="R2326" s="405"/>
      <c r="S2326" s="405"/>
      <c r="T2326" s="405"/>
      <c r="U2326" s="405"/>
      <c r="V2326" s="405"/>
      <c r="W2326" s="405"/>
      <c r="X2326" s="405"/>
      <c r="Y2326" s="405"/>
      <c r="Z2326" s="405"/>
      <c r="AA2326" s="405"/>
      <c r="AB2326" s="405"/>
    </row>
    <row r="2327" ht="14.25" customHeight="1">
      <c r="A2327" s="405"/>
      <c r="B2327" s="405"/>
      <c r="C2327" s="405"/>
      <c r="D2327" s="405"/>
      <c r="E2327" s="405"/>
      <c r="F2327" s="583"/>
      <c r="G2327" s="583"/>
      <c r="H2327" s="405"/>
      <c r="I2327" s="405"/>
      <c r="J2327" s="405"/>
      <c r="K2327" s="405"/>
      <c r="L2327" s="405"/>
      <c r="M2327" s="405"/>
      <c r="N2327" s="405"/>
      <c r="O2327" s="405"/>
      <c r="P2327" s="405"/>
      <c r="Q2327" s="405"/>
      <c r="R2327" s="405"/>
      <c r="S2327" s="405"/>
      <c r="T2327" s="405"/>
      <c r="U2327" s="405"/>
      <c r="V2327" s="405"/>
      <c r="W2327" s="405"/>
      <c r="X2327" s="405"/>
      <c r="Y2327" s="405"/>
      <c r="Z2327" s="405"/>
      <c r="AA2327" s="405"/>
      <c r="AB2327" s="405"/>
    </row>
    <row r="2328" ht="14.25" customHeight="1">
      <c r="A2328" s="405"/>
      <c r="B2328" s="405"/>
      <c r="C2328" s="405"/>
      <c r="D2328" s="405"/>
      <c r="E2328" s="405"/>
      <c r="F2328" s="583"/>
      <c r="G2328" s="583"/>
      <c r="H2328" s="405"/>
      <c r="I2328" s="405"/>
      <c r="J2328" s="405"/>
      <c r="K2328" s="405"/>
      <c r="L2328" s="405"/>
      <c r="M2328" s="405"/>
      <c r="N2328" s="405"/>
      <c r="O2328" s="405"/>
      <c r="P2328" s="405"/>
      <c r="Q2328" s="405"/>
      <c r="R2328" s="405"/>
      <c r="S2328" s="405"/>
      <c r="T2328" s="405"/>
      <c r="U2328" s="405"/>
      <c r="V2328" s="405"/>
      <c r="W2328" s="405"/>
      <c r="X2328" s="405"/>
      <c r="Y2328" s="405"/>
      <c r="Z2328" s="405"/>
      <c r="AA2328" s="405"/>
      <c r="AB2328" s="405"/>
    </row>
    <row r="2329" ht="14.25" customHeight="1">
      <c r="A2329" s="405"/>
      <c r="B2329" s="405"/>
      <c r="C2329" s="405"/>
      <c r="D2329" s="405"/>
      <c r="E2329" s="405"/>
      <c r="F2329" s="583"/>
      <c r="G2329" s="583"/>
      <c r="H2329" s="405"/>
      <c r="I2329" s="405"/>
      <c r="J2329" s="405"/>
      <c r="K2329" s="405"/>
      <c r="L2329" s="405"/>
      <c r="M2329" s="405"/>
      <c r="N2329" s="405"/>
      <c r="O2329" s="405"/>
      <c r="P2329" s="405"/>
      <c r="Q2329" s="405"/>
      <c r="R2329" s="405"/>
      <c r="S2329" s="405"/>
      <c r="T2329" s="405"/>
      <c r="U2329" s="405"/>
      <c r="V2329" s="405"/>
      <c r="W2329" s="405"/>
      <c r="X2329" s="405"/>
      <c r="Y2329" s="405"/>
      <c r="Z2329" s="405"/>
      <c r="AA2329" s="405"/>
      <c r="AB2329" s="405"/>
    </row>
    <row r="2330" ht="14.25" customHeight="1">
      <c r="A2330" s="405"/>
      <c r="B2330" s="405"/>
      <c r="C2330" s="405"/>
      <c r="D2330" s="405"/>
      <c r="E2330" s="405"/>
      <c r="F2330" s="583"/>
      <c r="G2330" s="583"/>
      <c r="H2330" s="405"/>
      <c r="I2330" s="405"/>
      <c r="J2330" s="405"/>
      <c r="K2330" s="405"/>
      <c r="L2330" s="405"/>
      <c r="M2330" s="405"/>
      <c r="N2330" s="405"/>
      <c r="O2330" s="405"/>
      <c r="P2330" s="405"/>
      <c r="Q2330" s="405"/>
      <c r="R2330" s="405"/>
      <c r="S2330" s="405"/>
      <c r="T2330" s="405"/>
      <c r="U2330" s="405"/>
      <c r="V2330" s="405"/>
      <c r="W2330" s="405"/>
      <c r="X2330" s="405"/>
      <c r="Y2330" s="405"/>
      <c r="Z2330" s="405"/>
      <c r="AA2330" s="405"/>
      <c r="AB2330" s="405"/>
    </row>
    <row r="2331" ht="14.25" customHeight="1">
      <c r="A2331" s="405"/>
      <c r="B2331" s="405"/>
      <c r="C2331" s="405"/>
      <c r="D2331" s="405"/>
      <c r="E2331" s="405"/>
      <c r="F2331" s="583"/>
      <c r="G2331" s="583"/>
      <c r="H2331" s="405"/>
      <c r="I2331" s="405"/>
      <c r="J2331" s="405"/>
      <c r="K2331" s="405"/>
      <c r="L2331" s="405"/>
      <c r="M2331" s="405"/>
      <c r="N2331" s="405"/>
      <c r="O2331" s="405"/>
      <c r="P2331" s="405"/>
      <c r="Q2331" s="405"/>
      <c r="R2331" s="405"/>
      <c r="S2331" s="405"/>
      <c r="T2331" s="405"/>
      <c r="U2331" s="405"/>
      <c r="V2331" s="405"/>
      <c r="W2331" s="405"/>
      <c r="X2331" s="405"/>
      <c r="Y2331" s="405"/>
      <c r="Z2331" s="405"/>
      <c r="AA2331" s="405"/>
      <c r="AB2331" s="405"/>
    </row>
    <row r="2332" ht="14.25" customHeight="1">
      <c r="A2332" s="405"/>
      <c r="B2332" s="405"/>
      <c r="C2332" s="405"/>
      <c r="D2332" s="405"/>
      <c r="E2332" s="405"/>
      <c r="F2332" s="583"/>
      <c r="G2332" s="583"/>
      <c r="H2332" s="405"/>
      <c r="I2332" s="405"/>
      <c r="J2332" s="405"/>
      <c r="K2332" s="405"/>
      <c r="L2332" s="405"/>
      <c r="M2332" s="405"/>
      <c r="N2332" s="405"/>
      <c r="O2332" s="405"/>
      <c r="P2332" s="405"/>
      <c r="Q2332" s="405"/>
      <c r="R2332" s="405"/>
      <c r="S2332" s="405"/>
      <c r="T2332" s="405"/>
      <c r="U2332" s="405"/>
      <c r="V2332" s="405"/>
      <c r="W2332" s="405"/>
      <c r="X2332" s="405"/>
      <c r="Y2332" s="405"/>
      <c r="Z2332" s="405"/>
      <c r="AA2332" s="405"/>
      <c r="AB2332" s="405"/>
    </row>
    <row r="2333" ht="14.25" customHeight="1">
      <c r="A2333" s="405"/>
      <c r="B2333" s="405"/>
      <c r="C2333" s="405"/>
      <c r="D2333" s="405"/>
      <c r="E2333" s="405"/>
      <c r="F2333" s="583"/>
      <c r="G2333" s="583"/>
      <c r="H2333" s="405"/>
      <c r="I2333" s="405"/>
      <c r="J2333" s="405"/>
      <c r="K2333" s="405"/>
      <c r="L2333" s="405"/>
      <c r="M2333" s="405"/>
      <c r="N2333" s="405"/>
      <c r="O2333" s="405"/>
      <c r="P2333" s="405"/>
      <c r="Q2333" s="405"/>
      <c r="R2333" s="405"/>
      <c r="S2333" s="405"/>
      <c r="T2333" s="405"/>
      <c r="U2333" s="405"/>
      <c r="V2333" s="405"/>
      <c r="W2333" s="405"/>
      <c r="X2333" s="405"/>
      <c r="Y2333" s="405"/>
      <c r="Z2333" s="405"/>
      <c r="AA2333" s="405"/>
      <c r="AB2333" s="405"/>
    </row>
    <row r="2334" ht="14.25" customHeight="1">
      <c r="A2334" s="405"/>
      <c r="B2334" s="405"/>
      <c r="C2334" s="405"/>
      <c r="D2334" s="405"/>
      <c r="E2334" s="405"/>
      <c r="F2334" s="583"/>
      <c r="G2334" s="583"/>
      <c r="H2334" s="405"/>
      <c r="I2334" s="405"/>
      <c r="J2334" s="405"/>
      <c r="K2334" s="405"/>
      <c r="L2334" s="405"/>
      <c r="M2334" s="405"/>
      <c r="N2334" s="405"/>
      <c r="O2334" s="405"/>
      <c r="P2334" s="405"/>
      <c r="Q2334" s="405"/>
      <c r="R2334" s="405"/>
      <c r="S2334" s="405"/>
      <c r="T2334" s="405"/>
      <c r="U2334" s="405"/>
      <c r="V2334" s="405"/>
      <c r="W2334" s="405"/>
      <c r="X2334" s="405"/>
      <c r="Y2334" s="405"/>
      <c r="Z2334" s="405"/>
      <c r="AA2334" s="405"/>
      <c r="AB2334" s="405"/>
    </row>
    <row r="2335" ht="14.25" customHeight="1">
      <c r="A2335" s="405"/>
      <c r="B2335" s="405"/>
      <c r="C2335" s="405"/>
      <c r="D2335" s="405"/>
      <c r="E2335" s="405"/>
      <c r="F2335" s="583"/>
      <c r="G2335" s="583"/>
      <c r="H2335" s="405"/>
      <c r="I2335" s="405"/>
      <c r="J2335" s="405"/>
      <c r="K2335" s="405"/>
      <c r="L2335" s="405"/>
      <c r="M2335" s="405"/>
      <c r="N2335" s="405"/>
      <c r="O2335" s="405"/>
      <c r="P2335" s="405"/>
      <c r="Q2335" s="405"/>
      <c r="R2335" s="405"/>
      <c r="S2335" s="405"/>
      <c r="T2335" s="405"/>
      <c r="U2335" s="405"/>
      <c r="V2335" s="405"/>
      <c r="W2335" s="405"/>
      <c r="X2335" s="405"/>
      <c r="Y2335" s="405"/>
      <c r="Z2335" s="405"/>
      <c r="AA2335" s="405"/>
      <c r="AB2335" s="405"/>
    </row>
    <row r="2336" ht="14.25" customHeight="1">
      <c r="A2336" s="405"/>
      <c r="B2336" s="405"/>
      <c r="C2336" s="405"/>
      <c r="D2336" s="405"/>
      <c r="E2336" s="405"/>
      <c r="F2336" s="583"/>
      <c r="G2336" s="583"/>
      <c r="H2336" s="405"/>
      <c r="I2336" s="405"/>
      <c r="J2336" s="405"/>
      <c r="K2336" s="405"/>
      <c r="L2336" s="405"/>
      <c r="M2336" s="405"/>
      <c r="N2336" s="405"/>
      <c r="O2336" s="405"/>
      <c r="P2336" s="405"/>
      <c r="Q2336" s="405"/>
      <c r="R2336" s="405"/>
      <c r="S2336" s="405"/>
      <c r="T2336" s="405"/>
      <c r="U2336" s="405"/>
      <c r="V2336" s="405"/>
      <c r="W2336" s="405"/>
      <c r="X2336" s="405"/>
      <c r="Y2336" s="405"/>
      <c r="Z2336" s="405"/>
      <c r="AA2336" s="405"/>
      <c r="AB2336" s="405"/>
    </row>
    <row r="2337" ht="14.25" customHeight="1">
      <c r="A2337" s="405"/>
      <c r="B2337" s="405"/>
      <c r="C2337" s="405"/>
      <c r="D2337" s="405"/>
      <c r="E2337" s="405"/>
      <c r="F2337" s="583"/>
      <c r="G2337" s="583"/>
      <c r="H2337" s="405"/>
      <c r="I2337" s="405"/>
      <c r="J2337" s="405"/>
      <c r="K2337" s="405"/>
      <c r="L2337" s="405"/>
      <c r="M2337" s="405"/>
      <c r="N2337" s="405"/>
      <c r="O2337" s="405"/>
      <c r="P2337" s="405"/>
      <c r="Q2337" s="405"/>
      <c r="R2337" s="405"/>
      <c r="S2337" s="405"/>
      <c r="T2337" s="405"/>
      <c r="U2337" s="405"/>
      <c r="V2337" s="405"/>
      <c r="W2337" s="405"/>
      <c r="X2337" s="405"/>
      <c r="Y2337" s="405"/>
      <c r="Z2337" s="405"/>
      <c r="AA2337" s="405"/>
      <c r="AB2337" s="405"/>
    </row>
    <row r="2338" ht="14.25" customHeight="1">
      <c r="A2338" s="405"/>
      <c r="B2338" s="405"/>
      <c r="C2338" s="405"/>
      <c r="D2338" s="405"/>
      <c r="E2338" s="405"/>
      <c r="F2338" s="583"/>
      <c r="G2338" s="583"/>
      <c r="H2338" s="405"/>
      <c r="I2338" s="405"/>
      <c r="J2338" s="405"/>
      <c r="K2338" s="405"/>
      <c r="L2338" s="405"/>
      <c r="M2338" s="405"/>
      <c r="N2338" s="405"/>
      <c r="O2338" s="405"/>
      <c r="P2338" s="405"/>
      <c r="Q2338" s="405"/>
      <c r="R2338" s="405"/>
      <c r="S2338" s="405"/>
      <c r="T2338" s="405"/>
      <c r="U2338" s="405"/>
      <c r="V2338" s="405"/>
      <c r="W2338" s="405"/>
      <c r="X2338" s="405"/>
      <c r="Y2338" s="405"/>
      <c r="Z2338" s="405"/>
      <c r="AA2338" s="405"/>
      <c r="AB2338" s="405"/>
    </row>
    <row r="2339" ht="14.25" customHeight="1">
      <c r="A2339" s="405"/>
      <c r="B2339" s="405"/>
      <c r="C2339" s="405"/>
      <c r="D2339" s="405"/>
      <c r="E2339" s="405"/>
      <c r="F2339" s="583"/>
      <c r="G2339" s="583"/>
      <c r="H2339" s="405"/>
      <c r="I2339" s="405"/>
      <c r="J2339" s="405"/>
      <c r="K2339" s="405"/>
      <c r="L2339" s="405"/>
      <c r="M2339" s="405"/>
      <c r="N2339" s="405"/>
      <c r="O2339" s="405"/>
      <c r="P2339" s="405"/>
      <c r="Q2339" s="405"/>
      <c r="R2339" s="405"/>
      <c r="S2339" s="405"/>
      <c r="T2339" s="405"/>
      <c r="U2339" s="405"/>
      <c r="V2339" s="405"/>
      <c r="W2339" s="405"/>
      <c r="X2339" s="405"/>
      <c r="Y2339" s="405"/>
      <c r="Z2339" s="405"/>
      <c r="AA2339" s="405"/>
      <c r="AB2339" s="405"/>
    </row>
    <row r="2340" ht="14.25" customHeight="1">
      <c r="A2340" s="405"/>
      <c r="B2340" s="405"/>
      <c r="C2340" s="405"/>
      <c r="D2340" s="405"/>
      <c r="E2340" s="405"/>
      <c r="F2340" s="583"/>
      <c r="G2340" s="583"/>
      <c r="H2340" s="405"/>
      <c r="I2340" s="405"/>
      <c r="J2340" s="405"/>
      <c r="K2340" s="405"/>
      <c r="L2340" s="405"/>
      <c r="M2340" s="405"/>
      <c r="N2340" s="405"/>
      <c r="O2340" s="405"/>
      <c r="P2340" s="405"/>
      <c r="Q2340" s="405"/>
      <c r="R2340" s="405"/>
      <c r="S2340" s="405"/>
      <c r="T2340" s="405"/>
      <c r="U2340" s="405"/>
      <c r="V2340" s="405"/>
      <c r="W2340" s="405"/>
      <c r="X2340" s="405"/>
      <c r="Y2340" s="405"/>
      <c r="Z2340" s="405"/>
      <c r="AA2340" s="405"/>
      <c r="AB2340" s="405"/>
    </row>
    <row r="2341" ht="14.25" customHeight="1">
      <c r="A2341" s="405"/>
      <c r="B2341" s="405"/>
      <c r="C2341" s="405"/>
      <c r="D2341" s="405"/>
      <c r="E2341" s="405"/>
      <c r="F2341" s="583"/>
      <c r="G2341" s="583"/>
      <c r="H2341" s="405"/>
      <c r="I2341" s="405"/>
      <c r="J2341" s="405"/>
      <c r="K2341" s="405"/>
      <c r="L2341" s="405"/>
      <c r="M2341" s="405"/>
      <c r="N2341" s="405"/>
      <c r="O2341" s="405"/>
      <c r="P2341" s="405"/>
      <c r="Q2341" s="405"/>
      <c r="R2341" s="405"/>
      <c r="S2341" s="405"/>
      <c r="T2341" s="405"/>
      <c r="U2341" s="405"/>
      <c r="V2341" s="405"/>
      <c r="W2341" s="405"/>
      <c r="X2341" s="405"/>
      <c r="Y2341" s="405"/>
      <c r="Z2341" s="405"/>
      <c r="AA2341" s="405"/>
      <c r="AB2341" s="405"/>
    </row>
    <row r="2342" ht="14.25" customHeight="1">
      <c r="A2342" s="405"/>
      <c r="B2342" s="405"/>
      <c r="C2342" s="405"/>
      <c r="D2342" s="405"/>
      <c r="E2342" s="405"/>
      <c r="F2342" s="583"/>
      <c r="G2342" s="583"/>
      <c r="H2342" s="405"/>
      <c r="I2342" s="405"/>
      <c r="J2342" s="405"/>
      <c r="K2342" s="405"/>
      <c r="L2342" s="405"/>
      <c r="M2342" s="405"/>
      <c r="N2342" s="405"/>
      <c r="O2342" s="405"/>
      <c r="P2342" s="405"/>
      <c r="Q2342" s="405"/>
      <c r="R2342" s="405"/>
      <c r="S2342" s="405"/>
      <c r="T2342" s="405"/>
      <c r="U2342" s="405"/>
      <c r="V2342" s="405"/>
      <c r="W2342" s="405"/>
      <c r="X2342" s="405"/>
      <c r="Y2342" s="405"/>
      <c r="Z2342" s="405"/>
      <c r="AA2342" s="405"/>
      <c r="AB2342" s="405"/>
    </row>
    <row r="2343" ht="14.25" customHeight="1">
      <c r="A2343" s="405"/>
      <c r="B2343" s="405"/>
      <c r="C2343" s="405"/>
      <c r="D2343" s="405"/>
      <c r="E2343" s="405"/>
      <c r="F2343" s="583"/>
      <c r="G2343" s="583"/>
      <c r="H2343" s="405"/>
      <c r="I2343" s="405"/>
      <c r="J2343" s="405"/>
      <c r="K2343" s="405"/>
      <c r="L2343" s="405"/>
      <c r="M2343" s="405"/>
      <c r="N2343" s="405"/>
      <c r="O2343" s="405"/>
      <c r="P2343" s="405"/>
      <c r="Q2343" s="405"/>
      <c r="R2343" s="405"/>
      <c r="S2343" s="405"/>
      <c r="T2343" s="405"/>
      <c r="U2343" s="405"/>
      <c r="V2343" s="405"/>
      <c r="W2343" s="405"/>
      <c r="X2343" s="405"/>
      <c r="Y2343" s="405"/>
      <c r="Z2343" s="405"/>
      <c r="AA2343" s="405"/>
      <c r="AB2343" s="405"/>
    </row>
    <row r="2344" ht="14.25" customHeight="1">
      <c r="A2344" s="405"/>
      <c r="B2344" s="405"/>
      <c r="C2344" s="405"/>
      <c r="D2344" s="405"/>
      <c r="E2344" s="405"/>
      <c r="F2344" s="583"/>
      <c r="G2344" s="583"/>
      <c r="H2344" s="405"/>
      <c r="I2344" s="405"/>
      <c r="J2344" s="405"/>
      <c r="K2344" s="405"/>
      <c r="L2344" s="405"/>
      <c r="M2344" s="405"/>
      <c r="N2344" s="405"/>
      <c r="O2344" s="405"/>
      <c r="P2344" s="405"/>
      <c r="Q2344" s="405"/>
      <c r="R2344" s="405"/>
      <c r="S2344" s="405"/>
      <c r="T2344" s="405"/>
      <c r="U2344" s="405"/>
      <c r="V2344" s="405"/>
      <c r="W2344" s="405"/>
      <c r="X2344" s="405"/>
      <c r="Y2344" s="405"/>
      <c r="Z2344" s="405"/>
      <c r="AA2344" s="405"/>
      <c r="AB2344" s="405"/>
    </row>
    <row r="2345" ht="14.25" customHeight="1">
      <c r="A2345" s="405"/>
      <c r="B2345" s="405"/>
      <c r="C2345" s="405"/>
      <c r="D2345" s="405"/>
      <c r="E2345" s="405"/>
      <c r="F2345" s="583"/>
      <c r="G2345" s="583"/>
      <c r="H2345" s="405"/>
      <c r="I2345" s="405"/>
      <c r="J2345" s="405"/>
      <c r="K2345" s="405"/>
      <c r="L2345" s="405"/>
      <c r="M2345" s="405"/>
      <c r="N2345" s="405"/>
      <c r="O2345" s="405"/>
      <c r="P2345" s="405"/>
      <c r="Q2345" s="405"/>
      <c r="R2345" s="405"/>
      <c r="S2345" s="405"/>
      <c r="T2345" s="405"/>
      <c r="U2345" s="405"/>
      <c r="V2345" s="405"/>
      <c r="W2345" s="405"/>
      <c r="X2345" s="405"/>
      <c r="Y2345" s="405"/>
      <c r="Z2345" s="405"/>
      <c r="AA2345" s="405"/>
      <c r="AB2345" s="405"/>
    </row>
    <row r="2346" ht="14.25" customHeight="1">
      <c r="A2346" s="405"/>
      <c r="B2346" s="405"/>
      <c r="C2346" s="405"/>
      <c r="D2346" s="405"/>
      <c r="E2346" s="405"/>
      <c r="F2346" s="583"/>
      <c r="G2346" s="583"/>
      <c r="H2346" s="405"/>
      <c r="I2346" s="405"/>
      <c r="J2346" s="405"/>
      <c r="K2346" s="405"/>
      <c r="L2346" s="405"/>
      <c r="M2346" s="405"/>
      <c r="N2346" s="405"/>
      <c r="O2346" s="405"/>
      <c r="P2346" s="405"/>
      <c r="Q2346" s="405"/>
      <c r="R2346" s="405"/>
      <c r="S2346" s="405"/>
      <c r="T2346" s="405"/>
      <c r="U2346" s="405"/>
      <c r="V2346" s="405"/>
      <c r="W2346" s="405"/>
      <c r="X2346" s="405"/>
      <c r="Y2346" s="405"/>
      <c r="Z2346" s="405"/>
      <c r="AA2346" s="405"/>
      <c r="AB2346" s="405"/>
    </row>
    <row r="2347" ht="14.25" customHeight="1">
      <c r="A2347" s="405"/>
      <c r="B2347" s="405"/>
      <c r="C2347" s="405"/>
      <c r="D2347" s="405"/>
      <c r="E2347" s="405"/>
      <c r="F2347" s="583"/>
      <c r="G2347" s="583"/>
      <c r="H2347" s="405"/>
      <c r="I2347" s="405"/>
      <c r="J2347" s="405"/>
      <c r="K2347" s="405"/>
      <c r="L2347" s="405"/>
      <c r="M2347" s="405"/>
      <c r="N2347" s="405"/>
      <c r="O2347" s="405"/>
      <c r="P2347" s="405"/>
      <c r="Q2347" s="405"/>
      <c r="R2347" s="405"/>
      <c r="S2347" s="405"/>
      <c r="T2347" s="405"/>
      <c r="U2347" s="405"/>
      <c r="V2347" s="405"/>
      <c r="W2347" s="405"/>
      <c r="X2347" s="405"/>
      <c r="Y2347" s="405"/>
      <c r="Z2347" s="405"/>
      <c r="AA2347" s="405"/>
      <c r="AB2347" s="405"/>
    </row>
    <row r="2348" ht="14.25" customHeight="1">
      <c r="A2348" s="405"/>
      <c r="B2348" s="405"/>
      <c r="C2348" s="405"/>
      <c r="D2348" s="405"/>
      <c r="E2348" s="405"/>
      <c r="F2348" s="583"/>
      <c r="G2348" s="583"/>
      <c r="H2348" s="405"/>
      <c r="I2348" s="405"/>
      <c r="J2348" s="405"/>
      <c r="K2348" s="405"/>
      <c r="L2348" s="405"/>
      <c r="M2348" s="405"/>
      <c r="N2348" s="405"/>
      <c r="O2348" s="405"/>
      <c r="P2348" s="405"/>
      <c r="Q2348" s="405"/>
      <c r="R2348" s="405"/>
      <c r="S2348" s="405"/>
      <c r="T2348" s="405"/>
      <c r="U2348" s="405"/>
      <c r="V2348" s="405"/>
      <c r="W2348" s="405"/>
      <c r="X2348" s="405"/>
      <c r="Y2348" s="405"/>
      <c r="Z2348" s="405"/>
      <c r="AA2348" s="405"/>
      <c r="AB2348" s="405"/>
    </row>
    <row r="2349" ht="14.25" customHeight="1">
      <c r="A2349" s="405"/>
      <c r="B2349" s="405"/>
      <c r="C2349" s="405"/>
      <c r="D2349" s="405"/>
      <c r="E2349" s="405"/>
      <c r="F2349" s="583"/>
      <c r="G2349" s="583"/>
      <c r="H2349" s="405"/>
      <c r="I2349" s="405"/>
      <c r="J2349" s="405"/>
      <c r="K2349" s="405"/>
      <c r="L2349" s="405"/>
      <c r="M2349" s="405"/>
      <c r="N2349" s="405"/>
      <c r="O2349" s="405"/>
      <c r="P2349" s="405"/>
      <c r="Q2349" s="405"/>
      <c r="R2349" s="405"/>
      <c r="S2349" s="405"/>
      <c r="T2349" s="405"/>
      <c r="U2349" s="405"/>
      <c r="V2349" s="405"/>
      <c r="W2349" s="405"/>
      <c r="X2349" s="405"/>
      <c r="Y2349" s="405"/>
      <c r="Z2349" s="405"/>
      <c r="AA2349" s="405"/>
      <c r="AB2349" s="405"/>
    </row>
    <row r="2350" ht="14.25" customHeight="1">
      <c r="A2350" s="405"/>
      <c r="B2350" s="405"/>
      <c r="C2350" s="405"/>
      <c r="D2350" s="405"/>
      <c r="E2350" s="405"/>
      <c r="F2350" s="583"/>
      <c r="G2350" s="583"/>
      <c r="H2350" s="405"/>
      <c r="I2350" s="405"/>
      <c r="J2350" s="405"/>
      <c r="K2350" s="405"/>
      <c r="L2350" s="405"/>
      <c r="M2350" s="405"/>
      <c r="N2350" s="405"/>
      <c r="O2350" s="405"/>
      <c r="P2350" s="405"/>
      <c r="Q2350" s="405"/>
      <c r="R2350" s="405"/>
      <c r="S2350" s="405"/>
      <c r="T2350" s="405"/>
      <c r="U2350" s="405"/>
      <c r="V2350" s="405"/>
      <c r="W2350" s="405"/>
      <c r="X2350" s="405"/>
      <c r="Y2350" s="405"/>
      <c r="Z2350" s="405"/>
      <c r="AA2350" s="405"/>
      <c r="AB2350" s="405"/>
    </row>
    <row r="2351" ht="14.25" customHeight="1">
      <c r="A2351" s="405"/>
      <c r="B2351" s="405"/>
      <c r="C2351" s="405"/>
      <c r="D2351" s="405"/>
      <c r="E2351" s="405"/>
      <c r="F2351" s="583"/>
      <c r="G2351" s="583"/>
      <c r="H2351" s="405"/>
      <c r="I2351" s="405"/>
      <c r="J2351" s="405"/>
      <c r="K2351" s="405"/>
      <c r="L2351" s="405"/>
      <c r="M2351" s="405"/>
      <c r="N2351" s="405"/>
      <c r="O2351" s="405"/>
      <c r="P2351" s="405"/>
      <c r="Q2351" s="405"/>
      <c r="R2351" s="405"/>
      <c r="S2351" s="405"/>
      <c r="T2351" s="405"/>
      <c r="U2351" s="405"/>
      <c r="V2351" s="405"/>
      <c r="W2351" s="405"/>
      <c r="X2351" s="405"/>
      <c r="Y2351" s="405"/>
      <c r="Z2351" s="405"/>
      <c r="AA2351" s="405"/>
      <c r="AB2351" s="405"/>
    </row>
    <row r="2352" ht="14.25" customHeight="1">
      <c r="A2352" s="405"/>
      <c r="B2352" s="405"/>
      <c r="C2352" s="405"/>
      <c r="D2352" s="405"/>
      <c r="E2352" s="405"/>
      <c r="F2352" s="583"/>
      <c r="G2352" s="583"/>
      <c r="H2352" s="405"/>
      <c r="I2352" s="405"/>
      <c r="J2352" s="405"/>
      <c r="K2352" s="405"/>
      <c r="L2352" s="405"/>
      <c r="M2352" s="405"/>
      <c r="N2352" s="405"/>
      <c r="O2352" s="405"/>
      <c r="P2352" s="405"/>
      <c r="Q2352" s="405"/>
      <c r="R2352" s="405"/>
      <c r="S2352" s="405"/>
      <c r="T2352" s="405"/>
      <c r="U2352" s="405"/>
      <c r="V2352" s="405"/>
      <c r="W2352" s="405"/>
      <c r="X2352" s="405"/>
      <c r="Y2352" s="405"/>
      <c r="Z2352" s="405"/>
      <c r="AA2352" s="405"/>
      <c r="AB2352" s="405"/>
    </row>
    <row r="2353" ht="14.25" customHeight="1">
      <c r="A2353" s="405"/>
      <c r="B2353" s="405"/>
      <c r="C2353" s="405"/>
      <c r="D2353" s="405"/>
      <c r="E2353" s="405"/>
      <c r="F2353" s="583"/>
      <c r="G2353" s="583"/>
      <c r="H2353" s="405"/>
      <c r="I2353" s="405"/>
      <c r="J2353" s="405"/>
      <c r="K2353" s="405"/>
      <c r="L2353" s="405"/>
      <c r="M2353" s="405"/>
      <c r="N2353" s="405"/>
      <c r="O2353" s="405"/>
      <c r="P2353" s="405"/>
      <c r="Q2353" s="405"/>
      <c r="R2353" s="405"/>
      <c r="S2353" s="405"/>
      <c r="T2353" s="405"/>
      <c r="U2353" s="405"/>
      <c r="V2353" s="405"/>
      <c r="W2353" s="405"/>
      <c r="X2353" s="405"/>
      <c r="Y2353" s="405"/>
      <c r="Z2353" s="405"/>
      <c r="AA2353" s="405"/>
      <c r="AB2353" s="405"/>
    </row>
    <row r="2354" ht="14.25" customHeight="1">
      <c r="A2354" s="405"/>
      <c r="B2354" s="405"/>
      <c r="C2354" s="405"/>
      <c r="D2354" s="405"/>
      <c r="E2354" s="405"/>
      <c r="F2354" s="583"/>
      <c r="G2354" s="583"/>
      <c r="H2354" s="405"/>
      <c r="I2354" s="405"/>
      <c r="J2354" s="405"/>
      <c r="K2354" s="405"/>
      <c r="L2354" s="405"/>
      <c r="M2354" s="405"/>
      <c r="N2354" s="405"/>
      <c r="O2354" s="405"/>
      <c r="P2354" s="405"/>
      <c r="Q2354" s="405"/>
      <c r="R2354" s="405"/>
      <c r="S2354" s="405"/>
      <c r="T2354" s="405"/>
      <c r="U2354" s="405"/>
      <c r="V2354" s="405"/>
      <c r="W2354" s="405"/>
      <c r="X2354" s="405"/>
      <c r="Y2354" s="405"/>
      <c r="Z2354" s="405"/>
      <c r="AA2354" s="405"/>
      <c r="AB2354" s="405"/>
    </row>
    <row r="2355" ht="14.25" customHeight="1">
      <c r="A2355" s="405"/>
      <c r="B2355" s="405"/>
      <c r="C2355" s="405"/>
      <c r="D2355" s="405"/>
      <c r="E2355" s="405"/>
      <c r="F2355" s="583"/>
      <c r="G2355" s="583"/>
      <c r="H2355" s="405"/>
      <c r="I2355" s="405"/>
      <c r="J2355" s="405"/>
      <c r="K2355" s="405"/>
      <c r="L2355" s="405"/>
      <c r="M2355" s="405"/>
      <c r="N2355" s="405"/>
      <c r="O2355" s="405"/>
      <c r="P2355" s="405"/>
      <c r="Q2355" s="405"/>
      <c r="R2355" s="405"/>
      <c r="S2355" s="405"/>
      <c r="T2355" s="405"/>
      <c r="U2355" s="405"/>
      <c r="V2355" s="405"/>
      <c r="W2355" s="405"/>
      <c r="X2355" s="405"/>
      <c r="Y2355" s="405"/>
      <c r="Z2355" s="405"/>
      <c r="AA2355" s="405"/>
      <c r="AB2355" s="405"/>
    </row>
    <row r="2356" ht="14.25" customHeight="1">
      <c r="A2356" s="405"/>
      <c r="B2356" s="405"/>
      <c r="C2356" s="405"/>
      <c r="D2356" s="405"/>
      <c r="E2356" s="405"/>
      <c r="F2356" s="583"/>
      <c r="G2356" s="583"/>
      <c r="H2356" s="405"/>
      <c r="I2356" s="405"/>
      <c r="J2356" s="405"/>
      <c r="K2356" s="405"/>
      <c r="L2356" s="405"/>
      <c r="M2356" s="405"/>
      <c r="N2356" s="405"/>
      <c r="O2356" s="405"/>
      <c r="P2356" s="405"/>
      <c r="Q2356" s="405"/>
      <c r="R2356" s="405"/>
      <c r="S2356" s="405"/>
      <c r="T2356" s="405"/>
      <c r="U2356" s="405"/>
      <c r="V2356" s="405"/>
      <c r="W2356" s="405"/>
      <c r="X2356" s="405"/>
      <c r="Y2356" s="405"/>
      <c r="Z2356" s="405"/>
      <c r="AA2356" s="405"/>
      <c r="AB2356" s="405"/>
    </row>
    <row r="2357" ht="14.25" customHeight="1">
      <c r="A2357" s="405"/>
      <c r="B2357" s="405"/>
      <c r="C2357" s="405"/>
      <c r="D2357" s="405"/>
      <c r="E2357" s="405"/>
      <c r="F2357" s="583"/>
      <c r="G2357" s="583"/>
      <c r="H2357" s="405"/>
      <c r="I2357" s="405"/>
      <c r="J2357" s="405"/>
      <c r="K2357" s="405"/>
      <c r="L2357" s="405"/>
      <c r="M2357" s="405"/>
      <c r="N2357" s="405"/>
      <c r="O2357" s="405"/>
      <c r="P2357" s="405"/>
      <c r="Q2357" s="405"/>
      <c r="R2357" s="405"/>
      <c r="S2357" s="405"/>
      <c r="T2357" s="405"/>
      <c r="U2357" s="405"/>
      <c r="V2357" s="405"/>
      <c r="W2357" s="405"/>
      <c r="X2357" s="405"/>
      <c r="Y2357" s="405"/>
      <c r="Z2357" s="405"/>
      <c r="AA2357" s="405"/>
      <c r="AB2357" s="405"/>
    </row>
    <row r="2358" ht="14.25" customHeight="1">
      <c r="A2358" s="405"/>
      <c r="B2358" s="405"/>
      <c r="C2358" s="405"/>
      <c r="D2358" s="405"/>
      <c r="E2358" s="405"/>
      <c r="F2358" s="583"/>
      <c r="G2358" s="583"/>
      <c r="H2358" s="405"/>
      <c r="I2358" s="405"/>
      <c r="J2358" s="405"/>
      <c r="K2358" s="405"/>
      <c r="L2358" s="405"/>
      <c r="M2358" s="405"/>
      <c r="N2358" s="405"/>
      <c r="O2358" s="405"/>
      <c r="P2358" s="405"/>
      <c r="Q2358" s="405"/>
      <c r="R2358" s="405"/>
      <c r="S2358" s="405"/>
      <c r="T2358" s="405"/>
      <c r="U2358" s="405"/>
      <c r="V2358" s="405"/>
      <c r="W2358" s="405"/>
      <c r="X2358" s="405"/>
      <c r="Y2358" s="405"/>
      <c r="Z2358" s="405"/>
      <c r="AA2358" s="405"/>
      <c r="AB2358" s="405"/>
    </row>
    <row r="2359" ht="14.25" customHeight="1">
      <c r="A2359" s="405"/>
      <c r="B2359" s="405"/>
      <c r="C2359" s="405"/>
      <c r="D2359" s="405"/>
      <c r="E2359" s="405"/>
      <c r="F2359" s="583"/>
      <c r="G2359" s="583"/>
      <c r="H2359" s="405"/>
      <c r="I2359" s="405"/>
      <c r="J2359" s="405"/>
      <c r="K2359" s="405"/>
      <c r="L2359" s="405"/>
      <c r="M2359" s="405"/>
      <c r="N2359" s="405"/>
      <c r="O2359" s="405"/>
      <c r="P2359" s="405"/>
      <c r="Q2359" s="405"/>
      <c r="R2359" s="405"/>
      <c r="S2359" s="405"/>
      <c r="T2359" s="405"/>
      <c r="U2359" s="405"/>
      <c r="V2359" s="405"/>
      <c r="W2359" s="405"/>
      <c r="X2359" s="405"/>
      <c r="Y2359" s="405"/>
      <c r="Z2359" s="405"/>
      <c r="AA2359" s="405"/>
      <c r="AB2359" s="405"/>
    </row>
    <row r="2360" ht="14.25" customHeight="1">
      <c r="A2360" s="405"/>
      <c r="B2360" s="405"/>
      <c r="C2360" s="405"/>
      <c r="D2360" s="405"/>
      <c r="E2360" s="405"/>
      <c r="F2360" s="583"/>
      <c r="G2360" s="583"/>
      <c r="H2360" s="405"/>
      <c r="I2360" s="405"/>
      <c r="J2360" s="405"/>
      <c r="K2360" s="405"/>
      <c r="L2360" s="405"/>
      <c r="M2360" s="405"/>
      <c r="N2360" s="405"/>
      <c r="O2360" s="405"/>
      <c r="P2360" s="405"/>
      <c r="Q2360" s="405"/>
      <c r="R2360" s="405"/>
      <c r="S2360" s="405"/>
      <c r="T2360" s="405"/>
      <c r="U2360" s="405"/>
      <c r="V2360" s="405"/>
      <c r="W2360" s="405"/>
      <c r="X2360" s="405"/>
      <c r="Y2360" s="405"/>
      <c r="Z2360" s="405"/>
      <c r="AA2360" s="405"/>
      <c r="AB2360" s="405"/>
    </row>
    <row r="2361" ht="14.25" customHeight="1">
      <c r="A2361" s="405"/>
      <c r="B2361" s="405"/>
      <c r="C2361" s="405"/>
      <c r="D2361" s="405"/>
      <c r="E2361" s="405"/>
      <c r="F2361" s="583"/>
      <c r="G2361" s="583"/>
      <c r="H2361" s="405"/>
      <c r="I2361" s="405"/>
      <c r="J2361" s="405"/>
      <c r="K2361" s="405"/>
      <c r="L2361" s="405"/>
      <c r="M2361" s="405"/>
      <c r="N2361" s="405"/>
      <c r="O2361" s="405"/>
      <c r="P2361" s="405"/>
      <c r="Q2361" s="405"/>
      <c r="R2361" s="405"/>
      <c r="S2361" s="405"/>
      <c r="T2361" s="405"/>
      <c r="U2361" s="405"/>
      <c r="V2361" s="405"/>
      <c r="W2361" s="405"/>
      <c r="X2361" s="405"/>
      <c r="Y2361" s="405"/>
      <c r="Z2361" s="405"/>
      <c r="AA2361" s="405"/>
      <c r="AB2361" s="405"/>
    </row>
    <row r="2362" ht="14.25" customHeight="1">
      <c r="A2362" s="405"/>
      <c r="B2362" s="405"/>
      <c r="C2362" s="405"/>
      <c r="D2362" s="405"/>
      <c r="E2362" s="405"/>
      <c r="F2362" s="583"/>
      <c r="G2362" s="583"/>
      <c r="H2362" s="405"/>
      <c r="I2362" s="405"/>
      <c r="J2362" s="405"/>
      <c r="K2362" s="405"/>
      <c r="L2362" s="405"/>
      <c r="M2362" s="405"/>
      <c r="N2362" s="405"/>
      <c r="O2362" s="405"/>
      <c r="P2362" s="405"/>
      <c r="Q2362" s="405"/>
      <c r="R2362" s="405"/>
      <c r="S2362" s="405"/>
      <c r="T2362" s="405"/>
      <c r="U2362" s="405"/>
      <c r="V2362" s="405"/>
      <c r="W2362" s="405"/>
      <c r="X2362" s="405"/>
      <c r="Y2362" s="405"/>
      <c r="Z2362" s="405"/>
      <c r="AA2362" s="405"/>
      <c r="AB2362" s="405"/>
    </row>
    <row r="2363" ht="14.25" customHeight="1">
      <c r="A2363" s="405"/>
      <c r="B2363" s="405"/>
      <c r="C2363" s="405"/>
      <c r="D2363" s="405"/>
      <c r="E2363" s="405"/>
      <c r="F2363" s="583"/>
      <c r="G2363" s="583"/>
      <c r="H2363" s="405"/>
      <c r="I2363" s="405"/>
      <c r="J2363" s="405"/>
      <c r="K2363" s="405"/>
      <c r="L2363" s="405"/>
      <c r="M2363" s="405"/>
      <c r="N2363" s="405"/>
      <c r="O2363" s="405"/>
      <c r="P2363" s="405"/>
      <c r="Q2363" s="405"/>
      <c r="R2363" s="405"/>
      <c r="S2363" s="405"/>
      <c r="T2363" s="405"/>
      <c r="U2363" s="405"/>
      <c r="V2363" s="405"/>
      <c r="W2363" s="405"/>
      <c r="X2363" s="405"/>
      <c r="Y2363" s="405"/>
      <c r="Z2363" s="405"/>
      <c r="AA2363" s="405"/>
      <c r="AB2363" s="405"/>
    </row>
    <row r="2364" ht="14.25" customHeight="1">
      <c r="A2364" s="405"/>
      <c r="B2364" s="405"/>
      <c r="C2364" s="405"/>
      <c r="D2364" s="405"/>
      <c r="E2364" s="405"/>
      <c r="F2364" s="583"/>
      <c r="G2364" s="583"/>
      <c r="H2364" s="405"/>
      <c r="I2364" s="405"/>
      <c r="J2364" s="405"/>
      <c r="K2364" s="405"/>
      <c r="L2364" s="405"/>
      <c r="M2364" s="405"/>
      <c r="N2364" s="405"/>
      <c r="O2364" s="405"/>
      <c r="P2364" s="405"/>
      <c r="Q2364" s="405"/>
      <c r="R2364" s="405"/>
      <c r="S2364" s="405"/>
      <c r="T2364" s="405"/>
      <c r="U2364" s="405"/>
      <c r="V2364" s="405"/>
      <c r="W2364" s="405"/>
      <c r="X2364" s="405"/>
      <c r="Y2364" s="405"/>
      <c r="Z2364" s="405"/>
      <c r="AA2364" s="405"/>
      <c r="AB2364" s="405"/>
    </row>
    <row r="2365" ht="14.25" customHeight="1">
      <c r="A2365" s="405"/>
      <c r="B2365" s="405"/>
      <c r="C2365" s="405"/>
      <c r="D2365" s="405"/>
      <c r="E2365" s="405"/>
      <c r="F2365" s="583"/>
      <c r="G2365" s="583"/>
      <c r="H2365" s="405"/>
      <c r="I2365" s="405"/>
      <c r="J2365" s="405"/>
      <c r="K2365" s="405"/>
      <c r="L2365" s="405"/>
      <c r="M2365" s="405"/>
      <c r="N2365" s="405"/>
      <c r="O2365" s="405"/>
      <c r="P2365" s="405"/>
      <c r="Q2365" s="405"/>
      <c r="R2365" s="405"/>
      <c r="S2365" s="405"/>
      <c r="T2365" s="405"/>
      <c r="U2365" s="405"/>
      <c r="V2365" s="405"/>
      <c r="W2365" s="405"/>
      <c r="X2365" s="405"/>
      <c r="Y2365" s="405"/>
      <c r="Z2365" s="405"/>
      <c r="AA2365" s="405"/>
      <c r="AB2365" s="405"/>
    </row>
    <row r="2366" ht="14.25" customHeight="1">
      <c r="A2366" s="405"/>
      <c r="B2366" s="405"/>
      <c r="C2366" s="405"/>
      <c r="D2366" s="405"/>
      <c r="E2366" s="405"/>
      <c r="F2366" s="583"/>
      <c r="G2366" s="583"/>
      <c r="H2366" s="405"/>
      <c r="I2366" s="405"/>
      <c r="J2366" s="405"/>
      <c r="K2366" s="405"/>
      <c r="L2366" s="405"/>
      <c r="M2366" s="405"/>
      <c r="N2366" s="405"/>
      <c r="O2366" s="405"/>
      <c r="P2366" s="405"/>
      <c r="Q2366" s="405"/>
      <c r="R2366" s="405"/>
      <c r="S2366" s="405"/>
      <c r="T2366" s="405"/>
      <c r="U2366" s="405"/>
      <c r="V2366" s="405"/>
      <c r="W2366" s="405"/>
      <c r="X2366" s="405"/>
      <c r="Y2366" s="405"/>
      <c r="Z2366" s="405"/>
      <c r="AA2366" s="405"/>
      <c r="AB2366" s="405"/>
    </row>
    <row r="2367" ht="14.25" customHeight="1">
      <c r="A2367" s="405"/>
      <c r="B2367" s="405"/>
      <c r="C2367" s="405"/>
      <c r="D2367" s="405"/>
      <c r="E2367" s="405"/>
      <c r="F2367" s="583"/>
      <c r="G2367" s="583"/>
      <c r="H2367" s="405"/>
      <c r="I2367" s="405"/>
      <c r="J2367" s="405"/>
      <c r="K2367" s="405"/>
      <c r="L2367" s="405"/>
      <c r="M2367" s="405"/>
      <c r="N2367" s="405"/>
      <c r="O2367" s="405"/>
      <c r="P2367" s="405"/>
      <c r="Q2367" s="405"/>
      <c r="R2367" s="405"/>
      <c r="S2367" s="405"/>
      <c r="T2367" s="405"/>
      <c r="U2367" s="405"/>
      <c r="V2367" s="405"/>
      <c r="W2367" s="405"/>
      <c r="X2367" s="405"/>
      <c r="Y2367" s="405"/>
      <c r="Z2367" s="405"/>
      <c r="AA2367" s="405"/>
      <c r="AB2367" s="405"/>
    </row>
    <row r="2368" ht="14.25" customHeight="1">
      <c r="A2368" s="405"/>
      <c r="B2368" s="405"/>
      <c r="C2368" s="405"/>
      <c r="D2368" s="405"/>
      <c r="E2368" s="405"/>
      <c r="F2368" s="583"/>
      <c r="G2368" s="583"/>
      <c r="H2368" s="405"/>
      <c r="I2368" s="405"/>
      <c r="J2368" s="405"/>
      <c r="K2368" s="405"/>
      <c r="L2368" s="405"/>
      <c r="M2368" s="405"/>
      <c r="N2368" s="405"/>
      <c r="O2368" s="405"/>
      <c r="P2368" s="405"/>
      <c r="Q2368" s="405"/>
      <c r="R2368" s="405"/>
      <c r="S2368" s="405"/>
      <c r="T2368" s="405"/>
      <c r="U2368" s="405"/>
      <c r="V2368" s="405"/>
      <c r="W2368" s="405"/>
      <c r="X2368" s="405"/>
      <c r="Y2368" s="405"/>
      <c r="Z2368" s="405"/>
      <c r="AA2368" s="405"/>
      <c r="AB2368" s="405"/>
    </row>
    <row r="2369" ht="14.25" customHeight="1">
      <c r="A2369" s="405"/>
      <c r="B2369" s="405"/>
      <c r="C2369" s="405"/>
      <c r="D2369" s="405"/>
      <c r="E2369" s="405"/>
      <c r="F2369" s="583"/>
      <c r="G2369" s="583"/>
      <c r="H2369" s="405"/>
      <c r="I2369" s="405"/>
      <c r="J2369" s="405"/>
      <c r="K2369" s="405"/>
      <c r="L2369" s="405"/>
      <c r="M2369" s="405"/>
      <c r="N2369" s="405"/>
      <c r="O2369" s="405"/>
      <c r="P2369" s="405"/>
      <c r="Q2369" s="405"/>
      <c r="R2369" s="405"/>
      <c r="S2369" s="405"/>
      <c r="T2369" s="405"/>
      <c r="U2369" s="405"/>
      <c r="V2369" s="405"/>
      <c r="W2369" s="405"/>
      <c r="X2369" s="405"/>
      <c r="Y2369" s="405"/>
      <c r="Z2369" s="405"/>
      <c r="AA2369" s="405"/>
      <c r="AB2369" s="405"/>
    </row>
    <row r="2370" ht="14.25" customHeight="1">
      <c r="A2370" s="405"/>
      <c r="B2370" s="405"/>
      <c r="C2370" s="405"/>
      <c r="D2370" s="405"/>
      <c r="E2370" s="405"/>
      <c r="F2370" s="583"/>
      <c r="G2370" s="583"/>
      <c r="H2370" s="405"/>
      <c r="I2370" s="405"/>
      <c r="J2370" s="405"/>
      <c r="K2370" s="405"/>
      <c r="L2370" s="405"/>
      <c r="M2370" s="405"/>
      <c r="N2370" s="405"/>
      <c r="O2370" s="405"/>
      <c r="P2370" s="405"/>
      <c r="Q2370" s="405"/>
      <c r="R2370" s="405"/>
      <c r="S2370" s="405"/>
      <c r="T2370" s="405"/>
      <c r="U2370" s="405"/>
      <c r="V2370" s="405"/>
      <c r="W2370" s="405"/>
      <c r="X2370" s="405"/>
      <c r="Y2370" s="405"/>
      <c r="Z2370" s="405"/>
      <c r="AA2370" s="405"/>
      <c r="AB2370" s="405"/>
    </row>
    <row r="2371" ht="14.25" customHeight="1">
      <c r="A2371" s="405"/>
      <c r="B2371" s="405"/>
      <c r="C2371" s="405"/>
      <c r="D2371" s="405"/>
      <c r="E2371" s="405"/>
      <c r="F2371" s="583"/>
      <c r="G2371" s="583"/>
      <c r="H2371" s="405"/>
      <c r="I2371" s="405"/>
      <c r="J2371" s="405"/>
      <c r="K2371" s="405"/>
      <c r="L2371" s="405"/>
      <c r="M2371" s="405"/>
      <c r="N2371" s="405"/>
      <c r="O2371" s="405"/>
      <c r="P2371" s="405"/>
      <c r="Q2371" s="405"/>
      <c r="R2371" s="405"/>
      <c r="S2371" s="405"/>
      <c r="T2371" s="405"/>
      <c r="U2371" s="405"/>
      <c r="V2371" s="405"/>
      <c r="W2371" s="405"/>
      <c r="X2371" s="405"/>
      <c r="Y2371" s="405"/>
      <c r="Z2371" s="405"/>
      <c r="AA2371" s="405"/>
      <c r="AB2371" s="405"/>
    </row>
    <row r="2372" ht="14.25" customHeight="1">
      <c r="A2372" s="405"/>
      <c r="B2372" s="405"/>
      <c r="C2372" s="405"/>
      <c r="D2372" s="405"/>
      <c r="E2372" s="405"/>
      <c r="F2372" s="583"/>
      <c r="G2372" s="583"/>
      <c r="H2372" s="405"/>
      <c r="I2372" s="405"/>
      <c r="J2372" s="405"/>
      <c r="K2372" s="405"/>
      <c r="L2372" s="405"/>
      <c r="M2372" s="405"/>
      <c r="N2372" s="405"/>
      <c r="O2372" s="405"/>
      <c r="P2372" s="405"/>
      <c r="Q2372" s="405"/>
      <c r="R2372" s="405"/>
      <c r="S2372" s="405"/>
      <c r="T2372" s="405"/>
      <c r="U2372" s="405"/>
      <c r="V2372" s="405"/>
      <c r="W2372" s="405"/>
      <c r="X2372" s="405"/>
      <c r="Y2372" s="405"/>
      <c r="Z2372" s="405"/>
      <c r="AA2372" s="405"/>
      <c r="AB2372" s="405"/>
    </row>
    <row r="2373" ht="14.25" customHeight="1">
      <c r="A2373" s="405"/>
      <c r="B2373" s="405"/>
      <c r="C2373" s="405"/>
      <c r="D2373" s="405"/>
      <c r="E2373" s="405"/>
      <c r="F2373" s="583"/>
      <c r="G2373" s="583"/>
      <c r="H2373" s="405"/>
      <c r="I2373" s="405"/>
      <c r="J2373" s="405"/>
      <c r="K2373" s="405"/>
      <c r="L2373" s="405"/>
      <c r="M2373" s="405"/>
      <c r="N2373" s="405"/>
      <c r="O2373" s="405"/>
      <c r="P2373" s="405"/>
      <c r="Q2373" s="405"/>
      <c r="R2373" s="405"/>
      <c r="S2373" s="405"/>
      <c r="T2373" s="405"/>
      <c r="U2373" s="405"/>
      <c r="V2373" s="405"/>
      <c r="W2373" s="405"/>
      <c r="X2373" s="405"/>
      <c r="Y2373" s="405"/>
      <c r="Z2373" s="405"/>
      <c r="AA2373" s="405"/>
      <c r="AB2373" s="405"/>
    </row>
    <row r="2374" ht="14.25" customHeight="1">
      <c r="A2374" s="405"/>
      <c r="B2374" s="405"/>
      <c r="C2374" s="405"/>
      <c r="D2374" s="405"/>
      <c r="E2374" s="405"/>
      <c r="F2374" s="583"/>
      <c r="G2374" s="583"/>
      <c r="H2374" s="405"/>
      <c r="I2374" s="405"/>
      <c r="J2374" s="405"/>
      <c r="K2374" s="405"/>
      <c r="L2374" s="405"/>
      <c r="M2374" s="405"/>
      <c r="N2374" s="405"/>
      <c r="O2374" s="405"/>
      <c r="P2374" s="405"/>
      <c r="Q2374" s="405"/>
      <c r="R2374" s="405"/>
      <c r="S2374" s="405"/>
      <c r="T2374" s="405"/>
      <c r="U2374" s="405"/>
      <c r="V2374" s="405"/>
      <c r="W2374" s="405"/>
      <c r="X2374" s="405"/>
      <c r="Y2374" s="405"/>
      <c r="Z2374" s="405"/>
      <c r="AA2374" s="405"/>
      <c r="AB2374" s="405"/>
    </row>
    <row r="2375" ht="14.25" customHeight="1">
      <c r="A2375" s="405"/>
      <c r="B2375" s="405"/>
      <c r="C2375" s="405"/>
      <c r="D2375" s="405"/>
      <c r="E2375" s="405"/>
      <c r="F2375" s="583"/>
      <c r="G2375" s="583"/>
      <c r="H2375" s="405"/>
      <c r="I2375" s="405"/>
      <c r="J2375" s="405"/>
      <c r="K2375" s="405"/>
      <c r="L2375" s="405"/>
      <c r="M2375" s="405"/>
      <c r="N2375" s="405"/>
      <c r="O2375" s="405"/>
      <c r="P2375" s="405"/>
      <c r="Q2375" s="405"/>
      <c r="R2375" s="405"/>
      <c r="S2375" s="405"/>
      <c r="T2375" s="405"/>
      <c r="U2375" s="405"/>
      <c r="V2375" s="405"/>
      <c r="W2375" s="405"/>
      <c r="X2375" s="405"/>
      <c r="Y2375" s="405"/>
      <c r="Z2375" s="405"/>
      <c r="AA2375" s="405"/>
      <c r="AB2375" s="405"/>
    </row>
    <row r="2376" ht="14.25" customHeight="1">
      <c r="A2376" s="405"/>
      <c r="B2376" s="405"/>
      <c r="C2376" s="405"/>
      <c r="D2376" s="405"/>
      <c r="E2376" s="405"/>
      <c r="F2376" s="583"/>
      <c r="G2376" s="583"/>
      <c r="H2376" s="405"/>
      <c r="I2376" s="405"/>
      <c r="J2376" s="405"/>
      <c r="K2376" s="405"/>
      <c r="L2376" s="405"/>
      <c r="M2376" s="405"/>
      <c r="N2376" s="405"/>
      <c r="O2376" s="405"/>
      <c r="P2376" s="405"/>
      <c r="Q2376" s="405"/>
      <c r="R2376" s="405"/>
      <c r="S2376" s="405"/>
      <c r="T2376" s="405"/>
      <c r="U2376" s="405"/>
      <c r="V2376" s="405"/>
      <c r="W2376" s="405"/>
      <c r="X2376" s="405"/>
      <c r="Y2376" s="405"/>
      <c r="Z2376" s="405"/>
      <c r="AA2376" s="405"/>
      <c r="AB2376" s="405"/>
    </row>
    <row r="2377" ht="14.25" customHeight="1">
      <c r="A2377" s="405"/>
      <c r="B2377" s="405"/>
      <c r="C2377" s="405"/>
      <c r="D2377" s="405"/>
      <c r="E2377" s="405"/>
      <c r="F2377" s="583"/>
      <c r="G2377" s="583"/>
      <c r="H2377" s="405"/>
      <c r="I2377" s="405"/>
      <c r="J2377" s="405"/>
      <c r="K2377" s="405"/>
      <c r="L2377" s="405"/>
      <c r="M2377" s="405"/>
      <c r="N2377" s="405"/>
      <c r="O2377" s="405"/>
      <c r="P2377" s="405"/>
      <c r="Q2377" s="405"/>
      <c r="R2377" s="405"/>
      <c r="S2377" s="405"/>
      <c r="T2377" s="405"/>
      <c r="U2377" s="405"/>
      <c r="V2377" s="405"/>
      <c r="W2377" s="405"/>
      <c r="X2377" s="405"/>
      <c r="Y2377" s="405"/>
      <c r="Z2377" s="405"/>
      <c r="AA2377" s="405"/>
      <c r="AB2377" s="405"/>
    </row>
    <row r="2378" ht="14.25" customHeight="1">
      <c r="A2378" s="405"/>
      <c r="B2378" s="405"/>
      <c r="C2378" s="405"/>
      <c r="D2378" s="405"/>
      <c r="E2378" s="405"/>
      <c r="F2378" s="583"/>
      <c r="G2378" s="583"/>
      <c r="H2378" s="405"/>
      <c r="I2378" s="405"/>
      <c r="J2378" s="405"/>
      <c r="K2378" s="405"/>
      <c r="L2378" s="405"/>
      <c r="M2378" s="405"/>
      <c r="N2378" s="405"/>
      <c r="O2378" s="405"/>
      <c r="P2378" s="405"/>
      <c r="Q2378" s="405"/>
      <c r="R2378" s="405"/>
      <c r="S2378" s="405"/>
      <c r="T2378" s="405"/>
      <c r="U2378" s="405"/>
      <c r="V2378" s="405"/>
      <c r="W2378" s="405"/>
      <c r="X2378" s="405"/>
      <c r="Y2378" s="405"/>
      <c r="Z2378" s="405"/>
      <c r="AA2378" s="405"/>
      <c r="AB2378" s="405"/>
    </row>
    <row r="2379" ht="14.25" customHeight="1">
      <c r="A2379" s="405"/>
      <c r="B2379" s="405"/>
      <c r="C2379" s="405"/>
      <c r="D2379" s="405"/>
      <c r="E2379" s="405"/>
      <c r="F2379" s="583"/>
      <c r="G2379" s="583"/>
      <c r="H2379" s="405"/>
      <c r="I2379" s="405"/>
      <c r="J2379" s="405"/>
      <c r="K2379" s="405"/>
      <c r="L2379" s="405"/>
      <c r="M2379" s="405"/>
      <c r="N2379" s="405"/>
      <c r="O2379" s="405"/>
      <c r="P2379" s="405"/>
      <c r="Q2379" s="405"/>
      <c r="R2379" s="405"/>
      <c r="S2379" s="405"/>
      <c r="T2379" s="405"/>
      <c r="U2379" s="405"/>
      <c r="V2379" s="405"/>
      <c r="W2379" s="405"/>
      <c r="X2379" s="405"/>
      <c r="Y2379" s="405"/>
      <c r="Z2379" s="405"/>
      <c r="AA2379" s="405"/>
      <c r="AB2379" s="405"/>
    </row>
    <row r="2380" ht="14.25" customHeight="1">
      <c r="A2380" s="405"/>
      <c r="B2380" s="405"/>
      <c r="C2380" s="405"/>
      <c r="D2380" s="405"/>
      <c r="E2380" s="405"/>
      <c r="F2380" s="583"/>
      <c r="G2380" s="583"/>
      <c r="H2380" s="405"/>
      <c r="I2380" s="405"/>
      <c r="J2380" s="405"/>
      <c r="K2380" s="405"/>
      <c r="L2380" s="405"/>
      <c r="M2380" s="405"/>
      <c r="N2380" s="405"/>
      <c r="O2380" s="405"/>
      <c r="P2380" s="405"/>
      <c r="Q2380" s="405"/>
      <c r="R2380" s="405"/>
      <c r="S2380" s="405"/>
      <c r="T2380" s="405"/>
      <c r="U2380" s="405"/>
      <c r="V2380" s="405"/>
      <c r="W2380" s="405"/>
      <c r="X2380" s="405"/>
      <c r="Y2380" s="405"/>
      <c r="Z2380" s="405"/>
      <c r="AA2380" s="405"/>
      <c r="AB2380" s="405"/>
    </row>
    <row r="2381" ht="14.25" customHeight="1">
      <c r="A2381" s="405"/>
      <c r="B2381" s="405"/>
      <c r="C2381" s="405"/>
      <c r="D2381" s="405"/>
      <c r="E2381" s="405"/>
      <c r="F2381" s="583"/>
      <c r="G2381" s="583"/>
      <c r="H2381" s="405"/>
      <c r="I2381" s="405"/>
      <c r="J2381" s="405"/>
      <c r="K2381" s="405"/>
      <c r="L2381" s="405"/>
      <c r="M2381" s="405"/>
      <c r="N2381" s="405"/>
      <c r="O2381" s="405"/>
      <c r="P2381" s="405"/>
      <c r="Q2381" s="405"/>
      <c r="R2381" s="405"/>
      <c r="S2381" s="405"/>
      <c r="T2381" s="405"/>
      <c r="U2381" s="405"/>
      <c r="V2381" s="405"/>
      <c r="W2381" s="405"/>
      <c r="X2381" s="405"/>
      <c r="Y2381" s="405"/>
      <c r="Z2381" s="405"/>
      <c r="AA2381" s="405"/>
      <c r="AB2381" s="405"/>
    </row>
    <row r="2382" ht="14.25" customHeight="1">
      <c r="A2382" s="405"/>
      <c r="B2382" s="405"/>
      <c r="C2382" s="405"/>
      <c r="D2382" s="405"/>
      <c r="E2382" s="405"/>
      <c r="F2382" s="583"/>
      <c r="G2382" s="583"/>
      <c r="H2382" s="405"/>
      <c r="I2382" s="405"/>
      <c r="J2382" s="405"/>
      <c r="K2382" s="405"/>
      <c r="L2382" s="405"/>
      <c r="M2382" s="405"/>
      <c r="N2382" s="405"/>
      <c r="O2382" s="405"/>
      <c r="P2382" s="405"/>
      <c r="Q2382" s="405"/>
      <c r="R2382" s="405"/>
      <c r="S2382" s="405"/>
      <c r="T2382" s="405"/>
      <c r="U2382" s="405"/>
      <c r="V2382" s="405"/>
      <c r="W2382" s="405"/>
      <c r="X2382" s="405"/>
      <c r="Y2382" s="405"/>
      <c r="Z2382" s="405"/>
      <c r="AA2382" s="405"/>
      <c r="AB2382" s="405"/>
    </row>
    <row r="2383" ht="14.25" customHeight="1">
      <c r="A2383" s="405"/>
      <c r="B2383" s="405"/>
      <c r="C2383" s="405"/>
      <c r="D2383" s="405"/>
      <c r="E2383" s="405"/>
      <c r="F2383" s="583"/>
      <c r="G2383" s="583"/>
      <c r="H2383" s="405"/>
      <c r="I2383" s="405"/>
      <c r="J2383" s="405"/>
      <c r="K2383" s="405"/>
      <c r="L2383" s="405"/>
      <c r="M2383" s="405"/>
      <c r="N2383" s="405"/>
      <c r="O2383" s="405"/>
      <c r="P2383" s="405"/>
      <c r="Q2383" s="405"/>
      <c r="R2383" s="405"/>
      <c r="S2383" s="405"/>
      <c r="T2383" s="405"/>
      <c r="U2383" s="405"/>
      <c r="V2383" s="405"/>
      <c r="W2383" s="405"/>
      <c r="X2383" s="405"/>
      <c r="Y2383" s="405"/>
      <c r="Z2383" s="405"/>
      <c r="AA2383" s="405"/>
      <c r="AB2383" s="405"/>
    </row>
    <row r="2384" ht="14.25" customHeight="1">
      <c r="A2384" s="405"/>
      <c r="B2384" s="405"/>
      <c r="C2384" s="405"/>
      <c r="D2384" s="405"/>
      <c r="E2384" s="405"/>
      <c r="F2384" s="583"/>
      <c r="G2384" s="583"/>
      <c r="H2384" s="405"/>
      <c r="I2384" s="405"/>
      <c r="J2384" s="405"/>
      <c r="K2384" s="405"/>
      <c r="L2384" s="405"/>
      <c r="M2384" s="405"/>
      <c r="N2384" s="405"/>
      <c r="O2384" s="405"/>
      <c r="P2384" s="405"/>
      <c r="Q2384" s="405"/>
      <c r="R2384" s="405"/>
      <c r="S2384" s="405"/>
      <c r="T2384" s="405"/>
      <c r="U2384" s="405"/>
      <c r="V2384" s="405"/>
      <c r="W2384" s="405"/>
      <c r="X2384" s="405"/>
      <c r="Y2384" s="405"/>
      <c r="Z2384" s="405"/>
      <c r="AA2384" s="405"/>
      <c r="AB2384" s="405"/>
    </row>
    <row r="2385" ht="14.25" customHeight="1">
      <c r="A2385" s="405"/>
      <c r="B2385" s="405"/>
      <c r="C2385" s="405"/>
      <c r="D2385" s="405"/>
      <c r="E2385" s="405"/>
      <c r="F2385" s="583"/>
      <c r="G2385" s="583"/>
      <c r="H2385" s="405"/>
      <c r="I2385" s="405"/>
      <c r="J2385" s="405"/>
      <c r="K2385" s="405"/>
      <c r="L2385" s="405"/>
      <c r="M2385" s="405"/>
      <c r="N2385" s="405"/>
      <c r="O2385" s="405"/>
      <c r="P2385" s="405"/>
      <c r="Q2385" s="405"/>
      <c r="R2385" s="405"/>
      <c r="S2385" s="405"/>
      <c r="T2385" s="405"/>
      <c r="U2385" s="405"/>
      <c r="V2385" s="405"/>
      <c r="W2385" s="405"/>
      <c r="X2385" s="405"/>
      <c r="Y2385" s="405"/>
      <c r="Z2385" s="405"/>
      <c r="AA2385" s="405"/>
      <c r="AB2385" s="405"/>
    </row>
    <row r="2386" ht="14.25" customHeight="1">
      <c r="A2386" s="405"/>
      <c r="B2386" s="405"/>
      <c r="C2386" s="405"/>
      <c r="D2386" s="405"/>
      <c r="E2386" s="405"/>
      <c r="F2386" s="583"/>
      <c r="G2386" s="583"/>
      <c r="H2386" s="405"/>
      <c r="I2386" s="405"/>
      <c r="J2386" s="405"/>
      <c r="K2386" s="405"/>
      <c r="L2386" s="405"/>
      <c r="M2386" s="405"/>
      <c r="N2386" s="405"/>
      <c r="O2386" s="405"/>
      <c r="P2386" s="405"/>
      <c r="Q2386" s="405"/>
      <c r="R2386" s="405"/>
      <c r="S2386" s="405"/>
      <c r="T2386" s="405"/>
      <c r="U2386" s="405"/>
      <c r="V2386" s="405"/>
      <c r="W2386" s="405"/>
      <c r="X2386" s="405"/>
      <c r="Y2386" s="405"/>
      <c r="Z2386" s="405"/>
      <c r="AA2386" s="405"/>
      <c r="AB2386" s="405"/>
    </row>
    <row r="2387" ht="14.25" customHeight="1">
      <c r="A2387" s="405"/>
      <c r="B2387" s="405"/>
      <c r="C2387" s="405"/>
      <c r="D2387" s="405"/>
      <c r="E2387" s="405"/>
      <c r="F2387" s="583"/>
      <c r="G2387" s="583"/>
      <c r="H2387" s="405"/>
      <c r="I2387" s="405"/>
      <c r="J2387" s="405"/>
      <c r="K2387" s="405"/>
      <c r="L2387" s="405"/>
      <c r="M2387" s="405"/>
      <c r="N2387" s="405"/>
      <c r="O2387" s="405"/>
      <c r="P2387" s="405"/>
      <c r="Q2387" s="405"/>
      <c r="R2387" s="405"/>
      <c r="S2387" s="405"/>
      <c r="T2387" s="405"/>
      <c r="U2387" s="405"/>
      <c r="V2387" s="405"/>
      <c r="W2387" s="405"/>
      <c r="X2387" s="405"/>
      <c r="Y2387" s="405"/>
      <c r="Z2387" s="405"/>
      <c r="AA2387" s="405"/>
      <c r="AB2387" s="405"/>
    </row>
    <row r="2388" ht="14.25" customHeight="1">
      <c r="A2388" s="405"/>
      <c r="B2388" s="405"/>
      <c r="C2388" s="405"/>
      <c r="D2388" s="405"/>
      <c r="E2388" s="405"/>
      <c r="F2388" s="583"/>
      <c r="G2388" s="583"/>
      <c r="H2388" s="405"/>
      <c r="I2388" s="405"/>
      <c r="J2388" s="405"/>
      <c r="K2388" s="405"/>
      <c r="L2388" s="405"/>
      <c r="M2388" s="405"/>
      <c r="N2388" s="405"/>
      <c r="O2388" s="405"/>
      <c r="P2388" s="405"/>
      <c r="Q2388" s="405"/>
      <c r="R2388" s="405"/>
      <c r="S2388" s="405"/>
      <c r="T2388" s="405"/>
      <c r="U2388" s="405"/>
      <c r="V2388" s="405"/>
      <c r="W2388" s="405"/>
      <c r="X2388" s="405"/>
      <c r="Y2388" s="405"/>
      <c r="Z2388" s="405"/>
      <c r="AA2388" s="405"/>
      <c r="AB2388" s="405"/>
    </row>
    <row r="2389" ht="14.25" customHeight="1">
      <c r="A2389" s="405"/>
      <c r="B2389" s="405"/>
      <c r="C2389" s="405"/>
      <c r="D2389" s="405"/>
      <c r="E2389" s="405"/>
      <c r="F2389" s="583"/>
      <c r="G2389" s="583"/>
      <c r="H2389" s="405"/>
      <c r="I2389" s="405"/>
      <c r="J2389" s="405"/>
      <c r="K2389" s="405"/>
      <c r="L2389" s="405"/>
      <c r="M2389" s="405"/>
      <c r="N2389" s="405"/>
      <c r="O2389" s="405"/>
      <c r="P2389" s="405"/>
      <c r="Q2389" s="405"/>
      <c r="R2389" s="405"/>
      <c r="S2389" s="405"/>
      <c r="T2389" s="405"/>
      <c r="U2389" s="405"/>
      <c r="V2389" s="405"/>
      <c r="W2389" s="405"/>
      <c r="X2389" s="405"/>
      <c r="Y2389" s="405"/>
      <c r="Z2389" s="405"/>
      <c r="AA2389" s="405"/>
      <c r="AB2389" s="405"/>
    </row>
    <row r="2390" ht="14.25" customHeight="1">
      <c r="A2390" s="405"/>
      <c r="B2390" s="405"/>
      <c r="C2390" s="405"/>
      <c r="D2390" s="405"/>
      <c r="E2390" s="405"/>
      <c r="F2390" s="583"/>
      <c r="G2390" s="583"/>
      <c r="H2390" s="405"/>
      <c r="I2390" s="405"/>
      <c r="J2390" s="405"/>
      <c r="K2390" s="405"/>
      <c r="L2390" s="405"/>
      <c r="M2390" s="405"/>
      <c r="N2390" s="405"/>
      <c r="O2390" s="405"/>
      <c r="P2390" s="405"/>
      <c r="Q2390" s="405"/>
      <c r="R2390" s="405"/>
      <c r="S2390" s="405"/>
      <c r="T2390" s="405"/>
      <c r="U2390" s="405"/>
      <c r="V2390" s="405"/>
      <c r="W2390" s="405"/>
      <c r="X2390" s="405"/>
      <c r="Y2390" s="405"/>
      <c r="Z2390" s="405"/>
      <c r="AA2390" s="405"/>
      <c r="AB2390" s="405"/>
    </row>
    <row r="2391" ht="14.25" customHeight="1">
      <c r="A2391" s="405"/>
      <c r="B2391" s="405"/>
      <c r="C2391" s="405"/>
      <c r="D2391" s="405"/>
      <c r="E2391" s="405"/>
      <c r="F2391" s="583"/>
      <c r="G2391" s="583"/>
      <c r="H2391" s="405"/>
      <c r="I2391" s="405"/>
      <c r="J2391" s="405"/>
      <c r="K2391" s="405"/>
      <c r="L2391" s="405"/>
      <c r="M2391" s="405"/>
      <c r="N2391" s="405"/>
      <c r="O2391" s="405"/>
      <c r="P2391" s="405"/>
      <c r="Q2391" s="405"/>
      <c r="R2391" s="405"/>
      <c r="S2391" s="405"/>
      <c r="T2391" s="405"/>
      <c r="U2391" s="405"/>
      <c r="V2391" s="405"/>
      <c r="W2391" s="405"/>
      <c r="X2391" s="405"/>
      <c r="Y2391" s="405"/>
      <c r="Z2391" s="405"/>
      <c r="AA2391" s="405"/>
      <c r="AB2391" s="405"/>
    </row>
    <row r="2392" ht="14.25" customHeight="1">
      <c r="A2392" s="405"/>
      <c r="B2392" s="405"/>
      <c r="C2392" s="405"/>
      <c r="D2392" s="405"/>
      <c r="E2392" s="405"/>
      <c r="F2392" s="583"/>
      <c r="G2392" s="583"/>
      <c r="H2392" s="405"/>
      <c r="I2392" s="405"/>
      <c r="J2392" s="405"/>
      <c r="K2392" s="405"/>
      <c r="L2392" s="405"/>
      <c r="M2392" s="405"/>
      <c r="N2392" s="405"/>
      <c r="O2392" s="405"/>
      <c r="P2392" s="405"/>
      <c r="Q2392" s="405"/>
      <c r="R2392" s="405"/>
      <c r="S2392" s="405"/>
      <c r="T2392" s="405"/>
      <c r="U2392" s="405"/>
      <c r="V2392" s="405"/>
      <c r="W2392" s="405"/>
      <c r="X2392" s="405"/>
      <c r="Y2392" s="405"/>
      <c r="Z2392" s="405"/>
      <c r="AA2392" s="405"/>
      <c r="AB2392" s="405"/>
    </row>
    <row r="2393" ht="14.25" customHeight="1">
      <c r="A2393" s="405"/>
      <c r="B2393" s="405"/>
      <c r="C2393" s="405"/>
      <c r="D2393" s="405"/>
      <c r="E2393" s="405"/>
      <c r="F2393" s="583"/>
      <c r="G2393" s="583"/>
      <c r="H2393" s="405"/>
      <c r="I2393" s="405"/>
      <c r="J2393" s="405"/>
      <c r="K2393" s="405"/>
      <c r="L2393" s="405"/>
      <c r="M2393" s="405"/>
      <c r="N2393" s="405"/>
      <c r="O2393" s="405"/>
      <c r="P2393" s="405"/>
      <c r="Q2393" s="405"/>
      <c r="R2393" s="405"/>
      <c r="S2393" s="405"/>
      <c r="T2393" s="405"/>
      <c r="U2393" s="405"/>
      <c r="V2393" s="405"/>
      <c r="W2393" s="405"/>
      <c r="X2393" s="405"/>
      <c r="Y2393" s="405"/>
      <c r="Z2393" s="405"/>
      <c r="AA2393" s="405"/>
      <c r="AB2393" s="405"/>
    </row>
    <row r="2394" ht="14.25" customHeight="1">
      <c r="A2394" s="405"/>
      <c r="B2394" s="405"/>
      <c r="C2394" s="405"/>
      <c r="D2394" s="405"/>
      <c r="E2394" s="405"/>
      <c r="F2394" s="583"/>
      <c r="G2394" s="583"/>
      <c r="H2394" s="405"/>
      <c r="I2394" s="405"/>
      <c r="J2394" s="405"/>
      <c r="K2394" s="405"/>
      <c r="L2394" s="405"/>
      <c r="M2394" s="405"/>
      <c r="N2394" s="405"/>
      <c r="O2394" s="405"/>
      <c r="P2394" s="405"/>
      <c r="Q2394" s="405"/>
      <c r="R2394" s="405"/>
      <c r="S2394" s="405"/>
      <c r="T2394" s="405"/>
      <c r="U2394" s="405"/>
      <c r="V2394" s="405"/>
      <c r="W2394" s="405"/>
      <c r="X2394" s="405"/>
      <c r="Y2394" s="405"/>
      <c r="Z2394" s="405"/>
      <c r="AA2394" s="405"/>
      <c r="AB2394" s="405"/>
    </row>
    <row r="2395" ht="14.25" customHeight="1">
      <c r="A2395" s="405"/>
      <c r="B2395" s="405"/>
      <c r="C2395" s="405"/>
      <c r="D2395" s="405"/>
      <c r="E2395" s="405"/>
      <c r="F2395" s="583"/>
      <c r="G2395" s="583"/>
      <c r="H2395" s="405"/>
      <c r="I2395" s="405"/>
      <c r="J2395" s="405"/>
      <c r="K2395" s="405"/>
      <c r="L2395" s="405"/>
      <c r="M2395" s="405"/>
      <c r="N2395" s="405"/>
      <c r="O2395" s="405"/>
      <c r="P2395" s="405"/>
      <c r="Q2395" s="405"/>
      <c r="R2395" s="405"/>
      <c r="S2395" s="405"/>
      <c r="T2395" s="405"/>
      <c r="U2395" s="405"/>
      <c r="V2395" s="405"/>
      <c r="W2395" s="405"/>
      <c r="X2395" s="405"/>
      <c r="Y2395" s="405"/>
      <c r="Z2395" s="405"/>
      <c r="AA2395" s="405"/>
      <c r="AB2395" s="405"/>
    </row>
    <row r="2396" ht="14.25" customHeight="1">
      <c r="A2396" s="405"/>
      <c r="B2396" s="405"/>
      <c r="C2396" s="405"/>
      <c r="D2396" s="405"/>
      <c r="E2396" s="405"/>
      <c r="F2396" s="583"/>
      <c r="G2396" s="583"/>
      <c r="H2396" s="405"/>
      <c r="I2396" s="405"/>
      <c r="J2396" s="405"/>
      <c r="K2396" s="405"/>
      <c r="L2396" s="405"/>
      <c r="M2396" s="405"/>
      <c r="N2396" s="405"/>
      <c r="O2396" s="405"/>
      <c r="P2396" s="405"/>
      <c r="Q2396" s="405"/>
      <c r="R2396" s="405"/>
      <c r="S2396" s="405"/>
      <c r="T2396" s="405"/>
      <c r="U2396" s="405"/>
      <c r="V2396" s="405"/>
      <c r="W2396" s="405"/>
      <c r="X2396" s="405"/>
      <c r="Y2396" s="405"/>
      <c r="Z2396" s="405"/>
      <c r="AA2396" s="405"/>
      <c r="AB2396" s="405"/>
    </row>
    <row r="2397" ht="14.25" customHeight="1">
      <c r="A2397" s="405"/>
      <c r="B2397" s="405"/>
      <c r="C2397" s="405"/>
      <c r="D2397" s="405"/>
      <c r="E2397" s="405"/>
      <c r="F2397" s="583"/>
      <c r="G2397" s="583"/>
      <c r="H2397" s="405"/>
      <c r="I2397" s="405"/>
      <c r="J2397" s="405"/>
      <c r="K2397" s="405"/>
      <c r="L2397" s="405"/>
      <c r="M2397" s="405"/>
      <c r="N2397" s="405"/>
      <c r="O2397" s="405"/>
      <c r="P2397" s="405"/>
      <c r="Q2397" s="405"/>
      <c r="R2397" s="405"/>
      <c r="S2397" s="405"/>
      <c r="T2397" s="405"/>
      <c r="U2397" s="405"/>
      <c r="V2397" s="405"/>
      <c r="W2397" s="405"/>
      <c r="X2397" s="405"/>
      <c r="Y2397" s="405"/>
      <c r="Z2397" s="405"/>
      <c r="AA2397" s="405"/>
      <c r="AB2397" s="405"/>
    </row>
    <row r="2398" ht="14.25" customHeight="1">
      <c r="A2398" s="405"/>
      <c r="B2398" s="405"/>
      <c r="C2398" s="405"/>
      <c r="D2398" s="405"/>
      <c r="E2398" s="405"/>
      <c r="F2398" s="583"/>
      <c r="G2398" s="583"/>
      <c r="H2398" s="405"/>
      <c r="I2398" s="405"/>
      <c r="J2398" s="405"/>
      <c r="K2398" s="405"/>
      <c r="L2398" s="405"/>
      <c r="M2398" s="405"/>
      <c r="N2398" s="405"/>
      <c r="O2398" s="405"/>
      <c r="P2398" s="405"/>
      <c r="Q2398" s="405"/>
      <c r="R2398" s="405"/>
      <c r="S2398" s="405"/>
      <c r="T2398" s="405"/>
      <c r="U2398" s="405"/>
      <c r="V2398" s="405"/>
      <c r="W2398" s="405"/>
      <c r="X2398" s="405"/>
      <c r="Y2398" s="405"/>
      <c r="Z2398" s="405"/>
      <c r="AA2398" s="405"/>
      <c r="AB2398" s="405"/>
    </row>
    <row r="2399" ht="14.25" customHeight="1">
      <c r="A2399" s="405"/>
      <c r="B2399" s="405"/>
      <c r="C2399" s="405"/>
      <c r="D2399" s="405"/>
      <c r="E2399" s="405"/>
      <c r="F2399" s="583"/>
      <c r="G2399" s="583"/>
      <c r="H2399" s="405"/>
      <c r="I2399" s="405"/>
      <c r="J2399" s="405"/>
      <c r="K2399" s="405"/>
      <c r="L2399" s="405"/>
      <c r="M2399" s="405"/>
      <c r="N2399" s="405"/>
      <c r="O2399" s="405"/>
      <c r="P2399" s="405"/>
      <c r="Q2399" s="405"/>
      <c r="R2399" s="405"/>
      <c r="S2399" s="405"/>
      <c r="T2399" s="405"/>
      <c r="U2399" s="405"/>
      <c r="V2399" s="405"/>
      <c r="W2399" s="405"/>
      <c r="X2399" s="405"/>
      <c r="Y2399" s="405"/>
      <c r="Z2399" s="405"/>
      <c r="AA2399" s="405"/>
      <c r="AB2399" s="405"/>
    </row>
    <row r="2400" ht="14.25" customHeight="1">
      <c r="A2400" s="405"/>
      <c r="B2400" s="405"/>
      <c r="C2400" s="405"/>
      <c r="D2400" s="405"/>
      <c r="E2400" s="405"/>
      <c r="F2400" s="583"/>
      <c r="G2400" s="583"/>
      <c r="H2400" s="405"/>
      <c r="I2400" s="405"/>
      <c r="J2400" s="405"/>
      <c r="K2400" s="405"/>
      <c r="L2400" s="405"/>
      <c r="M2400" s="405"/>
      <c r="N2400" s="405"/>
      <c r="O2400" s="405"/>
      <c r="P2400" s="405"/>
      <c r="Q2400" s="405"/>
      <c r="R2400" s="405"/>
      <c r="S2400" s="405"/>
      <c r="T2400" s="405"/>
      <c r="U2400" s="405"/>
      <c r="V2400" s="405"/>
      <c r="W2400" s="405"/>
      <c r="X2400" s="405"/>
      <c r="Y2400" s="405"/>
      <c r="Z2400" s="405"/>
      <c r="AA2400" s="405"/>
      <c r="AB2400" s="405"/>
    </row>
    <row r="2401" ht="14.25" customHeight="1">
      <c r="A2401" s="405"/>
      <c r="B2401" s="405"/>
      <c r="C2401" s="405"/>
      <c r="D2401" s="405"/>
      <c r="E2401" s="405"/>
      <c r="F2401" s="583"/>
      <c r="G2401" s="583"/>
      <c r="H2401" s="405"/>
      <c r="I2401" s="405"/>
      <c r="J2401" s="405"/>
      <c r="K2401" s="405"/>
      <c r="L2401" s="405"/>
      <c r="M2401" s="405"/>
      <c r="N2401" s="405"/>
      <c r="O2401" s="405"/>
      <c r="P2401" s="405"/>
      <c r="Q2401" s="405"/>
      <c r="R2401" s="405"/>
      <c r="S2401" s="405"/>
      <c r="T2401" s="405"/>
      <c r="U2401" s="405"/>
      <c r="V2401" s="405"/>
      <c r="W2401" s="405"/>
      <c r="X2401" s="405"/>
      <c r="Y2401" s="405"/>
      <c r="Z2401" s="405"/>
      <c r="AA2401" s="405"/>
      <c r="AB2401" s="405"/>
    </row>
    <row r="2402" ht="14.25" customHeight="1">
      <c r="A2402" s="405"/>
      <c r="B2402" s="405"/>
      <c r="C2402" s="405"/>
      <c r="D2402" s="405"/>
      <c r="E2402" s="405"/>
      <c r="F2402" s="583"/>
      <c r="G2402" s="583"/>
      <c r="H2402" s="405"/>
      <c r="I2402" s="405"/>
      <c r="J2402" s="405"/>
      <c r="K2402" s="405"/>
      <c r="L2402" s="405"/>
      <c r="M2402" s="405"/>
      <c r="N2402" s="405"/>
      <c r="O2402" s="405"/>
      <c r="P2402" s="405"/>
      <c r="Q2402" s="405"/>
      <c r="R2402" s="405"/>
      <c r="S2402" s="405"/>
      <c r="T2402" s="405"/>
      <c r="U2402" s="405"/>
      <c r="V2402" s="405"/>
      <c r="W2402" s="405"/>
      <c r="X2402" s="405"/>
      <c r="Y2402" s="405"/>
      <c r="Z2402" s="405"/>
      <c r="AA2402" s="405"/>
      <c r="AB2402" s="405"/>
    </row>
    <row r="2403" ht="14.25" customHeight="1">
      <c r="A2403" s="405"/>
      <c r="B2403" s="405"/>
      <c r="C2403" s="405"/>
      <c r="D2403" s="405"/>
      <c r="E2403" s="405"/>
      <c r="F2403" s="583"/>
      <c r="G2403" s="583"/>
      <c r="H2403" s="405"/>
      <c r="I2403" s="405"/>
      <c r="J2403" s="405"/>
      <c r="K2403" s="405"/>
      <c r="L2403" s="405"/>
      <c r="M2403" s="405"/>
      <c r="N2403" s="405"/>
      <c r="O2403" s="405"/>
      <c r="P2403" s="405"/>
      <c r="Q2403" s="405"/>
      <c r="R2403" s="405"/>
      <c r="S2403" s="405"/>
      <c r="T2403" s="405"/>
      <c r="U2403" s="405"/>
      <c r="V2403" s="405"/>
      <c r="W2403" s="405"/>
      <c r="X2403" s="405"/>
      <c r="Y2403" s="405"/>
      <c r="Z2403" s="405"/>
      <c r="AA2403" s="405"/>
      <c r="AB2403" s="405"/>
    </row>
    <row r="2404" ht="14.25" customHeight="1">
      <c r="A2404" s="405"/>
      <c r="B2404" s="405"/>
      <c r="C2404" s="405"/>
      <c r="D2404" s="405"/>
      <c r="E2404" s="405"/>
      <c r="F2404" s="583"/>
      <c r="G2404" s="583"/>
      <c r="H2404" s="405"/>
      <c r="I2404" s="405"/>
      <c r="J2404" s="405"/>
      <c r="K2404" s="405"/>
      <c r="L2404" s="405"/>
      <c r="M2404" s="405"/>
      <c r="N2404" s="405"/>
      <c r="O2404" s="405"/>
      <c r="P2404" s="405"/>
      <c r="Q2404" s="405"/>
      <c r="R2404" s="405"/>
      <c r="S2404" s="405"/>
      <c r="T2404" s="405"/>
      <c r="U2404" s="405"/>
      <c r="V2404" s="405"/>
      <c r="W2404" s="405"/>
      <c r="X2404" s="405"/>
      <c r="Y2404" s="405"/>
      <c r="Z2404" s="405"/>
      <c r="AA2404" s="405"/>
      <c r="AB2404" s="405"/>
    </row>
    <row r="2405" ht="14.25" customHeight="1">
      <c r="A2405" s="405"/>
      <c r="B2405" s="405"/>
      <c r="C2405" s="405"/>
      <c r="D2405" s="405"/>
      <c r="E2405" s="405"/>
      <c r="F2405" s="583"/>
      <c r="G2405" s="583"/>
      <c r="H2405" s="405"/>
      <c r="I2405" s="405"/>
      <c r="J2405" s="405"/>
      <c r="K2405" s="405"/>
      <c r="L2405" s="405"/>
      <c r="M2405" s="405"/>
      <c r="N2405" s="405"/>
      <c r="O2405" s="405"/>
      <c r="P2405" s="405"/>
      <c r="Q2405" s="405"/>
      <c r="R2405" s="405"/>
      <c r="S2405" s="405"/>
      <c r="T2405" s="405"/>
      <c r="U2405" s="405"/>
      <c r="V2405" s="405"/>
      <c r="W2405" s="405"/>
      <c r="X2405" s="405"/>
      <c r="Y2405" s="405"/>
      <c r="Z2405" s="405"/>
      <c r="AA2405" s="405"/>
      <c r="AB2405" s="405"/>
    </row>
    <row r="2406" ht="14.25" customHeight="1">
      <c r="A2406" s="405"/>
      <c r="B2406" s="405"/>
      <c r="C2406" s="405"/>
      <c r="D2406" s="405"/>
      <c r="E2406" s="405"/>
      <c r="F2406" s="583"/>
      <c r="G2406" s="583"/>
      <c r="H2406" s="405"/>
      <c r="I2406" s="405"/>
      <c r="J2406" s="405"/>
      <c r="K2406" s="405"/>
      <c r="L2406" s="405"/>
      <c r="M2406" s="405"/>
      <c r="N2406" s="405"/>
      <c r="O2406" s="405"/>
      <c r="P2406" s="405"/>
      <c r="Q2406" s="405"/>
      <c r="R2406" s="405"/>
      <c r="S2406" s="405"/>
      <c r="T2406" s="405"/>
      <c r="U2406" s="405"/>
      <c r="V2406" s="405"/>
      <c r="W2406" s="405"/>
      <c r="X2406" s="405"/>
      <c r="Y2406" s="405"/>
      <c r="Z2406" s="405"/>
      <c r="AA2406" s="405"/>
      <c r="AB2406" s="405"/>
    </row>
    <row r="2407" ht="14.25" customHeight="1">
      <c r="A2407" s="405"/>
      <c r="B2407" s="405"/>
      <c r="C2407" s="405"/>
      <c r="D2407" s="405"/>
      <c r="E2407" s="405"/>
      <c r="F2407" s="583"/>
      <c r="G2407" s="583"/>
      <c r="H2407" s="405"/>
      <c r="I2407" s="405"/>
      <c r="J2407" s="405"/>
      <c r="K2407" s="405"/>
      <c r="L2407" s="405"/>
      <c r="M2407" s="405"/>
      <c r="N2407" s="405"/>
      <c r="O2407" s="405"/>
      <c r="P2407" s="405"/>
      <c r="Q2407" s="405"/>
      <c r="R2407" s="405"/>
      <c r="S2407" s="405"/>
      <c r="T2407" s="405"/>
      <c r="U2407" s="405"/>
      <c r="V2407" s="405"/>
      <c r="W2407" s="405"/>
      <c r="X2407" s="405"/>
      <c r="Y2407" s="405"/>
      <c r="Z2407" s="405"/>
      <c r="AA2407" s="405"/>
      <c r="AB2407" s="405"/>
    </row>
    <row r="2408" ht="14.25" customHeight="1">
      <c r="A2408" s="405"/>
      <c r="B2408" s="405"/>
      <c r="C2408" s="405"/>
      <c r="D2408" s="405"/>
      <c r="E2408" s="405"/>
      <c r="F2408" s="583"/>
      <c r="G2408" s="583"/>
      <c r="H2408" s="405"/>
      <c r="I2408" s="405"/>
      <c r="J2408" s="405"/>
      <c r="K2408" s="405"/>
      <c r="L2408" s="405"/>
      <c r="M2408" s="405"/>
      <c r="N2408" s="405"/>
      <c r="O2408" s="405"/>
      <c r="P2408" s="405"/>
      <c r="Q2408" s="405"/>
      <c r="R2408" s="405"/>
      <c r="S2408" s="405"/>
      <c r="T2408" s="405"/>
      <c r="U2408" s="405"/>
      <c r="V2408" s="405"/>
      <c r="W2408" s="405"/>
      <c r="X2408" s="405"/>
      <c r="Y2408" s="405"/>
      <c r="Z2408" s="405"/>
      <c r="AA2408" s="405"/>
      <c r="AB2408" s="405"/>
    </row>
    <row r="2409" ht="14.25" customHeight="1">
      <c r="A2409" s="405"/>
      <c r="B2409" s="405"/>
      <c r="C2409" s="405"/>
      <c r="D2409" s="405"/>
      <c r="E2409" s="405"/>
      <c r="F2409" s="583"/>
      <c r="G2409" s="583"/>
      <c r="H2409" s="405"/>
      <c r="I2409" s="405"/>
      <c r="J2409" s="405"/>
      <c r="K2409" s="405"/>
      <c r="L2409" s="405"/>
      <c r="M2409" s="405"/>
      <c r="N2409" s="405"/>
      <c r="O2409" s="405"/>
      <c r="P2409" s="405"/>
      <c r="Q2409" s="405"/>
      <c r="R2409" s="405"/>
      <c r="S2409" s="405"/>
      <c r="T2409" s="405"/>
      <c r="U2409" s="405"/>
      <c r="V2409" s="405"/>
      <c r="W2409" s="405"/>
      <c r="X2409" s="405"/>
      <c r="Y2409" s="405"/>
      <c r="Z2409" s="405"/>
      <c r="AA2409" s="405"/>
      <c r="AB2409" s="405"/>
    </row>
    <row r="2410" ht="14.25" customHeight="1">
      <c r="A2410" s="405"/>
      <c r="B2410" s="405"/>
      <c r="C2410" s="405"/>
      <c r="D2410" s="405"/>
      <c r="E2410" s="405"/>
      <c r="F2410" s="583"/>
      <c r="G2410" s="583"/>
      <c r="H2410" s="405"/>
      <c r="I2410" s="405"/>
      <c r="J2410" s="405"/>
      <c r="K2410" s="405"/>
      <c r="L2410" s="405"/>
      <c r="M2410" s="405"/>
      <c r="N2410" s="405"/>
      <c r="O2410" s="405"/>
      <c r="P2410" s="405"/>
      <c r="Q2410" s="405"/>
      <c r="R2410" s="405"/>
      <c r="S2410" s="405"/>
      <c r="T2410" s="405"/>
      <c r="U2410" s="405"/>
      <c r="V2410" s="405"/>
      <c r="W2410" s="405"/>
      <c r="X2410" s="405"/>
      <c r="Y2410" s="405"/>
      <c r="Z2410" s="405"/>
      <c r="AA2410" s="405"/>
      <c r="AB2410" s="405"/>
    </row>
    <row r="2411" ht="14.25" customHeight="1">
      <c r="A2411" s="405"/>
      <c r="B2411" s="405"/>
      <c r="C2411" s="405"/>
      <c r="D2411" s="405"/>
      <c r="E2411" s="405"/>
      <c r="F2411" s="583"/>
      <c r="G2411" s="583"/>
      <c r="H2411" s="405"/>
      <c r="I2411" s="405"/>
      <c r="J2411" s="405"/>
      <c r="K2411" s="405"/>
      <c r="L2411" s="405"/>
      <c r="M2411" s="405"/>
      <c r="N2411" s="405"/>
      <c r="O2411" s="405"/>
      <c r="P2411" s="405"/>
      <c r="Q2411" s="405"/>
      <c r="R2411" s="405"/>
      <c r="S2411" s="405"/>
      <c r="T2411" s="405"/>
      <c r="U2411" s="405"/>
      <c r="V2411" s="405"/>
      <c r="W2411" s="405"/>
      <c r="X2411" s="405"/>
      <c r="Y2411" s="405"/>
      <c r="Z2411" s="405"/>
      <c r="AA2411" s="405"/>
      <c r="AB2411" s="405"/>
    </row>
    <row r="2412" ht="14.25" customHeight="1">
      <c r="A2412" s="405"/>
      <c r="B2412" s="405"/>
      <c r="C2412" s="405"/>
      <c r="D2412" s="405"/>
      <c r="E2412" s="405"/>
      <c r="F2412" s="583"/>
      <c r="G2412" s="583"/>
      <c r="H2412" s="405"/>
      <c r="I2412" s="405"/>
      <c r="J2412" s="405"/>
      <c r="K2412" s="405"/>
      <c r="L2412" s="405"/>
      <c r="M2412" s="405"/>
      <c r="N2412" s="405"/>
      <c r="O2412" s="405"/>
      <c r="P2412" s="405"/>
      <c r="Q2412" s="405"/>
      <c r="R2412" s="405"/>
      <c r="S2412" s="405"/>
      <c r="T2412" s="405"/>
      <c r="U2412" s="405"/>
      <c r="V2412" s="405"/>
      <c r="W2412" s="405"/>
      <c r="X2412" s="405"/>
      <c r="Y2412" s="405"/>
      <c r="Z2412" s="405"/>
      <c r="AA2412" s="405"/>
      <c r="AB2412" s="405"/>
    </row>
    <row r="2413" ht="14.25" customHeight="1">
      <c r="A2413" s="405"/>
      <c r="B2413" s="405"/>
      <c r="C2413" s="405"/>
      <c r="D2413" s="405"/>
      <c r="E2413" s="405"/>
      <c r="F2413" s="583"/>
      <c r="G2413" s="583"/>
      <c r="H2413" s="405"/>
      <c r="I2413" s="405"/>
      <c r="J2413" s="405"/>
      <c r="K2413" s="405"/>
      <c r="L2413" s="405"/>
      <c r="M2413" s="405"/>
      <c r="N2413" s="405"/>
      <c r="O2413" s="405"/>
      <c r="P2413" s="405"/>
      <c r="Q2413" s="405"/>
      <c r="R2413" s="405"/>
      <c r="S2413" s="405"/>
      <c r="T2413" s="405"/>
      <c r="U2413" s="405"/>
      <c r="V2413" s="405"/>
      <c r="W2413" s="405"/>
      <c r="X2413" s="405"/>
      <c r="Y2413" s="405"/>
      <c r="Z2413" s="405"/>
      <c r="AA2413" s="405"/>
      <c r="AB2413" s="405"/>
    </row>
    <row r="2414" ht="14.25" customHeight="1">
      <c r="A2414" s="405"/>
      <c r="B2414" s="405"/>
      <c r="C2414" s="405"/>
      <c r="D2414" s="405"/>
      <c r="E2414" s="405"/>
      <c r="F2414" s="583"/>
      <c r="G2414" s="583"/>
      <c r="H2414" s="405"/>
      <c r="I2414" s="405"/>
      <c r="J2414" s="405"/>
      <c r="K2414" s="405"/>
      <c r="L2414" s="405"/>
      <c r="M2414" s="405"/>
      <c r="N2414" s="405"/>
      <c r="O2414" s="405"/>
      <c r="P2414" s="405"/>
      <c r="Q2414" s="405"/>
      <c r="R2414" s="405"/>
      <c r="S2414" s="405"/>
      <c r="T2414" s="405"/>
      <c r="U2414" s="405"/>
      <c r="V2414" s="405"/>
      <c r="W2414" s="405"/>
      <c r="X2414" s="405"/>
      <c r="Y2414" s="405"/>
      <c r="Z2414" s="405"/>
      <c r="AA2414" s="405"/>
      <c r="AB2414" s="405"/>
    </row>
    <row r="2415" ht="14.25" customHeight="1">
      <c r="A2415" s="405"/>
      <c r="B2415" s="405"/>
      <c r="C2415" s="405"/>
      <c r="D2415" s="405"/>
      <c r="E2415" s="405"/>
      <c r="F2415" s="583"/>
      <c r="G2415" s="583"/>
      <c r="H2415" s="405"/>
      <c r="I2415" s="405"/>
      <c r="J2415" s="405"/>
      <c r="K2415" s="405"/>
      <c r="L2415" s="405"/>
      <c r="M2415" s="405"/>
      <c r="N2415" s="405"/>
      <c r="O2415" s="405"/>
      <c r="P2415" s="405"/>
      <c r="Q2415" s="405"/>
      <c r="R2415" s="405"/>
      <c r="S2415" s="405"/>
      <c r="T2415" s="405"/>
      <c r="U2415" s="405"/>
      <c r="V2415" s="405"/>
      <c r="W2415" s="405"/>
      <c r="X2415" s="405"/>
      <c r="Y2415" s="405"/>
      <c r="Z2415" s="405"/>
      <c r="AA2415" s="405"/>
      <c r="AB2415" s="405"/>
    </row>
    <row r="2416" ht="14.25" customHeight="1">
      <c r="A2416" s="405"/>
      <c r="B2416" s="405"/>
      <c r="C2416" s="405"/>
      <c r="D2416" s="405"/>
      <c r="E2416" s="405"/>
      <c r="F2416" s="583"/>
      <c r="G2416" s="583"/>
      <c r="H2416" s="405"/>
      <c r="I2416" s="405"/>
      <c r="J2416" s="405"/>
      <c r="K2416" s="405"/>
      <c r="L2416" s="405"/>
      <c r="M2416" s="405"/>
      <c r="N2416" s="405"/>
      <c r="O2416" s="405"/>
      <c r="P2416" s="405"/>
      <c r="Q2416" s="405"/>
      <c r="R2416" s="405"/>
      <c r="S2416" s="405"/>
      <c r="T2416" s="405"/>
      <c r="U2416" s="405"/>
      <c r="V2416" s="405"/>
      <c r="W2416" s="405"/>
      <c r="X2416" s="405"/>
      <c r="Y2416" s="405"/>
      <c r="Z2416" s="405"/>
      <c r="AA2416" s="405"/>
      <c r="AB2416" s="405"/>
    </row>
    <row r="2417" ht="14.25" customHeight="1">
      <c r="A2417" s="405"/>
      <c r="B2417" s="405"/>
      <c r="C2417" s="405"/>
      <c r="D2417" s="405"/>
      <c r="E2417" s="405"/>
      <c r="F2417" s="583"/>
      <c r="G2417" s="583"/>
      <c r="H2417" s="405"/>
      <c r="I2417" s="405"/>
      <c r="J2417" s="405"/>
      <c r="K2417" s="405"/>
      <c r="L2417" s="405"/>
      <c r="M2417" s="405"/>
      <c r="N2417" s="405"/>
      <c r="O2417" s="405"/>
      <c r="P2417" s="405"/>
      <c r="Q2417" s="405"/>
      <c r="R2417" s="405"/>
      <c r="S2417" s="405"/>
      <c r="T2417" s="405"/>
      <c r="U2417" s="405"/>
      <c r="V2417" s="405"/>
      <c r="W2417" s="405"/>
      <c r="X2417" s="405"/>
      <c r="Y2417" s="405"/>
      <c r="Z2417" s="405"/>
      <c r="AA2417" s="405"/>
      <c r="AB2417" s="405"/>
    </row>
    <row r="2418" ht="14.25" customHeight="1">
      <c r="A2418" s="405"/>
      <c r="B2418" s="405"/>
      <c r="C2418" s="405"/>
      <c r="D2418" s="405"/>
      <c r="E2418" s="405"/>
      <c r="F2418" s="583"/>
      <c r="G2418" s="583"/>
      <c r="H2418" s="405"/>
      <c r="I2418" s="405"/>
      <c r="J2418" s="405"/>
      <c r="K2418" s="405"/>
      <c r="L2418" s="405"/>
      <c r="M2418" s="405"/>
      <c r="N2418" s="405"/>
      <c r="O2418" s="405"/>
      <c r="P2418" s="405"/>
      <c r="Q2418" s="405"/>
      <c r="R2418" s="405"/>
      <c r="S2418" s="405"/>
      <c r="T2418" s="405"/>
      <c r="U2418" s="405"/>
      <c r="V2418" s="405"/>
      <c r="W2418" s="405"/>
      <c r="X2418" s="405"/>
      <c r="Y2418" s="405"/>
      <c r="Z2418" s="405"/>
      <c r="AA2418" s="405"/>
      <c r="AB2418" s="405"/>
    </row>
    <row r="2419" ht="14.25" customHeight="1">
      <c r="A2419" s="405"/>
      <c r="B2419" s="405"/>
      <c r="C2419" s="405"/>
      <c r="D2419" s="405"/>
      <c r="E2419" s="405"/>
      <c r="F2419" s="583"/>
      <c r="G2419" s="583"/>
      <c r="H2419" s="405"/>
      <c r="I2419" s="405"/>
      <c r="J2419" s="405"/>
      <c r="K2419" s="405"/>
      <c r="L2419" s="405"/>
      <c r="M2419" s="405"/>
      <c r="N2419" s="405"/>
      <c r="O2419" s="405"/>
      <c r="P2419" s="405"/>
      <c r="Q2419" s="405"/>
      <c r="R2419" s="405"/>
      <c r="S2419" s="405"/>
      <c r="T2419" s="405"/>
      <c r="U2419" s="405"/>
      <c r="V2419" s="405"/>
      <c r="W2419" s="405"/>
      <c r="X2419" s="405"/>
      <c r="Y2419" s="405"/>
      <c r="Z2419" s="405"/>
      <c r="AA2419" s="405"/>
      <c r="AB2419" s="405"/>
    </row>
    <row r="2420" ht="14.25" customHeight="1">
      <c r="A2420" s="405"/>
      <c r="B2420" s="405"/>
      <c r="C2420" s="405"/>
      <c r="D2420" s="405"/>
      <c r="E2420" s="405"/>
      <c r="F2420" s="583"/>
      <c r="G2420" s="583"/>
      <c r="H2420" s="405"/>
      <c r="I2420" s="405"/>
      <c r="J2420" s="405"/>
      <c r="K2420" s="405"/>
      <c r="L2420" s="405"/>
      <c r="M2420" s="405"/>
      <c r="N2420" s="405"/>
      <c r="O2420" s="405"/>
      <c r="P2420" s="405"/>
      <c r="Q2420" s="405"/>
      <c r="R2420" s="405"/>
      <c r="S2420" s="405"/>
      <c r="T2420" s="405"/>
      <c r="U2420" s="405"/>
      <c r="V2420" s="405"/>
      <c r="W2420" s="405"/>
      <c r="X2420" s="405"/>
      <c r="Y2420" s="405"/>
      <c r="Z2420" s="405"/>
      <c r="AA2420" s="405"/>
      <c r="AB2420" s="405"/>
    </row>
    <row r="2421" ht="14.25" customHeight="1">
      <c r="A2421" s="405"/>
      <c r="B2421" s="405"/>
      <c r="C2421" s="405"/>
      <c r="D2421" s="405"/>
      <c r="E2421" s="405"/>
      <c r="F2421" s="583"/>
      <c r="G2421" s="583"/>
      <c r="H2421" s="405"/>
      <c r="I2421" s="405"/>
      <c r="J2421" s="405"/>
      <c r="K2421" s="405"/>
      <c r="L2421" s="405"/>
      <c r="M2421" s="405"/>
      <c r="N2421" s="405"/>
      <c r="O2421" s="405"/>
      <c r="P2421" s="405"/>
      <c r="Q2421" s="405"/>
      <c r="R2421" s="405"/>
      <c r="S2421" s="405"/>
      <c r="T2421" s="405"/>
      <c r="U2421" s="405"/>
      <c r="V2421" s="405"/>
      <c r="W2421" s="405"/>
      <c r="X2421" s="405"/>
      <c r="Y2421" s="405"/>
      <c r="Z2421" s="405"/>
      <c r="AA2421" s="405"/>
      <c r="AB2421" s="405"/>
    </row>
    <row r="2422" ht="14.25" customHeight="1">
      <c r="A2422" s="405"/>
      <c r="B2422" s="405"/>
      <c r="C2422" s="405"/>
      <c r="D2422" s="405"/>
      <c r="E2422" s="405"/>
      <c r="F2422" s="583"/>
      <c r="G2422" s="583"/>
      <c r="H2422" s="405"/>
      <c r="I2422" s="405"/>
      <c r="J2422" s="405"/>
      <c r="K2422" s="405"/>
      <c r="L2422" s="405"/>
      <c r="M2422" s="405"/>
      <c r="N2422" s="405"/>
      <c r="O2422" s="405"/>
      <c r="P2422" s="405"/>
      <c r="Q2422" s="405"/>
      <c r="R2422" s="405"/>
      <c r="S2422" s="405"/>
      <c r="T2422" s="405"/>
      <c r="U2422" s="405"/>
      <c r="V2422" s="405"/>
      <c r="W2422" s="405"/>
      <c r="X2422" s="405"/>
      <c r="Y2422" s="405"/>
      <c r="Z2422" s="405"/>
      <c r="AA2422" s="405"/>
      <c r="AB2422" s="405"/>
    </row>
    <row r="2423" ht="14.25" customHeight="1">
      <c r="A2423" s="405"/>
      <c r="B2423" s="405"/>
      <c r="C2423" s="405"/>
      <c r="D2423" s="405"/>
      <c r="E2423" s="405"/>
      <c r="F2423" s="583"/>
      <c r="G2423" s="583"/>
      <c r="H2423" s="405"/>
      <c r="I2423" s="405"/>
      <c r="J2423" s="405"/>
      <c r="K2423" s="405"/>
      <c r="L2423" s="405"/>
      <c r="M2423" s="405"/>
      <c r="N2423" s="405"/>
      <c r="O2423" s="405"/>
      <c r="P2423" s="405"/>
      <c r="Q2423" s="405"/>
      <c r="R2423" s="405"/>
      <c r="S2423" s="405"/>
      <c r="T2423" s="405"/>
      <c r="U2423" s="405"/>
      <c r="V2423" s="405"/>
      <c r="W2423" s="405"/>
      <c r="X2423" s="405"/>
      <c r="Y2423" s="405"/>
      <c r="Z2423" s="405"/>
      <c r="AA2423" s="405"/>
      <c r="AB2423" s="405"/>
    </row>
    <row r="2424" ht="14.25" customHeight="1">
      <c r="A2424" s="405"/>
      <c r="B2424" s="405"/>
      <c r="C2424" s="405"/>
      <c r="D2424" s="405"/>
      <c r="E2424" s="405"/>
      <c r="F2424" s="583"/>
      <c r="G2424" s="583"/>
      <c r="H2424" s="405"/>
      <c r="I2424" s="405"/>
      <c r="J2424" s="405"/>
      <c r="K2424" s="405"/>
      <c r="L2424" s="405"/>
      <c r="M2424" s="405"/>
      <c r="N2424" s="405"/>
      <c r="O2424" s="405"/>
      <c r="P2424" s="405"/>
      <c r="Q2424" s="405"/>
      <c r="R2424" s="405"/>
      <c r="S2424" s="405"/>
      <c r="T2424" s="405"/>
      <c r="U2424" s="405"/>
      <c r="V2424" s="405"/>
      <c r="W2424" s="405"/>
      <c r="X2424" s="405"/>
      <c r="Y2424" s="405"/>
      <c r="Z2424" s="405"/>
      <c r="AA2424" s="405"/>
      <c r="AB2424" s="405"/>
    </row>
    <row r="2425" ht="14.25" customHeight="1">
      <c r="A2425" s="405"/>
      <c r="B2425" s="405"/>
      <c r="C2425" s="405"/>
      <c r="D2425" s="405"/>
      <c r="E2425" s="405"/>
      <c r="F2425" s="583"/>
      <c r="G2425" s="583"/>
      <c r="H2425" s="405"/>
      <c r="I2425" s="405"/>
      <c r="J2425" s="405"/>
      <c r="K2425" s="405"/>
      <c r="L2425" s="405"/>
      <c r="M2425" s="405"/>
      <c r="N2425" s="405"/>
      <c r="O2425" s="405"/>
      <c r="P2425" s="405"/>
      <c r="Q2425" s="405"/>
      <c r="R2425" s="405"/>
      <c r="S2425" s="405"/>
      <c r="T2425" s="405"/>
      <c r="U2425" s="405"/>
      <c r="V2425" s="405"/>
      <c r="W2425" s="405"/>
      <c r="X2425" s="405"/>
      <c r="Y2425" s="405"/>
      <c r="Z2425" s="405"/>
      <c r="AA2425" s="405"/>
      <c r="AB2425" s="405"/>
    </row>
    <row r="2426" ht="14.25" customHeight="1">
      <c r="A2426" s="405"/>
      <c r="B2426" s="405"/>
      <c r="C2426" s="405"/>
      <c r="D2426" s="405"/>
      <c r="E2426" s="405"/>
      <c r="F2426" s="583"/>
      <c r="G2426" s="583"/>
      <c r="H2426" s="405"/>
      <c r="I2426" s="405"/>
      <c r="J2426" s="405"/>
      <c r="K2426" s="405"/>
      <c r="L2426" s="405"/>
      <c r="M2426" s="405"/>
      <c r="N2426" s="405"/>
      <c r="O2426" s="405"/>
      <c r="P2426" s="405"/>
      <c r="Q2426" s="405"/>
      <c r="R2426" s="405"/>
      <c r="S2426" s="405"/>
      <c r="T2426" s="405"/>
      <c r="U2426" s="405"/>
      <c r="V2426" s="405"/>
      <c r="W2426" s="405"/>
      <c r="X2426" s="405"/>
      <c r="Y2426" s="405"/>
      <c r="Z2426" s="405"/>
      <c r="AA2426" s="405"/>
      <c r="AB2426" s="405"/>
    </row>
    <row r="2427" ht="14.25" customHeight="1">
      <c r="A2427" s="405"/>
      <c r="B2427" s="405"/>
      <c r="C2427" s="405"/>
      <c r="D2427" s="405"/>
      <c r="E2427" s="405"/>
      <c r="F2427" s="583"/>
      <c r="G2427" s="583"/>
      <c r="H2427" s="405"/>
      <c r="I2427" s="405"/>
      <c r="J2427" s="405"/>
      <c r="K2427" s="405"/>
      <c r="L2427" s="405"/>
      <c r="M2427" s="405"/>
      <c r="N2427" s="405"/>
      <c r="O2427" s="405"/>
      <c r="P2427" s="405"/>
      <c r="Q2427" s="405"/>
      <c r="R2427" s="405"/>
      <c r="S2427" s="405"/>
      <c r="T2427" s="405"/>
      <c r="U2427" s="405"/>
      <c r="V2427" s="405"/>
      <c r="W2427" s="405"/>
      <c r="X2427" s="405"/>
      <c r="Y2427" s="405"/>
      <c r="Z2427" s="405"/>
      <c r="AA2427" s="405"/>
      <c r="AB2427" s="405"/>
    </row>
    <row r="2428" ht="14.25" customHeight="1">
      <c r="A2428" s="405"/>
      <c r="B2428" s="405"/>
      <c r="C2428" s="405"/>
      <c r="D2428" s="405"/>
      <c r="E2428" s="405"/>
      <c r="F2428" s="583"/>
      <c r="G2428" s="583"/>
      <c r="H2428" s="405"/>
      <c r="I2428" s="405"/>
      <c r="J2428" s="405"/>
      <c r="K2428" s="405"/>
      <c r="L2428" s="405"/>
      <c r="M2428" s="405"/>
      <c r="N2428" s="405"/>
      <c r="O2428" s="405"/>
      <c r="P2428" s="405"/>
      <c r="Q2428" s="405"/>
      <c r="R2428" s="405"/>
      <c r="S2428" s="405"/>
      <c r="T2428" s="405"/>
      <c r="U2428" s="405"/>
      <c r="V2428" s="405"/>
      <c r="W2428" s="405"/>
      <c r="X2428" s="405"/>
      <c r="Y2428" s="405"/>
      <c r="Z2428" s="405"/>
      <c r="AA2428" s="405"/>
      <c r="AB2428" s="405"/>
    </row>
    <row r="2429" ht="14.25" customHeight="1">
      <c r="A2429" s="405"/>
      <c r="B2429" s="405"/>
      <c r="C2429" s="405"/>
      <c r="D2429" s="405"/>
      <c r="E2429" s="405"/>
      <c r="F2429" s="583"/>
      <c r="G2429" s="583"/>
      <c r="H2429" s="405"/>
      <c r="I2429" s="405"/>
      <c r="J2429" s="405"/>
      <c r="K2429" s="405"/>
      <c r="L2429" s="405"/>
      <c r="M2429" s="405"/>
      <c r="N2429" s="405"/>
      <c r="O2429" s="405"/>
      <c r="P2429" s="405"/>
      <c r="Q2429" s="405"/>
      <c r="R2429" s="405"/>
      <c r="S2429" s="405"/>
      <c r="T2429" s="405"/>
      <c r="U2429" s="405"/>
      <c r="V2429" s="405"/>
      <c r="W2429" s="405"/>
      <c r="X2429" s="405"/>
      <c r="Y2429" s="405"/>
      <c r="Z2429" s="405"/>
      <c r="AA2429" s="405"/>
      <c r="AB2429" s="405"/>
    </row>
    <row r="2430" ht="14.25" customHeight="1">
      <c r="A2430" s="405"/>
      <c r="B2430" s="405"/>
      <c r="C2430" s="405"/>
      <c r="D2430" s="405"/>
      <c r="E2430" s="405"/>
      <c r="F2430" s="583"/>
      <c r="G2430" s="583"/>
      <c r="H2430" s="405"/>
      <c r="I2430" s="405"/>
      <c r="J2430" s="405"/>
      <c r="K2430" s="405"/>
      <c r="L2430" s="405"/>
      <c r="M2430" s="405"/>
      <c r="N2430" s="405"/>
      <c r="O2430" s="405"/>
      <c r="P2430" s="405"/>
      <c r="Q2430" s="405"/>
      <c r="R2430" s="405"/>
      <c r="S2430" s="405"/>
      <c r="T2430" s="405"/>
      <c r="U2430" s="405"/>
      <c r="V2430" s="405"/>
      <c r="W2430" s="405"/>
      <c r="X2430" s="405"/>
      <c r="Y2430" s="405"/>
      <c r="Z2430" s="405"/>
      <c r="AA2430" s="405"/>
      <c r="AB2430" s="405"/>
    </row>
    <row r="2431" ht="14.25" customHeight="1">
      <c r="A2431" s="405"/>
      <c r="B2431" s="405"/>
      <c r="C2431" s="405"/>
      <c r="D2431" s="405"/>
      <c r="E2431" s="405"/>
      <c r="F2431" s="583"/>
      <c r="G2431" s="583"/>
      <c r="H2431" s="405"/>
      <c r="I2431" s="405"/>
      <c r="J2431" s="405"/>
      <c r="K2431" s="405"/>
      <c r="L2431" s="405"/>
      <c r="M2431" s="405"/>
      <c r="N2431" s="405"/>
      <c r="O2431" s="405"/>
      <c r="P2431" s="405"/>
      <c r="Q2431" s="405"/>
      <c r="R2431" s="405"/>
      <c r="S2431" s="405"/>
      <c r="T2431" s="405"/>
      <c r="U2431" s="405"/>
      <c r="V2431" s="405"/>
      <c r="W2431" s="405"/>
      <c r="X2431" s="405"/>
      <c r="Y2431" s="405"/>
      <c r="Z2431" s="405"/>
      <c r="AA2431" s="405"/>
      <c r="AB2431" s="405"/>
    </row>
    <row r="2432" ht="14.25" customHeight="1">
      <c r="A2432" s="405"/>
      <c r="B2432" s="405"/>
      <c r="C2432" s="405"/>
      <c r="D2432" s="405"/>
      <c r="E2432" s="405"/>
      <c r="F2432" s="583"/>
      <c r="G2432" s="583"/>
      <c r="H2432" s="405"/>
      <c r="I2432" s="405"/>
      <c r="J2432" s="405"/>
      <c r="K2432" s="405"/>
      <c r="L2432" s="405"/>
      <c r="M2432" s="405"/>
      <c r="N2432" s="405"/>
      <c r="O2432" s="405"/>
      <c r="P2432" s="405"/>
      <c r="Q2432" s="405"/>
      <c r="R2432" s="405"/>
      <c r="S2432" s="405"/>
      <c r="T2432" s="405"/>
      <c r="U2432" s="405"/>
      <c r="V2432" s="405"/>
      <c r="W2432" s="405"/>
      <c r="X2432" s="405"/>
      <c r="Y2432" s="405"/>
      <c r="Z2432" s="405"/>
      <c r="AA2432" s="405"/>
      <c r="AB2432" s="405"/>
    </row>
    <row r="2433" ht="14.25" customHeight="1">
      <c r="A2433" s="405"/>
      <c r="B2433" s="405"/>
      <c r="C2433" s="405"/>
      <c r="D2433" s="405"/>
      <c r="E2433" s="405"/>
      <c r="F2433" s="583"/>
      <c r="G2433" s="583"/>
      <c r="H2433" s="405"/>
      <c r="I2433" s="405"/>
      <c r="J2433" s="405"/>
      <c r="K2433" s="405"/>
      <c r="L2433" s="405"/>
      <c r="M2433" s="405"/>
      <c r="N2433" s="405"/>
      <c r="O2433" s="405"/>
      <c r="P2433" s="405"/>
      <c r="Q2433" s="405"/>
      <c r="R2433" s="405"/>
      <c r="S2433" s="405"/>
      <c r="T2433" s="405"/>
      <c r="U2433" s="405"/>
      <c r="V2433" s="405"/>
      <c r="W2433" s="405"/>
      <c r="X2433" s="405"/>
      <c r="Y2433" s="405"/>
      <c r="Z2433" s="405"/>
      <c r="AA2433" s="405"/>
      <c r="AB2433" s="405"/>
    </row>
    <row r="2434" ht="14.25" customHeight="1">
      <c r="A2434" s="405"/>
      <c r="B2434" s="405"/>
      <c r="C2434" s="405"/>
      <c r="D2434" s="405"/>
      <c r="E2434" s="405"/>
      <c r="F2434" s="583"/>
      <c r="G2434" s="583"/>
      <c r="H2434" s="405"/>
      <c r="I2434" s="405"/>
      <c r="J2434" s="405"/>
      <c r="K2434" s="405"/>
      <c r="L2434" s="405"/>
      <c r="M2434" s="405"/>
      <c r="N2434" s="405"/>
      <c r="O2434" s="405"/>
      <c r="P2434" s="405"/>
      <c r="Q2434" s="405"/>
      <c r="R2434" s="405"/>
      <c r="S2434" s="405"/>
      <c r="T2434" s="405"/>
      <c r="U2434" s="405"/>
      <c r="V2434" s="405"/>
      <c r="W2434" s="405"/>
      <c r="X2434" s="405"/>
      <c r="Y2434" s="405"/>
      <c r="Z2434" s="405"/>
      <c r="AA2434" s="405"/>
      <c r="AB2434" s="405"/>
    </row>
    <row r="2435" ht="14.25" customHeight="1">
      <c r="A2435" s="405"/>
      <c r="B2435" s="405"/>
      <c r="C2435" s="405"/>
      <c r="D2435" s="405"/>
      <c r="E2435" s="405"/>
      <c r="F2435" s="583"/>
      <c r="G2435" s="583"/>
      <c r="H2435" s="405"/>
      <c r="I2435" s="405"/>
      <c r="J2435" s="405"/>
      <c r="K2435" s="405"/>
      <c r="L2435" s="405"/>
      <c r="M2435" s="405"/>
      <c r="N2435" s="405"/>
      <c r="O2435" s="405"/>
      <c r="P2435" s="405"/>
      <c r="Q2435" s="405"/>
      <c r="R2435" s="405"/>
      <c r="S2435" s="405"/>
      <c r="T2435" s="405"/>
      <c r="U2435" s="405"/>
      <c r="V2435" s="405"/>
      <c r="W2435" s="405"/>
      <c r="X2435" s="405"/>
      <c r="Y2435" s="405"/>
      <c r="Z2435" s="405"/>
      <c r="AA2435" s="405"/>
      <c r="AB2435" s="405"/>
    </row>
    <row r="2436" ht="14.25" customHeight="1">
      <c r="A2436" s="405"/>
      <c r="B2436" s="405"/>
      <c r="C2436" s="405"/>
      <c r="D2436" s="405"/>
      <c r="E2436" s="405"/>
      <c r="F2436" s="583"/>
      <c r="G2436" s="583"/>
      <c r="H2436" s="405"/>
      <c r="I2436" s="405"/>
      <c r="J2436" s="405"/>
      <c r="K2436" s="405"/>
      <c r="L2436" s="405"/>
      <c r="M2436" s="405"/>
      <c r="N2436" s="405"/>
      <c r="O2436" s="405"/>
      <c r="P2436" s="405"/>
      <c r="Q2436" s="405"/>
      <c r="R2436" s="405"/>
      <c r="S2436" s="405"/>
      <c r="T2436" s="405"/>
      <c r="U2436" s="405"/>
      <c r="V2436" s="405"/>
      <c r="W2436" s="405"/>
      <c r="X2436" s="405"/>
      <c r="Y2436" s="405"/>
      <c r="Z2436" s="405"/>
      <c r="AA2436" s="405"/>
      <c r="AB2436" s="405"/>
    </row>
    <row r="2437" ht="14.25" customHeight="1">
      <c r="A2437" s="405"/>
      <c r="B2437" s="405"/>
      <c r="C2437" s="405"/>
      <c r="D2437" s="405"/>
      <c r="E2437" s="405"/>
      <c r="F2437" s="583"/>
      <c r="G2437" s="583"/>
      <c r="H2437" s="405"/>
      <c r="I2437" s="405"/>
      <c r="J2437" s="405"/>
      <c r="K2437" s="405"/>
      <c r="L2437" s="405"/>
      <c r="M2437" s="405"/>
      <c r="N2437" s="405"/>
      <c r="O2437" s="405"/>
      <c r="P2437" s="405"/>
      <c r="Q2437" s="405"/>
      <c r="R2437" s="405"/>
      <c r="S2437" s="405"/>
      <c r="T2437" s="405"/>
      <c r="U2437" s="405"/>
      <c r="V2437" s="405"/>
      <c r="W2437" s="405"/>
      <c r="X2437" s="405"/>
      <c r="Y2437" s="405"/>
      <c r="Z2437" s="405"/>
      <c r="AA2437" s="405"/>
      <c r="AB2437" s="405"/>
    </row>
    <row r="2438" ht="14.25" customHeight="1">
      <c r="A2438" s="405"/>
      <c r="B2438" s="405"/>
      <c r="C2438" s="405"/>
      <c r="D2438" s="405"/>
      <c r="E2438" s="405"/>
      <c r="F2438" s="583"/>
      <c r="G2438" s="583"/>
      <c r="H2438" s="405"/>
      <c r="I2438" s="405"/>
      <c r="J2438" s="405"/>
      <c r="K2438" s="405"/>
      <c r="L2438" s="405"/>
      <c r="M2438" s="405"/>
      <c r="N2438" s="405"/>
      <c r="O2438" s="405"/>
      <c r="P2438" s="405"/>
      <c r="Q2438" s="405"/>
      <c r="R2438" s="405"/>
      <c r="S2438" s="405"/>
      <c r="T2438" s="405"/>
      <c r="U2438" s="405"/>
      <c r="V2438" s="405"/>
      <c r="W2438" s="405"/>
      <c r="X2438" s="405"/>
      <c r="Y2438" s="405"/>
      <c r="Z2438" s="405"/>
      <c r="AA2438" s="405"/>
      <c r="AB2438" s="405"/>
    </row>
    <row r="2439" ht="14.25" customHeight="1">
      <c r="A2439" s="405"/>
      <c r="B2439" s="405"/>
      <c r="C2439" s="405"/>
      <c r="D2439" s="405"/>
      <c r="E2439" s="405"/>
      <c r="F2439" s="583"/>
      <c r="G2439" s="583"/>
      <c r="H2439" s="405"/>
      <c r="I2439" s="405"/>
      <c r="J2439" s="405"/>
      <c r="K2439" s="405"/>
      <c r="L2439" s="405"/>
      <c r="M2439" s="405"/>
      <c r="N2439" s="405"/>
      <c r="O2439" s="405"/>
      <c r="P2439" s="405"/>
      <c r="Q2439" s="405"/>
      <c r="R2439" s="405"/>
      <c r="S2439" s="405"/>
      <c r="T2439" s="405"/>
      <c r="U2439" s="405"/>
      <c r="V2439" s="405"/>
      <c r="W2439" s="405"/>
      <c r="X2439" s="405"/>
      <c r="Y2439" s="405"/>
      <c r="Z2439" s="405"/>
      <c r="AA2439" s="405"/>
      <c r="AB2439" s="405"/>
    </row>
    <row r="2440" ht="14.25" customHeight="1">
      <c r="A2440" s="405"/>
      <c r="B2440" s="405"/>
      <c r="C2440" s="405"/>
      <c r="D2440" s="405"/>
      <c r="E2440" s="405"/>
      <c r="F2440" s="583"/>
      <c r="G2440" s="583"/>
      <c r="H2440" s="405"/>
      <c r="I2440" s="405"/>
      <c r="J2440" s="405"/>
      <c r="K2440" s="405"/>
      <c r="L2440" s="405"/>
      <c r="M2440" s="405"/>
      <c r="N2440" s="405"/>
      <c r="O2440" s="405"/>
      <c r="P2440" s="405"/>
      <c r="Q2440" s="405"/>
      <c r="R2440" s="405"/>
      <c r="S2440" s="405"/>
      <c r="T2440" s="405"/>
      <c r="U2440" s="405"/>
      <c r="V2440" s="405"/>
      <c r="W2440" s="405"/>
      <c r="X2440" s="405"/>
      <c r="Y2440" s="405"/>
      <c r="Z2440" s="405"/>
      <c r="AA2440" s="405"/>
      <c r="AB2440" s="405"/>
    </row>
    <row r="2441" ht="14.25" customHeight="1">
      <c r="A2441" s="405"/>
      <c r="B2441" s="405"/>
      <c r="C2441" s="405"/>
      <c r="D2441" s="405"/>
      <c r="E2441" s="405"/>
      <c r="F2441" s="583"/>
      <c r="G2441" s="583"/>
      <c r="H2441" s="405"/>
      <c r="I2441" s="405"/>
      <c r="J2441" s="405"/>
      <c r="K2441" s="405"/>
      <c r="L2441" s="405"/>
      <c r="M2441" s="405"/>
      <c r="N2441" s="405"/>
      <c r="O2441" s="405"/>
      <c r="P2441" s="405"/>
      <c r="Q2441" s="405"/>
      <c r="R2441" s="405"/>
      <c r="S2441" s="405"/>
      <c r="T2441" s="405"/>
      <c r="U2441" s="405"/>
      <c r="V2441" s="405"/>
      <c r="W2441" s="405"/>
      <c r="X2441" s="405"/>
      <c r="Y2441" s="405"/>
      <c r="Z2441" s="405"/>
      <c r="AA2441" s="405"/>
      <c r="AB2441" s="405"/>
    </row>
    <row r="2442" ht="14.25" customHeight="1">
      <c r="A2442" s="405"/>
      <c r="B2442" s="405"/>
      <c r="C2442" s="405"/>
      <c r="D2442" s="405"/>
      <c r="E2442" s="405"/>
      <c r="F2442" s="583"/>
      <c r="G2442" s="583"/>
      <c r="H2442" s="405"/>
      <c r="I2442" s="405"/>
      <c r="J2442" s="405"/>
      <c r="K2442" s="405"/>
      <c r="L2442" s="405"/>
      <c r="M2442" s="405"/>
      <c r="N2442" s="405"/>
      <c r="O2442" s="405"/>
      <c r="P2442" s="405"/>
      <c r="Q2442" s="405"/>
      <c r="R2442" s="405"/>
      <c r="S2442" s="405"/>
      <c r="T2442" s="405"/>
      <c r="U2442" s="405"/>
      <c r="V2442" s="405"/>
      <c r="W2442" s="405"/>
      <c r="X2442" s="405"/>
      <c r="Y2442" s="405"/>
      <c r="Z2442" s="405"/>
      <c r="AA2442" s="405"/>
      <c r="AB2442" s="405"/>
    </row>
    <row r="2443" ht="14.25" customHeight="1">
      <c r="A2443" s="405"/>
      <c r="B2443" s="405"/>
      <c r="C2443" s="405"/>
      <c r="D2443" s="405"/>
      <c r="E2443" s="405"/>
      <c r="F2443" s="583"/>
      <c r="G2443" s="583"/>
      <c r="H2443" s="405"/>
      <c r="I2443" s="405"/>
      <c r="J2443" s="405"/>
      <c r="K2443" s="405"/>
      <c r="L2443" s="405"/>
      <c r="M2443" s="405"/>
      <c r="N2443" s="405"/>
      <c r="O2443" s="405"/>
      <c r="P2443" s="405"/>
      <c r="Q2443" s="405"/>
      <c r="R2443" s="405"/>
      <c r="S2443" s="405"/>
      <c r="T2443" s="405"/>
      <c r="U2443" s="405"/>
      <c r="V2443" s="405"/>
      <c r="W2443" s="405"/>
      <c r="X2443" s="405"/>
      <c r="Y2443" s="405"/>
      <c r="Z2443" s="405"/>
      <c r="AA2443" s="405"/>
      <c r="AB2443" s="405"/>
    </row>
    <row r="2444" ht="14.25" customHeight="1">
      <c r="A2444" s="405"/>
      <c r="B2444" s="405"/>
      <c r="C2444" s="405"/>
      <c r="D2444" s="405"/>
      <c r="E2444" s="405"/>
      <c r="F2444" s="583"/>
      <c r="G2444" s="583"/>
      <c r="H2444" s="405"/>
      <c r="I2444" s="405"/>
      <c r="J2444" s="405"/>
      <c r="K2444" s="405"/>
      <c r="L2444" s="405"/>
      <c r="M2444" s="405"/>
      <c r="N2444" s="405"/>
      <c r="O2444" s="405"/>
      <c r="P2444" s="405"/>
      <c r="Q2444" s="405"/>
      <c r="R2444" s="405"/>
      <c r="S2444" s="405"/>
      <c r="T2444" s="405"/>
      <c r="U2444" s="405"/>
      <c r="V2444" s="405"/>
      <c r="W2444" s="405"/>
      <c r="X2444" s="405"/>
      <c r="Y2444" s="405"/>
      <c r="Z2444" s="405"/>
      <c r="AA2444" s="405"/>
      <c r="AB2444" s="405"/>
    </row>
    <row r="2445" ht="14.25" customHeight="1">
      <c r="A2445" s="405"/>
      <c r="B2445" s="405"/>
      <c r="C2445" s="405"/>
      <c r="D2445" s="405"/>
      <c r="E2445" s="405"/>
      <c r="F2445" s="583"/>
      <c r="G2445" s="583"/>
      <c r="H2445" s="405"/>
      <c r="I2445" s="405"/>
      <c r="J2445" s="405"/>
      <c r="K2445" s="405"/>
      <c r="L2445" s="405"/>
      <c r="M2445" s="405"/>
      <c r="N2445" s="405"/>
      <c r="O2445" s="405"/>
      <c r="P2445" s="405"/>
      <c r="Q2445" s="405"/>
      <c r="R2445" s="405"/>
      <c r="S2445" s="405"/>
      <c r="T2445" s="405"/>
      <c r="U2445" s="405"/>
      <c r="V2445" s="405"/>
      <c r="W2445" s="405"/>
      <c r="X2445" s="405"/>
      <c r="Y2445" s="405"/>
      <c r="Z2445" s="405"/>
      <c r="AA2445" s="405"/>
      <c r="AB2445" s="405"/>
    </row>
    <row r="2446" ht="14.25" customHeight="1">
      <c r="A2446" s="405"/>
      <c r="B2446" s="405"/>
      <c r="C2446" s="405"/>
      <c r="D2446" s="405"/>
      <c r="E2446" s="405"/>
      <c r="F2446" s="583"/>
      <c r="G2446" s="583"/>
      <c r="H2446" s="405"/>
      <c r="I2446" s="405"/>
      <c r="J2446" s="405"/>
      <c r="K2446" s="405"/>
      <c r="L2446" s="405"/>
      <c r="M2446" s="405"/>
      <c r="N2446" s="405"/>
      <c r="O2446" s="405"/>
      <c r="P2446" s="405"/>
      <c r="Q2446" s="405"/>
      <c r="R2446" s="405"/>
      <c r="S2446" s="405"/>
      <c r="T2446" s="405"/>
      <c r="U2446" s="405"/>
      <c r="V2446" s="405"/>
      <c r="W2446" s="405"/>
      <c r="X2446" s="405"/>
      <c r="Y2446" s="405"/>
      <c r="Z2446" s="405"/>
      <c r="AA2446" s="405"/>
      <c r="AB2446" s="405"/>
    </row>
    <row r="2447" ht="14.25" customHeight="1">
      <c r="A2447" s="405"/>
      <c r="B2447" s="405"/>
      <c r="C2447" s="405"/>
      <c r="D2447" s="405"/>
      <c r="E2447" s="405"/>
      <c r="F2447" s="583"/>
      <c r="G2447" s="583"/>
      <c r="H2447" s="405"/>
      <c r="I2447" s="405"/>
      <c r="J2447" s="405"/>
      <c r="K2447" s="405"/>
      <c r="L2447" s="405"/>
      <c r="M2447" s="405"/>
      <c r="N2447" s="405"/>
      <c r="O2447" s="405"/>
      <c r="P2447" s="405"/>
      <c r="Q2447" s="405"/>
      <c r="R2447" s="405"/>
      <c r="S2447" s="405"/>
      <c r="T2447" s="405"/>
      <c r="U2447" s="405"/>
      <c r="V2447" s="405"/>
      <c r="W2447" s="405"/>
      <c r="X2447" s="405"/>
      <c r="Y2447" s="405"/>
      <c r="Z2447" s="405"/>
      <c r="AA2447" s="405"/>
      <c r="AB2447" s="405"/>
    </row>
    <row r="2448" ht="14.25" customHeight="1">
      <c r="A2448" s="405"/>
      <c r="B2448" s="405"/>
      <c r="C2448" s="405"/>
      <c r="D2448" s="405"/>
      <c r="E2448" s="405"/>
      <c r="F2448" s="583"/>
      <c r="G2448" s="583"/>
      <c r="H2448" s="405"/>
      <c r="I2448" s="405"/>
      <c r="J2448" s="405"/>
      <c r="K2448" s="405"/>
      <c r="L2448" s="405"/>
      <c r="M2448" s="405"/>
      <c r="N2448" s="405"/>
      <c r="O2448" s="405"/>
      <c r="P2448" s="405"/>
      <c r="Q2448" s="405"/>
      <c r="R2448" s="405"/>
      <c r="S2448" s="405"/>
      <c r="T2448" s="405"/>
      <c r="U2448" s="405"/>
      <c r="V2448" s="405"/>
      <c r="W2448" s="405"/>
      <c r="X2448" s="405"/>
      <c r="Y2448" s="405"/>
      <c r="Z2448" s="405"/>
      <c r="AA2448" s="405"/>
      <c r="AB2448" s="405"/>
    </row>
    <row r="2449" ht="14.25" customHeight="1">
      <c r="A2449" s="405"/>
      <c r="B2449" s="405"/>
      <c r="C2449" s="405"/>
      <c r="D2449" s="405"/>
      <c r="E2449" s="405"/>
      <c r="F2449" s="583"/>
      <c r="G2449" s="583"/>
      <c r="H2449" s="405"/>
      <c r="I2449" s="405"/>
      <c r="J2449" s="405"/>
      <c r="K2449" s="405"/>
      <c r="L2449" s="405"/>
      <c r="M2449" s="405"/>
      <c r="N2449" s="405"/>
      <c r="O2449" s="405"/>
      <c r="P2449" s="405"/>
      <c r="Q2449" s="405"/>
      <c r="R2449" s="405"/>
      <c r="S2449" s="405"/>
      <c r="T2449" s="405"/>
      <c r="U2449" s="405"/>
      <c r="V2449" s="405"/>
      <c r="W2449" s="405"/>
      <c r="X2449" s="405"/>
      <c r="Y2449" s="405"/>
      <c r="Z2449" s="405"/>
      <c r="AA2449" s="405"/>
      <c r="AB2449" s="405"/>
    </row>
    <row r="2450" ht="14.25" customHeight="1">
      <c r="A2450" s="405"/>
      <c r="B2450" s="405"/>
      <c r="C2450" s="405"/>
      <c r="D2450" s="405"/>
      <c r="E2450" s="405"/>
      <c r="F2450" s="583"/>
      <c r="G2450" s="583"/>
      <c r="H2450" s="405"/>
      <c r="I2450" s="405"/>
      <c r="J2450" s="405"/>
      <c r="K2450" s="405"/>
      <c r="L2450" s="405"/>
      <c r="M2450" s="405"/>
      <c r="N2450" s="405"/>
      <c r="O2450" s="405"/>
      <c r="P2450" s="405"/>
      <c r="Q2450" s="405"/>
      <c r="R2450" s="405"/>
      <c r="S2450" s="405"/>
      <c r="T2450" s="405"/>
      <c r="U2450" s="405"/>
      <c r="V2450" s="405"/>
      <c r="W2450" s="405"/>
      <c r="X2450" s="405"/>
      <c r="Y2450" s="405"/>
      <c r="Z2450" s="405"/>
      <c r="AA2450" s="405"/>
      <c r="AB2450" s="405"/>
    </row>
    <row r="2451" ht="14.25" customHeight="1">
      <c r="A2451" s="405"/>
      <c r="B2451" s="405"/>
      <c r="C2451" s="405"/>
      <c r="D2451" s="405"/>
      <c r="E2451" s="405"/>
      <c r="F2451" s="583"/>
      <c r="G2451" s="583"/>
      <c r="H2451" s="405"/>
      <c r="I2451" s="405"/>
      <c r="J2451" s="405"/>
      <c r="K2451" s="405"/>
      <c r="L2451" s="405"/>
      <c r="M2451" s="405"/>
      <c r="N2451" s="405"/>
      <c r="O2451" s="405"/>
      <c r="P2451" s="405"/>
      <c r="Q2451" s="405"/>
      <c r="R2451" s="405"/>
      <c r="S2451" s="405"/>
      <c r="T2451" s="405"/>
      <c r="U2451" s="405"/>
      <c r="V2451" s="405"/>
      <c r="W2451" s="405"/>
      <c r="X2451" s="405"/>
      <c r="Y2451" s="405"/>
      <c r="Z2451" s="405"/>
      <c r="AA2451" s="405"/>
      <c r="AB2451" s="405"/>
    </row>
    <row r="2452" ht="14.25" customHeight="1">
      <c r="A2452" s="405"/>
      <c r="B2452" s="405"/>
      <c r="C2452" s="405"/>
      <c r="D2452" s="405"/>
      <c r="E2452" s="405"/>
      <c r="F2452" s="583"/>
      <c r="G2452" s="583"/>
      <c r="H2452" s="405"/>
      <c r="I2452" s="405"/>
      <c r="J2452" s="405"/>
      <c r="K2452" s="405"/>
      <c r="L2452" s="405"/>
      <c r="M2452" s="405"/>
      <c r="N2452" s="405"/>
      <c r="O2452" s="405"/>
      <c r="P2452" s="405"/>
      <c r="Q2452" s="405"/>
      <c r="R2452" s="405"/>
      <c r="S2452" s="405"/>
      <c r="T2452" s="405"/>
      <c r="U2452" s="405"/>
      <c r="V2452" s="405"/>
      <c r="W2452" s="405"/>
      <c r="X2452" s="405"/>
      <c r="Y2452" s="405"/>
      <c r="Z2452" s="405"/>
      <c r="AA2452" s="405"/>
      <c r="AB2452" s="405"/>
    </row>
    <row r="2453" ht="14.25" customHeight="1">
      <c r="A2453" s="405"/>
      <c r="B2453" s="405"/>
      <c r="C2453" s="405"/>
      <c r="D2453" s="405"/>
      <c r="E2453" s="405"/>
      <c r="F2453" s="583"/>
      <c r="G2453" s="583"/>
      <c r="H2453" s="405"/>
      <c r="I2453" s="405"/>
      <c r="J2453" s="405"/>
      <c r="K2453" s="405"/>
      <c r="L2453" s="405"/>
      <c r="M2453" s="405"/>
      <c r="N2453" s="405"/>
      <c r="O2453" s="405"/>
      <c r="P2453" s="405"/>
      <c r="Q2453" s="405"/>
      <c r="R2453" s="405"/>
      <c r="S2453" s="405"/>
      <c r="T2453" s="405"/>
      <c r="U2453" s="405"/>
      <c r="V2453" s="405"/>
      <c r="W2453" s="405"/>
      <c r="X2453" s="405"/>
      <c r="Y2453" s="405"/>
      <c r="Z2453" s="405"/>
      <c r="AA2453" s="405"/>
      <c r="AB2453" s="405"/>
    </row>
    <row r="2454" ht="14.25" customHeight="1">
      <c r="A2454" s="405"/>
      <c r="B2454" s="405"/>
      <c r="C2454" s="405"/>
      <c r="D2454" s="405"/>
      <c r="E2454" s="405"/>
      <c r="F2454" s="583"/>
      <c r="G2454" s="583"/>
      <c r="H2454" s="405"/>
      <c r="I2454" s="405"/>
      <c r="J2454" s="405"/>
      <c r="K2454" s="405"/>
      <c r="L2454" s="405"/>
      <c r="M2454" s="405"/>
      <c r="N2454" s="405"/>
      <c r="O2454" s="405"/>
      <c r="P2454" s="405"/>
      <c r="Q2454" s="405"/>
      <c r="R2454" s="405"/>
      <c r="S2454" s="405"/>
      <c r="T2454" s="405"/>
      <c r="U2454" s="405"/>
      <c r="V2454" s="405"/>
      <c r="W2454" s="405"/>
      <c r="X2454" s="405"/>
      <c r="Y2454" s="405"/>
      <c r="Z2454" s="405"/>
      <c r="AA2454" s="405"/>
      <c r="AB2454" s="405"/>
    </row>
    <row r="2455" ht="14.25" customHeight="1">
      <c r="A2455" s="405"/>
      <c r="B2455" s="405"/>
      <c r="C2455" s="405"/>
      <c r="D2455" s="405"/>
      <c r="E2455" s="405"/>
      <c r="F2455" s="583"/>
      <c r="G2455" s="583"/>
      <c r="H2455" s="405"/>
      <c r="I2455" s="405"/>
      <c r="J2455" s="405"/>
      <c r="K2455" s="405"/>
      <c r="L2455" s="405"/>
      <c r="M2455" s="405"/>
      <c r="N2455" s="405"/>
      <c r="O2455" s="405"/>
      <c r="P2455" s="405"/>
      <c r="Q2455" s="405"/>
      <c r="R2455" s="405"/>
      <c r="S2455" s="405"/>
      <c r="T2455" s="405"/>
      <c r="U2455" s="405"/>
      <c r="V2455" s="405"/>
      <c r="W2455" s="405"/>
      <c r="X2455" s="405"/>
      <c r="Y2455" s="405"/>
      <c r="Z2455" s="405"/>
      <c r="AA2455" s="405"/>
      <c r="AB2455" s="405"/>
    </row>
    <row r="2456" ht="14.25" customHeight="1">
      <c r="A2456" s="405"/>
      <c r="B2456" s="405"/>
      <c r="C2456" s="405"/>
      <c r="D2456" s="405"/>
      <c r="E2456" s="405"/>
      <c r="F2456" s="583"/>
      <c r="G2456" s="583"/>
      <c r="H2456" s="405"/>
      <c r="I2456" s="405"/>
      <c r="J2456" s="405"/>
      <c r="K2456" s="405"/>
      <c r="L2456" s="405"/>
      <c r="M2456" s="405"/>
      <c r="N2456" s="405"/>
      <c r="O2456" s="405"/>
      <c r="P2456" s="405"/>
      <c r="Q2456" s="405"/>
      <c r="R2456" s="405"/>
      <c r="S2456" s="405"/>
      <c r="T2456" s="405"/>
      <c r="U2456" s="405"/>
      <c r="V2456" s="405"/>
      <c r="W2456" s="405"/>
      <c r="X2456" s="405"/>
      <c r="Y2456" s="405"/>
      <c r="Z2456" s="405"/>
      <c r="AA2456" s="405"/>
      <c r="AB2456" s="405"/>
    </row>
    <row r="2457" ht="14.25" customHeight="1">
      <c r="A2457" s="405"/>
      <c r="B2457" s="405"/>
      <c r="C2457" s="405"/>
      <c r="D2457" s="405"/>
      <c r="E2457" s="405"/>
      <c r="F2457" s="583"/>
      <c r="G2457" s="583"/>
      <c r="H2457" s="405"/>
      <c r="I2457" s="405"/>
      <c r="J2457" s="405"/>
      <c r="K2457" s="405"/>
      <c r="L2457" s="405"/>
      <c r="M2457" s="405"/>
      <c r="N2457" s="405"/>
      <c r="O2457" s="405"/>
      <c r="P2457" s="405"/>
      <c r="Q2457" s="405"/>
      <c r="R2457" s="405"/>
      <c r="S2457" s="405"/>
      <c r="T2457" s="405"/>
      <c r="U2457" s="405"/>
      <c r="V2457" s="405"/>
      <c r="W2457" s="405"/>
      <c r="X2457" s="405"/>
      <c r="Y2457" s="405"/>
      <c r="Z2457" s="405"/>
      <c r="AA2457" s="405"/>
      <c r="AB2457" s="405"/>
    </row>
    <row r="2458" ht="14.25" customHeight="1">
      <c r="A2458" s="405"/>
      <c r="B2458" s="405"/>
      <c r="C2458" s="405"/>
      <c r="D2458" s="405"/>
      <c r="E2458" s="405"/>
      <c r="F2458" s="583"/>
      <c r="G2458" s="583"/>
      <c r="H2458" s="405"/>
      <c r="I2458" s="405"/>
      <c r="J2458" s="405"/>
      <c r="K2458" s="405"/>
      <c r="L2458" s="405"/>
      <c r="M2458" s="405"/>
      <c r="N2458" s="405"/>
      <c r="O2458" s="405"/>
      <c r="P2458" s="405"/>
      <c r="Q2458" s="405"/>
      <c r="R2458" s="405"/>
      <c r="S2458" s="405"/>
      <c r="T2458" s="405"/>
      <c r="U2458" s="405"/>
      <c r="V2458" s="405"/>
      <c r="W2458" s="405"/>
      <c r="X2458" s="405"/>
      <c r="Y2458" s="405"/>
      <c r="Z2458" s="405"/>
      <c r="AA2458" s="405"/>
      <c r="AB2458" s="405"/>
    </row>
    <row r="2459" ht="14.25" customHeight="1">
      <c r="A2459" s="405"/>
      <c r="B2459" s="405"/>
      <c r="C2459" s="405"/>
      <c r="D2459" s="405"/>
      <c r="E2459" s="405"/>
      <c r="F2459" s="583"/>
      <c r="G2459" s="583"/>
      <c r="H2459" s="405"/>
      <c r="I2459" s="405"/>
      <c r="J2459" s="405"/>
      <c r="K2459" s="405"/>
      <c r="L2459" s="405"/>
      <c r="M2459" s="405"/>
      <c r="N2459" s="405"/>
      <c r="O2459" s="405"/>
      <c r="P2459" s="405"/>
      <c r="Q2459" s="405"/>
      <c r="R2459" s="405"/>
      <c r="S2459" s="405"/>
      <c r="T2459" s="405"/>
      <c r="U2459" s="405"/>
      <c r="V2459" s="405"/>
      <c r="W2459" s="405"/>
      <c r="X2459" s="405"/>
      <c r="Y2459" s="405"/>
      <c r="Z2459" s="405"/>
      <c r="AA2459" s="405"/>
      <c r="AB2459" s="405"/>
    </row>
    <row r="2460" ht="14.25" customHeight="1">
      <c r="A2460" s="405"/>
      <c r="B2460" s="405"/>
      <c r="C2460" s="405"/>
      <c r="D2460" s="405"/>
      <c r="E2460" s="405"/>
      <c r="F2460" s="583"/>
      <c r="G2460" s="583"/>
      <c r="H2460" s="405"/>
      <c r="I2460" s="405"/>
      <c r="J2460" s="405"/>
      <c r="K2460" s="405"/>
      <c r="L2460" s="405"/>
      <c r="M2460" s="405"/>
      <c r="N2460" s="405"/>
      <c r="O2460" s="405"/>
      <c r="P2460" s="405"/>
      <c r="Q2460" s="405"/>
      <c r="R2460" s="405"/>
      <c r="S2460" s="405"/>
      <c r="T2460" s="405"/>
      <c r="U2460" s="405"/>
      <c r="V2460" s="405"/>
      <c r="W2460" s="405"/>
      <c r="X2460" s="405"/>
      <c r="Y2460" s="405"/>
      <c r="Z2460" s="405"/>
      <c r="AA2460" s="405"/>
      <c r="AB2460" s="405"/>
    </row>
    <row r="2461" ht="14.25" customHeight="1">
      <c r="A2461" s="405"/>
      <c r="B2461" s="405"/>
      <c r="C2461" s="405"/>
      <c r="D2461" s="405"/>
      <c r="E2461" s="405"/>
      <c r="F2461" s="583"/>
      <c r="G2461" s="583"/>
      <c r="H2461" s="405"/>
      <c r="I2461" s="405"/>
      <c r="J2461" s="405"/>
      <c r="K2461" s="405"/>
      <c r="L2461" s="405"/>
      <c r="M2461" s="405"/>
      <c r="N2461" s="405"/>
      <c r="O2461" s="405"/>
      <c r="P2461" s="405"/>
      <c r="Q2461" s="405"/>
      <c r="R2461" s="405"/>
      <c r="S2461" s="405"/>
      <c r="T2461" s="405"/>
      <c r="U2461" s="405"/>
      <c r="V2461" s="405"/>
      <c r="W2461" s="405"/>
      <c r="X2461" s="405"/>
      <c r="Y2461" s="405"/>
      <c r="Z2461" s="405"/>
      <c r="AA2461" s="405"/>
      <c r="AB2461" s="405"/>
    </row>
    <row r="2462" ht="14.25" customHeight="1">
      <c r="A2462" s="405"/>
      <c r="B2462" s="405"/>
      <c r="C2462" s="405"/>
      <c r="D2462" s="405"/>
      <c r="E2462" s="405"/>
      <c r="F2462" s="583"/>
      <c r="G2462" s="583"/>
      <c r="H2462" s="405"/>
      <c r="I2462" s="405"/>
      <c r="J2462" s="405"/>
      <c r="K2462" s="405"/>
      <c r="L2462" s="405"/>
      <c r="M2462" s="405"/>
      <c r="N2462" s="405"/>
      <c r="O2462" s="405"/>
      <c r="P2462" s="405"/>
      <c r="Q2462" s="405"/>
      <c r="R2462" s="405"/>
      <c r="S2462" s="405"/>
      <c r="T2462" s="405"/>
      <c r="U2462" s="405"/>
      <c r="V2462" s="405"/>
      <c r="W2462" s="405"/>
      <c r="X2462" s="405"/>
      <c r="Y2462" s="405"/>
      <c r="Z2462" s="405"/>
      <c r="AA2462" s="405"/>
      <c r="AB2462" s="405"/>
    </row>
    <row r="2463" ht="14.25" customHeight="1">
      <c r="A2463" s="405"/>
      <c r="B2463" s="405"/>
      <c r="C2463" s="405"/>
      <c r="D2463" s="405"/>
      <c r="E2463" s="405"/>
      <c r="F2463" s="583"/>
      <c r="G2463" s="583"/>
      <c r="H2463" s="405"/>
      <c r="I2463" s="405"/>
      <c r="J2463" s="405"/>
      <c r="K2463" s="405"/>
      <c r="L2463" s="405"/>
      <c r="M2463" s="405"/>
      <c r="N2463" s="405"/>
      <c r="O2463" s="405"/>
      <c r="P2463" s="405"/>
      <c r="Q2463" s="405"/>
      <c r="R2463" s="405"/>
      <c r="S2463" s="405"/>
      <c r="T2463" s="405"/>
      <c r="U2463" s="405"/>
      <c r="V2463" s="405"/>
      <c r="W2463" s="405"/>
      <c r="X2463" s="405"/>
      <c r="Y2463" s="405"/>
      <c r="Z2463" s="405"/>
      <c r="AA2463" s="405"/>
      <c r="AB2463" s="405"/>
    </row>
    <row r="2464" ht="14.25" customHeight="1">
      <c r="A2464" s="405"/>
      <c r="B2464" s="405"/>
      <c r="C2464" s="405"/>
      <c r="D2464" s="405"/>
      <c r="E2464" s="405"/>
      <c r="F2464" s="583"/>
      <c r="G2464" s="583"/>
      <c r="H2464" s="405"/>
      <c r="I2464" s="405"/>
      <c r="J2464" s="405"/>
      <c r="K2464" s="405"/>
      <c r="L2464" s="405"/>
      <c r="M2464" s="405"/>
      <c r="N2464" s="405"/>
      <c r="O2464" s="405"/>
      <c r="P2464" s="405"/>
      <c r="Q2464" s="405"/>
      <c r="R2464" s="405"/>
      <c r="S2464" s="405"/>
      <c r="T2464" s="405"/>
      <c r="U2464" s="405"/>
      <c r="V2464" s="405"/>
      <c r="W2464" s="405"/>
      <c r="X2464" s="405"/>
      <c r="Y2464" s="405"/>
      <c r="Z2464" s="405"/>
      <c r="AA2464" s="405"/>
      <c r="AB2464" s="405"/>
    </row>
    <row r="2465" ht="14.25" customHeight="1">
      <c r="A2465" s="405"/>
      <c r="B2465" s="405"/>
      <c r="C2465" s="405"/>
      <c r="D2465" s="405"/>
      <c r="E2465" s="405"/>
      <c r="F2465" s="583"/>
      <c r="G2465" s="583"/>
      <c r="H2465" s="405"/>
      <c r="I2465" s="405"/>
      <c r="J2465" s="405"/>
      <c r="K2465" s="405"/>
      <c r="L2465" s="405"/>
      <c r="M2465" s="405"/>
      <c r="N2465" s="405"/>
      <c r="O2465" s="405"/>
      <c r="P2465" s="405"/>
      <c r="Q2465" s="405"/>
      <c r="R2465" s="405"/>
      <c r="S2465" s="405"/>
      <c r="T2465" s="405"/>
      <c r="U2465" s="405"/>
      <c r="V2465" s="405"/>
      <c r="W2465" s="405"/>
      <c r="X2465" s="405"/>
      <c r="Y2465" s="405"/>
      <c r="Z2465" s="405"/>
      <c r="AA2465" s="405"/>
      <c r="AB2465" s="405"/>
    </row>
    <row r="2466" ht="14.25" customHeight="1">
      <c r="A2466" s="405"/>
      <c r="B2466" s="405"/>
      <c r="C2466" s="405"/>
      <c r="D2466" s="405"/>
      <c r="E2466" s="405"/>
      <c r="F2466" s="583"/>
      <c r="G2466" s="583"/>
      <c r="H2466" s="405"/>
      <c r="I2466" s="405"/>
      <c r="J2466" s="405"/>
      <c r="K2466" s="405"/>
      <c r="L2466" s="405"/>
      <c r="M2466" s="405"/>
      <c r="N2466" s="405"/>
      <c r="O2466" s="405"/>
      <c r="P2466" s="405"/>
      <c r="Q2466" s="405"/>
      <c r="R2466" s="405"/>
      <c r="S2466" s="405"/>
      <c r="T2466" s="405"/>
      <c r="U2466" s="405"/>
      <c r="V2466" s="405"/>
      <c r="W2466" s="405"/>
      <c r="X2466" s="405"/>
      <c r="Y2466" s="405"/>
      <c r="Z2466" s="405"/>
      <c r="AA2466" s="405"/>
      <c r="AB2466" s="405"/>
    </row>
    <row r="2467" ht="14.25" customHeight="1">
      <c r="A2467" s="405"/>
      <c r="B2467" s="405"/>
      <c r="C2467" s="405"/>
      <c r="D2467" s="405"/>
      <c r="E2467" s="405"/>
      <c r="F2467" s="583"/>
      <c r="G2467" s="583"/>
      <c r="H2467" s="405"/>
      <c r="I2467" s="405"/>
      <c r="J2467" s="405"/>
      <c r="K2467" s="405"/>
      <c r="L2467" s="405"/>
      <c r="M2467" s="405"/>
      <c r="N2467" s="405"/>
      <c r="O2467" s="405"/>
      <c r="P2467" s="405"/>
      <c r="Q2467" s="405"/>
      <c r="R2467" s="405"/>
      <c r="S2467" s="405"/>
      <c r="T2467" s="405"/>
      <c r="U2467" s="405"/>
      <c r="V2467" s="405"/>
      <c r="W2467" s="405"/>
      <c r="X2467" s="405"/>
      <c r="Y2467" s="405"/>
      <c r="Z2467" s="405"/>
      <c r="AA2467" s="405"/>
      <c r="AB2467" s="405"/>
    </row>
    <row r="2468" ht="14.25" customHeight="1">
      <c r="A2468" s="405"/>
      <c r="B2468" s="405"/>
      <c r="C2468" s="405"/>
      <c r="D2468" s="405"/>
      <c r="E2468" s="405"/>
      <c r="F2468" s="583"/>
      <c r="G2468" s="583"/>
      <c r="H2468" s="405"/>
      <c r="I2468" s="405"/>
      <c r="J2468" s="405"/>
      <c r="K2468" s="405"/>
      <c r="L2468" s="405"/>
      <c r="M2468" s="405"/>
      <c r="N2468" s="405"/>
      <c r="O2468" s="405"/>
      <c r="P2468" s="405"/>
      <c r="Q2468" s="405"/>
      <c r="R2468" s="405"/>
      <c r="S2468" s="405"/>
      <c r="T2468" s="405"/>
      <c r="U2468" s="405"/>
      <c r="V2468" s="405"/>
      <c r="W2468" s="405"/>
      <c r="X2468" s="405"/>
      <c r="Y2468" s="405"/>
      <c r="Z2468" s="405"/>
      <c r="AA2468" s="405"/>
      <c r="AB2468" s="405"/>
    </row>
    <row r="2469" ht="14.25" customHeight="1">
      <c r="A2469" s="405"/>
      <c r="B2469" s="405"/>
      <c r="C2469" s="405"/>
      <c r="D2469" s="405"/>
      <c r="E2469" s="405"/>
      <c r="F2469" s="583"/>
      <c r="G2469" s="583"/>
      <c r="H2469" s="405"/>
      <c r="I2469" s="405"/>
      <c r="J2469" s="405"/>
      <c r="K2469" s="405"/>
      <c r="L2469" s="405"/>
      <c r="M2469" s="405"/>
      <c r="N2469" s="405"/>
      <c r="O2469" s="405"/>
      <c r="P2469" s="405"/>
      <c r="Q2469" s="405"/>
      <c r="R2469" s="405"/>
      <c r="S2469" s="405"/>
      <c r="T2469" s="405"/>
      <c r="U2469" s="405"/>
      <c r="V2469" s="405"/>
      <c r="W2469" s="405"/>
      <c r="X2469" s="405"/>
      <c r="Y2469" s="405"/>
      <c r="Z2469" s="405"/>
      <c r="AA2469" s="405"/>
      <c r="AB2469" s="405"/>
    </row>
    <row r="2470" ht="14.25" customHeight="1">
      <c r="A2470" s="405"/>
      <c r="B2470" s="405"/>
      <c r="C2470" s="405"/>
      <c r="D2470" s="405"/>
      <c r="E2470" s="405"/>
      <c r="F2470" s="583"/>
      <c r="G2470" s="583"/>
      <c r="H2470" s="405"/>
      <c r="I2470" s="405"/>
      <c r="J2470" s="405"/>
      <c r="K2470" s="405"/>
      <c r="L2470" s="405"/>
      <c r="M2470" s="405"/>
      <c r="N2470" s="405"/>
      <c r="O2470" s="405"/>
      <c r="P2470" s="405"/>
      <c r="Q2470" s="405"/>
      <c r="R2470" s="405"/>
      <c r="S2470" s="405"/>
      <c r="T2470" s="405"/>
      <c r="U2470" s="405"/>
      <c r="V2470" s="405"/>
      <c r="W2470" s="405"/>
      <c r="X2470" s="405"/>
      <c r="Y2470" s="405"/>
      <c r="Z2470" s="405"/>
      <c r="AA2470" s="405"/>
      <c r="AB2470" s="405"/>
    </row>
    <row r="2471" ht="14.25" customHeight="1">
      <c r="A2471" s="405"/>
      <c r="B2471" s="405"/>
      <c r="C2471" s="405"/>
      <c r="D2471" s="405"/>
      <c r="E2471" s="405"/>
      <c r="F2471" s="583"/>
      <c r="G2471" s="583"/>
      <c r="H2471" s="405"/>
      <c r="I2471" s="405"/>
      <c r="J2471" s="405"/>
      <c r="K2471" s="405"/>
      <c r="L2471" s="405"/>
      <c r="M2471" s="405"/>
      <c r="N2471" s="405"/>
      <c r="O2471" s="405"/>
      <c r="P2471" s="405"/>
      <c r="Q2471" s="405"/>
      <c r="R2471" s="405"/>
      <c r="S2471" s="405"/>
      <c r="T2471" s="405"/>
      <c r="U2471" s="405"/>
      <c r="V2471" s="405"/>
      <c r="W2471" s="405"/>
      <c r="X2471" s="405"/>
      <c r="Y2471" s="405"/>
      <c r="Z2471" s="405"/>
      <c r="AA2471" s="405"/>
      <c r="AB2471" s="405"/>
    </row>
    <row r="2472" ht="14.25" customHeight="1">
      <c r="A2472" s="405"/>
      <c r="B2472" s="405"/>
      <c r="C2472" s="405"/>
      <c r="D2472" s="405"/>
      <c r="E2472" s="405"/>
      <c r="F2472" s="583"/>
      <c r="G2472" s="583"/>
      <c r="H2472" s="405"/>
      <c r="I2472" s="405"/>
      <c r="J2472" s="405"/>
      <c r="K2472" s="405"/>
      <c r="L2472" s="405"/>
      <c r="M2472" s="405"/>
      <c r="N2472" s="405"/>
      <c r="O2472" s="405"/>
      <c r="P2472" s="405"/>
      <c r="Q2472" s="405"/>
      <c r="R2472" s="405"/>
      <c r="S2472" s="405"/>
      <c r="T2472" s="405"/>
      <c r="U2472" s="405"/>
      <c r="V2472" s="405"/>
      <c r="W2472" s="405"/>
      <c r="X2472" s="405"/>
      <c r="Y2472" s="405"/>
      <c r="Z2472" s="405"/>
      <c r="AA2472" s="405"/>
      <c r="AB2472" s="405"/>
    </row>
    <row r="2473" ht="14.25" customHeight="1">
      <c r="A2473" s="405"/>
      <c r="B2473" s="405"/>
      <c r="C2473" s="405"/>
      <c r="D2473" s="405"/>
      <c r="E2473" s="405"/>
      <c r="F2473" s="583"/>
      <c r="G2473" s="583"/>
      <c r="H2473" s="405"/>
      <c r="I2473" s="405"/>
      <c r="J2473" s="405"/>
      <c r="K2473" s="405"/>
      <c r="L2473" s="405"/>
      <c r="M2473" s="405"/>
      <c r="N2473" s="405"/>
      <c r="O2473" s="405"/>
      <c r="P2473" s="405"/>
      <c r="Q2473" s="405"/>
      <c r="R2473" s="405"/>
      <c r="S2473" s="405"/>
      <c r="T2473" s="405"/>
      <c r="U2473" s="405"/>
      <c r="V2473" s="405"/>
      <c r="W2473" s="405"/>
      <c r="X2473" s="405"/>
      <c r="Y2473" s="405"/>
      <c r="Z2473" s="405"/>
      <c r="AA2473" s="405"/>
      <c r="AB2473" s="405"/>
    </row>
    <row r="2474" ht="14.25" customHeight="1">
      <c r="A2474" s="405"/>
      <c r="B2474" s="405"/>
      <c r="C2474" s="405"/>
      <c r="D2474" s="405"/>
      <c r="E2474" s="405"/>
      <c r="F2474" s="583"/>
      <c r="G2474" s="583"/>
      <c r="H2474" s="405"/>
      <c r="I2474" s="405"/>
      <c r="J2474" s="405"/>
      <c r="K2474" s="405"/>
      <c r="L2474" s="405"/>
      <c r="M2474" s="405"/>
      <c r="N2474" s="405"/>
      <c r="O2474" s="405"/>
      <c r="P2474" s="405"/>
      <c r="Q2474" s="405"/>
      <c r="R2474" s="405"/>
      <c r="S2474" s="405"/>
      <c r="T2474" s="405"/>
      <c r="U2474" s="405"/>
      <c r="V2474" s="405"/>
      <c r="W2474" s="405"/>
      <c r="X2474" s="405"/>
      <c r="Y2474" s="405"/>
      <c r="Z2474" s="405"/>
      <c r="AA2474" s="405"/>
      <c r="AB2474" s="405"/>
    </row>
    <row r="2475" ht="14.25" customHeight="1">
      <c r="A2475" s="405"/>
      <c r="B2475" s="405"/>
      <c r="C2475" s="405"/>
      <c r="D2475" s="405"/>
      <c r="E2475" s="405"/>
      <c r="F2475" s="583"/>
      <c r="G2475" s="583"/>
      <c r="H2475" s="405"/>
      <c r="I2475" s="405"/>
      <c r="J2475" s="405"/>
      <c r="K2475" s="405"/>
      <c r="L2475" s="405"/>
      <c r="M2475" s="405"/>
      <c r="N2475" s="405"/>
      <c r="O2475" s="405"/>
      <c r="P2475" s="405"/>
      <c r="Q2475" s="405"/>
      <c r="R2475" s="405"/>
      <c r="S2475" s="405"/>
      <c r="T2475" s="405"/>
      <c r="U2475" s="405"/>
      <c r="V2475" s="405"/>
      <c r="W2475" s="405"/>
      <c r="X2475" s="405"/>
      <c r="Y2475" s="405"/>
      <c r="Z2475" s="405"/>
      <c r="AA2475" s="405"/>
      <c r="AB2475" s="405"/>
    </row>
    <row r="2476" ht="14.25" customHeight="1">
      <c r="A2476" s="405"/>
      <c r="B2476" s="405"/>
      <c r="C2476" s="405"/>
      <c r="D2476" s="405"/>
      <c r="E2476" s="405"/>
      <c r="F2476" s="583"/>
      <c r="G2476" s="583"/>
      <c r="H2476" s="405"/>
      <c r="I2476" s="405"/>
      <c r="J2476" s="405"/>
      <c r="K2476" s="405"/>
      <c r="L2476" s="405"/>
      <c r="M2476" s="405"/>
      <c r="N2476" s="405"/>
      <c r="O2476" s="405"/>
      <c r="P2476" s="405"/>
      <c r="Q2476" s="405"/>
      <c r="R2476" s="405"/>
      <c r="S2476" s="405"/>
      <c r="T2476" s="405"/>
      <c r="U2476" s="405"/>
      <c r="V2476" s="405"/>
      <c r="W2476" s="405"/>
      <c r="X2476" s="405"/>
      <c r="Y2476" s="405"/>
      <c r="Z2476" s="405"/>
      <c r="AA2476" s="405"/>
      <c r="AB2476" s="405"/>
    </row>
    <row r="2477" ht="14.25" customHeight="1">
      <c r="A2477" s="405"/>
      <c r="B2477" s="405"/>
      <c r="C2477" s="405"/>
      <c r="D2477" s="405"/>
      <c r="E2477" s="405"/>
      <c r="F2477" s="583"/>
      <c r="G2477" s="583"/>
      <c r="H2477" s="405"/>
      <c r="I2477" s="405"/>
      <c r="J2477" s="405"/>
      <c r="K2477" s="405"/>
      <c r="L2477" s="405"/>
      <c r="M2477" s="405"/>
      <c r="N2477" s="405"/>
      <c r="O2477" s="405"/>
      <c r="P2477" s="405"/>
      <c r="Q2477" s="405"/>
      <c r="R2477" s="405"/>
      <c r="S2477" s="405"/>
      <c r="T2477" s="405"/>
      <c r="U2477" s="405"/>
      <c r="V2477" s="405"/>
      <c r="W2477" s="405"/>
      <c r="X2477" s="405"/>
      <c r="Y2477" s="405"/>
      <c r="Z2477" s="405"/>
      <c r="AA2477" s="405"/>
      <c r="AB2477" s="405"/>
    </row>
    <row r="2478" ht="14.25" customHeight="1">
      <c r="A2478" s="405"/>
      <c r="B2478" s="405"/>
      <c r="C2478" s="405"/>
      <c r="D2478" s="405"/>
      <c r="E2478" s="405"/>
      <c r="F2478" s="583"/>
      <c r="G2478" s="583"/>
      <c r="H2478" s="405"/>
      <c r="I2478" s="405"/>
      <c r="J2478" s="405"/>
      <c r="K2478" s="405"/>
      <c r="L2478" s="405"/>
      <c r="M2478" s="405"/>
      <c r="N2478" s="405"/>
      <c r="O2478" s="405"/>
      <c r="P2478" s="405"/>
      <c r="Q2478" s="405"/>
      <c r="R2478" s="405"/>
      <c r="S2478" s="405"/>
      <c r="T2478" s="405"/>
      <c r="U2478" s="405"/>
      <c r="V2478" s="405"/>
      <c r="W2478" s="405"/>
      <c r="X2478" s="405"/>
      <c r="Y2478" s="405"/>
      <c r="Z2478" s="405"/>
      <c r="AA2478" s="405"/>
      <c r="AB2478" s="405"/>
    </row>
    <row r="2479" ht="14.25" customHeight="1">
      <c r="A2479" s="405"/>
      <c r="B2479" s="405"/>
      <c r="C2479" s="405"/>
      <c r="D2479" s="405"/>
      <c r="E2479" s="405"/>
      <c r="F2479" s="583"/>
      <c r="G2479" s="583"/>
      <c r="H2479" s="405"/>
      <c r="I2479" s="405"/>
      <c r="J2479" s="405"/>
      <c r="K2479" s="405"/>
      <c r="L2479" s="405"/>
      <c r="M2479" s="405"/>
      <c r="N2479" s="405"/>
      <c r="O2479" s="405"/>
      <c r="P2479" s="405"/>
      <c r="Q2479" s="405"/>
      <c r="R2479" s="405"/>
      <c r="S2479" s="405"/>
      <c r="T2479" s="405"/>
      <c r="U2479" s="405"/>
      <c r="V2479" s="405"/>
      <c r="W2479" s="405"/>
      <c r="X2479" s="405"/>
      <c r="Y2479" s="405"/>
      <c r="Z2479" s="405"/>
      <c r="AA2479" s="405"/>
      <c r="AB2479" s="405"/>
    </row>
    <row r="2480" ht="14.25" customHeight="1">
      <c r="A2480" s="405"/>
      <c r="B2480" s="405"/>
      <c r="C2480" s="405"/>
      <c r="D2480" s="405"/>
      <c r="E2480" s="405"/>
      <c r="F2480" s="583"/>
      <c r="G2480" s="583"/>
      <c r="H2480" s="405"/>
      <c r="I2480" s="405"/>
      <c r="J2480" s="405"/>
      <c r="K2480" s="405"/>
      <c r="L2480" s="405"/>
      <c r="M2480" s="405"/>
      <c r="N2480" s="405"/>
      <c r="O2480" s="405"/>
      <c r="P2480" s="405"/>
      <c r="Q2480" s="405"/>
      <c r="R2480" s="405"/>
      <c r="S2480" s="405"/>
      <c r="T2480" s="405"/>
      <c r="U2480" s="405"/>
      <c r="V2480" s="405"/>
      <c r="W2480" s="405"/>
      <c r="X2480" s="405"/>
      <c r="Y2480" s="405"/>
      <c r="Z2480" s="405"/>
      <c r="AA2480" s="405"/>
      <c r="AB2480" s="405"/>
    </row>
    <row r="2481" ht="14.25" customHeight="1">
      <c r="A2481" s="405"/>
      <c r="B2481" s="405"/>
      <c r="C2481" s="405"/>
      <c r="D2481" s="405"/>
      <c r="E2481" s="405"/>
      <c r="F2481" s="583"/>
      <c r="G2481" s="583"/>
      <c r="H2481" s="405"/>
      <c r="I2481" s="405"/>
      <c r="J2481" s="405"/>
      <c r="K2481" s="405"/>
      <c r="L2481" s="405"/>
      <c r="M2481" s="405"/>
      <c r="N2481" s="405"/>
      <c r="O2481" s="405"/>
      <c r="P2481" s="405"/>
      <c r="Q2481" s="405"/>
      <c r="R2481" s="405"/>
      <c r="S2481" s="405"/>
      <c r="T2481" s="405"/>
      <c r="U2481" s="405"/>
      <c r="V2481" s="405"/>
      <c r="W2481" s="405"/>
      <c r="X2481" s="405"/>
      <c r="Y2481" s="405"/>
      <c r="Z2481" s="405"/>
      <c r="AA2481" s="405"/>
      <c r="AB2481" s="405"/>
    </row>
    <row r="2482" ht="14.25" customHeight="1">
      <c r="A2482" s="405"/>
      <c r="B2482" s="405"/>
      <c r="C2482" s="405"/>
      <c r="D2482" s="405"/>
      <c r="E2482" s="405"/>
      <c r="F2482" s="583"/>
      <c r="G2482" s="583"/>
      <c r="H2482" s="405"/>
      <c r="I2482" s="405"/>
      <c r="J2482" s="405"/>
      <c r="K2482" s="405"/>
      <c r="L2482" s="405"/>
      <c r="M2482" s="405"/>
      <c r="N2482" s="405"/>
      <c r="O2482" s="405"/>
      <c r="P2482" s="405"/>
      <c r="Q2482" s="405"/>
      <c r="R2482" s="405"/>
      <c r="S2482" s="405"/>
      <c r="T2482" s="405"/>
      <c r="U2482" s="405"/>
      <c r="V2482" s="405"/>
      <c r="W2482" s="405"/>
      <c r="X2482" s="405"/>
      <c r="Y2482" s="405"/>
      <c r="Z2482" s="405"/>
      <c r="AA2482" s="405"/>
      <c r="AB2482" s="405"/>
    </row>
    <row r="2483" ht="14.25" customHeight="1">
      <c r="A2483" s="405"/>
      <c r="B2483" s="405"/>
      <c r="C2483" s="405"/>
      <c r="D2483" s="405"/>
      <c r="E2483" s="405"/>
      <c r="F2483" s="583"/>
      <c r="G2483" s="583"/>
      <c r="H2483" s="405"/>
      <c r="I2483" s="405"/>
      <c r="J2483" s="405"/>
      <c r="K2483" s="405"/>
      <c r="L2483" s="405"/>
      <c r="M2483" s="405"/>
      <c r="N2483" s="405"/>
      <c r="O2483" s="405"/>
      <c r="P2483" s="405"/>
      <c r="Q2483" s="405"/>
      <c r="R2483" s="405"/>
      <c r="S2483" s="405"/>
      <c r="T2483" s="405"/>
      <c r="U2483" s="405"/>
      <c r="V2483" s="405"/>
      <c r="W2483" s="405"/>
      <c r="X2483" s="405"/>
      <c r="Y2483" s="405"/>
      <c r="Z2483" s="405"/>
      <c r="AA2483" s="405"/>
      <c r="AB2483" s="405"/>
    </row>
    <row r="2484" ht="14.25" customHeight="1">
      <c r="A2484" s="405"/>
      <c r="B2484" s="405"/>
      <c r="C2484" s="405"/>
      <c r="D2484" s="405"/>
      <c r="E2484" s="405"/>
      <c r="F2484" s="583"/>
      <c r="G2484" s="583"/>
      <c r="H2484" s="405"/>
      <c r="I2484" s="405"/>
      <c r="J2484" s="405"/>
      <c r="K2484" s="405"/>
      <c r="L2484" s="405"/>
      <c r="M2484" s="405"/>
      <c r="N2484" s="405"/>
      <c r="O2484" s="405"/>
      <c r="P2484" s="405"/>
      <c r="Q2484" s="405"/>
      <c r="R2484" s="405"/>
      <c r="S2484" s="405"/>
      <c r="T2484" s="405"/>
      <c r="U2484" s="405"/>
      <c r="V2484" s="405"/>
      <c r="W2484" s="405"/>
      <c r="X2484" s="405"/>
      <c r="Y2484" s="405"/>
      <c r="Z2484" s="405"/>
      <c r="AA2484" s="405"/>
      <c r="AB2484" s="405"/>
    </row>
    <row r="2485" ht="14.25" customHeight="1">
      <c r="A2485" s="405"/>
      <c r="B2485" s="405"/>
      <c r="C2485" s="405"/>
      <c r="D2485" s="405"/>
      <c r="E2485" s="405"/>
      <c r="F2485" s="583"/>
      <c r="G2485" s="583"/>
      <c r="H2485" s="405"/>
      <c r="I2485" s="405"/>
      <c r="J2485" s="405"/>
      <c r="K2485" s="405"/>
      <c r="L2485" s="405"/>
      <c r="M2485" s="405"/>
      <c r="N2485" s="405"/>
      <c r="O2485" s="405"/>
      <c r="P2485" s="405"/>
      <c r="Q2485" s="405"/>
      <c r="R2485" s="405"/>
      <c r="S2485" s="405"/>
      <c r="T2485" s="405"/>
      <c r="U2485" s="405"/>
      <c r="V2485" s="405"/>
      <c r="W2485" s="405"/>
      <c r="X2485" s="405"/>
      <c r="Y2485" s="405"/>
      <c r="Z2485" s="405"/>
      <c r="AA2485" s="405"/>
      <c r="AB2485" s="405"/>
    </row>
    <row r="2486" ht="14.25" customHeight="1">
      <c r="A2486" s="405"/>
      <c r="B2486" s="405"/>
      <c r="C2486" s="405"/>
      <c r="D2486" s="405"/>
      <c r="E2486" s="405"/>
      <c r="F2486" s="583"/>
      <c r="G2486" s="583"/>
      <c r="H2486" s="405"/>
      <c r="I2486" s="405"/>
      <c r="J2486" s="405"/>
      <c r="K2486" s="405"/>
      <c r="L2486" s="405"/>
      <c r="M2486" s="405"/>
      <c r="N2486" s="405"/>
      <c r="O2486" s="405"/>
      <c r="P2486" s="405"/>
      <c r="Q2486" s="405"/>
      <c r="R2486" s="405"/>
      <c r="S2486" s="405"/>
      <c r="T2486" s="405"/>
      <c r="U2486" s="405"/>
      <c r="V2486" s="405"/>
      <c r="W2486" s="405"/>
      <c r="X2486" s="405"/>
      <c r="Y2486" s="405"/>
      <c r="Z2486" s="405"/>
      <c r="AA2486" s="405"/>
      <c r="AB2486" s="405"/>
    </row>
    <row r="2487" ht="14.25" customHeight="1">
      <c r="A2487" s="405"/>
      <c r="B2487" s="405"/>
      <c r="C2487" s="405"/>
      <c r="D2487" s="405"/>
      <c r="E2487" s="405"/>
      <c r="F2487" s="583"/>
      <c r="G2487" s="583"/>
      <c r="H2487" s="405"/>
      <c r="I2487" s="405"/>
      <c r="J2487" s="405"/>
      <c r="K2487" s="405"/>
      <c r="L2487" s="405"/>
      <c r="M2487" s="405"/>
      <c r="N2487" s="405"/>
      <c r="O2487" s="405"/>
      <c r="P2487" s="405"/>
      <c r="Q2487" s="405"/>
      <c r="R2487" s="405"/>
      <c r="S2487" s="405"/>
      <c r="T2487" s="405"/>
      <c r="U2487" s="405"/>
      <c r="V2487" s="405"/>
      <c r="W2487" s="405"/>
      <c r="X2487" s="405"/>
      <c r="Y2487" s="405"/>
      <c r="Z2487" s="405"/>
      <c r="AA2487" s="405"/>
      <c r="AB2487" s="405"/>
    </row>
    <row r="2488" ht="14.25" customHeight="1">
      <c r="A2488" s="405"/>
      <c r="B2488" s="405"/>
      <c r="C2488" s="405"/>
      <c r="D2488" s="405"/>
      <c r="E2488" s="405"/>
      <c r="F2488" s="583"/>
      <c r="G2488" s="583"/>
      <c r="H2488" s="405"/>
      <c r="I2488" s="405"/>
      <c r="J2488" s="405"/>
      <c r="K2488" s="405"/>
      <c r="L2488" s="405"/>
      <c r="M2488" s="405"/>
      <c r="N2488" s="405"/>
      <c r="O2488" s="405"/>
      <c r="P2488" s="405"/>
      <c r="Q2488" s="405"/>
      <c r="R2488" s="405"/>
      <c r="S2488" s="405"/>
      <c r="T2488" s="405"/>
      <c r="U2488" s="405"/>
      <c r="V2488" s="405"/>
      <c r="W2488" s="405"/>
      <c r="X2488" s="405"/>
      <c r="Y2488" s="405"/>
      <c r="Z2488" s="405"/>
      <c r="AA2488" s="405"/>
      <c r="AB2488" s="405"/>
    </row>
    <row r="2489" ht="14.25" customHeight="1">
      <c r="A2489" s="405"/>
      <c r="B2489" s="405"/>
      <c r="C2489" s="405"/>
      <c r="D2489" s="405"/>
      <c r="E2489" s="405"/>
      <c r="F2489" s="583"/>
      <c r="G2489" s="583"/>
      <c r="H2489" s="405"/>
      <c r="I2489" s="405"/>
      <c r="J2489" s="405"/>
      <c r="K2489" s="405"/>
      <c r="L2489" s="405"/>
      <c r="M2489" s="405"/>
      <c r="N2489" s="405"/>
      <c r="O2489" s="405"/>
      <c r="P2489" s="405"/>
      <c r="Q2489" s="405"/>
      <c r="R2489" s="405"/>
      <c r="S2489" s="405"/>
      <c r="T2489" s="405"/>
      <c r="U2489" s="405"/>
      <c r="V2489" s="405"/>
      <c r="W2489" s="405"/>
      <c r="X2489" s="405"/>
      <c r="Y2489" s="405"/>
      <c r="Z2489" s="405"/>
      <c r="AA2489" s="405"/>
      <c r="AB2489" s="405"/>
    </row>
    <row r="2490" ht="14.25" customHeight="1">
      <c r="A2490" s="405"/>
      <c r="B2490" s="405"/>
      <c r="C2490" s="405"/>
      <c r="D2490" s="405"/>
      <c r="E2490" s="405"/>
      <c r="F2490" s="583"/>
      <c r="G2490" s="583"/>
      <c r="H2490" s="405"/>
      <c r="I2490" s="405"/>
      <c r="J2490" s="405"/>
      <c r="K2490" s="405"/>
      <c r="L2490" s="405"/>
      <c r="M2490" s="405"/>
      <c r="N2490" s="405"/>
      <c r="O2490" s="405"/>
      <c r="P2490" s="405"/>
      <c r="Q2490" s="405"/>
      <c r="R2490" s="405"/>
      <c r="S2490" s="405"/>
      <c r="T2490" s="405"/>
      <c r="U2490" s="405"/>
      <c r="V2490" s="405"/>
      <c r="W2490" s="405"/>
      <c r="X2490" s="405"/>
      <c r="Y2490" s="405"/>
      <c r="Z2490" s="405"/>
      <c r="AA2490" s="405"/>
      <c r="AB2490" s="405"/>
    </row>
    <row r="2491" ht="14.25" customHeight="1">
      <c r="A2491" s="405"/>
      <c r="B2491" s="405"/>
      <c r="C2491" s="405"/>
      <c r="D2491" s="405"/>
      <c r="E2491" s="405"/>
      <c r="F2491" s="583"/>
      <c r="G2491" s="583"/>
      <c r="H2491" s="405"/>
      <c r="I2491" s="405"/>
      <c r="J2491" s="405"/>
      <c r="K2491" s="405"/>
      <c r="L2491" s="405"/>
      <c r="M2491" s="405"/>
      <c r="N2491" s="405"/>
      <c r="O2491" s="405"/>
      <c r="P2491" s="405"/>
      <c r="Q2491" s="405"/>
      <c r="R2491" s="405"/>
      <c r="S2491" s="405"/>
      <c r="T2491" s="405"/>
      <c r="U2491" s="405"/>
      <c r="V2491" s="405"/>
      <c r="W2491" s="405"/>
      <c r="X2491" s="405"/>
      <c r="Y2491" s="405"/>
      <c r="Z2491" s="405"/>
      <c r="AA2491" s="405"/>
      <c r="AB2491" s="405"/>
    </row>
    <row r="2492" ht="14.25" customHeight="1">
      <c r="A2492" s="405"/>
      <c r="B2492" s="405"/>
      <c r="C2492" s="405"/>
      <c r="D2492" s="405"/>
      <c r="E2492" s="405"/>
      <c r="F2492" s="583"/>
      <c r="G2492" s="583"/>
      <c r="H2492" s="405"/>
      <c r="I2492" s="405"/>
      <c r="J2492" s="405"/>
      <c r="K2492" s="405"/>
      <c r="L2492" s="405"/>
      <c r="M2492" s="405"/>
      <c r="N2492" s="405"/>
      <c r="O2492" s="405"/>
      <c r="P2492" s="405"/>
      <c r="Q2492" s="405"/>
      <c r="R2492" s="405"/>
      <c r="S2492" s="405"/>
      <c r="T2492" s="405"/>
      <c r="U2492" s="405"/>
      <c r="V2492" s="405"/>
      <c r="W2492" s="405"/>
      <c r="X2492" s="405"/>
      <c r="Y2492" s="405"/>
      <c r="Z2492" s="405"/>
      <c r="AA2492" s="405"/>
      <c r="AB2492" s="405"/>
    </row>
    <row r="2493" ht="14.25" customHeight="1">
      <c r="A2493" s="405"/>
      <c r="B2493" s="405"/>
      <c r="C2493" s="405"/>
      <c r="D2493" s="405"/>
      <c r="E2493" s="405"/>
      <c r="F2493" s="583"/>
      <c r="G2493" s="583"/>
      <c r="H2493" s="405"/>
      <c r="I2493" s="405"/>
      <c r="J2493" s="405"/>
      <c r="K2493" s="405"/>
      <c r="L2493" s="405"/>
      <c r="M2493" s="405"/>
      <c r="N2493" s="405"/>
      <c r="O2493" s="405"/>
      <c r="P2493" s="405"/>
      <c r="Q2493" s="405"/>
      <c r="R2493" s="405"/>
      <c r="S2493" s="405"/>
      <c r="T2493" s="405"/>
      <c r="U2493" s="405"/>
      <c r="V2493" s="405"/>
      <c r="W2493" s="405"/>
      <c r="X2493" s="405"/>
      <c r="Y2493" s="405"/>
      <c r="Z2493" s="405"/>
      <c r="AA2493" s="405"/>
      <c r="AB2493" s="405"/>
    </row>
    <row r="2494" ht="14.25" customHeight="1">
      <c r="A2494" s="405"/>
      <c r="B2494" s="405"/>
      <c r="C2494" s="405"/>
      <c r="D2494" s="405"/>
      <c r="E2494" s="405"/>
      <c r="F2494" s="583"/>
      <c r="G2494" s="583"/>
      <c r="H2494" s="405"/>
      <c r="I2494" s="405"/>
      <c r="J2494" s="405"/>
      <c r="K2494" s="405"/>
      <c r="L2494" s="405"/>
      <c r="M2494" s="405"/>
      <c r="N2494" s="405"/>
      <c r="O2494" s="405"/>
      <c r="P2494" s="405"/>
      <c r="Q2494" s="405"/>
      <c r="R2494" s="405"/>
      <c r="S2494" s="405"/>
      <c r="T2494" s="405"/>
      <c r="U2494" s="405"/>
      <c r="V2494" s="405"/>
      <c r="W2494" s="405"/>
      <c r="X2494" s="405"/>
      <c r="Y2494" s="405"/>
      <c r="Z2494" s="405"/>
      <c r="AA2494" s="405"/>
      <c r="AB2494" s="405"/>
    </row>
    <row r="2495" ht="14.25" customHeight="1">
      <c r="A2495" s="405"/>
      <c r="B2495" s="405"/>
      <c r="C2495" s="405"/>
      <c r="D2495" s="405"/>
      <c r="E2495" s="405"/>
      <c r="F2495" s="583"/>
      <c r="G2495" s="583"/>
      <c r="H2495" s="405"/>
      <c r="I2495" s="405"/>
      <c r="J2495" s="405"/>
      <c r="K2495" s="405"/>
      <c r="L2495" s="405"/>
      <c r="M2495" s="405"/>
      <c r="N2495" s="405"/>
      <c r="O2495" s="405"/>
      <c r="P2495" s="405"/>
      <c r="Q2495" s="405"/>
      <c r="R2495" s="405"/>
      <c r="S2495" s="405"/>
      <c r="T2495" s="405"/>
      <c r="U2495" s="405"/>
      <c r="V2495" s="405"/>
      <c r="W2495" s="405"/>
      <c r="X2495" s="405"/>
      <c r="Y2495" s="405"/>
      <c r="Z2495" s="405"/>
      <c r="AA2495" s="405"/>
      <c r="AB2495" s="405"/>
    </row>
    <row r="2496" ht="14.25" customHeight="1">
      <c r="A2496" s="405"/>
      <c r="B2496" s="405"/>
      <c r="C2496" s="405"/>
      <c r="D2496" s="405"/>
      <c r="E2496" s="405"/>
      <c r="F2496" s="583"/>
      <c r="G2496" s="583"/>
      <c r="H2496" s="405"/>
      <c r="I2496" s="405"/>
      <c r="J2496" s="405"/>
      <c r="K2496" s="405"/>
      <c r="L2496" s="405"/>
      <c r="M2496" s="405"/>
      <c r="N2496" s="405"/>
      <c r="O2496" s="405"/>
      <c r="P2496" s="405"/>
      <c r="Q2496" s="405"/>
      <c r="R2496" s="405"/>
      <c r="S2496" s="405"/>
      <c r="T2496" s="405"/>
      <c r="U2496" s="405"/>
      <c r="V2496" s="405"/>
      <c r="W2496" s="405"/>
      <c r="X2496" s="405"/>
      <c r="Y2496" s="405"/>
      <c r="Z2496" s="405"/>
      <c r="AA2496" s="405"/>
      <c r="AB2496" s="405"/>
    </row>
    <row r="2497" ht="14.25" customHeight="1">
      <c r="A2497" s="405"/>
      <c r="B2497" s="405"/>
      <c r="C2497" s="405"/>
      <c r="D2497" s="405"/>
      <c r="E2497" s="405"/>
      <c r="F2497" s="583"/>
      <c r="G2497" s="583"/>
      <c r="H2497" s="405"/>
      <c r="I2497" s="405"/>
      <c r="J2497" s="405"/>
      <c r="K2497" s="405"/>
      <c r="L2497" s="405"/>
      <c r="M2497" s="405"/>
      <c r="N2497" s="405"/>
      <c r="O2497" s="405"/>
      <c r="P2497" s="405"/>
      <c r="Q2497" s="405"/>
      <c r="R2497" s="405"/>
      <c r="S2497" s="405"/>
      <c r="T2497" s="405"/>
      <c r="U2497" s="405"/>
      <c r="V2497" s="405"/>
      <c r="W2497" s="405"/>
      <c r="X2497" s="405"/>
      <c r="Y2497" s="405"/>
      <c r="Z2497" s="405"/>
      <c r="AA2497" s="405"/>
      <c r="AB2497" s="405"/>
    </row>
    <row r="2498" ht="14.25" customHeight="1">
      <c r="A2498" s="405"/>
      <c r="B2498" s="405"/>
      <c r="C2498" s="405"/>
      <c r="D2498" s="405"/>
      <c r="E2498" s="405"/>
      <c r="F2498" s="583"/>
      <c r="G2498" s="583"/>
      <c r="H2498" s="405"/>
      <c r="I2498" s="405"/>
      <c r="J2498" s="405"/>
      <c r="K2498" s="405"/>
      <c r="L2498" s="405"/>
      <c r="M2498" s="405"/>
      <c r="N2498" s="405"/>
      <c r="O2498" s="405"/>
      <c r="P2498" s="405"/>
      <c r="Q2498" s="405"/>
      <c r="R2498" s="405"/>
      <c r="S2498" s="405"/>
      <c r="T2498" s="405"/>
      <c r="U2498" s="405"/>
      <c r="V2498" s="405"/>
      <c r="W2498" s="405"/>
      <c r="X2498" s="405"/>
      <c r="Y2498" s="405"/>
      <c r="Z2498" s="405"/>
      <c r="AA2498" s="405"/>
      <c r="AB2498" s="405"/>
    </row>
    <row r="2499" ht="14.25" customHeight="1">
      <c r="A2499" s="405"/>
      <c r="B2499" s="405"/>
      <c r="C2499" s="405"/>
      <c r="D2499" s="405"/>
      <c r="E2499" s="405"/>
      <c r="F2499" s="583"/>
      <c r="G2499" s="583"/>
      <c r="H2499" s="405"/>
      <c r="I2499" s="405"/>
      <c r="J2499" s="405"/>
      <c r="K2499" s="405"/>
      <c r="L2499" s="405"/>
      <c r="M2499" s="405"/>
      <c r="N2499" s="405"/>
      <c r="O2499" s="405"/>
      <c r="P2499" s="405"/>
      <c r="Q2499" s="405"/>
      <c r="R2499" s="405"/>
      <c r="S2499" s="405"/>
      <c r="T2499" s="405"/>
      <c r="U2499" s="405"/>
      <c r="V2499" s="405"/>
      <c r="W2499" s="405"/>
      <c r="X2499" s="405"/>
      <c r="Y2499" s="405"/>
      <c r="Z2499" s="405"/>
      <c r="AA2499" s="405"/>
      <c r="AB2499" s="405"/>
    </row>
    <row r="2500" ht="14.25" customHeight="1">
      <c r="A2500" s="405"/>
      <c r="B2500" s="405"/>
      <c r="C2500" s="405"/>
      <c r="D2500" s="405"/>
      <c r="E2500" s="405"/>
      <c r="F2500" s="583"/>
      <c r="G2500" s="583"/>
      <c r="H2500" s="405"/>
      <c r="I2500" s="405"/>
      <c r="J2500" s="405"/>
      <c r="K2500" s="405"/>
      <c r="L2500" s="405"/>
      <c r="M2500" s="405"/>
      <c r="N2500" s="405"/>
      <c r="O2500" s="405"/>
      <c r="P2500" s="405"/>
      <c r="Q2500" s="405"/>
      <c r="R2500" s="405"/>
      <c r="S2500" s="405"/>
      <c r="T2500" s="405"/>
      <c r="U2500" s="405"/>
      <c r="V2500" s="405"/>
      <c r="W2500" s="405"/>
      <c r="X2500" s="405"/>
      <c r="Y2500" s="405"/>
      <c r="Z2500" s="405"/>
      <c r="AA2500" s="405"/>
      <c r="AB2500" s="405"/>
    </row>
    <row r="2501" ht="14.25" customHeight="1">
      <c r="A2501" s="405"/>
      <c r="B2501" s="405"/>
      <c r="C2501" s="405"/>
      <c r="D2501" s="405"/>
      <c r="E2501" s="405"/>
      <c r="F2501" s="583"/>
      <c r="G2501" s="583"/>
      <c r="H2501" s="405"/>
      <c r="I2501" s="405"/>
      <c r="J2501" s="405"/>
      <c r="K2501" s="405"/>
      <c r="L2501" s="405"/>
      <c r="M2501" s="405"/>
      <c r="N2501" s="405"/>
      <c r="O2501" s="405"/>
      <c r="P2501" s="405"/>
      <c r="Q2501" s="405"/>
      <c r="R2501" s="405"/>
      <c r="S2501" s="405"/>
      <c r="T2501" s="405"/>
      <c r="U2501" s="405"/>
      <c r="V2501" s="405"/>
      <c r="W2501" s="405"/>
      <c r="X2501" s="405"/>
      <c r="Y2501" s="405"/>
      <c r="Z2501" s="405"/>
      <c r="AA2501" s="405"/>
      <c r="AB2501" s="405"/>
    </row>
    <row r="2502" ht="14.25" customHeight="1">
      <c r="A2502" s="405"/>
      <c r="B2502" s="405"/>
      <c r="C2502" s="405"/>
      <c r="D2502" s="405"/>
      <c r="E2502" s="405"/>
      <c r="F2502" s="583"/>
      <c r="G2502" s="583"/>
      <c r="H2502" s="405"/>
      <c r="I2502" s="405"/>
      <c r="J2502" s="405"/>
      <c r="K2502" s="405"/>
      <c r="L2502" s="405"/>
      <c r="M2502" s="405"/>
      <c r="N2502" s="405"/>
      <c r="O2502" s="405"/>
      <c r="P2502" s="405"/>
      <c r="Q2502" s="405"/>
      <c r="R2502" s="405"/>
      <c r="S2502" s="405"/>
      <c r="T2502" s="405"/>
      <c r="U2502" s="405"/>
      <c r="V2502" s="405"/>
      <c r="W2502" s="405"/>
      <c r="X2502" s="405"/>
      <c r="Y2502" s="405"/>
      <c r="Z2502" s="405"/>
      <c r="AA2502" s="405"/>
      <c r="AB2502" s="405"/>
    </row>
    <row r="2503" ht="14.25" customHeight="1">
      <c r="A2503" s="405"/>
      <c r="B2503" s="405"/>
      <c r="C2503" s="405"/>
      <c r="D2503" s="405"/>
      <c r="E2503" s="405"/>
      <c r="F2503" s="583"/>
      <c r="G2503" s="583"/>
      <c r="H2503" s="405"/>
      <c r="I2503" s="405"/>
      <c r="J2503" s="405"/>
      <c r="K2503" s="405"/>
      <c r="L2503" s="405"/>
      <c r="M2503" s="405"/>
      <c r="N2503" s="405"/>
      <c r="O2503" s="405"/>
      <c r="P2503" s="405"/>
      <c r="Q2503" s="405"/>
      <c r="R2503" s="405"/>
      <c r="S2503" s="405"/>
      <c r="T2503" s="405"/>
      <c r="U2503" s="405"/>
      <c r="V2503" s="405"/>
      <c r="W2503" s="405"/>
      <c r="X2503" s="405"/>
      <c r="Y2503" s="405"/>
      <c r="Z2503" s="405"/>
      <c r="AA2503" s="405"/>
      <c r="AB2503" s="405"/>
    </row>
    <row r="2504" ht="14.25" customHeight="1">
      <c r="A2504" s="405"/>
      <c r="B2504" s="405"/>
      <c r="C2504" s="405"/>
      <c r="D2504" s="405"/>
      <c r="E2504" s="405"/>
      <c r="F2504" s="583"/>
      <c r="G2504" s="583"/>
      <c r="H2504" s="405"/>
      <c r="I2504" s="405"/>
      <c r="J2504" s="405"/>
      <c r="K2504" s="405"/>
      <c r="L2504" s="405"/>
      <c r="M2504" s="405"/>
      <c r="N2504" s="405"/>
      <c r="O2504" s="405"/>
      <c r="P2504" s="405"/>
      <c r="Q2504" s="405"/>
      <c r="R2504" s="405"/>
      <c r="S2504" s="405"/>
      <c r="T2504" s="405"/>
      <c r="U2504" s="405"/>
      <c r="V2504" s="405"/>
      <c r="W2504" s="405"/>
      <c r="X2504" s="405"/>
      <c r="Y2504" s="405"/>
      <c r="Z2504" s="405"/>
      <c r="AA2504" s="405"/>
      <c r="AB2504" s="405"/>
    </row>
    <row r="2505" ht="14.25" customHeight="1">
      <c r="A2505" s="405"/>
      <c r="B2505" s="405"/>
      <c r="C2505" s="405"/>
      <c r="D2505" s="405"/>
      <c r="E2505" s="405"/>
      <c r="F2505" s="583"/>
      <c r="G2505" s="583"/>
      <c r="H2505" s="405"/>
      <c r="I2505" s="405"/>
      <c r="J2505" s="405"/>
      <c r="K2505" s="405"/>
      <c r="L2505" s="405"/>
      <c r="M2505" s="405"/>
      <c r="N2505" s="405"/>
      <c r="O2505" s="405"/>
      <c r="P2505" s="405"/>
      <c r="Q2505" s="405"/>
      <c r="R2505" s="405"/>
      <c r="S2505" s="405"/>
      <c r="T2505" s="405"/>
      <c r="U2505" s="405"/>
      <c r="V2505" s="405"/>
      <c r="W2505" s="405"/>
      <c r="X2505" s="405"/>
      <c r="Y2505" s="405"/>
      <c r="Z2505" s="405"/>
      <c r="AA2505" s="405"/>
      <c r="AB2505" s="405"/>
    </row>
    <row r="2506" ht="14.25" customHeight="1">
      <c r="A2506" s="405"/>
      <c r="B2506" s="405"/>
      <c r="C2506" s="405"/>
      <c r="D2506" s="405"/>
      <c r="E2506" s="405"/>
      <c r="F2506" s="583"/>
      <c r="G2506" s="583"/>
      <c r="H2506" s="405"/>
      <c r="I2506" s="405"/>
      <c r="J2506" s="405"/>
      <c r="K2506" s="405"/>
      <c r="L2506" s="405"/>
      <c r="M2506" s="405"/>
      <c r="N2506" s="405"/>
      <c r="O2506" s="405"/>
      <c r="P2506" s="405"/>
      <c r="Q2506" s="405"/>
      <c r="R2506" s="405"/>
      <c r="S2506" s="405"/>
      <c r="T2506" s="405"/>
      <c r="U2506" s="405"/>
      <c r="V2506" s="405"/>
      <c r="W2506" s="405"/>
      <c r="X2506" s="405"/>
      <c r="Y2506" s="405"/>
      <c r="Z2506" s="405"/>
      <c r="AA2506" s="405"/>
      <c r="AB2506" s="405"/>
    </row>
    <row r="2507" ht="14.25" customHeight="1">
      <c r="A2507" s="405"/>
      <c r="B2507" s="405"/>
      <c r="C2507" s="405"/>
      <c r="D2507" s="405"/>
      <c r="E2507" s="405"/>
      <c r="F2507" s="583"/>
      <c r="G2507" s="583"/>
      <c r="H2507" s="405"/>
      <c r="I2507" s="405"/>
      <c r="J2507" s="405"/>
      <c r="K2507" s="405"/>
      <c r="L2507" s="405"/>
      <c r="M2507" s="405"/>
      <c r="N2507" s="405"/>
      <c r="O2507" s="405"/>
      <c r="P2507" s="405"/>
      <c r="Q2507" s="405"/>
      <c r="R2507" s="405"/>
      <c r="S2507" s="405"/>
      <c r="T2507" s="405"/>
      <c r="U2507" s="405"/>
      <c r="V2507" s="405"/>
      <c r="W2507" s="405"/>
      <c r="X2507" s="405"/>
      <c r="Y2507" s="405"/>
      <c r="Z2507" s="405"/>
      <c r="AA2507" s="405"/>
      <c r="AB2507" s="405"/>
    </row>
    <row r="2508" ht="14.25" customHeight="1">
      <c r="A2508" s="405"/>
      <c r="B2508" s="405"/>
      <c r="C2508" s="405"/>
      <c r="D2508" s="405"/>
      <c r="E2508" s="405"/>
      <c r="F2508" s="583"/>
      <c r="G2508" s="583"/>
      <c r="H2508" s="405"/>
      <c r="I2508" s="405"/>
      <c r="J2508" s="405"/>
      <c r="K2508" s="405"/>
      <c r="L2508" s="405"/>
      <c r="M2508" s="405"/>
      <c r="N2508" s="405"/>
      <c r="O2508" s="405"/>
      <c r="P2508" s="405"/>
      <c r="Q2508" s="405"/>
      <c r="R2508" s="405"/>
      <c r="S2508" s="405"/>
      <c r="T2508" s="405"/>
      <c r="U2508" s="405"/>
      <c r="V2508" s="405"/>
      <c r="W2508" s="405"/>
      <c r="X2508" s="405"/>
      <c r="Y2508" s="405"/>
      <c r="Z2508" s="405"/>
      <c r="AA2508" s="405"/>
      <c r="AB2508" s="405"/>
    </row>
    <row r="2509" ht="14.25" customHeight="1">
      <c r="A2509" s="405"/>
      <c r="B2509" s="405"/>
      <c r="C2509" s="405"/>
      <c r="D2509" s="405"/>
      <c r="E2509" s="405"/>
      <c r="F2509" s="583"/>
      <c r="G2509" s="583"/>
      <c r="H2509" s="405"/>
      <c r="I2509" s="405"/>
      <c r="J2509" s="405"/>
      <c r="K2509" s="405"/>
      <c r="L2509" s="405"/>
      <c r="M2509" s="405"/>
      <c r="N2509" s="405"/>
      <c r="O2509" s="405"/>
      <c r="P2509" s="405"/>
      <c r="Q2509" s="405"/>
      <c r="R2509" s="405"/>
      <c r="S2509" s="405"/>
      <c r="T2509" s="405"/>
      <c r="U2509" s="405"/>
      <c r="V2509" s="405"/>
      <c r="W2509" s="405"/>
      <c r="X2509" s="405"/>
      <c r="Y2509" s="405"/>
      <c r="Z2509" s="405"/>
      <c r="AA2509" s="405"/>
      <c r="AB2509" s="405"/>
    </row>
    <row r="2510" ht="14.25" customHeight="1">
      <c r="A2510" s="405"/>
      <c r="B2510" s="405"/>
      <c r="C2510" s="405"/>
      <c r="D2510" s="405"/>
      <c r="E2510" s="405"/>
      <c r="F2510" s="583"/>
      <c r="G2510" s="583"/>
      <c r="H2510" s="405"/>
      <c r="I2510" s="405"/>
      <c r="J2510" s="405"/>
      <c r="K2510" s="405"/>
      <c r="L2510" s="405"/>
      <c r="M2510" s="405"/>
      <c r="N2510" s="405"/>
      <c r="O2510" s="405"/>
      <c r="P2510" s="405"/>
      <c r="Q2510" s="405"/>
      <c r="R2510" s="405"/>
      <c r="S2510" s="405"/>
      <c r="T2510" s="405"/>
      <c r="U2510" s="405"/>
      <c r="V2510" s="405"/>
      <c r="W2510" s="405"/>
      <c r="X2510" s="405"/>
      <c r="Y2510" s="405"/>
      <c r="Z2510" s="405"/>
      <c r="AA2510" s="405"/>
      <c r="AB2510" s="405"/>
    </row>
    <row r="2511" ht="14.25" customHeight="1">
      <c r="A2511" s="405"/>
      <c r="B2511" s="405"/>
      <c r="C2511" s="405"/>
      <c r="D2511" s="405"/>
      <c r="E2511" s="405"/>
      <c r="F2511" s="583"/>
      <c r="G2511" s="583"/>
      <c r="H2511" s="405"/>
      <c r="I2511" s="405"/>
      <c r="J2511" s="405"/>
      <c r="K2511" s="405"/>
      <c r="L2511" s="405"/>
      <c r="M2511" s="405"/>
      <c r="N2511" s="405"/>
      <c r="O2511" s="405"/>
      <c r="P2511" s="405"/>
      <c r="Q2511" s="405"/>
      <c r="R2511" s="405"/>
      <c r="S2511" s="405"/>
      <c r="T2511" s="405"/>
      <c r="U2511" s="405"/>
      <c r="V2511" s="405"/>
      <c r="W2511" s="405"/>
      <c r="X2511" s="405"/>
      <c r="Y2511" s="405"/>
      <c r="Z2511" s="405"/>
      <c r="AA2511" s="405"/>
      <c r="AB2511" s="405"/>
    </row>
    <row r="2512" ht="14.25" customHeight="1">
      <c r="A2512" s="405"/>
      <c r="B2512" s="405"/>
      <c r="C2512" s="405"/>
      <c r="D2512" s="405"/>
      <c r="E2512" s="405"/>
      <c r="F2512" s="583"/>
      <c r="G2512" s="583"/>
      <c r="H2512" s="405"/>
      <c r="I2512" s="405"/>
      <c r="J2512" s="405"/>
      <c r="K2512" s="405"/>
      <c r="L2512" s="405"/>
      <c r="M2512" s="405"/>
      <c r="N2512" s="405"/>
      <c r="O2512" s="405"/>
      <c r="P2512" s="405"/>
      <c r="Q2512" s="405"/>
      <c r="R2512" s="405"/>
      <c r="S2512" s="405"/>
      <c r="T2512" s="405"/>
      <c r="U2512" s="405"/>
      <c r="V2512" s="405"/>
      <c r="W2512" s="405"/>
      <c r="X2512" s="405"/>
      <c r="Y2512" s="405"/>
      <c r="Z2512" s="405"/>
      <c r="AA2512" s="405"/>
      <c r="AB2512" s="405"/>
    </row>
    <row r="2513" ht="14.25" customHeight="1">
      <c r="A2513" s="405"/>
      <c r="B2513" s="405"/>
      <c r="C2513" s="405"/>
      <c r="D2513" s="405"/>
      <c r="E2513" s="405"/>
      <c r="F2513" s="583"/>
      <c r="G2513" s="583"/>
      <c r="H2513" s="405"/>
      <c r="I2513" s="405"/>
      <c r="J2513" s="405"/>
      <c r="K2513" s="405"/>
      <c r="L2513" s="405"/>
      <c r="M2513" s="405"/>
      <c r="N2513" s="405"/>
      <c r="O2513" s="405"/>
      <c r="P2513" s="405"/>
      <c r="Q2513" s="405"/>
      <c r="R2513" s="405"/>
      <c r="S2513" s="405"/>
      <c r="T2513" s="405"/>
      <c r="U2513" s="405"/>
      <c r="V2513" s="405"/>
      <c r="W2513" s="405"/>
      <c r="X2513" s="405"/>
      <c r="Y2513" s="405"/>
      <c r="Z2513" s="405"/>
      <c r="AA2513" s="405"/>
      <c r="AB2513" s="405"/>
    </row>
    <row r="2514" ht="14.25" customHeight="1">
      <c r="A2514" s="405"/>
      <c r="B2514" s="405"/>
      <c r="C2514" s="405"/>
      <c r="D2514" s="405"/>
      <c r="E2514" s="405"/>
      <c r="F2514" s="583"/>
      <c r="G2514" s="583"/>
      <c r="H2514" s="405"/>
      <c r="I2514" s="405"/>
      <c r="J2514" s="405"/>
      <c r="K2514" s="405"/>
      <c r="L2514" s="405"/>
      <c r="M2514" s="405"/>
      <c r="N2514" s="405"/>
      <c r="O2514" s="405"/>
      <c r="P2514" s="405"/>
      <c r="Q2514" s="405"/>
      <c r="R2514" s="405"/>
      <c r="S2514" s="405"/>
      <c r="T2514" s="405"/>
      <c r="U2514" s="405"/>
      <c r="V2514" s="405"/>
      <c r="W2514" s="405"/>
      <c r="X2514" s="405"/>
      <c r="Y2514" s="405"/>
      <c r="Z2514" s="405"/>
      <c r="AA2514" s="405"/>
      <c r="AB2514" s="405"/>
    </row>
    <row r="2515" ht="14.25" customHeight="1">
      <c r="A2515" s="405"/>
      <c r="B2515" s="405"/>
      <c r="C2515" s="405"/>
      <c r="D2515" s="405"/>
      <c r="E2515" s="405"/>
      <c r="F2515" s="583"/>
      <c r="G2515" s="583"/>
      <c r="H2515" s="405"/>
      <c r="I2515" s="405"/>
      <c r="J2515" s="405"/>
      <c r="K2515" s="405"/>
      <c r="L2515" s="405"/>
      <c r="M2515" s="405"/>
      <c r="N2515" s="405"/>
      <c r="O2515" s="405"/>
      <c r="P2515" s="405"/>
      <c r="Q2515" s="405"/>
      <c r="R2515" s="405"/>
      <c r="S2515" s="405"/>
      <c r="T2515" s="405"/>
      <c r="U2515" s="405"/>
      <c r="V2515" s="405"/>
      <c r="W2515" s="405"/>
      <c r="X2515" s="405"/>
      <c r="Y2515" s="405"/>
      <c r="Z2515" s="405"/>
      <c r="AA2515" s="405"/>
      <c r="AB2515" s="405"/>
    </row>
    <row r="2516" ht="14.25" customHeight="1">
      <c r="A2516" s="405"/>
      <c r="B2516" s="405"/>
      <c r="C2516" s="405"/>
      <c r="D2516" s="405"/>
      <c r="E2516" s="405"/>
      <c r="F2516" s="583"/>
      <c r="G2516" s="583"/>
      <c r="H2516" s="405"/>
      <c r="I2516" s="405"/>
      <c r="J2516" s="405"/>
      <c r="K2516" s="405"/>
      <c r="L2516" s="405"/>
      <c r="M2516" s="405"/>
      <c r="N2516" s="405"/>
      <c r="O2516" s="405"/>
      <c r="P2516" s="405"/>
      <c r="Q2516" s="405"/>
      <c r="R2516" s="405"/>
      <c r="S2516" s="405"/>
      <c r="T2516" s="405"/>
      <c r="U2516" s="405"/>
      <c r="V2516" s="405"/>
      <c r="W2516" s="405"/>
      <c r="X2516" s="405"/>
      <c r="Y2516" s="405"/>
      <c r="Z2516" s="405"/>
      <c r="AA2516" s="405"/>
      <c r="AB2516" s="405"/>
    </row>
    <row r="2517" ht="14.25" customHeight="1">
      <c r="A2517" s="405"/>
      <c r="B2517" s="405"/>
      <c r="C2517" s="405"/>
      <c r="D2517" s="405"/>
      <c r="E2517" s="405"/>
      <c r="F2517" s="583"/>
      <c r="G2517" s="583"/>
      <c r="H2517" s="405"/>
      <c r="I2517" s="405"/>
      <c r="J2517" s="405"/>
      <c r="K2517" s="405"/>
      <c r="L2517" s="405"/>
      <c r="M2517" s="405"/>
      <c r="N2517" s="405"/>
      <c r="O2517" s="405"/>
      <c r="P2517" s="405"/>
      <c r="Q2517" s="405"/>
      <c r="R2517" s="405"/>
      <c r="S2517" s="405"/>
      <c r="T2517" s="405"/>
      <c r="U2517" s="405"/>
      <c r="V2517" s="405"/>
      <c r="W2517" s="405"/>
      <c r="X2517" s="405"/>
      <c r="Y2517" s="405"/>
      <c r="Z2517" s="405"/>
      <c r="AA2517" s="405"/>
      <c r="AB2517" s="405"/>
    </row>
    <row r="2518" ht="14.25" customHeight="1">
      <c r="A2518" s="405"/>
      <c r="B2518" s="405"/>
      <c r="C2518" s="405"/>
      <c r="D2518" s="405"/>
      <c r="E2518" s="405"/>
      <c r="F2518" s="583"/>
      <c r="G2518" s="583"/>
      <c r="H2518" s="405"/>
      <c r="I2518" s="405"/>
      <c r="J2518" s="405"/>
      <c r="K2518" s="405"/>
      <c r="L2518" s="405"/>
      <c r="M2518" s="405"/>
      <c r="N2518" s="405"/>
      <c r="O2518" s="405"/>
      <c r="P2518" s="405"/>
      <c r="Q2518" s="405"/>
      <c r="R2518" s="405"/>
      <c r="S2518" s="405"/>
      <c r="T2518" s="405"/>
      <c r="U2518" s="405"/>
      <c r="V2518" s="405"/>
      <c r="W2518" s="405"/>
      <c r="X2518" s="405"/>
      <c r="Y2518" s="405"/>
      <c r="Z2518" s="405"/>
      <c r="AA2518" s="405"/>
      <c r="AB2518" s="405"/>
    </row>
    <row r="2519" ht="14.25" customHeight="1">
      <c r="A2519" s="405"/>
      <c r="B2519" s="405"/>
      <c r="C2519" s="405"/>
      <c r="D2519" s="405"/>
      <c r="E2519" s="405"/>
      <c r="F2519" s="583"/>
      <c r="G2519" s="583"/>
      <c r="H2519" s="405"/>
      <c r="I2519" s="405"/>
      <c r="J2519" s="405"/>
      <c r="K2519" s="405"/>
      <c r="L2519" s="405"/>
      <c r="M2519" s="405"/>
      <c r="N2519" s="405"/>
      <c r="O2519" s="405"/>
      <c r="P2519" s="405"/>
      <c r="Q2519" s="405"/>
      <c r="R2519" s="405"/>
      <c r="S2519" s="405"/>
      <c r="T2519" s="405"/>
      <c r="U2519" s="405"/>
      <c r="V2519" s="405"/>
      <c r="W2519" s="405"/>
      <c r="X2519" s="405"/>
      <c r="Y2519" s="405"/>
      <c r="Z2519" s="405"/>
      <c r="AA2519" s="405"/>
      <c r="AB2519" s="405"/>
    </row>
    <row r="2520" ht="14.25" customHeight="1">
      <c r="A2520" s="405"/>
      <c r="B2520" s="405"/>
      <c r="C2520" s="405"/>
      <c r="D2520" s="405"/>
      <c r="E2520" s="405"/>
      <c r="F2520" s="583"/>
      <c r="G2520" s="583"/>
      <c r="H2520" s="405"/>
      <c r="I2520" s="405"/>
      <c r="J2520" s="405"/>
      <c r="K2520" s="405"/>
      <c r="L2520" s="405"/>
      <c r="M2520" s="405"/>
      <c r="N2520" s="405"/>
      <c r="O2520" s="405"/>
      <c r="P2520" s="405"/>
      <c r="Q2520" s="405"/>
      <c r="R2520" s="405"/>
      <c r="S2520" s="405"/>
      <c r="T2520" s="405"/>
      <c r="U2520" s="405"/>
      <c r="V2520" s="405"/>
      <c r="W2520" s="405"/>
      <c r="X2520" s="405"/>
      <c r="Y2520" s="405"/>
      <c r="Z2520" s="405"/>
      <c r="AA2520" s="405"/>
      <c r="AB2520" s="405"/>
    </row>
    <row r="2521" ht="14.25" customHeight="1">
      <c r="A2521" s="405"/>
      <c r="B2521" s="405"/>
      <c r="C2521" s="405"/>
      <c r="D2521" s="405"/>
      <c r="E2521" s="405"/>
      <c r="F2521" s="583"/>
      <c r="G2521" s="583"/>
      <c r="H2521" s="405"/>
      <c r="I2521" s="405"/>
      <c r="J2521" s="405"/>
      <c r="K2521" s="405"/>
      <c r="L2521" s="405"/>
      <c r="M2521" s="405"/>
      <c r="N2521" s="405"/>
      <c r="O2521" s="405"/>
      <c r="P2521" s="405"/>
      <c r="Q2521" s="405"/>
      <c r="R2521" s="405"/>
      <c r="S2521" s="405"/>
      <c r="T2521" s="405"/>
      <c r="U2521" s="405"/>
      <c r="V2521" s="405"/>
      <c r="W2521" s="405"/>
      <c r="X2521" s="405"/>
      <c r="Y2521" s="405"/>
      <c r="Z2521" s="405"/>
      <c r="AA2521" s="405"/>
      <c r="AB2521" s="405"/>
    </row>
    <row r="2522" ht="14.25" customHeight="1">
      <c r="A2522" s="405"/>
      <c r="B2522" s="405"/>
      <c r="C2522" s="405"/>
      <c r="D2522" s="405"/>
      <c r="E2522" s="405"/>
      <c r="F2522" s="583"/>
      <c r="G2522" s="583"/>
      <c r="H2522" s="405"/>
      <c r="I2522" s="405"/>
      <c r="J2522" s="405"/>
      <c r="K2522" s="405"/>
      <c r="L2522" s="405"/>
      <c r="M2522" s="405"/>
      <c r="N2522" s="405"/>
      <c r="O2522" s="405"/>
      <c r="P2522" s="405"/>
      <c r="Q2522" s="405"/>
      <c r="R2522" s="405"/>
      <c r="S2522" s="405"/>
      <c r="T2522" s="405"/>
      <c r="U2522" s="405"/>
      <c r="V2522" s="405"/>
      <c r="W2522" s="405"/>
      <c r="X2522" s="405"/>
      <c r="Y2522" s="405"/>
      <c r="Z2522" s="405"/>
      <c r="AA2522" s="405"/>
      <c r="AB2522" s="405"/>
    </row>
    <row r="2523" ht="14.25" customHeight="1">
      <c r="A2523" s="405"/>
      <c r="B2523" s="405"/>
      <c r="C2523" s="405"/>
      <c r="D2523" s="405"/>
      <c r="E2523" s="405"/>
      <c r="F2523" s="583"/>
      <c r="G2523" s="583"/>
      <c r="H2523" s="405"/>
      <c r="I2523" s="405"/>
      <c r="J2523" s="405"/>
      <c r="K2523" s="405"/>
      <c r="L2523" s="405"/>
      <c r="M2523" s="405"/>
      <c r="N2523" s="405"/>
      <c r="O2523" s="405"/>
      <c r="P2523" s="405"/>
      <c r="Q2523" s="405"/>
      <c r="R2523" s="405"/>
      <c r="S2523" s="405"/>
      <c r="T2523" s="405"/>
      <c r="U2523" s="405"/>
      <c r="V2523" s="405"/>
      <c r="W2523" s="405"/>
      <c r="X2523" s="405"/>
      <c r="Y2523" s="405"/>
      <c r="Z2523" s="405"/>
      <c r="AA2523" s="405"/>
      <c r="AB2523" s="405"/>
    </row>
    <row r="2524" ht="14.25" customHeight="1">
      <c r="A2524" s="405"/>
      <c r="B2524" s="405"/>
      <c r="C2524" s="405"/>
      <c r="D2524" s="405"/>
      <c r="E2524" s="405"/>
      <c r="F2524" s="583"/>
      <c r="G2524" s="583"/>
      <c r="H2524" s="405"/>
      <c r="I2524" s="405"/>
      <c r="J2524" s="405"/>
      <c r="K2524" s="405"/>
      <c r="L2524" s="405"/>
      <c r="M2524" s="405"/>
      <c r="N2524" s="405"/>
      <c r="O2524" s="405"/>
      <c r="P2524" s="405"/>
      <c r="Q2524" s="405"/>
      <c r="R2524" s="405"/>
      <c r="S2524" s="405"/>
      <c r="T2524" s="405"/>
      <c r="U2524" s="405"/>
      <c r="V2524" s="405"/>
      <c r="W2524" s="405"/>
      <c r="X2524" s="405"/>
      <c r="Y2524" s="405"/>
      <c r="Z2524" s="405"/>
      <c r="AA2524" s="405"/>
      <c r="AB2524" s="405"/>
    </row>
    <row r="2525" ht="14.25" customHeight="1">
      <c r="A2525" s="405"/>
      <c r="B2525" s="405"/>
      <c r="C2525" s="405"/>
      <c r="D2525" s="405"/>
      <c r="E2525" s="405"/>
      <c r="F2525" s="583"/>
      <c r="G2525" s="583"/>
      <c r="H2525" s="405"/>
      <c r="I2525" s="405"/>
      <c r="J2525" s="405"/>
      <c r="K2525" s="405"/>
      <c r="L2525" s="405"/>
      <c r="M2525" s="405"/>
      <c r="N2525" s="405"/>
      <c r="O2525" s="405"/>
      <c r="P2525" s="405"/>
      <c r="Q2525" s="405"/>
      <c r="R2525" s="405"/>
      <c r="S2525" s="405"/>
      <c r="T2525" s="405"/>
      <c r="U2525" s="405"/>
      <c r="V2525" s="405"/>
      <c r="W2525" s="405"/>
      <c r="X2525" s="405"/>
      <c r="Y2525" s="405"/>
      <c r="Z2525" s="405"/>
      <c r="AA2525" s="405"/>
      <c r="AB2525" s="405"/>
    </row>
    <row r="2526" ht="14.25" customHeight="1">
      <c r="A2526" s="405"/>
      <c r="B2526" s="405"/>
      <c r="C2526" s="405"/>
      <c r="D2526" s="405"/>
      <c r="E2526" s="405"/>
      <c r="F2526" s="583"/>
      <c r="G2526" s="583"/>
      <c r="H2526" s="405"/>
      <c r="I2526" s="405"/>
      <c r="J2526" s="405"/>
      <c r="K2526" s="405"/>
      <c r="L2526" s="405"/>
      <c r="M2526" s="405"/>
      <c r="N2526" s="405"/>
      <c r="O2526" s="405"/>
      <c r="P2526" s="405"/>
      <c r="Q2526" s="405"/>
      <c r="R2526" s="405"/>
      <c r="S2526" s="405"/>
      <c r="T2526" s="405"/>
      <c r="U2526" s="405"/>
      <c r="V2526" s="405"/>
      <c r="W2526" s="405"/>
      <c r="X2526" s="405"/>
      <c r="Y2526" s="405"/>
      <c r="Z2526" s="405"/>
      <c r="AA2526" s="405"/>
      <c r="AB2526" s="405"/>
    </row>
    <row r="2527" ht="14.25" customHeight="1">
      <c r="A2527" s="405"/>
      <c r="B2527" s="405"/>
      <c r="C2527" s="405"/>
      <c r="D2527" s="405"/>
      <c r="E2527" s="405"/>
      <c r="F2527" s="583"/>
      <c r="G2527" s="583"/>
      <c r="H2527" s="405"/>
      <c r="I2527" s="405"/>
      <c r="J2527" s="405"/>
      <c r="K2527" s="405"/>
      <c r="L2527" s="405"/>
      <c r="M2527" s="405"/>
      <c r="N2527" s="405"/>
      <c r="O2527" s="405"/>
      <c r="P2527" s="405"/>
      <c r="Q2527" s="405"/>
      <c r="R2527" s="405"/>
      <c r="S2527" s="405"/>
      <c r="T2527" s="405"/>
      <c r="U2527" s="405"/>
      <c r="V2527" s="405"/>
      <c r="W2527" s="405"/>
      <c r="X2527" s="405"/>
      <c r="Y2527" s="405"/>
      <c r="Z2527" s="405"/>
      <c r="AA2527" s="405"/>
      <c r="AB2527" s="405"/>
    </row>
    <row r="2528" ht="14.25" customHeight="1">
      <c r="A2528" s="405"/>
      <c r="B2528" s="405"/>
      <c r="C2528" s="405"/>
      <c r="D2528" s="405"/>
      <c r="E2528" s="405"/>
      <c r="F2528" s="583"/>
      <c r="G2528" s="583"/>
      <c r="H2528" s="405"/>
      <c r="I2528" s="405"/>
      <c r="J2528" s="405"/>
      <c r="K2528" s="405"/>
      <c r="L2528" s="405"/>
      <c r="M2528" s="405"/>
      <c r="N2528" s="405"/>
      <c r="O2528" s="405"/>
      <c r="P2528" s="405"/>
      <c r="Q2528" s="405"/>
      <c r="R2528" s="405"/>
      <c r="S2528" s="405"/>
      <c r="T2528" s="405"/>
      <c r="U2528" s="405"/>
      <c r="V2528" s="405"/>
      <c r="W2528" s="405"/>
      <c r="X2528" s="405"/>
      <c r="Y2528" s="405"/>
      <c r="Z2528" s="405"/>
      <c r="AA2528" s="405"/>
      <c r="AB2528" s="405"/>
    </row>
    <row r="2529" ht="14.25" customHeight="1">
      <c r="A2529" s="405"/>
      <c r="B2529" s="405"/>
      <c r="C2529" s="405"/>
      <c r="D2529" s="405"/>
      <c r="E2529" s="405"/>
      <c r="F2529" s="583"/>
      <c r="G2529" s="583"/>
      <c r="H2529" s="405"/>
      <c r="I2529" s="405"/>
      <c r="J2529" s="405"/>
      <c r="K2529" s="405"/>
      <c r="L2529" s="405"/>
      <c r="M2529" s="405"/>
      <c r="N2529" s="405"/>
      <c r="O2529" s="405"/>
      <c r="P2529" s="405"/>
      <c r="Q2529" s="405"/>
      <c r="R2529" s="405"/>
      <c r="S2529" s="405"/>
      <c r="T2529" s="405"/>
      <c r="U2529" s="405"/>
      <c r="V2529" s="405"/>
      <c r="W2529" s="405"/>
      <c r="X2529" s="405"/>
      <c r="Y2529" s="405"/>
      <c r="Z2529" s="405"/>
      <c r="AA2529" s="405"/>
      <c r="AB2529" s="405"/>
    </row>
    <row r="2530" ht="14.25" customHeight="1">
      <c r="A2530" s="405"/>
      <c r="B2530" s="405"/>
      <c r="C2530" s="405"/>
      <c r="D2530" s="405"/>
      <c r="E2530" s="405"/>
      <c r="F2530" s="583"/>
      <c r="G2530" s="583"/>
      <c r="H2530" s="405"/>
      <c r="I2530" s="405"/>
      <c r="J2530" s="405"/>
      <c r="K2530" s="405"/>
      <c r="L2530" s="405"/>
      <c r="M2530" s="405"/>
      <c r="N2530" s="405"/>
      <c r="O2530" s="405"/>
      <c r="P2530" s="405"/>
      <c r="Q2530" s="405"/>
      <c r="R2530" s="405"/>
      <c r="S2530" s="405"/>
      <c r="T2530" s="405"/>
      <c r="U2530" s="405"/>
      <c r="V2530" s="405"/>
      <c r="W2530" s="405"/>
      <c r="X2530" s="405"/>
      <c r="Y2530" s="405"/>
      <c r="Z2530" s="405"/>
      <c r="AA2530" s="405"/>
      <c r="AB2530" s="405"/>
    </row>
    <row r="2531" ht="14.25" customHeight="1">
      <c r="A2531" s="405"/>
      <c r="B2531" s="405"/>
      <c r="C2531" s="405"/>
      <c r="D2531" s="405"/>
      <c r="E2531" s="405"/>
      <c r="F2531" s="583"/>
      <c r="G2531" s="583"/>
      <c r="H2531" s="405"/>
      <c r="I2531" s="405"/>
      <c r="J2531" s="405"/>
      <c r="K2531" s="405"/>
      <c r="L2531" s="405"/>
      <c r="M2531" s="405"/>
      <c r="N2531" s="405"/>
      <c r="O2531" s="405"/>
      <c r="P2531" s="405"/>
      <c r="Q2531" s="405"/>
      <c r="R2531" s="405"/>
      <c r="S2531" s="405"/>
      <c r="T2531" s="405"/>
      <c r="U2531" s="405"/>
      <c r="V2531" s="405"/>
      <c r="W2531" s="405"/>
      <c r="X2531" s="405"/>
      <c r="Y2531" s="405"/>
      <c r="Z2531" s="405"/>
      <c r="AA2531" s="405"/>
      <c r="AB2531" s="405"/>
    </row>
    <row r="2532" ht="14.25" customHeight="1">
      <c r="A2532" s="405"/>
      <c r="B2532" s="405"/>
      <c r="C2532" s="405"/>
      <c r="D2532" s="405"/>
      <c r="E2532" s="405"/>
      <c r="F2532" s="583"/>
      <c r="G2532" s="583"/>
      <c r="H2532" s="405"/>
      <c r="I2532" s="405"/>
      <c r="J2532" s="405"/>
      <c r="K2532" s="405"/>
      <c r="L2532" s="405"/>
      <c r="M2532" s="405"/>
      <c r="N2532" s="405"/>
      <c r="O2532" s="405"/>
      <c r="P2532" s="405"/>
      <c r="Q2532" s="405"/>
      <c r="R2532" s="405"/>
      <c r="S2532" s="405"/>
      <c r="T2532" s="405"/>
      <c r="U2532" s="405"/>
      <c r="V2532" s="405"/>
      <c r="W2532" s="405"/>
      <c r="X2532" s="405"/>
      <c r="Y2532" s="405"/>
      <c r="Z2532" s="405"/>
      <c r="AA2532" s="405"/>
      <c r="AB2532" s="405"/>
    </row>
    <row r="2533" ht="14.25" customHeight="1">
      <c r="A2533" s="405"/>
      <c r="B2533" s="405"/>
      <c r="C2533" s="405"/>
      <c r="D2533" s="405"/>
      <c r="E2533" s="405"/>
      <c r="F2533" s="583"/>
      <c r="G2533" s="583"/>
      <c r="H2533" s="405"/>
      <c r="I2533" s="405"/>
      <c r="J2533" s="405"/>
      <c r="K2533" s="405"/>
      <c r="L2533" s="405"/>
      <c r="M2533" s="405"/>
      <c r="N2533" s="405"/>
      <c r="O2533" s="405"/>
      <c r="P2533" s="405"/>
      <c r="Q2533" s="405"/>
      <c r="R2533" s="405"/>
      <c r="S2533" s="405"/>
      <c r="T2533" s="405"/>
      <c r="U2533" s="405"/>
      <c r="V2533" s="405"/>
      <c r="W2533" s="405"/>
      <c r="X2533" s="405"/>
      <c r="Y2533" s="405"/>
      <c r="Z2533" s="405"/>
      <c r="AA2533" s="405"/>
      <c r="AB2533" s="405"/>
    </row>
    <row r="2534" ht="14.25" customHeight="1">
      <c r="A2534" s="405"/>
      <c r="B2534" s="405"/>
      <c r="C2534" s="405"/>
      <c r="D2534" s="405"/>
      <c r="E2534" s="405"/>
      <c r="F2534" s="583"/>
      <c r="G2534" s="583"/>
      <c r="H2534" s="405"/>
      <c r="I2534" s="405"/>
      <c r="J2534" s="405"/>
      <c r="K2534" s="405"/>
      <c r="L2534" s="405"/>
      <c r="M2534" s="405"/>
      <c r="N2534" s="405"/>
      <c r="O2534" s="405"/>
      <c r="P2534" s="405"/>
      <c r="Q2534" s="405"/>
      <c r="R2534" s="405"/>
      <c r="S2534" s="405"/>
      <c r="T2534" s="405"/>
      <c r="U2534" s="405"/>
      <c r="V2534" s="405"/>
      <c r="W2534" s="405"/>
      <c r="X2534" s="405"/>
      <c r="Y2534" s="405"/>
      <c r="Z2534" s="405"/>
      <c r="AA2534" s="405"/>
      <c r="AB2534" s="405"/>
    </row>
    <row r="2535" ht="14.25" customHeight="1">
      <c r="A2535" s="405"/>
      <c r="B2535" s="405"/>
      <c r="C2535" s="405"/>
      <c r="D2535" s="405"/>
      <c r="E2535" s="405"/>
      <c r="F2535" s="583"/>
      <c r="G2535" s="583"/>
      <c r="H2535" s="405"/>
      <c r="I2535" s="405"/>
      <c r="J2535" s="405"/>
      <c r="K2535" s="405"/>
      <c r="L2535" s="405"/>
      <c r="M2535" s="405"/>
      <c r="N2535" s="405"/>
      <c r="O2535" s="405"/>
      <c r="P2535" s="405"/>
      <c r="Q2535" s="405"/>
      <c r="R2535" s="405"/>
      <c r="S2535" s="405"/>
      <c r="T2535" s="405"/>
      <c r="U2535" s="405"/>
      <c r="V2535" s="405"/>
      <c r="W2535" s="405"/>
      <c r="X2535" s="405"/>
      <c r="Y2535" s="405"/>
      <c r="Z2535" s="405"/>
      <c r="AA2535" s="405"/>
      <c r="AB2535" s="405"/>
    </row>
    <row r="2536" ht="14.25" customHeight="1">
      <c r="A2536" s="405"/>
      <c r="B2536" s="405"/>
      <c r="C2536" s="405"/>
      <c r="D2536" s="405"/>
      <c r="E2536" s="405"/>
      <c r="F2536" s="583"/>
      <c r="G2536" s="583"/>
      <c r="H2536" s="405"/>
      <c r="I2536" s="405"/>
      <c r="J2536" s="405"/>
      <c r="K2536" s="405"/>
      <c r="L2536" s="405"/>
      <c r="M2536" s="405"/>
      <c r="N2536" s="405"/>
      <c r="O2536" s="405"/>
      <c r="P2536" s="405"/>
      <c r="Q2536" s="405"/>
      <c r="R2536" s="405"/>
      <c r="S2536" s="405"/>
      <c r="T2536" s="405"/>
      <c r="U2536" s="405"/>
      <c r="V2536" s="405"/>
      <c r="W2536" s="405"/>
      <c r="X2536" s="405"/>
      <c r="Y2536" s="405"/>
      <c r="Z2536" s="405"/>
      <c r="AA2536" s="405"/>
      <c r="AB2536" s="405"/>
    </row>
    <row r="2537" ht="14.25" customHeight="1">
      <c r="A2537" s="405"/>
      <c r="B2537" s="405"/>
      <c r="C2537" s="405"/>
      <c r="D2537" s="405"/>
      <c r="E2537" s="405"/>
      <c r="F2537" s="583"/>
      <c r="G2537" s="583"/>
      <c r="H2537" s="405"/>
      <c r="I2537" s="405"/>
      <c r="J2537" s="405"/>
      <c r="K2537" s="405"/>
      <c r="L2537" s="405"/>
      <c r="M2537" s="405"/>
      <c r="N2537" s="405"/>
      <c r="O2537" s="405"/>
      <c r="P2537" s="405"/>
      <c r="Q2537" s="405"/>
      <c r="R2537" s="405"/>
      <c r="S2537" s="405"/>
      <c r="T2537" s="405"/>
      <c r="U2537" s="405"/>
      <c r="V2537" s="405"/>
      <c r="W2537" s="405"/>
      <c r="X2537" s="405"/>
      <c r="Y2537" s="405"/>
      <c r="Z2537" s="405"/>
      <c r="AA2537" s="405"/>
      <c r="AB2537" s="405"/>
    </row>
    <row r="2538" ht="14.25" customHeight="1">
      <c r="A2538" s="405"/>
      <c r="B2538" s="405"/>
      <c r="C2538" s="405"/>
      <c r="D2538" s="405"/>
      <c r="E2538" s="405"/>
      <c r="F2538" s="583"/>
      <c r="G2538" s="583"/>
      <c r="H2538" s="405"/>
      <c r="I2538" s="405"/>
      <c r="J2538" s="405"/>
      <c r="K2538" s="405"/>
      <c r="L2538" s="405"/>
      <c r="M2538" s="405"/>
      <c r="N2538" s="405"/>
      <c r="O2538" s="405"/>
      <c r="P2538" s="405"/>
      <c r="Q2538" s="405"/>
      <c r="R2538" s="405"/>
      <c r="S2538" s="405"/>
      <c r="T2538" s="405"/>
      <c r="U2538" s="405"/>
      <c r="V2538" s="405"/>
      <c r="W2538" s="405"/>
      <c r="X2538" s="405"/>
      <c r="Y2538" s="405"/>
      <c r="Z2538" s="405"/>
      <c r="AA2538" s="405"/>
      <c r="AB2538" s="405"/>
    </row>
    <row r="2539" ht="14.25" customHeight="1">
      <c r="A2539" s="405"/>
      <c r="B2539" s="405"/>
      <c r="C2539" s="405"/>
      <c r="D2539" s="405"/>
      <c r="E2539" s="405"/>
      <c r="F2539" s="583"/>
      <c r="G2539" s="583"/>
      <c r="H2539" s="405"/>
      <c r="I2539" s="405"/>
      <c r="J2539" s="405"/>
      <c r="K2539" s="405"/>
      <c r="L2539" s="405"/>
      <c r="M2539" s="405"/>
      <c r="N2539" s="405"/>
      <c r="O2539" s="405"/>
      <c r="P2539" s="405"/>
      <c r="Q2539" s="405"/>
      <c r="R2539" s="405"/>
      <c r="S2539" s="405"/>
      <c r="T2539" s="405"/>
      <c r="U2539" s="405"/>
      <c r="V2539" s="405"/>
      <c r="W2539" s="405"/>
      <c r="X2539" s="405"/>
      <c r="Y2539" s="405"/>
      <c r="Z2539" s="405"/>
      <c r="AA2539" s="405"/>
      <c r="AB2539" s="405"/>
    </row>
    <row r="2540" ht="14.25" customHeight="1">
      <c r="A2540" s="405"/>
      <c r="B2540" s="405"/>
      <c r="C2540" s="405"/>
      <c r="D2540" s="405"/>
      <c r="E2540" s="405"/>
      <c r="F2540" s="583"/>
      <c r="G2540" s="583"/>
      <c r="H2540" s="405"/>
      <c r="I2540" s="405"/>
      <c r="J2540" s="405"/>
      <c r="K2540" s="405"/>
      <c r="L2540" s="405"/>
      <c r="M2540" s="405"/>
      <c r="N2540" s="405"/>
      <c r="O2540" s="405"/>
      <c r="P2540" s="405"/>
      <c r="Q2540" s="405"/>
      <c r="R2540" s="405"/>
      <c r="S2540" s="405"/>
      <c r="T2540" s="405"/>
      <c r="U2540" s="405"/>
      <c r="V2540" s="405"/>
      <c r="W2540" s="405"/>
      <c r="X2540" s="405"/>
      <c r="Y2540" s="405"/>
      <c r="Z2540" s="405"/>
      <c r="AA2540" s="405"/>
      <c r="AB2540" s="405"/>
    </row>
    <row r="2541" ht="14.25" customHeight="1">
      <c r="A2541" s="405"/>
      <c r="B2541" s="405"/>
      <c r="C2541" s="405"/>
      <c r="D2541" s="405"/>
      <c r="E2541" s="405"/>
      <c r="F2541" s="583"/>
      <c r="G2541" s="583"/>
      <c r="H2541" s="405"/>
      <c r="I2541" s="405"/>
      <c r="J2541" s="405"/>
      <c r="K2541" s="405"/>
      <c r="L2541" s="405"/>
      <c r="M2541" s="405"/>
      <c r="N2541" s="405"/>
      <c r="O2541" s="405"/>
      <c r="P2541" s="405"/>
      <c r="Q2541" s="405"/>
      <c r="R2541" s="405"/>
      <c r="S2541" s="405"/>
      <c r="T2541" s="405"/>
      <c r="U2541" s="405"/>
      <c r="V2541" s="405"/>
      <c r="W2541" s="405"/>
      <c r="X2541" s="405"/>
      <c r="Y2541" s="405"/>
      <c r="Z2541" s="405"/>
      <c r="AA2541" s="405"/>
      <c r="AB2541" s="405"/>
    </row>
    <row r="2542" ht="14.25" customHeight="1">
      <c r="A2542" s="405"/>
      <c r="B2542" s="405"/>
      <c r="C2542" s="405"/>
      <c r="D2542" s="405"/>
      <c r="E2542" s="405"/>
      <c r="F2542" s="583"/>
      <c r="G2542" s="583"/>
      <c r="H2542" s="405"/>
      <c r="I2542" s="405"/>
      <c r="J2542" s="405"/>
      <c r="K2542" s="405"/>
      <c r="L2542" s="405"/>
      <c r="M2542" s="405"/>
      <c r="N2542" s="405"/>
      <c r="O2542" s="405"/>
      <c r="P2542" s="405"/>
      <c r="Q2542" s="405"/>
      <c r="R2542" s="405"/>
      <c r="S2542" s="405"/>
      <c r="T2542" s="405"/>
      <c r="U2542" s="405"/>
      <c r="V2542" s="405"/>
      <c r="W2542" s="405"/>
      <c r="X2542" s="405"/>
      <c r="Y2542" s="405"/>
      <c r="Z2542" s="405"/>
      <c r="AA2542" s="405"/>
      <c r="AB2542" s="405"/>
    </row>
    <row r="2543" ht="14.25" customHeight="1">
      <c r="A2543" s="405"/>
      <c r="B2543" s="405"/>
      <c r="C2543" s="405"/>
      <c r="D2543" s="405"/>
      <c r="E2543" s="405"/>
      <c r="F2543" s="583"/>
      <c r="G2543" s="583"/>
      <c r="H2543" s="405"/>
      <c r="I2543" s="405"/>
      <c r="J2543" s="405"/>
      <c r="K2543" s="405"/>
      <c r="L2543" s="405"/>
      <c r="M2543" s="405"/>
      <c r="N2543" s="405"/>
      <c r="O2543" s="405"/>
      <c r="P2543" s="405"/>
      <c r="Q2543" s="405"/>
      <c r="R2543" s="405"/>
      <c r="S2543" s="405"/>
      <c r="T2543" s="405"/>
      <c r="U2543" s="405"/>
      <c r="V2543" s="405"/>
      <c r="W2543" s="405"/>
      <c r="X2543" s="405"/>
      <c r="Y2543" s="405"/>
      <c r="Z2543" s="405"/>
      <c r="AA2543" s="405"/>
      <c r="AB2543" s="405"/>
    </row>
    <row r="2544" ht="14.25" customHeight="1">
      <c r="A2544" s="405"/>
      <c r="B2544" s="405"/>
      <c r="C2544" s="405"/>
      <c r="D2544" s="405"/>
      <c r="E2544" s="405"/>
      <c r="F2544" s="583"/>
      <c r="G2544" s="583"/>
      <c r="H2544" s="405"/>
      <c r="I2544" s="405"/>
      <c r="J2544" s="405"/>
      <c r="K2544" s="405"/>
      <c r="L2544" s="405"/>
      <c r="M2544" s="405"/>
      <c r="N2544" s="405"/>
      <c r="O2544" s="405"/>
      <c r="P2544" s="405"/>
      <c r="Q2544" s="405"/>
      <c r="R2544" s="405"/>
      <c r="S2544" s="405"/>
      <c r="T2544" s="405"/>
      <c r="U2544" s="405"/>
      <c r="V2544" s="405"/>
      <c r="W2544" s="405"/>
      <c r="X2544" s="405"/>
      <c r="Y2544" s="405"/>
      <c r="Z2544" s="405"/>
      <c r="AA2544" s="405"/>
      <c r="AB2544" s="405"/>
    </row>
    <row r="2545" ht="14.25" customHeight="1">
      <c r="A2545" s="405"/>
      <c r="B2545" s="405"/>
      <c r="C2545" s="405"/>
      <c r="D2545" s="405"/>
      <c r="E2545" s="405"/>
      <c r="F2545" s="583"/>
      <c r="G2545" s="583"/>
      <c r="H2545" s="405"/>
      <c r="I2545" s="405"/>
      <c r="J2545" s="405"/>
      <c r="K2545" s="405"/>
      <c r="L2545" s="405"/>
      <c r="M2545" s="405"/>
      <c r="N2545" s="405"/>
      <c r="O2545" s="405"/>
      <c r="P2545" s="405"/>
      <c r="Q2545" s="405"/>
      <c r="R2545" s="405"/>
      <c r="S2545" s="405"/>
      <c r="T2545" s="405"/>
      <c r="U2545" s="405"/>
      <c r="V2545" s="405"/>
      <c r="W2545" s="405"/>
      <c r="X2545" s="405"/>
      <c r="Y2545" s="405"/>
      <c r="Z2545" s="405"/>
      <c r="AA2545" s="405"/>
      <c r="AB2545" s="405"/>
    </row>
    <row r="2546" ht="14.25" customHeight="1">
      <c r="A2546" s="405"/>
      <c r="B2546" s="405"/>
      <c r="C2546" s="405"/>
      <c r="D2546" s="405"/>
      <c r="E2546" s="405"/>
      <c r="F2546" s="583"/>
      <c r="G2546" s="583"/>
      <c r="H2546" s="405"/>
      <c r="I2546" s="405"/>
      <c r="J2546" s="405"/>
      <c r="K2546" s="405"/>
      <c r="L2546" s="405"/>
      <c r="M2546" s="405"/>
      <c r="N2546" s="405"/>
      <c r="O2546" s="405"/>
      <c r="P2546" s="405"/>
      <c r="Q2546" s="405"/>
      <c r="R2546" s="405"/>
      <c r="S2546" s="405"/>
      <c r="T2546" s="405"/>
      <c r="U2546" s="405"/>
      <c r="V2546" s="405"/>
      <c r="W2546" s="405"/>
      <c r="X2546" s="405"/>
      <c r="Y2546" s="405"/>
      <c r="Z2546" s="405"/>
      <c r="AA2546" s="405"/>
      <c r="AB2546" s="405"/>
    </row>
    <row r="2547" ht="14.25" customHeight="1">
      <c r="A2547" s="405"/>
      <c r="B2547" s="405"/>
      <c r="C2547" s="405"/>
      <c r="D2547" s="405"/>
      <c r="E2547" s="405"/>
      <c r="F2547" s="583"/>
      <c r="G2547" s="583"/>
      <c r="H2547" s="405"/>
      <c r="I2547" s="405"/>
      <c r="J2547" s="405"/>
      <c r="K2547" s="405"/>
      <c r="L2547" s="405"/>
      <c r="M2547" s="405"/>
      <c r="N2547" s="405"/>
      <c r="O2547" s="405"/>
      <c r="P2547" s="405"/>
      <c r="Q2547" s="405"/>
      <c r="R2547" s="405"/>
      <c r="S2547" s="405"/>
      <c r="T2547" s="405"/>
      <c r="U2547" s="405"/>
      <c r="V2547" s="405"/>
      <c r="W2547" s="405"/>
      <c r="X2547" s="405"/>
      <c r="Y2547" s="405"/>
      <c r="Z2547" s="405"/>
      <c r="AA2547" s="405"/>
      <c r="AB2547" s="405"/>
    </row>
    <row r="2548" ht="14.25" customHeight="1">
      <c r="A2548" s="405"/>
      <c r="B2548" s="405"/>
      <c r="C2548" s="405"/>
      <c r="D2548" s="405"/>
      <c r="E2548" s="405"/>
      <c r="F2548" s="583"/>
      <c r="G2548" s="583"/>
      <c r="H2548" s="405"/>
      <c r="I2548" s="405"/>
      <c r="J2548" s="405"/>
      <c r="K2548" s="405"/>
      <c r="L2548" s="405"/>
      <c r="M2548" s="405"/>
      <c r="N2548" s="405"/>
      <c r="O2548" s="405"/>
      <c r="P2548" s="405"/>
      <c r="Q2548" s="405"/>
      <c r="R2548" s="405"/>
      <c r="S2548" s="405"/>
      <c r="T2548" s="405"/>
      <c r="U2548" s="405"/>
      <c r="V2548" s="405"/>
      <c r="W2548" s="405"/>
      <c r="X2548" s="405"/>
      <c r="Y2548" s="405"/>
      <c r="Z2548" s="405"/>
      <c r="AA2548" s="405"/>
      <c r="AB2548" s="405"/>
    </row>
    <row r="2549" ht="14.25" customHeight="1">
      <c r="A2549" s="405"/>
      <c r="B2549" s="405"/>
      <c r="C2549" s="405"/>
      <c r="D2549" s="405"/>
      <c r="E2549" s="405"/>
      <c r="F2549" s="583"/>
      <c r="G2549" s="583"/>
      <c r="H2549" s="405"/>
      <c r="I2549" s="405"/>
      <c r="J2549" s="405"/>
      <c r="K2549" s="405"/>
      <c r="L2549" s="405"/>
      <c r="M2549" s="405"/>
      <c r="N2549" s="405"/>
      <c r="O2549" s="405"/>
      <c r="P2549" s="405"/>
      <c r="Q2549" s="405"/>
      <c r="R2549" s="405"/>
      <c r="S2549" s="405"/>
      <c r="T2549" s="405"/>
      <c r="U2549" s="405"/>
      <c r="V2549" s="405"/>
      <c r="W2549" s="405"/>
      <c r="X2549" s="405"/>
      <c r="Y2549" s="405"/>
      <c r="Z2549" s="405"/>
      <c r="AA2549" s="405"/>
      <c r="AB2549" s="405"/>
    </row>
    <row r="2550" ht="14.25" customHeight="1">
      <c r="A2550" s="405"/>
      <c r="B2550" s="405"/>
      <c r="C2550" s="405"/>
      <c r="D2550" s="405"/>
      <c r="E2550" s="405"/>
      <c r="F2550" s="583"/>
      <c r="G2550" s="583"/>
      <c r="H2550" s="405"/>
      <c r="I2550" s="405"/>
      <c r="J2550" s="405"/>
      <c r="K2550" s="405"/>
      <c r="L2550" s="405"/>
      <c r="M2550" s="405"/>
      <c r="N2550" s="405"/>
      <c r="O2550" s="405"/>
      <c r="P2550" s="405"/>
      <c r="Q2550" s="405"/>
      <c r="R2550" s="405"/>
      <c r="S2550" s="405"/>
      <c r="T2550" s="405"/>
      <c r="U2550" s="405"/>
      <c r="V2550" s="405"/>
      <c r="W2550" s="405"/>
      <c r="X2550" s="405"/>
      <c r="Y2550" s="405"/>
      <c r="Z2550" s="405"/>
      <c r="AA2550" s="405"/>
      <c r="AB2550" s="405"/>
    </row>
    <row r="2551" ht="14.25" customHeight="1">
      <c r="A2551" s="405"/>
      <c r="B2551" s="405"/>
      <c r="C2551" s="405"/>
      <c r="D2551" s="405"/>
      <c r="E2551" s="405"/>
      <c r="F2551" s="583"/>
      <c r="G2551" s="583"/>
      <c r="H2551" s="405"/>
      <c r="I2551" s="405"/>
      <c r="J2551" s="405"/>
      <c r="K2551" s="405"/>
      <c r="L2551" s="405"/>
      <c r="M2551" s="405"/>
      <c r="N2551" s="405"/>
      <c r="O2551" s="405"/>
      <c r="P2551" s="405"/>
      <c r="Q2551" s="405"/>
      <c r="R2551" s="405"/>
      <c r="S2551" s="405"/>
      <c r="T2551" s="405"/>
      <c r="U2551" s="405"/>
      <c r="V2551" s="405"/>
      <c r="W2551" s="405"/>
      <c r="X2551" s="405"/>
      <c r="Y2551" s="405"/>
      <c r="Z2551" s="405"/>
      <c r="AA2551" s="405"/>
      <c r="AB2551" s="405"/>
    </row>
    <row r="2552" ht="14.25" customHeight="1">
      <c r="A2552" s="405"/>
      <c r="B2552" s="405"/>
      <c r="C2552" s="405"/>
      <c r="D2552" s="405"/>
      <c r="E2552" s="405"/>
      <c r="F2552" s="583"/>
      <c r="G2552" s="583"/>
      <c r="H2552" s="405"/>
      <c r="I2552" s="405"/>
      <c r="J2552" s="405"/>
      <c r="K2552" s="405"/>
      <c r="L2552" s="405"/>
      <c r="M2552" s="405"/>
      <c r="N2552" s="405"/>
      <c r="O2552" s="405"/>
      <c r="P2552" s="405"/>
      <c r="Q2552" s="405"/>
      <c r="R2552" s="405"/>
      <c r="S2552" s="405"/>
      <c r="T2552" s="405"/>
      <c r="U2552" s="405"/>
      <c r="V2552" s="405"/>
      <c r="W2552" s="405"/>
      <c r="X2552" s="405"/>
      <c r="Y2552" s="405"/>
      <c r="Z2552" s="405"/>
      <c r="AA2552" s="405"/>
      <c r="AB2552" s="405"/>
    </row>
    <row r="2553" ht="14.25" customHeight="1">
      <c r="A2553" s="405"/>
      <c r="B2553" s="405"/>
      <c r="C2553" s="405"/>
      <c r="D2553" s="405"/>
      <c r="E2553" s="405"/>
      <c r="F2553" s="583"/>
      <c r="G2553" s="583"/>
      <c r="H2553" s="405"/>
      <c r="I2553" s="405"/>
      <c r="J2553" s="405"/>
      <c r="K2553" s="405"/>
      <c r="L2553" s="405"/>
      <c r="M2553" s="405"/>
      <c r="N2553" s="405"/>
      <c r="O2553" s="405"/>
      <c r="P2553" s="405"/>
      <c r="Q2553" s="405"/>
      <c r="R2553" s="405"/>
      <c r="S2553" s="405"/>
      <c r="T2553" s="405"/>
      <c r="U2553" s="405"/>
      <c r="V2553" s="405"/>
      <c r="W2553" s="405"/>
      <c r="X2553" s="405"/>
      <c r="Y2553" s="405"/>
      <c r="Z2553" s="405"/>
      <c r="AA2553" s="405"/>
      <c r="AB2553" s="405"/>
    </row>
    <row r="2554" ht="14.25" customHeight="1">
      <c r="A2554" s="405"/>
      <c r="B2554" s="405"/>
      <c r="C2554" s="405"/>
      <c r="D2554" s="405"/>
      <c r="E2554" s="405"/>
      <c r="F2554" s="583"/>
      <c r="G2554" s="583"/>
      <c r="H2554" s="405"/>
      <c r="I2554" s="405"/>
      <c r="J2554" s="405"/>
      <c r="K2554" s="405"/>
      <c r="L2554" s="405"/>
      <c r="M2554" s="405"/>
      <c r="N2554" s="405"/>
      <c r="O2554" s="405"/>
      <c r="P2554" s="405"/>
      <c r="Q2554" s="405"/>
      <c r="R2554" s="405"/>
      <c r="S2554" s="405"/>
      <c r="T2554" s="405"/>
      <c r="U2554" s="405"/>
      <c r="V2554" s="405"/>
      <c r="W2554" s="405"/>
      <c r="X2554" s="405"/>
      <c r="Y2554" s="405"/>
      <c r="Z2554" s="405"/>
      <c r="AA2554" s="405"/>
      <c r="AB2554" s="405"/>
    </row>
    <row r="2555" ht="14.25" customHeight="1">
      <c r="A2555" s="405"/>
      <c r="B2555" s="405"/>
      <c r="C2555" s="405"/>
      <c r="D2555" s="405"/>
      <c r="E2555" s="405"/>
      <c r="F2555" s="583"/>
      <c r="G2555" s="583"/>
      <c r="H2555" s="405"/>
      <c r="I2555" s="405"/>
      <c r="J2555" s="405"/>
      <c r="K2555" s="405"/>
      <c r="L2555" s="405"/>
      <c r="M2555" s="405"/>
      <c r="N2555" s="405"/>
      <c r="O2555" s="405"/>
      <c r="P2555" s="405"/>
      <c r="Q2555" s="405"/>
      <c r="R2555" s="405"/>
      <c r="S2555" s="405"/>
      <c r="T2555" s="405"/>
      <c r="U2555" s="405"/>
      <c r="V2555" s="405"/>
      <c r="W2555" s="405"/>
      <c r="X2555" s="405"/>
      <c r="Y2555" s="405"/>
      <c r="Z2555" s="405"/>
      <c r="AA2555" s="405"/>
      <c r="AB2555" s="405"/>
    </row>
    <row r="2556" ht="14.25" customHeight="1">
      <c r="A2556" s="405"/>
      <c r="B2556" s="405"/>
      <c r="C2556" s="405"/>
      <c r="D2556" s="405"/>
      <c r="E2556" s="405"/>
      <c r="F2556" s="583"/>
      <c r="G2556" s="583"/>
      <c r="H2556" s="405"/>
      <c r="I2556" s="405"/>
      <c r="J2556" s="405"/>
      <c r="K2556" s="405"/>
      <c r="L2556" s="405"/>
      <c r="M2556" s="405"/>
      <c r="N2556" s="405"/>
      <c r="O2556" s="405"/>
      <c r="P2556" s="405"/>
      <c r="Q2556" s="405"/>
      <c r="R2556" s="405"/>
      <c r="S2556" s="405"/>
      <c r="T2556" s="405"/>
      <c r="U2556" s="405"/>
      <c r="V2556" s="405"/>
      <c r="W2556" s="405"/>
      <c r="X2556" s="405"/>
      <c r="Y2556" s="405"/>
      <c r="Z2556" s="405"/>
      <c r="AA2556" s="405"/>
      <c r="AB2556" s="405"/>
    </row>
    <row r="2557" ht="14.25" customHeight="1">
      <c r="A2557" s="405"/>
      <c r="B2557" s="405"/>
      <c r="C2557" s="405"/>
      <c r="D2557" s="405"/>
      <c r="E2557" s="405"/>
      <c r="F2557" s="583"/>
      <c r="G2557" s="583"/>
      <c r="H2557" s="405"/>
      <c r="I2557" s="405"/>
      <c r="J2557" s="405"/>
      <c r="K2557" s="405"/>
      <c r="L2557" s="405"/>
      <c r="M2557" s="405"/>
      <c r="N2557" s="405"/>
      <c r="O2557" s="405"/>
      <c r="P2557" s="405"/>
      <c r="Q2557" s="405"/>
      <c r="R2557" s="405"/>
      <c r="S2557" s="405"/>
      <c r="T2557" s="405"/>
      <c r="U2557" s="405"/>
      <c r="V2557" s="405"/>
      <c r="W2557" s="405"/>
      <c r="X2557" s="405"/>
      <c r="Y2557" s="405"/>
      <c r="Z2557" s="405"/>
      <c r="AA2557" s="405"/>
      <c r="AB2557" s="405"/>
    </row>
    <row r="2558" ht="14.25" customHeight="1">
      <c r="A2558" s="405"/>
      <c r="B2558" s="405"/>
      <c r="C2558" s="405"/>
      <c r="D2558" s="405"/>
      <c r="E2558" s="405"/>
      <c r="F2558" s="583"/>
      <c r="G2558" s="583"/>
      <c r="H2558" s="405"/>
      <c r="I2558" s="405"/>
      <c r="J2558" s="405"/>
      <c r="K2558" s="405"/>
      <c r="L2558" s="405"/>
      <c r="M2558" s="405"/>
      <c r="N2558" s="405"/>
      <c r="O2558" s="405"/>
      <c r="P2558" s="405"/>
      <c r="Q2558" s="405"/>
      <c r="R2558" s="405"/>
      <c r="S2558" s="405"/>
      <c r="T2558" s="405"/>
      <c r="U2558" s="405"/>
      <c r="V2558" s="405"/>
      <c r="W2558" s="405"/>
      <c r="X2558" s="405"/>
      <c r="Y2558" s="405"/>
      <c r="Z2558" s="405"/>
      <c r="AA2558" s="405"/>
      <c r="AB2558" s="405"/>
    </row>
    <row r="2559" ht="14.25" customHeight="1">
      <c r="A2559" s="405"/>
      <c r="B2559" s="405"/>
      <c r="C2559" s="405"/>
      <c r="D2559" s="405"/>
      <c r="E2559" s="405"/>
      <c r="F2559" s="583"/>
      <c r="G2559" s="583"/>
      <c r="H2559" s="405"/>
      <c r="I2559" s="405"/>
      <c r="J2559" s="405"/>
      <c r="K2559" s="405"/>
      <c r="L2559" s="405"/>
      <c r="M2559" s="405"/>
      <c r="N2559" s="405"/>
      <c r="O2559" s="405"/>
      <c r="P2559" s="405"/>
      <c r="Q2559" s="405"/>
      <c r="R2559" s="405"/>
      <c r="S2559" s="405"/>
      <c r="T2559" s="405"/>
      <c r="U2559" s="405"/>
      <c r="V2559" s="405"/>
      <c r="W2559" s="405"/>
      <c r="X2559" s="405"/>
      <c r="Y2559" s="405"/>
      <c r="Z2559" s="405"/>
      <c r="AA2559" s="405"/>
      <c r="AB2559" s="405"/>
    </row>
    <row r="2560" ht="14.25" customHeight="1">
      <c r="A2560" s="405"/>
      <c r="B2560" s="405"/>
      <c r="C2560" s="405"/>
      <c r="D2560" s="405"/>
      <c r="E2560" s="405"/>
      <c r="F2560" s="583"/>
      <c r="G2560" s="583"/>
      <c r="H2560" s="405"/>
      <c r="I2560" s="405"/>
      <c r="J2560" s="405"/>
      <c r="K2560" s="405"/>
      <c r="L2560" s="405"/>
      <c r="M2560" s="405"/>
      <c r="N2560" s="405"/>
      <c r="O2560" s="405"/>
      <c r="P2560" s="405"/>
      <c r="Q2560" s="405"/>
      <c r="R2560" s="405"/>
      <c r="S2560" s="405"/>
      <c r="T2560" s="405"/>
      <c r="U2560" s="405"/>
      <c r="V2560" s="405"/>
      <c r="W2560" s="405"/>
      <c r="X2560" s="405"/>
      <c r="Y2560" s="405"/>
      <c r="Z2560" s="405"/>
      <c r="AA2560" s="405"/>
      <c r="AB2560" s="405"/>
    </row>
    <row r="2561" ht="14.25" customHeight="1">
      <c r="A2561" s="405"/>
      <c r="B2561" s="405"/>
      <c r="C2561" s="405"/>
      <c r="D2561" s="405"/>
      <c r="E2561" s="405"/>
      <c r="F2561" s="583"/>
      <c r="G2561" s="583"/>
      <c r="H2561" s="405"/>
      <c r="I2561" s="405"/>
      <c r="J2561" s="405"/>
      <c r="K2561" s="405"/>
      <c r="L2561" s="405"/>
      <c r="M2561" s="405"/>
      <c r="N2561" s="405"/>
      <c r="O2561" s="405"/>
      <c r="P2561" s="405"/>
      <c r="Q2561" s="405"/>
      <c r="R2561" s="405"/>
      <c r="S2561" s="405"/>
      <c r="T2561" s="405"/>
      <c r="U2561" s="405"/>
      <c r="V2561" s="405"/>
      <c r="W2561" s="405"/>
      <c r="X2561" s="405"/>
      <c r="Y2561" s="405"/>
      <c r="Z2561" s="405"/>
      <c r="AA2561" s="405"/>
      <c r="AB2561" s="405"/>
    </row>
    <row r="2562" ht="14.25" customHeight="1">
      <c r="A2562" s="405"/>
      <c r="B2562" s="405"/>
      <c r="C2562" s="405"/>
      <c r="D2562" s="405"/>
      <c r="E2562" s="405"/>
      <c r="F2562" s="583"/>
      <c r="G2562" s="583"/>
      <c r="H2562" s="405"/>
      <c r="I2562" s="405"/>
      <c r="J2562" s="405"/>
      <c r="K2562" s="405"/>
      <c r="L2562" s="405"/>
      <c r="M2562" s="405"/>
      <c r="N2562" s="405"/>
      <c r="O2562" s="405"/>
      <c r="P2562" s="405"/>
      <c r="Q2562" s="405"/>
      <c r="R2562" s="405"/>
      <c r="S2562" s="405"/>
      <c r="T2562" s="405"/>
      <c r="U2562" s="405"/>
      <c r="V2562" s="405"/>
      <c r="W2562" s="405"/>
      <c r="X2562" s="405"/>
      <c r="Y2562" s="405"/>
      <c r="Z2562" s="405"/>
      <c r="AA2562" s="405"/>
      <c r="AB2562" s="405"/>
    </row>
    <row r="2563" ht="14.25" customHeight="1">
      <c r="A2563" s="405"/>
      <c r="B2563" s="405"/>
      <c r="C2563" s="405"/>
      <c r="D2563" s="405"/>
      <c r="E2563" s="405"/>
      <c r="F2563" s="583"/>
      <c r="G2563" s="583"/>
      <c r="H2563" s="405"/>
      <c r="I2563" s="405"/>
      <c r="J2563" s="405"/>
      <c r="K2563" s="405"/>
      <c r="L2563" s="405"/>
      <c r="M2563" s="405"/>
      <c r="N2563" s="405"/>
      <c r="O2563" s="405"/>
      <c r="P2563" s="405"/>
      <c r="Q2563" s="405"/>
      <c r="R2563" s="405"/>
      <c r="S2563" s="405"/>
      <c r="T2563" s="405"/>
      <c r="U2563" s="405"/>
      <c r="V2563" s="405"/>
      <c r="W2563" s="405"/>
      <c r="X2563" s="405"/>
      <c r="Y2563" s="405"/>
      <c r="Z2563" s="405"/>
      <c r="AA2563" s="405"/>
      <c r="AB2563" s="405"/>
    </row>
    <row r="2564" ht="14.25" customHeight="1">
      <c r="A2564" s="405"/>
      <c r="B2564" s="405"/>
      <c r="C2564" s="405"/>
      <c r="D2564" s="405"/>
      <c r="E2564" s="405"/>
      <c r="F2564" s="583"/>
      <c r="G2564" s="583"/>
      <c r="H2564" s="405"/>
      <c r="I2564" s="405"/>
      <c r="J2564" s="405"/>
      <c r="K2564" s="405"/>
      <c r="L2564" s="405"/>
      <c r="M2564" s="405"/>
      <c r="N2564" s="405"/>
      <c r="O2564" s="405"/>
      <c r="P2564" s="405"/>
      <c r="Q2564" s="405"/>
      <c r="R2564" s="405"/>
      <c r="S2564" s="405"/>
      <c r="T2564" s="405"/>
      <c r="U2564" s="405"/>
      <c r="V2564" s="405"/>
      <c r="W2564" s="405"/>
      <c r="X2564" s="405"/>
      <c r="Y2564" s="405"/>
      <c r="Z2564" s="405"/>
      <c r="AA2564" s="405"/>
      <c r="AB2564" s="405"/>
    </row>
    <row r="2565" ht="14.25" customHeight="1">
      <c r="A2565" s="405"/>
      <c r="B2565" s="405"/>
      <c r="C2565" s="405"/>
      <c r="D2565" s="405"/>
      <c r="E2565" s="405"/>
      <c r="F2565" s="583"/>
      <c r="G2565" s="583"/>
      <c r="H2565" s="405"/>
      <c r="I2565" s="405"/>
      <c r="J2565" s="405"/>
      <c r="K2565" s="405"/>
      <c r="L2565" s="405"/>
      <c r="M2565" s="405"/>
      <c r="N2565" s="405"/>
      <c r="O2565" s="405"/>
      <c r="P2565" s="405"/>
      <c r="Q2565" s="405"/>
      <c r="R2565" s="405"/>
      <c r="S2565" s="405"/>
      <c r="T2565" s="405"/>
      <c r="U2565" s="405"/>
      <c r="V2565" s="405"/>
      <c r="W2565" s="405"/>
      <c r="X2565" s="405"/>
      <c r="Y2565" s="405"/>
      <c r="Z2565" s="405"/>
      <c r="AA2565" s="405"/>
      <c r="AB2565" s="405"/>
    </row>
    <row r="2566" ht="14.25" customHeight="1">
      <c r="A2566" s="405"/>
      <c r="B2566" s="405"/>
      <c r="C2566" s="405"/>
      <c r="D2566" s="405"/>
      <c r="E2566" s="405"/>
      <c r="F2566" s="583"/>
      <c r="G2566" s="583"/>
      <c r="H2566" s="405"/>
      <c r="I2566" s="405"/>
      <c r="J2566" s="405"/>
      <c r="K2566" s="405"/>
      <c r="L2566" s="405"/>
      <c r="M2566" s="405"/>
      <c r="N2566" s="405"/>
      <c r="O2566" s="405"/>
      <c r="P2566" s="405"/>
      <c r="Q2566" s="405"/>
      <c r="R2566" s="405"/>
      <c r="S2566" s="405"/>
      <c r="T2566" s="405"/>
      <c r="U2566" s="405"/>
      <c r="V2566" s="405"/>
      <c r="W2566" s="405"/>
      <c r="X2566" s="405"/>
      <c r="Y2566" s="405"/>
      <c r="Z2566" s="405"/>
      <c r="AA2566" s="405"/>
      <c r="AB2566" s="405"/>
    </row>
    <row r="2567" ht="14.25" customHeight="1">
      <c r="A2567" s="405"/>
      <c r="B2567" s="405"/>
      <c r="C2567" s="405"/>
      <c r="D2567" s="405"/>
      <c r="E2567" s="405"/>
      <c r="F2567" s="583"/>
      <c r="G2567" s="583"/>
      <c r="H2567" s="405"/>
      <c r="I2567" s="405"/>
      <c r="J2567" s="405"/>
      <c r="K2567" s="405"/>
      <c r="L2567" s="405"/>
      <c r="M2567" s="405"/>
      <c r="N2567" s="405"/>
      <c r="O2567" s="405"/>
      <c r="P2567" s="405"/>
      <c r="Q2567" s="405"/>
      <c r="R2567" s="405"/>
      <c r="S2567" s="405"/>
      <c r="T2567" s="405"/>
      <c r="U2567" s="405"/>
      <c r="V2567" s="405"/>
      <c r="W2567" s="405"/>
      <c r="X2567" s="405"/>
      <c r="Y2567" s="405"/>
      <c r="Z2567" s="405"/>
      <c r="AA2567" s="405"/>
      <c r="AB2567" s="405"/>
    </row>
    <row r="2568" ht="14.25" customHeight="1">
      <c r="A2568" s="405"/>
      <c r="B2568" s="405"/>
      <c r="C2568" s="405"/>
      <c r="D2568" s="405"/>
      <c r="E2568" s="405"/>
      <c r="F2568" s="583"/>
      <c r="G2568" s="583"/>
      <c r="H2568" s="405"/>
      <c r="I2568" s="405"/>
      <c r="J2568" s="405"/>
      <c r="K2568" s="405"/>
      <c r="L2568" s="405"/>
      <c r="M2568" s="405"/>
      <c r="N2568" s="405"/>
      <c r="O2568" s="405"/>
      <c r="P2568" s="405"/>
      <c r="Q2568" s="405"/>
      <c r="R2568" s="405"/>
      <c r="S2568" s="405"/>
      <c r="T2568" s="405"/>
      <c r="U2568" s="405"/>
      <c r="V2568" s="405"/>
      <c r="W2568" s="405"/>
      <c r="X2568" s="405"/>
      <c r="Y2568" s="405"/>
      <c r="Z2568" s="405"/>
      <c r="AA2568" s="405"/>
      <c r="AB2568" s="405"/>
    </row>
    <row r="2569" ht="14.25" customHeight="1">
      <c r="A2569" s="405"/>
      <c r="B2569" s="405"/>
      <c r="C2569" s="405"/>
      <c r="D2569" s="405"/>
      <c r="E2569" s="405"/>
      <c r="F2569" s="583"/>
      <c r="G2569" s="583"/>
      <c r="H2569" s="405"/>
      <c r="I2569" s="405"/>
      <c r="J2569" s="405"/>
      <c r="K2569" s="405"/>
      <c r="L2569" s="405"/>
      <c r="M2569" s="405"/>
      <c r="N2569" s="405"/>
      <c r="O2569" s="405"/>
      <c r="P2569" s="405"/>
      <c r="Q2569" s="405"/>
      <c r="R2569" s="405"/>
      <c r="S2569" s="405"/>
      <c r="T2569" s="405"/>
      <c r="U2569" s="405"/>
      <c r="V2569" s="405"/>
      <c r="W2569" s="405"/>
      <c r="X2569" s="405"/>
      <c r="Y2569" s="405"/>
      <c r="Z2569" s="405"/>
      <c r="AA2569" s="405"/>
      <c r="AB2569" s="405"/>
    </row>
    <row r="2570" ht="14.25" customHeight="1">
      <c r="A2570" s="405"/>
      <c r="B2570" s="405"/>
      <c r="C2570" s="405"/>
      <c r="D2570" s="405"/>
      <c r="E2570" s="405"/>
      <c r="F2570" s="583"/>
      <c r="G2570" s="583"/>
      <c r="H2570" s="405"/>
      <c r="I2570" s="405"/>
      <c r="J2570" s="405"/>
      <c r="K2570" s="405"/>
      <c r="L2570" s="405"/>
      <c r="M2570" s="405"/>
      <c r="N2570" s="405"/>
      <c r="O2570" s="405"/>
      <c r="P2570" s="405"/>
      <c r="Q2570" s="405"/>
      <c r="R2570" s="405"/>
      <c r="S2570" s="405"/>
      <c r="T2570" s="405"/>
      <c r="U2570" s="405"/>
      <c r="V2570" s="405"/>
      <c r="W2570" s="405"/>
      <c r="X2570" s="405"/>
      <c r="Y2570" s="405"/>
      <c r="Z2570" s="405"/>
      <c r="AA2570" s="405"/>
      <c r="AB2570" s="405"/>
    </row>
    <row r="2571" ht="14.25" customHeight="1">
      <c r="A2571" s="405"/>
      <c r="B2571" s="405"/>
      <c r="C2571" s="405"/>
      <c r="D2571" s="405"/>
      <c r="E2571" s="405"/>
      <c r="F2571" s="583"/>
      <c r="G2571" s="583"/>
      <c r="H2571" s="405"/>
      <c r="I2571" s="405"/>
      <c r="J2571" s="405"/>
      <c r="K2571" s="405"/>
      <c r="L2571" s="405"/>
      <c r="M2571" s="405"/>
      <c r="N2571" s="405"/>
      <c r="O2571" s="405"/>
      <c r="P2571" s="405"/>
      <c r="Q2571" s="405"/>
      <c r="R2571" s="405"/>
      <c r="S2571" s="405"/>
      <c r="T2571" s="405"/>
      <c r="U2571" s="405"/>
      <c r="V2571" s="405"/>
      <c r="W2571" s="405"/>
      <c r="X2571" s="405"/>
      <c r="Y2571" s="405"/>
      <c r="Z2571" s="405"/>
      <c r="AA2571" s="405"/>
      <c r="AB2571" s="405"/>
    </row>
    <row r="2572" ht="14.25" customHeight="1">
      <c r="A2572" s="405"/>
      <c r="B2572" s="405"/>
      <c r="C2572" s="405"/>
      <c r="D2572" s="405"/>
      <c r="E2572" s="405"/>
      <c r="F2572" s="583"/>
      <c r="G2572" s="583"/>
      <c r="H2572" s="405"/>
      <c r="I2572" s="405"/>
      <c r="J2572" s="405"/>
      <c r="K2572" s="405"/>
      <c r="L2572" s="405"/>
      <c r="M2572" s="405"/>
      <c r="N2572" s="405"/>
      <c r="O2572" s="405"/>
      <c r="P2572" s="405"/>
      <c r="Q2572" s="405"/>
      <c r="R2572" s="405"/>
      <c r="S2572" s="405"/>
      <c r="T2572" s="405"/>
      <c r="U2572" s="405"/>
      <c r="V2572" s="405"/>
      <c r="W2572" s="405"/>
      <c r="X2572" s="405"/>
      <c r="Y2572" s="405"/>
      <c r="Z2572" s="405"/>
      <c r="AA2572" s="405"/>
      <c r="AB2572" s="405"/>
    </row>
    <row r="2573" ht="14.25" customHeight="1">
      <c r="A2573" s="405"/>
      <c r="B2573" s="405"/>
      <c r="C2573" s="405"/>
      <c r="D2573" s="405"/>
      <c r="E2573" s="405"/>
      <c r="F2573" s="583"/>
      <c r="G2573" s="583"/>
      <c r="H2573" s="405"/>
      <c r="I2573" s="405"/>
      <c r="J2573" s="405"/>
      <c r="K2573" s="405"/>
      <c r="L2573" s="405"/>
      <c r="M2573" s="405"/>
      <c r="N2573" s="405"/>
      <c r="O2573" s="405"/>
      <c r="P2573" s="405"/>
      <c r="Q2573" s="405"/>
      <c r="R2573" s="405"/>
      <c r="S2573" s="405"/>
      <c r="T2573" s="405"/>
      <c r="U2573" s="405"/>
      <c r="V2573" s="405"/>
      <c r="W2573" s="405"/>
      <c r="X2573" s="405"/>
      <c r="Y2573" s="405"/>
      <c r="Z2573" s="405"/>
      <c r="AA2573" s="405"/>
      <c r="AB2573" s="405"/>
    </row>
    <row r="2574" ht="14.25" customHeight="1">
      <c r="A2574" s="405"/>
      <c r="B2574" s="405"/>
      <c r="C2574" s="405"/>
      <c r="D2574" s="405"/>
      <c r="E2574" s="405"/>
      <c r="F2574" s="583"/>
      <c r="G2574" s="583"/>
      <c r="H2574" s="405"/>
      <c r="I2574" s="405"/>
      <c r="J2574" s="405"/>
      <c r="K2574" s="405"/>
      <c r="L2574" s="405"/>
      <c r="M2574" s="405"/>
      <c r="N2574" s="405"/>
      <c r="O2574" s="405"/>
      <c r="P2574" s="405"/>
      <c r="Q2574" s="405"/>
      <c r="R2574" s="405"/>
      <c r="S2574" s="405"/>
      <c r="T2574" s="405"/>
      <c r="U2574" s="405"/>
      <c r="V2574" s="405"/>
      <c r="W2574" s="405"/>
      <c r="X2574" s="405"/>
      <c r="Y2574" s="405"/>
      <c r="Z2574" s="405"/>
      <c r="AA2574" s="405"/>
      <c r="AB2574" s="405"/>
    </row>
    <row r="2575" ht="14.25" customHeight="1">
      <c r="A2575" s="405"/>
      <c r="B2575" s="405"/>
      <c r="C2575" s="405"/>
      <c r="D2575" s="405"/>
      <c r="E2575" s="405"/>
      <c r="F2575" s="583"/>
      <c r="G2575" s="583"/>
      <c r="H2575" s="405"/>
      <c r="I2575" s="405"/>
      <c r="J2575" s="405"/>
      <c r="K2575" s="405"/>
      <c r="L2575" s="405"/>
      <c r="M2575" s="405"/>
      <c r="N2575" s="405"/>
      <c r="O2575" s="405"/>
      <c r="P2575" s="405"/>
      <c r="Q2575" s="405"/>
      <c r="R2575" s="405"/>
      <c r="S2575" s="405"/>
      <c r="T2575" s="405"/>
      <c r="U2575" s="405"/>
      <c r="V2575" s="405"/>
      <c r="W2575" s="405"/>
      <c r="X2575" s="405"/>
      <c r="Y2575" s="405"/>
      <c r="Z2575" s="405"/>
      <c r="AA2575" s="405"/>
      <c r="AB2575" s="405"/>
    </row>
    <row r="2576" ht="14.25" customHeight="1">
      <c r="A2576" s="405"/>
      <c r="B2576" s="405"/>
      <c r="C2576" s="405"/>
      <c r="D2576" s="405"/>
      <c r="E2576" s="405"/>
      <c r="F2576" s="583"/>
      <c r="G2576" s="583"/>
      <c r="H2576" s="405"/>
      <c r="I2576" s="405"/>
      <c r="J2576" s="405"/>
      <c r="K2576" s="405"/>
      <c r="L2576" s="405"/>
      <c r="M2576" s="405"/>
      <c r="N2576" s="405"/>
      <c r="O2576" s="405"/>
      <c r="P2576" s="405"/>
      <c r="Q2576" s="405"/>
      <c r="R2576" s="405"/>
      <c r="S2576" s="405"/>
      <c r="T2576" s="405"/>
      <c r="U2576" s="405"/>
      <c r="V2576" s="405"/>
      <c r="W2576" s="405"/>
      <c r="X2576" s="405"/>
      <c r="Y2576" s="405"/>
      <c r="Z2576" s="405"/>
      <c r="AA2576" s="405"/>
      <c r="AB2576" s="405"/>
    </row>
    <row r="2577" ht="14.25" customHeight="1">
      <c r="A2577" s="405"/>
      <c r="B2577" s="405"/>
      <c r="C2577" s="405"/>
      <c r="D2577" s="405"/>
      <c r="E2577" s="405"/>
      <c r="F2577" s="583"/>
      <c r="G2577" s="583"/>
      <c r="H2577" s="405"/>
      <c r="I2577" s="405"/>
      <c r="J2577" s="405"/>
      <c r="K2577" s="405"/>
      <c r="L2577" s="405"/>
      <c r="M2577" s="405"/>
      <c r="N2577" s="405"/>
      <c r="O2577" s="405"/>
      <c r="P2577" s="405"/>
      <c r="Q2577" s="405"/>
      <c r="R2577" s="405"/>
      <c r="S2577" s="405"/>
      <c r="T2577" s="405"/>
      <c r="U2577" s="405"/>
      <c r="V2577" s="405"/>
      <c r="W2577" s="405"/>
      <c r="X2577" s="405"/>
      <c r="Y2577" s="405"/>
      <c r="Z2577" s="405"/>
      <c r="AA2577" s="405"/>
      <c r="AB2577" s="405"/>
    </row>
    <row r="2578" ht="14.25" customHeight="1">
      <c r="A2578" s="405"/>
      <c r="B2578" s="405"/>
      <c r="C2578" s="405"/>
      <c r="D2578" s="405"/>
      <c r="E2578" s="405"/>
      <c r="F2578" s="583"/>
      <c r="G2578" s="583"/>
      <c r="H2578" s="405"/>
      <c r="I2578" s="405"/>
      <c r="J2578" s="405"/>
      <c r="K2578" s="405"/>
      <c r="L2578" s="405"/>
      <c r="M2578" s="405"/>
      <c r="N2578" s="405"/>
      <c r="O2578" s="405"/>
      <c r="P2578" s="405"/>
      <c r="Q2578" s="405"/>
      <c r="R2578" s="405"/>
      <c r="S2578" s="405"/>
      <c r="T2578" s="405"/>
      <c r="U2578" s="405"/>
      <c r="V2578" s="405"/>
      <c r="W2578" s="405"/>
      <c r="X2578" s="405"/>
      <c r="Y2578" s="405"/>
      <c r="Z2578" s="405"/>
      <c r="AA2578" s="405"/>
      <c r="AB2578" s="405"/>
    </row>
    <row r="2579" ht="14.25" customHeight="1">
      <c r="A2579" s="405"/>
      <c r="B2579" s="405"/>
      <c r="C2579" s="405"/>
      <c r="D2579" s="405"/>
      <c r="E2579" s="405"/>
      <c r="F2579" s="583"/>
      <c r="G2579" s="583"/>
      <c r="H2579" s="405"/>
      <c r="I2579" s="405"/>
      <c r="J2579" s="405"/>
      <c r="K2579" s="405"/>
      <c r="L2579" s="405"/>
      <c r="M2579" s="405"/>
      <c r="N2579" s="405"/>
      <c r="O2579" s="405"/>
      <c r="P2579" s="405"/>
      <c r="Q2579" s="405"/>
      <c r="R2579" s="405"/>
      <c r="S2579" s="405"/>
      <c r="T2579" s="405"/>
      <c r="U2579" s="405"/>
      <c r="V2579" s="405"/>
      <c r="W2579" s="405"/>
      <c r="X2579" s="405"/>
      <c r="Y2579" s="405"/>
      <c r="Z2579" s="405"/>
      <c r="AA2579" s="405"/>
      <c r="AB2579" s="405"/>
    </row>
    <row r="2580" ht="14.25" customHeight="1">
      <c r="A2580" s="405"/>
      <c r="B2580" s="405"/>
      <c r="C2580" s="405"/>
      <c r="D2580" s="405"/>
      <c r="E2580" s="405"/>
      <c r="F2580" s="583"/>
      <c r="G2580" s="583"/>
      <c r="H2580" s="405"/>
      <c r="I2580" s="405"/>
      <c r="J2580" s="405"/>
      <c r="K2580" s="405"/>
      <c r="L2580" s="405"/>
      <c r="M2580" s="405"/>
      <c r="N2580" s="405"/>
      <c r="O2580" s="405"/>
      <c r="P2580" s="405"/>
      <c r="Q2580" s="405"/>
      <c r="R2580" s="405"/>
      <c r="S2580" s="405"/>
      <c r="T2580" s="405"/>
      <c r="U2580" s="405"/>
      <c r="V2580" s="405"/>
      <c r="W2580" s="405"/>
      <c r="X2580" s="405"/>
      <c r="Y2580" s="405"/>
      <c r="Z2580" s="405"/>
      <c r="AA2580" s="405"/>
      <c r="AB2580" s="405"/>
    </row>
    <row r="2581" ht="14.25" customHeight="1">
      <c r="A2581" s="405"/>
      <c r="B2581" s="405"/>
      <c r="C2581" s="405"/>
      <c r="D2581" s="405"/>
      <c r="E2581" s="405"/>
      <c r="F2581" s="583"/>
      <c r="G2581" s="583"/>
      <c r="H2581" s="405"/>
      <c r="I2581" s="405"/>
      <c r="J2581" s="405"/>
      <c r="K2581" s="405"/>
      <c r="L2581" s="405"/>
      <c r="M2581" s="405"/>
      <c r="N2581" s="405"/>
      <c r="O2581" s="405"/>
      <c r="P2581" s="405"/>
      <c r="Q2581" s="405"/>
      <c r="R2581" s="405"/>
      <c r="S2581" s="405"/>
      <c r="T2581" s="405"/>
      <c r="U2581" s="405"/>
      <c r="V2581" s="405"/>
      <c r="W2581" s="405"/>
      <c r="X2581" s="405"/>
      <c r="Y2581" s="405"/>
      <c r="Z2581" s="405"/>
      <c r="AA2581" s="405"/>
      <c r="AB2581" s="405"/>
    </row>
    <row r="2582" ht="14.25" customHeight="1">
      <c r="A2582" s="405"/>
      <c r="B2582" s="405"/>
      <c r="C2582" s="405"/>
      <c r="D2582" s="405"/>
      <c r="E2582" s="405"/>
      <c r="F2582" s="583"/>
      <c r="G2582" s="583"/>
      <c r="H2582" s="405"/>
      <c r="I2582" s="405"/>
      <c r="J2582" s="405"/>
      <c r="K2582" s="405"/>
      <c r="L2582" s="405"/>
      <c r="M2582" s="405"/>
      <c r="N2582" s="405"/>
      <c r="O2582" s="405"/>
      <c r="P2582" s="405"/>
      <c r="Q2582" s="405"/>
      <c r="R2582" s="405"/>
      <c r="S2582" s="405"/>
      <c r="T2582" s="405"/>
      <c r="U2582" s="405"/>
      <c r="V2582" s="405"/>
      <c r="W2582" s="405"/>
      <c r="X2582" s="405"/>
      <c r="Y2582" s="405"/>
      <c r="Z2582" s="405"/>
      <c r="AA2582" s="405"/>
      <c r="AB2582" s="405"/>
    </row>
    <row r="2583" ht="14.25" customHeight="1">
      <c r="A2583" s="405"/>
      <c r="B2583" s="405"/>
      <c r="C2583" s="405"/>
      <c r="D2583" s="405"/>
      <c r="E2583" s="405"/>
      <c r="F2583" s="583"/>
      <c r="G2583" s="583"/>
      <c r="H2583" s="405"/>
      <c r="I2583" s="405"/>
      <c r="J2583" s="405"/>
      <c r="K2583" s="405"/>
      <c r="L2583" s="405"/>
      <c r="M2583" s="405"/>
      <c r="N2583" s="405"/>
      <c r="O2583" s="405"/>
      <c r="P2583" s="405"/>
      <c r="Q2583" s="405"/>
      <c r="R2583" s="405"/>
      <c r="S2583" s="405"/>
      <c r="T2583" s="405"/>
      <c r="U2583" s="405"/>
      <c r="V2583" s="405"/>
      <c r="W2583" s="405"/>
      <c r="X2583" s="405"/>
      <c r="Y2583" s="405"/>
      <c r="Z2583" s="405"/>
      <c r="AA2583" s="405"/>
      <c r="AB2583" s="405"/>
    </row>
    <row r="2584" ht="14.25" customHeight="1">
      <c r="A2584" s="405"/>
      <c r="B2584" s="405"/>
      <c r="C2584" s="405"/>
      <c r="D2584" s="405"/>
      <c r="E2584" s="405"/>
      <c r="F2584" s="583"/>
      <c r="G2584" s="583"/>
      <c r="H2584" s="405"/>
      <c r="I2584" s="405"/>
      <c r="J2584" s="405"/>
      <c r="K2584" s="405"/>
      <c r="L2584" s="405"/>
      <c r="M2584" s="405"/>
      <c r="N2584" s="405"/>
      <c r="O2584" s="405"/>
      <c r="P2584" s="405"/>
      <c r="Q2584" s="405"/>
      <c r="R2584" s="405"/>
      <c r="S2584" s="405"/>
      <c r="T2584" s="405"/>
      <c r="U2584" s="405"/>
      <c r="V2584" s="405"/>
      <c r="W2584" s="405"/>
      <c r="X2584" s="405"/>
      <c r="Y2584" s="405"/>
      <c r="Z2584" s="405"/>
      <c r="AA2584" s="405"/>
      <c r="AB2584" s="405"/>
    </row>
    <row r="2585" ht="14.25" customHeight="1">
      <c r="A2585" s="405"/>
      <c r="B2585" s="405"/>
      <c r="C2585" s="405"/>
      <c r="D2585" s="405"/>
      <c r="E2585" s="405"/>
      <c r="F2585" s="583"/>
      <c r="G2585" s="583"/>
      <c r="H2585" s="405"/>
      <c r="I2585" s="405"/>
      <c r="J2585" s="405"/>
      <c r="K2585" s="405"/>
      <c r="L2585" s="405"/>
      <c r="M2585" s="405"/>
      <c r="N2585" s="405"/>
      <c r="O2585" s="405"/>
      <c r="P2585" s="405"/>
      <c r="Q2585" s="405"/>
      <c r="R2585" s="405"/>
      <c r="S2585" s="405"/>
      <c r="T2585" s="405"/>
      <c r="U2585" s="405"/>
      <c r="V2585" s="405"/>
      <c r="W2585" s="405"/>
      <c r="X2585" s="405"/>
      <c r="Y2585" s="405"/>
      <c r="Z2585" s="405"/>
      <c r="AA2585" s="405"/>
      <c r="AB2585" s="405"/>
    </row>
    <row r="2586" ht="14.25" customHeight="1">
      <c r="A2586" s="405"/>
      <c r="B2586" s="405"/>
      <c r="C2586" s="405"/>
      <c r="D2586" s="405"/>
      <c r="E2586" s="405"/>
      <c r="F2586" s="583"/>
      <c r="G2586" s="583"/>
      <c r="H2586" s="405"/>
      <c r="I2586" s="405"/>
      <c r="J2586" s="405"/>
      <c r="K2586" s="405"/>
      <c r="L2586" s="405"/>
      <c r="M2586" s="405"/>
      <c r="N2586" s="405"/>
      <c r="O2586" s="405"/>
      <c r="P2586" s="405"/>
      <c r="Q2586" s="405"/>
      <c r="R2586" s="405"/>
      <c r="S2586" s="405"/>
      <c r="T2586" s="405"/>
      <c r="U2586" s="405"/>
      <c r="V2586" s="405"/>
      <c r="W2586" s="405"/>
      <c r="X2586" s="405"/>
      <c r="Y2586" s="405"/>
      <c r="Z2586" s="405"/>
      <c r="AA2586" s="405"/>
      <c r="AB2586" s="405"/>
    </row>
    <row r="2587" ht="14.25" customHeight="1">
      <c r="A2587" s="405"/>
      <c r="B2587" s="405"/>
      <c r="C2587" s="405"/>
      <c r="D2587" s="405"/>
      <c r="E2587" s="405"/>
      <c r="F2587" s="583"/>
      <c r="G2587" s="583"/>
      <c r="H2587" s="405"/>
      <c r="I2587" s="405"/>
      <c r="J2587" s="405"/>
      <c r="K2587" s="405"/>
      <c r="L2587" s="405"/>
      <c r="M2587" s="405"/>
      <c r="N2587" s="405"/>
      <c r="O2587" s="405"/>
      <c r="P2587" s="405"/>
      <c r="Q2587" s="405"/>
      <c r="R2587" s="405"/>
      <c r="S2587" s="405"/>
      <c r="T2587" s="405"/>
      <c r="U2587" s="405"/>
      <c r="V2587" s="405"/>
      <c r="W2587" s="405"/>
      <c r="X2587" s="405"/>
      <c r="Y2587" s="405"/>
      <c r="Z2587" s="405"/>
      <c r="AA2587" s="405"/>
      <c r="AB2587" s="405"/>
    </row>
    <row r="2588" ht="14.25" customHeight="1">
      <c r="A2588" s="405"/>
      <c r="B2588" s="405"/>
      <c r="C2588" s="405"/>
      <c r="D2588" s="405"/>
      <c r="E2588" s="405"/>
      <c r="F2588" s="583"/>
      <c r="G2588" s="583"/>
      <c r="H2588" s="405"/>
      <c r="I2588" s="405"/>
      <c r="J2588" s="405"/>
      <c r="K2588" s="405"/>
      <c r="L2588" s="405"/>
      <c r="M2588" s="405"/>
      <c r="N2588" s="405"/>
      <c r="O2588" s="405"/>
      <c r="P2588" s="405"/>
      <c r="Q2588" s="405"/>
      <c r="R2588" s="405"/>
      <c r="S2588" s="405"/>
      <c r="T2588" s="405"/>
      <c r="U2588" s="405"/>
      <c r="V2588" s="405"/>
      <c r="W2588" s="405"/>
      <c r="X2588" s="405"/>
      <c r="Y2588" s="405"/>
      <c r="Z2588" s="405"/>
      <c r="AA2588" s="405"/>
      <c r="AB2588" s="405"/>
    </row>
    <row r="2589" ht="14.25" customHeight="1">
      <c r="A2589" s="405"/>
      <c r="B2589" s="405"/>
      <c r="C2589" s="405"/>
      <c r="D2589" s="405"/>
      <c r="E2589" s="405"/>
      <c r="F2589" s="583"/>
      <c r="G2589" s="583"/>
      <c r="H2589" s="405"/>
      <c r="I2589" s="405"/>
      <c r="J2589" s="405"/>
      <c r="K2589" s="405"/>
      <c r="L2589" s="405"/>
      <c r="M2589" s="405"/>
      <c r="N2589" s="405"/>
      <c r="O2589" s="405"/>
      <c r="P2589" s="405"/>
      <c r="Q2589" s="405"/>
      <c r="R2589" s="405"/>
      <c r="S2589" s="405"/>
      <c r="T2589" s="405"/>
      <c r="U2589" s="405"/>
      <c r="V2589" s="405"/>
      <c r="W2589" s="405"/>
      <c r="X2589" s="405"/>
      <c r="Y2589" s="405"/>
      <c r="Z2589" s="405"/>
      <c r="AA2589" s="405"/>
      <c r="AB2589" s="405"/>
    </row>
    <row r="2590" ht="14.25" customHeight="1">
      <c r="A2590" s="405"/>
      <c r="B2590" s="405"/>
      <c r="C2590" s="405"/>
      <c r="D2590" s="405"/>
      <c r="E2590" s="405"/>
      <c r="F2590" s="583"/>
      <c r="G2590" s="583"/>
      <c r="H2590" s="405"/>
      <c r="I2590" s="405"/>
      <c r="J2590" s="405"/>
      <c r="K2590" s="405"/>
      <c r="L2590" s="405"/>
      <c r="M2590" s="405"/>
      <c r="N2590" s="405"/>
      <c r="O2590" s="405"/>
      <c r="P2590" s="405"/>
      <c r="Q2590" s="405"/>
      <c r="R2590" s="405"/>
      <c r="S2590" s="405"/>
      <c r="T2590" s="405"/>
      <c r="U2590" s="405"/>
      <c r="V2590" s="405"/>
      <c r="W2590" s="405"/>
      <c r="X2590" s="405"/>
      <c r="Y2590" s="405"/>
      <c r="Z2590" s="405"/>
      <c r="AA2590" s="405"/>
      <c r="AB2590" s="405"/>
    </row>
    <row r="2591" ht="14.25" customHeight="1">
      <c r="A2591" s="405"/>
      <c r="B2591" s="405"/>
      <c r="C2591" s="405"/>
      <c r="D2591" s="405"/>
      <c r="E2591" s="405"/>
      <c r="F2591" s="583"/>
      <c r="G2591" s="583"/>
      <c r="H2591" s="405"/>
      <c r="I2591" s="405"/>
      <c r="J2591" s="405"/>
      <c r="K2591" s="405"/>
      <c r="L2591" s="405"/>
      <c r="M2591" s="405"/>
      <c r="N2591" s="405"/>
      <c r="O2591" s="405"/>
      <c r="P2591" s="405"/>
      <c r="Q2591" s="405"/>
      <c r="R2591" s="405"/>
      <c r="S2591" s="405"/>
      <c r="T2591" s="405"/>
      <c r="U2591" s="405"/>
      <c r="V2591" s="405"/>
      <c r="W2591" s="405"/>
      <c r="X2591" s="405"/>
      <c r="Y2591" s="405"/>
      <c r="Z2591" s="405"/>
      <c r="AA2591" s="405"/>
      <c r="AB2591" s="405"/>
    </row>
    <row r="2592" ht="14.25" customHeight="1">
      <c r="A2592" s="405"/>
      <c r="B2592" s="405"/>
      <c r="C2592" s="405"/>
      <c r="D2592" s="405"/>
      <c r="E2592" s="405"/>
      <c r="F2592" s="583"/>
      <c r="G2592" s="583"/>
      <c r="H2592" s="405"/>
      <c r="I2592" s="405"/>
      <c r="J2592" s="405"/>
      <c r="K2592" s="405"/>
      <c r="L2592" s="405"/>
      <c r="M2592" s="405"/>
      <c r="N2592" s="405"/>
      <c r="O2592" s="405"/>
      <c r="P2592" s="405"/>
      <c r="Q2592" s="405"/>
      <c r="R2592" s="405"/>
      <c r="S2592" s="405"/>
      <c r="T2592" s="405"/>
      <c r="U2592" s="405"/>
      <c r="V2592" s="405"/>
      <c r="W2592" s="405"/>
      <c r="X2592" s="405"/>
      <c r="Y2592" s="405"/>
      <c r="Z2592" s="405"/>
      <c r="AA2592" s="405"/>
      <c r="AB2592" s="405"/>
    </row>
    <row r="2593" ht="14.25" customHeight="1">
      <c r="A2593" s="405"/>
      <c r="B2593" s="405"/>
      <c r="C2593" s="405"/>
      <c r="D2593" s="405"/>
      <c r="E2593" s="405"/>
      <c r="F2593" s="583"/>
      <c r="G2593" s="583"/>
      <c r="H2593" s="405"/>
      <c r="I2593" s="405"/>
      <c r="J2593" s="405"/>
      <c r="K2593" s="405"/>
      <c r="L2593" s="405"/>
      <c r="M2593" s="405"/>
      <c r="N2593" s="405"/>
      <c r="O2593" s="405"/>
      <c r="P2593" s="405"/>
      <c r="Q2593" s="405"/>
      <c r="R2593" s="405"/>
      <c r="S2593" s="405"/>
      <c r="T2593" s="405"/>
      <c r="U2593" s="405"/>
      <c r="V2593" s="405"/>
      <c r="W2593" s="405"/>
      <c r="X2593" s="405"/>
      <c r="Y2593" s="405"/>
      <c r="Z2593" s="405"/>
      <c r="AA2593" s="405"/>
      <c r="AB2593" s="405"/>
    </row>
    <row r="2594" ht="14.25" customHeight="1">
      <c r="A2594" s="405"/>
      <c r="B2594" s="405"/>
      <c r="C2594" s="405"/>
      <c r="D2594" s="405"/>
      <c r="E2594" s="405"/>
      <c r="F2594" s="583"/>
      <c r="G2594" s="583"/>
      <c r="H2594" s="405"/>
      <c r="I2594" s="405"/>
      <c r="J2594" s="405"/>
      <c r="K2594" s="405"/>
      <c r="L2594" s="405"/>
      <c r="M2594" s="405"/>
      <c r="N2594" s="405"/>
      <c r="O2594" s="405"/>
      <c r="P2594" s="405"/>
      <c r="Q2594" s="405"/>
      <c r="R2594" s="405"/>
      <c r="S2594" s="405"/>
      <c r="T2594" s="405"/>
      <c r="U2594" s="405"/>
      <c r="V2594" s="405"/>
      <c r="W2594" s="405"/>
      <c r="X2594" s="405"/>
      <c r="Y2594" s="405"/>
      <c r="Z2594" s="405"/>
      <c r="AA2594" s="405"/>
      <c r="AB2594" s="405"/>
    </row>
    <row r="2595" ht="14.25" customHeight="1">
      <c r="A2595" s="405"/>
      <c r="B2595" s="405"/>
      <c r="C2595" s="405"/>
      <c r="D2595" s="405"/>
      <c r="E2595" s="405"/>
      <c r="F2595" s="583"/>
      <c r="G2595" s="583"/>
      <c r="H2595" s="405"/>
      <c r="I2595" s="405"/>
      <c r="J2595" s="405"/>
      <c r="K2595" s="405"/>
      <c r="L2595" s="405"/>
      <c r="M2595" s="405"/>
      <c r="N2595" s="405"/>
      <c r="O2595" s="405"/>
      <c r="P2595" s="405"/>
      <c r="Q2595" s="405"/>
      <c r="R2595" s="405"/>
      <c r="S2595" s="405"/>
      <c r="T2595" s="405"/>
      <c r="U2595" s="405"/>
      <c r="V2595" s="405"/>
      <c r="W2595" s="405"/>
      <c r="X2595" s="405"/>
      <c r="Y2595" s="405"/>
      <c r="Z2595" s="405"/>
      <c r="AA2595" s="405"/>
      <c r="AB2595" s="405"/>
    </row>
    <row r="2596" ht="14.25" customHeight="1">
      <c r="A2596" s="405"/>
      <c r="B2596" s="405"/>
      <c r="C2596" s="405"/>
      <c r="D2596" s="405"/>
      <c r="E2596" s="405"/>
      <c r="F2596" s="583"/>
      <c r="G2596" s="583"/>
      <c r="H2596" s="405"/>
      <c r="I2596" s="405"/>
      <c r="J2596" s="405"/>
      <c r="K2596" s="405"/>
      <c r="L2596" s="405"/>
      <c r="M2596" s="405"/>
      <c r="N2596" s="405"/>
      <c r="O2596" s="405"/>
      <c r="P2596" s="405"/>
      <c r="Q2596" s="405"/>
      <c r="R2596" s="405"/>
      <c r="S2596" s="405"/>
      <c r="T2596" s="405"/>
      <c r="U2596" s="405"/>
      <c r="V2596" s="405"/>
      <c r="W2596" s="405"/>
      <c r="X2596" s="405"/>
      <c r="Y2596" s="405"/>
      <c r="Z2596" s="405"/>
      <c r="AA2596" s="405"/>
      <c r="AB2596" s="405"/>
    </row>
    <row r="2597" ht="14.25" customHeight="1">
      <c r="A2597" s="405"/>
      <c r="B2597" s="405"/>
      <c r="C2597" s="405"/>
      <c r="D2597" s="405"/>
      <c r="E2597" s="405"/>
      <c r="F2597" s="583"/>
      <c r="G2597" s="583"/>
      <c r="H2597" s="405"/>
      <c r="I2597" s="405"/>
      <c r="J2597" s="405"/>
      <c r="K2597" s="405"/>
      <c r="L2597" s="405"/>
      <c r="M2597" s="405"/>
      <c r="N2597" s="405"/>
      <c r="O2597" s="405"/>
      <c r="P2597" s="405"/>
      <c r="Q2597" s="405"/>
      <c r="R2597" s="405"/>
      <c r="S2597" s="405"/>
      <c r="T2597" s="405"/>
      <c r="U2597" s="405"/>
      <c r="V2597" s="405"/>
      <c r="W2597" s="405"/>
      <c r="X2597" s="405"/>
      <c r="Y2597" s="405"/>
      <c r="Z2597" s="405"/>
      <c r="AA2597" s="405"/>
      <c r="AB2597" s="405"/>
    </row>
    <row r="2598" ht="14.25" customHeight="1">
      <c r="A2598" s="405"/>
      <c r="B2598" s="405"/>
      <c r="C2598" s="405"/>
      <c r="D2598" s="405"/>
      <c r="E2598" s="405"/>
      <c r="F2598" s="583"/>
      <c r="G2598" s="583"/>
      <c r="H2598" s="405"/>
      <c r="I2598" s="405"/>
      <c r="J2598" s="405"/>
      <c r="K2598" s="405"/>
      <c r="L2598" s="405"/>
      <c r="M2598" s="405"/>
      <c r="N2598" s="405"/>
      <c r="O2598" s="405"/>
      <c r="P2598" s="405"/>
      <c r="Q2598" s="405"/>
      <c r="R2598" s="405"/>
      <c r="S2598" s="405"/>
      <c r="T2598" s="405"/>
      <c r="U2598" s="405"/>
      <c r="V2598" s="405"/>
      <c r="W2598" s="405"/>
      <c r="X2598" s="405"/>
      <c r="Y2598" s="405"/>
      <c r="Z2598" s="405"/>
      <c r="AA2598" s="405"/>
      <c r="AB2598" s="405"/>
    </row>
    <row r="2599" ht="14.25" customHeight="1">
      <c r="A2599" s="405"/>
      <c r="B2599" s="405"/>
      <c r="C2599" s="405"/>
      <c r="D2599" s="405"/>
      <c r="E2599" s="405"/>
      <c r="F2599" s="583"/>
      <c r="G2599" s="583"/>
      <c r="H2599" s="405"/>
      <c r="I2599" s="405"/>
      <c r="J2599" s="405"/>
      <c r="K2599" s="405"/>
      <c r="L2599" s="405"/>
      <c r="M2599" s="405"/>
      <c r="N2599" s="405"/>
      <c r="O2599" s="405"/>
      <c r="P2599" s="405"/>
      <c r="Q2599" s="405"/>
      <c r="R2599" s="405"/>
      <c r="S2599" s="405"/>
      <c r="T2599" s="405"/>
      <c r="U2599" s="405"/>
      <c r="V2599" s="405"/>
      <c r="W2599" s="405"/>
      <c r="X2599" s="405"/>
      <c r="Y2599" s="405"/>
      <c r="Z2599" s="405"/>
      <c r="AA2599" s="405"/>
      <c r="AB2599" s="405"/>
    </row>
    <row r="2600" ht="14.25" customHeight="1">
      <c r="A2600" s="405"/>
      <c r="B2600" s="405"/>
      <c r="C2600" s="405"/>
      <c r="D2600" s="405"/>
      <c r="E2600" s="405"/>
      <c r="F2600" s="583"/>
      <c r="G2600" s="583"/>
      <c r="H2600" s="405"/>
      <c r="I2600" s="405"/>
      <c r="J2600" s="405"/>
      <c r="K2600" s="405"/>
      <c r="L2600" s="405"/>
      <c r="M2600" s="405"/>
      <c r="N2600" s="405"/>
      <c r="O2600" s="405"/>
      <c r="P2600" s="405"/>
      <c r="Q2600" s="405"/>
      <c r="R2600" s="405"/>
      <c r="S2600" s="405"/>
      <c r="T2600" s="405"/>
      <c r="U2600" s="405"/>
      <c r="V2600" s="405"/>
      <c r="W2600" s="405"/>
      <c r="X2600" s="405"/>
      <c r="Y2600" s="405"/>
      <c r="Z2600" s="405"/>
      <c r="AA2600" s="405"/>
      <c r="AB2600" s="405"/>
    </row>
    <row r="2601" ht="14.25" customHeight="1">
      <c r="A2601" s="405"/>
      <c r="B2601" s="405"/>
      <c r="C2601" s="405"/>
      <c r="D2601" s="405"/>
      <c r="E2601" s="405"/>
      <c r="F2601" s="583"/>
      <c r="G2601" s="583"/>
      <c r="H2601" s="405"/>
      <c r="I2601" s="405"/>
      <c r="J2601" s="405"/>
      <c r="K2601" s="405"/>
      <c r="L2601" s="405"/>
      <c r="M2601" s="405"/>
      <c r="N2601" s="405"/>
      <c r="O2601" s="405"/>
      <c r="P2601" s="405"/>
      <c r="Q2601" s="405"/>
      <c r="R2601" s="405"/>
      <c r="S2601" s="405"/>
      <c r="T2601" s="405"/>
      <c r="U2601" s="405"/>
      <c r="V2601" s="405"/>
      <c r="W2601" s="405"/>
      <c r="X2601" s="405"/>
      <c r="Y2601" s="405"/>
      <c r="Z2601" s="405"/>
      <c r="AA2601" s="405"/>
      <c r="AB2601" s="405"/>
    </row>
    <row r="2602" ht="14.25" customHeight="1">
      <c r="A2602" s="405"/>
      <c r="B2602" s="405"/>
      <c r="C2602" s="405"/>
      <c r="D2602" s="405"/>
      <c r="E2602" s="405"/>
      <c r="F2602" s="583"/>
      <c r="G2602" s="583"/>
      <c r="H2602" s="405"/>
      <c r="I2602" s="405"/>
      <c r="J2602" s="405"/>
      <c r="K2602" s="405"/>
      <c r="L2602" s="405"/>
      <c r="M2602" s="405"/>
      <c r="N2602" s="405"/>
      <c r="O2602" s="405"/>
      <c r="P2602" s="405"/>
      <c r="Q2602" s="405"/>
      <c r="R2602" s="405"/>
      <c r="S2602" s="405"/>
      <c r="T2602" s="405"/>
      <c r="U2602" s="405"/>
      <c r="V2602" s="405"/>
      <c r="W2602" s="405"/>
      <c r="X2602" s="405"/>
      <c r="Y2602" s="405"/>
      <c r="Z2602" s="405"/>
      <c r="AA2602" s="405"/>
      <c r="AB2602" s="405"/>
    </row>
    <row r="2603" ht="14.25" customHeight="1">
      <c r="A2603" s="405"/>
      <c r="B2603" s="405"/>
      <c r="C2603" s="405"/>
      <c r="D2603" s="405"/>
      <c r="E2603" s="405"/>
      <c r="F2603" s="583"/>
      <c r="G2603" s="583"/>
      <c r="H2603" s="405"/>
      <c r="I2603" s="405"/>
      <c r="J2603" s="405"/>
      <c r="K2603" s="405"/>
      <c r="L2603" s="405"/>
      <c r="M2603" s="405"/>
      <c r="N2603" s="405"/>
      <c r="O2603" s="405"/>
      <c r="P2603" s="405"/>
      <c r="Q2603" s="405"/>
      <c r="R2603" s="405"/>
      <c r="S2603" s="405"/>
      <c r="T2603" s="405"/>
      <c r="U2603" s="405"/>
      <c r="V2603" s="405"/>
      <c r="W2603" s="405"/>
      <c r="X2603" s="405"/>
      <c r="Y2603" s="405"/>
      <c r="Z2603" s="405"/>
      <c r="AA2603" s="405"/>
      <c r="AB2603" s="405"/>
    </row>
    <row r="2604" ht="14.25" customHeight="1">
      <c r="A2604" s="405"/>
      <c r="B2604" s="405"/>
      <c r="C2604" s="405"/>
      <c r="D2604" s="405"/>
      <c r="E2604" s="405"/>
      <c r="F2604" s="583"/>
      <c r="G2604" s="583"/>
      <c r="H2604" s="405"/>
      <c r="I2604" s="405"/>
      <c r="J2604" s="405"/>
      <c r="K2604" s="405"/>
      <c r="L2604" s="405"/>
      <c r="M2604" s="405"/>
      <c r="N2604" s="405"/>
      <c r="O2604" s="405"/>
      <c r="P2604" s="405"/>
      <c r="Q2604" s="405"/>
      <c r="R2604" s="405"/>
      <c r="S2604" s="405"/>
      <c r="T2604" s="405"/>
      <c r="U2604" s="405"/>
      <c r="V2604" s="405"/>
      <c r="W2604" s="405"/>
      <c r="X2604" s="405"/>
      <c r="Y2604" s="405"/>
      <c r="Z2604" s="405"/>
      <c r="AA2604" s="405"/>
      <c r="AB2604" s="405"/>
    </row>
    <row r="2605" ht="14.25" customHeight="1">
      <c r="A2605" s="405"/>
      <c r="B2605" s="405"/>
      <c r="C2605" s="405"/>
      <c r="D2605" s="405"/>
      <c r="E2605" s="405"/>
      <c r="F2605" s="583"/>
      <c r="G2605" s="583"/>
      <c r="H2605" s="405"/>
      <c r="I2605" s="405"/>
      <c r="J2605" s="405"/>
      <c r="K2605" s="405"/>
      <c r="L2605" s="405"/>
      <c r="M2605" s="405"/>
      <c r="N2605" s="405"/>
      <c r="O2605" s="405"/>
      <c r="P2605" s="405"/>
      <c r="Q2605" s="405"/>
      <c r="R2605" s="405"/>
      <c r="S2605" s="405"/>
      <c r="T2605" s="405"/>
      <c r="U2605" s="405"/>
      <c r="V2605" s="405"/>
      <c r="W2605" s="405"/>
      <c r="X2605" s="405"/>
      <c r="Y2605" s="405"/>
      <c r="Z2605" s="405"/>
      <c r="AA2605" s="405"/>
      <c r="AB2605" s="405"/>
    </row>
    <row r="2606" ht="14.25" customHeight="1">
      <c r="A2606" s="405"/>
      <c r="B2606" s="405"/>
      <c r="C2606" s="405"/>
      <c r="D2606" s="405"/>
      <c r="E2606" s="405"/>
      <c r="F2606" s="583"/>
      <c r="G2606" s="583"/>
      <c r="H2606" s="405"/>
      <c r="I2606" s="405"/>
      <c r="J2606" s="405"/>
      <c r="K2606" s="405"/>
      <c r="L2606" s="405"/>
      <c r="M2606" s="405"/>
      <c r="N2606" s="405"/>
      <c r="O2606" s="405"/>
      <c r="P2606" s="405"/>
      <c r="Q2606" s="405"/>
      <c r="R2606" s="405"/>
      <c r="S2606" s="405"/>
      <c r="T2606" s="405"/>
      <c r="U2606" s="405"/>
      <c r="V2606" s="405"/>
      <c r="W2606" s="405"/>
      <c r="X2606" s="405"/>
      <c r="Y2606" s="405"/>
      <c r="Z2606" s="405"/>
      <c r="AA2606" s="405"/>
      <c r="AB2606" s="405"/>
    </row>
    <row r="2607" ht="14.25" customHeight="1">
      <c r="A2607" s="405"/>
      <c r="B2607" s="405"/>
      <c r="C2607" s="405"/>
      <c r="D2607" s="405"/>
      <c r="E2607" s="405"/>
      <c r="F2607" s="583"/>
      <c r="G2607" s="583"/>
      <c r="H2607" s="405"/>
      <c r="I2607" s="405"/>
      <c r="J2607" s="405"/>
      <c r="K2607" s="405"/>
      <c r="L2607" s="405"/>
      <c r="M2607" s="405"/>
      <c r="N2607" s="405"/>
      <c r="O2607" s="405"/>
      <c r="P2607" s="405"/>
      <c r="Q2607" s="405"/>
      <c r="R2607" s="405"/>
      <c r="S2607" s="405"/>
      <c r="T2607" s="405"/>
      <c r="U2607" s="405"/>
      <c r="V2607" s="405"/>
      <c r="W2607" s="405"/>
      <c r="X2607" s="405"/>
      <c r="Y2607" s="405"/>
      <c r="Z2607" s="405"/>
      <c r="AA2607" s="405"/>
      <c r="AB2607" s="405"/>
    </row>
    <row r="2608" ht="14.25" customHeight="1">
      <c r="A2608" s="405"/>
      <c r="B2608" s="405"/>
      <c r="C2608" s="405"/>
      <c r="D2608" s="405"/>
      <c r="E2608" s="405"/>
      <c r="F2608" s="583"/>
      <c r="G2608" s="583"/>
      <c r="H2608" s="405"/>
      <c r="I2608" s="405"/>
      <c r="J2608" s="405"/>
      <c r="K2608" s="405"/>
      <c r="L2608" s="405"/>
      <c r="M2608" s="405"/>
      <c r="N2608" s="405"/>
      <c r="O2608" s="405"/>
      <c r="P2608" s="405"/>
      <c r="Q2608" s="405"/>
      <c r="R2608" s="405"/>
      <c r="S2608" s="405"/>
      <c r="T2608" s="405"/>
      <c r="U2608" s="405"/>
      <c r="V2608" s="405"/>
      <c r="W2608" s="405"/>
      <c r="X2608" s="405"/>
      <c r="Y2608" s="405"/>
      <c r="Z2608" s="405"/>
      <c r="AA2608" s="405"/>
      <c r="AB2608" s="405"/>
    </row>
    <row r="2609" ht="14.25" customHeight="1">
      <c r="A2609" s="405"/>
      <c r="B2609" s="405"/>
      <c r="C2609" s="405"/>
      <c r="D2609" s="405"/>
      <c r="E2609" s="405"/>
      <c r="F2609" s="583"/>
      <c r="G2609" s="583"/>
      <c r="H2609" s="405"/>
      <c r="I2609" s="405"/>
      <c r="J2609" s="405"/>
      <c r="K2609" s="405"/>
      <c r="L2609" s="405"/>
      <c r="M2609" s="405"/>
      <c r="N2609" s="405"/>
      <c r="O2609" s="405"/>
      <c r="P2609" s="405"/>
      <c r="Q2609" s="405"/>
      <c r="R2609" s="405"/>
      <c r="S2609" s="405"/>
      <c r="T2609" s="405"/>
      <c r="U2609" s="405"/>
      <c r="V2609" s="405"/>
      <c r="W2609" s="405"/>
      <c r="X2609" s="405"/>
      <c r="Y2609" s="405"/>
      <c r="Z2609" s="405"/>
      <c r="AA2609" s="405"/>
      <c r="AB2609" s="405"/>
    </row>
    <row r="2610" ht="14.25" customHeight="1">
      <c r="A2610" s="405"/>
      <c r="B2610" s="405"/>
      <c r="C2610" s="405"/>
      <c r="D2610" s="405"/>
      <c r="E2610" s="405"/>
      <c r="F2610" s="583"/>
      <c r="G2610" s="583"/>
      <c r="H2610" s="405"/>
      <c r="I2610" s="405"/>
      <c r="J2610" s="405"/>
      <c r="K2610" s="405"/>
      <c r="L2610" s="405"/>
      <c r="M2610" s="405"/>
      <c r="N2610" s="405"/>
      <c r="O2610" s="405"/>
      <c r="P2610" s="405"/>
      <c r="Q2610" s="405"/>
      <c r="R2610" s="405"/>
      <c r="S2610" s="405"/>
      <c r="T2610" s="405"/>
      <c r="U2610" s="405"/>
      <c r="V2610" s="405"/>
      <c r="W2610" s="405"/>
      <c r="X2610" s="405"/>
      <c r="Y2610" s="405"/>
      <c r="Z2610" s="405"/>
      <c r="AA2610" s="405"/>
      <c r="AB2610" s="405"/>
    </row>
    <row r="2611" ht="14.25" customHeight="1">
      <c r="A2611" s="405"/>
      <c r="B2611" s="405"/>
      <c r="C2611" s="405"/>
      <c r="D2611" s="405"/>
      <c r="E2611" s="405"/>
      <c r="F2611" s="583"/>
      <c r="G2611" s="583"/>
      <c r="H2611" s="405"/>
      <c r="I2611" s="405"/>
      <c r="J2611" s="405"/>
      <c r="K2611" s="405"/>
      <c r="L2611" s="405"/>
      <c r="M2611" s="405"/>
      <c r="N2611" s="405"/>
      <c r="O2611" s="405"/>
      <c r="P2611" s="405"/>
      <c r="Q2611" s="405"/>
      <c r="R2611" s="405"/>
      <c r="S2611" s="405"/>
      <c r="T2611" s="405"/>
      <c r="U2611" s="405"/>
      <c r="V2611" s="405"/>
      <c r="W2611" s="405"/>
      <c r="X2611" s="405"/>
      <c r="Y2611" s="405"/>
      <c r="Z2611" s="405"/>
      <c r="AA2611" s="405"/>
      <c r="AB2611" s="405"/>
    </row>
    <row r="2612" ht="14.25" customHeight="1">
      <c r="A2612" s="405"/>
      <c r="B2612" s="405"/>
      <c r="C2612" s="405"/>
      <c r="D2612" s="405"/>
      <c r="E2612" s="405"/>
      <c r="F2612" s="583"/>
      <c r="G2612" s="583"/>
      <c r="H2612" s="405"/>
      <c r="I2612" s="405"/>
      <c r="J2612" s="405"/>
      <c r="K2612" s="405"/>
      <c r="L2612" s="405"/>
      <c r="M2612" s="405"/>
      <c r="N2612" s="405"/>
      <c r="O2612" s="405"/>
      <c r="P2612" s="405"/>
      <c r="Q2612" s="405"/>
      <c r="R2612" s="405"/>
      <c r="S2612" s="405"/>
      <c r="T2612" s="405"/>
      <c r="U2612" s="405"/>
      <c r="V2612" s="405"/>
      <c r="W2612" s="405"/>
      <c r="X2612" s="405"/>
      <c r="Y2612" s="405"/>
      <c r="Z2612" s="405"/>
      <c r="AA2612" s="405"/>
      <c r="AB2612" s="405"/>
    </row>
    <row r="2613" ht="14.25" customHeight="1">
      <c r="A2613" s="405"/>
      <c r="B2613" s="405"/>
      <c r="C2613" s="405"/>
      <c r="D2613" s="405"/>
      <c r="E2613" s="405"/>
      <c r="F2613" s="583"/>
      <c r="G2613" s="583"/>
      <c r="H2613" s="405"/>
      <c r="I2613" s="405"/>
      <c r="J2613" s="405"/>
      <c r="K2613" s="405"/>
      <c r="L2613" s="405"/>
      <c r="M2613" s="405"/>
      <c r="N2613" s="405"/>
      <c r="O2613" s="405"/>
      <c r="P2613" s="405"/>
      <c r="Q2613" s="405"/>
      <c r="R2613" s="405"/>
      <c r="S2613" s="405"/>
      <c r="T2613" s="405"/>
      <c r="U2613" s="405"/>
      <c r="V2613" s="405"/>
      <c r="W2613" s="405"/>
      <c r="X2613" s="405"/>
      <c r="Y2613" s="405"/>
      <c r="Z2613" s="405"/>
      <c r="AA2613" s="405"/>
      <c r="AB2613" s="405"/>
    </row>
    <row r="2614" ht="14.25" customHeight="1">
      <c r="A2614" s="405"/>
      <c r="B2614" s="405"/>
      <c r="C2614" s="405"/>
      <c r="D2614" s="405"/>
      <c r="E2614" s="405"/>
      <c r="F2614" s="583"/>
      <c r="G2614" s="583"/>
      <c r="H2614" s="405"/>
      <c r="I2614" s="405"/>
      <c r="J2614" s="405"/>
      <c r="K2614" s="405"/>
      <c r="L2614" s="405"/>
      <c r="M2614" s="405"/>
      <c r="N2614" s="405"/>
      <c r="O2614" s="405"/>
      <c r="P2614" s="405"/>
      <c r="Q2614" s="405"/>
      <c r="R2614" s="405"/>
      <c r="S2614" s="405"/>
      <c r="T2614" s="405"/>
      <c r="U2614" s="405"/>
      <c r="V2614" s="405"/>
      <c r="W2614" s="405"/>
      <c r="X2614" s="405"/>
      <c r="Y2614" s="405"/>
      <c r="Z2614" s="405"/>
      <c r="AA2614" s="405"/>
      <c r="AB2614" s="405"/>
    </row>
    <row r="2615" ht="14.25" customHeight="1">
      <c r="A2615" s="405"/>
      <c r="B2615" s="405"/>
      <c r="C2615" s="405"/>
      <c r="D2615" s="405"/>
      <c r="E2615" s="405"/>
      <c r="F2615" s="583"/>
      <c r="G2615" s="583"/>
      <c r="H2615" s="405"/>
      <c r="I2615" s="405"/>
      <c r="J2615" s="405"/>
      <c r="K2615" s="405"/>
      <c r="L2615" s="405"/>
      <c r="M2615" s="405"/>
      <c r="N2615" s="405"/>
      <c r="O2615" s="405"/>
      <c r="P2615" s="405"/>
      <c r="Q2615" s="405"/>
      <c r="R2615" s="405"/>
      <c r="S2615" s="405"/>
      <c r="T2615" s="405"/>
      <c r="U2615" s="405"/>
      <c r="V2615" s="405"/>
      <c r="W2615" s="405"/>
      <c r="X2615" s="405"/>
      <c r="Y2615" s="405"/>
      <c r="Z2615" s="405"/>
      <c r="AA2615" s="405"/>
      <c r="AB2615" s="405"/>
    </row>
    <row r="2616" ht="14.25" customHeight="1">
      <c r="A2616" s="405"/>
      <c r="B2616" s="405"/>
      <c r="C2616" s="405"/>
      <c r="D2616" s="405"/>
      <c r="E2616" s="405"/>
      <c r="F2616" s="583"/>
      <c r="G2616" s="583"/>
      <c r="H2616" s="405"/>
      <c r="I2616" s="405"/>
      <c r="J2616" s="405"/>
      <c r="K2616" s="405"/>
      <c r="L2616" s="405"/>
      <c r="M2616" s="405"/>
      <c r="N2616" s="405"/>
      <c r="O2616" s="405"/>
      <c r="P2616" s="405"/>
      <c r="Q2616" s="405"/>
      <c r="R2616" s="405"/>
      <c r="S2616" s="405"/>
      <c r="T2616" s="405"/>
      <c r="U2616" s="405"/>
      <c r="V2616" s="405"/>
      <c r="W2616" s="405"/>
      <c r="X2616" s="405"/>
      <c r="Y2616" s="405"/>
      <c r="Z2616" s="405"/>
      <c r="AA2616" s="405"/>
      <c r="AB2616" s="405"/>
    </row>
    <row r="2617" ht="14.25" customHeight="1">
      <c r="A2617" s="405"/>
      <c r="B2617" s="405"/>
      <c r="C2617" s="405"/>
      <c r="D2617" s="405"/>
      <c r="E2617" s="405"/>
      <c r="F2617" s="583"/>
      <c r="G2617" s="583"/>
      <c r="H2617" s="405"/>
      <c r="I2617" s="405"/>
      <c r="J2617" s="405"/>
      <c r="K2617" s="405"/>
      <c r="L2617" s="405"/>
      <c r="M2617" s="405"/>
      <c r="N2617" s="405"/>
      <c r="O2617" s="405"/>
      <c r="P2617" s="405"/>
      <c r="Q2617" s="405"/>
      <c r="R2617" s="405"/>
      <c r="S2617" s="405"/>
      <c r="T2617" s="405"/>
      <c r="U2617" s="405"/>
      <c r="V2617" s="405"/>
      <c r="W2617" s="405"/>
      <c r="X2617" s="405"/>
      <c r="Y2617" s="405"/>
      <c r="Z2617" s="405"/>
      <c r="AA2617" s="405"/>
      <c r="AB2617" s="405"/>
    </row>
    <row r="2618" ht="14.25" customHeight="1">
      <c r="A2618" s="405"/>
      <c r="B2618" s="405"/>
      <c r="C2618" s="405"/>
      <c r="D2618" s="405"/>
      <c r="E2618" s="405"/>
      <c r="F2618" s="583"/>
      <c r="G2618" s="583"/>
      <c r="H2618" s="405"/>
      <c r="I2618" s="405"/>
      <c r="J2618" s="405"/>
      <c r="K2618" s="405"/>
      <c r="L2618" s="405"/>
      <c r="M2618" s="405"/>
      <c r="N2618" s="405"/>
      <c r="O2618" s="405"/>
      <c r="P2618" s="405"/>
      <c r="Q2618" s="405"/>
      <c r="R2618" s="405"/>
      <c r="S2618" s="405"/>
      <c r="T2618" s="405"/>
      <c r="U2618" s="405"/>
      <c r="V2618" s="405"/>
      <c r="W2618" s="405"/>
      <c r="X2618" s="405"/>
      <c r="Y2618" s="405"/>
      <c r="Z2618" s="405"/>
      <c r="AA2618" s="405"/>
      <c r="AB2618" s="405"/>
    </row>
    <row r="2619" ht="14.25" customHeight="1">
      <c r="A2619" s="405"/>
      <c r="B2619" s="405"/>
      <c r="C2619" s="405"/>
      <c r="D2619" s="405"/>
      <c r="E2619" s="405"/>
      <c r="F2619" s="583"/>
      <c r="G2619" s="583"/>
      <c r="H2619" s="405"/>
      <c r="I2619" s="405"/>
      <c r="J2619" s="405"/>
      <c r="K2619" s="405"/>
      <c r="L2619" s="405"/>
      <c r="M2619" s="405"/>
      <c r="N2619" s="405"/>
      <c r="O2619" s="405"/>
      <c r="P2619" s="405"/>
      <c r="Q2619" s="405"/>
      <c r="R2619" s="405"/>
      <c r="S2619" s="405"/>
      <c r="T2619" s="405"/>
      <c r="U2619" s="405"/>
      <c r="V2619" s="405"/>
      <c r="W2619" s="405"/>
      <c r="X2619" s="405"/>
      <c r="Y2619" s="405"/>
      <c r="Z2619" s="405"/>
      <c r="AA2619" s="405"/>
      <c r="AB2619" s="405"/>
    </row>
    <row r="2620" ht="14.25" customHeight="1">
      <c r="A2620" s="405"/>
      <c r="B2620" s="405"/>
      <c r="C2620" s="405"/>
      <c r="D2620" s="405"/>
      <c r="E2620" s="405"/>
      <c r="F2620" s="583"/>
      <c r="G2620" s="583"/>
      <c r="H2620" s="405"/>
      <c r="I2620" s="405"/>
      <c r="J2620" s="405"/>
      <c r="K2620" s="405"/>
      <c r="L2620" s="405"/>
      <c r="M2620" s="405"/>
      <c r="N2620" s="405"/>
      <c r="O2620" s="405"/>
      <c r="P2620" s="405"/>
      <c r="Q2620" s="405"/>
      <c r="R2620" s="405"/>
      <c r="S2620" s="405"/>
      <c r="T2620" s="405"/>
      <c r="U2620" s="405"/>
      <c r="V2620" s="405"/>
      <c r="W2620" s="405"/>
      <c r="X2620" s="405"/>
      <c r="Y2620" s="405"/>
      <c r="Z2620" s="405"/>
      <c r="AA2620" s="405"/>
      <c r="AB2620" s="405"/>
    </row>
    <row r="2621" ht="14.25" customHeight="1">
      <c r="A2621" s="405"/>
      <c r="B2621" s="405"/>
      <c r="C2621" s="405"/>
      <c r="D2621" s="405"/>
      <c r="E2621" s="405"/>
      <c r="F2621" s="583"/>
      <c r="G2621" s="583"/>
      <c r="H2621" s="405"/>
      <c r="I2621" s="405"/>
      <c r="J2621" s="405"/>
      <c r="K2621" s="405"/>
      <c r="L2621" s="405"/>
      <c r="M2621" s="405"/>
      <c r="N2621" s="405"/>
      <c r="O2621" s="405"/>
      <c r="P2621" s="405"/>
      <c r="Q2621" s="405"/>
      <c r="R2621" s="405"/>
      <c r="S2621" s="405"/>
      <c r="T2621" s="405"/>
      <c r="U2621" s="405"/>
      <c r="V2621" s="405"/>
      <c r="W2621" s="405"/>
      <c r="X2621" s="405"/>
      <c r="Y2621" s="405"/>
      <c r="Z2621" s="405"/>
      <c r="AA2621" s="405"/>
      <c r="AB2621" s="405"/>
    </row>
    <row r="2622" ht="14.25" customHeight="1">
      <c r="A2622" s="405"/>
      <c r="B2622" s="405"/>
      <c r="C2622" s="405"/>
      <c r="D2622" s="405"/>
      <c r="E2622" s="405"/>
      <c r="F2622" s="583"/>
      <c r="G2622" s="583"/>
      <c r="H2622" s="405"/>
      <c r="I2622" s="405"/>
      <c r="J2622" s="405"/>
      <c r="K2622" s="405"/>
      <c r="L2622" s="405"/>
      <c r="M2622" s="405"/>
      <c r="N2622" s="405"/>
      <c r="O2622" s="405"/>
      <c r="P2622" s="405"/>
      <c r="Q2622" s="405"/>
      <c r="R2622" s="405"/>
      <c r="S2622" s="405"/>
      <c r="T2622" s="405"/>
      <c r="U2622" s="405"/>
      <c r="V2622" s="405"/>
      <c r="W2622" s="405"/>
      <c r="X2622" s="405"/>
      <c r="Y2622" s="405"/>
      <c r="Z2622" s="405"/>
      <c r="AA2622" s="405"/>
      <c r="AB2622" s="405"/>
    </row>
    <row r="2623" ht="14.25" customHeight="1">
      <c r="A2623" s="405"/>
      <c r="B2623" s="405"/>
      <c r="C2623" s="405"/>
      <c r="D2623" s="405"/>
      <c r="E2623" s="405"/>
      <c r="F2623" s="583"/>
      <c r="G2623" s="583"/>
      <c r="H2623" s="405"/>
      <c r="I2623" s="405"/>
      <c r="J2623" s="405"/>
      <c r="K2623" s="405"/>
      <c r="L2623" s="405"/>
      <c r="M2623" s="405"/>
      <c r="N2623" s="405"/>
      <c r="O2623" s="405"/>
      <c r="P2623" s="405"/>
      <c r="Q2623" s="405"/>
      <c r="R2623" s="405"/>
      <c r="S2623" s="405"/>
      <c r="T2623" s="405"/>
      <c r="U2623" s="405"/>
      <c r="V2623" s="405"/>
      <c r="W2623" s="405"/>
      <c r="X2623" s="405"/>
      <c r="Y2623" s="405"/>
      <c r="Z2623" s="405"/>
      <c r="AA2623" s="405"/>
      <c r="AB2623" s="405"/>
    </row>
    <row r="2624" ht="14.25" customHeight="1">
      <c r="A2624" s="405"/>
      <c r="B2624" s="405"/>
      <c r="C2624" s="405"/>
      <c r="D2624" s="405"/>
      <c r="E2624" s="405"/>
      <c r="F2624" s="583"/>
      <c r="G2624" s="583"/>
      <c r="H2624" s="405"/>
      <c r="I2624" s="405"/>
      <c r="J2624" s="405"/>
      <c r="K2624" s="405"/>
      <c r="L2624" s="405"/>
      <c r="M2624" s="405"/>
      <c r="N2624" s="405"/>
      <c r="O2624" s="405"/>
      <c r="P2624" s="405"/>
      <c r="Q2624" s="405"/>
      <c r="R2624" s="405"/>
      <c r="S2624" s="405"/>
      <c r="T2624" s="405"/>
      <c r="U2624" s="405"/>
      <c r="V2624" s="405"/>
      <c r="W2624" s="405"/>
      <c r="X2624" s="405"/>
      <c r="Y2624" s="405"/>
      <c r="Z2624" s="405"/>
      <c r="AA2624" s="405"/>
      <c r="AB2624" s="405"/>
    </row>
    <row r="2625" ht="14.25" customHeight="1">
      <c r="A2625" s="405"/>
      <c r="B2625" s="405"/>
      <c r="C2625" s="405"/>
      <c r="D2625" s="405"/>
      <c r="E2625" s="405"/>
      <c r="F2625" s="583"/>
      <c r="G2625" s="583"/>
      <c r="H2625" s="405"/>
      <c r="I2625" s="405"/>
      <c r="J2625" s="405"/>
      <c r="K2625" s="405"/>
      <c r="L2625" s="405"/>
      <c r="M2625" s="405"/>
      <c r="N2625" s="405"/>
      <c r="O2625" s="405"/>
      <c r="P2625" s="405"/>
      <c r="Q2625" s="405"/>
      <c r="R2625" s="405"/>
      <c r="S2625" s="405"/>
      <c r="T2625" s="405"/>
      <c r="U2625" s="405"/>
      <c r="V2625" s="405"/>
      <c r="W2625" s="405"/>
      <c r="X2625" s="405"/>
      <c r="Y2625" s="405"/>
      <c r="Z2625" s="405"/>
      <c r="AA2625" s="405"/>
      <c r="AB2625" s="405"/>
    </row>
    <row r="2626" ht="14.25" customHeight="1">
      <c r="A2626" s="405"/>
      <c r="B2626" s="405"/>
      <c r="C2626" s="405"/>
      <c r="D2626" s="405"/>
      <c r="E2626" s="405"/>
      <c r="F2626" s="583"/>
      <c r="G2626" s="583"/>
      <c r="H2626" s="405"/>
      <c r="I2626" s="405"/>
      <c r="J2626" s="405"/>
      <c r="K2626" s="405"/>
      <c r="L2626" s="405"/>
      <c r="M2626" s="405"/>
      <c r="N2626" s="405"/>
      <c r="O2626" s="405"/>
      <c r="P2626" s="405"/>
      <c r="Q2626" s="405"/>
      <c r="R2626" s="405"/>
      <c r="S2626" s="405"/>
      <c r="T2626" s="405"/>
      <c r="U2626" s="405"/>
      <c r="V2626" s="405"/>
      <c r="W2626" s="405"/>
      <c r="X2626" s="405"/>
      <c r="Y2626" s="405"/>
      <c r="Z2626" s="405"/>
      <c r="AA2626" s="405"/>
      <c r="AB2626" s="405"/>
    </row>
    <row r="2627" ht="14.25" customHeight="1">
      <c r="A2627" s="405"/>
      <c r="B2627" s="405"/>
      <c r="C2627" s="405"/>
      <c r="D2627" s="405"/>
      <c r="E2627" s="405"/>
      <c r="F2627" s="583"/>
      <c r="G2627" s="583"/>
      <c r="H2627" s="405"/>
      <c r="I2627" s="405"/>
      <c r="J2627" s="405"/>
      <c r="K2627" s="405"/>
      <c r="L2627" s="405"/>
      <c r="M2627" s="405"/>
      <c r="N2627" s="405"/>
      <c r="O2627" s="405"/>
      <c r="P2627" s="405"/>
      <c r="Q2627" s="405"/>
      <c r="R2627" s="405"/>
      <c r="S2627" s="405"/>
      <c r="T2627" s="405"/>
      <c r="U2627" s="405"/>
      <c r="V2627" s="405"/>
      <c r="W2627" s="405"/>
      <c r="X2627" s="405"/>
      <c r="Y2627" s="405"/>
      <c r="Z2627" s="405"/>
      <c r="AA2627" s="405"/>
      <c r="AB2627" s="405"/>
    </row>
    <row r="2628" ht="14.25" customHeight="1">
      <c r="A2628" s="405"/>
      <c r="B2628" s="405"/>
      <c r="C2628" s="405"/>
      <c r="D2628" s="405"/>
      <c r="E2628" s="405"/>
      <c r="F2628" s="583"/>
      <c r="G2628" s="583"/>
      <c r="H2628" s="405"/>
      <c r="I2628" s="405"/>
      <c r="J2628" s="405"/>
      <c r="K2628" s="405"/>
      <c r="L2628" s="405"/>
      <c r="M2628" s="405"/>
      <c r="N2628" s="405"/>
      <c r="O2628" s="405"/>
      <c r="P2628" s="405"/>
      <c r="Q2628" s="405"/>
      <c r="R2628" s="405"/>
      <c r="S2628" s="405"/>
      <c r="T2628" s="405"/>
      <c r="U2628" s="405"/>
      <c r="V2628" s="405"/>
      <c r="W2628" s="405"/>
      <c r="X2628" s="405"/>
      <c r="Y2628" s="405"/>
      <c r="Z2628" s="405"/>
      <c r="AA2628" s="405"/>
      <c r="AB2628" s="405"/>
    </row>
    <row r="2629" ht="14.25" customHeight="1">
      <c r="A2629" s="405"/>
      <c r="B2629" s="405"/>
      <c r="C2629" s="405"/>
      <c r="D2629" s="405"/>
      <c r="E2629" s="405"/>
      <c r="F2629" s="583"/>
      <c r="G2629" s="583"/>
      <c r="H2629" s="405"/>
      <c r="I2629" s="405"/>
      <c r="J2629" s="405"/>
      <c r="K2629" s="405"/>
      <c r="L2629" s="405"/>
      <c r="M2629" s="405"/>
      <c r="N2629" s="405"/>
      <c r="O2629" s="405"/>
      <c r="P2629" s="405"/>
      <c r="Q2629" s="405"/>
      <c r="R2629" s="405"/>
      <c r="S2629" s="405"/>
      <c r="T2629" s="405"/>
      <c r="U2629" s="405"/>
      <c r="V2629" s="405"/>
      <c r="W2629" s="405"/>
      <c r="X2629" s="405"/>
      <c r="Y2629" s="405"/>
      <c r="Z2629" s="405"/>
      <c r="AA2629" s="405"/>
      <c r="AB2629" s="405"/>
    </row>
    <row r="2630" ht="14.25" customHeight="1">
      <c r="A2630" s="405"/>
      <c r="B2630" s="405"/>
      <c r="C2630" s="405"/>
      <c r="D2630" s="405"/>
      <c r="E2630" s="405"/>
      <c r="F2630" s="583"/>
      <c r="G2630" s="583"/>
      <c r="H2630" s="405"/>
      <c r="I2630" s="405"/>
      <c r="J2630" s="405"/>
      <c r="K2630" s="405"/>
      <c r="L2630" s="405"/>
      <c r="M2630" s="405"/>
      <c r="N2630" s="405"/>
      <c r="O2630" s="405"/>
      <c r="P2630" s="405"/>
      <c r="Q2630" s="405"/>
      <c r="R2630" s="405"/>
      <c r="S2630" s="405"/>
      <c r="T2630" s="405"/>
      <c r="U2630" s="405"/>
      <c r="V2630" s="405"/>
      <c r="W2630" s="405"/>
      <c r="X2630" s="405"/>
      <c r="Y2630" s="405"/>
      <c r="Z2630" s="405"/>
      <c r="AA2630" s="405"/>
      <c r="AB2630" s="405"/>
    </row>
    <row r="2631" ht="14.25" customHeight="1">
      <c r="A2631" s="405"/>
      <c r="B2631" s="405"/>
      <c r="C2631" s="405"/>
      <c r="D2631" s="405"/>
      <c r="E2631" s="405"/>
      <c r="F2631" s="583"/>
      <c r="G2631" s="583"/>
      <c r="H2631" s="405"/>
      <c r="I2631" s="405"/>
      <c r="J2631" s="405"/>
      <c r="K2631" s="405"/>
      <c r="L2631" s="405"/>
      <c r="M2631" s="405"/>
      <c r="N2631" s="405"/>
      <c r="O2631" s="405"/>
      <c r="P2631" s="405"/>
      <c r="Q2631" s="405"/>
      <c r="R2631" s="405"/>
      <c r="S2631" s="405"/>
      <c r="T2631" s="405"/>
      <c r="U2631" s="405"/>
      <c r="V2631" s="405"/>
      <c r="W2631" s="405"/>
      <c r="X2631" s="405"/>
      <c r="Y2631" s="405"/>
      <c r="Z2631" s="405"/>
      <c r="AA2631" s="405"/>
      <c r="AB2631" s="405"/>
    </row>
    <row r="2632" ht="14.25" customHeight="1">
      <c r="A2632" s="405"/>
      <c r="B2632" s="405"/>
      <c r="C2632" s="405"/>
      <c r="D2632" s="405"/>
      <c r="E2632" s="405"/>
      <c r="F2632" s="583"/>
      <c r="G2632" s="583"/>
      <c r="H2632" s="405"/>
      <c r="I2632" s="405"/>
      <c r="J2632" s="405"/>
      <c r="K2632" s="405"/>
      <c r="L2632" s="405"/>
      <c r="M2632" s="405"/>
      <c r="N2632" s="405"/>
      <c r="O2632" s="405"/>
      <c r="P2632" s="405"/>
      <c r="Q2632" s="405"/>
      <c r="R2632" s="405"/>
      <c r="S2632" s="405"/>
      <c r="T2632" s="405"/>
      <c r="U2632" s="405"/>
      <c r="V2632" s="405"/>
      <c r="W2632" s="405"/>
      <c r="X2632" s="405"/>
      <c r="Y2632" s="405"/>
      <c r="Z2632" s="405"/>
      <c r="AA2632" s="405"/>
      <c r="AB2632" s="405"/>
    </row>
    <row r="2633" ht="14.25" customHeight="1">
      <c r="A2633" s="405"/>
      <c r="B2633" s="405"/>
      <c r="C2633" s="405"/>
      <c r="D2633" s="405"/>
      <c r="E2633" s="405"/>
      <c r="F2633" s="583"/>
      <c r="G2633" s="583"/>
      <c r="H2633" s="405"/>
      <c r="I2633" s="405"/>
      <c r="J2633" s="405"/>
      <c r="K2633" s="405"/>
      <c r="L2633" s="405"/>
      <c r="M2633" s="405"/>
      <c r="N2633" s="405"/>
      <c r="O2633" s="405"/>
      <c r="P2633" s="405"/>
      <c r="Q2633" s="405"/>
      <c r="R2633" s="405"/>
      <c r="S2633" s="405"/>
      <c r="T2633" s="405"/>
      <c r="U2633" s="405"/>
      <c r="V2633" s="405"/>
      <c r="W2633" s="405"/>
      <c r="X2633" s="405"/>
      <c r="Y2633" s="405"/>
      <c r="Z2633" s="405"/>
      <c r="AA2633" s="405"/>
      <c r="AB2633" s="405"/>
    </row>
    <row r="2634" ht="14.25" customHeight="1">
      <c r="A2634" s="405"/>
      <c r="B2634" s="405"/>
      <c r="C2634" s="405"/>
      <c r="D2634" s="405"/>
      <c r="E2634" s="405"/>
      <c r="F2634" s="583"/>
      <c r="G2634" s="583"/>
      <c r="H2634" s="405"/>
      <c r="I2634" s="405"/>
      <c r="J2634" s="405"/>
      <c r="K2634" s="405"/>
      <c r="L2634" s="405"/>
      <c r="M2634" s="405"/>
      <c r="N2634" s="405"/>
      <c r="O2634" s="405"/>
      <c r="P2634" s="405"/>
      <c r="Q2634" s="405"/>
      <c r="R2634" s="405"/>
      <c r="S2634" s="405"/>
      <c r="T2634" s="405"/>
      <c r="U2634" s="405"/>
      <c r="V2634" s="405"/>
      <c r="W2634" s="405"/>
      <c r="X2634" s="405"/>
      <c r="Y2634" s="405"/>
      <c r="Z2634" s="405"/>
      <c r="AA2634" s="405"/>
      <c r="AB2634" s="405"/>
    </row>
    <row r="2635" ht="14.25" customHeight="1">
      <c r="A2635" s="405"/>
      <c r="B2635" s="405"/>
      <c r="C2635" s="405"/>
      <c r="D2635" s="405"/>
      <c r="E2635" s="405"/>
      <c r="F2635" s="583"/>
      <c r="G2635" s="583"/>
      <c r="H2635" s="405"/>
      <c r="I2635" s="405"/>
      <c r="J2635" s="405"/>
      <c r="K2635" s="405"/>
      <c r="L2635" s="405"/>
      <c r="M2635" s="405"/>
      <c r="N2635" s="405"/>
      <c r="O2635" s="405"/>
      <c r="P2635" s="405"/>
      <c r="Q2635" s="405"/>
      <c r="R2635" s="405"/>
      <c r="S2635" s="405"/>
      <c r="T2635" s="405"/>
      <c r="U2635" s="405"/>
      <c r="V2635" s="405"/>
      <c r="W2635" s="405"/>
      <c r="X2635" s="405"/>
      <c r="Y2635" s="405"/>
      <c r="Z2635" s="405"/>
      <c r="AA2635" s="405"/>
      <c r="AB2635" s="405"/>
    </row>
    <row r="2636" ht="14.25" customHeight="1">
      <c r="A2636" s="405"/>
      <c r="B2636" s="405"/>
      <c r="C2636" s="405"/>
      <c r="D2636" s="405"/>
      <c r="E2636" s="405"/>
      <c r="F2636" s="583"/>
      <c r="G2636" s="583"/>
      <c r="H2636" s="405"/>
      <c r="I2636" s="405"/>
      <c r="J2636" s="405"/>
      <c r="K2636" s="405"/>
      <c r="L2636" s="405"/>
      <c r="M2636" s="405"/>
      <c r="N2636" s="405"/>
      <c r="O2636" s="405"/>
      <c r="P2636" s="405"/>
      <c r="Q2636" s="405"/>
      <c r="R2636" s="405"/>
      <c r="S2636" s="405"/>
      <c r="T2636" s="405"/>
      <c r="U2636" s="405"/>
      <c r="V2636" s="405"/>
      <c r="W2636" s="405"/>
      <c r="X2636" s="405"/>
      <c r="Y2636" s="405"/>
      <c r="Z2636" s="405"/>
      <c r="AA2636" s="405"/>
      <c r="AB2636" s="405"/>
    </row>
    <row r="2637" ht="14.25" customHeight="1">
      <c r="A2637" s="405"/>
      <c r="B2637" s="405"/>
      <c r="C2637" s="405"/>
      <c r="D2637" s="405"/>
      <c r="E2637" s="405"/>
      <c r="F2637" s="583"/>
      <c r="G2637" s="583"/>
      <c r="H2637" s="405"/>
      <c r="I2637" s="405"/>
      <c r="J2637" s="405"/>
      <c r="K2637" s="405"/>
      <c r="L2637" s="405"/>
      <c r="M2637" s="405"/>
      <c r="N2637" s="405"/>
      <c r="O2637" s="405"/>
      <c r="P2637" s="405"/>
      <c r="Q2637" s="405"/>
      <c r="R2637" s="405"/>
      <c r="S2637" s="405"/>
      <c r="T2637" s="405"/>
      <c r="U2637" s="405"/>
      <c r="V2637" s="405"/>
      <c r="W2637" s="405"/>
      <c r="X2637" s="405"/>
      <c r="Y2637" s="405"/>
      <c r="Z2637" s="405"/>
      <c r="AA2637" s="405"/>
      <c r="AB2637" s="405"/>
    </row>
    <row r="2638" ht="14.25" customHeight="1">
      <c r="A2638" s="405"/>
      <c r="B2638" s="405"/>
      <c r="C2638" s="405"/>
      <c r="D2638" s="405"/>
      <c r="E2638" s="405"/>
      <c r="F2638" s="583"/>
      <c r="G2638" s="583"/>
      <c r="H2638" s="405"/>
      <c r="I2638" s="405"/>
      <c r="J2638" s="405"/>
      <c r="K2638" s="405"/>
      <c r="L2638" s="405"/>
      <c r="M2638" s="405"/>
      <c r="N2638" s="405"/>
      <c r="O2638" s="405"/>
      <c r="P2638" s="405"/>
      <c r="Q2638" s="405"/>
      <c r="R2638" s="405"/>
      <c r="S2638" s="405"/>
      <c r="T2638" s="405"/>
      <c r="U2638" s="405"/>
      <c r="V2638" s="405"/>
      <c r="W2638" s="405"/>
      <c r="X2638" s="405"/>
      <c r="Y2638" s="405"/>
      <c r="Z2638" s="405"/>
      <c r="AA2638" s="405"/>
      <c r="AB2638" s="405"/>
    </row>
    <row r="2639" ht="14.25" customHeight="1">
      <c r="A2639" s="405"/>
      <c r="B2639" s="405"/>
      <c r="C2639" s="405"/>
      <c r="D2639" s="405"/>
      <c r="E2639" s="405"/>
      <c r="F2639" s="583"/>
      <c r="G2639" s="583"/>
      <c r="H2639" s="405"/>
      <c r="I2639" s="405"/>
      <c r="J2639" s="405"/>
      <c r="K2639" s="405"/>
      <c r="L2639" s="405"/>
      <c r="M2639" s="405"/>
      <c r="N2639" s="405"/>
      <c r="O2639" s="405"/>
      <c r="P2639" s="405"/>
      <c r="Q2639" s="405"/>
      <c r="R2639" s="405"/>
      <c r="S2639" s="405"/>
      <c r="T2639" s="405"/>
      <c r="U2639" s="405"/>
      <c r="V2639" s="405"/>
      <c r="W2639" s="405"/>
      <c r="X2639" s="405"/>
      <c r="Y2639" s="405"/>
      <c r="Z2639" s="405"/>
      <c r="AA2639" s="405"/>
      <c r="AB2639" s="405"/>
    </row>
    <row r="2640" ht="14.25" customHeight="1">
      <c r="A2640" s="405"/>
      <c r="B2640" s="405"/>
      <c r="C2640" s="405"/>
      <c r="D2640" s="405"/>
      <c r="E2640" s="405"/>
      <c r="F2640" s="583"/>
      <c r="G2640" s="583"/>
      <c r="H2640" s="405"/>
      <c r="I2640" s="405"/>
      <c r="J2640" s="405"/>
      <c r="K2640" s="405"/>
      <c r="L2640" s="405"/>
      <c r="M2640" s="405"/>
      <c r="N2640" s="405"/>
      <c r="O2640" s="405"/>
      <c r="P2640" s="405"/>
      <c r="Q2640" s="405"/>
      <c r="R2640" s="405"/>
      <c r="S2640" s="405"/>
      <c r="T2640" s="405"/>
      <c r="U2640" s="405"/>
      <c r="V2640" s="405"/>
      <c r="W2640" s="405"/>
      <c r="X2640" s="405"/>
      <c r="Y2640" s="405"/>
      <c r="Z2640" s="405"/>
      <c r="AA2640" s="405"/>
      <c r="AB2640" s="405"/>
    </row>
    <row r="2641" ht="14.25" customHeight="1">
      <c r="A2641" s="405"/>
      <c r="B2641" s="405"/>
      <c r="C2641" s="405"/>
      <c r="D2641" s="405"/>
      <c r="E2641" s="405"/>
      <c r="F2641" s="583"/>
      <c r="G2641" s="583"/>
      <c r="H2641" s="405"/>
      <c r="I2641" s="405"/>
      <c r="J2641" s="405"/>
      <c r="K2641" s="405"/>
      <c r="L2641" s="405"/>
      <c r="M2641" s="405"/>
      <c r="N2641" s="405"/>
      <c r="O2641" s="405"/>
      <c r="P2641" s="405"/>
      <c r="Q2641" s="405"/>
      <c r="R2641" s="405"/>
      <c r="S2641" s="405"/>
      <c r="T2641" s="405"/>
      <c r="U2641" s="405"/>
      <c r="V2641" s="405"/>
      <c r="W2641" s="405"/>
      <c r="X2641" s="405"/>
      <c r="Y2641" s="405"/>
      <c r="Z2641" s="405"/>
      <c r="AA2641" s="405"/>
      <c r="AB2641" s="405"/>
    </row>
    <row r="2642" ht="14.25" customHeight="1">
      <c r="A2642" s="405"/>
      <c r="B2642" s="405"/>
      <c r="C2642" s="405"/>
      <c r="D2642" s="405"/>
      <c r="E2642" s="405"/>
      <c r="F2642" s="583"/>
      <c r="G2642" s="583"/>
      <c r="H2642" s="405"/>
      <c r="I2642" s="405"/>
      <c r="J2642" s="405"/>
      <c r="K2642" s="405"/>
      <c r="L2642" s="405"/>
      <c r="M2642" s="405"/>
      <c r="N2642" s="405"/>
      <c r="O2642" s="405"/>
      <c r="P2642" s="405"/>
      <c r="Q2642" s="405"/>
      <c r="R2642" s="405"/>
      <c r="S2642" s="405"/>
      <c r="T2642" s="405"/>
      <c r="U2642" s="405"/>
      <c r="V2642" s="405"/>
      <c r="W2642" s="405"/>
      <c r="X2642" s="405"/>
      <c r="Y2642" s="405"/>
      <c r="Z2642" s="405"/>
      <c r="AA2642" s="405"/>
      <c r="AB2642" s="405"/>
    </row>
    <row r="2643" ht="14.25" customHeight="1">
      <c r="A2643" s="405"/>
      <c r="B2643" s="405"/>
      <c r="C2643" s="405"/>
      <c r="D2643" s="405"/>
      <c r="E2643" s="405"/>
      <c r="F2643" s="583"/>
      <c r="G2643" s="583"/>
      <c r="H2643" s="405"/>
      <c r="I2643" s="405"/>
      <c r="J2643" s="405"/>
      <c r="K2643" s="405"/>
      <c r="L2643" s="405"/>
      <c r="M2643" s="405"/>
      <c r="N2643" s="405"/>
      <c r="O2643" s="405"/>
      <c r="P2643" s="405"/>
      <c r="Q2643" s="405"/>
      <c r="R2643" s="405"/>
      <c r="S2643" s="405"/>
      <c r="T2643" s="405"/>
      <c r="U2643" s="405"/>
      <c r="V2643" s="405"/>
      <c r="W2643" s="405"/>
      <c r="X2643" s="405"/>
      <c r="Y2643" s="405"/>
      <c r="Z2643" s="405"/>
      <c r="AA2643" s="405"/>
      <c r="AB2643" s="405"/>
    </row>
    <row r="2644" ht="14.25" customHeight="1">
      <c r="A2644" s="405"/>
      <c r="B2644" s="405"/>
      <c r="C2644" s="405"/>
      <c r="D2644" s="405"/>
      <c r="E2644" s="405"/>
      <c r="F2644" s="583"/>
      <c r="G2644" s="583"/>
      <c r="H2644" s="405"/>
      <c r="I2644" s="405"/>
      <c r="J2644" s="405"/>
      <c r="K2644" s="405"/>
      <c r="L2644" s="405"/>
      <c r="M2644" s="405"/>
      <c r="N2644" s="405"/>
      <c r="O2644" s="405"/>
      <c r="P2644" s="405"/>
      <c r="Q2644" s="405"/>
      <c r="R2644" s="405"/>
      <c r="S2644" s="405"/>
      <c r="T2644" s="405"/>
      <c r="U2644" s="405"/>
      <c r="V2644" s="405"/>
      <c r="W2644" s="405"/>
      <c r="X2644" s="405"/>
      <c r="Y2644" s="405"/>
      <c r="Z2644" s="405"/>
      <c r="AA2644" s="405"/>
      <c r="AB2644" s="405"/>
    </row>
    <row r="2645" ht="14.25" customHeight="1">
      <c r="A2645" s="405"/>
      <c r="B2645" s="405"/>
      <c r="C2645" s="405"/>
      <c r="D2645" s="405"/>
      <c r="E2645" s="405"/>
      <c r="F2645" s="583"/>
      <c r="G2645" s="583"/>
      <c r="H2645" s="405"/>
      <c r="I2645" s="405"/>
      <c r="J2645" s="405"/>
      <c r="K2645" s="405"/>
      <c r="L2645" s="405"/>
      <c r="M2645" s="405"/>
      <c r="N2645" s="405"/>
      <c r="O2645" s="405"/>
      <c r="P2645" s="405"/>
      <c r="Q2645" s="405"/>
      <c r="R2645" s="405"/>
      <c r="S2645" s="405"/>
      <c r="T2645" s="405"/>
      <c r="U2645" s="405"/>
      <c r="V2645" s="405"/>
      <c r="W2645" s="405"/>
      <c r="X2645" s="405"/>
      <c r="Y2645" s="405"/>
      <c r="Z2645" s="405"/>
      <c r="AA2645" s="405"/>
      <c r="AB2645" s="405"/>
    </row>
    <row r="2646" ht="14.25" customHeight="1">
      <c r="A2646" s="405"/>
      <c r="B2646" s="405"/>
      <c r="C2646" s="405"/>
      <c r="D2646" s="405"/>
      <c r="E2646" s="405"/>
      <c r="F2646" s="583"/>
      <c r="G2646" s="583"/>
      <c r="H2646" s="405"/>
      <c r="I2646" s="405"/>
      <c r="J2646" s="405"/>
      <c r="K2646" s="405"/>
      <c r="L2646" s="405"/>
      <c r="M2646" s="405"/>
      <c r="N2646" s="405"/>
      <c r="O2646" s="405"/>
      <c r="P2646" s="405"/>
      <c r="Q2646" s="405"/>
      <c r="R2646" s="405"/>
      <c r="S2646" s="405"/>
      <c r="T2646" s="405"/>
      <c r="U2646" s="405"/>
      <c r="V2646" s="405"/>
      <c r="W2646" s="405"/>
      <c r="X2646" s="405"/>
      <c r="Y2646" s="405"/>
      <c r="Z2646" s="405"/>
      <c r="AA2646" s="405"/>
      <c r="AB2646" s="405"/>
    </row>
    <row r="2647" ht="14.25" customHeight="1">
      <c r="A2647" s="405"/>
      <c r="B2647" s="405"/>
      <c r="C2647" s="405"/>
      <c r="D2647" s="405"/>
      <c r="E2647" s="405"/>
      <c r="F2647" s="583"/>
      <c r="G2647" s="583"/>
      <c r="H2647" s="405"/>
      <c r="I2647" s="405"/>
      <c r="J2647" s="405"/>
      <c r="K2647" s="405"/>
      <c r="L2647" s="405"/>
      <c r="M2647" s="405"/>
      <c r="N2647" s="405"/>
      <c r="O2647" s="405"/>
      <c r="P2647" s="405"/>
      <c r="Q2647" s="405"/>
      <c r="R2647" s="405"/>
      <c r="S2647" s="405"/>
      <c r="T2647" s="405"/>
      <c r="U2647" s="405"/>
      <c r="V2647" s="405"/>
      <c r="W2647" s="405"/>
      <c r="X2647" s="405"/>
      <c r="Y2647" s="405"/>
      <c r="Z2647" s="405"/>
      <c r="AA2647" s="405"/>
      <c r="AB2647" s="405"/>
    </row>
    <row r="2648" ht="14.25" customHeight="1">
      <c r="A2648" s="405"/>
      <c r="B2648" s="405"/>
      <c r="C2648" s="405"/>
      <c r="D2648" s="405"/>
      <c r="E2648" s="405"/>
      <c r="F2648" s="583"/>
      <c r="G2648" s="583"/>
      <c r="H2648" s="405"/>
      <c r="I2648" s="405"/>
      <c r="J2648" s="405"/>
      <c r="K2648" s="405"/>
      <c r="L2648" s="405"/>
      <c r="M2648" s="405"/>
      <c r="N2648" s="405"/>
      <c r="O2648" s="405"/>
      <c r="P2648" s="405"/>
      <c r="Q2648" s="405"/>
      <c r="R2648" s="405"/>
      <c r="S2648" s="405"/>
      <c r="T2648" s="405"/>
      <c r="U2648" s="405"/>
      <c r="V2648" s="405"/>
      <c r="W2648" s="405"/>
      <c r="X2648" s="405"/>
      <c r="Y2648" s="405"/>
      <c r="Z2648" s="405"/>
      <c r="AA2648" s="405"/>
      <c r="AB2648" s="405"/>
    </row>
    <row r="2649" ht="14.25" customHeight="1">
      <c r="A2649" s="405"/>
      <c r="B2649" s="405"/>
      <c r="C2649" s="405"/>
      <c r="D2649" s="405"/>
      <c r="E2649" s="405"/>
      <c r="F2649" s="583"/>
      <c r="G2649" s="583"/>
      <c r="H2649" s="405"/>
      <c r="I2649" s="405"/>
      <c r="J2649" s="405"/>
      <c r="K2649" s="405"/>
      <c r="L2649" s="405"/>
      <c r="M2649" s="405"/>
      <c r="N2649" s="405"/>
      <c r="O2649" s="405"/>
      <c r="P2649" s="405"/>
      <c r="Q2649" s="405"/>
      <c r="R2649" s="405"/>
      <c r="S2649" s="405"/>
      <c r="T2649" s="405"/>
      <c r="U2649" s="405"/>
      <c r="V2649" s="405"/>
      <c r="W2649" s="405"/>
      <c r="X2649" s="405"/>
      <c r="Y2649" s="405"/>
      <c r="Z2649" s="405"/>
      <c r="AA2649" s="405"/>
      <c r="AB2649" s="405"/>
    </row>
    <row r="2650" ht="14.25" customHeight="1">
      <c r="A2650" s="405"/>
      <c r="B2650" s="405"/>
      <c r="C2650" s="405"/>
      <c r="D2650" s="405"/>
      <c r="E2650" s="405"/>
      <c r="F2650" s="583"/>
      <c r="G2650" s="583"/>
      <c r="H2650" s="405"/>
      <c r="I2650" s="405"/>
      <c r="J2650" s="405"/>
      <c r="K2650" s="405"/>
      <c r="L2650" s="405"/>
      <c r="M2650" s="405"/>
      <c r="N2650" s="405"/>
      <c r="O2650" s="405"/>
      <c r="P2650" s="405"/>
      <c r="Q2650" s="405"/>
      <c r="R2650" s="405"/>
      <c r="S2650" s="405"/>
      <c r="T2650" s="405"/>
      <c r="U2650" s="405"/>
      <c r="V2650" s="405"/>
      <c r="W2650" s="405"/>
      <c r="X2650" s="405"/>
      <c r="Y2650" s="405"/>
      <c r="Z2650" s="405"/>
      <c r="AA2650" s="405"/>
      <c r="AB2650" s="405"/>
    </row>
    <row r="2651" ht="14.25" customHeight="1">
      <c r="A2651" s="405"/>
      <c r="B2651" s="405"/>
      <c r="C2651" s="405"/>
      <c r="D2651" s="405"/>
      <c r="E2651" s="405"/>
      <c r="F2651" s="583"/>
      <c r="G2651" s="583"/>
      <c r="H2651" s="405"/>
      <c r="I2651" s="405"/>
      <c r="J2651" s="405"/>
      <c r="K2651" s="405"/>
      <c r="L2651" s="405"/>
      <c r="M2651" s="405"/>
      <c r="N2651" s="405"/>
      <c r="O2651" s="405"/>
      <c r="P2651" s="405"/>
      <c r="Q2651" s="405"/>
      <c r="R2651" s="405"/>
      <c r="S2651" s="405"/>
      <c r="T2651" s="405"/>
      <c r="U2651" s="405"/>
      <c r="V2651" s="405"/>
      <c r="W2651" s="405"/>
      <c r="X2651" s="405"/>
      <c r="Y2651" s="405"/>
      <c r="Z2651" s="405"/>
      <c r="AA2651" s="405"/>
      <c r="AB2651" s="405"/>
    </row>
    <row r="2652" ht="14.25" customHeight="1">
      <c r="A2652" s="405"/>
      <c r="B2652" s="405"/>
      <c r="C2652" s="405"/>
      <c r="D2652" s="405"/>
      <c r="E2652" s="405"/>
      <c r="F2652" s="583"/>
      <c r="G2652" s="583"/>
      <c r="H2652" s="405"/>
      <c r="I2652" s="405"/>
      <c r="J2652" s="405"/>
      <c r="K2652" s="405"/>
      <c r="L2652" s="405"/>
      <c r="M2652" s="405"/>
      <c r="N2652" s="405"/>
      <c r="O2652" s="405"/>
      <c r="P2652" s="405"/>
      <c r="Q2652" s="405"/>
      <c r="R2652" s="405"/>
      <c r="S2652" s="405"/>
      <c r="T2652" s="405"/>
      <c r="U2652" s="405"/>
      <c r="V2652" s="405"/>
      <c r="W2652" s="405"/>
      <c r="X2652" s="405"/>
      <c r="Y2652" s="405"/>
      <c r="Z2652" s="405"/>
      <c r="AA2652" s="405"/>
      <c r="AB2652" s="405"/>
    </row>
    <row r="2653" ht="14.25" customHeight="1">
      <c r="A2653" s="405"/>
      <c r="B2653" s="405"/>
      <c r="C2653" s="405"/>
      <c r="D2653" s="405"/>
      <c r="E2653" s="405"/>
      <c r="F2653" s="583"/>
      <c r="G2653" s="583"/>
      <c r="H2653" s="405"/>
      <c r="I2653" s="405"/>
      <c r="J2653" s="405"/>
      <c r="K2653" s="405"/>
      <c r="L2653" s="405"/>
      <c r="M2653" s="405"/>
      <c r="N2653" s="405"/>
      <c r="O2653" s="405"/>
      <c r="P2653" s="405"/>
      <c r="Q2653" s="405"/>
      <c r="R2653" s="405"/>
      <c r="S2653" s="405"/>
      <c r="T2653" s="405"/>
      <c r="U2653" s="405"/>
      <c r="V2653" s="405"/>
      <c r="W2653" s="405"/>
      <c r="X2653" s="405"/>
      <c r="Y2653" s="405"/>
      <c r="Z2653" s="405"/>
      <c r="AA2653" s="405"/>
      <c r="AB2653" s="405"/>
    </row>
    <row r="2654" ht="14.25" customHeight="1">
      <c r="A2654" s="405"/>
      <c r="B2654" s="405"/>
      <c r="C2654" s="405"/>
      <c r="D2654" s="405"/>
      <c r="E2654" s="405"/>
      <c r="F2654" s="583"/>
      <c r="G2654" s="583"/>
      <c r="H2654" s="405"/>
      <c r="I2654" s="405"/>
      <c r="J2654" s="405"/>
      <c r="K2654" s="405"/>
      <c r="L2654" s="405"/>
      <c r="M2654" s="405"/>
      <c r="N2654" s="405"/>
      <c r="O2654" s="405"/>
      <c r="P2654" s="405"/>
      <c r="Q2654" s="405"/>
      <c r="R2654" s="405"/>
      <c r="S2654" s="405"/>
      <c r="T2654" s="405"/>
      <c r="U2654" s="405"/>
      <c r="V2654" s="405"/>
      <c r="W2654" s="405"/>
      <c r="X2654" s="405"/>
      <c r="Y2654" s="405"/>
      <c r="Z2654" s="405"/>
      <c r="AA2654" s="405"/>
      <c r="AB2654" s="405"/>
    </row>
    <row r="2655" ht="14.25" customHeight="1">
      <c r="A2655" s="405"/>
      <c r="B2655" s="405"/>
      <c r="C2655" s="405"/>
      <c r="D2655" s="405"/>
      <c r="E2655" s="405"/>
      <c r="F2655" s="583"/>
      <c r="G2655" s="583"/>
      <c r="H2655" s="405"/>
      <c r="I2655" s="405"/>
      <c r="J2655" s="405"/>
      <c r="K2655" s="405"/>
      <c r="L2655" s="405"/>
      <c r="M2655" s="405"/>
      <c r="N2655" s="405"/>
      <c r="O2655" s="405"/>
      <c r="P2655" s="405"/>
      <c r="Q2655" s="405"/>
      <c r="R2655" s="405"/>
      <c r="S2655" s="405"/>
      <c r="T2655" s="405"/>
      <c r="U2655" s="405"/>
      <c r="V2655" s="405"/>
      <c r="W2655" s="405"/>
      <c r="X2655" s="405"/>
      <c r="Y2655" s="405"/>
      <c r="Z2655" s="405"/>
      <c r="AA2655" s="405"/>
      <c r="AB2655" s="405"/>
    </row>
    <row r="2656" ht="14.25" customHeight="1">
      <c r="A2656" s="405"/>
      <c r="B2656" s="405"/>
      <c r="C2656" s="405"/>
      <c r="D2656" s="405"/>
      <c r="E2656" s="405"/>
      <c r="F2656" s="583"/>
      <c r="G2656" s="583"/>
      <c r="H2656" s="405"/>
      <c r="I2656" s="405"/>
      <c r="J2656" s="405"/>
      <c r="K2656" s="405"/>
      <c r="L2656" s="405"/>
      <c r="M2656" s="405"/>
      <c r="N2656" s="405"/>
      <c r="O2656" s="405"/>
      <c r="P2656" s="405"/>
      <c r="Q2656" s="405"/>
      <c r="R2656" s="405"/>
      <c r="S2656" s="405"/>
      <c r="T2656" s="405"/>
      <c r="U2656" s="405"/>
      <c r="V2656" s="405"/>
      <c r="W2656" s="405"/>
      <c r="X2656" s="405"/>
      <c r="Y2656" s="405"/>
      <c r="Z2656" s="405"/>
      <c r="AA2656" s="405"/>
      <c r="AB2656" s="405"/>
    </row>
    <row r="2657" ht="14.25" customHeight="1">
      <c r="A2657" s="405"/>
      <c r="B2657" s="405"/>
      <c r="C2657" s="405"/>
      <c r="D2657" s="405"/>
      <c r="E2657" s="405"/>
      <c r="F2657" s="583"/>
      <c r="G2657" s="583"/>
      <c r="H2657" s="405"/>
      <c r="I2657" s="405"/>
      <c r="J2657" s="405"/>
      <c r="K2657" s="405"/>
      <c r="L2657" s="405"/>
      <c r="M2657" s="405"/>
      <c r="N2657" s="405"/>
      <c r="O2657" s="405"/>
      <c r="P2657" s="405"/>
      <c r="Q2657" s="405"/>
      <c r="R2657" s="405"/>
      <c r="S2657" s="405"/>
      <c r="T2657" s="405"/>
      <c r="U2657" s="405"/>
      <c r="V2657" s="405"/>
      <c r="W2657" s="405"/>
      <c r="X2657" s="405"/>
      <c r="Y2657" s="405"/>
      <c r="Z2657" s="405"/>
      <c r="AA2657" s="405"/>
      <c r="AB2657" s="405"/>
    </row>
    <row r="2658" ht="14.25" customHeight="1">
      <c r="A2658" s="405"/>
      <c r="B2658" s="405"/>
      <c r="C2658" s="405"/>
      <c r="D2658" s="405"/>
      <c r="E2658" s="405"/>
      <c r="F2658" s="583"/>
      <c r="G2658" s="583"/>
      <c r="H2658" s="405"/>
      <c r="I2658" s="405"/>
      <c r="J2658" s="405"/>
      <c r="K2658" s="405"/>
      <c r="L2658" s="405"/>
      <c r="M2658" s="405"/>
      <c r="N2658" s="405"/>
      <c r="O2658" s="405"/>
      <c r="P2658" s="405"/>
      <c r="Q2658" s="405"/>
      <c r="R2658" s="405"/>
      <c r="S2658" s="405"/>
      <c r="T2658" s="405"/>
      <c r="U2658" s="405"/>
      <c r="V2658" s="405"/>
      <c r="W2658" s="405"/>
      <c r="X2658" s="405"/>
      <c r="Y2658" s="405"/>
      <c r="Z2658" s="405"/>
      <c r="AA2658" s="405"/>
      <c r="AB2658" s="405"/>
    </row>
    <row r="2659" ht="14.25" customHeight="1">
      <c r="A2659" s="405"/>
      <c r="B2659" s="405"/>
      <c r="C2659" s="405"/>
      <c r="D2659" s="405"/>
      <c r="E2659" s="405"/>
      <c r="F2659" s="583"/>
      <c r="G2659" s="583"/>
      <c r="H2659" s="405"/>
      <c r="I2659" s="405"/>
      <c r="J2659" s="405"/>
      <c r="K2659" s="405"/>
      <c r="L2659" s="405"/>
      <c r="M2659" s="405"/>
      <c r="N2659" s="405"/>
      <c r="O2659" s="405"/>
      <c r="P2659" s="405"/>
      <c r="Q2659" s="405"/>
      <c r="R2659" s="405"/>
      <c r="S2659" s="405"/>
      <c r="T2659" s="405"/>
      <c r="U2659" s="405"/>
      <c r="V2659" s="405"/>
      <c r="W2659" s="405"/>
      <c r="X2659" s="405"/>
      <c r="Y2659" s="405"/>
      <c r="Z2659" s="405"/>
      <c r="AA2659" s="405"/>
      <c r="AB2659" s="405"/>
    </row>
    <row r="2660" ht="14.25" customHeight="1">
      <c r="A2660" s="405"/>
      <c r="B2660" s="405"/>
      <c r="C2660" s="405"/>
      <c r="D2660" s="405"/>
      <c r="E2660" s="405"/>
      <c r="F2660" s="583"/>
      <c r="G2660" s="583"/>
      <c r="H2660" s="405"/>
      <c r="I2660" s="405"/>
      <c r="J2660" s="405"/>
      <c r="K2660" s="405"/>
      <c r="L2660" s="405"/>
      <c r="M2660" s="405"/>
      <c r="N2660" s="405"/>
      <c r="O2660" s="405"/>
      <c r="P2660" s="405"/>
      <c r="Q2660" s="405"/>
      <c r="R2660" s="405"/>
      <c r="S2660" s="405"/>
      <c r="T2660" s="405"/>
      <c r="U2660" s="405"/>
      <c r="V2660" s="405"/>
      <c r="W2660" s="405"/>
      <c r="X2660" s="405"/>
      <c r="Y2660" s="405"/>
      <c r="Z2660" s="405"/>
      <c r="AA2660" s="405"/>
      <c r="AB2660" s="405"/>
    </row>
    <row r="2661" ht="14.25" customHeight="1">
      <c r="A2661" s="405"/>
      <c r="B2661" s="405"/>
      <c r="C2661" s="405"/>
      <c r="D2661" s="405"/>
      <c r="E2661" s="405"/>
      <c r="F2661" s="583"/>
      <c r="G2661" s="583"/>
      <c r="H2661" s="405"/>
      <c r="I2661" s="405"/>
      <c r="J2661" s="405"/>
      <c r="K2661" s="405"/>
      <c r="L2661" s="405"/>
      <c r="M2661" s="405"/>
      <c r="N2661" s="405"/>
      <c r="O2661" s="405"/>
      <c r="P2661" s="405"/>
      <c r="Q2661" s="405"/>
      <c r="R2661" s="405"/>
      <c r="S2661" s="405"/>
      <c r="T2661" s="405"/>
      <c r="U2661" s="405"/>
      <c r="V2661" s="405"/>
      <c r="W2661" s="405"/>
      <c r="X2661" s="405"/>
      <c r="Y2661" s="405"/>
      <c r="Z2661" s="405"/>
      <c r="AA2661" s="405"/>
      <c r="AB2661" s="405"/>
    </row>
    <row r="2662" ht="14.25" customHeight="1">
      <c r="A2662" s="405"/>
      <c r="B2662" s="405"/>
      <c r="C2662" s="405"/>
      <c r="D2662" s="405"/>
      <c r="E2662" s="405"/>
      <c r="F2662" s="583"/>
      <c r="G2662" s="583"/>
      <c r="H2662" s="405"/>
      <c r="I2662" s="405"/>
      <c r="J2662" s="405"/>
      <c r="K2662" s="405"/>
      <c r="L2662" s="405"/>
      <c r="M2662" s="405"/>
      <c r="N2662" s="405"/>
      <c r="O2662" s="405"/>
      <c r="P2662" s="405"/>
      <c r="Q2662" s="405"/>
      <c r="R2662" s="405"/>
      <c r="S2662" s="405"/>
      <c r="T2662" s="405"/>
      <c r="U2662" s="405"/>
      <c r="V2662" s="405"/>
      <c r="W2662" s="405"/>
      <c r="X2662" s="405"/>
      <c r="Y2662" s="405"/>
      <c r="Z2662" s="405"/>
      <c r="AA2662" s="405"/>
      <c r="AB2662" s="405"/>
    </row>
    <row r="2663" ht="14.25" customHeight="1">
      <c r="A2663" s="405"/>
      <c r="B2663" s="405"/>
      <c r="C2663" s="405"/>
      <c r="D2663" s="405"/>
      <c r="E2663" s="405"/>
      <c r="F2663" s="583"/>
      <c r="G2663" s="583"/>
      <c r="H2663" s="405"/>
      <c r="I2663" s="405"/>
      <c r="J2663" s="405"/>
      <c r="K2663" s="405"/>
      <c r="L2663" s="405"/>
      <c r="M2663" s="405"/>
      <c r="N2663" s="405"/>
      <c r="O2663" s="405"/>
      <c r="P2663" s="405"/>
      <c r="Q2663" s="405"/>
      <c r="R2663" s="405"/>
      <c r="S2663" s="405"/>
      <c r="T2663" s="405"/>
      <c r="U2663" s="405"/>
      <c r="V2663" s="405"/>
      <c r="W2663" s="405"/>
      <c r="X2663" s="405"/>
      <c r="Y2663" s="405"/>
      <c r="Z2663" s="405"/>
      <c r="AA2663" s="405"/>
      <c r="AB2663" s="405"/>
    </row>
    <row r="2664" ht="14.25" customHeight="1">
      <c r="A2664" s="405"/>
      <c r="B2664" s="405"/>
      <c r="C2664" s="405"/>
      <c r="D2664" s="405"/>
      <c r="E2664" s="405"/>
      <c r="F2664" s="583"/>
      <c r="G2664" s="583"/>
      <c r="H2664" s="405"/>
      <c r="I2664" s="405"/>
      <c r="J2664" s="405"/>
      <c r="K2664" s="405"/>
      <c r="L2664" s="405"/>
      <c r="M2664" s="405"/>
      <c r="N2664" s="405"/>
      <c r="O2664" s="405"/>
      <c r="P2664" s="405"/>
      <c r="Q2664" s="405"/>
      <c r="R2664" s="405"/>
      <c r="S2664" s="405"/>
      <c r="T2664" s="405"/>
      <c r="U2664" s="405"/>
      <c r="V2664" s="405"/>
      <c r="W2664" s="405"/>
      <c r="X2664" s="405"/>
      <c r="Y2664" s="405"/>
      <c r="Z2664" s="405"/>
      <c r="AA2664" s="405"/>
      <c r="AB2664" s="405"/>
    </row>
    <row r="2665" ht="14.25" customHeight="1">
      <c r="A2665" s="405"/>
      <c r="B2665" s="405"/>
      <c r="C2665" s="405"/>
      <c r="D2665" s="405"/>
      <c r="E2665" s="405"/>
      <c r="F2665" s="583"/>
      <c r="G2665" s="583"/>
      <c r="H2665" s="405"/>
      <c r="I2665" s="405"/>
      <c r="J2665" s="405"/>
      <c r="K2665" s="405"/>
      <c r="L2665" s="405"/>
      <c r="M2665" s="405"/>
      <c r="N2665" s="405"/>
      <c r="O2665" s="405"/>
      <c r="P2665" s="405"/>
      <c r="Q2665" s="405"/>
      <c r="R2665" s="405"/>
      <c r="S2665" s="405"/>
      <c r="T2665" s="405"/>
      <c r="U2665" s="405"/>
      <c r="V2665" s="405"/>
      <c r="W2665" s="405"/>
      <c r="X2665" s="405"/>
      <c r="Y2665" s="405"/>
      <c r="Z2665" s="405"/>
      <c r="AA2665" s="405"/>
      <c r="AB2665" s="405"/>
    </row>
    <row r="2666" ht="14.25" customHeight="1">
      <c r="A2666" s="405"/>
      <c r="B2666" s="405"/>
      <c r="C2666" s="405"/>
      <c r="D2666" s="405"/>
      <c r="E2666" s="405"/>
      <c r="F2666" s="583"/>
      <c r="G2666" s="583"/>
      <c r="H2666" s="405"/>
      <c r="I2666" s="405"/>
      <c r="J2666" s="405"/>
      <c r="K2666" s="405"/>
      <c r="L2666" s="405"/>
      <c r="M2666" s="405"/>
      <c r="N2666" s="405"/>
      <c r="O2666" s="405"/>
      <c r="P2666" s="405"/>
      <c r="Q2666" s="405"/>
      <c r="R2666" s="405"/>
      <c r="S2666" s="405"/>
      <c r="T2666" s="405"/>
      <c r="U2666" s="405"/>
      <c r="V2666" s="405"/>
      <c r="W2666" s="405"/>
      <c r="X2666" s="405"/>
      <c r="Y2666" s="405"/>
      <c r="Z2666" s="405"/>
      <c r="AA2666" s="405"/>
      <c r="AB2666" s="405"/>
    </row>
    <row r="2667" ht="14.25" customHeight="1">
      <c r="A2667" s="405"/>
      <c r="B2667" s="405"/>
      <c r="C2667" s="405"/>
      <c r="D2667" s="405"/>
      <c r="E2667" s="405"/>
      <c r="F2667" s="583"/>
      <c r="G2667" s="583"/>
      <c r="H2667" s="405"/>
      <c r="I2667" s="405"/>
      <c r="J2667" s="405"/>
      <c r="K2667" s="405"/>
      <c r="L2667" s="405"/>
      <c r="M2667" s="405"/>
      <c r="N2667" s="405"/>
      <c r="O2667" s="405"/>
      <c r="P2667" s="405"/>
      <c r="Q2667" s="405"/>
      <c r="R2667" s="405"/>
      <c r="S2667" s="405"/>
      <c r="T2667" s="405"/>
      <c r="U2667" s="405"/>
      <c r="V2667" s="405"/>
      <c r="W2667" s="405"/>
      <c r="X2667" s="405"/>
      <c r="Y2667" s="405"/>
      <c r="Z2667" s="405"/>
      <c r="AA2667" s="405"/>
      <c r="AB2667" s="405"/>
    </row>
    <row r="2668" ht="14.25" customHeight="1">
      <c r="A2668" s="405"/>
      <c r="B2668" s="405"/>
      <c r="C2668" s="405"/>
      <c r="D2668" s="405"/>
      <c r="E2668" s="405"/>
      <c r="F2668" s="583"/>
      <c r="G2668" s="583"/>
      <c r="H2668" s="405"/>
      <c r="I2668" s="405"/>
      <c r="J2668" s="405"/>
      <c r="K2668" s="405"/>
      <c r="L2668" s="405"/>
      <c r="M2668" s="405"/>
      <c r="N2668" s="405"/>
      <c r="O2668" s="405"/>
      <c r="P2668" s="405"/>
      <c r="Q2668" s="405"/>
      <c r="R2668" s="405"/>
      <c r="S2668" s="405"/>
      <c r="T2668" s="405"/>
      <c r="U2668" s="405"/>
      <c r="V2668" s="405"/>
      <c r="W2668" s="405"/>
      <c r="X2668" s="405"/>
      <c r="Y2668" s="405"/>
      <c r="Z2668" s="405"/>
      <c r="AA2668" s="405"/>
      <c r="AB2668" s="405"/>
    </row>
    <row r="2669" ht="14.25" customHeight="1">
      <c r="A2669" s="405"/>
      <c r="B2669" s="405"/>
      <c r="C2669" s="405"/>
      <c r="D2669" s="405"/>
      <c r="E2669" s="405"/>
      <c r="F2669" s="583"/>
      <c r="G2669" s="583"/>
      <c r="H2669" s="405"/>
      <c r="I2669" s="405"/>
      <c r="J2669" s="405"/>
      <c r="K2669" s="405"/>
      <c r="L2669" s="405"/>
      <c r="M2669" s="405"/>
      <c r="N2669" s="405"/>
      <c r="O2669" s="405"/>
      <c r="P2669" s="405"/>
      <c r="Q2669" s="405"/>
      <c r="R2669" s="405"/>
      <c r="S2669" s="405"/>
      <c r="T2669" s="405"/>
      <c r="U2669" s="405"/>
      <c r="V2669" s="405"/>
      <c r="W2669" s="405"/>
      <c r="X2669" s="405"/>
      <c r="Y2669" s="405"/>
      <c r="Z2669" s="405"/>
      <c r="AA2669" s="405"/>
      <c r="AB2669" s="405"/>
    </row>
    <row r="2670" ht="14.25" customHeight="1">
      <c r="A2670" s="405"/>
      <c r="B2670" s="405"/>
      <c r="C2670" s="405"/>
      <c r="D2670" s="405"/>
      <c r="E2670" s="405"/>
      <c r="F2670" s="583"/>
      <c r="G2670" s="583"/>
      <c r="H2670" s="405"/>
      <c r="I2670" s="405"/>
      <c r="J2670" s="405"/>
      <c r="K2670" s="405"/>
      <c r="L2670" s="405"/>
      <c r="M2670" s="405"/>
      <c r="N2670" s="405"/>
      <c r="O2670" s="405"/>
      <c r="P2670" s="405"/>
      <c r="Q2670" s="405"/>
      <c r="R2670" s="405"/>
      <c r="S2670" s="405"/>
      <c r="T2670" s="405"/>
      <c r="U2670" s="405"/>
      <c r="V2670" s="405"/>
      <c r="W2670" s="405"/>
      <c r="X2670" s="405"/>
      <c r="Y2670" s="405"/>
      <c r="Z2670" s="405"/>
      <c r="AA2670" s="405"/>
      <c r="AB2670" s="405"/>
    </row>
    <row r="2671" ht="14.25" customHeight="1">
      <c r="A2671" s="405"/>
      <c r="B2671" s="405"/>
      <c r="C2671" s="405"/>
      <c r="D2671" s="405"/>
      <c r="E2671" s="405"/>
      <c r="F2671" s="583"/>
      <c r="G2671" s="583"/>
      <c r="H2671" s="405"/>
      <c r="I2671" s="405"/>
      <c r="J2671" s="405"/>
      <c r="K2671" s="405"/>
      <c r="L2671" s="405"/>
      <c r="M2671" s="405"/>
      <c r="N2671" s="405"/>
      <c r="O2671" s="405"/>
      <c r="P2671" s="405"/>
      <c r="Q2671" s="405"/>
      <c r="R2671" s="405"/>
      <c r="S2671" s="405"/>
      <c r="T2671" s="405"/>
      <c r="U2671" s="405"/>
      <c r="V2671" s="405"/>
      <c r="W2671" s="405"/>
      <c r="X2671" s="405"/>
      <c r="Y2671" s="405"/>
      <c r="Z2671" s="405"/>
      <c r="AA2671" s="405"/>
      <c r="AB2671" s="405"/>
    </row>
    <row r="2672" ht="14.25" customHeight="1">
      <c r="A2672" s="405"/>
      <c r="B2672" s="405"/>
      <c r="C2672" s="405"/>
      <c r="D2672" s="405"/>
      <c r="E2672" s="405"/>
      <c r="F2672" s="583"/>
      <c r="G2672" s="583"/>
      <c r="H2672" s="405"/>
      <c r="I2672" s="405"/>
      <c r="J2672" s="405"/>
      <c r="K2672" s="405"/>
      <c r="L2672" s="405"/>
      <c r="M2672" s="405"/>
      <c r="N2672" s="405"/>
      <c r="O2672" s="405"/>
      <c r="P2672" s="405"/>
      <c r="Q2672" s="405"/>
      <c r="R2672" s="405"/>
      <c r="S2672" s="405"/>
      <c r="T2672" s="405"/>
      <c r="U2672" s="405"/>
      <c r="V2672" s="405"/>
      <c r="W2672" s="405"/>
      <c r="X2672" s="405"/>
      <c r="Y2672" s="405"/>
      <c r="Z2672" s="405"/>
      <c r="AA2672" s="405"/>
      <c r="AB2672" s="405"/>
    </row>
  </sheetData>
  <hyperlinks>
    <hyperlink r:id="rId1" ref="H794"/>
    <hyperlink r:id="rId2" ref="H1480"/>
  </hyperlinks>
  <printOptions/>
  <pageMargins bottom="0.75" footer="0.0" header="0.0" left="0.7" right="0.7" top="0.75"/>
  <pageSetup orientation="landscape"/>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71"/>
    <col customWidth="1" min="2" max="2" width="15.14"/>
    <col customWidth="1" min="3" max="3" width="44.71"/>
    <col customWidth="1" min="4" max="4" width="11.0"/>
    <col customWidth="1" min="5" max="5" width="21.71"/>
    <col customWidth="1" min="6" max="6" width="22.86"/>
    <col customWidth="1" min="7" max="7" width="17.29"/>
    <col customWidth="1" min="8" max="8" width="88.57"/>
    <col customWidth="1" min="9" max="9" width="31.43"/>
    <col customWidth="1" min="10" max="26" width="8.71"/>
  </cols>
  <sheetData>
    <row r="1" ht="14.25" customHeight="1">
      <c r="A1" s="584" t="s">
        <v>2130</v>
      </c>
      <c r="B1" s="584" t="s">
        <v>39</v>
      </c>
      <c r="C1" s="584" t="s">
        <v>48</v>
      </c>
      <c r="D1" s="584" t="s">
        <v>49</v>
      </c>
      <c r="E1" s="584" t="s">
        <v>50</v>
      </c>
      <c r="F1" s="585" t="s">
        <v>2</v>
      </c>
      <c r="G1" s="586" t="s">
        <v>44</v>
      </c>
      <c r="H1" s="584" t="s">
        <v>45</v>
      </c>
      <c r="I1" s="584"/>
      <c r="J1" s="584"/>
      <c r="K1" s="584"/>
      <c r="L1" s="584"/>
      <c r="M1" s="584"/>
      <c r="N1" s="584"/>
      <c r="O1" s="584"/>
      <c r="P1" s="584"/>
      <c r="Q1" s="584"/>
      <c r="R1" s="584"/>
      <c r="S1" s="584"/>
      <c r="T1" s="584"/>
      <c r="U1" s="584"/>
      <c r="V1" s="584"/>
      <c r="W1" s="584"/>
      <c r="X1" s="584"/>
      <c r="Y1" s="584"/>
      <c r="Z1" s="584"/>
    </row>
    <row r="2" ht="14.25" customHeight="1">
      <c r="A2" s="402"/>
      <c r="B2" s="402"/>
      <c r="C2" s="402"/>
      <c r="D2" s="402"/>
      <c r="E2" s="402"/>
      <c r="F2" s="587"/>
      <c r="G2" s="403"/>
      <c r="H2" s="402"/>
      <c r="I2" s="404"/>
      <c r="J2" s="402"/>
      <c r="K2" s="402"/>
      <c r="L2" s="402"/>
      <c r="M2" s="402"/>
      <c r="N2" s="402"/>
      <c r="O2" s="402"/>
      <c r="P2" s="402"/>
      <c r="Q2" s="402"/>
      <c r="R2" s="402"/>
      <c r="S2" s="402"/>
      <c r="T2" s="402"/>
      <c r="U2" s="402"/>
      <c r="V2" s="402"/>
      <c r="W2" s="402"/>
      <c r="X2" s="402"/>
      <c r="Y2" s="402"/>
      <c r="Z2" s="402"/>
    </row>
    <row r="3" ht="14.25" customHeight="1">
      <c r="A3" s="406">
        <v>45495.0</v>
      </c>
      <c r="B3" s="407" t="s">
        <v>2131</v>
      </c>
      <c r="C3" s="408" t="s">
        <v>2132</v>
      </c>
      <c r="D3" s="408" t="s">
        <v>439</v>
      </c>
      <c r="E3" s="408" t="s">
        <v>2133</v>
      </c>
      <c r="F3" s="428">
        <v>34500.0</v>
      </c>
      <c r="G3" s="413">
        <v>10000.0</v>
      </c>
      <c r="H3" s="349" t="s">
        <v>267</v>
      </c>
      <c r="I3" s="404" t="str">
        <f t="shared" ref="I3:I14" si="1">IF(G3&gt;=F3,"FULLY PAID",IF(G3=0,"NOT PAID","PARTIALLY PAID"))</f>
        <v>PARTIALLY PAID</v>
      </c>
      <c r="J3" s="402"/>
      <c r="K3" s="402"/>
      <c r="L3" s="402"/>
      <c r="M3" s="402"/>
      <c r="N3" s="402"/>
      <c r="O3" s="402"/>
      <c r="P3" s="402"/>
      <c r="Q3" s="402"/>
      <c r="R3" s="402"/>
      <c r="S3" s="402"/>
      <c r="T3" s="402"/>
      <c r="U3" s="402"/>
      <c r="V3" s="402"/>
      <c r="W3" s="402"/>
      <c r="X3" s="402"/>
      <c r="Y3" s="402"/>
      <c r="Z3" s="402"/>
    </row>
    <row r="4" ht="14.25" customHeight="1">
      <c r="A4" s="406">
        <v>45495.0</v>
      </c>
      <c r="B4" s="588" t="s">
        <v>2134</v>
      </c>
      <c r="C4" s="588" t="s">
        <v>2135</v>
      </c>
      <c r="D4" s="589" t="s">
        <v>54</v>
      </c>
      <c r="E4" s="349" t="s">
        <v>2133</v>
      </c>
      <c r="F4" s="590">
        <v>11500.0</v>
      </c>
      <c r="G4" s="413">
        <v>0.0</v>
      </c>
      <c r="H4" s="484" t="s">
        <v>2136</v>
      </c>
      <c r="I4" s="404" t="str">
        <f t="shared" si="1"/>
        <v>NOT PAID</v>
      </c>
      <c r="J4" s="402"/>
      <c r="K4" s="402"/>
      <c r="L4" s="402"/>
      <c r="M4" s="402"/>
      <c r="N4" s="402"/>
      <c r="O4" s="402"/>
      <c r="P4" s="402"/>
      <c r="Q4" s="402"/>
      <c r="R4" s="402"/>
      <c r="S4" s="402"/>
      <c r="T4" s="402"/>
      <c r="U4" s="402"/>
      <c r="V4" s="402"/>
      <c r="W4" s="402"/>
      <c r="X4" s="402"/>
      <c r="Y4" s="402"/>
      <c r="Z4" s="402"/>
    </row>
    <row r="5" ht="14.25" customHeight="1">
      <c r="A5" s="406">
        <v>45495.0</v>
      </c>
      <c r="B5" s="591" t="s">
        <v>2137</v>
      </c>
      <c r="C5" s="591" t="s">
        <v>2138</v>
      </c>
      <c r="D5" s="588" t="s">
        <v>75</v>
      </c>
      <c r="E5" s="349" t="s">
        <v>2133</v>
      </c>
      <c r="F5" s="590">
        <v>115000.0</v>
      </c>
      <c r="G5" s="413">
        <v>0.0</v>
      </c>
      <c r="H5" s="484" t="s">
        <v>2139</v>
      </c>
      <c r="I5" s="404" t="str">
        <f t="shared" si="1"/>
        <v>NOT PAID</v>
      </c>
      <c r="J5" s="402"/>
      <c r="K5" s="402"/>
      <c r="L5" s="402"/>
      <c r="M5" s="402"/>
      <c r="N5" s="402"/>
      <c r="O5" s="402"/>
      <c r="P5" s="402"/>
      <c r="Q5" s="402"/>
      <c r="R5" s="402"/>
      <c r="S5" s="402"/>
      <c r="T5" s="402"/>
      <c r="U5" s="402"/>
      <c r="V5" s="402"/>
      <c r="W5" s="402"/>
      <c r="X5" s="402"/>
      <c r="Y5" s="402"/>
      <c r="Z5" s="402"/>
    </row>
    <row r="6" ht="14.25" customHeight="1">
      <c r="A6" s="406">
        <v>45495.0</v>
      </c>
      <c r="B6" s="417" t="s">
        <v>2140</v>
      </c>
      <c r="C6" s="418" t="s">
        <v>2141</v>
      </c>
      <c r="D6" s="522" t="s">
        <v>439</v>
      </c>
      <c r="E6" s="349" t="s">
        <v>2133</v>
      </c>
      <c r="F6" s="590">
        <v>19070.0</v>
      </c>
      <c r="G6" s="413">
        <v>0.0</v>
      </c>
      <c r="H6" s="484" t="s">
        <v>2142</v>
      </c>
      <c r="I6" s="404" t="str">
        <f t="shared" si="1"/>
        <v>NOT PAID</v>
      </c>
      <c r="J6" s="402"/>
      <c r="K6" s="402"/>
      <c r="L6" s="402"/>
      <c r="M6" s="402"/>
      <c r="N6" s="402"/>
      <c r="O6" s="402"/>
      <c r="P6" s="402"/>
      <c r="Q6" s="402"/>
      <c r="R6" s="402"/>
      <c r="S6" s="402"/>
      <c r="T6" s="402"/>
      <c r="U6" s="402"/>
      <c r="V6" s="402"/>
      <c r="W6" s="402"/>
      <c r="X6" s="402"/>
      <c r="Y6" s="402"/>
      <c r="Z6" s="402"/>
    </row>
    <row r="7" ht="14.25" customHeight="1">
      <c r="A7" s="406">
        <v>45495.0</v>
      </c>
      <c r="B7" s="349" t="s">
        <v>2143</v>
      </c>
      <c r="C7" s="349" t="s">
        <v>2144</v>
      </c>
      <c r="D7" s="592" t="s">
        <v>54</v>
      </c>
      <c r="E7" s="349" t="s">
        <v>2133</v>
      </c>
      <c r="F7" s="559">
        <v>6000.0</v>
      </c>
      <c r="G7" s="413">
        <v>12000.0</v>
      </c>
      <c r="H7" s="349" t="s">
        <v>401</v>
      </c>
      <c r="I7" s="404" t="str">
        <f t="shared" si="1"/>
        <v>FULLY PAID</v>
      </c>
      <c r="J7" s="402"/>
      <c r="K7" s="402"/>
      <c r="L7" s="402"/>
      <c r="M7" s="402"/>
      <c r="N7" s="402"/>
      <c r="O7" s="402"/>
      <c r="P7" s="402"/>
      <c r="Q7" s="402"/>
      <c r="R7" s="402"/>
      <c r="S7" s="402"/>
      <c r="T7" s="402"/>
      <c r="U7" s="402"/>
      <c r="V7" s="402"/>
      <c r="W7" s="402"/>
      <c r="X7" s="402"/>
      <c r="Y7" s="402"/>
      <c r="Z7" s="402"/>
    </row>
    <row r="8" ht="14.25" customHeight="1">
      <c r="A8" s="406">
        <v>45495.0</v>
      </c>
      <c r="B8" s="591" t="s">
        <v>2145</v>
      </c>
      <c r="C8" s="591" t="s">
        <v>1043</v>
      </c>
      <c r="D8" s="593" t="s">
        <v>75</v>
      </c>
      <c r="E8" s="349" t="s">
        <v>2133</v>
      </c>
      <c r="F8" s="559">
        <v>69000.0</v>
      </c>
      <c r="G8" s="413">
        <v>0.0</v>
      </c>
      <c r="H8" s="484" t="s">
        <v>2146</v>
      </c>
      <c r="I8" s="404" t="str">
        <f t="shared" si="1"/>
        <v>NOT PAID</v>
      </c>
      <c r="J8" s="402"/>
      <c r="K8" s="402"/>
      <c r="L8" s="402"/>
      <c r="M8" s="402"/>
      <c r="N8" s="402"/>
      <c r="O8" s="402"/>
      <c r="P8" s="402"/>
      <c r="Q8" s="402"/>
      <c r="R8" s="402"/>
      <c r="S8" s="402"/>
      <c r="T8" s="402"/>
      <c r="U8" s="402"/>
      <c r="V8" s="402"/>
      <c r="W8" s="402"/>
      <c r="X8" s="402"/>
      <c r="Y8" s="402"/>
      <c r="Z8" s="402"/>
    </row>
    <row r="9" ht="14.25" customHeight="1">
      <c r="A9" s="406">
        <v>45495.0</v>
      </c>
      <c r="B9" s="349" t="s">
        <v>2147</v>
      </c>
      <c r="C9" s="349" t="s">
        <v>2148</v>
      </c>
      <c r="D9" s="592" t="s">
        <v>54</v>
      </c>
      <c r="E9" s="349" t="s">
        <v>2133</v>
      </c>
      <c r="F9" s="559">
        <v>890.0</v>
      </c>
      <c r="G9" s="413">
        <v>935.0</v>
      </c>
      <c r="H9" s="349" t="s">
        <v>401</v>
      </c>
      <c r="I9" s="404" t="str">
        <f t="shared" si="1"/>
        <v>FULLY PAID</v>
      </c>
      <c r="J9" s="402"/>
      <c r="K9" s="402"/>
      <c r="L9" s="402"/>
      <c r="M9" s="402"/>
      <c r="N9" s="402"/>
      <c r="O9" s="402"/>
      <c r="P9" s="402"/>
      <c r="Q9" s="402"/>
      <c r="R9" s="402"/>
      <c r="S9" s="402"/>
      <c r="T9" s="402"/>
      <c r="U9" s="402"/>
      <c r="V9" s="402"/>
      <c r="W9" s="402"/>
      <c r="X9" s="402"/>
      <c r="Y9" s="402"/>
      <c r="Z9" s="402"/>
    </row>
    <row r="10" ht="14.25" customHeight="1">
      <c r="A10" s="406">
        <v>45495.0</v>
      </c>
      <c r="B10" s="588" t="s">
        <v>2149</v>
      </c>
      <c r="C10" s="588" t="s">
        <v>2150</v>
      </c>
      <c r="D10" s="111" t="s">
        <v>54</v>
      </c>
      <c r="E10" s="349" t="s">
        <v>2133</v>
      </c>
      <c r="F10" s="559">
        <v>5000.0</v>
      </c>
      <c r="G10" s="413">
        <v>0.0</v>
      </c>
      <c r="H10" s="455" t="s">
        <v>2151</v>
      </c>
      <c r="I10" s="404" t="str">
        <f t="shared" si="1"/>
        <v>NOT PAID</v>
      </c>
      <c r="J10" s="402"/>
      <c r="K10" s="402"/>
      <c r="L10" s="402"/>
      <c r="M10" s="402"/>
      <c r="N10" s="402"/>
      <c r="O10" s="402"/>
      <c r="P10" s="402"/>
      <c r="Q10" s="402"/>
      <c r="R10" s="402"/>
      <c r="S10" s="402"/>
      <c r="T10" s="402"/>
      <c r="U10" s="402"/>
      <c r="V10" s="402"/>
      <c r="W10" s="402"/>
      <c r="X10" s="402"/>
      <c r="Y10" s="402"/>
      <c r="Z10" s="402"/>
    </row>
    <row r="11" ht="14.25" customHeight="1">
      <c r="A11" s="406">
        <v>45495.0</v>
      </c>
      <c r="B11" s="512" t="s">
        <v>2152</v>
      </c>
      <c r="C11" s="512" t="s">
        <v>2153</v>
      </c>
      <c r="D11" s="111" t="s">
        <v>54</v>
      </c>
      <c r="E11" s="349" t="s">
        <v>2133</v>
      </c>
      <c r="F11" s="559">
        <v>59690.0</v>
      </c>
      <c r="G11" s="413">
        <v>0.0</v>
      </c>
      <c r="H11" s="349" t="s">
        <v>2154</v>
      </c>
      <c r="I11" s="404" t="str">
        <f t="shared" si="1"/>
        <v>NOT PAID</v>
      </c>
      <c r="J11" s="402"/>
      <c r="K11" s="402"/>
      <c r="L11" s="402"/>
      <c r="M11" s="402"/>
      <c r="N11" s="402"/>
      <c r="O11" s="402"/>
      <c r="P11" s="402"/>
      <c r="Q11" s="402"/>
      <c r="R11" s="402"/>
      <c r="S11" s="402"/>
      <c r="T11" s="402"/>
      <c r="U11" s="402"/>
      <c r="V11" s="402"/>
      <c r="W11" s="402"/>
      <c r="X11" s="402"/>
      <c r="Y11" s="402"/>
      <c r="Z11" s="402"/>
    </row>
    <row r="12" ht="14.25" customHeight="1">
      <c r="A12" s="406">
        <v>45495.0</v>
      </c>
      <c r="B12" s="513" t="s">
        <v>2155</v>
      </c>
      <c r="C12" s="513" t="s">
        <v>2156</v>
      </c>
      <c r="D12" s="111" t="s">
        <v>54</v>
      </c>
      <c r="E12" s="349" t="s">
        <v>2133</v>
      </c>
      <c r="F12" s="559">
        <v>29498.0</v>
      </c>
      <c r="G12" s="413">
        <v>0.0</v>
      </c>
      <c r="H12" s="349" t="s">
        <v>2157</v>
      </c>
      <c r="I12" s="404" t="str">
        <f t="shared" si="1"/>
        <v>NOT PAID</v>
      </c>
      <c r="J12" s="402"/>
      <c r="K12" s="402"/>
      <c r="L12" s="402"/>
      <c r="M12" s="402"/>
      <c r="N12" s="402"/>
      <c r="O12" s="402"/>
      <c r="P12" s="402"/>
      <c r="Q12" s="402"/>
      <c r="R12" s="402"/>
      <c r="S12" s="402"/>
      <c r="T12" s="402"/>
      <c r="U12" s="402"/>
      <c r="V12" s="402"/>
      <c r="W12" s="402"/>
      <c r="X12" s="402"/>
      <c r="Y12" s="402"/>
      <c r="Z12" s="402"/>
    </row>
    <row r="13" ht="15.0" customHeight="1">
      <c r="A13" s="406">
        <v>45495.0</v>
      </c>
      <c r="B13" s="594" t="s">
        <v>2158</v>
      </c>
      <c r="C13" s="512" t="s">
        <v>2159</v>
      </c>
      <c r="D13" s="595" t="s">
        <v>54</v>
      </c>
      <c r="E13" s="349" t="s">
        <v>2133</v>
      </c>
      <c r="F13" s="559">
        <v>18275.0</v>
      </c>
      <c r="G13" s="413">
        <v>18300.0</v>
      </c>
      <c r="H13" s="349" t="s">
        <v>401</v>
      </c>
      <c r="I13" s="404" t="str">
        <f t="shared" si="1"/>
        <v>FULLY PAID</v>
      </c>
      <c r="J13" s="402"/>
      <c r="K13" s="402"/>
      <c r="L13" s="402"/>
      <c r="M13" s="402"/>
      <c r="N13" s="402"/>
      <c r="O13" s="402"/>
      <c r="P13" s="402"/>
      <c r="Q13" s="402"/>
      <c r="R13" s="402"/>
      <c r="S13" s="402"/>
      <c r="T13" s="402"/>
      <c r="U13" s="402"/>
      <c r="V13" s="402"/>
      <c r="W13" s="402"/>
      <c r="X13" s="402"/>
      <c r="Y13" s="402"/>
      <c r="Z13" s="402"/>
    </row>
    <row r="14" ht="15.75" customHeight="1">
      <c r="A14" s="406">
        <v>45495.0</v>
      </c>
      <c r="B14" s="596" t="s">
        <v>2160</v>
      </c>
      <c r="C14" s="513" t="s">
        <v>2161</v>
      </c>
      <c r="D14" s="597" t="s">
        <v>75</v>
      </c>
      <c r="E14" s="349" t="s">
        <v>2133</v>
      </c>
      <c r="F14" s="598">
        <v>230000.0</v>
      </c>
      <c r="G14" s="413">
        <v>0.0</v>
      </c>
      <c r="H14" s="349" t="s">
        <v>2162</v>
      </c>
      <c r="I14" s="404" t="str">
        <f t="shared" si="1"/>
        <v>NOT PAID</v>
      </c>
      <c r="J14" s="402"/>
      <c r="K14" s="402"/>
      <c r="L14" s="402"/>
      <c r="M14" s="402"/>
      <c r="N14" s="402"/>
      <c r="O14" s="402"/>
      <c r="P14" s="402"/>
      <c r="Q14" s="402"/>
      <c r="R14" s="402"/>
      <c r="S14" s="402"/>
      <c r="T14" s="402"/>
      <c r="U14" s="402"/>
      <c r="V14" s="402"/>
      <c r="W14" s="402"/>
      <c r="X14" s="402"/>
      <c r="Y14" s="402"/>
      <c r="Z14" s="402"/>
    </row>
    <row r="15" ht="14.25" customHeight="1">
      <c r="A15" s="402"/>
      <c r="B15" s="402"/>
      <c r="C15" s="402"/>
      <c r="D15" s="402"/>
      <c r="E15" s="402"/>
      <c r="F15" s="587"/>
      <c r="G15" s="403"/>
      <c r="H15" s="402"/>
      <c r="I15" s="404"/>
      <c r="J15" s="402"/>
      <c r="K15" s="402"/>
      <c r="L15" s="402"/>
      <c r="M15" s="402"/>
      <c r="N15" s="402"/>
      <c r="O15" s="402"/>
      <c r="P15" s="402"/>
      <c r="Q15" s="402"/>
      <c r="R15" s="402"/>
      <c r="S15" s="402"/>
      <c r="T15" s="402"/>
      <c r="U15" s="402"/>
      <c r="V15" s="402"/>
      <c r="W15" s="402"/>
      <c r="X15" s="402"/>
      <c r="Y15" s="402"/>
      <c r="Z15" s="402"/>
    </row>
    <row r="16" ht="14.25" customHeight="1">
      <c r="A16" s="402"/>
      <c r="B16" s="402"/>
      <c r="C16" s="402"/>
      <c r="D16" s="402"/>
      <c r="E16" s="402"/>
      <c r="F16" s="587"/>
      <c r="G16" s="403"/>
      <c r="H16" s="402"/>
      <c r="I16" s="404"/>
      <c r="J16" s="402"/>
      <c r="K16" s="402"/>
      <c r="L16" s="402"/>
      <c r="M16" s="402"/>
      <c r="N16" s="402"/>
      <c r="O16" s="402"/>
      <c r="P16" s="402"/>
      <c r="Q16" s="402"/>
      <c r="R16" s="402"/>
      <c r="S16" s="402"/>
      <c r="T16" s="402"/>
      <c r="U16" s="402"/>
      <c r="V16" s="402"/>
      <c r="W16" s="402"/>
      <c r="X16" s="402"/>
      <c r="Y16" s="402"/>
      <c r="Z16" s="402"/>
    </row>
    <row r="17" ht="14.25" customHeight="1">
      <c r="A17" s="406"/>
      <c r="B17" s="402"/>
      <c r="C17" s="402"/>
      <c r="D17" s="402"/>
      <c r="E17" s="402"/>
      <c r="F17" s="587"/>
      <c r="G17" s="403"/>
      <c r="H17" s="402"/>
      <c r="I17" s="404"/>
      <c r="J17" s="402"/>
      <c r="K17" s="402"/>
      <c r="L17" s="402"/>
      <c r="M17" s="402"/>
      <c r="N17" s="402"/>
      <c r="O17" s="402"/>
      <c r="P17" s="402"/>
      <c r="Q17" s="402"/>
      <c r="R17" s="402"/>
      <c r="S17" s="402"/>
      <c r="T17" s="402"/>
      <c r="U17" s="402"/>
      <c r="V17" s="402"/>
      <c r="W17" s="402"/>
      <c r="X17" s="402"/>
      <c r="Y17" s="402"/>
      <c r="Z17" s="402"/>
    </row>
    <row r="18" ht="14.25" customHeight="1">
      <c r="A18" s="406">
        <v>45495.0</v>
      </c>
      <c r="B18" s="599" t="s">
        <v>2163</v>
      </c>
      <c r="C18" s="471" t="s">
        <v>2164</v>
      </c>
      <c r="D18" s="471" t="s">
        <v>59</v>
      </c>
      <c r="E18" s="471" t="s">
        <v>2165</v>
      </c>
      <c r="F18" s="600">
        <v>200000.0</v>
      </c>
      <c r="G18" s="403"/>
      <c r="H18" s="402"/>
      <c r="I18" s="404" t="str">
        <f t="shared" ref="I18:I374" si="2">IF(G18&gt;=F18,"FULLY PAID",IF(G18=0,"NOT PAID","PARTIALLY PAID"))</f>
        <v>NOT PAID</v>
      </c>
      <c r="J18" s="402"/>
      <c r="K18" s="402"/>
      <c r="L18" s="402"/>
      <c r="M18" s="402"/>
      <c r="N18" s="402"/>
      <c r="O18" s="402"/>
      <c r="P18" s="402"/>
      <c r="Q18" s="402"/>
      <c r="R18" s="402"/>
      <c r="S18" s="402"/>
      <c r="T18" s="402"/>
      <c r="U18" s="402"/>
      <c r="V18" s="402"/>
      <c r="W18" s="402"/>
      <c r="X18" s="402"/>
      <c r="Y18" s="402"/>
      <c r="Z18" s="402"/>
    </row>
    <row r="19" ht="14.25" customHeight="1">
      <c r="A19" s="402"/>
      <c r="B19" s="402"/>
      <c r="C19" s="402"/>
      <c r="D19" s="402"/>
      <c r="E19" s="402"/>
      <c r="F19" s="587"/>
      <c r="G19" s="403"/>
      <c r="H19" s="402"/>
      <c r="I19" s="404" t="str">
        <f t="shared" si="2"/>
        <v>FULLY PAID</v>
      </c>
      <c r="J19" s="402"/>
      <c r="K19" s="402"/>
      <c r="L19" s="402"/>
      <c r="M19" s="402"/>
      <c r="N19" s="402"/>
      <c r="O19" s="402"/>
      <c r="P19" s="402"/>
      <c r="Q19" s="402"/>
      <c r="R19" s="402"/>
      <c r="S19" s="402"/>
      <c r="T19" s="402"/>
      <c r="U19" s="402"/>
      <c r="V19" s="402"/>
      <c r="W19" s="402"/>
      <c r="X19" s="402"/>
      <c r="Y19" s="402"/>
      <c r="Z19" s="402"/>
    </row>
    <row r="20" ht="14.25" customHeight="1">
      <c r="A20" s="402"/>
      <c r="B20" s="402"/>
      <c r="C20" s="402"/>
      <c r="D20" s="402"/>
      <c r="E20" s="402"/>
      <c r="F20" s="587"/>
      <c r="G20" s="403"/>
      <c r="H20" s="402"/>
      <c r="I20" s="404" t="str">
        <f t="shared" si="2"/>
        <v>FULLY PAID</v>
      </c>
      <c r="J20" s="402"/>
      <c r="K20" s="402"/>
      <c r="L20" s="402"/>
      <c r="M20" s="402"/>
      <c r="N20" s="402"/>
      <c r="O20" s="402"/>
      <c r="P20" s="402"/>
      <c r="Q20" s="402"/>
      <c r="R20" s="402"/>
      <c r="S20" s="402"/>
      <c r="T20" s="402"/>
      <c r="U20" s="402"/>
      <c r="V20" s="402"/>
      <c r="W20" s="402"/>
      <c r="X20" s="402"/>
      <c r="Y20" s="402"/>
      <c r="Z20" s="402"/>
    </row>
    <row r="21" ht="14.25" customHeight="1">
      <c r="A21" s="402"/>
      <c r="B21" s="402"/>
      <c r="C21" s="402"/>
      <c r="D21" s="402"/>
      <c r="E21" s="402"/>
      <c r="F21" s="587"/>
      <c r="G21" s="403"/>
      <c r="H21" s="402"/>
      <c r="I21" s="404" t="str">
        <f t="shared" si="2"/>
        <v>FULLY PAID</v>
      </c>
      <c r="J21" s="402"/>
      <c r="K21" s="402"/>
      <c r="L21" s="402"/>
      <c r="M21" s="402"/>
      <c r="N21" s="402"/>
      <c r="O21" s="402"/>
      <c r="P21" s="402"/>
      <c r="Q21" s="402"/>
      <c r="R21" s="402"/>
      <c r="S21" s="402"/>
      <c r="T21" s="402"/>
      <c r="U21" s="402"/>
      <c r="V21" s="402"/>
      <c r="W21" s="402"/>
      <c r="X21" s="402"/>
      <c r="Y21" s="402"/>
      <c r="Z21" s="402"/>
    </row>
    <row r="22" ht="14.25" customHeight="1">
      <c r="A22" s="406">
        <v>45496.0</v>
      </c>
      <c r="B22" s="407" t="s">
        <v>2131</v>
      </c>
      <c r="C22" s="408" t="s">
        <v>2132</v>
      </c>
      <c r="D22" s="408" t="s">
        <v>439</v>
      </c>
      <c r="E22" s="408" t="s">
        <v>2133</v>
      </c>
      <c r="F22" s="445">
        <v>24500.0</v>
      </c>
      <c r="G22" s="413">
        <v>0.0</v>
      </c>
      <c r="H22" s="484" t="s">
        <v>2166</v>
      </c>
      <c r="I22" s="404" t="str">
        <f t="shared" si="2"/>
        <v>NOT PAID</v>
      </c>
      <c r="J22" s="402"/>
      <c r="K22" s="402"/>
      <c r="L22" s="402"/>
      <c r="M22" s="402"/>
      <c r="N22" s="402"/>
      <c r="O22" s="402"/>
      <c r="P22" s="402"/>
      <c r="Q22" s="402"/>
      <c r="R22" s="402"/>
      <c r="S22" s="402"/>
      <c r="T22" s="402"/>
      <c r="U22" s="402"/>
      <c r="V22" s="402"/>
      <c r="W22" s="402"/>
      <c r="X22" s="402"/>
      <c r="Y22" s="402"/>
      <c r="Z22" s="402"/>
    </row>
    <row r="23" ht="14.25" customHeight="1">
      <c r="A23" s="406">
        <v>45496.0</v>
      </c>
      <c r="B23" s="588" t="s">
        <v>2134</v>
      </c>
      <c r="C23" s="588" t="s">
        <v>2135</v>
      </c>
      <c r="D23" s="589" t="s">
        <v>54</v>
      </c>
      <c r="E23" s="349" t="s">
        <v>2133</v>
      </c>
      <c r="F23" s="590">
        <v>11500.0</v>
      </c>
      <c r="G23" s="413">
        <v>0.0</v>
      </c>
      <c r="H23" s="484" t="s">
        <v>2136</v>
      </c>
      <c r="I23" s="404" t="str">
        <f t="shared" si="2"/>
        <v>NOT PAID</v>
      </c>
      <c r="J23" s="402"/>
      <c r="K23" s="402"/>
      <c r="L23" s="402"/>
      <c r="M23" s="402"/>
      <c r="N23" s="402"/>
      <c r="O23" s="402"/>
      <c r="P23" s="402"/>
      <c r="Q23" s="402"/>
      <c r="R23" s="402"/>
      <c r="S23" s="402"/>
      <c r="T23" s="402"/>
      <c r="U23" s="402"/>
      <c r="V23" s="402"/>
      <c r="W23" s="402"/>
      <c r="X23" s="402"/>
      <c r="Y23" s="402"/>
      <c r="Z23" s="402"/>
    </row>
    <row r="24" ht="14.25" customHeight="1">
      <c r="A24" s="406">
        <v>45496.0</v>
      </c>
      <c r="B24" s="591" t="s">
        <v>2137</v>
      </c>
      <c r="C24" s="591" t="s">
        <v>2138</v>
      </c>
      <c r="D24" s="588" t="s">
        <v>75</v>
      </c>
      <c r="E24" s="349" t="s">
        <v>2133</v>
      </c>
      <c r="F24" s="590">
        <v>115000.0</v>
      </c>
      <c r="G24" s="413">
        <v>0.0</v>
      </c>
      <c r="H24" s="484" t="s">
        <v>2139</v>
      </c>
      <c r="I24" s="404" t="str">
        <f t="shared" si="2"/>
        <v>NOT PAID</v>
      </c>
      <c r="J24" s="402"/>
      <c r="K24" s="402"/>
      <c r="L24" s="402"/>
      <c r="M24" s="402"/>
      <c r="N24" s="402"/>
      <c r="O24" s="402"/>
      <c r="P24" s="402"/>
      <c r="Q24" s="402"/>
      <c r="R24" s="402"/>
      <c r="S24" s="402"/>
      <c r="T24" s="402"/>
      <c r="U24" s="402"/>
      <c r="V24" s="402"/>
      <c r="W24" s="402"/>
      <c r="X24" s="402"/>
      <c r="Y24" s="402"/>
      <c r="Z24" s="402"/>
    </row>
    <row r="25" ht="14.25" customHeight="1">
      <c r="A25" s="406">
        <v>45496.0</v>
      </c>
      <c r="B25" s="417" t="s">
        <v>2140</v>
      </c>
      <c r="C25" s="418" t="s">
        <v>2141</v>
      </c>
      <c r="D25" s="522" t="s">
        <v>439</v>
      </c>
      <c r="E25" s="349" t="s">
        <v>2133</v>
      </c>
      <c r="F25" s="590">
        <v>19070.0</v>
      </c>
      <c r="G25" s="413">
        <v>0.0</v>
      </c>
      <c r="H25" s="484" t="s">
        <v>2142</v>
      </c>
      <c r="I25" s="404" t="str">
        <f t="shared" si="2"/>
        <v>NOT PAID</v>
      </c>
      <c r="J25" s="402"/>
      <c r="K25" s="402"/>
      <c r="L25" s="402"/>
      <c r="M25" s="402"/>
      <c r="N25" s="402"/>
      <c r="O25" s="402"/>
      <c r="P25" s="402"/>
      <c r="Q25" s="402"/>
      <c r="R25" s="402"/>
      <c r="S25" s="402"/>
      <c r="T25" s="402"/>
      <c r="U25" s="402"/>
      <c r="V25" s="402"/>
      <c r="W25" s="402"/>
      <c r="X25" s="402"/>
      <c r="Y25" s="402"/>
      <c r="Z25" s="402"/>
    </row>
    <row r="26" ht="14.25" customHeight="1">
      <c r="A26" s="406">
        <v>45496.0</v>
      </c>
      <c r="B26" s="349" t="s">
        <v>2143</v>
      </c>
      <c r="C26" s="349" t="s">
        <v>2144</v>
      </c>
      <c r="D26" s="592" t="s">
        <v>54</v>
      </c>
      <c r="E26" s="349" t="s">
        <v>2133</v>
      </c>
      <c r="F26" s="559">
        <v>6000.0</v>
      </c>
      <c r="G26" s="413">
        <v>6000.0</v>
      </c>
      <c r="H26" s="349" t="s">
        <v>267</v>
      </c>
      <c r="I26" s="404" t="str">
        <f t="shared" si="2"/>
        <v>FULLY PAID</v>
      </c>
      <c r="J26" s="402"/>
      <c r="K26" s="402"/>
      <c r="L26" s="402"/>
      <c r="M26" s="402"/>
      <c r="N26" s="402"/>
      <c r="O26" s="402"/>
      <c r="P26" s="402"/>
      <c r="Q26" s="402"/>
      <c r="R26" s="402"/>
      <c r="S26" s="402"/>
      <c r="T26" s="402"/>
      <c r="U26" s="402"/>
      <c r="V26" s="402"/>
      <c r="W26" s="402"/>
      <c r="X26" s="402"/>
      <c r="Y26" s="402"/>
      <c r="Z26" s="402"/>
    </row>
    <row r="27" ht="14.25" customHeight="1">
      <c r="A27" s="406">
        <v>45496.0</v>
      </c>
      <c r="B27" s="591" t="s">
        <v>2145</v>
      </c>
      <c r="C27" s="591" t="s">
        <v>1043</v>
      </c>
      <c r="D27" s="593" t="s">
        <v>75</v>
      </c>
      <c r="E27" s="349" t="s">
        <v>2133</v>
      </c>
      <c r="F27" s="559">
        <v>59000.0</v>
      </c>
      <c r="G27" s="413">
        <v>15000.0</v>
      </c>
      <c r="H27" s="484" t="s">
        <v>2167</v>
      </c>
      <c r="I27" s="404" t="str">
        <f t="shared" si="2"/>
        <v>PARTIALLY PAID</v>
      </c>
      <c r="J27" s="402"/>
      <c r="K27" s="402"/>
      <c r="L27" s="402"/>
      <c r="M27" s="402"/>
      <c r="N27" s="402"/>
      <c r="O27" s="402"/>
      <c r="P27" s="402"/>
      <c r="Q27" s="402"/>
      <c r="R27" s="402"/>
      <c r="S27" s="402"/>
      <c r="T27" s="402"/>
      <c r="U27" s="402"/>
      <c r="V27" s="402"/>
      <c r="W27" s="402"/>
      <c r="X27" s="402"/>
      <c r="Y27" s="402"/>
      <c r="Z27" s="402"/>
    </row>
    <row r="28" ht="14.25" customHeight="1">
      <c r="A28" s="406">
        <v>45496.0</v>
      </c>
      <c r="B28" s="588" t="s">
        <v>2149</v>
      </c>
      <c r="C28" s="588" t="s">
        <v>2150</v>
      </c>
      <c r="D28" s="349" t="s">
        <v>54</v>
      </c>
      <c r="E28" s="349" t="s">
        <v>2133</v>
      </c>
      <c r="F28" s="559">
        <v>5000.0</v>
      </c>
      <c r="G28" s="413">
        <v>0.0</v>
      </c>
      <c r="H28" s="455" t="s">
        <v>2151</v>
      </c>
      <c r="I28" s="404" t="str">
        <f t="shared" si="2"/>
        <v>NOT PAID</v>
      </c>
      <c r="J28" s="402"/>
      <c r="K28" s="402"/>
      <c r="L28" s="402"/>
      <c r="M28" s="402"/>
      <c r="N28" s="402"/>
      <c r="O28" s="402"/>
      <c r="P28" s="402"/>
      <c r="Q28" s="402"/>
      <c r="R28" s="402"/>
      <c r="S28" s="402"/>
      <c r="T28" s="402"/>
      <c r="U28" s="402"/>
      <c r="V28" s="402"/>
      <c r="W28" s="402"/>
      <c r="X28" s="402"/>
      <c r="Y28" s="402"/>
      <c r="Z28" s="402"/>
    </row>
    <row r="29" ht="14.25" customHeight="1">
      <c r="A29" s="406">
        <v>45496.0</v>
      </c>
      <c r="B29" s="594" t="s">
        <v>2152</v>
      </c>
      <c r="C29" s="594" t="s">
        <v>2153</v>
      </c>
      <c r="D29" s="111" t="s">
        <v>54</v>
      </c>
      <c r="E29" s="349" t="s">
        <v>2133</v>
      </c>
      <c r="F29" s="559">
        <v>59690.0</v>
      </c>
      <c r="G29" s="413">
        <v>0.0</v>
      </c>
      <c r="H29" s="349" t="s">
        <v>2168</v>
      </c>
      <c r="I29" s="404" t="str">
        <f t="shared" si="2"/>
        <v>NOT PAID</v>
      </c>
      <c r="J29" s="402"/>
      <c r="K29" s="402"/>
      <c r="L29" s="402"/>
      <c r="M29" s="402"/>
      <c r="N29" s="402"/>
      <c r="O29" s="402"/>
      <c r="P29" s="402"/>
      <c r="Q29" s="402"/>
      <c r="R29" s="402"/>
      <c r="S29" s="402"/>
      <c r="T29" s="402"/>
      <c r="U29" s="402"/>
      <c r="V29" s="402"/>
      <c r="W29" s="402"/>
      <c r="X29" s="402"/>
      <c r="Y29" s="402"/>
      <c r="Z29" s="402"/>
    </row>
    <row r="30" ht="14.25" customHeight="1">
      <c r="A30" s="406">
        <v>45496.0</v>
      </c>
      <c r="B30" s="596" t="s">
        <v>2155</v>
      </c>
      <c r="C30" s="596" t="s">
        <v>2156</v>
      </c>
      <c r="D30" s="111" t="s">
        <v>54</v>
      </c>
      <c r="E30" s="349" t="s">
        <v>2133</v>
      </c>
      <c r="F30" s="559">
        <v>29498.0</v>
      </c>
      <c r="G30" s="413">
        <v>0.0</v>
      </c>
      <c r="H30" s="349" t="s">
        <v>2157</v>
      </c>
      <c r="I30" s="404" t="str">
        <f t="shared" si="2"/>
        <v>NOT PAID</v>
      </c>
      <c r="J30" s="402"/>
      <c r="K30" s="402"/>
      <c r="L30" s="402"/>
      <c r="M30" s="402"/>
      <c r="N30" s="402"/>
      <c r="O30" s="402"/>
      <c r="P30" s="402"/>
      <c r="Q30" s="402"/>
      <c r="R30" s="402"/>
      <c r="S30" s="402"/>
      <c r="T30" s="402"/>
      <c r="U30" s="402"/>
      <c r="V30" s="402"/>
      <c r="W30" s="402"/>
      <c r="X30" s="402"/>
      <c r="Y30" s="402"/>
      <c r="Z30" s="402"/>
    </row>
    <row r="31" ht="14.25" customHeight="1">
      <c r="A31" s="406">
        <v>45496.0</v>
      </c>
      <c r="B31" s="596" t="s">
        <v>2160</v>
      </c>
      <c r="C31" s="596" t="s">
        <v>2161</v>
      </c>
      <c r="D31" s="601" t="s">
        <v>75</v>
      </c>
      <c r="E31" s="349" t="s">
        <v>2133</v>
      </c>
      <c r="F31" s="598">
        <v>230000.0</v>
      </c>
      <c r="G31" s="413">
        <v>0.0</v>
      </c>
      <c r="H31" s="349" t="s">
        <v>2162</v>
      </c>
      <c r="I31" s="404" t="str">
        <f t="shared" si="2"/>
        <v>NOT PAID</v>
      </c>
      <c r="J31" s="402"/>
      <c r="K31" s="402"/>
      <c r="L31" s="402"/>
      <c r="M31" s="402"/>
      <c r="N31" s="402"/>
      <c r="O31" s="402"/>
      <c r="P31" s="402"/>
      <c r="Q31" s="402"/>
      <c r="R31" s="402"/>
      <c r="S31" s="402"/>
      <c r="T31" s="402"/>
      <c r="U31" s="402"/>
      <c r="V31" s="402"/>
      <c r="W31" s="402"/>
      <c r="X31" s="402"/>
      <c r="Y31" s="402"/>
      <c r="Z31" s="402"/>
    </row>
    <row r="32" ht="14.25" customHeight="1">
      <c r="A32" s="406"/>
      <c r="B32" s="402"/>
      <c r="C32" s="402"/>
      <c r="D32" s="402"/>
      <c r="E32" s="402"/>
      <c r="F32" s="587"/>
      <c r="G32" s="403"/>
      <c r="H32" s="402"/>
      <c r="I32" s="404" t="str">
        <f t="shared" si="2"/>
        <v>FULLY PAID</v>
      </c>
      <c r="J32" s="402"/>
      <c r="K32" s="402"/>
      <c r="L32" s="402"/>
      <c r="M32" s="402"/>
      <c r="N32" s="402"/>
      <c r="O32" s="402"/>
      <c r="P32" s="402"/>
      <c r="Q32" s="402"/>
      <c r="R32" s="402"/>
      <c r="S32" s="402"/>
      <c r="T32" s="402"/>
      <c r="U32" s="402"/>
      <c r="V32" s="402"/>
      <c r="W32" s="402"/>
      <c r="X32" s="402"/>
      <c r="Y32" s="402"/>
      <c r="Z32" s="402"/>
    </row>
    <row r="33" ht="14.25" customHeight="1">
      <c r="A33" s="406"/>
      <c r="B33" s="402"/>
      <c r="C33" s="424" t="s">
        <v>797</v>
      </c>
      <c r="D33" s="402"/>
      <c r="E33" s="402"/>
      <c r="F33" s="587"/>
      <c r="G33" s="403"/>
      <c r="H33" s="402"/>
      <c r="I33" s="404" t="str">
        <f t="shared" si="2"/>
        <v>FULLY PAID</v>
      </c>
      <c r="J33" s="402"/>
      <c r="K33" s="402"/>
      <c r="L33" s="402"/>
      <c r="M33" s="402"/>
      <c r="N33" s="402"/>
      <c r="O33" s="402"/>
      <c r="P33" s="402"/>
      <c r="Q33" s="402"/>
      <c r="R33" s="402"/>
      <c r="S33" s="402"/>
      <c r="T33" s="402"/>
      <c r="U33" s="402"/>
      <c r="V33" s="402"/>
      <c r="W33" s="402"/>
      <c r="X33" s="402"/>
      <c r="Y33" s="402"/>
      <c r="Z33" s="402"/>
    </row>
    <row r="34" ht="14.25" customHeight="1">
      <c r="A34" s="406">
        <v>45496.0</v>
      </c>
      <c r="B34" s="599" t="s">
        <v>2163</v>
      </c>
      <c r="C34" s="471" t="s">
        <v>2164</v>
      </c>
      <c r="D34" s="471" t="s">
        <v>59</v>
      </c>
      <c r="E34" s="471" t="s">
        <v>2165</v>
      </c>
      <c r="F34" s="600">
        <v>200000.0</v>
      </c>
      <c r="G34" s="403"/>
      <c r="H34" s="349" t="s">
        <v>2169</v>
      </c>
      <c r="I34" s="404" t="str">
        <f t="shared" si="2"/>
        <v>NOT PAID</v>
      </c>
      <c r="J34" s="402"/>
      <c r="K34" s="402"/>
      <c r="L34" s="402"/>
      <c r="M34" s="402"/>
      <c r="N34" s="402"/>
      <c r="O34" s="402"/>
      <c r="P34" s="402"/>
      <c r="Q34" s="402"/>
      <c r="R34" s="402"/>
      <c r="S34" s="402"/>
      <c r="T34" s="402"/>
      <c r="U34" s="402"/>
      <c r="V34" s="402"/>
      <c r="W34" s="402"/>
      <c r="X34" s="402"/>
      <c r="Y34" s="402"/>
      <c r="Z34" s="402"/>
    </row>
    <row r="35" ht="14.25" customHeight="1">
      <c r="A35" s="402"/>
      <c r="B35" s="402"/>
      <c r="C35" s="402"/>
      <c r="D35" s="402"/>
      <c r="E35" s="402"/>
      <c r="F35" s="587"/>
      <c r="G35" s="403"/>
      <c r="H35" s="402"/>
      <c r="I35" s="404" t="str">
        <f t="shared" si="2"/>
        <v>FULLY PAID</v>
      </c>
      <c r="J35" s="402"/>
      <c r="K35" s="402"/>
      <c r="L35" s="402"/>
      <c r="M35" s="402"/>
      <c r="N35" s="402"/>
      <c r="O35" s="402"/>
      <c r="P35" s="402"/>
      <c r="Q35" s="402"/>
      <c r="R35" s="402"/>
      <c r="S35" s="402"/>
      <c r="T35" s="402"/>
      <c r="U35" s="402"/>
      <c r="V35" s="402"/>
      <c r="W35" s="402"/>
      <c r="X35" s="402"/>
      <c r="Y35" s="402"/>
      <c r="Z35" s="402"/>
    </row>
    <row r="36" ht="14.25" customHeight="1">
      <c r="A36" s="406">
        <v>45496.0</v>
      </c>
      <c r="B36" s="602" t="s">
        <v>2170</v>
      </c>
      <c r="C36" s="602" t="s">
        <v>2171</v>
      </c>
      <c r="D36" s="349" t="s">
        <v>893</v>
      </c>
      <c r="E36" s="349" t="s">
        <v>2172</v>
      </c>
      <c r="F36" s="559">
        <v>400000.0</v>
      </c>
      <c r="G36" s="413">
        <v>400000.0</v>
      </c>
      <c r="H36" s="349" t="s">
        <v>267</v>
      </c>
      <c r="I36" s="404" t="str">
        <f t="shared" si="2"/>
        <v>FULLY PAID</v>
      </c>
      <c r="J36" s="402"/>
      <c r="K36" s="402"/>
      <c r="L36" s="402"/>
      <c r="M36" s="402"/>
      <c r="N36" s="402"/>
      <c r="O36" s="402"/>
      <c r="P36" s="402"/>
      <c r="Q36" s="402"/>
      <c r="R36" s="402"/>
      <c r="S36" s="402"/>
      <c r="T36" s="402"/>
      <c r="U36" s="402"/>
      <c r="V36" s="402"/>
      <c r="W36" s="402"/>
      <c r="X36" s="402"/>
      <c r="Y36" s="402"/>
      <c r="Z36" s="402"/>
    </row>
    <row r="37" ht="14.25" customHeight="1">
      <c r="A37" s="406"/>
      <c r="B37" s="402"/>
      <c r="C37" s="402"/>
      <c r="D37" s="402"/>
      <c r="E37" s="402"/>
      <c r="F37" s="587"/>
      <c r="G37" s="403"/>
      <c r="H37" s="402"/>
      <c r="I37" s="404" t="str">
        <f t="shared" si="2"/>
        <v>FULLY PAID</v>
      </c>
      <c r="J37" s="402"/>
      <c r="K37" s="402"/>
      <c r="L37" s="402"/>
      <c r="M37" s="402"/>
      <c r="N37" s="402"/>
      <c r="O37" s="402"/>
      <c r="P37" s="402"/>
      <c r="Q37" s="402"/>
      <c r="R37" s="402"/>
      <c r="S37" s="402"/>
      <c r="T37" s="402"/>
      <c r="U37" s="402"/>
      <c r="V37" s="402"/>
      <c r="W37" s="402"/>
      <c r="X37" s="402"/>
      <c r="Y37" s="402"/>
      <c r="Z37" s="402"/>
    </row>
    <row r="38" ht="14.25" customHeight="1">
      <c r="A38" s="402"/>
      <c r="B38" s="402"/>
      <c r="C38" s="402"/>
      <c r="D38" s="402"/>
      <c r="E38" s="402"/>
      <c r="F38" s="587"/>
      <c r="G38" s="403"/>
      <c r="H38" s="402"/>
      <c r="I38" s="404" t="str">
        <f t="shared" si="2"/>
        <v>FULLY PAID</v>
      </c>
      <c r="J38" s="402"/>
      <c r="K38" s="402"/>
      <c r="L38" s="402"/>
      <c r="M38" s="402"/>
      <c r="N38" s="402"/>
      <c r="O38" s="402"/>
      <c r="P38" s="402"/>
      <c r="Q38" s="402"/>
      <c r="R38" s="402"/>
      <c r="S38" s="402"/>
      <c r="T38" s="402"/>
      <c r="U38" s="402"/>
      <c r="V38" s="402"/>
      <c r="W38" s="402"/>
      <c r="X38" s="402"/>
      <c r="Y38" s="402"/>
      <c r="Z38" s="402"/>
    </row>
    <row r="39" ht="14.25" customHeight="1">
      <c r="A39" s="402"/>
      <c r="B39" s="402"/>
      <c r="C39" s="402"/>
      <c r="D39" s="402"/>
      <c r="E39" s="402"/>
      <c r="F39" s="587"/>
      <c r="G39" s="403"/>
      <c r="H39" s="402"/>
      <c r="I39" s="404" t="str">
        <f t="shared" si="2"/>
        <v>FULLY PAID</v>
      </c>
      <c r="J39" s="402"/>
      <c r="K39" s="402"/>
      <c r="L39" s="402"/>
      <c r="M39" s="402"/>
      <c r="N39" s="402"/>
      <c r="O39" s="402"/>
      <c r="P39" s="402"/>
      <c r="Q39" s="402"/>
      <c r="R39" s="402"/>
      <c r="S39" s="402"/>
      <c r="T39" s="402"/>
      <c r="U39" s="402"/>
      <c r="V39" s="402"/>
      <c r="W39" s="402"/>
      <c r="X39" s="402"/>
      <c r="Y39" s="402"/>
      <c r="Z39" s="402"/>
    </row>
    <row r="40" ht="14.25" customHeight="1">
      <c r="A40" s="406">
        <v>45497.0</v>
      </c>
      <c r="B40" s="407" t="s">
        <v>2131</v>
      </c>
      <c r="C40" s="408" t="s">
        <v>2132</v>
      </c>
      <c r="D40" s="408" t="s">
        <v>439</v>
      </c>
      <c r="E40" s="408" t="s">
        <v>2133</v>
      </c>
      <c r="F40" s="445">
        <v>24500.0</v>
      </c>
      <c r="G40" s="413">
        <v>0.0</v>
      </c>
      <c r="H40" s="484" t="s">
        <v>2166</v>
      </c>
      <c r="I40" s="404" t="str">
        <f t="shared" si="2"/>
        <v>NOT PAID</v>
      </c>
      <c r="J40" s="402"/>
      <c r="K40" s="402"/>
      <c r="L40" s="402"/>
      <c r="M40" s="402"/>
      <c r="N40" s="402"/>
      <c r="O40" s="402"/>
      <c r="P40" s="402"/>
      <c r="Q40" s="402"/>
      <c r="R40" s="402"/>
      <c r="S40" s="402"/>
      <c r="T40" s="402"/>
      <c r="U40" s="402"/>
      <c r="V40" s="402"/>
      <c r="W40" s="402"/>
      <c r="X40" s="402"/>
      <c r="Y40" s="402"/>
      <c r="Z40" s="402"/>
    </row>
    <row r="41" ht="14.25" customHeight="1">
      <c r="A41" s="406">
        <v>45497.0</v>
      </c>
      <c r="B41" s="588" t="s">
        <v>2134</v>
      </c>
      <c r="C41" s="588" t="s">
        <v>2135</v>
      </c>
      <c r="D41" s="589" t="s">
        <v>54</v>
      </c>
      <c r="E41" s="349" t="s">
        <v>2133</v>
      </c>
      <c r="F41" s="590">
        <v>6500.0</v>
      </c>
      <c r="G41" s="413">
        <v>0.0</v>
      </c>
      <c r="H41" s="484" t="s">
        <v>2136</v>
      </c>
      <c r="I41" s="404" t="str">
        <f t="shared" si="2"/>
        <v>NOT PAID</v>
      </c>
      <c r="J41" s="402"/>
      <c r="K41" s="402"/>
      <c r="L41" s="402"/>
      <c r="M41" s="402"/>
      <c r="N41" s="402"/>
      <c r="O41" s="402"/>
      <c r="P41" s="402"/>
      <c r="Q41" s="402"/>
      <c r="R41" s="402"/>
      <c r="S41" s="402"/>
      <c r="T41" s="402"/>
      <c r="U41" s="402"/>
      <c r="V41" s="402"/>
      <c r="W41" s="402"/>
      <c r="X41" s="402"/>
      <c r="Y41" s="402"/>
      <c r="Z41" s="402"/>
    </row>
    <row r="42" ht="14.25" customHeight="1">
      <c r="A42" s="406">
        <v>45497.0</v>
      </c>
      <c r="B42" s="591" t="s">
        <v>2137</v>
      </c>
      <c r="C42" s="591" t="s">
        <v>2138</v>
      </c>
      <c r="D42" s="588" t="s">
        <v>75</v>
      </c>
      <c r="E42" s="349" t="s">
        <v>2133</v>
      </c>
      <c r="F42" s="590">
        <v>115000.0</v>
      </c>
      <c r="G42" s="413">
        <v>0.0</v>
      </c>
      <c r="H42" s="484" t="s">
        <v>2139</v>
      </c>
      <c r="I42" s="404" t="str">
        <f t="shared" si="2"/>
        <v>NOT PAID</v>
      </c>
      <c r="J42" s="402"/>
      <c r="K42" s="402"/>
      <c r="L42" s="402"/>
      <c r="M42" s="402"/>
      <c r="N42" s="402"/>
      <c r="O42" s="402"/>
      <c r="P42" s="402"/>
      <c r="Q42" s="402"/>
      <c r="R42" s="402"/>
      <c r="S42" s="402"/>
      <c r="T42" s="402"/>
      <c r="U42" s="402"/>
      <c r="V42" s="402"/>
      <c r="W42" s="402"/>
      <c r="X42" s="402"/>
      <c r="Y42" s="402"/>
      <c r="Z42" s="402"/>
    </row>
    <row r="43" ht="14.25" customHeight="1">
      <c r="A43" s="406">
        <v>45497.0</v>
      </c>
      <c r="B43" s="417" t="s">
        <v>2140</v>
      </c>
      <c r="C43" s="418" t="s">
        <v>2141</v>
      </c>
      <c r="D43" s="522" t="s">
        <v>439</v>
      </c>
      <c r="E43" s="349" t="s">
        <v>2133</v>
      </c>
      <c r="F43" s="590">
        <v>19070.0</v>
      </c>
      <c r="G43" s="413">
        <v>0.0</v>
      </c>
      <c r="H43" s="484" t="s">
        <v>2142</v>
      </c>
      <c r="I43" s="404" t="str">
        <f t="shared" si="2"/>
        <v>NOT PAID</v>
      </c>
      <c r="J43" s="402"/>
      <c r="K43" s="402"/>
      <c r="L43" s="402"/>
      <c r="M43" s="402"/>
      <c r="N43" s="402"/>
      <c r="O43" s="402"/>
      <c r="P43" s="402"/>
      <c r="Q43" s="402"/>
      <c r="R43" s="402"/>
      <c r="S43" s="402"/>
      <c r="T43" s="402"/>
      <c r="U43" s="402"/>
      <c r="V43" s="402"/>
      <c r="W43" s="402"/>
      <c r="X43" s="402"/>
      <c r="Y43" s="402"/>
      <c r="Z43" s="402"/>
    </row>
    <row r="44" ht="14.25" customHeight="1">
      <c r="A44" s="406">
        <v>45497.0</v>
      </c>
      <c r="B44" s="349" t="s">
        <v>2143</v>
      </c>
      <c r="C44" s="349" t="s">
        <v>2144</v>
      </c>
      <c r="D44" s="592" t="s">
        <v>54</v>
      </c>
      <c r="E44" s="349" t="s">
        <v>2133</v>
      </c>
      <c r="F44" s="559">
        <v>6000.0</v>
      </c>
      <c r="G44" s="413">
        <v>6000.0</v>
      </c>
      <c r="H44" s="349" t="s">
        <v>267</v>
      </c>
      <c r="I44" s="404" t="str">
        <f t="shared" si="2"/>
        <v>FULLY PAID</v>
      </c>
      <c r="J44" s="402"/>
      <c r="K44" s="402"/>
      <c r="L44" s="402"/>
      <c r="M44" s="402"/>
      <c r="N44" s="402"/>
      <c r="O44" s="402"/>
      <c r="P44" s="402"/>
      <c r="Q44" s="402"/>
      <c r="R44" s="402"/>
      <c r="S44" s="402"/>
      <c r="T44" s="402"/>
      <c r="U44" s="402"/>
      <c r="V44" s="402"/>
      <c r="W44" s="402"/>
      <c r="X44" s="402"/>
      <c r="Y44" s="402"/>
      <c r="Z44" s="402"/>
    </row>
    <row r="45" ht="14.25" customHeight="1">
      <c r="A45" s="406">
        <v>45497.0</v>
      </c>
      <c r="B45" s="591" t="s">
        <v>2145</v>
      </c>
      <c r="C45" s="591" t="s">
        <v>1043</v>
      </c>
      <c r="D45" s="593" t="s">
        <v>75</v>
      </c>
      <c r="E45" s="349" t="s">
        <v>2133</v>
      </c>
      <c r="F45" s="559">
        <v>44000.0</v>
      </c>
      <c r="G45" s="413">
        <v>0.0</v>
      </c>
      <c r="H45" s="484" t="s">
        <v>2173</v>
      </c>
      <c r="I45" s="404" t="str">
        <f t="shared" si="2"/>
        <v>NOT PAID</v>
      </c>
      <c r="J45" s="402"/>
      <c r="K45" s="402"/>
      <c r="L45" s="402"/>
      <c r="M45" s="402"/>
      <c r="N45" s="402"/>
      <c r="O45" s="402"/>
      <c r="P45" s="402"/>
      <c r="Q45" s="402"/>
      <c r="R45" s="402"/>
      <c r="S45" s="402"/>
      <c r="T45" s="402"/>
      <c r="U45" s="402"/>
      <c r="V45" s="402"/>
      <c r="W45" s="402"/>
      <c r="X45" s="402"/>
      <c r="Y45" s="402"/>
      <c r="Z45" s="402"/>
    </row>
    <row r="46" ht="14.25" customHeight="1">
      <c r="A46" s="406">
        <v>45497.0</v>
      </c>
      <c r="B46" s="588" t="s">
        <v>2149</v>
      </c>
      <c r="C46" s="588" t="s">
        <v>2150</v>
      </c>
      <c r="D46" s="349" t="s">
        <v>54</v>
      </c>
      <c r="E46" s="349" t="s">
        <v>2133</v>
      </c>
      <c r="F46" s="559">
        <v>5000.0</v>
      </c>
      <c r="G46" s="413">
        <v>0.0</v>
      </c>
      <c r="H46" s="455" t="s">
        <v>2151</v>
      </c>
      <c r="I46" s="404" t="str">
        <f t="shared" si="2"/>
        <v>NOT PAID</v>
      </c>
      <c r="J46" s="402"/>
      <c r="K46" s="402"/>
      <c r="L46" s="402"/>
      <c r="M46" s="402"/>
      <c r="N46" s="402"/>
      <c r="O46" s="402"/>
      <c r="P46" s="402"/>
      <c r="Q46" s="402"/>
      <c r="R46" s="402"/>
      <c r="S46" s="402"/>
      <c r="T46" s="402"/>
      <c r="U46" s="402"/>
      <c r="V46" s="402"/>
      <c r="W46" s="402"/>
      <c r="X46" s="402"/>
      <c r="Y46" s="402"/>
      <c r="Z46" s="402"/>
    </row>
    <row r="47" ht="14.25" customHeight="1">
      <c r="A47" s="406">
        <v>45497.0</v>
      </c>
      <c r="B47" s="594" t="s">
        <v>2152</v>
      </c>
      <c r="C47" s="594" t="s">
        <v>2153</v>
      </c>
      <c r="D47" s="111" t="s">
        <v>54</v>
      </c>
      <c r="E47" s="349" t="s">
        <v>2133</v>
      </c>
      <c r="F47" s="559">
        <v>59690.0</v>
      </c>
      <c r="G47" s="413">
        <v>0.0</v>
      </c>
      <c r="H47" s="349" t="s">
        <v>2174</v>
      </c>
      <c r="I47" s="404" t="str">
        <f t="shared" si="2"/>
        <v>NOT PAID</v>
      </c>
      <c r="J47" s="402"/>
      <c r="K47" s="402"/>
      <c r="L47" s="402"/>
      <c r="M47" s="402"/>
      <c r="N47" s="402"/>
      <c r="O47" s="402"/>
      <c r="P47" s="402"/>
      <c r="Q47" s="402"/>
      <c r="R47" s="402"/>
      <c r="S47" s="402"/>
      <c r="T47" s="402"/>
      <c r="U47" s="402"/>
      <c r="V47" s="402"/>
      <c r="W47" s="402"/>
      <c r="X47" s="402"/>
      <c r="Y47" s="402"/>
      <c r="Z47" s="402"/>
    </row>
    <row r="48" ht="14.25" customHeight="1">
      <c r="A48" s="406">
        <v>45497.0</v>
      </c>
      <c r="B48" s="596" t="s">
        <v>2155</v>
      </c>
      <c r="C48" s="596" t="s">
        <v>2156</v>
      </c>
      <c r="D48" s="111" t="s">
        <v>54</v>
      </c>
      <c r="E48" s="349" t="s">
        <v>2133</v>
      </c>
      <c r="F48" s="559">
        <v>31973.0</v>
      </c>
      <c r="G48" s="413">
        <v>31973.0</v>
      </c>
      <c r="H48" s="349" t="s">
        <v>267</v>
      </c>
      <c r="I48" s="404" t="str">
        <f t="shared" si="2"/>
        <v>FULLY PAID</v>
      </c>
      <c r="J48" s="402"/>
      <c r="K48" s="402"/>
      <c r="L48" s="402"/>
      <c r="M48" s="402"/>
      <c r="N48" s="402"/>
      <c r="O48" s="402"/>
      <c r="P48" s="402"/>
      <c r="Q48" s="402"/>
      <c r="R48" s="402"/>
      <c r="S48" s="402"/>
      <c r="T48" s="402"/>
      <c r="U48" s="402"/>
      <c r="V48" s="402"/>
      <c r="W48" s="402"/>
      <c r="X48" s="402"/>
      <c r="Y48" s="402"/>
      <c r="Z48" s="402"/>
    </row>
    <row r="49" ht="14.25" customHeight="1">
      <c r="A49" s="406">
        <v>45497.0</v>
      </c>
      <c r="B49" s="596" t="s">
        <v>2160</v>
      </c>
      <c r="C49" s="596" t="s">
        <v>2161</v>
      </c>
      <c r="D49" s="601" t="s">
        <v>75</v>
      </c>
      <c r="E49" s="349" t="s">
        <v>2133</v>
      </c>
      <c r="F49" s="598">
        <v>230000.0</v>
      </c>
      <c r="G49" s="413">
        <v>0.0</v>
      </c>
      <c r="H49" s="349" t="s">
        <v>2162</v>
      </c>
      <c r="I49" s="404" t="str">
        <f t="shared" si="2"/>
        <v>NOT PAID</v>
      </c>
      <c r="J49" s="402"/>
      <c r="K49" s="402"/>
      <c r="L49" s="402"/>
      <c r="M49" s="402"/>
      <c r="N49" s="402"/>
      <c r="O49" s="402"/>
      <c r="P49" s="402"/>
      <c r="Q49" s="402"/>
      <c r="R49" s="402"/>
      <c r="S49" s="402"/>
      <c r="T49" s="402"/>
      <c r="U49" s="402"/>
      <c r="V49" s="402"/>
      <c r="W49" s="402"/>
      <c r="X49" s="402"/>
      <c r="Y49" s="402"/>
      <c r="Z49" s="402"/>
    </row>
    <row r="50" ht="14.25" customHeight="1">
      <c r="A50" s="406">
        <v>45497.0</v>
      </c>
      <c r="B50" s="349" t="s">
        <v>2175</v>
      </c>
      <c r="C50" s="349" t="s">
        <v>2176</v>
      </c>
      <c r="D50" s="349" t="s">
        <v>54</v>
      </c>
      <c r="E50" s="349" t="s">
        <v>2133</v>
      </c>
      <c r="F50" s="603">
        <v>101695.0</v>
      </c>
      <c r="G50" s="413">
        <v>0.0</v>
      </c>
      <c r="H50" s="349" t="s">
        <v>2177</v>
      </c>
      <c r="I50" s="404" t="str">
        <f t="shared" si="2"/>
        <v>NOT PAID</v>
      </c>
      <c r="J50" s="402"/>
      <c r="K50" s="402"/>
      <c r="L50" s="402"/>
      <c r="M50" s="402"/>
      <c r="N50" s="402"/>
      <c r="O50" s="402"/>
      <c r="P50" s="402"/>
      <c r="Q50" s="402"/>
      <c r="R50" s="402"/>
      <c r="S50" s="402"/>
      <c r="T50" s="402"/>
      <c r="U50" s="402"/>
      <c r="V50" s="402"/>
      <c r="W50" s="402"/>
      <c r="X50" s="402"/>
      <c r="Y50" s="402"/>
      <c r="Z50" s="402"/>
    </row>
    <row r="51" ht="14.25" customHeight="1">
      <c r="A51" s="406">
        <v>45497.0</v>
      </c>
      <c r="B51" s="349" t="s">
        <v>2178</v>
      </c>
      <c r="C51" s="349" t="s">
        <v>2179</v>
      </c>
      <c r="D51" s="349" t="s">
        <v>75</v>
      </c>
      <c r="E51" s="349" t="s">
        <v>2133</v>
      </c>
      <c r="F51" s="559">
        <v>30850.0</v>
      </c>
      <c r="G51" s="413">
        <v>30850.0</v>
      </c>
      <c r="H51" s="349" t="s">
        <v>267</v>
      </c>
      <c r="I51" s="404" t="str">
        <f t="shared" si="2"/>
        <v>FULLY PAID</v>
      </c>
      <c r="J51" s="402"/>
      <c r="K51" s="402"/>
      <c r="L51" s="402"/>
      <c r="M51" s="402"/>
      <c r="N51" s="402"/>
      <c r="O51" s="402"/>
      <c r="P51" s="402"/>
      <c r="Q51" s="402"/>
      <c r="R51" s="402"/>
      <c r="S51" s="402"/>
      <c r="T51" s="402"/>
      <c r="U51" s="402"/>
      <c r="V51" s="402"/>
      <c r="W51" s="402"/>
      <c r="X51" s="402"/>
      <c r="Y51" s="402"/>
      <c r="Z51" s="402"/>
    </row>
    <row r="52" ht="14.25" customHeight="1">
      <c r="A52" s="406">
        <v>45497.0</v>
      </c>
      <c r="B52" s="602" t="s">
        <v>2170</v>
      </c>
      <c r="C52" s="602" t="s">
        <v>2171</v>
      </c>
      <c r="D52" s="349" t="s">
        <v>893</v>
      </c>
      <c r="E52" s="349" t="s">
        <v>2172</v>
      </c>
      <c r="F52" s="559">
        <v>400000.0</v>
      </c>
      <c r="G52" s="413">
        <v>0.0</v>
      </c>
      <c r="H52" s="402"/>
      <c r="I52" s="404" t="str">
        <f t="shared" si="2"/>
        <v>NOT PAID</v>
      </c>
      <c r="J52" s="402"/>
      <c r="K52" s="402"/>
      <c r="L52" s="402"/>
      <c r="M52" s="402"/>
      <c r="N52" s="402"/>
      <c r="O52" s="402"/>
      <c r="P52" s="402"/>
      <c r="Q52" s="402"/>
      <c r="R52" s="402"/>
      <c r="S52" s="402"/>
      <c r="T52" s="402"/>
      <c r="U52" s="402"/>
      <c r="V52" s="402"/>
      <c r="W52" s="402"/>
      <c r="X52" s="402"/>
      <c r="Y52" s="402"/>
      <c r="Z52" s="402"/>
    </row>
    <row r="53" ht="14.25" customHeight="1">
      <c r="A53" s="402"/>
      <c r="B53" s="402"/>
      <c r="C53" s="402"/>
      <c r="D53" s="402"/>
      <c r="E53" s="402"/>
      <c r="F53" s="587"/>
      <c r="G53" s="403"/>
      <c r="H53" s="402"/>
      <c r="I53" s="404" t="str">
        <f t="shared" si="2"/>
        <v>FULLY PAID</v>
      </c>
      <c r="J53" s="402"/>
      <c r="K53" s="402"/>
      <c r="L53" s="402"/>
      <c r="M53" s="402"/>
      <c r="N53" s="402"/>
      <c r="O53" s="402"/>
      <c r="P53" s="402"/>
      <c r="Q53" s="402"/>
      <c r="R53" s="402"/>
      <c r="S53" s="402"/>
      <c r="T53" s="402"/>
      <c r="U53" s="402"/>
      <c r="V53" s="402"/>
      <c r="W53" s="402"/>
      <c r="X53" s="402"/>
      <c r="Y53" s="402"/>
      <c r="Z53" s="402"/>
    </row>
    <row r="54" ht="14.25" customHeight="1">
      <c r="A54" s="402"/>
      <c r="B54" s="402"/>
      <c r="C54" s="402"/>
      <c r="D54" s="402"/>
      <c r="E54" s="402"/>
      <c r="F54" s="587"/>
      <c r="G54" s="403"/>
      <c r="H54" s="402"/>
      <c r="I54" s="404" t="str">
        <f t="shared" si="2"/>
        <v>FULLY PAID</v>
      </c>
      <c r="J54" s="402"/>
      <c r="K54" s="402"/>
      <c r="L54" s="402"/>
      <c r="M54" s="402"/>
      <c r="N54" s="402"/>
      <c r="O54" s="402"/>
      <c r="P54" s="402"/>
      <c r="Q54" s="402"/>
      <c r="R54" s="402"/>
      <c r="S54" s="402"/>
      <c r="T54" s="402"/>
      <c r="U54" s="402"/>
      <c r="V54" s="402"/>
      <c r="W54" s="402"/>
      <c r="X54" s="402"/>
      <c r="Y54" s="402"/>
      <c r="Z54" s="402"/>
    </row>
    <row r="55" ht="14.25" customHeight="1">
      <c r="A55" s="402"/>
      <c r="B55" s="402"/>
      <c r="C55" s="402"/>
      <c r="D55" s="402"/>
      <c r="E55" s="402"/>
      <c r="F55" s="587"/>
      <c r="G55" s="403"/>
      <c r="H55" s="402"/>
      <c r="I55" s="404" t="str">
        <f t="shared" si="2"/>
        <v>FULLY PAID</v>
      </c>
      <c r="J55" s="402"/>
      <c r="K55" s="402"/>
      <c r="L55" s="402"/>
      <c r="M55" s="402"/>
      <c r="N55" s="402"/>
      <c r="O55" s="402"/>
      <c r="P55" s="402"/>
      <c r="Q55" s="402"/>
      <c r="R55" s="402"/>
      <c r="S55" s="402"/>
      <c r="T55" s="402"/>
      <c r="U55" s="402"/>
      <c r="V55" s="402"/>
      <c r="W55" s="402"/>
      <c r="X55" s="402"/>
      <c r="Y55" s="402"/>
      <c r="Z55" s="402"/>
    </row>
    <row r="56" ht="14.25" customHeight="1">
      <c r="A56" s="406">
        <v>45498.0</v>
      </c>
      <c r="B56" s="407" t="s">
        <v>2131</v>
      </c>
      <c r="C56" s="408" t="s">
        <v>2132</v>
      </c>
      <c r="D56" s="408" t="s">
        <v>439</v>
      </c>
      <c r="E56" s="408" t="s">
        <v>2133</v>
      </c>
      <c r="F56" s="445">
        <v>24500.0</v>
      </c>
      <c r="G56" s="413">
        <v>0.0</v>
      </c>
      <c r="H56" s="484" t="s">
        <v>2166</v>
      </c>
      <c r="I56" s="404" t="str">
        <f t="shared" si="2"/>
        <v>NOT PAID</v>
      </c>
      <c r="J56" s="402"/>
      <c r="K56" s="402"/>
      <c r="L56" s="402"/>
      <c r="M56" s="402"/>
      <c r="N56" s="402"/>
      <c r="O56" s="402"/>
      <c r="P56" s="402"/>
      <c r="Q56" s="402"/>
      <c r="R56" s="402"/>
      <c r="S56" s="402"/>
      <c r="T56" s="402"/>
      <c r="U56" s="402"/>
      <c r="V56" s="402"/>
      <c r="W56" s="402"/>
      <c r="X56" s="402"/>
      <c r="Y56" s="402"/>
      <c r="Z56" s="402"/>
    </row>
    <row r="57" ht="14.25" customHeight="1">
      <c r="A57" s="406">
        <v>45498.0</v>
      </c>
      <c r="B57" s="588" t="s">
        <v>2134</v>
      </c>
      <c r="C57" s="588" t="s">
        <v>2135</v>
      </c>
      <c r="D57" s="589" t="s">
        <v>54</v>
      </c>
      <c r="E57" s="349" t="s">
        <v>2133</v>
      </c>
      <c r="F57" s="590">
        <v>6500.0</v>
      </c>
      <c r="G57" s="413">
        <v>0.0</v>
      </c>
      <c r="H57" s="484" t="s">
        <v>2136</v>
      </c>
      <c r="I57" s="404" t="str">
        <f t="shared" si="2"/>
        <v>NOT PAID</v>
      </c>
      <c r="J57" s="402"/>
      <c r="K57" s="402"/>
      <c r="L57" s="402"/>
      <c r="M57" s="402"/>
      <c r="N57" s="402"/>
      <c r="O57" s="402"/>
      <c r="P57" s="402"/>
      <c r="Q57" s="402"/>
      <c r="R57" s="402"/>
      <c r="S57" s="402"/>
      <c r="T57" s="402"/>
      <c r="U57" s="402"/>
      <c r="V57" s="402"/>
      <c r="W57" s="402"/>
      <c r="X57" s="402"/>
      <c r="Y57" s="402"/>
      <c r="Z57" s="402"/>
    </row>
    <row r="58" ht="14.25" customHeight="1">
      <c r="A58" s="406">
        <v>45498.0</v>
      </c>
      <c r="B58" s="591" t="s">
        <v>2137</v>
      </c>
      <c r="C58" s="591" t="s">
        <v>2138</v>
      </c>
      <c r="D58" s="588" t="s">
        <v>75</v>
      </c>
      <c r="E58" s="349" t="s">
        <v>2133</v>
      </c>
      <c r="F58" s="590">
        <v>122275.0</v>
      </c>
      <c r="G58" s="413">
        <v>0.0</v>
      </c>
      <c r="H58" s="484" t="s">
        <v>2139</v>
      </c>
      <c r="I58" s="404" t="str">
        <f t="shared" si="2"/>
        <v>NOT PAID</v>
      </c>
      <c r="J58" s="402"/>
      <c r="K58" s="402"/>
      <c r="L58" s="402"/>
      <c r="M58" s="402"/>
      <c r="N58" s="402"/>
      <c r="O58" s="402"/>
      <c r="P58" s="402"/>
      <c r="Q58" s="402"/>
      <c r="R58" s="402"/>
      <c r="S58" s="402"/>
      <c r="T58" s="402"/>
      <c r="U58" s="402"/>
      <c r="V58" s="402"/>
      <c r="W58" s="402"/>
      <c r="X58" s="402"/>
      <c r="Y58" s="402"/>
      <c r="Z58" s="402"/>
    </row>
    <row r="59" ht="14.25" customHeight="1">
      <c r="A59" s="406">
        <v>45498.0</v>
      </c>
      <c r="B59" s="417" t="s">
        <v>2140</v>
      </c>
      <c r="C59" s="418" t="s">
        <v>2141</v>
      </c>
      <c r="D59" s="522" t="s">
        <v>439</v>
      </c>
      <c r="E59" s="349" t="s">
        <v>2133</v>
      </c>
      <c r="F59" s="590">
        <v>19070.0</v>
      </c>
      <c r="G59" s="413">
        <v>0.0</v>
      </c>
      <c r="H59" s="484" t="s">
        <v>2142</v>
      </c>
      <c r="I59" s="404" t="str">
        <f t="shared" si="2"/>
        <v>NOT PAID</v>
      </c>
      <c r="J59" s="402"/>
      <c r="K59" s="402"/>
      <c r="L59" s="402"/>
      <c r="M59" s="402"/>
      <c r="N59" s="402"/>
      <c r="O59" s="402"/>
      <c r="P59" s="402"/>
      <c r="Q59" s="402"/>
      <c r="R59" s="402"/>
      <c r="S59" s="402"/>
      <c r="T59" s="402"/>
      <c r="U59" s="402"/>
      <c r="V59" s="402"/>
      <c r="W59" s="402"/>
      <c r="X59" s="402"/>
      <c r="Y59" s="402"/>
      <c r="Z59" s="402"/>
    </row>
    <row r="60" ht="14.25" customHeight="1">
      <c r="A60" s="406">
        <v>45498.0</v>
      </c>
      <c r="B60" s="349" t="s">
        <v>2143</v>
      </c>
      <c r="C60" s="349" t="s">
        <v>2144</v>
      </c>
      <c r="D60" s="592" t="s">
        <v>54</v>
      </c>
      <c r="E60" s="349" t="s">
        <v>2133</v>
      </c>
      <c r="F60" s="559">
        <v>6000.0</v>
      </c>
      <c r="G60" s="413">
        <v>6000.0</v>
      </c>
      <c r="H60" s="349" t="s">
        <v>267</v>
      </c>
      <c r="I60" s="404" t="str">
        <f t="shared" si="2"/>
        <v>FULLY PAID</v>
      </c>
      <c r="J60" s="402"/>
      <c r="K60" s="402"/>
      <c r="L60" s="402"/>
      <c r="M60" s="402"/>
      <c r="N60" s="402"/>
      <c r="O60" s="402"/>
      <c r="P60" s="402"/>
      <c r="Q60" s="402"/>
      <c r="R60" s="402"/>
      <c r="S60" s="402"/>
      <c r="T60" s="402"/>
      <c r="U60" s="402"/>
      <c r="V60" s="402"/>
      <c r="W60" s="402"/>
      <c r="X60" s="402"/>
      <c r="Y60" s="402"/>
      <c r="Z60" s="402"/>
    </row>
    <row r="61" ht="14.25" customHeight="1">
      <c r="A61" s="406">
        <v>45498.0</v>
      </c>
      <c r="B61" s="591" t="s">
        <v>2145</v>
      </c>
      <c r="C61" s="591" t="s">
        <v>1043</v>
      </c>
      <c r="D61" s="593" t="s">
        <v>75</v>
      </c>
      <c r="E61" s="349" t="s">
        <v>2133</v>
      </c>
      <c r="F61" s="559">
        <v>44000.0</v>
      </c>
      <c r="G61" s="413">
        <v>0.0</v>
      </c>
      <c r="H61" s="484" t="s">
        <v>2173</v>
      </c>
      <c r="I61" s="404" t="str">
        <f t="shared" si="2"/>
        <v>NOT PAID</v>
      </c>
      <c r="J61" s="402"/>
      <c r="K61" s="402"/>
      <c r="L61" s="402"/>
      <c r="M61" s="402"/>
      <c r="N61" s="402"/>
      <c r="O61" s="402"/>
      <c r="P61" s="402"/>
      <c r="Q61" s="402"/>
      <c r="R61" s="402"/>
      <c r="S61" s="402"/>
      <c r="T61" s="402"/>
      <c r="U61" s="402"/>
      <c r="V61" s="402"/>
      <c r="W61" s="402"/>
      <c r="X61" s="402"/>
      <c r="Y61" s="402"/>
      <c r="Z61" s="402"/>
    </row>
    <row r="62" ht="14.25" customHeight="1">
      <c r="A62" s="406">
        <v>45498.0</v>
      </c>
      <c r="B62" s="588" t="s">
        <v>2149</v>
      </c>
      <c r="C62" s="588" t="s">
        <v>2150</v>
      </c>
      <c r="D62" s="349" t="s">
        <v>54</v>
      </c>
      <c r="E62" s="349" t="s">
        <v>2133</v>
      </c>
      <c r="F62" s="559">
        <v>5000.0</v>
      </c>
      <c r="G62" s="413">
        <v>0.0</v>
      </c>
      <c r="H62" s="455" t="s">
        <v>2151</v>
      </c>
      <c r="I62" s="404" t="str">
        <f t="shared" si="2"/>
        <v>NOT PAID</v>
      </c>
      <c r="J62" s="402"/>
      <c r="K62" s="402"/>
      <c r="L62" s="402"/>
      <c r="M62" s="402"/>
      <c r="N62" s="402"/>
      <c r="O62" s="402"/>
      <c r="P62" s="402"/>
      <c r="Q62" s="402"/>
      <c r="R62" s="402"/>
      <c r="S62" s="402"/>
      <c r="T62" s="402"/>
      <c r="U62" s="402"/>
      <c r="V62" s="402"/>
      <c r="W62" s="402"/>
      <c r="X62" s="402"/>
      <c r="Y62" s="402"/>
      <c r="Z62" s="402"/>
    </row>
    <row r="63" ht="14.25" customHeight="1">
      <c r="A63" s="406">
        <v>45498.0</v>
      </c>
      <c r="B63" s="594" t="s">
        <v>2152</v>
      </c>
      <c r="C63" s="594" t="s">
        <v>2153</v>
      </c>
      <c r="D63" s="111" t="s">
        <v>54</v>
      </c>
      <c r="E63" s="349" t="s">
        <v>2133</v>
      </c>
      <c r="F63" s="559">
        <v>59690.0</v>
      </c>
      <c r="G63" s="413">
        <v>0.0</v>
      </c>
      <c r="H63" s="349" t="s">
        <v>2180</v>
      </c>
      <c r="I63" s="404" t="str">
        <f t="shared" si="2"/>
        <v>NOT PAID</v>
      </c>
      <c r="J63" s="402"/>
      <c r="K63" s="402"/>
      <c r="L63" s="402"/>
      <c r="M63" s="402"/>
      <c r="N63" s="402"/>
      <c r="O63" s="402"/>
      <c r="P63" s="402"/>
      <c r="Q63" s="402"/>
      <c r="R63" s="402"/>
      <c r="S63" s="402"/>
      <c r="T63" s="402"/>
      <c r="U63" s="402"/>
      <c r="V63" s="402"/>
      <c r="W63" s="402"/>
      <c r="X63" s="402"/>
      <c r="Y63" s="402"/>
      <c r="Z63" s="402"/>
    </row>
    <row r="64" ht="14.25" customHeight="1">
      <c r="A64" s="406">
        <v>45498.0</v>
      </c>
      <c r="B64" s="349" t="s">
        <v>2175</v>
      </c>
      <c r="C64" s="349" t="s">
        <v>2176</v>
      </c>
      <c r="D64" s="349" t="s">
        <v>54</v>
      </c>
      <c r="E64" s="349" t="s">
        <v>2133</v>
      </c>
      <c r="F64" s="603">
        <v>101695.0</v>
      </c>
      <c r="G64" s="413">
        <v>0.0</v>
      </c>
      <c r="H64" s="349" t="s">
        <v>2181</v>
      </c>
      <c r="I64" s="404" t="str">
        <f t="shared" si="2"/>
        <v>NOT PAID</v>
      </c>
      <c r="J64" s="402"/>
      <c r="K64" s="402"/>
      <c r="L64" s="402"/>
      <c r="M64" s="402"/>
      <c r="N64" s="402"/>
      <c r="O64" s="402"/>
      <c r="P64" s="402"/>
      <c r="Q64" s="402"/>
      <c r="R64" s="402"/>
      <c r="S64" s="402"/>
      <c r="T64" s="402"/>
      <c r="U64" s="402"/>
      <c r="V64" s="402"/>
      <c r="W64" s="402"/>
      <c r="X64" s="402"/>
      <c r="Y64" s="402"/>
      <c r="Z64" s="402"/>
    </row>
    <row r="65" ht="14.25" customHeight="1">
      <c r="A65" s="406">
        <v>45498.0</v>
      </c>
      <c r="B65" s="594" t="s">
        <v>2182</v>
      </c>
      <c r="C65" s="594" t="s">
        <v>2183</v>
      </c>
      <c r="D65" s="604" t="s">
        <v>54</v>
      </c>
      <c r="E65" s="349" t="s">
        <v>2133</v>
      </c>
      <c r="F65" s="559">
        <v>19920.0</v>
      </c>
      <c r="G65" s="413">
        <v>19920.0</v>
      </c>
      <c r="H65" s="349" t="s">
        <v>2184</v>
      </c>
      <c r="I65" s="404" t="str">
        <f t="shared" si="2"/>
        <v>FULLY PAID</v>
      </c>
      <c r="J65" s="402"/>
      <c r="K65" s="402"/>
      <c r="L65" s="402"/>
      <c r="M65" s="402"/>
      <c r="N65" s="402"/>
      <c r="O65" s="402"/>
      <c r="P65" s="402"/>
      <c r="Q65" s="402"/>
      <c r="R65" s="402"/>
      <c r="S65" s="402"/>
      <c r="T65" s="402"/>
      <c r="U65" s="402"/>
      <c r="V65" s="402"/>
      <c r="W65" s="402"/>
      <c r="X65" s="402"/>
      <c r="Y65" s="402"/>
      <c r="Z65" s="402"/>
    </row>
    <row r="66" ht="14.25" customHeight="1">
      <c r="A66" s="406"/>
      <c r="B66" s="605"/>
      <c r="C66" s="606"/>
      <c r="D66" s="604"/>
      <c r="E66" s="349"/>
      <c r="F66" s="559"/>
      <c r="G66" s="413"/>
      <c r="H66" s="349"/>
      <c r="I66" s="404" t="str">
        <f t="shared" si="2"/>
        <v>FULLY PAID</v>
      </c>
      <c r="J66" s="402"/>
      <c r="K66" s="402"/>
      <c r="L66" s="402"/>
      <c r="M66" s="402"/>
      <c r="N66" s="402"/>
      <c r="O66" s="402"/>
      <c r="P66" s="402"/>
      <c r="Q66" s="402"/>
      <c r="R66" s="402"/>
      <c r="S66" s="402"/>
      <c r="T66" s="402"/>
      <c r="U66" s="402"/>
      <c r="V66" s="402"/>
      <c r="W66" s="402"/>
      <c r="X66" s="402"/>
      <c r="Y66" s="402"/>
      <c r="Z66" s="402"/>
    </row>
    <row r="67" ht="14.25" customHeight="1">
      <c r="A67" s="406"/>
      <c r="B67" s="402"/>
      <c r="C67" s="402"/>
      <c r="D67" s="402"/>
      <c r="E67" s="402"/>
      <c r="F67" s="587"/>
      <c r="G67" s="403"/>
      <c r="H67" s="402"/>
      <c r="I67" s="404" t="str">
        <f t="shared" si="2"/>
        <v>FULLY PAID</v>
      </c>
      <c r="J67" s="402"/>
      <c r="K67" s="402"/>
      <c r="L67" s="402"/>
      <c r="M67" s="402"/>
      <c r="N67" s="402"/>
      <c r="O67" s="402"/>
      <c r="P67" s="402"/>
      <c r="Q67" s="402"/>
      <c r="R67" s="402"/>
      <c r="S67" s="402"/>
      <c r="T67" s="402"/>
      <c r="U67" s="402"/>
      <c r="V67" s="402"/>
      <c r="W67" s="402"/>
      <c r="X67" s="402"/>
      <c r="Y67" s="402"/>
      <c r="Z67" s="402"/>
    </row>
    <row r="68" ht="14.25" customHeight="1">
      <c r="A68" s="402"/>
      <c r="B68" s="402"/>
      <c r="C68" s="402"/>
      <c r="D68" s="402"/>
      <c r="E68" s="402"/>
      <c r="F68" s="587"/>
      <c r="G68" s="403"/>
      <c r="H68" s="402"/>
      <c r="I68" s="404" t="str">
        <f t="shared" si="2"/>
        <v>FULLY PAID</v>
      </c>
      <c r="J68" s="402"/>
      <c r="K68" s="402"/>
      <c r="L68" s="402"/>
      <c r="M68" s="402"/>
      <c r="N68" s="402"/>
      <c r="O68" s="402"/>
      <c r="P68" s="402"/>
      <c r="Q68" s="402"/>
      <c r="R68" s="402"/>
      <c r="S68" s="402"/>
      <c r="T68" s="402"/>
      <c r="U68" s="402"/>
      <c r="V68" s="402"/>
      <c r="W68" s="402"/>
      <c r="X68" s="402"/>
      <c r="Y68" s="402"/>
      <c r="Z68" s="402"/>
    </row>
    <row r="69" ht="14.25" customHeight="1">
      <c r="A69" s="406">
        <v>45499.0</v>
      </c>
      <c r="B69" s="407" t="s">
        <v>2131</v>
      </c>
      <c r="C69" s="408" t="s">
        <v>2132</v>
      </c>
      <c r="D69" s="408" t="s">
        <v>439</v>
      </c>
      <c r="E69" s="408" t="s">
        <v>2133</v>
      </c>
      <c r="F69" s="445">
        <v>24500.0</v>
      </c>
      <c r="G69" s="413">
        <v>0.0</v>
      </c>
      <c r="H69" s="484" t="s">
        <v>2185</v>
      </c>
      <c r="I69" s="404" t="str">
        <f t="shared" si="2"/>
        <v>NOT PAID</v>
      </c>
      <c r="J69" s="402"/>
      <c r="K69" s="402"/>
      <c r="L69" s="402"/>
      <c r="M69" s="402"/>
      <c r="N69" s="402"/>
      <c r="O69" s="402"/>
      <c r="P69" s="402"/>
      <c r="Q69" s="402"/>
      <c r="R69" s="402"/>
      <c r="S69" s="402"/>
      <c r="T69" s="402"/>
      <c r="U69" s="402"/>
      <c r="V69" s="402"/>
      <c r="W69" s="402"/>
      <c r="X69" s="402"/>
      <c r="Y69" s="402"/>
      <c r="Z69" s="402"/>
    </row>
    <row r="70" ht="14.25" customHeight="1">
      <c r="A70" s="406">
        <v>45499.0</v>
      </c>
      <c r="B70" s="607" t="s">
        <v>2134</v>
      </c>
      <c r="C70" s="607" t="s">
        <v>2135</v>
      </c>
      <c r="D70" s="589" t="s">
        <v>54</v>
      </c>
      <c r="E70" s="349" t="s">
        <v>2133</v>
      </c>
      <c r="F70" s="559">
        <v>6500.0</v>
      </c>
      <c r="G70" s="413">
        <v>2000.0</v>
      </c>
      <c r="H70" s="349" t="s">
        <v>2186</v>
      </c>
      <c r="I70" s="404" t="str">
        <f t="shared" si="2"/>
        <v>PARTIALLY PAID</v>
      </c>
      <c r="J70" s="402"/>
      <c r="K70" s="402"/>
      <c r="L70" s="402"/>
      <c r="M70" s="402"/>
      <c r="N70" s="402"/>
      <c r="O70" s="402"/>
      <c r="P70" s="402"/>
      <c r="Q70" s="402"/>
      <c r="R70" s="402"/>
      <c r="S70" s="402"/>
      <c r="T70" s="402"/>
      <c r="U70" s="402"/>
      <c r="V70" s="402"/>
      <c r="W70" s="402"/>
      <c r="X70" s="402"/>
      <c r="Y70" s="402"/>
      <c r="Z70" s="402"/>
    </row>
    <row r="71" ht="14.25" customHeight="1">
      <c r="A71" s="406">
        <v>45499.0</v>
      </c>
      <c r="B71" s="608" t="s">
        <v>2137</v>
      </c>
      <c r="C71" s="608" t="s">
        <v>2138</v>
      </c>
      <c r="D71" s="607" t="s">
        <v>75</v>
      </c>
      <c r="E71" s="349" t="s">
        <v>2133</v>
      </c>
      <c r="F71" s="559">
        <v>122275.0</v>
      </c>
      <c r="G71" s="413">
        <v>0.0</v>
      </c>
      <c r="H71" s="484" t="s">
        <v>2139</v>
      </c>
      <c r="I71" s="404" t="str">
        <f t="shared" si="2"/>
        <v>NOT PAID</v>
      </c>
      <c r="J71" s="402"/>
      <c r="K71" s="402"/>
      <c r="L71" s="402"/>
      <c r="M71" s="402"/>
      <c r="N71" s="402"/>
      <c r="O71" s="402"/>
      <c r="P71" s="402"/>
      <c r="Q71" s="402"/>
      <c r="R71" s="402"/>
      <c r="S71" s="402"/>
      <c r="T71" s="402"/>
      <c r="U71" s="402"/>
      <c r="V71" s="402"/>
      <c r="W71" s="402"/>
      <c r="X71" s="402"/>
      <c r="Y71" s="402"/>
      <c r="Z71" s="402"/>
    </row>
    <row r="72" ht="14.25" customHeight="1">
      <c r="A72" s="406">
        <v>45499.0</v>
      </c>
      <c r="B72" s="417" t="s">
        <v>2140</v>
      </c>
      <c r="C72" s="418" t="s">
        <v>2141</v>
      </c>
      <c r="D72" s="609" t="s">
        <v>439</v>
      </c>
      <c r="E72" s="349" t="s">
        <v>2133</v>
      </c>
      <c r="F72" s="559">
        <v>19070.0</v>
      </c>
      <c r="G72" s="413">
        <v>0.0</v>
      </c>
      <c r="H72" s="484" t="s">
        <v>2142</v>
      </c>
      <c r="I72" s="404" t="str">
        <f t="shared" si="2"/>
        <v>NOT PAID</v>
      </c>
      <c r="J72" s="402"/>
      <c r="K72" s="402"/>
      <c r="L72" s="402"/>
      <c r="M72" s="402"/>
      <c r="N72" s="402"/>
      <c r="O72" s="402"/>
      <c r="P72" s="402"/>
      <c r="Q72" s="402"/>
      <c r="R72" s="402"/>
      <c r="S72" s="402"/>
      <c r="T72" s="402"/>
      <c r="U72" s="402"/>
      <c r="V72" s="402"/>
      <c r="W72" s="402"/>
      <c r="X72" s="402"/>
      <c r="Y72" s="402"/>
      <c r="Z72" s="402"/>
    </row>
    <row r="73" ht="14.25" customHeight="1">
      <c r="A73" s="406">
        <v>45499.0</v>
      </c>
      <c r="B73" s="349" t="s">
        <v>2143</v>
      </c>
      <c r="C73" s="349" t="s">
        <v>2144</v>
      </c>
      <c r="D73" s="349" t="s">
        <v>54</v>
      </c>
      <c r="E73" s="349" t="s">
        <v>2133</v>
      </c>
      <c r="F73" s="559">
        <v>6000.0</v>
      </c>
      <c r="G73" s="413">
        <v>0.0</v>
      </c>
      <c r="H73" s="349" t="s">
        <v>2184</v>
      </c>
      <c r="I73" s="404" t="str">
        <f t="shared" si="2"/>
        <v>NOT PAID</v>
      </c>
      <c r="J73" s="402"/>
      <c r="K73" s="402"/>
      <c r="L73" s="402"/>
      <c r="M73" s="402"/>
      <c r="N73" s="402"/>
      <c r="O73" s="402"/>
      <c r="P73" s="402"/>
      <c r="Q73" s="402"/>
      <c r="R73" s="402"/>
      <c r="S73" s="402"/>
      <c r="T73" s="402"/>
      <c r="U73" s="402"/>
      <c r="V73" s="402"/>
      <c r="W73" s="402"/>
      <c r="X73" s="402"/>
      <c r="Y73" s="402"/>
      <c r="Z73" s="402"/>
    </row>
    <row r="74" ht="14.25" customHeight="1">
      <c r="A74" s="406">
        <v>45499.0</v>
      </c>
      <c r="B74" s="608" t="s">
        <v>2145</v>
      </c>
      <c r="C74" s="608" t="s">
        <v>1043</v>
      </c>
      <c r="D74" s="610" t="s">
        <v>75</v>
      </c>
      <c r="E74" s="349" t="s">
        <v>2133</v>
      </c>
      <c r="F74" s="559">
        <v>44000.0</v>
      </c>
      <c r="G74" s="413">
        <v>51630.0</v>
      </c>
      <c r="H74" s="349" t="s">
        <v>401</v>
      </c>
      <c r="I74" s="404" t="str">
        <f t="shared" si="2"/>
        <v>FULLY PAID</v>
      </c>
      <c r="J74" s="402"/>
      <c r="K74" s="402"/>
      <c r="L74" s="402"/>
      <c r="M74" s="402"/>
      <c r="N74" s="402"/>
      <c r="O74" s="402"/>
      <c r="P74" s="402"/>
      <c r="Q74" s="402"/>
      <c r="R74" s="402"/>
      <c r="S74" s="402"/>
      <c r="T74" s="402"/>
      <c r="U74" s="402"/>
      <c r="V74" s="402"/>
      <c r="W74" s="402"/>
      <c r="X74" s="402"/>
      <c r="Y74" s="402"/>
      <c r="Z74" s="402"/>
    </row>
    <row r="75" ht="14.25" customHeight="1">
      <c r="A75" s="406">
        <v>45499.0</v>
      </c>
      <c r="B75" s="607" t="s">
        <v>2149</v>
      </c>
      <c r="C75" s="607" t="s">
        <v>2150</v>
      </c>
      <c r="D75" s="349" t="s">
        <v>54</v>
      </c>
      <c r="E75" s="349" t="s">
        <v>2133</v>
      </c>
      <c r="F75" s="559">
        <v>5000.0</v>
      </c>
      <c r="G75" s="413">
        <v>0.0</v>
      </c>
      <c r="H75" s="455" t="s">
        <v>2151</v>
      </c>
      <c r="I75" s="404" t="str">
        <f t="shared" si="2"/>
        <v>NOT PAID</v>
      </c>
      <c r="J75" s="402"/>
      <c r="K75" s="402"/>
      <c r="L75" s="402"/>
      <c r="M75" s="402"/>
      <c r="N75" s="402"/>
      <c r="O75" s="402"/>
      <c r="P75" s="402"/>
      <c r="Q75" s="402"/>
      <c r="R75" s="402"/>
      <c r="S75" s="402"/>
      <c r="T75" s="402"/>
      <c r="U75" s="402"/>
      <c r="V75" s="402"/>
      <c r="W75" s="402"/>
      <c r="X75" s="402"/>
      <c r="Y75" s="402"/>
      <c r="Z75" s="402"/>
    </row>
    <row r="76" ht="14.25" customHeight="1">
      <c r="A76" s="406">
        <v>45499.0</v>
      </c>
      <c r="B76" s="607" t="s">
        <v>2152</v>
      </c>
      <c r="C76" s="607" t="s">
        <v>2153</v>
      </c>
      <c r="D76" s="349" t="s">
        <v>54</v>
      </c>
      <c r="E76" s="349" t="s">
        <v>2133</v>
      </c>
      <c r="F76" s="559">
        <v>59690.0</v>
      </c>
      <c r="G76" s="413">
        <v>0.0</v>
      </c>
      <c r="H76" s="349" t="s">
        <v>2187</v>
      </c>
      <c r="I76" s="404" t="str">
        <f t="shared" si="2"/>
        <v>NOT PAID</v>
      </c>
      <c r="J76" s="402"/>
      <c r="K76" s="402"/>
      <c r="L76" s="402"/>
      <c r="M76" s="402"/>
      <c r="N76" s="402"/>
      <c r="O76" s="402"/>
      <c r="P76" s="402"/>
      <c r="Q76" s="402"/>
      <c r="R76" s="402"/>
      <c r="S76" s="402"/>
      <c r="T76" s="402"/>
      <c r="U76" s="402"/>
      <c r="V76" s="402"/>
      <c r="W76" s="402"/>
      <c r="X76" s="402"/>
      <c r="Y76" s="402"/>
      <c r="Z76" s="402"/>
    </row>
    <row r="77" ht="14.25" customHeight="1">
      <c r="A77" s="406">
        <v>45499.0</v>
      </c>
      <c r="B77" s="349" t="s">
        <v>2175</v>
      </c>
      <c r="C77" s="349" t="s">
        <v>2176</v>
      </c>
      <c r="D77" s="349" t="s">
        <v>54</v>
      </c>
      <c r="E77" s="349" t="s">
        <v>2133</v>
      </c>
      <c r="F77" s="611">
        <v>101695.0</v>
      </c>
      <c r="G77" s="413">
        <v>0.0</v>
      </c>
      <c r="H77" s="349" t="s">
        <v>2188</v>
      </c>
      <c r="I77" s="404" t="str">
        <f t="shared" si="2"/>
        <v>NOT PAID</v>
      </c>
      <c r="J77" s="402"/>
      <c r="K77" s="402"/>
      <c r="L77" s="402"/>
      <c r="M77" s="402"/>
      <c r="N77" s="402"/>
      <c r="O77" s="402"/>
      <c r="P77" s="402"/>
      <c r="Q77" s="402"/>
      <c r="R77" s="402"/>
      <c r="S77" s="402"/>
      <c r="T77" s="402"/>
      <c r="U77" s="402"/>
      <c r="V77" s="402"/>
      <c r="W77" s="402"/>
      <c r="X77" s="402"/>
      <c r="Y77" s="402"/>
      <c r="Z77" s="402"/>
    </row>
    <row r="78" ht="14.25" customHeight="1">
      <c r="A78" s="406">
        <v>45499.0</v>
      </c>
      <c r="B78" s="612" t="s">
        <v>2189</v>
      </c>
      <c r="C78" s="613" t="s">
        <v>2190</v>
      </c>
      <c r="D78" s="349" t="s">
        <v>54</v>
      </c>
      <c r="E78" s="349" t="s">
        <v>2133</v>
      </c>
      <c r="F78" s="611">
        <v>58511.39</v>
      </c>
      <c r="G78" s="413">
        <v>79700.0</v>
      </c>
      <c r="H78" s="349" t="s">
        <v>401</v>
      </c>
      <c r="I78" s="404" t="str">
        <f t="shared" si="2"/>
        <v>FULLY PAID</v>
      </c>
      <c r="J78" s="402"/>
      <c r="K78" s="402"/>
      <c r="L78" s="402"/>
      <c r="M78" s="402"/>
      <c r="N78" s="402"/>
      <c r="O78" s="402"/>
      <c r="P78" s="402"/>
      <c r="Q78" s="402"/>
      <c r="R78" s="402"/>
      <c r="S78" s="402"/>
      <c r="T78" s="402"/>
      <c r="U78" s="402"/>
      <c r="V78" s="402"/>
      <c r="W78" s="402"/>
      <c r="X78" s="402"/>
      <c r="Y78" s="402"/>
      <c r="Z78" s="402"/>
    </row>
    <row r="79" ht="14.25" customHeight="1">
      <c r="A79" s="406">
        <v>45499.0</v>
      </c>
      <c r="B79" s="612" t="s">
        <v>2191</v>
      </c>
      <c r="C79" s="613" t="s">
        <v>2192</v>
      </c>
      <c r="D79" s="614" t="s">
        <v>54</v>
      </c>
      <c r="E79" s="349" t="s">
        <v>2133</v>
      </c>
      <c r="F79" s="611">
        <v>95840.74</v>
      </c>
      <c r="G79" s="413">
        <v>196930.0</v>
      </c>
      <c r="H79" s="349" t="s">
        <v>401</v>
      </c>
      <c r="I79" s="404" t="str">
        <f t="shared" si="2"/>
        <v>FULLY PAID</v>
      </c>
      <c r="J79" s="402"/>
      <c r="K79" s="402"/>
      <c r="L79" s="402"/>
      <c r="M79" s="402"/>
      <c r="N79" s="402"/>
      <c r="O79" s="402"/>
      <c r="P79" s="402"/>
      <c r="Q79" s="402"/>
      <c r="R79" s="402"/>
      <c r="S79" s="402"/>
      <c r="T79" s="402"/>
      <c r="U79" s="402"/>
      <c r="V79" s="402"/>
      <c r="W79" s="402"/>
      <c r="X79" s="402"/>
      <c r="Y79" s="402"/>
      <c r="Z79" s="402"/>
    </row>
    <row r="80" ht="14.25" customHeight="1">
      <c r="A80" s="406"/>
      <c r="B80" s="402"/>
      <c r="C80" s="402"/>
      <c r="D80" s="402"/>
      <c r="E80" s="402"/>
      <c r="F80" s="587"/>
      <c r="G80" s="403"/>
      <c r="H80" s="402"/>
      <c r="I80" s="404" t="str">
        <f t="shared" si="2"/>
        <v>FULLY PAID</v>
      </c>
      <c r="J80" s="402"/>
      <c r="K80" s="402"/>
      <c r="L80" s="402"/>
      <c r="M80" s="402"/>
      <c r="N80" s="402"/>
      <c r="O80" s="402"/>
      <c r="P80" s="402"/>
      <c r="Q80" s="402"/>
      <c r="R80" s="402"/>
      <c r="S80" s="402"/>
      <c r="T80" s="402"/>
      <c r="U80" s="402"/>
      <c r="V80" s="402"/>
      <c r="W80" s="402"/>
      <c r="X80" s="402"/>
      <c r="Y80" s="402"/>
      <c r="Z80" s="402"/>
    </row>
    <row r="81" ht="14.25" customHeight="1">
      <c r="A81" s="402"/>
      <c r="B81" s="402"/>
      <c r="C81" s="402"/>
      <c r="D81" s="402"/>
      <c r="E81" s="402"/>
      <c r="F81" s="587"/>
      <c r="G81" s="403"/>
      <c r="H81" s="402"/>
      <c r="I81" s="404" t="str">
        <f t="shared" si="2"/>
        <v>FULLY PAID</v>
      </c>
      <c r="J81" s="402"/>
      <c r="K81" s="402"/>
      <c r="L81" s="402"/>
      <c r="M81" s="402"/>
      <c r="N81" s="402"/>
      <c r="O81" s="402"/>
      <c r="P81" s="402"/>
      <c r="Q81" s="402"/>
      <c r="R81" s="402"/>
      <c r="S81" s="402"/>
      <c r="T81" s="402"/>
      <c r="U81" s="402"/>
      <c r="V81" s="402"/>
      <c r="W81" s="402"/>
      <c r="X81" s="402"/>
      <c r="Y81" s="402"/>
      <c r="Z81" s="402"/>
    </row>
    <row r="82" ht="14.25" customHeight="1">
      <c r="A82" s="402"/>
      <c r="B82" s="402"/>
      <c r="C82" s="402"/>
      <c r="D82" s="402"/>
      <c r="E82" s="402"/>
      <c r="F82" s="587"/>
      <c r="G82" s="403"/>
      <c r="H82" s="402"/>
      <c r="I82" s="404" t="str">
        <f t="shared" si="2"/>
        <v>FULLY PAID</v>
      </c>
      <c r="J82" s="402"/>
      <c r="K82" s="402"/>
      <c r="L82" s="402"/>
      <c r="M82" s="402"/>
      <c r="N82" s="402"/>
      <c r="O82" s="402"/>
      <c r="P82" s="402"/>
      <c r="Q82" s="402"/>
      <c r="R82" s="402"/>
      <c r="S82" s="402"/>
      <c r="T82" s="402"/>
      <c r="U82" s="402"/>
      <c r="V82" s="402"/>
      <c r="W82" s="402"/>
      <c r="X82" s="402"/>
      <c r="Y82" s="402"/>
      <c r="Z82" s="402"/>
    </row>
    <row r="83" ht="14.25" customHeight="1">
      <c r="A83" s="406">
        <v>45500.0</v>
      </c>
      <c r="B83" s="607" t="s">
        <v>2149</v>
      </c>
      <c r="C83" s="607" t="s">
        <v>2150</v>
      </c>
      <c r="D83" s="349" t="s">
        <v>54</v>
      </c>
      <c r="E83" s="349" t="s">
        <v>2133</v>
      </c>
      <c r="F83" s="559">
        <v>5000.0</v>
      </c>
      <c r="G83" s="413">
        <v>0.0</v>
      </c>
      <c r="H83" s="455" t="s">
        <v>2151</v>
      </c>
      <c r="I83" s="404" t="str">
        <f t="shared" si="2"/>
        <v>NOT PAID</v>
      </c>
      <c r="J83" s="402"/>
      <c r="K83" s="402"/>
      <c r="L83" s="402"/>
      <c r="M83" s="402"/>
      <c r="N83" s="402"/>
      <c r="O83" s="402"/>
      <c r="P83" s="402"/>
      <c r="Q83" s="402"/>
      <c r="R83" s="402"/>
      <c r="S83" s="402"/>
      <c r="T83" s="402"/>
      <c r="U83" s="402"/>
      <c r="V83" s="402"/>
      <c r="W83" s="402"/>
      <c r="X83" s="402"/>
      <c r="Y83" s="402"/>
      <c r="Z83" s="402"/>
    </row>
    <row r="84" ht="14.25" customHeight="1">
      <c r="A84" s="406">
        <v>45500.0</v>
      </c>
      <c r="B84" s="607" t="s">
        <v>2152</v>
      </c>
      <c r="C84" s="607" t="s">
        <v>2153</v>
      </c>
      <c r="D84" s="349" t="s">
        <v>54</v>
      </c>
      <c r="E84" s="349" t="s">
        <v>2133</v>
      </c>
      <c r="F84" s="559">
        <v>59690.0</v>
      </c>
      <c r="G84" s="413">
        <v>0.0</v>
      </c>
      <c r="H84" s="349" t="s">
        <v>2187</v>
      </c>
      <c r="I84" s="404" t="str">
        <f t="shared" si="2"/>
        <v>NOT PAID</v>
      </c>
      <c r="J84" s="402"/>
      <c r="K84" s="402"/>
      <c r="L84" s="402"/>
      <c r="M84" s="402"/>
      <c r="N84" s="402"/>
      <c r="O84" s="402"/>
      <c r="P84" s="402"/>
      <c r="Q84" s="402"/>
      <c r="R84" s="402"/>
      <c r="S84" s="402"/>
      <c r="T84" s="402"/>
      <c r="U84" s="402"/>
      <c r="V84" s="402"/>
      <c r="W84" s="402"/>
      <c r="X84" s="402"/>
      <c r="Y84" s="402"/>
      <c r="Z84" s="402"/>
    </row>
    <row r="85" ht="14.25" customHeight="1">
      <c r="A85" s="406">
        <v>45500.0</v>
      </c>
      <c r="B85" s="349" t="s">
        <v>2175</v>
      </c>
      <c r="C85" s="349" t="s">
        <v>2176</v>
      </c>
      <c r="D85" s="349" t="s">
        <v>54</v>
      </c>
      <c r="E85" s="349" t="s">
        <v>2133</v>
      </c>
      <c r="F85" s="611">
        <v>101695.0</v>
      </c>
      <c r="G85" s="413">
        <v>0.0</v>
      </c>
      <c r="H85" s="349" t="s">
        <v>2193</v>
      </c>
      <c r="I85" s="404" t="str">
        <f t="shared" si="2"/>
        <v>NOT PAID</v>
      </c>
      <c r="J85" s="402"/>
      <c r="K85" s="402"/>
      <c r="L85" s="402"/>
      <c r="M85" s="402"/>
      <c r="N85" s="402"/>
      <c r="O85" s="402"/>
      <c r="P85" s="402"/>
      <c r="Q85" s="402"/>
      <c r="R85" s="402"/>
      <c r="S85" s="402"/>
      <c r="T85" s="402"/>
      <c r="U85" s="402"/>
      <c r="V85" s="402"/>
      <c r="W85" s="402"/>
      <c r="X85" s="402"/>
      <c r="Y85" s="402"/>
      <c r="Z85" s="402"/>
    </row>
    <row r="86" ht="14.25" customHeight="1">
      <c r="A86" s="406">
        <v>45500.0</v>
      </c>
      <c r="B86" s="407" t="s">
        <v>2131</v>
      </c>
      <c r="C86" s="408" t="s">
        <v>2132</v>
      </c>
      <c r="D86" s="408" t="s">
        <v>439</v>
      </c>
      <c r="E86" s="408" t="s">
        <v>2133</v>
      </c>
      <c r="F86" s="445">
        <v>24500.0</v>
      </c>
      <c r="G86" s="413">
        <v>0.0</v>
      </c>
      <c r="H86" s="484" t="s">
        <v>2185</v>
      </c>
      <c r="I86" s="404" t="str">
        <f t="shared" si="2"/>
        <v>NOT PAID</v>
      </c>
      <c r="J86" s="402"/>
      <c r="K86" s="402"/>
      <c r="L86" s="402"/>
      <c r="M86" s="402"/>
      <c r="N86" s="402"/>
      <c r="O86" s="402"/>
      <c r="P86" s="402"/>
      <c r="Q86" s="402"/>
      <c r="R86" s="402"/>
      <c r="S86" s="402"/>
      <c r="T86" s="402"/>
      <c r="U86" s="402"/>
      <c r="V86" s="402"/>
      <c r="W86" s="402"/>
      <c r="X86" s="402"/>
      <c r="Y86" s="402"/>
      <c r="Z86" s="402"/>
    </row>
    <row r="87" ht="14.25" customHeight="1">
      <c r="A87" s="406">
        <v>45500.0</v>
      </c>
      <c r="B87" s="608" t="s">
        <v>2137</v>
      </c>
      <c r="C87" s="608" t="s">
        <v>2138</v>
      </c>
      <c r="D87" s="607" t="s">
        <v>75</v>
      </c>
      <c r="E87" s="349" t="s">
        <v>2133</v>
      </c>
      <c r="F87" s="559">
        <v>122275.0</v>
      </c>
      <c r="G87" s="413">
        <v>0.0</v>
      </c>
      <c r="H87" s="484" t="s">
        <v>2139</v>
      </c>
      <c r="I87" s="404" t="str">
        <f t="shared" si="2"/>
        <v>NOT PAID</v>
      </c>
      <c r="J87" s="402"/>
      <c r="K87" s="402"/>
      <c r="L87" s="402"/>
      <c r="M87" s="402"/>
      <c r="N87" s="402"/>
      <c r="O87" s="402"/>
      <c r="P87" s="402"/>
      <c r="Q87" s="402"/>
      <c r="R87" s="402"/>
      <c r="S87" s="402"/>
      <c r="T87" s="402"/>
      <c r="U87" s="402"/>
      <c r="V87" s="402"/>
      <c r="W87" s="402"/>
      <c r="X87" s="402"/>
      <c r="Y87" s="402"/>
      <c r="Z87" s="402"/>
    </row>
    <row r="88" ht="14.25" customHeight="1">
      <c r="A88" s="406">
        <v>45500.0</v>
      </c>
      <c r="B88" s="417" t="s">
        <v>2140</v>
      </c>
      <c r="C88" s="418" t="s">
        <v>2141</v>
      </c>
      <c r="D88" s="609" t="s">
        <v>439</v>
      </c>
      <c r="E88" s="349" t="s">
        <v>2133</v>
      </c>
      <c r="F88" s="559">
        <v>19070.0</v>
      </c>
      <c r="G88" s="413">
        <v>0.0</v>
      </c>
      <c r="H88" s="484" t="s">
        <v>2142</v>
      </c>
      <c r="I88" s="404" t="str">
        <f t="shared" si="2"/>
        <v>NOT PAID</v>
      </c>
      <c r="J88" s="402"/>
      <c r="K88" s="402"/>
      <c r="L88" s="402"/>
      <c r="M88" s="402"/>
      <c r="N88" s="402"/>
      <c r="O88" s="402"/>
      <c r="P88" s="402"/>
      <c r="Q88" s="402"/>
      <c r="R88" s="402"/>
      <c r="S88" s="402"/>
      <c r="T88" s="402"/>
      <c r="U88" s="402"/>
      <c r="V88" s="402"/>
      <c r="W88" s="402"/>
      <c r="X88" s="402"/>
      <c r="Y88" s="402"/>
      <c r="Z88" s="402"/>
    </row>
    <row r="89" ht="14.25" customHeight="1">
      <c r="A89" s="406">
        <v>45500.0</v>
      </c>
      <c r="B89" s="349" t="s">
        <v>2143</v>
      </c>
      <c r="C89" s="349" t="s">
        <v>2144</v>
      </c>
      <c r="D89" s="349" t="s">
        <v>54</v>
      </c>
      <c r="E89" s="349" t="s">
        <v>2133</v>
      </c>
      <c r="F89" s="559">
        <v>6000.0</v>
      </c>
      <c r="G89" s="413">
        <v>0.0</v>
      </c>
      <c r="H89" s="349" t="s">
        <v>2174</v>
      </c>
      <c r="I89" s="404" t="str">
        <f t="shared" si="2"/>
        <v>NOT PAID</v>
      </c>
      <c r="J89" s="402"/>
      <c r="K89" s="402"/>
      <c r="L89" s="402"/>
      <c r="M89" s="402"/>
      <c r="N89" s="402"/>
      <c r="O89" s="402"/>
      <c r="P89" s="402"/>
      <c r="Q89" s="402"/>
      <c r="R89" s="402"/>
      <c r="S89" s="402"/>
      <c r="T89" s="402"/>
      <c r="U89" s="402"/>
      <c r="V89" s="402"/>
      <c r="W89" s="402"/>
      <c r="X89" s="402"/>
      <c r="Y89" s="402"/>
      <c r="Z89" s="402"/>
    </row>
    <row r="90" ht="14.25" customHeight="1">
      <c r="A90" s="406">
        <v>45500.0</v>
      </c>
      <c r="B90" s="512" t="s">
        <v>2194</v>
      </c>
      <c r="C90" s="512" t="s">
        <v>2195</v>
      </c>
      <c r="D90" s="595" t="s">
        <v>54</v>
      </c>
      <c r="E90" s="349" t="s">
        <v>2133</v>
      </c>
      <c r="F90" s="559">
        <v>33110.0</v>
      </c>
      <c r="G90" s="413">
        <v>33110.0</v>
      </c>
      <c r="H90" s="349" t="s">
        <v>401</v>
      </c>
      <c r="I90" s="404" t="str">
        <f t="shared" si="2"/>
        <v>FULLY PAID</v>
      </c>
      <c r="J90" s="402"/>
      <c r="K90" s="402"/>
      <c r="L90" s="402"/>
      <c r="M90" s="402"/>
      <c r="N90" s="402"/>
      <c r="O90" s="402"/>
      <c r="P90" s="402"/>
      <c r="Q90" s="402"/>
      <c r="R90" s="402"/>
      <c r="S90" s="402"/>
      <c r="T90" s="402"/>
      <c r="U90" s="402"/>
      <c r="V90" s="402"/>
      <c r="W90" s="402"/>
      <c r="X90" s="402"/>
      <c r="Y90" s="402"/>
      <c r="Z90" s="402"/>
    </row>
    <row r="91" ht="14.25" customHeight="1">
      <c r="A91" s="406">
        <v>45500.0</v>
      </c>
      <c r="B91" s="512" t="s">
        <v>2196</v>
      </c>
      <c r="C91" s="512" t="s">
        <v>2197</v>
      </c>
      <c r="D91" s="595" t="s">
        <v>54</v>
      </c>
      <c r="E91" s="349" t="s">
        <v>2133</v>
      </c>
      <c r="F91" s="559">
        <v>126855.0</v>
      </c>
      <c r="G91" s="413">
        <v>126855.0</v>
      </c>
      <c r="H91" s="349" t="s">
        <v>2198</v>
      </c>
      <c r="I91" s="404" t="str">
        <f t="shared" si="2"/>
        <v>FULLY PAID</v>
      </c>
      <c r="J91" s="402"/>
      <c r="K91" s="402"/>
      <c r="L91" s="402"/>
      <c r="M91" s="402"/>
      <c r="N91" s="402"/>
      <c r="O91" s="402"/>
      <c r="P91" s="402"/>
      <c r="Q91" s="402"/>
      <c r="R91" s="402"/>
      <c r="S91" s="402"/>
      <c r="T91" s="402"/>
      <c r="U91" s="402"/>
      <c r="V91" s="402"/>
      <c r="W91" s="402"/>
      <c r="X91" s="402"/>
      <c r="Y91" s="402"/>
      <c r="Z91" s="402"/>
    </row>
    <row r="92" ht="14.25" customHeight="1">
      <c r="A92" s="406"/>
      <c r="B92" s="402"/>
      <c r="C92" s="402"/>
      <c r="D92" s="402"/>
      <c r="E92" s="402"/>
      <c r="F92" s="587"/>
      <c r="G92" s="403"/>
      <c r="H92" s="402"/>
      <c r="I92" s="404" t="str">
        <f t="shared" si="2"/>
        <v>FULLY PAID</v>
      </c>
      <c r="J92" s="402"/>
      <c r="K92" s="402"/>
      <c r="L92" s="402"/>
      <c r="M92" s="402"/>
      <c r="N92" s="402"/>
      <c r="O92" s="402"/>
      <c r="P92" s="402"/>
      <c r="Q92" s="402"/>
      <c r="R92" s="402"/>
      <c r="S92" s="402"/>
      <c r="T92" s="402"/>
      <c r="U92" s="402"/>
      <c r="V92" s="402"/>
      <c r="W92" s="402"/>
      <c r="X92" s="402"/>
      <c r="Y92" s="402"/>
      <c r="Z92" s="402"/>
    </row>
    <row r="93" ht="14.25" customHeight="1">
      <c r="A93" s="402"/>
      <c r="B93" s="402"/>
      <c r="C93" s="402"/>
      <c r="D93" s="402"/>
      <c r="E93" s="402"/>
      <c r="F93" s="587"/>
      <c r="G93" s="403"/>
      <c r="H93" s="402"/>
      <c r="I93" s="404" t="str">
        <f t="shared" si="2"/>
        <v>FULLY PAID</v>
      </c>
      <c r="J93" s="402"/>
      <c r="K93" s="402"/>
      <c r="L93" s="402"/>
      <c r="M93" s="402"/>
      <c r="N93" s="402"/>
      <c r="O93" s="402"/>
      <c r="P93" s="402"/>
      <c r="Q93" s="402"/>
      <c r="R93" s="402"/>
      <c r="S93" s="402"/>
      <c r="T93" s="402"/>
      <c r="U93" s="402"/>
      <c r="V93" s="402"/>
      <c r="W93" s="402"/>
      <c r="X93" s="402"/>
      <c r="Y93" s="402"/>
      <c r="Z93" s="402"/>
    </row>
    <row r="94" ht="14.25" customHeight="1">
      <c r="A94" s="402"/>
      <c r="B94" s="402"/>
      <c r="C94" s="402"/>
      <c r="D94" s="402"/>
      <c r="E94" s="402"/>
      <c r="F94" s="587"/>
      <c r="G94" s="403"/>
      <c r="H94" s="402"/>
      <c r="I94" s="404" t="str">
        <f t="shared" si="2"/>
        <v>FULLY PAID</v>
      </c>
      <c r="J94" s="402"/>
      <c r="K94" s="402"/>
      <c r="L94" s="402"/>
      <c r="M94" s="402"/>
      <c r="N94" s="402"/>
      <c r="O94" s="402"/>
      <c r="P94" s="402"/>
      <c r="Q94" s="402"/>
      <c r="R94" s="402"/>
      <c r="S94" s="402"/>
      <c r="T94" s="402"/>
      <c r="U94" s="402"/>
      <c r="V94" s="402"/>
      <c r="W94" s="402"/>
      <c r="X94" s="402"/>
      <c r="Y94" s="402"/>
      <c r="Z94" s="402"/>
    </row>
    <row r="95" ht="14.25" customHeight="1">
      <c r="A95" s="406">
        <v>45502.0</v>
      </c>
      <c r="B95" s="607" t="s">
        <v>2149</v>
      </c>
      <c r="C95" s="607" t="s">
        <v>2150</v>
      </c>
      <c r="D95" s="349" t="s">
        <v>54</v>
      </c>
      <c r="E95" s="349" t="s">
        <v>2133</v>
      </c>
      <c r="F95" s="559">
        <v>5000.0</v>
      </c>
      <c r="G95" s="413">
        <v>0.0</v>
      </c>
      <c r="H95" s="455" t="s">
        <v>2151</v>
      </c>
      <c r="I95" s="404" t="str">
        <f t="shared" si="2"/>
        <v>NOT PAID</v>
      </c>
      <c r="J95" s="402"/>
      <c r="K95" s="402"/>
      <c r="L95" s="402"/>
      <c r="M95" s="402"/>
      <c r="N95" s="402"/>
      <c r="O95" s="402"/>
      <c r="P95" s="402"/>
      <c r="Q95" s="402"/>
      <c r="R95" s="402"/>
      <c r="S95" s="402"/>
      <c r="T95" s="402"/>
      <c r="U95" s="402"/>
      <c r="V95" s="402"/>
      <c r="W95" s="402"/>
      <c r="X95" s="402"/>
      <c r="Y95" s="402"/>
      <c r="Z95" s="402"/>
    </row>
    <row r="96" ht="14.25" customHeight="1">
      <c r="A96" s="406">
        <v>45502.0</v>
      </c>
      <c r="B96" s="607" t="s">
        <v>2152</v>
      </c>
      <c r="C96" s="607" t="s">
        <v>2153</v>
      </c>
      <c r="D96" s="349" t="s">
        <v>54</v>
      </c>
      <c r="E96" s="349" t="s">
        <v>2133</v>
      </c>
      <c r="F96" s="559">
        <v>59690.0</v>
      </c>
      <c r="G96" s="413">
        <v>0.0</v>
      </c>
      <c r="H96" s="349" t="s">
        <v>2187</v>
      </c>
      <c r="I96" s="404" t="str">
        <f t="shared" si="2"/>
        <v>NOT PAID</v>
      </c>
      <c r="J96" s="402"/>
      <c r="K96" s="402"/>
      <c r="L96" s="402"/>
      <c r="M96" s="402"/>
      <c r="N96" s="402"/>
      <c r="O96" s="402"/>
      <c r="P96" s="402"/>
      <c r="Q96" s="402"/>
      <c r="R96" s="402"/>
      <c r="S96" s="402"/>
      <c r="T96" s="402"/>
      <c r="U96" s="402"/>
      <c r="V96" s="402"/>
      <c r="W96" s="402"/>
      <c r="X96" s="402"/>
      <c r="Y96" s="402"/>
      <c r="Z96" s="402"/>
    </row>
    <row r="97" ht="14.25" customHeight="1">
      <c r="A97" s="406">
        <v>45502.0</v>
      </c>
      <c r="B97" s="349" t="s">
        <v>2175</v>
      </c>
      <c r="C97" s="349" t="s">
        <v>2176</v>
      </c>
      <c r="D97" s="349" t="s">
        <v>54</v>
      </c>
      <c r="E97" s="349" t="s">
        <v>2133</v>
      </c>
      <c r="F97" s="611">
        <v>101695.0</v>
      </c>
      <c r="G97" s="413">
        <v>0.0</v>
      </c>
      <c r="H97" s="349" t="s">
        <v>2199</v>
      </c>
      <c r="I97" s="404" t="str">
        <f t="shared" si="2"/>
        <v>NOT PAID</v>
      </c>
      <c r="J97" s="402"/>
      <c r="K97" s="402"/>
      <c r="L97" s="402"/>
      <c r="M97" s="402"/>
      <c r="N97" s="402"/>
      <c r="O97" s="402"/>
      <c r="P97" s="402"/>
      <c r="Q97" s="402"/>
      <c r="R97" s="402"/>
      <c r="S97" s="402"/>
      <c r="T97" s="402"/>
      <c r="U97" s="402"/>
      <c r="V97" s="402"/>
      <c r="W97" s="402"/>
      <c r="X97" s="402"/>
      <c r="Y97" s="402"/>
      <c r="Z97" s="402"/>
    </row>
    <row r="98" ht="14.25" customHeight="1">
      <c r="A98" s="406">
        <v>45502.0</v>
      </c>
      <c r="B98" s="407" t="s">
        <v>2131</v>
      </c>
      <c r="C98" s="408" t="s">
        <v>2132</v>
      </c>
      <c r="D98" s="408" t="s">
        <v>439</v>
      </c>
      <c r="E98" s="408" t="s">
        <v>2133</v>
      </c>
      <c r="F98" s="445">
        <v>24500.0</v>
      </c>
      <c r="G98" s="413">
        <v>0.0</v>
      </c>
      <c r="H98" s="484" t="s">
        <v>2200</v>
      </c>
      <c r="I98" s="404" t="str">
        <f t="shared" si="2"/>
        <v>NOT PAID</v>
      </c>
      <c r="J98" s="402"/>
      <c r="K98" s="402"/>
      <c r="L98" s="402"/>
      <c r="M98" s="402"/>
      <c r="N98" s="402"/>
      <c r="O98" s="402"/>
      <c r="P98" s="402"/>
      <c r="Q98" s="402"/>
      <c r="R98" s="402"/>
      <c r="S98" s="402"/>
      <c r="T98" s="402"/>
      <c r="U98" s="402"/>
      <c r="V98" s="402"/>
      <c r="W98" s="402"/>
      <c r="X98" s="402"/>
      <c r="Y98" s="402"/>
      <c r="Z98" s="402"/>
    </row>
    <row r="99" ht="14.25" customHeight="1">
      <c r="A99" s="406">
        <v>45502.0</v>
      </c>
      <c r="B99" s="608" t="s">
        <v>2137</v>
      </c>
      <c r="C99" s="608" t="s">
        <v>2138</v>
      </c>
      <c r="D99" s="607" t="s">
        <v>75</v>
      </c>
      <c r="E99" s="349" t="s">
        <v>2133</v>
      </c>
      <c r="F99" s="559">
        <v>122275.0</v>
      </c>
      <c r="G99" s="413">
        <v>0.0</v>
      </c>
      <c r="H99" s="484" t="s">
        <v>2201</v>
      </c>
      <c r="I99" s="404" t="str">
        <f t="shared" si="2"/>
        <v>NOT PAID</v>
      </c>
      <c r="J99" s="402"/>
      <c r="K99" s="402"/>
      <c r="L99" s="402"/>
      <c r="M99" s="402"/>
      <c r="N99" s="402"/>
      <c r="O99" s="402"/>
      <c r="P99" s="402"/>
      <c r="Q99" s="402"/>
      <c r="R99" s="402"/>
      <c r="S99" s="402"/>
      <c r="T99" s="402"/>
      <c r="U99" s="402"/>
      <c r="V99" s="402"/>
      <c r="W99" s="402"/>
      <c r="X99" s="402"/>
      <c r="Y99" s="402"/>
      <c r="Z99" s="402"/>
    </row>
    <row r="100" ht="14.25" customHeight="1">
      <c r="A100" s="406">
        <v>45502.0</v>
      </c>
      <c r="B100" s="417" t="s">
        <v>2140</v>
      </c>
      <c r="C100" s="418" t="s">
        <v>2141</v>
      </c>
      <c r="D100" s="609" t="s">
        <v>439</v>
      </c>
      <c r="E100" s="349" t="s">
        <v>2133</v>
      </c>
      <c r="F100" s="559">
        <v>19070.0</v>
      </c>
      <c r="G100" s="413">
        <v>0.0</v>
      </c>
      <c r="H100" s="484" t="s">
        <v>2142</v>
      </c>
      <c r="I100" s="404" t="str">
        <f t="shared" si="2"/>
        <v>NOT PAID</v>
      </c>
      <c r="J100" s="402"/>
      <c r="K100" s="402"/>
      <c r="L100" s="402"/>
      <c r="M100" s="402"/>
      <c r="N100" s="402"/>
      <c r="O100" s="402"/>
      <c r="P100" s="402"/>
      <c r="Q100" s="402"/>
      <c r="R100" s="402"/>
      <c r="S100" s="402"/>
      <c r="T100" s="402"/>
      <c r="U100" s="402"/>
      <c r="V100" s="402"/>
      <c r="W100" s="402"/>
      <c r="X100" s="402"/>
      <c r="Y100" s="402"/>
      <c r="Z100" s="402"/>
    </row>
    <row r="101" ht="14.25" customHeight="1">
      <c r="A101" s="406">
        <v>45502.0</v>
      </c>
      <c r="B101" s="349" t="s">
        <v>2143</v>
      </c>
      <c r="C101" s="349" t="s">
        <v>2144</v>
      </c>
      <c r="D101" s="349" t="s">
        <v>54</v>
      </c>
      <c r="E101" s="349" t="s">
        <v>2133</v>
      </c>
      <c r="F101" s="559">
        <v>6000.0</v>
      </c>
      <c r="G101" s="413">
        <v>12000.0</v>
      </c>
      <c r="H101" s="349" t="s">
        <v>401</v>
      </c>
      <c r="I101" s="404" t="str">
        <f t="shared" si="2"/>
        <v>FULLY PAID</v>
      </c>
      <c r="J101" s="402"/>
      <c r="K101" s="402"/>
      <c r="L101" s="402"/>
      <c r="M101" s="402"/>
      <c r="N101" s="402"/>
      <c r="O101" s="402"/>
      <c r="P101" s="402"/>
      <c r="Q101" s="402"/>
      <c r="R101" s="402"/>
      <c r="S101" s="402"/>
      <c r="T101" s="402"/>
      <c r="U101" s="402"/>
      <c r="V101" s="402"/>
      <c r="W101" s="402"/>
      <c r="X101" s="402"/>
      <c r="Y101" s="402"/>
      <c r="Z101" s="402"/>
    </row>
    <row r="102" ht="14.25" customHeight="1">
      <c r="A102" s="406">
        <v>45502.0</v>
      </c>
      <c r="B102" s="594" t="s">
        <v>2196</v>
      </c>
      <c r="C102" s="594" t="s">
        <v>2197</v>
      </c>
      <c r="D102" s="349" t="s">
        <v>54</v>
      </c>
      <c r="E102" s="349" t="s">
        <v>2133</v>
      </c>
      <c r="F102" s="559">
        <v>126855.0</v>
      </c>
      <c r="G102" s="413">
        <v>126855.0</v>
      </c>
      <c r="H102" s="349" t="s">
        <v>401</v>
      </c>
      <c r="I102" s="404" t="str">
        <f t="shared" si="2"/>
        <v>FULLY PAID</v>
      </c>
      <c r="J102" s="402"/>
      <c r="K102" s="402"/>
      <c r="L102" s="402"/>
      <c r="M102" s="402"/>
      <c r="N102" s="402"/>
      <c r="O102" s="402"/>
      <c r="P102" s="402"/>
      <c r="Q102" s="402"/>
      <c r="R102" s="402"/>
      <c r="S102" s="402"/>
      <c r="T102" s="402"/>
      <c r="U102" s="402"/>
      <c r="V102" s="402"/>
      <c r="W102" s="402"/>
      <c r="X102" s="402"/>
      <c r="Y102" s="402"/>
      <c r="Z102" s="402"/>
    </row>
    <row r="103" ht="14.25" customHeight="1">
      <c r="A103" s="406">
        <v>45502.0</v>
      </c>
      <c r="B103" s="349" t="s">
        <v>2202</v>
      </c>
      <c r="C103" s="349" t="s">
        <v>2203</v>
      </c>
      <c r="D103" s="349" t="s">
        <v>75</v>
      </c>
      <c r="E103" s="349" t="s">
        <v>2133</v>
      </c>
      <c r="F103" s="559">
        <v>51750.0</v>
      </c>
      <c r="G103" s="413">
        <v>51750.0</v>
      </c>
      <c r="H103" s="349" t="s">
        <v>401</v>
      </c>
      <c r="I103" s="404" t="str">
        <f t="shared" si="2"/>
        <v>FULLY PAID</v>
      </c>
      <c r="J103" s="402"/>
      <c r="K103" s="402"/>
      <c r="L103" s="402"/>
      <c r="M103" s="402"/>
      <c r="N103" s="402"/>
      <c r="O103" s="402"/>
      <c r="P103" s="402"/>
      <c r="Q103" s="402"/>
      <c r="R103" s="402"/>
      <c r="S103" s="402"/>
      <c r="T103" s="402"/>
      <c r="U103" s="402"/>
      <c r="V103" s="402"/>
      <c r="W103" s="402"/>
      <c r="X103" s="402"/>
      <c r="Y103" s="402"/>
      <c r="Z103" s="402"/>
    </row>
    <row r="104" ht="14.25" customHeight="1">
      <c r="A104" s="406">
        <v>45502.0</v>
      </c>
      <c r="B104" s="324" t="s">
        <v>2204</v>
      </c>
      <c r="C104" s="266" t="s">
        <v>2205</v>
      </c>
      <c r="D104" s="349" t="s">
        <v>54</v>
      </c>
      <c r="E104" s="349" t="s">
        <v>2133</v>
      </c>
      <c r="F104" s="600">
        <v>150280.0</v>
      </c>
      <c r="G104" s="413">
        <v>150280.0</v>
      </c>
      <c r="H104" s="349" t="s">
        <v>401</v>
      </c>
      <c r="I104" s="404" t="str">
        <f t="shared" si="2"/>
        <v>FULLY PAID</v>
      </c>
      <c r="J104" s="402"/>
      <c r="K104" s="402"/>
      <c r="L104" s="402"/>
      <c r="M104" s="402"/>
      <c r="N104" s="402"/>
      <c r="O104" s="402"/>
      <c r="P104" s="402"/>
      <c r="Q104" s="402"/>
      <c r="R104" s="402"/>
      <c r="S104" s="402"/>
      <c r="T104" s="402"/>
      <c r="U104" s="402"/>
      <c r="V104" s="402"/>
      <c r="W104" s="402"/>
      <c r="X104" s="402"/>
      <c r="Y104" s="402"/>
      <c r="Z104" s="402"/>
    </row>
    <row r="105" ht="14.25" customHeight="1">
      <c r="A105" s="406"/>
      <c r="B105" s="402"/>
      <c r="C105" s="402"/>
      <c r="D105" s="402"/>
      <c r="E105" s="402"/>
      <c r="F105" s="587"/>
      <c r="G105" s="403"/>
      <c r="H105" s="402"/>
      <c r="I105" s="404" t="str">
        <f t="shared" si="2"/>
        <v>FULLY PAID</v>
      </c>
      <c r="J105" s="402"/>
      <c r="K105" s="402"/>
      <c r="L105" s="402"/>
      <c r="M105" s="402"/>
      <c r="N105" s="402"/>
      <c r="O105" s="402"/>
      <c r="P105" s="402"/>
      <c r="Q105" s="402"/>
      <c r="R105" s="402"/>
      <c r="S105" s="402"/>
      <c r="T105" s="402"/>
      <c r="U105" s="402"/>
      <c r="V105" s="402"/>
      <c r="W105" s="402"/>
      <c r="X105" s="402"/>
      <c r="Y105" s="402"/>
      <c r="Z105" s="402"/>
    </row>
    <row r="106" ht="14.25" customHeight="1">
      <c r="A106" s="402"/>
      <c r="B106" s="402"/>
      <c r="C106" s="402"/>
      <c r="D106" s="402"/>
      <c r="E106" s="402"/>
      <c r="F106" s="587"/>
      <c r="G106" s="403"/>
      <c r="H106" s="402"/>
      <c r="I106" s="404" t="str">
        <f t="shared" si="2"/>
        <v>FULLY PAID</v>
      </c>
      <c r="J106" s="402"/>
      <c r="K106" s="402"/>
      <c r="L106" s="402"/>
      <c r="M106" s="402"/>
      <c r="N106" s="402"/>
      <c r="O106" s="402"/>
      <c r="P106" s="402"/>
      <c r="Q106" s="402"/>
      <c r="R106" s="402"/>
      <c r="S106" s="402"/>
      <c r="T106" s="402"/>
      <c r="U106" s="402"/>
      <c r="V106" s="402"/>
      <c r="W106" s="402"/>
      <c r="X106" s="402"/>
      <c r="Y106" s="402"/>
      <c r="Z106" s="402"/>
    </row>
    <row r="107" ht="14.25" customHeight="1">
      <c r="A107" s="402"/>
      <c r="B107" s="402"/>
      <c r="C107" s="402"/>
      <c r="D107" s="402"/>
      <c r="E107" s="402"/>
      <c r="F107" s="587"/>
      <c r="G107" s="403"/>
      <c r="H107" s="402"/>
      <c r="I107" s="404" t="str">
        <f t="shared" si="2"/>
        <v>FULLY PAID</v>
      </c>
      <c r="J107" s="402"/>
      <c r="K107" s="402"/>
      <c r="L107" s="402"/>
      <c r="M107" s="402"/>
      <c r="N107" s="402"/>
      <c r="O107" s="402"/>
      <c r="P107" s="402"/>
      <c r="Q107" s="402"/>
      <c r="R107" s="402"/>
      <c r="S107" s="402"/>
      <c r="T107" s="402"/>
      <c r="U107" s="402"/>
      <c r="V107" s="402"/>
      <c r="W107" s="402"/>
      <c r="X107" s="402"/>
      <c r="Y107" s="402"/>
      <c r="Z107" s="402"/>
    </row>
    <row r="108" ht="14.25" customHeight="1">
      <c r="A108" s="406">
        <v>45503.0</v>
      </c>
      <c r="B108" s="607" t="s">
        <v>2149</v>
      </c>
      <c r="C108" s="607" t="s">
        <v>2206</v>
      </c>
      <c r="D108" s="349" t="s">
        <v>54</v>
      </c>
      <c r="E108" s="349" t="s">
        <v>2133</v>
      </c>
      <c r="F108" s="559">
        <v>5000.0</v>
      </c>
      <c r="G108" s="413">
        <v>0.0</v>
      </c>
      <c r="H108" s="455" t="s">
        <v>2151</v>
      </c>
      <c r="I108" s="404" t="str">
        <f t="shared" si="2"/>
        <v>NOT PAID</v>
      </c>
      <c r="J108" s="402"/>
      <c r="K108" s="402"/>
      <c r="L108" s="402"/>
      <c r="M108" s="402"/>
      <c r="N108" s="402"/>
      <c r="O108" s="402"/>
      <c r="P108" s="402"/>
      <c r="Q108" s="402"/>
      <c r="R108" s="402"/>
      <c r="S108" s="402"/>
      <c r="T108" s="402"/>
      <c r="U108" s="402"/>
      <c r="V108" s="402"/>
      <c r="W108" s="402"/>
      <c r="X108" s="402"/>
      <c r="Y108" s="402"/>
      <c r="Z108" s="402"/>
    </row>
    <row r="109" ht="14.25" customHeight="1">
      <c r="A109" s="406">
        <v>45503.0</v>
      </c>
      <c r="B109" s="607" t="s">
        <v>2152</v>
      </c>
      <c r="C109" s="607" t="s">
        <v>2153</v>
      </c>
      <c r="D109" s="349" t="s">
        <v>54</v>
      </c>
      <c r="E109" s="349" t="s">
        <v>2133</v>
      </c>
      <c r="F109" s="559">
        <v>59690.0</v>
      </c>
      <c r="G109" s="413">
        <v>0.0</v>
      </c>
      <c r="H109" s="349" t="s">
        <v>2187</v>
      </c>
      <c r="I109" s="404" t="str">
        <f t="shared" si="2"/>
        <v>NOT PAID</v>
      </c>
      <c r="J109" s="402"/>
      <c r="K109" s="402"/>
      <c r="L109" s="402"/>
      <c r="M109" s="402"/>
      <c r="N109" s="402"/>
      <c r="O109" s="402"/>
      <c r="P109" s="402"/>
      <c r="Q109" s="402"/>
      <c r="R109" s="402"/>
      <c r="S109" s="402"/>
      <c r="T109" s="402"/>
      <c r="U109" s="402"/>
      <c r="V109" s="402"/>
      <c r="W109" s="402"/>
      <c r="X109" s="402"/>
      <c r="Y109" s="402"/>
      <c r="Z109" s="402"/>
    </row>
    <row r="110" ht="14.25" customHeight="1">
      <c r="A110" s="406">
        <v>45503.0</v>
      </c>
      <c r="B110" s="349" t="s">
        <v>2175</v>
      </c>
      <c r="C110" s="349" t="s">
        <v>2176</v>
      </c>
      <c r="D110" s="349" t="s">
        <v>54</v>
      </c>
      <c r="E110" s="349" t="s">
        <v>2133</v>
      </c>
      <c r="F110" s="611">
        <v>101695.0</v>
      </c>
      <c r="G110" s="413">
        <v>0.0</v>
      </c>
      <c r="H110" s="349" t="s">
        <v>2207</v>
      </c>
      <c r="I110" s="404" t="str">
        <f t="shared" si="2"/>
        <v>NOT PAID</v>
      </c>
      <c r="J110" s="402"/>
      <c r="K110" s="402"/>
      <c r="L110" s="402"/>
      <c r="M110" s="402"/>
      <c r="N110" s="402"/>
      <c r="O110" s="402"/>
      <c r="P110" s="402"/>
      <c r="Q110" s="402"/>
      <c r="R110" s="402"/>
      <c r="S110" s="402"/>
      <c r="T110" s="402"/>
      <c r="U110" s="402"/>
      <c r="V110" s="402"/>
      <c r="W110" s="402"/>
      <c r="X110" s="402"/>
      <c r="Y110" s="402"/>
      <c r="Z110" s="402"/>
    </row>
    <row r="111" ht="14.25" customHeight="1">
      <c r="A111" s="406">
        <v>45503.0</v>
      </c>
      <c r="B111" s="419" t="s">
        <v>2208</v>
      </c>
      <c r="C111" s="408" t="s">
        <v>2132</v>
      </c>
      <c r="D111" s="408" t="s">
        <v>439</v>
      </c>
      <c r="E111" s="408" t="s">
        <v>2133</v>
      </c>
      <c r="F111" s="445">
        <v>24500.0</v>
      </c>
      <c r="G111" s="413">
        <v>10500.0</v>
      </c>
      <c r="H111" s="484" t="s">
        <v>2209</v>
      </c>
      <c r="I111" s="404" t="str">
        <f t="shared" si="2"/>
        <v>PARTIALLY PAID</v>
      </c>
      <c r="J111" s="402"/>
      <c r="K111" s="402"/>
      <c r="L111" s="402"/>
      <c r="M111" s="402"/>
      <c r="N111" s="402"/>
      <c r="O111" s="402"/>
      <c r="P111" s="402"/>
      <c r="Q111" s="402"/>
      <c r="R111" s="402"/>
      <c r="S111" s="402"/>
      <c r="T111" s="402"/>
      <c r="U111" s="402"/>
      <c r="V111" s="402"/>
      <c r="W111" s="402"/>
      <c r="X111" s="402"/>
      <c r="Y111" s="402"/>
      <c r="Z111" s="402"/>
    </row>
    <row r="112" ht="14.25" customHeight="1">
      <c r="A112" s="406">
        <v>45503.0</v>
      </c>
      <c r="B112" s="608" t="s">
        <v>2137</v>
      </c>
      <c r="C112" s="608" t="s">
        <v>2138</v>
      </c>
      <c r="D112" s="607" t="s">
        <v>75</v>
      </c>
      <c r="E112" s="349" t="s">
        <v>2133</v>
      </c>
      <c r="F112" s="559">
        <v>122275.0</v>
      </c>
      <c r="G112" s="413">
        <v>0.0</v>
      </c>
      <c r="H112" s="484" t="s">
        <v>2201</v>
      </c>
      <c r="I112" s="404" t="str">
        <f t="shared" si="2"/>
        <v>NOT PAID</v>
      </c>
      <c r="J112" s="402"/>
      <c r="K112" s="402"/>
      <c r="L112" s="402"/>
      <c r="M112" s="402"/>
      <c r="N112" s="402"/>
      <c r="O112" s="402"/>
      <c r="P112" s="402"/>
      <c r="Q112" s="402"/>
      <c r="R112" s="402"/>
      <c r="S112" s="402"/>
      <c r="T112" s="402"/>
      <c r="U112" s="402"/>
      <c r="V112" s="402"/>
      <c r="W112" s="402"/>
      <c r="X112" s="402"/>
      <c r="Y112" s="402"/>
      <c r="Z112" s="402"/>
    </row>
    <row r="113" ht="14.25" customHeight="1">
      <c r="A113" s="406">
        <v>45503.0</v>
      </c>
      <c r="B113" s="417" t="s">
        <v>2140</v>
      </c>
      <c r="C113" s="418" t="s">
        <v>2141</v>
      </c>
      <c r="D113" s="609" t="s">
        <v>439</v>
      </c>
      <c r="E113" s="349" t="s">
        <v>2133</v>
      </c>
      <c r="F113" s="559">
        <v>19070.0</v>
      </c>
      <c r="G113" s="413">
        <v>0.0</v>
      </c>
      <c r="H113" s="484" t="s">
        <v>2142</v>
      </c>
      <c r="I113" s="404" t="str">
        <f t="shared" si="2"/>
        <v>NOT PAID</v>
      </c>
      <c r="J113" s="402"/>
      <c r="K113" s="402"/>
      <c r="L113" s="402"/>
      <c r="M113" s="402"/>
      <c r="N113" s="402"/>
      <c r="O113" s="402"/>
      <c r="P113" s="402"/>
      <c r="Q113" s="402"/>
      <c r="R113" s="402"/>
      <c r="S113" s="402"/>
      <c r="T113" s="402"/>
      <c r="U113" s="402"/>
      <c r="V113" s="402"/>
      <c r="W113" s="402"/>
      <c r="X113" s="402"/>
      <c r="Y113" s="402"/>
      <c r="Z113" s="402"/>
    </row>
    <row r="114" ht="14.25" customHeight="1">
      <c r="A114" s="406">
        <v>45503.0</v>
      </c>
      <c r="B114" s="605" t="s">
        <v>2210</v>
      </c>
      <c r="C114" s="606" t="s">
        <v>2211</v>
      </c>
      <c r="D114" s="349" t="s">
        <v>54</v>
      </c>
      <c r="E114" s="349" t="s">
        <v>2133</v>
      </c>
      <c r="F114" s="615">
        <v>17415.0</v>
      </c>
      <c r="G114" s="413">
        <v>0.0</v>
      </c>
      <c r="H114" s="349" t="s">
        <v>2212</v>
      </c>
      <c r="I114" s="404" t="str">
        <f t="shared" si="2"/>
        <v>NOT PAID</v>
      </c>
      <c r="J114" s="402"/>
      <c r="K114" s="402"/>
      <c r="L114" s="402"/>
      <c r="M114" s="402"/>
      <c r="N114" s="402"/>
      <c r="O114" s="402"/>
      <c r="P114" s="402"/>
      <c r="Q114" s="402"/>
      <c r="R114" s="402"/>
      <c r="S114" s="402"/>
      <c r="T114" s="402"/>
      <c r="U114" s="402"/>
      <c r="V114" s="402"/>
      <c r="W114" s="402"/>
      <c r="X114" s="402"/>
      <c r="Y114" s="402"/>
      <c r="Z114" s="402"/>
    </row>
    <row r="115" ht="14.25" customHeight="1">
      <c r="A115" s="406">
        <v>45503.0</v>
      </c>
      <c r="B115" s="616" t="s">
        <v>2213</v>
      </c>
      <c r="C115" s="617" t="s">
        <v>2214</v>
      </c>
      <c r="D115" s="349" t="s">
        <v>54</v>
      </c>
      <c r="E115" s="349" t="s">
        <v>2133</v>
      </c>
      <c r="F115" s="618">
        <v>18820.0</v>
      </c>
      <c r="G115" s="413">
        <v>0.0</v>
      </c>
      <c r="H115" s="349" t="s">
        <v>2212</v>
      </c>
      <c r="I115" s="404" t="str">
        <f t="shared" si="2"/>
        <v>NOT PAID</v>
      </c>
      <c r="J115" s="402"/>
      <c r="K115" s="402"/>
      <c r="L115" s="402"/>
      <c r="M115" s="402"/>
      <c r="N115" s="402"/>
      <c r="O115" s="402"/>
      <c r="P115" s="402"/>
      <c r="Q115" s="402"/>
      <c r="R115" s="402"/>
      <c r="S115" s="402"/>
      <c r="T115" s="402"/>
      <c r="U115" s="402"/>
      <c r="V115" s="402"/>
      <c r="W115" s="402"/>
      <c r="X115" s="402"/>
      <c r="Y115" s="402"/>
      <c r="Z115" s="402"/>
    </row>
    <row r="116" ht="14.25" customHeight="1">
      <c r="A116" s="406">
        <v>45503.0</v>
      </c>
      <c r="B116" s="616" t="s">
        <v>2215</v>
      </c>
      <c r="C116" s="617" t="s">
        <v>2216</v>
      </c>
      <c r="D116" s="349" t="s">
        <v>54</v>
      </c>
      <c r="E116" s="349" t="s">
        <v>2133</v>
      </c>
      <c r="F116" s="618">
        <v>36530.0</v>
      </c>
      <c r="G116" s="413">
        <v>0.0</v>
      </c>
      <c r="H116" s="349" t="s">
        <v>2217</v>
      </c>
      <c r="I116" s="404" t="str">
        <f t="shared" si="2"/>
        <v>NOT PAID</v>
      </c>
      <c r="J116" s="402"/>
      <c r="K116" s="402"/>
      <c r="L116" s="402"/>
      <c r="M116" s="402"/>
      <c r="N116" s="402"/>
      <c r="O116" s="402"/>
      <c r="P116" s="402"/>
      <c r="Q116" s="402"/>
      <c r="R116" s="402"/>
      <c r="S116" s="402"/>
      <c r="T116" s="402"/>
      <c r="U116" s="402"/>
      <c r="V116" s="402"/>
      <c r="W116" s="402"/>
      <c r="X116" s="402"/>
      <c r="Y116" s="402"/>
      <c r="Z116" s="402"/>
    </row>
    <row r="117" ht="14.25" customHeight="1">
      <c r="A117" s="406">
        <v>45503.0</v>
      </c>
      <c r="B117" s="616" t="s">
        <v>2218</v>
      </c>
      <c r="C117" s="617" t="s">
        <v>2219</v>
      </c>
      <c r="D117" s="349" t="s">
        <v>54</v>
      </c>
      <c r="E117" s="349" t="s">
        <v>2133</v>
      </c>
      <c r="F117" s="618">
        <v>57333.0</v>
      </c>
      <c r="G117" s="413">
        <v>0.0</v>
      </c>
      <c r="H117" s="349" t="s">
        <v>2220</v>
      </c>
      <c r="I117" s="404" t="str">
        <f t="shared" si="2"/>
        <v>NOT PAID</v>
      </c>
      <c r="J117" s="402"/>
      <c r="K117" s="402"/>
      <c r="L117" s="402"/>
      <c r="M117" s="402"/>
      <c r="N117" s="402"/>
      <c r="O117" s="402"/>
      <c r="P117" s="402"/>
      <c r="Q117" s="402"/>
      <c r="R117" s="402"/>
      <c r="S117" s="402"/>
      <c r="T117" s="402"/>
      <c r="U117" s="402"/>
      <c r="V117" s="402"/>
      <c r="W117" s="402"/>
      <c r="X117" s="402"/>
      <c r="Y117" s="402"/>
      <c r="Z117" s="402"/>
    </row>
    <row r="118" ht="14.25" customHeight="1">
      <c r="A118" s="406">
        <v>45503.0</v>
      </c>
      <c r="B118" s="605" t="s">
        <v>2221</v>
      </c>
      <c r="C118" s="606" t="s">
        <v>2222</v>
      </c>
      <c r="D118" s="349" t="s">
        <v>54</v>
      </c>
      <c r="E118" s="349" t="s">
        <v>2133</v>
      </c>
      <c r="F118" s="611">
        <v>32250.0</v>
      </c>
      <c r="G118" s="413">
        <v>0.0</v>
      </c>
      <c r="H118" s="349" t="s">
        <v>2217</v>
      </c>
      <c r="I118" s="404" t="str">
        <f t="shared" si="2"/>
        <v>NOT PAID</v>
      </c>
      <c r="J118" s="402"/>
      <c r="K118" s="402"/>
      <c r="L118" s="402"/>
      <c r="M118" s="402"/>
      <c r="N118" s="402"/>
      <c r="O118" s="402"/>
      <c r="P118" s="402"/>
      <c r="Q118" s="402"/>
      <c r="R118" s="402"/>
      <c r="S118" s="402"/>
      <c r="T118" s="402"/>
      <c r="U118" s="402"/>
      <c r="V118" s="402"/>
      <c r="W118" s="402"/>
      <c r="X118" s="402"/>
      <c r="Y118" s="402"/>
      <c r="Z118" s="402"/>
    </row>
    <row r="119" ht="14.25" customHeight="1">
      <c r="A119" s="406">
        <v>45503.0</v>
      </c>
      <c r="B119" s="596" t="s">
        <v>2160</v>
      </c>
      <c r="C119" s="596" t="s">
        <v>2161</v>
      </c>
      <c r="D119" s="601" t="s">
        <v>75</v>
      </c>
      <c r="E119" s="349" t="s">
        <v>2133</v>
      </c>
      <c r="F119" s="598">
        <v>230000.0</v>
      </c>
      <c r="G119" s="413">
        <v>0.0</v>
      </c>
      <c r="H119" s="349" t="s">
        <v>2162</v>
      </c>
      <c r="I119" s="404" t="str">
        <f t="shared" si="2"/>
        <v>NOT PAID</v>
      </c>
      <c r="J119" s="402"/>
      <c r="K119" s="402"/>
      <c r="L119" s="402"/>
      <c r="M119" s="402"/>
      <c r="N119" s="402"/>
      <c r="O119" s="402"/>
      <c r="P119" s="402"/>
      <c r="Q119" s="402"/>
      <c r="R119" s="402"/>
      <c r="S119" s="402"/>
      <c r="T119" s="402"/>
      <c r="U119" s="402"/>
      <c r="V119" s="402"/>
      <c r="W119" s="402"/>
      <c r="X119" s="402"/>
      <c r="Y119" s="402"/>
      <c r="Z119" s="402"/>
    </row>
    <row r="120" ht="14.25" customHeight="1">
      <c r="A120" s="406">
        <v>45503.0</v>
      </c>
      <c r="B120" s="612" t="s">
        <v>2191</v>
      </c>
      <c r="C120" s="613" t="s">
        <v>2192</v>
      </c>
      <c r="D120" s="614" t="s">
        <v>54</v>
      </c>
      <c r="E120" s="349" t="s">
        <v>2133</v>
      </c>
      <c r="F120" s="559">
        <v>215430.0</v>
      </c>
      <c r="G120" s="413">
        <v>215430.0</v>
      </c>
      <c r="H120" s="349" t="s">
        <v>401</v>
      </c>
      <c r="I120" s="404" t="str">
        <f t="shared" si="2"/>
        <v>FULLY PAID</v>
      </c>
      <c r="J120" s="402"/>
      <c r="K120" s="402"/>
      <c r="L120" s="402"/>
      <c r="M120" s="402"/>
      <c r="N120" s="402"/>
      <c r="O120" s="402"/>
      <c r="P120" s="402"/>
      <c r="Q120" s="402"/>
      <c r="R120" s="402"/>
      <c r="S120" s="402"/>
      <c r="T120" s="402"/>
      <c r="U120" s="402"/>
      <c r="V120" s="402"/>
      <c r="W120" s="402"/>
      <c r="X120" s="402"/>
      <c r="Y120" s="402"/>
      <c r="Z120" s="402"/>
    </row>
    <row r="121" ht="14.25" customHeight="1">
      <c r="A121" s="406">
        <v>45503.0</v>
      </c>
      <c r="B121" s="599" t="s">
        <v>2163</v>
      </c>
      <c r="C121" s="471" t="s">
        <v>2164</v>
      </c>
      <c r="D121" s="471" t="s">
        <v>59</v>
      </c>
      <c r="E121" s="471" t="s">
        <v>2165</v>
      </c>
      <c r="F121" s="600">
        <v>200000.0</v>
      </c>
      <c r="G121" s="413">
        <v>0.0</v>
      </c>
      <c r="H121" s="349" t="s">
        <v>2223</v>
      </c>
      <c r="I121" s="404" t="str">
        <f t="shared" si="2"/>
        <v>NOT PAID</v>
      </c>
      <c r="J121" s="402"/>
      <c r="K121" s="402"/>
      <c r="L121" s="402"/>
      <c r="M121" s="402"/>
      <c r="N121" s="402"/>
      <c r="O121" s="402"/>
      <c r="P121" s="402"/>
      <c r="Q121" s="402"/>
      <c r="R121" s="402"/>
      <c r="S121" s="402"/>
      <c r="T121" s="402"/>
      <c r="U121" s="402"/>
      <c r="V121" s="402"/>
      <c r="W121" s="402"/>
      <c r="X121" s="402"/>
      <c r="Y121" s="402"/>
      <c r="Z121" s="402"/>
    </row>
    <row r="122" ht="14.25" customHeight="1">
      <c r="A122" s="402"/>
      <c r="B122" s="402"/>
      <c r="C122" s="402"/>
      <c r="D122" s="402"/>
      <c r="E122" s="402"/>
      <c r="F122" s="587"/>
      <c r="G122" s="403"/>
      <c r="H122" s="402"/>
      <c r="I122" s="404" t="str">
        <f t="shared" si="2"/>
        <v>FULLY PAID</v>
      </c>
      <c r="J122" s="402"/>
      <c r="K122" s="402"/>
      <c r="L122" s="402"/>
      <c r="M122" s="402"/>
      <c r="N122" s="402"/>
      <c r="O122" s="402"/>
      <c r="P122" s="402"/>
      <c r="Q122" s="402"/>
      <c r="R122" s="402"/>
      <c r="S122" s="402"/>
      <c r="T122" s="402"/>
      <c r="U122" s="402"/>
      <c r="V122" s="402"/>
      <c r="W122" s="402"/>
      <c r="X122" s="402"/>
      <c r="Y122" s="402"/>
      <c r="Z122" s="402"/>
    </row>
    <row r="123" ht="14.25" customHeight="1">
      <c r="A123" s="402"/>
      <c r="B123" s="402"/>
      <c r="C123" s="402"/>
      <c r="D123" s="402"/>
      <c r="E123" s="402"/>
      <c r="F123" s="587"/>
      <c r="G123" s="403"/>
      <c r="H123" s="402"/>
      <c r="I123" s="404" t="str">
        <f t="shared" si="2"/>
        <v>FULLY PAID</v>
      </c>
      <c r="J123" s="402"/>
      <c r="K123" s="402"/>
      <c r="L123" s="402"/>
      <c r="M123" s="402"/>
      <c r="N123" s="402"/>
      <c r="O123" s="402"/>
      <c r="P123" s="402"/>
      <c r="Q123" s="402"/>
      <c r="R123" s="402"/>
      <c r="S123" s="402"/>
      <c r="T123" s="402"/>
      <c r="U123" s="402"/>
      <c r="V123" s="402"/>
      <c r="W123" s="402"/>
      <c r="X123" s="402"/>
      <c r="Y123" s="402"/>
      <c r="Z123" s="402"/>
    </row>
    <row r="124" ht="14.25" customHeight="1">
      <c r="A124" s="402"/>
      <c r="B124" s="402"/>
      <c r="C124" s="402"/>
      <c r="D124" s="402"/>
      <c r="E124" s="402"/>
      <c r="F124" s="587"/>
      <c r="G124" s="403"/>
      <c r="H124" s="402"/>
      <c r="I124" s="404" t="str">
        <f t="shared" si="2"/>
        <v>FULLY PAID</v>
      </c>
      <c r="J124" s="402"/>
      <c r="K124" s="402"/>
      <c r="L124" s="402"/>
      <c r="M124" s="402"/>
      <c r="N124" s="402"/>
      <c r="O124" s="402"/>
      <c r="P124" s="402"/>
      <c r="Q124" s="402"/>
      <c r="R124" s="402"/>
      <c r="S124" s="402"/>
      <c r="T124" s="402"/>
      <c r="U124" s="402"/>
      <c r="V124" s="402"/>
      <c r="W124" s="402"/>
      <c r="X124" s="402"/>
      <c r="Y124" s="402"/>
      <c r="Z124" s="402"/>
    </row>
    <row r="125" ht="14.25" customHeight="1">
      <c r="A125" s="406">
        <v>45504.0</v>
      </c>
      <c r="B125" s="607" t="s">
        <v>2149</v>
      </c>
      <c r="C125" s="607" t="s">
        <v>2206</v>
      </c>
      <c r="D125" s="349" t="s">
        <v>54</v>
      </c>
      <c r="E125" s="349" t="s">
        <v>2133</v>
      </c>
      <c r="F125" s="559">
        <v>5000.0</v>
      </c>
      <c r="G125" s="413">
        <v>0.0</v>
      </c>
      <c r="H125" s="455" t="s">
        <v>2151</v>
      </c>
      <c r="I125" s="404" t="str">
        <f t="shared" si="2"/>
        <v>NOT PAID</v>
      </c>
      <c r="J125" s="402"/>
      <c r="K125" s="402"/>
      <c r="L125" s="402"/>
      <c r="M125" s="402"/>
      <c r="N125" s="402"/>
      <c r="O125" s="402"/>
      <c r="P125" s="402"/>
      <c r="Q125" s="402"/>
      <c r="R125" s="402"/>
      <c r="S125" s="402"/>
      <c r="T125" s="402"/>
      <c r="U125" s="402"/>
      <c r="V125" s="402"/>
      <c r="W125" s="402"/>
      <c r="X125" s="402"/>
      <c r="Y125" s="402"/>
      <c r="Z125" s="402"/>
    </row>
    <row r="126" ht="14.25" customHeight="1">
      <c r="A126" s="406">
        <v>45504.0</v>
      </c>
      <c r="B126" s="607" t="s">
        <v>2152</v>
      </c>
      <c r="C126" s="607" t="s">
        <v>2153</v>
      </c>
      <c r="D126" s="349" t="s">
        <v>54</v>
      </c>
      <c r="E126" s="349" t="s">
        <v>2133</v>
      </c>
      <c r="F126" s="559">
        <v>59690.0</v>
      </c>
      <c r="G126" s="413">
        <v>0.0</v>
      </c>
      <c r="H126" s="349" t="s">
        <v>2187</v>
      </c>
      <c r="I126" s="404" t="str">
        <f t="shared" si="2"/>
        <v>NOT PAID</v>
      </c>
      <c r="J126" s="402"/>
      <c r="K126" s="402"/>
      <c r="L126" s="402"/>
      <c r="M126" s="402"/>
      <c r="N126" s="402"/>
      <c r="O126" s="402"/>
      <c r="P126" s="402"/>
      <c r="Q126" s="402"/>
      <c r="R126" s="402"/>
      <c r="S126" s="402"/>
      <c r="T126" s="402"/>
      <c r="U126" s="402"/>
      <c r="V126" s="402"/>
      <c r="W126" s="402"/>
      <c r="X126" s="402"/>
      <c r="Y126" s="402"/>
      <c r="Z126" s="402"/>
    </row>
    <row r="127" ht="14.25" customHeight="1">
      <c r="A127" s="406">
        <v>45504.0</v>
      </c>
      <c r="B127" s="349" t="s">
        <v>2175</v>
      </c>
      <c r="C127" s="349" t="s">
        <v>2176</v>
      </c>
      <c r="D127" s="349" t="s">
        <v>54</v>
      </c>
      <c r="E127" s="349" t="s">
        <v>2133</v>
      </c>
      <c r="F127" s="611">
        <f>101695-91000</f>
        <v>10695</v>
      </c>
      <c r="G127" s="413">
        <v>0.0</v>
      </c>
      <c r="H127" s="349" t="s">
        <v>2224</v>
      </c>
      <c r="I127" s="404" t="str">
        <f t="shared" si="2"/>
        <v>NOT PAID</v>
      </c>
      <c r="J127" s="402"/>
      <c r="K127" s="402"/>
      <c r="L127" s="402"/>
      <c r="M127" s="402"/>
      <c r="N127" s="402"/>
      <c r="O127" s="402"/>
      <c r="P127" s="402"/>
      <c r="Q127" s="402"/>
      <c r="R127" s="402"/>
      <c r="S127" s="402"/>
      <c r="T127" s="402"/>
      <c r="U127" s="402"/>
      <c r="V127" s="402"/>
      <c r="W127" s="402"/>
      <c r="X127" s="402"/>
      <c r="Y127" s="402"/>
      <c r="Z127" s="402"/>
    </row>
    <row r="128" ht="14.25" customHeight="1">
      <c r="A128" s="406">
        <v>45504.0</v>
      </c>
      <c r="B128" s="419" t="s">
        <v>2208</v>
      </c>
      <c r="C128" s="408" t="s">
        <v>2132</v>
      </c>
      <c r="D128" s="408" t="s">
        <v>439</v>
      </c>
      <c r="E128" s="408" t="s">
        <v>2133</v>
      </c>
      <c r="F128" s="445">
        <v>14000.0</v>
      </c>
      <c r="G128" s="413">
        <v>0.0</v>
      </c>
      <c r="H128" s="484" t="s">
        <v>2200</v>
      </c>
      <c r="I128" s="404" t="str">
        <f t="shared" si="2"/>
        <v>NOT PAID</v>
      </c>
      <c r="J128" s="402"/>
      <c r="K128" s="402"/>
      <c r="L128" s="402"/>
      <c r="M128" s="402"/>
      <c r="N128" s="402"/>
      <c r="O128" s="402"/>
      <c r="P128" s="402"/>
      <c r="Q128" s="402"/>
      <c r="R128" s="402"/>
      <c r="S128" s="402"/>
      <c r="T128" s="402"/>
      <c r="U128" s="402"/>
      <c r="V128" s="402"/>
      <c r="W128" s="402"/>
      <c r="X128" s="402"/>
      <c r="Y128" s="402"/>
      <c r="Z128" s="402"/>
    </row>
    <row r="129" ht="14.25" customHeight="1">
      <c r="A129" s="406">
        <v>45504.0</v>
      </c>
      <c r="B129" s="349" t="s">
        <v>2143</v>
      </c>
      <c r="C129" s="349" t="s">
        <v>2144</v>
      </c>
      <c r="D129" s="349" t="s">
        <v>54</v>
      </c>
      <c r="E129" s="349" t="s">
        <v>2133</v>
      </c>
      <c r="F129" s="559">
        <v>6000.0</v>
      </c>
      <c r="G129" s="413">
        <v>6000.0</v>
      </c>
      <c r="H129" s="349" t="s">
        <v>401</v>
      </c>
      <c r="I129" s="404" t="str">
        <f t="shared" si="2"/>
        <v>FULLY PAID</v>
      </c>
      <c r="J129" s="402"/>
      <c r="K129" s="402"/>
      <c r="L129" s="402"/>
      <c r="M129" s="402"/>
      <c r="N129" s="402"/>
      <c r="O129" s="402"/>
      <c r="P129" s="402"/>
      <c r="Q129" s="402"/>
      <c r="R129" s="402"/>
      <c r="S129" s="402"/>
      <c r="T129" s="402"/>
      <c r="U129" s="402"/>
      <c r="V129" s="402"/>
      <c r="W129" s="402"/>
      <c r="X129" s="402"/>
      <c r="Y129" s="402"/>
      <c r="Z129" s="402"/>
    </row>
    <row r="130" ht="14.25" customHeight="1">
      <c r="A130" s="406">
        <v>45504.0</v>
      </c>
      <c r="B130" s="608" t="s">
        <v>2137</v>
      </c>
      <c r="C130" s="608" t="s">
        <v>2138</v>
      </c>
      <c r="D130" s="607" t="s">
        <v>75</v>
      </c>
      <c r="E130" s="349" t="s">
        <v>2133</v>
      </c>
      <c r="F130" s="559">
        <v>122275.0</v>
      </c>
      <c r="G130" s="413">
        <v>0.0</v>
      </c>
      <c r="H130" s="484" t="s">
        <v>2201</v>
      </c>
      <c r="I130" s="404" t="str">
        <f t="shared" si="2"/>
        <v>NOT PAID</v>
      </c>
      <c r="J130" s="402"/>
      <c r="K130" s="402"/>
      <c r="L130" s="402"/>
      <c r="M130" s="402"/>
      <c r="N130" s="402"/>
      <c r="O130" s="402"/>
      <c r="P130" s="402"/>
      <c r="Q130" s="402"/>
      <c r="R130" s="402"/>
      <c r="S130" s="402"/>
      <c r="T130" s="402"/>
      <c r="U130" s="402"/>
      <c r="V130" s="402"/>
      <c r="W130" s="402"/>
      <c r="X130" s="402"/>
      <c r="Y130" s="402"/>
      <c r="Z130" s="402"/>
    </row>
    <row r="131" ht="14.25" customHeight="1">
      <c r="A131" s="406">
        <v>45504.0</v>
      </c>
      <c r="B131" s="417" t="s">
        <v>2140</v>
      </c>
      <c r="C131" s="418" t="s">
        <v>2141</v>
      </c>
      <c r="D131" s="609" t="s">
        <v>439</v>
      </c>
      <c r="E131" s="349" t="s">
        <v>2133</v>
      </c>
      <c r="F131" s="559">
        <v>19070.0</v>
      </c>
      <c r="G131" s="413">
        <v>20700.0</v>
      </c>
      <c r="H131" s="484" t="s">
        <v>401</v>
      </c>
      <c r="I131" s="404" t="str">
        <f t="shared" si="2"/>
        <v>FULLY PAID</v>
      </c>
      <c r="J131" s="402"/>
      <c r="K131" s="402"/>
      <c r="L131" s="402"/>
      <c r="M131" s="402"/>
      <c r="N131" s="402"/>
      <c r="O131" s="402"/>
      <c r="P131" s="402"/>
      <c r="Q131" s="402"/>
      <c r="R131" s="402"/>
      <c r="S131" s="402"/>
      <c r="T131" s="402"/>
      <c r="U131" s="402"/>
      <c r="V131" s="402"/>
      <c r="W131" s="402"/>
      <c r="X131" s="402"/>
      <c r="Y131" s="402"/>
      <c r="Z131" s="402"/>
    </row>
    <row r="132" ht="14.25" customHeight="1">
      <c r="A132" s="406">
        <v>45504.0</v>
      </c>
      <c r="B132" s="605" t="s">
        <v>2210</v>
      </c>
      <c r="C132" s="606" t="s">
        <v>2211</v>
      </c>
      <c r="D132" s="349" t="s">
        <v>54</v>
      </c>
      <c r="E132" s="349" t="s">
        <v>2133</v>
      </c>
      <c r="F132" s="615">
        <v>17415.0</v>
      </c>
      <c r="G132" s="413">
        <v>0.0</v>
      </c>
      <c r="H132" s="349" t="s">
        <v>2225</v>
      </c>
      <c r="I132" s="404" t="str">
        <f t="shared" si="2"/>
        <v>NOT PAID</v>
      </c>
      <c r="J132" s="402"/>
      <c r="K132" s="402"/>
      <c r="L132" s="402"/>
      <c r="M132" s="402"/>
      <c r="N132" s="402"/>
      <c r="O132" s="402"/>
      <c r="P132" s="402"/>
      <c r="Q132" s="402"/>
      <c r="R132" s="402"/>
      <c r="S132" s="402"/>
      <c r="T132" s="402"/>
      <c r="U132" s="402"/>
      <c r="V132" s="402"/>
      <c r="W132" s="402"/>
      <c r="X132" s="402"/>
      <c r="Y132" s="402"/>
      <c r="Z132" s="402"/>
    </row>
    <row r="133" ht="14.25" customHeight="1">
      <c r="A133" s="406">
        <v>45504.0</v>
      </c>
      <c r="B133" s="616" t="s">
        <v>2213</v>
      </c>
      <c r="C133" s="617" t="s">
        <v>2214</v>
      </c>
      <c r="D133" s="349" t="s">
        <v>54</v>
      </c>
      <c r="E133" s="349" t="s">
        <v>2133</v>
      </c>
      <c r="F133" s="618">
        <v>10820.0</v>
      </c>
      <c r="G133" s="413">
        <v>0.0</v>
      </c>
      <c r="H133" s="349" t="s">
        <v>2226</v>
      </c>
      <c r="I133" s="404" t="str">
        <f t="shared" si="2"/>
        <v>NOT PAID</v>
      </c>
      <c r="J133" s="402"/>
      <c r="K133" s="402"/>
      <c r="L133" s="402"/>
      <c r="M133" s="402"/>
      <c r="N133" s="402"/>
      <c r="O133" s="402"/>
      <c r="P133" s="402"/>
      <c r="Q133" s="402"/>
      <c r="R133" s="402"/>
      <c r="S133" s="402"/>
      <c r="T133" s="402"/>
      <c r="U133" s="402"/>
      <c r="V133" s="402"/>
      <c r="W133" s="402"/>
      <c r="X133" s="402"/>
      <c r="Y133" s="402"/>
      <c r="Z133" s="402"/>
    </row>
    <row r="134" ht="14.25" customHeight="1">
      <c r="A134" s="406">
        <v>45504.0</v>
      </c>
      <c r="B134" s="616" t="s">
        <v>2218</v>
      </c>
      <c r="C134" s="617" t="s">
        <v>2219</v>
      </c>
      <c r="D134" s="349" t="s">
        <v>54</v>
      </c>
      <c r="E134" s="349" t="s">
        <v>2133</v>
      </c>
      <c r="F134" s="618">
        <v>57333.0</v>
      </c>
      <c r="G134" s="413">
        <v>0.0</v>
      </c>
      <c r="H134" s="349" t="s">
        <v>2217</v>
      </c>
      <c r="I134" s="404" t="str">
        <f t="shared" si="2"/>
        <v>NOT PAID</v>
      </c>
      <c r="J134" s="402"/>
      <c r="K134" s="402"/>
      <c r="L134" s="402"/>
      <c r="M134" s="402"/>
      <c r="N134" s="402"/>
      <c r="O134" s="402"/>
      <c r="P134" s="402"/>
      <c r="Q134" s="402"/>
      <c r="R134" s="402"/>
      <c r="S134" s="402"/>
      <c r="T134" s="402"/>
      <c r="U134" s="402"/>
      <c r="V134" s="402"/>
      <c r="W134" s="402"/>
      <c r="X134" s="402"/>
      <c r="Y134" s="402"/>
      <c r="Z134" s="402"/>
    </row>
    <row r="135" ht="14.25" customHeight="1">
      <c r="A135" s="406">
        <v>45504.0</v>
      </c>
      <c r="B135" s="605" t="s">
        <v>2221</v>
      </c>
      <c r="C135" s="606" t="s">
        <v>2222</v>
      </c>
      <c r="D135" s="349" t="s">
        <v>54</v>
      </c>
      <c r="E135" s="349" t="s">
        <v>2133</v>
      </c>
      <c r="F135" s="611">
        <v>32250.0</v>
      </c>
      <c r="G135" s="413">
        <v>0.0</v>
      </c>
      <c r="H135" s="349" t="s">
        <v>2227</v>
      </c>
      <c r="I135" s="404" t="str">
        <f t="shared" si="2"/>
        <v>NOT PAID</v>
      </c>
      <c r="J135" s="402"/>
      <c r="K135" s="402"/>
      <c r="L135" s="402"/>
      <c r="M135" s="402"/>
      <c r="N135" s="402"/>
      <c r="O135" s="402"/>
      <c r="P135" s="402"/>
      <c r="Q135" s="402"/>
      <c r="R135" s="402"/>
      <c r="S135" s="402"/>
      <c r="T135" s="402"/>
      <c r="U135" s="402"/>
      <c r="V135" s="402"/>
      <c r="W135" s="402"/>
      <c r="X135" s="402"/>
      <c r="Y135" s="402"/>
      <c r="Z135" s="402"/>
    </row>
    <row r="136" ht="14.25" customHeight="1">
      <c r="A136" s="406"/>
      <c r="B136" s="402"/>
      <c r="C136" s="402"/>
      <c r="D136" s="402"/>
      <c r="E136" s="402"/>
      <c r="F136" s="587"/>
      <c r="G136" s="403"/>
      <c r="H136" s="402"/>
      <c r="I136" s="404" t="str">
        <f t="shared" si="2"/>
        <v>FULLY PAID</v>
      </c>
      <c r="J136" s="402"/>
      <c r="K136" s="402"/>
      <c r="L136" s="402"/>
      <c r="M136" s="402"/>
      <c r="N136" s="402"/>
      <c r="O136" s="402"/>
      <c r="P136" s="402"/>
      <c r="Q136" s="402"/>
      <c r="R136" s="402"/>
      <c r="S136" s="402"/>
      <c r="T136" s="402"/>
      <c r="U136" s="402"/>
      <c r="V136" s="402"/>
      <c r="W136" s="402"/>
      <c r="X136" s="402"/>
      <c r="Y136" s="402"/>
      <c r="Z136" s="402"/>
    </row>
    <row r="137" ht="14.25" customHeight="1">
      <c r="A137" s="406"/>
      <c r="B137" s="402"/>
      <c r="C137" s="402"/>
      <c r="D137" s="402"/>
      <c r="E137" s="402"/>
      <c r="F137" s="587"/>
      <c r="G137" s="403"/>
      <c r="H137" s="402"/>
      <c r="I137" s="404" t="str">
        <f t="shared" si="2"/>
        <v>FULLY PAID</v>
      </c>
      <c r="J137" s="402"/>
      <c r="K137" s="402"/>
      <c r="L137" s="402"/>
      <c r="M137" s="402"/>
      <c r="N137" s="402"/>
      <c r="O137" s="402"/>
      <c r="P137" s="402"/>
      <c r="Q137" s="402"/>
      <c r="R137" s="402"/>
      <c r="S137" s="402"/>
      <c r="T137" s="402"/>
      <c r="U137" s="402"/>
      <c r="V137" s="402"/>
      <c r="W137" s="402"/>
      <c r="X137" s="402"/>
      <c r="Y137" s="402"/>
      <c r="Z137" s="402"/>
    </row>
    <row r="138" ht="14.25" customHeight="1">
      <c r="A138" s="402"/>
      <c r="B138" s="402"/>
      <c r="C138" s="402"/>
      <c r="D138" s="402"/>
      <c r="E138" s="402"/>
      <c r="F138" s="587"/>
      <c r="G138" s="403"/>
      <c r="H138" s="402"/>
      <c r="I138" s="404" t="str">
        <f t="shared" si="2"/>
        <v>FULLY PAID</v>
      </c>
      <c r="J138" s="402"/>
      <c r="K138" s="402"/>
      <c r="L138" s="402"/>
      <c r="M138" s="402"/>
      <c r="N138" s="402"/>
      <c r="O138" s="402"/>
      <c r="P138" s="402"/>
      <c r="Q138" s="402"/>
      <c r="R138" s="402"/>
      <c r="S138" s="402"/>
      <c r="T138" s="402"/>
      <c r="U138" s="402"/>
      <c r="V138" s="402"/>
      <c r="W138" s="402"/>
      <c r="X138" s="402"/>
      <c r="Y138" s="402"/>
      <c r="Z138" s="402"/>
    </row>
    <row r="139" ht="14.25" customHeight="1">
      <c r="A139" s="406">
        <v>45505.0</v>
      </c>
      <c r="B139" s="607" t="s">
        <v>2149</v>
      </c>
      <c r="C139" s="607" t="s">
        <v>2206</v>
      </c>
      <c r="D139" s="349" t="s">
        <v>54</v>
      </c>
      <c r="E139" s="349" t="s">
        <v>2133</v>
      </c>
      <c r="F139" s="559">
        <v>5000.0</v>
      </c>
      <c r="G139" s="403"/>
      <c r="H139" s="455" t="s">
        <v>2151</v>
      </c>
      <c r="I139" s="404" t="str">
        <f t="shared" si="2"/>
        <v>NOT PAID</v>
      </c>
      <c r="J139" s="402"/>
      <c r="K139" s="402"/>
      <c r="L139" s="402"/>
      <c r="M139" s="402"/>
      <c r="N139" s="402"/>
      <c r="O139" s="402"/>
      <c r="P139" s="402"/>
      <c r="Q139" s="402"/>
      <c r="R139" s="402"/>
      <c r="S139" s="402"/>
      <c r="T139" s="402"/>
      <c r="U139" s="402"/>
      <c r="V139" s="402"/>
      <c r="W139" s="402"/>
      <c r="X139" s="402"/>
      <c r="Y139" s="402"/>
      <c r="Z139" s="402"/>
    </row>
    <row r="140" ht="14.25" customHeight="1">
      <c r="A140" s="406">
        <v>45505.0</v>
      </c>
      <c r="B140" s="607" t="s">
        <v>2152</v>
      </c>
      <c r="C140" s="607" t="s">
        <v>2153</v>
      </c>
      <c r="D140" s="349" t="s">
        <v>54</v>
      </c>
      <c r="E140" s="349" t="s">
        <v>2133</v>
      </c>
      <c r="F140" s="559">
        <v>59690.0</v>
      </c>
      <c r="G140" s="403"/>
      <c r="H140" s="349" t="s">
        <v>2187</v>
      </c>
      <c r="I140" s="404" t="str">
        <f t="shared" si="2"/>
        <v>NOT PAID</v>
      </c>
      <c r="J140" s="402"/>
      <c r="K140" s="402"/>
      <c r="L140" s="402"/>
      <c r="M140" s="402"/>
      <c r="N140" s="402"/>
      <c r="O140" s="402"/>
      <c r="P140" s="402"/>
      <c r="Q140" s="402"/>
      <c r="R140" s="402"/>
      <c r="S140" s="402"/>
      <c r="T140" s="402"/>
      <c r="U140" s="402"/>
      <c r="V140" s="402"/>
      <c r="W140" s="402"/>
      <c r="X140" s="402"/>
      <c r="Y140" s="402"/>
      <c r="Z140" s="402"/>
    </row>
    <row r="141" ht="14.25" customHeight="1">
      <c r="A141" s="406">
        <v>45505.0</v>
      </c>
      <c r="B141" s="349" t="s">
        <v>2175</v>
      </c>
      <c r="C141" s="349" t="s">
        <v>2176</v>
      </c>
      <c r="D141" s="349" t="s">
        <v>54</v>
      </c>
      <c r="E141" s="349" t="s">
        <v>2133</v>
      </c>
      <c r="F141" s="611">
        <f>101695-91000</f>
        <v>10695</v>
      </c>
      <c r="G141" s="403"/>
      <c r="H141" s="349" t="s">
        <v>2193</v>
      </c>
      <c r="I141" s="404" t="str">
        <f t="shared" si="2"/>
        <v>NOT PAID</v>
      </c>
      <c r="J141" s="402"/>
      <c r="K141" s="402"/>
      <c r="L141" s="402"/>
      <c r="M141" s="402"/>
      <c r="N141" s="402"/>
      <c r="O141" s="402"/>
      <c r="P141" s="402"/>
      <c r="Q141" s="402"/>
      <c r="R141" s="402"/>
      <c r="S141" s="402"/>
      <c r="T141" s="402"/>
      <c r="U141" s="402"/>
      <c r="V141" s="402"/>
      <c r="W141" s="402"/>
      <c r="X141" s="402"/>
      <c r="Y141" s="402"/>
      <c r="Z141" s="402"/>
    </row>
    <row r="142" ht="14.25" customHeight="1">
      <c r="A142" s="406">
        <v>45505.0</v>
      </c>
      <c r="B142" s="419" t="s">
        <v>2208</v>
      </c>
      <c r="C142" s="408" t="s">
        <v>2132</v>
      </c>
      <c r="D142" s="408" t="s">
        <v>439</v>
      </c>
      <c r="E142" s="408" t="s">
        <v>2133</v>
      </c>
      <c r="F142" s="445">
        <v>14000.0</v>
      </c>
      <c r="G142" s="403"/>
      <c r="H142" s="484" t="s">
        <v>2228</v>
      </c>
      <c r="I142" s="404" t="str">
        <f t="shared" si="2"/>
        <v>NOT PAID</v>
      </c>
      <c r="J142" s="402"/>
      <c r="K142" s="402"/>
      <c r="L142" s="402"/>
      <c r="M142" s="402"/>
      <c r="N142" s="402"/>
      <c r="O142" s="402"/>
      <c r="P142" s="402"/>
      <c r="Q142" s="402"/>
      <c r="R142" s="402"/>
      <c r="S142" s="402"/>
      <c r="T142" s="402"/>
      <c r="U142" s="402"/>
      <c r="V142" s="402"/>
      <c r="W142" s="402"/>
      <c r="X142" s="402"/>
      <c r="Y142" s="402"/>
      <c r="Z142" s="402"/>
    </row>
    <row r="143" ht="14.25" customHeight="1">
      <c r="A143" s="406">
        <v>45505.0</v>
      </c>
      <c r="B143" s="349" t="s">
        <v>2143</v>
      </c>
      <c r="C143" s="349" t="s">
        <v>2144</v>
      </c>
      <c r="D143" s="349" t="s">
        <v>54</v>
      </c>
      <c r="E143" s="349" t="s">
        <v>2133</v>
      </c>
      <c r="F143" s="559">
        <v>6000.0</v>
      </c>
      <c r="G143" s="413">
        <v>6000.0</v>
      </c>
      <c r="H143" s="484" t="s">
        <v>710</v>
      </c>
      <c r="I143" s="404" t="str">
        <f t="shared" si="2"/>
        <v>FULLY PAID</v>
      </c>
      <c r="J143" s="402"/>
      <c r="K143" s="402"/>
      <c r="L143" s="402"/>
      <c r="M143" s="402"/>
      <c r="N143" s="402"/>
      <c r="O143" s="402"/>
      <c r="P143" s="402"/>
      <c r="Q143" s="402"/>
      <c r="R143" s="402"/>
      <c r="S143" s="402"/>
      <c r="T143" s="402"/>
      <c r="U143" s="402"/>
      <c r="V143" s="402"/>
      <c r="W143" s="402"/>
      <c r="X143" s="402"/>
      <c r="Y143" s="402"/>
      <c r="Z143" s="402"/>
    </row>
    <row r="144" ht="14.25" customHeight="1">
      <c r="A144" s="406">
        <v>45505.0</v>
      </c>
      <c r="B144" s="608" t="s">
        <v>2137</v>
      </c>
      <c r="C144" s="608" t="s">
        <v>2138</v>
      </c>
      <c r="D144" s="607" t="s">
        <v>75</v>
      </c>
      <c r="E144" s="349" t="s">
        <v>2133</v>
      </c>
      <c r="F144" s="559">
        <v>122275.0</v>
      </c>
      <c r="G144" s="403"/>
      <c r="H144" s="484" t="s">
        <v>2201</v>
      </c>
      <c r="I144" s="404" t="str">
        <f t="shared" si="2"/>
        <v>NOT PAID</v>
      </c>
      <c r="J144" s="402"/>
      <c r="K144" s="402"/>
      <c r="L144" s="402"/>
      <c r="M144" s="402"/>
      <c r="N144" s="402"/>
      <c r="O144" s="402"/>
      <c r="P144" s="402"/>
      <c r="Q144" s="402"/>
      <c r="R144" s="402"/>
      <c r="S144" s="402"/>
      <c r="T144" s="402"/>
      <c r="U144" s="402"/>
      <c r="V144" s="402"/>
      <c r="W144" s="402"/>
      <c r="X144" s="402"/>
      <c r="Y144" s="402"/>
      <c r="Z144" s="402"/>
    </row>
    <row r="145" ht="14.25" customHeight="1">
      <c r="A145" s="406">
        <v>45505.0</v>
      </c>
      <c r="B145" s="605" t="s">
        <v>2210</v>
      </c>
      <c r="C145" s="606" t="s">
        <v>2211</v>
      </c>
      <c r="D145" s="349" t="s">
        <v>54</v>
      </c>
      <c r="E145" s="349" t="s">
        <v>2133</v>
      </c>
      <c r="F145" s="615">
        <v>17415.0</v>
      </c>
      <c r="G145" s="403"/>
      <c r="H145" s="455" t="s">
        <v>2229</v>
      </c>
      <c r="I145" s="404" t="str">
        <f t="shared" si="2"/>
        <v>NOT PAID</v>
      </c>
      <c r="J145" s="402"/>
      <c r="K145" s="402"/>
      <c r="L145" s="402"/>
      <c r="M145" s="402"/>
      <c r="N145" s="402"/>
      <c r="O145" s="402"/>
      <c r="P145" s="402"/>
      <c r="Q145" s="402"/>
      <c r="R145" s="402"/>
      <c r="S145" s="402"/>
      <c r="T145" s="402"/>
      <c r="U145" s="402"/>
      <c r="V145" s="402"/>
      <c r="W145" s="402"/>
      <c r="X145" s="402"/>
      <c r="Y145" s="402"/>
      <c r="Z145" s="402"/>
    </row>
    <row r="146" ht="14.25" customHeight="1">
      <c r="A146" s="406">
        <v>45505.0</v>
      </c>
      <c r="B146" s="616" t="s">
        <v>2213</v>
      </c>
      <c r="C146" s="617" t="s">
        <v>2214</v>
      </c>
      <c r="D146" s="349" t="s">
        <v>54</v>
      </c>
      <c r="E146" s="349" t="s">
        <v>2133</v>
      </c>
      <c r="F146" s="618">
        <v>10820.0</v>
      </c>
      <c r="G146" s="403"/>
      <c r="H146" s="455" t="s">
        <v>2229</v>
      </c>
      <c r="I146" s="404" t="str">
        <f t="shared" si="2"/>
        <v>NOT PAID</v>
      </c>
      <c r="J146" s="402"/>
      <c r="K146" s="402"/>
      <c r="L146" s="402"/>
      <c r="M146" s="402"/>
      <c r="N146" s="402"/>
      <c r="O146" s="402"/>
      <c r="P146" s="402"/>
      <c r="Q146" s="402"/>
      <c r="R146" s="402"/>
      <c r="S146" s="402"/>
      <c r="T146" s="402"/>
      <c r="U146" s="402"/>
      <c r="V146" s="402"/>
      <c r="W146" s="402"/>
      <c r="X146" s="402"/>
      <c r="Y146" s="402"/>
      <c r="Z146" s="402"/>
    </row>
    <row r="147" ht="14.25" customHeight="1">
      <c r="A147" s="406">
        <v>45505.0</v>
      </c>
      <c r="B147" s="616" t="s">
        <v>2218</v>
      </c>
      <c r="C147" s="617" t="s">
        <v>2219</v>
      </c>
      <c r="D147" s="349" t="s">
        <v>54</v>
      </c>
      <c r="E147" s="349" t="s">
        <v>2133</v>
      </c>
      <c r="F147" s="618">
        <v>57333.0</v>
      </c>
      <c r="G147" s="403"/>
      <c r="H147" s="455" t="s">
        <v>2229</v>
      </c>
      <c r="I147" s="404" t="str">
        <f t="shared" si="2"/>
        <v>NOT PAID</v>
      </c>
      <c r="J147" s="402"/>
      <c r="K147" s="402"/>
      <c r="L147" s="402"/>
      <c r="M147" s="402"/>
      <c r="N147" s="402"/>
      <c r="O147" s="402"/>
      <c r="P147" s="402"/>
      <c r="Q147" s="402"/>
      <c r="R147" s="402"/>
      <c r="S147" s="402"/>
      <c r="T147" s="402"/>
      <c r="U147" s="402"/>
      <c r="V147" s="402"/>
      <c r="W147" s="402"/>
      <c r="X147" s="402"/>
      <c r="Y147" s="402"/>
      <c r="Z147" s="402"/>
    </row>
    <row r="148" ht="14.25" customHeight="1">
      <c r="A148" s="406">
        <v>45505.0</v>
      </c>
      <c r="B148" s="605" t="s">
        <v>2221</v>
      </c>
      <c r="C148" s="606" t="s">
        <v>2222</v>
      </c>
      <c r="D148" s="349" t="s">
        <v>54</v>
      </c>
      <c r="E148" s="349" t="s">
        <v>2133</v>
      </c>
      <c r="F148" s="611">
        <v>32250.0</v>
      </c>
      <c r="G148" s="403"/>
      <c r="H148" s="484" t="s">
        <v>2230</v>
      </c>
      <c r="I148" s="404" t="str">
        <f t="shared" si="2"/>
        <v>NOT PAID</v>
      </c>
      <c r="J148" s="402"/>
      <c r="K148" s="402"/>
      <c r="L148" s="402"/>
      <c r="M148" s="402"/>
      <c r="N148" s="402"/>
      <c r="O148" s="402"/>
      <c r="P148" s="402"/>
      <c r="Q148" s="402"/>
      <c r="R148" s="402"/>
      <c r="S148" s="402"/>
      <c r="T148" s="402"/>
      <c r="U148" s="402"/>
      <c r="V148" s="402"/>
      <c r="W148" s="402"/>
      <c r="X148" s="402"/>
      <c r="Y148" s="402"/>
      <c r="Z148" s="402"/>
    </row>
    <row r="149" ht="14.25" customHeight="1">
      <c r="A149" s="406">
        <v>45505.0</v>
      </c>
      <c r="B149" s="605" t="s">
        <v>2231</v>
      </c>
      <c r="C149" s="619" t="s">
        <v>2232</v>
      </c>
      <c r="D149" s="349" t="s">
        <v>54</v>
      </c>
      <c r="E149" s="349" t="s">
        <v>2133</v>
      </c>
      <c r="F149" s="620">
        <v>28667.0</v>
      </c>
      <c r="G149" s="403"/>
      <c r="H149" s="484" t="s">
        <v>2229</v>
      </c>
      <c r="I149" s="404" t="str">
        <f t="shared" si="2"/>
        <v>NOT PAID</v>
      </c>
      <c r="J149" s="402"/>
      <c r="K149" s="402"/>
      <c r="L149" s="402"/>
      <c r="M149" s="402"/>
      <c r="N149" s="402"/>
      <c r="O149" s="402"/>
      <c r="P149" s="402"/>
      <c r="Q149" s="402"/>
      <c r="R149" s="402"/>
      <c r="S149" s="402"/>
      <c r="T149" s="402"/>
      <c r="U149" s="402"/>
      <c r="V149" s="402"/>
      <c r="W149" s="402"/>
      <c r="X149" s="402"/>
      <c r="Y149" s="402"/>
      <c r="Z149" s="402"/>
    </row>
    <row r="150" ht="14.25" customHeight="1">
      <c r="A150" s="406">
        <v>45505.0</v>
      </c>
      <c r="B150" s="616" t="s">
        <v>2233</v>
      </c>
      <c r="C150" s="621" t="s">
        <v>2234</v>
      </c>
      <c r="D150" s="349" t="s">
        <v>54</v>
      </c>
      <c r="E150" s="349" t="s">
        <v>2133</v>
      </c>
      <c r="F150" s="622">
        <v>11333.0</v>
      </c>
      <c r="G150" s="403"/>
      <c r="H150" s="484" t="s">
        <v>2229</v>
      </c>
      <c r="I150" s="404" t="str">
        <f t="shared" si="2"/>
        <v>NOT PAID</v>
      </c>
      <c r="J150" s="402"/>
      <c r="K150" s="402"/>
      <c r="L150" s="402"/>
      <c r="M150" s="402"/>
      <c r="N150" s="402"/>
      <c r="O150" s="402"/>
      <c r="P150" s="402"/>
      <c r="Q150" s="402"/>
      <c r="R150" s="402"/>
      <c r="S150" s="402"/>
      <c r="T150" s="402"/>
      <c r="U150" s="402"/>
      <c r="V150" s="402"/>
      <c r="W150" s="402"/>
      <c r="X150" s="402"/>
      <c r="Y150" s="402"/>
      <c r="Z150" s="402"/>
    </row>
    <row r="151" ht="14.25" customHeight="1">
      <c r="A151" s="406">
        <v>45505.0</v>
      </c>
      <c r="B151" s="623" t="s">
        <v>2235</v>
      </c>
      <c r="C151" s="623" t="s">
        <v>2236</v>
      </c>
      <c r="D151" s="624" t="s">
        <v>75</v>
      </c>
      <c r="E151" s="349" t="s">
        <v>2133</v>
      </c>
      <c r="F151" s="625">
        <v>34500.0</v>
      </c>
      <c r="G151" s="403"/>
      <c r="H151" s="484" t="s">
        <v>2230</v>
      </c>
      <c r="I151" s="404" t="str">
        <f t="shared" si="2"/>
        <v>NOT PAID</v>
      </c>
      <c r="J151" s="402"/>
      <c r="K151" s="402"/>
      <c r="L151" s="402"/>
      <c r="M151" s="402"/>
      <c r="N151" s="402"/>
      <c r="O151" s="402"/>
      <c r="P151" s="402"/>
      <c r="Q151" s="402"/>
      <c r="R151" s="402"/>
      <c r="S151" s="402"/>
      <c r="T151" s="402"/>
      <c r="U151" s="402"/>
      <c r="V151" s="402"/>
      <c r="W151" s="402"/>
      <c r="X151" s="402"/>
      <c r="Y151" s="402"/>
      <c r="Z151" s="402"/>
    </row>
    <row r="152" ht="14.25" customHeight="1">
      <c r="A152" s="406"/>
      <c r="B152" s="402"/>
      <c r="C152" s="402"/>
      <c r="D152" s="402"/>
      <c r="E152" s="402"/>
      <c r="F152" s="587"/>
      <c r="G152" s="403"/>
      <c r="H152" s="402"/>
      <c r="I152" s="404" t="str">
        <f t="shared" si="2"/>
        <v>FULLY PAID</v>
      </c>
      <c r="J152" s="402"/>
      <c r="K152" s="402"/>
      <c r="L152" s="402"/>
      <c r="M152" s="402"/>
      <c r="N152" s="402"/>
      <c r="O152" s="402"/>
      <c r="P152" s="402"/>
      <c r="Q152" s="402"/>
      <c r="R152" s="402"/>
      <c r="S152" s="402"/>
      <c r="T152" s="402"/>
      <c r="U152" s="402"/>
      <c r="V152" s="402"/>
      <c r="W152" s="402"/>
      <c r="X152" s="402"/>
      <c r="Y152" s="402"/>
      <c r="Z152" s="402"/>
    </row>
    <row r="153" ht="14.25" customHeight="1">
      <c r="A153" s="402"/>
      <c r="B153" s="402"/>
      <c r="C153" s="402"/>
      <c r="D153" s="402"/>
      <c r="E153" s="402"/>
      <c r="F153" s="587"/>
      <c r="G153" s="403"/>
      <c r="H153" s="402"/>
      <c r="I153" s="404" t="str">
        <f t="shared" si="2"/>
        <v>FULLY PAID</v>
      </c>
      <c r="J153" s="402"/>
      <c r="K153" s="402"/>
      <c r="L153" s="402"/>
      <c r="M153" s="402"/>
      <c r="N153" s="402"/>
      <c r="O153" s="402"/>
      <c r="P153" s="402"/>
      <c r="Q153" s="402"/>
      <c r="R153" s="402"/>
      <c r="S153" s="402"/>
      <c r="T153" s="402"/>
      <c r="U153" s="402"/>
      <c r="V153" s="402"/>
      <c r="W153" s="402"/>
      <c r="X153" s="402"/>
      <c r="Y153" s="402"/>
      <c r="Z153" s="402"/>
    </row>
    <row r="154" ht="14.25" customHeight="1">
      <c r="A154" s="402"/>
      <c r="B154" s="402"/>
      <c r="C154" s="402"/>
      <c r="D154" s="402"/>
      <c r="E154" s="402"/>
      <c r="F154" s="587"/>
      <c r="G154" s="403"/>
      <c r="H154" s="402"/>
      <c r="I154" s="404" t="str">
        <f t="shared" si="2"/>
        <v>FULLY PAID</v>
      </c>
      <c r="J154" s="402"/>
      <c r="K154" s="402"/>
      <c r="L154" s="402"/>
      <c r="M154" s="402"/>
      <c r="N154" s="402"/>
      <c r="O154" s="402"/>
      <c r="P154" s="402"/>
      <c r="Q154" s="402"/>
      <c r="R154" s="402"/>
      <c r="S154" s="402"/>
      <c r="T154" s="402"/>
      <c r="U154" s="402"/>
      <c r="V154" s="402"/>
      <c r="W154" s="402"/>
      <c r="X154" s="402"/>
      <c r="Y154" s="402"/>
      <c r="Z154" s="402"/>
    </row>
    <row r="155" ht="14.25" customHeight="1">
      <c r="A155" s="406">
        <v>45506.0</v>
      </c>
      <c r="B155" s="607" t="s">
        <v>2149</v>
      </c>
      <c r="C155" s="607" t="s">
        <v>2206</v>
      </c>
      <c r="D155" s="349" t="s">
        <v>54</v>
      </c>
      <c r="E155" s="349" t="s">
        <v>2133</v>
      </c>
      <c r="F155" s="559">
        <v>5000.0</v>
      </c>
      <c r="G155" s="413">
        <v>0.0</v>
      </c>
      <c r="H155" s="455" t="s">
        <v>2237</v>
      </c>
      <c r="I155" s="404" t="str">
        <f t="shared" si="2"/>
        <v>NOT PAID</v>
      </c>
      <c r="J155" s="402"/>
      <c r="K155" s="402"/>
      <c r="L155" s="402"/>
      <c r="M155" s="402"/>
      <c r="N155" s="402"/>
      <c r="O155" s="402"/>
      <c r="P155" s="402"/>
      <c r="Q155" s="402"/>
      <c r="R155" s="402"/>
      <c r="S155" s="402"/>
      <c r="T155" s="402"/>
      <c r="U155" s="402"/>
      <c r="V155" s="402"/>
      <c r="W155" s="402"/>
      <c r="X155" s="402"/>
      <c r="Y155" s="402"/>
      <c r="Z155" s="402"/>
    </row>
    <row r="156" ht="14.25" customHeight="1">
      <c r="A156" s="406">
        <v>45506.0</v>
      </c>
      <c r="B156" s="607" t="s">
        <v>2152</v>
      </c>
      <c r="C156" s="607" t="s">
        <v>2153</v>
      </c>
      <c r="D156" s="349" t="s">
        <v>54</v>
      </c>
      <c r="E156" s="349" t="s">
        <v>2133</v>
      </c>
      <c r="F156" s="559">
        <v>59690.0</v>
      </c>
      <c r="G156" s="413">
        <v>0.0</v>
      </c>
      <c r="H156" s="349" t="s">
        <v>2238</v>
      </c>
      <c r="I156" s="404" t="str">
        <f t="shared" si="2"/>
        <v>NOT PAID</v>
      </c>
      <c r="J156" s="402"/>
      <c r="K156" s="402"/>
      <c r="L156" s="402"/>
      <c r="M156" s="402"/>
      <c r="N156" s="402"/>
      <c r="O156" s="402"/>
      <c r="P156" s="402"/>
      <c r="Q156" s="402"/>
      <c r="R156" s="402"/>
      <c r="S156" s="402"/>
      <c r="T156" s="402"/>
      <c r="U156" s="402"/>
      <c r="V156" s="402"/>
      <c r="W156" s="402"/>
      <c r="X156" s="402"/>
      <c r="Y156" s="402"/>
      <c r="Z156" s="402"/>
    </row>
    <row r="157" ht="14.25" customHeight="1">
      <c r="A157" s="406">
        <v>45506.0</v>
      </c>
      <c r="B157" s="349" t="s">
        <v>2175</v>
      </c>
      <c r="C157" s="349" t="s">
        <v>2176</v>
      </c>
      <c r="D157" s="349" t="s">
        <v>54</v>
      </c>
      <c r="E157" s="349" t="s">
        <v>2133</v>
      </c>
      <c r="F157" s="611">
        <f>101695-91000</f>
        <v>10695</v>
      </c>
      <c r="G157" s="413">
        <v>0.0</v>
      </c>
      <c r="H157" s="349" t="s">
        <v>2193</v>
      </c>
      <c r="I157" s="404" t="str">
        <f t="shared" si="2"/>
        <v>NOT PAID</v>
      </c>
      <c r="J157" s="402"/>
      <c r="K157" s="402"/>
      <c r="L157" s="402"/>
      <c r="M157" s="402"/>
      <c r="N157" s="402"/>
      <c r="O157" s="402"/>
      <c r="P157" s="402"/>
      <c r="Q157" s="402"/>
      <c r="R157" s="402"/>
      <c r="S157" s="402"/>
      <c r="T157" s="402"/>
      <c r="U157" s="402"/>
      <c r="V157" s="402"/>
      <c r="W157" s="402"/>
      <c r="X157" s="402"/>
      <c r="Y157" s="402"/>
      <c r="Z157" s="402"/>
    </row>
    <row r="158" ht="14.25" customHeight="1">
      <c r="A158" s="406">
        <v>45506.0</v>
      </c>
      <c r="B158" s="419" t="s">
        <v>2208</v>
      </c>
      <c r="C158" s="408" t="s">
        <v>2132</v>
      </c>
      <c r="D158" s="408" t="s">
        <v>439</v>
      </c>
      <c r="E158" s="408" t="s">
        <v>2133</v>
      </c>
      <c r="F158" s="445">
        <v>14000.0</v>
      </c>
      <c r="G158" s="413">
        <v>10000.0</v>
      </c>
      <c r="H158" s="349" t="s">
        <v>2239</v>
      </c>
      <c r="I158" s="404" t="str">
        <f t="shared" si="2"/>
        <v>PARTIALLY PAID</v>
      </c>
      <c r="J158" s="402"/>
      <c r="K158" s="402"/>
      <c r="L158" s="402"/>
      <c r="M158" s="402"/>
      <c r="N158" s="402"/>
      <c r="O158" s="402"/>
      <c r="P158" s="402"/>
      <c r="Q158" s="402"/>
      <c r="R158" s="402"/>
      <c r="S158" s="402"/>
      <c r="T158" s="402"/>
      <c r="U158" s="402"/>
      <c r="V158" s="402"/>
      <c r="W158" s="402"/>
      <c r="X158" s="402"/>
      <c r="Y158" s="402"/>
      <c r="Z158" s="402"/>
    </row>
    <row r="159" ht="14.25" customHeight="1">
      <c r="A159" s="406">
        <v>45506.0</v>
      </c>
      <c r="B159" s="349" t="s">
        <v>2143</v>
      </c>
      <c r="C159" s="349" t="s">
        <v>2144</v>
      </c>
      <c r="D159" s="349" t="s">
        <v>54</v>
      </c>
      <c r="E159" s="349" t="s">
        <v>2133</v>
      </c>
      <c r="F159" s="559">
        <v>6000.0</v>
      </c>
      <c r="G159" s="413">
        <v>6000.0</v>
      </c>
      <c r="H159" s="349" t="s">
        <v>401</v>
      </c>
      <c r="I159" s="404" t="str">
        <f t="shared" si="2"/>
        <v>FULLY PAID</v>
      </c>
      <c r="J159" s="402"/>
      <c r="K159" s="402"/>
      <c r="L159" s="402"/>
      <c r="M159" s="402"/>
      <c r="N159" s="402"/>
      <c r="O159" s="402"/>
      <c r="P159" s="402"/>
      <c r="Q159" s="402"/>
      <c r="R159" s="402"/>
      <c r="S159" s="402"/>
      <c r="T159" s="402"/>
      <c r="U159" s="402"/>
      <c r="V159" s="402"/>
      <c r="W159" s="402"/>
      <c r="X159" s="402"/>
      <c r="Y159" s="402"/>
      <c r="Z159" s="402"/>
    </row>
    <row r="160" ht="14.25" customHeight="1">
      <c r="A160" s="406">
        <v>45506.0</v>
      </c>
      <c r="B160" s="608" t="s">
        <v>2137</v>
      </c>
      <c r="C160" s="608" t="s">
        <v>2138</v>
      </c>
      <c r="D160" s="607" t="s">
        <v>75</v>
      </c>
      <c r="E160" s="349" t="s">
        <v>2133</v>
      </c>
      <c r="F160" s="559">
        <v>122275.0</v>
      </c>
      <c r="G160" s="413">
        <v>0.0</v>
      </c>
      <c r="H160" s="484" t="s">
        <v>2240</v>
      </c>
      <c r="I160" s="404" t="str">
        <f t="shared" si="2"/>
        <v>NOT PAID</v>
      </c>
      <c r="J160" s="402"/>
      <c r="K160" s="402"/>
      <c r="L160" s="402"/>
      <c r="M160" s="402"/>
      <c r="N160" s="402"/>
      <c r="O160" s="402"/>
      <c r="P160" s="402"/>
      <c r="Q160" s="402"/>
      <c r="R160" s="402"/>
      <c r="S160" s="402"/>
      <c r="T160" s="402"/>
      <c r="U160" s="402"/>
      <c r="V160" s="402"/>
      <c r="W160" s="402"/>
      <c r="X160" s="402"/>
      <c r="Y160" s="402"/>
      <c r="Z160" s="402"/>
    </row>
    <row r="161" ht="14.25" customHeight="1">
      <c r="A161" s="406">
        <v>45506.0</v>
      </c>
      <c r="B161" s="605" t="s">
        <v>2210</v>
      </c>
      <c r="C161" s="606" t="s">
        <v>2211</v>
      </c>
      <c r="D161" s="349" t="s">
        <v>54</v>
      </c>
      <c r="E161" s="349" t="s">
        <v>2133</v>
      </c>
      <c r="F161" s="615">
        <v>17415.0</v>
      </c>
      <c r="G161" s="413">
        <v>0.0</v>
      </c>
      <c r="H161" s="455" t="s">
        <v>2241</v>
      </c>
      <c r="I161" s="404" t="str">
        <f t="shared" si="2"/>
        <v>NOT PAID</v>
      </c>
      <c r="J161" s="402"/>
      <c r="K161" s="402"/>
      <c r="L161" s="402"/>
      <c r="M161" s="402"/>
      <c r="N161" s="402"/>
      <c r="O161" s="402"/>
      <c r="P161" s="402"/>
      <c r="Q161" s="402"/>
      <c r="R161" s="402"/>
      <c r="S161" s="402"/>
      <c r="T161" s="402"/>
      <c r="U161" s="402"/>
      <c r="V161" s="402"/>
      <c r="W161" s="402"/>
      <c r="X161" s="402"/>
      <c r="Y161" s="402"/>
      <c r="Z161" s="402"/>
    </row>
    <row r="162" ht="14.25" customHeight="1">
      <c r="A162" s="406">
        <v>45506.0</v>
      </c>
      <c r="B162" s="616" t="s">
        <v>2213</v>
      </c>
      <c r="C162" s="617" t="s">
        <v>2214</v>
      </c>
      <c r="D162" s="349" t="s">
        <v>54</v>
      </c>
      <c r="E162" s="349" t="s">
        <v>2133</v>
      </c>
      <c r="F162" s="618">
        <v>10820.0</v>
      </c>
      <c r="G162" s="413">
        <v>2000.0</v>
      </c>
      <c r="H162" s="349" t="s">
        <v>2242</v>
      </c>
      <c r="I162" s="404" t="str">
        <f t="shared" si="2"/>
        <v>PARTIALLY PAID</v>
      </c>
      <c r="J162" s="402"/>
      <c r="K162" s="402"/>
      <c r="L162" s="402"/>
      <c r="M162" s="402"/>
      <c r="N162" s="402"/>
      <c r="O162" s="402"/>
      <c r="P162" s="402"/>
      <c r="Q162" s="402"/>
      <c r="R162" s="402"/>
      <c r="S162" s="402"/>
      <c r="T162" s="402"/>
      <c r="U162" s="402"/>
      <c r="V162" s="402"/>
      <c r="W162" s="402"/>
      <c r="X162" s="402"/>
      <c r="Y162" s="402"/>
      <c r="Z162" s="402"/>
    </row>
    <row r="163" ht="14.25" customHeight="1">
      <c r="A163" s="406">
        <v>45506.0</v>
      </c>
      <c r="B163" s="616" t="s">
        <v>2218</v>
      </c>
      <c r="C163" s="617" t="s">
        <v>2219</v>
      </c>
      <c r="D163" s="349" t="s">
        <v>54</v>
      </c>
      <c r="E163" s="349" t="s">
        <v>2133</v>
      </c>
      <c r="F163" s="618">
        <v>20733.0</v>
      </c>
      <c r="G163" s="413">
        <v>0.0</v>
      </c>
      <c r="H163" s="455" t="s">
        <v>2243</v>
      </c>
      <c r="I163" s="404" t="str">
        <f t="shared" si="2"/>
        <v>NOT PAID</v>
      </c>
      <c r="J163" s="402"/>
      <c r="K163" s="402"/>
      <c r="L163" s="402"/>
      <c r="M163" s="402"/>
      <c r="N163" s="402"/>
      <c r="O163" s="402"/>
      <c r="P163" s="402"/>
      <c r="Q163" s="402"/>
      <c r="R163" s="402"/>
      <c r="S163" s="402"/>
      <c r="T163" s="402"/>
      <c r="U163" s="402"/>
      <c r="V163" s="402"/>
      <c r="W163" s="402"/>
      <c r="X163" s="402"/>
      <c r="Y163" s="402"/>
      <c r="Z163" s="402"/>
    </row>
    <row r="164" ht="14.25" customHeight="1">
      <c r="A164" s="406">
        <v>45506.0</v>
      </c>
      <c r="B164" s="605" t="s">
        <v>2221</v>
      </c>
      <c r="C164" s="606" t="s">
        <v>2222</v>
      </c>
      <c r="D164" s="349" t="s">
        <v>54</v>
      </c>
      <c r="E164" s="349" t="s">
        <v>2133</v>
      </c>
      <c r="F164" s="611">
        <v>32250.0</v>
      </c>
      <c r="G164" s="413">
        <v>0.0</v>
      </c>
      <c r="H164" s="455" t="s">
        <v>2229</v>
      </c>
      <c r="I164" s="404" t="str">
        <f t="shared" si="2"/>
        <v>NOT PAID</v>
      </c>
      <c r="J164" s="402"/>
      <c r="K164" s="402"/>
      <c r="L164" s="402"/>
      <c r="M164" s="402"/>
      <c r="N164" s="402"/>
      <c r="O164" s="402"/>
      <c r="P164" s="402"/>
      <c r="Q164" s="402"/>
      <c r="R164" s="402"/>
      <c r="S164" s="402"/>
      <c r="T164" s="402"/>
      <c r="U164" s="402"/>
      <c r="V164" s="402"/>
      <c r="W164" s="402"/>
      <c r="X164" s="402"/>
      <c r="Y164" s="402"/>
      <c r="Z164" s="402"/>
    </row>
    <row r="165" ht="14.25" customHeight="1">
      <c r="A165" s="406">
        <v>45506.0</v>
      </c>
      <c r="B165" s="605" t="s">
        <v>2231</v>
      </c>
      <c r="C165" s="619" t="s">
        <v>2232</v>
      </c>
      <c r="D165" s="349" t="s">
        <v>54</v>
      </c>
      <c r="E165" s="349" t="s">
        <v>2133</v>
      </c>
      <c r="F165" s="620">
        <v>28667.0</v>
      </c>
      <c r="G165" s="413">
        <v>0.0</v>
      </c>
      <c r="H165" s="455" t="s">
        <v>2229</v>
      </c>
      <c r="I165" s="404" t="str">
        <f t="shared" si="2"/>
        <v>NOT PAID</v>
      </c>
      <c r="J165" s="402"/>
      <c r="K165" s="402"/>
      <c r="L165" s="402"/>
      <c r="M165" s="402"/>
      <c r="N165" s="402"/>
      <c r="O165" s="402"/>
      <c r="P165" s="402"/>
      <c r="Q165" s="402"/>
      <c r="R165" s="402"/>
      <c r="S165" s="402"/>
      <c r="T165" s="402"/>
      <c r="U165" s="402"/>
      <c r="V165" s="402"/>
      <c r="W165" s="402"/>
      <c r="X165" s="402"/>
      <c r="Y165" s="402"/>
      <c r="Z165" s="402"/>
    </row>
    <row r="166" ht="14.25" customHeight="1">
      <c r="A166" s="406">
        <v>45506.0</v>
      </c>
      <c r="B166" s="626" t="s">
        <v>2244</v>
      </c>
      <c r="C166" s="627" t="s">
        <v>2245</v>
      </c>
      <c r="D166" s="349" t="s">
        <v>54</v>
      </c>
      <c r="E166" s="349" t="s">
        <v>2133</v>
      </c>
      <c r="F166" s="622">
        <v>65000.0</v>
      </c>
      <c r="G166" s="413">
        <v>570896.0</v>
      </c>
      <c r="H166" s="349" t="s">
        <v>401</v>
      </c>
      <c r="I166" s="404" t="str">
        <f t="shared" si="2"/>
        <v>FULLY PAID</v>
      </c>
      <c r="J166" s="402"/>
      <c r="K166" s="402"/>
      <c r="L166" s="402"/>
      <c r="M166" s="402"/>
      <c r="N166" s="402"/>
      <c r="O166" s="402"/>
      <c r="P166" s="402"/>
      <c r="Q166" s="402"/>
      <c r="R166" s="402"/>
      <c r="S166" s="402"/>
      <c r="T166" s="402"/>
      <c r="U166" s="402"/>
      <c r="V166" s="402"/>
      <c r="W166" s="402"/>
      <c r="X166" s="402"/>
      <c r="Y166" s="402"/>
      <c r="Z166" s="402"/>
    </row>
    <row r="167" ht="14.25" customHeight="1">
      <c r="A167" s="406">
        <v>45506.0</v>
      </c>
      <c r="B167" s="616" t="s">
        <v>2233</v>
      </c>
      <c r="C167" s="621" t="s">
        <v>2234</v>
      </c>
      <c r="D167" s="349" t="s">
        <v>54</v>
      </c>
      <c r="E167" s="349" t="s">
        <v>2133</v>
      </c>
      <c r="F167" s="622">
        <v>11333.0</v>
      </c>
      <c r="G167" s="413">
        <v>0.0</v>
      </c>
      <c r="H167" s="455" t="s">
        <v>2229</v>
      </c>
      <c r="I167" s="404" t="str">
        <f t="shared" si="2"/>
        <v>NOT PAID</v>
      </c>
      <c r="J167" s="402"/>
      <c r="K167" s="402"/>
      <c r="L167" s="402"/>
      <c r="M167" s="402"/>
      <c r="N167" s="402"/>
      <c r="O167" s="402"/>
      <c r="P167" s="402"/>
      <c r="Q167" s="402"/>
      <c r="R167" s="402"/>
      <c r="S167" s="402"/>
      <c r="T167" s="402"/>
      <c r="U167" s="402"/>
      <c r="V167" s="402"/>
      <c r="W167" s="402"/>
      <c r="X167" s="402"/>
      <c r="Y167" s="402"/>
      <c r="Z167" s="402"/>
    </row>
    <row r="168" ht="14.25" customHeight="1">
      <c r="A168" s="406">
        <v>45506.0</v>
      </c>
      <c r="B168" s="628" t="s">
        <v>2196</v>
      </c>
      <c r="C168" s="629" t="s">
        <v>2246</v>
      </c>
      <c r="D168" s="349" t="s">
        <v>54</v>
      </c>
      <c r="E168" s="349" t="s">
        <v>2133</v>
      </c>
      <c r="F168" s="622">
        <v>126855.0</v>
      </c>
      <c r="G168" s="413">
        <v>0.0</v>
      </c>
      <c r="H168" s="455" t="s">
        <v>2229</v>
      </c>
      <c r="I168" s="404" t="str">
        <f t="shared" si="2"/>
        <v>NOT PAID</v>
      </c>
      <c r="J168" s="402"/>
      <c r="K168" s="402"/>
      <c r="L168" s="402"/>
      <c r="M168" s="402"/>
      <c r="N168" s="402"/>
      <c r="O168" s="402"/>
      <c r="P168" s="402"/>
      <c r="Q168" s="402"/>
      <c r="R168" s="402"/>
      <c r="S168" s="402"/>
      <c r="T168" s="402"/>
      <c r="U168" s="402"/>
      <c r="V168" s="402"/>
      <c r="W168" s="402"/>
      <c r="X168" s="402"/>
      <c r="Y168" s="402"/>
      <c r="Z168" s="402"/>
    </row>
    <row r="169" ht="14.25" customHeight="1">
      <c r="A169" s="406">
        <v>45506.0</v>
      </c>
      <c r="B169" s="623" t="s">
        <v>2235</v>
      </c>
      <c r="C169" s="623" t="s">
        <v>2236</v>
      </c>
      <c r="D169" s="630" t="s">
        <v>75</v>
      </c>
      <c r="E169" s="349" t="s">
        <v>2133</v>
      </c>
      <c r="F169" s="622">
        <v>34500.0</v>
      </c>
      <c r="G169" s="413">
        <v>0.0</v>
      </c>
      <c r="H169" s="484" t="s">
        <v>2230</v>
      </c>
      <c r="I169" s="404" t="str">
        <f t="shared" si="2"/>
        <v>NOT PAID</v>
      </c>
      <c r="J169" s="402"/>
      <c r="K169" s="402"/>
      <c r="L169" s="402"/>
      <c r="M169" s="402"/>
      <c r="N169" s="402"/>
      <c r="O169" s="402"/>
      <c r="P169" s="402"/>
      <c r="Q169" s="402"/>
      <c r="R169" s="402"/>
      <c r="S169" s="402"/>
      <c r="T169" s="402"/>
      <c r="U169" s="402"/>
      <c r="V169" s="402"/>
      <c r="W169" s="402"/>
      <c r="X169" s="402"/>
      <c r="Y169" s="402"/>
      <c r="Z169" s="402"/>
    </row>
    <row r="170" ht="14.25" customHeight="1">
      <c r="A170" s="406">
        <v>45506.0</v>
      </c>
      <c r="B170" s="631" t="s">
        <v>2163</v>
      </c>
      <c r="C170" s="632" t="s">
        <v>2164</v>
      </c>
      <c r="D170" s="632" t="s">
        <v>59</v>
      </c>
      <c r="E170" s="632" t="s">
        <v>2165</v>
      </c>
      <c r="F170" s="633">
        <v>200000.0</v>
      </c>
      <c r="G170" s="413">
        <v>0.0</v>
      </c>
      <c r="H170" s="349" t="s">
        <v>2247</v>
      </c>
      <c r="I170" s="404" t="str">
        <f t="shared" si="2"/>
        <v>NOT PAID</v>
      </c>
      <c r="J170" s="402"/>
      <c r="K170" s="402"/>
      <c r="L170" s="402"/>
      <c r="M170" s="402"/>
      <c r="N170" s="402"/>
      <c r="O170" s="402"/>
      <c r="P170" s="402"/>
      <c r="Q170" s="402"/>
      <c r="R170" s="402"/>
      <c r="S170" s="402"/>
      <c r="T170" s="402"/>
      <c r="U170" s="402"/>
      <c r="V170" s="402"/>
      <c r="W170" s="402"/>
      <c r="X170" s="402"/>
      <c r="Y170" s="402"/>
      <c r="Z170" s="402"/>
    </row>
    <row r="171" ht="14.25" customHeight="1">
      <c r="A171" s="406"/>
      <c r="B171" s="631"/>
      <c r="C171" s="632"/>
      <c r="D171" s="632"/>
      <c r="E171" s="632"/>
      <c r="F171" s="633"/>
      <c r="G171" s="403"/>
      <c r="H171" s="402"/>
      <c r="I171" s="404" t="str">
        <f t="shared" si="2"/>
        <v>FULLY PAID</v>
      </c>
      <c r="J171" s="402"/>
      <c r="K171" s="402"/>
      <c r="L171" s="402"/>
      <c r="M171" s="402"/>
      <c r="N171" s="402"/>
      <c r="O171" s="402"/>
      <c r="P171" s="402"/>
      <c r="Q171" s="402"/>
      <c r="R171" s="402"/>
      <c r="S171" s="402"/>
      <c r="T171" s="402"/>
      <c r="U171" s="402"/>
      <c r="V171" s="402"/>
      <c r="W171" s="402"/>
      <c r="X171" s="402"/>
      <c r="Y171" s="402"/>
      <c r="Z171" s="402"/>
    </row>
    <row r="172" ht="14.25" customHeight="1">
      <c r="A172" s="406"/>
      <c r="B172" s="402"/>
      <c r="C172" s="402"/>
      <c r="D172" s="402"/>
      <c r="E172" s="402"/>
      <c r="F172" s="587"/>
      <c r="G172" s="403"/>
      <c r="H172" s="402"/>
      <c r="I172" s="404" t="str">
        <f t="shared" si="2"/>
        <v>FULLY PAID</v>
      </c>
      <c r="J172" s="402"/>
      <c r="K172" s="402"/>
      <c r="L172" s="402"/>
      <c r="M172" s="402"/>
      <c r="N172" s="402"/>
      <c r="O172" s="402"/>
      <c r="P172" s="402"/>
      <c r="Q172" s="402"/>
      <c r="R172" s="402"/>
      <c r="S172" s="402"/>
      <c r="T172" s="402"/>
      <c r="U172" s="402"/>
      <c r="V172" s="402"/>
      <c r="W172" s="402"/>
      <c r="X172" s="402"/>
      <c r="Y172" s="402"/>
      <c r="Z172" s="402"/>
    </row>
    <row r="173" ht="14.25" customHeight="1">
      <c r="A173" s="402"/>
      <c r="B173" s="402"/>
      <c r="C173" s="402"/>
      <c r="D173" s="402"/>
      <c r="E173" s="402"/>
      <c r="F173" s="587"/>
      <c r="G173" s="403"/>
      <c r="H173" s="402"/>
      <c r="I173" s="404" t="str">
        <f t="shared" si="2"/>
        <v>FULLY PAID</v>
      </c>
      <c r="J173" s="402"/>
      <c r="K173" s="402"/>
      <c r="L173" s="402"/>
      <c r="M173" s="402"/>
      <c r="N173" s="402"/>
      <c r="O173" s="402"/>
      <c r="P173" s="402"/>
      <c r="Q173" s="402"/>
      <c r="R173" s="402"/>
      <c r="S173" s="402"/>
      <c r="T173" s="402"/>
      <c r="U173" s="402"/>
      <c r="V173" s="402"/>
      <c r="W173" s="402"/>
      <c r="X173" s="402"/>
      <c r="Y173" s="402"/>
      <c r="Z173" s="402"/>
    </row>
    <row r="174" ht="14.25" customHeight="1">
      <c r="A174" s="406">
        <v>45507.0</v>
      </c>
      <c r="B174" s="607" t="s">
        <v>2149</v>
      </c>
      <c r="C174" s="607" t="s">
        <v>2206</v>
      </c>
      <c r="D174" s="349" t="s">
        <v>54</v>
      </c>
      <c r="E174" s="349" t="s">
        <v>2133</v>
      </c>
      <c r="F174" s="559">
        <v>5000.0</v>
      </c>
      <c r="G174" s="413">
        <v>0.0</v>
      </c>
      <c r="H174" s="455" t="s">
        <v>2237</v>
      </c>
      <c r="I174" s="404" t="str">
        <f t="shared" si="2"/>
        <v>NOT PAID</v>
      </c>
      <c r="J174" s="402"/>
      <c r="K174" s="402"/>
      <c r="L174" s="402"/>
      <c r="M174" s="402"/>
      <c r="N174" s="402"/>
      <c r="O174" s="402"/>
      <c r="P174" s="402"/>
      <c r="Q174" s="402"/>
      <c r="R174" s="402"/>
      <c r="S174" s="402"/>
      <c r="T174" s="402"/>
      <c r="U174" s="402"/>
      <c r="V174" s="402"/>
      <c r="W174" s="402"/>
      <c r="X174" s="402"/>
      <c r="Y174" s="402"/>
      <c r="Z174" s="402"/>
    </row>
    <row r="175" ht="14.25" customHeight="1">
      <c r="A175" s="406">
        <v>45507.0</v>
      </c>
      <c r="B175" s="607" t="s">
        <v>2152</v>
      </c>
      <c r="C175" s="607" t="s">
        <v>2153</v>
      </c>
      <c r="D175" s="349" t="s">
        <v>54</v>
      </c>
      <c r="E175" s="349" t="s">
        <v>2133</v>
      </c>
      <c r="F175" s="559">
        <v>59690.0</v>
      </c>
      <c r="G175" s="413">
        <v>0.0</v>
      </c>
      <c r="H175" s="349" t="s">
        <v>2238</v>
      </c>
      <c r="I175" s="404" t="str">
        <f t="shared" si="2"/>
        <v>NOT PAID</v>
      </c>
      <c r="J175" s="402"/>
      <c r="K175" s="402"/>
      <c r="L175" s="402"/>
      <c r="M175" s="402"/>
      <c r="N175" s="402"/>
      <c r="O175" s="402"/>
      <c r="P175" s="402"/>
      <c r="Q175" s="402"/>
      <c r="R175" s="402"/>
      <c r="S175" s="402"/>
      <c r="T175" s="402"/>
      <c r="U175" s="402"/>
      <c r="V175" s="402"/>
      <c r="W175" s="402"/>
      <c r="X175" s="402"/>
      <c r="Y175" s="402"/>
      <c r="Z175" s="402"/>
    </row>
    <row r="176" ht="14.25" customHeight="1">
      <c r="A176" s="406">
        <v>45507.0</v>
      </c>
      <c r="B176" s="349" t="s">
        <v>2175</v>
      </c>
      <c r="C176" s="349" t="s">
        <v>2176</v>
      </c>
      <c r="D176" s="349" t="s">
        <v>54</v>
      </c>
      <c r="E176" s="349" t="s">
        <v>2133</v>
      </c>
      <c r="F176" s="611">
        <f>101695-91000</f>
        <v>10695</v>
      </c>
      <c r="G176" s="413">
        <v>0.0</v>
      </c>
      <c r="H176" s="349" t="s">
        <v>2193</v>
      </c>
      <c r="I176" s="404" t="str">
        <f t="shared" si="2"/>
        <v>NOT PAID</v>
      </c>
      <c r="J176" s="402"/>
      <c r="K176" s="402"/>
      <c r="L176" s="402"/>
      <c r="M176" s="402"/>
      <c r="N176" s="402"/>
      <c r="O176" s="402"/>
      <c r="P176" s="402"/>
      <c r="Q176" s="402"/>
      <c r="R176" s="402"/>
      <c r="S176" s="402"/>
      <c r="T176" s="402"/>
      <c r="U176" s="402"/>
      <c r="V176" s="402"/>
      <c r="W176" s="402"/>
      <c r="X176" s="402"/>
      <c r="Y176" s="402"/>
      <c r="Z176" s="402"/>
    </row>
    <row r="177" ht="14.25" customHeight="1">
      <c r="A177" s="406">
        <v>45507.0</v>
      </c>
      <c r="B177" s="419" t="s">
        <v>2208</v>
      </c>
      <c r="C177" s="408" t="s">
        <v>2132</v>
      </c>
      <c r="D177" s="408" t="s">
        <v>439</v>
      </c>
      <c r="E177" s="408" t="s">
        <v>2133</v>
      </c>
      <c r="F177" s="445">
        <v>4000.0</v>
      </c>
      <c r="G177" s="413">
        <v>0.0</v>
      </c>
      <c r="H177" s="349" t="s">
        <v>2248</v>
      </c>
      <c r="I177" s="404" t="str">
        <f t="shared" si="2"/>
        <v>NOT PAID</v>
      </c>
      <c r="J177" s="402"/>
      <c r="K177" s="402"/>
      <c r="L177" s="402"/>
      <c r="M177" s="402"/>
      <c r="N177" s="402"/>
      <c r="O177" s="402"/>
      <c r="P177" s="402"/>
      <c r="Q177" s="402"/>
      <c r="R177" s="402"/>
      <c r="S177" s="402"/>
      <c r="T177" s="402"/>
      <c r="U177" s="402"/>
      <c r="V177" s="402"/>
      <c r="W177" s="402"/>
      <c r="X177" s="402"/>
      <c r="Y177" s="402"/>
      <c r="Z177" s="402"/>
    </row>
    <row r="178" ht="14.25" customHeight="1">
      <c r="A178" s="406">
        <v>45507.0</v>
      </c>
      <c r="B178" s="349" t="s">
        <v>2143</v>
      </c>
      <c r="C178" s="349" t="s">
        <v>2144</v>
      </c>
      <c r="D178" s="349" t="s">
        <v>54</v>
      </c>
      <c r="E178" s="349" t="s">
        <v>2133</v>
      </c>
      <c r="F178" s="559">
        <v>6000.0</v>
      </c>
      <c r="G178" s="413">
        <v>6000.0</v>
      </c>
      <c r="H178" s="349" t="s">
        <v>401</v>
      </c>
      <c r="I178" s="404" t="str">
        <f t="shared" si="2"/>
        <v>FULLY PAID</v>
      </c>
      <c r="J178" s="402"/>
      <c r="K178" s="402"/>
      <c r="L178" s="402"/>
      <c r="M178" s="402"/>
      <c r="N178" s="402"/>
      <c r="O178" s="402"/>
      <c r="P178" s="402"/>
      <c r="Q178" s="402"/>
      <c r="R178" s="402"/>
      <c r="S178" s="402"/>
      <c r="T178" s="402"/>
      <c r="U178" s="402"/>
      <c r="V178" s="402"/>
      <c r="W178" s="402"/>
      <c r="X178" s="402"/>
      <c r="Y178" s="402"/>
      <c r="Z178" s="402"/>
    </row>
    <row r="179" ht="14.25" customHeight="1">
      <c r="A179" s="406">
        <v>45507.0</v>
      </c>
      <c r="B179" s="608" t="s">
        <v>2137</v>
      </c>
      <c r="C179" s="608" t="s">
        <v>2138</v>
      </c>
      <c r="D179" s="607" t="s">
        <v>75</v>
      </c>
      <c r="E179" s="349" t="s">
        <v>2133</v>
      </c>
      <c r="F179" s="559">
        <v>122275.0</v>
      </c>
      <c r="G179" s="413">
        <v>0.0</v>
      </c>
      <c r="H179" s="484" t="s">
        <v>2249</v>
      </c>
      <c r="I179" s="404" t="str">
        <f t="shared" si="2"/>
        <v>NOT PAID</v>
      </c>
      <c r="J179" s="402"/>
      <c r="K179" s="402"/>
      <c r="L179" s="402"/>
      <c r="M179" s="402"/>
      <c r="N179" s="402"/>
      <c r="O179" s="402"/>
      <c r="P179" s="402"/>
      <c r="Q179" s="402"/>
      <c r="R179" s="402"/>
      <c r="S179" s="402"/>
      <c r="T179" s="402"/>
      <c r="U179" s="402"/>
      <c r="V179" s="402"/>
      <c r="W179" s="402"/>
      <c r="X179" s="402"/>
      <c r="Y179" s="402"/>
      <c r="Z179" s="402"/>
    </row>
    <row r="180" ht="14.25" customHeight="1">
      <c r="A180" s="406">
        <v>45507.0</v>
      </c>
      <c r="B180" s="605" t="s">
        <v>2210</v>
      </c>
      <c r="C180" s="606" t="s">
        <v>2211</v>
      </c>
      <c r="D180" s="349" t="s">
        <v>54</v>
      </c>
      <c r="E180" s="349" t="s">
        <v>2133</v>
      </c>
      <c r="F180" s="615">
        <v>17415.0</v>
      </c>
      <c r="G180" s="413">
        <v>0.0</v>
      </c>
      <c r="H180" s="455" t="s">
        <v>2250</v>
      </c>
      <c r="I180" s="404" t="str">
        <f t="shared" si="2"/>
        <v>NOT PAID</v>
      </c>
      <c r="J180" s="402"/>
      <c r="K180" s="402"/>
      <c r="L180" s="402"/>
      <c r="M180" s="402"/>
      <c r="N180" s="402"/>
      <c r="O180" s="402"/>
      <c r="P180" s="402"/>
      <c r="Q180" s="402"/>
      <c r="R180" s="402"/>
      <c r="S180" s="402"/>
      <c r="T180" s="402"/>
      <c r="U180" s="402"/>
      <c r="V180" s="402"/>
      <c r="W180" s="402"/>
      <c r="X180" s="402"/>
      <c r="Y180" s="402"/>
      <c r="Z180" s="402"/>
    </row>
    <row r="181" ht="14.25" customHeight="1">
      <c r="A181" s="406">
        <v>45507.0</v>
      </c>
      <c r="B181" s="616" t="s">
        <v>2213</v>
      </c>
      <c r="C181" s="617" t="s">
        <v>2214</v>
      </c>
      <c r="D181" s="349" t="s">
        <v>54</v>
      </c>
      <c r="E181" s="349" t="s">
        <v>2133</v>
      </c>
      <c r="F181" s="618">
        <v>8820.0</v>
      </c>
      <c r="G181" s="413">
        <v>0.0</v>
      </c>
      <c r="H181" s="349" t="s">
        <v>2242</v>
      </c>
      <c r="I181" s="404" t="str">
        <f t="shared" si="2"/>
        <v>NOT PAID</v>
      </c>
      <c r="J181" s="402"/>
      <c r="K181" s="402"/>
      <c r="L181" s="402"/>
      <c r="M181" s="402"/>
      <c r="N181" s="402"/>
      <c r="O181" s="402"/>
      <c r="P181" s="402"/>
      <c r="Q181" s="402"/>
      <c r="R181" s="402"/>
      <c r="S181" s="402"/>
      <c r="T181" s="402"/>
      <c r="U181" s="402"/>
      <c r="V181" s="402"/>
      <c r="W181" s="402"/>
      <c r="X181" s="402"/>
      <c r="Y181" s="402"/>
      <c r="Z181" s="402"/>
    </row>
    <row r="182" ht="14.25" customHeight="1">
      <c r="A182" s="406">
        <v>45507.0</v>
      </c>
      <c r="B182" s="616" t="s">
        <v>2218</v>
      </c>
      <c r="C182" s="617" t="s">
        <v>2219</v>
      </c>
      <c r="D182" s="349" t="s">
        <v>54</v>
      </c>
      <c r="E182" s="349" t="s">
        <v>2133</v>
      </c>
      <c r="F182" s="618">
        <v>2000.0</v>
      </c>
      <c r="G182" s="413">
        <v>0.0</v>
      </c>
      <c r="H182" s="455" t="s">
        <v>2243</v>
      </c>
      <c r="I182" s="404" t="str">
        <f t="shared" si="2"/>
        <v>NOT PAID</v>
      </c>
      <c r="J182" s="402"/>
      <c r="K182" s="402"/>
      <c r="L182" s="402"/>
      <c r="M182" s="402"/>
      <c r="N182" s="402"/>
      <c r="O182" s="402"/>
      <c r="P182" s="402"/>
      <c r="Q182" s="402"/>
      <c r="R182" s="402"/>
      <c r="S182" s="402"/>
      <c r="T182" s="402"/>
      <c r="U182" s="402"/>
      <c r="V182" s="402"/>
      <c r="W182" s="402"/>
      <c r="X182" s="402"/>
      <c r="Y182" s="402"/>
      <c r="Z182" s="402"/>
    </row>
    <row r="183" ht="14.25" customHeight="1">
      <c r="A183" s="406">
        <v>45507.0</v>
      </c>
      <c r="B183" s="605" t="s">
        <v>2221</v>
      </c>
      <c r="C183" s="606" t="s">
        <v>2222</v>
      </c>
      <c r="D183" s="349" t="s">
        <v>54</v>
      </c>
      <c r="E183" s="349" t="s">
        <v>2133</v>
      </c>
      <c r="F183" s="611">
        <v>32250.0</v>
      </c>
      <c r="G183" s="413">
        <v>0.0</v>
      </c>
      <c r="H183" s="455" t="s">
        <v>2229</v>
      </c>
      <c r="I183" s="404" t="str">
        <f t="shared" si="2"/>
        <v>NOT PAID</v>
      </c>
      <c r="J183" s="402"/>
      <c r="K183" s="402"/>
      <c r="L183" s="402"/>
      <c r="M183" s="402"/>
      <c r="N183" s="402"/>
      <c r="O183" s="402"/>
      <c r="P183" s="402"/>
      <c r="Q183" s="402"/>
      <c r="R183" s="402"/>
      <c r="S183" s="402"/>
      <c r="T183" s="402"/>
      <c r="U183" s="402"/>
      <c r="V183" s="402"/>
      <c r="W183" s="402"/>
      <c r="X183" s="402"/>
      <c r="Y183" s="402"/>
      <c r="Z183" s="402"/>
    </row>
    <row r="184" ht="14.25" customHeight="1">
      <c r="A184" s="406">
        <v>45507.0</v>
      </c>
      <c r="B184" s="605" t="s">
        <v>2231</v>
      </c>
      <c r="C184" s="619" t="s">
        <v>2232</v>
      </c>
      <c r="D184" s="349" t="s">
        <v>54</v>
      </c>
      <c r="E184" s="349" t="s">
        <v>2133</v>
      </c>
      <c r="F184" s="620">
        <v>28667.0</v>
      </c>
      <c r="G184" s="413">
        <v>0.0</v>
      </c>
      <c r="H184" s="455" t="s">
        <v>2251</v>
      </c>
      <c r="I184" s="404" t="str">
        <f t="shared" si="2"/>
        <v>NOT PAID</v>
      </c>
      <c r="J184" s="402"/>
      <c r="K184" s="402"/>
      <c r="L184" s="402"/>
      <c r="M184" s="402"/>
      <c r="N184" s="402"/>
      <c r="O184" s="402"/>
      <c r="P184" s="402"/>
      <c r="Q184" s="402"/>
      <c r="R184" s="402"/>
      <c r="S184" s="402"/>
      <c r="T184" s="402"/>
      <c r="U184" s="402"/>
      <c r="V184" s="402"/>
      <c r="W184" s="402"/>
      <c r="X184" s="402"/>
      <c r="Y184" s="402"/>
      <c r="Z184" s="402"/>
    </row>
    <row r="185" ht="14.25" customHeight="1">
      <c r="A185" s="406">
        <v>45507.0</v>
      </c>
      <c r="B185" s="628" t="s">
        <v>2196</v>
      </c>
      <c r="C185" s="629" t="s">
        <v>2246</v>
      </c>
      <c r="D185" s="349" t="s">
        <v>54</v>
      </c>
      <c r="E185" s="349" t="s">
        <v>2133</v>
      </c>
      <c r="F185" s="622">
        <v>126855.0</v>
      </c>
      <c r="G185" s="413">
        <v>0.0</v>
      </c>
      <c r="H185" s="455" t="s">
        <v>2229</v>
      </c>
      <c r="I185" s="404" t="str">
        <f t="shared" si="2"/>
        <v>NOT PAID</v>
      </c>
      <c r="J185" s="402"/>
      <c r="K185" s="402"/>
      <c r="L185" s="402"/>
      <c r="M185" s="402"/>
      <c r="N185" s="402"/>
      <c r="O185" s="402"/>
      <c r="P185" s="402"/>
      <c r="Q185" s="402"/>
      <c r="R185" s="402"/>
      <c r="S185" s="402"/>
      <c r="T185" s="402"/>
      <c r="U185" s="402"/>
      <c r="V185" s="402"/>
      <c r="W185" s="402"/>
      <c r="X185" s="402"/>
      <c r="Y185" s="402"/>
      <c r="Z185" s="402"/>
    </row>
    <row r="186" ht="14.25" customHeight="1">
      <c r="A186" s="406">
        <v>45507.0</v>
      </c>
      <c r="B186" s="623" t="s">
        <v>2235</v>
      </c>
      <c r="C186" s="623" t="s">
        <v>2236</v>
      </c>
      <c r="D186" s="630" t="s">
        <v>75</v>
      </c>
      <c r="E186" s="349" t="s">
        <v>2133</v>
      </c>
      <c r="F186" s="622">
        <v>34500.0</v>
      </c>
      <c r="G186" s="413">
        <v>0.0</v>
      </c>
      <c r="H186" s="484" t="s">
        <v>2230</v>
      </c>
      <c r="I186" s="404" t="str">
        <f t="shared" si="2"/>
        <v>NOT PAID</v>
      </c>
      <c r="J186" s="402"/>
      <c r="K186" s="402"/>
      <c r="L186" s="402"/>
      <c r="M186" s="402"/>
      <c r="N186" s="402"/>
      <c r="O186" s="402"/>
      <c r="P186" s="402"/>
      <c r="Q186" s="402"/>
      <c r="R186" s="402"/>
      <c r="S186" s="402"/>
      <c r="T186" s="402"/>
      <c r="U186" s="402"/>
      <c r="V186" s="402"/>
      <c r="W186" s="402"/>
      <c r="X186" s="402"/>
      <c r="Y186" s="402"/>
      <c r="Z186" s="402"/>
    </row>
    <row r="187" ht="14.25" customHeight="1">
      <c r="A187" s="402"/>
      <c r="B187" s="402"/>
      <c r="C187" s="402"/>
      <c r="D187" s="402"/>
      <c r="E187" s="402"/>
      <c r="F187" s="587"/>
      <c r="G187" s="403"/>
      <c r="H187" s="402"/>
      <c r="I187" s="404" t="str">
        <f t="shared" si="2"/>
        <v>FULLY PAID</v>
      </c>
      <c r="J187" s="402"/>
      <c r="K187" s="402"/>
      <c r="L187" s="402"/>
      <c r="M187" s="402"/>
      <c r="N187" s="402"/>
      <c r="O187" s="402"/>
      <c r="P187" s="402"/>
      <c r="Q187" s="402"/>
      <c r="R187" s="402"/>
      <c r="S187" s="402"/>
      <c r="T187" s="402"/>
      <c r="U187" s="402"/>
      <c r="V187" s="402"/>
      <c r="W187" s="402"/>
      <c r="X187" s="402"/>
      <c r="Y187" s="402"/>
      <c r="Z187" s="402"/>
    </row>
    <row r="188" ht="14.25" customHeight="1">
      <c r="A188" s="402"/>
      <c r="B188" s="402"/>
      <c r="C188" s="402"/>
      <c r="D188" s="402"/>
      <c r="E188" s="402"/>
      <c r="F188" s="587"/>
      <c r="G188" s="403"/>
      <c r="H188" s="402"/>
      <c r="I188" s="404" t="str">
        <f t="shared" si="2"/>
        <v>FULLY PAID</v>
      </c>
      <c r="J188" s="402"/>
      <c r="K188" s="402"/>
      <c r="L188" s="402"/>
      <c r="M188" s="402"/>
      <c r="N188" s="402"/>
      <c r="O188" s="402"/>
      <c r="P188" s="402"/>
      <c r="Q188" s="402"/>
      <c r="R188" s="402"/>
      <c r="S188" s="402"/>
      <c r="T188" s="402"/>
      <c r="U188" s="402"/>
      <c r="V188" s="402"/>
      <c r="W188" s="402"/>
      <c r="X188" s="402"/>
      <c r="Y188" s="402"/>
      <c r="Z188" s="402"/>
    </row>
    <row r="189" ht="14.25" customHeight="1">
      <c r="A189" s="402"/>
      <c r="B189" s="349" t="s">
        <v>2163</v>
      </c>
      <c r="C189" s="349" t="s">
        <v>2164</v>
      </c>
      <c r="D189" s="413" t="s">
        <v>59</v>
      </c>
      <c r="E189" s="349" t="s">
        <v>273</v>
      </c>
      <c r="F189" s="559">
        <v>200000.0</v>
      </c>
      <c r="G189" s="403"/>
      <c r="H189" s="402"/>
      <c r="I189" s="404" t="str">
        <f t="shared" si="2"/>
        <v>NOT PAID</v>
      </c>
      <c r="J189" s="402"/>
      <c r="K189" s="402"/>
      <c r="L189" s="402"/>
      <c r="M189" s="402"/>
      <c r="N189" s="402"/>
      <c r="O189" s="402"/>
      <c r="P189" s="402"/>
      <c r="Q189" s="402"/>
      <c r="R189" s="402"/>
      <c r="S189" s="402"/>
      <c r="T189" s="402"/>
      <c r="U189" s="402"/>
      <c r="V189" s="402"/>
      <c r="W189" s="402"/>
      <c r="X189" s="402"/>
      <c r="Y189" s="402"/>
      <c r="Z189" s="402"/>
    </row>
    <row r="190" ht="14.25" customHeight="1">
      <c r="A190" s="402"/>
      <c r="B190" s="402"/>
      <c r="C190" s="402"/>
      <c r="D190" s="402"/>
      <c r="E190" s="402"/>
      <c r="F190" s="587"/>
      <c r="G190" s="403"/>
      <c r="H190" s="402"/>
      <c r="I190" s="404" t="str">
        <f t="shared" si="2"/>
        <v>FULLY PAID</v>
      </c>
      <c r="J190" s="402"/>
      <c r="K190" s="402"/>
      <c r="L190" s="402"/>
      <c r="M190" s="402"/>
      <c r="N190" s="402"/>
      <c r="O190" s="402"/>
      <c r="P190" s="402"/>
      <c r="Q190" s="402"/>
      <c r="R190" s="402"/>
      <c r="S190" s="402"/>
      <c r="T190" s="402"/>
      <c r="U190" s="402"/>
      <c r="V190" s="402"/>
      <c r="W190" s="402"/>
      <c r="X190" s="402"/>
      <c r="Y190" s="402"/>
      <c r="Z190" s="402"/>
    </row>
    <row r="191" ht="14.25" customHeight="1">
      <c r="A191" s="402"/>
      <c r="B191" s="402"/>
      <c r="C191" s="402"/>
      <c r="D191" s="402"/>
      <c r="E191" s="402"/>
      <c r="F191" s="587"/>
      <c r="G191" s="403"/>
      <c r="H191" s="402"/>
      <c r="I191" s="404" t="str">
        <f t="shared" si="2"/>
        <v>FULLY PAID</v>
      </c>
      <c r="J191" s="402"/>
      <c r="K191" s="402"/>
      <c r="L191" s="402"/>
      <c r="M191" s="402"/>
      <c r="N191" s="402"/>
      <c r="O191" s="402"/>
      <c r="P191" s="402"/>
      <c r="Q191" s="402"/>
      <c r="R191" s="402"/>
      <c r="S191" s="402"/>
      <c r="T191" s="402"/>
      <c r="U191" s="402"/>
      <c r="V191" s="402"/>
      <c r="W191" s="402"/>
      <c r="X191" s="402"/>
      <c r="Y191" s="402"/>
      <c r="Z191" s="402"/>
    </row>
    <row r="192" ht="14.25" customHeight="1">
      <c r="A192" s="402"/>
      <c r="B192" s="402"/>
      <c r="C192" s="402"/>
      <c r="D192" s="402"/>
      <c r="E192" s="402"/>
      <c r="F192" s="587"/>
      <c r="G192" s="403"/>
      <c r="H192" s="402"/>
      <c r="I192" s="404" t="str">
        <f t="shared" si="2"/>
        <v>FULLY PAID</v>
      </c>
      <c r="J192" s="402"/>
      <c r="K192" s="402"/>
      <c r="L192" s="402"/>
      <c r="M192" s="402"/>
      <c r="N192" s="402"/>
      <c r="O192" s="402"/>
      <c r="P192" s="402"/>
      <c r="Q192" s="402"/>
      <c r="R192" s="402"/>
      <c r="S192" s="402"/>
      <c r="T192" s="402"/>
      <c r="U192" s="402"/>
      <c r="V192" s="402"/>
      <c r="W192" s="402"/>
      <c r="X192" s="402"/>
      <c r="Y192" s="402"/>
      <c r="Z192" s="402"/>
    </row>
    <row r="193" ht="14.25" customHeight="1">
      <c r="A193" s="406">
        <v>45509.0</v>
      </c>
      <c r="B193" s="607" t="s">
        <v>2149</v>
      </c>
      <c r="C193" s="607" t="s">
        <v>2206</v>
      </c>
      <c r="D193" s="349" t="s">
        <v>54</v>
      </c>
      <c r="E193" s="349" t="s">
        <v>2133</v>
      </c>
      <c r="F193" s="559">
        <v>5000.0</v>
      </c>
      <c r="G193" s="413">
        <v>0.0</v>
      </c>
      <c r="H193" s="455" t="s">
        <v>2252</v>
      </c>
      <c r="I193" s="404" t="str">
        <f t="shared" si="2"/>
        <v>NOT PAID</v>
      </c>
      <c r="J193" s="402"/>
      <c r="K193" s="402"/>
      <c r="L193" s="402"/>
      <c r="M193" s="402"/>
      <c r="N193" s="402"/>
      <c r="O193" s="402"/>
      <c r="P193" s="402"/>
      <c r="Q193" s="402"/>
      <c r="R193" s="402"/>
      <c r="S193" s="402"/>
      <c r="T193" s="402"/>
      <c r="U193" s="402"/>
      <c r="V193" s="402"/>
      <c r="W193" s="402"/>
      <c r="X193" s="402"/>
      <c r="Y193" s="402"/>
      <c r="Z193" s="402"/>
    </row>
    <row r="194" ht="14.25" customHeight="1">
      <c r="A194" s="406">
        <v>45509.0</v>
      </c>
      <c r="B194" s="607" t="s">
        <v>2152</v>
      </c>
      <c r="C194" s="607" t="s">
        <v>2153</v>
      </c>
      <c r="D194" s="349" t="s">
        <v>54</v>
      </c>
      <c r="E194" s="349" t="s">
        <v>2133</v>
      </c>
      <c r="F194" s="559">
        <v>29690.0</v>
      </c>
      <c r="G194" s="413">
        <v>0.0</v>
      </c>
      <c r="H194" s="349" t="s">
        <v>2238</v>
      </c>
      <c r="I194" s="404" t="str">
        <f t="shared" si="2"/>
        <v>NOT PAID</v>
      </c>
      <c r="J194" s="402"/>
      <c r="K194" s="402"/>
      <c r="L194" s="402"/>
      <c r="M194" s="402"/>
      <c r="N194" s="402"/>
      <c r="O194" s="402"/>
      <c r="P194" s="402"/>
      <c r="Q194" s="402"/>
      <c r="R194" s="402"/>
      <c r="S194" s="402"/>
      <c r="T194" s="402"/>
      <c r="U194" s="402"/>
      <c r="V194" s="402"/>
      <c r="W194" s="402"/>
      <c r="X194" s="402"/>
      <c r="Y194" s="402"/>
      <c r="Z194" s="402"/>
    </row>
    <row r="195" ht="14.25" customHeight="1">
      <c r="A195" s="406">
        <v>45509.0</v>
      </c>
      <c r="B195" s="349" t="s">
        <v>2175</v>
      </c>
      <c r="C195" s="349" t="s">
        <v>2176</v>
      </c>
      <c r="D195" s="349" t="s">
        <v>54</v>
      </c>
      <c r="E195" s="349" t="s">
        <v>2133</v>
      </c>
      <c r="F195" s="611">
        <f>101695-91000</f>
        <v>10695</v>
      </c>
      <c r="G195" s="413">
        <v>0.0</v>
      </c>
      <c r="H195" s="349" t="s">
        <v>2193</v>
      </c>
      <c r="I195" s="404" t="str">
        <f t="shared" si="2"/>
        <v>NOT PAID</v>
      </c>
      <c r="J195" s="402"/>
      <c r="K195" s="402"/>
      <c r="L195" s="402"/>
      <c r="M195" s="402"/>
      <c r="N195" s="402"/>
      <c r="O195" s="402"/>
      <c r="P195" s="402"/>
      <c r="Q195" s="402"/>
      <c r="R195" s="402"/>
      <c r="S195" s="402"/>
      <c r="T195" s="402"/>
      <c r="U195" s="402"/>
      <c r="V195" s="402"/>
      <c r="W195" s="402"/>
      <c r="X195" s="402"/>
      <c r="Y195" s="402"/>
      <c r="Z195" s="402"/>
    </row>
    <row r="196" ht="14.25" customHeight="1">
      <c r="A196" s="406">
        <v>45509.0</v>
      </c>
      <c r="B196" s="419" t="s">
        <v>2208</v>
      </c>
      <c r="C196" s="408" t="s">
        <v>2132</v>
      </c>
      <c r="D196" s="408" t="s">
        <v>439</v>
      </c>
      <c r="E196" s="408" t="s">
        <v>2133</v>
      </c>
      <c r="F196" s="445">
        <v>4000.0</v>
      </c>
      <c r="G196" s="413">
        <v>0.0</v>
      </c>
      <c r="H196" s="349" t="s">
        <v>2253</v>
      </c>
      <c r="I196" s="404" t="str">
        <f t="shared" si="2"/>
        <v>NOT PAID</v>
      </c>
      <c r="J196" s="402"/>
      <c r="K196" s="402"/>
      <c r="L196" s="402"/>
      <c r="M196" s="402"/>
      <c r="N196" s="402"/>
      <c r="O196" s="402"/>
      <c r="P196" s="402"/>
      <c r="Q196" s="402"/>
      <c r="R196" s="402"/>
      <c r="S196" s="402"/>
      <c r="T196" s="402"/>
      <c r="U196" s="402"/>
      <c r="V196" s="402"/>
      <c r="W196" s="402"/>
      <c r="X196" s="402"/>
      <c r="Y196" s="402"/>
      <c r="Z196" s="402"/>
    </row>
    <row r="197" ht="14.25" customHeight="1">
      <c r="A197" s="406">
        <v>45509.0</v>
      </c>
      <c r="B197" s="349" t="s">
        <v>2143</v>
      </c>
      <c r="C197" s="349" t="s">
        <v>2144</v>
      </c>
      <c r="D197" s="349" t="s">
        <v>54</v>
      </c>
      <c r="E197" s="349" t="s">
        <v>2133</v>
      </c>
      <c r="F197" s="559">
        <v>6000.0</v>
      </c>
      <c r="G197" s="413">
        <v>6000.0</v>
      </c>
      <c r="H197" s="349" t="s">
        <v>401</v>
      </c>
      <c r="I197" s="404" t="str">
        <f t="shared" si="2"/>
        <v>FULLY PAID</v>
      </c>
      <c r="J197" s="402"/>
      <c r="K197" s="402"/>
      <c r="L197" s="402"/>
      <c r="M197" s="402"/>
      <c r="N197" s="402"/>
      <c r="O197" s="402"/>
      <c r="P197" s="402"/>
      <c r="Q197" s="402"/>
      <c r="R197" s="402"/>
      <c r="S197" s="402"/>
      <c r="T197" s="402"/>
      <c r="U197" s="402"/>
      <c r="V197" s="402"/>
      <c r="W197" s="402"/>
      <c r="X197" s="402"/>
      <c r="Y197" s="402"/>
      <c r="Z197" s="402"/>
    </row>
    <row r="198" ht="14.25" customHeight="1">
      <c r="A198" s="406">
        <v>45509.0</v>
      </c>
      <c r="B198" s="608" t="s">
        <v>2137</v>
      </c>
      <c r="C198" s="608" t="s">
        <v>2138</v>
      </c>
      <c r="D198" s="607" t="s">
        <v>75</v>
      </c>
      <c r="E198" s="349" t="s">
        <v>2133</v>
      </c>
      <c r="F198" s="559">
        <v>122275.0</v>
      </c>
      <c r="G198" s="413">
        <v>0.0</v>
      </c>
      <c r="H198" s="484" t="s">
        <v>2254</v>
      </c>
      <c r="I198" s="404" t="str">
        <f t="shared" si="2"/>
        <v>NOT PAID</v>
      </c>
      <c r="J198" s="402"/>
      <c r="K198" s="402"/>
      <c r="L198" s="402"/>
      <c r="M198" s="402"/>
      <c r="N198" s="402"/>
      <c r="O198" s="402"/>
      <c r="P198" s="402"/>
      <c r="Q198" s="402"/>
      <c r="R198" s="402"/>
      <c r="S198" s="402"/>
      <c r="T198" s="402"/>
      <c r="U198" s="402"/>
      <c r="V198" s="402"/>
      <c r="W198" s="402"/>
      <c r="X198" s="402"/>
      <c r="Y198" s="402"/>
      <c r="Z198" s="402"/>
    </row>
    <row r="199" ht="14.25" customHeight="1">
      <c r="A199" s="406">
        <v>45509.0</v>
      </c>
      <c r="B199" s="605" t="s">
        <v>2210</v>
      </c>
      <c r="C199" s="606" t="s">
        <v>2211</v>
      </c>
      <c r="D199" s="349" t="s">
        <v>54</v>
      </c>
      <c r="E199" s="349" t="s">
        <v>2133</v>
      </c>
      <c r="F199" s="615">
        <v>17415.0</v>
      </c>
      <c r="G199" s="413">
        <v>0.0</v>
      </c>
      <c r="H199" s="349" t="s">
        <v>2255</v>
      </c>
      <c r="I199" s="404" t="str">
        <f t="shared" si="2"/>
        <v>NOT PAID</v>
      </c>
      <c r="J199" s="402"/>
      <c r="K199" s="402"/>
      <c r="L199" s="402"/>
      <c r="M199" s="402"/>
      <c r="N199" s="402"/>
      <c r="O199" s="402"/>
      <c r="P199" s="402"/>
      <c r="Q199" s="402"/>
      <c r="R199" s="402"/>
      <c r="S199" s="402"/>
      <c r="T199" s="402"/>
      <c r="U199" s="402"/>
      <c r="V199" s="402"/>
      <c r="W199" s="402"/>
      <c r="X199" s="402"/>
      <c r="Y199" s="402"/>
      <c r="Z199" s="402"/>
    </row>
    <row r="200" ht="14.25" customHeight="1">
      <c r="A200" s="406">
        <v>45509.0</v>
      </c>
      <c r="B200" s="616" t="s">
        <v>2213</v>
      </c>
      <c r="C200" s="617" t="s">
        <v>2214</v>
      </c>
      <c r="D200" s="349" t="s">
        <v>54</v>
      </c>
      <c r="E200" s="349" t="s">
        <v>2133</v>
      </c>
      <c r="F200" s="618">
        <v>8820.0</v>
      </c>
      <c r="G200" s="413">
        <v>1200.0</v>
      </c>
      <c r="H200" s="349" t="s">
        <v>2256</v>
      </c>
      <c r="I200" s="404" t="str">
        <f t="shared" si="2"/>
        <v>PARTIALLY PAID</v>
      </c>
      <c r="J200" s="402"/>
      <c r="K200" s="402"/>
      <c r="L200" s="402"/>
      <c r="M200" s="402"/>
      <c r="N200" s="402"/>
      <c r="O200" s="402"/>
      <c r="P200" s="402"/>
      <c r="Q200" s="402"/>
      <c r="R200" s="402"/>
      <c r="S200" s="402"/>
      <c r="T200" s="402"/>
      <c r="U200" s="402"/>
      <c r="V200" s="402"/>
      <c r="W200" s="402"/>
      <c r="X200" s="402"/>
      <c r="Y200" s="402"/>
      <c r="Z200" s="402"/>
    </row>
    <row r="201" ht="14.25" customHeight="1">
      <c r="A201" s="406">
        <v>45509.0</v>
      </c>
      <c r="B201" s="616" t="s">
        <v>2218</v>
      </c>
      <c r="C201" s="617" t="s">
        <v>2219</v>
      </c>
      <c r="D201" s="349" t="s">
        <v>54</v>
      </c>
      <c r="E201" s="349" t="s">
        <v>2133</v>
      </c>
      <c r="F201" s="618">
        <v>1500.0</v>
      </c>
      <c r="G201" s="413">
        <v>0.0</v>
      </c>
      <c r="H201" s="455" t="s">
        <v>2257</v>
      </c>
      <c r="I201" s="404" t="str">
        <f t="shared" si="2"/>
        <v>NOT PAID</v>
      </c>
      <c r="J201" s="402"/>
      <c r="K201" s="402"/>
      <c r="L201" s="402"/>
      <c r="M201" s="402"/>
      <c r="N201" s="402"/>
      <c r="O201" s="402"/>
      <c r="P201" s="402"/>
      <c r="Q201" s="402"/>
      <c r="R201" s="402"/>
      <c r="S201" s="402"/>
      <c r="T201" s="402"/>
      <c r="U201" s="402"/>
      <c r="V201" s="402"/>
      <c r="W201" s="402"/>
      <c r="X201" s="402"/>
      <c r="Y201" s="402"/>
      <c r="Z201" s="402"/>
    </row>
    <row r="202" ht="14.25" customHeight="1">
      <c r="A202" s="406">
        <v>45509.0</v>
      </c>
      <c r="B202" s="605" t="s">
        <v>2221</v>
      </c>
      <c r="C202" s="606" t="s">
        <v>2222</v>
      </c>
      <c r="D202" s="349" t="s">
        <v>54</v>
      </c>
      <c r="E202" s="349" t="s">
        <v>2133</v>
      </c>
      <c r="F202" s="611">
        <v>32250.0</v>
      </c>
      <c r="G202" s="413">
        <v>0.0</v>
      </c>
      <c r="H202" s="484" t="s">
        <v>2258</v>
      </c>
      <c r="I202" s="404" t="str">
        <f t="shared" si="2"/>
        <v>NOT PAID</v>
      </c>
      <c r="J202" s="402"/>
      <c r="K202" s="402"/>
      <c r="L202" s="402"/>
      <c r="M202" s="402"/>
      <c r="N202" s="402"/>
      <c r="O202" s="402"/>
      <c r="P202" s="402"/>
      <c r="Q202" s="402"/>
      <c r="R202" s="402"/>
      <c r="S202" s="402"/>
      <c r="T202" s="402"/>
      <c r="U202" s="402"/>
      <c r="V202" s="402"/>
      <c r="W202" s="402"/>
      <c r="X202" s="402"/>
      <c r="Y202" s="402"/>
      <c r="Z202" s="402"/>
    </row>
    <row r="203" ht="14.25" customHeight="1">
      <c r="A203" s="406">
        <v>45509.0</v>
      </c>
      <c r="B203" s="605" t="s">
        <v>2231</v>
      </c>
      <c r="C203" s="619" t="s">
        <v>2232</v>
      </c>
      <c r="D203" s="349" t="s">
        <v>54</v>
      </c>
      <c r="E203" s="349" t="s">
        <v>2133</v>
      </c>
      <c r="F203" s="620">
        <v>28667.0</v>
      </c>
      <c r="G203" s="413">
        <v>0.0</v>
      </c>
      <c r="H203" s="455" t="s">
        <v>2259</v>
      </c>
      <c r="I203" s="404" t="str">
        <f t="shared" si="2"/>
        <v>NOT PAID</v>
      </c>
      <c r="J203" s="402"/>
      <c r="K203" s="402"/>
      <c r="L203" s="402"/>
      <c r="M203" s="402"/>
      <c r="N203" s="402"/>
      <c r="O203" s="402"/>
      <c r="P203" s="402"/>
      <c r="Q203" s="402"/>
      <c r="R203" s="402"/>
      <c r="S203" s="402"/>
      <c r="T203" s="402"/>
      <c r="U203" s="402"/>
      <c r="V203" s="402"/>
      <c r="W203" s="402"/>
      <c r="X203" s="402"/>
      <c r="Y203" s="402"/>
      <c r="Z203" s="402"/>
    </row>
    <row r="204" ht="14.25" customHeight="1">
      <c r="A204" s="406">
        <v>45509.0</v>
      </c>
      <c r="B204" s="628" t="s">
        <v>2196</v>
      </c>
      <c r="C204" s="629" t="s">
        <v>2246</v>
      </c>
      <c r="D204" s="349" t="s">
        <v>54</v>
      </c>
      <c r="E204" s="349" t="s">
        <v>2133</v>
      </c>
      <c r="F204" s="622">
        <v>126855.0</v>
      </c>
      <c r="G204" s="413">
        <v>0.0</v>
      </c>
      <c r="H204" s="455" t="s">
        <v>2260</v>
      </c>
      <c r="I204" s="404" t="str">
        <f t="shared" si="2"/>
        <v>NOT PAID</v>
      </c>
      <c r="J204" s="402"/>
      <c r="K204" s="402"/>
      <c r="L204" s="402"/>
      <c r="M204" s="402"/>
      <c r="N204" s="402"/>
      <c r="O204" s="402"/>
      <c r="P204" s="402"/>
      <c r="Q204" s="402"/>
      <c r="R204" s="402"/>
      <c r="S204" s="402"/>
      <c r="T204" s="402"/>
      <c r="U204" s="402"/>
      <c r="V204" s="402"/>
      <c r="W204" s="402"/>
      <c r="X204" s="402"/>
      <c r="Y204" s="402"/>
      <c r="Z204" s="402"/>
    </row>
    <row r="205" ht="14.25" customHeight="1">
      <c r="A205" s="406">
        <v>45509.0</v>
      </c>
      <c r="B205" s="623" t="s">
        <v>2235</v>
      </c>
      <c r="C205" s="623" t="s">
        <v>2236</v>
      </c>
      <c r="D205" s="630" t="s">
        <v>75</v>
      </c>
      <c r="E205" s="349" t="s">
        <v>2133</v>
      </c>
      <c r="F205" s="622">
        <v>34500.0</v>
      </c>
      <c r="G205" s="413">
        <v>0.0</v>
      </c>
      <c r="H205" s="484" t="s">
        <v>2261</v>
      </c>
      <c r="I205" s="404" t="str">
        <f t="shared" si="2"/>
        <v>NOT PAID</v>
      </c>
      <c r="J205" s="402"/>
      <c r="K205" s="402"/>
      <c r="L205" s="402"/>
      <c r="M205" s="402"/>
      <c r="N205" s="402"/>
      <c r="O205" s="402"/>
      <c r="P205" s="402"/>
      <c r="Q205" s="402"/>
      <c r="R205" s="402"/>
      <c r="S205" s="402"/>
      <c r="T205" s="402"/>
      <c r="U205" s="402"/>
      <c r="V205" s="402"/>
      <c r="W205" s="402"/>
      <c r="X205" s="402"/>
      <c r="Y205" s="402"/>
      <c r="Z205" s="402"/>
    </row>
    <row r="206" ht="14.25" customHeight="1">
      <c r="A206" s="406">
        <v>45509.0</v>
      </c>
      <c r="B206" s="634" t="s">
        <v>2262</v>
      </c>
      <c r="C206" s="619" t="s">
        <v>2234</v>
      </c>
      <c r="D206" s="630" t="s">
        <v>75</v>
      </c>
      <c r="E206" s="349" t="s">
        <v>2133</v>
      </c>
      <c r="F206" s="603">
        <v>46000.0</v>
      </c>
      <c r="G206" s="413">
        <v>0.0</v>
      </c>
      <c r="H206" s="349" t="s">
        <v>2263</v>
      </c>
      <c r="I206" s="404" t="str">
        <f t="shared" si="2"/>
        <v>NOT PAID</v>
      </c>
      <c r="J206" s="402"/>
      <c r="K206" s="402"/>
      <c r="L206" s="402"/>
      <c r="M206" s="402"/>
      <c r="N206" s="402"/>
      <c r="O206" s="402"/>
      <c r="P206" s="402"/>
      <c r="Q206" s="402"/>
      <c r="R206" s="402"/>
      <c r="S206" s="402"/>
      <c r="T206" s="402"/>
      <c r="U206" s="402"/>
      <c r="V206" s="402"/>
      <c r="W206" s="402"/>
      <c r="X206" s="402"/>
      <c r="Y206" s="402"/>
      <c r="Z206" s="402"/>
    </row>
    <row r="207" ht="14.25" customHeight="1">
      <c r="A207" s="406">
        <v>45509.0</v>
      </c>
      <c r="B207" s="512" t="s">
        <v>2264</v>
      </c>
      <c r="C207" s="512" t="s">
        <v>2138</v>
      </c>
      <c r="D207" s="595" t="s">
        <v>54</v>
      </c>
      <c r="E207" s="349" t="s">
        <v>2133</v>
      </c>
      <c r="F207" s="559">
        <v>43359.0</v>
      </c>
      <c r="G207" s="413">
        <v>0.0</v>
      </c>
      <c r="H207" s="484" t="s">
        <v>2254</v>
      </c>
      <c r="I207" s="404" t="str">
        <f t="shared" si="2"/>
        <v>NOT PAID</v>
      </c>
      <c r="J207" s="402"/>
      <c r="K207" s="402"/>
      <c r="L207" s="402"/>
      <c r="M207" s="402"/>
      <c r="N207" s="402"/>
      <c r="O207" s="402"/>
      <c r="P207" s="402"/>
      <c r="Q207" s="402"/>
      <c r="R207" s="402"/>
      <c r="S207" s="402"/>
      <c r="T207" s="402"/>
      <c r="U207" s="402"/>
      <c r="V207" s="402"/>
      <c r="W207" s="402"/>
      <c r="X207" s="402"/>
      <c r="Y207" s="402"/>
      <c r="Z207" s="402"/>
    </row>
    <row r="208" ht="14.25" customHeight="1">
      <c r="A208" s="406">
        <v>45509.0</v>
      </c>
      <c r="B208" s="349" t="s">
        <v>2265</v>
      </c>
      <c r="C208" s="349" t="s">
        <v>2266</v>
      </c>
      <c r="D208" s="595" t="s">
        <v>54</v>
      </c>
      <c r="E208" s="349" t="s">
        <v>2133</v>
      </c>
      <c r="F208" s="559">
        <v>50000.0</v>
      </c>
      <c r="G208" s="413">
        <v>0.0</v>
      </c>
      <c r="H208" s="349" t="s">
        <v>2198</v>
      </c>
      <c r="I208" s="404" t="str">
        <f t="shared" si="2"/>
        <v>NOT PAID</v>
      </c>
      <c r="J208" s="402"/>
      <c r="K208" s="402"/>
      <c r="L208" s="402"/>
      <c r="M208" s="402"/>
      <c r="N208" s="402"/>
      <c r="O208" s="402"/>
      <c r="P208" s="402"/>
      <c r="Q208" s="402"/>
      <c r="R208" s="402"/>
      <c r="S208" s="402"/>
      <c r="T208" s="402"/>
      <c r="U208" s="402"/>
      <c r="V208" s="402"/>
      <c r="W208" s="402"/>
      <c r="X208" s="402"/>
      <c r="Y208" s="402"/>
      <c r="Z208" s="402"/>
    </row>
    <row r="209" ht="14.25" customHeight="1">
      <c r="A209" s="406">
        <v>45509.0</v>
      </c>
      <c r="B209" s="349" t="s">
        <v>2267</v>
      </c>
      <c r="C209" s="349" t="s">
        <v>2268</v>
      </c>
      <c r="D209" s="595" t="s">
        <v>54</v>
      </c>
      <c r="E209" s="349" t="s">
        <v>2133</v>
      </c>
      <c r="F209" s="559">
        <v>60000.0</v>
      </c>
      <c r="G209" s="413">
        <v>60000.0</v>
      </c>
      <c r="H209" s="349" t="s">
        <v>401</v>
      </c>
      <c r="I209" s="404" t="str">
        <f t="shared" si="2"/>
        <v>FULLY PAID</v>
      </c>
      <c r="J209" s="402"/>
      <c r="K209" s="402"/>
      <c r="L209" s="402"/>
      <c r="M209" s="402"/>
      <c r="N209" s="402"/>
      <c r="O209" s="402"/>
      <c r="P209" s="402"/>
      <c r="Q209" s="402"/>
      <c r="R209" s="402"/>
      <c r="S209" s="402"/>
      <c r="T209" s="402"/>
      <c r="U209" s="402"/>
      <c r="V209" s="402"/>
      <c r="W209" s="402"/>
      <c r="X209" s="402"/>
      <c r="Y209" s="402"/>
      <c r="Z209" s="402"/>
    </row>
    <row r="210" ht="14.25" customHeight="1">
      <c r="A210" s="406">
        <v>45509.0</v>
      </c>
      <c r="B210" s="349" t="s">
        <v>2163</v>
      </c>
      <c r="C210" s="349" t="s">
        <v>2164</v>
      </c>
      <c r="D210" s="413" t="s">
        <v>59</v>
      </c>
      <c r="E210" s="349" t="s">
        <v>273</v>
      </c>
      <c r="F210" s="559">
        <v>200000.0</v>
      </c>
      <c r="G210" s="413">
        <v>0.0</v>
      </c>
      <c r="H210" s="349" t="s">
        <v>2269</v>
      </c>
      <c r="I210" s="404" t="str">
        <f t="shared" si="2"/>
        <v>NOT PAID</v>
      </c>
      <c r="J210" s="402"/>
      <c r="K210" s="402"/>
      <c r="L210" s="402"/>
      <c r="M210" s="402"/>
      <c r="N210" s="402"/>
      <c r="O210" s="402"/>
      <c r="P210" s="402"/>
      <c r="Q210" s="402"/>
      <c r="R210" s="402"/>
      <c r="S210" s="402"/>
      <c r="T210" s="402"/>
      <c r="U210" s="402"/>
      <c r="V210" s="402"/>
      <c r="W210" s="402"/>
      <c r="X210" s="402"/>
      <c r="Y210" s="402"/>
      <c r="Z210" s="402"/>
    </row>
    <row r="211" ht="14.25" customHeight="1">
      <c r="A211" s="406">
        <v>45509.0</v>
      </c>
      <c r="B211" s="596" t="s">
        <v>2160</v>
      </c>
      <c r="C211" s="596" t="s">
        <v>2161</v>
      </c>
      <c r="D211" s="601" t="s">
        <v>75</v>
      </c>
      <c r="E211" s="349" t="s">
        <v>2133</v>
      </c>
      <c r="F211" s="598">
        <v>230000.0</v>
      </c>
      <c r="G211" s="413">
        <v>0.0</v>
      </c>
      <c r="H211" s="349" t="s">
        <v>2270</v>
      </c>
      <c r="I211" s="404" t="str">
        <f t="shared" si="2"/>
        <v>NOT PAID</v>
      </c>
      <c r="J211" s="402"/>
      <c r="K211" s="402"/>
      <c r="L211" s="402"/>
      <c r="M211" s="402"/>
      <c r="N211" s="402"/>
      <c r="O211" s="402"/>
      <c r="P211" s="402"/>
      <c r="Q211" s="402"/>
      <c r="R211" s="402"/>
      <c r="S211" s="402"/>
      <c r="T211" s="402"/>
      <c r="U211" s="402"/>
      <c r="V211" s="402"/>
      <c r="W211" s="402"/>
      <c r="X211" s="402"/>
      <c r="Y211" s="402"/>
      <c r="Z211" s="402"/>
    </row>
    <row r="212" ht="14.25" customHeight="1">
      <c r="A212" s="402"/>
      <c r="B212" s="402"/>
      <c r="C212" s="402"/>
      <c r="D212" s="402"/>
      <c r="E212" s="402"/>
      <c r="F212" s="587"/>
      <c r="G212" s="403"/>
      <c r="H212" s="402"/>
      <c r="I212" s="404" t="str">
        <f t="shared" si="2"/>
        <v>FULLY PAID</v>
      </c>
      <c r="J212" s="402"/>
      <c r="K212" s="402"/>
      <c r="L212" s="402"/>
      <c r="M212" s="402"/>
      <c r="N212" s="402"/>
      <c r="O212" s="402"/>
      <c r="P212" s="402"/>
      <c r="Q212" s="402"/>
      <c r="R212" s="402"/>
      <c r="S212" s="402"/>
      <c r="T212" s="402"/>
      <c r="U212" s="402"/>
      <c r="V212" s="402"/>
      <c r="W212" s="402"/>
      <c r="X212" s="402"/>
      <c r="Y212" s="402"/>
      <c r="Z212" s="402"/>
    </row>
    <row r="213" ht="14.25" customHeight="1">
      <c r="A213" s="402"/>
      <c r="B213" s="402"/>
      <c r="C213" s="402"/>
      <c r="D213" s="402"/>
      <c r="E213" s="402"/>
      <c r="F213" s="587"/>
      <c r="G213" s="403"/>
      <c r="H213" s="402"/>
      <c r="I213" s="404" t="str">
        <f t="shared" si="2"/>
        <v>FULLY PAID</v>
      </c>
      <c r="J213" s="402"/>
      <c r="K213" s="402"/>
      <c r="L213" s="402"/>
      <c r="M213" s="402"/>
      <c r="N213" s="402"/>
      <c r="O213" s="402"/>
      <c r="P213" s="402"/>
      <c r="Q213" s="402"/>
      <c r="R213" s="402"/>
      <c r="S213" s="402"/>
      <c r="T213" s="402"/>
      <c r="U213" s="402"/>
      <c r="V213" s="402"/>
      <c r="W213" s="402"/>
      <c r="X213" s="402"/>
      <c r="Y213" s="402"/>
      <c r="Z213" s="402"/>
    </row>
    <row r="214" ht="14.25" customHeight="1">
      <c r="A214" s="402"/>
      <c r="B214" s="402"/>
      <c r="C214" s="402"/>
      <c r="D214" s="402"/>
      <c r="E214" s="402"/>
      <c r="F214" s="587"/>
      <c r="G214" s="403"/>
      <c r="H214" s="402"/>
      <c r="I214" s="404" t="str">
        <f t="shared" si="2"/>
        <v>FULLY PAID</v>
      </c>
      <c r="J214" s="402"/>
      <c r="K214" s="402"/>
      <c r="L214" s="402"/>
      <c r="M214" s="402"/>
      <c r="N214" s="402"/>
      <c r="O214" s="402"/>
      <c r="P214" s="402"/>
      <c r="Q214" s="402"/>
      <c r="R214" s="402"/>
      <c r="S214" s="402"/>
      <c r="T214" s="402"/>
      <c r="U214" s="402"/>
      <c r="V214" s="402"/>
      <c r="W214" s="402"/>
      <c r="X214" s="402"/>
      <c r="Y214" s="402"/>
      <c r="Z214" s="402"/>
    </row>
    <row r="215" ht="14.25" customHeight="1">
      <c r="A215" s="406">
        <v>45510.0</v>
      </c>
      <c r="B215" s="607" t="s">
        <v>2149</v>
      </c>
      <c r="C215" s="607" t="s">
        <v>2206</v>
      </c>
      <c r="D215" s="349" t="s">
        <v>54</v>
      </c>
      <c r="E215" s="349" t="s">
        <v>2133</v>
      </c>
      <c r="F215" s="559">
        <v>5000.0</v>
      </c>
      <c r="G215" s="413">
        <v>0.0</v>
      </c>
      <c r="H215" s="455" t="s">
        <v>2252</v>
      </c>
      <c r="I215" s="404" t="str">
        <f t="shared" si="2"/>
        <v>NOT PAID</v>
      </c>
      <c r="J215" s="402"/>
      <c r="K215" s="402"/>
      <c r="L215" s="402"/>
      <c r="M215" s="402"/>
      <c r="N215" s="402"/>
      <c r="O215" s="402"/>
      <c r="P215" s="402"/>
      <c r="Q215" s="402"/>
      <c r="R215" s="402"/>
      <c r="S215" s="402"/>
      <c r="T215" s="402"/>
      <c r="U215" s="402"/>
      <c r="V215" s="402"/>
      <c r="W215" s="402"/>
      <c r="X215" s="402"/>
      <c r="Y215" s="402"/>
      <c r="Z215" s="402"/>
    </row>
    <row r="216" ht="14.25" customHeight="1">
      <c r="A216" s="406">
        <v>45510.0</v>
      </c>
      <c r="B216" s="607" t="s">
        <v>2152</v>
      </c>
      <c r="C216" s="607" t="s">
        <v>2153</v>
      </c>
      <c r="D216" s="349" t="s">
        <v>54</v>
      </c>
      <c r="E216" s="349" t="s">
        <v>2133</v>
      </c>
      <c r="F216" s="559">
        <v>29690.0</v>
      </c>
      <c r="G216" s="413">
        <v>0.0</v>
      </c>
      <c r="H216" s="349" t="s">
        <v>2238</v>
      </c>
      <c r="I216" s="404" t="str">
        <f t="shared" si="2"/>
        <v>NOT PAID</v>
      </c>
      <c r="J216" s="402"/>
      <c r="K216" s="402"/>
      <c r="L216" s="402"/>
      <c r="M216" s="402"/>
      <c r="N216" s="402"/>
      <c r="O216" s="402"/>
      <c r="P216" s="402"/>
      <c r="Q216" s="402"/>
      <c r="R216" s="402"/>
      <c r="S216" s="402"/>
      <c r="T216" s="402"/>
      <c r="U216" s="402"/>
      <c r="V216" s="402"/>
      <c r="W216" s="402"/>
      <c r="X216" s="402"/>
      <c r="Y216" s="402"/>
      <c r="Z216" s="402"/>
    </row>
    <row r="217" ht="14.25" customHeight="1">
      <c r="A217" s="406">
        <v>45510.0</v>
      </c>
      <c r="B217" s="349" t="s">
        <v>2175</v>
      </c>
      <c r="C217" s="349" t="s">
        <v>2176</v>
      </c>
      <c r="D217" s="349" t="s">
        <v>54</v>
      </c>
      <c r="E217" s="349" t="s">
        <v>2133</v>
      </c>
      <c r="F217" s="611">
        <v>22398.0</v>
      </c>
      <c r="G217" s="413">
        <v>0.0</v>
      </c>
      <c r="H217" s="349" t="s">
        <v>2193</v>
      </c>
      <c r="I217" s="404" t="str">
        <f t="shared" si="2"/>
        <v>NOT PAID</v>
      </c>
      <c r="J217" s="402"/>
      <c r="K217" s="402"/>
      <c r="L217" s="402"/>
      <c r="M217" s="402"/>
      <c r="N217" s="402"/>
      <c r="O217" s="402"/>
      <c r="P217" s="402"/>
      <c r="Q217" s="402"/>
      <c r="R217" s="402"/>
      <c r="S217" s="402"/>
      <c r="T217" s="402"/>
      <c r="U217" s="402"/>
      <c r="V217" s="402"/>
      <c r="W217" s="402"/>
      <c r="X217" s="402"/>
      <c r="Y217" s="402"/>
      <c r="Z217" s="402"/>
    </row>
    <row r="218" ht="14.25" customHeight="1">
      <c r="A218" s="406">
        <v>45510.0</v>
      </c>
      <c r="B218" s="419" t="s">
        <v>2208</v>
      </c>
      <c r="C218" s="408" t="s">
        <v>2132</v>
      </c>
      <c r="D218" s="408" t="s">
        <v>439</v>
      </c>
      <c r="E218" s="408" t="s">
        <v>2133</v>
      </c>
      <c r="F218" s="445">
        <v>4000.0</v>
      </c>
      <c r="G218" s="413">
        <v>0.0</v>
      </c>
      <c r="H218" s="349" t="s">
        <v>2271</v>
      </c>
      <c r="I218" s="404" t="str">
        <f t="shared" si="2"/>
        <v>NOT PAID</v>
      </c>
      <c r="J218" s="402"/>
      <c r="K218" s="402"/>
      <c r="L218" s="402"/>
      <c r="M218" s="402"/>
      <c r="N218" s="402"/>
      <c r="O218" s="402"/>
      <c r="P218" s="402"/>
      <c r="Q218" s="402"/>
      <c r="R218" s="402"/>
      <c r="S218" s="402"/>
      <c r="T218" s="402"/>
      <c r="U218" s="402"/>
      <c r="V218" s="402"/>
      <c r="W218" s="402"/>
      <c r="X218" s="402"/>
      <c r="Y218" s="402"/>
      <c r="Z218" s="402"/>
    </row>
    <row r="219" ht="14.25" customHeight="1">
      <c r="A219" s="406">
        <v>45510.0</v>
      </c>
      <c r="B219" s="349" t="s">
        <v>2143</v>
      </c>
      <c r="C219" s="349" t="s">
        <v>2144</v>
      </c>
      <c r="D219" s="349" t="s">
        <v>54</v>
      </c>
      <c r="E219" s="349" t="s">
        <v>2133</v>
      </c>
      <c r="F219" s="559">
        <v>6000.0</v>
      </c>
      <c r="G219" s="413">
        <v>6000.0</v>
      </c>
      <c r="H219" s="349" t="s">
        <v>267</v>
      </c>
      <c r="I219" s="404" t="str">
        <f t="shared" si="2"/>
        <v>FULLY PAID</v>
      </c>
      <c r="J219" s="402"/>
      <c r="K219" s="402"/>
      <c r="L219" s="402"/>
      <c r="M219" s="402"/>
      <c r="N219" s="402"/>
      <c r="O219" s="402"/>
      <c r="P219" s="402"/>
      <c r="Q219" s="402"/>
      <c r="R219" s="402"/>
      <c r="S219" s="402"/>
      <c r="T219" s="402"/>
      <c r="U219" s="402"/>
      <c r="V219" s="402"/>
      <c r="W219" s="402"/>
      <c r="X219" s="402"/>
      <c r="Y219" s="402"/>
      <c r="Z219" s="402"/>
    </row>
    <row r="220" ht="14.25" customHeight="1">
      <c r="A220" s="406">
        <v>45510.0</v>
      </c>
      <c r="B220" s="608" t="s">
        <v>2137</v>
      </c>
      <c r="C220" s="608" t="s">
        <v>2138</v>
      </c>
      <c r="D220" s="607" t="s">
        <v>75</v>
      </c>
      <c r="E220" s="349" t="s">
        <v>2133</v>
      </c>
      <c r="F220" s="559">
        <v>122275.0</v>
      </c>
      <c r="G220" s="413">
        <v>0.0</v>
      </c>
      <c r="H220" s="349" t="s">
        <v>2272</v>
      </c>
      <c r="I220" s="404" t="str">
        <f t="shared" si="2"/>
        <v>NOT PAID</v>
      </c>
      <c r="J220" s="402"/>
      <c r="K220" s="402"/>
      <c r="L220" s="402"/>
      <c r="M220" s="402"/>
      <c r="N220" s="402"/>
      <c r="O220" s="402"/>
      <c r="P220" s="402"/>
      <c r="Q220" s="402"/>
      <c r="R220" s="402"/>
      <c r="S220" s="402"/>
      <c r="T220" s="402"/>
      <c r="U220" s="402"/>
      <c r="V220" s="402"/>
      <c r="W220" s="402"/>
      <c r="X220" s="402"/>
      <c r="Y220" s="402"/>
      <c r="Z220" s="402"/>
    </row>
    <row r="221" ht="14.25" customHeight="1">
      <c r="A221" s="406">
        <v>45510.0</v>
      </c>
      <c r="B221" s="605" t="s">
        <v>2210</v>
      </c>
      <c r="C221" s="606" t="s">
        <v>2211</v>
      </c>
      <c r="D221" s="349" t="s">
        <v>54</v>
      </c>
      <c r="E221" s="349" t="s">
        <v>2133</v>
      </c>
      <c r="F221" s="615">
        <v>19238.0</v>
      </c>
      <c r="G221" s="413">
        <v>0.0</v>
      </c>
      <c r="H221" s="349" t="s">
        <v>2255</v>
      </c>
      <c r="I221" s="404" t="str">
        <f t="shared" si="2"/>
        <v>NOT PAID</v>
      </c>
      <c r="J221" s="402"/>
      <c r="K221" s="402"/>
      <c r="L221" s="402"/>
      <c r="M221" s="402"/>
      <c r="N221" s="402"/>
      <c r="O221" s="402"/>
      <c r="P221" s="402"/>
      <c r="Q221" s="402"/>
      <c r="R221" s="402"/>
      <c r="S221" s="402"/>
      <c r="T221" s="402"/>
      <c r="U221" s="402"/>
      <c r="V221" s="402"/>
      <c r="W221" s="402"/>
      <c r="X221" s="402"/>
      <c r="Y221" s="402"/>
      <c r="Z221" s="402"/>
    </row>
    <row r="222" ht="14.25" customHeight="1">
      <c r="A222" s="406">
        <v>45510.0</v>
      </c>
      <c r="B222" s="616" t="s">
        <v>2213</v>
      </c>
      <c r="C222" s="617" t="s">
        <v>2214</v>
      </c>
      <c r="D222" s="349" t="s">
        <v>54</v>
      </c>
      <c r="E222" s="349" t="s">
        <v>2133</v>
      </c>
      <c r="F222" s="618">
        <v>7620.0</v>
      </c>
      <c r="G222" s="413">
        <v>1000.0</v>
      </c>
      <c r="H222" s="349" t="s">
        <v>2256</v>
      </c>
      <c r="I222" s="404" t="str">
        <f t="shared" si="2"/>
        <v>PARTIALLY PAID</v>
      </c>
      <c r="J222" s="402"/>
      <c r="K222" s="402"/>
      <c r="L222" s="402"/>
      <c r="M222" s="402"/>
      <c r="N222" s="402"/>
      <c r="O222" s="402"/>
      <c r="P222" s="402"/>
      <c r="Q222" s="402"/>
      <c r="R222" s="402"/>
      <c r="S222" s="402"/>
      <c r="T222" s="402"/>
      <c r="U222" s="402"/>
      <c r="V222" s="402"/>
      <c r="W222" s="402"/>
      <c r="X222" s="402"/>
      <c r="Y222" s="402"/>
      <c r="Z222" s="402"/>
    </row>
    <row r="223" ht="14.25" customHeight="1">
      <c r="A223" s="406">
        <v>45510.0</v>
      </c>
      <c r="B223" s="616" t="s">
        <v>2218</v>
      </c>
      <c r="C223" s="617" t="s">
        <v>2219</v>
      </c>
      <c r="D223" s="349" t="s">
        <v>54</v>
      </c>
      <c r="E223" s="349" t="s">
        <v>2133</v>
      </c>
      <c r="F223" s="618">
        <v>1500.0</v>
      </c>
      <c r="G223" s="413">
        <v>500.0</v>
      </c>
      <c r="H223" s="455" t="s">
        <v>2257</v>
      </c>
      <c r="I223" s="404" t="str">
        <f t="shared" si="2"/>
        <v>PARTIALLY PAID</v>
      </c>
      <c r="J223" s="402"/>
      <c r="K223" s="402"/>
      <c r="L223" s="402"/>
      <c r="M223" s="402"/>
      <c r="N223" s="402"/>
      <c r="O223" s="402"/>
      <c r="P223" s="402"/>
      <c r="Q223" s="402"/>
      <c r="R223" s="402"/>
      <c r="S223" s="402"/>
      <c r="T223" s="402"/>
      <c r="U223" s="402"/>
      <c r="V223" s="402"/>
      <c r="W223" s="402"/>
      <c r="X223" s="402"/>
      <c r="Y223" s="402"/>
      <c r="Z223" s="402"/>
    </row>
    <row r="224" ht="14.25" customHeight="1">
      <c r="A224" s="406">
        <v>45510.0</v>
      </c>
      <c r="B224" s="605" t="s">
        <v>2221</v>
      </c>
      <c r="C224" s="606" t="s">
        <v>2222</v>
      </c>
      <c r="D224" s="349" t="s">
        <v>54</v>
      </c>
      <c r="E224" s="349" t="s">
        <v>2133</v>
      </c>
      <c r="F224" s="611">
        <v>32250.0</v>
      </c>
      <c r="G224" s="413">
        <v>0.0</v>
      </c>
      <c r="H224" s="484" t="s">
        <v>2258</v>
      </c>
      <c r="I224" s="404" t="str">
        <f t="shared" si="2"/>
        <v>NOT PAID</v>
      </c>
      <c r="J224" s="402"/>
      <c r="K224" s="402"/>
      <c r="L224" s="402"/>
      <c r="M224" s="402"/>
      <c r="N224" s="402"/>
      <c r="O224" s="402"/>
      <c r="P224" s="402"/>
      <c r="Q224" s="402"/>
      <c r="R224" s="402"/>
      <c r="S224" s="402"/>
      <c r="T224" s="402"/>
      <c r="U224" s="402"/>
      <c r="V224" s="402"/>
      <c r="W224" s="402"/>
      <c r="X224" s="402"/>
      <c r="Y224" s="402"/>
      <c r="Z224" s="402"/>
    </row>
    <row r="225" ht="14.25" customHeight="1">
      <c r="A225" s="406">
        <v>45510.0</v>
      </c>
      <c r="B225" s="605" t="s">
        <v>2231</v>
      </c>
      <c r="C225" s="619" t="s">
        <v>2232</v>
      </c>
      <c r="D225" s="349" t="s">
        <v>54</v>
      </c>
      <c r="E225" s="349" t="s">
        <v>2133</v>
      </c>
      <c r="F225" s="620">
        <v>28667.0</v>
      </c>
      <c r="G225" s="413">
        <v>0.0</v>
      </c>
      <c r="H225" s="455" t="s">
        <v>2259</v>
      </c>
      <c r="I225" s="404" t="str">
        <f t="shared" si="2"/>
        <v>NOT PAID</v>
      </c>
      <c r="J225" s="402"/>
      <c r="K225" s="402"/>
      <c r="L225" s="402"/>
      <c r="M225" s="402"/>
      <c r="N225" s="402"/>
      <c r="O225" s="402"/>
      <c r="P225" s="402"/>
      <c r="Q225" s="402"/>
      <c r="R225" s="402"/>
      <c r="S225" s="402"/>
      <c r="T225" s="402"/>
      <c r="U225" s="402"/>
      <c r="V225" s="402"/>
      <c r="W225" s="402"/>
      <c r="X225" s="402"/>
      <c r="Y225" s="402"/>
      <c r="Z225" s="402"/>
    </row>
    <row r="226" ht="14.25" customHeight="1">
      <c r="A226" s="406">
        <v>45510.0</v>
      </c>
      <c r="B226" s="628" t="s">
        <v>2196</v>
      </c>
      <c r="C226" s="629" t="s">
        <v>2246</v>
      </c>
      <c r="D226" s="349" t="s">
        <v>54</v>
      </c>
      <c r="E226" s="349" t="s">
        <v>2133</v>
      </c>
      <c r="F226" s="622">
        <v>126855.0</v>
      </c>
      <c r="G226" s="413">
        <v>0.0</v>
      </c>
      <c r="H226" s="455" t="s">
        <v>2273</v>
      </c>
      <c r="I226" s="404" t="str">
        <f t="shared" si="2"/>
        <v>NOT PAID</v>
      </c>
      <c r="J226" s="402"/>
      <c r="K226" s="402"/>
      <c r="L226" s="402"/>
      <c r="M226" s="402"/>
      <c r="N226" s="402"/>
      <c r="O226" s="402"/>
      <c r="P226" s="402"/>
      <c r="Q226" s="402"/>
      <c r="R226" s="402"/>
      <c r="S226" s="402"/>
      <c r="T226" s="402"/>
      <c r="U226" s="402"/>
      <c r="V226" s="402"/>
      <c r="W226" s="402"/>
      <c r="X226" s="402"/>
      <c r="Y226" s="402"/>
      <c r="Z226" s="402"/>
    </row>
    <row r="227" ht="14.25" customHeight="1">
      <c r="A227" s="406">
        <v>45510.0</v>
      </c>
      <c r="B227" s="623" t="s">
        <v>2235</v>
      </c>
      <c r="C227" s="623" t="s">
        <v>2236</v>
      </c>
      <c r="D227" s="630" t="s">
        <v>75</v>
      </c>
      <c r="E227" s="349" t="s">
        <v>2133</v>
      </c>
      <c r="F227" s="622">
        <v>34500.0</v>
      </c>
      <c r="G227" s="413">
        <v>0.0</v>
      </c>
      <c r="H227" s="484" t="s">
        <v>2274</v>
      </c>
      <c r="I227" s="404" t="str">
        <f t="shared" si="2"/>
        <v>NOT PAID</v>
      </c>
      <c r="J227" s="402"/>
      <c r="K227" s="402"/>
      <c r="L227" s="402"/>
      <c r="M227" s="402"/>
      <c r="N227" s="402"/>
      <c r="O227" s="402"/>
      <c r="P227" s="402"/>
      <c r="Q227" s="402"/>
      <c r="R227" s="402"/>
      <c r="S227" s="402"/>
      <c r="T227" s="402"/>
      <c r="U227" s="402"/>
      <c r="V227" s="402"/>
      <c r="W227" s="402"/>
      <c r="X227" s="402"/>
      <c r="Y227" s="402"/>
      <c r="Z227" s="402"/>
    </row>
    <row r="228" ht="14.25" customHeight="1">
      <c r="A228" s="406">
        <v>45510.0</v>
      </c>
      <c r="B228" s="634" t="s">
        <v>2262</v>
      </c>
      <c r="C228" s="619" t="s">
        <v>2234</v>
      </c>
      <c r="D228" s="630" t="s">
        <v>75</v>
      </c>
      <c r="E228" s="349" t="s">
        <v>2133</v>
      </c>
      <c r="F228" s="603">
        <v>46000.0</v>
      </c>
      <c r="G228" s="413">
        <v>46000.0</v>
      </c>
      <c r="H228" s="484" t="s">
        <v>710</v>
      </c>
      <c r="I228" s="404" t="str">
        <f t="shared" si="2"/>
        <v>FULLY PAID</v>
      </c>
      <c r="J228" s="402"/>
      <c r="K228" s="402"/>
      <c r="L228" s="402"/>
      <c r="M228" s="402"/>
      <c r="N228" s="402"/>
      <c r="O228" s="402"/>
      <c r="P228" s="402"/>
      <c r="Q228" s="402"/>
      <c r="R228" s="402"/>
      <c r="S228" s="402"/>
      <c r="T228" s="402"/>
      <c r="U228" s="402"/>
      <c r="V228" s="402"/>
      <c r="W228" s="402"/>
      <c r="X228" s="402"/>
      <c r="Y228" s="402"/>
      <c r="Z228" s="402"/>
    </row>
    <row r="229" ht="14.25" customHeight="1">
      <c r="A229" s="406">
        <v>45510.0</v>
      </c>
      <c r="B229" s="512" t="s">
        <v>2275</v>
      </c>
      <c r="C229" s="512" t="s">
        <v>2276</v>
      </c>
      <c r="D229" s="635" t="s">
        <v>54</v>
      </c>
      <c r="E229" s="349" t="s">
        <v>2133</v>
      </c>
      <c r="F229" s="636">
        <v>40363.26</v>
      </c>
      <c r="G229" s="413">
        <v>0.0</v>
      </c>
      <c r="H229" s="484" t="s">
        <v>2277</v>
      </c>
      <c r="I229" s="404" t="str">
        <f t="shared" si="2"/>
        <v>NOT PAID</v>
      </c>
      <c r="J229" s="402"/>
      <c r="K229" s="402"/>
      <c r="L229" s="402"/>
      <c r="M229" s="402"/>
      <c r="N229" s="402"/>
      <c r="O229" s="402"/>
      <c r="P229" s="402"/>
      <c r="Q229" s="402"/>
      <c r="R229" s="402"/>
      <c r="S229" s="402"/>
      <c r="T229" s="402"/>
      <c r="U229" s="402"/>
      <c r="V229" s="402"/>
      <c r="W229" s="402"/>
      <c r="X229" s="402"/>
      <c r="Y229" s="402"/>
      <c r="Z229" s="402"/>
    </row>
    <row r="230" ht="14.25" customHeight="1">
      <c r="A230" s="406">
        <v>45510.0</v>
      </c>
      <c r="B230" s="513" t="s">
        <v>2278</v>
      </c>
      <c r="C230" s="513" t="s">
        <v>2279</v>
      </c>
      <c r="D230" s="637" t="s">
        <v>54</v>
      </c>
      <c r="E230" s="349" t="s">
        <v>2133</v>
      </c>
      <c r="F230" s="638">
        <v>107213.0</v>
      </c>
      <c r="G230" s="413">
        <v>0.0</v>
      </c>
      <c r="H230" s="349" t="s">
        <v>2280</v>
      </c>
      <c r="I230" s="404" t="str">
        <f t="shared" si="2"/>
        <v>NOT PAID</v>
      </c>
      <c r="J230" s="402"/>
      <c r="K230" s="402"/>
      <c r="L230" s="402"/>
      <c r="M230" s="402"/>
      <c r="N230" s="402"/>
      <c r="O230" s="402"/>
      <c r="P230" s="402"/>
      <c r="Q230" s="402"/>
      <c r="R230" s="402"/>
      <c r="S230" s="402"/>
      <c r="T230" s="402"/>
      <c r="U230" s="402"/>
      <c r="V230" s="402"/>
      <c r="W230" s="402"/>
      <c r="X230" s="402"/>
      <c r="Y230" s="402"/>
      <c r="Z230" s="402"/>
    </row>
    <row r="231" ht="14.25" customHeight="1">
      <c r="A231" s="406">
        <v>45510.0</v>
      </c>
      <c r="B231" s="349" t="s">
        <v>2265</v>
      </c>
      <c r="C231" s="349" t="s">
        <v>2266</v>
      </c>
      <c r="D231" s="595" t="s">
        <v>54</v>
      </c>
      <c r="E231" s="349" t="s">
        <v>2133</v>
      </c>
      <c r="F231" s="566">
        <v>183515.0</v>
      </c>
      <c r="G231" s="413">
        <v>183515.0</v>
      </c>
      <c r="H231" s="349" t="s">
        <v>267</v>
      </c>
      <c r="I231" s="404" t="str">
        <f t="shared" si="2"/>
        <v>FULLY PAID</v>
      </c>
      <c r="J231" s="402"/>
      <c r="K231" s="402"/>
      <c r="L231" s="402"/>
      <c r="M231" s="402"/>
      <c r="N231" s="402"/>
      <c r="O231" s="402"/>
      <c r="P231" s="402"/>
      <c r="Q231" s="402"/>
      <c r="R231" s="402"/>
      <c r="S231" s="402"/>
      <c r="T231" s="402"/>
      <c r="U231" s="402"/>
      <c r="V231" s="402"/>
      <c r="W231" s="402"/>
      <c r="X231" s="402"/>
      <c r="Y231" s="402"/>
      <c r="Z231" s="402"/>
    </row>
    <row r="232" ht="14.25" customHeight="1">
      <c r="A232" s="406">
        <v>45510.0</v>
      </c>
      <c r="B232" s="349" t="s">
        <v>2163</v>
      </c>
      <c r="C232" s="349" t="s">
        <v>2164</v>
      </c>
      <c r="D232" s="413" t="s">
        <v>59</v>
      </c>
      <c r="E232" s="349" t="s">
        <v>273</v>
      </c>
      <c r="F232" s="559">
        <v>200000.0</v>
      </c>
      <c r="G232" s="413">
        <v>0.0</v>
      </c>
      <c r="H232" s="349" t="s">
        <v>2269</v>
      </c>
      <c r="I232" s="404" t="str">
        <f t="shared" si="2"/>
        <v>NOT PAID</v>
      </c>
      <c r="J232" s="402"/>
      <c r="K232" s="402"/>
      <c r="L232" s="402"/>
      <c r="M232" s="402"/>
      <c r="N232" s="402"/>
      <c r="O232" s="402"/>
      <c r="P232" s="402"/>
      <c r="Q232" s="402"/>
      <c r="R232" s="402"/>
      <c r="S232" s="402"/>
      <c r="T232" s="402"/>
      <c r="U232" s="402"/>
      <c r="V232" s="402"/>
      <c r="W232" s="402"/>
      <c r="X232" s="402"/>
      <c r="Y232" s="402"/>
      <c r="Z232" s="402"/>
    </row>
    <row r="233" ht="14.25" customHeight="1">
      <c r="A233" s="406">
        <v>45510.0</v>
      </c>
      <c r="B233" s="596" t="s">
        <v>2160</v>
      </c>
      <c r="C233" s="596" t="s">
        <v>2161</v>
      </c>
      <c r="D233" s="601" t="s">
        <v>75</v>
      </c>
      <c r="E233" s="349" t="s">
        <v>2133</v>
      </c>
      <c r="F233" s="598">
        <v>230000.0</v>
      </c>
      <c r="G233" s="413">
        <v>0.0</v>
      </c>
      <c r="H233" s="349" t="s">
        <v>2270</v>
      </c>
      <c r="I233" s="404" t="str">
        <f t="shared" si="2"/>
        <v>NOT PAID</v>
      </c>
      <c r="J233" s="402"/>
      <c r="K233" s="402"/>
      <c r="L233" s="402"/>
      <c r="M233" s="402"/>
      <c r="N233" s="402"/>
      <c r="O233" s="402"/>
      <c r="P233" s="402"/>
      <c r="Q233" s="402"/>
      <c r="R233" s="402"/>
      <c r="S233" s="402"/>
      <c r="T233" s="402"/>
      <c r="U233" s="402"/>
      <c r="V233" s="402"/>
      <c r="W233" s="402"/>
      <c r="X233" s="402"/>
      <c r="Y233" s="402"/>
      <c r="Z233" s="402"/>
    </row>
    <row r="234" ht="14.25" customHeight="1">
      <c r="A234" s="406">
        <v>45511.0</v>
      </c>
      <c r="B234" s="402"/>
      <c r="C234" s="402"/>
      <c r="D234" s="402"/>
      <c r="E234" s="402"/>
      <c r="F234" s="587"/>
      <c r="G234" s="403"/>
      <c r="H234" s="402"/>
      <c r="I234" s="404" t="str">
        <f t="shared" si="2"/>
        <v>FULLY PAID</v>
      </c>
      <c r="J234" s="402"/>
      <c r="K234" s="402"/>
      <c r="L234" s="402"/>
      <c r="M234" s="402"/>
      <c r="N234" s="402"/>
      <c r="O234" s="402"/>
      <c r="P234" s="402"/>
      <c r="Q234" s="402"/>
      <c r="R234" s="402"/>
      <c r="S234" s="402"/>
      <c r="T234" s="402"/>
      <c r="U234" s="402"/>
      <c r="V234" s="402"/>
      <c r="W234" s="402"/>
      <c r="X234" s="402"/>
      <c r="Y234" s="402"/>
      <c r="Z234" s="402"/>
    </row>
    <row r="235" ht="14.25" customHeight="1">
      <c r="A235" s="402"/>
      <c r="B235" s="402"/>
      <c r="C235" s="402"/>
      <c r="D235" s="402"/>
      <c r="E235" s="402"/>
      <c r="F235" s="587"/>
      <c r="G235" s="403"/>
      <c r="H235" s="402"/>
      <c r="I235" s="404" t="str">
        <f t="shared" si="2"/>
        <v>FULLY PAID</v>
      </c>
      <c r="J235" s="402"/>
      <c r="K235" s="402"/>
      <c r="L235" s="402"/>
      <c r="M235" s="402"/>
      <c r="N235" s="402"/>
      <c r="O235" s="402"/>
      <c r="P235" s="402"/>
      <c r="Q235" s="402"/>
      <c r="R235" s="402"/>
      <c r="S235" s="402"/>
      <c r="T235" s="402"/>
      <c r="U235" s="402"/>
      <c r="V235" s="402"/>
      <c r="W235" s="402"/>
      <c r="X235" s="402"/>
      <c r="Y235" s="402"/>
      <c r="Z235" s="402"/>
    </row>
    <row r="236" ht="14.25" customHeight="1">
      <c r="A236" s="402"/>
      <c r="B236" s="402"/>
      <c r="C236" s="402"/>
      <c r="D236" s="402"/>
      <c r="E236" s="402"/>
      <c r="F236" s="587"/>
      <c r="G236" s="403"/>
      <c r="H236" s="402"/>
      <c r="I236" s="404" t="str">
        <f t="shared" si="2"/>
        <v>FULLY PAID</v>
      </c>
      <c r="J236" s="402"/>
      <c r="K236" s="402"/>
      <c r="L236" s="402"/>
      <c r="M236" s="402"/>
      <c r="N236" s="402"/>
      <c r="O236" s="402"/>
      <c r="P236" s="402"/>
      <c r="Q236" s="402"/>
      <c r="R236" s="402"/>
      <c r="S236" s="402"/>
      <c r="T236" s="402"/>
      <c r="U236" s="402"/>
      <c r="V236" s="402"/>
      <c r="W236" s="402"/>
      <c r="X236" s="402"/>
      <c r="Y236" s="402"/>
      <c r="Z236" s="402"/>
    </row>
    <row r="237" ht="14.25" customHeight="1">
      <c r="A237" s="406">
        <v>45511.0</v>
      </c>
      <c r="B237" s="607" t="s">
        <v>2149</v>
      </c>
      <c r="C237" s="607" t="s">
        <v>2206</v>
      </c>
      <c r="D237" s="349" t="s">
        <v>54</v>
      </c>
      <c r="E237" s="349" t="s">
        <v>2133</v>
      </c>
      <c r="F237" s="559">
        <v>5000.0</v>
      </c>
      <c r="G237" s="413">
        <v>0.0</v>
      </c>
      <c r="H237" s="455" t="s">
        <v>2252</v>
      </c>
      <c r="I237" s="404" t="str">
        <f t="shared" si="2"/>
        <v>NOT PAID</v>
      </c>
      <c r="J237" s="402"/>
      <c r="K237" s="402"/>
      <c r="L237" s="402"/>
      <c r="M237" s="402"/>
      <c r="N237" s="402"/>
      <c r="O237" s="402"/>
      <c r="P237" s="402"/>
      <c r="Q237" s="402"/>
      <c r="R237" s="402"/>
      <c r="S237" s="402"/>
      <c r="T237" s="402"/>
      <c r="U237" s="402"/>
      <c r="V237" s="402"/>
      <c r="W237" s="402"/>
      <c r="X237" s="402"/>
      <c r="Y237" s="402"/>
      <c r="Z237" s="402"/>
    </row>
    <row r="238" ht="14.25" customHeight="1">
      <c r="A238" s="406">
        <v>45511.0</v>
      </c>
      <c r="B238" s="607" t="s">
        <v>2152</v>
      </c>
      <c r="C238" s="607" t="s">
        <v>2153</v>
      </c>
      <c r="D238" s="349" t="s">
        <v>54</v>
      </c>
      <c r="E238" s="349" t="s">
        <v>2133</v>
      </c>
      <c r="F238" s="559">
        <v>29690.0</v>
      </c>
      <c r="G238" s="413">
        <v>6000.0</v>
      </c>
      <c r="H238" s="349" t="s">
        <v>2281</v>
      </c>
      <c r="I238" s="404" t="str">
        <f t="shared" si="2"/>
        <v>PARTIALLY PAID</v>
      </c>
      <c r="J238" s="402"/>
      <c r="K238" s="402"/>
      <c r="L238" s="402"/>
      <c r="M238" s="402"/>
      <c r="N238" s="402"/>
      <c r="O238" s="402"/>
      <c r="P238" s="402"/>
      <c r="Q238" s="402"/>
      <c r="R238" s="402"/>
      <c r="S238" s="402"/>
      <c r="T238" s="402"/>
      <c r="U238" s="402"/>
      <c r="V238" s="402"/>
      <c r="W238" s="402"/>
      <c r="X238" s="402"/>
      <c r="Y238" s="402"/>
      <c r="Z238" s="402"/>
    </row>
    <row r="239" ht="14.25" customHeight="1">
      <c r="A239" s="406">
        <v>45511.0</v>
      </c>
      <c r="B239" s="349" t="s">
        <v>2175</v>
      </c>
      <c r="C239" s="349" t="s">
        <v>2176</v>
      </c>
      <c r="D239" s="349" t="s">
        <v>54</v>
      </c>
      <c r="E239" s="349" t="s">
        <v>2133</v>
      </c>
      <c r="F239" s="611">
        <v>22398.0</v>
      </c>
      <c r="G239" s="413">
        <v>21569.0</v>
      </c>
      <c r="H239" s="349" t="s">
        <v>710</v>
      </c>
      <c r="I239" s="404" t="str">
        <f t="shared" si="2"/>
        <v>PARTIALLY PAID</v>
      </c>
      <c r="J239" s="402"/>
      <c r="K239" s="402"/>
      <c r="L239" s="402"/>
      <c r="M239" s="402"/>
      <c r="N239" s="402"/>
      <c r="O239" s="402"/>
      <c r="P239" s="402"/>
      <c r="Q239" s="402"/>
      <c r="R239" s="402"/>
      <c r="S239" s="402"/>
      <c r="T239" s="402"/>
      <c r="U239" s="402"/>
      <c r="V239" s="402"/>
      <c r="W239" s="402"/>
      <c r="X239" s="402"/>
      <c r="Y239" s="402"/>
      <c r="Z239" s="402"/>
    </row>
    <row r="240" ht="14.25" customHeight="1">
      <c r="A240" s="406">
        <v>45511.0</v>
      </c>
      <c r="B240" s="419" t="s">
        <v>2208</v>
      </c>
      <c r="C240" s="408" t="s">
        <v>2132</v>
      </c>
      <c r="D240" s="408" t="s">
        <v>439</v>
      </c>
      <c r="E240" s="408" t="s">
        <v>2133</v>
      </c>
      <c r="F240" s="445">
        <v>4000.0</v>
      </c>
      <c r="G240" s="413">
        <v>0.0</v>
      </c>
      <c r="H240" s="349" t="s">
        <v>2271</v>
      </c>
      <c r="I240" s="404" t="str">
        <f t="shared" si="2"/>
        <v>NOT PAID</v>
      </c>
      <c r="J240" s="402"/>
      <c r="K240" s="402"/>
      <c r="L240" s="402"/>
      <c r="M240" s="402"/>
      <c r="N240" s="402"/>
      <c r="O240" s="402"/>
      <c r="P240" s="402"/>
      <c r="Q240" s="402"/>
      <c r="R240" s="402"/>
      <c r="S240" s="402"/>
      <c r="T240" s="402"/>
      <c r="U240" s="402"/>
      <c r="V240" s="402"/>
      <c r="W240" s="402"/>
      <c r="X240" s="402"/>
      <c r="Y240" s="402"/>
      <c r="Z240" s="402"/>
    </row>
    <row r="241" ht="14.25" customHeight="1">
      <c r="A241" s="406">
        <v>45511.0</v>
      </c>
      <c r="B241" s="349" t="s">
        <v>2143</v>
      </c>
      <c r="C241" s="349" t="s">
        <v>2144</v>
      </c>
      <c r="D241" s="349" t="s">
        <v>54</v>
      </c>
      <c r="E241" s="349" t="s">
        <v>2133</v>
      </c>
      <c r="F241" s="559">
        <v>6000.0</v>
      </c>
      <c r="G241" s="413">
        <v>6000.0</v>
      </c>
      <c r="H241" s="349" t="s">
        <v>401</v>
      </c>
      <c r="I241" s="404" t="str">
        <f t="shared" si="2"/>
        <v>FULLY PAID</v>
      </c>
      <c r="J241" s="402"/>
      <c r="K241" s="402"/>
      <c r="L241" s="402"/>
      <c r="M241" s="402"/>
      <c r="N241" s="402"/>
      <c r="O241" s="402"/>
      <c r="P241" s="402"/>
      <c r="Q241" s="402"/>
      <c r="R241" s="402"/>
      <c r="S241" s="402"/>
      <c r="T241" s="402"/>
      <c r="U241" s="402"/>
      <c r="V241" s="402"/>
      <c r="W241" s="402"/>
      <c r="X241" s="402"/>
      <c r="Y241" s="402"/>
      <c r="Z241" s="402"/>
    </row>
    <row r="242" ht="14.25" customHeight="1">
      <c r="A242" s="406">
        <v>45511.0</v>
      </c>
      <c r="B242" s="608" t="s">
        <v>2137</v>
      </c>
      <c r="C242" s="608" t="s">
        <v>2138</v>
      </c>
      <c r="D242" s="607" t="s">
        <v>75</v>
      </c>
      <c r="E242" s="349" t="s">
        <v>2133</v>
      </c>
      <c r="F242" s="559">
        <v>134809.0</v>
      </c>
      <c r="G242" s="413">
        <v>0.0</v>
      </c>
      <c r="H242" s="349" t="s">
        <v>2282</v>
      </c>
      <c r="I242" s="404" t="str">
        <f t="shared" si="2"/>
        <v>NOT PAID</v>
      </c>
      <c r="J242" s="402"/>
      <c r="K242" s="402"/>
      <c r="L242" s="402"/>
      <c r="M242" s="402"/>
      <c r="N242" s="402"/>
      <c r="O242" s="402"/>
      <c r="P242" s="402"/>
      <c r="Q242" s="402"/>
      <c r="R242" s="402"/>
      <c r="S242" s="402"/>
      <c r="T242" s="402"/>
      <c r="U242" s="402"/>
      <c r="V242" s="402"/>
      <c r="W242" s="402"/>
      <c r="X242" s="402"/>
      <c r="Y242" s="402"/>
      <c r="Z242" s="402"/>
    </row>
    <row r="243" ht="14.25" customHeight="1">
      <c r="A243" s="406">
        <v>45511.0</v>
      </c>
      <c r="B243" s="605" t="s">
        <v>2210</v>
      </c>
      <c r="C243" s="606" t="s">
        <v>2211</v>
      </c>
      <c r="D243" s="349" t="s">
        <v>54</v>
      </c>
      <c r="E243" s="349" t="s">
        <v>2133</v>
      </c>
      <c r="F243" s="615">
        <v>19238.0</v>
      </c>
      <c r="G243" s="413">
        <v>2000.0</v>
      </c>
      <c r="H243" s="349" t="s">
        <v>2281</v>
      </c>
      <c r="I243" s="404" t="str">
        <f t="shared" si="2"/>
        <v>PARTIALLY PAID</v>
      </c>
      <c r="J243" s="402"/>
      <c r="K243" s="402"/>
      <c r="L243" s="402"/>
      <c r="M243" s="402"/>
      <c r="N243" s="402"/>
      <c r="O243" s="402"/>
      <c r="P243" s="402"/>
      <c r="Q243" s="402"/>
      <c r="R243" s="402"/>
      <c r="S243" s="402"/>
      <c r="T243" s="402"/>
      <c r="U243" s="402"/>
      <c r="V243" s="402"/>
      <c r="W243" s="402"/>
      <c r="X243" s="402"/>
      <c r="Y243" s="402"/>
      <c r="Z243" s="402"/>
    </row>
    <row r="244" ht="14.25" customHeight="1">
      <c r="A244" s="406">
        <v>45511.0</v>
      </c>
      <c r="B244" s="616" t="s">
        <v>2213</v>
      </c>
      <c r="C244" s="617" t="s">
        <v>2214</v>
      </c>
      <c r="D244" s="349" t="s">
        <v>54</v>
      </c>
      <c r="E244" s="349" t="s">
        <v>2133</v>
      </c>
      <c r="F244" s="618">
        <v>6620.0</v>
      </c>
      <c r="G244" s="413">
        <v>0.0</v>
      </c>
      <c r="H244" s="349" t="s">
        <v>2255</v>
      </c>
      <c r="I244" s="404" t="str">
        <f t="shared" si="2"/>
        <v>NOT PAID</v>
      </c>
      <c r="J244" s="402"/>
      <c r="K244" s="402"/>
      <c r="L244" s="402"/>
      <c r="M244" s="402"/>
      <c r="N244" s="402"/>
      <c r="O244" s="402"/>
      <c r="P244" s="402"/>
      <c r="Q244" s="402"/>
      <c r="R244" s="402"/>
      <c r="S244" s="402"/>
      <c r="T244" s="402"/>
      <c r="U244" s="402"/>
      <c r="V244" s="402"/>
      <c r="W244" s="402"/>
      <c r="X244" s="402"/>
      <c r="Y244" s="402"/>
      <c r="Z244" s="402"/>
    </row>
    <row r="245" ht="14.25" customHeight="1">
      <c r="A245" s="406">
        <v>45511.0</v>
      </c>
      <c r="B245" s="616" t="s">
        <v>2218</v>
      </c>
      <c r="C245" s="617" t="s">
        <v>2219</v>
      </c>
      <c r="D245" s="349" t="s">
        <v>54</v>
      </c>
      <c r="E245" s="349" t="s">
        <v>2133</v>
      </c>
      <c r="F245" s="618">
        <v>1000.0</v>
      </c>
      <c r="G245" s="413">
        <v>0.0</v>
      </c>
      <c r="H245" s="349" t="s">
        <v>2256</v>
      </c>
      <c r="I245" s="404" t="str">
        <f t="shared" si="2"/>
        <v>NOT PAID</v>
      </c>
      <c r="J245" s="402"/>
      <c r="K245" s="402"/>
      <c r="L245" s="402"/>
      <c r="M245" s="402"/>
      <c r="N245" s="402"/>
      <c r="O245" s="402"/>
      <c r="P245" s="402"/>
      <c r="Q245" s="402"/>
      <c r="R245" s="402"/>
      <c r="S245" s="402"/>
      <c r="T245" s="402"/>
      <c r="U245" s="402"/>
      <c r="V245" s="402"/>
      <c r="W245" s="402"/>
      <c r="X245" s="402"/>
      <c r="Y245" s="402"/>
      <c r="Z245" s="402"/>
    </row>
    <row r="246" ht="14.25" customHeight="1">
      <c r="A246" s="406">
        <v>45511.0</v>
      </c>
      <c r="B246" s="417" t="s">
        <v>1042</v>
      </c>
      <c r="C246" s="418" t="s">
        <v>1043</v>
      </c>
      <c r="D246" s="408" t="s">
        <v>54</v>
      </c>
      <c r="E246" s="349" t="s">
        <v>2133</v>
      </c>
      <c r="F246" s="639">
        <v>87050.0</v>
      </c>
      <c r="G246" s="413">
        <v>87050.0</v>
      </c>
      <c r="H246" s="455" t="s">
        <v>2283</v>
      </c>
      <c r="I246" s="404" t="str">
        <f t="shared" si="2"/>
        <v>FULLY PAID</v>
      </c>
      <c r="J246" s="402"/>
      <c r="K246" s="402"/>
      <c r="L246" s="402"/>
      <c r="M246" s="402"/>
      <c r="N246" s="402"/>
      <c r="O246" s="402"/>
      <c r="P246" s="402"/>
      <c r="Q246" s="402"/>
      <c r="R246" s="402"/>
      <c r="S246" s="402"/>
      <c r="T246" s="402"/>
      <c r="U246" s="402"/>
      <c r="V246" s="402"/>
      <c r="W246" s="402"/>
      <c r="X246" s="402"/>
      <c r="Y246" s="402"/>
      <c r="Z246" s="402"/>
    </row>
    <row r="247" ht="14.25" customHeight="1">
      <c r="A247" s="406">
        <v>45511.0</v>
      </c>
      <c r="B247" s="605" t="s">
        <v>2221</v>
      </c>
      <c r="C247" s="606" t="s">
        <v>2222</v>
      </c>
      <c r="D247" s="349" t="s">
        <v>54</v>
      </c>
      <c r="E247" s="349" t="s">
        <v>2133</v>
      </c>
      <c r="F247" s="611">
        <v>32250.0</v>
      </c>
      <c r="G247" s="413">
        <v>0.0</v>
      </c>
      <c r="H247" s="455" t="s">
        <v>2284</v>
      </c>
      <c r="I247" s="404" t="str">
        <f t="shared" si="2"/>
        <v>NOT PAID</v>
      </c>
      <c r="J247" s="402"/>
      <c r="K247" s="402"/>
      <c r="L247" s="402"/>
      <c r="M247" s="402"/>
      <c r="N247" s="402"/>
      <c r="O247" s="402"/>
      <c r="P247" s="402"/>
      <c r="Q247" s="402"/>
      <c r="R247" s="402"/>
      <c r="S247" s="402"/>
      <c r="T247" s="402"/>
      <c r="U247" s="402"/>
      <c r="V247" s="402"/>
      <c r="W247" s="402"/>
      <c r="X247" s="402"/>
      <c r="Y247" s="402"/>
      <c r="Z247" s="402"/>
    </row>
    <row r="248" ht="14.25" customHeight="1">
      <c r="A248" s="406">
        <v>45511.0</v>
      </c>
      <c r="B248" s="605" t="s">
        <v>2231</v>
      </c>
      <c r="C248" s="619" t="s">
        <v>2232</v>
      </c>
      <c r="D248" s="349" t="s">
        <v>54</v>
      </c>
      <c r="E248" s="349" t="s">
        <v>2133</v>
      </c>
      <c r="F248" s="620">
        <v>31091.0</v>
      </c>
      <c r="G248" s="413">
        <v>0.0</v>
      </c>
      <c r="H248" s="484" t="s">
        <v>2258</v>
      </c>
      <c r="I248" s="404" t="str">
        <f t="shared" si="2"/>
        <v>NOT PAID</v>
      </c>
      <c r="J248" s="402"/>
      <c r="K248" s="402"/>
      <c r="L248" s="402"/>
      <c r="M248" s="402"/>
      <c r="N248" s="402"/>
      <c r="O248" s="402"/>
      <c r="P248" s="402"/>
      <c r="Q248" s="402"/>
      <c r="R248" s="402"/>
      <c r="S248" s="402"/>
      <c r="T248" s="402"/>
      <c r="U248" s="402"/>
      <c r="V248" s="402"/>
      <c r="W248" s="402"/>
      <c r="X248" s="402"/>
      <c r="Y248" s="402"/>
      <c r="Z248" s="402"/>
    </row>
    <row r="249" ht="14.25" customHeight="1">
      <c r="A249" s="406">
        <v>45511.0</v>
      </c>
      <c r="B249" s="640" t="s">
        <v>2196</v>
      </c>
      <c r="C249" s="629" t="s">
        <v>2246</v>
      </c>
      <c r="D249" s="349" t="s">
        <v>54</v>
      </c>
      <c r="E249" s="349" t="s">
        <v>2133</v>
      </c>
      <c r="F249" s="622">
        <v>126855.0</v>
      </c>
      <c r="G249" s="413">
        <v>0.0</v>
      </c>
      <c r="H249" s="455" t="s">
        <v>2259</v>
      </c>
      <c r="I249" s="404" t="str">
        <f t="shared" si="2"/>
        <v>NOT PAID</v>
      </c>
      <c r="J249" s="402"/>
      <c r="K249" s="402"/>
      <c r="L249" s="402"/>
      <c r="M249" s="402"/>
      <c r="N249" s="402"/>
      <c r="O249" s="402"/>
      <c r="P249" s="402"/>
      <c r="Q249" s="402"/>
      <c r="R249" s="402"/>
      <c r="S249" s="402"/>
      <c r="T249" s="402"/>
      <c r="U249" s="402"/>
      <c r="V249" s="402"/>
      <c r="W249" s="402"/>
      <c r="X249" s="402"/>
      <c r="Y249" s="402"/>
      <c r="Z249" s="402"/>
    </row>
    <row r="250" ht="14.25" customHeight="1">
      <c r="A250" s="406">
        <v>45511.0</v>
      </c>
      <c r="B250" s="407" t="s">
        <v>2285</v>
      </c>
      <c r="C250" s="408" t="s">
        <v>2286</v>
      </c>
      <c r="D250" s="408" t="s">
        <v>439</v>
      </c>
      <c r="E250" s="349" t="s">
        <v>2133</v>
      </c>
      <c r="F250" s="641">
        <v>19422.0</v>
      </c>
      <c r="G250" s="445">
        <v>18000.0</v>
      </c>
      <c r="H250" s="420" t="s">
        <v>267</v>
      </c>
      <c r="I250" s="404" t="str">
        <f t="shared" si="2"/>
        <v>PARTIALLY PAID</v>
      </c>
      <c r="J250" s="402"/>
      <c r="K250" s="402"/>
      <c r="L250" s="402"/>
      <c r="M250" s="402"/>
      <c r="N250" s="402"/>
      <c r="O250" s="402"/>
      <c r="P250" s="402"/>
      <c r="Q250" s="402"/>
      <c r="R250" s="402"/>
      <c r="S250" s="402"/>
      <c r="T250" s="402"/>
      <c r="U250" s="402"/>
      <c r="V250" s="402"/>
      <c r="W250" s="402"/>
      <c r="X250" s="402"/>
      <c r="Y250" s="402"/>
      <c r="Z250" s="402"/>
    </row>
    <row r="251" ht="14.25" customHeight="1">
      <c r="A251" s="406">
        <v>45511.0</v>
      </c>
      <c r="B251" s="642" t="s">
        <v>2235</v>
      </c>
      <c r="C251" s="623" t="s">
        <v>2236</v>
      </c>
      <c r="D251" s="630" t="s">
        <v>75</v>
      </c>
      <c r="E251" s="349" t="s">
        <v>2133</v>
      </c>
      <c r="F251" s="622">
        <v>34500.0</v>
      </c>
      <c r="G251" s="413">
        <v>0.0</v>
      </c>
      <c r="H251" s="455" t="s">
        <v>2284</v>
      </c>
      <c r="I251" s="404" t="str">
        <f t="shared" si="2"/>
        <v>NOT PAID</v>
      </c>
      <c r="J251" s="402"/>
      <c r="K251" s="402"/>
      <c r="L251" s="402"/>
      <c r="M251" s="402"/>
      <c r="N251" s="402"/>
      <c r="O251" s="402"/>
      <c r="P251" s="402"/>
      <c r="Q251" s="402"/>
      <c r="R251" s="402"/>
      <c r="S251" s="402"/>
      <c r="T251" s="402"/>
      <c r="U251" s="402"/>
      <c r="V251" s="402"/>
      <c r="W251" s="402"/>
      <c r="X251" s="402"/>
      <c r="Y251" s="402"/>
      <c r="Z251" s="402"/>
    </row>
    <row r="252" ht="14.25" customHeight="1">
      <c r="A252" s="406">
        <v>45511.0</v>
      </c>
      <c r="B252" s="594" t="s">
        <v>2275</v>
      </c>
      <c r="C252" s="512" t="s">
        <v>2276</v>
      </c>
      <c r="D252" s="635" t="s">
        <v>54</v>
      </c>
      <c r="E252" s="349" t="s">
        <v>2133</v>
      </c>
      <c r="F252" s="636">
        <v>40363.26</v>
      </c>
      <c r="G252" s="413">
        <v>0.0</v>
      </c>
      <c r="H252" s="349" t="s">
        <v>2287</v>
      </c>
      <c r="I252" s="404" t="str">
        <f t="shared" si="2"/>
        <v>NOT PAID</v>
      </c>
      <c r="J252" s="402"/>
      <c r="K252" s="402"/>
      <c r="L252" s="402"/>
      <c r="M252" s="402"/>
      <c r="N252" s="402"/>
      <c r="O252" s="402"/>
      <c r="P252" s="402"/>
      <c r="Q252" s="402"/>
      <c r="R252" s="402"/>
      <c r="S252" s="402"/>
      <c r="T252" s="402"/>
      <c r="U252" s="402"/>
      <c r="V252" s="402"/>
      <c r="W252" s="402"/>
      <c r="X252" s="402"/>
      <c r="Y252" s="402"/>
      <c r="Z252" s="402"/>
    </row>
    <row r="253" ht="14.25" customHeight="1">
      <c r="A253" s="406">
        <v>45511.0</v>
      </c>
      <c r="B253" s="596" t="s">
        <v>2278</v>
      </c>
      <c r="C253" s="513" t="s">
        <v>2279</v>
      </c>
      <c r="D253" s="637" t="s">
        <v>54</v>
      </c>
      <c r="E253" s="349" t="s">
        <v>2133</v>
      </c>
      <c r="F253" s="638">
        <v>107213.0</v>
      </c>
      <c r="G253" s="413">
        <v>0.0</v>
      </c>
      <c r="H253" s="349" t="s">
        <v>2280</v>
      </c>
      <c r="I253" s="404" t="str">
        <f t="shared" si="2"/>
        <v>NOT PAID</v>
      </c>
      <c r="J253" s="402"/>
      <c r="K253" s="402"/>
      <c r="L253" s="402"/>
      <c r="M253" s="402"/>
      <c r="N253" s="402"/>
      <c r="O253" s="402"/>
      <c r="P253" s="402"/>
      <c r="Q253" s="402"/>
      <c r="R253" s="402"/>
      <c r="S253" s="402"/>
      <c r="T253" s="402"/>
      <c r="U253" s="402"/>
      <c r="V253" s="402"/>
      <c r="W253" s="402"/>
      <c r="X253" s="402"/>
      <c r="Y253" s="402"/>
      <c r="Z253" s="402"/>
    </row>
    <row r="254" ht="14.25" customHeight="1">
      <c r="A254" s="406">
        <v>45511.0</v>
      </c>
      <c r="B254" s="512" t="s">
        <v>2288</v>
      </c>
      <c r="C254" s="512" t="s">
        <v>2203</v>
      </c>
      <c r="D254" s="635" t="s">
        <v>54</v>
      </c>
      <c r="E254" s="349" t="s">
        <v>2133</v>
      </c>
      <c r="F254" s="638">
        <v>12829.0</v>
      </c>
      <c r="G254" s="413">
        <v>0.0</v>
      </c>
      <c r="H254" s="349" t="s">
        <v>2287</v>
      </c>
      <c r="I254" s="404" t="str">
        <f t="shared" si="2"/>
        <v>NOT PAID</v>
      </c>
      <c r="J254" s="402"/>
      <c r="K254" s="402"/>
      <c r="L254" s="402"/>
      <c r="M254" s="402"/>
      <c r="N254" s="402"/>
      <c r="O254" s="402"/>
      <c r="P254" s="402"/>
      <c r="Q254" s="402"/>
      <c r="R254" s="402"/>
      <c r="S254" s="402"/>
      <c r="T254" s="402"/>
      <c r="U254" s="402"/>
      <c r="V254" s="402"/>
      <c r="W254" s="402"/>
      <c r="X254" s="402"/>
      <c r="Y254" s="402"/>
      <c r="Z254" s="402"/>
    </row>
    <row r="255" ht="14.25" customHeight="1">
      <c r="A255" s="406">
        <v>45511.0</v>
      </c>
      <c r="B255" s="512" t="s">
        <v>2189</v>
      </c>
      <c r="C255" s="512" t="s">
        <v>2190</v>
      </c>
      <c r="D255" s="635" t="s">
        <v>54</v>
      </c>
      <c r="E255" s="349" t="s">
        <v>2133</v>
      </c>
      <c r="F255" s="638">
        <v>146348.0</v>
      </c>
      <c r="G255" s="413">
        <v>146349.0</v>
      </c>
      <c r="H255" s="349" t="s">
        <v>401</v>
      </c>
      <c r="I255" s="404" t="str">
        <f t="shared" si="2"/>
        <v>FULLY PAID</v>
      </c>
      <c r="J255" s="402"/>
      <c r="K255" s="402"/>
      <c r="L255" s="402"/>
      <c r="M255" s="402"/>
      <c r="N255" s="402"/>
      <c r="O255" s="402"/>
      <c r="P255" s="402"/>
      <c r="Q255" s="402"/>
      <c r="R255" s="402"/>
      <c r="S255" s="402"/>
      <c r="T255" s="402"/>
      <c r="U255" s="402"/>
      <c r="V255" s="402"/>
      <c r="W255" s="402"/>
      <c r="X255" s="402"/>
      <c r="Y255" s="402"/>
      <c r="Z255" s="402"/>
    </row>
    <row r="256" ht="14.25" customHeight="1">
      <c r="A256" s="406">
        <v>45511.0</v>
      </c>
      <c r="B256" s="512" t="s">
        <v>2289</v>
      </c>
      <c r="C256" s="512" t="s">
        <v>2190</v>
      </c>
      <c r="D256" s="635" t="s">
        <v>54</v>
      </c>
      <c r="E256" s="349" t="s">
        <v>2133</v>
      </c>
      <c r="F256" s="638">
        <v>350.0</v>
      </c>
      <c r="G256" s="413">
        <v>367.0</v>
      </c>
      <c r="H256" s="349" t="s">
        <v>401</v>
      </c>
      <c r="I256" s="404" t="str">
        <f t="shared" si="2"/>
        <v>FULLY PAID</v>
      </c>
      <c r="J256" s="402"/>
      <c r="K256" s="402"/>
      <c r="L256" s="402"/>
      <c r="M256" s="402"/>
      <c r="N256" s="402"/>
      <c r="O256" s="402"/>
      <c r="P256" s="402"/>
      <c r="Q256" s="402"/>
      <c r="R256" s="402"/>
      <c r="S256" s="402"/>
      <c r="T256" s="402"/>
      <c r="U256" s="402"/>
      <c r="V256" s="402"/>
      <c r="W256" s="402"/>
      <c r="X256" s="402"/>
      <c r="Y256" s="402"/>
      <c r="Z256" s="402"/>
    </row>
    <row r="257" ht="14.25" customHeight="1">
      <c r="A257" s="406">
        <v>45511.0</v>
      </c>
      <c r="B257" s="349" t="s">
        <v>2163</v>
      </c>
      <c r="C257" s="349" t="s">
        <v>2164</v>
      </c>
      <c r="D257" s="413" t="s">
        <v>59</v>
      </c>
      <c r="E257" s="349" t="s">
        <v>273</v>
      </c>
      <c r="F257" s="559">
        <v>200000.0</v>
      </c>
      <c r="G257" s="413">
        <v>0.0</v>
      </c>
      <c r="H257" s="349" t="s">
        <v>2290</v>
      </c>
      <c r="I257" s="404" t="str">
        <f t="shared" si="2"/>
        <v>NOT PAID</v>
      </c>
      <c r="J257" s="402"/>
      <c r="K257" s="402"/>
      <c r="L257" s="402"/>
      <c r="M257" s="402"/>
      <c r="N257" s="402"/>
      <c r="O257" s="402"/>
      <c r="P257" s="402"/>
      <c r="Q257" s="402"/>
      <c r="R257" s="402"/>
      <c r="S257" s="402"/>
      <c r="T257" s="402"/>
      <c r="U257" s="402"/>
      <c r="V257" s="402"/>
      <c r="W257" s="402"/>
      <c r="X257" s="402"/>
      <c r="Y257" s="402"/>
      <c r="Z257" s="402"/>
    </row>
    <row r="258" ht="14.25" customHeight="1">
      <c r="A258" s="406">
        <v>45511.0</v>
      </c>
      <c r="B258" s="596" t="s">
        <v>2160</v>
      </c>
      <c r="C258" s="596" t="s">
        <v>2161</v>
      </c>
      <c r="D258" s="601" t="s">
        <v>75</v>
      </c>
      <c r="E258" s="349" t="s">
        <v>2133</v>
      </c>
      <c r="F258" s="598">
        <v>230000.0</v>
      </c>
      <c r="G258" s="413">
        <v>0.0</v>
      </c>
      <c r="H258" s="349" t="s">
        <v>2270</v>
      </c>
      <c r="I258" s="404" t="str">
        <f t="shared" si="2"/>
        <v>NOT PAID</v>
      </c>
      <c r="J258" s="402"/>
      <c r="K258" s="402"/>
      <c r="L258" s="402"/>
      <c r="M258" s="402"/>
      <c r="N258" s="402"/>
      <c r="O258" s="402"/>
      <c r="P258" s="402"/>
      <c r="Q258" s="402"/>
      <c r="R258" s="402"/>
      <c r="S258" s="402"/>
      <c r="T258" s="402"/>
      <c r="U258" s="402"/>
      <c r="V258" s="402"/>
      <c r="W258" s="402"/>
      <c r="X258" s="402"/>
      <c r="Y258" s="402"/>
      <c r="Z258" s="402"/>
    </row>
    <row r="259" ht="14.25" customHeight="1">
      <c r="A259" s="406"/>
      <c r="B259" s="402"/>
      <c r="C259" s="402"/>
      <c r="D259" s="402"/>
      <c r="E259" s="402"/>
      <c r="F259" s="587"/>
      <c r="G259" s="403"/>
      <c r="H259" s="402"/>
      <c r="I259" s="404" t="str">
        <f t="shared" si="2"/>
        <v>FULLY PAID</v>
      </c>
      <c r="J259" s="402"/>
      <c r="K259" s="402"/>
      <c r="L259" s="402"/>
      <c r="M259" s="402"/>
      <c r="N259" s="402"/>
      <c r="O259" s="402"/>
      <c r="P259" s="402"/>
      <c r="Q259" s="402"/>
      <c r="R259" s="402"/>
      <c r="S259" s="402"/>
      <c r="T259" s="402"/>
      <c r="U259" s="402"/>
      <c r="V259" s="402"/>
      <c r="W259" s="402"/>
      <c r="X259" s="402"/>
      <c r="Y259" s="402"/>
      <c r="Z259" s="402"/>
    </row>
    <row r="260" ht="14.25" customHeight="1">
      <c r="A260" s="402"/>
      <c r="B260" s="402"/>
      <c r="C260" s="402"/>
      <c r="D260" s="402"/>
      <c r="E260" s="402"/>
      <c r="F260" s="587"/>
      <c r="G260" s="403"/>
      <c r="H260" s="402"/>
      <c r="I260" s="404" t="str">
        <f t="shared" si="2"/>
        <v>FULLY PAID</v>
      </c>
      <c r="J260" s="402"/>
      <c r="K260" s="402"/>
      <c r="L260" s="402"/>
      <c r="M260" s="402"/>
      <c r="N260" s="402"/>
      <c r="O260" s="402"/>
      <c r="P260" s="402"/>
      <c r="Q260" s="402"/>
      <c r="R260" s="402"/>
      <c r="S260" s="402"/>
      <c r="T260" s="402"/>
      <c r="U260" s="402"/>
      <c r="V260" s="402"/>
      <c r="W260" s="402"/>
      <c r="X260" s="402"/>
      <c r="Y260" s="402"/>
      <c r="Z260" s="402"/>
    </row>
    <row r="261" ht="14.25" customHeight="1">
      <c r="A261" s="402"/>
      <c r="B261" s="402"/>
      <c r="C261" s="402"/>
      <c r="D261" s="402"/>
      <c r="E261" s="402"/>
      <c r="F261" s="587"/>
      <c r="G261" s="403"/>
      <c r="H261" s="402"/>
      <c r="I261" s="404" t="str">
        <f t="shared" si="2"/>
        <v>FULLY PAID</v>
      </c>
      <c r="J261" s="402"/>
      <c r="K261" s="402"/>
      <c r="L261" s="402"/>
      <c r="M261" s="402"/>
      <c r="N261" s="402"/>
      <c r="O261" s="402"/>
      <c r="P261" s="402"/>
      <c r="Q261" s="402"/>
      <c r="R261" s="402"/>
      <c r="S261" s="402"/>
      <c r="T261" s="402"/>
      <c r="U261" s="402"/>
      <c r="V261" s="402"/>
      <c r="W261" s="402"/>
      <c r="X261" s="402"/>
      <c r="Y261" s="402"/>
      <c r="Z261" s="402"/>
    </row>
    <row r="262" ht="14.25" customHeight="1">
      <c r="A262" s="406">
        <v>45512.0</v>
      </c>
      <c r="B262" s="607" t="s">
        <v>2149</v>
      </c>
      <c r="C262" s="607" t="s">
        <v>2206</v>
      </c>
      <c r="D262" s="349" t="s">
        <v>54</v>
      </c>
      <c r="E262" s="349" t="s">
        <v>2133</v>
      </c>
      <c r="F262" s="559">
        <v>5000.0</v>
      </c>
      <c r="G262" s="413">
        <v>0.0</v>
      </c>
      <c r="H262" s="455" t="s">
        <v>2252</v>
      </c>
      <c r="I262" s="404" t="str">
        <f t="shared" si="2"/>
        <v>NOT PAID</v>
      </c>
      <c r="J262" s="402"/>
      <c r="K262" s="402"/>
      <c r="L262" s="402"/>
      <c r="M262" s="402"/>
      <c r="N262" s="402"/>
      <c r="O262" s="402"/>
      <c r="P262" s="402"/>
      <c r="Q262" s="402"/>
      <c r="R262" s="402"/>
      <c r="S262" s="402"/>
      <c r="T262" s="402"/>
      <c r="U262" s="402"/>
      <c r="V262" s="402"/>
      <c r="W262" s="402"/>
      <c r="X262" s="402"/>
      <c r="Y262" s="402"/>
      <c r="Z262" s="402"/>
    </row>
    <row r="263" ht="14.25" customHeight="1">
      <c r="A263" s="406">
        <v>45512.0</v>
      </c>
      <c r="B263" s="607" t="s">
        <v>2152</v>
      </c>
      <c r="C263" s="607" t="s">
        <v>2153</v>
      </c>
      <c r="D263" s="349" t="s">
        <v>54</v>
      </c>
      <c r="E263" s="349" t="s">
        <v>2133</v>
      </c>
      <c r="F263" s="559">
        <v>23690.0</v>
      </c>
      <c r="G263" s="413">
        <v>0.0</v>
      </c>
      <c r="H263" s="349" t="s">
        <v>2281</v>
      </c>
      <c r="I263" s="404" t="str">
        <f t="shared" si="2"/>
        <v>NOT PAID</v>
      </c>
      <c r="J263" s="402"/>
      <c r="K263" s="402"/>
      <c r="L263" s="402"/>
      <c r="M263" s="402"/>
      <c r="N263" s="402"/>
      <c r="O263" s="402"/>
      <c r="P263" s="402"/>
      <c r="Q263" s="402"/>
      <c r="R263" s="402"/>
      <c r="S263" s="402"/>
      <c r="T263" s="402"/>
      <c r="U263" s="402"/>
      <c r="V263" s="402"/>
      <c r="W263" s="402"/>
      <c r="X263" s="402"/>
      <c r="Y263" s="402"/>
      <c r="Z263" s="402"/>
    </row>
    <row r="264" ht="14.25" customHeight="1">
      <c r="A264" s="406">
        <v>45512.0</v>
      </c>
      <c r="B264" s="349" t="s">
        <v>2175</v>
      </c>
      <c r="C264" s="349" t="s">
        <v>2176</v>
      </c>
      <c r="D264" s="349" t="s">
        <v>54</v>
      </c>
      <c r="E264" s="349" t="s">
        <v>2133</v>
      </c>
      <c r="F264" s="611">
        <v>22398.0</v>
      </c>
      <c r="G264" s="413">
        <v>0.0</v>
      </c>
      <c r="H264" s="349" t="s">
        <v>710</v>
      </c>
      <c r="I264" s="404" t="str">
        <f t="shared" si="2"/>
        <v>NOT PAID</v>
      </c>
      <c r="J264" s="402"/>
      <c r="K264" s="402"/>
      <c r="L264" s="402"/>
      <c r="M264" s="402"/>
      <c r="N264" s="402"/>
      <c r="O264" s="402"/>
      <c r="P264" s="402"/>
      <c r="Q264" s="402"/>
      <c r="R264" s="402"/>
      <c r="S264" s="402"/>
      <c r="T264" s="402"/>
      <c r="U264" s="402"/>
      <c r="V264" s="402"/>
      <c r="W264" s="402"/>
      <c r="X264" s="402"/>
      <c r="Y264" s="402"/>
      <c r="Z264" s="402"/>
    </row>
    <row r="265" ht="14.25" customHeight="1">
      <c r="A265" s="406">
        <v>45512.0</v>
      </c>
      <c r="B265" s="419" t="s">
        <v>2208</v>
      </c>
      <c r="C265" s="408" t="s">
        <v>2132</v>
      </c>
      <c r="D265" s="408" t="s">
        <v>439</v>
      </c>
      <c r="E265" s="408" t="s">
        <v>2133</v>
      </c>
      <c r="F265" s="445">
        <v>4000.0</v>
      </c>
      <c r="G265" s="413">
        <v>0.0</v>
      </c>
      <c r="H265" s="349" t="s">
        <v>2271</v>
      </c>
      <c r="I265" s="404" t="str">
        <f t="shared" si="2"/>
        <v>NOT PAID</v>
      </c>
      <c r="J265" s="402"/>
      <c r="K265" s="402"/>
      <c r="L265" s="402"/>
      <c r="M265" s="402"/>
      <c r="N265" s="402"/>
      <c r="O265" s="402"/>
      <c r="P265" s="402"/>
      <c r="Q265" s="402"/>
      <c r="R265" s="402"/>
      <c r="S265" s="402"/>
      <c r="T265" s="402"/>
      <c r="U265" s="402"/>
      <c r="V265" s="402"/>
      <c r="W265" s="402"/>
      <c r="X265" s="402"/>
      <c r="Y265" s="402"/>
      <c r="Z265" s="402"/>
    </row>
    <row r="266" ht="14.25" customHeight="1">
      <c r="A266" s="406">
        <v>45512.0</v>
      </c>
      <c r="B266" s="349" t="s">
        <v>2143</v>
      </c>
      <c r="C266" s="349" t="s">
        <v>2144</v>
      </c>
      <c r="D266" s="349" t="s">
        <v>54</v>
      </c>
      <c r="E266" s="349" t="s">
        <v>2133</v>
      </c>
      <c r="F266" s="559">
        <v>6000.0</v>
      </c>
      <c r="G266" s="413">
        <v>6000.0</v>
      </c>
      <c r="H266" s="349" t="s">
        <v>401</v>
      </c>
      <c r="I266" s="404" t="str">
        <f t="shared" si="2"/>
        <v>FULLY PAID</v>
      </c>
      <c r="J266" s="402"/>
      <c r="K266" s="402"/>
      <c r="L266" s="402"/>
      <c r="M266" s="402"/>
      <c r="N266" s="402"/>
      <c r="O266" s="402"/>
      <c r="P266" s="402"/>
      <c r="Q266" s="402"/>
      <c r="R266" s="402"/>
      <c r="S266" s="402"/>
      <c r="T266" s="402"/>
      <c r="U266" s="402"/>
      <c r="V266" s="402"/>
      <c r="W266" s="402"/>
      <c r="X266" s="402"/>
      <c r="Y266" s="402"/>
      <c r="Z266" s="402"/>
    </row>
    <row r="267" ht="14.25" customHeight="1">
      <c r="A267" s="406">
        <v>45512.0</v>
      </c>
      <c r="B267" s="605" t="s">
        <v>2210</v>
      </c>
      <c r="C267" s="606" t="s">
        <v>2211</v>
      </c>
      <c r="D267" s="349" t="s">
        <v>54</v>
      </c>
      <c r="E267" s="349" t="s">
        <v>2133</v>
      </c>
      <c r="F267" s="615">
        <v>19238.0</v>
      </c>
      <c r="G267" s="413">
        <v>0.0</v>
      </c>
      <c r="H267" s="349" t="s">
        <v>2291</v>
      </c>
      <c r="I267" s="404" t="str">
        <f t="shared" si="2"/>
        <v>NOT PAID</v>
      </c>
      <c r="J267" s="402"/>
      <c r="K267" s="402"/>
      <c r="L267" s="402"/>
      <c r="M267" s="402"/>
      <c r="N267" s="402"/>
      <c r="O267" s="402"/>
      <c r="P267" s="402"/>
      <c r="Q267" s="402"/>
      <c r="R267" s="402"/>
      <c r="S267" s="402"/>
      <c r="T267" s="402"/>
      <c r="U267" s="402"/>
      <c r="V267" s="402"/>
      <c r="W267" s="402"/>
      <c r="X267" s="402"/>
      <c r="Y267" s="402"/>
      <c r="Z267" s="402"/>
    </row>
    <row r="268" ht="14.25" customHeight="1">
      <c r="A268" s="406">
        <v>45512.0</v>
      </c>
      <c r="B268" s="616" t="s">
        <v>2213</v>
      </c>
      <c r="C268" s="617" t="s">
        <v>2214</v>
      </c>
      <c r="D268" s="349" t="s">
        <v>54</v>
      </c>
      <c r="E268" s="349" t="s">
        <v>2133</v>
      </c>
      <c r="F268" s="618">
        <v>6620.0</v>
      </c>
      <c r="G268" s="413">
        <v>2000.0</v>
      </c>
      <c r="H268" s="349" t="s">
        <v>2281</v>
      </c>
      <c r="I268" s="404" t="str">
        <f t="shared" si="2"/>
        <v>PARTIALLY PAID</v>
      </c>
      <c r="J268" s="402"/>
      <c r="K268" s="402"/>
      <c r="L268" s="402"/>
      <c r="M268" s="402"/>
      <c r="N268" s="402"/>
      <c r="O268" s="402"/>
      <c r="P268" s="402"/>
      <c r="Q268" s="402"/>
      <c r="R268" s="402"/>
      <c r="S268" s="402"/>
      <c r="T268" s="402"/>
      <c r="U268" s="402"/>
      <c r="V268" s="402"/>
      <c r="W268" s="402"/>
      <c r="X268" s="402"/>
      <c r="Y268" s="402"/>
      <c r="Z268" s="402"/>
    </row>
    <row r="269" ht="14.25" customHeight="1">
      <c r="A269" s="406">
        <v>45512.0</v>
      </c>
      <c r="B269" s="616" t="s">
        <v>2218</v>
      </c>
      <c r="C269" s="617" t="s">
        <v>2219</v>
      </c>
      <c r="D269" s="349" t="s">
        <v>54</v>
      </c>
      <c r="E269" s="349" t="s">
        <v>2133</v>
      </c>
      <c r="F269" s="618">
        <v>1000.0</v>
      </c>
      <c r="G269" s="413">
        <v>0.0</v>
      </c>
      <c r="H269" s="349" t="s">
        <v>2256</v>
      </c>
      <c r="I269" s="404" t="str">
        <f t="shared" si="2"/>
        <v>NOT PAID</v>
      </c>
      <c r="J269" s="402"/>
      <c r="K269" s="402"/>
      <c r="L269" s="402"/>
      <c r="M269" s="402"/>
      <c r="N269" s="402"/>
      <c r="O269" s="402"/>
      <c r="P269" s="402"/>
      <c r="Q269" s="402"/>
      <c r="R269" s="402"/>
      <c r="S269" s="402"/>
      <c r="T269" s="402"/>
      <c r="U269" s="402"/>
      <c r="V269" s="402"/>
      <c r="W269" s="402"/>
      <c r="X269" s="402"/>
      <c r="Y269" s="402"/>
      <c r="Z269" s="402"/>
    </row>
    <row r="270" ht="14.25" customHeight="1">
      <c r="A270" s="406">
        <v>45512.0</v>
      </c>
      <c r="B270" s="605" t="s">
        <v>2221</v>
      </c>
      <c r="C270" s="606" t="s">
        <v>2222</v>
      </c>
      <c r="D270" s="349" t="s">
        <v>54</v>
      </c>
      <c r="E270" s="349" t="s">
        <v>2133</v>
      </c>
      <c r="F270" s="611">
        <v>32250.0</v>
      </c>
      <c r="G270" s="413">
        <v>0.0</v>
      </c>
      <c r="H270" s="455" t="s">
        <v>2284</v>
      </c>
      <c r="I270" s="404" t="str">
        <f t="shared" si="2"/>
        <v>NOT PAID</v>
      </c>
      <c r="J270" s="402"/>
      <c r="K270" s="402"/>
      <c r="L270" s="402"/>
      <c r="M270" s="402"/>
      <c r="N270" s="402"/>
      <c r="O270" s="402"/>
      <c r="P270" s="402"/>
      <c r="Q270" s="402"/>
      <c r="R270" s="402"/>
      <c r="S270" s="402"/>
      <c r="T270" s="402"/>
      <c r="U270" s="402"/>
      <c r="V270" s="402"/>
      <c r="W270" s="402"/>
      <c r="X270" s="402"/>
      <c r="Y270" s="402"/>
      <c r="Z270" s="402"/>
    </row>
    <row r="271" ht="14.25" customHeight="1">
      <c r="A271" s="406">
        <v>45512.0</v>
      </c>
      <c r="B271" s="605" t="s">
        <v>2231</v>
      </c>
      <c r="C271" s="619" t="s">
        <v>2232</v>
      </c>
      <c r="D271" s="349" t="s">
        <v>54</v>
      </c>
      <c r="E271" s="349" t="s">
        <v>2133</v>
      </c>
      <c r="F271" s="620">
        <v>31091.0</v>
      </c>
      <c r="G271" s="413">
        <v>0.0</v>
      </c>
      <c r="H271" s="484" t="s">
        <v>2258</v>
      </c>
      <c r="I271" s="404" t="str">
        <f t="shared" si="2"/>
        <v>NOT PAID</v>
      </c>
      <c r="J271" s="402"/>
      <c r="K271" s="402"/>
      <c r="L271" s="402"/>
      <c r="M271" s="402"/>
      <c r="N271" s="402"/>
      <c r="O271" s="402"/>
      <c r="P271" s="402"/>
      <c r="Q271" s="402"/>
      <c r="R271" s="402"/>
      <c r="S271" s="402"/>
      <c r="T271" s="402"/>
      <c r="U271" s="402"/>
      <c r="V271" s="402"/>
      <c r="W271" s="402"/>
      <c r="X271" s="402"/>
      <c r="Y271" s="402"/>
      <c r="Z271" s="402"/>
    </row>
    <row r="272" ht="14.25" customHeight="1">
      <c r="A272" s="406">
        <v>45512.0</v>
      </c>
      <c r="B272" s="640" t="s">
        <v>2196</v>
      </c>
      <c r="C272" s="629" t="s">
        <v>2246</v>
      </c>
      <c r="D272" s="349" t="s">
        <v>54</v>
      </c>
      <c r="E272" s="349" t="s">
        <v>2133</v>
      </c>
      <c r="F272" s="622">
        <v>126855.0</v>
      </c>
      <c r="G272" s="413">
        <v>0.0</v>
      </c>
      <c r="H272" s="455" t="s">
        <v>2292</v>
      </c>
      <c r="I272" s="404" t="str">
        <f t="shared" si="2"/>
        <v>NOT PAID</v>
      </c>
      <c r="J272" s="402"/>
      <c r="K272" s="402"/>
      <c r="L272" s="402"/>
      <c r="M272" s="402"/>
      <c r="N272" s="402"/>
      <c r="O272" s="402"/>
      <c r="P272" s="402"/>
      <c r="Q272" s="402"/>
      <c r="R272" s="402"/>
      <c r="S272" s="402"/>
      <c r="T272" s="402"/>
      <c r="U272" s="402"/>
      <c r="V272" s="402"/>
      <c r="W272" s="402"/>
      <c r="X272" s="402"/>
      <c r="Y272" s="402"/>
      <c r="Z272" s="402"/>
    </row>
    <row r="273" ht="14.25" customHeight="1">
      <c r="A273" s="406">
        <v>45512.0</v>
      </c>
      <c r="B273" s="642" t="s">
        <v>2235</v>
      </c>
      <c r="C273" s="623" t="s">
        <v>2236</v>
      </c>
      <c r="D273" s="630" t="s">
        <v>75</v>
      </c>
      <c r="E273" s="349" t="s">
        <v>2133</v>
      </c>
      <c r="F273" s="622">
        <v>34500.0</v>
      </c>
      <c r="G273" s="413">
        <v>0.0</v>
      </c>
      <c r="H273" s="455" t="s">
        <v>2284</v>
      </c>
      <c r="I273" s="404" t="str">
        <f t="shared" si="2"/>
        <v>NOT PAID</v>
      </c>
      <c r="J273" s="402"/>
      <c r="K273" s="402"/>
      <c r="L273" s="402"/>
      <c r="M273" s="402"/>
      <c r="N273" s="402"/>
      <c r="O273" s="402"/>
      <c r="P273" s="402"/>
      <c r="Q273" s="402"/>
      <c r="R273" s="402"/>
      <c r="S273" s="402"/>
      <c r="T273" s="402"/>
      <c r="U273" s="402"/>
      <c r="V273" s="402"/>
      <c r="W273" s="402"/>
      <c r="X273" s="402"/>
      <c r="Y273" s="402"/>
      <c r="Z273" s="402"/>
    </row>
    <row r="274" ht="14.25" customHeight="1">
      <c r="A274" s="406">
        <v>45512.0</v>
      </c>
      <c r="B274" s="594" t="s">
        <v>2275</v>
      </c>
      <c r="C274" s="512" t="s">
        <v>2276</v>
      </c>
      <c r="D274" s="635" t="s">
        <v>54</v>
      </c>
      <c r="E274" s="349" t="s">
        <v>2133</v>
      </c>
      <c r="F274" s="636">
        <v>40363.26</v>
      </c>
      <c r="G274" s="413">
        <v>0.0</v>
      </c>
      <c r="H274" s="455" t="s">
        <v>2293</v>
      </c>
      <c r="I274" s="404" t="str">
        <f t="shared" si="2"/>
        <v>NOT PAID</v>
      </c>
      <c r="J274" s="402"/>
      <c r="K274" s="402"/>
      <c r="L274" s="402"/>
      <c r="M274" s="402"/>
      <c r="N274" s="402"/>
      <c r="O274" s="402"/>
      <c r="P274" s="402"/>
      <c r="Q274" s="402"/>
      <c r="R274" s="402"/>
      <c r="S274" s="402"/>
      <c r="T274" s="402"/>
      <c r="U274" s="402"/>
      <c r="V274" s="402"/>
      <c r="W274" s="402"/>
      <c r="X274" s="402"/>
      <c r="Y274" s="402"/>
      <c r="Z274" s="402"/>
    </row>
    <row r="275" ht="14.25" customHeight="1">
      <c r="A275" s="406">
        <v>45512.0</v>
      </c>
      <c r="B275" s="596" t="s">
        <v>2278</v>
      </c>
      <c r="C275" s="513" t="s">
        <v>2279</v>
      </c>
      <c r="D275" s="637" t="s">
        <v>54</v>
      </c>
      <c r="E275" s="349" t="s">
        <v>2133</v>
      </c>
      <c r="F275" s="638">
        <v>107213.0</v>
      </c>
      <c r="G275" s="413">
        <v>0.0</v>
      </c>
      <c r="H275" s="349" t="s">
        <v>2280</v>
      </c>
      <c r="I275" s="404" t="str">
        <f t="shared" si="2"/>
        <v>NOT PAID</v>
      </c>
      <c r="J275" s="402"/>
      <c r="K275" s="402"/>
      <c r="L275" s="402"/>
      <c r="M275" s="402"/>
      <c r="N275" s="402"/>
      <c r="O275" s="402"/>
      <c r="P275" s="402"/>
      <c r="Q275" s="402"/>
      <c r="R275" s="402"/>
      <c r="S275" s="402"/>
      <c r="T275" s="402"/>
      <c r="U275" s="402"/>
      <c r="V275" s="402"/>
      <c r="W275" s="402"/>
      <c r="X275" s="402"/>
      <c r="Y275" s="402"/>
      <c r="Z275" s="402"/>
    </row>
    <row r="276" ht="14.25" customHeight="1">
      <c r="A276" s="406">
        <v>45512.0</v>
      </c>
      <c r="B276" s="512" t="s">
        <v>2288</v>
      </c>
      <c r="C276" s="512" t="s">
        <v>2203</v>
      </c>
      <c r="D276" s="635" t="s">
        <v>54</v>
      </c>
      <c r="E276" s="349" t="s">
        <v>2133</v>
      </c>
      <c r="F276" s="638">
        <v>12829.0</v>
      </c>
      <c r="G276" s="413">
        <v>0.0</v>
      </c>
      <c r="H276" s="349" t="s">
        <v>2287</v>
      </c>
      <c r="I276" s="404" t="str">
        <f t="shared" si="2"/>
        <v>NOT PAID</v>
      </c>
      <c r="J276" s="402"/>
      <c r="K276" s="402"/>
      <c r="L276" s="402"/>
      <c r="M276" s="402"/>
      <c r="N276" s="402"/>
      <c r="O276" s="402"/>
      <c r="P276" s="402"/>
      <c r="Q276" s="402"/>
      <c r="R276" s="402"/>
      <c r="S276" s="402"/>
      <c r="T276" s="402"/>
      <c r="U276" s="402"/>
      <c r="V276" s="402"/>
      <c r="W276" s="402"/>
      <c r="X276" s="402"/>
      <c r="Y276" s="402"/>
      <c r="Z276" s="402"/>
    </row>
    <row r="277" ht="14.25" customHeight="1">
      <c r="A277" s="406">
        <v>45512.0</v>
      </c>
      <c r="B277" s="512" t="s">
        <v>2294</v>
      </c>
      <c r="C277" s="512" t="s">
        <v>2153</v>
      </c>
      <c r="D277" s="635" t="s">
        <v>75</v>
      </c>
      <c r="E277" s="349" t="s">
        <v>2133</v>
      </c>
      <c r="F277" s="643">
        <v>97750.0</v>
      </c>
      <c r="G277" s="413">
        <v>0.0</v>
      </c>
      <c r="H277" s="349" t="s">
        <v>2295</v>
      </c>
      <c r="I277" s="404" t="str">
        <f t="shared" si="2"/>
        <v>NOT PAID</v>
      </c>
      <c r="J277" s="402"/>
      <c r="K277" s="402"/>
      <c r="L277" s="402"/>
      <c r="M277" s="402"/>
      <c r="N277" s="402"/>
      <c r="O277" s="402"/>
      <c r="P277" s="402"/>
      <c r="Q277" s="402"/>
      <c r="R277" s="402"/>
      <c r="S277" s="402"/>
      <c r="T277" s="402"/>
      <c r="U277" s="402"/>
      <c r="V277" s="402"/>
      <c r="W277" s="402"/>
      <c r="X277" s="402"/>
      <c r="Y277" s="402"/>
      <c r="Z277" s="402"/>
    </row>
    <row r="278" ht="14.25" customHeight="1">
      <c r="A278" s="406">
        <v>45512.0</v>
      </c>
      <c r="B278" s="349" t="s">
        <v>2163</v>
      </c>
      <c r="C278" s="349" t="s">
        <v>2164</v>
      </c>
      <c r="D278" s="413" t="s">
        <v>59</v>
      </c>
      <c r="E278" s="349" t="s">
        <v>273</v>
      </c>
      <c r="F278" s="559">
        <v>200000.0</v>
      </c>
      <c r="G278" s="413">
        <v>0.0</v>
      </c>
      <c r="H278" s="349" t="s">
        <v>2290</v>
      </c>
      <c r="I278" s="404" t="str">
        <f t="shared" si="2"/>
        <v>NOT PAID</v>
      </c>
      <c r="J278" s="402"/>
      <c r="K278" s="402"/>
      <c r="L278" s="402"/>
      <c r="M278" s="402"/>
      <c r="N278" s="402"/>
      <c r="O278" s="402"/>
      <c r="P278" s="402"/>
      <c r="Q278" s="402"/>
      <c r="R278" s="402"/>
      <c r="S278" s="402"/>
      <c r="T278" s="402"/>
      <c r="U278" s="402"/>
      <c r="V278" s="402"/>
      <c r="W278" s="402"/>
      <c r="X278" s="402"/>
      <c r="Y278" s="402"/>
      <c r="Z278" s="402"/>
    </row>
    <row r="279" ht="14.25" customHeight="1">
      <c r="A279" s="406">
        <v>45512.0</v>
      </c>
      <c r="B279" s="596" t="s">
        <v>2160</v>
      </c>
      <c r="C279" s="596" t="s">
        <v>2161</v>
      </c>
      <c r="D279" s="601" t="s">
        <v>75</v>
      </c>
      <c r="E279" s="349" t="s">
        <v>2133</v>
      </c>
      <c r="F279" s="598">
        <v>230000.0</v>
      </c>
      <c r="G279" s="413">
        <v>0.0</v>
      </c>
      <c r="H279" s="349" t="s">
        <v>2270</v>
      </c>
      <c r="I279" s="404" t="str">
        <f t="shared" si="2"/>
        <v>NOT PAID</v>
      </c>
      <c r="J279" s="402"/>
      <c r="K279" s="402"/>
      <c r="L279" s="402"/>
      <c r="M279" s="402"/>
      <c r="N279" s="402"/>
      <c r="O279" s="402"/>
      <c r="P279" s="402"/>
      <c r="Q279" s="402"/>
      <c r="R279" s="402"/>
      <c r="S279" s="402"/>
      <c r="T279" s="402"/>
      <c r="U279" s="402"/>
      <c r="V279" s="402"/>
      <c r="W279" s="402"/>
      <c r="X279" s="402"/>
      <c r="Y279" s="402"/>
      <c r="Z279" s="402"/>
    </row>
    <row r="280" ht="14.25" customHeight="1">
      <c r="A280" s="406"/>
      <c r="B280" s="402"/>
      <c r="C280" s="402"/>
      <c r="D280" s="402"/>
      <c r="E280" s="402"/>
      <c r="F280" s="587"/>
      <c r="G280" s="413"/>
      <c r="H280" s="402"/>
      <c r="I280" s="404" t="str">
        <f t="shared" si="2"/>
        <v>FULLY PAID</v>
      </c>
      <c r="J280" s="402"/>
      <c r="K280" s="402"/>
      <c r="L280" s="402"/>
      <c r="M280" s="402"/>
      <c r="N280" s="402"/>
      <c r="O280" s="402"/>
      <c r="P280" s="402"/>
      <c r="Q280" s="402"/>
      <c r="R280" s="402"/>
      <c r="S280" s="402"/>
      <c r="T280" s="402"/>
      <c r="U280" s="402"/>
      <c r="V280" s="402"/>
      <c r="W280" s="402"/>
      <c r="X280" s="402"/>
      <c r="Y280" s="402"/>
      <c r="Z280" s="402"/>
    </row>
    <row r="281" ht="14.25" customHeight="1">
      <c r="A281" s="402"/>
      <c r="B281" s="402"/>
      <c r="C281" s="402"/>
      <c r="D281" s="402"/>
      <c r="E281" s="402"/>
      <c r="F281" s="587"/>
      <c r="G281" s="403"/>
      <c r="H281" s="402"/>
      <c r="I281" s="404" t="str">
        <f t="shared" si="2"/>
        <v>FULLY PAID</v>
      </c>
      <c r="J281" s="402"/>
      <c r="K281" s="402"/>
      <c r="L281" s="402"/>
      <c r="M281" s="402"/>
      <c r="N281" s="402"/>
      <c r="O281" s="402"/>
      <c r="P281" s="402"/>
      <c r="Q281" s="402"/>
      <c r="R281" s="402"/>
      <c r="S281" s="402"/>
      <c r="T281" s="402"/>
      <c r="U281" s="402"/>
      <c r="V281" s="402"/>
      <c r="W281" s="402"/>
      <c r="X281" s="402"/>
      <c r="Y281" s="402"/>
      <c r="Z281" s="402"/>
    </row>
    <row r="282" ht="14.25" customHeight="1">
      <c r="A282" s="402"/>
      <c r="B282" s="402"/>
      <c r="C282" s="402"/>
      <c r="D282" s="402"/>
      <c r="E282" s="402"/>
      <c r="F282" s="587"/>
      <c r="G282" s="403"/>
      <c r="H282" s="402"/>
      <c r="I282" s="404" t="str">
        <f t="shared" si="2"/>
        <v>FULLY PAID</v>
      </c>
      <c r="J282" s="402"/>
      <c r="K282" s="402"/>
      <c r="L282" s="402"/>
      <c r="M282" s="402"/>
      <c r="N282" s="402"/>
      <c r="O282" s="402"/>
      <c r="P282" s="402"/>
      <c r="Q282" s="402"/>
      <c r="R282" s="402"/>
      <c r="S282" s="402"/>
      <c r="T282" s="402"/>
      <c r="U282" s="402"/>
      <c r="V282" s="402"/>
      <c r="W282" s="402"/>
      <c r="X282" s="402"/>
      <c r="Y282" s="402"/>
      <c r="Z282" s="402"/>
    </row>
    <row r="283" ht="14.25" customHeight="1">
      <c r="A283" s="406">
        <v>45513.0</v>
      </c>
      <c r="B283" s="607" t="s">
        <v>2149</v>
      </c>
      <c r="C283" s="607" t="s">
        <v>2206</v>
      </c>
      <c r="D283" s="349" t="s">
        <v>54</v>
      </c>
      <c r="E283" s="349" t="s">
        <v>2133</v>
      </c>
      <c r="F283" s="559">
        <v>5000.0</v>
      </c>
      <c r="G283" s="413">
        <v>0.0</v>
      </c>
      <c r="H283" s="455" t="s">
        <v>2296</v>
      </c>
      <c r="I283" s="404" t="str">
        <f t="shared" si="2"/>
        <v>NOT PAID</v>
      </c>
      <c r="J283" s="402"/>
      <c r="K283" s="402"/>
      <c r="L283" s="402"/>
      <c r="M283" s="402"/>
      <c r="N283" s="402"/>
      <c r="O283" s="402"/>
      <c r="P283" s="402"/>
      <c r="Q283" s="402"/>
      <c r="R283" s="402"/>
      <c r="S283" s="402"/>
      <c r="T283" s="402"/>
      <c r="U283" s="402"/>
      <c r="V283" s="402"/>
      <c r="W283" s="402"/>
      <c r="X283" s="402"/>
      <c r="Y283" s="402"/>
      <c r="Z283" s="402"/>
    </row>
    <row r="284" ht="14.25" customHeight="1">
      <c r="A284" s="406">
        <v>45513.0</v>
      </c>
      <c r="B284" s="607" t="s">
        <v>2152</v>
      </c>
      <c r="C284" s="607" t="s">
        <v>2153</v>
      </c>
      <c r="D284" s="349" t="s">
        <v>54</v>
      </c>
      <c r="E284" s="349" t="s">
        <v>2133</v>
      </c>
      <c r="F284" s="559">
        <v>23690.0</v>
      </c>
      <c r="G284" s="413">
        <v>0.0</v>
      </c>
      <c r="H284" s="455" t="s">
        <v>2284</v>
      </c>
      <c r="I284" s="404" t="str">
        <f t="shared" si="2"/>
        <v>NOT PAID</v>
      </c>
      <c r="J284" s="402"/>
      <c r="K284" s="402"/>
      <c r="L284" s="402"/>
      <c r="M284" s="402"/>
      <c r="N284" s="402"/>
      <c r="O284" s="402"/>
      <c r="P284" s="402"/>
      <c r="Q284" s="402"/>
      <c r="R284" s="402"/>
      <c r="S284" s="402"/>
      <c r="T284" s="402"/>
      <c r="U284" s="402"/>
      <c r="V284" s="402"/>
      <c r="W284" s="402"/>
      <c r="X284" s="402"/>
      <c r="Y284" s="402"/>
      <c r="Z284" s="402"/>
    </row>
    <row r="285" ht="14.25" customHeight="1">
      <c r="A285" s="406">
        <v>45513.0</v>
      </c>
      <c r="B285" s="419" t="s">
        <v>2208</v>
      </c>
      <c r="C285" s="408" t="s">
        <v>2132</v>
      </c>
      <c r="D285" s="408" t="s">
        <v>439</v>
      </c>
      <c r="E285" s="408" t="s">
        <v>2133</v>
      </c>
      <c r="F285" s="445">
        <v>4000.0</v>
      </c>
      <c r="G285" s="413">
        <v>0.0</v>
      </c>
      <c r="H285" s="349" t="s">
        <v>2271</v>
      </c>
      <c r="I285" s="404" t="str">
        <f t="shared" si="2"/>
        <v>NOT PAID</v>
      </c>
      <c r="J285" s="402"/>
      <c r="K285" s="402"/>
      <c r="L285" s="402"/>
      <c r="M285" s="402"/>
      <c r="N285" s="402"/>
      <c r="O285" s="402"/>
      <c r="P285" s="402"/>
      <c r="Q285" s="402"/>
      <c r="R285" s="402"/>
      <c r="S285" s="402"/>
      <c r="T285" s="402"/>
      <c r="U285" s="402"/>
      <c r="V285" s="402"/>
      <c r="W285" s="402"/>
      <c r="X285" s="402"/>
      <c r="Y285" s="402"/>
      <c r="Z285" s="402"/>
    </row>
    <row r="286" ht="14.25" customHeight="1">
      <c r="A286" s="406">
        <v>45513.0</v>
      </c>
      <c r="B286" s="349" t="s">
        <v>2143</v>
      </c>
      <c r="C286" s="349" t="s">
        <v>2144</v>
      </c>
      <c r="D286" s="349" t="s">
        <v>54</v>
      </c>
      <c r="E286" s="349" t="s">
        <v>2133</v>
      </c>
      <c r="F286" s="559">
        <v>6000.0</v>
      </c>
      <c r="G286" s="413">
        <v>6000.0</v>
      </c>
      <c r="H286" s="349" t="s">
        <v>401</v>
      </c>
      <c r="I286" s="404" t="str">
        <f t="shared" si="2"/>
        <v>FULLY PAID</v>
      </c>
      <c r="J286" s="402"/>
      <c r="K286" s="402"/>
      <c r="L286" s="402"/>
      <c r="M286" s="402"/>
      <c r="N286" s="402"/>
      <c r="O286" s="402"/>
      <c r="P286" s="402"/>
      <c r="Q286" s="402"/>
      <c r="R286" s="402"/>
      <c r="S286" s="402"/>
      <c r="T286" s="402"/>
      <c r="U286" s="402"/>
      <c r="V286" s="402"/>
      <c r="W286" s="402"/>
      <c r="X286" s="402"/>
      <c r="Y286" s="402"/>
      <c r="Z286" s="402"/>
    </row>
    <row r="287" ht="14.25" customHeight="1">
      <c r="A287" s="406">
        <v>45513.0</v>
      </c>
      <c r="B287" s="605" t="s">
        <v>2210</v>
      </c>
      <c r="C287" s="606" t="s">
        <v>2211</v>
      </c>
      <c r="D287" s="349" t="s">
        <v>54</v>
      </c>
      <c r="E287" s="349" t="s">
        <v>2133</v>
      </c>
      <c r="F287" s="615">
        <v>19238.0</v>
      </c>
      <c r="G287" s="413">
        <v>0.0</v>
      </c>
      <c r="H287" s="349" t="s">
        <v>2291</v>
      </c>
      <c r="I287" s="404" t="str">
        <f t="shared" si="2"/>
        <v>NOT PAID</v>
      </c>
      <c r="J287" s="402"/>
      <c r="K287" s="402"/>
      <c r="L287" s="402"/>
      <c r="M287" s="402"/>
      <c r="N287" s="402"/>
      <c r="O287" s="402"/>
      <c r="P287" s="402"/>
      <c r="Q287" s="402"/>
      <c r="R287" s="402"/>
      <c r="S287" s="402"/>
      <c r="T287" s="402"/>
      <c r="U287" s="402"/>
      <c r="V287" s="402"/>
      <c r="W287" s="402"/>
      <c r="X287" s="402"/>
      <c r="Y287" s="402"/>
      <c r="Z287" s="402"/>
    </row>
    <row r="288" ht="14.25" customHeight="1">
      <c r="A288" s="406">
        <v>45513.0</v>
      </c>
      <c r="B288" s="616" t="s">
        <v>2213</v>
      </c>
      <c r="C288" s="617" t="s">
        <v>2214</v>
      </c>
      <c r="D288" s="349" t="s">
        <v>54</v>
      </c>
      <c r="E288" s="349" t="s">
        <v>2133</v>
      </c>
      <c r="F288" s="618">
        <v>4620.0</v>
      </c>
      <c r="G288" s="413">
        <v>3500.0</v>
      </c>
      <c r="H288" s="349" t="s">
        <v>2256</v>
      </c>
      <c r="I288" s="404" t="str">
        <f t="shared" si="2"/>
        <v>PARTIALLY PAID</v>
      </c>
      <c r="J288" s="402"/>
      <c r="K288" s="402"/>
      <c r="L288" s="402"/>
      <c r="M288" s="402"/>
      <c r="N288" s="402"/>
      <c r="O288" s="402"/>
      <c r="P288" s="402"/>
      <c r="Q288" s="402"/>
      <c r="R288" s="402"/>
      <c r="S288" s="402"/>
      <c r="T288" s="402"/>
      <c r="U288" s="402"/>
      <c r="V288" s="402"/>
      <c r="W288" s="402"/>
      <c r="X288" s="402"/>
      <c r="Y288" s="402"/>
      <c r="Z288" s="402"/>
    </row>
    <row r="289" ht="14.25" customHeight="1">
      <c r="A289" s="406">
        <v>45513.0</v>
      </c>
      <c r="B289" s="616" t="s">
        <v>2218</v>
      </c>
      <c r="C289" s="617" t="s">
        <v>2219</v>
      </c>
      <c r="D289" s="349" t="s">
        <v>54</v>
      </c>
      <c r="E289" s="349" t="s">
        <v>2133</v>
      </c>
      <c r="F289" s="618">
        <v>1000.0</v>
      </c>
      <c r="G289" s="413">
        <v>0.0</v>
      </c>
      <c r="H289" s="349" t="s">
        <v>2297</v>
      </c>
      <c r="I289" s="404" t="str">
        <f t="shared" si="2"/>
        <v>NOT PAID</v>
      </c>
      <c r="J289" s="402"/>
      <c r="K289" s="402"/>
      <c r="L289" s="402"/>
      <c r="M289" s="402"/>
      <c r="N289" s="402"/>
      <c r="O289" s="402"/>
      <c r="P289" s="402"/>
      <c r="Q289" s="402"/>
      <c r="R289" s="402"/>
      <c r="S289" s="402"/>
      <c r="T289" s="402"/>
      <c r="U289" s="402"/>
      <c r="V289" s="402"/>
      <c r="W289" s="402"/>
      <c r="X289" s="402"/>
      <c r="Y289" s="402"/>
      <c r="Z289" s="402"/>
    </row>
    <row r="290" ht="14.25" customHeight="1">
      <c r="A290" s="406">
        <v>45513.0</v>
      </c>
      <c r="B290" s="605" t="s">
        <v>2221</v>
      </c>
      <c r="C290" s="606" t="s">
        <v>2222</v>
      </c>
      <c r="D290" s="349" t="s">
        <v>54</v>
      </c>
      <c r="E290" s="349" t="s">
        <v>2133</v>
      </c>
      <c r="F290" s="611">
        <v>32250.0</v>
      </c>
      <c r="G290" s="413">
        <v>0.0</v>
      </c>
      <c r="H290" s="455" t="s">
        <v>2284</v>
      </c>
      <c r="I290" s="404" t="str">
        <f t="shared" si="2"/>
        <v>NOT PAID</v>
      </c>
      <c r="J290" s="402"/>
      <c r="K290" s="402"/>
      <c r="L290" s="402"/>
      <c r="M290" s="402"/>
      <c r="N290" s="402"/>
      <c r="O290" s="402"/>
      <c r="P290" s="402"/>
      <c r="Q290" s="402"/>
      <c r="R290" s="402"/>
      <c r="S290" s="402"/>
      <c r="T290" s="402"/>
      <c r="U290" s="402"/>
      <c r="V290" s="402"/>
      <c r="W290" s="402"/>
      <c r="X290" s="402"/>
      <c r="Y290" s="402"/>
      <c r="Z290" s="402"/>
    </row>
    <row r="291" ht="14.25" customHeight="1">
      <c r="A291" s="406">
        <v>45513.0</v>
      </c>
      <c r="B291" s="605" t="s">
        <v>2231</v>
      </c>
      <c r="C291" s="619" t="s">
        <v>2232</v>
      </c>
      <c r="D291" s="349" t="s">
        <v>54</v>
      </c>
      <c r="E291" s="349" t="s">
        <v>2133</v>
      </c>
      <c r="F291" s="620">
        <v>31091.0</v>
      </c>
      <c r="G291" s="413">
        <v>0.0</v>
      </c>
      <c r="H291" s="484" t="s">
        <v>2258</v>
      </c>
      <c r="I291" s="404" t="str">
        <f t="shared" si="2"/>
        <v>NOT PAID</v>
      </c>
      <c r="J291" s="402"/>
      <c r="K291" s="402"/>
      <c r="L291" s="402"/>
      <c r="M291" s="402"/>
      <c r="N291" s="402"/>
      <c r="O291" s="402"/>
      <c r="P291" s="402"/>
      <c r="Q291" s="402"/>
      <c r="R291" s="402"/>
      <c r="S291" s="402"/>
      <c r="T291" s="402"/>
      <c r="U291" s="402"/>
      <c r="V291" s="402"/>
      <c r="W291" s="402"/>
      <c r="X291" s="402"/>
      <c r="Y291" s="402"/>
      <c r="Z291" s="402"/>
    </row>
    <row r="292" ht="14.25" customHeight="1">
      <c r="A292" s="406">
        <v>45513.0</v>
      </c>
      <c r="B292" s="640" t="s">
        <v>2196</v>
      </c>
      <c r="C292" s="629" t="s">
        <v>2246</v>
      </c>
      <c r="D292" s="349" t="s">
        <v>54</v>
      </c>
      <c r="E292" s="349" t="s">
        <v>2133</v>
      </c>
      <c r="F292" s="622">
        <v>126855.0</v>
      </c>
      <c r="G292" s="413">
        <v>0.0</v>
      </c>
      <c r="H292" s="455" t="s">
        <v>2298</v>
      </c>
      <c r="I292" s="404" t="str">
        <f t="shared" si="2"/>
        <v>NOT PAID</v>
      </c>
      <c r="J292" s="402"/>
      <c r="K292" s="402"/>
      <c r="L292" s="402"/>
      <c r="M292" s="402"/>
      <c r="N292" s="402"/>
      <c r="O292" s="402"/>
      <c r="P292" s="402"/>
      <c r="Q292" s="402"/>
      <c r="R292" s="402"/>
      <c r="S292" s="402"/>
      <c r="T292" s="402"/>
      <c r="U292" s="402"/>
      <c r="V292" s="402"/>
      <c r="W292" s="402"/>
      <c r="X292" s="402"/>
      <c r="Y292" s="402"/>
      <c r="Z292" s="402"/>
    </row>
    <row r="293" ht="14.25" customHeight="1">
      <c r="A293" s="406">
        <v>45513.0</v>
      </c>
      <c r="B293" s="642" t="s">
        <v>2235</v>
      </c>
      <c r="C293" s="623" t="s">
        <v>2236</v>
      </c>
      <c r="D293" s="630" t="s">
        <v>75</v>
      </c>
      <c r="E293" s="349" t="s">
        <v>2133</v>
      </c>
      <c r="F293" s="622">
        <v>34500.0</v>
      </c>
      <c r="G293" s="413">
        <v>0.0</v>
      </c>
      <c r="H293" s="455" t="s">
        <v>2284</v>
      </c>
      <c r="I293" s="404" t="str">
        <f t="shared" si="2"/>
        <v>NOT PAID</v>
      </c>
      <c r="J293" s="402"/>
      <c r="K293" s="402"/>
      <c r="L293" s="402"/>
      <c r="M293" s="402"/>
      <c r="N293" s="402"/>
      <c r="O293" s="402"/>
      <c r="P293" s="402"/>
      <c r="Q293" s="402"/>
      <c r="R293" s="402"/>
      <c r="S293" s="402"/>
      <c r="T293" s="402"/>
      <c r="U293" s="402"/>
      <c r="V293" s="402"/>
      <c r="W293" s="402"/>
      <c r="X293" s="402"/>
      <c r="Y293" s="402"/>
      <c r="Z293" s="402"/>
    </row>
    <row r="294" ht="14.25" customHeight="1">
      <c r="A294" s="406">
        <v>45513.0</v>
      </c>
      <c r="B294" s="594" t="s">
        <v>2275</v>
      </c>
      <c r="C294" s="512" t="s">
        <v>2276</v>
      </c>
      <c r="D294" s="635" t="s">
        <v>54</v>
      </c>
      <c r="E294" s="349" t="s">
        <v>2133</v>
      </c>
      <c r="F294" s="636">
        <v>40363.26</v>
      </c>
      <c r="G294" s="413">
        <v>0.0</v>
      </c>
      <c r="H294" s="455" t="s">
        <v>2299</v>
      </c>
      <c r="I294" s="404" t="str">
        <f t="shared" si="2"/>
        <v>NOT PAID</v>
      </c>
      <c r="J294" s="402"/>
      <c r="K294" s="402"/>
      <c r="L294" s="402"/>
      <c r="M294" s="402"/>
      <c r="N294" s="402"/>
      <c r="O294" s="402"/>
      <c r="P294" s="402"/>
      <c r="Q294" s="402"/>
      <c r="R294" s="402"/>
      <c r="S294" s="402"/>
      <c r="T294" s="402"/>
      <c r="U294" s="402"/>
      <c r="V294" s="402"/>
      <c r="W294" s="402"/>
      <c r="X294" s="402"/>
      <c r="Y294" s="402"/>
      <c r="Z294" s="402"/>
    </row>
    <row r="295" ht="14.25" customHeight="1">
      <c r="A295" s="406">
        <v>45513.0</v>
      </c>
      <c r="B295" s="596" t="s">
        <v>2278</v>
      </c>
      <c r="C295" s="513" t="s">
        <v>2279</v>
      </c>
      <c r="D295" s="637" t="s">
        <v>54</v>
      </c>
      <c r="E295" s="349" t="s">
        <v>2133</v>
      </c>
      <c r="F295" s="638">
        <v>107213.0</v>
      </c>
      <c r="G295" s="413">
        <v>0.0</v>
      </c>
      <c r="H295" s="349" t="s">
        <v>2280</v>
      </c>
      <c r="I295" s="404" t="str">
        <f t="shared" si="2"/>
        <v>NOT PAID</v>
      </c>
      <c r="J295" s="402"/>
      <c r="K295" s="402"/>
      <c r="L295" s="402"/>
      <c r="M295" s="402"/>
      <c r="N295" s="402"/>
      <c r="O295" s="402"/>
      <c r="P295" s="402"/>
      <c r="Q295" s="402"/>
      <c r="R295" s="402"/>
      <c r="S295" s="402"/>
      <c r="T295" s="402"/>
      <c r="U295" s="402"/>
      <c r="V295" s="402"/>
      <c r="W295" s="402"/>
      <c r="X295" s="402"/>
      <c r="Y295" s="402"/>
      <c r="Z295" s="402"/>
    </row>
    <row r="296" ht="14.25" customHeight="1">
      <c r="A296" s="406">
        <v>45513.0</v>
      </c>
      <c r="B296" s="512" t="s">
        <v>2288</v>
      </c>
      <c r="C296" s="512" t="s">
        <v>2203</v>
      </c>
      <c r="D296" s="635" t="s">
        <v>54</v>
      </c>
      <c r="E296" s="349" t="s">
        <v>2133</v>
      </c>
      <c r="F296" s="638">
        <v>12829.0</v>
      </c>
      <c r="G296" s="413">
        <v>0.0</v>
      </c>
      <c r="H296" s="349" t="s">
        <v>2300</v>
      </c>
      <c r="I296" s="404" t="str">
        <f t="shared" si="2"/>
        <v>NOT PAID</v>
      </c>
      <c r="J296" s="402"/>
      <c r="K296" s="402"/>
      <c r="L296" s="402"/>
      <c r="M296" s="402"/>
      <c r="N296" s="402"/>
      <c r="O296" s="402"/>
      <c r="P296" s="402"/>
      <c r="Q296" s="402"/>
      <c r="R296" s="402"/>
      <c r="S296" s="402"/>
      <c r="T296" s="402"/>
      <c r="U296" s="402"/>
      <c r="V296" s="402"/>
      <c r="W296" s="402"/>
      <c r="X296" s="402"/>
      <c r="Y296" s="402"/>
      <c r="Z296" s="402"/>
    </row>
    <row r="297" ht="14.25" customHeight="1">
      <c r="A297" s="406">
        <v>45513.0</v>
      </c>
      <c r="B297" s="512" t="s">
        <v>2294</v>
      </c>
      <c r="C297" s="512" t="s">
        <v>2153</v>
      </c>
      <c r="D297" s="635" t="s">
        <v>75</v>
      </c>
      <c r="E297" s="349" t="s">
        <v>2133</v>
      </c>
      <c r="F297" s="643">
        <v>97750.0</v>
      </c>
      <c r="G297" s="413">
        <v>0.0</v>
      </c>
      <c r="H297" s="349" t="s">
        <v>2295</v>
      </c>
      <c r="I297" s="404" t="str">
        <f t="shared" si="2"/>
        <v>NOT PAID</v>
      </c>
      <c r="J297" s="402"/>
      <c r="K297" s="402"/>
      <c r="L297" s="402"/>
      <c r="M297" s="402"/>
      <c r="N297" s="402"/>
      <c r="O297" s="402"/>
      <c r="P297" s="402"/>
      <c r="Q297" s="402"/>
      <c r="R297" s="402"/>
      <c r="S297" s="402"/>
      <c r="T297" s="402"/>
      <c r="U297" s="402"/>
      <c r="V297" s="402"/>
      <c r="W297" s="402"/>
      <c r="X297" s="402"/>
      <c r="Y297" s="402"/>
      <c r="Z297" s="402"/>
    </row>
    <row r="298" ht="14.25" customHeight="1">
      <c r="A298" s="406">
        <v>45513.0</v>
      </c>
      <c r="B298" s="512" t="s">
        <v>2301</v>
      </c>
      <c r="C298" s="512" t="s">
        <v>2302</v>
      </c>
      <c r="D298" s="635" t="s">
        <v>54</v>
      </c>
      <c r="E298" s="349" t="s">
        <v>2133</v>
      </c>
      <c r="F298" s="643">
        <v>30387.0</v>
      </c>
      <c r="G298" s="413">
        <v>0.0</v>
      </c>
      <c r="H298" s="349" t="s">
        <v>2290</v>
      </c>
      <c r="I298" s="404" t="str">
        <f t="shared" si="2"/>
        <v>NOT PAID</v>
      </c>
      <c r="J298" s="402"/>
      <c r="K298" s="402"/>
      <c r="L298" s="402"/>
      <c r="M298" s="402"/>
      <c r="N298" s="402"/>
      <c r="O298" s="402"/>
      <c r="P298" s="402"/>
      <c r="Q298" s="402"/>
      <c r="R298" s="402"/>
      <c r="S298" s="402"/>
      <c r="T298" s="402"/>
      <c r="U298" s="402"/>
      <c r="V298" s="402"/>
      <c r="W298" s="402"/>
      <c r="X298" s="402"/>
      <c r="Y298" s="402"/>
      <c r="Z298" s="402"/>
    </row>
    <row r="299" ht="14.25" customHeight="1">
      <c r="A299" s="406">
        <v>45513.0</v>
      </c>
      <c r="B299" s="512" t="s">
        <v>2303</v>
      </c>
      <c r="C299" s="512" t="s">
        <v>2304</v>
      </c>
      <c r="D299" s="635" t="s">
        <v>54</v>
      </c>
      <c r="E299" s="349" t="s">
        <v>2133</v>
      </c>
      <c r="F299" s="643">
        <v>19920.0</v>
      </c>
      <c r="G299" s="413">
        <v>0.0</v>
      </c>
      <c r="H299" s="349" t="s">
        <v>2270</v>
      </c>
      <c r="I299" s="404" t="str">
        <f t="shared" si="2"/>
        <v>NOT PAID</v>
      </c>
      <c r="J299" s="402"/>
      <c r="K299" s="402"/>
      <c r="L299" s="402"/>
      <c r="M299" s="402"/>
      <c r="N299" s="402"/>
      <c r="O299" s="402"/>
      <c r="P299" s="402"/>
      <c r="Q299" s="402"/>
      <c r="R299" s="402"/>
      <c r="S299" s="402"/>
      <c r="T299" s="402"/>
      <c r="U299" s="402"/>
      <c r="V299" s="402"/>
      <c r="W299" s="402"/>
      <c r="X299" s="402"/>
      <c r="Y299" s="402"/>
      <c r="Z299" s="402"/>
    </row>
    <row r="300" ht="14.25" customHeight="1">
      <c r="A300" s="406">
        <v>45513.0</v>
      </c>
      <c r="B300" s="513" t="s">
        <v>2305</v>
      </c>
      <c r="C300" s="513" t="s">
        <v>2306</v>
      </c>
      <c r="D300" s="637" t="s">
        <v>54</v>
      </c>
      <c r="E300" s="349" t="s">
        <v>2133</v>
      </c>
      <c r="F300" s="644">
        <v>56879.0</v>
      </c>
      <c r="G300" s="413">
        <v>0.0</v>
      </c>
      <c r="H300" s="349" t="s">
        <v>2307</v>
      </c>
      <c r="I300" s="404" t="str">
        <f t="shared" si="2"/>
        <v>NOT PAID</v>
      </c>
      <c r="J300" s="402"/>
      <c r="K300" s="402"/>
      <c r="L300" s="402"/>
      <c r="M300" s="402"/>
      <c r="N300" s="402"/>
      <c r="O300" s="402"/>
      <c r="P300" s="402"/>
      <c r="Q300" s="402"/>
      <c r="R300" s="402"/>
      <c r="S300" s="402"/>
      <c r="T300" s="402"/>
      <c r="U300" s="402"/>
      <c r="V300" s="402"/>
      <c r="W300" s="402"/>
      <c r="X300" s="402"/>
      <c r="Y300" s="402"/>
      <c r="Z300" s="402"/>
    </row>
    <row r="301" ht="14.25" customHeight="1">
      <c r="A301" s="406">
        <v>45513.0</v>
      </c>
      <c r="B301" s="513" t="s">
        <v>2308</v>
      </c>
      <c r="C301" s="513" t="s">
        <v>2179</v>
      </c>
      <c r="D301" s="637" t="s">
        <v>54</v>
      </c>
      <c r="E301" s="349" t="s">
        <v>2133</v>
      </c>
      <c r="F301" s="644">
        <v>10000.0</v>
      </c>
      <c r="G301" s="413">
        <v>10000.0</v>
      </c>
      <c r="H301" s="349" t="s">
        <v>401</v>
      </c>
      <c r="I301" s="404" t="str">
        <f t="shared" si="2"/>
        <v>FULLY PAID</v>
      </c>
      <c r="J301" s="402"/>
      <c r="K301" s="402"/>
      <c r="L301" s="402"/>
      <c r="M301" s="402"/>
      <c r="N301" s="402"/>
      <c r="O301" s="402"/>
      <c r="P301" s="402"/>
      <c r="Q301" s="402"/>
      <c r="R301" s="402"/>
      <c r="S301" s="402"/>
      <c r="T301" s="402"/>
      <c r="U301" s="402"/>
      <c r="V301" s="402"/>
      <c r="W301" s="402"/>
      <c r="X301" s="402"/>
      <c r="Y301" s="402"/>
      <c r="Z301" s="402"/>
    </row>
    <row r="302" ht="14.25" customHeight="1">
      <c r="A302" s="406">
        <v>45513.0</v>
      </c>
      <c r="B302" s="349" t="s">
        <v>2163</v>
      </c>
      <c r="C302" s="349" t="s">
        <v>2164</v>
      </c>
      <c r="D302" s="413" t="s">
        <v>59</v>
      </c>
      <c r="E302" s="349" t="s">
        <v>273</v>
      </c>
      <c r="F302" s="559">
        <v>200000.0</v>
      </c>
      <c r="G302" s="413">
        <v>0.0</v>
      </c>
      <c r="H302" s="349" t="s">
        <v>2290</v>
      </c>
      <c r="I302" s="404" t="str">
        <f t="shared" si="2"/>
        <v>NOT PAID</v>
      </c>
      <c r="J302" s="402"/>
      <c r="K302" s="402"/>
      <c r="L302" s="402"/>
      <c r="M302" s="402"/>
      <c r="N302" s="402"/>
      <c r="O302" s="402"/>
      <c r="P302" s="402"/>
      <c r="Q302" s="402"/>
      <c r="R302" s="402"/>
      <c r="S302" s="402"/>
      <c r="T302" s="402"/>
      <c r="U302" s="402"/>
      <c r="V302" s="402"/>
      <c r="W302" s="402"/>
      <c r="X302" s="402"/>
      <c r="Y302" s="402"/>
      <c r="Z302" s="402"/>
    </row>
    <row r="303" ht="14.25" customHeight="1">
      <c r="A303" s="406">
        <v>45513.0</v>
      </c>
      <c r="B303" s="596" t="s">
        <v>2160</v>
      </c>
      <c r="C303" s="596" t="s">
        <v>2161</v>
      </c>
      <c r="D303" s="601" t="s">
        <v>75</v>
      </c>
      <c r="E303" s="349" t="s">
        <v>2133</v>
      </c>
      <c r="F303" s="598">
        <v>230000.0</v>
      </c>
      <c r="G303" s="413">
        <v>0.0</v>
      </c>
      <c r="H303" s="349" t="s">
        <v>2270</v>
      </c>
      <c r="I303" s="404" t="str">
        <f t="shared" si="2"/>
        <v>NOT PAID</v>
      </c>
      <c r="J303" s="402"/>
      <c r="K303" s="402"/>
      <c r="L303" s="402"/>
      <c r="M303" s="402"/>
      <c r="N303" s="402"/>
      <c r="O303" s="402"/>
      <c r="P303" s="402"/>
      <c r="Q303" s="402"/>
      <c r="R303" s="402"/>
      <c r="S303" s="402"/>
      <c r="T303" s="402"/>
      <c r="U303" s="402"/>
      <c r="V303" s="402"/>
      <c r="W303" s="402"/>
      <c r="X303" s="402"/>
      <c r="Y303" s="402"/>
      <c r="Z303" s="402"/>
    </row>
    <row r="304" ht="14.25" customHeight="1">
      <c r="A304" s="406"/>
      <c r="B304" s="402"/>
      <c r="C304" s="402"/>
      <c r="D304" s="402"/>
      <c r="E304" s="402"/>
      <c r="F304" s="587"/>
      <c r="G304" s="403"/>
      <c r="H304" s="402"/>
      <c r="I304" s="404" t="str">
        <f t="shared" si="2"/>
        <v>FULLY PAID</v>
      </c>
      <c r="J304" s="402"/>
      <c r="K304" s="402"/>
      <c r="L304" s="402"/>
      <c r="M304" s="402"/>
      <c r="N304" s="402"/>
      <c r="O304" s="402"/>
      <c r="P304" s="402"/>
      <c r="Q304" s="402"/>
      <c r="R304" s="402"/>
      <c r="S304" s="402"/>
      <c r="T304" s="402"/>
      <c r="U304" s="402"/>
      <c r="V304" s="402"/>
      <c r="W304" s="402"/>
      <c r="X304" s="402"/>
      <c r="Y304" s="402"/>
      <c r="Z304" s="402"/>
    </row>
    <row r="305" ht="14.25" customHeight="1">
      <c r="A305" s="402"/>
      <c r="B305" s="402"/>
      <c r="C305" s="402"/>
      <c r="D305" s="402"/>
      <c r="E305" s="402"/>
      <c r="F305" s="587"/>
      <c r="G305" s="403"/>
      <c r="H305" s="402"/>
      <c r="I305" s="404" t="str">
        <f t="shared" si="2"/>
        <v>FULLY PAID</v>
      </c>
      <c r="J305" s="402"/>
      <c r="K305" s="402"/>
      <c r="L305" s="402"/>
      <c r="M305" s="402"/>
      <c r="N305" s="402"/>
      <c r="O305" s="402"/>
      <c r="P305" s="402"/>
      <c r="Q305" s="402"/>
      <c r="R305" s="402"/>
      <c r="S305" s="402"/>
      <c r="T305" s="402"/>
      <c r="U305" s="402"/>
      <c r="V305" s="402"/>
      <c r="W305" s="402"/>
      <c r="X305" s="402"/>
      <c r="Y305" s="402"/>
      <c r="Z305" s="402"/>
    </row>
    <row r="306" ht="14.25" customHeight="1">
      <c r="A306" s="402"/>
      <c r="B306" s="402"/>
      <c r="C306" s="402"/>
      <c r="D306" s="402"/>
      <c r="E306" s="402"/>
      <c r="F306" s="587"/>
      <c r="G306" s="403"/>
      <c r="H306" s="402"/>
      <c r="I306" s="404" t="str">
        <f t="shared" si="2"/>
        <v>FULLY PAID</v>
      </c>
      <c r="J306" s="402"/>
      <c r="K306" s="402"/>
      <c r="L306" s="402"/>
      <c r="M306" s="402"/>
      <c r="N306" s="402"/>
      <c r="O306" s="402"/>
      <c r="P306" s="402"/>
      <c r="Q306" s="402"/>
      <c r="R306" s="402"/>
      <c r="S306" s="402"/>
      <c r="T306" s="402"/>
      <c r="U306" s="402"/>
      <c r="V306" s="402"/>
      <c r="W306" s="402"/>
      <c r="X306" s="402"/>
      <c r="Y306" s="402"/>
      <c r="Z306" s="402"/>
    </row>
    <row r="307" ht="14.25" customHeight="1">
      <c r="A307" s="406">
        <v>45514.0</v>
      </c>
      <c r="B307" s="607" t="s">
        <v>2149</v>
      </c>
      <c r="C307" s="607" t="s">
        <v>2206</v>
      </c>
      <c r="D307" s="349" t="s">
        <v>54</v>
      </c>
      <c r="E307" s="349" t="s">
        <v>2133</v>
      </c>
      <c r="F307" s="559">
        <v>5000.0</v>
      </c>
      <c r="G307" s="413">
        <v>0.0</v>
      </c>
      <c r="H307" s="455" t="s">
        <v>2296</v>
      </c>
      <c r="I307" s="404" t="str">
        <f t="shared" si="2"/>
        <v>NOT PAID</v>
      </c>
      <c r="J307" s="402"/>
      <c r="K307" s="402"/>
      <c r="L307" s="402"/>
      <c r="M307" s="402"/>
      <c r="N307" s="402"/>
      <c r="O307" s="402"/>
      <c r="P307" s="402"/>
      <c r="Q307" s="402"/>
      <c r="R307" s="402"/>
      <c r="S307" s="402"/>
      <c r="T307" s="402"/>
      <c r="U307" s="402"/>
      <c r="V307" s="402"/>
      <c r="W307" s="402"/>
      <c r="X307" s="402"/>
      <c r="Y307" s="402"/>
      <c r="Z307" s="402"/>
    </row>
    <row r="308" ht="14.25" customHeight="1">
      <c r="A308" s="406">
        <v>45514.0</v>
      </c>
      <c r="B308" s="607" t="s">
        <v>2152</v>
      </c>
      <c r="C308" s="607" t="s">
        <v>2153</v>
      </c>
      <c r="D308" s="349" t="s">
        <v>54</v>
      </c>
      <c r="E308" s="349" t="s">
        <v>2133</v>
      </c>
      <c r="F308" s="559">
        <v>23690.0</v>
      </c>
      <c r="G308" s="413">
        <v>0.0</v>
      </c>
      <c r="H308" s="455" t="s">
        <v>2284</v>
      </c>
      <c r="I308" s="404" t="str">
        <f t="shared" si="2"/>
        <v>NOT PAID</v>
      </c>
      <c r="J308" s="402"/>
      <c r="K308" s="402"/>
      <c r="L308" s="402"/>
      <c r="M308" s="402"/>
      <c r="N308" s="402"/>
      <c r="O308" s="402"/>
      <c r="P308" s="402"/>
      <c r="Q308" s="402"/>
      <c r="R308" s="402"/>
      <c r="S308" s="402"/>
      <c r="T308" s="402"/>
      <c r="U308" s="402"/>
      <c r="V308" s="402"/>
      <c r="W308" s="402"/>
      <c r="X308" s="402"/>
      <c r="Y308" s="402"/>
      <c r="Z308" s="402"/>
    </row>
    <row r="309" ht="14.25" customHeight="1">
      <c r="A309" s="406">
        <v>45514.0</v>
      </c>
      <c r="B309" s="419" t="s">
        <v>2208</v>
      </c>
      <c r="C309" s="408" t="s">
        <v>2132</v>
      </c>
      <c r="D309" s="408" t="s">
        <v>439</v>
      </c>
      <c r="E309" s="408" t="s">
        <v>2133</v>
      </c>
      <c r="F309" s="445">
        <v>4000.0</v>
      </c>
      <c r="G309" s="413">
        <v>0.0</v>
      </c>
      <c r="H309" s="349" t="s">
        <v>2271</v>
      </c>
      <c r="I309" s="404" t="str">
        <f t="shared" si="2"/>
        <v>NOT PAID</v>
      </c>
      <c r="J309" s="402"/>
      <c r="K309" s="402"/>
      <c r="L309" s="402"/>
      <c r="M309" s="402"/>
      <c r="N309" s="402"/>
      <c r="O309" s="402"/>
      <c r="P309" s="402"/>
      <c r="Q309" s="402"/>
      <c r="R309" s="402"/>
      <c r="S309" s="402"/>
      <c r="T309" s="402"/>
      <c r="U309" s="402"/>
      <c r="V309" s="402"/>
      <c r="W309" s="402"/>
      <c r="X309" s="402"/>
      <c r="Y309" s="402"/>
      <c r="Z309" s="402"/>
    </row>
    <row r="310" ht="14.25" customHeight="1">
      <c r="A310" s="406">
        <v>45514.0</v>
      </c>
      <c r="B310" s="349" t="s">
        <v>2143</v>
      </c>
      <c r="C310" s="349" t="s">
        <v>2144</v>
      </c>
      <c r="D310" s="349" t="s">
        <v>54</v>
      </c>
      <c r="E310" s="349" t="s">
        <v>2133</v>
      </c>
      <c r="F310" s="559">
        <v>6000.0</v>
      </c>
      <c r="G310" s="413">
        <v>6000.0</v>
      </c>
      <c r="H310" s="349" t="s">
        <v>267</v>
      </c>
      <c r="I310" s="404" t="str">
        <f t="shared" si="2"/>
        <v>FULLY PAID</v>
      </c>
      <c r="J310" s="402"/>
      <c r="K310" s="402"/>
      <c r="L310" s="402"/>
      <c r="M310" s="402"/>
      <c r="N310" s="402"/>
      <c r="O310" s="402"/>
      <c r="P310" s="402"/>
      <c r="Q310" s="402"/>
      <c r="R310" s="402"/>
      <c r="S310" s="402"/>
      <c r="T310" s="402"/>
      <c r="U310" s="402"/>
      <c r="V310" s="402"/>
      <c r="W310" s="402"/>
      <c r="X310" s="402"/>
      <c r="Y310" s="402"/>
      <c r="Z310" s="402"/>
    </row>
    <row r="311" ht="14.25" customHeight="1">
      <c r="A311" s="406">
        <v>45514.0</v>
      </c>
      <c r="B311" s="605" t="s">
        <v>2210</v>
      </c>
      <c r="C311" s="606" t="s">
        <v>2211</v>
      </c>
      <c r="D311" s="349" t="s">
        <v>54</v>
      </c>
      <c r="E311" s="349" t="s">
        <v>2133</v>
      </c>
      <c r="F311" s="615">
        <v>19238.0</v>
      </c>
      <c r="G311" s="413">
        <v>0.0</v>
      </c>
      <c r="H311" s="349" t="s">
        <v>2309</v>
      </c>
      <c r="I311" s="404" t="str">
        <f t="shared" si="2"/>
        <v>NOT PAID</v>
      </c>
      <c r="J311" s="402"/>
      <c r="K311" s="402"/>
      <c r="L311" s="402"/>
      <c r="M311" s="402"/>
      <c r="N311" s="402"/>
      <c r="O311" s="402"/>
      <c r="P311" s="402"/>
      <c r="Q311" s="402"/>
      <c r="R311" s="402"/>
      <c r="S311" s="402"/>
      <c r="T311" s="402"/>
      <c r="U311" s="402"/>
      <c r="V311" s="402"/>
      <c r="W311" s="402"/>
      <c r="X311" s="402"/>
      <c r="Y311" s="402"/>
      <c r="Z311" s="402"/>
    </row>
    <row r="312" ht="14.25" customHeight="1">
      <c r="A312" s="406">
        <v>45514.0</v>
      </c>
      <c r="B312" s="616" t="s">
        <v>2213</v>
      </c>
      <c r="C312" s="617" t="s">
        <v>2214</v>
      </c>
      <c r="D312" s="349" t="s">
        <v>54</v>
      </c>
      <c r="E312" s="349" t="s">
        <v>2133</v>
      </c>
      <c r="F312" s="618">
        <v>1120.0</v>
      </c>
      <c r="G312" s="413">
        <v>0.0</v>
      </c>
      <c r="H312" s="349" t="s">
        <v>2256</v>
      </c>
      <c r="I312" s="404" t="str">
        <f t="shared" si="2"/>
        <v>NOT PAID</v>
      </c>
      <c r="J312" s="402"/>
      <c r="K312" s="402"/>
      <c r="L312" s="402"/>
      <c r="M312" s="402"/>
      <c r="N312" s="402"/>
      <c r="O312" s="402"/>
      <c r="P312" s="402"/>
      <c r="Q312" s="402"/>
      <c r="R312" s="402"/>
      <c r="S312" s="402"/>
      <c r="T312" s="402"/>
      <c r="U312" s="402"/>
      <c r="V312" s="402"/>
      <c r="W312" s="402"/>
      <c r="X312" s="402"/>
      <c r="Y312" s="402"/>
      <c r="Z312" s="402"/>
    </row>
    <row r="313" ht="14.25" customHeight="1">
      <c r="A313" s="406">
        <v>45514.0</v>
      </c>
      <c r="B313" s="616" t="s">
        <v>2218</v>
      </c>
      <c r="C313" s="617" t="s">
        <v>2219</v>
      </c>
      <c r="D313" s="349" t="s">
        <v>54</v>
      </c>
      <c r="E313" s="349" t="s">
        <v>2133</v>
      </c>
      <c r="F313" s="618">
        <v>1000.0</v>
      </c>
      <c r="G313" s="413">
        <v>0.0</v>
      </c>
      <c r="H313" s="349" t="s">
        <v>2297</v>
      </c>
      <c r="I313" s="404" t="str">
        <f t="shared" si="2"/>
        <v>NOT PAID</v>
      </c>
      <c r="J313" s="402"/>
      <c r="K313" s="402"/>
      <c r="L313" s="402"/>
      <c r="M313" s="402"/>
      <c r="N313" s="402"/>
      <c r="O313" s="402"/>
      <c r="P313" s="402"/>
      <c r="Q313" s="402"/>
      <c r="R313" s="402"/>
      <c r="S313" s="402"/>
      <c r="T313" s="402"/>
      <c r="U313" s="402"/>
      <c r="V313" s="402"/>
      <c r="W313" s="402"/>
      <c r="X313" s="402"/>
      <c r="Y313" s="402"/>
      <c r="Z313" s="402"/>
    </row>
    <row r="314" ht="14.25" customHeight="1">
      <c r="A314" s="406">
        <v>45514.0</v>
      </c>
      <c r="B314" s="605" t="s">
        <v>2221</v>
      </c>
      <c r="C314" s="606" t="s">
        <v>2222</v>
      </c>
      <c r="D314" s="349" t="s">
        <v>54</v>
      </c>
      <c r="E314" s="349" t="s">
        <v>2133</v>
      </c>
      <c r="F314" s="611">
        <v>32250.0</v>
      </c>
      <c r="G314" s="413">
        <v>0.0</v>
      </c>
      <c r="H314" s="455" t="s">
        <v>2284</v>
      </c>
      <c r="I314" s="404" t="str">
        <f t="shared" si="2"/>
        <v>NOT PAID</v>
      </c>
      <c r="J314" s="402"/>
      <c r="K314" s="402"/>
      <c r="L314" s="402"/>
      <c r="M314" s="402"/>
      <c r="N314" s="402"/>
      <c r="O314" s="402"/>
      <c r="P314" s="402"/>
      <c r="Q314" s="402"/>
      <c r="R314" s="402"/>
      <c r="S314" s="402"/>
      <c r="T314" s="402"/>
      <c r="U314" s="402"/>
      <c r="V314" s="402"/>
      <c r="W314" s="402"/>
      <c r="X314" s="402"/>
      <c r="Y314" s="402"/>
      <c r="Z314" s="402"/>
    </row>
    <row r="315" ht="14.25" customHeight="1">
      <c r="A315" s="406">
        <v>45514.0</v>
      </c>
      <c r="B315" s="605" t="s">
        <v>2231</v>
      </c>
      <c r="C315" s="619" t="s">
        <v>2232</v>
      </c>
      <c r="D315" s="349" t="s">
        <v>54</v>
      </c>
      <c r="E315" s="349" t="s">
        <v>2133</v>
      </c>
      <c r="F315" s="620">
        <v>31091.0</v>
      </c>
      <c r="G315" s="413">
        <v>0.0</v>
      </c>
      <c r="H315" s="484" t="s">
        <v>2258</v>
      </c>
      <c r="I315" s="404" t="str">
        <f t="shared" si="2"/>
        <v>NOT PAID</v>
      </c>
      <c r="J315" s="402"/>
      <c r="K315" s="402"/>
      <c r="L315" s="402"/>
      <c r="M315" s="402"/>
      <c r="N315" s="402"/>
      <c r="O315" s="402"/>
      <c r="P315" s="402"/>
      <c r="Q315" s="402"/>
      <c r="R315" s="402"/>
      <c r="S315" s="402"/>
      <c r="T315" s="402"/>
      <c r="U315" s="402"/>
      <c r="V315" s="402"/>
      <c r="W315" s="402"/>
      <c r="X315" s="402"/>
      <c r="Y315" s="402"/>
      <c r="Z315" s="402"/>
    </row>
    <row r="316" ht="14.25" customHeight="1">
      <c r="A316" s="406">
        <v>45514.0</v>
      </c>
      <c r="B316" s="640" t="s">
        <v>2196</v>
      </c>
      <c r="C316" s="629" t="s">
        <v>2246</v>
      </c>
      <c r="D316" s="349" t="s">
        <v>54</v>
      </c>
      <c r="E316" s="349" t="s">
        <v>2133</v>
      </c>
      <c r="F316" s="622">
        <v>126855.0</v>
      </c>
      <c r="G316" s="413">
        <v>0.0</v>
      </c>
      <c r="H316" s="455" t="s">
        <v>2298</v>
      </c>
      <c r="I316" s="404" t="str">
        <f t="shared" si="2"/>
        <v>NOT PAID</v>
      </c>
      <c r="J316" s="402"/>
      <c r="K316" s="402"/>
      <c r="L316" s="402"/>
      <c r="M316" s="402"/>
      <c r="N316" s="402"/>
      <c r="O316" s="402"/>
      <c r="P316" s="402"/>
      <c r="Q316" s="402"/>
      <c r="R316" s="402"/>
      <c r="S316" s="402"/>
      <c r="T316" s="402"/>
      <c r="U316" s="402"/>
      <c r="V316" s="402"/>
      <c r="W316" s="402"/>
      <c r="X316" s="402"/>
      <c r="Y316" s="402"/>
      <c r="Z316" s="402"/>
    </row>
    <row r="317" ht="14.25" customHeight="1">
      <c r="A317" s="406">
        <v>45514.0</v>
      </c>
      <c r="B317" s="642" t="s">
        <v>2235</v>
      </c>
      <c r="C317" s="623" t="s">
        <v>2236</v>
      </c>
      <c r="D317" s="630" t="s">
        <v>75</v>
      </c>
      <c r="E317" s="349" t="s">
        <v>2133</v>
      </c>
      <c r="F317" s="622">
        <v>34500.0</v>
      </c>
      <c r="G317" s="413">
        <v>0.0</v>
      </c>
      <c r="H317" s="455" t="s">
        <v>2284</v>
      </c>
      <c r="I317" s="404" t="str">
        <f t="shared" si="2"/>
        <v>NOT PAID</v>
      </c>
      <c r="J317" s="402"/>
      <c r="K317" s="402"/>
      <c r="L317" s="402"/>
      <c r="M317" s="402"/>
      <c r="N317" s="402"/>
      <c r="O317" s="402"/>
      <c r="P317" s="402"/>
      <c r="Q317" s="402"/>
      <c r="R317" s="402"/>
      <c r="S317" s="402"/>
      <c r="T317" s="402"/>
      <c r="U317" s="402"/>
      <c r="V317" s="402"/>
      <c r="W317" s="402"/>
      <c r="X317" s="402"/>
      <c r="Y317" s="402"/>
      <c r="Z317" s="402"/>
    </row>
    <row r="318" ht="14.25" customHeight="1">
      <c r="A318" s="406">
        <v>45514.0</v>
      </c>
      <c r="B318" s="594" t="s">
        <v>2275</v>
      </c>
      <c r="C318" s="512" t="s">
        <v>2276</v>
      </c>
      <c r="D318" s="635" t="s">
        <v>54</v>
      </c>
      <c r="E318" s="349" t="s">
        <v>2133</v>
      </c>
      <c r="F318" s="636">
        <v>40363.26</v>
      </c>
      <c r="G318" s="413">
        <v>0.0</v>
      </c>
      <c r="H318" s="349" t="s">
        <v>2310</v>
      </c>
      <c r="I318" s="404" t="str">
        <f t="shared" si="2"/>
        <v>NOT PAID</v>
      </c>
      <c r="J318" s="402"/>
      <c r="K318" s="402"/>
      <c r="L318" s="402"/>
      <c r="M318" s="402"/>
      <c r="N318" s="402"/>
      <c r="O318" s="402"/>
      <c r="P318" s="402"/>
      <c r="Q318" s="402"/>
      <c r="R318" s="402"/>
      <c r="S318" s="402"/>
      <c r="T318" s="402"/>
      <c r="U318" s="402"/>
      <c r="V318" s="402"/>
      <c r="W318" s="402"/>
      <c r="X318" s="402"/>
      <c r="Y318" s="402"/>
      <c r="Z318" s="402"/>
    </row>
    <row r="319" ht="14.25" customHeight="1">
      <c r="A319" s="406">
        <v>45514.0</v>
      </c>
      <c r="B319" s="596" t="s">
        <v>2278</v>
      </c>
      <c r="C319" s="513" t="s">
        <v>2279</v>
      </c>
      <c r="D319" s="637" t="s">
        <v>54</v>
      </c>
      <c r="E319" s="349" t="s">
        <v>2133</v>
      </c>
      <c r="F319" s="638">
        <v>107213.0</v>
      </c>
      <c r="G319" s="413">
        <v>0.0</v>
      </c>
      <c r="H319" s="349" t="s">
        <v>2280</v>
      </c>
      <c r="I319" s="404" t="str">
        <f t="shared" si="2"/>
        <v>NOT PAID</v>
      </c>
      <c r="J319" s="402"/>
      <c r="K319" s="402"/>
      <c r="L319" s="402"/>
      <c r="M319" s="402"/>
      <c r="N319" s="402"/>
      <c r="O319" s="402"/>
      <c r="P319" s="402"/>
      <c r="Q319" s="402"/>
      <c r="R319" s="402"/>
      <c r="S319" s="402"/>
      <c r="T319" s="402"/>
      <c r="U319" s="402"/>
      <c r="V319" s="402"/>
      <c r="W319" s="402"/>
      <c r="X319" s="402"/>
      <c r="Y319" s="402"/>
      <c r="Z319" s="402"/>
    </row>
    <row r="320" ht="14.25" customHeight="1">
      <c r="A320" s="406">
        <v>45514.0</v>
      </c>
      <c r="B320" s="512" t="s">
        <v>2288</v>
      </c>
      <c r="C320" s="512" t="s">
        <v>2203</v>
      </c>
      <c r="D320" s="635" t="s">
        <v>54</v>
      </c>
      <c r="E320" s="349" t="s">
        <v>2133</v>
      </c>
      <c r="F320" s="638">
        <v>12829.0</v>
      </c>
      <c r="G320" s="413">
        <v>0.0</v>
      </c>
      <c r="H320" s="349" t="s">
        <v>2287</v>
      </c>
      <c r="I320" s="404" t="str">
        <f t="shared" si="2"/>
        <v>NOT PAID</v>
      </c>
      <c r="J320" s="402"/>
      <c r="K320" s="402"/>
      <c r="L320" s="402"/>
      <c r="M320" s="402"/>
      <c r="N320" s="402"/>
      <c r="O320" s="402"/>
      <c r="P320" s="402"/>
      <c r="Q320" s="402"/>
      <c r="R320" s="402"/>
      <c r="S320" s="402"/>
      <c r="T320" s="402"/>
      <c r="U320" s="402"/>
      <c r="V320" s="402"/>
      <c r="W320" s="402"/>
      <c r="X320" s="402"/>
      <c r="Y320" s="402"/>
      <c r="Z320" s="402"/>
    </row>
    <row r="321" ht="14.25" customHeight="1">
      <c r="A321" s="406">
        <v>45514.0</v>
      </c>
      <c r="B321" s="512" t="s">
        <v>2294</v>
      </c>
      <c r="C321" s="512" t="s">
        <v>2153</v>
      </c>
      <c r="D321" s="635" t="s">
        <v>75</v>
      </c>
      <c r="E321" s="349" t="s">
        <v>2133</v>
      </c>
      <c r="F321" s="643">
        <v>97750.0</v>
      </c>
      <c r="G321" s="413">
        <v>0.0</v>
      </c>
      <c r="H321" s="349" t="s">
        <v>2295</v>
      </c>
      <c r="I321" s="404" t="str">
        <f t="shared" si="2"/>
        <v>NOT PAID</v>
      </c>
      <c r="J321" s="402"/>
      <c r="K321" s="402"/>
      <c r="L321" s="402"/>
      <c r="M321" s="402"/>
      <c r="N321" s="402"/>
      <c r="O321" s="402"/>
      <c r="P321" s="402"/>
      <c r="Q321" s="402"/>
      <c r="R321" s="402"/>
      <c r="S321" s="402"/>
      <c r="T321" s="402"/>
      <c r="U321" s="402"/>
      <c r="V321" s="402"/>
      <c r="W321" s="402"/>
      <c r="X321" s="402"/>
      <c r="Y321" s="402"/>
      <c r="Z321" s="402"/>
    </row>
    <row r="322" ht="14.25" customHeight="1">
      <c r="A322" s="406">
        <v>45514.0</v>
      </c>
      <c r="B322" s="512" t="s">
        <v>2301</v>
      </c>
      <c r="C322" s="512" t="s">
        <v>2302</v>
      </c>
      <c r="D322" s="635" t="s">
        <v>54</v>
      </c>
      <c r="E322" s="349" t="s">
        <v>2133</v>
      </c>
      <c r="F322" s="643">
        <v>30387.0</v>
      </c>
      <c r="G322" s="413">
        <v>0.0</v>
      </c>
      <c r="H322" s="349" t="s">
        <v>2311</v>
      </c>
      <c r="I322" s="404" t="str">
        <f t="shared" si="2"/>
        <v>NOT PAID</v>
      </c>
      <c r="J322" s="402"/>
      <c r="K322" s="402"/>
      <c r="L322" s="402"/>
      <c r="M322" s="402"/>
      <c r="N322" s="402"/>
      <c r="O322" s="402"/>
      <c r="P322" s="402"/>
      <c r="Q322" s="402"/>
      <c r="R322" s="402"/>
      <c r="S322" s="402"/>
      <c r="T322" s="402"/>
      <c r="U322" s="402"/>
      <c r="V322" s="402"/>
      <c r="W322" s="402"/>
      <c r="X322" s="402"/>
      <c r="Y322" s="402"/>
      <c r="Z322" s="402"/>
    </row>
    <row r="323" ht="14.25" customHeight="1">
      <c r="A323" s="406">
        <v>45514.0</v>
      </c>
      <c r="B323" s="512" t="s">
        <v>2303</v>
      </c>
      <c r="C323" s="512" t="s">
        <v>2304</v>
      </c>
      <c r="D323" s="635" t="s">
        <v>54</v>
      </c>
      <c r="E323" s="349" t="s">
        <v>2133</v>
      </c>
      <c r="F323" s="643">
        <v>9960.0</v>
      </c>
      <c r="G323" s="413">
        <v>0.0</v>
      </c>
      <c r="H323" s="349" t="s">
        <v>2311</v>
      </c>
      <c r="I323" s="404" t="str">
        <f t="shared" si="2"/>
        <v>NOT PAID</v>
      </c>
      <c r="J323" s="402"/>
      <c r="K323" s="402"/>
      <c r="L323" s="402"/>
      <c r="M323" s="402"/>
      <c r="N323" s="402"/>
      <c r="O323" s="402"/>
      <c r="P323" s="402"/>
      <c r="Q323" s="402"/>
      <c r="R323" s="402"/>
      <c r="S323" s="402"/>
      <c r="T323" s="402"/>
      <c r="U323" s="402"/>
      <c r="V323" s="402"/>
      <c r="W323" s="402"/>
      <c r="X323" s="402"/>
      <c r="Y323" s="402"/>
      <c r="Z323" s="402"/>
    </row>
    <row r="324" ht="14.25" customHeight="1">
      <c r="A324" s="406">
        <v>45514.0</v>
      </c>
      <c r="B324" s="513" t="s">
        <v>2305</v>
      </c>
      <c r="C324" s="513" t="s">
        <v>2306</v>
      </c>
      <c r="D324" s="637" t="s">
        <v>54</v>
      </c>
      <c r="E324" s="349" t="s">
        <v>2133</v>
      </c>
      <c r="F324" s="644">
        <v>56879.0</v>
      </c>
      <c r="G324" s="413">
        <v>8000.0</v>
      </c>
      <c r="H324" s="349" t="s">
        <v>2307</v>
      </c>
      <c r="I324" s="404" t="str">
        <f t="shared" si="2"/>
        <v>PARTIALLY PAID</v>
      </c>
      <c r="J324" s="402"/>
      <c r="K324" s="402"/>
      <c r="L324" s="402"/>
      <c r="M324" s="402"/>
      <c r="N324" s="402"/>
      <c r="O324" s="402"/>
      <c r="P324" s="402"/>
      <c r="Q324" s="402"/>
      <c r="R324" s="402"/>
      <c r="S324" s="402"/>
      <c r="T324" s="402"/>
      <c r="U324" s="402"/>
      <c r="V324" s="402"/>
      <c r="W324" s="402"/>
      <c r="X324" s="402"/>
      <c r="Y324" s="402"/>
      <c r="Z324" s="402"/>
    </row>
    <row r="325" ht="14.25" customHeight="1">
      <c r="A325" s="406">
        <v>45514.0</v>
      </c>
      <c r="B325" s="349" t="s">
        <v>2163</v>
      </c>
      <c r="C325" s="349" t="s">
        <v>2164</v>
      </c>
      <c r="D325" s="413" t="s">
        <v>59</v>
      </c>
      <c r="E325" s="349" t="s">
        <v>273</v>
      </c>
      <c r="F325" s="559">
        <v>200000.0</v>
      </c>
      <c r="G325" s="413">
        <v>0.0</v>
      </c>
      <c r="H325" s="349" t="s">
        <v>2290</v>
      </c>
      <c r="I325" s="404" t="str">
        <f t="shared" si="2"/>
        <v>NOT PAID</v>
      </c>
      <c r="J325" s="402"/>
      <c r="K325" s="402"/>
      <c r="L325" s="402"/>
      <c r="M325" s="402"/>
      <c r="N325" s="402"/>
      <c r="O325" s="402"/>
      <c r="P325" s="402"/>
      <c r="Q325" s="402"/>
      <c r="R325" s="402"/>
      <c r="S325" s="402"/>
      <c r="T325" s="402"/>
      <c r="U325" s="402"/>
      <c r="V325" s="402"/>
      <c r="W325" s="402"/>
      <c r="X325" s="402"/>
      <c r="Y325" s="402"/>
      <c r="Z325" s="402"/>
    </row>
    <row r="326" ht="14.25" customHeight="1">
      <c r="A326" s="406">
        <v>45514.0</v>
      </c>
      <c r="B326" s="596" t="s">
        <v>2160</v>
      </c>
      <c r="C326" s="596" t="s">
        <v>2161</v>
      </c>
      <c r="D326" s="601" t="s">
        <v>75</v>
      </c>
      <c r="E326" s="349" t="s">
        <v>2133</v>
      </c>
      <c r="F326" s="598">
        <v>230000.0</v>
      </c>
      <c r="G326" s="413">
        <v>0.0</v>
      </c>
      <c r="H326" s="349" t="s">
        <v>2270</v>
      </c>
      <c r="I326" s="404" t="str">
        <f t="shared" si="2"/>
        <v>NOT PAID</v>
      </c>
      <c r="J326" s="402"/>
      <c r="K326" s="402"/>
      <c r="L326" s="402"/>
      <c r="M326" s="402"/>
      <c r="N326" s="402"/>
      <c r="O326" s="402"/>
      <c r="P326" s="402"/>
      <c r="Q326" s="402"/>
      <c r="R326" s="402"/>
      <c r="S326" s="402"/>
      <c r="T326" s="402"/>
      <c r="U326" s="402"/>
      <c r="V326" s="402"/>
      <c r="W326" s="402"/>
      <c r="X326" s="402"/>
      <c r="Y326" s="402"/>
      <c r="Z326" s="402"/>
    </row>
    <row r="327" ht="14.25" customHeight="1">
      <c r="A327" s="406"/>
      <c r="B327" s="402"/>
      <c r="C327" s="402"/>
      <c r="D327" s="402"/>
      <c r="E327" s="402"/>
      <c r="F327" s="587"/>
      <c r="G327" s="403"/>
      <c r="H327" s="402"/>
      <c r="I327" s="404" t="str">
        <f t="shared" si="2"/>
        <v>FULLY PAID</v>
      </c>
      <c r="J327" s="402"/>
      <c r="K327" s="402"/>
      <c r="L327" s="402"/>
      <c r="M327" s="402"/>
      <c r="N327" s="402"/>
      <c r="O327" s="402"/>
      <c r="P327" s="402"/>
      <c r="Q327" s="402"/>
      <c r="R327" s="402"/>
      <c r="S327" s="402"/>
      <c r="T327" s="402"/>
      <c r="U327" s="402"/>
      <c r="V327" s="402"/>
      <c r="W327" s="402"/>
      <c r="X327" s="402"/>
      <c r="Y327" s="402"/>
      <c r="Z327" s="402"/>
    </row>
    <row r="328" ht="14.25" customHeight="1">
      <c r="A328" s="402"/>
      <c r="B328" s="402"/>
      <c r="C328" s="402"/>
      <c r="D328" s="402"/>
      <c r="E328" s="402"/>
      <c r="F328" s="587"/>
      <c r="G328" s="403"/>
      <c r="H328" s="402"/>
      <c r="I328" s="404" t="str">
        <f t="shared" si="2"/>
        <v>FULLY PAID</v>
      </c>
      <c r="J328" s="402"/>
      <c r="K328" s="402"/>
      <c r="L328" s="402"/>
      <c r="M328" s="402"/>
      <c r="N328" s="402"/>
      <c r="O328" s="402"/>
      <c r="P328" s="402"/>
      <c r="Q328" s="402"/>
      <c r="R328" s="402"/>
      <c r="S328" s="402"/>
      <c r="T328" s="402"/>
      <c r="U328" s="402"/>
      <c r="V328" s="402"/>
      <c r="W328" s="402"/>
      <c r="X328" s="402"/>
      <c r="Y328" s="402"/>
      <c r="Z328" s="402"/>
    </row>
    <row r="329" ht="14.25" customHeight="1">
      <c r="A329" s="402"/>
      <c r="B329" s="402"/>
      <c r="C329" s="402"/>
      <c r="D329" s="402"/>
      <c r="E329" s="402"/>
      <c r="F329" s="587"/>
      <c r="G329" s="403"/>
      <c r="H329" s="402"/>
      <c r="I329" s="404" t="str">
        <f t="shared" si="2"/>
        <v>FULLY PAID</v>
      </c>
      <c r="J329" s="402"/>
      <c r="K329" s="402"/>
      <c r="L329" s="402"/>
      <c r="M329" s="402"/>
      <c r="N329" s="402"/>
      <c r="O329" s="402"/>
      <c r="P329" s="402"/>
      <c r="Q329" s="402"/>
      <c r="R329" s="402"/>
      <c r="S329" s="402"/>
      <c r="T329" s="402"/>
      <c r="U329" s="402"/>
      <c r="V329" s="402"/>
      <c r="W329" s="402"/>
      <c r="X329" s="402"/>
      <c r="Y329" s="402"/>
      <c r="Z329" s="402"/>
    </row>
    <row r="330" ht="14.25" customHeight="1">
      <c r="A330" s="406">
        <v>45516.0</v>
      </c>
      <c r="B330" s="607" t="s">
        <v>2149</v>
      </c>
      <c r="C330" s="607" t="s">
        <v>2206</v>
      </c>
      <c r="D330" s="349" t="s">
        <v>54</v>
      </c>
      <c r="E330" s="349" t="s">
        <v>2133</v>
      </c>
      <c r="F330" s="559">
        <v>5000.0</v>
      </c>
      <c r="G330" s="413">
        <v>0.0</v>
      </c>
      <c r="H330" s="455" t="s">
        <v>2296</v>
      </c>
      <c r="I330" s="404" t="str">
        <f t="shared" si="2"/>
        <v>NOT PAID</v>
      </c>
      <c r="J330" s="402"/>
      <c r="K330" s="402"/>
      <c r="L330" s="402"/>
      <c r="M330" s="402"/>
      <c r="N330" s="402"/>
      <c r="O330" s="402"/>
      <c r="P330" s="402"/>
      <c r="Q330" s="402"/>
      <c r="R330" s="402"/>
      <c r="S330" s="402"/>
      <c r="T330" s="402"/>
      <c r="U330" s="402"/>
      <c r="V330" s="402"/>
      <c r="W330" s="402"/>
      <c r="X330" s="402"/>
      <c r="Y330" s="402"/>
      <c r="Z330" s="402"/>
    </row>
    <row r="331" ht="14.25" customHeight="1">
      <c r="A331" s="406">
        <v>45516.0</v>
      </c>
      <c r="B331" s="607" t="s">
        <v>2152</v>
      </c>
      <c r="C331" s="607" t="s">
        <v>2153</v>
      </c>
      <c r="D331" s="349" t="s">
        <v>54</v>
      </c>
      <c r="E331" s="349" t="s">
        <v>2133</v>
      </c>
      <c r="F331" s="559">
        <v>23690.0</v>
      </c>
      <c r="G331" s="413">
        <v>30000.0</v>
      </c>
      <c r="H331" s="349" t="s">
        <v>401</v>
      </c>
      <c r="I331" s="404" t="str">
        <f t="shared" si="2"/>
        <v>FULLY PAID</v>
      </c>
      <c r="J331" s="402"/>
      <c r="K331" s="402"/>
      <c r="L331" s="402"/>
      <c r="M331" s="402"/>
      <c r="N331" s="402"/>
      <c r="O331" s="402"/>
      <c r="P331" s="402"/>
      <c r="Q331" s="402"/>
      <c r="R331" s="402"/>
      <c r="S331" s="402"/>
      <c r="T331" s="402"/>
      <c r="U331" s="402"/>
      <c r="V331" s="402"/>
      <c r="W331" s="402"/>
      <c r="X331" s="402"/>
      <c r="Y331" s="402"/>
      <c r="Z331" s="402"/>
    </row>
    <row r="332" ht="14.25" customHeight="1">
      <c r="A332" s="406">
        <v>45516.0</v>
      </c>
      <c r="B332" s="419" t="s">
        <v>2208</v>
      </c>
      <c r="C332" s="408" t="s">
        <v>2132</v>
      </c>
      <c r="D332" s="408" t="s">
        <v>439</v>
      </c>
      <c r="E332" s="408" t="s">
        <v>2133</v>
      </c>
      <c r="F332" s="445">
        <v>4000.0</v>
      </c>
      <c r="G332" s="413">
        <v>0.0</v>
      </c>
      <c r="H332" s="349" t="s">
        <v>2271</v>
      </c>
      <c r="I332" s="404" t="str">
        <f t="shared" si="2"/>
        <v>NOT PAID</v>
      </c>
      <c r="J332" s="402"/>
      <c r="K332" s="402"/>
      <c r="L332" s="402"/>
      <c r="M332" s="402"/>
      <c r="N332" s="402"/>
      <c r="O332" s="402"/>
      <c r="P332" s="402"/>
      <c r="Q332" s="402"/>
      <c r="R332" s="402"/>
      <c r="S332" s="402"/>
      <c r="T332" s="402"/>
      <c r="U332" s="402"/>
      <c r="V332" s="402"/>
      <c r="W332" s="402"/>
      <c r="X332" s="402"/>
      <c r="Y332" s="402"/>
      <c r="Z332" s="402"/>
    </row>
    <row r="333" ht="14.25" customHeight="1">
      <c r="A333" s="406">
        <v>45516.0</v>
      </c>
      <c r="B333" s="349" t="s">
        <v>2143</v>
      </c>
      <c r="C333" s="349" t="s">
        <v>2144</v>
      </c>
      <c r="D333" s="349" t="s">
        <v>54</v>
      </c>
      <c r="E333" s="349" t="s">
        <v>2133</v>
      </c>
      <c r="F333" s="559">
        <v>6000.0</v>
      </c>
      <c r="G333" s="413">
        <v>6000.0</v>
      </c>
      <c r="H333" s="349" t="s">
        <v>401</v>
      </c>
      <c r="I333" s="404" t="str">
        <f t="shared" si="2"/>
        <v>FULLY PAID</v>
      </c>
      <c r="J333" s="402"/>
      <c r="K333" s="402"/>
      <c r="L333" s="402"/>
      <c r="M333" s="402"/>
      <c r="N333" s="402"/>
      <c r="O333" s="402"/>
      <c r="P333" s="402"/>
      <c r="Q333" s="402"/>
      <c r="R333" s="402"/>
      <c r="S333" s="402"/>
      <c r="T333" s="402"/>
      <c r="U333" s="402"/>
      <c r="V333" s="402"/>
      <c r="W333" s="402"/>
      <c r="X333" s="402"/>
      <c r="Y333" s="402"/>
      <c r="Z333" s="402"/>
    </row>
    <row r="334" ht="14.25" customHeight="1">
      <c r="A334" s="406">
        <v>45516.0</v>
      </c>
      <c r="B334" s="605" t="s">
        <v>2210</v>
      </c>
      <c r="C334" s="606" t="s">
        <v>2211</v>
      </c>
      <c r="D334" s="349" t="s">
        <v>54</v>
      </c>
      <c r="E334" s="349" t="s">
        <v>2133</v>
      </c>
      <c r="F334" s="615">
        <v>19238.0</v>
      </c>
      <c r="G334" s="413">
        <v>0.0</v>
      </c>
      <c r="H334" s="349" t="s">
        <v>2309</v>
      </c>
      <c r="I334" s="404" t="str">
        <f t="shared" si="2"/>
        <v>NOT PAID</v>
      </c>
      <c r="J334" s="402"/>
      <c r="K334" s="402"/>
      <c r="L334" s="402"/>
      <c r="M334" s="402"/>
      <c r="N334" s="402"/>
      <c r="O334" s="402"/>
      <c r="P334" s="402"/>
      <c r="Q334" s="402"/>
      <c r="R334" s="402"/>
      <c r="S334" s="402"/>
      <c r="T334" s="402"/>
      <c r="U334" s="402"/>
      <c r="V334" s="402"/>
      <c r="W334" s="402"/>
      <c r="X334" s="402"/>
      <c r="Y334" s="402"/>
      <c r="Z334" s="402"/>
    </row>
    <row r="335" ht="14.25" customHeight="1">
      <c r="A335" s="406">
        <v>45516.0</v>
      </c>
      <c r="B335" s="616" t="s">
        <v>2213</v>
      </c>
      <c r="C335" s="617" t="s">
        <v>2214</v>
      </c>
      <c r="D335" s="349" t="s">
        <v>54</v>
      </c>
      <c r="E335" s="349" t="s">
        <v>2133</v>
      </c>
      <c r="F335" s="618">
        <v>1120.0</v>
      </c>
      <c r="G335" s="413">
        <v>0.0</v>
      </c>
      <c r="H335" s="349" t="s">
        <v>2256</v>
      </c>
      <c r="I335" s="404" t="str">
        <f t="shared" si="2"/>
        <v>NOT PAID</v>
      </c>
      <c r="J335" s="402"/>
      <c r="K335" s="402"/>
      <c r="L335" s="402"/>
      <c r="M335" s="402"/>
      <c r="N335" s="402"/>
      <c r="O335" s="402"/>
      <c r="P335" s="402"/>
      <c r="Q335" s="402"/>
      <c r="R335" s="402"/>
      <c r="S335" s="402"/>
      <c r="T335" s="402"/>
      <c r="U335" s="402"/>
      <c r="V335" s="402"/>
      <c r="W335" s="402"/>
      <c r="X335" s="402"/>
      <c r="Y335" s="402"/>
      <c r="Z335" s="402"/>
    </row>
    <row r="336" ht="14.25" customHeight="1">
      <c r="A336" s="406">
        <v>45516.0</v>
      </c>
      <c r="B336" s="605" t="s">
        <v>2221</v>
      </c>
      <c r="C336" s="606" t="s">
        <v>2222</v>
      </c>
      <c r="D336" s="349" t="s">
        <v>54</v>
      </c>
      <c r="E336" s="349" t="s">
        <v>2133</v>
      </c>
      <c r="F336" s="611">
        <v>32250.0</v>
      </c>
      <c r="G336" s="413">
        <v>0.0</v>
      </c>
      <c r="H336" s="455" t="s">
        <v>2284</v>
      </c>
      <c r="I336" s="404" t="str">
        <f t="shared" si="2"/>
        <v>NOT PAID</v>
      </c>
      <c r="J336" s="402"/>
      <c r="K336" s="402"/>
      <c r="L336" s="402"/>
      <c r="M336" s="402"/>
      <c r="N336" s="402"/>
      <c r="O336" s="402"/>
      <c r="P336" s="402"/>
      <c r="Q336" s="402"/>
      <c r="R336" s="402"/>
      <c r="S336" s="402"/>
      <c r="T336" s="402"/>
      <c r="U336" s="402"/>
      <c r="V336" s="402"/>
      <c r="W336" s="402"/>
      <c r="X336" s="402"/>
      <c r="Y336" s="402"/>
      <c r="Z336" s="402"/>
    </row>
    <row r="337" ht="14.25" customHeight="1">
      <c r="A337" s="406">
        <v>45516.0</v>
      </c>
      <c r="B337" s="605" t="s">
        <v>2231</v>
      </c>
      <c r="C337" s="619" t="s">
        <v>2232</v>
      </c>
      <c r="D337" s="349" t="s">
        <v>54</v>
      </c>
      <c r="E337" s="349" t="s">
        <v>2133</v>
      </c>
      <c r="F337" s="620">
        <v>31091.0</v>
      </c>
      <c r="G337" s="413">
        <v>15000.0</v>
      </c>
      <c r="H337" s="484" t="s">
        <v>2312</v>
      </c>
      <c r="I337" s="404" t="str">
        <f t="shared" si="2"/>
        <v>PARTIALLY PAID</v>
      </c>
      <c r="J337" s="402"/>
      <c r="K337" s="402"/>
      <c r="L337" s="402"/>
      <c r="M337" s="402"/>
      <c r="N337" s="402"/>
      <c r="O337" s="402"/>
      <c r="P337" s="402"/>
      <c r="Q337" s="402"/>
      <c r="R337" s="402"/>
      <c r="S337" s="402"/>
      <c r="T337" s="402"/>
      <c r="U337" s="402"/>
      <c r="V337" s="402"/>
      <c r="W337" s="402"/>
      <c r="X337" s="402"/>
      <c r="Y337" s="402"/>
      <c r="Z337" s="402"/>
    </row>
    <row r="338" ht="14.25" customHeight="1">
      <c r="A338" s="406">
        <v>45516.0</v>
      </c>
      <c r="B338" s="640" t="s">
        <v>2196</v>
      </c>
      <c r="C338" s="629" t="s">
        <v>2246</v>
      </c>
      <c r="D338" s="349" t="s">
        <v>54</v>
      </c>
      <c r="E338" s="349" t="s">
        <v>2133</v>
      </c>
      <c r="F338" s="622">
        <v>126855.0</v>
      </c>
      <c r="G338" s="413">
        <v>0.0</v>
      </c>
      <c r="H338" s="455" t="s">
        <v>2313</v>
      </c>
      <c r="I338" s="404" t="str">
        <f t="shared" si="2"/>
        <v>NOT PAID</v>
      </c>
      <c r="J338" s="402"/>
      <c r="K338" s="402"/>
      <c r="L338" s="402"/>
      <c r="M338" s="402"/>
      <c r="N338" s="402"/>
      <c r="O338" s="402"/>
      <c r="P338" s="402"/>
      <c r="Q338" s="402"/>
      <c r="R338" s="402"/>
      <c r="S338" s="402"/>
      <c r="T338" s="402"/>
      <c r="U338" s="402"/>
      <c r="V338" s="402"/>
      <c r="W338" s="402"/>
      <c r="X338" s="402"/>
      <c r="Y338" s="402"/>
      <c r="Z338" s="402"/>
    </row>
    <row r="339" ht="14.25" customHeight="1">
      <c r="A339" s="406">
        <v>45516.0</v>
      </c>
      <c r="B339" s="642" t="s">
        <v>2235</v>
      </c>
      <c r="C339" s="623" t="s">
        <v>2236</v>
      </c>
      <c r="D339" s="630" t="s">
        <v>75</v>
      </c>
      <c r="E339" s="349" t="s">
        <v>2133</v>
      </c>
      <c r="F339" s="622">
        <v>34500.0</v>
      </c>
      <c r="G339" s="413">
        <v>0.0</v>
      </c>
      <c r="H339" s="349" t="s">
        <v>2314</v>
      </c>
      <c r="I339" s="404" t="str">
        <f t="shared" si="2"/>
        <v>NOT PAID</v>
      </c>
      <c r="J339" s="402"/>
      <c r="K339" s="402"/>
      <c r="L339" s="402"/>
      <c r="M339" s="402"/>
      <c r="N339" s="402"/>
      <c r="O339" s="402"/>
      <c r="P339" s="402"/>
      <c r="Q339" s="402"/>
      <c r="R339" s="402"/>
      <c r="S339" s="402"/>
      <c r="T339" s="402"/>
      <c r="U339" s="402"/>
      <c r="V339" s="402"/>
      <c r="W339" s="402"/>
      <c r="X339" s="402"/>
      <c r="Y339" s="402"/>
      <c r="Z339" s="402"/>
    </row>
    <row r="340" ht="14.25" customHeight="1">
      <c r="A340" s="406">
        <v>45516.0</v>
      </c>
      <c r="B340" s="594" t="s">
        <v>2275</v>
      </c>
      <c r="C340" s="512" t="s">
        <v>2276</v>
      </c>
      <c r="D340" s="635" t="s">
        <v>54</v>
      </c>
      <c r="E340" s="349" t="s">
        <v>2133</v>
      </c>
      <c r="F340" s="636">
        <v>40363.26</v>
      </c>
      <c r="G340" s="413">
        <v>0.0</v>
      </c>
      <c r="H340" s="349" t="s">
        <v>2315</v>
      </c>
      <c r="I340" s="404" t="str">
        <f t="shared" si="2"/>
        <v>NOT PAID</v>
      </c>
      <c r="J340" s="402"/>
      <c r="K340" s="402"/>
      <c r="L340" s="402"/>
      <c r="M340" s="402"/>
      <c r="N340" s="402"/>
      <c r="O340" s="402"/>
      <c r="P340" s="402"/>
      <c r="Q340" s="402"/>
      <c r="R340" s="402"/>
      <c r="S340" s="402"/>
      <c r="T340" s="402"/>
      <c r="U340" s="402"/>
      <c r="V340" s="402"/>
      <c r="W340" s="402"/>
      <c r="X340" s="402"/>
      <c r="Y340" s="402"/>
      <c r="Z340" s="402"/>
    </row>
    <row r="341" ht="14.25" customHeight="1">
      <c r="A341" s="406">
        <v>45516.0</v>
      </c>
      <c r="B341" s="596" t="s">
        <v>2278</v>
      </c>
      <c r="C341" s="513" t="s">
        <v>2279</v>
      </c>
      <c r="D341" s="637" t="s">
        <v>54</v>
      </c>
      <c r="E341" s="349" t="s">
        <v>2133</v>
      </c>
      <c r="F341" s="638">
        <v>107213.0</v>
      </c>
      <c r="G341" s="413">
        <v>0.0</v>
      </c>
      <c r="H341" s="349" t="s">
        <v>2280</v>
      </c>
      <c r="I341" s="404" t="str">
        <f t="shared" si="2"/>
        <v>NOT PAID</v>
      </c>
      <c r="J341" s="402"/>
      <c r="K341" s="402"/>
      <c r="L341" s="402"/>
      <c r="M341" s="402"/>
      <c r="N341" s="402"/>
      <c r="O341" s="402"/>
      <c r="P341" s="402"/>
      <c r="Q341" s="402"/>
      <c r="R341" s="402"/>
      <c r="S341" s="402"/>
      <c r="T341" s="402"/>
      <c r="U341" s="402"/>
      <c r="V341" s="402"/>
      <c r="W341" s="402"/>
      <c r="X341" s="402"/>
      <c r="Y341" s="402"/>
      <c r="Z341" s="402"/>
    </row>
    <row r="342" ht="14.25" customHeight="1">
      <c r="A342" s="406">
        <v>45516.0</v>
      </c>
      <c r="B342" s="512" t="s">
        <v>2288</v>
      </c>
      <c r="C342" s="512" t="s">
        <v>2203</v>
      </c>
      <c r="D342" s="635" t="s">
        <v>54</v>
      </c>
      <c r="E342" s="349" t="s">
        <v>2133</v>
      </c>
      <c r="F342" s="638">
        <v>12829.0</v>
      </c>
      <c r="G342" s="413">
        <v>0.0</v>
      </c>
      <c r="H342" s="349" t="s">
        <v>2316</v>
      </c>
      <c r="I342" s="404" t="str">
        <f t="shared" si="2"/>
        <v>NOT PAID</v>
      </c>
      <c r="J342" s="402"/>
      <c r="K342" s="402"/>
      <c r="L342" s="402"/>
      <c r="M342" s="402"/>
      <c r="N342" s="402"/>
      <c r="O342" s="402"/>
      <c r="P342" s="402"/>
      <c r="Q342" s="402"/>
      <c r="R342" s="402"/>
      <c r="S342" s="402"/>
      <c r="T342" s="402"/>
      <c r="U342" s="402"/>
      <c r="V342" s="402"/>
      <c r="W342" s="402"/>
      <c r="X342" s="402"/>
      <c r="Y342" s="402"/>
      <c r="Z342" s="402"/>
    </row>
    <row r="343" ht="14.25" customHeight="1">
      <c r="A343" s="406">
        <v>45516.0</v>
      </c>
      <c r="B343" s="512" t="s">
        <v>2294</v>
      </c>
      <c r="C343" s="512" t="s">
        <v>2153</v>
      </c>
      <c r="D343" s="635" t="s">
        <v>75</v>
      </c>
      <c r="E343" s="349" t="s">
        <v>2133</v>
      </c>
      <c r="F343" s="643">
        <v>97750.0</v>
      </c>
      <c r="G343" s="413">
        <v>0.0</v>
      </c>
      <c r="H343" s="349" t="s">
        <v>2295</v>
      </c>
      <c r="I343" s="404" t="str">
        <f t="shared" si="2"/>
        <v>NOT PAID</v>
      </c>
      <c r="J343" s="402"/>
      <c r="K343" s="402"/>
      <c r="L343" s="402"/>
      <c r="M343" s="402"/>
      <c r="N343" s="402"/>
      <c r="O343" s="402"/>
      <c r="P343" s="402"/>
      <c r="Q343" s="402"/>
      <c r="R343" s="402"/>
      <c r="S343" s="402"/>
      <c r="T343" s="402"/>
      <c r="U343" s="402"/>
      <c r="V343" s="402"/>
      <c r="W343" s="402"/>
      <c r="X343" s="402"/>
      <c r="Y343" s="402"/>
      <c r="Z343" s="402"/>
    </row>
    <row r="344" ht="14.25" customHeight="1">
      <c r="A344" s="406">
        <v>45516.0</v>
      </c>
      <c r="B344" s="512" t="s">
        <v>2301</v>
      </c>
      <c r="C344" s="512" t="s">
        <v>2302</v>
      </c>
      <c r="D344" s="635" t="s">
        <v>54</v>
      </c>
      <c r="E344" s="349" t="s">
        <v>2133</v>
      </c>
      <c r="F344" s="643">
        <v>30387.0</v>
      </c>
      <c r="G344" s="413">
        <v>0.0</v>
      </c>
      <c r="H344" s="349" t="s">
        <v>2311</v>
      </c>
      <c r="I344" s="404" t="str">
        <f t="shared" si="2"/>
        <v>NOT PAID</v>
      </c>
      <c r="J344" s="402"/>
      <c r="K344" s="402"/>
      <c r="L344" s="402"/>
      <c r="M344" s="402"/>
      <c r="N344" s="402"/>
      <c r="O344" s="402"/>
      <c r="P344" s="402"/>
      <c r="Q344" s="402"/>
      <c r="R344" s="402"/>
      <c r="S344" s="402"/>
      <c r="T344" s="402"/>
      <c r="U344" s="402"/>
      <c r="V344" s="402"/>
      <c r="W344" s="402"/>
      <c r="X344" s="402"/>
      <c r="Y344" s="402"/>
      <c r="Z344" s="402"/>
    </row>
    <row r="345" ht="14.25" customHeight="1">
      <c r="A345" s="406">
        <v>45516.0</v>
      </c>
      <c r="B345" s="512" t="s">
        <v>2303</v>
      </c>
      <c r="C345" s="512" t="s">
        <v>2304</v>
      </c>
      <c r="D345" s="635" t="s">
        <v>54</v>
      </c>
      <c r="E345" s="349" t="s">
        <v>2133</v>
      </c>
      <c r="F345" s="643">
        <v>9960.0</v>
      </c>
      <c r="G345" s="413">
        <v>0.0</v>
      </c>
      <c r="H345" s="349" t="s">
        <v>2307</v>
      </c>
      <c r="I345" s="404" t="str">
        <f t="shared" si="2"/>
        <v>NOT PAID</v>
      </c>
      <c r="J345" s="402"/>
      <c r="K345" s="402"/>
      <c r="L345" s="402"/>
      <c r="M345" s="402"/>
      <c r="N345" s="402"/>
      <c r="O345" s="402"/>
      <c r="P345" s="402"/>
      <c r="Q345" s="402"/>
      <c r="R345" s="402"/>
      <c r="S345" s="402"/>
      <c r="T345" s="402"/>
      <c r="U345" s="402"/>
      <c r="V345" s="402"/>
      <c r="W345" s="402"/>
      <c r="X345" s="402"/>
      <c r="Y345" s="402"/>
      <c r="Z345" s="402"/>
    </row>
    <row r="346" ht="14.25" customHeight="1">
      <c r="A346" s="406">
        <v>45516.0</v>
      </c>
      <c r="B346" s="513" t="s">
        <v>2305</v>
      </c>
      <c r="C346" s="513" t="s">
        <v>2306</v>
      </c>
      <c r="D346" s="637" t="s">
        <v>54</v>
      </c>
      <c r="E346" s="349" t="s">
        <v>2133</v>
      </c>
      <c r="F346" s="644">
        <v>56879.0</v>
      </c>
      <c r="G346" s="413">
        <v>0.0</v>
      </c>
      <c r="H346" s="349" t="s">
        <v>2307</v>
      </c>
      <c r="I346" s="404" t="str">
        <f t="shared" si="2"/>
        <v>NOT PAID</v>
      </c>
      <c r="J346" s="402"/>
      <c r="K346" s="402"/>
      <c r="L346" s="402"/>
      <c r="M346" s="402"/>
      <c r="N346" s="402"/>
      <c r="O346" s="402"/>
      <c r="P346" s="402"/>
      <c r="Q346" s="402"/>
      <c r="R346" s="402"/>
      <c r="S346" s="402"/>
      <c r="T346" s="402"/>
      <c r="U346" s="402"/>
      <c r="V346" s="402"/>
      <c r="W346" s="402"/>
      <c r="X346" s="402"/>
      <c r="Y346" s="402"/>
      <c r="Z346" s="402"/>
    </row>
    <row r="347" ht="14.25" customHeight="1">
      <c r="A347" s="406">
        <v>45516.0</v>
      </c>
      <c r="B347" s="512" t="s">
        <v>2134</v>
      </c>
      <c r="C347" s="512" t="s">
        <v>2135</v>
      </c>
      <c r="D347" s="635" t="s">
        <v>54</v>
      </c>
      <c r="E347" s="349" t="s">
        <v>2133</v>
      </c>
      <c r="F347" s="643">
        <v>21472.29</v>
      </c>
      <c r="G347" s="413">
        <v>0.0</v>
      </c>
      <c r="H347" s="349" t="s">
        <v>2317</v>
      </c>
      <c r="I347" s="404" t="str">
        <f t="shared" si="2"/>
        <v>NOT PAID</v>
      </c>
      <c r="J347" s="402"/>
      <c r="K347" s="402"/>
      <c r="L347" s="402"/>
      <c r="M347" s="402"/>
      <c r="N347" s="402"/>
      <c r="O347" s="402"/>
      <c r="P347" s="402"/>
      <c r="Q347" s="402"/>
      <c r="R347" s="402"/>
      <c r="S347" s="402"/>
      <c r="T347" s="402"/>
      <c r="U347" s="402"/>
      <c r="V347" s="402"/>
      <c r="W347" s="402"/>
      <c r="X347" s="402"/>
      <c r="Y347" s="402"/>
      <c r="Z347" s="402"/>
    </row>
    <row r="348" ht="14.25" customHeight="1">
      <c r="A348" s="406">
        <v>45516.0</v>
      </c>
      <c r="B348" s="512" t="s">
        <v>2318</v>
      </c>
      <c r="C348" s="512" t="s">
        <v>2319</v>
      </c>
      <c r="D348" s="635" t="s">
        <v>54</v>
      </c>
      <c r="E348" s="349" t="s">
        <v>2133</v>
      </c>
      <c r="F348" s="643">
        <v>243818.0</v>
      </c>
      <c r="G348" s="413">
        <v>243818.0</v>
      </c>
      <c r="H348" s="349" t="s">
        <v>2111</v>
      </c>
      <c r="I348" s="404" t="str">
        <f t="shared" si="2"/>
        <v>FULLY PAID</v>
      </c>
      <c r="J348" s="402"/>
      <c r="K348" s="402"/>
      <c r="L348" s="402"/>
      <c r="M348" s="402"/>
      <c r="N348" s="402"/>
      <c r="O348" s="402"/>
      <c r="P348" s="402"/>
      <c r="Q348" s="402"/>
      <c r="R348" s="402"/>
      <c r="S348" s="402"/>
      <c r="T348" s="402"/>
      <c r="U348" s="402"/>
      <c r="V348" s="402"/>
      <c r="W348" s="402"/>
      <c r="X348" s="402"/>
      <c r="Y348" s="402"/>
      <c r="Z348" s="402"/>
    </row>
    <row r="349" ht="14.25" customHeight="1">
      <c r="A349" s="406">
        <v>45516.0</v>
      </c>
      <c r="B349" s="512" t="s">
        <v>2137</v>
      </c>
      <c r="C349" s="512" t="s">
        <v>2138</v>
      </c>
      <c r="D349" s="635" t="s">
        <v>75</v>
      </c>
      <c r="E349" s="349" t="s">
        <v>2133</v>
      </c>
      <c r="F349" s="643">
        <v>141653.6</v>
      </c>
      <c r="G349" s="413">
        <v>0.0</v>
      </c>
      <c r="H349" s="349" t="s">
        <v>2320</v>
      </c>
      <c r="I349" s="404" t="str">
        <f t="shared" si="2"/>
        <v>NOT PAID</v>
      </c>
      <c r="J349" s="402"/>
      <c r="K349" s="402"/>
      <c r="L349" s="402"/>
      <c r="M349" s="402"/>
      <c r="N349" s="402"/>
      <c r="O349" s="402"/>
      <c r="P349" s="402"/>
      <c r="Q349" s="402"/>
      <c r="R349" s="402"/>
      <c r="S349" s="402"/>
      <c r="T349" s="402"/>
      <c r="U349" s="402"/>
      <c r="V349" s="402"/>
      <c r="W349" s="402"/>
      <c r="X349" s="402"/>
      <c r="Y349" s="402"/>
      <c r="Z349" s="402"/>
    </row>
    <row r="350" ht="14.25" customHeight="1">
      <c r="A350" s="406">
        <v>45516.0</v>
      </c>
      <c r="B350" s="349" t="s">
        <v>2163</v>
      </c>
      <c r="C350" s="349" t="s">
        <v>2164</v>
      </c>
      <c r="D350" s="413" t="s">
        <v>59</v>
      </c>
      <c r="E350" s="349" t="s">
        <v>273</v>
      </c>
      <c r="F350" s="559">
        <v>100000.0</v>
      </c>
      <c r="G350" s="413">
        <v>0.0</v>
      </c>
      <c r="H350" s="349" t="s">
        <v>2321</v>
      </c>
      <c r="I350" s="404" t="str">
        <f t="shared" si="2"/>
        <v>NOT PAID</v>
      </c>
      <c r="J350" s="402"/>
      <c r="K350" s="402"/>
      <c r="L350" s="402"/>
      <c r="M350" s="402"/>
      <c r="N350" s="402"/>
      <c r="O350" s="402"/>
      <c r="P350" s="402"/>
      <c r="Q350" s="402"/>
      <c r="R350" s="402"/>
      <c r="S350" s="402"/>
      <c r="T350" s="402"/>
      <c r="U350" s="402"/>
      <c r="V350" s="402"/>
      <c r="W350" s="402"/>
      <c r="X350" s="402"/>
      <c r="Y350" s="402"/>
      <c r="Z350" s="402"/>
    </row>
    <row r="351" ht="14.25" customHeight="1">
      <c r="A351" s="406">
        <v>45516.0</v>
      </c>
      <c r="B351" s="596" t="s">
        <v>2160</v>
      </c>
      <c r="C351" s="596" t="s">
        <v>2161</v>
      </c>
      <c r="D351" s="601" t="s">
        <v>75</v>
      </c>
      <c r="E351" s="349" t="s">
        <v>2133</v>
      </c>
      <c r="F351" s="598">
        <v>100000.0</v>
      </c>
      <c r="G351" s="413">
        <v>100000.0</v>
      </c>
      <c r="H351" s="349" t="s">
        <v>710</v>
      </c>
      <c r="I351" s="404" t="str">
        <f t="shared" si="2"/>
        <v>FULLY PAID</v>
      </c>
      <c r="J351" s="402"/>
      <c r="K351" s="402"/>
      <c r="L351" s="402"/>
      <c r="M351" s="402"/>
      <c r="N351" s="402"/>
      <c r="O351" s="402"/>
      <c r="P351" s="402"/>
      <c r="Q351" s="402"/>
      <c r="R351" s="402"/>
      <c r="S351" s="402"/>
      <c r="T351" s="402"/>
      <c r="U351" s="402"/>
      <c r="V351" s="402"/>
      <c r="W351" s="402"/>
      <c r="X351" s="402"/>
      <c r="Y351" s="402"/>
      <c r="Z351" s="402"/>
    </row>
    <row r="352" ht="14.25" customHeight="1">
      <c r="A352" s="406">
        <v>45517.0</v>
      </c>
      <c r="B352" s="402"/>
      <c r="C352" s="402"/>
      <c r="D352" s="402"/>
      <c r="E352" s="402"/>
      <c r="F352" s="587"/>
      <c r="G352" s="403"/>
      <c r="H352" s="402"/>
      <c r="I352" s="404" t="str">
        <f t="shared" si="2"/>
        <v>FULLY PAID</v>
      </c>
      <c r="J352" s="402"/>
      <c r="K352" s="402"/>
      <c r="L352" s="402"/>
      <c r="M352" s="402"/>
      <c r="N352" s="402"/>
      <c r="O352" s="402"/>
      <c r="P352" s="402"/>
      <c r="Q352" s="402"/>
      <c r="R352" s="402"/>
      <c r="S352" s="402"/>
      <c r="T352" s="402"/>
      <c r="U352" s="402"/>
      <c r="V352" s="402"/>
      <c r="W352" s="402"/>
      <c r="X352" s="402"/>
      <c r="Y352" s="402"/>
      <c r="Z352" s="402"/>
    </row>
    <row r="353" ht="14.25" customHeight="1">
      <c r="A353" s="402"/>
      <c r="B353" s="402"/>
      <c r="C353" s="402"/>
      <c r="D353" s="402"/>
      <c r="E353" s="402"/>
      <c r="F353" s="587"/>
      <c r="G353" s="403"/>
      <c r="H353" s="402"/>
      <c r="I353" s="404" t="str">
        <f t="shared" si="2"/>
        <v>FULLY PAID</v>
      </c>
      <c r="J353" s="402"/>
      <c r="K353" s="402"/>
      <c r="L353" s="402"/>
      <c r="M353" s="402"/>
      <c r="N353" s="402"/>
      <c r="O353" s="402"/>
      <c r="P353" s="402"/>
      <c r="Q353" s="402"/>
      <c r="R353" s="402"/>
      <c r="S353" s="402"/>
      <c r="T353" s="402"/>
      <c r="U353" s="402"/>
      <c r="V353" s="402"/>
      <c r="W353" s="402"/>
      <c r="X353" s="402"/>
      <c r="Y353" s="402"/>
      <c r="Z353" s="402"/>
    </row>
    <row r="354" ht="14.25" customHeight="1">
      <c r="A354" s="402"/>
      <c r="B354" s="402"/>
      <c r="C354" s="402"/>
      <c r="D354" s="402"/>
      <c r="E354" s="402"/>
      <c r="F354" s="587"/>
      <c r="G354" s="403"/>
      <c r="H354" s="402"/>
      <c r="I354" s="404" t="str">
        <f t="shared" si="2"/>
        <v>FULLY PAID</v>
      </c>
      <c r="J354" s="402"/>
      <c r="K354" s="402"/>
      <c r="L354" s="402"/>
      <c r="M354" s="402"/>
      <c r="N354" s="402"/>
      <c r="O354" s="402"/>
      <c r="P354" s="402"/>
      <c r="Q354" s="402"/>
      <c r="R354" s="402"/>
      <c r="S354" s="402"/>
      <c r="T354" s="402"/>
      <c r="U354" s="402"/>
      <c r="V354" s="402"/>
      <c r="W354" s="402"/>
      <c r="X354" s="402"/>
      <c r="Y354" s="402"/>
      <c r="Z354" s="402"/>
    </row>
    <row r="355" ht="14.25" customHeight="1">
      <c r="A355" s="406">
        <v>45517.0</v>
      </c>
      <c r="B355" s="594" t="s">
        <v>2294</v>
      </c>
      <c r="C355" s="594" t="s">
        <v>2153</v>
      </c>
      <c r="D355" s="645" t="s">
        <v>75</v>
      </c>
      <c r="E355" s="349" t="s">
        <v>2133</v>
      </c>
      <c r="F355" s="636">
        <v>97750.0</v>
      </c>
      <c r="G355" s="413">
        <v>0.0</v>
      </c>
      <c r="H355" s="349" t="s">
        <v>2322</v>
      </c>
      <c r="I355" s="404" t="str">
        <f t="shared" si="2"/>
        <v>NOT PAID</v>
      </c>
      <c r="J355" s="402"/>
      <c r="K355" s="402"/>
      <c r="L355" s="402"/>
      <c r="M355" s="402"/>
      <c r="N355" s="402"/>
      <c r="O355" s="402"/>
      <c r="P355" s="402"/>
      <c r="Q355" s="402"/>
      <c r="R355" s="402"/>
      <c r="S355" s="402"/>
      <c r="T355" s="402"/>
      <c r="U355" s="402"/>
      <c r="V355" s="402"/>
      <c r="W355" s="402"/>
      <c r="X355" s="402"/>
      <c r="Y355" s="402"/>
      <c r="Z355" s="402"/>
    </row>
    <row r="356" ht="14.25" customHeight="1">
      <c r="A356" s="406">
        <v>45517.0</v>
      </c>
      <c r="B356" s="607" t="s">
        <v>2149</v>
      </c>
      <c r="C356" s="607" t="s">
        <v>2206</v>
      </c>
      <c r="D356" s="349" t="s">
        <v>54</v>
      </c>
      <c r="E356" s="349" t="s">
        <v>2133</v>
      </c>
      <c r="F356" s="559">
        <v>5000.0</v>
      </c>
      <c r="G356" s="413">
        <v>0.0</v>
      </c>
      <c r="H356" s="455" t="s">
        <v>2296</v>
      </c>
      <c r="I356" s="404" t="str">
        <f t="shared" si="2"/>
        <v>NOT PAID</v>
      </c>
      <c r="J356" s="402"/>
      <c r="K356" s="402"/>
      <c r="L356" s="402"/>
      <c r="M356" s="402"/>
      <c r="N356" s="402"/>
      <c r="O356" s="402"/>
      <c r="P356" s="402"/>
      <c r="Q356" s="402"/>
      <c r="R356" s="402"/>
      <c r="S356" s="402"/>
      <c r="T356" s="402"/>
      <c r="U356" s="402"/>
      <c r="V356" s="402"/>
      <c r="W356" s="402"/>
      <c r="X356" s="402"/>
      <c r="Y356" s="402"/>
      <c r="Z356" s="402"/>
    </row>
    <row r="357" ht="14.25" customHeight="1">
      <c r="A357" s="406">
        <v>45517.0</v>
      </c>
      <c r="B357" s="419" t="s">
        <v>2208</v>
      </c>
      <c r="C357" s="408" t="s">
        <v>2132</v>
      </c>
      <c r="D357" s="408" t="s">
        <v>439</v>
      </c>
      <c r="E357" s="408" t="s">
        <v>2133</v>
      </c>
      <c r="F357" s="445">
        <v>4000.0</v>
      </c>
      <c r="G357" s="413">
        <v>0.0</v>
      </c>
      <c r="H357" s="349" t="s">
        <v>2323</v>
      </c>
      <c r="I357" s="404" t="str">
        <f t="shared" si="2"/>
        <v>NOT PAID</v>
      </c>
      <c r="J357" s="402"/>
      <c r="K357" s="402"/>
      <c r="L357" s="402"/>
      <c r="M357" s="402"/>
      <c r="N357" s="402"/>
      <c r="O357" s="402"/>
      <c r="P357" s="402"/>
      <c r="Q357" s="402"/>
      <c r="R357" s="402"/>
      <c r="S357" s="402"/>
      <c r="T357" s="402"/>
      <c r="U357" s="402"/>
      <c r="V357" s="402"/>
      <c r="W357" s="402"/>
      <c r="X357" s="402"/>
      <c r="Y357" s="402"/>
      <c r="Z357" s="402"/>
    </row>
    <row r="358" ht="14.25" customHeight="1">
      <c r="A358" s="406">
        <v>45517.0</v>
      </c>
      <c r="B358" s="349" t="s">
        <v>2143</v>
      </c>
      <c r="C358" s="349" t="s">
        <v>2144</v>
      </c>
      <c r="D358" s="349" t="s">
        <v>54</v>
      </c>
      <c r="E358" s="349" t="s">
        <v>2133</v>
      </c>
      <c r="F358" s="559">
        <v>6000.0</v>
      </c>
      <c r="G358" s="413">
        <v>6000.0</v>
      </c>
      <c r="H358" s="349" t="s">
        <v>401</v>
      </c>
      <c r="I358" s="404" t="str">
        <f t="shared" si="2"/>
        <v>FULLY PAID</v>
      </c>
      <c r="J358" s="402"/>
      <c r="K358" s="402"/>
      <c r="L358" s="402"/>
      <c r="M358" s="402"/>
      <c r="N358" s="402"/>
      <c r="O358" s="402"/>
      <c r="P358" s="402"/>
      <c r="Q358" s="402"/>
      <c r="R358" s="402"/>
      <c r="S358" s="402"/>
      <c r="T358" s="402"/>
      <c r="U358" s="402"/>
      <c r="V358" s="402"/>
      <c r="W358" s="402"/>
      <c r="X358" s="402"/>
      <c r="Y358" s="402"/>
      <c r="Z358" s="402"/>
    </row>
    <row r="359" ht="14.25" customHeight="1">
      <c r="A359" s="406">
        <v>45517.0</v>
      </c>
      <c r="B359" s="605" t="s">
        <v>2210</v>
      </c>
      <c r="C359" s="606" t="s">
        <v>2211</v>
      </c>
      <c r="D359" s="349" t="s">
        <v>54</v>
      </c>
      <c r="E359" s="349" t="s">
        <v>2133</v>
      </c>
      <c r="F359" s="615">
        <v>19238.0</v>
      </c>
      <c r="G359" s="413">
        <v>0.0</v>
      </c>
      <c r="H359" s="349" t="s">
        <v>2309</v>
      </c>
      <c r="I359" s="404" t="str">
        <f t="shared" si="2"/>
        <v>NOT PAID</v>
      </c>
      <c r="J359" s="402"/>
      <c r="K359" s="402"/>
      <c r="L359" s="402"/>
      <c r="M359" s="402"/>
      <c r="N359" s="402"/>
      <c r="O359" s="402"/>
      <c r="P359" s="402"/>
      <c r="Q359" s="402"/>
      <c r="R359" s="402"/>
      <c r="S359" s="402"/>
      <c r="T359" s="402"/>
      <c r="U359" s="402"/>
      <c r="V359" s="402"/>
      <c r="W359" s="402"/>
      <c r="X359" s="402"/>
      <c r="Y359" s="402"/>
      <c r="Z359" s="402"/>
    </row>
    <row r="360" ht="14.25" customHeight="1">
      <c r="A360" s="406">
        <v>45517.0</v>
      </c>
      <c r="B360" s="616" t="s">
        <v>2213</v>
      </c>
      <c r="C360" s="617" t="s">
        <v>2214</v>
      </c>
      <c r="D360" s="349" t="s">
        <v>54</v>
      </c>
      <c r="E360" s="349" t="s">
        <v>2133</v>
      </c>
      <c r="F360" s="618">
        <v>1120.0</v>
      </c>
      <c r="G360" s="413">
        <v>0.0</v>
      </c>
      <c r="H360" s="349" t="s">
        <v>2256</v>
      </c>
      <c r="I360" s="404" t="str">
        <f t="shared" si="2"/>
        <v>NOT PAID</v>
      </c>
      <c r="J360" s="402"/>
      <c r="K360" s="402"/>
      <c r="L360" s="402"/>
      <c r="M360" s="402"/>
      <c r="N360" s="402"/>
      <c r="O360" s="402"/>
      <c r="P360" s="402"/>
      <c r="Q360" s="402"/>
      <c r="R360" s="402"/>
      <c r="S360" s="402"/>
      <c r="T360" s="402"/>
      <c r="U360" s="402"/>
      <c r="V360" s="402"/>
      <c r="W360" s="402"/>
      <c r="X360" s="402"/>
      <c r="Y360" s="402"/>
      <c r="Z360" s="402"/>
    </row>
    <row r="361" ht="14.25" customHeight="1">
      <c r="A361" s="406">
        <v>45517.0</v>
      </c>
      <c r="B361" s="605" t="s">
        <v>2221</v>
      </c>
      <c r="C361" s="606" t="s">
        <v>2222</v>
      </c>
      <c r="D361" s="349" t="s">
        <v>54</v>
      </c>
      <c r="E361" s="349" t="s">
        <v>2133</v>
      </c>
      <c r="F361" s="611">
        <v>32250.0</v>
      </c>
      <c r="G361" s="413">
        <v>0.0</v>
      </c>
      <c r="H361" s="455" t="s">
        <v>2284</v>
      </c>
      <c r="I361" s="404" t="str">
        <f t="shared" si="2"/>
        <v>NOT PAID</v>
      </c>
      <c r="J361" s="402"/>
      <c r="K361" s="402"/>
      <c r="L361" s="402"/>
      <c r="M361" s="402"/>
      <c r="N361" s="402"/>
      <c r="O361" s="402"/>
      <c r="P361" s="402"/>
      <c r="Q361" s="402"/>
      <c r="R361" s="402"/>
      <c r="S361" s="402"/>
      <c r="T361" s="402"/>
      <c r="U361" s="402"/>
      <c r="V361" s="402"/>
      <c r="W361" s="402"/>
      <c r="X361" s="402"/>
      <c r="Y361" s="402"/>
      <c r="Z361" s="402"/>
    </row>
    <row r="362" ht="14.25" customHeight="1">
      <c r="A362" s="406">
        <v>45517.0</v>
      </c>
      <c r="B362" s="605" t="s">
        <v>2231</v>
      </c>
      <c r="C362" s="619" t="s">
        <v>2232</v>
      </c>
      <c r="D362" s="349" t="s">
        <v>54</v>
      </c>
      <c r="E362" s="349" t="s">
        <v>2133</v>
      </c>
      <c r="F362" s="620">
        <v>16091.0</v>
      </c>
      <c r="G362" s="413">
        <v>15000.0</v>
      </c>
      <c r="H362" s="484" t="s">
        <v>2312</v>
      </c>
      <c r="I362" s="404" t="str">
        <f t="shared" si="2"/>
        <v>PARTIALLY PAID</v>
      </c>
      <c r="J362" s="402"/>
      <c r="K362" s="402"/>
      <c r="L362" s="402"/>
      <c r="M362" s="402"/>
      <c r="N362" s="402"/>
      <c r="O362" s="402"/>
      <c r="P362" s="402"/>
      <c r="Q362" s="402"/>
      <c r="R362" s="402"/>
      <c r="S362" s="402"/>
      <c r="T362" s="402"/>
      <c r="U362" s="402"/>
      <c r="V362" s="402"/>
      <c r="W362" s="402"/>
      <c r="X362" s="402"/>
      <c r="Y362" s="402"/>
      <c r="Z362" s="402"/>
    </row>
    <row r="363" ht="14.25" customHeight="1">
      <c r="A363" s="406">
        <v>45517.0</v>
      </c>
      <c r="B363" s="640" t="s">
        <v>2196</v>
      </c>
      <c r="C363" s="629" t="s">
        <v>2246</v>
      </c>
      <c r="D363" s="349" t="s">
        <v>54</v>
      </c>
      <c r="E363" s="349" t="s">
        <v>2133</v>
      </c>
      <c r="F363" s="622">
        <v>126855.0</v>
      </c>
      <c r="G363" s="413">
        <v>0.0</v>
      </c>
      <c r="H363" s="455" t="s">
        <v>2313</v>
      </c>
      <c r="I363" s="404" t="str">
        <f t="shared" si="2"/>
        <v>NOT PAID</v>
      </c>
      <c r="J363" s="402"/>
      <c r="K363" s="402"/>
      <c r="L363" s="402"/>
      <c r="M363" s="402"/>
      <c r="N363" s="402"/>
      <c r="O363" s="402"/>
      <c r="P363" s="402"/>
      <c r="Q363" s="402"/>
      <c r="R363" s="402"/>
      <c r="S363" s="402"/>
      <c r="T363" s="402"/>
      <c r="U363" s="402"/>
      <c r="V363" s="402"/>
      <c r="W363" s="402"/>
      <c r="X363" s="402"/>
      <c r="Y363" s="402"/>
      <c r="Z363" s="402"/>
    </row>
    <row r="364" ht="14.25" customHeight="1">
      <c r="A364" s="406">
        <v>45517.0</v>
      </c>
      <c r="B364" s="642" t="s">
        <v>2235</v>
      </c>
      <c r="C364" s="623" t="s">
        <v>2236</v>
      </c>
      <c r="D364" s="630" t="s">
        <v>75</v>
      </c>
      <c r="E364" s="349" t="s">
        <v>2133</v>
      </c>
      <c r="F364" s="622">
        <v>34500.0</v>
      </c>
      <c r="G364" s="413">
        <v>20000.0</v>
      </c>
      <c r="H364" s="484" t="s">
        <v>2324</v>
      </c>
      <c r="I364" s="404" t="str">
        <f t="shared" si="2"/>
        <v>PARTIALLY PAID</v>
      </c>
      <c r="J364" s="402"/>
      <c r="K364" s="402"/>
      <c r="L364" s="402"/>
      <c r="M364" s="402"/>
      <c r="N364" s="402"/>
      <c r="O364" s="402"/>
      <c r="P364" s="402"/>
      <c r="Q364" s="402"/>
      <c r="R364" s="402"/>
      <c r="S364" s="402"/>
      <c r="T364" s="402"/>
      <c r="U364" s="402"/>
      <c r="V364" s="402"/>
      <c r="W364" s="402"/>
      <c r="X364" s="402"/>
      <c r="Y364" s="402"/>
      <c r="Z364" s="402"/>
    </row>
    <row r="365" ht="14.25" customHeight="1">
      <c r="A365" s="406">
        <v>45517.0</v>
      </c>
      <c r="B365" s="594" t="s">
        <v>2275</v>
      </c>
      <c r="C365" s="512" t="s">
        <v>2276</v>
      </c>
      <c r="D365" s="635" t="s">
        <v>54</v>
      </c>
      <c r="E365" s="349" t="s">
        <v>2133</v>
      </c>
      <c r="F365" s="636">
        <v>40363.26</v>
      </c>
      <c r="G365" s="413">
        <v>0.0</v>
      </c>
      <c r="H365" s="349" t="s">
        <v>2325</v>
      </c>
      <c r="I365" s="404" t="str">
        <f t="shared" si="2"/>
        <v>NOT PAID</v>
      </c>
      <c r="J365" s="402"/>
      <c r="K365" s="402"/>
      <c r="L365" s="402"/>
      <c r="M365" s="402"/>
      <c r="N365" s="402"/>
      <c r="O365" s="402"/>
      <c r="P365" s="402"/>
      <c r="Q365" s="402"/>
      <c r="R365" s="402"/>
      <c r="S365" s="402"/>
      <c r="T365" s="402"/>
      <c r="U365" s="402"/>
      <c r="V365" s="402"/>
      <c r="W365" s="402"/>
      <c r="X365" s="402"/>
      <c r="Y365" s="402"/>
      <c r="Z365" s="402"/>
    </row>
    <row r="366" ht="14.25" customHeight="1">
      <c r="A366" s="406">
        <v>45517.0</v>
      </c>
      <c r="B366" s="596" t="s">
        <v>2278</v>
      </c>
      <c r="C366" s="513" t="s">
        <v>2279</v>
      </c>
      <c r="D366" s="637" t="s">
        <v>54</v>
      </c>
      <c r="E366" s="349" t="s">
        <v>2133</v>
      </c>
      <c r="F366" s="638">
        <v>107213.0</v>
      </c>
      <c r="G366" s="413">
        <v>0.0</v>
      </c>
      <c r="H366" s="349" t="s">
        <v>2280</v>
      </c>
      <c r="I366" s="404" t="str">
        <f t="shared" si="2"/>
        <v>NOT PAID</v>
      </c>
      <c r="J366" s="402"/>
      <c r="K366" s="402"/>
      <c r="L366" s="402"/>
      <c r="M366" s="402"/>
      <c r="N366" s="402"/>
      <c r="O366" s="402"/>
      <c r="P366" s="402"/>
      <c r="Q366" s="402"/>
      <c r="R366" s="402"/>
      <c r="S366" s="402"/>
      <c r="T366" s="402"/>
      <c r="U366" s="402"/>
      <c r="V366" s="402"/>
      <c r="W366" s="402"/>
      <c r="X366" s="402"/>
      <c r="Y366" s="402"/>
      <c r="Z366" s="402"/>
    </row>
    <row r="367" ht="14.25" customHeight="1">
      <c r="A367" s="406">
        <v>45517.0</v>
      </c>
      <c r="B367" s="512" t="s">
        <v>2288</v>
      </c>
      <c r="C367" s="512" t="s">
        <v>2203</v>
      </c>
      <c r="D367" s="635" t="s">
        <v>54</v>
      </c>
      <c r="E367" s="349" t="s">
        <v>2133</v>
      </c>
      <c r="F367" s="638">
        <v>12829.0</v>
      </c>
      <c r="G367" s="413">
        <v>0.0</v>
      </c>
      <c r="H367" s="349" t="s">
        <v>2326</v>
      </c>
      <c r="I367" s="404" t="str">
        <f t="shared" si="2"/>
        <v>NOT PAID</v>
      </c>
      <c r="J367" s="402"/>
      <c r="K367" s="402"/>
      <c r="L367" s="402"/>
      <c r="M367" s="402"/>
      <c r="N367" s="402"/>
      <c r="O367" s="402"/>
      <c r="P367" s="402"/>
      <c r="Q367" s="402"/>
      <c r="R367" s="402"/>
      <c r="S367" s="402"/>
      <c r="T367" s="402"/>
      <c r="U367" s="402"/>
      <c r="V367" s="402"/>
      <c r="W367" s="402"/>
      <c r="X367" s="402"/>
      <c r="Y367" s="402"/>
      <c r="Z367" s="402"/>
    </row>
    <row r="368" ht="14.25" customHeight="1">
      <c r="A368" s="406">
        <v>45517.0</v>
      </c>
      <c r="B368" s="512" t="s">
        <v>2301</v>
      </c>
      <c r="C368" s="512" t="s">
        <v>2302</v>
      </c>
      <c r="D368" s="635" t="s">
        <v>54</v>
      </c>
      <c r="E368" s="349" t="s">
        <v>2133</v>
      </c>
      <c r="F368" s="643">
        <v>30387.0</v>
      </c>
      <c r="G368" s="413">
        <v>0.0</v>
      </c>
      <c r="H368" s="349" t="s">
        <v>2327</v>
      </c>
      <c r="I368" s="404" t="str">
        <f t="shared" si="2"/>
        <v>NOT PAID</v>
      </c>
      <c r="J368" s="402"/>
      <c r="K368" s="402"/>
      <c r="L368" s="402"/>
      <c r="M368" s="402"/>
      <c r="N368" s="402"/>
      <c r="O368" s="402"/>
      <c r="P368" s="402"/>
      <c r="Q368" s="402"/>
      <c r="R368" s="402"/>
      <c r="S368" s="402"/>
      <c r="T368" s="402"/>
      <c r="U368" s="402"/>
      <c r="V368" s="402"/>
      <c r="W368" s="402"/>
      <c r="X368" s="402"/>
      <c r="Y368" s="402"/>
      <c r="Z368" s="402"/>
    </row>
    <row r="369" ht="14.25" customHeight="1">
      <c r="A369" s="406">
        <v>45517.0</v>
      </c>
      <c r="B369" s="513" t="s">
        <v>2305</v>
      </c>
      <c r="C369" s="513" t="s">
        <v>2306</v>
      </c>
      <c r="D369" s="637" t="s">
        <v>54</v>
      </c>
      <c r="E369" s="349" t="s">
        <v>2133</v>
      </c>
      <c r="F369" s="644">
        <v>56879.0</v>
      </c>
      <c r="G369" s="413">
        <v>0.0</v>
      </c>
      <c r="H369" s="349" t="s">
        <v>2328</v>
      </c>
      <c r="I369" s="404" t="str">
        <f t="shared" si="2"/>
        <v>NOT PAID</v>
      </c>
      <c r="J369" s="402"/>
      <c r="K369" s="402"/>
      <c r="L369" s="402"/>
      <c r="M369" s="402"/>
      <c r="N369" s="402"/>
      <c r="O369" s="402"/>
      <c r="P369" s="402"/>
      <c r="Q369" s="402"/>
      <c r="R369" s="402"/>
      <c r="S369" s="402"/>
      <c r="T369" s="402"/>
      <c r="U369" s="402"/>
      <c r="V369" s="402"/>
      <c r="W369" s="402"/>
      <c r="X369" s="402"/>
      <c r="Y369" s="402"/>
      <c r="Z369" s="402"/>
    </row>
    <row r="370" ht="14.25" customHeight="1">
      <c r="A370" s="406">
        <v>45517.0</v>
      </c>
      <c r="B370" s="512" t="s">
        <v>2134</v>
      </c>
      <c r="C370" s="512" t="s">
        <v>2135</v>
      </c>
      <c r="D370" s="635" t="s">
        <v>54</v>
      </c>
      <c r="E370" s="349" t="s">
        <v>2133</v>
      </c>
      <c r="F370" s="643">
        <v>21472.29</v>
      </c>
      <c r="G370" s="413">
        <v>0.0</v>
      </c>
      <c r="H370" s="455" t="s">
        <v>2329</v>
      </c>
      <c r="I370" s="404" t="str">
        <f t="shared" si="2"/>
        <v>NOT PAID</v>
      </c>
      <c r="J370" s="402"/>
      <c r="K370" s="402"/>
      <c r="L370" s="402"/>
      <c r="M370" s="402"/>
      <c r="N370" s="402"/>
      <c r="O370" s="402"/>
      <c r="P370" s="402"/>
      <c r="Q370" s="402"/>
      <c r="R370" s="402"/>
      <c r="S370" s="402"/>
      <c r="T370" s="402"/>
      <c r="U370" s="402"/>
      <c r="V370" s="402"/>
      <c r="W370" s="402"/>
      <c r="X370" s="402"/>
      <c r="Y370" s="402"/>
      <c r="Z370" s="402"/>
    </row>
    <row r="371" ht="14.25" customHeight="1">
      <c r="A371" s="406">
        <v>45517.0</v>
      </c>
      <c r="B371" s="512" t="s">
        <v>2137</v>
      </c>
      <c r="C371" s="512" t="s">
        <v>2138</v>
      </c>
      <c r="D371" s="635" t="s">
        <v>75</v>
      </c>
      <c r="E371" s="349" t="s">
        <v>2133</v>
      </c>
      <c r="F371" s="643">
        <v>141653.6</v>
      </c>
      <c r="G371" s="413">
        <v>0.0</v>
      </c>
      <c r="H371" s="349" t="s">
        <v>2330</v>
      </c>
      <c r="I371" s="404" t="str">
        <f t="shared" si="2"/>
        <v>NOT PAID</v>
      </c>
      <c r="J371" s="402"/>
      <c r="K371" s="402"/>
      <c r="L371" s="402"/>
      <c r="M371" s="402"/>
      <c r="N371" s="402"/>
      <c r="O371" s="402"/>
      <c r="P371" s="402"/>
      <c r="Q371" s="402"/>
      <c r="R371" s="402"/>
      <c r="S371" s="402"/>
      <c r="T371" s="402"/>
      <c r="U371" s="402"/>
      <c r="V371" s="402"/>
      <c r="W371" s="402"/>
      <c r="X371" s="402"/>
      <c r="Y371" s="402"/>
      <c r="Z371" s="402"/>
    </row>
    <row r="372" ht="14.25" customHeight="1">
      <c r="A372" s="406">
        <v>45517.0</v>
      </c>
      <c r="B372" s="349" t="s">
        <v>2163</v>
      </c>
      <c r="C372" s="349" t="s">
        <v>2164</v>
      </c>
      <c r="D372" s="413" t="s">
        <v>59</v>
      </c>
      <c r="E372" s="349" t="s">
        <v>273</v>
      </c>
      <c r="F372" s="559">
        <v>100000.0</v>
      </c>
      <c r="G372" s="413">
        <v>0.0</v>
      </c>
      <c r="H372" s="349" t="s">
        <v>2331</v>
      </c>
      <c r="I372" s="404" t="str">
        <f t="shared" si="2"/>
        <v>NOT PAID</v>
      </c>
      <c r="J372" s="402"/>
      <c r="K372" s="402"/>
      <c r="L372" s="402"/>
      <c r="M372" s="402"/>
      <c r="N372" s="402"/>
      <c r="O372" s="402"/>
      <c r="P372" s="402"/>
      <c r="Q372" s="402"/>
      <c r="R372" s="402"/>
      <c r="S372" s="402"/>
      <c r="T372" s="402"/>
      <c r="U372" s="402"/>
      <c r="V372" s="402"/>
      <c r="W372" s="402"/>
      <c r="X372" s="402"/>
      <c r="Y372" s="402"/>
      <c r="Z372" s="402"/>
    </row>
    <row r="373" ht="14.25" customHeight="1">
      <c r="A373" s="406"/>
      <c r="B373" s="402"/>
      <c r="C373" s="402"/>
      <c r="D373" s="402"/>
      <c r="E373" s="402"/>
      <c r="F373" s="587"/>
      <c r="G373" s="403"/>
      <c r="H373" s="402"/>
      <c r="I373" s="404" t="str">
        <f t="shared" si="2"/>
        <v>FULLY PAID</v>
      </c>
      <c r="J373" s="402"/>
      <c r="K373" s="402"/>
      <c r="L373" s="402"/>
      <c r="M373" s="402"/>
      <c r="N373" s="402"/>
      <c r="O373" s="402"/>
      <c r="P373" s="402"/>
      <c r="Q373" s="402"/>
      <c r="R373" s="402"/>
      <c r="S373" s="402"/>
      <c r="T373" s="402"/>
      <c r="U373" s="402"/>
      <c r="V373" s="402"/>
      <c r="W373" s="402"/>
      <c r="X373" s="402"/>
      <c r="Y373" s="402"/>
      <c r="Z373" s="402"/>
    </row>
    <row r="374" ht="14.25" customHeight="1">
      <c r="A374" s="402"/>
      <c r="B374" s="402"/>
      <c r="C374" s="402"/>
      <c r="D374" s="402"/>
      <c r="E374" s="402"/>
      <c r="F374" s="587"/>
      <c r="G374" s="403"/>
      <c r="H374" s="402"/>
      <c r="I374" s="404" t="str">
        <f t="shared" si="2"/>
        <v>FULLY PAID</v>
      </c>
      <c r="J374" s="402"/>
      <c r="K374" s="402"/>
      <c r="L374" s="402"/>
      <c r="M374" s="402"/>
      <c r="N374" s="402"/>
      <c r="O374" s="402"/>
      <c r="P374" s="402"/>
      <c r="Q374" s="402"/>
      <c r="R374" s="402"/>
      <c r="S374" s="402"/>
      <c r="T374" s="402"/>
      <c r="U374" s="402"/>
      <c r="V374" s="402"/>
      <c r="W374" s="402"/>
      <c r="X374" s="402"/>
      <c r="Y374" s="402"/>
      <c r="Z374" s="402"/>
    </row>
    <row r="375" ht="14.25" customHeight="1">
      <c r="A375" s="406">
        <v>45518.0</v>
      </c>
      <c r="B375" s="512" t="s">
        <v>2332</v>
      </c>
      <c r="C375" s="512" t="s">
        <v>2197</v>
      </c>
      <c r="D375" s="635" t="s">
        <v>54</v>
      </c>
      <c r="E375" s="349" t="s">
        <v>2133</v>
      </c>
      <c r="F375" s="636">
        <v>217317.0</v>
      </c>
      <c r="G375" s="413">
        <v>0.0</v>
      </c>
      <c r="H375" s="349" t="s">
        <v>2333</v>
      </c>
      <c r="I375" s="404"/>
      <c r="J375" s="402"/>
      <c r="K375" s="402"/>
      <c r="L375" s="402"/>
      <c r="M375" s="402"/>
      <c r="N375" s="402"/>
      <c r="O375" s="402"/>
      <c r="P375" s="402"/>
      <c r="Q375" s="402"/>
      <c r="R375" s="402"/>
      <c r="S375" s="402"/>
      <c r="T375" s="402"/>
      <c r="U375" s="402"/>
      <c r="V375" s="402"/>
      <c r="W375" s="402"/>
      <c r="X375" s="402"/>
      <c r="Y375" s="402"/>
      <c r="Z375" s="402"/>
    </row>
    <row r="376" ht="14.25" customHeight="1">
      <c r="A376" s="406">
        <v>45518.0</v>
      </c>
      <c r="B376" s="594" t="s">
        <v>2294</v>
      </c>
      <c r="C376" s="594" t="s">
        <v>2153</v>
      </c>
      <c r="D376" s="645" t="s">
        <v>75</v>
      </c>
      <c r="E376" s="349" t="s">
        <v>2133</v>
      </c>
      <c r="F376" s="636">
        <v>97750.0</v>
      </c>
      <c r="G376" s="413">
        <v>0.0</v>
      </c>
      <c r="H376" s="349" t="s">
        <v>2334</v>
      </c>
      <c r="I376" s="404" t="str">
        <f t="shared" ref="I376:I389" si="3">IF(G376&gt;=F376,"FULLY PAID",IF(G376=0,"NOT PAID","PARTIALLY PAID"))</f>
        <v>NOT PAID</v>
      </c>
      <c r="J376" s="402"/>
      <c r="K376" s="402"/>
      <c r="L376" s="402"/>
      <c r="M376" s="402"/>
      <c r="N376" s="402"/>
      <c r="O376" s="402"/>
      <c r="P376" s="402"/>
      <c r="Q376" s="402"/>
      <c r="R376" s="402"/>
      <c r="S376" s="402"/>
      <c r="T376" s="402"/>
      <c r="U376" s="402"/>
      <c r="V376" s="402"/>
      <c r="W376" s="402"/>
      <c r="X376" s="402"/>
      <c r="Y376" s="402"/>
      <c r="Z376" s="402"/>
    </row>
    <row r="377" ht="14.25" customHeight="1">
      <c r="A377" s="406">
        <v>45518.0</v>
      </c>
      <c r="B377" s="607" t="s">
        <v>2149</v>
      </c>
      <c r="C377" s="607" t="s">
        <v>2206</v>
      </c>
      <c r="D377" s="349" t="s">
        <v>54</v>
      </c>
      <c r="E377" s="349" t="s">
        <v>2133</v>
      </c>
      <c r="F377" s="559">
        <v>5000.0</v>
      </c>
      <c r="G377" s="413">
        <v>0.0</v>
      </c>
      <c r="H377" s="455" t="s">
        <v>2296</v>
      </c>
      <c r="I377" s="404" t="str">
        <f t="shared" si="3"/>
        <v>NOT PAID</v>
      </c>
      <c r="J377" s="402"/>
      <c r="K377" s="402"/>
      <c r="L377" s="402"/>
      <c r="M377" s="402"/>
      <c r="N377" s="402"/>
      <c r="O377" s="402"/>
      <c r="P377" s="402"/>
      <c r="Q377" s="402"/>
      <c r="R377" s="402"/>
      <c r="S377" s="402"/>
      <c r="T377" s="402"/>
      <c r="U377" s="402"/>
      <c r="V377" s="402"/>
      <c r="W377" s="402"/>
      <c r="X377" s="402"/>
      <c r="Y377" s="402"/>
      <c r="Z377" s="402"/>
    </row>
    <row r="378" ht="14.25" customHeight="1">
      <c r="A378" s="406">
        <v>45518.0</v>
      </c>
      <c r="B378" s="419" t="s">
        <v>2208</v>
      </c>
      <c r="C378" s="408" t="s">
        <v>2132</v>
      </c>
      <c r="D378" s="408" t="s">
        <v>439</v>
      </c>
      <c r="E378" s="408" t="s">
        <v>2133</v>
      </c>
      <c r="F378" s="445">
        <v>4000.0</v>
      </c>
      <c r="G378" s="413">
        <v>0.0</v>
      </c>
      <c r="H378" s="349" t="s">
        <v>2323</v>
      </c>
      <c r="I378" s="404" t="str">
        <f t="shared" si="3"/>
        <v>NOT PAID</v>
      </c>
      <c r="J378" s="402"/>
      <c r="K378" s="402"/>
      <c r="L378" s="402"/>
      <c r="M378" s="402"/>
      <c r="N378" s="402"/>
      <c r="O378" s="402"/>
      <c r="P378" s="402"/>
      <c r="Q378" s="402"/>
      <c r="R378" s="402"/>
      <c r="S378" s="402"/>
      <c r="T378" s="402"/>
      <c r="U378" s="402"/>
      <c r="V378" s="402"/>
      <c r="W378" s="402"/>
      <c r="X378" s="402"/>
      <c r="Y378" s="402"/>
      <c r="Z378" s="402"/>
    </row>
    <row r="379" ht="14.25" customHeight="1">
      <c r="A379" s="406">
        <v>45518.0</v>
      </c>
      <c r="B379" s="349" t="s">
        <v>2143</v>
      </c>
      <c r="C379" s="349" t="s">
        <v>2144</v>
      </c>
      <c r="D379" s="349" t="s">
        <v>54</v>
      </c>
      <c r="E379" s="349" t="s">
        <v>2133</v>
      </c>
      <c r="F379" s="559">
        <v>6000.0</v>
      </c>
      <c r="G379" s="413">
        <v>6000.0</v>
      </c>
      <c r="H379" s="349" t="s">
        <v>212</v>
      </c>
      <c r="I379" s="404" t="str">
        <f t="shared" si="3"/>
        <v>FULLY PAID</v>
      </c>
      <c r="J379" s="402"/>
      <c r="K379" s="402"/>
      <c r="L379" s="402"/>
      <c r="M379" s="402"/>
      <c r="N379" s="402"/>
      <c r="O379" s="402"/>
      <c r="P379" s="402"/>
      <c r="Q379" s="402"/>
      <c r="R379" s="402"/>
      <c r="S379" s="402"/>
      <c r="T379" s="402"/>
      <c r="U379" s="402"/>
      <c r="V379" s="402"/>
      <c r="W379" s="402"/>
      <c r="X379" s="402"/>
      <c r="Y379" s="402"/>
      <c r="Z379" s="402"/>
    </row>
    <row r="380" ht="14.25" customHeight="1">
      <c r="A380" s="406">
        <v>45518.0</v>
      </c>
      <c r="B380" s="605" t="s">
        <v>2210</v>
      </c>
      <c r="C380" s="606" t="s">
        <v>2211</v>
      </c>
      <c r="D380" s="349" t="s">
        <v>54</v>
      </c>
      <c r="E380" s="349" t="s">
        <v>2133</v>
      </c>
      <c r="F380" s="615">
        <v>19238.0</v>
      </c>
      <c r="G380" s="413">
        <v>6000.0</v>
      </c>
      <c r="H380" s="349" t="s">
        <v>2335</v>
      </c>
      <c r="I380" s="404" t="str">
        <f t="shared" si="3"/>
        <v>PARTIALLY PAID</v>
      </c>
      <c r="J380" s="402"/>
      <c r="K380" s="402"/>
      <c r="L380" s="402"/>
      <c r="M380" s="402"/>
      <c r="N380" s="402"/>
      <c r="O380" s="402"/>
      <c r="P380" s="402"/>
      <c r="Q380" s="402"/>
      <c r="R380" s="402"/>
      <c r="S380" s="402"/>
      <c r="T380" s="402"/>
      <c r="U380" s="402"/>
      <c r="V380" s="402"/>
      <c r="W380" s="402"/>
      <c r="X380" s="402"/>
      <c r="Y380" s="402"/>
      <c r="Z380" s="402"/>
    </row>
    <row r="381" ht="14.25" customHeight="1">
      <c r="A381" s="406">
        <v>45518.0</v>
      </c>
      <c r="B381" s="616" t="s">
        <v>2213</v>
      </c>
      <c r="C381" s="617" t="s">
        <v>2214</v>
      </c>
      <c r="D381" s="349" t="s">
        <v>54</v>
      </c>
      <c r="E381" s="349" t="s">
        <v>2133</v>
      </c>
      <c r="F381" s="618">
        <v>1120.0</v>
      </c>
      <c r="G381" s="413">
        <v>0.0</v>
      </c>
      <c r="H381" s="349" t="s">
        <v>2256</v>
      </c>
      <c r="I381" s="404" t="str">
        <f t="shared" si="3"/>
        <v>NOT PAID</v>
      </c>
      <c r="J381" s="402"/>
      <c r="K381" s="402"/>
      <c r="L381" s="402"/>
      <c r="M381" s="402"/>
      <c r="N381" s="402"/>
      <c r="O381" s="402"/>
      <c r="P381" s="402"/>
      <c r="Q381" s="402"/>
      <c r="R381" s="402"/>
      <c r="S381" s="402"/>
      <c r="T381" s="402"/>
      <c r="U381" s="402"/>
      <c r="V381" s="402"/>
      <c r="W381" s="402"/>
      <c r="X381" s="402"/>
      <c r="Y381" s="402"/>
      <c r="Z381" s="402"/>
    </row>
    <row r="382" ht="14.25" customHeight="1">
      <c r="A382" s="406">
        <v>45518.0</v>
      </c>
      <c r="B382" s="605" t="s">
        <v>2221</v>
      </c>
      <c r="C382" s="606" t="s">
        <v>2222</v>
      </c>
      <c r="D382" s="349" t="s">
        <v>54</v>
      </c>
      <c r="E382" s="349" t="s">
        <v>2133</v>
      </c>
      <c r="F382" s="611">
        <v>32250.0</v>
      </c>
      <c r="G382" s="413">
        <v>0.0</v>
      </c>
      <c r="H382" s="455" t="s">
        <v>2284</v>
      </c>
      <c r="I382" s="404" t="str">
        <f t="shared" si="3"/>
        <v>NOT PAID</v>
      </c>
      <c r="J382" s="402"/>
      <c r="K382" s="402"/>
      <c r="L382" s="402"/>
      <c r="M382" s="402"/>
      <c r="N382" s="402"/>
      <c r="O382" s="402"/>
      <c r="P382" s="402"/>
      <c r="Q382" s="402"/>
      <c r="R382" s="402"/>
      <c r="S382" s="402"/>
      <c r="T382" s="402"/>
      <c r="U382" s="402"/>
      <c r="V382" s="402"/>
      <c r="W382" s="402"/>
      <c r="X382" s="402"/>
      <c r="Y382" s="402"/>
      <c r="Z382" s="402"/>
    </row>
    <row r="383" ht="14.25" customHeight="1">
      <c r="A383" s="406">
        <v>45518.0</v>
      </c>
      <c r="B383" s="605" t="s">
        <v>2231</v>
      </c>
      <c r="C383" s="619" t="s">
        <v>2232</v>
      </c>
      <c r="D383" s="349" t="s">
        <v>54</v>
      </c>
      <c r="E383" s="349" t="s">
        <v>2133</v>
      </c>
      <c r="F383" s="620">
        <v>1091.0</v>
      </c>
      <c r="G383" s="413">
        <v>0.0</v>
      </c>
      <c r="H383" s="484" t="s">
        <v>2312</v>
      </c>
      <c r="I383" s="404" t="str">
        <f t="shared" si="3"/>
        <v>NOT PAID</v>
      </c>
      <c r="J383" s="402"/>
      <c r="K383" s="402"/>
      <c r="L383" s="402"/>
      <c r="M383" s="402"/>
      <c r="N383" s="402"/>
      <c r="O383" s="402"/>
      <c r="P383" s="402"/>
      <c r="Q383" s="402"/>
      <c r="R383" s="402"/>
      <c r="S383" s="402"/>
      <c r="T383" s="402"/>
      <c r="U383" s="402"/>
      <c r="V383" s="402"/>
      <c r="W383" s="402"/>
      <c r="X383" s="402"/>
      <c r="Y383" s="402"/>
      <c r="Z383" s="402"/>
    </row>
    <row r="384" ht="14.25" customHeight="1">
      <c r="A384" s="406">
        <v>45518.0</v>
      </c>
      <c r="B384" s="640" t="s">
        <v>2196</v>
      </c>
      <c r="C384" s="629" t="s">
        <v>2246</v>
      </c>
      <c r="D384" s="349" t="s">
        <v>54</v>
      </c>
      <c r="E384" s="349" t="s">
        <v>2133</v>
      </c>
      <c r="F384" s="622">
        <v>126855.0</v>
      </c>
      <c r="G384" s="413">
        <v>0.0</v>
      </c>
      <c r="H384" s="455" t="s">
        <v>2336</v>
      </c>
      <c r="I384" s="404" t="str">
        <f t="shared" si="3"/>
        <v>NOT PAID</v>
      </c>
      <c r="J384" s="402"/>
      <c r="K384" s="402"/>
      <c r="L384" s="402"/>
      <c r="M384" s="402"/>
      <c r="N384" s="402"/>
      <c r="O384" s="402"/>
      <c r="P384" s="402"/>
      <c r="Q384" s="402"/>
      <c r="R384" s="402"/>
      <c r="S384" s="402"/>
      <c r="T384" s="402"/>
      <c r="U384" s="402"/>
      <c r="V384" s="402"/>
      <c r="W384" s="402"/>
      <c r="X384" s="402"/>
      <c r="Y384" s="402"/>
      <c r="Z384" s="402"/>
    </row>
    <row r="385" ht="14.25" customHeight="1">
      <c r="A385" s="406">
        <v>45518.0</v>
      </c>
      <c r="B385" s="642" t="s">
        <v>2235</v>
      </c>
      <c r="C385" s="623" t="s">
        <v>2236</v>
      </c>
      <c r="D385" s="630" t="s">
        <v>75</v>
      </c>
      <c r="E385" s="349" t="s">
        <v>2133</v>
      </c>
      <c r="F385" s="622">
        <v>14500.0</v>
      </c>
      <c r="G385" s="413">
        <v>0.0</v>
      </c>
      <c r="H385" s="484" t="s">
        <v>2324</v>
      </c>
      <c r="I385" s="404" t="str">
        <f t="shared" si="3"/>
        <v>NOT PAID</v>
      </c>
      <c r="J385" s="402"/>
      <c r="K385" s="402"/>
      <c r="L385" s="402"/>
      <c r="M385" s="402"/>
      <c r="N385" s="402"/>
      <c r="O385" s="402"/>
      <c r="P385" s="402"/>
      <c r="Q385" s="402"/>
      <c r="R385" s="402"/>
      <c r="S385" s="402"/>
      <c r="T385" s="402"/>
      <c r="U385" s="402"/>
      <c r="V385" s="402"/>
      <c r="W385" s="402"/>
      <c r="X385" s="402"/>
      <c r="Y385" s="402"/>
      <c r="Z385" s="402"/>
    </row>
    <row r="386" ht="14.25" customHeight="1">
      <c r="A386" s="406">
        <v>45518.0</v>
      </c>
      <c r="B386" s="594" t="s">
        <v>2275</v>
      </c>
      <c r="C386" s="512" t="s">
        <v>2276</v>
      </c>
      <c r="D386" s="635" t="s">
        <v>54</v>
      </c>
      <c r="E386" s="349" t="s">
        <v>2133</v>
      </c>
      <c r="F386" s="636">
        <v>40363.26</v>
      </c>
      <c r="G386" s="413">
        <v>0.0</v>
      </c>
      <c r="H386" s="349" t="s">
        <v>2325</v>
      </c>
      <c r="I386" s="404" t="str">
        <f t="shared" si="3"/>
        <v>NOT PAID</v>
      </c>
      <c r="J386" s="402"/>
      <c r="K386" s="402"/>
      <c r="L386" s="402"/>
      <c r="M386" s="402"/>
      <c r="N386" s="402"/>
      <c r="O386" s="402"/>
      <c r="P386" s="402"/>
      <c r="Q386" s="402"/>
      <c r="R386" s="402"/>
      <c r="S386" s="402"/>
      <c r="T386" s="402"/>
      <c r="U386" s="402"/>
      <c r="V386" s="402"/>
      <c r="W386" s="402"/>
      <c r="X386" s="402"/>
      <c r="Y386" s="402"/>
      <c r="Z386" s="402"/>
    </row>
    <row r="387" ht="14.25" customHeight="1">
      <c r="A387" s="406">
        <v>45518.0</v>
      </c>
      <c r="B387" s="596" t="s">
        <v>2278</v>
      </c>
      <c r="C387" s="513" t="s">
        <v>2279</v>
      </c>
      <c r="D387" s="637" t="s">
        <v>54</v>
      </c>
      <c r="E387" s="349" t="s">
        <v>2133</v>
      </c>
      <c r="F387" s="638">
        <v>107213.0</v>
      </c>
      <c r="G387" s="413">
        <v>0.0</v>
      </c>
      <c r="H387" s="349" t="s">
        <v>2280</v>
      </c>
      <c r="I387" s="404" t="str">
        <f t="shared" si="3"/>
        <v>NOT PAID</v>
      </c>
      <c r="J387" s="402"/>
      <c r="K387" s="402"/>
      <c r="L387" s="402"/>
      <c r="M387" s="402"/>
      <c r="N387" s="402"/>
      <c r="O387" s="402"/>
      <c r="P387" s="402"/>
      <c r="Q387" s="402"/>
      <c r="R387" s="402"/>
      <c r="S387" s="402"/>
      <c r="T387" s="402"/>
      <c r="U387" s="402"/>
      <c r="V387" s="402"/>
      <c r="W387" s="402"/>
      <c r="X387" s="402"/>
      <c r="Y387" s="402"/>
      <c r="Z387" s="402"/>
    </row>
    <row r="388" ht="14.25" customHeight="1">
      <c r="A388" s="406">
        <v>45518.0</v>
      </c>
      <c r="B388" s="512" t="s">
        <v>2288</v>
      </c>
      <c r="C388" s="512" t="s">
        <v>2203</v>
      </c>
      <c r="D388" s="635" t="s">
        <v>54</v>
      </c>
      <c r="E388" s="349" t="s">
        <v>2133</v>
      </c>
      <c r="F388" s="638">
        <v>12829.0</v>
      </c>
      <c r="G388" s="413">
        <v>0.0</v>
      </c>
      <c r="H388" s="349" t="s">
        <v>2326</v>
      </c>
      <c r="I388" s="404" t="str">
        <f t="shared" si="3"/>
        <v>NOT PAID</v>
      </c>
      <c r="J388" s="402"/>
      <c r="K388" s="402"/>
      <c r="L388" s="402"/>
      <c r="M388" s="402"/>
      <c r="N388" s="402"/>
      <c r="O388" s="402"/>
      <c r="P388" s="402"/>
      <c r="Q388" s="402"/>
      <c r="R388" s="402"/>
      <c r="S388" s="402"/>
      <c r="T388" s="402"/>
      <c r="U388" s="402"/>
      <c r="V388" s="402"/>
      <c r="W388" s="402"/>
      <c r="X388" s="402"/>
      <c r="Y388" s="402"/>
      <c r="Z388" s="402"/>
    </row>
    <row r="389" ht="14.25" customHeight="1">
      <c r="A389" s="406">
        <v>45518.0</v>
      </c>
      <c r="B389" s="512" t="s">
        <v>2301</v>
      </c>
      <c r="C389" s="512" t="s">
        <v>2302</v>
      </c>
      <c r="D389" s="635" t="s">
        <v>54</v>
      </c>
      <c r="E389" s="349" t="s">
        <v>2133</v>
      </c>
      <c r="F389" s="643">
        <v>30387.0</v>
      </c>
      <c r="G389" s="413">
        <v>0.0</v>
      </c>
      <c r="H389" s="349" t="s">
        <v>2337</v>
      </c>
      <c r="I389" s="404" t="str">
        <f t="shared" si="3"/>
        <v>NOT PAID</v>
      </c>
      <c r="J389" s="402"/>
      <c r="K389" s="402"/>
      <c r="L389" s="402"/>
      <c r="M389" s="402"/>
      <c r="N389" s="402"/>
      <c r="O389" s="402"/>
      <c r="P389" s="402"/>
      <c r="Q389" s="402"/>
      <c r="R389" s="402"/>
      <c r="S389" s="402"/>
      <c r="T389" s="402"/>
      <c r="U389" s="402"/>
      <c r="V389" s="402"/>
      <c r="W389" s="402"/>
      <c r="X389" s="402"/>
      <c r="Y389" s="402"/>
      <c r="Z389" s="402"/>
    </row>
    <row r="390" ht="14.25" customHeight="1">
      <c r="A390" s="406">
        <v>45518.0</v>
      </c>
      <c r="B390" s="513" t="s">
        <v>2318</v>
      </c>
      <c r="C390" s="513" t="s">
        <v>2338</v>
      </c>
      <c r="D390" s="635" t="s">
        <v>54</v>
      </c>
      <c r="E390" s="349" t="s">
        <v>2133</v>
      </c>
      <c r="F390" s="644">
        <v>243818.0</v>
      </c>
      <c r="G390" s="413">
        <v>0.0</v>
      </c>
      <c r="H390" s="349" t="s">
        <v>2339</v>
      </c>
      <c r="I390" s="404"/>
      <c r="J390" s="402"/>
      <c r="K390" s="402"/>
      <c r="L390" s="402"/>
      <c r="M390" s="402"/>
      <c r="N390" s="402"/>
      <c r="O390" s="402"/>
      <c r="P390" s="402"/>
      <c r="Q390" s="402"/>
      <c r="R390" s="402"/>
      <c r="S390" s="402"/>
      <c r="T390" s="402"/>
      <c r="U390" s="402"/>
      <c r="V390" s="402"/>
      <c r="W390" s="402"/>
      <c r="X390" s="402"/>
      <c r="Y390" s="402"/>
      <c r="Z390" s="402"/>
    </row>
    <row r="391" ht="14.25" customHeight="1">
      <c r="A391" s="406">
        <v>45518.0</v>
      </c>
      <c r="B391" s="513" t="s">
        <v>2305</v>
      </c>
      <c r="C391" s="513" t="s">
        <v>2306</v>
      </c>
      <c r="D391" s="637" t="s">
        <v>54</v>
      </c>
      <c r="E391" s="349" t="s">
        <v>2133</v>
      </c>
      <c r="F391" s="644">
        <v>56879.0</v>
      </c>
      <c r="G391" s="413">
        <v>0.0</v>
      </c>
      <c r="H391" s="455" t="s">
        <v>2329</v>
      </c>
      <c r="I391" s="404" t="str">
        <f t="shared" ref="I391:I392" si="4">IF(G391&gt;=F391,"FULLY PAID",IF(G391=0,"NOT PAID","PARTIALLY PAID"))</f>
        <v>NOT PAID</v>
      </c>
      <c r="J391" s="402"/>
      <c r="K391" s="402"/>
      <c r="L391" s="402"/>
      <c r="M391" s="402"/>
      <c r="N391" s="402"/>
      <c r="O391" s="402"/>
      <c r="P391" s="402"/>
      <c r="Q391" s="402"/>
      <c r="R391" s="402"/>
      <c r="S391" s="402"/>
      <c r="T391" s="402"/>
      <c r="U391" s="402"/>
      <c r="V391" s="402"/>
      <c r="W391" s="402"/>
      <c r="X391" s="402"/>
      <c r="Y391" s="402"/>
      <c r="Z391" s="402"/>
    </row>
    <row r="392" ht="14.25" customHeight="1">
      <c r="A392" s="406">
        <v>45518.0</v>
      </c>
      <c r="B392" s="512" t="s">
        <v>2134</v>
      </c>
      <c r="C392" s="512" t="s">
        <v>2135</v>
      </c>
      <c r="D392" s="635" t="s">
        <v>54</v>
      </c>
      <c r="E392" s="349" t="s">
        <v>2133</v>
      </c>
      <c r="F392" s="643">
        <v>21472.29</v>
      </c>
      <c r="G392" s="413">
        <v>0.0</v>
      </c>
      <c r="H392" s="455" t="s">
        <v>2329</v>
      </c>
      <c r="I392" s="404" t="str">
        <f t="shared" si="4"/>
        <v>NOT PAID</v>
      </c>
      <c r="J392" s="402"/>
      <c r="K392" s="402"/>
      <c r="L392" s="402"/>
      <c r="M392" s="402"/>
      <c r="N392" s="402"/>
      <c r="O392" s="402"/>
      <c r="P392" s="402"/>
      <c r="Q392" s="402"/>
      <c r="R392" s="402"/>
      <c r="S392" s="402"/>
      <c r="T392" s="402"/>
      <c r="U392" s="402"/>
      <c r="V392" s="402"/>
      <c r="W392" s="402"/>
      <c r="X392" s="402"/>
      <c r="Y392" s="402"/>
      <c r="Z392" s="402"/>
    </row>
    <row r="393" ht="14.25" customHeight="1">
      <c r="A393" s="406">
        <v>45518.0</v>
      </c>
      <c r="B393" s="634" t="s">
        <v>2140</v>
      </c>
      <c r="C393" s="634" t="s">
        <v>2340</v>
      </c>
      <c r="D393" s="635" t="s">
        <v>54</v>
      </c>
      <c r="E393" s="349" t="s">
        <v>2133</v>
      </c>
      <c r="F393" s="646">
        <v>69538.0</v>
      </c>
      <c r="G393" s="413">
        <v>0.0</v>
      </c>
      <c r="H393" s="349" t="s">
        <v>2330</v>
      </c>
      <c r="I393" s="404"/>
      <c r="J393" s="402"/>
      <c r="K393" s="402"/>
      <c r="L393" s="402"/>
      <c r="M393" s="402"/>
      <c r="N393" s="402"/>
      <c r="O393" s="402"/>
      <c r="P393" s="402"/>
      <c r="Q393" s="402"/>
      <c r="R393" s="402"/>
      <c r="S393" s="402"/>
      <c r="T393" s="402"/>
      <c r="U393" s="402"/>
      <c r="V393" s="402"/>
      <c r="W393" s="402"/>
      <c r="X393" s="402"/>
      <c r="Y393" s="402"/>
      <c r="Z393" s="402"/>
    </row>
    <row r="394" ht="14.25" customHeight="1">
      <c r="A394" s="406">
        <v>45518.0</v>
      </c>
      <c r="B394" s="512" t="s">
        <v>2137</v>
      </c>
      <c r="C394" s="512" t="s">
        <v>2138</v>
      </c>
      <c r="D394" s="635" t="s">
        <v>75</v>
      </c>
      <c r="E394" s="349" t="s">
        <v>2133</v>
      </c>
      <c r="F394" s="643">
        <v>141653.6</v>
      </c>
      <c r="G394" s="413">
        <v>0.0</v>
      </c>
      <c r="H394" s="349" t="s">
        <v>2330</v>
      </c>
      <c r="I394" s="404" t="str">
        <f t="shared" ref="I394:I494" si="5">IF(G394&gt;=F394,"FULLY PAID",IF(G394=0,"NOT PAID","PARTIALLY PAID"))</f>
        <v>NOT PAID</v>
      </c>
      <c r="J394" s="402"/>
      <c r="K394" s="402"/>
      <c r="L394" s="402"/>
      <c r="M394" s="402"/>
      <c r="N394" s="402"/>
      <c r="O394" s="402"/>
      <c r="P394" s="402"/>
      <c r="Q394" s="402"/>
      <c r="R394" s="402"/>
      <c r="S394" s="402"/>
      <c r="T394" s="402"/>
      <c r="U394" s="402"/>
      <c r="V394" s="402"/>
      <c r="W394" s="402"/>
      <c r="X394" s="402"/>
      <c r="Y394" s="402"/>
      <c r="Z394" s="402"/>
    </row>
    <row r="395" ht="14.25" customHeight="1">
      <c r="A395" s="406">
        <v>45518.0</v>
      </c>
      <c r="B395" s="349" t="s">
        <v>2163</v>
      </c>
      <c r="C395" s="349" t="s">
        <v>2164</v>
      </c>
      <c r="D395" s="413" t="s">
        <v>59</v>
      </c>
      <c r="E395" s="349" t="s">
        <v>273</v>
      </c>
      <c r="F395" s="559">
        <v>100000.0</v>
      </c>
      <c r="G395" s="413">
        <v>0.0</v>
      </c>
      <c r="H395" s="349" t="s">
        <v>2331</v>
      </c>
      <c r="I395" s="404" t="str">
        <f t="shared" si="5"/>
        <v>NOT PAID</v>
      </c>
      <c r="J395" s="402"/>
      <c r="K395" s="402"/>
      <c r="L395" s="402"/>
      <c r="M395" s="402"/>
      <c r="N395" s="402"/>
      <c r="O395" s="402"/>
      <c r="P395" s="402"/>
      <c r="Q395" s="402"/>
      <c r="R395" s="402"/>
      <c r="S395" s="402"/>
      <c r="T395" s="402"/>
      <c r="U395" s="402"/>
      <c r="V395" s="402"/>
      <c r="W395" s="402"/>
      <c r="X395" s="402"/>
      <c r="Y395" s="402"/>
      <c r="Z395" s="402"/>
    </row>
    <row r="396" ht="14.25" customHeight="1">
      <c r="A396" s="406">
        <v>45518.0</v>
      </c>
      <c r="B396" s="349" t="s">
        <v>2341</v>
      </c>
      <c r="C396" s="349" t="s">
        <v>2179</v>
      </c>
      <c r="D396" s="645" t="s">
        <v>75</v>
      </c>
      <c r="E396" s="349" t="s">
        <v>2133</v>
      </c>
      <c r="F396" s="559">
        <v>20000.0</v>
      </c>
      <c r="G396" s="413">
        <v>20000.0</v>
      </c>
      <c r="H396" s="349" t="s">
        <v>212</v>
      </c>
      <c r="I396" s="404" t="str">
        <f t="shared" si="5"/>
        <v>FULLY PAID</v>
      </c>
      <c r="J396" s="402"/>
      <c r="K396" s="402"/>
      <c r="L396" s="402"/>
      <c r="M396" s="402"/>
      <c r="N396" s="402"/>
      <c r="O396" s="402"/>
      <c r="P396" s="402"/>
      <c r="Q396" s="402"/>
      <c r="R396" s="402"/>
      <c r="S396" s="402"/>
      <c r="T396" s="402"/>
      <c r="U396" s="402"/>
      <c r="V396" s="402"/>
      <c r="W396" s="402"/>
      <c r="X396" s="402"/>
      <c r="Y396" s="402"/>
      <c r="Z396" s="402"/>
    </row>
    <row r="397" ht="14.25" customHeight="1">
      <c r="A397" s="406"/>
      <c r="B397" s="402"/>
      <c r="C397" s="402"/>
      <c r="D397" s="402"/>
      <c r="E397" s="402"/>
      <c r="F397" s="587"/>
      <c r="G397" s="403"/>
      <c r="H397" s="402"/>
      <c r="I397" s="404" t="str">
        <f t="shared" si="5"/>
        <v>FULLY PAID</v>
      </c>
      <c r="J397" s="402"/>
      <c r="K397" s="402"/>
      <c r="L397" s="402"/>
      <c r="M397" s="402"/>
      <c r="N397" s="402"/>
      <c r="O397" s="402"/>
      <c r="P397" s="402"/>
      <c r="Q397" s="402"/>
      <c r="R397" s="402"/>
      <c r="S397" s="402"/>
      <c r="T397" s="402"/>
      <c r="U397" s="402"/>
      <c r="V397" s="402"/>
      <c r="W397" s="402"/>
      <c r="X397" s="402"/>
      <c r="Y397" s="402"/>
      <c r="Z397" s="402"/>
    </row>
    <row r="398" ht="14.25" customHeight="1">
      <c r="A398" s="406"/>
      <c r="B398" s="402"/>
      <c r="C398" s="402"/>
      <c r="D398" s="402"/>
      <c r="E398" s="402"/>
      <c r="F398" s="587"/>
      <c r="G398" s="403"/>
      <c r="H398" s="402"/>
      <c r="I398" s="404" t="str">
        <f t="shared" si="5"/>
        <v>FULLY PAID</v>
      </c>
      <c r="J398" s="402"/>
      <c r="K398" s="402"/>
      <c r="L398" s="402"/>
      <c r="M398" s="402"/>
      <c r="N398" s="402"/>
      <c r="O398" s="402"/>
      <c r="P398" s="402"/>
      <c r="Q398" s="402"/>
      <c r="R398" s="402"/>
      <c r="S398" s="402"/>
      <c r="T398" s="402"/>
      <c r="U398" s="402"/>
      <c r="V398" s="402"/>
      <c r="W398" s="402"/>
      <c r="X398" s="402"/>
      <c r="Y398" s="402"/>
      <c r="Z398" s="402"/>
    </row>
    <row r="399" ht="14.25" customHeight="1">
      <c r="A399" s="406"/>
      <c r="B399" s="402"/>
      <c r="C399" s="402"/>
      <c r="D399" s="402"/>
      <c r="E399" s="402"/>
      <c r="F399" s="587"/>
      <c r="G399" s="403"/>
      <c r="H399" s="402"/>
      <c r="I399" s="404" t="str">
        <f t="shared" si="5"/>
        <v>FULLY PAID</v>
      </c>
      <c r="J399" s="402"/>
      <c r="K399" s="402"/>
      <c r="L399" s="402"/>
      <c r="M399" s="402"/>
      <c r="N399" s="402"/>
      <c r="O399" s="402"/>
      <c r="P399" s="402"/>
      <c r="Q399" s="402"/>
      <c r="R399" s="402"/>
      <c r="S399" s="402"/>
      <c r="T399" s="402"/>
      <c r="U399" s="402"/>
      <c r="V399" s="402"/>
      <c r="W399" s="402"/>
      <c r="X399" s="402"/>
      <c r="Y399" s="402"/>
      <c r="Z399" s="402"/>
    </row>
    <row r="400" ht="14.25" customHeight="1">
      <c r="A400" s="406">
        <v>45519.0</v>
      </c>
      <c r="B400" s="512" t="s">
        <v>2332</v>
      </c>
      <c r="C400" s="512" t="s">
        <v>2197</v>
      </c>
      <c r="D400" s="635" t="s">
        <v>54</v>
      </c>
      <c r="E400" s="349" t="s">
        <v>2133</v>
      </c>
      <c r="F400" s="636">
        <v>217317.0</v>
      </c>
      <c r="G400" s="413">
        <v>0.0</v>
      </c>
      <c r="H400" s="349" t="s">
        <v>2342</v>
      </c>
      <c r="I400" s="404" t="str">
        <f t="shared" si="5"/>
        <v>NOT PAID</v>
      </c>
      <c r="J400" s="402"/>
      <c r="K400" s="402"/>
      <c r="L400" s="402"/>
      <c r="M400" s="402"/>
      <c r="N400" s="402"/>
      <c r="O400" s="402"/>
      <c r="P400" s="402"/>
      <c r="Q400" s="402"/>
      <c r="R400" s="402"/>
      <c r="S400" s="402"/>
      <c r="T400" s="402"/>
      <c r="U400" s="402"/>
      <c r="V400" s="402"/>
      <c r="W400" s="402"/>
      <c r="X400" s="402"/>
      <c r="Y400" s="402"/>
      <c r="Z400" s="402"/>
    </row>
    <row r="401" ht="14.25" customHeight="1">
      <c r="A401" s="406">
        <v>45519.0</v>
      </c>
      <c r="B401" s="512" t="s">
        <v>2343</v>
      </c>
      <c r="C401" s="512" t="s">
        <v>2344</v>
      </c>
      <c r="D401" s="635" t="s">
        <v>54</v>
      </c>
      <c r="E401" s="349" t="s">
        <v>2133</v>
      </c>
      <c r="F401" s="636">
        <v>20425.0</v>
      </c>
      <c r="G401" s="413">
        <v>0.0</v>
      </c>
      <c r="H401" s="349" t="s">
        <v>2345</v>
      </c>
      <c r="I401" s="404" t="str">
        <f t="shared" si="5"/>
        <v>NOT PAID</v>
      </c>
      <c r="J401" s="402"/>
      <c r="K401" s="402"/>
      <c r="L401" s="402"/>
      <c r="M401" s="402"/>
      <c r="N401" s="402"/>
      <c r="O401" s="402"/>
      <c r="P401" s="402"/>
      <c r="Q401" s="402"/>
      <c r="R401" s="402"/>
      <c r="S401" s="402"/>
      <c r="T401" s="402"/>
      <c r="U401" s="402"/>
      <c r="V401" s="402"/>
      <c r="W401" s="402"/>
      <c r="X401" s="402"/>
      <c r="Y401" s="402"/>
      <c r="Z401" s="402"/>
    </row>
    <row r="402" ht="14.25" customHeight="1">
      <c r="A402" s="406">
        <v>45519.0</v>
      </c>
      <c r="B402" s="594" t="s">
        <v>2294</v>
      </c>
      <c r="C402" s="594" t="s">
        <v>2153</v>
      </c>
      <c r="D402" s="645" t="s">
        <v>75</v>
      </c>
      <c r="E402" s="349" t="s">
        <v>2133</v>
      </c>
      <c r="F402" s="636">
        <v>97750.0</v>
      </c>
      <c r="G402" s="413">
        <v>0.0</v>
      </c>
      <c r="H402" s="349" t="s">
        <v>2346</v>
      </c>
      <c r="I402" s="404" t="str">
        <f t="shared" si="5"/>
        <v>NOT PAID</v>
      </c>
      <c r="J402" s="402"/>
      <c r="K402" s="402"/>
      <c r="L402" s="402"/>
      <c r="M402" s="402"/>
      <c r="N402" s="402"/>
      <c r="O402" s="402"/>
      <c r="P402" s="402"/>
      <c r="Q402" s="402"/>
      <c r="R402" s="402"/>
      <c r="S402" s="402"/>
      <c r="T402" s="402"/>
      <c r="U402" s="402"/>
      <c r="V402" s="402"/>
      <c r="W402" s="402"/>
      <c r="X402" s="402"/>
      <c r="Y402" s="402"/>
      <c r="Z402" s="402"/>
    </row>
    <row r="403" ht="14.25" customHeight="1">
      <c r="A403" s="406">
        <v>45519.0</v>
      </c>
      <c r="B403" s="607" t="s">
        <v>2149</v>
      </c>
      <c r="C403" s="607" t="s">
        <v>2206</v>
      </c>
      <c r="D403" s="349" t="s">
        <v>54</v>
      </c>
      <c r="E403" s="349" t="s">
        <v>2133</v>
      </c>
      <c r="F403" s="559">
        <v>5000.0</v>
      </c>
      <c r="G403" s="413">
        <v>0.0</v>
      </c>
      <c r="H403" s="455" t="s">
        <v>2296</v>
      </c>
      <c r="I403" s="404" t="str">
        <f t="shared" si="5"/>
        <v>NOT PAID</v>
      </c>
      <c r="J403" s="402"/>
      <c r="K403" s="402"/>
      <c r="L403" s="402"/>
      <c r="M403" s="402"/>
      <c r="N403" s="402"/>
      <c r="O403" s="402"/>
      <c r="P403" s="402"/>
      <c r="Q403" s="402"/>
      <c r="R403" s="402"/>
      <c r="S403" s="402"/>
      <c r="T403" s="402"/>
      <c r="U403" s="402"/>
      <c r="V403" s="402"/>
      <c r="W403" s="402"/>
      <c r="X403" s="402"/>
      <c r="Y403" s="402"/>
      <c r="Z403" s="402"/>
    </row>
    <row r="404" ht="14.25" customHeight="1">
      <c r="A404" s="406">
        <v>45519.0</v>
      </c>
      <c r="B404" s="419" t="s">
        <v>2208</v>
      </c>
      <c r="C404" s="408" t="s">
        <v>2132</v>
      </c>
      <c r="D404" s="408" t="s">
        <v>439</v>
      </c>
      <c r="E404" s="408" t="s">
        <v>2133</v>
      </c>
      <c r="F404" s="445">
        <v>4000.0</v>
      </c>
      <c r="G404" s="413">
        <v>0.0</v>
      </c>
      <c r="H404" s="349" t="s">
        <v>2323</v>
      </c>
      <c r="I404" s="404" t="str">
        <f t="shared" si="5"/>
        <v>NOT PAID</v>
      </c>
      <c r="J404" s="402"/>
      <c r="K404" s="402"/>
      <c r="L404" s="402"/>
      <c r="M404" s="402"/>
      <c r="N404" s="402"/>
      <c r="O404" s="402"/>
      <c r="P404" s="402"/>
      <c r="Q404" s="402"/>
      <c r="R404" s="402"/>
      <c r="S404" s="402"/>
      <c r="T404" s="402"/>
      <c r="U404" s="402"/>
      <c r="V404" s="402"/>
      <c r="W404" s="402"/>
      <c r="X404" s="402"/>
      <c r="Y404" s="402"/>
      <c r="Z404" s="402"/>
    </row>
    <row r="405" ht="14.25" customHeight="1">
      <c r="A405" s="406">
        <v>45519.0</v>
      </c>
      <c r="B405" s="349" t="s">
        <v>2143</v>
      </c>
      <c r="C405" s="349" t="s">
        <v>2144</v>
      </c>
      <c r="D405" s="349" t="s">
        <v>54</v>
      </c>
      <c r="E405" s="349" t="s">
        <v>2133</v>
      </c>
      <c r="F405" s="559">
        <v>6000.0</v>
      </c>
      <c r="G405" s="413">
        <v>6000.0</v>
      </c>
      <c r="H405" s="349" t="s">
        <v>401</v>
      </c>
      <c r="I405" s="404" t="str">
        <f t="shared" si="5"/>
        <v>FULLY PAID</v>
      </c>
      <c r="J405" s="402"/>
      <c r="K405" s="402"/>
      <c r="L405" s="402"/>
      <c r="M405" s="402"/>
      <c r="N405" s="402"/>
      <c r="O405" s="402"/>
      <c r="P405" s="402"/>
      <c r="Q405" s="402"/>
      <c r="R405" s="402"/>
      <c r="S405" s="402"/>
      <c r="T405" s="402"/>
      <c r="U405" s="402"/>
      <c r="V405" s="402"/>
      <c r="W405" s="402"/>
      <c r="X405" s="402"/>
      <c r="Y405" s="402"/>
      <c r="Z405" s="402"/>
    </row>
    <row r="406" ht="14.25" customHeight="1">
      <c r="A406" s="406">
        <v>45519.0</v>
      </c>
      <c r="B406" s="616" t="s">
        <v>2213</v>
      </c>
      <c r="C406" s="617" t="s">
        <v>2214</v>
      </c>
      <c r="D406" s="349" t="s">
        <v>54</v>
      </c>
      <c r="E406" s="349" t="s">
        <v>2133</v>
      </c>
      <c r="F406" s="618">
        <v>1120.0</v>
      </c>
      <c r="G406" s="413">
        <v>0.0</v>
      </c>
      <c r="H406" s="349" t="s">
        <v>2347</v>
      </c>
      <c r="I406" s="404" t="str">
        <f t="shared" si="5"/>
        <v>NOT PAID</v>
      </c>
      <c r="J406" s="402"/>
      <c r="K406" s="402"/>
      <c r="L406" s="402"/>
      <c r="M406" s="402"/>
      <c r="N406" s="402"/>
      <c r="O406" s="402"/>
      <c r="P406" s="402"/>
      <c r="Q406" s="402"/>
      <c r="R406" s="402"/>
      <c r="S406" s="402"/>
      <c r="T406" s="402"/>
      <c r="U406" s="402"/>
      <c r="V406" s="402"/>
      <c r="W406" s="402"/>
      <c r="X406" s="402"/>
      <c r="Y406" s="402"/>
      <c r="Z406" s="402"/>
    </row>
    <row r="407" ht="14.25" customHeight="1">
      <c r="A407" s="406">
        <v>45519.0</v>
      </c>
      <c r="B407" s="605" t="s">
        <v>2221</v>
      </c>
      <c r="C407" s="606" t="s">
        <v>2222</v>
      </c>
      <c r="D407" s="349" t="s">
        <v>54</v>
      </c>
      <c r="E407" s="349" t="s">
        <v>2133</v>
      </c>
      <c r="F407" s="611">
        <v>32250.0</v>
      </c>
      <c r="G407" s="413">
        <v>0.0</v>
      </c>
      <c r="H407" s="455" t="s">
        <v>2284</v>
      </c>
      <c r="I407" s="404" t="str">
        <f t="shared" si="5"/>
        <v>NOT PAID</v>
      </c>
      <c r="J407" s="402"/>
      <c r="K407" s="402"/>
      <c r="L407" s="402"/>
      <c r="M407" s="402"/>
      <c r="N407" s="402"/>
      <c r="O407" s="402"/>
      <c r="P407" s="402"/>
      <c r="Q407" s="402"/>
      <c r="R407" s="402"/>
      <c r="S407" s="402"/>
      <c r="T407" s="402"/>
      <c r="U407" s="402"/>
      <c r="V407" s="402"/>
      <c r="W407" s="402"/>
      <c r="X407" s="402"/>
      <c r="Y407" s="402"/>
      <c r="Z407" s="402"/>
    </row>
    <row r="408" ht="14.25" customHeight="1">
      <c r="A408" s="406">
        <v>45519.0</v>
      </c>
      <c r="B408" s="605" t="s">
        <v>2231</v>
      </c>
      <c r="C408" s="619" t="s">
        <v>2232</v>
      </c>
      <c r="D408" s="349" t="s">
        <v>54</v>
      </c>
      <c r="E408" s="349" t="s">
        <v>2133</v>
      </c>
      <c r="F408" s="620">
        <v>1091.0</v>
      </c>
      <c r="G408" s="413">
        <v>0.0</v>
      </c>
      <c r="H408" s="484" t="s">
        <v>2312</v>
      </c>
      <c r="I408" s="404" t="str">
        <f t="shared" si="5"/>
        <v>NOT PAID</v>
      </c>
      <c r="J408" s="402"/>
      <c r="K408" s="402"/>
      <c r="L408" s="402"/>
      <c r="M408" s="402"/>
      <c r="N408" s="402"/>
      <c r="O408" s="402"/>
      <c r="P408" s="402"/>
      <c r="Q408" s="402"/>
      <c r="R408" s="402"/>
      <c r="S408" s="402"/>
      <c r="T408" s="402"/>
      <c r="U408" s="402"/>
      <c r="V408" s="402"/>
      <c r="W408" s="402"/>
      <c r="X408" s="402"/>
      <c r="Y408" s="402"/>
      <c r="Z408" s="402"/>
    </row>
    <row r="409" ht="14.25" customHeight="1">
      <c r="A409" s="406">
        <v>45519.0</v>
      </c>
      <c r="B409" s="640" t="s">
        <v>2196</v>
      </c>
      <c r="C409" s="629" t="s">
        <v>2246</v>
      </c>
      <c r="D409" s="349" t="s">
        <v>54</v>
      </c>
      <c r="E409" s="349" t="s">
        <v>2133</v>
      </c>
      <c r="F409" s="622">
        <v>126855.0</v>
      </c>
      <c r="G409" s="413">
        <v>0.0</v>
      </c>
      <c r="H409" s="455" t="s">
        <v>2336</v>
      </c>
      <c r="I409" s="404" t="str">
        <f t="shared" si="5"/>
        <v>NOT PAID</v>
      </c>
      <c r="J409" s="402"/>
      <c r="K409" s="402"/>
      <c r="L409" s="402"/>
      <c r="M409" s="402"/>
      <c r="N409" s="402"/>
      <c r="O409" s="402"/>
      <c r="P409" s="402"/>
      <c r="Q409" s="402"/>
      <c r="R409" s="402"/>
      <c r="S409" s="402"/>
      <c r="T409" s="402"/>
      <c r="U409" s="402"/>
      <c r="V409" s="402"/>
      <c r="W409" s="402"/>
      <c r="X409" s="402"/>
      <c r="Y409" s="402"/>
      <c r="Z409" s="402"/>
    </row>
    <row r="410" ht="14.25" customHeight="1">
      <c r="A410" s="406">
        <v>45519.0</v>
      </c>
      <c r="B410" s="642" t="s">
        <v>2235</v>
      </c>
      <c r="C410" s="623" t="s">
        <v>2236</v>
      </c>
      <c r="D410" s="630" t="s">
        <v>75</v>
      </c>
      <c r="E410" s="349" t="s">
        <v>2133</v>
      </c>
      <c r="F410" s="622">
        <v>14500.0</v>
      </c>
      <c r="G410" s="413">
        <v>0.0</v>
      </c>
      <c r="H410" s="349" t="s">
        <v>2347</v>
      </c>
      <c r="I410" s="404" t="str">
        <f t="shared" si="5"/>
        <v>NOT PAID</v>
      </c>
      <c r="J410" s="402"/>
      <c r="K410" s="402"/>
      <c r="L410" s="402"/>
      <c r="M410" s="402"/>
      <c r="N410" s="402"/>
      <c r="O410" s="402"/>
      <c r="P410" s="402"/>
      <c r="Q410" s="402"/>
      <c r="R410" s="402"/>
      <c r="S410" s="402"/>
      <c r="T410" s="402"/>
      <c r="U410" s="402"/>
      <c r="V410" s="402"/>
      <c r="W410" s="402"/>
      <c r="X410" s="402"/>
      <c r="Y410" s="402"/>
      <c r="Z410" s="402"/>
    </row>
    <row r="411" ht="14.25" customHeight="1">
      <c r="A411" s="406">
        <v>45519.0</v>
      </c>
      <c r="B411" s="594" t="s">
        <v>2275</v>
      </c>
      <c r="C411" s="512" t="s">
        <v>2276</v>
      </c>
      <c r="D411" s="635" t="s">
        <v>54</v>
      </c>
      <c r="E411" s="349" t="s">
        <v>2133</v>
      </c>
      <c r="F411" s="636">
        <v>40363.26</v>
      </c>
      <c r="G411" s="413">
        <v>0.0</v>
      </c>
      <c r="H411" s="349" t="s">
        <v>2325</v>
      </c>
      <c r="I411" s="404" t="str">
        <f t="shared" si="5"/>
        <v>NOT PAID</v>
      </c>
      <c r="J411" s="402"/>
      <c r="K411" s="402"/>
      <c r="L411" s="402"/>
      <c r="M411" s="402"/>
      <c r="N411" s="402"/>
      <c r="O411" s="402"/>
      <c r="P411" s="402"/>
      <c r="Q411" s="402"/>
      <c r="R411" s="402"/>
      <c r="S411" s="402"/>
      <c r="T411" s="402"/>
      <c r="U411" s="402"/>
      <c r="V411" s="402"/>
      <c r="W411" s="402"/>
      <c r="X411" s="402"/>
      <c r="Y411" s="402"/>
      <c r="Z411" s="402"/>
    </row>
    <row r="412" ht="14.25" customHeight="1">
      <c r="A412" s="406">
        <v>45519.0</v>
      </c>
      <c r="B412" s="596" t="s">
        <v>2278</v>
      </c>
      <c r="C412" s="513" t="s">
        <v>2279</v>
      </c>
      <c r="D412" s="637" t="s">
        <v>54</v>
      </c>
      <c r="E412" s="349" t="s">
        <v>2133</v>
      </c>
      <c r="F412" s="638">
        <v>107213.0</v>
      </c>
      <c r="G412" s="413">
        <v>0.0</v>
      </c>
      <c r="H412" s="349" t="s">
        <v>2348</v>
      </c>
      <c r="I412" s="404" t="str">
        <f t="shared" si="5"/>
        <v>NOT PAID</v>
      </c>
      <c r="J412" s="402"/>
      <c r="K412" s="402"/>
      <c r="L412" s="402"/>
      <c r="M412" s="402"/>
      <c r="N412" s="402"/>
      <c r="O412" s="402"/>
      <c r="P412" s="402"/>
      <c r="Q412" s="402"/>
      <c r="R412" s="402"/>
      <c r="S412" s="402"/>
      <c r="T412" s="402"/>
      <c r="U412" s="402"/>
      <c r="V412" s="402"/>
      <c r="W412" s="402"/>
      <c r="X412" s="402"/>
      <c r="Y412" s="402"/>
      <c r="Z412" s="402"/>
    </row>
    <row r="413" ht="14.25" customHeight="1">
      <c r="A413" s="406">
        <v>45519.0</v>
      </c>
      <c r="B413" s="512" t="s">
        <v>2288</v>
      </c>
      <c r="C413" s="512" t="s">
        <v>2203</v>
      </c>
      <c r="D413" s="635" t="s">
        <v>54</v>
      </c>
      <c r="E413" s="349" t="s">
        <v>2133</v>
      </c>
      <c r="F413" s="638">
        <v>12829.0</v>
      </c>
      <c r="G413" s="413">
        <v>0.0</v>
      </c>
      <c r="H413" s="349" t="s">
        <v>2349</v>
      </c>
      <c r="I413" s="404" t="str">
        <f t="shared" si="5"/>
        <v>NOT PAID</v>
      </c>
      <c r="J413" s="402"/>
      <c r="K413" s="402"/>
      <c r="L413" s="402"/>
      <c r="M413" s="402"/>
      <c r="N413" s="402"/>
      <c r="O413" s="402"/>
      <c r="P413" s="402"/>
      <c r="Q413" s="402"/>
      <c r="R413" s="402"/>
      <c r="S413" s="402"/>
      <c r="T413" s="402"/>
      <c r="U413" s="402"/>
      <c r="V413" s="402"/>
      <c r="W413" s="402"/>
      <c r="X413" s="402"/>
      <c r="Y413" s="402"/>
      <c r="Z413" s="402"/>
    </row>
    <row r="414" ht="14.25" customHeight="1">
      <c r="A414" s="406">
        <v>45519.0</v>
      </c>
      <c r="B414" s="512" t="s">
        <v>2301</v>
      </c>
      <c r="C414" s="512" t="s">
        <v>2302</v>
      </c>
      <c r="D414" s="635" t="s">
        <v>54</v>
      </c>
      <c r="E414" s="349" t="s">
        <v>2133</v>
      </c>
      <c r="F414" s="636">
        <v>30387.0</v>
      </c>
      <c r="G414" s="413">
        <v>0.0</v>
      </c>
      <c r="H414" s="349" t="s">
        <v>2337</v>
      </c>
      <c r="I414" s="404" t="str">
        <f t="shared" si="5"/>
        <v>NOT PAID</v>
      </c>
      <c r="J414" s="402"/>
      <c r="K414" s="402"/>
      <c r="L414" s="402"/>
      <c r="M414" s="402"/>
      <c r="N414" s="402"/>
      <c r="O414" s="402"/>
      <c r="P414" s="402"/>
      <c r="Q414" s="402"/>
      <c r="R414" s="402"/>
      <c r="S414" s="402"/>
      <c r="T414" s="402"/>
      <c r="U414" s="402"/>
      <c r="V414" s="402"/>
      <c r="W414" s="402"/>
      <c r="X414" s="402"/>
      <c r="Y414" s="402"/>
      <c r="Z414" s="402"/>
    </row>
    <row r="415" ht="14.25" customHeight="1">
      <c r="A415" s="406">
        <v>45519.0</v>
      </c>
      <c r="B415" s="513" t="s">
        <v>2318</v>
      </c>
      <c r="C415" s="513" t="s">
        <v>2338</v>
      </c>
      <c r="D415" s="635" t="s">
        <v>54</v>
      </c>
      <c r="E415" s="349" t="s">
        <v>2133</v>
      </c>
      <c r="F415" s="638">
        <v>243818.0</v>
      </c>
      <c r="G415" s="413">
        <v>243818.0</v>
      </c>
      <c r="H415" s="349" t="s">
        <v>401</v>
      </c>
      <c r="I415" s="404" t="str">
        <f t="shared" si="5"/>
        <v>FULLY PAID</v>
      </c>
      <c r="J415" s="402"/>
      <c r="K415" s="402"/>
      <c r="L415" s="402"/>
      <c r="M415" s="402"/>
      <c r="N415" s="402"/>
      <c r="O415" s="402"/>
      <c r="P415" s="402"/>
      <c r="Q415" s="402"/>
      <c r="R415" s="402"/>
      <c r="S415" s="402"/>
      <c r="T415" s="402"/>
      <c r="U415" s="402"/>
      <c r="V415" s="402"/>
      <c r="W415" s="402"/>
      <c r="X415" s="402"/>
      <c r="Y415" s="402"/>
      <c r="Z415" s="402"/>
    </row>
    <row r="416" ht="14.25" customHeight="1">
      <c r="A416" s="406">
        <v>45519.0</v>
      </c>
      <c r="B416" s="513" t="s">
        <v>2305</v>
      </c>
      <c r="C416" s="513" t="s">
        <v>2306</v>
      </c>
      <c r="D416" s="637" t="s">
        <v>54</v>
      </c>
      <c r="E416" s="349" t="s">
        <v>2133</v>
      </c>
      <c r="F416" s="638">
        <v>56879.0</v>
      </c>
      <c r="G416" s="413">
        <v>0.0</v>
      </c>
      <c r="H416" s="349" t="s">
        <v>2071</v>
      </c>
      <c r="I416" s="404" t="str">
        <f t="shared" si="5"/>
        <v>NOT PAID</v>
      </c>
      <c r="J416" s="402"/>
      <c r="K416" s="402"/>
      <c r="L416" s="402"/>
      <c r="M416" s="402"/>
      <c r="N416" s="402"/>
      <c r="O416" s="402"/>
      <c r="P416" s="402"/>
      <c r="Q416" s="402"/>
      <c r="R416" s="402"/>
      <c r="S416" s="402"/>
      <c r="T416" s="402"/>
      <c r="U416" s="402"/>
      <c r="V416" s="402"/>
      <c r="W416" s="402"/>
      <c r="X416" s="402"/>
      <c r="Y416" s="402"/>
      <c r="Z416" s="402"/>
    </row>
    <row r="417" ht="14.25" customHeight="1">
      <c r="A417" s="406">
        <v>45519.0</v>
      </c>
      <c r="B417" s="512" t="s">
        <v>2134</v>
      </c>
      <c r="C417" s="512" t="s">
        <v>2135</v>
      </c>
      <c r="D417" s="635" t="s">
        <v>54</v>
      </c>
      <c r="E417" s="349" t="s">
        <v>2133</v>
      </c>
      <c r="F417" s="636">
        <v>21472.29</v>
      </c>
      <c r="G417" s="413">
        <v>0.0</v>
      </c>
      <c r="H417" s="455" t="s">
        <v>2329</v>
      </c>
      <c r="I417" s="404" t="str">
        <f t="shared" si="5"/>
        <v>NOT PAID</v>
      </c>
      <c r="J417" s="402"/>
      <c r="K417" s="402"/>
      <c r="L417" s="402"/>
      <c r="M417" s="402"/>
      <c r="N417" s="402"/>
      <c r="O417" s="402"/>
      <c r="P417" s="402"/>
      <c r="Q417" s="402"/>
      <c r="R417" s="402"/>
      <c r="S417" s="402"/>
      <c r="T417" s="402"/>
      <c r="U417" s="402"/>
      <c r="V417" s="402"/>
      <c r="W417" s="402"/>
      <c r="X417" s="402"/>
      <c r="Y417" s="402"/>
      <c r="Z417" s="402"/>
    </row>
    <row r="418" ht="14.25" customHeight="1">
      <c r="A418" s="406">
        <v>45519.0</v>
      </c>
      <c r="B418" s="634" t="s">
        <v>2140</v>
      </c>
      <c r="C418" s="634" t="s">
        <v>2340</v>
      </c>
      <c r="D418" s="635" t="s">
        <v>54</v>
      </c>
      <c r="E418" s="349" t="s">
        <v>2133</v>
      </c>
      <c r="F418" s="647">
        <v>69538.0</v>
      </c>
      <c r="G418" s="413">
        <v>0.0</v>
      </c>
      <c r="H418" s="349" t="s">
        <v>2350</v>
      </c>
      <c r="I418" s="404" t="str">
        <f t="shared" si="5"/>
        <v>NOT PAID</v>
      </c>
      <c r="J418" s="402"/>
      <c r="K418" s="402"/>
      <c r="L418" s="402"/>
      <c r="M418" s="402"/>
      <c r="N418" s="402"/>
      <c r="O418" s="402"/>
      <c r="P418" s="402"/>
      <c r="Q418" s="402"/>
      <c r="R418" s="402"/>
      <c r="S418" s="402"/>
      <c r="T418" s="402"/>
      <c r="U418" s="402"/>
      <c r="V418" s="402"/>
      <c r="W418" s="402"/>
      <c r="X418" s="402"/>
      <c r="Y418" s="402"/>
      <c r="Z418" s="402"/>
    </row>
    <row r="419" ht="14.25" customHeight="1">
      <c r="A419" s="406">
        <v>45519.0</v>
      </c>
      <c r="B419" s="512" t="s">
        <v>2137</v>
      </c>
      <c r="C419" s="512" t="s">
        <v>2138</v>
      </c>
      <c r="D419" s="635" t="s">
        <v>75</v>
      </c>
      <c r="E419" s="349" t="s">
        <v>2133</v>
      </c>
      <c r="F419" s="643">
        <v>141653.6</v>
      </c>
      <c r="G419" s="413">
        <v>0.0</v>
      </c>
      <c r="H419" s="349" t="s">
        <v>2320</v>
      </c>
      <c r="I419" s="404" t="str">
        <f t="shared" si="5"/>
        <v>NOT PAID</v>
      </c>
      <c r="J419" s="402"/>
      <c r="K419" s="402"/>
      <c r="L419" s="402"/>
      <c r="M419" s="402"/>
      <c r="N419" s="402"/>
      <c r="O419" s="402"/>
      <c r="P419" s="402"/>
      <c r="Q419" s="402"/>
      <c r="R419" s="402"/>
      <c r="S419" s="402"/>
      <c r="T419" s="402"/>
      <c r="U419" s="402"/>
      <c r="V419" s="402"/>
      <c r="W419" s="402"/>
      <c r="X419" s="402"/>
      <c r="Y419" s="402"/>
      <c r="Z419" s="402"/>
    </row>
    <row r="420" ht="14.25" customHeight="1">
      <c r="A420" s="406">
        <v>45519.0</v>
      </c>
      <c r="B420" s="349" t="s">
        <v>2163</v>
      </c>
      <c r="C420" s="349" t="s">
        <v>2164</v>
      </c>
      <c r="D420" s="413" t="s">
        <v>59</v>
      </c>
      <c r="E420" s="349" t="s">
        <v>273</v>
      </c>
      <c r="F420" s="559">
        <v>100000.0</v>
      </c>
      <c r="G420" s="413">
        <v>0.0</v>
      </c>
      <c r="H420" s="349" t="s">
        <v>2351</v>
      </c>
      <c r="I420" s="404" t="str">
        <f t="shared" si="5"/>
        <v>NOT PAID</v>
      </c>
      <c r="J420" s="402"/>
      <c r="K420" s="402"/>
      <c r="L420" s="402"/>
      <c r="M420" s="402"/>
      <c r="N420" s="402"/>
      <c r="O420" s="402"/>
      <c r="P420" s="402"/>
      <c r="Q420" s="402"/>
      <c r="R420" s="402"/>
      <c r="S420" s="402"/>
      <c r="T420" s="402"/>
      <c r="U420" s="402"/>
      <c r="V420" s="402"/>
      <c r="W420" s="402"/>
      <c r="X420" s="402"/>
      <c r="Y420" s="402"/>
      <c r="Z420" s="402"/>
    </row>
    <row r="421" ht="14.25" customHeight="1">
      <c r="A421" s="406"/>
      <c r="B421" s="402"/>
      <c r="C421" s="402"/>
      <c r="D421" s="402"/>
      <c r="E421" s="402"/>
      <c r="F421" s="587"/>
      <c r="G421" s="403"/>
      <c r="H421" s="402"/>
      <c r="I421" s="404" t="str">
        <f t="shared" si="5"/>
        <v>FULLY PAID</v>
      </c>
      <c r="J421" s="402"/>
      <c r="K421" s="402"/>
      <c r="L421" s="402"/>
      <c r="M421" s="402"/>
      <c r="N421" s="402"/>
      <c r="O421" s="402"/>
      <c r="P421" s="402"/>
      <c r="Q421" s="402"/>
      <c r="R421" s="402"/>
      <c r="S421" s="402"/>
      <c r="T421" s="402"/>
      <c r="U421" s="402"/>
      <c r="V421" s="402"/>
      <c r="W421" s="402"/>
      <c r="X421" s="402"/>
      <c r="Y421" s="402"/>
      <c r="Z421" s="402"/>
    </row>
    <row r="422" ht="14.25" customHeight="1">
      <c r="A422" s="406"/>
      <c r="B422" s="402"/>
      <c r="C422" s="402"/>
      <c r="D422" s="402"/>
      <c r="E422" s="402"/>
      <c r="F422" s="587"/>
      <c r="G422" s="403"/>
      <c r="H422" s="402"/>
      <c r="I422" s="404" t="str">
        <f t="shared" si="5"/>
        <v>FULLY PAID</v>
      </c>
      <c r="J422" s="402"/>
      <c r="K422" s="402"/>
      <c r="L422" s="402"/>
      <c r="M422" s="402"/>
      <c r="N422" s="402"/>
      <c r="O422" s="402"/>
      <c r="P422" s="402"/>
      <c r="Q422" s="402"/>
      <c r="R422" s="402"/>
      <c r="S422" s="402"/>
      <c r="T422" s="402"/>
      <c r="U422" s="402"/>
      <c r="V422" s="402"/>
      <c r="W422" s="402"/>
      <c r="X422" s="402"/>
      <c r="Y422" s="402"/>
      <c r="Z422" s="402"/>
    </row>
    <row r="423" ht="14.25" customHeight="1">
      <c r="A423" s="406"/>
      <c r="B423" s="402"/>
      <c r="C423" s="402"/>
      <c r="D423" s="402"/>
      <c r="E423" s="402"/>
      <c r="F423" s="587"/>
      <c r="G423" s="403"/>
      <c r="H423" s="402"/>
      <c r="I423" s="404" t="str">
        <f t="shared" si="5"/>
        <v>FULLY PAID</v>
      </c>
      <c r="J423" s="402"/>
      <c r="K423" s="402"/>
      <c r="L423" s="402"/>
      <c r="M423" s="402"/>
      <c r="N423" s="402"/>
      <c r="O423" s="402"/>
      <c r="P423" s="402"/>
      <c r="Q423" s="402"/>
      <c r="R423" s="402"/>
      <c r="S423" s="402"/>
      <c r="T423" s="402"/>
      <c r="U423" s="402"/>
      <c r="V423" s="402"/>
      <c r="W423" s="402"/>
      <c r="X423" s="402"/>
      <c r="Y423" s="402"/>
      <c r="Z423" s="402"/>
    </row>
    <row r="424" ht="14.25" customHeight="1">
      <c r="A424" s="406">
        <v>45520.0</v>
      </c>
      <c r="B424" s="512" t="s">
        <v>2332</v>
      </c>
      <c r="C424" s="512" t="s">
        <v>2197</v>
      </c>
      <c r="D424" s="635" t="s">
        <v>54</v>
      </c>
      <c r="E424" s="349" t="s">
        <v>2133</v>
      </c>
      <c r="F424" s="636">
        <v>217317.0</v>
      </c>
      <c r="G424" s="413">
        <v>0.0</v>
      </c>
      <c r="H424" s="349" t="s">
        <v>2342</v>
      </c>
      <c r="I424" s="404" t="str">
        <f t="shared" si="5"/>
        <v>NOT PAID</v>
      </c>
      <c r="J424" s="402"/>
      <c r="K424" s="402"/>
      <c r="L424" s="402"/>
      <c r="M424" s="402"/>
      <c r="N424" s="402"/>
      <c r="O424" s="402"/>
      <c r="P424" s="402"/>
      <c r="Q424" s="402"/>
      <c r="R424" s="402"/>
      <c r="S424" s="402"/>
      <c r="T424" s="402"/>
      <c r="U424" s="402"/>
      <c r="V424" s="402"/>
      <c r="W424" s="402"/>
      <c r="X424" s="402"/>
      <c r="Y424" s="402"/>
      <c r="Z424" s="402"/>
    </row>
    <row r="425" ht="14.25" customHeight="1">
      <c r="A425" s="406">
        <v>45520.0</v>
      </c>
      <c r="B425" s="512" t="s">
        <v>2343</v>
      </c>
      <c r="C425" s="512" t="s">
        <v>2344</v>
      </c>
      <c r="D425" s="635" t="s">
        <v>54</v>
      </c>
      <c r="E425" s="349" t="s">
        <v>2133</v>
      </c>
      <c r="F425" s="636">
        <v>20425.0</v>
      </c>
      <c r="G425" s="413">
        <v>0.0</v>
      </c>
      <c r="H425" s="349" t="s">
        <v>2345</v>
      </c>
      <c r="I425" s="404" t="str">
        <f t="shared" si="5"/>
        <v>NOT PAID</v>
      </c>
      <c r="J425" s="402"/>
      <c r="K425" s="402"/>
      <c r="L425" s="402"/>
      <c r="M425" s="402"/>
      <c r="N425" s="402"/>
      <c r="O425" s="402"/>
      <c r="P425" s="402"/>
      <c r="Q425" s="402"/>
      <c r="R425" s="402"/>
      <c r="S425" s="402"/>
      <c r="T425" s="402"/>
      <c r="U425" s="402"/>
      <c r="V425" s="402"/>
      <c r="W425" s="402"/>
      <c r="X425" s="402"/>
      <c r="Y425" s="402"/>
      <c r="Z425" s="402"/>
    </row>
    <row r="426" ht="14.25" customHeight="1">
      <c r="A426" s="406">
        <v>45520.0</v>
      </c>
      <c r="B426" s="594" t="s">
        <v>2294</v>
      </c>
      <c r="C426" s="594" t="s">
        <v>2153</v>
      </c>
      <c r="D426" s="645" t="s">
        <v>75</v>
      </c>
      <c r="E426" s="349" t="s">
        <v>2133</v>
      </c>
      <c r="F426" s="636">
        <v>97750.0</v>
      </c>
      <c r="G426" s="413">
        <v>0.0</v>
      </c>
      <c r="H426" s="349" t="s">
        <v>2352</v>
      </c>
      <c r="I426" s="404" t="str">
        <f t="shared" si="5"/>
        <v>NOT PAID</v>
      </c>
      <c r="J426" s="402"/>
      <c r="K426" s="402"/>
      <c r="L426" s="402"/>
      <c r="M426" s="402"/>
      <c r="N426" s="402"/>
      <c r="O426" s="402"/>
      <c r="P426" s="402"/>
      <c r="Q426" s="402"/>
      <c r="R426" s="402"/>
      <c r="S426" s="402"/>
      <c r="T426" s="402"/>
      <c r="U426" s="402"/>
      <c r="V426" s="402"/>
      <c r="W426" s="402"/>
      <c r="X426" s="402"/>
      <c r="Y426" s="402"/>
      <c r="Z426" s="402"/>
    </row>
    <row r="427" ht="14.25" customHeight="1">
      <c r="A427" s="406">
        <v>45520.0</v>
      </c>
      <c r="B427" s="607" t="s">
        <v>2149</v>
      </c>
      <c r="C427" s="607" t="s">
        <v>2206</v>
      </c>
      <c r="D427" s="349" t="s">
        <v>54</v>
      </c>
      <c r="E427" s="349" t="s">
        <v>2133</v>
      </c>
      <c r="F427" s="559">
        <v>5000.0</v>
      </c>
      <c r="G427" s="413">
        <v>0.0</v>
      </c>
      <c r="H427" s="455" t="s">
        <v>2296</v>
      </c>
      <c r="I427" s="404" t="str">
        <f t="shared" si="5"/>
        <v>NOT PAID</v>
      </c>
      <c r="J427" s="402"/>
      <c r="K427" s="402"/>
      <c r="L427" s="402"/>
      <c r="M427" s="402"/>
      <c r="N427" s="402"/>
      <c r="O427" s="402"/>
      <c r="P427" s="402"/>
      <c r="Q427" s="402"/>
      <c r="R427" s="402"/>
      <c r="S427" s="402"/>
      <c r="T427" s="402"/>
      <c r="U427" s="402"/>
      <c r="V427" s="402"/>
      <c r="W427" s="402"/>
      <c r="X427" s="402"/>
      <c r="Y427" s="402"/>
      <c r="Z427" s="402"/>
    </row>
    <row r="428" ht="14.25" customHeight="1">
      <c r="A428" s="406">
        <v>45520.0</v>
      </c>
      <c r="B428" s="419" t="s">
        <v>2208</v>
      </c>
      <c r="C428" s="408" t="s">
        <v>2132</v>
      </c>
      <c r="D428" s="408" t="s">
        <v>439</v>
      </c>
      <c r="E428" s="408" t="s">
        <v>2133</v>
      </c>
      <c r="F428" s="445">
        <v>4000.0</v>
      </c>
      <c r="G428" s="413">
        <v>0.0</v>
      </c>
      <c r="H428" s="349" t="s">
        <v>2323</v>
      </c>
      <c r="I428" s="404" t="str">
        <f t="shared" si="5"/>
        <v>NOT PAID</v>
      </c>
      <c r="J428" s="402"/>
      <c r="K428" s="402"/>
      <c r="L428" s="402"/>
      <c r="M428" s="402"/>
      <c r="N428" s="402"/>
      <c r="O428" s="402"/>
      <c r="P428" s="402"/>
      <c r="Q428" s="402"/>
      <c r="R428" s="402"/>
      <c r="S428" s="402"/>
      <c r="T428" s="402"/>
      <c r="U428" s="402"/>
      <c r="V428" s="402"/>
      <c r="W428" s="402"/>
      <c r="X428" s="402"/>
      <c r="Y428" s="402"/>
      <c r="Z428" s="402"/>
    </row>
    <row r="429" ht="14.25" customHeight="1">
      <c r="A429" s="406">
        <v>45520.0</v>
      </c>
      <c r="B429" s="349" t="s">
        <v>2143</v>
      </c>
      <c r="C429" s="349" t="s">
        <v>2144</v>
      </c>
      <c r="D429" s="349" t="s">
        <v>54</v>
      </c>
      <c r="E429" s="349" t="s">
        <v>2133</v>
      </c>
      <c r="F429" s="559">
        <v>6000.0</v>
      </c>
      <c r="G429" s="413">
        <v>6000.0</v>
      </c>
      <c r="H429" s="349" t="s">
        <v>401</v>
      </c>
      <c r="I429" s="404" t="str">
        <f t="shared" si="5"/>
        <v>FULLY PAID</v>
      </c>
      <c r="J429" s="402"/>
      <c r="K429" s="402"/>
      <c r="L429" s="402"/>
      <c r="M429" s="402"/>
      <c r="N429" s="402"/>
      <c r="O429" s="402"/>
      <c r="P429" s="402"/>
      <c r="Q429" s="402"/>
      <c r="R429" s="402"/>
      <c r="S429" s="402"/>
      <c r="T429" s="402"/>
      <c r="U429" s="402"/>
      <c r="V429" s="402"/>
      <c r="W429" s="402"/>
      <c r="X429" s="402"/>
      <c r="Y429" s="402"/>
      <c r="Z429" s="402"/>
    </row>
    <row r="430" ht="14.25" customHeight="1">
      <c r="A430" s="406">
        <v>45520.0</v>
      </c>
      <c r="B430" s="616" t="s">
        <v>2213</v>
      </c>
      <c r="C430" s="617" t="s">
        <v>2214</v>
      </c>
      <c r="D430" s="349" t="s">
        <v>54</v>
      </c>
      <c r="E430" s="349" t="s">
        <v>2133</v>
      </c>
      <c r="F430" s="618">
        <v>1120.0</v>
      </c>
      <c r="G430" s="413">
        <v>0.0</v>
      </c>
      <c r="H430" s="349" t="s">
        <v>2347</v>
      </c>
      <c r="I430" s="404" t="str">
        <f t="shared" si="5"/>
        <v>NOT PAID</v>
      </c>
      <c r="J430" s="402"/>
      <c r="K430" s="402"/>
      <c r="L430" s="402"/>
      <c r="M430" s="402"/>
      <c r="N430" s="402"/>
      <c r="O430" s="402"/>
      <c r="P430" s="402"/>
      <c r="Q430" s="402"/>
      <c r="R430" s="402"/>
      <c r="S430" s="402"/>
      <c r="T430" s="402"/>
      <c r="U430" s="402"/>
      <c r="V430" s="402"/>
      <c r="W430" s="402"/>
      <c r="X430" s="402"/>
      <c r="Y430" s="402"/>
      <c r="Z430" s="402"/>
    </row>
    <row r="431" ht="14.25" customHeight="1">
      <c r="A431" s="406">
        <v>45520.0</v>
      </c>
      <c r="B431" s="605" t="s">
        <v>2221</v>
      </c>
      <c r="C431" s="606" t="s">
        <v>2222</v>
      </c>
      <c r="D431" s="349" t="s">
        <v>54</v>
      </c>
      <c r="E431" s="349" t="s">
        <v>2133</v>
      </c>
      <c r="F431" s="611">
        <v>32250.0</v>
      </c>
      <c r="G431" s="413">
        <v>0.0</v>
      </c>
      <c r="H431" s="455" t="s">
        <v>2284</v>
      </c>
      <c r="I431" s="404" t="str">
        <f t="shared" si="5"/>
        <v>NOT PAID</v>
      </c>
      <c r="J431" s="402"/>
      <c r="K431" s="402"/>
      <c r="L431" s="402"/>
      <c r="M431" s="402"/>
      <c r="N431" s="402"/>
      <c r="O431" s="402"/>
      <c r="P431" s="402"/>
      <c r="Q431" s="402"/>
      <c r="R431" s="402"/>
      <c r="S431" s="402"/>
      <c r="T431" s="402"/>
      <c r="U431" s="402"/>
      <c r="V431" s="402"/>
      <c r="W431" s="402"/>
      <c r="X431" s="402"/>
      <c r="Y431" s="402"/>
      <c r="Z431" s="402"/>
    </row>
    <row r="432" ht="14.25" customHeight="1">
      <c r="A432" s="406">
        <v>45520.0</v>
      </c>
      <c r="B432" s="605" t="s">
        <v>2231</v>
      </c>
      <c r="C432" s="619" t="s">
        <v>2232</v>
      </c>
      <c r="D432" s="349" t="s">
        <v>54</v>
      </c>
      <c r="E432" s="349" t="s">
        <v>2133</v>
      </c>
      <c r="F432" s="620">
        <v>1091.0</v>
      </c>
      <c r="G432" s="413">
        <v>0.0</v>
      </c>
      <c r="H432" s="484" t="s">
        <v>2312</v>
      </c>
      <c r="I432" s="404" t="str">
        <f t="shared" si="5"/>
        <v>NOT PAID</v>
      </c>
      <c r="J432" s="402"/>
      <c r="K432" s="402"/>
      <c r="L432" s="402"/>
      <c r="M432" s="402"/>
      <c r="N432" s="402"/>
      <c r="O432" s="402"/>
      <c r="P432" s="402"/>
      <c r="Q432" s="402"/>
      <c r="R432" s="402"/>
      <c r="S432" s="402"/>
      <c r="T432" s="402"/>
      <c r="U432" s="402"/>
      <c r="V432" s="402"/>
      <c r="W432" s="402"/>
      <c r="X432" s="402"/>
      <c r="Y432" s="402"/>
      <c r="Z432" s="402"/>
    </row>
    <row r="433" ht="14.25" customHeight="1">
      <c r="A433" s="406">
        <v>45520.0</v>
      </c>
      <c r="B433" s="640" t="s">
        <v>2196</v>
      </c>
      <c r="C433" s="629" t="s">
        <v>2246</v>
      </c>
      <c r="D433" s="349" t="s">
        <v>54</v>
      </c>
      <c r="E433" s="349" t="s">
        <v>2133</v>
      </c>
      <c r="F433" s="622">
        <v>126855.0</v>
      </c>
      <c r="G433" s="413">
        <v>0.0</v>
      </c>
      <c r="H433" s="455" t="s">
        <v>2336</v>
      </c>
      <c r="I433" s="404" t="str">
        <f t="shared" si="5"/>
        <v>NOT PAID</v>
      </c>
      <c r="J433" s="402"/>
      <c r="K433" s="402"/>
      <c r="L433" s="402"/>
      <c r="M433" s="402"/>
      <c r="N433" s="402"/>
      <c r="O433" s="402"/>
      <c r="P433" s="402"/>
      <c r="Q433" s="402"/>
      <c r="R433" s="402"/>
      <c r="S433" s="402"/>
      <c r="T433" s="402"/>
      <c r="U433" s="402"/>
      <c r="V433" s="402"/>
      <c r="W433" s="402"/>
      <c r="X433" s="402"/>
      <c r="Y433" s="402"/>
      <c r="Z433" s="402"/>
    </row>
    <row r="434" ht="14.25" customHeight="1">
      <c r="A434" s="406">
        <v>45520.0</v>
      </c>
      <c r="B434" s="642" t="s">
        <v>2235</v>
      </c>
      <c r="C434" s="623" t="s">
        <v>2236</v>
      </c>
      <c r="D434" s="630" t="s">
        <v>75</v>
      </c>
      <c r="E434" s="349" t="s">
        <v>2133</v>
      </c>
      <c r="F434" s="622">
        <v>14500.0</v>
      </c>
      <c r="G434" s="413">
        <v>0.0</v>
      </c>
      <c r="H434" s="349" t="s">
        <v>2347</v>
      </c>
      <c r="I434" s="404" t="str">
        <f t="shared" si="5"/>
        <v>NOT PAID</v>
      </c>
      <c r="J434" s="402"/>
      <c r="K434" s="402"/>
      <c r="L434" s="402"/>
      <c r="M434" s="402"/>
      <c r="N434" s="402"/>
      <c r="O434" s="402"/>
      <c r="P434" s="402"/>
      <c r="Q434" s="402"/>
      <c r="R434" s="402"/>
      <c r="S434" s="402"/>
      <c r="T434" s="402"/>
      <c r="U434" s="402"/>
      <c r="V434" s="402"/>
      <c r="W434" s="402"/>
      <c r="X434" s="402"/>
      <c r="Y434" s="402"/>
      <c r="Z434" s="402"/>
    </row>
    <row r="435" ht="14.25" customHeight="1">
      <c r="A435" s="406">
        <v>45520.0</v>
      </c>
      <c r="B435" s="594" t="s">
        <v>2275</v>
      </c>
      <c r="C435" s="512" t="s">
        <v>2276</v>
      </c>
      <c r="D435" s="635" t="s">
        <v>54</v>
      </c>
      <c r="E435" s="349" t="s">
        <v>2133</v>
      </c>
      <c r="F435" s="636">
        <v>40363.26</v>
      </c>
      <c r="G435" s="413">
        <v>0.0</v>
      </c>
      <c r="H435" s="349" t="s">
        <v>2325</v>
      </c>
      <c r="I435" s="404" t="str">
        <f t="shared" si="5"/>
        <v>NOT PAID</v>
      </c>
      <c r="J435" s="402"/>
      <c r="K435" s="402"/>
      <c r="L435" s="402"/>
      <c r="M435" s="402"/>
      <c r="N435" s="402"/>
      <c r="O435" s="402"/>
      <c r="P435" s="402"/>
      <c r="Q435" s="402"/>
      <c r="R435" s="402"/>
      <c r="S435" s="402"/>
      <c r="T435" s="402"/>
      <c r="U435" s="402"/>
      <c r="V435" s="402"/>
      <c r="W435" s="402"/>
      <c r="X435" s="402"/>
      <c r="Y435" s="402"/>
      <c r="Z435" s="402"/>
    </row>
    <row r="436" ht="14.25" customHeight="1">
      <c r="A436" s="406">
        <v>45520.0</v>
      </c>
      <c r="B436" s="596" t="s">
        <v>2278</v>
      </c>
      <c r="C436" s="513" t="s">
        <v>2279</v>
      </c>
      <c r="D436" s="637" t="s">
        <v>54</v>
      </c>
      <c r="E436" s="349" t="s">
        <v>2133</v>
      </c>
      <c r="F436" s="638">
        <v>107213.0</v>
      </c>
      <c r="G436" s="413">
        <v>0.0</v>
      </c>
      <c r="H436" s="349" t="s">
        <v>2348</v>
      </c>
      <c r="I436" s="404" t="str">
        <f t="shared" si="5"/>
        <v>NOT PAID</v>
      </c>
      <c r="J436" s="402"/>
      <c r="K436" s="402"/>
      <c r="L436" s="402"/>
      <c r="M436" s="402"/>
      <c r="N436" s="402"/>
      <c r="O436" s="402"/>
      <c r="P436" s="402"/>
      <c r="Q436" s="402"/>
      <c r="R436" s="402"/>
      <c r="S436" s="402"/>
      <c r="T436" s="402"/>
      <c r="U436" s="402"/>
      <c r="V436" s="402"/>
      <c r="W436" s="402"/>
      <c r="X436" s="402"/>
      <c r="Y436" s="402"/>
      <c r="Z436" s="402"/>
    </row>
    <row r="437" ht="14.25" customHeight="1">
      <c r="A437" s="406">
        <v>45520.0</v>
      </c>
      <c r="B437" s="512" t="s">
        <v>2288</v>
      </c>
      <c r="C437" s="512" t="s">
        <v>2203</v>
      </c>
      <c r="D437" s="635" t="s">
        <v>54</v>
      </c>
      <c r="E437" s="349" t="s">
        <v>2133</v>
      </c>
      <c r="F437" s="638">
        <v>12829.0</v>
      </c>
      <c r="G437" s="413">
        <v>0.0</v>
      </c>
      <c r="H437" s="349" t="s">
        <v>2349</v>
      </c>
      <c r="I437" s="404" t="str">
        <f t="shared" si="5"/>
        <v>NOT PAID</v>
      </c>
      <c r="J437" s="402"/>
      <c r="K437" s="402"/>
      <c r="L437" s="402"/>
      <c r="M437" s="402"/>
      <c r="N437" s="402"/>
      <c r="O437" s="402"/>
      <c r="P437" s="402"/>
      <c r="Q437" s="402"/>
      <c r="R437" s="402"/>
      <c r="S437" s="402"/>
      <c r="T437" s="402"/>
      <c r="U437" s="402"/>
      <c r="V437" s="402"/>
      <c r="W437" s="402"/>
      <c r="X437" s="402"/>
      <c r="Y437" s="402"/>
      <c r="Z437" s="402"/>
    </row>
    <row r="438" ht="14.25" customHeight="1">
      <c r="A438" s="406">
        <v>45520.0</v>
      </c>
      <c r="B438" s="512" t="s">
        <v>2301</v>
      </c>
      <c r="C438" s="512" t="s">
        <v>2302</v>
      </c>
      <c r="D438" s="635" t="s">
        <v>54</v>
      </c>
      <c r="E438" s="349" t="s">
        <v>2133</v>
      </c>
      <c r="F438" s="636">
        <v>30387.0</v>
      </c>
      <c r="G438" s="413">
        <v>0.0</v>
      </c>
      <c r="H438" s="349" t="s">
        <v>2353</v>
      </c>
      <c r="I438" s="404" t="str">
        <f t="shared" si="5"/>
        <v>NOT PAID</v>
      </c>
      <c r="J438" s="402"/>
      <c r="K438" s="402"/>
      <c r="L438" s="402"/>
      <c r="M438" s="402"/>
      <c r="N438" s="402"/>
      <c r="O438" s="402"/>
      <c r="P438" s="402"/>
      <c r="Q438" s="402"/>
      <c r="R438" s="402"/>
      <c r="S438" s="402"/>
      <c r="T438" s="402"/>
      <c r="U438" s="402"/>
      <c r="V438" s="402"/>
      <c r="W438" s="402"/>
      <c r="X438" s="402"/>
      <c r="Y438" s="402"/>
      <c r="Z438" s="402"/>
    </row>
    <row r="439" ht="14.25" customHeight="1">
      <c r="A439" s="406">
        <v>45520.0</v>
      </c>
      <c r="B439" s="513" t="s">
        <v>2318</v>
      </c>
      <c r="C439" s="513" t="s">
        <v>2338</v>
      </c>
      <c r="D439" s="635" t="s">
        <v>54</v>
      </c>
      <c r="E439" s="349" t="s">
        <v>2133</v>
      </c>
      <c r="F439" s="638">
        <v>29382.0</v>
      </c>
      <c r="G439" s="413">
        <v>0.0</v>
      </c>
      <c r="H439" s="349" t="s">
        <v>2198</v>
      </c>
      <c r="I439" s="404" t="str">
        <f t="shared" si="5"/>
        <v>NOT PAID</v>
      </c>
      <c r="J439" s="402"/>
      <c r="K439" s="402"/>
      <c r="L439" s="402"/>
      <c r="M439" s="402"/>
      <c r="N439" s="402"/>
      <c r="O439" s="402"/>
      <c r="P439" s="402"/>
      <c r="Q439" s="402"/>
      <c r="R439" s="402"/>
      <c r="S439" s="402"/>
      <c r="T439" s="402"/>
      <c r="U439" s="402"/>
      <c r="V439" s="402"/>
      <c r="W439" s="402"/>
      <c r="X439" s="402"/>
      <c r="Y439" s="402"/>
      <c r="Z439" s="402"/>
    </row>
    <row r="440" ht="14.25" customHeight="1">
      <c r="A440" s="406">
        <v>45520.0</v>
      </c>
      <c r="B440" s="513" t="s">
        <v>2305</v>
      </c>
      <c r="C440" s="513" t="s">
        <v>2306</v>
      </c>
      <c r="D440" s="637" t="s">
        <v>54</v>
      </c>
      <c r="E440" s="349" t="s">
        <v>2133</v>
      </c>
      <c r="F440" s="638">
        <v>56879.0</v>
      </c>
      <c r="G440" s="413">
        <v>0.0</v>
      </c>
      <c r="H440" s="349" t="s">
        <v>2071</v>
      </c>
      <c r="I440" s="404" t="str">
        <f t="shared" si="5"/>
        <v>NOT PAID</v>
      </c>
      <c r="J440" s="402"/>
      <c r="K440" s="402"/>
      <c r="L440" s="402"/>
      <c r="M440" s="402"/>
      <c r="N440" s="402"/>
      <c r="O440" s="402"/>
      <c r="P440" s="402"/>
      <c r="Q440" s="402"/>
      <c r="R440" s="402"/>
      <c r="S440" s="402"/>
      <c r="T440" s="402"/>
      <c r="U440" s="402"/>
      <c r="V440" s="402"/>
      <c r="W440" s="402"/>
      <c r="X440" s="402"/>
      <c r="Y440" s="402"/>
      <c r="Z440" s="402"/>
    </row>
    <row r="441" ht="14.25" customHeight="1">
      <c r="A441" s="406">
        <v>45520.0</v>
      </c>
      <c r="B441" s="512" t="s">
        <v>2134</v>
      </c>
      <c r="C441" s="512" t="s">
        <v>2135</v>
      </c>
      <c r="D441" s="635" t="s">
        <v>54</v>
      </c>
      <c r="E441" s="349" t="s">
        <v>2133</v>
      </c>
      <c r="F441" s="636">
        <v>21472.29</v>
      </c>
      <c r="G441" s="413">
        <v>0.0</v>
      </c>
      <c r="H441" s="455" t="s">
        <v>2329</v>
      </c>
      <c r="I441" s="404" t="str">
        <f t="shared" si="5"/>
        <v>NOT PAID</v>
      </c>
      <c r="J441" s="402"/>
      <c r="K441" s="402"/>
      <c r="L441" s="402"/>
      <c r="M441" s="402"/>
      <c r="N441" s="402"/>
      <c r="O441" s="402"/>
      <c r="P441" s="402"/>
      <c r="Q441" s="402"/>
      <c r="R441" s="402"/>
      <c r="S441" s="402"/>
      <c r="T441" s="402"/>
      <c r="U441" s="402"/>
      <c r="V441" s="402"/>
      <c r="W441" s="402"/>
      <c r="X441" s="402"/>
      <c r="Y441" s="402"/>
      <c r="Z441" s="402"/>
    </row>
    <row r="442" ht="14.25" customHeight="1">
      <c r="A442" s="406">
        <v>45520.0</v>
      </c>
      <c r="B442" s="634" t="s">
        <v>2140</v>
      </c>
      <c r="C442" s="634" t="s">
        <v>2340</v>
      </c>
      <c r="D442" s="635" t="s">
        <v>54</v>
      </c>
      <c r="E442" s="349" t="s">
        <v>2133</v>
      </c>
      <c r="F442" s="647">
        <v>69538.0</v>
      </c>
      <c r="G442" s="413">
        <v>0.0</v>
      </c>
      <c r="H442" s="349" t="s">
        <v>2350</v>
      </c>
      <c r="I442" s="404" t="str">
        <f t="shared" si="5"/>
        <v>NOT PAID</v>
      </c>
      <c r="J442" s="402"/>
      <c r="K442" s="402"/>
      <c r="L442" s="402"/>
      <c r="M442" s="402"/>
      <c r="N442" s="402"/>
      <c r="O442" s="402"/>
      <c r="P442" s="402"/>
      <c r="Q442" s="402"/>
      <c r="R442" s="402"/>
      <c r="S442" s="402"/>
      <c r="T442" s="402"/>
      <c r="U442" s="402"/>
      <c r="V442" s="402"/>
      <c r="W442" s="402"/>
      <c r="X442" s="402"/>
      <c r="Y442" s="402"/>
      <c r="Z442" s="402"/>
    </row>
    <row r="443" ht="14.25" customHeight="1">
      <c r="A443" s="406">
        <v>45520.0</v>
      </c>
      <c r="B443" s="512" t="s">
        <v>2137</v>
      </c>
      <c r="C443" s="512" t="s">
        <v>2138</v>
      </c>
      <c r="D443" s="635" t="s">
        <v>75</v>
      </c>
      <c r="E443" s="349" t="s">
        <v>2133</v>
      </c>
      <c r="F443" s="643">
        <v>141653.6</v>
      </c>
      <c r="G443" s="413">
        <v>0.0</v>
      </c>
      <c r="H443" s="349" t="s">
        <v>2354</v>
      </c>
      <c r="I443" s="404" t="str">
        <f t="shared" si="5"/>
        <v>NOT PAID</v>
      </c>
      <c r="J443" s="402"/>
      <c r="K443" s="402"/>
      <c r="L443" s="402"/>
      <c r="M443" s="402"/>
      <c r="N443" s="402"/>
      <c r="O443" s="402"/>
      <c r="P443" s="402"/>
      <c r="Q443" s="402"/>
      <c r="R443" s="402"/>
      <c r="S443" s="402"/>
      <c r="T443" s="402"/>
      <c r="U443" s="402"/>
      <c r="V443" s="402"/>
      <c r="W443" s="402"/>
      <c r="X443" s="402"/>
      <c r="Y443" s="402"/>
      <c r="Z443" s="402"/>
    </row>
    <row r="444" ht="14.25" customHeight="1">
      <c r="A444" s="406">
        <v>45520.0</v>
      </c>
      <c r="B444" s="349" t="s">
        <v>2163</v>
      </c>
      <c r="C444" s="349" t="s">
        <v>2164</v>
      </c>
      <c r="D444" s="413" t="s">
        <v>59</v>
      </c>
      <c r="E444" s="349" t="s">
        <v>273</v>
      </c>
      <c r="F444" s="559">
        <v>100000.0</v>
      </c>
      <c r="G444" s="413">
        <v>0.0</v>
      </c>
      <c r="H444" s="349" t="s">
        <v>2351</v>
      </c>
      <c r="I444" s="404" t="str">
        <f t="shared" si="5"/>
        <v>NOT PAID</v>
      </c>
      <c r="J444" s="402"/>
      <c r="K444" s="402"/>
      <c r="L444" s="402"/>
      <c r="M444" s="402"/>
      <c r="N444" s="402"/>
      <c r="O444" s="402"/>
      <c r="P444" s="402"/>
      <c r="Q444" s="402"/>
      <c r="R444" s="402"/>
      <c r="S444" s="402"/>
      <c r="T444" s="402"/>
      <c r="U444" s="402"/>
      <c r="V444" s="402"/>
      <c r="W444" s="402"/>
      <c r="X444" s="402"/>
      <c r="Y444" s="402"/>
      <c r="Z444" s="402"/>
    </row>
    <row r="445" ht="14.25" customHeight="1">
      <c r="A445" s="406">
        <v>45520.0</v>
      </c>
      <c r="B445" s="634" t="s">
        <v>2355</v>
      </c>
      <c r="C445" s="634" t="s">
        <v>2356</v>
      </c>
      <c r="D445" s="349" t="s">
        <v>54</v>
      </c>
      <c r="E445" s="349" t="s">
        <v>2133</v>
      </c>
      <c r="F445" s="648">
        <v>26633.0</v>
      </c>
      <c r="G445" s="413">
        <v>0.0</v>
      </c>
      <c r="H445" s="349" t="s">
        <v>2357</v>
      </c>
      <c r="I445" s="404" t="str">
        <f t="shared" si="5"/>
        <v>NOT PAID</v>
      </c>
      <c r="J445" s="402"/>
      <c r="K445" s="402"/>
      <c r="L445" s="402"/>
      <c r="M445" s="402"/>
      <c r="N445" s="402"/>
      <c r="O445" s="402"/>
      <c r="P445" s="402"/>
      <c r="Q445" s="402"/>
      <c r="R445" s="402"/>
      <c r="S445" s="402"/>
      <c r="T445" s="402"/>
      <c r="U445" s="402"/>
      <c r="V445" s="402"/>
      <c r="W445" s="402"/>
      <c r="X445" s="402"/>
      <c r="Y445" s="402"/>
      <c r="Z445" s="402"/>
    </row>
    <row r="446" ht="14.25" customHeight="1">
      <c r="A446" s="406">
        <v>45520.0</v>
      </c>
      <c r="B446" s="634" t="s">
        <v>2147</v>
      </c>
      <c r="C446" s="634" t="s">
        <v>2148</v>
      </c>
      <c r="D446" s="349" t="s">
        <v>54</v>
      </c>
      <c r="E446" s="349" t="s">
        <v>2133</v>
      </c>
      <c r="F446" s="648">
        <v>46000.0</v>
      </c>
      <c r="G446" s="413">
        <v>45333.0</v>
      </c>
      <c r="H446" s="349" t="s">
        <v>710</v>
      </c>
      <c r="I446" s="404" t="str">
        <f t="shared" si="5"/>
        <v>PARTIALLY PAID</v>
      </c>
      <c r="J446" s="402"/>
      <c r="K446" s="402"/>
      <c r="L446" s="402"/>
      <c r="M446" s="402"/>
      <c r="N446" s="402"/>
      <c r="O446" s="402"/>
      <c r="P446" s="402"/>
      <c r="Q446" s="402"/>
      <c r="R446" s="402"/>
      <c r="S446" s="402"/>
      <c r="T446" s="402"/>
      <c r="U446" s="402"/>
      <c r="V446" s="402"/>
      <c r="W446" s="402"/>
      <c r="X446" s="402"/>
      <c r="Y446" s="402"/>
      <c r="Z446" s="402"/>
    </row>
    <row r="447" ht="14.25" customHeight="1">
      <c r="A447" s="406"/>
      <c r="B447" s="402"/>
      <c r="C447" s="402"/>
      <c r="D447" s="402"/>
      <c r="E447" s="402"/>
      <c r="F447" s="587"/>
      <c r="G447" s="403"/>
      <c r="H447" s="402"/>
      <c r="I447" s="404" t="str">
        <f t="shared" si="5"/>
        <v>FULLY PAID</v>
      </c>
      <c r="J447" s="402"/>
      <c r="K447" s="402"/>
      <c r="L447" s="402"/>
      <c r="M447" s="402"/>
      <c r="N447" s="402"/>
      <c r="O447" s="402"/>
      <c r="P447" s="402"/>
      <c r="Q447" s="402"/>
      <c r="R447" s="402"/>
      <c r="S447" s="402"/>
      <c r="T447" s="402"/>
      <c r="U447" s="402"/>
      <c r="V447" s="402"/>
      <c r="W447" s="402"/>
      <c r="X447" s="402"/>
      <c r="Y447" s="402"/>
      <c r="Z447" s="402"/>
    </row>
    <row r="448" ht="14.25" customHeight="1">
      <c r="A448" s="406"/>
      <c r="B448" s="402"/>
      <c r="C448" s="402"/>
      <c r="D448" s="402"/>
      <c r="E448" s="402"/>
      <c r="F448" s="587"/>
      <c r="G448" s="403"/>
      <c r="H448" s="402"/>
      <c r="I448" s="404" t="str">
        <f t="shared" si="5"/>
        <v>FULLY PAID</v>
      </c>
      <c r="J448" s="402"/>
      <c r="K448" s="402"/>
      <c r="L448" s="402"/>
      <c r="M448" s="402"/>
      <c r="N448" s="402"/>
      <c r="O448" s="402"/>
      <c r="P448" s="402"/>
      <c r="Q448" s="402"/>
      <c r="R448" s="402"/>
      <c r="S448" s="402"/>
      <c r="T448" s="402"/>
      <c r="U448" s="402"/>
      <c r="V448" s="402"/>
      <c r="W448" s="402"/>
      <c r="X448" s="402"/>
      <c r="Y448" s="402"/>
      <c r="Z448" s="402"/>
    </row>
    <row r="449" ht="14.25" customHeight="1">
      <c r="A449" s="402"/>
      <c r="B449" s="402"/>
      <c r="C449" s="402"/>
      <c r="D449" s="402"/>
      <c r="E449" s="402"/>
      <c r="F449" s="587"/>
      <c r="G449" s="403"/>
      <c r="H449" s="402"/>
      <c r="I449" s="404" t="str">
        <f t="shared" si="5"/>
        <v>FULLY PAID</v>
      </c>
      <c r="J449" s="402"/>
      <c r="K449" s="402"/>
      <c r="L449" s="402"/>
      <c r="M449" s="402"/>
      <c r="N449" s="402"/>
      <c r="O449" s="402"/>
      <c r="P449" s="402"/>
      <c r="Q449" s="402"/>
      <c r="R449" s="402"/>
      <c r="S449" s="402"/>
      <c r="T449" s="402"/>
      <c r="U449" s="402"/>
      <c r="V449" s="402"/>
      <c r="W449" s="402"/>
      <c r="X449" s="402"/>
      <c r="Y449" s="402"/>
      <c r="Z449" s="402"/>
    </row>
    <row r="450" ht="14.25" customHeight="1">
      <c r="A450" s="406">
        <v>45521.0</v>
      </c>
      <c r="B450" s="512" t="s">
        <v>2332</v>
      </c>
      <c r="C450" s="512" t="s">
        <v>2197</v>
      </c>
      <c r="D450" s="635" t="s">
        <v>54</v>
      </c>
      <c r="E450" s="349" t="s">
        <v>2133</v>
      </c>
      <c r="F450" s="636">
        <v>217317.0</v>
      </c>
      <c r="G450" s="413">
        <v>0.0</v>
      </c>
      <c r="H450" s="417" t="s">
        <v>2342</v>
      </c>
      <c r="I450" s="404" t="str">
        <f t="shared" si="5"/>
        <v>NOT PAID</v>
      </c>
      <c r="J450" s="402"/>
      <c r="K450" s="402"/>
      <c r="L450" s="402"/>
      <c r="M450" s="402"/>
      <c r="N450" s="402"/>
      <c r="O450" s="402"/>
      <c r="P450" s="402"/>
      <c r="Q450" s="402"/>
      <c r="R450" s="402"/>
      <c r="S450" s="402"/>
      <c r="T450" s="402"/>
      <c r="U450" s="402"/>
      <c r="V450" s="402"/>
      <c r="W450" s="402"/>
      <c r="X450" s="402"/>
      <c r="Y450" s="402"/>
      <c r="Z450" s="402"/>
    </row>
    <row r="451" ht="14.25" customHeight="1">
      <c r="A451" s="406">
        <v>45521.0</v>
      </c>
      <c r="B451" s="512" t="s">
        <v>2343</v>
      </c>
      <c r="C451" s="512" t="s">
        <v>2344</v>
      </c>
      <c r="D451" s="635" t="s">
        <v>54</v>
      </c>
      <c r="E451" s="349" t="s">
        <v>2133</v>
      </c>
      <c r="F451" s="636">
        <v>20425.0</v>
      </c>
      <c r="G451" s="413">
        <v>0.0</v>
      </c>
      <c r="H451" s="417" t="s">
        <v>2345</v>
      </c>
      <c r="I451" s="404" t="str">
        <f t="shared" si="5"/>
        <v>NOT PAID</v>
      </c>
      <c r="J451" s="402"/>
      <c r="K451" s="402"/>
      <c r="L451" s="402"/>
      <c r="M451" s="402"/>
      <c r="N451" s="402"/>
      <c r="O451" s="402"/>
      <c r="P451" s="402"/>
      <c r="Q451" s="402"/>
      <c r="R451" s="402"/>
      <c r="S451" s="402"/>
      <c r="T451" s="402"/>
      <c r="U451" s="402"/>
      <c r="V451" s="402"/>
      <c r="W451" s="402"/>
      <c r="X451" s="402"/>
      <c r="Y451" s="402"/>
      <c r="Z451" s="402"/>
    </row>
    <row r="452" ht="14.25" customHeight="1">
      <c r="A452" s="406">
        <v>45521.0</v>
      </c>
      <c r="B452" s="594" t="s">
        <v>2294</v>
      </c>
      <c r="C452" s="594" t="s">
        <v>2153</v>
      </c>
      <c r="D452" s="645" t="s">
        <v>75</v>
      </c>
      <c r="E452" s="349" t="s">
        <v>2133</v>
      </c>
      <c r="F452" s="636">
        <v>97750.0</v>
      </c>
      <c r="G452" s="413">
        <v>0.0</v>
      </c>
      <c r="H452" s="419" t="s">
        <v>2352</v>
      </c>
      <c r="I452" s="404" t="str">
        <f t="shared" si="5"/>
        <v>NOT PAID</v>
      </c>
      <c r="J452" s="402"/>
      <c r="K452" s="402"/>
      <c r="L452" s="402"/>
      <c r="M452" s="402"/>
      <c r="N452" s="402"/>
      <c r="O452" s="402"/>
      <c r="P452" s="402"/>
      <c r="Q452" s="402"/>
      <c r="R452" s="402"/>
      <c r="S452" s="402"/>
      <c r="T452" s="402"/>
      <c r="U452" s="402"/>
      <c r="V452" s="402"/>
      <c r="W452" s="402"/>
      <c r="X452" s="402"/>
      <c r="Y452" s="402"/>
      <c r="Z452" s="402"/>
    </row>
    <row r="453" ht="14.25" customHeight="1">
      <c r="A453" s="406">
        <v>45521.0</v>
      </c>
      <c r="B453" s="607" t="s">
        <v>2149</v>
      </c>
      <c r="C453" s="607" t="s">
        <v>2206</v>
      </c>
      <c r="D453" s="349" t="s">
        <v>54</v>
      </c>
      <c r="E453" s="349" t="s">
        <v>2133</v>
      </c>
      <c r="F453" s="559">
        <v>5000.0</v>
      </c>
      <c r="G453" s="413">
        <v>0.0</v>
      </c>
      <c r="H453" s="417" t="s">
        <v>2296</v>
      </c>
      <c r="I453" s="404" t="str">
        <f t="shared" si="5"/>
        <v>NOT PAID</v>
      </c>
      <c r="J453" s="402"/>
      <c r="K453" s="402"/>
      <c r="L453" s="402"/>
      <c r="M453" s="402"/>
      <c r="N453" s="402"/>
      <c r="O453" s="402"/>
      <c r="P453" s="402"/>
      <c r="Q453" s="402"/>
      <c r="R453" s="402"/>
      <c r="S453" s="402"/>
      <c r="T453" s="402"/>
      <c r="U453" s="402"/>
      <c r="V453" s="402"/>
      <c r="W453" s="402"/>
      <c r="X453" s="402"/>
      <c r="Y453" s="402"/>
      <c r="Z453" s="402"/>
    </row>
    <row r="454" ht="14.25" customHeight="1">
      <c r="A454" s="406">
        <v>45521.0</v>
      </c>
      <c r="B454" s="419" t="s">
        <v>2208</v>
      </c>
      <c r="C454" s="408" t="s">
        <v>2132</v>
      </c>
      <c r="D454" s="408" t="s">
        <v>439</v>
      </c>
      <c r="E454" s="408" t="s">
        <v>2133</v>
      </c>
      <c r="F454" s="445">
        <v>4000.0</v>
      </c>
      <c r="G454" s="413">
        <v>0.0</v>
      </c>
      <c r="H454" s="417" t="s">
        <v>2323</v>
      </c>
      <c r="I454" s="404" t="str">
        <f t="shared" si="5"/>
        <v>NOT PAID</v>
      </c>
      <c r="J454" s="402"/>
      <c r="K454" s="402"/>
      <c r="L454" s="402"/>
      <c r="M454" s="402"/>
      <c r="N454" s="402"/>
      <c r="O454" s="402"/>
      <c r="P454" s="402"/>
      <c r="Q454" s="402"/>
      <c r="R454" s="402"/>
      <c r="S454" s="402"/>
      <c r="T454" s="402"/>
      <c r="U454" s="402"/>
      <c r="V454" s="402"/>
      <c r="W454" s="402"/>
      <c r="X454" s="402"/>
      <c r="Y454" s="402"/>
      <c r="Z454" s="402"/>
    </row>
    <row r="455" ht="14.25" customHeight="1">
      <c r="A455" s="406">
        <v>45521.0</v>
      </c>
      <c r="B455" s="349" t="s">
        <v>2143</v>
      </c>
      <c r="C455" s="349" t="s">
        <v>2144</v>
      </c>
      <c r="D455" s="349" t="s">
        <v>54</v>
      </c>
      <c r="E455" s="349" t="s">
        <v>2133</v>
      </c>
      <c r="F455" s="559">
        <v>6000.0</v>
      </c>
      <c r="G455" s="413">
        <v>6000.0</v>
      </c>
      <c r="H455" s="419" t="s">
        <v>710</v>
      </c>
      <c r="I455" s="404" t="str">
        <f t="shared" si="5"/>
        <v>FULLY PAID</v>
      </c>
      <c r="J455" s="402"/>
      <c r="K455" s="402"/>
      <c r="L455" s="402"/>
      <c r="M455" s="402"/>
      <c r="N455" s="402"/>
      <c r="O455" s="402"/>
      <c r="P455" s="402"/>
      <c r="Q455" s="402"/>
      <c r="R455" s="402"/>
      <c r="S455" s="402"/>
      <c r="T455" s="402"/>
      <c r="U455" s="402"/>
      <c r="V455" s="402"/>
      <c r="W455" s="402"/>
      <c r="X455" s="402"/>
      <c r="Y455" s="402"/>
      <c r="Z455" s="402"/>
    </row>
    <row r="456" ht="14.25" customHeight="1">
      <c r="A456" s="406">
        <v>45521.0</v>
      </c>
      <c r="B456" s="616" t="s">
        <v>2213</v>
      </c>
      <c r="C456" s="617" t="s">
        <v>2214</v>
      </c>
      <c r="D456" s="349" t="s">
        <v>54</v>
      </c>
      <c r="E456" s="349" t="s">
        <v>2133</v>
      </c>
      <c r="F456" s="618">
        <v>1120.0</v>
      </c>
      <c r="G456" s="413">
        <v>0.0</v>
      </c>
      <c r="H456" s="417" t="s">
        <v>2347</v>
      </c>
      <c r="I456" s="404" t="str">
        <f t="shared" si="5"/>
        <v>NOT PAID</v>
      </c>
      <c r="J456" s="402"/>
      <c r="K456" s="402"/>
      <c r="L456" s="402"/>
      <c r="M456" s="402"/>
      <c r="N456" s="402"/>
      <c r="O456" s="402"/>
      <c r="P456" s="402"/>
      <c r="Q456" s="402"/>
      <c r="R456" s="402"/>
      <c r="S456" s="402"/>
      <c r="T456" s="402"/>
      <c r="U456" s="402"/>
      <c r="V456" s="402"/>
      <c r="W456" s="402"/>
      <c r="X456" s="402"/>
      <c r="Y456" s="402"/>
      <c r="Z456" s="402"/>
    </row>
    <row r="457" ht="14.25" customHeight="1">
      <c r="A457" s="406">
        <v>45521.0</v>
      </c>
      <c r="B457" s="605" t="s">
        <v>2221</v>
      </c>
      <c r="C457" s="606" t="s">
        <v>2222</v>
      </c>
      <c r="D457" s="349" t="s">
        <v>54</v>
      </c>
      <c r="E457" s="349" t="s">
        <v>2133</v>
      </c>
      <c r="F457" s="611">
        <v>32250.0</v>
      </c>
      <c r="G457" s="413">
        <v>0.0</v>
      </c>
      <c r="H457" s="417" t="s">
        <v>2284</v>
      </c>
      <c r="I457" s="404" t="str">
        <f t="shared" si="5"/>
        <v>NOT PAID</v>
      </c>
      <c r="J457" s="402"/>
      <c r="K457" s="402"/>
      <c r="L457" s="402"/>
      <c r="M457" s="402"/>
      <c r="N457" s="402"/>
      <c r="O457" s="402"/>
      <c r="P457" s="402"/>
      <c r="Q457" s="402"/>
      <c r="R457" s="402"/>
      <c r="S457" s="402"/>
      <c r="T457" s="402"/>
      <c r="U457" s="402"/>
      <c r="V457" s="402"/>
      <c r="W457" s="402"/>
      <c r="X457" s="402"/>
      <c r="Y457" s="402"/>
      <c r="Z457" s="402"/>
    </row>
    <row r="458" ht="14.25" customHeight="1">
      <c r="A458" s="406">
        <v>45521.0</v>
      </c>
      <c r="B458" s="605" t="s">
        <v>2231</v>
      </c>
      <c r="C458" s="619" t="s">
        <v>2232</v>
      </c>
      <c r="D458" s="349" t="s">
        <v>54</v>
      </c>
      <c r="E458" s="349" t="s">
        <v>2133</v>
      </c>
      <c r="F458" s="620">
        <v>1091.0</v>
      </c>
      <c r="G458" s="413">
        <v>0.0</v>
      </c>
      <c r="H458" s="343" t="s">
        <v>2312</v>
      </c>
      <c r="I458" s="404" t="str">
        <f t="shared" si="5"/>
        <v>NOT PAID</v>
      </c>
      <c r="J458" s="402"/>
      <c r="K458" s="402"/>
      <c r="L458" s="402"/>
      <c r="M458" s="402"/>
      <c r="N458" s="402"/>
      <c r="O458" s="402"/>
      <c r="P458" s="402"/>
      <c r="Q458" s="402"/>
      <c r="R458" s="402"/>
      <c r="S458" s="402"/>
      <c r="T458" s="402"/>
      <c r="U458" s="402"/>
      <c r="V458" s="402"/>
      <c r="W458" s="402"/>
      <c r="X458" s="402"/>
      <c r="Y458" s="402"/>
      <c r="Z458" s="402"/>
    </row>
    <row r="459" ht="14.25" customHeight="1">
      <c r="A459" s="406">
        <v>45521.0</v>
      </c>
      <c r="B459" s="640" t="s">
        <v>2196</v>
      </c>
      <c r="C459" s="629" t="s">
        <v>2246</v>
      </c>
      <c r="D459" s="349" t="s">
        <v>54</v>
      </c>
      <c r="E459" s="349" t="s">
        <v>2133</v>
      </c>
      <c r="F459" s="622">
        <v>126855.0</v>
      </c>
      <c r="G459" s="413">
        <v>0.0</v>
      </c>
      <c r="H459" s="417" t="s">
        <v>2336</v>
      </c>
      <c r="I459" s="404" t="str">
        <f t="shared" si="5"/>
        <v>NOT PAID</v>
      </c>
      <c r="J459" s="402"/>
      <c r="K459" s="402"/>
      <c r="L459" s="402"/>
      <c r="M459" s="402"/>
      <c r="N459" s="402"/>
      <c r="O459" s="402"/>
      <c r="P459" s="402"/>
      <c r="Q459" s="402"/>
      <c r="R459" s="402"/>
      <c r="S459" s="402"/>
      <c r="T459" s="402"/>
      <c r="U459" s="402"/>
      <c r="V459" s="402"/>
      <c r="W459" s="402"/>
      <c r="X459" s="402"/>
      <c r="Y459" s="402"/>
      <c r="Z459" s="402"/>
    </row>
    <row r="460" ht="14.25" customHeight="1">
      <c r="A460" s="406">
        <v>45521.0</v>
      </c>
      <c r="B460" s="642" t="s">
        <v>2235</v>
      </c>
      <c r="C460" s="623" t="s">
        <v>2236</v>
      </c>
      <c r="D460" s="630" t="s">
        <v>75</v>
      </c>
      <c r="E460" s="349" t="s">
        <v>2133</v>
      </c>
      <c r="F460" s="622">
        <v>14500.0</v>
      </c>
      <c r="G460" s="413">
        <v>0.0</v>
      </c>
      <c r="H460" s="417" t="s">
        <v>2347</v>
      </c>
      <c r="I460" s="404" t="str">
        <f t="shared" si="5"/>
        <v>NOT PAID</v>
      </c>
      <c r="J460" s="402"/>
      <c r="K460" s="402"/>
      <c r="L460" s="402"/>
      <c r="M460" s="402"/>
      <c r="N460" s="402"/>
      <c r="O460" s="402"/>
      <c r="P460" s="402"/>
      <c r="Q460" s="402"/>
      <c r="R460" s="402"/>
      <c r="S460" s="402"/>
      <c r="T460" s="402"/>
      <c r="U460" s="402"/>
      <c r="V460" s="402"/>
      <c r="W460" s="402"/>
      <c r="X460" s="402"/>
      <c r="Y460" s="402"/>
      <c r="Z460" s="402"/>
    </row>
    <row r="461" ht="14.25" customHeight="1">
      <c r="A461" s="406">
        <v>45521.0</v>
      </c>
      <c r="B461" s="594" t="s">
        <v>2275</v>
      </c>
      <c r="C461" s="512" t="s">
        <v>2276</v>
      </c>
      <c r="D461" s="635" t="s">
        <v>54</v>
      </c>
      <c r="E461" s="349" t="s">
        <v>2133</v>
      </c>
      <c r="F461" s="636">
        <v>40363.26</v>
      </c>
      <c r="G461" s="413">
        <v>0.0</v>
      </c>
      <c r="H461" s="417" t="s">
        <v>2325</v>
      </c>
      <c r="I461" s="404" t="str">
        <f t="shared" si="5"/>
        <v>NOT PAID</v>
      </c>
      <c r="J461" s="402"/>
      <c r="K461" s="402"/>
      <c r="L461" s="402"/>
      <c r="M461" s="402"/>
      <c r="N461" s="402"/>
      <c r="O461" s="402"/>
      <c r="P461" s="402"/>
      <c r="Q461" s="402"/>
      <c r="R461" s="402"/>
      <c r="S461" s="402"/>
      <c r="T461" s="402"/>
      <c r="U461" s="402"/>
      <c r="V461" s="402"/>
      <c r="W461" s="402"/>
      <c r="X461" s="402"/>
      <c r="Y461" s="402"/>
      <c r="Z461" s="402"/>
    </row>
    <row r="462" ht="14.25" customHeight="1">
      <c r="A462" s="406">
        <v>45521.0</v>
      </c>
      <c r="B462" s="596" t="s">
        <v>2278</v>
      </c>
      <c r="C462" s="513" t="s">
        <v>2279</v>
      </c>
      <c r="D462" s="637" t="s">
        <v>54</v>
      </c>
      <c r="E462" s="349" t="s">
        <v>2133</v>
      </c>
      <c r="F462" s="638">
        <v>107213.0</v>
      </c>
      <c r="G462" s="413">
        <v>0.0</v>
      </c>
      <c r="H462" s="417" t="s">
        <v>2348</v>
      </c>
      <c r="I462" s="404" t="str">
        <f t="shared" si="5"/>
        <v>NOT PAID</v>
      </c>
      <c r="J462" s="402"/>
      <c r="K462" s="402"/>
      <c r="L462" s="402"/>
      <c r="M462" s="402"/>
      <c r="N462" s="402"/>
      <c r="O462" s="402"/>
      <c r="P462" s="402"/>
      <c r="Q462" s="402"/>
      <c r="R462" s="402"/>
      <c r="S462" s="402"/>
      <c r="T462" s="402"/>
      <c r="U462" s="402"/>
      <c r="V462" s="402"/>
      <c r="W462" s="402"/>
      <c r="X462" s="402"/>
      <c r="Y462" s="402"/>
      <c r="Z462" s="402"/>
    </row>
    <row r="463" ht="14.25" customHeight="1">
      <c r="A463" s="406">
        <v>45521.0</v>
      </c>
      <c r="B463" s="512" t="s">
        <v>2288</v>
      </c>
      <c r="C463" s="512" t="s">
        <v>2203</v>
      </c>
      <c r="D463" s="635" t="s">
        <v>54</v>
      </c>
      <c r="E463" s="349" t="s">
        <v>2133</v>
      </c>
      <c r="F463" s="638">
        <v>12829.0</v>
      </c>
      <c r="G463" s="413">
        <v>0.0</v>
      </c>
      <c r="H463" s="417" t="s">
        <v>2349</v>
      </c>
      <c r="I463" s="404" t="str">
        <f t="shared" si="5"/>
        <v>NOT PAID</v>
      </c>
      <c r="J463" s="402"/>
      <c r="K463" s="402"/>
      <c r="L463" s="402"/>
      <c r="M463" s="402"/>
      <c r="N463" s="402"/>
      <c r="O463" s="402"/>
      <c r="P463" s="402"/>
      <c r="Q463" s="402"/>
      <c r="R463" s="402"/>
      <c r="S463" s="402"/>
      <c r="T463" s="402"/>
      <c r="U463" s="402"/>
      <c r="V463" s="402"/>
      <c r="W463" s="402"/>
      <c r="X463" s="402"/>
      <c r="Y463" s="402"/>
      <c r="Z463" s="402"/>
    </row>
    <row r="464" ht="14.25" customHeight="1">
      <c r="A464" s="406">
        <v>45521.0</v>
      </c>
      <c r="B464" s="512" t="s">
        <v>2301</v>
      </c>
      <c r="C464" s="512" t="s">
        <v>2302</v>
      </c>
      <c r="D464" s="635" t="s">
        <v>54</v>
      </c>
      <c r="E464" s="349" t="s">
        <v>2133</v>
      </c>
      <c r="F464" s="636">
        <v>30387.0</v>
      </c>
      <c r="G464" s="413">
        <v>2000.0</v>
      </c>
      <c r="H464" s="417" t="s">
        <v>2353</v>
      </c>
      <c r="I464" s="404" t="str">
        <f t="shared" si="5"/>
        <v>PARTIALLY PAID</v>
      </c>
      <c r="J464" s="402"/>
      <c r="K464" s="402"/>
      <c r="L464" s="402"/>
      <c r="M464" s="402"/>
      <c r="N464" s="402"/>
      <c r="O464" s="402"/>
      <c r="P464" s="402"/>
      <c r="Q464" s="402"/>
      <c r="R464" s="402"/>
      <c r="S464" s="402"/>
      <c r="T464" s="402"/>
      <c r="U464" s="402"/>
      <c r="V464" s="402"/>
      <c r="W464" s="402"/>
      <c r="X464" s="402"/>
      <c r="Y464" s="402"/>
      <c r="Z464" s="402"/>
    </row>
    <row r="465" ht="14.25" customHeight="1">
      <c r="A465" s="406">
        <v>45521.0</v>
      </c>
      <c r="B465" s="513" t="s">
        <v>2318</v>
      </c>
      <c r="C465" s="513" t="s">
        <v>2338</v>
      </c>
      <c r="D465" s="635" t="s">
        <v>54</v>
      </c>
      <c r="E465" s="349" t="s">
        <v>2133</v>
      </c>
      <c r="F465" s="638">
        <v>29382.0</v>
      </c>
      <c r="G465" s="413">
        <v>0.0</v>
      </c>
      <c r="H465" s="349" t="s">
        <v>2325</v>
      </c>
      <c r="I465" s="404" t="str">
        <f t="shared" si="5"/>
        <v>NOT PAID</v>
      </c>
      <c r="J465" s="402"/>
      <c r="K465" s="402"/>
      <c r="L465" s="402"/>
      <c r="M465" s="402"/>
      <c r="N465" s="402"/>
      <c r="O465" s="402"/>
      <c r="P465" s="402"/>
      <c r="Q465" s="402"/>
      <c r="R465" s="402"/>
      <c r="S465" s="402"/>
      <c r="T465" s="402"/>
      <c r="U465" s="402"/>
      <c r="V465" s="402"/>
      <c r="W465" s="402"/>
      <c r="X465" s="402"/>
      <c r="Y465" s="402"/>
      <c r="Z465" s="402"/>
    </row>
    <row r="466" ht="14.25" customHeight="1">
      <c r="A466" s="406">
        <v>45521.0</v>
      </c>
      <c r="B466" s="513" t="s">
        <v>2305</v>
      </c>
      <c r="C466" s="513" t="s">
        <v>2306</v>
      </c>
      <c r="D466" s="637" t="s">
        <v>54</v>
      </c>
      <c r="E466" s="349" t="s">
        <v>2133</v>
      </c>
      <c r="F466" s="638">
        <v>56879.0</v>
      </c>
      <c r="G466" s="413">
        <v>0.0</v>
      </c>
      <c r="H466" s="417" t="s">
        <v>2071</v>
      </c>
      <c r="I466" s="404" t="str">
        <f t="shared" si="5"/>
        <v>NOT PAID</v>
      </c>
      <c r="J466" s="402"/>
      <c r="K466" s="402"/>
      <c r="L466" s="402"/>
      <c r="M466" s="402"/>
      <c r="N466" s="402"/>
      <c r="O466" s="402"/>
      <c r="P466" s="402"/>
      <c r="Q466" s="402"/>
      <c r="R466" s="402"/>
      <c r="S466" s="402"/>
      <c r="T466" s="402"/>
      <c r="U466" s="402"/>
      <c r="V466" s="402"/>
      <c r="W466" s="402"/>
      <c r="X466" s="402"/>
      <c r="Y466" s="402"/>
      <c r="Z466" s="402"/>
    </row>
    <row r="467" ht="14.25" customHeight="1">
      <c r="A467" s="406">
        <v>45521.0</v>
      </c>
      <c r="B467" s="512" t="s">
        <v>2134</v>
      </c>
      <c r="C467" s="512" t="s">
        <v>2135</v>
      </c>
      <c r="D467" s="635" t="s">
        <v>54</v>
      </c>
      <c r="E467" s="349" t="s">
        <v>2133</v>
      </c>
      <c r="F467" s="636">
        <v>21472.29</v>
      </c>
      <c r="G467" s="413">
        <v>0.0</v>
      </c>
      <c r="H467" s="417" t="s">
        <v>2329</v>
      </c>
      <c r="I467" s="404" t="str">
        <f t="shared" si="5"/>
        <v>NOT PAID</v>
      </c>
      <c r="J467" s="402"/>
      <c r="K467" s="402"/>
      <c r="L467" s="402"/>
      <c r="M467" s="402"/>
      <c r="N467" s="402"/>
      <c r="O467" s="402"/>
      <c r="P467" s="402"/>
      <c r="Q467" s="402"/>
      <c r="R467" s="402"/>
      <c r="S467" s="402"/>
      <c r="T467" s="402"/>
      <c r="U467" s="402"/>
      <c r="V467" s="402"/>
      <c r="W467" s="402"/>
      <c r="X467" s="402"/>
      <c r="Y467" s="402"/>
      <c r="Z467" s="402"/>
    </row>
    <row r="468" ht="14.25" customHeight="1">
      <c r="A468" s="406">
        <v>45521.0</v>
      </c>
      <c r="B468" s="634" t="s">
        <v>2140</v>
      </c>
      <c r="C468" s="634" t="s">
        <v>2340</v>
      </c>
      <c r="D468" s="635" t="s">
        <v>54</v>
      </c>
      <c r="E468" s="349" t="s">
        <v>2133</v>
      </c>
      <c r="F468" s="647">
        <v>69538.0</v>
      </c>
      <c r="G468" s="413">
        <v>0.0</v>
      </c>
      <c r="H468" s="419" t="s">
        <v>2358</v>
      </c>
      <c r="I468" s="404" t="str">
        <f t="shared" si="5"/>
        <v>NOT PAID</v>
      </c>
      <c r="J468" s="402"/>
      <c r="K468" s="402"/>
      <c r="L468" s="402"/>
      <c r="M468" s="402"/>
      <c r="N468" s="402"/>
      <c r="O468" s="402"/>
      <c r="P468" s="402"/>
      <c r="Q468" s="402"/>
      <c r="R468" s="402"/>
      <c r="S468" s="402"/>
      <c r="T468" s="402"/>
      <c r="U468" s="402"/>
      <c r="V468" s="402"/>
      <c r="W468" s="402"/>
      <c r="X468" s="402"/>
      <c r="Y468" s="402"/>
      <c r="Z468" s="402"/>
    </row>
    <row r="469" ht="14.25" customHeight="1">
      <c r="A469" s="406">
        <v>45521.0</v>
      </c>
      <c r="B469" s="512" t="s">
        <v>2137</v>
      </c>
      <c r="C469" s="512" t="s">
        <v>2138</v>
      </c>
      <c r="D469" s="635" t="s">
        <v>75</v>
      </c>
      <c r="E469" s="349" t="s">
        <v>2133</v>
      </c>
      <c r="F469" s="643">
        <v>141653.6</v>
      </c>
      <c r="G469" s="413">
        <v>0.0</v>
      </c>
      <c r="H469" s="419" t="s">
        <v>2359</v>
      </c>
      <c r="I469" s="404" t="str">
        <f t="shared" si="5"/>
        <v>NOT PAID</v>
      </c>
      <c r="J469" s="402"/>
      <c r="K469" s="402"/>
      <c r="L469" s="402"/>
      <c r="M469" s="402"/>
      <c r="N469" s="402"/>
      <c r="O469" s="402"/>
      <c r="P469" s="402"/>
      <c r="Q469" s="402"/>
      <c r="R469" s="402"/>
      <c r="S469" s="402"/>
      <c r="T469" s="402"/>
      <c r="U469" s="402"/>
      <c r="V469" s="402"/>
      <c r="W469" s="402"/>
      <c r="X469" s="402"/>
      <c r="Y469" s="402"/>
      <c r="Z469" s="402"/>
    </row>
    <row r="470" ht="14.25" customHeight="1">
      <c r="A470" s="406">
        <v>45521.0</v>
      </c>
      <c r="B470" s="349" t="s">
        <v>2163</v>
      </c>
      <c r="C470" s="349" t="s">
        <v>2164</v>
      </c>
      <c r="D470" s="413" t="s">
        <v>59</v>
      </c>
      <c r="E470" s="349" t="s">
        <v>273</v>
      </c>
      <c r="F470" s="559">
        <v>100000.0</v>
      </c>
      <c r="G470" s="413">
        <v>0.0</v>
      </c>
      <c r="H470" s="417" t="s">
        <v>2351</v>
      </c>
      <c r="I470" s="404" t="str">
        <f t="shared" si="5"/>
        <v>NOT PAID</v>
      </c>
      <c r="J470" s="402"/>
      <c r="K470" s="402"/>
      <c r="L470" s="402"/>
      <c r="M470" s="402"/>
      <c r="N470" s="402"/>
      <c r="O470" s="402"/>
      <c r="P470" s="402"/>
      <c r="Q470" s="402"/>
      <c r="R470" s="402"/>
      <c r="S470" s="402"/>
      <c r="T470" s="402"/>
      <c r="U470" s="402"/>
      <c r="V470" s="402"/>
      <c r="W470" s="402"/>
      <c r="X470" s="402"/>
      <c r="Y470" s="402"/>
      <c r="Z470" s="402"/>
    </row>
    <row r="471" ht="14.25" customHeight="1">
      <c r="A471" s="406">
        <v>45521.0</v>
      </c>
      <c r="B471" s="634" t="s">
        <v>2355</v>
      </c>
      <c r="C471" s="634" t="s">
        <v>2356</v>
      </c>
      <c r="D471" s="349" t="s">
        <v>54</v>
      </c>
      <c r="E471" s="349" t="s">
        <v>2133</v>
      </c>
      <c r="F471" s="649">
        <v>26633.0</v>
      </c>
      <c r="G471" s="413">
        <v>0.0</v>
      </c>
      <c r="H471" s="417" t="s">
        <v>2357</v>
      </c>
      <c r="I471" s="404" t="str">
        <f t="shared" si="5"/>
        <v>NOT PAID</v>
      </c>
      <c r="J471" s="402"/>
      <c r="K471" s="402"/>
      <c r="L471" s="402"/>
      <c r="M471" s="402"/>
      <c r="N471" s="402"/>
      <c r="O471" s="402"/>
      <c r="P471" s="402"/>
      <c r="Q471" s="402"/>
      <c r="R471" s="402"/>
      <c r="S471" s="402"/>
      <c r="T471" s="402"/>
      <c r="U471" s="402"/>
      <c r="V471" s="402"/>
      <c r="W471" s="402"/>
      <c r="X471" s="402"/>
      <c r="Y471" s="402"/>
      <c r="Z471" s="402"/>
    </row>
    <row r="472" ht="14.25" customHeight="1">
      <c r="A472" s="406">
        <v>45521.0</v>
      </c>
      <c r="B472" s="634" t="s">
        <v>2360</v>
      </c>
      <c r="C472" s="634" t="s">
        <v>2361</v>
      </c>
      <c r="D472" s="634" t="s">
        <v>54</v>
      </c>
      <c r="E472" s="349" t="s">
        <v>2133</v>
      </c>
      <c r="F472" s="650">
        <v>23985.99</v>
      </c>
      <c r="G472" s="413">
        <v>0.0</v>
      </c>
      <c r="H472" s="349" t="s">
        <v>2362</v>
      </c>
      <c r="I472" s="404" t="str">
        <f t="shared" si="5"/>
        <v>NOT PAID</v>
      </c>
      <c r="J472" s="402"/>
      <c r="K472" s="402"/>
      <c r="L472" s="402"/>
      <c r="M472" s="402"/>
      <c r="N472" s="402"/>
      <c r="O472" s="402"/>
      <c r="P472" s="402"/>
      <c r="Q472" s="402"/>
      <c r="R472" s="402"/>
      <c r="S472" s="402"/>
      <c r="T472" s="402"/>
      <c r="U472" s="402"/>
      <c r="V472" s="402"/>
      <c r="W472" s="402"/>
      <c r="X472" s="402"/>
      <c r="Y472" s="402"/>
      <c r="Z472" s="402"/>
    </row>
    <row r="473" ht="14.25" customHeight="1">
      <c r="A473" s="406">
        <v>45521.0</v>
      </c>
      <c r="B473" s="634" t="s">
        <v>2363</v>
      </c>
      <c r="C473" s="634" t="s">
        <v>2364</v>
      </c>
      <c r="D473" s="634" t="s">
        <v>54</v>
      </c>
      <c r="E473" s="349" t="s">
        <v>2133</v>
      </c>
      <c r="F473" s="650">
        <v>69360.0</v>
      </c>
      <c r="G473" s="413">
        <v>69360.0</v>
      </c>
      <c r="H473" s="349" t="s">
        <v>710</v>
      </c>
      <c r="I473" s="404" t="str">
        <f t="shared" si="5"/>
        <v>FULLY PAID</v>
      </c>
      <c r="J473" s="402"/>
      <c r="K473" s="402"/>
      <c r="L473" s="402"/>
      <c r="M473" s="402"/>
      <c r="N473" s="402"/>
      <c r="O473" s="402"/>
      <c r="P473" s="402"/>
      <c r="Q473" s="402"/>
      <c r="R473" s="402"/>
      <c r="S473" s="402"/>
      <c r="T473" s="402"/>
      <c r="U473" s="402"/>
      <c r="V473" s="402"/>
      <c r="W473" s="402"/>
      <c r="X473" s="402"/>
      <c r="Y473" s="402"/>
      <c r="Z473" s="402"/>
    </row>
    <row r="474" ht="14.25" customHeight="1">
      <c r="A474" s="402"/>
      <c r="B474" s="402"/>
      <c r="C474" s="402"/>
      <c r="D474" s="402"/>
      <c r="E474" s="402"/>
      <c r="F474" s="587"/>
      <c r="G474" s="403"/>
      <c r="H474" s="402"/>
      <c r="I474" s="404" t="str">
        <f t="shared" si="5"/>
        <v>FULLY PAID</v>
      </c>
      <c r="J474" s="402"/>
      <c r="K474" s="402"/>
      <c r="L474" s="402"/>
      <c r="M474" s="402"/>
      <c r="N474" s="402"/>
      <c r="O474" s="402"/>
      <c r="P474" s="402"/>
      <c r="Q474" s="402"/>
      <c r="R474" s="402"/>
      <c r="S474" s="402"/>
      <c r="T474" s="402"/>
      <c r="U474" s="402"/>
      <c r="V474" s="402"/>
      <c r="W474" s="402"/>
      <c r="X474" s="402"/>
      <c r="Y474" s="402"/>
      <c r="Z474" s="402"/>
    </row>
    <row r="475" ht="14.25" customHeight="1">
      <c r="A475" s="402"/>
      <c r="B475" s="402"/>
      <c r="C475" s="402"/>
      <c r="D475" s="402"/>
      <c r="E475" s="402"/>
      <c r="F475" s="587"/>
      <c r="G475" s="403"/>
      <c r="H475" s="402"/>
      <c r="I475" s="404" t="str">
        <f t="shared" si="5"/>
        <v>FULLY PAID</v>
      </c>
      <c r="J475" s="402"/>
      <c r="K475" s="402"/>
      <c r="L475" s="402"/>
      <c r="M475" s="402"/>
      <c r="N475" s="402"/>
      <c r="O475" s="402"/>
      <c r="P475" s="402"/>
      <c r="Q475" s="402"/>
      <c r="R475" s="402"/>
      <c r="S475" s="402"/>
      <c r="T475" s="402"/>
      <c r="U475" s="402"/>
      <c r="V475" s="402"/>
      <c r="W475" s="402"/>
      <c r="X475" s="402"/>
      <c r="Y475" s="402"/>
      <c r="Z475" s="402"/>
    </row>
    <row r="476" ht="14.25" customHeight="1">
      <c r="A476" s="402"/>
      <c r="B476" s="402"/>
      <c r="C476" s="402"/>
      <c r="D476" s="402"/>
      <c r="E476" s="402"/>
      <c r="F476" s="587"/>
      <c r="G476" s="403"/>
      <c r="H476" s="402"/>
      <c r="I476" s="404" t="str">
        <f t="shared" si="5"/>
        <v>FULLY PAID</v>
      </c>
      <c r="J476" s="402"/>
      <c r="K476" s="402"/>
      <c r="L476" s="402"/>
      <c r="M476" s="402"/>
      <c r="N476" s="402"/>
      <c r="O476" s="402"/>
      <c r="P476" s="402"/>
      <c r="Q476" s="402"/>
      <c r="R476" s="402"/>
      <c r="S476" s="402"/>
      <c r="T476" s="402"/>
      <c r="U476" s="402"/>
      <c r="V476" s="402"/>
      <c r="W476" s="402"/>
      <c r="X476" s="402"/>
      <c r="Y476" s="402"/>
      <c r="Z476" s="402"/>
    </row>
    <row r="477" ht="14.25" customHeight="1">
      <c r="A477" s="406">
        <v>45523.0</v>
      </c>
      <c r="B477" s="512" t="s">
        <v>2365</v>
      </c>
      <c r="C477" s="512" t="s">
        <v>2366</v>
      </c>
      <c r="D477" s="595" t="s">
        <v>54</v>
      </c>
      <c r="E477" s="349" t="s">
        <v>2133</v>
      </c>
      <c r="F477" s="643">
        <v>12183.0</v>
      </c>
      <c r="G477" s="413">
        <v>0.0</v>
      </c>
      <c r="H477" s="349" t="s">
        <v>2367</v>
      </c>
      <c r="I477" s="404" t="str">
        <f t="shared" si="5"/>
        <v>NOT PAID</v>
      </c>
      <c r="J477" s="402"/>
      <c r="K477" s="402"/>
      <c r="L477" s="402"/>
      <c r="M477" s="402"/>
      <c r="N477" s="402"/>
      <c r="O477" s="402"/>
      <c r="P477" s="402"/>
      <c r="Q477" s="402"/>
      <c r="R477" s="402"/>
      <c r="S477" s="402"/>
      <c r="T477" s="402"/>
      <c r="U477" s="402"/>
      <c r="V477" s="402"/>
      <c r="W477" s="402"/>
      <c r="X477" s="402"/>
      <c r="Y477" s="402"/>
      <c r="Z477" s="402"/>
    </row>
    <row r="478" ht="14.25" customHeight="1">
      <c r="A478" s="406">
        <v>45523.0</v>
      </c>
      <c r="B478" s="513" t="s">
        <v>2368</v>
      </c>
      <c r="C478" s="513" t="s">
        <v>2366</v>
      </c>
      <c r="D478" s="597" t="s">
        <v>346</v>
      </c>
      <c r="E478" s="349" t="s">
        <v>2133</v>
      </c>
      <c r="F478" s="644">
        <v>13250.0</v>
      </c>
      <c r="G478" s="413">
        <v>0.0</v>
      </c>
      <c r="H478" s="349" t="s">
        <v>2367</v>
      </c>
      <c r="I478" s="404" t="str">
        <f t="shared" si="5"/>
        <v>NOT PAID</v>
      </c>
      <c r="J478" s="402"/>
      <c r="K478" s="402"/>
      <c r="L478" s="402"/>
      <c r="M478" s="402"/>
      <c r="N478" s="402"/>
      <c r="O478" s="402"/>
      <c r="P478" s="402"/>
      <c r="Q478" s="402"/>
      <c r="R478" s="402"/>
      <c r="S478" s="402"/>
      <c r="T478" s="402"/>
      <c r="U478" s="402"/>
      <c r="V478" s="402"/>
      <c r="W478" s="402"/>
      <c r="X478" s="402"/>
      <c r="Y478" s="402"/>
      <c r="Z478" s="402"/>
    </row>
    <row r="479" ht="14.25" customHeight="1">
      <c r="A479" s="406">
        <v>45523.0</v>
      </c>
      <c r="B479" s="623" t="s">
        <v>2369</v>
      </c>
      <c r="C479" s="623" t="s">
        <v>2370</v>
      </c>
      <c r="D479" s="595" t="s">
        <v>54</v>
      </c>
      <c r="E479" s="349" t="s">
        <v>2133</v>
      </c>
      <c r="F479" s="651">
        <v>16160.95</v>
      </c>
      <c r="G479" s="413">
        <v>0.0</v>
      </c>
      <c r="H479" s="349" t="s">
        <v>2371</v>
      </c>
      <c r="I479" s="404" t="str">
        <f t="shared" si="5"/>
        <v>NOT PAID</v>
      </c>
      <c r="J479" s="402"/>
      <c r="K479" s="402"/>
      <c r="L479" s="402"/>
      <c r="M479" s="402"/>
      <c r="N479" s="402"/>
      <c r="O479" s="402"/>
      <c r="P479" s="402"/>
      <c r="Q479" s="402"/>
      <c r="R479" s="402"/>
      <c r="S479" s="402"/>
      <c r="T479" s="402"/>
      <c r="U479" s="402"/>
      <c r="V479" s="402"/>
      <c r="W479" s="402"/>
      <c r="X479" s="402"/>
      <c r="Y479" s="402"/>
      <c r="Z479" s="402"/>
    </row>
    <row r="480" ht="14.25" customHeight="1">
      <c r="A480" s="406">
        <v>45523.0</v>
      </c>
      <c r="B480" s="628" t="s">
        <v>2372</v>
      </c>
      <c r="C480" s="628" t="s">
        <v>2373</v>
      </c>
      <c r="D480" s="595" t="s">
        <v>54</v>
      </c>
      <c r="E480" s="349" t="s">
        <v>2133</v>
      </c>
      <c r="F480" s="652">
        <v>14520.23</v>
      </c>
      <c r="G480" s="413">
        <v>14600.0</v>
      </c>
      <c r="H480" s="349" t="s">
        <v>2374</v>
      </c>
      <c r="I480" s="404" t="str">
        <f t="shared" si="5"/>
        <v>FULLY PAID</v>
      </c>
      <c r="J480" s="402"/>
      <c r="K480" s="402"/>
      <c r="L480" s="402"/>
      <c r="M480" s="402"/>
      <c r="N480" s="402"/>
      <c r="O480" s="402"/>
      <c r="P480" s="402"/>
      <c r="Q480" s="402"/>
      <c r="R480" s="402"/>
      <c r="S480" s="402"/>
      <c r="T480" s="402"/>
      <c r="U480" s="402"/>
      <c r="V480" s="402"/>
      <c r="W480" s="402"/>
      <c r="X480" s="402"/>
      <c r="Y480" s="402"/>
      <c r="Z480" s="402"/>
    </row>
    <row r="481" ht="14.25" customHeight="1">
      <c r="A481" s="406">
        <v>45523.0</v>
      </c>
      <c r="B481" s="512" t="s">
        <v>2332</v>
      </c>
      <c r="C481" s="512" t="s">
        <v>2197</v>
      </c>
      <c r="D481" s="635" t="s">
        <v>54</v>
      </c>
      <c r="E481" s="349" t="s">
        <v>2133</v>
      </c>
      <c r="F481" s="636">
        <v>217317.0</v>
      </c>
      <c r="G481" s="413">
        <v>0.0</v>
      </c>
      <c r="H481" s="419" t="s">
        <v>2375</v>
      </c>
      <c r="I481" s="404" t="str">
        <f t="shared" si="5"/>
        <v>NOT PAID</v>
      </c>
      <c r="J481" s="402"/>
      <c r="K481" s="402"/>
      <c r="L481" s="402"/>
      <c r="M481" s="402"/>
      <c r="N481" s="402"/>
      <c r="O481" s="402"/>
      <c r="P481" s="402"/>
      <c r="Q481" s="402"/>
      <c r="R481" s="402"/>
      <c r="S481" s="402"/>
      <c r="T481" s="402"/>
      <c r="U481" s="402"/>
      <c r="V481" s="402"/>
      <c r="W481" s="402"/>
      <c r="X481" s="402"/>
      <c r="Y481" s="402"/>
      <c r="Z481" s="402"/>
    </row>
    <row r="482" ht="14.25" customHeight="1">
      <c r="A482" s="406">
        <v>45523.0</v>
      </c>
      <c r="B482" s="512" t="s">
        <v>2343</v>
      </c>
      <c r="C482" s="512" t="s">
        <v>2344</v>
      </c>
      <c r="D482" s="635" t="s">
        <v>54</v>
      </c>
      <c r="E482" s="349" t="s">
        <v>2133</v>
      </c>
      <c r="F482" s="636">
        <v>20425.0</v>
      </c>
      <c r="G482" s="413">
        <v>0.0</v>
      </c>
      <c r="H482" s="417" t="s">
        <v>2345</v>
      </c>
      <c r="I482" s="404" t="str">
        <f t="shared" si="5"/>
        <v>NOT PAID</v>
      </c>
      <c r="J482" s="402"/>
      <c r="K482" s="402"/>
      <c r="L482" s="402"/>
      <c r="M482" s="402"/>
      <c r="N482" s="402"/>
      <c r="O482" s="402"/>
      <c r="P482" s="402"/>
      <c r="Q482" s="402"/>
      <c r="R482" s="402"/>
      <c r="S482" s="402"/>
      <c r="T482" s="402"/>
      <c r="U482" s="402"/>
      <c r="V482" s="402"/>
      <c r="W482" s="402"/>
      <c r="X482" s="402"/>
      <c r="Y482" s="402"/>
      <c r="Z482" s="402"/>
    </row>
    <row r="483" ht="14.25" customHeight="1">
      <c r="A483" s="406">
        <v>45523.0</v>
      </c>
      <c r="B483" s="594" t="s">
        <v>2294</v>
      </c>
      <c r="C483" s="594" t="s">
        <v>2153</v>
      </c>
      <c r="D483" s="645" t="s">
        <v>75</v>
      </c>
      <c r="E483" s="349" t="s">
        <v>2133</v>
      </c>
      <c r="F483" s="636">
        <v>97750.0</v>
      </c>
      <c r="G483" s="413">
        <v>0.0</v>
      </c>
      <c r="H483" s="419" t="s">
        <v>2200</v>
      </c>
      <c r="I483" s="404" t="str">
        <f t="shared" si="5"/>
        <v>NOT PAID</v>
      </c>
      <c r="J483" s="402"/>
      <c r="K483" s="402"/>
      <c r="L483" s="402"/>
      <c r="M483" s="402"/>
      <c r="N483" s="402"/>
      <c r="O483" s="402"/>
      <c r="P483" s="402"/>
      <c r="Q483" s="402"/>
      <c r="R483" s="402"/>
      <c r="S483" s="402"/>
      <c r="T483" s="402"/>
      <c r="U483" s="402"/>
      <c r="V483" s="402"/>
      <c r="W483" s="402"/>
      <c r="X483" s="402"/>
      <c r="Y483" s="402"/>
      <c r="Z483" s="402"/>
    </row>
    <row r="484" ht="14.25" customHeight="1">
      <c r="A484" s="406">
        <v>45523.0</v>
      </c>
      <c r="B484" s="607" t="s">
        <v>2149</v>
      </c>
      <c r="C484" s="607" t="s">
        <v>2206</v>
      </c>
      <c r="D484" s="349" t="s">
        <v>54</v>
      </c>
      <c r="E484" s="349" t="s">
        <v>2133</v>
      </c>
      <c r="F484" s="559">
        <v>5000.0</v>
      </c>
      <c r="G484" s="413">
        <v>0.0</v>
      </c>
      <c r="H484" s="417" t="s">
        <v>2296</v>
      </c>
      <c r="I484" s="404" t="str">
        <f t="shared" si="5"/>
        <v>NOT PAID</v>
      </c>
      <c r="J484" s="402"/>
      <c r="K484" s="402"/>
      <c r="L484" s="402"/>
      <c r="M484" s="402"/>
      <c r="N484" s="402"/>
      <c r="O484" s="402"/>
      <c r="P484" s="402"/>
      <c r="Q484" s="402"/>
      <c r="R484" s="402"/>
      <c r="S484" s="402"/>
      <c r="T484" s="402"/>
      <c r="U484" s="402"/>
      <c r="V484" s="402"/>
      <c r="W484" s="402"/>
      <c r="X484" s="402"/>
      <c r="Y484" s="402"/>
      <c r="Z484" s="402"/>
    </row>
    <row r="485" ht="14.25" customHeight="1">
      <c r="A485" s="406">
        <v>45523.0</v>
      </c>
      <c r="B485" s="419" t="s">
        <v>2208</v>
      </c>
      <c r="C485" s="408" t="s">
        <v>2132</v>
      </c>
      <c r="D485" s="408" t="s">
        <v>439</v>
      </c>
      <c r="E485" s="408" t="s">
        <v>2133</v>
      </c>
      <c r="F485" s="445">
        <v>4000.0</v>
      </c>
      <c r="G485" s="413">
        <v>0.0</v>
      </c>
      <c r="H485" s="417" t="s">
        <v>2323</v>
      </c>
      <c r="I485" s="404" t="str">
        <f t="shared" si="5"/>
        <v>NOT PAID</v>
      </c>
      <c r="J485" s="402"/>
      <c r="K485" s="402"/>
      <c r="L485" s="402"/>
      <c r="M485" s="402"/>
      <c r="N485" s="402"/>
      <c r="O485" s="402"/>
      <c r="P485" s="402"/>
      <c r="Q485" s="402"/>
      <c r="R485" s="402"/>
      <c r="S485" s="402"/>
      <c r="T485" s="402"/>
      <c r="U485" s="402"/>
      <c r="V485" s="402"/>
      <c r="W485" s="402"/>
      <c r="X485" s="402"/>
      <c r="Y485" s="402"/>
      <c r="Z485" s="402"/>
    </row>
    <row r="486" ht="14.25" customHeight="1">
      <c r="A486" s="406">
        <v>45523.0</v>
      </c>
      <c r="B486" s="349" t="s">
        <v>2143</v>
      </c>
      <c r="C486" s="349" t="s">
        <v>2144</v>
      </c>
      <c r="D486" s="349" t="s">
        <v>54</v>
      </c>
      <c r="E486" s="349" t="s">
        <v>2133</v>
      </c>
      <c r="F486" s="559">
        <v>6000.0</v>
      </c>
      <c r="G486" s="413">
        <v>6000.0</v>
      </c>
      <c r="H486" s="419" t="s">
        <v>401</v>
      </c>
      <c r="I486" s="404" t="str">
        <f t="shared" si="5"/>
        <v>FULLY PAID</v>
      </c>
      <c r="J486" s="402"/>
      <c r="K486" s="402"/>
      <c r="L486" s="402"/>
      <c r="M486" s="402"/>
      <c r="N486" s="402"/>
      <c r="O486" s="402"/>
      <c r="P486" s="402"/>
      <c r="Q486" s="402"/>
      <c r="R486" s="402"/>
      <c r="S486" s="402"/>
      <c r="T486" s="402"/>
      <c r="U486" s="402"/>
      <c r="V486" s="402"/>
      <c r="W486" s="402"/>
      <c r="X486" s="402"/>
      <c r="Y486" s="402"/>
      <c r="Z486" s="402"/>
    </row>
    <row r="487" ht="14.25" customHeight="1">
      <c r="A487" s="406">
        <v>45523.0</v>
      </c>
      <c r="B487" s="616" t="s">
        <v>2213</v>
      </c>
      <c r="C487" s="617" t="s">
        <v>2214</v>
      </c>
      <c r="D487" s="349" t="s">
        <v>54</v>
      </c>
      <c r="E487" s="349" t="s">
        <v>2133</v>
      </c>
      <c r="F487" s="618">
        <v>1120.0</v>
      </c>
      <c r="G487" s="413">
        <v>0.0</v>
      </c>
      <c r="H487" s="417" t="s">
        <v>2347</v>
      </c>
      <c r="I487" s="404" t="str">
        <f t="shared" si="5"/>
        <v>NOT PAID</v>
      </c>
      <c r="J487" s="402"/>
      <c r="K487" s="402"/>
      <c r="L487" s="402"/>
      <c r="M487" s="402"/>
      <c r="N487" s="402"/>
      <c r="O487" s="402"/>
      <c r="P487" s="402"/>
      <c r="Q487" s="402"/>
      <c r="R487" s="402"/>
      <c r="S487" s="402"/>
      <c r="T487" s="402"/>
      <c r="U487" s="402"/>
      <c r="V487" s="402"/>
      <c r="W487" s="402"/>
      <c r="X487" s="402"/>
      <c r="Y487" s="402"/>
      <c r="Z487" s="402"/>
    </row>
    <row r="488" ht="14.25" customHeight="1">
      <c r="A488" s="406">
        <v>45523.0</v>
      </c>
      <c r="B488" s="605" t="s">
        <v>2221</v>
      </c>
      <c r="C488" s="606" t="s">
        <v>2222</v>
      </c>
      <c r="D488" s="349" t="s">
        <v>54</v>
      </c>
      <c r="E488" s="349" t="s">
        <v>2133</v>
      </c>
      <c r="F488" s="611">
        <v>32250.0</v>
      </c>
      <c r="G488" s="413">
        <v>0.0</v>
      </c>
      <c r="H488" s="419" t="s">
        <v>2200</v>
      </c>
      <c r="I488" s="404" t="str">
        <f t="shared" si="5"/>
        <v>NOT PAID</v>
      </c>
      <c r="J488" s="402"/>
      <c r="K488" s="402"/>
      <c r="L488" s="402"/>
      <c r="M488" s="402"/>
      <c r="N488" s="402"/>
      <c r="O488" s="402"/>
      <c r="P488" s="402"/>
      <c r="Q488" s="402"/>
      <c r="R488" s="402"/>
      <c r="S488" s="402"/>
      <c r="T488" s="402"/>
      <c r="U488" s="402"/>
      <c r="V488" s="402"/>
      <c r="W488" s="402"/>
      <c r="X488" s="402"/>
      <c r="Y488" s="402"/>
      <c r="Z488" s="402"/>
    </row>
    <row r="489" ht="14.25" customHeight="1">
      <c r="A489" s="406">
        <v>45523.0</v>
      </c>
      <c r="B489" s="605" t="s">
        <v>2231</v>
      </c>
      <c r="C489" s="619" t="s">
        <v>2232</v>
      </c>
      <c r="D489" s="349" t="s">
        <v>54</v>
      </c>
      <c r="E489" s="349" t="s">
        <v>2133</v>
      </c>
      <c r="F489" s="620">
        <v>2778.0</v>
      </c>
      <c r="G489" s="413">
        <v>0.0</v>
      </c>
      <c r="H489" s="414" t="s">
        <v>2200</v>
      </c>
      <c r="I489" s="404" t="str">
        <f t="shared" si="5"/>
        <v>NOT PAID</v>
      </c>
      <c r="J489" s="402"/>
      <c r="K489" s="402"/>
      <c r="L489" s="402"/>
      <c r="M489" s="402"/>
      <c r="N489" s="402"/>
      <c r="O489" s="402"/>
      <c r="P489" s="402"/>
      <c r="Q489" s="402"/>
      <c r="R489" s="402"/>
      <c r="S489" s="402"/>
      <c r="T489" s="402"/>
      <c r="U489" s="402"/>
      <c r="V489" s="402"/>
      <c r="W489" s="402"/>
      <c r="X489" s="402"/>
      <c r="Y489" s="402"/>
      <c r="Z489" s="402"/>
    </row>
    <row r="490" ht="14.25" customHeight="1">
      <c r="A490" s="406">
        <v>45523.0</v>
      </c>
      <c r="B490" s="640" t="s">
        <v>2196</v>
      </c>
      <c r="C490" s="629" t="s">
        <v>2246</v>
      </c>
      <c r="D490" s="349" t="s">
        <v>54</v>
      </c>
      <c r="E490" s="349" t="s">
        <v>2133</v>
      </c>
      <c r="F490" s="622">
        <v>126855.0</v>
      </c>
      <c r="G490" s="413">
        <v>0.0</v>
      </c>
      <c r="H490" s="419" t="s">
        <v>2376</v>
      </c>
      <c r="I490" s="404" t="str">
        <f t="shared" si="5"/>
        <v>NOT PAID</v>
      </c>
      <c r="J490" s="402"/>
      <c r="K490" s="402"/>
      <c r="L490" s="402"/>
      <c r="M490" s="402"/>
      <c r="N490" s="402"/>
      <c r="O490" s="402"/>
      <c r="P490" s="402"/>
      <c r="Q490" s="402"/>
      <c r="R490" s="402"/>
      <c r="S490" s="402"/>
      <c r="T490" s="402"/>
      <c r="U490" s="402"/>
      <c r="V490" s="402"/>
      <c r="W490" s="402"/>
      <c r="X490" s="402"/>
      <c r="Y490" s="402"/>
      <c r="Z490" s="402"/>
    </row>
    <row r="491" ht="14.25" customHeight="1">
      <c r="A491" s="406">
        <v>45523.0</v>
      </c>
      <c r="B491" s="642" t="s">
        <v>2235</v>
      </c>
      <c r="C491" s="623" t="s">
        <v>2236</v>
      </c>
      <c r="D491" s="630" t="s">
        <v>75</v>
      </c>
      <c r="E491" s="349" t="s">
        <v>2133</v>
      </c>
      <c r="F491" s="622">
        <v>14500.0</v>
      </c>
      <c r="G491" s="413">
        <v>0.0</v>
      </c>
      <c r="H491" s="417" t="s">
        <v>2347</v>
      </c>
      <c r="I491" s="404" t="str">
        <f t="shared" si="5"/>
        <v>NOT PAID</v>
      </c>
      <c r="J491" s="402"/>
      <c r="K491" s="402"/>
      <c r="L491" s="402"/>
      <c r="M491" s="402"/>
      <c r="N491" s="402"/>
      <c r="O491" s="402"/>
      <c r="P491" s="402"/>
      <c r="Q491" s="402"/>
      <c r="R491" s="402"/>
      <c r="S491" s="402"/>
      <c r="T491" s="402"/>
      <c r="U491" s="402"/>
      <c r="V491" s="402"/>
      <c r="W491" s="402"/>
      <c r="X491" s="402"/>
      <c r="Y491" s="402"/>
      <c r="Z491" s="402"/>
    </row>
    <row r="492" ht="14.25" customHeight="1">
      <c r="A492" s="406">
        <v>45523.0</v>
      </c>
      <c r="B492" s="594" t="s">
        <v>2275</v>
      </c>
      <c r="C492" s="512" t="s">
        <v>2276</v>
      </c>
      <c r="D492" s="635" t="s">
        <v>54</v>
      </c>
      <c r="E492" s="349" t="s">
        <v>2133</v>
      </c>
      <c r="F492" s="636">
        <v>40363.26</v>
      </c>
      <c r="G492" s="413">
        <v>0.0</v>
      </c>
      <c r="H492" s="417" t="s">
        <v>2325</v>
      </c>
      <c r="I492" s="404" t="str">
        <f t="shared" si="5"/>
        <v>NOT PAID</v>
      </c>
      <c r="J492" s="402"/>
      <c r="K492" s="402"/>
      <c r="L492" s="402"/>
      <c r="M492" s="402"/>
      <c r="N492" s="402"/>
      <c r="O492" s="402"/>
      <c r="P492" s="402"/>
      <c r="Q492" s="402"/>
      <c r="R492" s="402"/>
      <c r="S492" s="402"/>
      <c r="T492" s="402"/>
      <c r="U492" s="402"/>
      <c r="V492" s="402"/>
      <c r="W492" s="402"/>
      <c r="X492" s="402"/>
      <c r="Y492" s="402"/>
      <c r="Z492" s="402"/>
    </row>
    <row r="493" ht="14.25" customHeight="1">
      <c r="A493" s="406">
        <v>45523.0</v>
      </c>
      <c r="B493" s="596" t="s">
        <v>2278</v>
      </c>
      <c r="C493" s="513" t="s">
        <v>2279</v>
      </c>
      <c r="D493" s="637" t="s">
        <v>54</v>
      </c>
      <c r="E493" s="349" t="s">
        <v>2133</v>
      </c>
      <c r="F493" s="638">
        <v>107213.0</v>
      </c>
      <c r="G493" s="413">
        <v>0.0</v>
      </c>
      <c r="H493" s="417" t="s">
        <v>2348</v>
      </c>
      <c r="I493" s="404" t="str">
        <f t="shared" si="5"/>
        <v>NOT PAID</v>
      </c>
      <c r="J493" s="402"/>
      <c r="K493" s="402"/>
      <c r="L493" s="402"/>
      <c r="M493" s="402"/>
      <c r="N493" s="402"/>
      <c r="O493" s="402"/>
      <c r="P493" s="402"/>
      <c r="Q493" s="402"/>
      <c r="R493" s="402"/>
      <c r="S493" s="402"/>
      <c r="T493" s="402"/>
      <c r="U493" s="402"/>
      <c r="V493" s="402"/>
      <c r="W493" s="402"/>
      <c r="X493" s="402"/>
      <c r="Y493" s="402"/>
      <c r="Z493" s="402"/>
    </row>
    <row r="494" ht="14.25" customHeight="1">
      <c r="A494" s="406">
        <v>45523.0</v>
      </c>
      <c r="B494" s="512" t="s">
        <v>2288</v>
      </c>
      <c r="C494" s="512" t="s">
        <v>2203</v>
      </c>
      <c r="D494" s="635" t="s">
        <v>54</v>
      </c>
      <c r="E494" s="349" t="s">
        <v>2133</v>
      </c>
      <c r="F494" s="638">
        <v>12829.0</v>
      </c>
      <c r="G494" s="413">
        <v>0.0</v>
      </c>
      <c r="H494" s="417" t="s">
        <v>2349</v>
      </c>
      <c r="I494" s="404" t="str">
        <f t="shared" si="5"/>
        <v>NOT PAID</v>
      </c>
      <c r="J494" s="402"/>
      <c r="K494" s="402"/>
      <c r="L494" s="402"/>
      <c r="M494" s="402"/>
      <c r="N494" s="402"/>
      <c r="O494" s="402"/>
      <c r="P494" s="402"/>
      <c r="Q494" s="402"/>
      <c r="R494" s="402"/>
      <c r="S494" s="402"/>
      <c r="T494" s="402"/>
      <c r="U494" s="402"/>
      <c r="V494" s="402"/>
      <c r="W494" s="402"/>
      <c r="X494" s="402"/>
      <c r="Y494" s="402"/>
      <c r="Z494" s="402"/>
    </row>
    <row r="495" ht="14.25" customHeight="1">
      <c r="A495" s="406"/>
      <c r="B495" s="512"/>
      <c r="C495" s="512"/>
      <c r="D495" s="635"/>
      <c r="E495" s="349"/>
      <c r="F495" s="638"/>
      <c r="G495" s="413"/>
      <c r="H495" s="419"/>
      <c r="I495" s="404"/>
      <c r="J495" s="402"/>
      <c r="K495" s="402"/>
      <c r="L495" s="402"/>
      <c r="M495" s="402"/>
      <c r="N495" s="402"/>
      <c r="O495" s="402"/>
      <c r="P495" s="402"/>
      <c r="Q495" s="402"/>
      <c r="R495" s="402"/>
      <c r="S495" s="402"/>
      <c r="T495" s="402"/>
      <c r="U495" s="402"/>
      <c r="V495" s="402"/>
      <c r="W495" s="402"/>
      <c r="X495" s="402"/>
      <c r="Y495" s="402"/>
      <c r="Z495" s="402"/>
    </row>
    <row r="496" ht="14.25" customHeight="1">
      <c r="A496" s="406">
        <v>45523.0</v>
      </c>
      <c r="B496" s="512" t="s">
        <v>2301</v>
      </c>
      <c r="C496" s="512" t="s">
        <v>2302</v>
      </c>
      <c r="D496" s="635" t="s">
        <v>54</v>
      </c>
      <c r="E496" s="349" t="s">
        <v>2133</v>
      </c>
      <c r="F496" s="636">
        <v>28387.0</v>
      </c>
      <c r="G496" s="413">
        <v>31855.0</v>
      </c>
      <c r="H496" s="419" t="s">
        <v>401</v>
      </c>
      <c r="I496" s="404" t="str">
        <f t="shared" ref="I496:I512" si="6">IF(G496&gt;=F496,"FULLY PAID",IF(G496=0,"NOT PAID","PARTIALLY PAID"))</f>
        <v>FULLY PAID</v>
      </c>
      <c r="J496" s="402"/>
      <c r="K496" s="402"/>
      <c r="L496" s="402"/>
      <c r="M496" s="402"/>
      <c r="N496" s="402"/>
      <c r="O496" s="402"/>
      <c r="P496" s="402"/>
      <c r="Q496" s="402"/>
      <c r="R496" s="402"/>
      <c r="S496" s="402"/>
      <c r="T496" s="402"/>
      <c r="U496" s="402"/>
      <c r="V496" s="402"/>
      <c r="W496" s="402"/>
      <c r="X496" s="402"/>
      <c r="Y496" s="402"/>
      <c r="Z496" s="402"/>
    </row>
    <row r="497" ht="14.25" customHeight="1">
      <c r="A497" s="406">
        <v>45523.0</v>
      </c>
      <c r="B497" s="513" t="s">
        <v>2318</v>
      </c>
      <c r="C497" s="513" t="s">
        <v>2338</v>
      </c>
      <c r="D497" s="635" t="s">
        <v>54</v>
      </c>
      <c r="E497" s="349" t="s">
        <v>2133</v>
      </c>
      <c r="F497" s="638">
        <v>29382.0</v>
      </c>
      <c r="G497" s="413">
        <v>0.0</v>
      </c>
      <c r="H497" s="349" t="s">
        <v>2325</v>
      </c>
      <c r="I497" s="404" t="str">
        <f t="shared" si="6"/>
        <v>NOT PAID</v>
      </c>
      <c r="J497" s="402"/>
      <c r="K497" s="402"/>
      <c r="L497" s="402"/>
      <c r="M497" s="402"/>
      <c r="N497" s="402"/>
      <c r="O497" s="402"/>
      <c r="P497" s="402"/>
      <c r="Q497" s="402"/>
      <c r="R497" s="402"/>
      <c r="S497" s="402"/>
      <c r="T497" s="402"/>
      <c r="U497" s="402"/>
      <c r="V497" s="402"/>
      <c r="W497" s="402"/>
      <c r="X497" s="402"/>
      <c r="Y497" s="402"/>
      <c r="Z497" s="402"/>
    </row>
    <row r="498" ht="14.25" customHeight="1">
      <c r="A498" s="406">
        <v>45523.0</v>
      </c>
      <c r="B498" s="513" t="s">
        <v>2305</v>
      </c>
      <c r="C498" s="513" t="s">
        <v>2306</v>
      </c>
      <c r="D498" s="637" t="s">
        <v>54</v>
      </c>
      <c r="E498" s="349" t="s">
        <v>2133</v>
      </c>
      <c r="F498" s="638">
        <v>50064.0</v>
      </c>
      <c r="G498" s="413">
        <v>0.0</v>
      </c>
      <c r="H498" s="455" t="s">
        <v>2377</v>
      </c>
      <c r="I498" s="404" t="str">
        <f t="shared" si="6"/>
        <v>NOT PAID</v>
      </c>
      <c r="J498" s="402"/>
      <c r="K498" s="402"/>
      <c r="L498" s="402"/>
      <c r="M498" s="402"/>
      <c r="N498" s="402"/>
      <c r="O498" s="402"/>
      <c r="P498" s="402"/>
      <c r="Q498" s="402"/>
      <c r="R498" s="402"/>
      <c r="S498" s="402"/>
      <c r="T498" s="402"/>
      <c r="U498" s="402"/>
      <c r="V498" s="402"/>
      <c r="W498" s="402"/>
      <c r="X498" s="402"/>
      <c r="Y498" s="402"/>
      <c r="Z498" s="402"/>
    </row>
    <row r="499" ht="14.25" customHeight="1">
      <c r="A499" s="406">
        <v>45523.0</v>
      </c>
      <c r="B499" s="512" t="s">
        <v>2134</v>
      </c>
      <c r="C499" s="512" t="s">
        <v>2135</v>
      </c>
      <c r="D499" s="635" t="s">
        <v>54</v>
      </c>
      <c r="E499" s="349" t="s">
        <v>2133</v>
      </c>
      <c r="F499" s="636">
        <v>21472.29</v>
      </c>
      <c r="G499" s="413">
        <v>0.0</v>
      </c>
      <c r="H499" s="417" t="s">
        <v>2329</v>
      </c>
      <c r="I499" s="404" t="str">
        <f t="shared" si="6"/>
        <v>NOT PAID</v>
      </c>
      <c r="J499" s="402"/>
      <c r="K499" s="402"/>
      <c r="L499" s="402"/>
      <c r="M499" s="402"/>
      <c r="N499" s="402"/>
      <c r="O499" s="402"/>
      <c r="P499" s="402"/>
      <c r="Q499" s="402"/>
      <c r="R499" s="402"/>
      <c r="S499" s="402"/>
      <c r="T499" s="402"/>
      <c r="U499" s="402"/>
      <c r="V499" s="402"/>
      <c r="W499" s="402"/>
      <c r="X499" s="402"/>
      <c r="Y499" s="402"/>
      <c r="Z499" s="402"/>
    </row>
    <row r="500" ht="14.25" customHeight="1">
      <c r="A500" s="406">
        <v>45523.0</v>
      </c>
      <c r="B500" s="634" t="s">
        <v>2140</v>
      </c>
      <c r="C500" s="634" t="s">
        <v>2340</v>
      </c>
      <c r="D500" s="635" t="s">
        <v>54</v>
      </c>
      <c r="E500" s="349" t="s">
        <v>2133</v>
      </c>
      <c r="F500" s="647">
        <v>69538.0</v>
      </c>
      <c r="G500" s="413">
        <v>0.0</v>
      </c>
      <c r="H500" s="419" t="s">
        <v>2378</v>
      </c>
      <c r="I500" s="404" t="str">
        <f t="shared" si="6"/>
        <v>NOT PAID</v>
      </c>
      <c r="J500" s="402"/>
      <c r="K500" s="402"/>
      <c r="L500" s="402"/>
      <c r="M500" s="402"/>
      <c r="N500" s="402"/>
      <c r="O500" s="402"/>
      <c r="P500" s="402"/>
      <c r="Q500" s="402"/>
      <c r="R500" s="402"/>
      <c r="S500" s="402"/>
      <c r="T500" s="402"/>
      <c r="U500" s="402"/>
      <c r="V500" s="402"/>
      <c r="W500" s="402"/>
      <c r="X500" s="402"/>
      <c r="Y500" s="402"/>
      <c r="Z500" s="402"/>
    </row>
    <row r="501" ht="14.25" customHeight="1">
      <c r="A501" s="406">
        <v>45523.0</v>
      </c>
      <c r="B501" s="512" t="s">
        <v>2137</v>
      </c>
      <c r="C501" s="512" t="s">
        <v>2138</v>
      </c>
      <c r="D501" s="635" t="s">
        <v>75</v>
      </c>
      <c r="E501" s="349" t="s">
        <v>2133</v>
      </c>
      <c r="F501" s="643">
        <v>100000.0</v>
      </c>
      <c r="G501" s="413">
        <v>0.0</v>
      </c>
      <c r="H501" s="419" t="s">
        <v>2379</v>
      </c>
      <c r="I501" s="404" t="str">
        <f t="shared" si="6"/>
        <v>NOT PAID</v>
      </c>
      <c r="J501" s="402"/>
      <c r="K501" s="402"/>
      <c r="L501" s="402"/>
      <c r="M501" s="402"/>
      <c r="N501" s="402"/>
      <c r="O501" s="402"/>
      <c r="P501" s="402"/>
      <c r="Q501" s="402"/>
      <c r="R501" s="402"/>
      <c r="S501" s="402"/>
      <c r="T501" s="402"/>
      <c r="U501" s="402"/>
      <c r="V501" s="402"/>
      <c r="W501" s="402"/>
      <c r="X501" s="402"/>
      <c r="Y501" s="402"/>
      <c r="Z501" s="402"/>
    </row>
    <row r="502" ht="14.25" customHeight="1">
      <c r="A502" s="406">
        <v>45523.0</v>
      </c>
      <c r="B502" s="349" t="s">
        <v>2163</v>
      </c>
      <c r="C502" s="349" t="s">
        <v>2164</v>
      </c>
      <c r="D502" s="413" t="s">
        <v>59</v>
      </c>
      <c r="E502" s="349" t="s">
        <v>273</v>
      </c>
      <c r="F502" s="559">
        <v>100000.0</v>
      </c>
      <c r="G502" s="413">
        <v>0.0</v>
      </c>
      <c r="H502" s="419" t="s">
        <v>2380</v>
      </c>
      <c r="I502" s="404" t="str">
        <f t="shared" si="6"/>
        <v>NOT PAID</v>
      </c>
      <c r="J502" s="402"/>
      <c r="K502" s="402"/>
      <c r="L502" s="402"/>
      <c r="M502" s="402"/>
      <c r="N502" s="402"/>
      <c r="O502" s="402"/>
      <c r="P502" s="402"/>
      <c r="Q502" s="402"/>
      <c r="R502" s="402"/>
      <c r="S502" s="402"/>
      <c r="T502" s="402"/>
      <c r="U502" s="402"/>
      <c r="V502" s="402"/>
      <c r="W502" s="402"/>
      <c r="X502" s="402"/>
      <c r="Y502" s="402"/>
      <c r="Z502" s="402"/>
    </row>
    <row r="503" ht="14.25" customHeight="1">
      <c r="A503" s="406">
        <v>45523.0</v>
      </c>
      <c r="B503" s="634" t="s">
        <v>2360</v>
      </c>
      <c r="C503" s="634" t="s">
        <v>2361</v>
      </c>
      <c r="D503" s="634" t="s">
        <v>54</v>
      </c>
      <c r="E503" s="349" t="s">
        <v>2133</v>
      </c>
      <c r="F503" s="650">
        <v>23985.99</v>
      </c>
      <c r="G503" s="413">
        <v>4000.0</v>
      </c>
      <c r="H503" s="349" t="s">
        <v>2381</v>
      </c>
      <c r="I503" s="404" t="str">
        <f t="shared" si="6"/>
        <v>PARTIALLY PAID</v>
      </c>
      <c r="J503" s="402"/>
      <c r="K503" s="402"/>
      <c r="L503" s="402"/>
      <c r="M503" s="402"/>
      <c r="N503" s="402"/>
      <c r="O503" s="402"/>
      <c r="P503" s="402"/>
      <c r="Q503" s="402"/>
      <c r="R503" s="402"/>
      <c r="S503" s="402"/>
      <c r="T503" s="402"/>
      <c r="U503" s="402"/>
      <c r="V503" s="402"/>
      <c r="W503" s="402"/>
      <c r="X503" s="402"/>
      <c r="Y503" s="402"/>
      <c r="Z503" s="402"/>
    </row>
    <row r="504" ht="14.25" customHeight="1">
      <c r="A504" s="406"/>
      <c r="B504" s="402"/>
      <c r="C504" s="402"/>
      <c r="D504" s="402"/>
      <c r="E504" s="402"/>
      <c r="F504" s="587"/>
      <c r="G504" s="403"/>
      <c r="H504" s="402"/>
      <c r="I504" s="404" t="str">
        <f t="shared" si="6"/>
        <v>FULLY PAID</v>
      </c>
      <c r="J504" s="402"/>
      <c r="K504" s="402"/>
      <c r="L504" s="402"/>
      <c r="M504" s="402"/>
      <c r="N504" s="402"/>
      <c r="O504" s="402"/>
      <c r="P504" s="402"/>
      <c r="Q504" s="402"/>
      <c r="R504" s="402"/>
      <c r="S504" s="402"/>
      <c r="T504" s="402"/>
      <c r="U504" s="402"/>
      <c r="V504" s="402"/>
      <c r="W504" s="402"/>
      <c r="X504" s="402"/>
      <c r="Y504" s="402"/>
      <c r="Z504" s="402"/>
    </row>
    <row r="505" ht="14.25" customHeight="1">
      <c r="A505" s="406"/>
      <c r="B505" s="402"/>
      <c r="C505" s="402"/>
      <c r="D505" s="402"/>
      <c r="E505" s="402"/>
      <c r="F505" s="587"/>
      <c r="G505" s="403"/>
      <c r="H505" s="402"/>
      <c r="I505" s="404" t="str">
        <f t="shared" si="6"/>
        <v>FULLY PAID</v>
      </c>
      <c r="J505" s="402"/>
      <c r="K505" s="402"/>
      <c r="L505" s="402"/>
      <c r="M505" s="402"/>
      <c r="N505" s="402"/>
      <c r="O505" s="402"/>
      <c r="P505" s="402"/>
      <c r="Q505" s="402"/>
      <c r="R505" s="402"/>
      <c r="S505" s="402"/>
      <c r="T505" s="402"/>
      <c r="U505" s="402"/>
      <c r="V505" s="402"/>
      <c r="W505" s="402"/>
      <c r="X505" s="402"/>
      <c r="Y505" s="402"/>
      <c r="Z505" s="402"/>
    </row>
    <row r="506" ht="14.25" customHeight="1">
      <c r="A506" s="406"/>
      <c r="B506" s="402"/>
      <c r="C506" s="402"/>
      <c r="D506" s="402"/>
      <c r="E506" s="402"/>
      <c r="F506" s="587"/>
      <c r="G506" s="403"/>
      <c r="H506" s="402"/>
      <c r="I506" s="404" t="str">
        <f t="shared" si="6"/>
        <v>FULLY PAID</v>
      </c>
      <c r="J506" s="402"/>
      <c r="K506" s="402"/>
      <c r="L506" s="402"/>
      <c r="M506" s="402"/>
      <c r="N506" s="402"/>
      <c r="O506" s="402"/>
      <c r="P506" s="402"/>
      <c r="Q506" s="402"/>
      <c r="R506" s="402"/>
      <c r="S506" s="402"/>
      <c r="T506" s="402"/>
      <c r="U506" s="402"/>
      <c r="V506" s="402"/>
      <c r="W506" s="402"/>
      <c r="X506" s="402"/>
      <c r="Y506" s="402"/>
      <c r="Z506" s="402"/>
    </row>
    <row r="507" ht="14.25" customHeight="1">
      <c r="A507" s="406">
        <v>45524.0</v>
      </c>
      <c r="B507" s="512" t="s">
        <v>2365</v>
      </c>
      <c r="C507" s="512" t="s">
        <v>2366</v>
      </c>
      <c r="D507" s="595" t="s">
        <v>54</v>
      </c>
      <c r="E507" s="349" t="s">
        <v>2133</v>
      </c>
      <c r="F507" s="643">
        <v>12183.0</v>
      </c>
      <c r="G507" s="413">
        <v>0.0</v>
      </c>
      <c r="H507" s="349" t="s">
        <v>2382</v>
      </c>
      <c r="I507" s="404" t="str">
        <f t="shared" si="6"/>
        <v>NOT PAID</v>
      </c>
      <c r="J507" s="402"/>
      <c r="K507" s="402"/>
      <c r="L507" s="402"/>
      <c r="M507" s="402"/>
      <c r="N507" s="402"/>
      <c r="O507" s="402"/>
      <c r="P507" s="402"/>
      <c r="Q507" s="402"/>
      <c r="R507" s="402"/>
      <c r="S507" s="402"/>
      <c r="T507" s="402"/>
      <c r="U507" s="402"/>
      <c r="V507" s="402"/>
      <c r="W507" s="402"/>
      <c r="X507" s="402"/>
      <c r="Y507" s="402"/>
      <c r="Z507" s="402"/>
    </row>
    <row r="508" ht="14.25" customHeight="1">
      <c r="A508" s="406">
        <v>45524.0</v>
      </c>
      <c r="B508" s="513" t="s">
        <v>2368</v>
      </c>
      <c r="C508" s="513" t="s">
        <v>2366</v>
      </c>
      <c r="D508" s="597" t="s">
        <v>346</v>
      </c>
      <c r="E508" s="349" t="s">
        <v>2133</v>
      </c>
      <c r="F508" s="644">
        <v>13250.0</v>
      </c>
      <c r="G508" s="413">
        <v>0.0</v>
      </c>
      <c r="H508" s="349" t="s">
        <v>2382</v>
      </c>
      <c r="I508" s="404" t="str">
        <f t="shared" si="6"/>
        <v>NOT PAID</v>
      </c>
      <c r="J508" s="402"/>
      <c r="K508" s="402"/>
      <c r="L508" s="402"/>
      <c r="M508" s="402"/>
      <c r="N508" s="402"/>
      <c r="O508" s="402"/>
      <c r="P508" s="402"/>
      <c r="Q508" s="402"/>
      <c r="R508" s="402"/>
      <c r="S508" s="402"/>
      <c r="T508" s="402"/>
      <c r="U508" s="402"/>
      <c r="V508" s="402"/>
      <c r="W508" s="402"/>
      <c r="X508" s="402"/>
      <c r="Y508" s="402"/>
      <c r="Z508" s="402"/>
    </row>
    <row r="509" ht="14.25" customHeight="1">
      <c r="A509" s="406">
        <v>45524.0</v>
      </c>
      <c r="B509" s="512" t="s">
        <v>2332</v>
      </c>
      <c r="C509" s="512" t="s">
        <v>2197</v>
      </c>
      <c r="D509" s="635" t="s">
        <v>54</v>
      </c>
      <c r="E509" s="349" t="s">
        <v>2133</v>
      </c>
      <c r="F509" s="636">
        <v>217317.0</v>
      </c>
      <c r="G509" s="413">
        <v>0.0</v>
      </c>
      <c r="H509" s="349" t="s">
        <v>2383</v>
      </c>
      <c r="I509" s="404" t="str">
        <f t="shared" si="6"/>
        <v>NOT PAID</v>
      </c>
      <c r="J509" s="402"/>
      <c r="K509" s="402"/>
      <c r="L509" s="402"/>
      <c r="M509" s="402"/>
      <c r="N509" s="402"/>
      <c r="O509" s="402"/>
      <c r="P509" s="402"/>
      <c r="Q509" s="402"/>
      <c r="R509" s="402"/>
      <c r="S509" s="402"/>
      <c r="T509" s="402"/>
      <c r="U509" s="402"/>
      <c r="V509" s="402"/>
      <c r="W509" s="402"/>
      <c r="X509" s="402"/>
      <c r="Y509" s="402"/>
      <c r="Z509" s="402"/>
    </row>
    <row r="510" ht="14.25" customHeight="1">
      <c r="A510" s="406">
        <v>45524.0</v>
      </c>
      <c r="B510" s="512" t="s">
        <v>2343</v>
      </c>
      <c r="C510" s="512" t="s">
        <v>2344</v>
      </c>
      <c r="D510" s="635" t="s">
        <v>54</v>
      </c>
      <c r="E510" s="349" t="s">
        <v>2133</v>
      </c>
      <c r="F510" s="636">
        <v>20425.0</v>
      </c>
      <c r="G510" s="413">
        <v>0.0</v>
      </c>
      <c r="H510" s="417" t="s">
        <v>2345</v>
      </c>
      <c r="I510" s="404" t="str">
        <f t="shared" si="6"/>
        <v>NOT PAID</v>
      </c>
      <c r="J510" s="402"/>
      <c r="K510" s="402"/>
      <c r="L510" s="402"/>
      <c r="M510" s="402"/>
      <c r="N510" s="402"/>
      <c r="O510" s="402"/>
      <c r="P510" s="402"/>
      <c r="Q510" s="402"/>
      <c r="R510" s="402"/>
      <c r="S510" s="402"/>
      <c r="T510" s="402"/>
      <c r="U510" s="402"/>
      <c r="V510" s="402"/>
      <c r="W510" s="402"/>
      <c r="X510" s="402"/>
      <c r="Y510" s="402"/>
      <c r="Z510" s="402"/>
    </row>
    <row r="511" ht="14.25" customHeight="1">
      <c r="A511" s="406">
        <v>45524.0</v>
      </c>
      <c r="B511" s="594" t="s">
        <v>2294</v>
      </c>
      <c r="C511" s="594" t="s">
        <v>2153</v>
      </c>
      <c r="D511" s="645" t="s">
        <v>75</v>
      </c>
      <c r="E511" s="349" t="s">
        <v>2133</v>
      </c>
      <c r="F511" s="636">
        <v>97750.0</v>
      </c>
      <c r="G511" s="413">
        <v>0.0</v>
      </c>
      <c r="H511" s="419" t="s">
        <v>2200</v>
      </c>
      <c r="I511" s="404" t="str">
        <f t="shared" si="6"/>
        <v>NOT PAID</v>
      </c>
      <c r="J511" s="402"/>
      <c r="K511" s="402"/>
      <c r="L511" s="402"/>
      <c r="M511" s="402"/>
      <c r="N511" s="402"/>
      <c r="O511" s="402"/>
      <c r="P511" s="402"/>
      <c r="Q511" s="402"/>
      <c r="R511" s="402"/>
      <c r="S511" s="402"/>
      <c r="T511" s="402"/>
      <c r="U511" s="402"/>
      <c r="V511" s="402"/>
      <c r="W511" s="402"/>
      <c r="X511" s="402"/>
      <c r="Y511" s="402"/>
      <c r="Z511" s="402"/>
    </row>
    <row r="512" ht="14.25" customHeight="1">
      <c r="A512" s="406">
        <v>45524.0</v>
      </c>
      <c r="B512" s="607" t="s">
        <v>2149</v>
      </c>
      <c r="C512" s="607" t="s">
        <v>2206</v>
      </c>
      <c r="D512" s="349" t="s">
        <v>54</v>
      </c>
      <c r="E512" s="349" t="s">
        <v>2133</v>
      </c>
      <c r="F512" s="559">
        <v>5000.0</v>
      </c>
      <c r="G512" s="413">
        <v>0.0</v>
      </c>
      <c r="H512" s="417" t="s">
        <v>2296</v>
      </c>
      <c r="I512" s="404" t="str">
        <f t="shared" si="6"/>
        <v>NOT PAID</v>
      </c>
      <c r="J512" s="402"/>
      <c r="K512" s="402"/>
      <c r="L512" s="402"/>
      <c r="M512" s="402"/>
      <c r="N512" s="402"/>
      <c r="O512" s="402"/>
      <c r="P512" s="402"/>
      <c r="Q512" s="402"/>
      <c r="R512" s="402"/>
      <c r="S512" s="402"/>
      <c r="T512" s="402"/>
      <c r="U512" s="402"/>
      <c r="V512" s="402"/>
      <c r="W512" s="402"/>
      <c r="X512" s="402"/>
      <c r="Y512" s="402"/>
      <c r="Z512" s="402"/>
    </row>
    <row r="513" ht="14.25" customHeight="1">
      <c r="A513" s="406">
        <v>45524.0</v>
      </c>
      <c r="B513" s="419" t="s">
        <v>2208</v>
      </c>
      <c r="C513" s="408" t="s">
        <v>2132</v>
      </c>
      <c r="D513" s="408" t="s">
        <v>439</v>
      </c>
      <c r="E513" s="408" t="s">
        <v>2133</v>
      </c>
      <c r="F513" s="445">
        <v>4000.0</v>
      </c>
      <c r="G513" s="413">
        <v>0.0</v>
      </c>
      <c r="H513" s="417" t="s">
        <v>2323</v>
      </c>
      <c r="I513" s="402"/>
      <c r="J513" s="402"/>
      <c r="K513" s="402"/>
      <c r="L513" s="402"/>
      <c r="M513" s="402"/>
      <c r="N513" s="402"/>
      <c r="O513" s="402"/>
      <c r="P513" s="402"/>
      <c r="Q513" s="402"/>
      <c r="R513" s="402"/>
      <c r="S513" s="402"/>
      <c r="T513" s="402"/>
      <c r="U513" s="402"/>
      <c r="V513" s="402"/>
      <c r="W513" s="402"/>
      <c r="X513" s="402"/>
      <c r="Y513" s="402"/>
      <c r="Z513" s="402"/>
    </row>
    <row r="514" ht="14.25" customHeight="1">
      <c r="A514" s="406">
        <v>45524.0</v>
      </c>
      <c r="B514" s="349" t="s">
        <v>2143</v>
      </c>
      <c r="C514" s="349" t="s">
        <v>2144</v>
      </c>
      <c r="D514" s="349" t="s">
        <v>54</v>
      </c>
      <c r="E514" s="349" t="s">
        <v>2133</v>
      </c>
      <c r="F514" s="559">
        <v>6000.0</v>
      </c>
      <c r="G514" s="413">
        <v>6000.0</v>
      </c>
      <c r="H514" s="419" t="s">
        <v>401</v>
      </c>
      <c r="I514" s="402"/>
      <c r="J514" s="402"/>
      <c r="K514" s="402"/>
      <c r="L514" s="402"/>
      <c r="M514" s="402"/>
      <c r="N514" s="402"/>
      <c r="O514" s="402"/>
      <c r="P514" s="402"/>
      <c r="Q514" s="402"/>
      <c r="R514" s="402"/>
      <c r="S514" s="402"/>
      <c r="T514" s="402"/>
      <c r="U514" s="402"/>
      <c r="V514" s="402"/>
      <c r="W514" s="402"/>
      <c r="X514" s="402"/>
      <c r="Y514" s="402"/>
      <c r="Z514" s="402"/>
    </row>
    <row r="515" ht="14.25" customHeight="1">
      <c r="A515" s="406">
        <v>45524.0</v>
      </c>
      <c r="B515" s="616" t="s">
        <v>2213</v>
      </c>
      <c r="C515" s="617" t="s">
        <v>2214</v>
      </c>
      <c r="D515" s="349" t="s">
        <v>54</v>
      </c>
      <c r="E515" s="349" t="s">
        <v>2133</v>
      </c>
      <c r="F515" s="618">
        <v>1120.0</v>
      </c>
      <c r="G515" s="413">
        <v>1500.0</v>
      </c>
      <c r="H515" s="419" t="s">
        <v>401</v>
      </c>
      <c r="I515" s="402"/>
      <c r="J515" s="402"/>
      <c r="K515" s="402"/>
      <c r="L515" s="402"/>
      <c r="M515" s="402"/>
      <c r="N515" s="402"/>
      <c r="O515" s="402"/>
      <c r="P515" s="402"/>
      <c r="Q515" s="402"/>
      <c r="R515" s="402"/>
      <c r="S515" s="402"/>
      <c r="T515" s="402"/>
      <c r="U515" s="402"/>
      <c r="V515" s="402"/>
      <c r="W515" s="402"/>
      <c r="X515" s="402"/>
      <c r="Y515" s="402"/>
      <c r="Z515" s="402"/>
    </row>
    <row r="516" ht="14.25" customHeight="1">
      <c r="A516" s="406">
        <v>45524.0</v>
      </c>
      <c r="B516" s="605" t="s">
        <v>2221</v>
      </c>
      <c r="C516" s="606" t="s">
        <v>2222</v>
      </c>
      <c r="D516" s="349" t="s">
        <v>54</v>
      </c>
      <c r="E516" s="349" t="s">
        <v>2133</v>
      </c>
      <c r="F516" s="611">
        <v>32250.0</v>
      </c>
      <c r="G516" s="413">
        <v>0.0</v>
      </c>
      <c r="H516" s="419" t="s">
        <v>2200</v>
      </c>
      <c r="I516" s="402"/>
      <c r="J516" s="402"/>
      <c r="K516" s="402"/>
      <c r="L516" s="402"/>
      <c r="M516" s="402"/>
      <c r="N516" s="402"/>
      <c r="O516" s="402"/>
      <c r="P516" s="402"/>
      <c r="Q516" s="402"/>
      <c r="R516" s="402"/>
      <c r="S516" s="402"/>
      <c r="T516" s="402"/>
      <c r="U516" s="402"/>
      <c r="V516" s="402"/>
      <c r="W516" s="402"/>
      <c r="X516" s="402"/>
      <c r="Y516" s="402"/>
      <c r="Z516" s="402"/>
    </row>
    <row r="517" ht="14.25" customHeight="1">
      <c r="A517" s="406">
        <v>45524.0</v>
      </c>
      <c r="B517" s="605" t="s">
        <v>2231</v>
      </c>
      <c r="C517" s="619" t="s">
        <v>2232</v>
      </c>
      <c r="D517" s="349" t="s">
        <v>54</v>
      </c>
      <c r="E517" s="349" t="s">
        <v>2133</v>
      </c>
      <c r="F517" s="620">
        <v>2778.0</v>
      </c>
      <c r="G517" s="413">
        <v>0.0</v>
      </c>
      <c r="H517" s="414" t="s">
        <v>2200</v>
      </c>
      <c r="I517" s="402"/>
      <c r="J517" s="402"/>
      <c r="K517" s="402"/>
      <c r="L517" s="402"/>
      <c r="M517" s="402"/>
      <c r="N517" s="402"/>
      <c r="O517" s="402"/>
      <c r="P517" s="402"/>
      <c r="Q517" s="402"/>
      <c r="R517" s="402"/>
      <c r="S517" s="402"/>
      <c r="T517" s="402"/>
      <c r="U517" s="402"/>
      <c r="V517" s="402"/>
      <c r="W517" s="402"/>
      <c r="X517" s="402"/>
      <c r="Y517" s="402"/>
      <c r="Z517" s="402"/>
    </row>
    <row r="518" ht="14.25" customHeight="1">
      <c r="A518" s="406">
        <v>45524.0</v>
      </c>
      <c r="B518" s="640" t="s">
        <v>2196</v>
      </c>
      <c r="C518" s="629" t="s">
        <v>2246</v>
      </c>
      <c r="D518" s="349" t="s">
        <v>54</v>
      </c>
      <c r="E518" s="349" t="s">
        <v>2133</v>
      </c>
      <c r="F518" s="622">
        <v>126855.0</v>
      </c>
      <c r="G518" s="413">
        <v>0.0</v>
      </c>
      <c r="H518" s="419" t="s">
        <v>2376</v>
      </c>
      <c r="I518" s="402"/>
      <c r="J518" s="402"/>
      <c r="K518" s="402"/>
      <c r="L518" s="402"/>
      <c r="M518" s="402"/>
      <c r="N518" s="402"/>
      <c r="O518" s="402"/>
      <c r="P518" s="402"/>
      <c r="Q518" s="402"/>
      <c r="R518" s="402"/>
      <c r="S518" s="402"/>
      <c r="T518" s="402"/>
      <c r="U518" s="402"/>
      <c r="V518" s="402"/>
      <c r="W518" s="402"/>
      <c r="X518" s="402"/>
      <c r="Y518" s="402"/>
      <c r="Z518" s="402"/>
    </row>
    <row r="519" ht="14.25" customHeight="1">
      <c r="A519" s="406">
        <v>45524.0</v>
      </c>
      <c r="B519" s="642" t="s">
        <v>2235</v>
      </c>
      <c r="C519" s="623" t="s">
        <v>2236</v>
      </c>
      <c r="D519" s="630" t="s">
        <v>75</v>
      </c>
      <c r="E519" s="349" t="s">
        <v>2133</v>
      </c>
      <c r="F519" s="622">
        <v>14500.0</v>
      </c>
      <c r="G519" s="413">
        <v>0.0</v>
      </c>
      <c r="H519" s="417" t="s">
        <v>2347</v>
      </c>
      <c r="I519" s="402"/>
      <c r="J519" s="402"/>
      <c r="K519" s="402"/>
      <c r="L519" s="402"/>
      <c r="M519" s="402"/>
      <c r="N519" s="402"/>
      <c r="O519" s="402"/>
      <c r="P519" s="402"/>
      <c r="Q519" s="402"/>
      <c r="R519" s="402"/>
      <c r="S519" s="402"/>
      <c r="T519" s="402"/>
      <c r="U519" s="402"/>
      <c r="V519" s="402"/>
      <c r="W519" s="402"/>
      <c r="X519" s="402"/>
      <c r="Y519" s="402"/>
      <c r="Z519" s="402"/>
    </row>
    <row r="520" ht="14.25" customHeight="1">
      <c r="A520" s="406">
        <v>45524.0</v>
      </c>
      <c r="B520" s="594" t="s">
        <v>2275</v>
      </c>
      <c r="C520" s="512" t="s">
        <v>2276</v>
      </c>
      <c r="D520" s="635" t="s">
        <v>54</v>
      </c>
      <c r="E520" s="349" t="s">
        <v>2133</v>
      </c>
      <c r="F520" s="636">
        <v>40363.26</v>
      </c>
      <c r="G520" s="413">
        <v>0.0</v>
      </c>
      <c r="H520" s="417" t="s">
        <v>2325</v>
      </c>
      <c r="I520" s="402"/>
      <c r="J520" s="402"/>
      <c r="K520" s="402"/>
      <c r="L520" s="402"/>
      <c r="M520" s="402"/>
      <c r="N520" s="402"/>
      <c r="O520" s="402"/>
      <c r="P520" s="402"/>
      <c r="Q520" s="402"/>
      <c r="R520" s="402"/>
      <c r="S520" s="402"/>
      <c r="T520" s="402"/>
      <c r="U520" s="402"/>
      <c r="V520" s="402"/>
      <c r="W520" s="402"/>
      <c r="X520" s="402"/>
      <c r="Y520" s="402"/>
      <c r="Z520" s="402"/>
    </row>
    <row r="521" ht="14.25" customHeight="1">
      <c r="A521" s="406">
        <v>45524.0</v>
      </c>
      <c r="B521" s="596" t="s">
        <v>2278</v>
      </c>
      <c r="C521" s="513" t="s">
        <v>2279</v>
      </c>
      <c r="D521" s="637" t="s">
        <v>54</v>
      </c>
      <c r="E521" s="349" t="s">
        <v>2133</v>
      </c>
      <c r="F521" s="638">
        <v>107213.0</v>
      </c>
      <c r="G521" s="413">
        <v>0.0</v>
      </c>
      <c r="H521" s="417" t="s">
        <v>2348</v>
      </c>
      <c r="I521" s="402"/>
      <c r="J521" s="402"/>
      <c r="K521" s="402"/>
      <c r="L521" s="402"/>
      <c r="M521" s="402"/>
      <c r="N521" s="402"/>
      <c r="O521" s="402"/>
      <c r="P521" s="402"/>
      <c r="Q521" s="402"/>
      <c r="R521" s="402"/>
      <c r="S521" s="402"/>
      <c r="T521" s="402"/>
      <c r="U521" s="402"/>
      <c r="V521" s="402"/>
      <c r="W521" s="402"/>
      <c r="X521" s="402"/>
      <c r="Y521" s="402"/>
      <c r="Z521" s="402"/>
    </row>
    <row r="522" ht="14.25" customHeight="1">
      <c r="A522" s="406">
        <v>45524.0</v>
      </c>
      <c r="B522" s="512" t="s">
        <v>2288</v>
      </c>
      <c r="C522" s="512" t="s">
        <v>2203</v>
      </c>
      <c r="D522" s="635" t="s">
        <v>54</v>
      </c>
      <c r="E522" s="349" t="s">
        <v>2133</v>
      </c>
      <c r="F522" s="638">
        <v>12829.0</v>
      </c>
      <c r="G522" s="413">
        <v>0.0</v>
      </c>
      <c r="H522" s="417" t="s">
        <v>2349</v>
      </c>
      <c r="I522" s="402"/>
      <c r="J522" s="402"/>
      <c r="K522" s="402"/>
      <c r="L522" s="402"/>
      <c r="M522" s="402"/>
      <c r="N522" s="402"/>
      <c r="O522" s="402"/>
      <c r="P522" s="402"/>
      <c r="Q522" s="402"/>
      <c r="R522" s="402"/>
      <c r="S522" s="402"/>
      <c r="T522" s="402"/>
      <c r="U522" s="402"/>
      <c r="V522" s="402"/>
      <c r="W522" s="402"/>
      <c r="X522" s="402"/>
      <c r="Y522" s="402"/>
      <c r="Z522" s="402"/>
    </row>
    <row r="523" ht="14.25" customHeight="1">
      <c r="A523" s="406">
        <v>45524.0</v>
      </c>
      <c r="B523" s="513" t="s">
        <v>2318</v>
      </c>
      <c r="C523" s="513" t="s">
        <v>2338</v>
      </c>
      <c r="D523" s="635" t="s">
        <v>54</v>
      </c>
      <c r="E523" s="349" t="s">
        <v>2133</v>
      </c>
      <c r="F523" s="638">
        <v>29382.0</v>
      </c>
      <c r="G523" s="413">
        <v>0.0</v>
      </c>
      <c r="H523" s="349" t="s">
        <v>2325</v>
      </c>
      <c r="I523" s="402"/>
      <c r="J523" s="402"/>
      <c r="K523" s="402"/>
      <c r="L523" s="402"/>
      <c r="M523" s="402"/>
      <c r="N523" s="402"/>
      <c r="O523" s="402"/>
      <c r="P523" s="402"/>
      <c r="Q523" s="402"/>
      <c r="R523" s="402"/>
      <c r="S523" s="402"/>
      <c r="T523" s="402"/>
      <c r="U523" s="402"/>
      <c r="V523" s="402"/>
      <c r="W523" s="402"/>
      <c r="X523" s="402"/>
      <c r="Y523" s="402"/>
      <c r="Z523" s="402"/>
    </row>
    <row r="524" ht="14.25" customHeight="1">
      <c r="A524" s="406">
        <v>45524.0</v>
      </c>
      <c r="B524" s="513" t="s">
        <v>2305</v>
      </c>
      <c r="C524" s="513" t="s">
        <v>2306</v>
      </c>
      <c r="D524" s="637" t="s">
        <v>54</v>
      </c>
      <c r="E524" s="349" t="s">
        <v>2133</v>
      </c>
      <c r="F524" s="638">
        <v>50064.0</v>
      </c>
      <c r="G524" s="413">
        <v>50000.0</v>
      </c>
      <c r="H524" s="455" t="s">
        <v>2377</v>
      </c>
      <c r="I524" s="402"/>
      <c r="J524" s="402"/>
      <c r="K524" s="402"/>
      <c r="L524" s="402"/>
      <c r="M524" s="402"/>
      <c r="N524" s="402"/>
      <c r="O524" s="402"/>
      <c r="P524" s="402"/>
      <c r="Q524" s="402"/>
      <c r="R524" s="402"/>
      <c r="S524" s="402"/>
      <c r="T524" s="402"/>
      <c r="U524" s="402"/>
      <c r="V524" s="402"/>
      <c r="W524" s="402"/>
      <c r="X524" s="402"/>
      <c r="Y524" s="402"/>
      <c r="Z524" s="402"/>
    </row>
    <row r="525" ht="14.25" customHeight="1">
      <c r="A525" s="406">
        <v>45524.0</v>
      </c>
      <c r="B525" s="512" t="s">
        <v>2134</v>
      </c>
      <c r="C525" s="512" t="s">
        <v>2135</v>
      </c>
      <c r="D525" s="635" t="s">
        <v>54</v>
      </c>
      <c r="E525" s="349" t="s">
        <v>2133</v>
      </c>
      <c r="F525" s="636">
        <v>21472.29</v>
      </c>
      <c r="G525" s="413">
        <v>0.0</v>
      </c>
      <c r="H525" s="417" t="s">
        <v>2329</v>
      </c>
      <c r="I525" s="402"/>
      <c r="J525" s="402"/>
      <c r="K525" s="402"/>
      <c r="L525" s="402"/>
      <c r="M525" s="402"/>
      <c r="N525" s="402"/>
      <c r="O525" s="402"/>
      <c r="P525" s="402"/>
      <c r="Q525" s="402"/>
      <c r="R525" s="402"/>
      <c r="S525" s="402"/>
      <c r="T525" s="402"/>
      <c r="U525" s="402"/>
      <c r="V525" s="402"/>
      <c r="W525" s="402"/>
      <c r="X525" s="402"/>
      <c r="Y525" s="402"/>
      <c r="Z525" s="402"/>
    </row>
    <row r="526" ht="14.25" customHeight="1">
      <c r="A526" s="406">
        <v>45524.0</v>
      </c>
      <c r="B526" s="634" t="s">
        <v>2140</v>
      </c>
      <c r="C526" s="634" t="s">
        <v>2340</v>
      </c>
      <c r="D526" s="635" t="s">
        <v>54</v>
      </c>
      <c r="E526" s="349" t="s">
        <v>2133</v>
      </c>
      <c r="F526" s="647">
        <v>69538.0</v>
      </c>
      <c r="G526" s="413">
        <v>0.0</v>
      </c>
      <c r="H526" s="419" t="s">
        <v>2378</v>
      </c>
      <c r="I526" s="402"/>
      <c r="J526" s="402"/>
      <c r="K526" s="402"/>
      <c r="L526" s="402"/>
      <c r="M526" s="402"/>
      <c r="N526" s="402"/>
      <c r="O526" s="402"/>
      <c r="P526" s="402"/>
      <c r="Q526" s="402"/>
      <c r="R526" s="402"/>
      <c r="S526" s="402"/>
      <c r="T526" s="402"/>
      <c r="U526" s="402"/>
      <c r="V526" s="402"/>
      <c r="W526" s="402"/>
      <c r="X526" s="402"/>
      <c r="Y526" s="402"/>
      <c r="Z526" s="402"/>
    </row>
    <row r="527" ht="14.25" customHeight="1">
      <c r="A527" s="406">
        <v>45524.0</v>
      </c>
      <c r="B527" s="512" t="s">
        <v>2137</v>
      </c>
      <c r="C527" s="512" t="s">
        <v>2138</v>
      </c>
      <c r="D527" s="635" t="s">
        <v>75</v>
      </c>
      <c r="E527" s="349" t="s">
        <v>2133</v>
      </c>
      <c r="F527" s="643">
        <v>100000.0</v>
      </c>
      <c r="G527" s="413">
        <v>0.0</v>
      </c>
      <c r="H527" s="419" t="s">
        <v>2379</v>
      </c>
      <c r="I527" s="402"/>
      <c r="J527" s="402"/>
      <c r="K527" s="402"/>
      <c r="L527" s="402"/>
      <c r="M527" s="402"/>
      <c r="N527" s="402"/>
      <c r="O527" s="402"/>
      <c r="P527" s="402"/>
      <c r="Q527" s="402"/>
      <c r="R527" s="402"/>
      <c r="S527" s="402"/>
      <c r="T527" s="402"/>
      <c r="U527" s="402"/>
      <c r="V527" s="402"/>
      <c r="W527" s="402"/>
      <c r="X527" s="402"/>
      <c r="Y527" s="402"/>
      <c r="Z527" s="402"/>
    </row>
    <row r="528" ht="14.25" customHeight="1">
      <c r="A528" s="406">
        <v>45524.0</v>
      </c>
      <c r="B528" s="349" t="s">
        <v>2163</v>
      </c>
      <c r="C528" s="349" t="s">
        <v>2164</v>
      </c>
      <c r="D528" s="413" t="s">
        <v>59</v>
      </c>
      <c r="E528" s="349" t="s">
        <v>273</v>
      </c>
      <c r="F528" s="559">
        <v>100000.0</v>
      </c>
      <c r="G528" s="413">
        <v>0.0</v>
      </c>
      <c r="H528" s="419" t="s">
        <v>2380</v>
      </c>
      <c r="I528" s="402"/>
      <c r="J528" s="402"/>
      <c r="K528" s="402"/>
      <c r="L528" s="402"/>
      <c r="M528" s="402"/>
      <c r="N528" s="402"/>
      <c r="O528" s="402"/>
      <c r="P528" s="402"/>
      <c r="Q528" s="402"/>
      <c r="R528" s="402"/>
      <c r="S528" s="402"/>
      <c r="T528" s="402"/>
      <c r="U528" s="402"/>
      <c r="V528" s="402"/>
      <c r="W528" s="402"/>
      <c r="X528" s="402"/>
      <c r="Y528" s="402"/>
      <c r="Z528" s="402"/>
    </row>
    <row r="529" ht="14.25" customHeight="1">
      <c r="A529" s="406">
        <v>45524.0</v>
      </c>
      <c r="B529" s="605" t="s">
        <v>2360</v>
      </c>
      <c r="C529" s="634" t="s">
        <v>2361</v>
      </c>
      <c r="D529" s="634" t="s">
        <v>54</v>
      </c>
      <c r="E529" s="349" t="s">
        <v>2133</v>
      </c>
      <c r="F529" s="649">
        <v>10000.0</v>
      </c>
      <c r="G529" s="413">
        <v>0.0</v>
      </c>
      <c r="H529" s="349" t="s">
        <v>2378</v>
      </c>
      <c r="I529" s="402"/>
      <c r="J529" s="402"/>
      <c r="K529" s="402"/>
      <c r="L529" s="402"/>
      <c r="M529" s="402"/>
      <c r="N529" s="402"/>
      <c r="O529" s="402"/>
      <c r="P529" s="402"/>
      <c r="Q529" s="402"/>
      <c r="R529" s="402"/>
      <c r="S529" s="402"/>
      <c r="T529" s="402"/>
      <c r="U529" s="402"/>
      <c r="V529" s="402"/>
      <c r="W529" s="402"/>
      <c r="X529" s="402"/>
      <c r="Y529" s="402"/>
      <c r="Z529" s="402"/>
    </row>
    <row r="530" ht="14.25" customHeight="1">
      <c r="A530" s="406">
        <v>45524.0</v>
      </c>
      <c r="B530" s="512" t="s">
        <v>2384</v>
      </c>
      <c r="C530" s="512" t="s">
        <v>2385</v>
      </c>
      <c r="D530" s="595" t="s">
        <v>54</v>
      </c>
      <c r="E530" s="349" t="s">
        <v>2133</v>
      </c>
      <c r="F530" s="559">
        <v>100000.0</v>
      </c>
      <c r="G530" s="413">
        <v>100000.0</v>
      </c>
      <c r="H530" s="349" t="s">
        <v>401</v>
      </c>
      <c r="I530" s="402"/>
      <c r="J530" s="402"/>
      <c r="K530" s="402"/>
      <c r="L530" s="402"/>
      <c r="M530" s="402"/>
      <c r="N530" s="402"/>
      <c r="O530" s="402"/>
      <c r="P530" s="402"/>
      <c r="Q530" s="402"/>
      <c r="R530" s="402"/>
      <c r="S530" s="402"/>
      <c r="T530" s="402"/>
      <c r="U530" s="402"/>
      <c r="V530" s="402"/>
      <c r="W530" s="402"/>
      <c r="X530" s="402"/>
      <c r="Y530" s="402"/>
      <c r="Z530" s="402"/>
    </row>
    <row r="531" ht="14.25" customHeight="1">
      <c r="A531" s="406"/>
      <c r="B531" s="402"/>
      <c r="C531" s="402"/>
      <c r="D531" s="402"/>
      <c r="E531" s="402"/>
      <c r="F531" s="587"/>
      <c r="G531" s="403"/>
      <c r="H531" s="402"/>
      <c r="I531" s="402"/>
      <c r="J531" s="402"/>
      <c r="K531" s="402"/>
      <c r="L531" s="402"/>
      <c r="M531" s="402"/>
      <c r="N531" s="402"/>
      <c r="O531" s="402"/>
      <c r="P531" s="402"/>
      <c r="Q531" s="402"/>
      <c r="R531" s="402"/>
      <c r="S531" s="402"/>
      <c r="T531" s="402"/>
      <c r="U531" s="402"/>
      <c r="V531" s="402"/>
      <c r="W531" s="402"/>
      <c r="X531" s="402"/>
      <c r="Y531" s="402"/>
      <c r="Z531" s="402"/>
    </row>
    <row r="532" ht="14.25" customHeight="1">
      <c r="A532" s="406"/>
      <c r="B532" s="402"/>
      <c r="C532" s="402"/>
      <c r="D532" s="402"/>
      <c r="E532" s="402"/>
      <c r="F532" s="587"/>
      <c r="G532" s="403"/>
      <c r="H532" s="402"/>
      <c r="I532" s="402"/>
      <c r="J532" s="402"/>
      <c r="K532" s="402"/>
      <c r="L532" s="402"/>
      <c r="M532" s="402"/>
      <c r="N532" s="402"/>
      <c r="O532" s="402"/>
      <c r="P532" s="402"/>
      <c r="Q532" s="402"/>
      <c r="R532" s="402"/>
      <c r="S532" s="402"/>
      <c r="T532" s="402"/>
      <c r="U532" s="402"/>
      <c r="V532" s="402"/>
      <c r="W532" s="402"/>
      <c r="X532" s="402"/>
      <c r="Y532" s="402"/>
      <c r="Z532" s="402"/>
    </row>
    <row r="533" ht="14.25" customHeight="1">
      <c r="A533" s="406"/>
      <c r="B533" s="402"/>
      <c r="C533" s="402"/>
      <c r="D533" s="402"/>
      <c r="E533" s="402"/>
      <c r="F533" s="587"/>
      <c r="G533" s="403"/>
      <c r="H533" s="402"/>
      <c r="I533" s="402"/>
      <c r="J533" s="402"/>
      <c r="K533" s="402"/>
      <c r="L533" s="402"/>
      <c r="M533" s="402"/>
      <c r="N533" s="402"/>
      <c r="O533" s="402"/>
      <c r="P533" s="402"/>
      <c r="Q533" s="402"/>
      <c r="R533" s="402"/>
      <c r="S533" s="402"/>
      <c r="T533" s="402"/>
      <c r="U533" s="402"/>
      <c r="V533" s="402"/>
      <c r="W533" s="402"/>
      <c r="X533" s="402"/>
      <c r="Y533" s="402"/>
      <c r="Z533" s="402"/>
    </row>
    <row r="534" ht="14.25" customHeight="1">
      <c r="A534" s="406">
        <v>45525.0</v>
      </c>
      <c r="B534" s="512" t="s">
        <v>2365</v>
      </c>
      <c r="C534" s="512" t="s">
        <v>2366</v>
      </c>
      <c r="D534" s="595" t="s">
        <v>54</v>
      </c>
      <c r="E534" s="349" t="s">
        <v>2133</v>
      </c>
      <c r="F534" s="643">
        <v>12183.0</v>
      </c>
      <c r="G534" s="413">
        <v>0.0</v>
      </c>
      <c r="H534" s="349" t="s">
        <v>2382</v>
      </c>
      <c r="I534" s="402"/>
      <c r="J534" s="402"/>
      <c r="K534" s="402"/>
      <c r="L534" s="402"/>
      <c r="M534" s="402"/>
      <c r="N534" s="402"/>
      <c r="O534" s="402"/>
      <c r="P534" s="402"/>
      <c r="Q534" s="402"/>
      <c r="R534" s="402"/>
      <c r="S534" s="402"/>
      <c r="T534" s="402"/>
      <c r="U534" s="402"/>
      <c r="V534" s="402"/>
      <c r="W534" s="402"/>
      <c r="X534" s="402"/>
      <c r="Y534" s="402"/>
      <c r="Z534" s="402"/>
    </row>
    <row r="535" ht="14.25" customHeight="1">
      <c r="A535" s="406">
        <v>45525.0</v>
      </c>
      <c r="B535" s="513" t="s">
        <v>2368</v>
      </c>
      <c r="C535" s="513" t="s">
        <v>2366</v>
      </c>
      <c r="D535" s="597" t="s">
        <v>346</v>
      </c>
      <c r="E535" s="349" t="s">
        <v>2133</v>
      </c>
      <c r="F535" s="644">
        <v>13250.0</v>
      </c>
      <c r="G535" s="413">
        <v>0.0</v>
      </c>
      <c r="H535" s="349" t="s">
        <v>2382</v>
      </c>
      <c r="I535" s="402"/>
      <c r="J535" s="402"/>
      <c r="K535" s="402"/>
      <c r="L535" s="402"/>
      <c r="M535" s="402"/>
      <c r="N535" s="402"/>
      <c r="O535" s="402"/>
      <c r="P535" s="402"/>
      <c r="Q535" s="402"/>
      <c r="R535" s="402"/>
      <c r="S535" s="402"/>
      <c r="T535" s="402"/>
      <c r="U535" s="402"/>
      <c r="V535" s="402"/>
      <c r="W535" s="402"/>
      <c r="X535" s="402"/>
      <c r="Y535" s="402"/>
      <c r="Z535" s="402"/>
    </row>
    <row r="536" ht="14.25" customHeight="1">
      <c r="A536" s="406">
        <v>45525.0</v>
      </c>
      <c r="B536" s="512" t="s">
        <v>2332</v>
      </c>
      <c r="C536" s="512" t="s">
        <v>2197</v>
      </c>
      <c r="D536" s="635" t="s">
        <v>54</v>
      </c>
      <c r="E536" s="349" t="s">
        <v>2133</v>
      </c>
      <c r="F536" s="636">
        <v>217317.0</v>
      </c>
      <c r="G536" s="413">
        <v>0.0</v>
      </c>
      <c r="H536" s="349" t="s">
        <v>2383</v>
      </c>
      <c r="I536" s="402"/>
      <c r="J536" s="402"/>
      <c r="K536" s="402"/>
      <c r="L536" s="402"/>
      <c r="M536" s="402"/>
      <c r="N536" s="402"/>
      <c r="O536" s="402"/>
      <c r="P536" s="402"/>
      <c r="Q536" s="402"/>
      <c r="R536" s="402"/>
      <c r="S536" s="402"/>
      <c r="T536" s="402"/>
      <c r="U536" s="402"/>
      <c r="V536" s="402"/>
      <c r="W536" s="402"/>
      <c r="X536" s="402"/>
      <c r="Y536" s="402"/>
      <c r="Z536" s="402"/>
    </row>
    <row r="537" ht="14.25" customHeight="1">
      <c r="A537" s="406">
        <v>45525.0</v>
      </c>
      <c r="B537" s="512" t="s">
        <v>2343</v>
      </c>
      <c r="C537" s="512" t="s">
        <v>2344</v>
      </c>
      <c r="D537" s="635" t="s">
        <v>54</v>
      </c>
      <c r="E537" s="349" t="s">
        <v>2133</v>
      </c>
      <c r="F537" s="636">
        <v>20425.0</v>
      </c>
      <c r="G537" s="413">
        <v>0.0</v>
      </c>
      <c r="H537" s="419" t="s">
        <v>2386</v>
      </c>
      <c r="I537" s="402"/>
      <c r="J537" s="402"/>
      <c r="K537" s="402"/>
      <c r="L537" s="402"/>
      <c r="M537" s="402"/>
      <c r="N537" s="402"/>
      <c r="O537" s="402"/>
      <c r="P537" s="402"/>
      <c r="Q537" s="402"/>
      <c r="R537" s="402"/>
      <c r="S537" s="402"/>
      <c r="T537" s="402"/>
      <c r="U537" s="402"/>
      <c r="V537" s="402"/>
      <c r="W537" s="402"/>
      <c r="X537" s="402"/>
      <c r="Y537" s="402"/>
      <c r="Z537" s="402"/>
    </row>
    <row r="538" ht="14.25" customHeight="1">
      <c r="A538" s="406">
        <v>45525.0</v>
      </c>
      <c r="B538" s="594" t="s">
        <v>2294</v>
      </c>
      <c r="C538" s="594" t="s">
        <v>2153</v>
      </c>
      <c r="D538" s="645" t="s">
        <v>75</v>
      </c>
      <c r="E538" s="349" t="s">
        <v>2133</v>
      </c>
      <c r="F538" s="636">
        <v>97750.0</v>
      </c>
      <c r="G538" s="413">
        <v>0.0</v>
      </c>
      <c r="H538" s="419" t="s">
        <v>2387</v>
      </c>
      <c r="I538" s="402"/>
      <c r="J538" s="402"/>
      <c r="K538" s="402"/>
      <c r="L538" s="402"/>
      <c r="M538" s="402"/>
      <c r="N538" s="402"/>
      <c r="O538" s="402"/>
      <c r="P538" s="402"/>
      <c r="Q538" s="402"/>
      <c r="R538" s="402"/>
      <c r="S538" s="402"/>
      <c r="T538" s="402"/>
      <c r="U538" s="402"/>
      <c r="V538" s="402"/>
      <c r="W538" s="402"/>
      <c r="X538" s="402"/>
      <c r="Y538" s="402"/>
      <c r="Z538" s="402"/>
    </row>
    <row r="539" ht="14.25" customHeight="1">
      <c r="A539" s="406">
        <v>45525.0</v>
      </c>
      <c r="B539" s="607" t="s">
        <v>2149</v>
      </c>
      <c r="C539" s="607" t="s">
        <v>2206</v>
      </c>
      <c r="D539" s="349" t="s">
        <v>54</v>
      </c>
      <c r="E539" s="349" t="s">
        <v>2133</v>
      </c>
      <c r="F539" s="559">
        <v>5000.0</v>
      </c>
      <c r="G539" s="413">
        <v>0.0</v>
      </c>
      <c r="H539" s="417" t="s">
        <v>2296</v>
      </c>
      <c r="I539" s="402"/>
      <c r="J539" s="402"/>
      <c r="K539" s="402"/>
      <c r="L539" s="402"/>
      <c r="M539" s="402"/>
      <c r="N539" s="402"/>
      <c r="O539" s="402"/>
      <c r="P539" s="402"/>
      <c r="Q539" s="402"/>
      <c r="R539" s="402"/>
      <c r="S539" s="402"/>
      <c r="T539" s="402"/>
      <c r="U539" s="402"/>
      <c r="V539" s="402"/>
      <c r="W539" s="402"/>
      <c r="X539" s="402"/>
      <c r="Y539" s="402"/>
      <c r="Z539" s="402"/>
    </row>
    <row r="540" ht="14.25" customHeight="1">
      <c r="A540" s="406">
        <v>45525.0</v>
      </c>
      <c r="B540" s="419" t="s">
        <v>2208</v>
      </c>
      <c r="C540" s="408" t="s">
        <v>2132</v>
      </c>
      <c r="D540" s="408" t="s">
        <v>439</v>
      </c>
      <c r="E540" s="408" t="s">
        <v>2133</v>
      </c>
      <c r="F540" s="445">
        <v>4000.0</v>
      </c>
      <c r="G540" s="413">
        <v>0.0</v>
      </c>
      <c r="H540" s="419" t="s">
        <v>2388</v>
      </c>
      <c r="I540" s="402"/>
      <c r="J540" s="402"/>
      <c r="K540" s="402"/>
      <c r="L540" s="402"/>
      <c r="M540" s="402"/>
      <c r="N540" s="402"/>
      <c r="O540" s="402"/>
      <c r="P540" s="402"/>
      <c r="Q540" s="402"/>
      <c r="R540" s="402"/>
      <c r="S540" s="402"/>
      <c r="T540" s="402"/>
      <c r="U540" s="402"/>
      <c r="V540" s="402"/>
      <c r="W540" s="402"/>
      <c r="X540" s="402"/>
      <c r="Y540" s="402"/>
      <c r="Z540" s="402"/>
    </row>
    <row r="541" ht="14.25" customHeight="1">
      <c r="A541" s="406">
        <v>45525.0</v>
      </c>
      <c r="B541" s="349" t="s">
        <v>2143</v>
      </c>
      <c r="C541" s="349" t="s">
        <v>2144</v>
      </c>
      <c r="D541" s="349" t="s">
        <v>54</v>
      </c>
      <c r="E541" s="349" t="s">
        <v>2133</v>
      </c>
      <c r="F541" s="559">
        <v>6000.0</v>
      </c>
      <c r="G541" s="413">
        <v>0.0</v>
      </c>
      <c r="H541" s="419" t="s">
        <v>2389</v>
      </c>
      <c r="I541" s="402"/>
      <c r="J541" s="402"/>
      <c r="K541" s="402"/>
      <c r="L541" s="402"/>
      <c r="M541" s="402"/>
      <c r="N541" s="402"/>
      <c r="O541" s="402"/>
      <c r="P541" s="402"/>
      <c r="Q541" s="402"/>
      <c r="R541" s="402"/>
      <c r="S541" s="402"/>
      <c r="T541" s="402"/>
      <c r="U541" s="402"/>
      <c r="V541" s="402"/>
      <c r="W541" s="402"/>
      <c r="X541" s="402"/>
      <c r="Y541" s="402"/>
      <c r="Z541" s="402"/>
    </row>
    <row r="542" ht="14.25" customHeight="1">
      <c r="A542" s="406">
        <v>45525.0</v>
      </c>
      <c r="B542" s="605" t="s">
        <v>2221</v>
      </c>
      <c r="C542" s="606" t="s">
        <v>2222</v>
      </c>
      <c r="D542" s="349" t="s">
        <v>54</v>
      </c>
      <c r="E542" s="349" t="s">
        <v>2133</v>
      </c>
      <c r="F542" s="611">
        <v>32250.0</v>
      </c>
      <c r="G542" s="413">
        <v>0.0</v>
      </c>
      <c r="H542" s="419" t="s">
        <v>2200</v>
      </c>
      <c r="I542" s="402"/>
      <c r="J542" s="402"/>
      <c r="K542" s="402"/>
      <c r="L542" s="402"/>
      <c r="M542" s="402"/>
      <c r="N542" s="402"/>
      <c r="O542" s="402"/>
      <c r="P542" s="402"/>
      <c r="Q542" s="402"/>
      <c r="R542" s="402"/>
      <c r="S542" s="402"/>
      <c r="T542" s="402"/>
      <c r="U542" s="402"/>
      <c r="V542" s="402"/>
      <c r="W542" s="402"/>
      <c r="X542" s="402"/>
      <c r="Y542" s="402"/>
      <c r="Z542" s="402"/>
    </row>
    <row r="543" ht="14.25" customHeight="1">
      <c r="A543" s="406">
        <v>45525.0</v>
      </c>
      <c r="B543" s="605" t="s">
        <v>2231</v>
      </c>
      <c r="C543" s="619" t="s">
        <v>2232</v>
      </c>
      <c r="D543" s="349" t="s">
        <v>54</v>
      </c>
      <c r="E543" s="349" t="s">
        <v>2133</v>
      </c>
      <c r="F543" s="620">
        <v>2778.0</v>
      </c>
      <c r="G543" s="413">
        <v>0.0</v>
      </c>
      <c r="H543" s="414" t="s">
        <v>2200</v>
      </c>
      <c r="I543" s="402"/>
      <c r="J543" s="402"/>
      <c r="K543" s="402"/>
      <c r="L543" s="402"/>
      <c r="M543" s="402"/>
      <c r="N543" s="402"/>
      <c r="O543" s="402"/>
      <c r="P543" s="402"/>
      <c r="Q543" s="402"/>
      <c r="R543" s="402"/>
      <c r="S543" s="402"/>
      <c r="T543" s="402"/>
      <c r="U543" s="402"/>
      <c r="V543" s="402"/>
      <c r="W543" s="402"/>
      <c r="X543" s="402"/>
      <c r="Y543" s="402"/>
      <c r="Z543" s="402"/>
    </row>
    <row r="544" ht="14.25" customHeight="1">
      <c r="A544" s="406">
        <v>45525.0</v>
      </c>
      <c r="B544" s="640" t="s">
        <v>2196</v>
      </c>
      <c r="C544" s="629" t="s">
        <v>2246</v>
      </c>
      <c r="D544" s="349" t="s">
        <v>54</v>
      </c>
      <c r="E544" s="349" t="s">
        <v>2133</v>
      </c>
      <c r="F544" s="622">
        <v>126855.0</v>
      </c>
      <c r="G544" s="413">
        <v>0.0</v>
      </c>
      <c r="H544" s="419" t="s">
        <v>2376</v>
      </c>
      <c r="I544" s="402"/>
      <c r="J544" s="402"/>
      <c r="K544" s="402"/>
      <c r="L544" s="402"/>
      <c r="M544" s="402"/>
      <c r="N544" s="402"/>
      <c r="O544" s="402"/>
      <c r="P544" s="402"/>
      <c r="Q544" s="402"/>
      <c r="R544" s="402"/>
      <c r="S544" s="402"/>
      <c r="T544" s="402"/>
      <c r="U544" s="402"/>
      <c r="V544" s="402"/>
      <c r="W544" s="402"/>
      <c r="X544" s="402"/>
      <c r="Y544" s="402"/>
      <c r="Z544" s="402"/>
    </row>
    <row r="545" ht="14.25" customHeight="1">
      <c r="A545" s="406">
        <v>45525.0</v>
      </c>
      <c r="B545" s="642" t="s">
        <v>2235</v>
      </c>
      <c r="C545" s="623" t="s">
        <v>2236</v>
      </c>
      <c r="D545" s="630" t="s">
        <v>75</v>
      </c>
      <c r="E545" s="349" t="s">
        <v>2133</v>
      </c>
      <c r="F545" s="622">
        <v>14500.0</v>
      </c>
      <c r="G545" s="413">
        <v>0.0</v>
      </c>
      <c r="H545" s="417" t="s">
        <v>2347</v>
      </c>
      <c r="I545" s="402"/>
      <c r="J545" s="402"/>
      <c r="K545" s="402"/>
      <c r="L545" s="402"/>
      <c r="M545" s="402"/>
      <c r="N545" s="402"/>
      <c r="O545" s="402"/>
      <c r="P545" s="402"/>
      <c r="Q545" s="402"/>
      <c r="R545" s="402"/>
      <c r="S545" s="402"/>
      <c r="T545" s="402"/>
      <c r="U545" s="402"/>
      <c r="V545" s="402"/>
      <c r="W545" s="402"/>
      <c r="X545" s="402"/>
      <c r="Y545" s="402"/>
      <c r="Z545" s="402"/>
    </row>
    <row r="546" ht="14.25" customHeight="1">
      <c r="A546" s="406">
        <v>45526.0</v>
      </c>
      <c r="B546" s="594" t="s">
        <v>2275</v>
      </c>
      <c r="C546" s="512" t="s">
        <v>2276</v>
      </c>
      <c r="D546" s="635" t="s">
        <v>54</v>
      </c>
      <c r="E546" s="349" t="s">
        <v>2133</v>
      </c>
      <c r="F546" s="636">
        <v>40363.26</v>
      </c>
      <c r="G546" s="413">
        <v>0.0</v>
      </c>
      <c r="H546" s="417" t="s">
        <v>2325</v>
      </c>
      <c r="I546" s="402"/>
      <c r="J546" s="402"/>
      <c r="K546" s="402"/>
      <c r="L546" s="402"/>
      <c r="M546" s="402"/>
      <c r="N546" s="402"/>
      <c r="O546" s="402"/>
      <c r="P546" s="402"/>
      <c r="Q546" s="402"/>
      <c r="R546" s="402"/>
      <c r="S546" s="402"/>
      <c r="T546" s="402"/>
      <c r="U546" s="402"/>
      <c r="V546" s="402"/>
      <c r="W546" s="402"/>
      <c r="X546" s="402"/>
      <c r="Y546" s="402"/>
      <c r="Z546" s="402"/>
    </row>
    <row r="547" ht="14.25" customHeight="1">
      <c r="A547" s="406">
        <v>45527.0</v>
      </c>
      <c r="B547" s="653" t="s">
        <v>2301</v>
      </c>
      <c r="C547" s="653" t="s">
        <v>2302</v>
      </c>
      <c r="D547" s="654" t="s">
        <v>54</v>
      </c>
      <c r="E547" s="407" t="s">
        <v>2133</v>
      </c>
      <c r="F547" s="638">
        <v>2000.0</v>
      </c>
      <c r="G547" s="413">
        <v>2000.0</v>
      </c>
      <c r="H547" s="419" t="s">
        <v>401</v>
      </c>
      <c r="I547" s="402"/>
      <c r="J547" s="402"/>
      <c r="K547" s="402"/>
      <c r="L547" s="402"/>
      <c r="M547" s="402"/>
      <c r="N547" s="402"/>
      <c r="O547" s="402"/>
      <c r="P547" s="402"/>
      <c r="Q547" s="402"/>
      <c r="R547" s="402"/>
      <c r="S547" s="402"/>
      <c r="T547" s="402"/>
      <c r="U547" s="402"/>
      <c r="V547" s="402"/>
      <c r="W547" s="402"/>
      <c r="X547" s="402"/>
      <c r="Y547" s="402"/>
      <c r="Z547" s="402"/>
    </row>
    <row r="548" ht="14.25" customHeight="1">
      <c r="A548" s="406">
        <v>45525.0</v>
      </c>
      <c r="B548" s="596" t="s">
        <v>2278</v>
      </c>
      <c r="C548" s="513" t="s">
        <v>2279</v>
      </c>
      <c r="D548" s="637" t="s">
        <v>54</v>
      </c>
      <c r="E548" s="349" t="s">
        <v>2133</v>
      </c>
      <c r="F548" s="638">
        <v>107213.0</v>
      </c>
      <c r="G548" s="413">
        <v>0.0</v>
      </c>
      <c r="H548" s="417" t="s">
        <v>2348</v>
      </c>
      <c r="I548" s="402"/>
      <c r="J548" s="402"/>
      <c r="K548" s="402"/>
      <c r="L548" s="402"/>
      <c r="M548" s="402"/>
      <c r="N548" s="402"/>
      <c r="O548" s="402"/>
      <c r="P548" s="402"/>
      <c r="Q548" s="402"/>
      <c r="R548" s="402"/>
      <c r="S548" s="402"/>
      <c r="T548" s="402"/>
      <c r="U548" s="402"/>
      <c r="V548" s="402"/>
      <c r="W548" s="402"/>
      <c r="X548" s="402"/>
      <c r="Y548" s="402"/>
      <c r="Z548" s="402"/>
    </row>
    <row r="549" ht="14.25" customHeight="1">
      <c r="A549" s="406">
        <v>45525.0</v>
      </c>
      <c r="B549" s="512" t="s">
        <v>2288</v>
      </c>
      <c r="C549" s="512" t="s">
        <v>2203</v>
      </c>
      <c r="D549" s="635" t="s">
        <v>54</v>
      </c>
      <c r="E549" s="349" t="s">
        <v>2133</v>
      </c>
      <c r="F549" s="638">
        <v>12829.0</v>
      </c>
      <c r="G549" s="413">
        <v>0.0</v>
      </c>
      <c r="H549" s="417" t="s">
        <v>2349</v>
      </c>
      <c r="I549" s="402"/>
      <c r="J549" s="402"/>
      <c r="K549" s="402"/>
      <c r="L549" s="402"/>
      <c r="M549" s="402"/>
      <c r="N549" s="402"/>
      <c r="O549" s="402"/>
      <c r="P549" s="402"/>
      <c r="Q549" s="402"/>
      <c r="R549" s="402"/>
      <c r="S549" s="402"/>
      <c r="T549" s="402"/>
      <c r="U549" s="402"/>
      <c r="V549" s="402"/>
      <c r="W549" s="402"/>
      <c r="X549" s="402"/>
      <c r="Y549" s="402"/>
      <c r="Z549" s="402"/>
    </row>
    <row r="550" ht="14.25" customHeight="1">
      <c r="A550" s="406">
        <v>45525.0</v>
      </c>
      <c r="B550" s="513" t="s">
        <v>2318</v>
      </c>
      <c r="C550" s="513" t="s">
        <v>2338</v>
      </c>
      <c r="D550" s="635" t="s">
        <v>54</v>
      </c>
      <c r="E550" s="349" t="s">
        <v>2133</v>
      </c>
      <c r="F550" s="638">
        <v>29382.0</v>
      </c>
      <c r="G550" s="413">
        <v>0.0</v>
      </c>
      <c r="H550" s="349" t="s">
        <v>2325</v>
      </c>
      <c r="I550" s="402"/>
      <c r="J550" s="402"/>
      <c r="K550" s="402"/>
      <c r="L550" s="402"/>
      <c r="M550" s="402"/>
      <c r="N550" s="402"/>
      <c r="O550" s="402"/>
      <c r="P550" s="402"/>
      <c r="Q550" s="402"/>
      <c r="R550" s="402"/>
      <c r="S550" s="402"/>
      <c r="T550" s="402"/>
      <c r="U550" s="402"/>
      <c r="V550" s="402"/>
      <c r="W550" s="402"/>
      <c r="X550" s="402"/>
      <c r="Y550" s="402"/>
      <c r="Z550" s="402"/>
    </row>
    <row r="551" ht="14.25" customHeight="1">
      <c r="A551" s="406">
        <v>45525.0</v>
      </c>
      <c r="B551" s="512" t="s">
        <v>2134</v>
      </c>
      <c r="C551" s="512" t="s">
        <v>2135</v>
      </c>
      <c r="D551" s="635" t="s">
        <v>54</v>
      </c>
      <c r="E551" s="349" t="s">
        <v>2133</v>
      </c>
      <c r="F551" s="636">
        <v>21472.29</v>
      </c>
      <c r="G551" s="413">
        <v>35459.0</v>
      </c>
      <c r="H551" s="419" t="s">
        <v>401</v>
      </c>
      <c r="I551" s="402"/>
      <c r="J551" s="402"/>
      <c r="K551" s="402"/>
      <c r="L551" s="402"/>
      <c r="M551" s="402"/>
      <c r="N551" s="402"/>
      <c r="O551" s="402"/>
      <c r="P551" s="402"/>
      <c r="Q551" s="402"/>
      <c r="R551" s="402"/>
      <c r="S551" s="402"/>
      <c r="T551" s="402"/>
      <c r="U551" s="402"/>
      <c r="V551" s="402"/>
      <c r="W551" s="402"/>
      <c r="X551" s="402"/>
      <c r="Y551" s="402"/>
      <c r="Z551" s="402"/>
    </row>
    <row r="552" ht="14.25" customHeight="1">
      <c r="A552" s="406">
        <v>45525.0</v>
      </c>
      <c r="B552" s="634" t="s">
        <v>2140</v>
      </c>
      <c r="C552" s="634" t="s">
        <v>2340</v>
      </c>
      <c r="D552" s="635" t="s">
        <v>54</v>
      </c>
      <c r="E552" s="349" t="s">
        <v>2133</v>
      </c>
      <c r="F552" s="647">
        <v>69538.0</v>
      </c>
      <c r="G552" s="413">
        <v>0.0</v>
      </c>
      <c r="H552" s="419" t="s">
        <v>2390</v>
      </c>
      <c r="I552" s="402"/>
      <c r="J552" s="402"/>
      <c r="K552" s="402"/>
      <c r="L552" s="402"/>
      <c r="M552" s="402"/>
      <c r="N552" s="402"/>
      <c r="O552" s="402"/>
      <c r="P552" s="402"/>
      <c r="Q552" s="402"/>
      <c r="R552" s="402"/>
      <c r="S552" s="402"/>
      <c r="T552" s="402"/>
      <c r="U552" s="402"/>
      <c r="V552" s="402"/>
      <c r="W552" s="402"/>
      <c r="X552" s="402"/>
      <c r="Y552" s="402"/>
      <c r="Z552" s="402"/>
    </row>
    <row r="553" ht="14.25" customHeight="1">
      <c r="A553" s="406">
        <v>45525.0</v>
      </c>
      <c r="B553" s="512" t="s">
        <v>2137</v>
      </c>
      <c r="C553" s="512" t="s">
        <v>2138</v>
      </c>
      <c r="D553" s="635" t="s">
        <v>75</v>
      </c>
      <c r="E553" s="349" t="s">
        <v>2133</v>
      </c>
      <c r="F553" s="643">
        <v>100000.0</v>
      </c>
      <c r="G553" s="413">
        <v>0.0</v>
      </c>
      <c r="H553" s="419" t="s">
        <v>2391</v>
      </c>
      <c r="I553" s="402"/>
      <c r="J553" s="402"/>
      <c r="K553" s="402"/>
      <c r="L553" s="402"/>
      <c r="M553" s="402"/>
      <c r="N553" s="402"/>
      <c r="O553" s="402"/>
      <c r="P553" s="402"/>
      <c r="Q553" s="402"/>
      <c r="R553" s="402"/>
      <c r="S553" s="402"/>
      <c r="T553" s="402"/>
      <c r="U553" s="402"/>
      <c r="V553" s="402"/>
      <c r="W553" s="402"/>
      <c r="X553" s="402"/>
      <c r="Y553" s="402"/>
      <c r="Z553" s="402"/>
    </row>
    <row r="554" ht="14.25" customHeight="1">
      <c r="A554" s="406">
        <v>45525.0</v>
      </c>
      <c r="B554" s="634" t="s">
        <v>2155</v>
      </c>
      <c r="C554" s="634" t="s">
        <v>2392</v>
      </c>
      <c r="D554" s="595" t="s">
        <v>54</v>
      </c>
      <c r="E554" s="349" t="s">
        <v>2133</v>
      </c>
      <c r="F554" s="559">
        <v>28497.0</v>
      </c>
      <c r="G554" s="413">
        <v>0.0</v>
      </c>
      <c r="H554" s="65" t="s">
        <v>2393</v>
      </c>
      <c r="I554" s="402"/>
      <c r="J554" s="402"/>
      <c r="K554" s="402"/>
      <c r="L554" s="402"/>
      <c r="M554" s="402"/>
      <c r="N554" s="402"/>
      <c r="O554" s="402"/>
      <c r="P554" s="402"/>
      <c r="Q554" s="402"/>
      <c r="R554" s="402"/>
      <c r="S554" s="402"/>
      <c r="T554" s="402"/>
      <c r="U554" s="402"/>
      <c r="V554" s="402"/>
      <c r="W554" s="402"/>
      <c r="X554" s="402"/>
      <c r="Y554" s="402"/>
      <c r="Z554" s="402"/>
    </row>
    <row r="555" ht="14.25" customHeight="1">
      <c r="A555" s="406">
        <v>45525.0</v>
      </c>
      <c r="B555" s="349" t="s">
        <v>2163</v>
      </c>
      <c r="C555" s="349" t="s">
        <v>2164</v>
      </c>
      <c r="D555" s="413" t="s">
        <v>59</v>
      </c>
      <c r="E555" s="349" t="s">
        <v>273</v>
      </c>
      <c r="F555" s="559">
        <v>100000.0</v>
      </c>
      <c r="G555" s="413">
        <v>0.0</v>
      </c>
      <c r="H555" s="419" t="s">
        <v>2380</v>
      </c>
      <c r="I555" s="402"/>
      <c r="J555" s="402"/>
      <c r="K555" s="402"/>
      <c r="L555" s="402"/>
      <c r="M555" s="402"/>
      <c r="N555" s="402"/>
      <c r="O555" s="402"/>
      <c r="P555" s="402"/>
      <c r="Q555" s="402"/>
      <c r="R555" s="402"/>
      <c r="S555" s="402"/>
      <c r="T555" s="402"/>
      <c r="U555" s="402"/>
      <c r="V555" s="402"/>
      <c r="W555" s="402"/>
      <c r="X555" s="402"/>
      <c r="Y555" s="402"/>
      <c r="Z555" s="402"/>
    </row>
    <row r="556" ht="14.25" customHeight="1">
      <c r="A556" s="406">
        <v>45525.0</v>
      </c>
      <c r="B556" s="605" t="s">
        <v>2360</v>
      </c>
      <c r="C556" s="634" t="s">
        <v>2361</v>
      </c>
      <c r="D556" s="634" t="s">
        <v>54</v>
      </c>
      <c r="E556" s="349" t="s">
        <v>2133</v>
      </c>
      <c r="F556" s="649">
        <v>10000.0</v>
      </c>
      <c r="G556" s="413">
        <v>0.0</v>
      </c>
      <c r="H556" s="349" t="s">
        <v>2394</v>
      </c>
      <c r="I556" s="402"/>
      <c r="J556" s="402"/>
      <c r="K556" s="402"/>
      <c r="L556" s="402"/>
      <c r="M556" s="402"/>
      <c r="N556" s="402"/>
      <c r="O556" s="402"/>
      <c r="P556" s="402"/>
      <c r="Q556" s="402"/>
      <c r="R556" s="402"/>
      <c r="S556" s="402"/>
      <c r="T556" s="402"/>
      <c r="U556" s="402"/>
      <c r="V556" s="402"/>
      <c r="W556" s="402"/>
      <c r="X556" s="402"/>
      <c r="Y556" s="402"/>
      <c r="Z556" s="402"/>
    </row>
    <row r="557" ht="14.25" customHeight="1">
      <c r="A557" s="406">
        <v>45525.0</v>
      </c>
      <c r="B557" s="623" t="s">
        <v>2152</v>
      </c>
      <c r="C557" s="623" t="s">
        <v>2153</v>
      </c>
      <c r="D557" s="624" t="s">
        <v>54</v>
      </c>
      <c r="E557" s="349" t="s">
        <v>2133</v>
      </c>
      <c r="F557" s="651">
        <v>63975.15</v>
      </c>
      <c r="G557" s="413">
        <v>0.0</v>
      </c>
      <c r="H557" s="419" t="s">
        <v>2387</v>
      </c>
      <c r="I557" s="402"/>
      <c r="J557" s="402"/>
      <c r="K557" s="402"/>
      <c r="L557" s="402"/>
      <c r="M557" s="402"/>
      <c r="N557" s="402"/>
      <c r="O557" s="402"/>
      <c r="P557" s="402"/>
      <c r="Q557" s="402"/>
      <c r="R557" s="402"/>
      <c r="S557" s="402"/>
      <c r="T557" s="402"/>
      <c r="U557" s="402"/>
      <c r="V557" s="402"/>
      <c r="W557" s="402"/>
      <c r="X557" s="402"/>
      <c r="Y557" s="402"/>
      <c r="Z557" s="402"/>
    </row>
    <row r="558" ht="14.25" customHeight="1">
      <c r="A558" s="406"/>
      <c r="B558" s="2"/>
      <c r="C558" s="2"/>
      <c r="D558" s="2"/>
      <c r="E558" s="2"/>
      <c r="F558" s="2"/>
      <c r="G558" s="403"/>
      <c r="H558" s="402"/>
      <c r="I558" s="402"/>
      <c r="J558" s="402"/>
      <c r="K558" s="402"/>
      <c r="L558" s="402"/>
      <c r="M558" s="402"/>
      <c r="N558" s="402"/>
      <c r="O558" s="402"/>
      <c r="P558" s="402"/>
      <c r="Q558" s="402"/>
      <c r="R558" s="402"/>
      <c r="S558" s="402"/>
      <c r="T558" s="402"/>
      <c r="U558" s="402"/>
      <c r="V558" s="402"/>
      <c r="W558" s="402"/>
      <c r="X558" s="402"/>
      <c r="Y558" s="402"/>
      <c r="Z558" s="402"/>
    </row>
    <row r="559" ht="14.25" customHeight="1">
      <c r="A559" s="406"/>
      <c r="B559" s="2"/>
      <c r="C559" s="2"/>
      <c r="D559" s="2"/>
      <c r="E559" s="2"/>
      <c r="F559" s="2"/>
      <c r="G559" s="403"/>
      <c r="H559" s="402"/>
      <c r="I559" s="402"/>
      <c r="J559" s="402"/>
      <c r="K559" s="402"/>
      <c r="L559" s="402"/>
      <c r="M559" s="402"/>
      <c r="N559" s="402"/>
      <c r="O559" s="402"/>
      <c r="P559" s="402"/>
      <c r="Q559" s="402"/>
      <c r="R559" s="402"/>
      <c r="S559" s="402"/>
      <c r="T559" s="402"/>
      <c r="U559" s="402"/>
      <c r="V559" s="402"/>
      <c r="W559" s="402"/>
      <c r="X559" s="402"/>
      <c r="Y559" s="402"/>
      <c r="Z559" s="402"/>
    </row>
    <row r="560" ht="14.25" customHeight="1">
      <c r="A560" s="406"/>
      <c r="B560" s="402"/>
      <c r="C560" s="402"/>
      <c r="D560" s="402"/>
      <c r="E560" s="402"/>
      <c r="F560" s="587"/>
      <c r="G560" s="403"/>
      <c r="H560" s="402"/>
      <c r="I560" s="402"/>
      <c r="J560" s="402"/>
      <c r="K560" s="402"/>
      <c r="L560" s="402"/>
      <c r="M560" s="402"/>
      <c r="N560" s="402"/>
      <c r="O560" s="402"/>
      <c r="P560" s="402"/>
      <c r="Q560" s="402"/>
      <c r="R560" s="402"/>
      <c r="S560" s="402"/>
      <c r="T560" s="402"/>
      <c r="U560" s="402"/>
      <c r="V560" s="402"/>
      <c r="W560" s="402"/>
      <c r="X560" s="402"/>
      <c r="Y560" s="402"/>
      <c r="Z560" s="402"/>
    </row>
    <row r="561" ht="14.25" customHeight="1">
      <c r="A561" s="406">
        <v>45526.0</v>
      </c>
      <c r="B561" s="512" t="s">
        <v>2365</v>
      </c>
      <c r="C561" s="512" t="s">
        <v>2366</v>
      </c>
      <c r="D561" s="595" t="s">
        <v>54</v>
      </c>
      <c r="E561" s="349" t="s">
        <v>2133</v>
      </c>
      <c r="F561" s="643">
        <v>12183.0</v>
      </c>
      <c r="G561" s="413">
        <v>0.0</v>
      </c>
      <c r="H561" s="349" t="s">
        <v>2395</v>
      </c>
      <c r="I561" s="402"/>
      <c r="J561" s="402"/>
      <c r="K561" s="402"/>
      <c r="L561" s="402"/>
      <c r="M561" s="402"/>
      <c r="N561" s="402"/>
      <c r="O561" s="402"/>
      <c r="P561" s="402"/>
      <c r="Q561" s="402"/>
      <c r="R561" s="402"/>
      <c r="S561" s="402"/>
      <c r="T561" s="402"/>
      <c r="U561" s="402"/>
      <c r="V561" s="402"/>
      <c r="W561" s="402"/>
      <c r="X561" s="402"/>
      <c r="Y561" s="402"/>
      <c r="Z561" s="402"/>
    </row>
    <row r="562" ht="14.25" customHeight="1">
      <c r="A562" s="406">
        <v>45526.0</v>
      </c>
      <c r="B562" s="513" t="s">
        <v>2368</v>
      </c>
      <c r="C562" s="513" t="s">
        <v>2366</v>
      </c>
      <c r="D562" s="597" t="s">
        <v>346</v>
      </c>
      <c r="E562" s="349" t="s">
        <v>2133</v>
      </c>
      <c r="F562" s="644">
        <v>13250.0</v>
      </c>
      <c r="G562" s="413">
        <v>0.0</v>
      </c>
      <c r="H562" s="349" t="s">
        <v>2395</v>
      </c>
      <c r="I562" s="402"/>
      <c r="J562" s="402"/>
      <c r="K562" s="402"/>
      <c r="L562" s="402"/>
      <c r="M562" s="402"/>
      <c r="N562" s="402"/>
      <c r="O562" s="402"/>
      <c r="P562" s="402"/>
      <c r="Q562" s="402"/>
      <c r="R562" s="402"/>
      <c r="S562" s="402"/>
      <c r="T562" s="402"/>
      <c r="U562" s="402"/>
      <c r="V562" s="402"/>
      <c r="W562" s="402"/>
      <c r="X562" s="402"/>
      <c r="Y562" s="402"/>
      <c r="Z562" s="402"/>
    </row>
    <row r="563" ht="14.25" customHeight="1">
      <c r="A563" s="406">
        <v>45526.0</v>
      </c>
      <c r="B563" s="512" t="s">
        <v>2332</v>
      </c>
      <c r="C563" s="512" t="s">
        <v>2197</v>
      </c>
      <c r="D563" s="635" t="s">
        <v>54</v>
      </c>
      <c r="E563" s="349" t="s">
        <v>2133</v>
      </c>
      <c r="F563" s="636">
        <v>217317.0</v>
      </c>
      <c r="G563" s="413">
        <v>0.0</v>
      </c>
      <c r="H563" s="349" t="s">
        <v>2383</v>
      </c>
      <c r="I563" s="402"/>
      <c r="J563" s="402"/>
      <c r="K563" s="402"/>
      <c r="L563" s="402"/>
      <c r="M563" s="402"/>
      <c r="N563" s="402"/>
      <c r="O563" s="402"/>
      <c r="P563" s="402"/>
      <c r="Q563" s="402"/>
      <c r="R563" s="402"/>
      <c r="S563" s="402"/>
      <c r="T563" s="402"/>
      <c r="U563" s="402"/>
      <c r="V563" s="402"/>
      <c r="W563" s="402"/>
      <c r="X563" s="402"/>
      <c r="Y563" s="402"/>
      <c r="Z563" s="402"/>
    </row>
    <row r="564" ht="14.25" customHeight="1">
      <c r="A564" s="406">
        <v>45526.0</v>
      </c>
      <c r="B564" s="512" t="s">
        <v>2343</v>
      </c>
      <c r="C564" s="512" t="s">
        <v>2344</v>
      </c>
      <c r="D564" s="635" t="s">
        <v>54</v>
      </c>
      <c r="E564" s="349" t="s">
        <v>2133</v>
      </c>
      <c r="F564" s="636">
        <v>20425.0</v>
      </c>
      <c r="G564" s="413">
        <v>0.0</v>
      </c>
      <c r="H564" s="419" t="s">
        <v>2386</v>
      </c>
      <c r="I564" s="402"/>
      <c r="J564" s="402"/>
      <c r="K564" s="402"/>
      <c r="L564" s="402"/>
      <c r="M564" s="402"/>
      <c r="N564" s="402"/>
      <c r="O564" s="402"/>
      <c r="P564" s="402"/>
      <c r="Q564" s="402"/>
      <c r="R564" s="402"/>
      <c r="S564" s="402"/>
      <c r="T564" s="402"/>
      <c r="U564" s="402"/>
      <c r="V564" s="402"/>
      <c r="W564" s="402"/>
      <c r="X564" s="402"/>
      <c r="Y564" s="402"/>
      <c r="Z564" s="402"/>
    </row>
    <row r="565" ht="14.25" customHeight="1">
      <c r="A565" s="406">
        <v>45526.0</v>
      </c>
      <c r="B565" s="594" t="s">
        <v>2294</v>
      </c>
      <c r="C565" s="594" t="s">
        <v>2153</v>
      </c>
      <c r="D565" s="645" t="s">
        <v>75</v>
      </c>
      <c r="E565" s="349" t="s">
        <v>2133</v>
      </c>
      <c r="F565" s="636">
        <v>97750.0</v>
      </c>
      <c r="G565" s="413">
        <v>0.0</v>
      </c>
      <c r="H565" s="419" t="s">
        <v>2387</v>
      </c>
      <c r="I565" s="402"/>
      <c r="J565" s="402"/>
      <c r="K565" s="402"/>
      <c r="L565" s="402"/>
      <c r="M565" s="402"/>
      <c r="N565" s="402"/>
      <c r="O565" s="402"/>
      <c r="P565" s="402"/>
      <c r="Q565" s="402"/>
      <c r="R565" s="402"/>
      <c r="S565" s="402"/>
      <c r="T565" s="402"/>
      <c r="U565" s="402"/>
      <c r="V565" s="402"/>
      <c r="W565" s="402"/>
      <c r="X565" s="402"/>
      <c r="Y565" s="402"/>
      <c r="Z565" s="402"/>
    </row>
    <row r="566" ht="14.25" customHeight="1">
      <c r="A566" s="406">
        <v>45526.0</v>
      </c>
      <c r="B566" s="607" t="s">
        <v>2149</v>
      </c>
      <c r="C566" s="607" t="s">
        <v>2206</v>
      </c>
      <c r="D566" s="349" t="s">
        <v>54</v>
      </c>
      <c r="E566" s="349" t="s">
        <v>2133</v>
      </c>
      <c r="F566" s="559">
        <v>5000.0</v>
      </c>
      <c r="G566" s="413">
        <v>0.0</v>
      </c>
      <c r="H566" s="417" t="s">
        <v>2296</v>
      </c>
      <c r="I566" s="402"/>
      <c r="J566" s="402"/>
      <c r="K566" s="402"/>
      <c r="L566" s="402"/>
      <c r="M566" s="402"/>
      <c r="N566" s="402"/>
      <c r="O566" s="402"/>
      <c r="P566" s="402"/>
      <c r="Q566" s="402"/>
      <c r="R566" s="402"/>
      <c r="S566" s="402"/>
      <c r="T566" s="402"/>
      <c r="U566" s="402"/>
      <c r="V566" s="402"/>
      <c r="W566" s="402"/>
      <c r="X566" s="402"/>
      <c r="Y566" s="402"/>
      <c r="Z566" s="402"/>
    </row>
    <row r="567" ht="14.25" customHeight="1">
      <c r="A567" s="406">
        <v>45526.0</v>
      </c>
      <c r="B567" s="419" t="s">
        <v>2208</v>
      </c>
      <c r="C567" s="408" t="s">
        <v>2132</v>
      </c>
      <c r="D567" s="408" t="s">
        <v>439</v>
      </c>
      <c r="E567" s="408" t="s">
        <v>2133</v>
      </c>
      <c r="F567" s="445">
        <v>4000.0</v>
      </c>
      <c r="G567" s="413">
        <v>0.0</v>
      </c>
      <c r="H567" s="419" t="s">
        <v>2388</v>
      </c>
      <c r="I567" s="402"/>
      <c r="J567" s="402"/>
      <c r="K567" s="402"/>
      <c r="L567" s="402"/>
      <c r="M567" s="402"/>
      <c r="N567" s="402"/>
      <c r="O567" s="402"/>
      <c r="P567" s="402"/>
      <c r="Q567" s="402"/>
      <c r="R567" s="402"/>
      <c r="S567" s="402"/>
      <c r="T567" s="402"/>
      <c r="U567" s="402"/>
      <c r="V567" s="402"/>
      <c r="W567" s="402"/>
      <c r="X567" s="402"/>
      <c r="Y567" s="402"/>
      <c r="Z567" s="402"/>
    </row>
    <row r="568" ht="14.25" customHeight="1">
      <c r="A568" s="406">
        <v>45526.0</v>
      </c>
      <c r="B568" s="349" t="s">
        <v>2143</v>
      </c>
      <c r="C568" s="349" t="s">
        <v>2144</v>
      </c>
      <c r="D568" s="349" t="s">
        <v>54</v>
      </c>
      <c r="E568" s="349" t="s">
        <v>2133</v>
      </c>
      <c r="F568" s="559">
        <v>6000.0</v>
      </c>
      <c r="G568" s="413">
        <v>6000.0</v>
      </c>
      <c r="H568" s="349" t="s">
        <v>1462</v>
      </c>
      <c r="I568" s="402"/>
      <c r="J568" s="402"/>
      <c r="K568" s="402"/>
      <c r="L568" s="402"/>
      <c r="M568" s="402"/>
      <c r="N568" s="402"/>
      <c r="O568" s="402"/>
      <c r="P568" s="402"/>
      <c r="Q568" s="402"/>
      <c r="R568" s="402"/>
      <c r="S568" s="402"/>
      <c r="T568" s="402"/>
      <c r="U568" s="402"/>
      <c r="V568" s="402"/>
      <c r="W568" s="402"/>
      <c r="X568" s="402"/>
      <c r="Y568" s="402"/>
      <c r="Z568" s="402"/>
    </row>
    <row r="569" ht="14.25" customHeight="1">
      <c r="A569" s="406">
        <v>45526.0</v>
      </c>
      <c r="B569" s="605" t="s">
        <v>2221</v>
      </c>
      <c r="C569" s="606" t="s">
        <v>2222</v>
      </c>
      <c r="D569" s="349" t="s">
        <v>54</v>
      </c>
      <c r="E569" s="349" t="s">
        <v>2133</v>
      </c>
      <c r="F569" s="611">
        <v>32250.0</v>
      </c>
      <c r="G569" s="413">
        <v>20000.0</v>
      </c>
      <c r="H569" s="349" t="s">
        <v>2396</v>
      </c>
      <c r="I569" s="402"/>
      <c r="J569" s="402"/>
      <c r="K569" s="402"/>
      <c r="L569" s="402"/>
      <c r="M569" s="402"/>
      <c r="N569" s="402"/>
      <c r="O569" s="402"/>
      <c r="P569" s="402"/>
      <c r="Q569" s="402"/>
      <c r="R569" s="402"/>
      <c r="S569" s="402"/>
      <c r="T569" s="402"/>
      <c r="U569" s="402"/>
      <c r="V569" s="402"/>
      <c r="W569" s="402"/>
      <c r="X569" s="402"/>
      <c r="Y569" s="402"/>
      <c r="Z569" s="402"/>
    </row>
    <row r="570" ht="14.25" customHeight="1">
      <c r="A570" s="406">
        <v>45526.0</v>
      </c>
      <c r="B570" s="605" t="s">
        <v>2231</v>
      </c>
      <c r="C570" s="619" t="s">
        <v>2232</v>
      </c>
      <c r="D570" s="349" t="s">
        <v>54</v>
      </c>
      <c r="E570" s="349" t="s">
        <v>2133</v>
      </c>
      <c r="F570" s="620">
        <v>2778.0</v>
      </c>
      <c r="G570" s="413">
        <v>0.0</v>
      </c>
      <c r="H570" s="414" t="s">
        <v>2200</v>
      </c>
      <c r="I570" s="402"/>
      <c r="J570" s="402"/>
      <c r="K570" s="402"/>
      <c r="L570" s="402"/>
      <c r="M570" s="402"/>
      <c r="N570" s="402"/>
      <c r="O570" s="402"/>
      <c r="P570" s="402"/>
      <c r="Q570" s="402"/>
      <c r="R570" s="402"/>
      <c r="S570" s="402"/>
      <c r="T570" s="402"/>
      <c r="U570" s="402"/>
      <c r="V570" s="402"/>
      <c r="W570" s="402"/>
      <c r="X570" s="402"/>
      <c r="Y570" s="402"/>
      <c r="Z570" s="402"/>
    </row>
    <row r="571" ht="14.25" customHeight="1">
      <c r="A571" s="406">
        <v>45526.0</v>
      </c>
      <c r="B571" s="640" t="s">
        <v>2196</v>
      </c>
      <c r="C571" s="629" t="s">
        <v>2246</v>
      </c>
      <c r="D571" s="349" t="s">
        <v>54</v>
      </c>
      <c r="E571" s="349" t="s">
        <v>2133</v>
      </c>
      <c r="F571" s="622">
        <v>126855.0</v>
      </c>
      <c r="G571" s="413">
        <v>0.0</v>
      </c>
      <c r="H571" s="419" t="s">
        <v>2376</v>
      </c>
      <c r="I571" s="402"/>
      <c r="J571" s="402"/>
      <c r="K571" s="402"/>
      <c r="L571" s="402"/>
      <c r="M571" s="402"/>
      <c r="N571" s="402"/>
      <c r="O571" s="402"/>
      <c r="P571" s="402"/>
      <c r="Q571" s="402"/>
      <c r="R571" s="402"/>
      <c r="S571" s="402"/>
      <c r="T571" s="402"/>
      <c r="U571" s="402"/>
      <c r="V571" s="402"/>
      <c r="W571" s="402"/>
      <c r="X571" s="402"/>
      <c r="Y571" s="402"/>
      <c r="Z571" s="402"/>
    </row>
    <row r="572" ht="14.25" customHeight="1">
      <c r="A572" s="406">
        <v>45526.0</v>
      </c>
      <c r="B572" s="642" t="s">
        <v>2235</v>
      </c>
      <c r="C572" s="623" t="s">
        <v>2236</v>
      </c>
      <c r="D572" s="630" t="s">
        <v>75</v>
      </c>
      <c r="E572" s="349" t="s">
        <v>2133</v>
      </c>
      <c r="F572" s="622">
        <v>14500.0</v>
      </c>
      <c r="G572" s="413">
        <v>0.0</v>
      </c>
      <c r="H572" s="417" t="s">
        <v>2347</v>
      </c>
      <c r="I572" s="402"/>
      <c r="J572" s="402"/>
      <c r="K572" s="402"/>
      <c r="L572" s="402"/>
      <c r="M572" s="402"/>
      <c r="N572" s="402"/>
      <c r="O572" s="402"/>
      <c r="P572" s="402"/>
      <c r="Q572" s="402"/>
      <c r="R572" s="402"/>
      <c r="S572" s="402"/>
      <c r="T572" s="402"/>
      <c r="U572" s="402"/>
      <c r="V572" s="402"/>
      <c r="W572" s="402"/>
      <c r="X572" s="402"/>
      <c r="Y572" s="402"/>
      <c r="Z572" s="402"/>
    </row>
    <row r="573" ht="14.25" customHeight="1">
      <c r="A573" s="406">
        <v>45526.0</v>
      </c>
      <c r="B573" s="594" t="s">
        <v>2275</v>
      </c>
      <c r="C573" s="512" t="s">
        <v>2276</v>
      </c>
      <c r="D573" s="635" t="s">
        <v>54</v>
      </c>
      <c r="E573" s="349" t="s">
        <v>2133</v>
      </c>
      <c r="F573" s="636">
        <v>40363.26</v>
      </c>
      <c r="G573" s="413">
        <v>0.0</v>
      </c>
      <c r="H573" s="417" t="s">
        <v>2325</v>
      </c>
      <c r="I573" s="402"/>
      <c r="J573" s="402"/>
      <c r="K573" s="402"/>
      <c r="L573" s="402"/>
      <c r="M573" s="402"/>
      <c r="N573" s="402"/>
      <c r="O573" s="402"/>
      <c r="P573" s="402"/>
      <c r="Q573" s="402"/>
      <c r="R573" s="402"/>
      <c r="S573" s="402"/>
      <c r="T573" s="402"/>
      <c r="U573" s="402"/>
      <c r="V573" s="402"/>
      <c r="W573" s="402"/>
      <c r="X573" s="402"/>
      <c r="Y573" s="402"/>
      <c r="Z573" s="402"/>
    </row>
    <row r="574" ht="14.25" customHeight="1">
      <c r="A574" s="406">
        <v>45526.0</v>
      </c>
      <c r="B574" s="653" t="s">
        <v>2301</v>
      </c>
      <c r="C574" s="653" t="s">
        <v>2302</v>
      </c>
      <c r="D574" s="654" t="s">
        <v>54</v>
      </c>
      <c r="E574" s="407" t="s">
        <v>2133</v>
      </c>
      <c r="F574" s="638">
        <v>2000.0</v>
      </c>
      <c r="G574" s="413">
        <v>2000.0</v>
      </c>
      <c r="H574" s="349" t="s">
        <v>1462</v>
      </c>
      <c r="I574" s="402"/>
      <c r="J574" s="402"/>
      <c r="K574" s="402"/>
      <c r="L574" s="402"/>
      <c r="M574" s="402"/>
      <c r="N574" s="402"/>
      <c r="O574" s="402"/>
      <c r="P574" s="402"/>
      <c r="Q574" s="402"/>
      <c r="R574" s="402"/>
      <c r="S574" s="402"/>
      <c r="T574" s="402"/>
      <c r="U574" s="402"/>
      <c r="V574" s="402"/>
      <c r="W574" s="402"/>
      <c r="X574" s="402"/>
      <c r="Y574" s="402"/>
      <c r="Z574" s="402"/>
    </row>
    <row r="575" ht="14.25" customHeight="1">
      <c r="A575" s="406">
        <v>45526.0</v>
      </c>
      <c r="B575" s="596" t="s">
        <v>2278</v>
      </c>
      <c r="C575" s="513" t="s">
        <v>2279</v>
      </c>
      <c r="D575" s="637" t="s">
        <v>54</v>
      </c>
      <c r="E575" s="349" t="s">
        <v>2133</v>
      </c>
      <c r="F575" s="638">
        <v>107213.0</v>
      </c>
      <c r="G575" s="413">
        <v>0.0</v>
      </c>
      <c r="H575" s="417" t="s">
        <v>2348</v>
      </c>
      <c r="I575" s="402"/>
      <c r="J575" s="402"/>
      <c r="K575" s="402"/>
      <c r="L575" s="402"/>
      <c r="M575" s="402"/>
      <c r="N575" s="402"/>
      <c r="O575" s="402"/>
      <c r="P575" s="402"/>
      <c r="Q575" s="402"/>
      <c r="R575" s="402"/>
      <c r="S575" s="402"/>
      <c r="T575" s="402"/>
      <c r="U575" s="402"/>
      <c r="V575" s="402"/>
      <c r="W575" s="402"/>
      <c r="X575" s="402"/>
      <c r="Y575" s="402"/>
      <c r="Z575" s="402"/>
    </row>
    <row r="576" ht="14.25" customHeight="1">
      <c r="A576" s="406">
        <v>45526.0</v>
      </c>
      <c r="B576" s="512" t="s">
        <v>2288</v>
      </c>
      <c r="C576" s="512" t="s">
        <v>2203</v>
      </c>
      <c r="D576" s="635" t="s">
        <v>54</v>
      </c>
      <c r="E576" s="349" t="s">
        <v>2133</v>
      </c>
      <c r="F576" s="638">
        <v>12829.0</v>
      </c>
      <c r="G576" s="413">
        <v>0.0</v>
      </c>
      <c r="H576" s="417" t="s">
        <v>2349</v>
      </c>
      <c r="I576" s="402"/>
      <c r="J576" s="402"/>
      <c r="K576" s="402"/>
      <c r="L576" s="402"/>
      <c r="M576" s="402"/>
      <c r="N576" s="402"/>
      <c r="O576" s="402"/>
      <c r="P576" s="402"/>
      <c r="Q576" s="402"/>
      <c r="R576" s="402"/>
      <c r="S576" s="402"/>
      <c r="T576" s="402"/>
      <c r="U576" s="402"/>
      <c r="V576" s="402"/>
      <c r="W576" s="402"/>
      <c r="X576" s="402"/>
      <c r="Y576" s="402"/>
      <c r="Z576" s="402"/>
    </row>
    <row r="577" ht="14.25" customHeight="1">
      <c r="A577" s="406">
        <v>45526.0</v>
      </c>
      <c r="B577" s="513" t="s">
        <v>2318</v>
      </c>
      <c r="C577" s="513" t="s">
        <v>2338</v>
      </c>
      <c r="D577" s="635" t="s">
        <v>54</v>
      </c>
      <c r="E577" s="349" t="s">
        <v>2133</v>
      </c>
      <c r="F577" s="638">
        <v>29382.0</v>
      </c>
      <c r="G577" s="413">
        <v>0.0</v>
      </c>
      <c r="H577" s="349" t="s">
        <v>2325</v>
      </c>
      <c r="I577" s="402"/>
      <c r="J577" s="402"/>
      <c r="K577" s="402"/>
      <c r="L577" s="402"/>
      <c r="M577" s="402"/>
      <c r="N577" s="402"/>
      <c r="O577" s="402"/>
      <c r="P577" s="402"/>
      <c r="Q577" s="402"/>
      <c r="R577" s="402"/>
      <c r="S577" s="402"/>
      <c r="T577" s="402"/>
      <c r="U577" s="402"/>
      <c r="V577" s="402"/>
      <c r="W577" s="402"/>
      <c r="X577" s="402"/>
      <c r="Y577" s="402"/>
      <c r="Z577" s="402"/>
    </row>
    <row r="578" ht="14.25" customHeight="1">
      <c r="A578" s="406">
        <v>45526.0</v>
      </c>
      <c r="B578" s="634" t="s">
        <v>2140</v>
      </c>
      <c r="C578" s="634" t="s">
        <v>2340</v>
      </c>
      <c r="D578" s="635" t="s">
        <v>54</v>
      </c>
      <c r="E578" s="349" t="s">
        <v>2133</v>
      </c>
      <c r="F578" s="647">
        <v>69538.0</v>
      </c>
      <c r="G578" s="413">
        <v>0.0</v>
      </c>
      <c r="H578" s="419" t="s">
        <v>2397</v>
      </c>
      <c r="I578" s="402"/>
      <c r="J578" s="402"/>
      <c r="K578" s="402"/>
      <c r="L578" s="402"/>
      <c r="M578" s="402"/>
      <c r="N578" s="402"/>
      <c r="O578" s="402"/>
      <c r="P578" s="402"/>
      <c r="Q578" s="402"/>
      <c r="R578" s="402"/>
      <c r="S578" s="402"/>
      <c r="T578" s="402"/>
      <c r="U578" s="402"/>
      <c r="V578" s="402"/>
      <c r="W578" s="402"/>
      <c r="X578" s="402"/>
      <c r="Y578" s="402"/>
      <c r="Z578" s="402"/>
    </row>
    <row r="579" ht="14.25" customHeight="1">
      <c r="A579" s="406">
        <v>45526.0</v>
      </c>
      <c r="B579" s="512" t="s">
        <v>2137</v>
      </c>
      <c r="C579" s="512" t="s">
        <v>2138</v>
      </c>
      <c r="D579" s="635" t="s">
        <v>75</v>
      </c>
      <c r="E579" s="349" t="s">
        <v>2133</v>
      </c>
      <c r="F579" s="643">
        <v>100000.0</v>
      </c>
      <c r="G579" s="413">
        <v>0.0</v>
      </c>
      <c r="H579" s="419" t="s">
        <v>2391</v>
      </c>
      <c r="I579" s="402"/>
      <c r="J579" s="402"/>
      <c r="K579" s="402"/>
      <c r="L579" s="402"/>
      <c r="M579" s="402"/>
      <c r="N579" s="402"/>
      <c r="O579" s="402"/>
      <c r="P579" s="402"/>
      <c r="Q579" s="402"/>
      <c r="R579" s="402"/>
      <c r="S579" s="402"/>
      <c r="T579" s="402"/>
      <c r="U579" s="402"/>
      <c r="V579" s="402"/>
      <c r="W579" s="402"/>
      <c r="X579" s="402"/>
      <c r="Y579" s="402"/>
      <c r="Z579" s="402"/>
    </row>
    <row r="580" ht="14.25" customHeight="1">
      <c r="A580" s="406">
        <v>45526.0</v>
      </c>
      <c r="B580" s="634" t="s">
        <v>2155</v>
      </c>
      <c r="C580" s="634" t="s">
        <v>2392</v>
      </c>
      <c r="D580" s="595" t="s">
        <v>54</v>
      </c>
      <c r="E580" s="349" t="s">
        <v>2133</v>
      </c>
      <c r="F580" s="559">
        <v>28497.0</v>
      </c>
      <c r="G580" s="413">
        <v>3000.0</v>
      </c>
      <c r="H580" s="349" t="s">
        <v>2396</v>
      </c>
      <c r="I580" s="402"/>
      <c r="J580" s="402"/>
      <c r="K580" s="402"/>
      <c r="L580" s="402"/>
      <c r="M580" s="402"/>
      <c r="N580" s="402"/>
      <c r="O580" s="402"/>
      <c r="P580" s="402"/>
      <c r="Q580" s="402"/>
      <c r="R580" s="402"/>
      <c r="S580" s="402"/>
      <c r="T580" s="402"/>
      <c r="U580" s="402"/>
      <c r="V580" s="402"/>
      <c r="W580" s="402"/>
      <c r="X580" s="402"/>
      <c r="Y580" s="402"/>
      <c r="Z580" s="402"/>
    </row>
    <row r="581" ht="14.25" customHeight="1">
      <c r="A581" s="406">
        <v>45526.0</v>
      </c>
      <c r="B581" s="349" t="s">
        <v>2163</v>
      </c>
      <c r="C581" s="349" t="s">
        <v>2164</v>
      </c>
      <c r="D581" s="413" t="s">
        <v>59</v>
      </c>
      <c r="E581" s="349" t="s">
        <v>273</v>
      </c>
      <c r="F581" s="559">
        <v>100000.0</v>
      </c>
      <c r="G581" s="413">
        <v>0.0</v>
      </c>
      <c r="H581" s="419" t="s">
        <v>2380</v>
      </c>
      <c r="I581" s="402"/>
      <c r="J581" s="402"/>
      <c r="K581" s="402"/>
      <c r="L581" s="402"/>
      <c r="M581" s="402"/>
      <c r="N581" s="402"/>
      <c r="O581" s="402"/>
      <c r="P581" s="402"/>
      <c r="Q581" s="402"/>
      <c r="R581" s="402"/>
      <c r="S581" s="402"/>
      <c r="T581" s="402"/>
      <c r="U581" s="402"/>
      <c r="V581" s="402"/>
      <c r="W581" s="402"/>
      <c r="X581" s="402"/>
      <c r="Y581" s="402"/>
      <c r="Z581" s="402"/>
    </row>
    <row r="582" ht="14.25" customHeight="1">
      <c r="A582" s="406">
        <v>45526.0</v>
      </c>
      <c r="B582" s="605" t="s">
        <v>2360</v>
      </c>
      <c r="C582" s="634" t="s">
        <v>2361</v>
      </c>
      <c r="D582" s="634" t="s">
        <v>54</v>
      </c>
      <c r="E582" s="349" t="s">
        <v>2133</v>
      </c>
      <c r="F582" s="649">
        <v>10000.0</v>
      </c>
      <c r="G582" s="413">
        <v>0.0</v>
      </c>
      <c r="H582" s="349" t="s">
        <v>2398</v>
      </c>
      <c r="I582" s="402"/>
      <c r="J582" s="402"/>
      <c r="K582" s="402"/>
      <c r="L582" s="402"/>
      <c r="M582" s="402"/>
      <c r="N582" s="402"/>
      <c r="O582" s="402"/>
      <c r="P582" s="402"/>
      <c r="Q582" s="402"/>
      <c r="R582" s="402"/>
      <c r="S582" s="402"/>
      <c r="T582" s="402"/>
      <c r="U582" s="402"/>
      <c r="V582" s="402"/>
      <c r="W582" s="402"/>
      <c r="X582" s="402"/>
      <c r="Y582" s="402"/>
      <c r="Z582" s="402"/>
    </row>
    <row r="583" ht="14.25" customHeight="1">
      <c r="A583" s="406">
        <v>45526.0</v>
      </c>
      <c r="B583" s="623" t="s">
        <v>2152</v>
      </c>
      <c r="C583" s="623" t="s">
        <v>2153</v>
      </c>
      <c r="D583" s="624" t="s">
        <v>54</v>
      </c>
      <c r="E583" s="349" t="s">
        <v>2133</v>
      </c>
      <c r="F583" s="651">
        <v>63975.15</v>
      </c>
      <c r="G583" s="413">
        <v>0.0</v>
      </c>
      <c r="H583" s="419" t="s">
        <v>2399</v>
      </c>
      <c r="I583" s="402"/>
      <c r="J583" s="402"/>
      <c r="K583" s="402"/>
      <c r="L583" s="402"/>
      <c r="M583" s="402"/>
      <c r="N583" s="402"/>
      <c r="O583" s="402"/>
      <c r="P583" s="402"/>
      <c r="Q583" s="402"/>
      <c r="R583" s="402"/>
      <c r="S583" s="402"/>
      <c r="T583" s="402"/>
      <c r="U583" s="402"/>
      <c r="V583" s="402"/>
      <c r="W583" s="402"/>
      <c r="X583" s="402"/>
      <c r="Y583" s="402"/>
      <c r="Z583" s="402"/>
    </row>
    <row r="584" ht="14.25" customHeight="1">
      <c r="A584" s="406">
        <v>45526.0</v>
      </c>
      <c r="B584" s="349" t="s">
        <v>2341</v>
      </c>
      <c r="C584" s="349" t="s">
        <v>2179</v>
      </c>
      <c r="D584" s="634" t="s">
        <v>54</v>
      </c>
      <c r="E584" s="349" t="s">
        <v>2133</v>
      </c>
      <c r="F584" s="559">
        <v>10000.0</v>
      </c>
      <c r="G584" s="413">
        <v>10000.0</v>
      </c>
      <c r="H584" s="349" t="s">
        <v>1462</v>
      </c>
      <c r="I584" s="402"/>
      <c r="J584" s="402"/>
      <c r="K584" s="402"/>
      <c r="L584" s="402"/>
      <c r="M584" s="402"/>
      <c r="N584" s="402"/>
      <c r="O584" s="402"/>
      <c r="P584" s="402"/>
      <c r="Q584" s="402"/>
      <c r="R584" s="402"/>
      <c r="S584" s="402"/>
      <c r="T584" s="402"/>
      <c r="U584" s="402"/>
      <c r="V584" s="402"/>
      <c r="W584" s="402"/>
      <c r="X584" s="402"/>
      <c r="Y584" s="402"/>
      <c r="Z584" s="402"/>
    </row>
    <row r="585" ht="14.25" customHeight="1">
      <c r="A585" s="406"/>
      <c r="B585" s="402"/>
      <c r="C585" s="402"/>
      <c r="D585" s="402"/>
      <c r="E585" s="402"/>
      <c r="F585" s="587"/>
      <c r="G585" s="403"/>
      <c r="H585" s="402"/>
      <c r="I585" s="402"/>
      <c r="J585" s="402"/>
      <c r="K585" s="402"/>
      <c r="L585" s="402"/>
      <c r="M585" s="402"/>
      <c r="N585" s="402"/>
      <c r="O585" s="402"/>
      <c r="P585" s="402"/>
      <c r="Q585" s="402"/>
      <c r="R585" s="402"/>
      <c r="S585" s="402"/>
      <c r="T585" s="402"/>
      <c r="U585" s="402"/>
      <c r="V585" s="402"/>
      <c r="W585" s="402"/>
      <c r="X585" s="402"/>
      <c r="Y585" s="402"/>
      <c r="Z585" s="402"/>
    </row>
    <row r="586" ht="14.25" customHeight="1">
      <c r="A586" s="406"/>
      <c r="B586" s="402"/>
      <c r="C586" s="402"/>
      <c r="D586" s="402"/>
      <c r="E586" s="402"/>
      <c r="F586" s="587"/>
      <c r="G586" s="403"/>
      <c r="H586" s="402"/>
      <c r="I586" s="402"/>
      <c r="J586" s="402"/>
      <c r="K586" s="402"/>
      <c r="L586" s="402"/>
      <c r="M586" s="402"/>
      <c r="N586" s="402"/>
      <c r="O586" s="402"/>
      <c r="P586" s="402"/>
      <c r="Q586" s="402"/>
      <c r="R586" s="402"/>
      <c r="S586" s="402"/>
      <c r="T586" s="402"/>
      <c r="U586" s="402"/>
      <c r="V586" s="402"/>
      <c r="W586" s="402"/>
      <c r="X586" s="402"/>
      <c r="Y586" s="402"/>
      <c r="Z586" s="402"/>
    </row>
    <row r="587" ht="14.25" customHeight="1">
      <c r="A587" s="406"/>
      <c r="B587" s="402"/>
      <c r="C587" s="402"/>
      <c r="D587" s="402"/>
      <c r="E587" s="402"/>
      <c r="F587" s="587"/>
      <c r="G587" s="403"/>
      <c r="H587" s="402"/>
      <c r="I587" s="402"/>
      <c r="J587" s="402"/>
      <c r="K587" s="402"/>
      <c r="L587" s="402"/>
      <c r="M587" s="402"/>
      <c r="N587" s="402"/>
      <c r="O587" s="402"/>
      <c r="P587" s="402"/>
      <c r="Q587" s="402"/>
      <c r="R587" s="402"/>
      <c r="S587" s="402"/>
      <c r="T587" s="402"/>
      <c r="U587" s="402"/>
      <c r="V587" s="402"/>
      <c r="W587" s="402"/>
      <c r="X587" s="402"/>
      <c r="Y587" s="402"/>
      <c r="Z587" s="402"/>
    </row>
    <row r="588" ht="14.25" customHeight="1">
      <c r="A588" s="406">
        <v>45527.0</v>
      </c>
      <c r="B588" s="512" t="s">
        <v>2365</v>
      </c>
      <c r="C588" s="512" t="s">
        <v>2366</v>
      </c>
      <c r="D588" s="595" t="s">
        <v>54</v>
      </c>
      <c r="E588" s="349" t="s">
        <v>2133</v>
      </c>
      <c r="F588" s="643">
        <v>12183.0</v>
      </c>
      <c r="G588" s="413">
        <v>0.0</v>
      </c>
      <c r="H588" s="349" t="s">
        <v>2395</v>
      </c>
      <c r="I588" s="402"/>
      <c r="J588" s="402"/>
      <c r="K588" s="402"/>
      <c r="L588" s="402"/>
      <c r="M588" s="402"/>
      <c r="N588" s="402"/>
      <c r="O588" s="402"/>
      <c r="P588" s="402"/>
      <c r="Q588" s="402"/>
      <c r="R588" s="402"/>
      <c r="S588" s="402"/>
      <c r="T588" s="402"/>
      <c r="U588" s="402"/>
      <c r="V588" s="402"/>
      <c r="W588" s="402"/>
      <c r="X588" s="402"/>
      <c r="Y588" s="402"/>
      <c r="Z588" s="402"/>
    </row>
    <row r="589" ht="14.25" customHeight="1">
      <c r="A589" s="406">
        <v>45527.0</v>
      </c>
      <c r="B589" s="513" t="s">
        <v>2368</v>
      </c>
      <c r="C589" s="513" t="s">
        <v>2366</v>
      </c>
      <c r="D589" s="597" t="s">
        <v>346</v>
      </c>
      <c r="E589" s="349" t="s">
        <v>2133</v>
      </c>
      <c r="F589" s="644">
        <v>13250.0</v>
      </c>
      <c r="G589" s="413">
        <v>0.0</v>
      </c>
      <c r="H589" s="349" t="s">
        <v>2395</v>
      </c>
      <c r="I589" s="402"/>
      <c r="J589" s="402"/>
      <c r="K589" s="402"/>
      <c r="L589" s="402"/>
      <c r="M589" s="402"/>
      <c r="N589" s="402"/>
      <c r="O589" s="402"/>
      <c r="P589" s="402"/>
      <c r="Q589" s="402"/>
      <c r="R589" s="402"/>
      <c r="S589" s="402"/>
      <c r="T589" s="402"/>
      <c r="U589" s="402"/>
      <c r="V589" s="402"/>
      <c r="W589" s="402"/>
      <c r="X589" s="402"/>
      <c r="Y589" s="402"/>
      <c r="Z589" s="402"/>
    </row>
    <row r="590" ht="14.25" customHeight="1">
      <c r="A590" s="406">
        <v>45527.0</v>
      </c>
      <c r="B590" s="512" t="s">
        <v>2332</v>
      </c>
      <c r="C590" s="512" t="s">
        <v>2197</v>
      </c>
      <c r="D590" s="635" t="s">
        <v>54</v>
      </c>
      <c r="E590" s="349" t="s">
        <v>2133</v>
      </c>
      <c r="F590" s="636">
        <v>217317.0</v>
      </c>
      <c r="G590" s="413">
        <v>0.0</v>
      </c>
      <c r="H590" s="349" t="s">
        <v>2383</v>
      </c>
      <c r="I590" s="402"/>
      <c r="J590" s="402"/>
      <c r="K590" s="402"/>
      <c r="L590" s="402"/>
      <c r="M590" s="402"/>
      <c r="N590" s="402"/>
      <c r="O590" s="402"/>
      <c r="P590" s="402"/>
      <c r="Q590" s="402"/>
      <c r="R590" s="402"/>
      <c r="S590" s="402"/>
      <c r="T590" s="402"/>
      <c r="U590" s="402"/>
      <c r="V590" s="402"/>
      <c r="W590" s="402"/>
      <c r="X590" s="402"/>
      <c r="Y590" s="402"/>
      <c r="Z590" s="402"/>
    </row>
    <row r="591" ht="14.25" customHeight="1">
      <c r="A591" s="406">
        <v>45527.0</v>
      </c>
      <c r="B591" s="512" t="s">
        <v>2343</v>
      </c>
      <c r="C591" s="512" t="s">
        <v>2344</v>
      </c>
      <c r="D591" s="635" t="s">
        <v>54</v>
      </c>
      <c r="E591" s="349" t="s">
        <v>2133</v>
      </c>
      <c r="F591" s="636">
        <v>20425.0</v>
      </c>
      <c r="G591" s="413">
        <v>0.0</v>
      </c>
      <c r="H591" s="419" t="s">
        <v>2386</v>
      </c>
      <c r="I591" s="402"/>
      <c r="J591" s="402"/>
      <c r="K591" s="402"/>
      <c r="L591" s="402"/>
      <c r="M591" s="402"/>
      <c r="N591" s="402"/>
      <c r="O591" s="402"/>
      <c r="P591" s="402"/>
      <c r="Q591" s="402"/>
      <c r="R591" s="402"/>
      <c r="S591" s="402"/>
      <c r="T591" s="402"/>
      <c r="U591" s="402"/>
      <c r="V591" s="402"/>
      <c r="W591" s="402"/>
      <c r="X591" s="402"/>
      <c r="Y591" s="402"/>
      <c r="Z591" s="402"/>
    </row>
    <row r="592" ht="14.25" customHeight="1">
      <c r="A592" s="406">
        <v>45527.0</v>
      </c>
      <c r="B592" s="594" t="s">
        <v>2294</v>
      </c>
      <c r="C592" s="594" t="s">
        <v>2153</v>
      </c>
      <c r="D592" s="645" t="s">
        <v>75</v>
      </c>
      <c r="E592" s="349" t="s">
        <v>2133</v>
      </c>
      <c r="F592" s="636">
        <v>67750.0</v>
      </c>
      <c r="G592" s="413">
        <v>0.0</v>
      </c>
      <c r="H592" s="419" t="s">
        <v>2387</v>
      </c>
      <c r="I592" s="402"/>
      <c r="J592" s="402"/>
      <c r="K592" s="402"/>
      <c r="L592" s="402"/>
      <c r="M592" s="402"/>
      <c r="N592" s="402"/>
      <c r="O592" s="402"/>
      <c r="P592" s="402"/>
      <c r="Q592" s="402"/>
      <c r="R592" s="402"/>
      <c r="S592" s="402"/>
      <c r="T592" s="402"/>
      <c r="U592" s="402"/>
      <c r="V592" s="402"/>
      <c r="W592" s="402"/>
      <c r="X592" s="402"/>
      <c r="Y592" s="402"/>
      <c r="Z592" s="402"/>
    </row>
    <row r="593" ht="14.25" customHeight="1">
      <c r="A593" s="406">
        <v>45527.0</v>
      </c>
      <c r="B593" s="607" t="s">
        <v>2149</v>
      </c>
      <c r="C593" s="607" t="s">
        <v>2206</v>
      </c>
      <c r="D593" s="349" t="s">
        <v>54</v>
      </c>
      <c r="E593" s="349" t="s">
        <v>2133</v>
      </c>
      <c r="F593" s="559">
        <v>5000.0</v>
      </c>
      <c r="G593" s="413">
        <v>0.0</v>
      </c>
      <c r="H593" s="417" t="s">
        <v>2296</v>
      </c>
      <c r="I593" s="402"/>
      <c r="J593" s="402"/>
      <c r="K593" s="402"/>
      <c r="L593" s="402"/>
      <c r="M593" s="402"/>
      <c r="N593" s="402"/>
      <c r="O593" s="402"/>
      <c r="P593" s="402"/>
      <c r="Q593" s="402"/>
      <c r="R593" s="402"/>
      <c r="S593" s="402"/>
      <c r="T593" s="402"/>
      <c r="U593" s="402"/>
      <c r="V593" s="402"/>
      <c r="W593" s="402"/>
      <c r="X593" s="402"/>
      <c r="Y593" s="402"/>
      <c r="Z593" s="402"/>
    </row>
    <row r="594" ht="14.25" customHeight="1">
      <c r="A594" s="406">
        <v>45527.0</v>
      </c>
      <c r="B594" s="419" t="s">
        <v>2208</v>
      </c>
      <c r="C594" s="408" t="s">
        <v>2132</v>
      </c>
      <c r="D594" s="408" t="s">
        <v>439</v>
      </c>
      <c r="E594" s="408" t="s">
        <v>2133</v>
      </c>
      <c r="F594" s="445">
        <v>4000.0</v>
      </c>
      <c r="G594" s="413">
        <v>0.0</v>
      </c>
      <c r="H594" s="419" t="s">
        <v>2388</v>
      </c>
      <c r="I594" s="402"/>
      <c r="J594" s="402"/>
      <c r="K594" s="402"/>
      <c r="L594" s="402"/>
      <c r="M594" s="402"/>
      <c r="N594" s="402"/>
      <c r="O594" s="402"/>
      <c r="P594" s="402"/>
      <c r="Q594" s="402"/>
      <c r="R594" s="402"/>
      <c r="S594" s="402"/>
      <c r="T594" s="402"/>
      <c r="U594" s="402"/>
      <c r="V594" s="402"/>
      <c r="W594" s="402"/>
      <c r="X594" s="402"/>
      <c r="Y594" s="402"/>
      <c r="Z594" s="402"/>
    </row>
    <row r="595" ht="14.25" customHeight="1">
      <c r="A595" s="406">
        <v>45527.0</v>
      </c>
      <c r="B595" s="349" t="s">
        <v>2143</v>
      </c>
      <c r="C595" s="349" t="s">
        <v>2144</v>
      </c>
      <c r="D595" s="349" t="s">
        <v>54</v>
      </c>
      <c r="E595" s="349" t="s">
        <v>2133</v>
      </c>
      <c r="F595" s="559">
        <v>6000.0</v>
      </c>
      <c r="G595" s="413">
        <v>6000.0</v>
      </c>
      <c r="H595" s="349" t="s">
        <v>1462</v>
      </c>
      <c r="I595" s="402"/>
      <c r="J595" s="402"/>
      <c r="K595" s="402"/>
      <c r="L595" s="402"/>
      <c r="M595" s="402"/>
      <c r="N595" s="402"/>
      <c r="O595" s="402"/>
      <c r="P595" s="402"/>
      <c r="Q595" s="402"/>
      <c r="R595" s="402"/>
      <c r="S595" s="402"/>
      <c r="T595" s="402"/>
      <c r="U595" s="402"/>
      <c r="V595" s="402"/>
      <c r="W595" s="402"/>
      <c r="X595" s="402"/>
      <c r="Y595" s="402"/>
      <c r="Z595" s="402"/>
    </row>
    <row r="596" ht="14.25" customHeight="1">
      <c r="A596" s="406">
        <v>45527.0</v>
      </c>
      <c r="B596" s="605" t="s">
        <v>2221</v>
      </c>
      <c r="C596" s="606" t="s">
        <v>2222</v>
      </c>
      <c r="D596" s="349" t="s">
        <v>54</v>
      </c>
      <c r="E596" s="349" t="s">
        <v>2133</v>
      </c>
      <c r="F596" s="611">
        <v>32250.0</v>
      </c>
      <c r="G596" s="413">
        <v>0.0</v>
      </c>
      <c r="H596" s="349" t="s">
        <v>2396</v>
      </c>
      <c r="I596" s="402"/>
      <c r="J596" s="402"/>
      <c r="K596" s="402"/>
      <c r="L596" s="402"/>
      <c r="M596" s="402"/>
      <c r="N596" s="402"/>
      <c r="O596" s="402"/>
      <c r="P596" s="402"/>
      <c r="Q596" s="402"/>
      <c r="R596" s="402"/>
      <c r="S596" s="402"/>
      <c r="T596" s="402"/>
      <c r="U596" s="402"/>
      <c r="V596" s="402"/>
      <c r="W596" s="402"/>
      <c r="X596" s="402"/>
      <c r="Y596" s="402"/>
      <c r="Z596" s="402"/>
    </row>
    <row r="597" ht="14.25" customHeight="1">
      <c r="A597" s="406">
        <v>45527.0</v>
      </c>
      <c r="B597" s="605" t="s">
        <v>2231</v>
      </c>
      <c r="C597" s="619" t="s">
        <v>2232</v>
      </c>
      <c r="D597" s="349" t="s">
        <v>54</v>
      </c>
      <c r="E597" s="349" t="s">
        <v>2133</v>
      </c>
      <c r="F597" s="620">
        <v>2778.0</v>
      </c>
      <c r="G597" s="413">
        <v>2800.0</v>
      </c>
      <c r="H597" s="414" t="s">
        <v>710</v>
      </c>
      <c r="I597" s="402"/>
      <c r="J597" s="402"/>
      <c r="K597" s="402"/>
      <c r="L597" s="402"/>
      <c r="M597" s="402"/>
      <c r="N597" s="402"/>
      <c r="O597" s="402"/>
      <c r="P597" s="402"/>
      <c r="Q597" s="402"/>
      <c r="R597" s="402"/>
      <c r="S597" s="402"/>
      <c r="T597" s="402"/>
      <c r="U597" s="402"/>
      <c r="V597" s="402"/>
      <c r="W597" s="402"/>
      <c r="X597" s="402"/>
      <c r="Y597" s="402"/>
      <c r="Z597" s="402"/>
    </row>
    <row r="598" ht="14.25" customHeight="1">
      <c r="A598" s="406">
        <v>45527.0</v>
      </c>
      <c r="B598" s="640" t="s">
        <v>2196</v>
      </c>
      <c r="C598" s="629" t="s">
        <v>2246</v>
      </c>
      <c r="D598" s="349" t="s">
        <v>54</v>
      </c>
      <c r="E598" s="349" t="s">
        <v>2133</v>
      </c>
      <c r="F598" s="622">
        <v>126855.0</v>
      </c>
      <c r="G598" s="413">
        <v>0.0</v>
      </c>
      <c r="H598" s="419" t="s">
        <v>2376</v>
      </c>
      <c r="I598" s="402"/>
      <c r="J598" s="402"/>
      <c r="K598" s="402"/>
      <c r="L598" s="402"/>
      <c r="M598" s="402"/>
      <c r="N598" s="402"/>
      <c r="O598" s="402"/>
      <c r="P598" s="402"/>
      <c r="Q598" s="402"/>
      <c r="R598" s="402"/>
      <c r="S598" s="402"/>
      <c r="T598" s="402"/>
      <c r="U598" s="402"/>
      <c r="V598" s="402"/>
      <c r="W598" s="402"/>
      <c r="X598" s="402"/>
      <c r="Y598" s="402"/>
      <c r="Z598" s="402"/>
    </row>
    <row r="599" ht="14.25" customHeight="1">
      <c r="A599" s="406">
        <v>45527.0</v>
      </c>
      <c r="B599" s="642" t="s">
        <v>2235</v>
      </c>
      <c r="C599" s="623" t="s">
        <v>2236</v>
      </c>
      <c r="D599" s="630" t="s">
        <v>75</v>
      </c>
      <c r="E599" s="349" t="s">
        <v>2133</v>
      </c>
      <c r="F599" s="622">
        <v>14500.0</v>
      </c>
      <c r="G599" s="413">
        <v>0.0</v>
      </c>
      <c r="H599" s="417" t="s">
        <v>2347</v>
      </c>
      <c r="I599" s="402"/>
      <c r="J599" s="402"/>
      <c r="K599" s="402"/>
      <c r="L599" s="402"/>
      <c r="M599" s="402"/>
      <c r="N599" s="402"/>
      <c r="O599" s="402"/>
      <c r="P599" s="402"/>
      <c r="Q599" s="402"/>
      <c r="R599" s="402"/>
      <c r="S599" s="402"/>
      <c r="T599" s="402"/>
      <c r="U599" s="402"/>
      <c r="V599" s="402"/>
      <c r="W599" s="402"/>
      <c r="X599" s="402"/>
      <c r="Y599" s="402"/>
      <c r="Z599" s="402"/>
    </row>
    <row r="600" ht="14.25" customHeight="1">
      <c r="A600" s="406">
        <v>45527.0</v>
      </c>
      <c r="B600" s="594" t="s">
        <v>2275</v>
      </c>
      <c r="C600" s="512" t="s">
        <v>2276</v>
      </c>
      <c r="D600" s="635" t="s">
        <v>54</v>
      </c>
      <c r="E600" s="349" t="s">
        <v>2133</v>
      </c>
      <c r="F600" s="636">
        <v>40363.26</v>
      </c>
      <c r="G600" s="413">
        <v>0.0</v>
      </c>
      <c r="H600" s="417" t="s">
        <v>2325</v>
      </c>
      <c r="I600" s="402"/>
      <c r="J600" s="402"/>
      <c r="K600" s="402"/>
      <c r="L600" s="402"/>
      <c r="M600" s="402"/>
      <c r="N600" s="402"/>
      <c r="O600" s="402"/>
      <c r="P600" s="402"/>
      <c r="Q600" s="402"/>
      <c r="R600" s="402"/>
      <c r="S600" s="402"/>
      <c r="T600" s="402"/>
      <c r="U600" s="402"/>
      <c r="V600" s="402"/>
      <c r="W600" s="402"/>
      <c r="X600" s="402"/>
      <c r="Y600" s="402"/>
      <c r="Z600" s="402"/>
    </row>
    <row r="601" ht="14.25" customHeight="1">
      <c r="A601" s="406">
        <v>45527.0</v>
      </c>
      <c r="B601" s="653" t="s">
        <v>2301</v>
      </c>
      <c r="C601" s="653" t="s">
        <v>2302</v>
      </c>
      <c r="D601" s="654" t="s">
        <v>54</v>
      </c>
      <c r="E601" s="407" t="s">
        <v>2133</v>
      </c>
      <c r="F601" s="638">
        <v>2000.0</v>
      </c>
      <c r="G601" s="413">
        <v>0.0</v>
      </c>
      <c r="H601" s="349" t="s">
        <v>2200</v>
      </c>
      <c r="I601" s="402"/>
      <c r="J601" s="402"/>
      <c r="K601" s="402"/>
      <c r="L601" s="402"/>
      <c r="M601" s="402"/>
      <c r="N601" s="402"/>
      <c r="O601" s="402"/>
      <c r="P601" s="402"/>
      <c r="Q601" s="402"/>
      <c r="R601" s="402"/>
      <c r="S601" s="402"/>
      <c r="T601" s="402"/>
      <c r="U601" s="402"/>
      <c r="V601" s="402"/>
      <c r="W601" s="402"/>
      <c r="X601" s="402"/>
      <c r="Y601" s="402"/>
      <c r="Z601" s="402"/>
    </row>
    <row r="602" ht="14.25" customHeight="1">
      <c r="A602" s="406">
        <v>45527.0</v>
      </c>
      <c r="B602" s="596" t="s">
        <v>2278</v>
      </c>
      <c r="C602" s="513" t="s">
        <v>2279</v>
      </c>
      <c r="D602" s="637" t="s">
        <v>54</v>
      </c>
      <c r="E602" s="349" t="s">
        <v>2133</v>
      </c>
      <c r="F602" s="638">
        <v>107213.0</v>
      </c>
      <c r="G602" s="413">
        <v>0.0</v>
      </c>
      <c r="H602" s="417" t="s">
        <v>2348</v>
      </c>
      <c r="I602" s="402"/>
      <c r="J602" s="402"/>
      <c r="K602" s="402"/>
      <c r="L602" s="402"/>
      <c r="M602" s="402"/>
      <c r="N602" s="402"/>
      <c r="O602" s="402"/>
      <c r="P602" s="402"/>
      <c r="Q602" s="402"/>
      <c r="R602" s="402"/>
      <c r="S602" s="402"/>
      <c r="T602" s="402"/>
      <c r="U602" s="402"/>
      <c r="V602" s="402"/>
      <c r="W602" s="402"/>
      <c r="X602" s="402"/>
      <c r="Y602" s="402"/>
      <c r="Z602" s="402"/>
    </row>
    <row r="603" ht="14.25" customHeight="1">
      <c r="A603" s="406">
        <v>45527.0</v>
      </c>
      <c r="B603" s="512" t="s">
        <v>2288</v>
      </c>
      <c r="C603" s="512" t="s">
        <v>2203</v>
      </c>
      <c r="D603" s="635" t="s">
        <v>54</v>
      </c>
      <c r="E603" s="349" t="s">
        <v>2133</v>
      </c>
      <c r="F603" s="638">
        <v>12829.0</v>
      </c>
      <c r="G603" s="413">
        <v>0.0</v>
      </c>
      <c r="H603" s="417" t="s">
        <v>2349</v>
      </c>
      <c r="I603" s="402"/>
      <c r="J603" s="402"/>
      <c r="K603" s="402"/>
      <c r="L603" s="402"/>
      <c r="M603" s="402"/>
      <c r="N603" s="402"/>
      <c r="O603" s="402"/>
      <c r="P603" s="402"/>
      <c r="Q603" s="402"/>
      <c r="R603" s="402"/>
      <c r="S603" s="402"/>
      <c r="T603" s="402"/>
      <c r="U603" s="402"/>
      <c r="V603" s="402"/>
      <c r="W603" s="402"/>
      <c r="X603" s="402"/>
      <c r="Y603" s="402"/>
      <c r="Z603" s="402"/>
    </row>
    <row r="604" ht="14.25" customHeight="1">
      <c r="A604" s="406">
        <v>45527.0</v>
      </c>
      <c r="B604" s="513" t="s">
        <v>2318</v>
      </c>
      <c r="C604" s="513" t="s">
        <v>2338</v>
      </c>
      <c r="D604" s="635" t="s">
        <v>54</v>
      </c>
      <c r="E604" s="349" t="s">
        <v>2133</v>
      </c>
      <c r="F604" s="638">
        <v>29382.0</v>
      </c>
      <c r="G604" s="413">
        <v>0.0</v>
      </c>
      <c r="H604" s="349" t="s">
        <v>2325</v>
      </c>
      <c r="I604" s="402"/>
      <c r="J604" s="402"/>
      <c r="K604" s="402"/>
      <c r="L604" s="402"/>
      <c r="M604" s="402"/>
      <c r="N604" s="402"/>
      <c r="O604" s="402"/>
      <c r="P604" s="402"/>
      <c r="Q604" s="402"/>
      <c r="R604" s="402"/>
      <c r="S604" s="402"/>
      <c r="T604" s="402"/>
      <c r="U604" s="402"/>
      <c r="V604" s="402"/>
      <c r="W604" s="402"/>
      <c r="X604" s="402"/>
      <c r="Y604" s="402"/>
      <c r="Z604" s="402"/>
    </row>
    <row r="605" ht="14.25" customHeight="1">
      <c r="A605" s="406">
        <v>45527.0</v>
      </c>
      <c r="B605" s="634" t="s">
        <v>2140</v>
      </c>
      <c r="C605" s="634" t="s">
        <v>2340</v>
      </c>
      <c r="D605" s="635" t="s">
        <v>54</v>
      </c>
      <c r="E605" s="349" t="s">
        <v>2133</v>
      </c>
      <c r="F605" s="647">
        <v>69538.0</v>
      </c>
      <c r="G605" s="413">
        <v>0.0</v>
      </c>
      <c r="H605" s="419" t="s">
        <v>2400</v>
      </c>
      <c r="I605" s="402"/>
      <c r="J605" s="402"/>
      <c r="K605" s="402"/>
      <c r="L605" s="402"/>
      <c r="M605" s="402"/>
      <c r="N605" s="402"/>
      <c r="O605" s="402"/>
      <c r="P605" s="402"/>
      <c r="Q605" s="402"/>
      <c r="R605" s="402"/>
      <c r="S605" s="402"/>
      <c r="T605" s="402"/>
      <c r="U605" s="402"/>
      <c r="V605" s="402"/>
      <c r="W605" s="402"/>
      <c r="X605" s="402"/>
      <c r="Y605" s="402"/>
      <c r="Z605" s="402"/>
    </row>
    <row r="606" ht="14.25" customHeight="1">
      <c r="A606" s="406">
        <v>45527.0</v>
      </c>
      <c r="B606" s="512" t="s">
        <v>2137</v>
      </c>
      <c r="C606" s="512" t="s">
        <v>2138</v>
      </c>
      <c r="D606" s="635" t="s">
        <v>75</v>
      </c>
      <c r="E606" s="349" t="s">
        <v>2133</v>
      </c>
      <c r="F606" s="643">
        <v>100000.0</v>
      </c>
      <c r="G606" s="413">
        <v>0.0</v>
      </c>
      <c r="H606" s="419" t="s">
        <v>2391</v>
      </c>
      <c r="I606" s="402"/>
      <c r="J606" s="402"/>
      <c r="K606" s="402"/>
      <c r="L606" s="402"/>
      <c r="M606" s="402"/>
      <c r="N606" s="402"/>
      <c r="O606" s="402"/>
      <c r="P606" s="402"/>
      <c r="Q606" s="402"/>
      <c r="R606" s="402"/>
      <c r="S606" s="402"/>
      <c r="T606" s="402"/>
      <c r="U606" s="402"/>
      <c r="V606" s="402"/>
      <c r="W606" s="402"/>
      <c r="X606" s="402"/>
      <c r="Y606" s="402"/>
      <c r="Z606" s="402"/>
    </row>
    <row r="607" ht="14.25" customHeight="1">
      <c r="A607" s="406">
        <v>45527.0</v>
      </c>
      <c r="B607" s="634" t="s">
        <v>2155</v>
      </c>
      <c r="C607" s="634" t="s">
        <v>2392</v>
      </c>
      <c r="D607" s="595" t="s">
        <v>54</v>
      </c>
      <c r="E607" s="349" t="s">
        <v>2133</v>
      </c>
      <c r="F607" s="559">
        <v>25497.0</v>
      </c>
      <c r="G607" s="413">
        <v>0.0</v>
      </c>
      <c r="H607" s="349" t="s">
        <v>2396</v>
      </c>
      <c r="I607" s="402"/>
      <c r="J607" s="402"/>
      <c r="K607" s="402"/>
      <c r="L607" s="402"/>
      <c r="M607" s="402"/>
      <c r="N607" s="402"/>
      <c r="O607" s="402"/>
      <c r="P607" s="402"/>
      <c r="Q607" s="402"/>
      <c r="R607" s="402"/>
      <c r="S607" s="402"/>
      <c r="T607" s="402"/>
      <c r="U607" s="402"/>
      <c r="V607" s="402"/>
      <c r="W607" s="402"/>
      <c r="X607" s="402"/>
      <c r="Y607" s="402"/>
      <c r="Z607" s="402"/>
    </row>
    <row r="608" ht="14.25" customHeight="1">
      <c r="A608" s="406">
        <v>45527.0</v>
      </c>
      <c r="B608" s="349" t="s">
        <v>2163</v>
      </c>
      <c r="C608" s="349" t="s">
        <v>2164</v>
      </c>
      <c r="D608" s="413" t="s">
        <v>59</v>
      </c>
      <c r="E608" s="349" t="s">
        <v>273</v>
      </c>
      <c r="F608" s="559">
        <v>100000.0</v>
      </c>
      <c r="G608" s="413">
        <v>30000.0</v>
      </c>
      <c r="H608" s="419" t="s">
        <v>2380</v>
      </c>
      <c r="I608" s="402"/>
      <c r="J608" s="402"/>
      <c r="K608" s="402"/>
      <c r="L608" s="402"/>
      <c r="M608" s="402"/>
      <c r="N608" s="402"/>
      <c r="O608" s="402"/>
      <c r="P608" s="402"/>
      <c r="Q608" s="402"/>
      <c r="R608" s="402"/>
      <c r="S608" s="402"/>
      <c r="T608" s="402"/>
      <c r="U608" s="402"/>
      <c r="V608" s="402"/>
      <c r="W608" s="402"/>
      <c r="X608" s="402"/>
      <c r="Y608" s="402"/>
      <c r="Z608" s="402"/>
    </row>
    <row r="609" ht="14.25" customHeight="1">
      <c r="A609" s="406">
        <v>45527.0</v>
      </c>
      <c r="B609" s="605" t="s">
        <v>2360</v>
      </c>
      <c r="C609" s="634" t="s">
        <v>2361</v>
      </c>
      <c r="D609" s="634" t="s">
        <v>54</v>
      </c>
      <c r="E609" s="349" t="s">
        <v>2133</v>
      </c>
      <c r="F609" s="649">
        <v>10000.0</v>
      </c>
      <c r="G609" s="413">
        <v>0.0</v>
      </c>
      <c r="H609" s="349" t="s">
        <v>2398</v>
      </c>
      <c r="I609" s="402"/>
      <c r="J609" s="402"/>
      <c r="K609" s="402"/>
      <c r="L609" s="402"/>
      <c r="M609" s="402"/>
      <c r="N609" s="402"/>
      <c r="O609" s="402"/>
      <c r="P609" s="402"/>
      <c r="Q609" s="402"/>
      <c r="R609" s="402"/>
      <c r="S609" s="402"/>
      <c r="T609" s="402"/>
      <c r="U609" s="402"/>
      <c r="V609" s="402"/>
      <c r="W609" s="402"/>
      <c r="X609" s="402"/>
      <c r="Y609" s="402"/>
      <c r="Z609" s="402"/>
    </row>
    <row r="610" ht="14.25" customHeight="1">
      <c r="A610" s="406">
        <v>45527.0</v>
      </c>
      <c r="B610" s="623" t="s">
        <v>2152</v>
      </c>
      <c r="C610" s="623" t="s">
        <v>2153</v>
      </c>
      <c r="D610" s="624" t="s">
        <v>54</v>
      </c>
      <c r="E610" s="349" t="s">
        <v>2133</v>
      </c>
      <c r="F610" s="651">
        <v>63975.15</v>
      </c>
      <c r="G610" s="413">
        <v>0.0</v>
      </c>
      <c r="H610" s="419" t="s">
        <v>2399</v>
      </c>
      <c r="I610" s="402"/>
      <c r="J610" s="402"/>
      <c r="K610" s="402"/>
      <c r="L610" s="402"/>
      <c r="M610" s="402"/>
      <c r="N610" s="402"/>
      <c r="O610" s="402"/>
      <c r="P610" s="402"/>
      <c r="Q610" s="402"/>
      <c r="R610" s="402"/>
      <c r="S610" s="402"/>
      <c r="T610" s="402"/>
      <c r="U610" s="402"/>
      <c r="V610" s="402"/>
      <c r="W610" s="402"/>
      <c r="X610" s="402"/>
      <c r="Y610" s="402"/>
      <c r="Z610" s="402"/>
    </row>
    <row r="611" ht="14.25" customHeight="1">
      <c r="A611" s="406"/>
      <c r="B611" s="402"/>
      <c r="C611" s="402"/>
      <c r="D611" s="402"/>
      <c r="E611" s="402"/>
      <c r="F611" s="587"/>
      <c r="G611" s="403"/>
      <c r="H611" s="402"/>
      <c r="I611" s="402"/>
      <c r="J611" s="402"/>
      <c r="K611" s="402"/>
      <c r="L611" s="402"/>
      <c r="M611" s="402"/>
      <c r="N611" s="402"/>
      <c r="O611" s="402"/>
      <c r="P611" s="402"/>
      <c r="Q611" s="402"/>
      <c r="R611" s="402"/>
      <c r="S611" s="402"/>
      <c r="T611" s="402"/>
      <c r="U611" s="402"/>
      <c r="V611" s="402"/>
      <c r="W611" s="402"/>
      <c r="X611" s="402"/>
      <c r="Y611" s="402"/>
      <c r="Z611" s="402"/>
    </row>
    <row r="612" ht="14.25" customHeight="1">
      <c r="A612" s="406"/>
      <c r="B612" s="402"/>
      <c r="C612" s="402"/>
      <c r="D612" s="402"/>
      <c r="E612" s="402"/>
      <c r="F612" s="587"/>
      <c r="G612" s="403"/>
      <c r="H612" s="402"/>
      <c r="I612" s="402"/>
      <c r="J612" s="402"/>
      <c r="K612" s="402"/>
      <c r="L612" s="402"/>
      <c r="M612" s="402"/>
      <c r="N612" s="402"/>
      <c r="O612" s="402"/>
      <c r="P612" s="402"/>
      <c r="Q612" s="402"/>
      <c r="R612" s="402"/>
      <c r="S612" s="402"/>
      <c r="T612" s="402"/>
      <c r="U612" s="402"/>
      <c r="V612" s="402"/>
      <c r="W612" s="402"/>
      <c r="X612" s="402"/>
      <c r="Y612" s="402"/>
      <c r="Z612" s="402"/>
    </row>
    <row r="613" ht="14.25" customHeight="1">
      <c r="A613" s="406"/>
      <c r="B613" s="402"/>
      <c r="C613" s="402"/>
      <c r="D613" s="402"/>
      <c r="E613" s="402"/>
      <c r="F613" s="587"/>
      <c r="G613" s="403"/>
      <c r="H613" s="402"/>
      <c r="I613" s="402"/>
      <c r="J613" s="402"/>
      <c r="K613" s="402"/>
      <c r="L613" s="402"/>
      <c r="M613" s="402"/>
      <c r="N613" s="402"/>
      <c r="O613" s="402"/>
      <c r="P613" s="402"/>
      <c r="Q613" s="402"/>
      <c r="R613" s="402"/>
      <c r="S613" s="402"/>
      <c r="T613" s="402"/>
      <c r="U613" s="402"/>
      <c r="V613" s="402"/>
      <c r="W613" s="402"/>
      <c r="X613" s="402"/>
      <c r="Y613" s="402"/>
      <c r="Z613" s="402"/>
    </row>
    <row r="614" ht="14.25" customHeight="1">
      <c r="A614" s="406">
        <v>45528.0</v>
      </c>
      <c r="B614" s="512" t="s">
        <v>2365</v>
      </c>
      <c r="C614" s="512" t="s">
        <v>2366</v>
      </c>
      <c r="D614" s="595" t="s">
        <v>54</v>
      </c>
      <c r="E614" s="349" t="s">
        <v>2133</v>
      </c>
      <c r="F614" s="643">
        <v>12183.0</v>
      </c>
      <c r="G614" s="413">
        <v>0.0</v>
      </c>
      <c r="H614" s="349" t="s">
        <v>2395</v>
      </c>
      <c r="I614" s="402"/>
      <c r="J614" s="402"/>
      <c r="K614" s="402"/>
      <c r="L614" s="402"/>
      <c r="M614" s="402"/>
      <c r="N614" s="402"/>
      <c r="O614" s="402"/>
      <c r="P614" s="402"/>
      <c r="Q614" s="402"/>
      <c r="R614" s="402"/>
      <c r="S614" s="402"/>
      <c r="T614" s="402"/>
      <c r="U614" s="402"/>
      <c r="V614" s="402"/>
      <c r="W614" s="402"/>
      <c r="X614" s="402"/>
      <c r="Y614" s="402"/>
      <c r="Z614" s="402"/>
    </row>
    <row r="615" ht="14.25" customHeight="1">
      <c r="A615" s="406">
        <v>45528.0</v>
      </c>
      <c r="B615" s="513" t="s">
        <v>2368</v>
      </c>
      <c r="C615" s="513" t="s">
        <v>2366</v>
      </c>
      <c r="D615" s="597" t="s">
        <v>346</v>
      </c>
      <c r="E615" s="349" t="s">
        <v>2133</v>
      </c>
      <c r="F615" s="644">
        <v>13250.0</v>
      </c>
      <c r="G615" s="413">
        <v>0.0</v>
      </c>
      <c r="H615" s="349" t="s">
        <v>2395</v>
      </c>
      <c r="I615" s="402"/>
      <c r="J615" s="402"/>
      <c r="K615" s="402"/>
      <c r="L615" s="402"/>
      <c r="M615" s="402"/>
      <c r="N615" s="402"/>
      <c r="O615" s="402"/>
      <c r="P615" s="402"/>
      <c r="Q615" s="402"/>
      <c r="R615" s="402"/>
      <c r="S615" s="402"/>
      <c r="T615" s="402"/>
      <c r="U615" s="402"/>
      <c r="V615" s="402"/>
      <c r="W615" s="402"/>
      <c r="X615" s="402"/>
      <c r="Y615" s="402"/>
      <c r="Z615" s="402"/>
    </row>
    <row r="616" ht="14.25" customHeight="1">
      <c r="A616" s="406">
        <v>45528.0</v>
      </c>
      <c r="B616" s="512" t="s">
        <v>2332</v>
      </c>
      <c r="C616" s="512" t="s">
        <v>2197</v>
      </c>
      <c r="D616" s="635" t="s">
        <v>54</v>
      </c>
      <c r="E616" s="349" t="s">
        <v>2133</v>
      </c>
      <c r="F616" s="636">
        <v>217317.0</v>
      </c>
      <c r="G616" s="413">
        <v>0.0</v>
      </c>
      <c r="H616" s="349" t="s">
        <v>2383</v>
      </c>
      <c r="I616" s="402"/>
      <c r="J616" s="402"/>
      <c r="K616" s="402"/>
      <c r="L616" s="402"/>
      <c r="M616" s="402"/>
      <c r="N616" s="402"/>
      <c r="O616" s="402"/>
      <c r="P616" s="402"/>
      <c r="Q616" s="402"/>
      <c r="R616" s="402"/>
      <c r="S616" s="402"/>
      <c r="T616" s="402"/>
      <c r="U616" s="402"/>
      <c r="V616" s="402"/>
      <c r="W616" s="402"/>
      <c r="X616" s="402"/>
      <c r="Y616" s="402"/>
      <c r="Z616" s="402"/>
    </row>
    <row r="617" ht="14.25" customHeight="1">
      <c r="A617" s="406">
        <v>45528.0</v>
      </c>
      <c r="B617" s="512" t="s">
        <v>2343</v>
      </c>
      <c r="C617" s="512" t="s">
        <v>2344</v>
      </c>
      <c r="D617" s="635" t="s">
        <v>54</v>
      </c>
      <c r="E617" s="349" t="s">
        <v>2133</v>
      </c>
      <c r="F617" s="636">
        <v>20425.0</v>
      </c>
      <c r="G617" s="413">
        <v>0.0</v>
      </c>
      <c r="H617" s="419" t="s">
        <v>2386</v>
      </c>
      <c r="I617" s="402"/>
      <c r="J617" s="402"/>
      <c r="K617" s="402"/>
      <c r="L617" s="402"/>
      <c r="M617" s="402"/>
      <c r="N617" s="402"/>
      <c r="O617" s="402"/>
      <c r="P617" s="402"/>
      <c r="Q617" s="402"/>
      <c r="R617" s="402"/>
      <c r="S617" s="402"/>
      <c r="T617" s="402"/>
      <c r="U617" s="402"/>
      <c r="V617" s="402"/>
      <c r="W617" s="402"/>
      <c r="X617" s="402"/>
      <c r="Y617" s="402"/>
      <c r="Z617" s="402"/>
    </row>
    <row r="618" ht="14.25" customHeight="1">
      <c r="A618" s="406">
        <v>45528.0</v>
      </c>
      <c r="B618" s="594" t="s">
        <v>2294</v>
      </c>
      <c r="C618" s="594" t="s">
        <v>2153</v>
      </c>
      <c r="D618" s="645" t="s">
        <v>75</v>
      </c>
      <c r="E618" s="349" t="s">
        <v>2133</v>
      </c>
      <c r="F618" s="636">
        <v>67750.0</v>
      </c>
      <c r="G618" s="413">
        <v>0.0</v>
      </c>
      <c r="H618" s="419" t="s">
        <v>2387</v>
      </c>
      <c r="I618" s="402"/>
      <c r="J618" s="402"/>
      <c r="K618" s="402"/>
      <c r="L618" s="402"/>
      <c r="M618" s="402"/>
      <c r="N618" s="402"/>
      <c r="O618" s="402"/>
      <c r="P618" s="402"/>
      <c r="Q618" s="402"/>
      <c r="R618" s="402"/>
      <c r="S618" s="402"/>
      <c r="T618" s="402"/>
      <c r="U618" s="402"/>
      <c r="V618" s="402"/>
      <c r="W618" s="402"/>
      <c r="X618" s="402"/>
      <c r="Y618" s="402"/>
      <c r="Z618" s="402"/>
    </row>
    <row r="619" ht="14.25" customHeight="1">
      <c r="A619" s="406">
        <v>45528.0</v>
      </c>
      <c r="B619" s="607" t="s">
        <v>2149</v>
      </c>
      <c r="C619" s="607" t="s">
        <v>2206</v>
      </c>
      <c r="D619" s="349" t="s">
        <v>54</v>
      </c>
      <c r="E619" s="349" t="s">
        <v>2133</v>
      </c>
      <c r="F619" s="559">
        <v>5000.0</v>
      </c>
      <c r="G619" s="413">
        <v>0.0</v>
      </c>
      <c r="H619" s="417" t="s">
        <v>2296</v>
      </c>
      <c r="I619" s="402"/>
      <c r="J619" s="402"/>
      <c r="K619" s="402"/>
      <c r="L619" s="402"/>
      <c r="M619" s="402"/>
      <c r="N619" s="402"/>
      <c r="O619" s="402"/>
      <c r="P619" s="402"/>
      <c r="Q619" s="402"/>
      <c r="R619" s="402"/>
      <c r="S619" s="402"/>
      <c r="T619" s="402"/>
      <c r="U619" s="402"/>
      <c r="V619" s="402"/>
      <c r="W619" s="402"/>
      <c r="X619" s="402"/>
      <c r="Y619" s="402"/>
      <c r="Z619" s="402"/>
    </row>
    <row r="620" ht="14.25" customHeight="1">
      <c r="A620" s="406">
        <v>45528.0</v>
      </c>
      <c r="B620" s="419" t="s">
        <v>2208</v>
      </c>
      <c r="C620" s="408" t="s">
        <v>2132</v>
      </c>
      <c r="D620" s="408" t="s">
        <v>439</v>
      </c>
      <c r="E620" s="408" t="s">
        <v>2133</v>
      </c>
      <c r="F620" s="445">
        <v>4000.0</v>
      </c>
      <c r="G620" s="413">
        <v>0.0</v>
      </c>
      <c r="H620" s="419" t="s">
        <v>2388</v>
      </c>
      <c r="I620" s="402"/>
      <c r="J620" s="402"/>
      <c r="K620" s="402"/>
      <c r="L620" s="402"/>
      <c r="M620" s="402"/>
      <c r="N620" s="402"/>
      <c r="O620" s="402"/>
      <c r="P620" s="402"/>
      <c r="Q620" s="402"/>
      <c r="R620" s="402"/>
      <c r="S620" s="402"/>
      <c r="T620" s="402"/>
      <c r="U620" s="402"/>
      <c r="V620" s="402"/>
      <c r="W620" s="402"/>
      <c r="X620" s="402"/>
      <c r="Y620" s="402"/>
      <c r="Z620" s="402"/>
    </row>
    <row r="621" ht="14.25" customHeight="1">
      <c r="A621" s="406">
        <v>45528.0</v>
      </c>
      <c r="B621" s="349" t="s">
        <v>2143</v>
      </c>
      <c r="C621" s="349" t="s">
        <v>2144</v>
      </c>
      <c r="D621" s="349" t="s">
        <v>54</v>
      </c>
      <c r="E621" s="349" t="s">
        <v>2133</v>
      </c>
      <c r="F621" s="559">
        <v>6000.0</v>
      </c>
      <c r="G621" s="413">
        <v>6000.0</v>
      </c>
      <c r="H621" s="349" t="s">
        <v>1462</v>
      </c>
      <c r="I621" s="402"/>
      <c r="J621" s="402"/>
      <c r="K621" s="402"/>
      <c r="L621" s="402"/>
      <c r="M621" s="402"/>
      <c r="N621" s="402"/>
      <c r="O621" s="402"/>
      <c r="P621" s="402"/>
      <c r="Q621" s="402"/>
      <c r="R621" s="402"/>
      <c r="S621" s="402"/>
      <c r="T621" s="402"/>
      <c r="U621" s="402"/>
      <c r="V621" s="402"/>
      <c r="W621" s="402"/>
      <c r="X621" s="402"/>
      <c r="Y621" s="402"/>
      <c r="Z621" s="402"/>
    </row>
    <row r="622" ht="14.25" customHeight="1">
      <c r="A622" s="406">
        <v>45528.0</v>
      </c>
      <c r="B622" s="605" t="s">
        <v>2221</v>
      </c>
      <c r="C622" s="606" t="s">
        <v>2222</v>
      </c>
      <c r="D622" s="349" t="s">
        <v>54</v>
      </c>
      <c r="E622" s="349" t="s">
        <v>2133</v>
      </c>
      <c r="F622" s="611">
        <v>32250.0</v>
      </c>
      <c r="G622" s="413">
        <v>0.0</v>
      </c>
      <c r="H622" s="349" t="s">
        <v>2396</v>
      </c>
      <c r="I622" s="402"/>
      <c r="J622" s="402"/>
      <c r="K622" s="402"/>
      <c r="L622" s="402"/>
      <c r="M622" s="402"/>
      <c r="N622" s="402"/>
      <c r="O622" s="402"/>
      <c r="P622" s="402"/>
      <c r="Q622" s="402"/>
      <c r="R622" s="402"/>
      <c r="S622" s="402"/>
      <c r="T622" s="402"/>
      <c r="U622" s="402"/>
      <c r="V622" s="402"/>
      <c r="W622" s="402"/>
      <c r="X622" s="402"/>
      <c r="Y622" s="402"/>
      <c r="Z622" s="402"/>
    </row>
    <row r="623" ht="14.25" customHeight="1">
      <c r="A623" s="406">
        <v>45528.0</v>
      </c>
      <c r="B623" s="640" t="s">
        <v>2196</v>
      </c>
      <c r="C623" s="629" t="s">
        <v>2246</v>
      </c>
      <c r="D623" s="349" t="s">
        <v>54</v>
      </c>
      <c r="E623" s="349" t="s">
        <v>2133</v>
      </c>
      <c r="F623" s="622">
        <v>126855.0</v>
      </c>
      <c r="G623" s="413">
        <v>0.0</v>
      </c>
      <c r="H623" s="414" t="s">
        <v>2200</v>
      </c>
      <c r="I623" s="402"/>
      <c r="J623" s="402"/>
      <c r="K623" s="402"/>
      <c r="L623" s="402"/>
      <c r="M623" s="402"/>
      <c r="N623" s="402"/>
      <c r="O623" s="402"/>
      <c r="P623" s="402"/>
      <c r="Q623" s="402"/>
      <c r="R623" s="402"/>
      <c r="S623" s="402"/>
      <c r="T623" s="402"/>
      <c r="U623" s="402"/>
      <c r="V623" s="402"/>
      <c r="W623" s="402"/>
      <c r="X623" s="402"/>
      <c r="Y623" s="402"/>
      <c r="Z623" s="402"/>
    </row>
    <row r="624" ht="14.25" customHeight="1">
      <c r="A624" s="406">
        <v>45528.0</v>
      </c>
      <c r="B624" s="642" t="s">
        <v>2235</v>
      </c>
      <c r="C624" s="623" t="s">
        <v>2236</v>
      </c>
      <c r="D624" s="630" t="s">
        <v>75</v>
      </c>
      <c r="E624" s="349" t="s">
        <v>2133</v>
      </c>
      <c r="F624" s="622">
        <v>14500.0</v>
      </c>
      <c r="G624" s="413">
        <v>0.0</v>
      </c>
      <c r="H624" s="419" t="s">
        <v>2376</v>
      </c>
      <c r="I624" s="402"/>
      <c r="J624" s="402"/>
      <c r="K624" s="402"/>
      <c r="L624" s="402"/>
      <c r="M624" s="402"/>
      <c r="N624" s="402"/>
      <c r="O624" s="402"/>
      <c r="P624" s="402"/>
      <c r="Q624" s="402"/>
      <c r="R624" s="402"/>
      <c r="S624" s="402"/>
      <c r="T624" s="402"/>
      <c r="U624" s="402"/>
      <c r="V624" s="402"/>
      <c r="W624" s="402"/>
      <c r="X624" s="402"/>
      <c r="Y624" s="402"/>
      <c r="Z624" s="402"/>
    </row>
    <row r="625" ht="14.25" customHeight="1">
      <c r="A625" s="406">
        <v>45528.0</v>
      </c>
      <c r="B625" s="594" t="s">
        <v>2275</v>
      </c>
      <c r="C625" s="512" t="s">
        <v>2276</v>
      </c>
      <c r="D625" s="635" t="s">
        <v>54</v>
      </c>
      <c r="E625" s="349" t="s">
        <v>2133</v>
      </c>
      <c r="F625" s="636">
        <v>40363.26</v>
      </c>
      <c r="G625" s="413">
        <v>0.0</v>
      </c>
      <c r="H625" s="417" t="s">
        <v>2347</v>
      </c>
      <c r="I625" s="402"/>
      <c r="J625" s="402"/>
      <c r="K625" s="402"/>
      <c r="L625" s="402"/>
      <c r="M625" s="402"/>
      <c r="N625" s="402"/>
      <c r="O625" s="402"/>
      <c r="P625" s="402"/>
      <c r="Q625" s="402"/>
      <c r="R625" s="402"/>
      <c r="S625" s="402"/>
      <c r="T625" s="402"/>
      <c r="U625" s="402"/>
      <c r="V625" s="402"/>
      <c r="W625" s="402"/>
      <c r="X625" s="402"/>
      <c r="Y625" s="402"/>
      <c r="Z625" s="402"/>
    </row>
    <row r="626" ht="14.25" customHeight="1">
      <c r="A626" s="406">
        <v>45528.0</v>
      </c>
      <c r="B626" s="653" t="s">
        <v>2301</v>
      </c>
      <c r="C626" s="653" t="s">
        <v>2302</v>
      </c>
      <c r="D626" s="654" t="s">
        <v>54</v>
      </c>
      <c r="E626" s="407" t="s">
        <v>2133</v>
      </c>
      <c r="F626" s="638">
        <v>2000.0</v>
      </c>
      <c r="G626" s="413">
        <v>0.0</v>
      </c>
      <c r="H626" s="417" t="s">
        <v>2325</v>
      </c>
      <c r="I626" s="402"/>
      <c r="J626" s="402"/>
      <c r="K626" s="402"/>
      <c r="L626" s="402"/>
      <c r="M626" s="402"/>
      <c r="N626" s="402"/>
      <c r="O626" s="402"/>
      <c r="P626" s="402"/>
      <c r="Q626" s="402"/>
      <c r="R626" s="402"/>
      <c r="S626" s="402"/>
      <c r="T626" s="402"/>
      <c r="U626" s="402"/>
      <c r="V626" s="402"/>
      <c r="W626" s="402"/>
      <c r="X626" s="402"/>
      <c r="Y626" s="402"/>
      <c r="Z626" s="402"/>
    </row>
    <row r="627" ht="14.25" customHeight="1">
      <c r="A627" s="406">
        <v>45528.0</v>
      </c>
      <c r="B627" s="596" t="s">
        <v>2278</v>
      </c>
      <c r="C627" s="513" t="s">
        <v>2279</v>
      </c>
      <c r="D627" s="637" t="s">
        <v>54</v>
      </c>
      <c r="E627" s="349" t="s">
        <v>2133</v>
      </c>
      <c r="F627" s="638">
        <v>107213.0</v>
      </c>
      <c r="G627" s="413">
        <v>0.0</v>
      </c>
      <c r="H627" s="349" t="s">
        <v>1462</v>
      </c>
      <c r="I627" s="402"/>
      <c r="J627" s="402"/>
      <c r="K627" s="402"/>
      <c r="L627" s="402"/>
      <c r="M627" s="402"/>
      <c r="N627" s="402"/>
      <c r="O627" s="402"/>
      <c r="P627" s="402"/>
      <c r="Q627" s="402"/>
      <c r="R627" s="402"/>
      <c r="S627" s="402"/>
      <c r="T627" s="402"/>
      <c r="U627" s="402"/>
      <c r="V627" s="402"/>
      <c r="W627" s="402"/>
      <c r="X627" s="402"/>
      <c r="Y627" s="402"/>
      <c r="Z627" s="402"/>
    </row>
    <row r="628" ht="14.25" customHeight="1">
      <c r="A628" s="406">
        <v>45528.0</v>
      </c>
      <c r="B628" s="512" t="s">
        <v>2288</v>
      </c>
      <c r="C628" s="512" t="s">
        <v>2203</v>
      </c>
      <c r="D628" s="635" t="s">
        <v>54</v>
      </c>
      <c r="E628" s="349" t="s">
        <v>2133</v>
      </c>
      <c r="F628" s="638">
        <v>12829.0</v>
      </c>
      <c r="G628" s="413">
        <v>0.0</v>
      </c>
      <c r="H628" s="417" t="s">
        <v>2348</v>
      </c>
      <c r="I628" s="402"/>
      <c r="J628" s="402"/>
      <c r="K628" s="402"/>
      <c r="L628" s="402"/>
      <c r="M628" s="402"/>
      <c r="N628" s="402"/>
      <c r="O628" s="402"/>
      <c r="P628" s="402"/>
      <c r="Q628" s="402"/>
      <c r="R628" s="402"/>
      <c r="S628" s="402"/>
      <c r="T628" s="402"/>
      <c r="U628" s="402"/>
      <c r="V628" s="402"/>
      <c r="W628" s="402"/>
      <c r="X628" s="402"/>
      <c r="Y628" s="402"/>
      <c r="Z628" s="402"/>
    </row>
    <row r="629" ht="14.25" customHeight="1">
      <c r="A629" s="406">
        <v>45528.0</v>
      </c>
      <c r="B629" s="513" t="s">
        <v>2318</v>
      </c>
      <c r="C629" s="513" t="s">
        <v>2338</v>
      </c>
      <c r="D629" s="635" t="s">
        <v>54</v>
      </c>
      <c r="E629" s="349" t="s">
        <v>2133</v>
      </c>
      <c r="F629" s="638">
        <v>29382.0</v>
      </c>
      <c r="G629" s="413">
        <v>0.0</v>
      </c>
      <c r="H629" s="417" t="s">
        <v>2349</v>
      </c>
      <c r="I629" s="402"/>
      <c r="J629" s="402"/>
      <c r="K629" s="402"/>
      <c r="L629" s="402"/>
      <c r="M629" s="402"/>
      <c r="N629" s="402"/>
      <c r="O629" s="402"/>
      <c r="P629" s="402"/>
      <c r="Q629" s="402"/>
      <c r="R629" s="402"/>
      <c r="S629" s="402"/>
      <c r="T629" s="402"/>
      <c r="U629" s="402"/>
      <c r="V629" s="402"/>
      <c r="W629" s="402"/>
      <c r="X629" s="402"/>
      <c r="Y629" s="402"/>
      <c r="Z629" s="402"/>
    </row>
    <row r="630" ht="14.25" customHeight="1">
      <c r="A630" s="406">
        <v>45528.0</v>
      </c>
      <c r="B630" s="634" t="s">
        <v>2140</v>
      </c>
      <c r="C630" s="634" t="s">
        <v>2340</v>
      </c>
      <c r="D630" s="635" t="s">
        <v>54</v>
      </c>
      <c r="E630" s="349" t="s">
        <v>2133</v>
      </c>
      <c r="F630" s="647">
        <v>69538.0</v>
      </c>
      <c r="G630" s="413">
        <v>0.0</v>
      </c>
      <c r="H630" s="349" t="s">
        <v>2325</v>
      </c>
      <c r="I630" s="402"/>
      <c r="J630" s="402"/>
      <c r="K630" s="402"/>
      <c r="L630" s="402"/>
      <c r="M630" s="402"/>
      <c r="N630" s="402"/>
      <c r="O630" s="402"/>
      <c r="P630" s="402"/>
      <c r="Q630" s="402"/>
      <c r="R630" s="402"/>
      <c r="S630" s="402"/>
      <c r="T630" s="402"/>
      <c r="U630" s="402"/>
      <c r="V630" s="402"/>
      <c r="W630" s="402"/>
      <c r="X630" s="402"/>
      <c r="Y630" s="402"/>
      <c r="Z630" s="402"/>
    </row>
    <row r="631" ht="14.25" customHeight="1">
      <c r="A631" s="406">
        <v>45528.0</v>
      </c>
      <c r="B631" s="512" t="s">
        <v>2137</v>
      </c>
      <c r="C631" s="512" t="s">
        <v>2138</v>
      </c>
      <c r="D631" s="635" t="s">
        <v>75</v>
      </c>
      <c r="E631" s="349" t="s">
        <v>2133</v>
      </c>
      <c r="F631" s="643">
        <v>100000.0</v>
      </c>
      <c r="G631" s="413">
        <v>0.0</v>
      </c>
      <c r="H631" s="419" t="s">
        <v>2400</v>
      </c>
      <c r="I631" s="402"/>
      <c r="J631" s="402"/>
      <c r="K631" s="402"/>
      <c r="L631" s="402"/>
      <c r="M631" s="402"/>
      <c r="N631" s="402"/>
      <c r="O631" s="402"/>
      <c r="P631" s="402"/>
      <c r="Q631" s="402"/>
      <c r="R631" s="402"/>
      <c r="S631" s="402"/>
      <c r="T631" s="402"/>
      <c r="U631" s="402"/>
      <c r="V631" s="402"/>
      <c r="W631" s="402"/>
      <c r="X631" s="402"/>
      <c r="Y631" s="402"/>
      <c r="Z631" s="402"/>
    </row>
    <row r="632" ht="14.25" customHeight="1">
      <c r="A632" s="406">
        <v>45528.0</v>
      </c>
      <c r="B632" s="634" t="s">
        <v>2155</v>
      </c>
      <c r="C632" s="634" t="s">
        <v>2392</v>
      </c>
      <c r="D632" s="595" t="s">
        <v>54</v>
      </c>
      <c r="E632" s="349" t="s">
        <v>2133</v>
      </c>
      <c r="F632" s="559">
        <v>22497.0</v>
      </c>
      <c r="G632" s="413">
        <v>0.0</v>
      </c>
      <c r="H632" s="419" t="s">
        <v>2391</v>
      </c>
      <c r="I632" s="402"/>
      <c r="J632" s="402"/>
      <c r="K632" s="402"/>
      <c r="L632" s="402"/>
      <c r="M632" s="402"/>
      <c r="N632" s="402"/>
      <c r="O632" s="402"/>
      <c r="P632" s="402"/>
      <c r="Q632" s="402"/>
      <c r="R632" s="402"/>
      <c r="S632" s="402"/>
      <c r="T632" s="402"/>
      <c r="U632" s="402"/>
      <c r="V632" s="402"/>
      <c r="W632" s="402"/>
      <c r="X632" s="402"/>
      <c r="Y632" s="402"/>
      <c r="Z632" s="402"/>
    </row>
    <row r="633" ht="14.25" customHeight="1">
      <c r="A633" s="406">
        <v>45528.0</v>
      </c>
      <c r="B633" s="349" t="s">
        <v>2163</v>
      </c>
      <c r="C633" s="349" t="s">
        <v>2164</v>
      </c>
      <c r="D633" s="413" t="s">
        <v>59</v>
      </c>
      <c r="E633" s="349" t="s">
        <v>273</v>
      </c>
      <c r="F633" s="559">
        <v>100000.0</v>
      </c>
      <c r="G633" s="413">
        <v>0.0</v>
      </c>
      <c r="H633" s="349" t="s">
        <v>2396</v>
      </c>
      <c r="I633" s="402"/>
      <c r="J633" s="402"/>
      <c r="K633" s="402"/>
      <c r="L633" s="402"/>
      <c r="M633" s="402"/>
      <c r="N633" s="402"/>
      <c r="O633" s="402"/>
      <c r="P633" s="402"/>
      <c r="Q633" s="402"/>
      <c r="R633" s="402"/>
      <c r="S633" s="402"/>
      <c r="T633" s="402"/>
      <c r="U633" s="402"/>
      <c r="V633" s="402"/>
      <c r="W633" s="402"/>
      <c r="X633" s="402"/>
      <c r="Y633" s="402"/>
      <c r="Z633" s="402"/>
    </row>
    <row r="634" ht="14.25" customHeight="1">
      <c r="A634" s="406">
        <v>45528.0</v>
      </c>
      <c r="B634" s="605" t="s">
        <v>2360</v>
      </c>
      <c r="C634" s="634" t="s">
        <v>2361</v>
      </c>
      <c r="D634" s="634" t="s">
        <v>54</v>
      </c>
      <c r="E634" s="349" t="s">
        <v>2133</v>
      </c>
      <c r="F634" s="649">
        <v>10000.0</v>
      </c>
      <c r="G634" s="413">
        <v>0.0</v>
      </c>
      <c r="H634" s="419" t="s">
        <v>2380</v>
      </c>
      <c r="I634" s="402"/>
      <c r="J634" s="402"/>
      <c r="K634" s="402"/>
      <c r="L634" s="402"/>
      <c r="M634" s="402"/>
      <c r="N634" s="402"/>
      <c r="O634" s="402"/>
      <c r="P634" s="402"/>
      <c r="Q634" s="402"/>
      <c r="R634" s="402"/>
      <c r="S634" s="402"/>
      <c r="T634" s="402"/>
      <c r="U634" s="402"/>
      <c r="V634" s="402"/>
      <c r="W634" s="402"/>
      <c r="X634" s="402"/>
      <c r="Y634" s="402"/>
      <c r="Z634" s="402"/>
    </row>
    <row r="635" ht="14.25" customHeight="1">
      <c r="A635" s="406">
        <v>45528.0</v>
      </c>
      <c r="B635" s="623" t="s">
        <v>2152</v>
      </c>
      <c r="C635" s="623" t="s">
        <v>2153</v>
      </c>
      <c r="D635" s="624" t="s">
        <v>54</v>
      </c>
      <c r="E635" s="349" t="s">
        <v>2133</v>
      </c>
      <c r="F635" s="651">
        <v>63975.15</v>
      </c>
      <c r="G635" s="413">
        <v>0.0</v>
      </c>
      <c r="H635" s="349" t="s">
        <v>2398</v>
      </c>
      <c r="I635" s="402"/>
      <c r="J635" s="402"/>
      <c r="K635" s="402"/>
      <c r="L635" s="402"/>
      <c r="M635" s="402"/>
      <c r="N635" s="402"/>
      <c r="O635" s="402"/>
      <c r="P635" s="402"/>
      <c r="Q635" s="402"/>
      <c r="R635" s="402"/>
      <c r="S635" s="402"/>
      <c r="T635" s="402"/>
      <c r="U635" s="402"/>
      <c r="V635" s="402"/>
      <c r="W635" s="402"/>
      <c r="X635" s="402"/>
      <c r="Y635" s="402"/>
      <c r="Z635" s="402"/>
    </row>
    <row r="636" ht="14.25" customHeight="1">
      <c r="A636" s="406">
        <v>45528.0</v>
      </c>
      <c r="B636" s="623" t="s">
        <v>2401</v>
      </c>
      <c r="C636" s="623" t="s">
        <v>2402</v>
      </c>
      <c r="D636" s="624" t="s">
        <v>75</v>
      </c>
      <c r="E636" s="349" t="s">
        <v>2403</v>
      </c>
      <c r="F636" s="559">
        <v>115000.0</v>
      </c>
      <c r="G636" s="413">
        <v>0.0</v>
      </c>
      <c r="H636" s="419" t="s">
        <v>2399</v>
      </c>
      <c r="I636" s="402"/>
      <c r="J636" s="402"/>
      <c r="K636" s="402"/>
      <c r="L636" s="402"/>
      <c r="M636" s="402"/>
      <c r="N636" s="402"/>
      <c r="O636" s="402"/>
      <c r="P636" s="402"/>
      <c r="Q636" s="402"/>
      <c r="R636" s="402"/>
      <c r="S636" s="402"/>
      <c r="T636" s="402"/>
      <c r="U636" s="402"/>
      <c r="V636" s="402"/>
      <c r="W636" s="402"/>
      <c r="X636" s="402"/>
      <c r="Y636" s="402"/>
      <c r="Z636" s="402"/>
    </row>
    <row r="637" ht="14.25" customHeight="1">
      <c r="A637" s="406">
        <v>45528.0</v>
      </c>
      <c r="B637" s="623" t="s">
        <v>2175</v>
      </c>
      <c r="C637" s="623" t="s">
        <v>2176</v>
      </c>
      <c r="D637" s="624" t="s">
        <v>54</v>
      </c>
      <c r="E637" s="349" t="s">
        <v>2133</v>
      </c>
      <c r="F637" s="559">
        <v>101695.0</v>
      </c>
      <c r="G637" s="413"/>
      <c r="H637" s="402"/>
      <c r="I637" s="402"/>
      <c r="J637" s="402"/>
      <c r="K637" s="402"/>
      <c r="L637" s="402"/>
      <c r="M637" s="402"/>
      <c r="N637" s="402"/>
      <c r="O637" s="402"/>
      <c r="P637" s="402"/>
      <c r="Q637" s="402"/>
      <c r="R637" s="402"/>
      <c r="S637" s="402"/>
      <c r="T637" s="402"/>
      <c r="U637" s="402"/>
      <c r="V637" s="402"/>
      <c r="W637" s="402"/>
      <c r="X637" s="402"/>
      <c r="Y637" s="402"/>
      <c r="Z637" s="402"/>
    </row>
    <row r="638" ht="14.25" customHeight="1">
      <c r="A638" s="406"/>
      <c r="B638" s="406"/>
      <c r="C638" s="402"/>
      <c r="D638" s="402"/>
      <c r="E638" s="402"/>
      <c r="F638" s="587"/>
      <c r="G638" s="403"/>
      <c r="H638" s="402"/>
      <c r="I638" s="402"/>
      <c r="J638" s="402"/>
      <c r="K638" s="402"/>
      <c r="L638" s="402"/>
      <c r="M638" s="402"/>
      <c r="N638" s="402"/>
      <c r="O638" s="402"/>
      <c r="P638" s="402"/>
      <c r="Q638" s="402"/>
      <c r="R638" s="402"/>
      <c r="S638" s="402"/>
      <c r="T638" s="402"/>
      <c r="U638" s="402"/>
      <c r="V638" s="402"/>
      <c r="W638" s="402"/>
      <c r="X638" s="402"/>
      <c r="Y638" s="402"/>
      <c r="Z638" s="402"/>
    </row>
    <row r="639" ht="14.25" customHeight="1">
      <c r="A639" s="402"/>
      <c r="B639" s="402"/>
      <c r="C639" s="402"/>
      <c r="D639" s="402"/>
      <c r="E639" s="402"/>
      <c r="F639" s="587"/>
      <c r="G639" s="403"/>
      <c r="H639" s="402"/>
      <c r="I639" s="402"/>
      <c r="J639" s="402"/>
      <c r="K639" s="402"/>
      <c r="L639" s="402"/>
      <c r="M639" s="402"/>
      <c r="N639" s="402"/>
      <c r="O639" s="402"/>
      <c r="P639" s="402"/>
      <c r="Q639" s="402"/>
      <c r="R639" s="402"/>
      <c r="S639" s="402"/>
      <c r="T639" s="402"/>
      <c r="U639" s="402"/>
      <c r="V639" s="402"/>
      <c r="W639" s="402"/>
      <c r="X639" s="402"/>
      <c r="Y639" s="402"/>
      <c r="Z639" s="402"/>
    </row>
    <row r="640" ht="14.25" customHeight="1">
      <c r="A640" s="402"/>
      <c r="B640" s="402"/>
      <c r="C640" s="402"/>
      <c r="D640" s="402"/>
      <c r="E640" s="402"/>
      <c r="F640" s="587"/>
      <c r="G640" s="403"/>
      <c r="H640" s="402"/>
      <c r="I640" s="402"/>
      <c r="J640" s="402"/>
      <c r="K640" s="402"/>
      <c r="L640" s="402"/>
      <c r="M640" s="402"/>
      <c r="N640" s="402"/>
      <c r="O640" s="402"/>
      <c r="P640" s="402"/>
      <c r="Q640" s="402"/>
      <c r="R640" s="402"/>
      <c r="S640" s="402"/>
      <c r="T640" s="402"/>
      <c r="U640" s="402"/>
      <c r="V640" s="402"/>
      <c r="W640" s="402"/>
      <c r="X640" s="402"/>
      <c r="Y640" s="402"/>
      <c r="Z640" s="402"/>
    </row>
    <row r="641" ht="14.25" customHeight="1">
      <c r="A641" s="406">
        <v>45530.0</v>
      </c>
      <c r="B641" s="512" t="s">
        <v>2365</v>
      </c>
      <c r="C641" s="512" t="s">
        <v>2366</v>
      </c>
      <c r="D641" s="595" t="s">
        <v>54</v>
      </c>
      <c r="E641" s="349" t="s">
        <v>2133</v>
      </c>
      <c r="F641" s="643">
        <v>12183.0</v>
      </c>
      <c r="G641" s="413">
        <v>0.0</v>
      </c>
      <c r="H641" s="349" t="s">
        <v>2395</v>
      </c>
      <c r="I641" s="402"/>
      <c r="J641" s="402"/>
      <c r="K641" s="402"/>
      <c r="L641" s="402"/>
      <c r="M641" s="402"/>
      <c r="N641" s="402"/>
      <c r="O641" s="402"/>
      <c r="P641" s="402"/>
      <c r="Q641" s="402"/>
      <c r="R641" s="402"/>
      <c r="S641" s="402"/>
      <c r="T641" s="402"/>
      <c r="U641" s="402"/>
      <c r="V641" s="402"/>
      <c r="W641" s="402"/>
      <c r="X641" s="402"/>
      <c r="Y641" s="402"/>
      <c r="Z641" s="402"/>
    </row>
    <row r="642" ht="14.25" customHeight="1">
      <c r="A642" s="406">
        <v>45530.0</v>
      </c>
      <c r="B642" s="513" t="s">
        <v>2368</v>
      </c>
      <c r="C642" s="513" t="s">
        <v>2366</v>
      </c>
      <c r="D642" s="597" t="s">
        <v>346</v>
      </c>
      <c r="E642" s="349" t="s">
        <v>2133</v>
      </c>
      <c r="F642" s="644">
        <v>13250.0</v>
      </c>
      <c r="G642" s="413">
        <v>0.0</v>
      </c>
      <c r="H642" s="349" t="s">
        <v>2395</v>
      </c>
      <c r="I642" s="402"/>
      <c r="J642" s="402"/>
      <c r="K642" s="402"/>
      <c r="L642" s="402"/>
      <c r="M642" s="402"/>
      <c r="N642" s="402"/>
      <c r="O642" s="402"/>
      <c r="P642" s="402"/>
      <c r="Q642" s="402"/>
      <c r="R642" s="402"/>
      <c r="S642" s="402"/>
      <c r="T642" s="402"/>
      <c r="U642" s="402"/>
      <c r="V642" s="402"/>
      <c r="W642" s="402"/>
      <c r="X642" s="402"/>
      <c r="Y642" s="402"/>
      <c r="Z642" s="402"/>
    </row>
    <row r="643" ht="14.25" customHeight="1">
      <c r="A643" s="406">
        <v>45530.0</v>
      </c>
      <c r="B643" s="512" t="s">
        <v>2332</v>
      </c>
      <c r="C643" s="512" t="s">
        <v>2197</v>
      </c>
      <c r="D643" s="635" t="s">
        <v>54</v>
      </c>
      <c r="E643" s="349" t="s">
        <v>2133</v>
      </c>
      <c r="F643" s="636">
        <v>217317.0</v>
      </c>
      <c r="G643" s="413">
        <v>0.0</v>
      </c>
      <c r="H643" s="349" t="s">
        <v>2383</v>
      </c>
      <c r="I643" s="402"/>
      <c r="J643" s="402"/>
      <c r="K643" s="402"/>
      <c r="L643" s="402"/>
      <c r="M643" s="402"/>
      <c r="N643" s="402"/>
      <c r="O643" s="402"/>
      <c r="P643" s="402"/>
      <c r="Q643" s="402"/>
      <c r="R643" s="402"/>
      <c r="S643" s="402"/>
      <c r="T643" s="402"/>
      <c r="U643" s="402"/>
      <c r="V643" s="402"/>
      <c r="W643" s="402"/>
      <c r="X643" s="402"/>
      <c r="Y643" s="402"/>
      <c r="Z643" s="402"/>
    </row>
    <row r="644" ht="14.25" customHeight="1">
      <c r="A644" s="406">
        <v>45530.0</v>
      </c>
      <c r="B644" s="512" t="s">
        <v>2343</v>
      </c>
      <c r="C644" s="512" t="s">
        <v>2344</v>
      </c>
      <c r="D644" s="635" t="s">
        <v>54</v>
      </c>
      <c r="E644" s="349" t="s">
        <v>2133</v>
      </c>
      <c r="F644" s="636">
        <v>20425.0</v>
      </c>
      <c r="G644" s="413">
        <v>0.0</v>
      </c>
      <c r="H644" s="419" t="s">
        <v>2386</v>
      </c>
      <c r="I644" s="402"/>
      <c r="J644" s="402"/>
      <c r="K644" s="402"/>
      <c r="L644" s="402"/>
      <c r="M644" s="402"/>
      <c r="N644" s="402"/>
      <c r="O644" s="402"/>
      <c r="P644" s="402"/>
      <c r="Q644" s="402"/>
      <c r="R644" s="402"/>
      <c r="S644" s="402"/>
      <c r="T644" s="402"/>
      <c r="U644" s="402"/>
      <c r="V644" s="402"/>
      <c r="W644" s="402"/>
      <c r="X644" s="402"/>
      <c r="Y644" s="402"/>
      <c r="Z644" s="402"/>
    </row>
    <row r="645" ht="14.25" customHeight="1">
      <c r="A645" s="406">
        <v>45530.0</v>
      </c>
      <c r="B645" s="594" t="s">
        <v>2294</v>
      </c>
      <c r="C645" s="594" t="s">
        <v>2153</v>
      </c>
      <c r="D645" s="645" t="s">
        <v>75</v>
      </c>
      <c r="E645" s="349" t="s">
        <v>2403</v>
      </c>
      <c r="F645" s="636">
        <v>67750.0</v>
      </c>
      <c r="G645" s="413">
        <v>0.0</v>
      </c>
      <c r="H645" s="419" t="s">
        <v>2387</v>
      </c>
      <c r="I645" s="402"/>
      <c r="J645" s="402"/>
      <c r="K645" s="402"/>
      <c r="L645" s="402"/>
      <c r="M645" s="402"/>
      <c r="N645" s="402"/>
      <c r="O645" s="402"/>
      <c r="P645" s="402"/>
      <c r="Q645" s="402"/>
      <c r="R645" s="402"/>
      <c r="S645" s="402"/>
      <c r="T645" s="402"/>
      <c r="U645" s="402"/>
      <c r="V645" s="402"/>
      <c r="W645" s="402"/>
      <c r="X645" s="402"/>
      <c r="Y645" s="402"/>
      <c r="Z645" s="402"/>
    </row>
    <row r="646" ht="14.25" customHeight="1">
      <c r="A646" s="406">
        <v>45530.0</v>
      </c>
      <c r="B646" s="607" t="s">
        <v>2149</v>
      </c>
      <c r="C646" s="607" t="s">
        <v>2206</v>
      </c>
      <c r="D646" s="349" t="s">
        <v>54</v>
      </c>
      <c r="E646" s="349" t="s">
        <v>2133</v>
      </c>
      <c r="F646" s="559">
        <v>5000.0</v>
      </c>
      <c r="G646" s="413">
        <v>0.0</v>
      </c>
      <c r="H646" s="417" t="s">
        <v>2296</v>
      </c>
      <c r="I646" s="402"/>
      <c r="J646" s="402"/>
      <c r="K646" s="402"/>
      <c r="L646" s="402"/>
      <c r="M646" s="402"/>
      <c r="N646" s="402"/>
      <c r="O646" s="402"/>
      <c r="P646" s="402"/>
      <c r="Q646" s="402"/>
      <c r="R646" s="402"/>
      <c r="S646" s="402"/>
      <c r="T646" s="402"/>
      <c r="U646" s="402"/>
      <c r="V646" s="402"/>
      <c r="W646" s="402"/>
      <c r="X646" s="402"/>
      <c r="Y646" s="402"/>
      <c r="Z646" s="402"/>
    </row>
    <row r="647" ht="14.25" customHeight="1">
      <c r="A647" s="406">
        <v>45530.0</v>
      </c>
      <c r="B647" s="419" t="s">
        <v>2208</v>
      </c>
      <c r="C647" s="408" t="s">
        <v>2132</v>
      </c>
      <c r="D647" s="408" t="s">
        <v>439</v>
      </c>
      <c r="E647" s="408" t="s">
        <v>2133</v>
      </c>
      <c r="F647" s="445">
        <v>4000.0</v>
      </c>
      <c r="G647" s="413">
        <v>0.0</v>
      </c>
      <c r="H647" s="419" t="s">
        <v>2404</v>
      </c>
      <c r="I647" s="402"/>
      <c r="J647" s="402"/>
      <c r="K647" s="402"/>
      <c r="L647" s="402"/>
      <c r="M647" s="402"/>
      <c r="N647" s="402"/>
      <c r="O647" s="402"/>
      <c r="P647" s="402"/>
      <c r="Q647" s="402"/>
      <c r="R647" s="402"/>
      <c r="S647" s="402"/>
      <c r="T647" s="402"/>
      <c r="U647" s="402"/>
      <c r="V647" s="402"/>
      <c r="W647" s="402"/>
      <c r="X647" s="402"/>
      <c r="Y647" s="402"/>
      <c r="Z647" s="402"/>
    </row>
    <row r="648" ht="14.25" customHeight="1">
      <c r="A648" s="406">
        <v>45530.0</v>
      </c>
      <c r="B648" s="349" t="s">
        <v>2143</v>
      </c>
      <c r="C648" s="349" t="s">
        <v>2144</v>
      </c>
      <c r="D648" s="349" t="s">
        <v>54</v>
      </c>
      <c r="E648" s="349" t="s">
        <v>2133</v>
      </c>
      <c r="F648" s="559">
        <v>6000.0</v>
      </c>
      <c r="G648" s="413">
        <v>12000.0</v>
      </c>
      <c r="H648" s="349" t="s">
        <v>1462</v>
      </c>
      <c r="I648" s="402"/>
      <c r="J648" s="402"/>
      <c r="K648" s="402"/>
      <c r="L648" s="402"/>
      <c r="M648" s="402"/>
      <c r="N648" s="402"/>
      <c r="O648" s="402"/>
      <c r="P648" s="402"/>
      <c r="Q648" s="402"/>
      <c r="R648" s="402"/>
      <c r="S648" s="402"/>
      <c r="T648" s="402"/>
      <c r="U648" s="402"/>
      <c r="V648" s="402"/>
      <c r="W648" s="402"/>
      <c r="X648" s="402"/>
      <c r="Y648" s="402"/>
      <c r="Z648" s="402"/>
    </row>
    <row r="649" ht="14.25" customHeight="1">
      <c r="A649" s="406">
        <v>45530.0</v>
      </c>
      <c r="B649" s="605" t="s">
        <v>2221</v>
      </c>
      <c r="C649" s="606" t="s">
        <v>2222</v>
      </c>
      <c r="D649" s="349" t="s">
        <v>54</v>
      </c>
      <c r="E649" s="349" t="s">
        <v>2133</v>
      </c>
      <c r="F649" s="611">
        <v>32250.0</v>
      </c>
      <c r="G649" s="413">
        <v>0.0</v>
      </c>
      <c r="H649" s="349" t="s">
        <v>2405</v>
      </c>
      <c r="I649" s="402"/>
      <c r="J649" s="402"/>
      <c r="K649" s="402"/>
      <c r="L649" s="402"/>
      <c r="M649" s="402"/>
      <c r="N649" s="402"/>
      <c r="O649" s="402"/>
      <c r="P649" s="402"/>
      <c r="Q649" s="402"/>
      <c r="R649" s="402"/>
      <c r="S649" s="402"/>
      <c r="T649" s="402"/>
      <c r="U649" s="402"/>
      <c r="V649" s="402"/>
      <c r="W649" s="402"/>
      <c r="X649" s="402"/>
      <c r="Y649" s="402"/>
      <c r="Z649" s="402"/>
    </row>
    <row r="650" ht="14.25" customHeight="1">
      <c r="A650" s="406">
        <v>45530.0</v>
      </c>
      <c r="B650" s="640" t="s">
        <v>2196</v>
      </c>
      <c r="C650" s="629" t="s">
        <v>2246</v>
      </c>
      <c r="D650" s="349" t="s">
        <v>54</v>
      </c>
      <c r="E650" s="349" t="s">
        <v>2133</v>
      </c>
      <c r="F650" s="622">
        <v>126855.0</v>
      </c>
      <c r="G650" s="413">
        <v>0.0</v>
      </c>
      <c r="H650" s="419" t="s">
        <v>2376</v>
      </c>
      <c r="I650" s="402"/>
      <c r="J650" s="402"/>
      <c r="K650" s="402"/>
      <c r="L650" s="402"/>
      <c r="M650" s="402"/>
      <c r="N650" s="402"/>
      <c r="O650" s="402"/>
      <c r="P650" s="402"/>
      <c r="Q650" s="402"/>
      <c r="R650" s="402"/>
      <c r="S650" s="402"/>
      <c r="T650" s="402"/>
      <c r="U650" s="402"/>
      <c r="V650" s="402"/>
      <c r="W650" s="402"/>
      <c r="X650" s="402"/>
      <c r="Y650" s="402"/>
      <c r="Z650" s="402"/>
    </row>
    <row r="651" ht="14.25" customHeight="1">
      <c r="A651" s="406">
        <v>45530.0</v>
      </c>
      <c r="B651" s="642" t="s">
        <v>2235</v>
      </c>
      <c r="C651" s="623" t="s">
        <v>2236</v>
      </c>
      <c r="D651" s="630" t="s">
        <v>75</v>
      </c>
      <c r="E651" s="349" t="s">
        <v>2403</v>
      </c>
      <c r="F651" s="622">
        <v>14500.0</v>
      </c>
      <c r="G651" s="413">
        <v>0.0</v>
      </c>
      <c r="H651" s="417" t="s">
        <v>2347</v>
      </c>
      <c r="I651" s="402"/>
      <c r="J651" s="402"/>
      <c r="K651" s="402"/>
      <c r="L651" s="402"/>
      <c r="M651" s="402"/>
      <c r="N651" s="402"/>
      <c r="O651" s="402"/>
      <c r="P651" s="402"/>
      <c r="Q651" s="402"/>
      <c r="R651" s="402"/>
      <c r="S651" s="402"/>
      <c r="T651" s="402"/>
      <c r="U651" s="402"/>
      <c r="V651" s="402"/>
      <c r="W651" s="402"/>
      <c r="X651" s="402"/>
      <c r="Y651" s="402"/>
      <c r="Z651" s="402"/>
    </row>
    <row r="652" ht="14.25" customHeight="1">
      <c r="A652" s="406">
        <v>45530.0</v>
      </c>
      <c r="B652" s="594" t="s">
        <v>2275</v>
      </c>
      <c r="C652" s="512" t="s">
        <v>2276</v>
      </c>
      <c r="D652" s="635" t="s">
        <v>54</v>
      </c>
      <c r="E652" s="349" t="s">
        <v>2133</v>
      </c>
      <c r="F652" s="636">
        <v>40363.26</v>
      </c>
      <c r="G652" s="413">
        <v>0.0</v>
      </c>
      <c r="H652" s="417" t="s">
        <v>2325</v>
      </c>
      <c r="I652" s="402"/>
      <c r="J652" s="402"/>
      <c r="K652" s="402"/>
      <c r="L652" s="402"/>
      <c r="M652" s="402"/>
      <c r="N652" s="402"/>
      <c r="O652" s="402"/>
      <c r="P652" s="402"/>
      <c r="Q652" s="402"/>
      <c r="R652" s="402"/>
      <c r="S652" s="402"/>
      <c r="T652" s="402"/>
      <c r="U652" s="402"/>
      <c r="V652" s="402"/>
      <c r="W652" s="402"/>
      <c r="X652" s="402"/>
      <c r="Y652" s="402"/>
      <c r="Z652" s="402"/>
    </row>
    <row r="653" ht="14.25" customHeight="1">
      <c r="A653" s="406">
        <v>45530.0</v>
      </c>
      <c r="B653" s="653" t="s">
        <v>2301</v>
      </c>
      <c r="C653" s="653" t="s">
        <v>2302</v>
      </c>
      <c r="D653" s="654" t="s">
        <v>54</v>
      </c>
      <c r="E653" s="407" t="s">
        <v>2133</v>
      </c>
      <c r="F653" s="638">
        <v>2000.0</v>
      </c>
      <c r="G653" s="413">
        <v>0.0</v>
      </c>
      <c r="H653" s="349" t="s">
        <v>2200</v>
      </c>
      <c r="I653" s="402"/>
      <c r="J653" s="402"/>
      <c r="K653" s="402"/>
      <c r="L653" s="402"/>
      <c r="M653" s="402"/>
      <c r="N653" s="402"/>
      <c r="O653" s="402"/>
      <c r="P653" s="402"/>
      <c r="Q653" s="402"/>
      <c r="R653" s="402"/>
      <c r="S653" s="402"/>
      <c r="T653" s="402"/>
      <c r="U653" s="402"/>
      <c r="V653" s="402"/>
      <c r="W653" s="402"/>
      <c r="X653" s="402"/>
      <c r="Y653" s="402"/>
      <c r="Z653" s="402"/>
    </row>
    <row r="654" ht="14.25" customHeight="1">
      <c r="A654" s="406">
        <v>45530.0</v>
      </c>
      <c r="B654" s="596" t="s">
        <v>2278</v>
      </c>
      <c r="C654" s="513" t="s">
        <v>2279</v>
      </c>
      <c r="D654" s="637" t="s">
        <v>54</v>
      </c>
      <c r="E654" s="349" t="s">
        <v>2133</v>
      </c>
      <c r="F654" s="638">
        <v>107213.0</v>
      </c>
      <c r="G654" s="413">
        <v>0.0</v>
      </c>
      <c r="H654" s="417" t="s">
        <v>2348</v>
      </c>
      <c r="I654" s="402"/>
      <c r="J654" s="402"/>
      <c r="K654" s="402"/>
      <c r="L654" s="402"/>
      <c r="M654" s="402"/>
      <c r="N654" s="402"/>
      <c r="O654" s="402"/>
      <c r="P654" s="402"/>
      <c r="Q654" s="402"/>
      <c r="R654" s="402"/>
      <c r="S654" s="402"/>
      <c r="T654" s="402"/>
      <c r="U654" s="402"/>
      <c r="V654" s="402"/>
      <c r="W654" s="402"/>
      <c r="X654" s="402"/>
      <c r="Y654" s="402"/>
      <c r="Z654" s="402"/>
    </row>
    <row r="655" ht="14.25" customHeight="1">
      <c r="A655" s="406">
        <v>45530.0</v>
      </c>
      <c r="B655" s="512" t="s">
        <v>2288</v>
      </c>
      <c r="C655" s="512" t="s">
        <v>2203</v>
      </c>
      <c r="D655" s="635" t="s">
        <v>54</v>
      </c>
      <c r="E655" s="349" t="s">
        <v>2133</v>
      </c>
      <c r="F655" s="638">
        <v>12829.0</v>
      </c>
      <c r="G655" s="413">
        <v>0.0</v>
      </c>
      <c r="H655" s="417" t="s">
        <v>2349</v>
      </c>
      <c r="I655" s="402"/>
      <c r="J655" s="402"/>
      <c r="K655" s="402"/>
      <c r="L655" s="402"/>
      <c r="M655" s="402"/>
      <c r="N655" s="402"/>
      <c r="O655" s="402"/>
      <c r="P655" s="402"/>
      <c r="Q655" s="402"/>
      <c r="R655" s="402"/>
      <c r="S655" s="402"/>
      <c r="T655" s="402"/>
      <c r="U655" s="402"/>
      <c r="V655" s="402"/>
      <c r="W655" s="402"/>
      <c r="X655" s="402"/>
      <c r="Y655" s="402"/>
      <c r="Z655" s="402"/>
    </row>
    <row r="656" ht="14.25" customHeight="1">
      <c r="A656" s="406">
        <v>45530.0</v>
      </c>
      <c r="B656" s="513" t="s">
        <v>2318</v>
      </c>
      <c r="C656" s="513" t="s">
        <v>2338</v>
      </c>
      <c r="D656" s="635" t="s">
        <v>54</v>
      </c>
      <c r="E656" s="349" t="s">
        <v>2133</v>
      </c>
      <c r="F656" s="638">
        <v>29382.0</v>
      </c>
      <c r="G656" s="413">
        <v>0.0</v>
      </c>
      <c r="H656" s="349" t="s">
        <v>2325</v>
      </c>
      <c r="I656" s="402"/>
      <c r="J656" s="402"/>
      <c r="K656" s="402"/>
      <c r="L656" s="402"/>
      <c r="M656" s="402"/>
      <c r="N656" s="402"/>
      <c r="O656" s="402"/>
      <c r="P656" s="402"/>
      <c r="Q656" s="402"/>
      <c r="R656" s="402"/>
      <c r="S656" s="402"/>
      <c r="T656" s="402"/>
      <c r="U656" s="402"/>
      <c r="V656" s="402"/>
      <c r="W656" s="402"/>
      <c r="X656" s="402"/>
      <c r="Y656" s="402"/>
      <c r="Z656" s="402"/>
    </row>
    <row r="657" ht="14.25" customHeight="1">
      <c r="A657" s="406">
        <v>45530.0</v>
      </c>
      <c r="B657" s="634" t="s">
        <v>2140</v>
      </c>
      <c r="C657" s="634" t="s">
        <v>2340</v>
      </c>
      <c r="D657" s="635" t="s">
        <v>54</v>
      </c>
      <c r="E657" s="349" t="s">
        <v>2133</v>
      </c>
      <c r="F657" s="647">
        <v>69538.0</v>
      </c>
      <c r="G657" s="413">
        <v>0.0</v>
      </c>
      <c r="H657" s="419" t="s">
        <v>2400</v>
      </c>
      <c r="I657" s="402"/>
      <c r="J657" s="402"/>
      <c r="K657" s="402"/>
      <c r="L657" s="402"/>
      <c r="M657" s="402"/>
      <c r="N657" s="402"/>
      <c r="O657" s="402"/>
      <c r="P657" s="402"/>
      <c r="Q657" s="402"/>
      <c r="R657" s="402"/>
      <c r="S657" s="402"/>
      <c r="T657" s="402"/>
      <c r="U657" s="402"/>
      <c r="V657" s="402"/>
      <c r="W657" s="402"/>
      <c r="X657" s="402"/>
      <c r="Y657" s="402"/>
      <c r="Z657" s="402"/>
    </row>
    <row r="658" ht="14.25" customHeight="1">
      <c r="A658" s="406">
        <v>45530.0</v>
      </c>
      <c r="B658" s="512" t="s">
        <v>2137</v>
      </c>
      <c r="C658" s="512" t="s">
        <v>2138</v>
      </c>
      <c r="D658" s="635" t="s">
        <v>75</v>
      </c>
      <c r="E658" s="349" t="s">
        <v>2403</v>
      </c>
      <c r="F658" s="643">
        <v>100000.0</v>
      </c>
      <c r="G658" s="413">
        <v>0.0</v>
      </c>
      <c r="H658" s="419" t="s">
        <v>2391</v>
      </c>
      <c r="I658" s="402"/>
      <c r="J658" s="402"/>
      <c r="K658" s="402"/>
      <c r="L658" s="402"/>
      <c r="M658" s="402"/>
      <c r="N658" s="402"/>
      <c r="O658" s="402"/>
      <c r="P658" s="402"/>
      <c r="Q658" s="402"/>
      <c r="R658" s="402"/>
      <c r="S658" s="402"/>
      <c r="T658" s="402"/>
      <c r="U658" s="402"/>
      <c r="V658" s="402"/>
      <c r="W658" s="402"/>
      <c r="X658" s="402"/>
      <c r="Y658" s="402"/>
      <c r="Z658" s="402"/>
    </row>
    <row r="659" ht="14.25" customHeight="1">
      <c r="A659" s="406">
        <v>45530.0</v>
      </c>
      <c r="B659" s="634" t="s">
        <v>2155</v>
      </c>
      <c r="C659" s="634" t="s">
        <v>2392</v>
      </c>
      <c r="D659" s="595" t="s">
        <v>54</v>
      </c>
      <c r="E659" s="349" t="s">
        <v>2133</v>
      </c>
      <c r="F659" s="559">
        <v>22497.0</v>
      </c>
      <c r="G659" s="413">
        <v>27924.0</v>
      </c>
      <c r="H659" s="349" t="s">
        <v>2396</v>
      </c>
      <c r="I659" s="402"/>
      <c r="J659" s="402"/>
      <c r="K659" s="402"/>
      <c r="L659" s="402"/>
      <c r="M659" s="402"/>
      <c r="N659" s="402"/>
      <c r="O659" s="402"/>
      <c r="P659" s="402"/>
      <c r="Q659" s="402"/>
      <c r="R659" s="402"/>
      <c r="S659" s="402"/>
      <c r="T659" s="402"/>
      <c r="U659" s="402"/>
      <c r="V659" s="402"/>
      <c r="W659" s="402"/>
      <c r="X659" s="402"/>
      <c r="Y659" s="402"/>
      <c r="Z659" s="402"/>
    </row>
    <row r="660" ht="14.25" customHeight="1">
      <c r="A660" s="406">
        <v>45530.0</v>
      </c>
      <c r="B660" s="349" t="s">
        <v>2163</v>
      </c>
      <c r="C660" s="349" t="s">
        <v>2164</v>
      </c>
      <c r="D660" s="413" t="s">
        <v>59</v>
      </c>
      <c r="E660" s="349" t="s">
        <v>273</v>
      </c>
      <c r="F660" s="559">
        <v>100000.0</v>
      </c>
      <c r="G660" s="413">
        <v>0.0</v>
      </c>
      <c r="H660" s="419" t="s">
        <v>2380</v>
      </c>
      <c r="I660" s="402"/>
      <c r="J660" s="402"/>
      <c r="K660" s="402"/>
      <c r="L660" s="402"/>
      <c r="M660" s="402"/>
      <c r="N660" s="402"/>
      <c r="O660" s="402"/>
      <c r="P660" s="402"/>
      <c r="Q660" s="402"/>
      <c r="R660" s="402"/>
      <c r="S660" s="402"/>
      <c r="T660" s="402"/>
      <c r="U660" s="402"/>
      <c r="V660" s="402"/>
      <c r="W660" s="402"/>
      <c r="X660" s="402"/>
      <c r="Y660" s="402"/>
      <c r="Z660" s="402"/>
    </row>
    <row r="661" ht="14.25" customHeight="1">
      <c r="A661" s="406">
        <v>45530.0</v>
      </c>
      <c r="B661" s="605" t="s">
        <v>2360</v>
      </c>
      <c r="C661" s="634" t="s">
        <v>2361</v>
      </c>
      <c r="D661" s="634" t="s">
        <v>54</v>
      </c>
      <c r="E661" s="349" t="s">
        <v>2133</v>
      </c>
      <c r="F661" s="649">
        <v>10000.0</v>
      </c>
      <c r="G661" s="413">
        <v>0.0</v>
      </c>
      <c r="H661" s="419" t="s">
        <v>2406</v>
      </c>
      <c r="I661" s="402"/>
      <c r="J661" s="402"/>
      <c r="K661" s="402"/>
      <c r="L661" s="402"/>
      <c r="M661" s="402"/>
      <c r="N661" s="402"/>
      <c r="O661" s="402"/>
      <c r="P661" s="402"/>
      <c r="Q661" s="402"/>
      <c r="R661" s="402"/>
      <c r="S661" s="402"/>
      <c r="T661" s="402"/>
      <c r="U661" s="402"/>
      <c r="V661" s="402"/>
      <c r="W661" s="402"/>
      <c r="X661" s="402"/>
      <c r="Y661" s="402"/>
      <c r="Z661" s="402"/>
    </row>
    <row r="662" ht="14.25" customHeight="1">
      <c r="A662" s="406">
        <v>45530.0</v>
      </c>
      <c r="B662" s="623" t="s">
        <v>2152</v>
      </c>
      <c r="C662" s="623" t="s">
        <v>2153</v>
      </c>
      <c r="D662" s="624" t="s">
        <v>54</v>
      </c>
      <c r="E662" s="349" t="s">
        <v>2133</v>
      </c>
      <c r="F662" s="651">
        <v>63975.15</v>
      </c>
      <c r="G662" s="413">
        <v>0.0</v>
      </c>
      <c r="H662" s="419" t="s">
        <v>2407</v>
      </c>
      <c r="I662" s="402"/>
      <c r="J662" s="402"/>
      <c r="K662" s="402"/>
      <c r="L662" s="402"/>
      <c r="M662" s="402"/>
      <c r="N662" s="402"/>
      <c r="O662" s="402"/>
      <c r="P662" s="402"/>
      <c r="Q662" s="402"/>
      <c r="R662" s="402"/>
      <c r="S662" s="402"/>
      <c r="T662" s="402"/>
      <c r="U662" s="402"/>
      <c r="V662" s="402"/>
      <c r="W662" s="402"/>
      <c r="X662" s="402"/>
      <c r="Y662" s="402"/>
      <c r="Z662" s="402"/>
    </row>
    <row r="663" ht="14.25" customHeight="1">
      <c r="A663" s="406">
        <v>45530.0</v>
      </c>
      <c r="B663" s="623" t="s">
        <v>2401</v>
      </c>
      <c r="C663" s="623" t="s">
        <v>2402</v>
      </c>
      <c r="D663" s="624" t="s">
        <v>75</v>
      </c>
      <c r="E663" s="349" t="s">
        <v>2403</v>
      </c>
      <c r="F663" s="559">
        <v>115000.0</v>
      </c>
      <c r="G663" s="413">
        <v>0.0</v>
      </c>
      <c r="H663" s="419" t="s">
        <v>2399</v>
      </c>
      <c r="I663" s="402"/>
      <c r="J663" s="402"/>
      <c r="K663" s="402"/>
      <c r="L663" s="402"/>
      <c r="M663" s="402"/>
      <c r="N663" s="402"/>
      <c r="O663" s="402"/>
      <c r="P663" s="402"/>
      <c r="Q663" s="402"/>
      <c r="R663" s="402"/>
      <c r="S663" s="402"/>
      <c r="T663" s="402"/>
      <c r="U663" s="402"/>
      <c r="V663" s="402"/>
      <c r="W663" s="402"/>
      <c r="X663" s="402"/>
      <c r="Y663" s="402"/>
      <c r="Z663" s="402"/>
    </row>
    <row r="664" ht="14.25" customHeight="1">
      <c r="A664" s="406">
        <v>45530.0</v>
      </c>
      <c r="B664" s="623" t="s">
        <v>2175</v>
      </c>
      <c r="C664" s="623" t="s">
        <v>2176</v>
      </c>
      <c r="D664" s="624" t="s">
        <v>54</v>
      </c>
      <c r="E664" s="349" t="s">
        <v>2133</v>
      </c>
      <c r="F664" s="559">
        <v>101695.0</v>
      </c>
      <c r="G664" s="413">
        <v>0.0</v>
      </c>
      <c r="H664" s="419" t="s">
        <v>2407</v>
      </c>
      <c r="I664" s="402"/>
      <c r="J664" s="402"/>
      <c r="K664" s="402"/>
      <c r="L664" s="402"/>
      <c r="M664" s="402"/>
      <c r="N664" s="402"/>
      <c r="O664" s="402"/>
      <c r="P664" s="402"/>
      <c r="Q664" s="402"/>
      <c r="R664" s="402"/>
      <c r="S664" s="402"/>
      <c r="T664" s="402"/>
      <c r="U664" s="402"/>
      <c r="V664" s="402"/>
      <c r="W664" s="402"/>
      <c r="X664" s="402"/>
      <c r="Y664" s="402"/>
      <c r="Z664" s="402"/>
    </row>
    <row r="665" ht="14.25" customHeight="1">
      <c r="A665" s="406">
        <v>45530.0</v>
      </c>
      <c r="B665" s="623" t="s">
        <v>2182</v>
      </c>
      <c r="C665" s="623" t="s">
        <v>2183</v>
      </c>
      <c r="D665" s="624" t="s">
        <v>54</v>
      </c>
      <c r="E665" s="349" t="s">
        <v>2133</v>
      </c>
      <c r="F665" s="559">
        <v>19920.0</v>
      </c>
      <c r="G665" s="413">
        <v>0.0</v>
      </c>
      <c r="H665" s="349" t="s">
        <v>2408</v>
      </c>
      <c r="I665" s="402"/>
      <c r="J665" s="402"/>
      <c r="K665" s="402"/>
      <c r="L665" s="402"/>
      <c r="M665" s="402"/>
      <c r="N665" s="402"/>
      <c r="O665" s="402"/>
      <c r="P665" s="402"/>
      <c r="Q665" s="402"/>
      <c r="R665" s="402"/>
      <c r="S665" s="402"/>
      <c r="T665" s="402"/>
      <c r="U665" s="402"/>
      <c r="V665" s="402"/>
      <c r="W665" s="402"/>
      <c r="X665" s="402"/>
      <c r="Y665" s="402"/>
      <c r="Z665" s="402"/>
    </row>
    <row r="666" ht="14.25" customHeight="1">
      <c r="A666" s="406">
        <v>45530.0</v>
      </c>
      <c r="B666" s="512" t="s">
        <v>2409</v>
      </c>
      <c r="C666" s="512" t="s">
        <v>2410</v>
      </c>
      <c r="D666" s="595" t="s">
        <v>75</v>
      </c>
      <c r="E666" s="349" t="s">
        <v>2403</v>
      </c>
      <c r="F666" s="559">
        <v>575000.0</v>
      </c>
      <c r="G666" s="413">
        <v>0.0</v>
      </c>
      <c r="H666" s="417" t="s">
        <v>2325</v>
      </c>
      <c r="I666" s="402"/>
      <c r="J666" s="402"/>
      <c r="K666" s="402"/>
      <c r="L666" s="402"/>
      <c r="M666" s="402"/>
      <c r="N666" s="402"/>
      <c r="O666" s="402"/>
      <c r="P666" s="402"/>
      <c r="Q666" s="402"/>
      <c r="R666" s="402"/>
      <c r="S666" s="402"/>
      <c r="T666" s="402"/>
      <c r="U666" s="402"/>
      <c r="V666" s="402"/>
      <c r="W666" s="402"/>
      <c r="X666" s="402"/>
      <c r="Y666" s="402"/>
      <c r="Z666" s="402"/>
    </row>
    <row r="667" ht="14.25" customHeight="1">
      <c r="A667" s="406">
        <v>45530.0</v>
      </c>
      <c r="B667" s="512" t="s">
        <v>2191</v>
      </c>
      <c r="C667" s="512" t="s">
        <v>2410</v>
      </c>
      <c r="D667" s="595" t="s">
        <v>54</v>
      </c>
      <c r="E667" s="349" t="s">
        <v>2133</v>
      </c>
      <c r="F667" s="559">
        <v>239038.0</v>
      </c>
      <c r="G667" s="413">
        <v>0.0</v>
      </c>
      <c r="H667" s="417" t="s">
        <v>2325</v>
      </c>
      <c r="I667" s="402"/>
      <c r="J667" s="402"/>
      <c r="K667" s="402"/>
      <c r="L667" s="402"/>
      <c r="M667" s="402"/>
      <c r="N667" s="402"/>
      <c r="O667" s="402"/>
      <c r="P667" s="402"/>
      <c r="Q667" s="402"/>
      <c r="R667" s="402"/>
      <c r="S667" s="402"/>
      <c r="T667" s="402"/>
      <c r="U667" s="402"/>
      <c r="V667" s="402"/>
      <c r="W667" s="402"/>
      <c r="X667" s="402"/>
      <c r="Y667" s="402"/>
      <c r="Z667" s="402"/>
    </row>
    <row r="668" ht="14.25" customHeight="1">
      <c r="A668" s="406">
        <v>45530.0</v>
      </c>
      <c r="B668" s="512" t="s">
        <v>2285</v>
      </c>
      <c r="C668" s="512" t="s">
        <v>2286</v>
      </c>
      <c r="D668" s="595" t="s">
        <v>54</v>
      </c>
      <c r="E668" s="349" t="s">
        <v>2133</v>
      </c>
      <c r="F668" s="559">
        <v>25896.0</v>
      </c>
      <c r="G668" s="413">
        <v>0.0</v>
      </c>
      <c r="H668" s="349" t="s">
        <v>2411</v>
      </c>
      <c r="I668" s="402"/>
      <c r="J668" s="402"/>
      <c r="K668" s="402"/>
      <c r="L668" s="402"/>
      <c r="M668" s="402"/>
      <c r="N668" s="402"/>
      <c r="O668" s="402"/>
      <c r="P668" s="402"/>
      <c r="Q668" s="402"/>
      <c r="R668" s="402"/>
      <c r="S668" s="402"/>
      <c r="T668" s="402"/>
      <c r="U668" s="402"/>
      <c r="V668" s="402"/>
      <c r="W668" s="402"/>
      <c r="X668" s="402"/>
      <c r="Y668" s="402"/>
      <c r="Z668" s="402"/>
    </row>
    <row r="669" ht="14.25" customHeight="1">
      <c r="A669" s="406"/>
      <c r="B669" s="402"/>
      <c r="C669" s="402"/>
      <c r="D669" s="402"/>
      <c r="E669" s="402"/>
      <c r="F669" s="587"/>
      <c r="G669" s="403"/>
      <c r="H669" s="402"/>
      <c r="I669" s="402"/>
      <c r="J669" s="402"/>
      <c r="K669" s="402"/>
      <c r="L669" s="402"/>
      <c r="M669" s="402"/>
      <c r="N669" s="402"/>
      <c r="O669" s="402"/>
      <c r="P669" s="402"/>
      <c r="Q669" s="402"/>
      <c r="R669" s="402"/>
      <c r="S669" s="402"/>
      <c r="T669" s="402"/>
      <c r="U669" s="402"/>
      <c r="V669" s="402"/>
      <c r="W669" s="402"/>
      <c r="X669" s="402"/>
      <c r="Y669" s="402"/>
      <c r="Z669" s="402"/>
    </row>
    <row r="670" ht="14.25" customHeight="1">
      <c r="A670" s="406"/>
      <c r="B670" s="402"/>
      <c r="C670" s="402"/>
      <c r="D670" s="402"/>
      <c r="E670" s="402"/>
      <c r="F670" s="587"/>
      <c r="G670" s="403"/>
      <c r="H670" s="402"/>
      <c r="I670" s="402"/>
      <c r="J670" s="402"/>
      <c r="K670" s="402"/>
      <c r="L670" s="402"/>
      <c r="M670" s="402"/>
      <c r="N670" s="402"/>
      <c r="O670" s="402"/>
      <c r="P670" s="402"/>
      <c r="Q670" s="402"/>
      <c r="R670" s="402"/>
      <c r="S670" s="402"/>
      <c r="T670" s="402"/>
      <c r="U670" s="402"/>
      <c r="V670" s="402"/>
      <c r="W670" s="402"/>
      <c r="X670" s="402"/>
      <c r="Y670" s="402"/>
      <c r="Z670" s="402"/>
    </row>
    <row r="671" ht="14.25" customHeight="1">
      <c r="A671" s="406"/>
      <c r="B671" s="402"/>
      <c r="C671" s="402"/>
      <c r="D671" s="402"/>
      <c r="E671" s="402"/>
      <c r="F671" s="587"/>
      <c r="G671" s="403"/>
      <c r="H671" s="402"/>
      <c r="I671" s="402"/>
      <c r="J671" s="402"/>
      <c r="K671" s="402"/>
      <c r="L671" s="402"/>
      <c r="M671" s="402"/>
      <c r="N671" s="402"/>
      <c r="O671" s="402"/>
      <c r="P671" s="402"/>
      <c r="Q671" s="402"/>
      <c r="R671" s="402"/>
      <c r="S671" s="402"/>
      <c r="T671" s="402"/>
      <c r="U671" s="402"/>
      <c r="V671" s="402"/>
      <c r="W671" s="402"/>
      <c r="X671" s="402"/>
      <c r="Y671" s="402"/>
      <c r="Z671" s="402"/>
    </row>
    <row r="672" ht="14.25" customHeight="1">
      <c r="A672" s="406">
        <v>45531.0</v>
      </c>
      <c r="B672" s="512" t="s">
        <v>2365</v>
      </c>
      <c r="C672" s="512" t="s">
        <v>2366</v>
      </c>
      <c r="D672" s="595" t="s">
        <v>54</v>
      </c>
      <c r="E672" s="349" t="s">
        <v>2133</v>
      </c>
      <c r="F672" s="643">
        <v>12183.0</v>
      </c>
      <c r="G672" s="413">
        <v>0.0</v>
      </c>
      <c r="H672" s="349" t="s">
        <v>2395</v>
      </c>
      <c r="I672" s="402"/>
      <c r="J672" s="402"/>
      <c r="K672" s="402"/>
      <c r="L672" s="402"/>
      <c r="M672" s="402"/>
      <c r="N672" s="402"/>
      <c r="O672" s="402"/>
      <c r="P672" s="402"/>
      <c r="Q672" s="402"/>
      <c r="R672" s="402"/>
      <c r="S672" s="402"/>
      <c r="T672" s="402"/>
      <c r="U672" s="402"/>
      <c r="V672" s="402"/>
      <c r="W672" s="402"/>
      <c r="X672" s="402"/>
      <c r="Y672" s="402"/>
      <c r="Z672" s="402"/>
    </row>
    <row r="673" ht="14.25" customHeight="1">
      <c r="A673" s="406">
        <v>45531.0</v>
      </c>
      <c r="B673" s="513" t="s">
        <v>2368</v>
      </c>
      <c r="C673" s="513" t="s">
        <v>2366</v>
      </c>
      <c r="D673" s="597" t="s">
        <v>346</v>
      </c>
      <c r="E673" s="349" t="s">
        <v>2133</v>
      </c>
      <c r="F673" s="644">
        <v>13250.0</v>
      </c>
      <c r="G673" s="413">
        <v>0.0</v>
      </c>
      <c r="H673" s="349" t="s">
        <v>2395</v>
      </c>
      <c r="I673" s="402"/>
      <c r="J673" s="402"/>
      <c r="K673" s="402"/>
      <c r="L673" s="402"/>
      <c r="M673" s="402"/>
      <c r="N673" s="402"/>
      <c r="O673" s="402"/>
      <c r="P673" s="402"/>
      <c r="Q673" s="402"/>
      <c r="R673" s="402"/>
      <c r="S673" s="402"/>
      <c r="T673" s="402"/>
      <c r="U673" s="402"/>
      <c r="V673" s="402"/>
      <c r="W673" s="402"/>
      <c r="X673" s="402"/>
      <c r="Y673" s="402"/>
      <c r="Z673" s="402"/>
    </row>
    <row r="674" ht="14.25" customHeight="1">
      <c r="A674" s="406">
        <v>45531.0</v>
      </c>
      <c r="B674" s="512" t="s">
        <v>2332</v>
      </c>
      <c r="C674" s="512" t="s">
        <v>2197</v>
      </c>
      <c r="D674" s="635" t="s">
        <v>54</v>
      </c>
      <c r="E674" s="349" t="s">
        <v>2133</v>
      </c>
      <c r="F674" s="636">
        <v>217317.0</v>
      </c>
      <c r="G674" s="413">
        <v>0.0</v>
      </c>
      <c r="H674" s="349" t="s">
        <v>2383</v>
      </c>
      <c r="I674" s="402"/>
      <c r="J674" s="402"/>
      <c r="K674" s="402"/>
      <c r="L674" s="402"/>
      <c r="M674" s="402"/>
      <c r="N674" s="402"/>
      <c r="O674" s="402"/>
      <c r="P674" s="402"/>
      <c r="Q674" s="402"/>
      <c r="R674" s="402"/>
      <c r="S674" s="402"/>
      <c r="T674" s="402"/>
      <c r="U674" s="402"/>
      <c r="V674" s="402"/>
      <c r="W674" s="402"/>
      <c r="X674" s="402"/>
      <c r="Y674" s="402"/>
      <c r="Z674" s="402"/>
    </row>
    <row r="675" ht="14.25" customHeight="1">
      <c r="A675" s="406">
        <v>45531.0</v>
      </c>
      <c r="B675" s="512" t="s">
        <v>2343</v>
      </c>
      <c r="C675" s="512" t="s">
        <v>2344</v>
      </c>
      <c r="D675" s="635" t="s">
        <v>54</v>
      </c>
      <c r="E675" s="349" t="s">
        <v>2133</v>
      </c>
      <c r="F675" s="636">
        <v>20425.0</v>
      </c>
      <c r="G675" s="413">
        <v>0.0</v>
      </c>
      <c r="H675" s="419" t="s">
        <v>2386</v>
      </c>
      <c r="I675" s="402"/>
      <c r="J675" s="402"/>
      <c r="K675" s="402"/>
      <c r="L675" s="402"/>
      <c r="M675" s="402"/>
      <c r="N675" s="402"/>
      <c r="O675" s="402"/>
      <c r="P675" s="402"/>
      <c r="Q675" s="402"/>
      <c r="R675" s="402"/>
      <c r="S675" s="402"/>
      <c r="T675" s="402"/>
      <c r="U675" s="402"/>
      <c r="V675" s="402"/>
      <c r="W675" s="402"/>
      <c r="X675" s="402"/>
      <c r="Y675" s="402"/>
      <c r="Z675" s="402"/>
    </row>
    <row r="676" ht="14.25" customHeight="1">
      <c r="A676" s="406">
        <v>45531.0</v>
      </c>
      <c r="B676" s="594" t="s">
        <v>2294</v>
      </c>
      <c r="C676" s="594" t="s">
        <v>2153</v>
      </c>
      <c r="D676" s="645" t="s">
        <v>75</v>
      </c>
      <c r="E676" s="349" t="s">
        <v>2403</v>
      </c>
      <c r="F676" s="636">
        <v>67750.0</v>
      </c>
      <c r="G676" s="413">
        <v>0.0</v>
      </c>
      <c r="H676" s="419" t="s">
        <v>2387</v>
      </c>
      <c r="I676" s="402"/>
      <c r="J676" s="402"/>
      <c r="K676" s="402"/>
      <c r="L676" s="402"/>
      <c r="M676" s="402"/>
      <c r="N676" s="402"/>
      <c r="O676" s="402"/>
      <c r="P676" s="402"/>
      <c r="Q676" s="402"/>
      <c r="R676" s="402"/>
      <c r="S676" s="402"/>
      <c r="T676" s="402"/>
      <c r="U676" s="402"/>
      <c r="V676" s="402"/>
      <c r="W676" s="402"/>
      <c r="X676" s="402"/>
      <c r="Y676" s="402"/>
      <c r="Z676" s="402"/>
    </row>
    <row r="677" ht="14.25" customHeight="1">
      <c r="A677" s="406">
        <v>45531.0</v>
      </c>
      <c r="B677" s="607" t="s">
        <v>2149</v>
      </c>
      <c r="C677" s="607" t="s">
        <v>2206</v>
      </c>
      <c r="D677" s="349" t="s">
        <v>54</v>
      </c>
      <c r="E677" s="349" t="s">
        <v>2133</v>
      </c>
      <c r="F677" s="559">
        <v>5000.0</v>
      </c>
      <c r="G677" s="413">
        <v>0.0</v>
      </c>
      <c r="H677" s="417" t="s">
        <v>2296</v>
      </c>
      <c r="I677" s="402"/>
      <c r="J677" s="402"/>
      <c r="K677" s="402"/>
      <c r="L677" s="402"/>
      <c r="M677" s="402"/>
      <c r="N677" s="402"/>
      <c r="O677" s="402"/>
      <c r="P677" s="402"/>
      <c r="Q677" s="402"/>
      <c r="R677" s="402"/>
      <c r="S677" s="402"/>
      <c r="T677" s="402"/>
      <c r="U677" s="402"/>
      <c r="V677" s="402"/>
      <c r="W677" s="402"/>
      <c r="X677" s="402"/>
      <c r="Y677" s="402"/>
      <c r="Z677" s="402"/>
    </row>
    <row r="678" ht="14.25" customHeight="1">
      <c r="A678" s="406">
        <v>45531.0</v>
      </c>
      <c r="B678" s="419" t="s">
        <v>2208</v>
      </c>
      <c r="C678" s="408" t="s">
        <v>2132</v>
      </c>
      <c r="D678" s="408" t="s">
        <v>439</v>
      </c>
      <c r="E678" s="408" t="s">
        <v>2133</v>
      </c>
      <c r="F678" s="445">
        <v>4000.0</v>
      </c>
      <c r="G678" s="413">
        <v>0.0</v>
      </c>
      <c r="H678" s="419" t="s">
        <v>2412</v>
      </c>
      <c r="I678" s="402"/>
      <c r="J678" s="402"/>
      <c r="K678" s="402"/>
      <c r="L678" s="402"/>
      <c r="M678" s="402"/>
      <c r="N678" s="402"/>
      <c r="O678" s="402"/>
      <c r="P678" s="402"/>
      <c r="Q678" s="402"/>
      <c r="R678" s="402"/>
      <c r="S678" s="402"/>
      <c r="T678" s="402"/>
      <c r="U678" s="402"/>
      <c r="V678" s="402"/>
      <c r="W678" s="402"/>
      <c r="X678" s="402"/>
      <c r="Y678" s="402"/>
      <c r="Z678" s="402"/>
    </row>
    <row r="679" ht="14.25" customHeight="1">
      <c r="A679" s="406">
        <v>45531.0</v>
      </c>
      <c r="B679" s="349" t="s">
        <v>2143</v>
      </c>
      <c r="C679" s="349" t="s">
        <v>2144</v>
      </c>
      <c r="D679" s="349" t="s">
        <v>54</v>
      </c>
      <c r="E679" s="349" t="s">
        <v>2133</v>
      </c>
      <c r="F679" s="559">
        <v>6000.0</v>
      </c>
      <c r="G679" s="413">
        <v>6000.0</v>
      </c>
      <c r="H679" s="349" t="s">
        <v>56</v>
      </c>
      <c r="I679" s="402"/>
      <c r="J679" s="402"/>
      <c r="K679" s="402"/>
      <c r="L679" s="402"/>
      <c r="M679" s="402"/>
      <c r="N679" s="402"/>
      <c r="O679" s="402"/>
      <c r="P679" s="402"/>
      <c r="Q679" s="402"/>
      <c r="R679" s="402"/>
      <c r="S679" s="402"/>
      <c r="T679" s="402"/>
      <c r="U679" s="402"/>
      <c r="V679" s="402"/>
      <c r="W679" s="402"/>
      <c r="X679" s="402"/>
      <c r="Y679" s="402"/>
      <c r="Z679" s="402"/>
    </row>
    <row r="680" ht="14.25" customHeight="1">
      <c r="A680" s="406">
        <v>45531.0</v>
      </c>
      <c r="B680" s="640" t="s">
        <v>2196</v>
      </c>
      <c r="C680" s="629" t="s">
        <v>2246</v>
      </c>
      <c r="D680" s="349" t="s">
        <v>54</v>
      </c>
      <c r="E680" s="349" t="s">
        <v>2133</v>
      </c>
      <c r="F680" s="622">
        <v>126855.0</v>
      </c>
      <c r="G680" s="413">
        <v>0.0</v>
      </c>
      <c r="H680" s="419" t="s">
        <v>2376</v>
      </c>
      <c r="I680" s="402"/>
      <c r="J680" s="402"/>
      <c r="K680" s="402"/>
      <c r="L680" s="402"/>
      <c r="M680" s="402"/>
      <c r="N680" s="402"/>
      <c r="O680" s="402"/>
      <c r="P680" s="402"/>
      <c r="Q680" s="402"/>
      <c r="R680" s="402"/>
      <c r="S680" s="402"/>
      <c r="T680" s="402"/>
      <c r="U680" s="402"/>
      <c r="V680" s="402"/>
      <c r="W680" s="402"/>
      <c r="X680" s="402"/>
      <c r="Y680" s="402"/>
      <c r="Z680" s="402"/>
    </row>
    <row r="681" ht="14.25" customHeight="1">
      <c r="A681" s="406">
        <v>45531.0</v>
      </c>
      <c r="B681" s="594" t="s">
        <v>2275</v>
      </c>
      <c r="C681" s="512" t="s">
        <v>2276</v>
      </c>
      <c r="D681" s="635" t="s">
        <v>54</v>
      </c>
      <c r="E681" s="349" t="s">
        <v>2133</v>
      </c>
      <c r="F681" s="636">
        <v>40364.0</v>
      </c>
      <c r="G681" s="413">
        <v>50000.0</v>
      </c>
      <c r="H681" s="349" t="s">
        <v>941</v>
      </c>
      <c r="I681" s="402"/>
      <c r="J681" s="402"/>
      <c r="K681" s="402"/>
      <c r="L681" s="402"/>
      <c r="M681" s="402"/>
      <c r="N681" s="402"/>
      <c r="O681" s="402"/>
      <c r="P681" s="402"/>
      <c r="Q681" s="402"/>
      <c r="R681" s="402"/>
      <c r="S681" s="402"/>
      <c r="T681" s="402"/>
      <c r="U681" s="402"/>
      <c r="V681" s="402"/>
      <c r="W681" s="402"/>
      <c r="X681" s="402"/>
      <c r="Y681" s="402"/>
      <c r="Z681" s="402"/>
    </row>
    <row r="682" ht="14.25" customHeight="1">
      <c r="A682" s="406">
        <v>45531.0</v>
      </c>
      <c r="B682" s="653" t="s">
        <v>2301</v>
      </c>
      <c r="C682" s="653" t="s">
        <v>2302</v>
      </c>
      <c r="D682" s="654" t="s">
        <v>54</v>
      </c>
      <c r="E682" s="407" t="s">
        <v>2133</v>
      </c>
      <c r="F682" s="638">
        <v>2000.0</v>
      </c>
      <c r="G682" s="413">
        <v>0.0</v>
      </c>
      <c r="H682" s="349" t="s">
        <v>2413</v>
      </c>
      <c r="I682" s="402"/>
      <c r="J682" s="402"/>
      <c r="K682" s="402"/>
      <c r="L682" s="402"/>
      <c r="M682" s="402"/>
      <c r="N682" s="402"/>
      <c r="O682" s="402"/>
      <c r="P682" s="402"/>
      <c r="Q682" s="402"/>
      <c r="R682" s="402"/>
      <c r="S682" s="402"/>
      <c r="T682" s="402"/>
      <c r="U682" s="402"/>
      <c r="V682" s="402"/>
      <c r="W682" s="402"/>
      <c r="X682" s="402"/>
      <c r="Y682" s="402"/>
      <c r="Z682" s="402"/>
    </row>
    <row r="683" ht="14.25" customHeight="1">
      <c r="A683" s="406">
        <v>45531.0</v>
      </c>
      <c r="B683" s="596" t="s">
        <v>2278</v>
      </c>
      <c r="C683" s="513" t="s">
        <v>2279</v>
      </c>
      <c r="D683" s="637" t="s">
        <v>54</v>
      </c>
      <c r="E683" s="349" t="s">
        <v>2133</v>
      </c>
      <c r="F683" s="638">
        <v>107213.0</v>
      </c>
      <c r="G683" s="413">
        <v>0.0</v>
      </c>
      <c r="H683" s="349" t="s">
        <v>2414</v>
      </c>
      <c r="I683" s="402"/>
      <c r="J683" s="402"/>
      <c r="K683" s="402"/>
      <c r="L683" s="402"/>
      <c r="M683" s="402"/>
      <c r="N683" s="402"/>
      <c r="O683" s="402"/>
      <c r="P683" s="402"/>
      <c r="Q683" s="402"/>
      <c r="R683" s="402"/>
      <c r="S683" s="402"/>
      <c r="T683" s="402"/>
      <c r="U683" s="402"/>
      <c r="V683" s="402"/>
      <c r="W683" s="402"/>
      <c r="X683" s="402"/>
      <c r="Y683" s="402"/>
      <c r="Z683" s="402"/>
    </row>
    <row r="684" ht="14.25" customHeight="1">
      <c r="A684" s="406">
        <v>45531.0</v>
      </c>
      <c r="B684" s="512" t="s">
        <v>2288</v>
      </c>
      <c r="C684" s="512" t="s">
        <v>2203</v>
      </c>
      <c r="D684" s="635" t="s">
        <v>54</v>
      </c>
      <c r="E684" s="349" t="s">
        <v>2133</v>
      </c>
      <c r="F684" s="638">
        <v>12829.0</v>
      </c>
      <c r="G684" s="413">
        <v>20820.0</v>
      </c>
      <c r="H684" s="349" t="s">
        <v>941</v>
      </c>
      <c r="I684" s="402"/>
      <c r="J684" s="402"/>
      <c r="K684" s="402"/>
      <c r="L684" s="402"/>
      <c r="M684" s="402"/>
      <c r="N684" s="402"/>
      <c r="O684" s="402"/>
      <c r="P684" s="402"/>
      <c r="Q684" s="402"/>
      <c r="R684" s="402"/>
      <c r="S684" s="402"/>
      <c r="T684" s="402"/>
      <c r="U684" s="402"/>
      <c r="V684" s="402"/>
      <c r="W684" s="402"/>
      <c r="X684" s="402"/>
      <c r="Y684" s="402"/>
      <c r="Z684" s="402"/>
    </row>
    <row r="685" ht="14.25" customHeight="1">
      <c r="A685" s="406">
        <v>45531.0</v>
      </c>
      <c r="B685" s="513" t="s">
        <v>2318</v>
      </c>
      <c r="C685" s="513" t="s">
        <v>2338</v>
      </c>
      <c r="D685" s="635" t="s">
        <v>54</v>
      </c>
      <c r="E685" s="349" t="s">
        <v>2133</v>
      </c>
      <c r="F685" s="638">
        <v>29382.0</v>
      </c>
      <c r="G685" s="413">
        <v>0.0</v>
      </c>
      <c r="H685" s="349" t="s">
        <v>2415</v>
      </c>
      <c r="I685" s="402"/>
      <c r="J685" s="402"/>
      <c r="K685" s="402"/>
      <c r="L685" s="402"/>
      <c r="M685" s="402"/>
      <c r="N685" s="402"/>
      <c r="O685" s="402"/>
      <c r="P685" s="402"/>
      <c r="Q685" s="402"/>
      <c r="R685" s="402"/>
      <c r="S685" s="402"/>
      <c r="T685" s="402"/>
      <c r="U685" s="402"/>
      <c r="V685" s="402"/>
      <c r="W685" s="402"/>
      <c r="X685" s="402"/>
      <c r="Y685" s="402"/>
      <c r="Z685" s="402"/>
    </row>
    <row r="686" ht="14.25" customHeight="1">
      <c r="A686" s="406">
        <v>45531.0</v>
      </c>
      <c r="B686" s="634" t="s">
        <v>2140</v>
      </c>
      <c r="C686" s="634" t="s">
        <v>2340</v>
      </c>
      <c r="D686" s="635" t="s">
        <v>54</v>
      </c>
      <c r="E686" s="349" t="s">
        <v>2133</v>
      </c>
      <c r="F686" s="647">
        <v>69538.0</v>
      </c>
      <c r="G686" s="413">
        <v>0.0</v>
      </c>
      <c r="H686" s="419" t="s">
        <v>2400</v>
      </c>
      <c r="I686" s="402"/>
      <c r="J686" s="402"/>
      <c r="K686" s="402"/>
      <c r="L686" s="402"/>
      <c r="M686" s="402"/>
      <c r="N686" s="402"/>
      <c r="O686" s="402"/>
      <c r="P686" s="402"/>
      <c r="Q686" s="402"/>
      <c r="R686" s="402"/>
      <c r="S686" s="402"/>
      <c r="T686" s="402"/>
      <c r="U686" s="402"/>
      <c r="V686" s="402"/>
      <c r="W686" s="402"/>
      <c r="X686" s="402"/>
      <c r="Y686" s="402"/>
      <c r="Z686" s="402"/>
    </row>
    <row r="687" ht="14.25" customHeight="1">
      <c r="A687" s="406">
        <v>45531.0</v>
      </c>
      <c r="B687" s="512" t="s">
        <v>2137</v>
      </c>
      <c r="C687" s="512" t="s">
        <v>2138</v>
      </c>
      <c r="D687" s="635" t="s">
        <v>75</v>
      </c>
      <c r="E687" s="349" t="s">
        <v>2403</v>
      </c>
      <c r="F687" s="643">
        <v>50000.0</v>
      </c>
      <c r="G687" s="413">
        <v>0.0</v>
      </c>
      <c r="H687" s="419" t="s">
        <v>2379</v>
      </c>
      <c r="I687" s="402"/>
      <c r="J687" s="402"/>
      <c r="K687" s="402"/>
      <c r="L687" s="402"/>
      <c r="M687" s="402"/>
      <c r="N687" s="402"/>
      <c r="O687" s="402"/>
      <c r="P687" s="402"/>
      <c r="Q687" s="402"/>
      <c r="R687" s="402"/>
      <c r="S687" s="402"/>
      <c r="T687" s="402"/>
      <c r="U687" s="402"/>
      <c r="V687" s="402"/>
      <c r="W687" s="402"/>
      <c r="X687" s="402"/>
      <c r="Y687" s="402"/>
      <c r="Z687" s="402"/>
    </row>
    <row r="688" ht="14.25" customHeight="1">
      <c r="A688" s="406">
        <v>45531.0</v>
      </c>
      <c r="B688" s="349" t="s">
        <v>2163</v>
      </c>
      <c r="C688" s="349" t="s">
        <v>2164</v>
      </c>
      <c r="D688" s="413" t="s">
        <v>59</v>
      </c>
      <c r="E688" s="349" t="s">
        <v>273</v>
      </c>
      <c r="F688" s="559">
        <v>50000.0</v>
      </c>
      <c r="G688" s="413">
        <v>0.0</v>
      </c>
      <c r="H688" s="419" t="s">
        <v>2380</v>
      </c>
      <c r="I688" s="402"/>
      <c r="J688" s="402"/>
      <c r="K688" s="402"/>
      <c r="L688" s="402"/>
      <c r="M688" s="402"/>
      <c r="N688" s="402"/>
      <c r="O688" s="402"/>
      <c r="P688" s="402"/>
      <c r="Q688" s="402"/>
      <c r="R688" s="402"/>
      <c r="S688" s="402"/>
      <c r="T688" s="402"/>
      <c r="U688" s="402"/>
      <c r="V688" s="402"/>
      <c r="W688" s="402"/>
      <c r="X688" s="402"/>
      <c r="Y688" s="402"/>
      <c r="Z688" s="402"/>
    </row>
    <row r="689" ht="14.25" customHeight="1">
      <c r="A689" s="406">
        <v>45531.0</v>
      </c>
      <c r="B689" s="605" t="s">
        <v>2360</v>
      </c>
      <c r="C689" s="634" t="s">
        <v>2361</v>
      </c>
      <c r="D689" s="634" t="s">
        <v>54</v>
      </c>
      <c r="E689" s="349" t="s">
        <v>2133</v>
      </c>
      <c r="F689" s="649">
        <v>10000.0</v>
      </c>
      <c r="G689" s="413">
        <v>0.0</v>
      </c>
      <c r="H689" s="419" t="s">
        <v>2416</v>
      </c>
      <c r="I689" s="402"/>
      <c r="J689" s="402"/>
      <c r="K689" s="402"/>
      <c r="L689" s="402"/>
      <c r="M689" s="402"/>
      <c r="N689" s="402"/>
      <c r="O689" s="402"/>
      <c r="P689" s="402"/>
      <c r="Q689" s="402"/>
      <c r="R689" s="402"/>
      <c r="S689" s="402"/>
      <c r="T689" s="402"/>
      <c r="U689" s="402"/>
      <c r="V689" s="402"/>
      <c r="W689" s="402"/>
      <c r="X689" s="402"/>
      <c r="Y689" s="402"/>
      <c r="Z689" s="402"/>
    </row>
    <row r="690" ht="14.25" customHeight="1">
      <c r="A690" s="406">
        <v>45531.0</v>
      </c>
      <c r="B690" s="623" t="s">
        <v>2152</v>
      </c>
      <c r="C690" s="623" t="s">
        <v>2153</v>
      </c>
      <c r="D690" s="624" t="s">
        <v>54</v>
      </c>
      <c r="E690" s="349" t="s">
        <v>2133</v>
      </c>
      <c r="F690" s="651">
        <v>63500.0</v>
      </c>
      <c r="G690" s="413">
        <v>0.0</v>
      </c>
      <c r="H690" s="419" t="s">
        <v>2417</v>
      </c>
      <c r="I690" s="402"/>
      <c r="J690" s="402"/>
      <c r="K690" s="402"/>
      <c r="L690" s="402"/>
      <c r="M690" s="402"/>
      <c r="N690" s="402"/>
      <c r="O690" s="402"/>
      <c r="P690" s="402"/>
      <c r="Q690" s="402"/>
      <c r="R690" s="402"/>
      <c r="S690" s="402"/>
      <c r="T690" s="402"/>
      <c r="U690" s="402"/>
      <c r="V690" s="402"/>
      <c r="W690" s="402"/>
      <c r="X690" s="402"/>
      <c r="Y690" s="402"/>
      <c r="Z690" s="402"/>
    </row>
    <row r="691" ht="14.25" customHeight="1">
      <c r="A691" s="406">
        <v>45531.0</v>
      </c>
      <c r="B691" s="623" t="s">
        <v>2401</v>
      </c>
      <c r="C691" s="623" t="s">
        <v>2402</v>
      </c>
      <c r="D691" s="624" t="s">
        <v>75</v>
      </c>
      <c r="E691" s="349" t="s">
        <v>2403</v>
      </c>
      <c r="F691" s="559">
        <v>115000.0</v>
      </c>
      <c r="G691" s="413">
        <v>0.0</v>
      </c>
      <c r="H691" s="419" t="s">
        <v>2200</v>
      </c>
      <c r="I691" s="402"/>
      <c r="J691" s="402"/>
      <c r="K691" s="402"/>
      <c r="L691" s="402"/>
      <c r="M691" s="402"/>
      <c r="N691" s="402"/>
      <c r="O691" s="402"/>
      <c r="P691" s="402"/>
      <c r="Q691" s="402"/>
      <c r="R691" s="402"/>
      <c r="S691" s="402"/>
      <c r="T691" s="402"/>
      <c r="U691" s="402"/>
      <c r="V691" s="402"/>
      <c r="W691" s="402"/>
      <c r="X691" s="402"/>
      <c r="Y691" s="402"/>
      <c r="Z691" s="402"/>
    </row>
    <row r="692" ht="14.25" customHeight="1">
      <c r="A692" s="406">
        <v>45531.0</v>
      </c>
      <c r="B692" s="623" t="s">
        <v>2175</v>
      </c>
      <c r="C692" s="623" t="s">
        <v>2176</v>
      </c>
      <c r="D692" s="624" t="s">
        <v>54</v>
      </c>
      <c r="E692" s="349" t="s">
        <v>2133</v>
      </c>
      <c r="F692" s="559">
        <v>101695.0</v>
      </c>
      <c r="G692" s="413">
        <v>0.0</v>
      </c>
      <c r="H692" s="419" t="s">
        <v>2407</v>
      </c>
      <c r="I692" s="402"/>
      <c r="J692" s="402"/>
      <c r="K692" s="402"/>
      <c r="L692" s="402"/>
      <c r="M692" s="402"/>
      <c r="N692" s="402"/>
      <c r="O692" s="402"/>
      <c r="P692" s="402"/>
      <c r="Q692" s="402"/>
      <c r="R692" s="402"/>
      <c r="S692" s="402"/>
      <c r="T692" s="402"/>
      <c r="U692" s="402"/>
      <c r="V692" s="402"/>
      <c r="W692" s="402"/>
      <c r="X692" s="402"/>
      <c r="Y692" s="402"/>
      <c r="Z692" s="402"/>
    </row>
    <row r="693" ht="14.25" customHeight="1">
      <c r="A693" s="406">
        <v>45531.0</v>
      </c>
      <c r="B693" s="512" t="s">
        <v>2409</v>
      </c>
      <c r="C693" s="512" t="s">
        <v>2410</v>
      </c>
      <c r="D693" s="595" t="s">
        <v>75</v>
      </c>
      <c r="E693" s="349" t="s">
        <v>2133</v>
      </c>
      <c r="F693" s="559">
        <v>575000.0</v>
      </c>
      <c r="G693" s="413">
        <v>60962.0</v>
      </c>
      <c r="H693" s="349" t="s">
        <v>2418</v>
      </c>
      <c r="I693" s="402"/>
      <c r="J693" s="402"/>
      <c r="K693" s="402"/>
      <c r="L693" s="402"/>
      <c r="M693" s="402"/>
      <c r="N693" s="402"/>
      <c r="O693" s="402"/>
      <c r="P693" s="402"/>
      <c r="Q693" s="402"/>
      <c r="R693" s="402"/>
      <c r="S693" s="402"/>
      <c r="T693" s="402"/>
      <c r="U693" s="402"/>
      <c r="V693" s="402"/>
      <c r="W693" s="402"/>
      <c r="X693" s="402"/>
      <c r="Y693" s="402"/>
      <c r="Z693" s="402"/>
    </row>
    <row r="694" ht="14.25" customHeight="1">
      <c r="A694" s="406">
        <v>45531.0</v>
      </c>
      <c r="B694" s="512" t="s">
        <v>2191</v>
      </c>
      <c r="C694" s="512" t="s">
        <v>2410</v>
      </c>
      <c r="D694" s="595" t="s">
        <v>54</v>
      </c>
      <c r="E694" s="349" t="s">
        <v>2403</v>
      </c>
      <c r="F694" s="559">
        <v>239038.0</v>
      </c>
      <c r="G694" s="413">
        <v>0.0</v>
      </c>
      <c r="H694" s="349" t="s">
        <v>2419</v>
      </c>
      <c r="I694" s="402"/>
      <c r="J694" s="402"/>
      <c r="K694" s="402"/>
      <c r="L694" s="402"/>
      <c r="M694" s="402"/>
      <c r="N694" s="402"/>
      <c r="O694" s="402"/>
      <c r="P694" s="402"/>
      <c r="Q694" s="402"/>
      <c r="R694" s="402"/>
      <c r="S694" s="402"/>
      <c r="T694" s="402"/>
      <c r="U694" s="402"/>
      <c r="V694" s="402"/>
      <c r="W694" s="402"/>
      <c r="X694" s="402"/>
      <c r="Y694" s="402"/>
      <c r="Z694" s="402"/>
    </row>
    <row r="695" ht="14.25" customHeight="1">
      <c r="A695" s="406">
        <v>45531.0</v>
      </c>
      <c r="B695" s="512" t="s">
        <v>2285</v>
      </c>
      <c r="C695" s="512" t="s">
        <v>2286</v>
      </c>
      <c r="D695" s="595" t="s">
        <v>54</v>
      </c>
      <c r="E695" s="349" t="s">
        <v>2133</v>
      </c>
      <c r="F695" s="559">
        <v>25896.0</v>
      </c>
      <c r="G695" s="413">
        <v>0.0</v>
      </c>
      <c r="H695" s="349" t="s">
        <v>2420</v>
      </c>
      <c r="I695" s="402"/>
      <c r="J695" s="402"/>
      <c r="K695" s="402"/>
      <c r="L695" s="402"/>
      <c r="M695" s="402"/>
      <c r="N695" s="402"/>
      <c r="O695" s="402"/>
      <c r="P695" s="402"/>
      <c r="Q695" s="402"/>
      <c r="R695" s="402"/>
      <c r="S695" s="402"/>
      <c r="T695" s="402"/>
      <c r="U695" s="402"/>
      <c r="V695" s="402"/>
      <c r="W695" s="402"/>
      <c r="X695" s="402"/>
      <c r="Y695" s="402"/>
      <c r="Z695" s="402"/>
    </row>
    <row r="696" ht="14.25" customHeight="1">
      <c r="A696" s="406">
        <v>45531.0</v>
      </c>
      <c r="B696" s="512" t="s">
        <v>2194</v>
      </c>
      <c r="C696" s="512" t="s">
        <v>2195</v>
      </c>
      <c r="D696" s="595" t="s">
        <v>54</v>
      </c>
      <c r="E696" s="349" t="s">
        <v>2133</v>
      </c>
      <c r="F696" s="559">
        <v>33110.0</v>
      </c>
      <c r="G696" s="413">
        <v>33110.0</v>
      </c>
      <c r="H696" s="349" t="s">
        <v>941</v>
      </c>
      <c r="I696" s="402"/>
      <c r="J696" s="402"/>
      <c r="K696" s="402"/>
      <c r="L696" s="402"/>
      <c r="M696" s="402"/>
      <c r="N696" s="402"/>
      <c r="O696" s="402"/>
      <c r="P696" s="402"/>
      <c r="Q696" s="402"/>
      <c r="R696" s="402"/>
      <c r="S696" s="402"/>
      <c r="T696" s="402"/>
      <c r="U696" s="402"/>
      <c r="V696" s="402"/>
      <c r="W696" s="402"/>
      <c r="X696" s="402"/>
      <c r="Y696" s="402"/>
      <c r="Z696" s="402"/>
    </row>
    <row r="697" ht="14.25" customHeight="1">
      <c r="A697" s="406"/>
      <c r="B697" s="402"/>
      <c r="C697" s="402"/>
      <c r="D697" s="402"/>
      <c r="E697" s="402"/>
      <c r="F697" s="587"/>
      <c r="G697" s="403"/>
      <c r="H697" s="402"/>
      <c r="I697" s="402"/>
      <c r="J697" s="402"/>
      <c r="K697" s="402"/>
      <c r="L697" s="402"/>
      <c r="M697" s="402"/>
      <c r="N697" s="402"/>
      <c r="O697" s="402"/>
      <c r="P697" s="402"/>
      <c r="Q697" s="402"/>
      <c r="R697" s="402"/>
      <c r="S697" s="402"/>
      <c r="T697" s="402"/>
      <c r="U697" s="402"/>
      <c r="V697" s="402"/>
      <c r="W697" s="402"/>
      <c r="X697" s="402"/>
      <c r="Y697" s="402"/>
      <c r="Z697" s="402"/>
    </row>
    <row r="698" ht="14.25" customHeight="1">
      <c r="A698" s="406"/>
      <c r="B698" s="402"/>
      <c r="C698" s="402"/>
      <c r="D698" s="402"/>
      <c r="E698" s="402"/>
      <c r="F698" s="587"/>
      <c r="G698" s="403"/>
      <c r="H698" s="402"/>
      <c r="I698" s="402"/>
      <c r="J698" s="402"/>
      <c r="K698" s="402"/>
      <c r="L698" s="402"/>
      <c r="M698" s="402"/>
      <c r="N698" s="402"/>
      <c r="O698" s="402"/>
      <c r="P698" s="402"/>
      <c r="Q698" s="402"/>
      <c r="R698" s="402"/>
      <c r="S698" s="402"/>
      <c r="T698" s="402"/>
      <c r="U698" s="402"/>
      <c r="V698" s="402"/>
      <c r="W698" s="402"/>
      <c r="X698" s="402"/>
      <c r="Y698" s="402"/>
      <c r="Z698" s="402"/>
    </row>
    <row r="699" ht="14.25" customHeight="1">
      <c r="A699" s="406"/>
      <c r="B699" s="402"/>
      <c r="C699" s="402"/>
      <c r="D699" s="402"/>
      <c r="E699" s="402"/>
      <c r="F699" s="587"/>
      <c r="G699" s="403"/>
      <c r="H699" s="402"/>
      <c r="I699" s="402"/>
      <c r="J699" s="402"/>
      <c r="K699" s="402"/>
      <c r="L699" s="402"/>
      <c r="M699" s="402"/>
      <c r="N699" s="402"/>
      <c r="O699" s="402"/>
      <c r="P699" s="402"/>
      <c r="Q699" s="402"/>
      <c r="R699" s="402"/>
      <c r="S699" s="402"/>
      <c r="T699" s="402"/>
      <c r="U699" s="402"/>
      <c r="V699" s="402"/>
      <c r="W699" s="402"/>
      <c r="X699" s="402"/>
      <c r="Y699" s="402"/>
      <c r="Z699" s="402"/>
    </row>
    <row r="700" ht="14.25" customHeight="1">
      <c r="A700" s="406">
        <v>45532.0</v>
      </c>
      <c r="B700" s="512" t="s">
        <v>2365</v>
      </c>
      <c r="C700" s="512" t="s">
        <v>2366</v>
      </c>
      <c r="D700" s="595" t="s">
        <v>54</v>
      </c>
      <c r="E700" s="349" t="s">
        <v>2133</v>
      </c>
      <c r="F700" s="643">
        <v>12183.0</v>
      </c>
      <c r="G700" s="413">
        <v>0.0</v>
      </c>
      <c r="H700" s="349" t="s">
        <v>2395</v>
      </c>
      <c r="I700" s="402"/>
      <c r="J700" s="402"/>
      <c r="K700" s="402"/>
      <c r="L700" s="402"/>
      <c r="M700" s="402"/>
      <c r="N700" s="402"/>
      <c r="O700" s="402"/>
      <c r="P700" s="402"/>
      <c r="Q700" s="402"/>
      <c r="R700" s="402"/>
      <c r="S700" s="402"/>
      <c r="T700" s="402"/>
      <c r="U700" s="402"/>
      <c r="V700" s="402"/>
      <c r="W700" s="402"/>
      <c r="X700" s="402"/>
      <c r="Y700" s="402"/>
      <c r="Z700" s="402"/>
    </row>
    <row r="701" ht="14.25" customHeight="1">
      <c r="A701" s="406">
        <v>45532.0</v>
      </c>
      <c r="B701" s="513" t="s">
        <v>2368</v>
      </c>
      <c r="C701" s="513" t="s">
        <v>2366</v>
      </c>
      <c r="D701" s="597" t="s">
        <v>346</v>
      </c>
      <c r="E701" s="349" t="s">
        <v>2133</v>
      </c>
      <c r="F701" s="644">
        <v>13250.0</v>
      </c>
      <c r="G701" s="413">
        <v>0.0</v>
      </c>
      <c r="H701" s="349" t="s">
        <v>2395</v>
      </c>
      <c r="I701" s="402"/>
      <c r="J701" s="402"/>
      <c r="K701" s="402"/>
      <c r="L701" s="402"/>
      <c r="M701" s="402"/>
      <c r="N701" s="402"/>
      <c r="O701" s="402"/>
      <c r="P701" s="402"/>
      <c r="Q701" s="402"/>
      <c r="R701" s="402"/>
      <c r="S701" s="402"/>
      <c r="T701" s="402"/>
      <c r="U701" s="402"/>
      <c r="V701" s="402"/>
      <c r="W701" s="402"/>
      <c r="X701" s="402"/>
      <c r="Y701" s="402"/>
      <c r="Z701" s="402"/>
    </row>
    <row r="702" ht="14.25" customHeight="1">
      <c r="A702" s="406">
        <v>45532.0</v>
      </c>
      <c r="B702" s="512" t="s">
        <v>2332</v>
      </c>
      <c r="C702" s="512" t="s">
        <v>2197</v>
      </c>
      <c r="D702" s="635" t="s">
        <v>54</v>
      </c>
      <c r="E702" s="349" t="s">
        <v>2133</v>
      </c>
      <c r="F702" s="636">
        <v>217317.0</v>
      </c>
      <c r="G702" s="413">
        <v>0.0</v>
      </c>
      <c r="H702" s="349" t="s">
        <v>2383</v>
      </c>
      <c r="I702" s="402"/>
      <c r="J702" s="402"/>
      <c r="K702" s="402"/>
      <c r="L702" s="402"/>
      <c r="M702" s="402"/>
      <c r="N702" s="402"/>
      <c r="O702" s="402"/>
      <c r="P702" s="402"/>
      <c r="Q702" s="402"/>
      <c r="R702" s="402"/>
      <c r="S702" s="402"/>
      <c r="T702" s="402"/>
      <c r="U702" s="402"/>
      <c r="V702" s="402"/>
      <c r="W702" s="402"/>
      <c r="X702" s="402"/>
      <c r="Y702" s="402"/>
      <c r="Z702" s="402"/>
    </row>
    <row r="703" ht="14.25" customHeight="1">
      <c r="A703" s="406">
        <v>45532.0</v>
      </c>
      <c r="B703" s="512" t="s">
        <v>2343</v>
      </c>
      <c r="C703" s="512" t="s">
        <v>2344</v>
      </c>
      <c r="D703" s="635" t="s">
        <v>54</v>
      </c>
      <c r="E703" s="349" t="s">
        <v>2133</v>
      </c>
      <c r="F703" s="636">
        <v>20425.0</v>
      </c>
      <c r="G703" s="413">
        <v>0.0</v>
      </c>
      <c r="H703" s="419" t="s">
        <v>2386</v>
      </c>
      <c r="I703" s="402"/>
      <c r="J703" s="402"/>
      <c r="K703" s="402"/>
      <c r="L703" s="402"/>
      <c r="M703" s="402"/>
      <c r="N703" s="402"/>
      <c r="O703" s="402"/>
      <c r="P703" s="402"/>
      <c r="Q703" s="402"/>
      <c r="R703" s="402"/>
      <c r="S703" s="402"/>
      <c r="T703" s="402"/>
      <c r="U703" s="402"/>
      <c r="V703" s="402"/>
      <c r="W703" s="402"/>
      <c r="X703" s="402"/>
      <c r="Y703" s="402"/>
      <c r="Z703" s="402"/>
    </row>
    <row r="704" ht="14.25" customHeight="1">
      <c r="A704" s="406">
        <v>45532.0</v>
      </c>
      <c r="B704" s="594" t="s">
        <v>2294</v>
      </c>
      <c r="C704" s="594" t="s">
        <v>2153</v>
      </c>
      <c r="D704" s="645" t="s">
        <v>75</v>
      </c>
      <c r="E704" s="349" t="s">
        <v>2403</v>
      </c>
      <c r="F704" s="636">
        <v>67750.0</v>
      </c>
      <c r="G704" s="413">
        <v>0.0</v>
      </c>
      <c r="H704" s="419" t="s">
        <v>2387</v>
      </c>
      <c r="I704" s="402"/>
      <c r="J704" s="402"/>
      <c r="K704" s="402"/>
      <c r="L704" s="402"/>
      <c r="M704" s="402"/>
      <c r="N704" s="402"/>
      <c r="O704" s="402"/>
      <c r="P704" s="402"/>
      <c r="Q704" s="402"/>
      <c r="R704" s="402"/>
      <c r="S704" s="402"/>
      <c r="T704" s="402"/>
      <c r="U704" s="402"/>
      <c r="V704" s="402"/>
      <c r="W704" s="402"/>
      <c r="X704" s="402"/>
      <c r="Y704" s="402"/>
      <c r="Z704" s="402"/>
    </row>
    <row r="705" ht="14.25" customHeight="1">
      <c r="A705" s="406">
        <v>45532.0</v>
      </c>
      <c r="B705" s="607" t="s">
        <v>2149</v>
      </c>
      <c r="C705" s="607" t="s">
        <v>2206</v>
      </c>
      <c r="D705" s="349" t="s">
        <v>54</v>
      </c>
      <c r="E705" s="349" t="s">
        <v>2133</v>
      </c>
      <c r="F705" s="559">
        <v>5000.0</v>
      </c>
      <c r="G705" s="413">
        <v>0.0</v>
      </c>
      <c r="H705" s="417" t="s">
        <v>2296</v>
      </c>
      <c r="I705" s="402"/>
      <c r="J705" s="402"/>
      <c r="K705" s="402"/>
      <c r="L705" s="402"/>
      <c r="M705" s="402"/>
      <c r="N705" s="402"/>
      <c r="O705" s="402"/>
      <c r="P705" s="402"/>
      <c r="Q705" s="402"/>
      <c r="R705" s="402"/>
      <c r="S705" s="402"/>
      <c r="T705" s="402"/>
      <c r="U705" s="402"/>
      <c r="V705" s="402"/>
      <c r="W705" s="402"/>
      <c r="X705" s="402"/>
      <c r="Y705" s="402"/>
      <c r="Z705" s="402"/>
    </row>
    <row r="706" ht="14.25" customHeight="1">
      <c r="A706" s="406">
        <v>45532.0</v>
      </c>
      <c r="B706" s="419" t="s">
        <v>2208</v>
      </c>
      <c r="C706" s="408" t="s">
        <v>2132</v>
      </c>
      <c r="D706" s="408" t="s">
        <v>439</v>
      </c>
      <c r="E706" s="408" t="s">
        <v>2133</v>
      </c>
      <c r="F706" s="445">
        <v>4000.0</v>
      </c>
      <c r="G706" s="413">
        <v>0.0</v>
      </c>
      <c r="H706" s="419" t="s">
        <v>2412</v>
      </c>
      <c r="I706" s="402"/>
      <c r="J706" s="402"/>
      <c r="K706" s="402"/>
      <c r="L706" s="402"/>
      <c r="M706" s="402"/>
      <c r="N706" s="402"/>
      <c r="O706" s="402"/>
      <c r="P706" s="402"/>
      <c r="Q706" s="402"/>
      <c r="R706" s="402"/>
      <c r="S706" s="402"/>
      <c r="T706" s="402"/>
      <c r="U706" s="402"/>
      <c r="V706" s="402"/>
      <c r="W706" s="402"/>
      <c r="X706" s="402"/>
      <c r="Y706" s="402"/>
      <c r="Z706" s="402"/>
    </row>
    <row r="707" ht="14.25" customHeight="1">
      <c r="A707" s="406">
        <v>45532.0</v>
      </c>
      <c r="B707" s="349" t="s">
        <v>2143</v>
      </c>
      <c r="C707" s="349" t="s">
        <v>2144</v>
      </c>
      <c r="D707" s="349" t="s">
        <v>54</v>
      </c>
      <c r="E707" s="349" t="s">
        <v>2133</v>
      </c>
      <c r="F707" s="559">
        <v>6000.0</v>
      </c>
      <c r="G707" s="413">
        <v>0.0</v>
      </c>
      <c r="H707" s="349" t="s">
        <v>2421</v>
      </c>
      <c r="I707" s="402"/>
      <c r="J707" s="402"/>
      <c r="K707" s="402"/>
      <c r="L707" s="402"/>
      <c r="M707" s="402"/>
      <c r="N707" s="402"/>
      <c r="O707" s="402"/>
      <c r="P707" s="402"/>
      <c r="Q707" s="402"/>
      <c r="R707" s="402"/>
      <c r="S707" s="402"/>
      <c r="T707" s="402"/>
      <c r="U707" s="402"/>
      <c r="V707" s="402"/>
      <c r="W707" s="402"/>
      <c r="X707" s="402"/>
      <c r="Y707" s="402"/>
      <c r="Z707" s="402"/>
    </row>
    <row r="708" ht="14.25" customHeight="1">
      <c r="A708" s="406">
        <v>45532.0</v>
      </c>
      <c r="B708" s="640" t="s">
        <v>2196</v>
      </c>
      <c r="C708" s="629" t="s">
        <v>2246</v>
      </c>
      <c r="D708" s="349" t="s">
        <v>54</v>
      </c>
      <c r="E708" s="349" t="s">
        <v>2133</v>
      </c>
      <c r="F708" s="622">
        <v>126855.0</v>
      </c>
      <c r="G708" s="413">
        <v>0.0</v>
      </c>
      <c r="H708" s="419" t="s">
        <v>2376</v>
      </c>
      <c r="I708" s="402"/>
      <c r="J708" s="402"/>
      <c r="K708" s="402"/>
      <c r="L708" s="402"/>
      <c r="M708" s="402"/>
      <c r="N708" s="402"/>
      <c r="O708" s="402"/>
      <c r="P708" s="402"/>
      <c r="Q708" s="402"/>
      <c r="R708" s="402"/>
      <c r="S708" s="402"/>
      <c r="T708" s="402"/>
      <c r="U708" s="402"/>
      <c r="V708" s="402"/>
      <c r="W708" s="402"/>
      <c r="X708" s="402"/>
      <c r="Y708" s="402"/>
      <c r="Z708" s="402"/>
    </row>
    <row r="709" ht="14.25" customHeight="1">
      <c r="A709" s="406">
        <v>45532.0</v>
      </c>
      <c r="B709" s="653" t="s">
        <v>2301</v>
      </c>
      <c r="C709" s="653" t="s">
        <v>2302</v>
      </c>
      <c r="D709" s="654" t="s">
        <v>54</v>
      </c>
      <c r="E709" s="407" t="s">
        <v>2133</v>
      </c>
      <c r="F709" s="638">
        <v>2000.0</v>
      </c>
      <c r="G709" s="413">
        <v>2000.0</v>
      </c>
      <c r="H709" s="349" t="s">
        <v>899</v>
      </c>
      <c r="I709" s="402"/>
      <c r="J709" s="402"/>
      <c r="K709" s="402"/>
      <c r="L709" s="402"/>
      <c r="M709" s="402"/>
      <c r="N709" s="402"/>
      <c r="O709" s="402"/>
      <c r="P709" s="402"/>
      <c r="Q709" s="402"/>
      <c r="R709" s="402"/>
      <c r="S709" s="402"/>
      <c r="T709" s="402"/>
      <c r="U709" s="402"/>
      <c r="V709" s="402"/>
      <c r="W709" s="402"/>
      <c r="X709" s="402"/>
      <c r="Y709" s="402"/>
      <c r="Z709" s="402"/>
    </row>
    <row r="710" ht="14.25" customHeight="1">
      <c r="A710" s="406">
        <v>45532.0</v>
      </c>
      <c r="B710" s="596" t="s">
        <v>2278</v>
      </c>
      <c r="C710" s="513" t="s">
        <v>2279</v>
      </c>
      <c r="D710" s="637" t="s">
        <v>54</v>
      </c>
      <c r="E710" s="349" t="s">
        <v>2133</v>
      </c>
      <c r="F710" s="638">
        <v>107213.0</v>
      </c>
      <c r="G710" s="413">
        <v>0.0</v>
      </c>
      <c r="H710" s="349" t="s">
        <v>2422</v>
      </c>
      <c r="I710" s="402"/>
      <c r="J710" s="402"/>
      <c r="K710" s="402"/>
      <c r="L710" s="402"/>
      <c r="M710" s="402"/>
      <c r="N710" s="402"/>
      <c r="O710" s="402"/>
      <c r="P710" s="402"/>
      <c r="Q710" s="402"/>
      <c r="R710" s="402"/>
      <c r="S710" s="402"/>
      <c r="T710" s="402"/>
      <c r="U710" s="402"/>
      <c r="V710" s="402"/>
      <c r="W710" s="402"/>
      <c r="X710" s="402"/>
      <c r="Y710" s="402"/>
      <c r="Z710" s="402"/>
    </row>
    <row r="711" ht="14.25" customHeight="1">
      <c r="A711" s="406">
        <v>45532.0</v>
      </c>
      <c r="B711" s="513" t="s">
        <v>2318</v>
      </c>
      <c r="C711" s="513" t="s">
        <v>2338</v>
      </c>
      <c r="D711" s="635" t="s">
        <v>54</v>
      </c>
      <c r="E711" s="349" t="s">
        <v>2133</v>
      </c>
      <c r="F711" s="638">
        <v>29382.0</v>
      </c>
      <c r="G711" s="413">
        <v>0.0</v>
      </c>
      <c r="H711" s="349" t="s">
        <v>2415</v>
      </c>
      <c r="I711" s="402"/>
      <c r="J711" s="402"/>
      <c r="K711" s="402"/>
      <c r="L711" s="402"/>
      <c r="M711" s="402"/>
      <c r="N711" s="402"/>
      <c r="O711" s="402"/>
      <c r="P711" s="402"/>
      <c r="Q711" s="402"/>
      <c r="R711" s="402"/>
      <c r="S711" s="402"/>
      <c r="T711" s="402"/>
      <c r="U711" s="402"/>
      <c r="V711" s="402"/>
      <c r="W711" s="402"/>
      <c r="X711" s="402"/>
      <c r="Y711" s="402"/>
      <c r="Z711" s="402"/>
    </row>
    <row r="712" ht="14.25" customHeight="1">
      <c r="A712" s="406">
        <v>45532.0</v>
      </c>
      <c r="B712" s="634" t="s">
        <v>2140</v>
      </c>
      <c r="C712" s="634" t="s">
        <v>2340</v>
      </c>
      <c r="D712" s="635" t="s">
        <v>54</v>
      </c>
      <c r="E712" s="349" t="s">
        <v>2133</v>
      </c>
      <c r="F712" s="647">
        <v>69538.0</v>
      </c>
      <c r="G712" s="413">
        <v>0.0</v>
      </c>
      <c r="H712" s="419" t="s">
        <v>2400</v>
      </c>
      <c r="I712" s="402"/>
      <c r="J712" s="402"/>
      <c r="K712" s="402"/>
      <c r="L712" s="402"/>
      <c r="M712" s="402"/>
      <c r="N712" s="402"/>
      <c r="O712" s="402"/>
      <c r="P712" s="402"/>
      <c r="Q712" s="402"/>
      <c r="R712" s="402"/>
      <c r="S712" s="402"/>
      <c r="T712" s="402"/>
      <c r="U712" s="402"/>
      <c r="V712" s="402"/>
      <c r="W712" s="402"/>
      <c r="X712" s="402"/>
      <c r="Y712" s="402"/>
      <c r="Z712" s="402"/>
    </row>
    <row r="713" ht="14.25" customHeight="1">
      <c r="A713" s="406">
        <v>45532.0</v>
      </c>
      <c r="B713" s="512" t="s">
        <v>2137</v>
      </c>
      <c r="C713" s="512" t="s">
        <v>2138</v>
      </c>
      <c r="D713" s="635" t="s">
        <v>75</v>
      </c>
      <c r="E713" s="349" t="s">
        <v>2403</v>
      </c>
      <c r="F713" s="643">
        <v>50000.0</v>
      </c>
      <c r="G713" s="413">
        <v>0.0</v>
      </c>
      <c r="H713" s="419" t="s">
        <v>2379</v>
      </c>
      <c r="I713" s="402"/>
      <c r="J713" s="402"/>
      <c r="K713" s="402"/>
      <c r="L713" s="402"/>
      <c r="M713" s="402"/>
      <c r="N713" s="402"/>
      <c r="O713" s="402"/>
      <c r="P713" s="402"/>
      <c r="Q713" s="402"/>
      <c r="R713" s="402"/>
      <c r="S713" s="402"/>
      <c r="T713" s="402"/>
      <c r="U713" s="402"/>
      <c r="V713" s="402"/>
      <c r="W713" s="402"/>
      <c r="X713" s="402"/>
      <c r="Y713" s="402"/>
      <c r="Z713" s="402"/>
    </row>
    <row r="714" ht="14.25" customHeight="1">
      <c r="A714" s="406">
        <v>45532.0</v>
      </c>
      <c r="B714" s="605" t="s">
        <v>2360</v>
      </c>
      <c r="C714" s="634" t="s">
        <v>2361</v>
      </c>
      <c r="D714" s="634" t="s">
        <v>54</v>
      </c>
      <c r="E714" s="349" t="s">
        <v>2133</v>
      </c>
      <c r="F714" s="649">
        <v>10000.0</v>
      </c>
      <c r="G714" s="413">
        <v>0.0</v>
      </c>
      <c r="H714" s="419" t="s">
        <v>2416</v>
      </c>
      <c r="I714" s="402"/>
      <c r="J714" s="402"/>
      <c r="K714" s="402"/>
      <c r="L714" s="402"/>
      <c r="M714" s="402"/>
      <c r="N714" s="402"/>
      <c r="O714" s="402"/>
      <c r="P714" s="402"/>
      <c r="Q714" s="402"/>
      <c r="R714" s="402"/>
      <c r="S714" s="402"/>
      <c r="T714" s="402"/>
      <c r="U714" s="402"/>
      <c r="V714" s="402"/>
      <c r="W714" s="402"/>
      <c r="X714" s="402"/>
      <c r="Y714" s="402"/>
      <c r="Z714" s="402"/>
    </row>
    <row r="715" ht="14.25" customHeight="1">
      <c r="A715" s="406">
        <v>45532.0</v>
      </c>
      <c r="B715" s="623" t="s">
        <v>2152</v>
      </c>
      <c r="C715" s="623" t="s">
        <v>2153</v>
      </c>
      <c r="D715" s="624" t="s">
        <v>54</v>
      </c>
      <c r="E715" s="349" t="s">
        <v>2133</v>
      </c>
      <c r="F715" s="651">
        <v>63500.0</v>
      </c>
      <c r="G715" s="413">
        <v>0.0</v>
      </c>
      <c r="H715" s="419" t="s">
        <v>2417</v>
      </c>
      <c r="I715" s="402"/>
      <c r="J715" s="402"/>
      <c r="K715" s="402"/>
      <c r="L715" s="402"/>
      <c r="M715" s="402"/>
      <c r="N715" s="402"/>
      <c r="O715" s="402"/>
      <c r="P715" s="402"/>
      <c r="Q715" s="402"/>
      <c r="R715" s="402"/>
      <c r="S715" s="402"/>
      <c r="T715" s="402"/>
      <c r="U715" s="402"/>
      <c r="V715" s="402"/>
      <c r="W715" s="402"/>
      <c r="X715" s="402"/>
      <c r="Y715" s="402"/>
      <c r="Z715" s="402"/>
    </row>
    <row r="716" ht="14.25" customHeight="1">
      <c r="A716" s="406">
        <v>45532.0</v>
      </c>
      <c r="B716" s="623" t="s">
        <v>2401</v>
      </c>
      <c r="C716" s="623" t="s">
        <v>2402</v>
      </c>
      <c r="D716" s="624" t="s">
        <v>75</v>
      </c>
      <c r="E716" s="349" t="s">
        <v>2403</v>
      </c>
      <c r="F716" s="559">
        <v>115000.0</v>
      </c>
      <c r="G716" s="413">
        <v>0.0</v>
      </c>
      <c r="H716" s="419" t="s">
        <v>2200</v>
      </c>
      <c r="I716" s="402"/>
      <c r="J716" s="402"/>
      <c r="K716" s="402"/>
      <c r="L716" s="402"/>
      <c r="M716" s="402"/>
      <c r="N716" s="402"/>
      <c r="O716" s="402"/>
      <c r="P716" s="402"/>
      <c r="Q716" s="402"/>
      <c r="R716" s="402"/>
      <c r="S716" s="402"/>
      <c r="T716" s="402"/>
      <c r="U716" s="402"/>
      <c r="V716" s="402"/>
      <c r="W716" s="402"/>
      <c r="X716" s="402"/>
      <c r="Y716" s="402"/>
      <c r="Z716" s="402"/>
    </row>
    <row r="717" ht="14.25" customHeight="1">
      <c r="A717" s="406">
        <v>45532.0</v>
      </c>
      <c r="B717" s="623" t="s">
        <v>2175</v>
      </c>
      <c r="C717" s="623" t="s">
        <v>2176</v>
      </c>
      <c r="D717" s="624" t="s">
        <v>54</v>
      </c>
      <c r="E717" s="349" t="s">
        <v>2133</v>
      </c>
      <c r="F717" s="559">
        <v>101695.0</v>
      </c>
      <c r="G717" s="413">
        <v>0.0</v>
      </c>
      <c r="H717" s="419" t="s">
        <v>2407</v>
      </c>
      <c r="I717" s="402"/>
      <c r="J717" s="402"/>
      <c r="K717" s="402"/>
      <c r="L717" s="402"/>
      <c r="M717" s="402"/>
      <c r="N717" s="402"/>
      <c r="O717" s="402"/>
      <c r="P717" s="402"/>
      <c r="Q717" s="402"/>
      <c r="R717" s="402"/>
      <c r="S717" s="402"/>
      <c r="T717" s="402"/>
      <c r="U717" s="402"/>
      <c r="V717" s="402"/>
      <c r="W717" s="402"/>
      <c r="X717" s="402"/>
      <c r="Y717" s="402"/>
      <c r="Z717" s="402"/>
    </row>
    <row r="718" ht="14.25" customHeight="1">
      <c r="A718" s="406">
        <v>45532.0</v>
      </c>
      <c r="B718" s="512" t="s">
        <v>2409</v>
      </c>
      <c r="C718" s="512" t="s">
        <v>2410</v>
      </c>
      <c r="D718" s="595" t="s">
        <v>75</v>
      </c>
      <c r="E718" s="349" t="s">
        <v>2133</v>
      </c>
      <c r="F718" s="559">
        <v>514038.0</v>
      </c>
      <c r="G718" s="413">
        <v>299700.0</v>
      </c>
      <c r="H718" s="349" t="s">
        <v>2418</v>
      </c>
      <c r="I718" s="402"/>
      <c r="J718" s="402"/>
      <c r="K718" s="402"/>
      <c r="L718" s="402"/>
      <c r="M718" s="402"/>
      <c r="N718" s="402"/>
      <c r="O718" s="402"/>
      <c r="P718" s="402"/>
      <c r="Q718" s="402"/>
      <c r="R718" s="402"/>
      <c r="S718" s="402"/>
      <c r="T718" s="402"/>
      <c r="U718" s="402"/>
      <c r="V718" s="402"/>
      <c r="W718" s="402"/>
      <c r="X718" s="402"/>
      <c r="Y718" s="402"/>
      <c r="Z718" s="402"/>
    </row>
    <row r="719" ht="14.25" customHeight="1">
      <c r="A719" s="406">
        <v>45532.0</v>
      </c>
      <c r="B719" s="512" t="s">
        <v>2191</v>
      </c>
      <c r="C719" s="512" t="s">
        <v>2410</v>
      </c>
      <c r="D719" s="595" t="s">
        <v>54</v>
      </c>
      <c r="E719" s="349" t="s">
        <v>2403</v>
      </c>
      <c r="F719" s="559">
        <v>239038.0</v>
      </c>
      <c r="G719" s="413">
        <v>0.0</v>
      </c>
      <c r="H719" s="349" t="s">
        <v>2423</v>
      </c>
      <c r="I719" s="402"/>
      <c r="J719" s="402"/>
      <c r="K719" s="402"/>
      <c r="L719" s="402"/>
      <c r="M719" s="402"/>
      <c r="N719" s="402"/>
      <c r="O719" s="402"/>
      <c r="P719" s="402"/>
      <c r="Q719" s="402"/>
      <c r="R719" s="402"/>
      <c r="S719" s="402"/>
      <c r="T719" s="402"/>
      <c r="U719" s="402"/>
      <c r="V719" s="402"/>
      <c r="W719" s="402"/>
      <c r="X719" s="402"/>
      <c r="Y719" s="402"/>
      <c r="Z719" s="402"/>
    </row>
    <row r="720" ht="14.25" customHeight="1">
      <c r="A720" s="406">
        <v>45532.0</v>
      </c>
      <c r="B720" s="512" t="s">
        <v>2285</v>
      </c>
      <c r="C720" s="512" t="s">
        <v>2286</v>
      </c>
      <c r="D720" s="595" t="s">
        <v>54</v>
      </c>
      <c r="E720" s="349" t="s">
        <v>2133</v>
      </c>
      <c r="F720" s="559">
        <v>25896.0</v>
      </c>
      <c r="G720" s="413">
        <v>0.0</v>
      </c>
      <c r="H720" s="349" t="s">
        <v>2420</v>
      </c>
      <c r="I720" s="402"/>
      <c r="J720" s="402"/>
      <c r="K720" s="402"/>
      <c r="L720" s="402"/>
      <c r="M720" s="402"/>
      <c r="N720" s="402"/>
      <c r="O720" s="402"/>
      <c r="P720" s="402"/>
      <c r="Q720" s="402"/>
      <c r="R720" s="402"/>
      <c r="S720" s="402"/>
      <c r="T720" s="402"/>
      <c r="U720" s="402"/>
      <c r="V720" s="402"/>
      <c r="W720" s="402"/>
      <c r="X720" s="402"/>
      <c r="Y720" s="402"/>
      <c r="Z720" s="402"/>
    </row>
    <row r="721" ht="14.25" customHeight="1">
      <c r="A721" s="406"/>
      <c r="B721" s="402"/>
      <c r="C721" s="402"/>
      <c r="D721" s="402"/>
      <c r="E721" s="402"/>
      <c r="F721" s="587"/>
      <c r="G721" s="403"/>
      <c r="H721" s="402"/>
      <c r="I721" s="402"/>
      <c r="J721" s="402"/>
      <c r="K721" s="402"/>
      <c r="L721" s="402"/>
      <c r="M721" s="402"/>
      <c r="N721" s="402"/>
      <c r="O721" s="402"/>
      <c r="P721" s="402"/>
      <c r="Q721" s="402"/>
      <c r="R721" s="402"/>
      <c r="S721" s="402"/>
      <c r="T721" s="402"/>
      <c r="U721" s="402"/>
      <c r="V721" s="402"/>
      <c r="W721" s="402"/>
      <c r="X721" s="402"/>
      <c r="Y721" s="402"/>
      <c r="Z721" s="402"/>
    </row>
    <row r="722" ht="14.25" customHeight="1">
      <c r="A722" s="406"/>
      <c r="B722" s="402"/>
      <c r="C722" s="402"/>
      <c r="D722" s="402"/>
      <c r="E722" s="402"/>
      <c r="F722" s="587"/>
      <c r="G722" s="403"/>
      <c r="H722" s="349"/>
      <c r="I722" s="402"/>
      <c r="J722" s="402"/>
      <c r="K722" s="402"/>
      <c r="L722" s="402"/>
      <c r="M722" s="402"/>
      <c r="N722" s="402"/>
      <c r="O722" s="402"/>
      <c r="P722" s="402"/>
      <c r="Q722" s="402"/>
      <c r="R722" s="402"/>
      <c r="S722" s="402"/>
      <c r="T722" s="402"/>
      <c r="U722" s="402"/>
      <c r="V722" s="402"/>
      <c r="W722" s="402"/>
      <c r="X722" s="402"/>
      <c r="Y722" s="402"/>
      <c r="Z722" s="402"/>
    </row>
    <row r="723" ht="14.25" customHeight="1">
      <c r="A723" s="406"/>
      <c r="B723" s="402"/>
      <c r="C723" s="402"/>
      <c r="D723" s="402"/>
      <c r="E723" s="402"/>
      <c r="F723" s="587"/>
      <c r="G723" s="403"/>
      <c r="H723" s="402"/>
      <c r="I723" s="402"/>
      <c r="J723" s="402"/>
      <c r="K723" s="402"/>
      <c r="L723" s="402"/>
      <c r="M723" s="402"/>
      <c r="N723" s="402"/>
      <c r="O723" s="402"/>
      <c r="P723" s="402"/>
      <c r="Q723" s="402"/>
      <c r="R723" s="402"/>
      <c r="S723" s="402"/>
      <c r="T723" s="402"/>
      <c r="U723" s="402"/>
      <c r="V723" s="402"/>
      <c r="W723" s="402"/>
      <c r="X723" s="402"/>
      <c r="Y723" s="402"/>
      <c r="Z723" s="402"/>
    </row>
    <row r="724" ht="14.25" customHeight="1">
      <c r="A724" s="406">
        <v>45533.0</v>
      </c>
      <c r="B724" s="512" t="s">
        <v>2365</v>
      </c>
      <c r="C724" s="512" t="s">
        <v>2366</v>
      </c>
      <c r="D724" s="595" t="s">
        <v>54</v>
      </c>
      <c r="E724" s="349" t="s">
        <v>2133</v>
      </c>
      <c r="F724" s="643">
        <v>12183.0</v>
      </c>
      <c r="G724" s="413">
        <v>0.0</v>
      </c>
      <c r="H724" s="349" t="s">
        <v>2395</v>
      </c>
      <c r="I724" s="402"/>
      <c r="J724" s="402"/>
      <c r="K724" s="402"/>
      <c r="L724" s="402"/>
      <c r="M724" s="402"/>
      <c r="N724" s="402"/>
      <c r="O724" s="402"/>
      <c r="P724" s="402"/>
      <c r="Q724" s="402"/>
      <c r="R724" s="402"/>
      <c r="S724" s="402"/>
      <c r="T724" s="402"/>
      <c r="U724" s="402"/>
      <c r="V724" s="402"/>
      <c r="W724" s="402"/>
      <c r="X724" s="402"/>
      <c r="Y724" s="402"/>
      <c r="Z724" s="402"/>
    </row>
    <row r="725" ht="14.25" customHeight="1">
      <c r="A725" s="406">
        <v>45533.0</v>
      </c>
      <c r="B725" s="513" t="s">
        <v>2368</v>
      </c>
      <c r="C725" s="513" t="s">
        <v>2366</v>
      </c>
      <c r="D725" s="597" t="s">
        <v>346</v>
      </c>
      <c r="E725" s="349" t="s">
        <v>2133</v>
      </c>
      <c r="F725" s="644">
        <v>13250.0</v>
      </c>
      <c r="G725" s="413">
        <v>0.0</v>
      </c>
      <c r="H725" s="349" t="s">
        <v>2395</v>
      </c>
      <c r="I725" s="402"/>
      <c r="J725" s="402"/>
      <c r="K725" s="402"/>
      <c r="L725" s="402"/>
      <c r="M725" s="402"/>
      <c r="N725" s="402"/>
      <c r="O725" s="402"/>
      <c r="P725" s="402"/>
      <c r="Q725" s="402"/>
      <c r="R725" s="402"/>
      <c r="S725" s="402"/>
      <c r="T725" s="402"/>
      <c r="U725" s="402"/>
      <c r="V725" s="402"/>
      <c r="W725" s="402"/>
      <c r="X725" s="402"/>
      <c r="Y725" s="402"/>
      <c r="Z725" s="402"/>
    </row>
    <row r="726" ht="14.25" customHeight="1">
      <c r="A726" s="406">
        <v>45533.0</v>
      </c>
      <c r="B726" s="512" t="s">
        <v>2332</v>
      </c>
      <c r="C726" s="512" t="s">
        <v>2197</v>
      </c>
      <c r="D726" s="635" t="s">
        <v>54</v>
      </c>
      <c r="E726" s="349" t="s">
        <v>2133</v>
      </c>
      <c r="F726" s="636">
        <v>217317.0</v>
      </c>
      <c r="G726" s="413">
        <v>0.0</v>
      </c>
      <c r="H726" s="349" t="s">
        <v>2383</v>
      </c>
      <c r="I726" s="402"/>
      <c r="J726" s="402"/>
      <c r="K726" s="402"/>
      <c r="L726" s="402"/>
      <c r="M726" s="402"/>
      <c r="N726" s="402"/>
      <c r="O726" s="402"/>
      <c r="P726" s="402"/>
      <c r="Q726" s="402"/>
      <c r="R726" s="402"/>
      <c r="S726" s="402"/>
      <c r="T726" s="402"/>
      <c r="U726" s="402"/>
      <c r="V726" s="402"/>
      <c r="W726" s="402"/>
      <c r="X726" s="402"/>
      <c r="Y726" s="402"/>
      <c r="Z726" s="402"/>
    </row>
    <row r="727" ht="14.25" customHeight="1">
      <c r="A727" s="406">
        <v>45533.0</v>
      </c>
      <c r="B727" s="512" t="s">
        <v>2343</v>
      </c>
      <c r="C727" s="512" t="s">
        <v>2344</v>
      </c>
      <c r="D727" s="635" t="s">
        <v>54</v>
      </c>
      <c r="E727" s="349" t="s">
        <v>2133</v>
      </c>
      <c r="F727" s="636">
        <v>20425.0</v>
      </c>
      <c r="G727" s="413">
        <v>0.0</v>
      </c>
      <c r="H727" s="419" t="s">
        <v>2386</v>
      </c>
      <c r="I727" s="402"/>
      <c r="J727" s="402"/>
      <c r="K727" s="402"/>
      <c r="L727" s="402"/>
      <c r="M727" s="402"/>
      <c r="N727" s="402"/>
      <c r="O727" s="402"/>
      <c r="P727" s="402"/>
      <c r="Q727" s="402"/>
      <c r="R727" s="402"/>
      <c r="S727" s="402"/>
      <c r="T727" s="402"/>
      <c r="U727" s="402"/>
      <c r="V727" s="402"/>
      <c r="W727" s="402"/>
      <c r="X727" s="402"/>
      <c r="Y727" s="402"/>
      <c r="Z727" s="402"/>
    </row>
    <row r="728" ht="14.25" customHeight="1">
      <c r="A728" s="406">
        <v>45533.0</v>
      </c>
      <c r="B728" s="594" t="s">
        <v>2294</v>
      </c>
      <c r="C728" s="594" t="s">
        <v>2153</v>
      </c>
      <c r="D728" s="645" t="s">
        <v>75</v>
      </c>
      <c r="E728" s="349" t="s">
        <v>2403</v>
      </c>
      <c r="F728" s="636">
        <v>67750.0</v>
      </c>
      <c r="G728" s="413">
        <v>0.0</v>
      </c>
      <c r="H728" s="419" t="s">
        <v>2387</v>
      </c>
      <c r="I728" s="402"/>
      <c r="J728" s="402"/>
      <c r="K728" s="402"/>
      <c r="L728" s="402"/>
      <c r="M728" s="402"/>
      <c r="N728" s="402"/>
      <c r="O728" s="402"/>
      <c r="P728" s="402"/>
      <c r="Q728" s="402"/>
      <c r="R728" s="402"/>
      <c r="S728" s="402"/>
      <c r="T728" s="402"/>
      <c r="U728" s="402"/>
      <c r="V728" s="402"/>
      <c r="W728" s="402"/>
      <c r="X728" s="402"/>
      <c r="Y728" s="402"/>
      <c r="Z728" s="402"/>
    </row>
    <row r="729" ht="14.25" customHeight="1">
      <c r="A729" s="406">
        <v>45533.0</v>
      </c>
      <c r="B729" s="607" t="s">
        <v>2149</v>
      </c>
      <c r="C729" s="607" t="s">
        <v>2206</v>
      </c>
      <c r="D729" s="349" t="s">
        <v>54</v>
      </c>
      <c r="E729" s="349" t="s">
        <v>2133</v>
      </c>
      <c r="F729" s="559">
        <v>5000.0</v>
      </c>
      <c r="G729" s="413">
        <v>0.0</v>
      </c>
      <c r="H729" s="417" t="s">
        <v>2296</v>
      </c>
      <c r="I729" s="402"/>
      <c r="J729" s="402"/>
      <c r="K729" s="402"/>
      <c r="L729" s="402"/>
      <c r="M729" s="402"/>
      <c r="N729" s="402"/>
      <c r="O729" s="402"/>
      <c r="P729" s="402"/>
      <c r="Q729" s="402"/>
      <c r="R729" s="402"/>
      <c r="S729" s="402"/>
      <c r="T729" s="402"/>
      <c r="U729" s="402"/>
      <c r="V729" s="402"/>
      <c r="W729" s="402"/>
      <c r="X729" s="402"/>
      <c r="Y729" s="402"/>
      <c r="Z729" s="402"/>
    </row>
    <row r="730" ht="14.25" customHeight="1">
      <c r="A730" s="406">
        <v>45533.0</v>
      </c>
      <c r="B730" s="419" t="s">
        <v>2208</v>
      </c>
      <c r="C730" s="408" t="s">
        <v>2132</v>
      </c>
      <c r="D730" s="408" t="s">
        <v>439</v>
      </c>
      <c r="E730" s="408" t="s">
        <v>2133</v>
      </c>
      <c r="F730" s="445">
        <v>4000.0</v>
      </c>
      <c r="G730" s="413">
        <v>0.0</v>
      </c>
      <c r="H730" s="419" t="s">
        <v>2412</v>
      </c>
      <c r="I730" s="402"/>
      <c r="J730" s="402"/>
      <c r="K730" s="402"/>
      <c r="L730" s="402"/>
      <c r="M730" s="402"/>
      <c r="N730" s="402"/>
      <c r="O730" s="402"/>
      <c r="P730" s="402"/>
      <c r="Q730" s="402"/>
      <c r="R730" s="402"/>
      <c r="S730" s="402"/>
      <c r="T730" s="402"/>
      <c r="U730" s="402"/>
      <c r="V730" s="402"/>
      <c r="W730" s="402"/>
      <c r="X730" s="402"/>
      <c r="Y730" s="402"/>
      <c r="Z730" s="402"/>
    </row>
    <row r="731" ht="14.25" customHeight="1">
      <c r="A731" s="406">
        <v>45533.0</v>
      </c>
      <c r="B731" s="349" t="s">
        <v>2143</v>
      </c>
      <c r="C731" s="349" t="s">
        <v>2144</v>
      </c>
      <c r="D731" s="349" t="s">
        <v>54</v>
      </c>
      <c r="E731" s="349" t="s">
        <v>2133</v>
      </c>
      <c r="F731" s="559">
        <v>6000.0</v>
      </c>
      <c r="G731" s="413">
        <v>6000.0</v>
      </c>
      <c r="H731" s="349" t="s">
        <v>56</v>
      </c>
      <c r="I731" s="402"/>
      <c r="J731" s="402"/>
      <c r="K731" s="402"/>
      <c r="L731" s="402"/>
      <c r="M731" s="402"/>
      <c r="N731" s="402"/>
      <c r="O731" s="402"/>
      <c r="P731" s="402"/>
      <c r="Q731" s="402"/>
      <c r="R731" s="402"/>
      <c r="S731" s="402"/>
      <c r="T731" s="402"/>
      <c r="U731" s="402"/>
      <c r="V731" s="402"/>
      <c r="W731" s="402"/>
      <c r="X731" s="402"/>
      <c r="Y731" s="402"/>
      <c r="Z731" s="402"/>
    </row>
    <row r="732" ht="14.25" customHeight="1">
      <c r="A732" s="406">
        <v>45533.0</v>
      </c>
      <c r="B732" s="640" t="s">
        <v>2196</v>
      </c>
      <c r="C732" s="629" t="s">
        <v>2246</v>
      </c>
      <c r="D732" s="349" t="s">
        <v>54</v>
      </c>
      <c r="E732" s="349" t="s">
        <v>2133</v>
      </c>
      <c r="F732" s="622">
        <v>126855.0</v>
      </c>
      <c r="G732" s="413">
        <v>0.0</v>
      </c>
      <c r="H732" s="419" t="s">
        <v>2376</v>
      </c>
      <c r="I732" s="402"/>
      <c r="J732" s="402"/>
      <c r="K732" s="402"/>
      <c r="L732" s="402"/>
      <c r="M732" s="402"/>
      <c r="N732" s="402"/>
      <c r="O732" s="402"/>
      <c r="P732" s="402"/>
      <c r="Q732" s="402"/>
      <c r="R732" s="402"/>
      <c r="S732" s="402"/>
      <c r="T732" s="402"/>
      <c r="U732" s="402"/>
      <c r="V732" s="402"/>
      <c r="W732" s="402"/>
      <c r="X732" s="402"/>
      <c r="Y732" s="402"/>
      <c r="Z732" s="402"/>
    </row>
    <row r="733" ht="14.25" customHeight="1">
      <c r="A733" s="406">
        <v>45533.0</v>
      </c>
      <c r="B733" s="653" t="s">
        <v>2301</v>
      </c>
      <c r="C733" s="653" t="s">
        <v>2302</v>
      </c>
      <c r="D733" s="654" t="s">
        <v>54</v>
      </c>
      <c r="E733" s="407" t="s">
        <v>2133</v>
      </c>
      <c r="F733" s="638">
        <v>47100.0</v>
      </c>
      <c r="G733" s="413">
        <v>0.0</v>
      </c>
      <c r="H733" s="349" t="s">
        <v>2424</v>
      </c>
      <c r="I733" s="402"/>
      <c r="J733" s="402"/>
      <c r="K733" s="402"/>
      <c r="L733" s="402"/>
      <c r="M733" s="402"/>
      <c r="N733" s="402"/>
      <c r="O733" s="402"/>
      <c r="P733" s="402"/>
      <c r="Q733" s="402"/>
      <c r="R733" s="402"/>
      <c r="S733" s="402"/>
      <c r="T733" s="402"/>
      <c r="U733" s="402"/>
      <c r="V733" s="402"/>
      <c r="W733" s="402"/>
      <c r="X733" s="402"/>
      <c r="Y733" s="402"/>
      <c r="Z733" s="402"/>
    </row>
    <row r="734" ht="14.25" customHeight="1">
      <c r="A734" s="406">
        <v>45533.0</v>
      </c>
      <c r="B734" s="596" t="s">
        <v>2278</v>
      </c>
      <c r="C734" s="513" t="s">
        <v>2279</v>
      </c>
      <c r="D734" s="637" t="s">
        <v>54</v>
      </c>
      <c r="E734" s="349" t="s">
        <v>2133</v>
      </c>
      <c r="F734" s="638">
        <v>107213.0</v>
      </c>
      <c r="G734" s="413">
        <v>0.0</v>
      </c>
      <c r="H734" s="349" t="s">
        <v>2422</v>
      </c>
      <c r="I734" s="402"/>
      <c r="J734" s="402"/>
      <c r="K734" s="402"/>
      <c r="L734" s="402"/>
      <c r="M734" s="402"/>
      <c r="N734" s="402"/>
      <c r="O734" s="402"/>
      <c r="P734" s="402"/>
      <c r="Q734" s="402"/>
      <c r="R734" s="402"/>
      <c r="S734" s="402"/>
      <c r="T734" s="402"/>
      <c r="U734" s="402"/>
      <c r="V734" s="402"/>
      <c r="W734" s="402"/>
      <c r="X734" s="402"/>
      <c r="Y734" s="402"/>
      <c r="Z734" s="402"/>
    </row>
    <row r="735" ht="14.25" customHeight="1">
      <c r="A735" s="406">
        <v>45533.0</v>
      </c>
      <c r="B735" s="513" t="s">
        <v>2318</v>
      </c>
      <c r="C735" s="513" t="s">
        <v>2338</v>
      </c>
      <c r="D735" s="635" t="s">
        <v>54</v>
      </c>
      <c r="E735" s="349" t="s">
        <v>2133</v>
      </c>
      <c r="F735" s="638">
        <v>29382.0</v>
      </c>
      <c r="G735" s="413">
        <v>0.0</v>
      </c>
      <c r="H735" s="349" t="s">
        <v>2415</v>
      </c>
      <c r="I735" s="402"/>
      <c r="J735" s="402"/>
      <c r="K735" s="402"/>
      <c r="L735" s="402"/>
      <c r="M735" s="402"/>
      <c r="N735" s="402"/>
      <c r="O735" s="402"/>
      <c r="P735" s="402"/>
      <c r="Q735" s="402"/>
      <c r="R735" s="402"/>
      <c r="S735" s="402"/>
      <c r="T735" s="402"/>
      <c r="U735" s="402"/>
      <c r="V735" s="402"/>
      <c r="W735" s="402"/>
      <c r="X735" s="402"/>
      <c r="Y735" s="402"/>
      <c r="Z735" s="402"/>
    </row>
    <row r="736" ht="14.25" customHeight="1">
      <c r="A736" s="406">
        <v>45533.0</v>
      </c>
      <c r="B736" s="634" t="s">
        <v>2140</v>
      </c>
      <c r="C736" s="634" t="s">
        <v>2340</v>
      </c>
      <c r="D736" s="635" t="s">
        <v>54</v>
      </c>
      <c r="E736" s="349" t="s">
        <v>2133</v>
      </c>
      <c r="F736" s="647">
        <v>69538.0</v>
      </c>
      <c r="G736" s="413">
        <v>0.0</v>
      </c>
      <c r="H736" s="419" t="s">
        <v>2400</v>
      </c>
      <c r="I736" s="402"/>
      <c r="J736" s="402"/>
      <c r="K736" s="402"/>
      <c r="L736" s="402"/>
      <c r="M736" s="402"/>
      <c r="N736" s="402"/>
      <c r="O736" s="402"/>
      <c r="P736" s="402"/>
      <c r="Q736" s="402"/>
      <c r="R736" s="402"/>
      <c r="S736" s="402"/>
      <c r="T736" s="402"/>
      <c r="U736" s="402"/>
      <c r="V736" s="402"/>
      <c r="W736" s="402"/>
      <c r="X736" s="402"/>
      <c r="Y736" s="402"/>
      <c r="Z736" s="402"/>
    </row>
    <row r="737" ht="14.25" customHeight="1">
      <c r="A737" s="406">
        <v>45533.0</v>
      </c>
      <c r="B737" s="512" t="s">
        <v>2137</v>
      </c>
      <c r="C737" s="512" t="s">
        <v>2138</v>
      </c>
      <c r="D737" s="635" t="s">
        <v>75</v>
      </c>
      <c r="E737" s="349" t="s">
        <v>2403</v>
      </c>
      <c r="F737" s="643">
        <v>50000.0</v>
      </c>
      <c r="G737" s="413">
        <v>0.0</v>
      </c>
      <c r="H737" s="419" t="s">
        <v>2379</v>
      </c>
      <c r="I737" s="402"/>
      <c r="J737" s="402"/>
      <c r="K737" s="402"/>
      <c r="L737" s="402"/>
      <c r="M737" s="402"/>
      <c r="N737" s="402"/>
      <c r="O737" s="402"/>
      <c r="P737" s="402"/>
      <c r="Q737" s="402"/>
      <c r="R737" s="402"/>
      <c r="S737" s="402"/>
      <c r="T737" s="402"/>
      <c r="U737" s="402"/>
      <c r="V737" s="402"/>
      <c r="W737" s="402"/>
      <c r="X737" s="402"/>
      <c r="Y737" s="402"/>
      <c r="Z737" s="402"/>
    </row>
    <row r="738" ht="14.25" customHeight="1">
      <c r="A738" s="406">
        <v>45533.0</v>
      </c>
      <c r="B738" s="605" t="s">
        <v>2360</v>
      </c>
      <c r="C738" s="634" t="s">
        <v>2361</v>
      </c>
      <c r="D738" s="634" t="s">
        <v>54</v>
      </c>
      <c r="E738" s="349" t="s">
        <v>2133</v>
      </c>
      <c r="F738" s="649">
        <v>10000.0</v>
      </c>
      <c r="G738" s="413">
        <v>0.0</v>
      </c>
      <c r="H738" s="419" t="s">
        <v>2416</v>
      </c>
      <c r="I738" s="402"/>
      <c r="J738" s="402"/>
      <c r="K738" s="402"/>
      <c r="L738" s="402"/>
      <c r="M738" s="402"/>
      <c r="N738" s="402"/>
      <c r="O738" s="402"/>
      <c r="P738" s="402"/>
      <c r="Q738" s="402"/>
      <c r="R738" s="402"/>
      <c r="S738" s="402"/>
      <c r="T738" s="402"/>
      <c r="U738" s="402"/>
      <c r="V738" s="402"/>
      <c r="W738" s="402"/>
      <c r="X738" s="402"/>
      <c r="Y738" s="402"/>
      <c r="Z738" s="402"/>
    </row>
    <row r="739" ht="14.25" customHeight="1">
      <c r="A739" s="406">
        <v>45533.0</v>
      </c>
      <c r="B739" s="623" t="s">
        <v>2152</v>
      </c>
      <c r="C739" s="623" t="s">
        <v>2153</v>
      </c>
      <c r="D739" s="624" t="s">
        <v>54</v>
      </c>
      <c r="E739" s="349" t="s">
        <v>2133</v>
      </c>
      <c r="F739" s="651">
        <v>63500.0</v>
      </c>
      <c r="G739" s="413">
        <v>0.0</v>
      </c>
      <c r="H739" s="419" t="s">
        <v>2417</v>
      </c>
      <c r="I739" s="402"/>
      <c r="J739" s="402"/>
      <c r="K739" s="402"/>
      <c r="L739" s="402"/>
      <c r="M739" s="402"/>
      <c r="N739" s="402"/>
      <c r="O739" s="402"/>
      <c r="P739" s="402"/>
      <c r="Q739" s="402"/>
      <c r="R739" s="402"/>
      <c r="S739" s="402"/>
      <c r="T739" s="402"/>
      <c r="U739" s="402"/>
      <c r="V739" s="402"/>
      <c r="W739" s="402"/>
      <c r="X739" s="402"/>
      <c r="Y739" s="402"/>
      <c r="Z739" s="402"/>
    </row>
    <row r="740" ht="14.25" customHeight="1">
      <c r="A740" s="406">
        <v>45533.0</v>
      </c>
      <c r="B740" s="623" t="s">
        <v>2401</v>
      </c>
      <c r="C740" s="623" t="s">
        <v>2402</v>
      </c>
      <c r="D740" s="624" t="s">
        <v>75</v>
      </c>
      <c r="E740" s="349" t="s">
        <v>2403</v>
      </c>
      <c r="F740" s="559">
        <v>115000.0</v>
      </c>
      <c r="G740" s="413">
        <v>0.0</v>
      </c>
      <c r="H740" s="419" t="s">
        <v>2200</v>
      </c>
      <c r="I740" s="402"/>
      <c r="J740" s="402"/>
      <c r="K740" s="402"/>
      <c r="L740" s="402"/>
      <c r="M740" s="402"/>
      <c r="N740" s="402"/>
      <c r="O740" s="402"/>
      <c r="P740" s="402"/>
      <c r="Q740" s="402"/>
      <c r="R740" s="402"/>
      <c r="S740" s="402"/>
      <c r="T740" s="402"/>
      <c r="U740" s="402"/>
      <c r="V740" s="402"/>
      <c r="W740" s="402"/>
      <c r="X740" s="402"/>
      <c r="Y740" s="402"/>
      <c r="Z740" s="402"/>
    </row>
    <row r="741" ht="14.25" customHeight="1">
      <c r="A741" s="406">
        <v>45533.0</v>
      </c>
      <c r="B741" s="623" t="s">
        <v>2175</v>
      </c>
      <c r="C741" s="623" t="s">
        <v>2176</v>
      </c>
      <c r="D741" s="624" t="s">
        <v>54</v>
      </c>
      <c r="E741" s="349" t="s">
        <v>2133</v>
      </c>
      <c r="F741" s="559">
        <v>101695.0</v>
      </c>
      <c r="G741" s="413">
        <v>0.0</v>
      </c>
      <c r="H741" s="419" t="s">
        <v>2407</v>
      </c>
      <c r="I741" s="402"/>
      <c r="J741" s="402"/>
      <c r="K741" s="402"/>
      <c r="L741" s="402"/>
      <c r="M741" s="402"/>
      <c r="N741" s="402"/>
      <c r="O741" s="402"/>
      <c r="P741" s="402"/>
      <c r="Q741" s="402"/>
      <c r="R741" s="402"/>
      <c r="S741" s="402"/>
      <c r="T741" s="402"/>
      <c r="U741" s="402"/>
      <c r="V741" s="402"/>
      <c r="W741" s="402"/>
      <c r="X741" s="402"/>
      <c r="Y741" s="402"/>
      <c r="Z741" s="402"/>
    </row>
    <row r="742" ht="14.25" customHeight="1">
      <c r="A742" s="406">
        <v>45533.0</v>
      </c>
      <c r="B742" s="512" t="s">
        <v>2409</v>
      </c>
      <c r="C742" s="512" t="s">
        <v>2410</v>
      </c>
      <c r="D742" s="595" t="s">
        <v>75</v>
      </c>
      <c r="E742" s="349" t="s">
        <v>2133</v>
      </c>
      <c r="F742" s="559">
        <v>213662.0</v>
      </c>
      <c r="G742" s="413">
        <v>0.0</v>
      </c>
      <c r="H742" s="349" t="s">
        <v>2425</v>
      </c>
      <c r="I742" s="402"/>
      <c r="J742" s="402"/>
      <c r="K742" s="402"/>
      <c r="L742" s="402"/>
      <c r="M742" s="402"/>
      <c r="N742" s="402"/>
      <c r="O742" s="402"/>
      <c r="P742" s="402"/>
      <c r="Q742" s="402"/>
      <c r="R742" s="402"/>
      <c r="S742" s="402"/>
      <c r="T742" s="402"/>
      <c r="U742" s="402"/>
      <c r="V742" s="402"/>
      <c r="W742" s="402"/>
      <c r="X742" s="402"/>
      <c r="Y742" s="402"/>
      <c r="Z742" s="402"/>
    </row>
    <row r="743" ht="14.25" customHeight="1">
      <c r="A743" s="406">
        <v>45533.0</v>
      </c>
      <c r="B743" s="512" t="s">
        <v>2191</v>
      </c>
      <c r="C743" s="512" t="s">
        <v>2410</v>
      </c>
      <c r="D743" s="595" t="s">
        <v>54</v>
      </c>
      <c r="E743" s="349" t="s">
        <v>2403</v>
      </c>
      <c r="F743" s="559">
        <v>239038.0</v>
      </c>
      <c r="G743" s="413">
        <v>0.0</v>
      </c>
      <c r="H743" s="349" t="s">
        <v>2423</v>
      </c>
      <c r="I743" s="402"/>
      <c r="J743" s="402"/>
      <c r="K743" s="402"/>
      <c r="L743" s="402"/>
      <c r="M743" s="402"/>
      <c r="N743" s="402"/>
      <c r="O743" s="402"/>
      <c r="P743" s="402"/>
      <c r="Q743" s="402"/>
      <c r="R743" s="402"/>
      <c r="S743" s="402"/>
      <c r="T743" s="402"/>
      <c r="U743" s="402"/>
      <c r="V743" s="402"/>
      <c r="W743" s="402"/>
      <c r="X743" s="402"/>
      <c r="Y743" s="402"/>
      <c r="Z743" s="402"/>
    </row>
    <row r="744" ht="14.25" customHeight="1">
      <c r="A744" s="406">
        <v>45533.0</v>
      </c>
      <c r="B744" s="512" t="s">
        <v>2285</v>
      </c>
      <c r="C744" s="512" t="s">
        <v>2286</v>
      </c>
      <c r="D744" s="595" t="s">
        <v>54</v>
      </c>
      <c r="E744" s="349" t="s">
        <v>2133</v>
      </c>
      <c r="F744" s="559">
        <v>25896.0</v>
      </c>
      <c r="G744" s="413">
        <v>0.0</v>
      </c>
      <c r="H744" s="349" t="s">
        <v>2420</v>
      </c>
      <c r="I744" s="402"/>
      <c r="J744" s="402"/>
      <c r="K744" s="402"/>
      <c r="L744" s="402"/>
      <c r="M744" s="402"/>
      <c r="N744" s="402"/>
      <c r="O744" s="402"/>
      <c r="P744" s="402"/>
      <c r="Q744" s="402"/>
      <c r="R744" s="402"/>
      <c r="S744" s="402"/>
      <c r="T744" s="402"/>
      <c r="U744" s="402"/>
      <c r="V744" s="402"/>
      <c r="W744" s="402"/>
      <c r="X744" s="402"/>
      <c r="Y744" s="402"/>
      <c r="Z744" s="402"/>
    </row>
    <row r="745" ht="14.25" customHeight="1">
      <c r="A745" s="406"/>
      <c r="B745" s="402"/>
      <c r="C745" s="402"/>
      <c r="D745" s="402"/>
      <c r="E745" s="402"/>
      <c r="F745" s="587"/>
      <c r="G745" s="403"/>
      <c r="H745" s="402"/>
      <c r="I745" s="402"/>
      <c r="J745" s="402"/>
      <c r="K745" s="402"/>
      <c r="L745" s="402"/>
      <c r="M745" s="402"/>
      <c r="N745" s="402"/>
      <c r="O745" s="402"/>
      <c r="P745" s="402"/>
      <c r="Q745" s="402"/>
      <c r="R745" s="402"/>
      <c r="S745" s="402"/>
      <c r="T745" s="402"/>
      <c r="U745" s="402"/>
      <c r="V745" s="402"/>
      <c r="W745" s="402"/>
      <c r="X745" s="402"/>
      <c r="Y745" s="402"/>
      <c r="Z745" s="402"/>
    </row>
    <row r="746" ht="14.25" customHeight="1">
      <c r="A746" s="406">
        <v>45534.0</v>
      </c>
      <c r="B746" s="512" t="s">
        <v>2365</v>
      </c>
      <c r="C746" s="512" t="s">
        <v>2366</v>
      </c>
      <c r="D746" s="595" t="s">
        <v>54</v>
      </c>
      <c r="E746" s="349" t="s">
        <v>2133</v>
      </c>
      <c r="F746" s="643">
        <v>12183.0</v>
      </c>
      <c r="G746" s="413">
        <v>0.0</v>
      </c>
      <c r="H746" s="349" t="s">
        <v>2395</v>
      </c>
      <c r="I746" s="402"/>
      <c r="J746" s="402"/>
      <c r="K746" s="402"/>
      <c r="L746" s="402"/>
      <c r="M746" s="402"/>
      <c r="N746" s="402"/>
      <c r="O746" s="402"/>
      <c r="P746" s="402"/>
      <c r="Q746" s="402"/>
      <c r="R746" s="402"/>
      <c r="S746" s="402"/>
      <c r="T746" s="402"/>
      <c r="U746" s="402"/>
      <c r="V746" s="402"/>
      <c r="W746" s="402"/>
      <c r="X746" s="402"/>
      <c r="Y746" s="402"/>
      <c r="Z746" s="402"/>
    </row>
    <row r="747" ht="14.25" customHeight="1">
      <c r="A747" s="406">
        <v>45534.0</v>
      </c>
      <c r="B747" s="513" t="s">
        <v>2368</v>
      </c>
      <c r="C747" s="513" t="s">
        <v>2366</v>
      </c>
      <c r="D747" s="597" t="s">
        <v>346</v>
      </c>
      <c r="E747" s="349" t="s">
        <v>2133</v>
      </c>
      <c r="F747" s="644">
        <v>13250.0</v>
      </c>
      <c r="G747" s="413">
        <v>0.0</v>
      </c>
      <c r="H747" s="349" t="s">
        <v>2395</v>
      </c>
      <c r="I747" s="402"/>
      <c r="J747" s="402"/>
      <c r="K747" s="402"/>
      <c r="L747" s="402"/>
      <c r="M747" s="402"/>
      <c r="N747" s="402"/>
      <c r="O747" s="402"/>
      <c r="P747" s="402"/>
      <c r="Q747" s="402"/>
      <c r="R747" s="402"/>
      <c r="S747" s="402"/>
      <c r="T747" s="402"/>
      <c r="U747" s="402"/>
      <c r="V747" s="402"/>
      <c r="W747" s="402"/>
      <c r="X747" s="402"/>
      <c r="Y747" s="402"/>
      <c r="Z747" s="402"/>
    </row>
    <row r="748" ht="14.25" customHeight="1">
      <c r="A748" s="406">
        <v>45534.0</v>
      </c>
      <c r="B748" s="512" t="s">
        <v>2332</v>
      </c>
      <c r="C748" s="512" t="s">
        <v>2197</v>
      </c>
      <c r="D748" s="635" t="s">
        <v>54</v>
      </c>
      <c r="E748" s="349" t="s">
        <v>2133</v>
      </c>
      <c r="F748" s="636">
        <v>217317.0</v>
      </c>
      <c r="G748" s="413">
        <v>0.0</v>
      </c>
      <c r="H748" s="349" t="s">
        <v>2383</v>
      </c>
      <c r="I748" s="402"/>
      <c r="J748" s="402"/>
      <c r="K748" s="402"/>
      <c r="L748" s="402"/>
      <c r="M748" s="402"/>
      <c r="N748" s="402"/>
      <c r="O748" s="402"/>
      <c r="P748" s="402"/>
      <c r="Q748" s="402"/>
      <c r="R748" s="402"/>
      <c r="S748" s="402"/>
      <c r="T748" s="402"/>
      <c r="U748" s="402"/>
      <c r="V748" s="402"/>
      <c r="W748" s="402"/>
      <c r="X748" s="402"/>
      <c r="Y748" s="402"/>
      <c r="Z748" s="402"/>
    </row>
    <row r="749" ht="14.25" customHeight="1">
      <c r="A749" s="406">
        <v>45534.0</v>
      </c>
      <c r="B749" s="512" t="s">
        <v>2343</v>
      </c>
      <c r="C749" s="512" t="s">
        <v>2344</v>
      </c>
      <c r="D749" s="635" t="s">
        <v>54</v>
      </c>
      <c r="E749" s="349" t="s">
        <v>2133</v>
      </c>
      <c r="F749" s="636">
        <v>20425.0</v>
      </c>
      <c r="G749" s="413">
        <v>0.0</v>
      </c>
      <c r="H749" s="419" t="s">
        <v>2386</v>
      </c>
      <c r="I749" s="402"/>
      <c r="J749" s="402"/>
      <c r="K749" s="402"/>
      <c r="L749" s="402"/>
      <c r="M749" s="402"/>
      <c r="N749" s="402"/>
      <c r="O749" s="402"/>
      <c r="P749" s="402"/>
      <c r="Q749" s="402"/>
      <c r="R749" s="402"/>
      <c r="S749" s="402"/>
      <c r="T749" s="402"/>
      <c r="U749" s="402"/>
      <c r="V749" s="402"/>
      <c r="W749" s="402"/>
      <c r="X749" s="402"/>
      <c r="Y749" s="402"/>
      <c r="Z749" s="402"/>
    </row>
    <row r="750" ht="14.25" customHeight="1">
      <c r="A750" s="406">
        <v>45534.0</v>
      </c>
      <c r="B750" s="594" t="s">
        <v>2294</v>
      </c>
      <c r="C750" s="594" t="s">
        <v>2153</v>
      </c>
      <c r="D750" s="645" t="s">
        <v>75</v>
      </c>
      <c r="E750" s="349" t="s">
        <v>2403</v>
      </c>
      <c r="F750" s="636">
        <v>67750.0</v>
      </c>
      <c r="G750" s="413">
        <v>0.0</v>
      </c>
      <c r="H750" s="419" t="s">
        <v>2387</v>
      </c>
      <c r="I750" s="402"/>
      <c r="J750" s="402"/>
      <c r="K750" s="402"/>
      <c r="L750" s="402"/>
      <c r="M750" s="402"/>
      <c r="N750" s="402"/>
      <c r="O750" s="402"/>
      <c r="P750" s="402"/>
      <c r="Q750" s="402"/>
      <c r="R750" s="402"/>
      <c r="S750" s="402"/>
      <c r="T750" s="402"/>
      <c r="U750" s="402"/>
      <c r="V750" s="402"/>
      <c r="W750" s="402"/>
      <c r="X750" s="402"/>
      <c r="Y750" s="402"/>
      <c r="Z750" s="402"/>
    </row>
    <row r="751" ht="14.25" customHeight="1">
      <c r="A751" s="406">
        <v>45534.0</v>
      </c>
      <c r="B751" s="607" t="s">
        <v>2149</v>
      </c>
      <c r="C751" s="607" t="s">
        <v>2206</v>
      </c>
      <c r="D751" s="349" t="s">
        <v>54</v>
      </c>
      <c r="E751" s="349" t="s">
        <v>2133</v>
      </c>
      <c r="F751" s="559">
        <v>5000.0</v>
      </c>
      <c r="G751" s="413">
        <v>0.0</v>
      </c>
      <c r="H751" s="417" t="s">
        <v>2296</v>
      </c>
      <c r="I751" s="402"/>
      <c r="J751" s="402"/>
      <c r="K751" s="402"/>
      <c r="L751" s="402"/>
      <c r="M751" s="402"/>
      <c r="N751" s="402"/>
      <c r="O751" s="402"/>
      <c r="P751" s="402"/>
      <c r="Q751" s="402"/>
      <c r="R751" s="402"/>
      <c r="S751" s="402"/>
      <c r="T751" s="402"/>
      <c r="U751" s="402"/>
      <c r="V751" s="402"/>
      <c r="W751" s="402"/>
      <c r="X751" s="402"/>
      <c r="Y751" s="402"/>
      <c r="Z751" s="402"/>
    </row>
    <row r="752" ht="14.25" customHeight="1">
      <c r="A752" s="406">
        <v>45534.0</v>
      </c>
      <c r="B752" s="419" t="s">
        <v>2208</v>
      </c>
      <c r="C752" s="408" t="s">
        <v>2132</v>
      </c>
      <c r="D752" s="408" t="s">
        <v>439</v>
      </c>
      <c r="E752" s="408" t="s">
        <v>2133</v>
      </c>
      <c r="F752" s="445">
        <v>4000.0</v>
      </c>
      <c r="G752" s="413">
        <v>0.0</v>
      </c>
      <c r="H752" s="419" t="s">
        <v>2412</v>
      </c>
      <c r="I752" s="402"/>
      <c r="J752" s="402"/>
      <c r="K752" s="402"/>
      <c r="L752" s="402"/>
      <c r="M752" s="402"/>
      <c r="N752" s="402"/>
      <c r="O752" s="402"/>
      <c r="P752" s="402"/>
      <c r="Q752" s="402"/>
      <c r="R752" s="402"/>
      <c r="S752" s="402"/>
      <c r="T752" s="402"/>
      <c r="U752" s="402"/>
      <c r="V752" s="402"/>
      <c r="W752" s="402"/>
      <c r="X752" s="402"/>
      <c r="Y752" s="402"/>
      <c r="Z752" s="402"/>
    </row>
    <row r="753" ht="14.25" customHeight="1">
      <c r="A753" s="406">
        <v>45534.0</v>
      </c>
      <c r="B753" s="349" t="s">
        <v>2143</v>
      </c>
      <c r="C753" s="349" t="s">
        <v>2144</v>
      </c>
      <c r="D753" s="349" t="s">
        <v>54</v>
      </c>
      <c r="E753" s="349" t="s">
        <v>2133</v>
      </c>
      <c r="F753" s="559">
        <v>6000.0</v>
      </c>
      <c r="G753" s="413">
        <v>6000.0</v>
      </c>
      <c r="H753" s="349" t="s">
        <v>56</v>
      </c>
      <c r="I753" s="402"/>
      <c r="J753" s="402"/>
      <c r="K753" s="402"/>
      <c r="L753" s="402"/>
      <c r="M753" s="402"/>
      <c r="N753" s="402"/>
      <c r="O753" s="402"/>
      <c r="P753" s="402"/>
      <c r="Q753" s="402"/>
      <c r="R753" s="402"/>
      <c r="S753" s="402"/>
      <c r="T753" s="402"/>
      <c r="U753" s="402"/>
      <c r="V753" s="402"/>
      <c r="W753" s="402"/>
      <c r="X753" s="402"/>
      <c r="Y753" s="402"/>
      <c r="Z753" s="402"/>
    </row>
    <row r="754" ht="14.25" customHeight="1">
      <c r="A754" s="406">
        <v>45534.0</v>
      </c>
      <c r="B754" s="640" t="s">
        <v>2196</v>
      </c>
      <c r="C754" s="629" t="s">
        <v>2246</v>
      </c>
      <c r="D754" s="349" t="s">
        <v>54</v>
      </c>
      <c r="E754" s="349" t="s">
        <v>2133</v>
      </c>
      <c r="F754" s="622">
        <v>126855.0</v>
      </c>
      <c r="G754" s="413">
        <v>0.0</v>
      </c>
      <c r="H754" s="419" t="s">
        <v>2376</v>
      </c>
      <c r="I754" s="402"/>
      <c r="J754" s="402"/>
      <c r="K754" s="402"/>
      <c r="L754" s="402"/>
      <c r="M754" s="402"/>
      <c r="N754" s="402"/>
      <c r="O754" s="402"/>
      <c r="P754" s="402"/>
      <c r="Q754" s="402"/>
      <c r="R754" s="402"/>
      <c r="S754" s="402"/>
      <c r="T754" s="402"/>
      <c r="U754" s="402"/>
      <c r="V754" s="402"/>
      <c r="W754" s="402"/>
      <c r="X754" s="402"/>
      <c r="Y754" s="402"/>
      <c r="Z754" s="402"/>
    </row>
    <row r="755" ht="14.25" customHeight="1">
      <c r="A755" s="406">
        <v>45534.0</v>
      </c>
      <c r="B755" s="653" t="s">
        <v>2301</v>
      </c>
      <c r="C755" s="653" t="s">
        <v>2302</v>
      </c>
      <c r="D755" s="654" t="s">
        <v>54</v>
      </c>
      <c r="E755" s="407" t="s">
        <v>2133</v>
      </c>
      <c r="F755" s="638">
        <v>47100.0</v>
      </c>
      <c r="G755" s="413">
        <v>2000.0</v>
      </c>
      <c r="H755" s="349" t="s">
        <v>2426</v>
      </c>
      <c r="I755" s="402"/>
      <c r="J755" s="402"/>
      <c r="K755" s="402"/>
      <c r="L755" s="402"/>
      <c r="M755" s="402"/>
      <c r="N755" s="402"/>
      <c r="O755" s="402"/>
      <c r="P755" s="402"/>
      <c r="Q755" s="402"/>
      <c r="R755" s="402"/>
      <c r="S755" s="402"/>
      <c r="T755" s="402"/>
      <c r="U755" s="402"/>
      <c r="V755" s="402"/>
      <c r="W755" s="402"/>
      <c r="X755" s="402"/>
      <c r="Y755" s="402"/>
      <c r="Z755" s="402"/>
    </row>
    <row r="756" ht="14.25" customHeight="1">
      <c r="A756" s="406">
        <v>45534.0</v>
      </c>
      <c r="B756" s="596" t="s">
        <v>2278</v>
      </c>
      <c r="C756" s="513" t="s">
        <v>2279</v>
      </c>
      <c r="D756" s="637" t="s">
        <v>54</v>
      </c>
      <c r="E756" s="349" t="s">
        <v>2133</v>
      </c>
      <c r="F756" s="638">
        <v>107213.0</v>
      </c>
      <c r="G756" s="413">
        <v>0.0</v>
      </c>
      <c r="H756" s="349" t="s">
        <v>2422</v>
      </c>
      <c r="I756" s="402"/>
      <c r="J756" s="402"/>
      <c r="K756" s="402"/>
      <c r="L756" s="402"/>
      <c r="M756" s="402"/>
      <c r="N756" s="402"/>
      <c r="O756" s="402"/>
      <c r="P756" s="402"/>
      <c r="Q756" s="402"/>
      <c r="R756" s="402"/>
      <c r="S756" s="402"/>
      <c r="T756" s="402"/>
      <c r="U756" s="402"/>
      <c r="V756" s="402"/>
      <c r="W756" s="402"/>
      <c r="X756" s="402"/>
      <c r="Y756" s="402"/>
      <c r="Z756" s="402"/>
    </row>
    <row r="757" ht="14.25" customHeight="1">
      <c r="A757" s="406">
        <v>45534.0</v>
      </c>
      <c r="B757" s="513" t="s">
        <v>2318</v>
      </c>
      <c r="C757" s="513" t="s">
        <v>2338</v>
      </c>
      <c r="D757" s="635" t="s">
        <v>54</v>
      </c>
      <c r="E757" s="349" t="s">
        <v>2133</v>
      </c>
      <c r="F757" s="638">
        <v>29382.0</v>
      </c>
      <c r="G757" s="413">
        <v>0.0</v>
      </c>
      <c r="H757" s="349" t="s">
        <v>2415</v>
      </c>
      <c r="I757" s="402"/>
      <c r="J757" s="402"/>
      <c r="K757" s="402"/>
      <c r="L757" s="402"/>
      <c r="M757" s="402"/>
      <c r="N757" s="402"/>
      <c r="O757" s="402"/>
      <c r="P757" s="402"/>
      <c r="Q757" s="402"/>
      <c r="R757" s="402"/>
      <c r="S757" s="402"/>
      <c r="T757" s="402"/>
      <c r="U757" s="402"/>
      <c r="V757" s="402"/>
      <c r="W757" s="402"/>
      <c r="X757" s="402"/>
      <c r="Y757" s="402"/>
      <c r="Z757" s="402"/>
    </row>
    <row r="758" ht="14.25" customHeight="1">
      <c r="A758" s="406">
        <v>45534.0</v>
      </c>
      <c r="B758" s="634" t="s">
        <v>2140</v>
      </c>
      <c r="C758" s="634" t="s">
        <v>2340</v>
      </c>
      <c r="D758" s="635" t="s">
        <v>54</v>
      </c>
      <c r="E758" s="349" t="s">
        <v>2133</v>
      </c>
      <c r="F758" s="647">
        <v>69538.0</v>
      </c>
      <c r="G758" s="413">
        <v>0.0</v>
      </c>
      <c r="H758" s="419" t="s">
        <v>2400</v>
      </c>
      <c r="I758" s="402"/>
      <c r="J758" s="402"/>
      <c r="K758" s="402"/>
      <c r="L758" s="402"/>
      <c r="M758" s="402"/>
      <c r="N758" s="402"/>
      <c r="O758" s="402"/>
      <c r="P758" s="402"/>
      <c r="Q758" s="402"/>
      <c r="R758" s="402"/>
      <c r="S758" s="402"/>
      <c r="T758" s="402"/>
      <c r="U758" s="402"/>
      <c r="V758" s="402"/>
      <c r="W758" s="402"/>
      <c r="X758" s="402"/>
      <c r="Y758" s="402"/>
      <c r="Z758" s="402"/>
    </row>
    <row r="759" ht="14.25" customHeight="1">
      <c r="A759" s="406">
        <v>45534.0</v>
      </c>
      <c r="B759" s="512" t="s">
        <v>2137</v>
      </c>
      <c r="C759" s="512" t="s">
        <v>2138</v>
      </c>
      <c r="D759" s="635" t="s">
        <v>75</v>
      </c>
      <c r="E759" s="349" t="s">
        <v>2403</v>
      </c>
      <c r="F759" s="643">
        <v>50000.0</v>
      </c>
      <c r="G759" s="413">
        <v>0.0</v>
      </c>
      <c r="H759" s="419" t="s">
        <v>2379</v>
      </c>
      <c r="I759" s="402"/>
      <c r="J759" s="402"/>
      <c r="K759" s="402"/>
      <c r="L759" s="402"/>
      <c r="M759" s="402"/>
      <c r="N759" s="402"/>
      <c r="O759" s="402"/>
      <c r="P759" s="402"/>
      <c r="Q759" s="402"/>
      <c r="R759" s="402"/>
      <c r="S759" s="402"/>
      <c r="T759" s="402"/>
      <c r="U759" s="402"/>
      <c r="V759" s="402"/>
      <c r="W759" s="402"/>
      <c r="X759" s="402"/>
      <c r="Y759" s="402"/>
      <c r="Z759" s="402"/>
    </row>
    <row r="760" ht="14.25" customHeight="1">
      <c r="A760" s="406">
        <v>45534.0</v>
      </c>
      <c r="B760" s="605" t="s">
        <v>2360</v>
      </c>
      <c r="C760" s="634" t="s">
        <v>2361</v>
      </c>
      <c r="D760" s="634" t="s">
        <v>54</v>
      </c>
      <c r="E760" s="349" t="s">
        <v>2133</v>
      </c>
      <c r="F760" s="649">
        <v>10000.0</v>
      </c>
      <c r="G760" s="413">
        <v>0.0</v>
      </c>
      <c r="H760" s="419" t="s">
        <v>2416</v>
      </c>
      <c r="I760" s="402"/>
      <c r="J760" s="402"/>
      <c r="K760" s="402"/>
      <c r="L760" s="402"/>
      <c r="M760" s="402"/>
      <c r="N760" s="402"/>
      <c r="O760" s="402"/>
      <c r="P760" s="402"/>
      <c r="Q760" s="402"/>
      <c r="R760" s="402"/>
      <c r="S760" s="402"/>
      <c r="T760" s="402"/>
      <c r="U760" s="402"/>
      <c r="V760" s="402"/>
      <c r="W760" s="402"/>
      <c r="X760" s="402"/>
      <c r="Y760" s="402"/>
      <c r="Z760" s="402"/>
    </row>
    <row r="761" ht="14.25" customHeight="1">
      <c r="A761" s="406">
        <v>45534.0</v>
      </c>
      <c r="B761" s="623" t="s">
        <v>2152</v>
      </c>
      <c r="C761" s="623" t="s">
        <v>2153</v>
      </c>
      <c r="D761" s="624" t="s">
        <v>54</v>
      </c>
      <c r="E761" s="349" t="s">
        <v>2133</v>
      </c>
      <c r="F761" s="651">
        <v>63500.0</v>
      </c>
      <c r="G761" s="413">
        <v>0.0</v>
      </c>
      <c r="H761" s="419" t="s">
        <v>2417</v>
      </c>
      <c r="I761" s="402"/>
      <c r="J761" s="402"/>
      <c r="K761" s="402"/>
      <c r="L761" s="402"/>
      <c r="M761" s="402"/>
      <c r="N761" s="402"/>
      <c r="O761" s="402"/>
      <c r="P761" s="402"/>
      <c r="Q761" s="402"/>
      <c r="R761" s="402"/>
      <c r="S761" s="402"/>
      <c r="T761" s="402"/>
      <c r="U761" s="402"/>
      <c r="V761" s="402"/>
      <c r="W761" s="402"/>
      <c r="X761" s="402"/>
      <c r="Y761" s="402"/>
      <c r="Z761" s="402"/>
    </row>
    <row r="762" ht="14.25" customHeight="1">
      <c r="A762" s="406">
        <v>45534.0</v>
      </c>
      <c r="B762" s="623" t="s">
        <v>2401</v>
      </c>
      <c r="C762" s="623" t="s">
        <v>2402</v>
      </c>
      <c r="D762" s="624" t="s">
        <v>75</v>
      </c>
      <c r="E762" s="349" t="s">
        <v>2403</v>
      </c>
      <c r="F762" s="559">
        <v>115000.0</v>
      </c>
      <c r="G762" s="413">
        <v>0.0</v>
      </c>
      <c r="H762" s="419" t="s">
        <v>2200</v>
      </c>
      <c r="I762" s="402"/>
      <c r="J762" s="402"/>
      <c r="K762" s="402"/>
      <c r="L762" s="402"/>
      <c r="M762" s="402"/>
      <c r="N762" s="402"/>
      <c r="O762" s="402"/>
      <c r="P762" s="402"/>
      <c r="Q762" s="402"/>
      <c r="R762" s="402"/>
      <c r="S762" s="402"/>
      <c r="T762" s="402"/>
      <c r="U762" s="402"/>
      <c r="V762" s="402"/>
      <c r="W762" s="402"/>
      <c r="X762" s="402"/>
      <c r="Y762" s="402"/>
      <c r="Z762" s="402"/>
    </row>
    <row r="763" ht="14.25" customHeight="1">
      <c r="A763" s="406">
        <v>45534.0</v>
      </c>
      <c r="B763" s="623" t="s">
        <v>2175</v>
      </c>
      <c r="C763" s="623" t="s">
        <v>2176</v>
      </c>
      <c r="D763" s="624" t="s">
        <v>54</v>
      </c>
      <c r="E763" s="349" t="s">
        <v>2133</v>
      </c>
      <c r="F763" s="559">
        <v>101695.0</v>
      </c>
      <c r="G763" s="413">
        <v>111780.0</v>
      </c>
      <c r="H763" s="419" t="s">
        <v>2407</v>
      </c>
      <c r="I763" s="402"/>
      <c r="J763" s="402"/>
      <c r="K763" s="402"/>
      <c r="L763" s="402"/>
      <c r="M763" s="402"/>
      <c r="N763" s="402"/>
      <c r="O763" s="402"/>
      <c r="P763" s="402"/>
      <c r="Q763" s="402"/>
      <c r="R763" s="402"/>
      <c r="S763" s="402"/>
      <c r="T763" s="402"/>
      <c r="U763" s="402"/>
      <c r="V763" s="402"/>
      <c r="W763" s="402"/>
      <c r="X763" s="402"/>
      <c r="Y763" s="402"/>
      <c r="Z763" s="402"/>
    </row>
    <row r="764" ht="14.25" customHeight="1">
      <c r="A764" s="406">
        <v>45534.0</v>
      </c>
      <c r="B764" s="512" t="s">
        <v>2409</v>
      </c>
      <c r="C764" s="512" t="s">
        <v>2410</v>
      </c>
      <c r="D764" s="595" t="s">
        <v>75</v>
      </c>
      <c r="E764" s="349" t="s">
        <v>2133</v>
      </c>
      <c r="F764" s="559">
        <v>213662.0</v>
      </c>
      <c r="G764" s="413">
        <v>0.0</v>
      </c>
      <c r="H764" s="349" t="s">
        <v>2425</v>
      </c>
      <c r="I764" s="402"/>
      <c r="J764" s="402"/>
      <c r="K764" s="402"/>
      <c r="L764" s="402"/>
      <c r="M764" s="402"/>
      <c r="N764" s="402"/>
      <c r="O764" s="402"/>
      <c r="P764" s="402"/>
      <c r="Q764" s="402"/>
      <c r="R764" s="402"/>
      <c r="S764" s="402"/>
      <c r="T764" s="402"/>
      <c r="U764" s="402"/>
      <c r="V764" s="402"/>
      <c r="W764" s="402"/>
      <c r="X764" s="402"/>
      <c r="Y764" s="402"/>
      <c r="Z764" s="402"/>
    </row>
    <row r="765" ht="14.25" customHeight="1">
      <c r="A765" s="406">
        <v>45534.0</v>
      </c>
      <c r="B765" s="512" t="s">
        <v>2285</v>
      </c>
      <c r="C765" s="512" t="s">
        <v>2286</v>
      </c>
      <c r="D765" s="595" t="s">
        <v>54</v>
      </c>
      <c r="E765" s="349" t="s">
        <v>2133</v>
      </c>
      <c r="F765" s="559">
        <v>25896.0</v>
      </c>
      <c r="G765" s="413">
        <v>0.0</v>
      </c>
      <c r="H765" s="349" t="s">
        <v>2425</v>
      </c>
      <c r="I765" s="402"/>
      <c r="J765" s="402"/>
      <c r="K765" s="402"/>
      <c r="L765" s="402"/>
      <c r="M765" s="402"/>
      <c r="N765" s="402"/>
      <c r="O765" s="402"/>
      <c r="P765" s="402"/>
      <c r="Q765" s="402"/>
      <c r="R765" s="402"/>
      <c r="S765" s="402"/>
      <c r="T765" s="402"/>
      <c r="U765" s="402"/>
      <c r="V765" s="402"/>
      <c r="W765" s="402"/>
      <c r="X765" s="402"/>
      <c r="Y765" s="402"/>
      <c r="Z765" s="402"/>
    </row>
    <row r="766" ht="14.25" customHeight="1">
      <c r="A766" s="406">
        <v>45534.0</v>
      </c>
      <c r="B766" s="655" t="s">
        <v>2210</v>
      </c>
      <c r="C766" s="655" t="s">
        <v>2211</v>
      </c>
      <c r="D766" s="595" t="s">
        <v>54</v>
      </c>
      <c r="E766" s="349" t="s">
        <v>2133</v>
      </c>
      <c r="F766" s="643">
        <v>28030.0</v>
      </c>
      <c r="G766" s="413">
        <v>0.0</v>
      </c>
      <c r="H766" s="349" t="s">
        <v>2425</v>
      </c>
      <c r="I766" s="402"/>
      <c r="J766" s="402"/>
      <c r="K766" s="402"/>
      <c r="L766" s="402"/>
      <c r="M766" s="402"/>
      <c r="N766" s="402"/>
      <c r="O766" s="402"/>
      <c r="P766" s="402"/>
      <c r="Q766" s="402"/>
      <c r="R766" s="402"/>
      <c r="S766" s="402"/>
      <c r="T766" s="402"/>
      <c r="U766" s="402"/>
      <c r="V766" s="402"/>
      <c r="W766" s="402"/>
      <c r="X766" s="402"/>
      <c r="Y766" s="402"/>
      <c r="Z766" s="402"/>
    </row>
    <row r="767" ht="14.25" customHeight="1">
      <c r="A767" s="406">
        <v>45534.0</v>
      </c>
      <c r="B767" s="655" t="s">
        <v>2213</v>
      </c>
      <c r="C767" s="655" t="s">
        <v>2214</v>
      </c>
      <c r="D767" s="595" t="s">
        <v>54</v>
      </c>
      <c r="E767" s="349" t="s">
        <v>2133</v>
      </c>
      <c r="F767" s="644">
        <v>13625.0</v>
      </c>
      <c r="G767" s="413">
        <v>13625.0</v>
      </c>
      <c r="H767" s="349" t="s">
        <v>1238</v>
      </c>
      <c r="I767" s="402"/>
      <c r="J767" s="402"/>
      <c r="K767" s="402"/>
      <c r="L767" s="402"/>
      <c r="M767" s="402"/>
      <c r="N767" s="402"/>
      <c r="O767" s="402"/>
      <c r="P767" s="402"/>
      <c r="Q767" s="402"/>
      <c r="R767" s="402"/>
      <c r="S767" s="402"/>
      <c r="T767" s="402"/>
      <c r="U767" s="402"/>
      <c r="V767" s="402"/>
      <c r="W767" s="402"/>
      <c r="X767" s="402"/>
      <c r="Y767" s="402"/>
      <c r="Z767" s="402"/>
    </row>
    <row r="768" ht="14.25" customHeight="1">
      <c r="A768" s="406">
        <v>45534.0</v>
      </c>
      <c r="B768" s="655" t="s">
        <v>2215</v>
      </c>
      <c r="C768" s="655" t="s">
        <v>2216</v>
      </c>
      <c r="D768" s="595" t="s">
        <v>54</v>
      </c>
      <c r="E768" s="349" t="s">
        <v>2133</v>
      </c>
      <c r="F768" s="644">
        <v>36670.0</v>
      </c>
      <c r="G768" s="413">
        <v>0.0</v>
      </c>
      <c r="H768" s="349" t="s">
        <v>2425</v>
      </c>
      <c r="I768" s="402"/>
      <c r="J768" s="402"/>
      <c r="K768" s="402"/>
      <c r="L768" s="402"/>
      <c r="M768" s="402"/>
      <c r="N768" s="402"/>
      <c r="O768" s="402"/>
      <c r="P768" s="402"/>
      <c r="Q768" s="402"/>
      <c r="R768" s="402"/>
      <c r="S768" s="402"/>
      <c r="T768" s="402"/>
      <c r="U768" s="402"/>
      <c r="V768" s="402"/>
      <c r="W768" s="402"/>
      <c r="X768" s="402"/>
      <c r="Y768" s="402"/>
      <c r="Z768" s="402"/>
    </row>
    <row r="769" ht="14.25" customHeight="1">
      <c r="A769" s="406">
        <v>45534.0</v>
      </c>
      <c r="B769" s="655" t="s">
        <v>2218</v>
      </c>
      <c r="C769" s="655" t="s">
        <v>2219</v>
      </c>
      <c r="D769" s="595" t="s">
        <v>54</v>
      </c>
      <c r="E769" s="349" t="s">
        <v>2133</v>
      </c>
      <c r="F769" s="644">
        <v>57333.0</v>
      </c>
      <c r="G769" s="413">
        <v>0.0</v>
      </c>
      <c r="H769" s="349" t="s">
        <v>2425</v>
      </c>
      <c r="I769" s="402"/>
      <c r="J769" s="402"/>
      <c r="K769" s="402"/>
      <c r="L769" s="402"/>
      <c r="M769" s="402"/>
      <c r="N769" s="402"/>
      <c r="O769" s="402"/>
      <c r="P769" s="402"/>
      <c r="Q769" s="402"/>
      <c r="R769" s="402"/>
      <c r="S769" s="402"/>
      <c r="T769" s="402"/>
      <c r="U769" s="402"/>
      <c r="V769" s="402"/>
      <c r="W769" s="402"/>
      <c r="X769" s="402"/>
      <c r="Y769" s="402"/>
      <c r="Z769" s="402"/>
    </row>
    <row r="770" ht="14.25" customHeight="1">
      <c r="A770" s="2"/>
      <c r="B770" s="2"/>
      <c r="C770" s="2"/>
      <c r="D770" s="2"/>
      <c r="E770" s="2"/>
      <c r="F770" s="2"/>
      <c r="G770" s="2"/>
      <c r="H770" s="2"/>
      <c r="I770" s="402"/>
      <c r="J770" s="402"/>
      <c r="K770" s="402"/>
      <c r="L770" s="402"/>
      <c r="M770" s="402"/>
      <c r="N770" s="402"/>
      <c r="O770" s="402"/>
      <c r="P770" s="402"/>
      <c r="Q770" s="402"/>
      <c r="R770" s="402"/>
      <c r="S770" s="402"/>
      <c r="T770" s="402"/>
      <c r="U770" s="402"/>
      <c r="V770" s="402"/>
      <c r="W770" s="402"/>
      <c r="X770" s="402"/>
      <c r="Y770" s="402"/>
      <c r="Z770" s="402"/>
    </row>
    <row r="771" ht="14.25" customHeight="1">
      <c r="A771" s="2"/>
      <c r="B771" s="2"/>
      <c r="C771" s="2"/>
      <c r="D771" s="2"/>
      <c r="E771" s="2"/>
      <c r="F771" s="2"/>
      <c r="G771" s="2"/>
      <c r="H771" s="2"/>
      <c r="I771" s="402"/>
      <c r="J771" s="402"/>
      <c r="K771" s="402"/>
      <c r="L771" s="402"/>
      <c r="M771" s="402"/>
      <c r="N771" s="402"/>
      <c r="O771" s="402"/>
      <c r="P771" s="402"/>
      <c r="Q771" s="402"/>
      <c r="R771" s="402"/>
      <c r="S771" s="402"/>
      <c r="T771" s="402"/>
      <c r="U771" s="402"/>
      <c r="V771" s="402"/>
      <c r="W771" s="402"/>
      <c r="X771" s="402"/>
      <c r="Y771" s="402"/>
      <c r="Z771" s="402"/>
    </row>
    <row r="772" ht="14.25" customHeight="1">
      <c r="A772" s="406">
        <v>45535.0</v>
      </c>
      <c r="B772" s="512" t="s">
        <v>2365</v>
      </c>
      <c r="C772" s="512" t="s">
        <v>2366</v>
      </c>
      <c r="D772" s="595" t="s">
        <v>54</v>
      </c>
      <c r="E772" s="349" t="s">
        <v>2133</v>
      </c>
      <c r="F772" s="643">
        <v>12183.0</v>
      </c>
      <c r="G772" s="413">
        <v>0.0</v>
      </c>
      <c r="H772" s="349" t="s">
        <v>2395</v>
      </c>
      <c r="I772" s="402"/>
      <c r="J772" s="402"/>
      <c r="K772" s="402"/>
      <c r="L772" s="402"/>
      <c r="M772" s="402"/>
      <c r="N772" s="402"/>
      <c r="O772" s="402"/>
      <c r="P772" s="402"/>
      <c r="Q772" s="402"/>
      <c r="R772" s="402"/>
      <c r="S772" s="402"/>
      <c r="T772" s="402"/>
      <c r="U772" s="402"/>
      <c r="V772" s="402"/>
      <c r="W772" s="402"/>
      <c r="X772" s="402"/>
      <c r="Y772" s="402"/>
      <c r="Z772" s="402"/>
    </row>
    <row r="773" ht="14.25" customHeight="1">
      <c r="A773" s="406">
        <v>45535.0</v>
      </c>
      <c r="B773" s="513" t="s">
        <v>2368</v>
      </c>
      <c r="C773" s="513" t="s">
        <v>2366</v>
      </c>
      <c r="D773" s="597" t="s">
        <v>346</v>
      </c>
      <c r="E773" s="349" t="s">
        <v>2133</v>
      </c>
      <c r="F773" s="644">
        <v>13250.0</v>
      </c>
      <c r="G773" s="413">
        <v>0.0</v>
      </c>
      <c r="H773" s="349" t="s">
        <v>2395</v>
      </c>
      <c r="I773" s="402"/>
      <c r="J773" s="402"/>
      <c r="K773" s="402"/>
      <c r="L773" s="402"/>
      <c r="M773" s="402"/>
      <c r="N773" s="402"/>
      <c r="O773" s="402"/>
      <c r="P773" s="402"/>
      <c r="Q773" s="402"/>
      <c r="R773" s="402"/>
      <c r="S773" s="402"/>
      <c r="T773" s="402"/>
      <c r="U773" s="402"/>
      <c r="V773" s="402"/>
      <c r="W773" s="402"/>
      <c r="X773" s="402"/>
      <c r="Y773" s="402"/>
      <c r="Z773" s="402"/>
    </row>
    <row r="774" ht="14.25" customHeight="1">
      <c r="A774" s="406">
        <v>45535.0</v>
      </c>
      <c r="B774" s="512" t="s">
        <v>2332</v>
      </c>
      <c r="C774" s="512" t="s">
        <v>2197</v>
      </c>
      <c r="D774" s="635" t="s">
        <v>54</v>
      </c>
      <c r="E774" s="349" t="s">
        <v>2133</v>
      </c>
      <c r="F774" s="636">
        <v>217317.0</v>
      </c>
      <c r="G774" s="413">
        <v>0.0</v>
      </c>
      <c r="H774" s="349" t="s">
        <v>2383</v>
      </c>
      <c r="I774" s="402"/>
      <c r="J774" s="402"/>
      <c r="K774" s="402"/>
      <c r="L774" s="402"/>
      <c r="M774" s="402"/>
      <c r="N774" s="402"/>
      <c r="O774" s="402"/>
      <c r="P774" s="402"/>
      <c r="Q774" s="402"/>
      <c r="R774" s="402"/>
      <c r="S774" s="402"/>
      <c r="T774" s="402"/>
      <c r="U774" s="402"/>
      <c r="V774" s="402"/>
      <c r="W774" s="402"/>
      <c r="X774" s="402"/>
      <c r="Y774" s="402"/>
      <c r="Z774" s="402"/>
    </row>
    <row r="775" ht="14.25" customHeight="1">
      <c r="A775" s="406">
        <v>45535.0</v>
      </c>
      <c r="B775" s="512" t="s">
        <v>2343</v>
      </c>
      <c r="C775" s="512" t="s">
        <v>2344</v>
      </c>
      <c r="D775" s="635" t="s">
        <v>54</v>
      </c>
      <c r="E775" s="349" t="s">
        <v>2133</v>
      </c>
      <c r="F775" s="636">
        <v>20425.0</v>
      </c>
      <c r="G775" s="413">
        <v>0.0</v>
      </c>
      <c r="H775" s="419" t="s">
        <v>2386</v>
      </c>
      <c r="I775" s="402"/>
      <c r="J775" s="402"/>
      <c r="K775" s="402"/>
      <c r="L775" s="402"/>
      <c r="M775" s="402"/>
      <c r="N775" s="402"/>
      <c r="O775" s="402"/>
      <c r="P775" s="402"/>
      <c r="Q775" s="402"/>
      <c r="R775" s="402"/>
      <c r="S775" s="402"/>
      <c r="T775" s="402"/>
      <c r="U775" s="402"/>
      <c r="V775" s="402"/>
      <c r="W775" s="402"/>
      <c r="X775" s="402"/>
      <c r="Y775" s="402"/>
      <c r="Z775" s="402"/>
    </row>
    <row r="776" ht="14.25" customHeight="1">
      <c r="A776" s="406">
        <v>45535.0</v>
      </c>
      <c r="B776" s="594" t="s">
        <v>2294</v>
      </c>
      <c r="C776" s="594" t="s">
        <v>2153</v>
      </c>
      <c r="D776" s="645" t="s">
        <v>75</v>
      </c>
      <c r="E776" s="349" t="s">
        <v>2403</v>
      </c>
      <c r="F776" s="636">
        <v>67750.0</v>
      </c>
      <c r="G776" s="413">
        <v>0.0</v>
      </c>
      <c r="H776" s="419" t="s">
        <v>2387</v>
      </c>
      <c r="I776" s="402"/>
      <c r="J776" s="402"/>
      <c r="K776" s="402"/>
      <c r="L776" s="402"/>
      <c r="M776" s="402"/>
      <c r="N776" s="402"/>
      <c r="O776" s="402"/>
      <c r="P776" s="402"/>
      <c r="Q776" s="402"/>
      <c r="R776" s="402"/>
      <c r="S776" s="402"/>
      <c r="T776" s="402"/>
      <c r="U776" s="402"/>
      <c r="V776" s="402"/>
      <c r="W776" s="402"/>
      <c r="X776" s="402"/>
      <c r="Y776" s="402"/>
      <c r="Z776" s="402"/>
    </row>
    <row r="777" ht="14.25" customHeight="1">
      <c r="A777" s="406">
        <v>45535.0</v>
      </c>
      <c r="B777" s="607" t="s">
        <v>2149</v>
      </c>
      <c r="C777" s="607" t="s">
        <v>2206</v>
      </c>
      <c r="D777" s="349" t="s">
        <v>54</v>
      </c>
      <c r="E777" s="349" t="s">
        <v>2133</v>
      </c>
      <c r="F777" s="559">
        <v>5000.0</v>
      </c>
      <c r="G777" s="413">
        <v>0.0</v>
      </c>
      <c r="H777" s="417" t="s">
        <v>2296</v>
      </c>
      <c r="I777" s="402"/>
      <c r="J777" s="402"/>
      <c r="K777" s="402"/>
      <c r="L777" s="402"/>
      <c r="M777" s="402"/>
      <c r="N777" s="402"/>
      <c r="O777" s="402"/>
      <c r="P777" s="402"/>
      <c r="Q777" s="402"/>
      <c r="R777" s="402"/>
      <c r="S777" s="402"/>
      <c r="T777" s="402"/>
      <c r="U777" s="402"/>
      <c r="V777" s="402"/>
      <c r="W777" s="402"/>
      <c r="X777" s="402"/>
      <c r="Y777" s="402"/>
      <c r="Z777" s="402"/>
    </row>
    <row r="778" ht="14.25" customHeight="1">
      <c r="A778" s="406">
        <v>45535.0</v>
      </c>
      <c r="B778" s="419" t="s">
        <v>2208</v>
      </c>
      <c r="C778" s="408" t="s">
        <v>2132</v>
      </c>
      <c r="D778" s="408" t="s">
        <v>439</v>
      </c>
      <c r="E778" s="408" t="s">
        <v>2133</v>
      </c>
      <c r="F778" s="445">
        <v>4000.0</v>
      </c>
      <c r="G778" s="413">
        <v>0.0</v>
      </c>
      <c r="H778" s="419" t="s">
        <v>2412</v>
      </c>
      <c r="I778" s="402"/>
      <c r="J778" s="402"/>
      <c r="K778" s="402"/>
      <c r="L778" s="402"/>
      <c r="M778" s="402"/>
      <c r="N778" s="402"/>
      <c r="O778" s="402"/>
      <c r="P778" s="402"/>
      <c r="Q778" s="402"/>
      <c r="R778" s="402"/>
      <c r="S778" s="402"/>
      <c r="T778" s="402"/>
      <c r="U778" s="402"/>
      <c r="V778" s="402"/>
      <c r="W778" s="402"/>
      <c r="X778" s="402"/>
      <c r="Y778" s="402"/>
      <c r="Z778" s="402"/>
    </row>
    <row r="779" ht="14.25" customHeight="1">
      <c r="A779" s="406">
        <v>45535.0</v>
      </c>
      <c r="B779" s="349" t="s">
        <v>2143</v>
      </c>
      <c r="C779" s="349" t="s">
        <v>2144</v>
      </c>
      <c r="D779" s="349" t="s">
        <v>54</v>
      </c>
      <c r="E779" s="349" t="s">
        <v>2133</v>
      </c>
      <c r="F779" s="559">
        <v>6000.0</v>
      </c>
      <c r="G779" s="413">
        <v>6000.0</v>
      </c>
      <c r="H779" s="349" t="s">
        <v>56</v>
      </c>
      <c r="I779" s="402"/>
      <c r="J779" s="402"/>
      <c r="K779" s="402"/>
      <c r="L779" s="402"/>
      <c r="M779" s="402"/>
      <c r="N779" s="402"/>
      <c r="O779" s="402"/>
      <c r="P779" s="402"/>
      <c r="Q779" s="402"/>
      <c r="R779" s="402"/>
      <c r="S779" s="402"/>
      <c r="T779" s="402"/>
      <c r="U779" s="402"/>
      <c r="V779" s="402"/>
      <c r="W779" s="402"/>
      <c r="X779" s="402"/>
      <c r="Y779" s="402"/>
      <c r="Z779" s="402"/>
    </row>
    <row r="780" ht="14.25" customHeight="1">
      <c r="A780" s="406">
        <v>45535.0</v>
      </c>
      <c r="B780" s="640" t="s">
        <v>2196</v>
      </c>
      <c r="C780" s="629" t="s">
        <v>2246</v>
      </c>
      <c r="D780" s="349" t="s">
        <v>54</v>
      </c>
      <c r="E780" s="349" t="s">
        <v>2133</v>
      </c>
      <c r="F780" s="622">
        <v>126855.0</v>
      </c>
      <c r="G780" s="413">
        <v>0.0</v>
      </c>
      <c r="H780" s="419" t="s">
        <v>2376</v>
      </c>
      <c r="I780" s="402"/>
      <c r="J780" s="402"/>
      <c r="K780" s="402"/>
      <c r="L780" s="402"/>
      <c r="M780" s="402"/>
      <c r="N780" s="402"/>
      <c r="O780" s="402"/>
      <c r="P780" s="402"/>
      <c r="Q780" s="402"/>
      <c r="R780" s="402"/>
      <c r="S780" s="402"/>
      <c r="T780" s="402"/>
      <c r="U780" s="402"/>
      <c r="V780" s="402"/>
      <c r="W780" s="402"/>
      <c r="X780" s="402"/>
      <c r="Y780" s="402"/>
      <c r="Z780" s="402"/>
    </row>
    <row r="781" ht="14.25" customHeight="1">
      <c r="A781" s="406">
        <v>45535.0</v>
      </c>
      <c r="B781" s="653" t="s">
        <v>2301</v>
      </c>
      <c r="C781" s="653" t="s">
        <v>2302</v>
      </c>
      <c r="D781" s="654" t="s">
        <v>54</v>
      </c>
      <c r="E781" s="407" t="s">
        <v>2133</v>
      </c>
      <c r="F781" s="638">
        <v>47100.0</v>
      </c>
      <c r="G781" s="413">
        <v>0.0</v>
      </c>
      <c r="H781" s="349" t="s">
        <v>2426</v>
      </c>
      <c r="I781" s="402"/>
      <c r="J781" s="402"/>
      <c r="K781" s="402"/>
      <c r="L781" s="402"/>
      <c r="M781" s="402"/>
      <c r="N781" s="402"/>
      <c r="O781" s="402"/>
      <c r="P781" s="402"/>
      <c r="Q781" s="402"/>
      <c r="R781" s="402"/>
      <c r="S781" s="402"/>
      <c r="T781" s="402"/>
      <c r="U781" s="402"/>
      <c r="V781" s="402"/>
      <c r="W781" s="402"/>
      <c r="X781" s="402"/>
      <c r="Y781" s="402"/>
      <c r="Z781" s="402"/>
    </row>
    <row r="782" ht="14.25" customHeight="1">
      <c r="A782" s="406">
        <v>45535.0</v>
      </c>
      <c r="B782" s="596" t="s">
        <v>2278</v>
      </c>
      <c r="C782" s="513" t="s">
        <v>2279</v>
      </c>
      <c r="D782" s="637" t="s">
        <v>54</v>
      </c>
      <c r="E782" s="349" t="s">
        <v>2133</v>
      </c>
      <c r="F782" s="638">
        <v>107213.0</v>
      </c>
      <c r="G782" s="413">
        <v>0.0</v>
      </c>
      <c r="H782" s="349" t="s">
        <v>2415</v>
      </c>
      <c r="I782" s="402"/>
      <c r="J782" s="402"/>
      <c r="K782" s="402"/>
      <c r="L782" s="402"/>
      <c r="M782" s="402"/>
      <c r="N782" s="402"/>
      <c r="O782" s="402"/>
      <c r="P782" s="402"/>
      <c r="Q782" s="402"/>
      <c r="R782" s="402"/>
      <c r="S782" s="402"/>
      <c r="T782" s="402"/>
      <c r="U782" s="402"/>
      <c r="V782" s="402"/>
      <c r="W782" s="402"/>
      <c r="X782" s="402"/>
      <c r="Y782" s="402"/>
      <c r="Z782" s="402"/>
    </row>
    <row r="783" ht="14.25" customHeight="1">
      <c r="A783" s="406">
        <v>45535.0</v>
      </c>
      <c r="B783" s="513" t="s">
        <v>2318</v>
      </c>
      <c r="C783" s="513" t="s">
        <v>2338</v>
      </c>
      <c r="D783" s="635" t="s">
        <v>54</v>
      </c>
      <c r="E783" s="349" t="s">
        <v>2133</v>
      </c>
      <c r="F783" s="638">
        <v>29382.0</v>
      </c>
      <c r="G783" s="413">
        <v>100000.0</v>
      </c>
      <c r="H783" s="349" t="s">
        <v>87</v>
      </c>
      <c r="I783" s="402"/>
      <c r="J783" s="402"/>
      <c r="K783" s="402"/>
      <c r="L783" s="402"/>
      <c r="M783" s="402"/>
      <c r="N783" s="402"/>
      <c r="O783" s="402"/>
      <c r="P783" s="402"/>
      <c r="Q783" s="402"/>
      <c r="R783" s="402"/>
      <c r="S783" s="402"/>
      <c r="T783" s="402"/>
      <c r="U783" s="402"/>
      <c r="V783" s="402"/>
      <c r="W783" s="402"/>
      <c r="X783" s="402"/>
      <c r="Y783" s="402"/>
      <c r="Z783" s="402"/>
    </row>
    <row r="784" ht="14.25" customHeight="1">
      <c r="A784" s="406">
        <v>45535.0</v>
      </c>
      <c r="B784" s="634" t="s">
        <v>2140</v>
      </c>
      <c r="C784" s="634" t="s">
        <v>2340</v>
      </c>
      <c r="D784" s="635" t="s">
        <v>54</v>
      </c>
      <c r="E784" s="349" t="s">
        <v>2133</v>
      </c>
      <c r="F784" s="647">
        <v>69538.0</v>
      </c>
      <c r="G784" s="413">
        <v>0.0</v>
      </c>
      <c r="H784" s="419" t="s">
        <v>2400</v>
      </c>
      <c r="I784" s="402"/>
      <c r="J784" s="402"/>
      <c r="K784" s="402"/>
      <c r="L784" s="402"/>
      <c r="M784" s="402"/>
      <c r="N784" s="402"/>
      <c r="O784" s="402"/>
      <c r="P784" s="402"/>
      <c r="Q784" s="402"/>
      <c r="R784" s="402"/>
      <c r="S784" s="402"/>
      <c r="T784" s="402"/>
      <c r="U784" s="402"/>
      <c r="V784" s="402"/>
      <c r="W784" s="402"/>
      <c r="X784" s="402"/>
      <c r="Y784" s="402"/>
      <c r="Z784" s="402"/>
    </row>
    <row r="785" ht="14.25" customHeight="1">
      <c r="A785" s="406">
        <v>45535.0</v>
      </c>
      <c r="B785" s="512" t="s">
        <v>2137</v>
      </c>
      <c r="C785" s="512" t="s">
        <v>2138</v>
      </c>
      <c r="D785" s="635" t="s">
        <v>75</v>
      </c>
      <c r="E785" s="349" t="s">
        <v>2403</v>
      </c>
      <c r="F785" s="643">
        <v>50000.0</v>
      </c>
      <c r="G785" s="413">
        <v>0.0</v>
      </c>
      <c r="H785" s="419" t="s">
        <v>2379</v>
      </c>
      <c r="I785" s="402"/>
      <c r="J785" s="402"/>
      <c r="K785" s="402"/>
      <c r="L785" s="402"/>
      <c r="M785" s="402"/>
      <c r="N785" s="402"/>
      <c r="O785" s="402"/>
      <c r="P785" s="402"/>
      <c r="Q785" s="402"/>
      <c r="R785" s="402"/>
      <c r="S785" s="402"/>
      <c r="T785" s="402"/>
      <c r="U785" s="402"/>
      <c r="V785" s="402"/>
      <c r="W785" s="402"/>
      <c r="X785" s="402"/>
      <c r="Y785" s="402"/>
      <c r="Z785" s="402"/>
    </row>
    <row r="786" ht="14.25" customHeight="1">
      <c r="A786" s="406">
        <v>45535.0</v>
      </c>
      <c r="B786" s="605" t="s">
        <v>2360</v>
      </c>
      <c r="C786" s="634" t="s">
        <v>2361</v>
      </c>
      <c r="D786" s="634" t="s">
        <v>54</v>
      </c>
      <c r="E786" s="349" t="s">
        <v>2133</v>
      </c>
      <c r="F786" s="649">
        <v>10000.0</v>
      </c>
      <c r="G786" s="413">
        <v>0.0</v>
      </c>
      <c r="H786" s="419" t="s">
        <v>2416</v>
      </c>
      <c r="I786" s="402"/>
      <c r="J786" s="402"/>
      <c r="K786" s="402"/>
      <c r="L786" s="402"/>
      <c r="M786" s="402"/>
      <c r="N786" s="402"/>
      <c r="O786" s="402"/>
      <c r="P786" s="402"/>
      <c r="Q786" s="402"/>
      <c r="R786" s="402"/>
      <c r="S786" s="402"/>
      <c r="T786" s="402"/>
      <c r="U786" s="402"/>
      <c r="V786" s="402"/>
      <c r="W786" s="402"/>
      <c r="X786" s="402"/>
      <c r="Y786" s="402"/>
      <c r="Z786" s="402"/>
    </row>
    <row r="787" ht="14.25" customHeight="1">
      <c r="A787" s="406">
        <v>45535.0</v>
      </c>
      <c r="B787" s="623" t="s">
        <v>2152</v>
      </c>
      <c r="C787" s="623" t="s">
        <v>2153</v>
      </c>
      <c r="D787" s="624" t="s">
        <v>54</v>
      </c>
      <c r="E787" s="349" t="s">
        <v>2133</v>
      </c>
      <c r="F787" s="651">
        <v>63500.0</v>
      </c>
      <c r="G787" s="413">
        <v>0.0</v>
      </c>
      <c r="H787" s="419" t="s">
        <v>2417</v>
      </c>
      <c r="I787" s="402"/>
      <c r="J787" s="402"/>
      <c r="K787" s="402"/>
      <c r="L787" s="402"/>
      <c r="M787" s="402"/>
      <c r="N787" s="402"/>
      <c r="O787" s="402"/>
      <c r="P787" s="402"/>
      <c r="Q787" s="402"/>
      <c r="R787" s="402"/>
      <c r="S787" s="402"/>
      <c r="T787" s="402"/>
      <c r="U787" s="402"/>
      <c r="V787" s="402"/>
      <c r="W787" s="402"/>
      <c r="X787" s="402"/>
      <c r="Y787" s="402"/>
      <c r="Z787" s="402"/>
    </row>
    <row r="788" ht="14.25" customHeight="1">
      <c r="A788" s="406">
        <v>45535.0</v>
      </c>
      <c r="B788" s="623" t="s">
        <v>2401</v>
      </c>
      <c r="C788" s="623" t="s">
        <v>2402</v>
      </c>
      <c r="D788" s="623" t="s">
        <v>75</v>
      </c>
      <c r="E788" s="349" t="s">
        <v>2403</v>
      </c>
      <c r="F788" s="559">
        <v>115000.0</v>
      </c>
      <c r="G788" s="413">
        <v>0.0</v>
      </c>
      <c r="H788" s="419" t="s">
        <v>2200</v>
      </c>
      <c r="I788" s="402"/>
      <c r="J788" s="402"/>
      <c r="K788" s="402"/>
      <c r="L788" s="402"/>
      <c r="M788" s="402"/>
      <c r="N788" s="402"/>
      <c r="O788" s="402"/>
      <c r="P788" s="402"/>
      <c r="Q788" s="402"/>
      <c r="R788" s="402"/>
      <c r="S788" s="402"/>
      <c r="T788" s="402"/>
      <c r="U788" s="402"/>
      <c r="V788" s="402"/>
      <c r="W788" s="402"/>
      <c r="X788" s="402"/>
      <c r="Y788" s="402"/>
      <c r="Z788" s="402"/>
    </row>
    <row r="789" ht="14.25" customHeight="1">
      <c r="A789" s="406">
        <v>45535.0</v>
      </c>
      <c r="B789" s="623" t="s">
        <v>2175</v>
      </c>
      <c r="C789" s="623" t="s">
        <v>2176</v>
      </c>
      <c r="D789" s="623" t="s">
        <v>54</v>
      </c>
      <c r="E789" s="349" t="s">
        <v>2133</v>
      </c>
      <c r="F789" s="559">
        <v>101695.0</v>
      </c>
      <c r="G789" s="413">
        <v>0.0</v>
      </c>
      <c r="H789" s="419" t="s">
        <v>2407</v>
      </c>
      <c r="I789" s="402"/>
      <c r="J789" s="402"/>
      <c r="K789" s="402"/>
      <c r="L789" s="402"/>
      <c r="M789" s="402"/>
      <c r="N789" s="402"/>
      <c r="O789" s="402"/>
      <c r="P789" s="402"/>
      <c r="Q789" s="402"/>
      <c r="R789" s="402"/>
      <c r="S789" s="402"/>
      <c r="T789" s="402"/>
      <c r="U789" s="402"/>
      <c r="V789" s="402"/>
      <c r="W789" s="402"/>
      <c r="X789" s="402"/>
      <c r="Y789" s="402"/>
      <c r="Z789" s="402"/>
    </row>
    <row r="790" ht="14.25" customHeight="1">
      <c r="A790" s="406">
        <v>45535.0</v>
      </c>
      <c r="B790" s="512" t="s">
        <v>2409</v>
      </c>
      <c r="C790" s="512" t="s">
        <v>2410</v>
      </c>
      <c r="D790" s="512" t="s">
        <v>75</v>
      </c>
      <c r="E790" s="349" t="s">
        <v>2133</v>
      </c>
      <c r="F790" s="559">
        <v>213662.0</v>
      </c>
      <c r="G790" s="413">
        <v>0.0</v>
      </c>
      <c r="H790" s="349" t="s">
        <v>2425</v>
      </c>
      <c r="I790" s="402"/>
      <c r="J790" s="402"/>
      <c r="K790" s="402"/>
      <c r="L790" s="402"/>
      <c r="M790" s="402"/>
      <c r="N790" s="402"/>
      <c r="O790" s="402"/>
      <c r="P790" s="402"/>
      <c r="Q790" s="402"/>
      <c r="R790" s="402"/>
      <c r="S790" s="402"/>
      <c r="T790" s="402"/>
      <c r="U790" s="402"/>
      <c r="V790" s="402"/>
      <c r="W790" s="402"/>
      <c r="X790" s="402"/>
      <c r="Y790" s="402"/>
      <c r="Z790" s="402"/>
    </row>
    <row r="791" ht="14.25" customHeight="1">
      <c r="A791" s="406">
        <v>45535.0</v>
      </c>
      <c r="B791" s="512" t="s">
        <v>2285</v>
      </c>
      <c r="C791" s="512" t="s">
        <v>2286</v>
      </c>
      <c r="D791" s="512" t="s">
        <v>54</v>
      </c>
      <c r="E791" s="349" t="s">
        <v>2133</v>
      </c>
      <c r="F791" s="559">
        <v>25896.0</v>
      </c>
      <c r="G791" s="413">
        <v>0.0</v>
      </c>
      <c r="H791" s="349" t="s">
        <v>2425</v>
      </c>
      <c r="I791" s="402"/>
      <c r="J791" s="402"/>
      <c r="K791" s="402"/>
      <c r="L791" s="402"/>
      <c r="M791" s="402"/>
      <c r="N791" s="402"/>
      <c r="O791" s="402"/>
      <c r="P791" s="405"/>
      <c r="Q791" s="405"/>
      <c r="R791" s="405"/>
      <c r="S791" s="405"/>
      <c r="T791" s="405"/>
      <c r="U791" s="405"/>
      <c r="V791" s="405"/>
      <c r="W791" s="405"/>
      <c r="X791" s="405"/>
      <c r="Y791" s="405"/>
      <c r="Z791" s="405"/>
    </row>
    <row r="792" ht="14.25" customHeight="1">
      <c r="A792" s="406">
        <v>45535.0</v>
      </c>
      <c r="B792" s="655" t="s">
        <v>2210</v>
      </c>
      <c r="C792" s="655" t="s">
        <v>2211</v>
      </c>
      <c r="D792" s="512" t="s">
        <v>54</v>
      </c>
      <c r="E792" s="349" t="s">
        <v>2133</v>
      </c>
      <c r="F792" s="643">
        <v>28030.0</v>
      </c>
      <c r="G792" s="413">
        <v>0.0</v>
      </c>
      <c r="H792" s="349" t="s">
        <v>2425</v>
      </c>
      <c r="I792" s="402"/>
      <c r="J792" s="402"/>
      <c r="K792" s="402"/>
      <c r="L792" s="402"/>
      <c r="M792" s="402"/>
      <c r="N792" s="402"/>
      <c r="O792" s="402"/>
      <c r="P792" s="405"/>
      <c r="Q792" s="405"/>
      <c r="R792" s="405"/>
      <c r="S792" s="405"/>
      <c r="T792" s="405"/>
      <c r="U792" s="405"/>
      <c r="V792" s="405"/>
      <c r="W792" s="405"/>
      <c r="X792" s="405"/>
      <c r="Y792" s="405"/>
      <c r="Z792" s="405"/>
    </row>
    <row r="793" ht="14.25" customHeight="1">
      <c r="A793" s="406">
        <v>45535.0</v>
      </c>
      <c r="B793" s="655" t="s">
        <v>2213</v>
      </c>
      <c r="C793" s="655" t="s">
        <v>2214</v>
      </c>
      <c r="D793" s="512" t="s">
        <v>54</v>
      </c>
      <c r="E793" s="349" t="s">
        <v>2133</v>
      </c>
      <c r="F793" s="643">
        <v>13625.0</v>
      </c>
      <c r="G793" s="413">
        <v>0.0</v>
      </c>
      <c r="H793" s="349" t="s">
        <v>1238</v>
      </c>
      <c r="I793" s="402"/>
      <c r="J793" s="402"/>
      <c r="K793" s="402"/>
      <c r="L793" s="402"/>
      <c r="M793" s="402"/>
      <c r="N793" s="402"/>
      <c r="O793" s="402"/>
      <c r="P793" s="405"/>
      <c r="Q793" s="405"/>
      <c r="R793" s="405"/>
      <c r="S793" s="405"/>
      <c r="T793" s="405"/>
      <c r="U793" s="405"/>
      <c r="V793" s="405"/>
      <c r="W793" s="405"/>
      <c r="X793" s="405"/>
      <c r="Y793" s="405"/>
      <c r="Z793" s="405"/>
    </row>
    <row r="794" ht="14.25" customHeight="1">
      <c r="A794" s="406">
        <v>45535.0</v>
      </c>
      <c r="B794" s="655" t="s">
        <v>2215</v>
      </c>
      <c r="C794" s="655" t="s">
        <v>2216</v>
      </c>
      <c r="D794" s="512" t="s">
        <v>54</v>
      </c>
      <c r="E794" s="349" t="s">
        <v>2133</v>
      </c>
      <c r="F794" s="643">
        <v>36670.0</v>
      </c>
      <c r="G794" s="413">
        <v>0.0</v>
      </c>
      <c r="H794" s="349" t="s">
        <v>2425</v>
      </c>
      <c r="I794" s="402"/>
      <c r="J794" s="402"/>
      <c r="K794" s="402"/>
      <c r="L794" s="402"/>
      <c r="M794" s="402"/>
      <c r="N794" s="402"/>
      <c r="O794" s="402"/>
      <c r="P794" s="405"/>
      <c r="Q794" s="405"/>
      <c r="R794" s="405"/>
      <c r="S794" s="405"/>
      <c r="T794" s="405"/>
      <c r="U794" s="405"/>
      <c r="V794" s="405"/>
      <c r="W794" s="405"/>
      <c r="X794" s="405"/>
      <c r="Y794" s="405"/>
      <c r="Z794" s="405"/>
    </row>
    <row r="795" ht="14.25" customHeight="1">
      <c r="A795" s="406">
        <v>45535.0</v>
      </c>
      <c r="B795" s="655" t="s">
        <v>2218</v>
      </c>
      <c r="C795" s="655" t="s">
        <v>2219</v>
      </c>
      <c r="D795" s="512" t="s">
        <v>54</v>
      </c>
      <c r="E795" s="349" t="s">
        <v>2133</v>
      </c>
      <c r="F795" s="643">
        <v>57333.0</v>
      </c>
      <c r="G795" s="413">
        <v>57333.0</v>
      </c>
      <c r="H795" s="349" t="s">
        <v>2425</v>
      </c>
      <c r="I795" s="402"/>
      <c r="J795" s="402"/>
      <c r="K795" s="402"/>
      <c r="L795" s="402"/>
      <c r="M795" s="402"/>
      <c r="N795" s="402"/>
      <c r="O795" s="402"/>
      <c r="P795" s="405"/>
      <c r="Q795" s="405"/>
      <c r="R795" s="405"/>
      <c r="S795" s="405"/>
      <c r="T795" s="405"/>
      <c r="U795" s="405"/>
      <c r="V795" s="405"/>
      <c r="W795" s="405"/>
      <c r="X795" s="405"/>
      <c r="Y795" s="405"/>
      <c r="Z795" s="405"/>
    </row>
    <row r="796" ht="14.25" customHeight="1">
      <c r="A796" s="406"/>
      <c r="B796" s="402"/>
      <c r="C796" s="402"/>
      <c r="D796" s="402"/>
      <c r="E796" s="402"/>
      <c r="F796" s="587"/>
      <c r="G796" s="403"/>
      <c r="H796" s="402"/>
      <c r="I796" s="402"/>
      <c r="J796" s="402"/>
      <c r="K796" s="402"/>
      <c r="L796" s="402"/>
      <c r="M796" s="402"/>
      <c r="N796" s="402"/>
      <c r="O796" s="402"/>
      <c r="P796" s="405"/>
      <c r="Q796" s="405"/>
      <c r="R796" s="405"/>
      <c r="S796" s="405"/>
      <c r="T796" s="405"/>
      <c r="U796" s="405"/>
      <c r="V796" s="405"/>
      <c r="W796" s="405"/>
      <c r="X796" s="405"/>
      <c r="Y796" s="405"/>
      <c r="Z796" s="405"/>
    </row>
    <row r="797" ht="14.25" customHeight="1">
      <c r="A797" s="406"/>
      <c r="B797" s="402"/>
      <c r="C797" s="402"/>
      <c r="D797" s="402"/>
      <c r="E797" s="402"/>
      <c r="F797" s="587"/>
      <c r="G797" s="403"/>
      <c r="H797" s="402"/>
      <c r="I797" s="402"/>
      <c r="J797" s="402"/>
      <c r="K797" s="402"/>
      <c r="L797" s="402"/>
      <c r="M797" s="402"/>
      <c r="N797" s="402"/>
      <c r="O797" s="402"/>
      <c r="P797" s="405"/>
      <c r="Q797" s="405"/>
      <c r="R797" s="405"/>
      <c r="S797" s="405"/>
      <c r="T797" s="405"/>
      <c r="U797" s="405"/>
      <c r="V797" s="405"/>
      <c r="W797" s="405"/>
      <c r="X797" s="405"/>
      <c r="Y797" s="405"/>
      <c r="Z797" s="405"/>
    </row>
    <row r="798" ht="14.25" customHeight="1">
      <c r="A798" s="406"/>
      <c r="B798" s="402"/>
      <c r="C798" s="402"/>
      <c r="D798" s="402"/>
      <c r="E798" s="402"/>
      <c r="F798" s="587"/>
      <c r="G798" s="403"/>
      <c r="H798" s="402"/>
      <c r="I798" s="402"/>
      <c r="J798" s="402"/>
      <c r="K798" s="402"/>
      <c r="L798" s="402"/>
      <c r="M798" s="402"/>
      <c r="N798" s="402"/>
      <c r="O798" s="402"/>
      <c r="P798" s="405"/>
      <c r="Q798" s="405"/>
      <c r="R798" s="405"/>
      <c r="S798" s="405"/>
      <c r="T798" s="405"/>
      <c r="U798" s="405"/>
      <c r="V798" s="405"/>
      <c r="W798" s="405"/>
      <c r="X798" s="405"/>
      <c r="Y798" s="405"/>
      <c r="Z798" s="405"/>
    </row>
    <row r="799" ht="14.25" customHeight="1">
      <c r="A799" s="406">
        <v>45537.0</v>
      </c>
      <c r="B799" s="512" t="s">
        <v>2365</v>
      </c>
      <c r="C799" s="512" t="s">
        <v>2366</v>
      </c>
      <c r="D799" s="595" t="s">
        <v>54</v>
      </c>
      <c r="E799" s="349" t="s">
        <v>2133</v>
      </c>
      <c r="F799" s="643">
        <v>12183.0</v>
      </c>
      <c r="G799" s="403"/>
      <c r="H799" s="552" t="s">
        <v>2427</v>
      </c>
      <c r="I799" s="402"/>
      <c r="J799" s="402"/>
      <c r="K799" s="402"/>
      <c r="L799" s="402"/>
      <c r="M799" s="402"/>
      <c r="N799" s="402"/>
      <c r="O799" s="402"/>
      <c r="P799" s="405"/>
      <c r="Q799" s="405"/>
      <c r="R799" s="405"/>
      <c r="S799" s="405"/>
      <c r="T799" s="405"/>
      <c r="U799" s="405"/>
      <c r="V799" s="405"/>
      <c r="W799" s="405"/>
      <c r="X799" s="405"/>
      <c r="Y799" s="405"/>
      <c r="Z799" s="405"/>
    </row>
    <row r="800" ht="14.25" customHeight="1">
      <c r="A800" s="406">
        <v>45537.0</v>
      </c>
      <c r="B800" s="513" t="s">
        <v>2368</v>
      </c>
      <c r="C800" s="513" t="s">
        <v>2366</v>
      </c>
      <c r="D800" s="597" t="s">
        <v>346</v>
      </c>
      <c r="E800" s="349" t="s">
        <v>2133</v>
      </c>
      <c r="F800" s="644">
        <v>13250.0</v>
      </c>
      <c r="G800" s="403"/>
      <c r="H800" s="552" t="s">
        <v>2428</v>
      </c>
      <c r="I800" s="402"/>
      <c r="J800" s="402"/>
      <c r="K800" s="402"/>
      <c r="L800" s="402"/>
      <c r="M800" s="402"/>
      <c r="N800" s="402"/>
      <c r="O800" s="402"/>
      <c r="P800" s="405"/>
      <c r="Q800" s="405"/>
      <c r="R800" s="405"/>
      <c r="S800" s="405"/>
      <c r="T800" s="405"/>
      <c r="U800" s="405"/>
      <c r="V800" s="405"/>
      <c r="W800" s="405"/>
      <c r="X800" s="405"/>
      <c r="Y800" s="405"/>
      <c r="Z800" s="405"/>
    </row>
    <row r="801" ht="14.25" customHeight="1">
      <c r="A801" s="406">
        <v>45537.0</v>
      </c>
      <c r="B801" s="512" t="s">
        <v>2332</v>
      </c>
      <c r="C801" s="512" t="s">
        <v>2197</v>
      </c>
      <c r="D801" s="635" t="s">
        <v>54</v>
      </c>
      <c r="E801" s="349" t="s">
        <v>2133</v>
      </c>
      <c r="F801" s="636">
        <v>217317.0</v>
      </c>
      <c r="G801" s="403"/>
      <c r="H801" s="349" t="s">
        <v>2383</v>
      </c>
      <c r="I801" s="402"/>
      <c r="J801" s="402"/>
      <c r="K801" s="402"/>
      <c r="L801" s="402"/>
      <c r="M801" s="402"/>
      <c r="N801" s="402"/>
      <c r="O801" s="402"/>
      <c r="P801" s="405"/>
      <c r="Q801" s="405"/>
      <c r="R801" s="405"/>
      <c r="S801" s="405"/>
      <c r="T801" s="405"/>
      <c r="U801" s="405"/>
      <c r="V801" s="405"/>
      <c r="W801" s="405"/>
      <c r="X801" s="405"/>
      <c r="Y801" s="405"/>
      <c r="Z801" s="405"/>
    </row>
    <row r="802" ht="14.25" customHeight="1">
      <c r="A802" s="406">
        <v>45537.0</v>
      </c>
      <c r="B802" s="512" t="s">
        <v>2343</v>
      </c>
      <c r="C802" s="512" t="s">
        <v>2344</v>
      </c>
      <c r="D802" s="635" t="s">
        <v>54</v>
      </c>
      <c r="E802" s="349" t="s">
        <v>2133</v>
      </c>
      <c r="F802" s="636">
        <v>20425.0</v>
      </c>
      <c r="G802" s="403"/>
      <c r="H802" s="552" t="s">
        <v>2429</v>
      </c>
      <c r="I802" s="402"/>
      <c r="J802" s="402"/>
      <c r="K802" s="402"/>
      <c r="L802" s="402"/>
      <c r="M802" s="402"/>
      <c r="N802" s="402"/>
      <c r="O802" s="402"/>
      <c r="P802" s="405"/>
      <c r="Q802" s="405"/>
      <c r="R802" s="405"/>
      <c r="S802" s="405"/>
      <c r="T802" s="405"/>
      <c r="U802" s="405"/>
      <c r="V802" s="405"/>
      <c r="W802" s="405"/>
      <c r="X802" s="405"/>
      <c r="Y802" s="405"/>
      <c r="Z802" s="405"/>
    </row>
    <row r="803" ht="14.25" customHeight="1">
      <c r="A803" s="406">
        <v>45537.0</v>
      </c>
      <c r="B803" s="594" t="s">
        <v>2294</v>
      </c>
      <c r="C803" s="594" t="s">
        <v>2153</v>
      </c>
      <c r="D803" s="645" t="s">
        <v>75</v>
      </c>
      <c r="E803" s="349" t="s">
        <v>2403</v>
      </c>
      <c r="F803" s="636">
        <v>67750.0</v>
      </c>
      <c r="G803" s="403"/>
      <c r="H803" s="419" t="s">
        <v>2200</v>
      </c>
      <c r="I803" s="402"/>
      <c r="J803" s="402"/>
      <c r="K803" s="402"/>
      <c r="L803" s="402"/>
      <c r="M803" s="402"/>
      <c r="N803" s="402"/>
      <c r="O803" s="402"/>
      <c r="P803" s="405"/>
      <c r="Q803" s="405"/>
      <c r="R803" s="405"/>
      <c r="S803" s="405"/>
      <c r="T803" s="405"/>
      <c r="U803" s="405"/>
      <c r="V803" s="405"/>
      <c r="W803" s="405"/>
      <c r="X803" s="405"/>
      <c r="Y803" s="405"/>
      <c r="Z803" s="405"/>
    </row>
    <row r="804" ht="14.25" customHeight="1">
      <c r="A804" s="406">
        <v>45537.0</v>
      </c>
      <c r="B804" s="607" t="s">
        <v>2149</v>
      </c>
      <c r="C804" s="607" t="s">
        <v>2206</v>
      </c>
      <c r="D804" s="349" t="s">
        <v>54</v>
      </c>
      <c r="E804" s="349" t="s">
        <v>2133</v>
      </c>
      <c r="F804" s="559">
        <v>5000.0</v>
      </c>
      <c r="G804" s="403"/>
      <c r="H804" s="552" t="s">
        <v>2430</v>
      </c>
      <c r="I804" s="402"/>
      <c r="J804" s="402"/>
      <c r="K804" s="402"/>
      <c r="L804" s="402"/>
      <c r="M804" s="402"/>
      <c r="N804" s="402"/>
      <c r="O804" s="402"/>
      <c r="P804" s="405"/>
      <c r="Q804" s="405"/>
      <c r="R804" s="405"/>
      <c r="S804" s="405"/>
      <c r="T804" s="405"/>
      <c r="U804" s="405"/>
      <c r="V804" s="405"/>
      <c r="W804" s="405"/>
      <c r="X804" s="405"/>
      <c r="Y804" s="405"/>
      <c r="Z804" s="405"/>
    </row>
    <row r="805" ht="14.25" customHeight="1">
      <c r="A805" s="406">
        <v>45537.0</v>
      </c>
      <c r="B805" s="419" t="s">
        <v>2208</v>
      </c>
      <c r="C805" s="408" t="s">
        <v>2132</v>
      </c>
      <c r="D805" s="408" t="s">
        <v>439</v>
      </c>
      <c r="E805" s="408" t="s">
        <v>2133</v>
      </c>
      <c r="F805" s="445">
        <v>4000.0</v>
      </c>
      <c r="G805" s="403"/>
      <c r="H805" s="552" t="s">
        <v>2431</v>
      </c>
      <c r="I805" s="402"/>
      <c r="J805" s="402"/>
      <c r="K805" s="402"/>
      <c r="L805" s="402"/>
      <c r="M805" s="402"/>
      <c r="N805" s="402"/>
      <c r="O805" s="402"/>
      <c r="P805" s="405"/>
      <c r="Q805" s="405"/>
      <c r="R805" s="405"/>
      <c r="S805" s="405"/>
      <c r="T805" s="405"/>
      <c r="U805" s="405"/>
      <c r="V805" s="405"/>
      <c r="W805" s="405"/>
      <c r="X805" s="405"/>
      <c r="Y805" s="405"/>
      <c r="Z805" s="405"/>
    </row>
    <row r="806" ht="14.25" customHeight="1">
      <c r="A806" s="406">
        <v>45537.0</v>
      </c>
      <c r="B806" s="349" t="s">
        <v>2143</v>
      </c>
      <c r="C806" s="349" t="s">
        <v>2144</v>
      </c>
      <c r="D806" s="349" t="s">
        <v>54</v>
      </c>
      <c r="E806" s="349" t="s">
        <v>2133</v>
      </c>
      <c r="F806" s="559">
        <v>6000.0</v>
      </c>
      <c r="G806" s="413">
        <v>6000.0</v>
      </c>
      <c r="H806" s="349" t="s">
        <v>267</v>
      </c>
      <c r="I806" s="402"/>
      <c r="J806" s="402"/>
      <c r="K806" s="402"/>
      <c r="L806" s="402"/>
      <c r="M806" s="402"/>
      <c r="N806" s="402"/>
      <c r="O806" s="402"/>
      <c r="P806" s="405"/>
      <c r="Q806" s="405"/>
      <c r="R806" s="405"/>
      <c r="S806" s="405"/>
      <c r="T806" s="405"/>
      <c r="U806" s="405"/>
      <c r="V806" s="405"/>
      <c r="W806" s="405"/>
      <c r="X806" s="405"/>
      <c r="Y806" s="405"/>
      <c r="Z806" s="405"/>
    </row>
    <row r="807" ht="14.25" customHeight="1">
      <c r="A807" s="406">
        <v>45537.0</v>
      </c>
      <c r="B807" s="640" t="s">
        <v>2196</v>
      </c>
      <c r="C807" s="629" t="s">
        <v>2246</v>
      </c>
      <c r="D807" s="349" t="s">
        <v>54</v>
      </c>
      <c r="E807" s="349" t="s">
        <v>2133</v>
      </c>
      <c r="F807" s="622">
        <v>126855.0</v>
      </c>
      <c r="G807" s="403"/>
      <c r="H807" s="419" t="s">
        <v>2432</v>
      </c>
      <c r="I807" s="402"/>
      <c r="J807" s="402"/>
      <c r="K807" s="402"/>
      <c r="L807" s="402"/>
      <c r="M807" s="402"/>
      <c r="N807" s="402"/>
      <c r="O807" s="402"/>
      <c r="P807" s="405"/>
      <c r="Q807" s="405"/>
      <c r="R807" s="405"/>
      <c r="S807" s="405"/>
      <c r="T807" s="405"/>
      <c r="U807" s="405"/>
      <c r="V807" s="405"/>
      <c r="W807" s="405"/>
      <c r="X807" s="405"/>
      <c r="Y807" s="405"/>
      <c r="Z807" s="405"/>
    </row>
    <row r="808" ht="14.25" customHeight="1">
      <c r="A808" s="406">
        <v>45537.0</v>
      </c>
      <c r="B808" s="653" t="s">
        <v>2301</v>
      </c>
      <c r="C808" s="653" t="s">
        <v>2302</v>
      </c>
      <c r="D808" s="654" t="s">
        <v>54</v>
      </c>
      <c r="E808" s="407" t="s">
        <v>2133</v>
      </c>
      <c r="F808" s="638">
        <v>47100.0</v>
      </c>
      <c r="G808" s="403"/>
      <c r="H808" s="349" t="s">
        <v>2433</v>
      </c>
      <c r="I808" s="402"/>
      <c r="J808" s="402"/>
      <c r="K808" s="402"/>
      <c r="L808" s="402"/>
      <c r="M808" s="402"/>
      <c r="N808" s="402"/>
      <c r="O808" s="402"/>
      <c r="P808" s="405"/>
      <c r="Q808" s="405"/>
      <c r="R808" s="405"/>
      <c r="S808" s="405"/>
      <c r="T808" s="405"/>
      <c r="U808" s="405"/>
      <c r="V808" s="405"/>
      <c r="W808" s="405"/>
      <c r="X808" s="405"/>
      <c r="Y808" s="405"/>
      <c r="Z808" s="405"/>
    </row>
    <row r="809" ht="14.25" customHeight="1">
      <c r="A809" s="406">
        <v>45537.0</v>
      </c>
      <c r="B809" s="596" t="s">
        <v>2278</v>
      </c>
      <c r="C809" s="513" t="s">
        <v>2279</v>
      </c>
      <c r="D809" s="637" t="s">
        <v>54</v>
      </c>
      <c r="E809" s="349" t="s">
        <v>2133</v>
      </c>
      <c r="F809" s="638">
        <v>7213.0</v>
      </c>
      <c r="G809" s="403"/>
      <c r="H809" s="349" t="s">
        <v>2434</v>
      </c>
      <c r="I809" s="402"/>
      <c r="J809" s="402"/>
      <c r="K809" s="402"/>
      <c r="L809" s="402"/>
      <c r="M809" s="402"/>
      <c r="N809" s="402"/>
      <c r="O809" s="402"/>
      <c r="P809" s="405"/>
      <c r="Q809" s="405"/>
      <c r="R809" s="405"/>
      <c r="S809" s="405"/>
      <c r="T809" s="405"/>
      <c r="U809" s="405"/>
      <c r="V809" s="405"/>
      <c r="W809" s="405"/>
      <c r="X809" s="405"/>
      <c r="Y809" s="405"/>
      <c r="Z809" s="405"/>
    </row>
    <row r="810" ht="14.25" customHeight="1">
      <c r="A810" s="406">
        <v>45537.0</v>
      </c>
      <c r="B810" s="513" t="s">
        <v>2318</v>
      </c>
      <c r="C810" s="513" t="s">
        <v>2338</v>
      </c>
      <c r="D810" s="635" t="s">
        <v>54</v>
      </c>
      <c r="E810" s="349" t="s">
        <v>2133</v>
      </c>
      <c r="F810" s="638">
        <v>29382.0</v>
      </c>
      <c r="G810" s="413">
        <v>100000.0</v>
      </c>
      <c r="H810" s="349" t="s">
        <v>941</v>
      </c>
      <c r="I810" s="402"/>
      <c r="J810" s="402"/>
      <c r="K810" s="402"/>
      <c r="L810" s="402"/>
      <c r="M810" s="402"/>
      <c r="N810" s="402"/>
      <c r="O810" s="402"/>
      <c r="P810" s="405"/>
      <c r="Q810" s="405"/>
      <c r="R810" s="405"/>
      <c r="S810" s="405"/>
      <c r="T810" s="405"/>
      <c r="U810" s="405"/>
      <c r="V810" s="405"/>
      <c r="W810" s="405"/>
      <c r="X810" s="405"/>
      <c r="Y810" s="405"/>
      <c r="Z810" s="405"/>
    </row>
    <row r="811" ht="14.25" customHeight="1">
      <c r="A811" s="406">
        <v>45537.0</v>
      </c>
      <c r="B811" s="634" t="s">
        <v>2140</v>
      </c>
      <c r="C811" s="634" t="s">
        <v>2340</v>
      </c>
      <c r="D811" s="635" t="s">
        <v>54</v>
      </c>
      <c r="E811" s="349" t="s">
        <v>2133</v>
      </c>
      <c r="F811" s="647">
        <v>69538.0</v>
      </c>
      <c r="G811" s="403"/>
      <c r="H811" s="349" t="s">
        <v>2071</v>
      </c>
      <c r="I811" s="402"/>
      <c r="J811" s="402"/>
      <c r="K811" s="402"/>
      <c r="L811" s="402"/>
      <c r="M811" s="402"/>
      <c r="N811" s="402"/>
      <c r="O811" s="402"/>
      <c r="P811" s="405"/>
      <c r="Q811" s="405"/>
      <c r="R811" s="405"/>
      <c r="S811" s="405"/>
      <c r="T811" s="405"/>
      <c r="U811" s="405"/>
      <c r="V811" s="405"/>
      <c r="W811" s="405"/>
      <c r="X811" s="405"/>
      <c r="Y811" s="405"/>
      <c r="Z811" s="405"/>
    </row>
    <row r="812" ht="14.25" customHeight="1">
      <c r="A812" s="406">
        <v>45537.0</v>
      </c>
      <c r="B812" s="512" t="s">
        <v>2137</v>
      </c>
      <c r="C812" s="512" t="s">
        <v>2138</v>
      </c>
      <c r="D812" s="635" t="s">
        <v>75</v>
      </c>
      <c r="E812" s="349" t="s">
        <v>2403</v>
      </c>
      <c r="F812" s="643">
        <v>50000.0</v>
      </c>
      <c r="G812" s="403"/>
      <c r="H812" s="349" t="s">
        <v>2435</v>
      </c>
      <c r="I812" s="402"/>
      <c r="J812" s="402"/>
      <c r="K812" s="402"/>
      <c r="L812" s="402"/>
      <c r="M812" s="402"/>
      <c r="N812" s="402"/>
      <c r="O812" s="402"/>
      <c r="P812" s="405"/>
      <c r="Q812" s="405"/>
      <c r="R812" s="405"/>
      <c r="S812" s="405"/>
      <c r="T812" s="405"/>
      <c r="U812" s="405"/>
      <c r="V812" s="405"/>
      <c r="W812" s="405"/>
      <c r="X812" s="405"/>
      <c r="Y812" s="405"/>
      <c r="Z812" s="405"/>
    </row>
    <row r="813" ht="14.25" customHeight="1">
      <c r="A813" s="406">
        <v>45537.0</v>
      </c>
      <c r="B813" s="605" t="s">
        <v>2360</v>
      </c>
      <c r="C813" s="634" t="s">
        <v>2361</v>
      </c>
      <c r="D813" s="634" t="s">
        <v>54</v>
      </c>
      <c r="E813" s="349" t="s">
        <v>2133</v>
      </c>
      <c r="F813" s="649">
        <v>10000.0</v>
      </c>
      <c r="G813" s="403"/>
      <c r="H813" s="349" t="s">
        <v>2436</v>
      </c>
      <c r="I813" s="402"/>
      <c r="J813" s="402"/>
      <c r="K813" s="402"/>
      <c r="L813" s="402"/>
      <c r="M813" s="402"/>
      <c r="N813" s="402"/>
      <c r="O813" s="402"/>
      <c r="P813" s="405"/>
      <c r="Q813" s="405"/>
      <c r="R813" s="405"/>
      <c r="S813" s="405"/>
      <c r="T813" s="405"/>
      <c r="U813" s="405"/>
      <c r="V813" s="405"/>
      <c r="W813" s="405"/>
      <c r="X813" s="405"/>
      <c r="Y813" s="405"/>
      <c r="Z813" s="405"/>
    </row>
    <row r="814" ht="14.25" customHeight="1">
      <c r="A814" s="406">
        <v>45537.0</v>
      </c>
      <c r="B814" s="623" t="s">
        <v>2152</v>
      </c>
      <c r="C814" s="623" t="s">
        <v>2153</v>
      </c>
      <c r="D814" s="624" t="s">
        <v>54</v>
      </c>
      <c r="E814" s="349" t="s">
        <v>2133</v>
      </c>
      <c r="F814" s="651">
        <v>63500.0</v>
      </c>
      <c r="G814" s="403"/>
      <c r="H814" s="552" t="s">
        <v>2437</v>
      </c>
      <c r="I814" s="402"/>
      <c r="J814" s="402"/>
      <c r="K814" s="402"/>
      <c r="L814" s="402"/>
      <c r="M814" s="402"/>
      <c r="N814" s="402"/>
      <c r="O814" s="402"/>
      <c r="P814" s="405"/>
      <c r="Q814" s="405"/>
      <c r="R814" s="405"/>
      <c r="S814" s="405"/>
      <c r="T814" s="405"/>
      <c r="U814" s="405"/>
      <c r="V814" s="405"/>
      <c r="W814" s="405"/>
      <c r="X814" s="405"/>
      <c r="Y814" s="405"/>
      <c r="Z814" s="405"/>
    </row>
    <row r="815" ht="14.25" customHeight="1">
      <c r="A815" s="406">
        <v>45537.0</v>
      </c>
      <c r="B815" s="623" t="s">
        <v>2401</v>
      </c>
      <c r="C815" s="623" t="s">
        <v>2402</v>
      </c>
      <c r="D815" s="623" t="s">
        <v>75</v>
      </c>
      <c r="E815" s="349" t="s">
        <v>2403</v>
      </c>
      <c r="F815" s="559">
        <v>115000.0</v>
      </c>
      <c r="G815" s="413">
        <v>115000.0</v>
      </c>
      <c r="H815" s="349" t="s">
        <v>1238</v>
      </c>
      <c r="I815" s="402"/>
      <c r="J815" s="402"/>
      <c r="K815" s="402"/>
      <c r="L815" s="402"/>
      <c r="M815" s="402"/>
      <c r="N815" s="402"/>
      <c r="O815" s="402"/>
      <c r="P815" s="405"/>
      <c r="Q815" s="405"/>
      <c r="R815" s="405"/>
      <c r="S815" s="405"/>
      <c r="T815" s="405"/>
      <c r="U815" s="405"/>
      <c r="V815" s="405"/>
      <c r="W815" s="405"/>
      <c r="X815" s="405"/>
      <c r="Y815" s="405"/>
      <c r="Z815" s="405"/>
    </row>
    <row r="816" ht="14.25" customHeight="1">
      <c r="A816" s="406">
        <v>45537.0</v>
      </c>
      <c r="B816" s="623" t="s">
        <v>2175</v>
      </c>
      <c r="C816" s="623" t="s">
        <v>2176</v>
      </c>
      <c r="D816" s="623" t="s">
        <v>54</v>
      </c>
      <c r="E816" s="349" t="s">
        <v>2133</v>
      </c>
      <c r="F816" s="559">
        <v>101695.0</v>
      </c>
      <c r="G816" s="413">
        <v>101695.0</v>
      </c>
      <c r="H816" s="349" t="s">
        <v>1238</v>
      </c>
      <c r="I816" s="402"/>
      <c r="J816" s="402"/>
      <c r="K816" s="402"/>
      <c r="L816" s="402"/>
      <c r="M816" s="402"/>
      <c r="N816" s="402"/>
      <c r="O816" s="402"/>
      <c r="P816" s="405"/>
      <c r="Q816" s="405"/>
      <c r="R816" s="405"/>
      <c r="S816" s="405"/>
      <c r="T816" s="405"/>
      <c r="U816" s="405"/>
      <c r="V816" s="405"/>
      <c r="W816" s="405"/>
      <c r="X816" s="405"/>
      <c r="Y816" s="405"/>
      <c r="Z816" s="405"/>
    </row>
    <row r="817" ht="14.25" customHeight="1">
      <c r="A817" s="406">
        <v>45537.0</v>
      </c>
      <c r="B817" s="512" t="s">
        <v>2409</v>
      </c>
      <c r="C817" s="512" t="s">
        <v>2410</v>
      </c>
      <c r="D817" s="512" t="s">
        <v>75</v>
      </c>
      <c r="E817" s="349" t="s">
        <v>2133</v>
      </c>
      <c r="F817" s="559">
        <v>213662.0</v>
      </c>
      <c r="G817" s="403"/>
      <c r="H817" s="349" t="s">
        <v>2438</v>
      </c>
      <c r="I817" s="402"/>
      <c r="J817" s="402"/>
      <c r="K817" s="402"/>
      <c r="L817" s="402"/>
      <c r="M817" s="402"/>
      <c r="N817" s="402"/>
      <c r="O817" s="402"/>
      <c r="P817" s="405"/>
      <c r="Q817" s="405"/>
      <c r="R817" s="405"/>
      <c r="S817" s="405"/>
      <c r="T817" s="405"/>
      <c r="U817" s="405"/>
      <c r="V817" s="405"/>
      <c r="W817" s="405"/>
      <c r="X817" s="405"/>
      <c r="Y817" s="405"/>
      <c r="Z817" s="405"/>
    </row>
    <row r="818" ht="14.25" customHeight="1">
      <c r="A818" s="406">
        <v>45537.0</v>
      </c>
      <c r="B818" s="512" t="s">
        <v>2285</v>
      </c>
      <c r="C818" s="512" t="s">
        <v>2286</v>
      </c>
      <c r="D818" s="512" t="s">
        <v>54</v>
      </c>
      <c r="E818" s="349" t="s">
        <v>2133</v>
      </c>
      <c r="F818" s="559">
        <v>25896.0</v>
      </c>
      <c r="G818" s="413">
        <v>25896.0</v>
      </c>
      <c r="H818" s="349" t="s">
        <v>1238</v>
      </c>
      <c r="I818" s="402"/>
      <c r="J818" s="402"/>
      <c r="K818" s="402"/>
      <c r="L818" s="402"/>
      <c r="M818" s="402"/>
      <c r="N818" s="402"/>
      <c r="O818" s="402"/>
      <c r="P818" s="405"/>
      <c r="Q818" s="405"/>
      <c r="R818" s="405"/>
      <c r="S818" s="405"/>
      <c r="T818" s="405"/>
      <c r="U818" s="405"/>
      <c r="V818" s="405"/>
      <c r="W818" s="405"/>
      <c r="X818" s="405"/>
      <c r="Y818" s="405"/>
      <c r="Z818" s="405"/>
    </row>
    <row r="819" ht="14.25" customHeight="1">
      <c r="A819" s="406">
        <v>45537.0</v>
      </c>
      <c r="B819" s="655" t="s">
        <v>2210</v>
      </c>
      <c r="C819" s="655" t="s">
        <v>2211</v>
      </c>
      <c r="D819" s="512" t="s">
        <v>54</v>
      </c>
      <c r="E819" s="349" t="s">
        <v>2133</v>
      </c>
      <c r="F819" s="643">
        <v>28030.0</v>
      </c>
      <c r="G819" s="403"/>
      <c r="H819" s="349" t="s">
        <v>2439</v>
      </c>
      <c r="I819" s="402"/>
      <c r="J819" s="402"/>
      <c r="K819" s="402"/>
      <c r="L819" s="402"/>
      <c r="M819" s="402"/>
      <c r="N819" s="402"/>
      <c r="O819" s="402"/>
      <c r="P819" s="405"/>
      <c r="Q819" s="405"/>
      <c r="R819" s="405"/>
      <c r="S819" s="405"/>
      <c r="T819" s="405"/>
      <c r="U819" s="405"/>
      <c r="V819" s="405"/>
      <c r="W819" s="405"/>
      <c r="X819" s="405"/>
      <c r="Y819" s="405"/>
      <c r="Z819" s="405"/>
    </row>
    <row r="820" ht="14.25" customHeight="1">
      <c r="A820" s="406">
        <v>45537.0</v>
      </c>
      <c r="B820" s="655" t="s">
        <v>2213</v>
      </c>
      <c r="C820" s="655" t="s">
        <v>2214</v>
      </c>
      <c r="D820" s="512" t="s">
        <v>54</v>
      </c>
      <c r="E820" s="349" t="s">
        <v>2133</v>
      </c>
      <c r="F820" s="643">
        <v>13625.0</v>
      </c>
      <c r="G820" s="413">
        <v>13625.0</v>
      </c>
      <c r="H820" s="349" t="s">
        <v>1238</v>
      </c>
      <c r="I820" s="402"/>
      <c r="J820" s="402"/>
      <c r="K820" s="402"/>
      <c r="L820" s="402"/>
      <c r="M820" s="402"/>
      <c r="N820" s="402"/>
      <c r="O820" s="402"/>
      <c r="P820" s="405"/>
      <c r="Q820" s="405"/>
      <c r="R820" s="405"/>
      <c r="S820" s="405"/>
      <c r="T820" s="405"/>
      <c r="U820" s="405"/>
      <c r="V820" s="405"/>
      <c r="W820" s="405"/>
      <c r="X820" s="405"/>
      <c r="Y820" s="405"/>
      <c r="Z820" s="405"/>
    </row>
    <row r="821" ht="14.25" customHeight="1">
      <c r="A821" s="406">
        <v>45537.0</v>
      </c>
      <c r="B821" s="655" t="s">
        <v>2215</v>
      </c>
      <c r="C821" s="655" t="s">
        <v>2216</v>
      </c>
      <c r="D821" s="512" t="s">
        <v>54</v>
      </c>
      <c r="E821" s="349" t="s">
        <v>2133</v>
      </c>
      <c r="F821" s="643">
        <v>35833.0</v>
      </c>
      <c r="G821" s="413">
        <v>35833.0</v>
      </c>
      <c r="H821" s="349" t="s">
        <v>1238</v>
      </c>
      <c r="I821" s="402"/>
      <c r="J821" s="402"/>
      <c r="K821" s="402"/>
      <c r="L821" s="402"/>
      <c r="M821" s="402"/>
      <c r="N821" s="402"/>
      <c r="O821" s="402"/>
      <c r="P821" s="405"/>
      <c r="Q821" s="405"/>
      <c r="R821" s="405"/>
      <c r="S821" s="405"/>
      <c r="T821" s="405"/>
      <c r="U821" s="405"/>
      <c r="V821" s="405"/>
      <c r="W821" s="405"/>
      <c r="X821" s="405"/>
      <c r="Y821" s="405"/>
      <c r="Z821" s="405"/>
    </row>
    <row r="822" ht="14.25" customHeight="1">
      <c r="A822" s="406"/>
      <c r="B822" s="402"/>
      <c r="C822" s="402"/>
      <c r="D822" s="402"/>
      <c r="E822" s="402"/>
      <c r="F822" s="587"/>
      <c r="G822" s="403"/>
      <c r="H822" s="402"/>
      <c r="I822" s="402"/>
      <c r="J822" s="402"/>
      <c r="K822" s="402"/>
      <c r="L822" s="402"/>
      <c r="M822" s="402"/>
      <c r="N822" s="402"/>
      <c r="O822" s="402"/>
      <c r="P822" s="405"/>
      <c r="Q822" s="405"/>
      <c r="R822" s="405"/>
      <c r="S822" s="405"/>
      <c r="T822" s="405"/>
      <c r="U822" s="405"/>
      <c r="V822" s="405"/>
      <c r="W822" s="405"/>
      <c r="X822" s="405"/>
      <c r="Y822" s="405"/>
      <c r="Z822" s="405"/>
    </row>
    <row r="823" ht="14.25" customHeight="1">
      <c r="A823" s="406"/>
      <c r="B823" s="402"/>
      <c r="C823" s="402"/>
      <c r="D823" s="402"/>
      <c r="E823" s="402"/>
      <c r="F823" s="587"/>
      <c r="G823" s="403"/>
      <c r="H823" s="402"/>
      <c r="I823" s="402"/>
      <c r="J823" s="402"/>
      <c r="K823" s="402"/>
      <c r="L823" s="402"/>
      <c r="M823" s="402"/>
      <c r="N823" s="402"/>
      <c r="O823" s="402"/>
      <c r="P823" s="405"/>
      <c r="Q823" s="405"/>
      <c r="R823" s="405"/>
      <c r="S823" s="405"/>
      <c r="T823" s="405"/>
      <c r="U823" s="405"/>
      <c r="V823" s="405"/>
      <c r="W823" s="405"/>
      <c r="X823" s="405"/>
      <c r="Y823" s="405"/>
      <c r="Z823" s="405"/>
    </row>
    <row r="824" ht="14.25" customHeight="1">
      <c r="A824" s="406"/>
      <c r="B824" s="402"/>
      <c r="C824" s="402"/>
      <c r="D824" s="402"/>
      <c r="E824" s="402"/>
      <c r="F824" s="587"/>
      <c r="G824" s="403"/>
      <c r="H824" s="402"/>
      <c r="I824" s="402"/>
      <c r="J824" s="402"/>
      <c r="K824" s="402"/>
      <c r="L824" s="402"/>
      <c r="M824" s="402"/>
      <c r="N824" s="402"/>
      <c r="O824" s="402"/>
      <c r="P824" s="405"/>
      <c r="Q824" s="405"/>
      <c r="R824" s="405"/>
      <c r="S824" s="405"/>
      <c r="T824" s="405"/>
      <c r="U824" s="405"/>
      <c r="V824" s="405"/>
      <c r="W824" s="405"/>
      <c r="X824" s="405"/>
      <c r="Y824" s="405"/>
      <c r="Z824" s="405"/>
    </row>
    <row r="825" ht="14.25" customHeight="1">
      <c r="A825" s="406"/>
      <c r="B825" s="402"/>
      <c r="C825" s="402"/>
      <c r="D825" s="402"/>
      <c r="E825" s="402"/>
      <c r="F825" s="587"/>
      <c r="G825" s="403"/>
      <c r="H825" s="402"/>
      <c r="I825" s="402"/>
      <c r="J825" s="402"/>
      <c r="K825" s="402"/>
      <c r="L825" s="402"/>
      <c r="M825" s="402"/>
      <c r="N825" s="402"/>
      <c r="O825" s="402"/>
      <c r="P825" s="405"/>
      <c r="Q825" s="405"/>
      <c r="R825" s="405"/>
      <c r="S825" s="405"/>
      <c r="T825" s="405"/>
      <c r="U825" s="405"/>
      <c r="V825" s="405"/>
      <c r="W825" s="405"/>
      <c r="X825" s="405"/>
      <c r="Y825" s="405"/>
      <c r="Z825" s="405"/>
    </row>
    <row r="826" ht="14.25" customHeight="1">
      <c r="A826" s="406"/>
      <c r="B826" s="402"/>
      <c r="C826" s="402"/>
      <c r="D826" s="402"/>
      <c r="E826" s="402"/>
      <c r="F826" s="587"/>
      <c r="G826" s="403"/>
      <c r="H826" s="402"/>
      <c r="I826" s="402"/>
      <c r="J826" s="402"/>
      <c r="K826" s="402"/>
      <c r="L826" s="402"/>
      <c r="M826" s="402"/>
      <c r="N826" s="402"/>
      <c r="O826" s="402"/>
      <c r="P826" s="405"/>
      <c r="Q826" s="405"/>
      <c r="R826" s="405"/>
      <c r="S826" s="405"/>
      <c r="T826" s="405"/>
      <c r="U826" s="405"/>
      <c r="V826" s="405"/>
      <c r="W826" s="405"/>
      <c r="X826" s="405"/>
      <c r="Y826" s="405"/>
      <c r="Z826" s="405"/>
    </row>
    <row r="827" ht="14.25" customHeight="1">
      <c r="A827" s="406"/>
      <c r="B827" s="402"/>
      <c r="C827" s="402"/>
      <c r="D827" s="402"/>
      <c r="E827" s="402"/>
      <c r="F827" s="587"/>
      <c r="G827" s="403"/>
      <c r="H827" s="402"/>
      <c r="I827" s="402"/>
      <c r="J827" s="402"/>
      <c r="K827" s="402"/>
      <c r="L827" s="402"/>
      <c r="M827" s="402"/>
      <c r="N827" s="402"/>
      <c r="O827" s="402"/>
      <c r="P827" s="405"/>
      <c r="Q827" s="405"/>
      <c r="R827" s="405"/>
      <c r="S827" s="405"/>
      <c r="T827" s="405"/>
      <c r="U827" s="405"/>
      <c r="V827" s="405"/>
      <c r="W827" s="405"/>
      <c r="X827" s="405"/>
      <c r="Y827" s="405"/>
      <c r="Z827" s="405"/>
    </row>
    <row r="828" ht="14.25" customHeight="1">
      <c r="A828" s="406"/>
      <c r="B828" s="402"/>
      <c r="C828" s="402"/>
      <c r="D828" s="402"/>
      <c r="E828" s="402"/>
      <c r="F828" s="587"/>
      <c r="G828" s="403"/>
      <c r="H828" s="402"/>
      <c r="I828" s="402"/>
      <c r="J828" s="402"/>
      <c r="K828" s="402"/>
      <c r="L828" s="402"/>
      <c r="M828" s="402"/>
      <c r="N828" s="402"/>
      <c r="O828" s="402"/>
      <c r="P828" s="405"/>
      <c r="Q828" s="405"/>
      <c r="R828" s="405"/>
      <c r="S828" s="405"/>
      <c r="T828" s="405"/>
      <c r="U828" s="405"/>
      <c r="V828" s="405"/>
      <c r="W828" s="405"/>
      <c r="X828" s="405"/>
      <c r="Y828" s="405"/>
      <c r="Z828" s="405"/>
    </row>
    <row r="829" ht="14.25" customHeight="1">
      <c r="A829" s="406"/>
      <c r="B829" s="402"/>
      <c r="C829" s="402"/>
      <c r="D829" s="402"/>
      <c r="E829" s="402"/>
      <c r="F829" s="587"/>
      <c r="G829" s="403"/>
      <c r="H829" s="402"/>
      <c r="I829" s="402"/>
      <c r="J829" s="402"/>
      <c r="K829" s="402"/>
      <c r="L829" s="402"/>
      <c r="M829" s="402"/>
      <c r="N829" s="402"/>
      <c r="O829" s="402"/>
      <c r="P829" s="405"/>
      <c r="Q829" s="405"/>
      <c r="R829" s="405"/>
      <c r="S829" s="405"/>
      <c r="T829" s="405"/>
      <c r="U829" s="405"/>
      <c r="V829" s="405"/>
      <c r="W829" s="405"/>
      <c r="X829" s="405"/>
      <c r="Y829" s="405"/>
      <c r="Z829" s="405"/>
    </row>
    <row r="830" ht="14.25" customHeight="1">
      <c r="A830" s="406"/>
      <c r="B830" s="402"/>
      <c r="C830" s="402"/>
      <c r="D830" s="402"/>
      <c r="E830" s="402"/>
      <c r="F830" s="587"/>
      <c r="G830" s="403"/>
      <c r="H830" s="402"/>
      <c r="I830" s="402"/>
      <c r="J830" s="402"/>
      <c r="K830" s="402"/>
      <c r="L830" s="402"/>
      <c r="M830" s="402"/>
      <c r="N830" s="402"/>
      <c r="O830" s="402"/>
      <c r="P830" s="405"/>
      <c r="Q830" s="405"/>
      <c r="R830" s="405"/>
      <c r="S830" s="405"/>
      <c r="T830" s="405"/>
      <c r="U830" s="405"/>
      <c r="V830" s="405"/>
      <c r="W830" s="405"/>
      <c r="X830" s="405"/>
      <c r="Y830" s="405"/>
      <c r="Z830" s="405"/>
    </row>
    <row r="831" ht="14.25" customHeight="1">
      <c r="A831" s="406"/>
      <c r="B831" s="402"/>
      <c r="C831" s="402"/>
      <c r="D831" s="402"/>
      <c r="E831" s="402"/>
      <c r="F831" s="587"/>
      <c r="G831" s="403"/>
      <c r="H831" s="402"/>
      <c r="I831" s="402"/>
      <c r="J831" s="402"/>
      <c r="K831" s="402"/>
      <c r="L831" s="402"/>
      <c r="M831" s="402"/>
      <c r="N831" s="402"/>
      <c r="O831" s="402"/>
      <c r="P831" s="405"/>
      <c r="Q831" s="405"/>
      <c r="R831" s="405"/>
      <c r="S831" s="405"/>
      <c r="T831" s="405"/>
      <c r="U831" s="405"/>
      <c r="V831" s="405"/>
      <c r="W831" s="405"/>
      <c r="X831" s="405"/>
      <c r="Y831" s="405"/>
      <c r="Z831" s="405"/>
    </row>
    <row r="832" ht="14.25" customHeight="1">
      <c r="A832" s="406"/>
      <c r="B832" s="402"/>
      <c r="C832" s="402"/>
      <c r="D832" s="402"/>
      <c r="E832" s="402"/>
      <c r="F832" s="587"/>
      <c r="G832" s="403"/>
      <c r="H832" s="402"/>
      <c r="I832" s="402"/>
      <c r="J832" s="402"/>
      <c r="K832" s="402"/>
      <c r="L832" s="402"/>
      <c r="M832" s="402"/>
      <c r="N832" s="402"/>
      <c r="O832" s="402"/>
      <c r="P832" s="405"/>
      <c r="Q832" s="405"/>
      <c r="R832" s="405"/>
      <c r="S832" s="405"/>
      <c r="T832" s="405"/>
      <c r="U832" s="405"/>
      <c r="V832" s="405"/>
      <c r="W832" s="405"/>
      <c r="X832" s="405"/>
      <c r="Y832" s="405"/>
      <c r="Z832" s="405"/>
    </row>
    <row r="833" ht="14.25" customHeight="1">
      <c r="A833" s="406"/>
      <c r="B833" s="402"/>
      <c r="C833" s="402"/>
      <c r="D833" s="402"/>
      <c r="E833" s="402"/>
      <c r="F833" s="587"/>
      <c r="G833" s="403"/>
      <c r="H833" s="402"/>
      <c r="I833" s="402"/>
      <c r="J833" s="402"/>
      <c r="K833" s="402"/>
      <c r="L833" s="402"/>
      <c r="M833" s="402"/>
      <c r="N833" s="402"/>
      <c r="O833" s="402"/>
      <c r="P833" s="405"/>
      <c r="Q833" s="405"/>
      <c r="R833" s="405"/>
      <c r="S833" s="405"/>
      <c r="T833" s="405"/>
      <c r="U833" s="405"/>
      <c r="V833" s="405"/>
      <c r="W833" s="405"/>
      <c r="X833" s="405"/>
      <c r="Y833" s="405"/>
      <c r="Z833" s="405"/>
    </row>
    <row r="834" ht="14.25" customHeight="1">
      <c r="A834" s="406"/>
      <c r="B834" s="402"/>
      <c r="C834" s="402"/>
      <c r="D834" s="402"/>
      <c r="E834" s="402"/>
      <c r="F834" s="587"/>
      <c r="G834" s="403"/>
      <c r="H834" s="402"/>
      <c r="I834" s="402"/>
      <c r="J834" s="402"/>
      <c r="K834" s="402"/>
      <c r="L834" s="402"/>
      <c r="M834" s="402"/>
      <c r="N834" s="402"/>
      <c r="O834" s="402"/>
      <c r="P834" s="405"/>
      <c r="Q834" s="405"/>
      <c r="R834" s="405"/>
      <c r="S834" s="405"/>
      <c r="T834" s="405"/>
      <c r="U834" s="405"/>
      <c r="V834" s="405"/>
      <c r="W834" s="405"/>
      <c r="X834" s="405"/>
      <c r="Y834" s="405"/>
      <c r="Z834" s="405"/>
    </row>
    <row r="835" ht="14.25" customHeight="1">
      <c r="A835" s="406"/>
      <c r="B835" s="402"/>
      <c r="C835" s="402"/>
      <c r="D835" s="402"/>
      <c r="E835" s="402"/>
      <c r="F835" s="587"/>
      <c r="G835" s="403"/>
      <c r="H835" s="402"/>
      <c r="I835" s="402"/>
      <c r="J835" s="402"/>
      <c r="K835" s="402"/>
      <c r="L835" s="402"/>
      <c r="M835" s="402"/>
      <c r="N835" s="402"/>
      <c r="O835" s="402"/>
      <c r="P835" s="405"/>
      <c r="Q835" s="405"/>
      <c r="R835" s="405"/>
      <c r="S835" s="405"/>
      <c r="T835" s="405"/>
      <c r="U835" s="405"/>
      <c r="V835" s="405"/>
      <c r="W835" s="405"/>
      <c r="X835" s="405"/>
      <c r="Y835" s="405"/>
      <c r="Z835" s="405"/>
    </row>
    <row r="836" ht="14.25" customHeight="1">
      <c r="A836" s="406"/>
      <c r="B836" s="402"/>
      <c r="C836" s="402"/>
      <c r="D836" s="402"/>
      <c r="E836" s="402"/>
      <c r="F836" s="587"/>
      <c r="G836" s="403"/>
      <c r="H836" s="402"/>
      <c r="I836" s="402"/>
      <c r="J836" s="402"/>
      <c r="K836" s="402"/>
      <c r="L836" s="402"/>
      <c r="M836" s="402"/>
      <c r="N836" s="402"/>
      <c r="O836" s="402"/>
      <c r="P836" s="405"/>
      <c r="Q836" s="405"/>
      <c r="R836" s="405"/>
      <c r="S836" s="405"/>
      <c r="T836" s="405"/>
      <c r="U836" s="405"/>
      <c r="V836" s="405"/>
      <c r="W836" s="405"/>
      <c r="X836" s="405"/>
      <c r="Y836" s="405"/>
      <c r="Z836" s="405"/>
    </row>
    <row r="837" ht="14.25" customHeight="1">
      <c r="A837" s="406"/>
      <c r="B837" s="402"/>
      <c r="C837" s="402"/>
      <c r="D837" s="402"/>
      <c r="E837" s="402"/>
      <c r="F837" s="587"/>
      <c r="G837" s="403"/>
      <c r="H837" s="402"/>
      <c r="I837" s="402"/>
      <c r="J837" s="402"/>
      <c r="K837" s="402"/>
      <c r="L837" s="402"/>
      <c r="M837" s="402"/>
      <c r="N837" s="402"/>
      <c r="O837" s="402"/>
      <c r="P837" s="405"/>
      <c r="Q837" s="405"/>
      <c r="R837" s="405"/>
      <c r="S837" s="405"/>
      <c r="T837" s="405"/>
      <c r="U837" s="405"/>
      <c r="V837" s="405"/>
      <c r="W837" s="405"/>
      <c r="X837" s="405"/>
      <c r="Y837" s="405"/>
      <c r="Z837" s="405"/>
    </row>
    <row r="838" ht="14.25" customHeight="1">
      <c r="A838" s="406"/>
      <c r="B838" s="402"/>
      <c r="C838" s="402"/>
      <c r="D838" s="402"/>
      <c r="E838" s="402"/>
      <c r="F838" s="587"/>
      <c r="G838" s="403"/>
      <c r="H838" s="402"/>
      <c r="I838" s="402"/>
      <c r="J838" s="402"/>
      <c r="K838" s="402"/>
      <c r="L838" s="402"/>
      <c r="M838" s="402"/>
      <c r="N838" s="402"/>
      <c r="O838" s="402"/>
      <c r="P838" s="405"/>
      <c r="Q838" s="405"/>
      <c r="R838" s="405"/>
      <c r="S838" s="405"/>
      <c r="T838" s="405"/>
      <c r="U838" s="405"/>
      <c r="V838" s="405"/>
      <c r="W838" s="405"/>
      <c r="X838" s="405"/>
      <c r="Y838" s="405"/>
      <c r="Z838" s="405"/>
    </row>
    <row r="839" ht="14.25" customHeight="1">
      <c r="A839" s="406"/>
      <c r="B839" s="402"/>
      <c r="C839" s="402"/>
      <c r="D839" s="402"/>
      <c r="E839" s="402"/>
      <c r="F839" s="587"/>
      <c r="G839" s="403"/>
      <c r="H839" s="402"/>
      <c r="I839" s="402"/>
      <c r="J839" s="402"/>
      <c r="K839" s="402"/>
      <c r="L839" s="402"/>
      <c r="M839" s="402"/>
      <c r="N839" s="402"/>
      <c r="O839" s="402"/>
      <c r="P839" s="405"/>
      <c r="Q839" s="405"/>
      <c r="R839" s="405"/>
      <c r="S839" s="405"/>
      <c r="T839" s="405"/>
      <c r="U839" s="405"/>
      <c r="V839" s="405"/>
      <c r="W839" s="405"/>
      <c r="X839" s="405"/>
      <c r="Y839" s="405"/>
      <c r="Z839" s="405"/>
    </row>
    <row r="840" ht="14.25" customHeight="1">
      <c r="A840" s="406"/>
      <c r="B840" s="402"/>
      <c r="C840" s="402"/>
      <c r="D840" s="402"/>
      <c r="E840" s="402"/>
      <c r="F840" s="587"/>
      <c r="G840" s="403"/>
      <c r="H840" s="402"/>
      <c r="I840" s="402"/>
      <c r="J840" s="402"/>
      <c r="K840" s="402"/>
      <c r="L840" s="402"/>
      <c r="M840" s="402"/>
      <c r="N840" s="402"/>
      <c r="O840" s="402"/>
      <c r="P840" s="405"/>
      <c r="Q840" s="405"/>
      <c r="R840" s="405"/>
      <c r="S840" s="405"/>
      <c r="T840" s="405"/>
      <c r="U840" s="405"/>
      <c r="V840" s="405"/>
      <c r="W840" s="405"/>
      <c r="X840" s="405"/>
      <c r="Y840" s="405"/>
      <c r="Z840" s="405"/>
    </row>
    <row r="841" ht="14.25" customHeight="1">
      <c r="A841" s="406"/>
      <c r="B841" s="402"/>
      <c r="C841" s="402"/>
      <c r="D841" s="402"/>
      <c r="E841" s="402"/>
      <c r="F841" s="587"/>
      <c r="G841" s="403"/>
      <c r="H841" s="402"/>
      <c r="I841" s="402"/>
      <c r="J841" s="402"/>
      <c r="K841" s="402"/>
      <c r="L841" s="402"/>
      <c r="M841" s="402"/>
      <c r="N841" s="402"/>
      <c r="O841" s="402"/>
      <c r="P841" s="405"/>
      <c r="Q841" s="405"/>
      <c r="R841" s="405"/>
      <c r="S841" s="405"/>
      <c r="T841" s="405"/>
      <c r="U841" s="405"/>
      <c r="V841" s="405"/>
      <c r="W841" s="405"/>
      <c r="X841" s="405"/>
      <c r="Y841" s="405"/>
      <c r="Z841" s="405"/>
    </row>
    <row r="842" ht="14.25" customHeight="1">
      <c r="A842" s="406"/>
      <c r="B842" s="402"/>
      <c r="C842" s="402"/>
      <c r="D842" s="402"/>
      <c r="E842" s="402"/>
      <c r="F842" s="587"/>
      <c r="G842" s="403"/>
      <c r="H842" s="402"/>
      <c r="I842" s="402"/>
      <c r="J842" s="402"/>
      <c r="K842" s="402"/>
      <c r="L842" s="402"/>
      <c r="M842" s="402"/>
      <c r="N842" s="402"/>
      <c r="O842" s="402"/>
      <c r="P842" s="405"/>
      <c r="Q842" s="405"/>
      <c r="R842" s="405"/>
      <c r="S842" s="405"/>
      <c r="T842" s="405"/>
      <c r="U842" s="405"/>
      <c r="V842" s="405"/>
      <c r="W842" s="405"/>
      <c r="X842" s="405"/>
      <c r="Y842" s="405"/>
      <c r="Z842" s="405"/>
    </row>
    <row r="843" ht="14.25" customHeight="1">
      <c r="A843" s="406"/>
      <c r="B843" s="402"/>
      <c r="C843" s="402"/>
      <c r="D843" s="402"/>
      <c r="E843" s="402"/>
      <c r="F843" s="587"/>
      <c r="G843" s="403"/>
      <c r="H843" s="402"/>
      <c r="I843" s="402"/>
      <c r="J843" s="402"/>
      <c r="K843" s="402"/>
      <c r="L843" s="402"/>
      <c r="M843" s="402"/>
      <c r="N843" s="402"/>
      <c r="O843" s="402"/>
      <c r="P843" s="405"/>
      <c r="Q843" s="405"/>
      <c r="R843" s="405"/>
      <c r="S843" s="405"/>
      <c r="T843" s="405"/>
      <c r="U843" s="405"/>
      <c r="V843" s="405"/>
      <c r="W843" s="405"/>
      <c r="X843" s="405"/>
      <c r="Y843" s="405"/>
      <c r="Z843" s="405"/>
    </row>
    <row r="844" ht="14.25" customHeight="1">
      <c r="A844" s="406"/>
      <c r="B844" s="402"/>
      <c r="C844" s="402"/>
      <c r="D844" s="402"/>
      <c r="E844" s="402"/>
      <c r="F844" s="587"/>
      <c r="G844" s="403"/>
      <c r="H844" s="402"/>
      <c r="I844" s="402"/>
      <c r="J844" s="402"/>
      <c r="K844" s="402"/>
      <c r="L844" s="402"/>
      <c r="M844" s="402"/>
      <c r="N844" s="402"/>
      <c r="O844" s="402"/>
      <c r="P844" s="405"/>
      <c r="Q844" s="405"/>
      <c r="R844" s="405"/>
      <c r="S844" s="405"/>
      <c r="T844" s="405"/>
      <c r="U844" s="405"/>
      <c r="V844" s="405"/>
      <c r="W844" s="405"/>
      <c r="X844" s="405"/>
      <c r="Y844" s="405"/>
      <c r="Z844" s="405"/>
    </row>
    <row r="845" ht="14.25" customHeight="1">
      <c r="A845" s="406"/>
      <c r="B845" s="402"/>
      <c r="C845" s="402"/>
      <c r="D845" s="402"/>
      <c r="E845" s="402"/>
      <c r="F845" s="587"/>
      <c r="G845" s="403"/>
      <c r="H845" s="402"/>
      <c r="I845" s="402"/>
      <c r="J845" s="402"/>
      <c r="K845" s="402"/>
      <c r="L845" s="402"/>
      <c r="M845" s="402"/>
      <c r="N845" s="402"/>
      <c r="O845" s="402"/>
      <c r="P845" s="405"/>
      <c r="Q845" s="405"/>
      <c r="R845" s="405"/>
      <c r="S845" s="405"/>
      <c r="T845" s="405"/>
      <c r="U845" s="405"/>
      <c r="V845" s="405"/>
      <c r="W845" s="405"/>
      <c r="X845" s="405"/>
      <c r="Y845" s="405"/>
      <c r="Z845" s="405"/>
    </row>
    <row r="846" ht="14.25" customHeight="1">
      <c r="A846" s="406"/>
      <c r="B846" s="402"/>
      <c r="C846" s="402"/>
      <c r="D846" s="402"/>
      <c r="E846" s="402"/>
      <c r="F846" s="587"/>
      <c r="G846" s="403"/>
      <c r="H846" s="402"/>
      <c r="I846" s="402"/>
      <c r="J846" s="402"/>
      <c r="K846" s="402"/>
      <c r="L846" s="402"/>
      <c r="M846" s="402"/>
      <c r="N846" s="402"/>
      <c r="O846" s="402"/>
      <c r="P846" s="405"/>
      <c r="Q846" s="405"/>
      <c r="R846" s="405"/>
      <c r="S846" s="405"/>
      <c r="T846" s="405"/>
      <c r="U846" s="405"/>
      <c r="V846" s="405"/>
      <c r="W846" s="405"/>
      <c r="X846" s="405"/>
      <c r="Y846" s="405"/>
      <c r="Z846" s="405"/>
    </row>
    <row r="847" ht="14.25" customHeight="1">
      <c r="A847" s="406"/>
      <c r="B847" s="402"/>
      <c r="C847" s="402"/>
      <c r="D847" s="402"/>
      <c r="E847" s="402"/>
      <c r="F847" s="587"/>
      <c r="G847" s="403"/>
      <c r="H847" s="402"/>
      <c r="I847" s="402"/>
      <c r="J847" s="402"/>
      <c r="K847" s="402"/>
      <c r="L847" s="402"/>
      <c r="M847" s="402"/>
      <c r="N847" s="402"/>
      <c r="O847" s="402"/>
      <c r="P847" s="405"/>
      <c r="Q847" s="405"/>
      <c r="R847" s="405"/>
      <c r="S847" s="405"/>
      <c r="T847" s="405"/>
      <c r="U847" s="405"/>
      <c r="V847" s="405"/>
      <c r="W847" s="405"/>
      <c r="X847" s="405"/>
      <c r="Y847" s="405"/>
      <c r="Z847" s="405"/>
    </row>
    <row r="848" ht="14.25" customHeight="1">
      <c r="A848" s="406"/>
      <c r="B848" s="402"/>
      <c r="C848" s="402"/>
      <c r="D848" s="402"/>
      <c r="E848" s="402"/>
      <c r="F848" s="587"/>
      <c r="G848" s="403"/>
      <c r="H848" s="402"/>
      <c r="I848" s="402"/>
      <c r="J848" s="402"/>
      <c r="K848" s="402"/>
      <c r="L848" s="402"/>
      <c r="M848" s="402"/>
      <c r="N848" s="402"/>
      <c r="O848" s="402"/>
      <c r="P848" s="405"/>
      <c r="Q848" s="405"/>
      <c r="R848" s="405"/>
      <c r="S848" s="405"/>
      <c r="T848" s="405"/>
      <c r="U848" s="405"/>
      <c r="V848" s="405"/>
      <c r="W848" s="405"/>
      <c r="X848" s="405"/>
      <c r="Y848" s="405"/>
      <c r="Z848" s="405"/>
    </row>
    <row r="849" ht="14.25" customHeight="1">
      <c r="A849" s="406"/>
      <c r="B849" s="402"/>
      <c r="C849" s="402"/>
      <c r="D849" s="402"/>
      <c r="E849" s="402"/>
      <c r="F849" s="587"/>
      <c r="G849" s="403"/>
      <c r="H849" s="402"/>
      <c r="I849" s="402"/>
      <c r="J849" s="402"/>
      <c r="K849" s="402"/>
      <c r="L849" s="402"/>
      <c r="M849" s="402"/>
      <c r="N849" s="402"/>
      <c r="O849" s="402"/>
      <c r="P849" s="405"/>
      <c r="Q849" s="405"/>
      <c r="R849" s="405"/>
      <c r="S849" s="405"/>
      <c r="T849" s="405"/>
      <c r="U849" s="405"/>
      <c r="V849" s="405"/>
      <c r="W849" s="405"/>
      <c r="X849" s="405"/>
      <c r="Y849" s="405"/>
      <c r="Z849" s="405"/>
    </row>
    <row r="850" ht="14.25" customHeight="1">
      <c r="A850" s="406"/>
      <c r="B850" s="402"/>
      <c r="C850" s="402"/>
      <c r="D850" s="402"/>
      <c r="E850" s="402"/>
      <c r="F850" s="587"/>
      <c r="G850" s="403"/>
      <c r="H850" s="402"/>
      <c r="I850" s="402"/>
      <c r="J850" s="402"/>
      <c r="K850" s="402"/>
      <c r="L850" s="402"/>
      <c r="M850" s="402"/>
      <c r="N850" s="402"/>
      <c r="O850" s="402"/>
      <c r="P850" s="405"/>
      <c r="Q850" s="405"/>
      <c r="R850" s="405"/>
      <c r="S850" s="405"/>
      <c r="T850" s="405"/>
      <c r="U850" s="405"/>
      <c r="V850" s="405"/>
      <c r="W850" s="405"/>
      <c r="X850" s="405"/>
      <c r="Y850" s="405"/>
      <c r="Z850" s="405"/>
    </row>
    <row r="851" ht="14.25" customHeight="1">
      <c r="A851" s="406"/>
      <c r="B851" s="402"/>
      <c r="C851" s="402"/>
      <c r="D851" s="402"/>
      <c r="E851" s="402"/>
      <c r="F851" s="587"/>
      <c r="G851" s="403"/>
      <c r="H851" s="402"/>
      <c r="I851" s="402"/>
      <c r="J851" s="402"/>
      <c r="K851" s="402"/>
      <c r="L851" s="402"/>
      <c r="M851" s="402"/>
      <c r="N851" s="402"/>
      <c r="O851" s="402"/>
      <c r="P851" s="405"/>
      <c r="Q851" s="405"/>
      <c r="R851" s="405"/>
      <c r="S851" s="405"/>
      <c r="T851" s="405"/>
      <c r="U851" s="405"/>
      <c r="V851" s="405"/>
      <c r="W851" s="405"/>
      <c r="X851" s="405"/>
      <c r="Y851" s="405"/>
      <c r="Z851" s="405"/>
    </row>
    <row r="852" ht="14.25" customHeight="1">
      <c r="A852" s="406"/>
      <c r="B852" s="402"/>
      <c r="C852" s="402"/>
      <c r="D852" s="402"/>
      <c r="E852" s="402"/>
      <c r="F852" s="587"/>
      <c r="G852" s="403"/>
      <c r="H852" s="402"/>
      <c r="I852" s="402"/>
      <c r="J852" s="402"/>
      <c r="K852" s="402"/>
      <c r="L852" s="402"/>
      <c r="M852" s="402"/>
      <c r="N852" s="402"/>
      <c r="O852" s="402"/>
      <c r="P852" s="405"/>
      <c r="Q852" s="405"/>
      <c r="R852" s="405"/>
      <c r="S852" s="405"/>
      <c r="T852" s="405"/>
      <c r="U852" s="405"/>
      <c r="V852" s="405"/>
      <c r="W852" s="405"/>
      <c r="X852" s="405"/>
      <c r="Y852" s="405"/>
      <c r="Z852" s="405"/>
    </row>
    <row r="853" ht="14.25" customHeight="1">
      <c r="A853" s="406"/>
      <c r="B853" s="402"/>
      <c r="C853" s="402"/>
      <c r="D853" s="402"/>
      <c r="E853" s="402"/>
      <c r="F853" s="587"/>
      <c r="G853" s="403"/>
      <c r="H853" s="402"/>
      <c r="I853" s="402"/>
      <c r="J853" s="402"/>
      <c r="K853" s="402"/>
      <c r="L853" s="402"/>
      <c r="M853" s="402"/>
      <c r="N853" s="402"/>
      <c r="O853" s="402"/>
      <c r="P853" s="405"/>
      <c r="Q853" s="405"/>
      <c r="R853" s="405"/>
      <c r="S853" s="405"/>
      <c r="T853" s="405"/>
      <c r="U853" s="405"/>
      <c r="V853" s="405"/>
      <c r="W853" s="405"/>
      <c r="X853" s="405"/>
      <c r="Y853" s="405"/>
      <c r="Z853" s="405"/>
    </row>
    <row r="854" ht="14.25" customHeight="1">
      <c r="A854" s="406"/>
      <c r="B854" s="402"/>
      <c r="C854" s="402"/>
      <c r="D854" s="402"/>
      <c r="E854" s="402"/>
      <c r="F854" s="587"/>
      <c r="G854" s="403"/>
      <c r="H854" s="402"/>
      <c r="I854" s="402"/>
      <c r="J854" s="402"/>
      <c r="K854" s="402"/>
      <c r="L854" s="402"/>
      <c r="M854" s="402"/>
      <c r="N854" s="402"/>
      <c r="O854" s="402"/>
      <c r="P854" s="405"/>
      <c r="Q854" s="405"/>
      <c r="R854" s="405"/>
      <c r="S854" s="405"/>
      <c r="T854" s="405"/>
      <c r="U854" s="405"/>
      <c r="V854" s="405"/>
      <c r="W854" s="405"/>
      <c r="X854" s="405"/>
      <c r="Y854" s="405"/>
      <c r="Z854" s="405"/>
    </row>
    <row r="855" ht="14.25" customHeight="1">
      <c r="A855" s="406"/>
      <c r="B855" s="402"/>
      <c r="C855" s="402"/>
      <c r="D855" s="402"/>
      <c r="E855" s="402"/>
      <c r="F855" s="587"/>
      <c r="G855" s="403"/>
      <c r="H855" s="402"/>
      <c r="I855" s="402"/>
      <c r="J855" s="402"/>
      <c r="K855" s="402"/>
      <c r="L855" s="402"/>
      <c r="M855" s="402"/>
      <c r="N855" s="402"/>
      <c r="O855" s="402"/>
      <c r="P855" s="405"/>
      <c r="Q855" s="405"/>
      <c r="R855" s="405"/>
      <c r="S855" s="405"/>
      <c r="T855" s="405"/>
      <c r="U855" s="405"/>
      <c r="V855" s="405"/>
      <c r="W855" s="405"/>
      <c r="X855" s="405"/>
      <c r="Y855" s="405"/>
      <c r="Z855" s="405"/>
    </row>
    <row r="856" ht="14.25" customHeight="1">
      <c r="A856" s="406"/>
      <c r="B856" s="402"/>
      <c r="C856" s="402"/>
      <c r="D856" s="402"/>
      <c r="E856" s="402"/>
      <c r="F856" s="587"/>
      <c r="G856" s="403"/>
      <c r="H856" s="402"/>
      <c r="I856" s="402"/>
      <c r="J856" s="402"/>
      <c r="K856" s="402"/>
      <c r="L856" s="402"/>
      <c r="M856" s="402"/>
      <c r="N856" s="402"/>
      <c r="O856" s="402"/>
      <c r="P856" s="405"/>
      <c r="Q856" s="405"/>
      <c r="R856" s="405"/>
      <c r="S856" s="405"/>
      <c r="T856" s="405"/>
      <c r="U856" s="405"/>
      <c r="V856" s="405"/>
      <c r="W856" s="405"/>
      <c r="X856" s="405"/>
      <c r="Y856" s="405"/>
      <c r="Z856" s="405"/>
    </row>
    <row r="857" ht="14.25" customHeight="1">
      <c r="A857" s="406"/>
      <c r="B857" s="402"/>
      <c r="C857" s="402"/>
      <c r="D857" s="402"/>
      <c r="E857" s="402"/>
      <c r="F857" s="587"/>
      <c r="G857" s="403"/>
      <c r="H857" s="402"/>
      <c r="I857" s="402"/>
      <c r="J857" s="402"/>
      <c r="K857" s="402"/>
      <c r="L857" s="402"/>
      <c r="M857" s="402"/>
      <c r="N857" s="402"/>
      <c r="O857" s="402"/>
      <c r="P857" s="405"/>
      <c r="Q857" s="405"/>
      <c r="R857" s="405"/>
      <c r="S857" s="405"/>
      <c r="T857" s="405"/>
      <c r="U857" s="405"/>
      <c r="V857" s="405"/>
      <c r="W857" s="405"/>
      <c r="X857" s="405"/>
      <c r="Y857" s="405"/>
      <c r="Z857" s="405"/>
    </row>
    <row r="858" ht="14.25" customHeight="1">
      <c r="A858" s="406"/>
      <c r="B858" s="402"/>
      <c r="C858" s="402"/>
      <c r="D858" s="402"/>
      <c r="E858" s="402"/>
      <c r="F858" s="587"/>
      <c r="G858" s="403"/>
      <c r="H858" s="402"/>
      <c r="I858" s="402"/>
      <c r="J858" s="402"/>
      <c r="K858" s="402"/>
      <c r="L858" s="402"/>
      <c r="M858" s="402"/>
      <c r="N858" s="402"/>
      <c r="O858" s="402"/>
      <c r="P858" s="405"/>
      <c r="Q858" s="405"/>
      <c r="R858" s="405"/>
      <c r="S858" s="405"/>
      <c r="T858" s="405"/>
      <c r="U858" s="405"/>
      <c r="V858" s="405"/>
      <c r="W858" s="405"/>
      <c r="X858" s="405"/>
      <c r="Y858" s="405"/>
      <c r="Z858" s="405"/>
    </row>
    <row r="859" ht="14.25" customHeight="1">
      <c r="A859" s="406"/>
      <c r="B859" s="402"/>
      <c r="C859" s="402"/>
      <c r="D859" s="402"/>
      <c r="E859" s="402"/>
      <c r="F859" s="587"/>
      <c r="G859" s="403"/>
      <c r="H859" s="402"/>
      <c r="I859" s="402"/>
      <c r="J859" s="402"/>
      <c r="K859" s="402"/>
      <c r="L859" s="402"/>
      <c r="M859" s="402"/>
      <c r="N859" s="402"/>
      <c r="O859" s="402"/>
      <c r="P859" s="405"/>
      <c r="Q859" s="405"/>
      <c r="R859" s="405"/>
      <c r="S859" s="405"/>
      <c r="T859" s="405"/>
      <c r="U859" s="405"/>
      <c r="V859" s="405"/>
      <c r="W859" s="405"/>
      <c r="X859" s="405"/>
      <c r="Y859" s="405"/>
      <c r="Z859" s="405"/>
    </row>
    <row r="860" ht="14.25" customHeight="1">
      <c r="A860" s="406"/>
      <c r="B860" s="402"/>
      <c r="C860" s="402"/>
      <c r="D860" s="402"/>
      <c r="E860" s="402"/>
      <c r="F860" s="587"/>
      <c r="G860" s="403"/>
      <c r="H860" s="402"/>
      <c r="I860" s="402"/>
      <c r="J860" s="402"/>
      <c r="K860" s="402"/>
      <c r="L860" s="402"/>
      <c r="M860" s="402"/>
      <c r="N860" s="402"/>
      <c r="O860" s="402"/>
      <c r="P860" s="405"/>
      <c r="Q860" s="405"/>
      <c r="R860" s="405"/>
      <c r="S860" s="405"/>
      <c r="T860" s="405"/>
      <c r="U860" s="405"/>
      <c r="V860" s="405"/>
      <c r="W860" s="405"/>
      <c r="X860" s="405"/>
      <c r="Y860" s="405"/>
      <c r="Z860" s="405"/>
    </row>
    <row r="861" ht="14.25" customHeight="1">
      <c r="A861" s="406"/>
      <c r="B861" s="402"/>
      <c r="C861" s="402"/>
      <c r="D861" s="402"/>
      <c r="E861" s="402"/>
      <c r="F861" s="587"/>
      <c r="G861" s="403"/>
      <c r="H861" s="402"/>
      <c r="I861" s="402"/>
      <c r="J861" s="402"/>
      <c r="K861" s="402"/>
      <c r="L861" s="402"/>
      <c r="M861" s="402"/>
      <c r="N861" s="402"/>
      <c r="O861" s="402"/>
      <c r="P861" s="405"/>
      <c r="Q861" s="405"/>
      <c r="R861" s="405"/>
      <c r="S861" s="405"/>
      <c r="T861" s="405"/>
      <c r="U861" s="405"/>
      <c r="V861" s="405"/>
      <c r="W861" s="405"/>
      <c r="X861" s="405"/>
      <c r="Y861" s="405"/>
      <c r="Z861" s="405"/>
    </row>
    <row r="862" ht="14.25" customHeight="1">
      <c r="A862" s="406"/>
      <c r="B862" s="402"/>
      <c r="C862" s="402"/>
      <c r="D862" s="402"/>
      <c r="E862" s="402"/>
      <c r="F862" s="587"/>
      <c r="G862" s="403"/>
      <c r="H862" s="402"/>
      <c r="I862" s="402"/>
      <c r="J862" s="402"/>
      <c r="K862" s="402"/>
      <c r="L862" s="402"/>
      <c r="M862" s="402"/>
      <c r="N862" s="402"/>
      <c r="O862" s="402"/>
      <c r="P862" s="405"/>
      <c r="Q862" s="405"/>
      <c r="R862" s="405"/>
      <c r="S862" s="405"/>
      <c r="T862" s="405"/>
      <c r="U862" s="405"/>
      <c r="V862" s="405"/>
      <c r="W862" s="405"/>
      <c r="X862" s="405"/>
      <c r="Y862" s="405"/>
      <c r="Z862" s="405"/>
    </row>
    <row r="863" ht="14.25" customHeight="1">
      <c r="A863" s="406"/>
      <c r="B863" s="402"/>
      <c r="C863" s="402"/>
      <c r="D863" s="402"/>
      <c r="E863" s="402"/>
      <c r="F863" s="587"/>
      <c r="G863" s="403"/>
      <c r="H863" s="402"/>
      <c r="I863" s="402"/>
      <c r="J863" s="402"/>
      <c r="K863" s="402"/>
      <c r="L863" s="402"/>
      <c r="M863" s="402"/>
      <c r="N863" s="402"/>
      <c r="O863" s="402"/>
      <c r="P863" s="405"/>
      <c r="Q863" s="405"/>
      <c r="R863" s="405"/>
      <c r="S863" s="405"/>
      <c r="T863" s="405"/>
      <c r="U863" s="405"/>
      <c r="V863" s="405"/>
      <c r="W863" s="405"/>
      <c r="X863" s="405"/>
      <c r="Y863" s="405"/>
      <c r="Z863" s="405"/>
    </row>
    <row r="864" ht="14.25" customHeight="1">
      <c r="A864" s="406"/>
      <c r="B864" s="402"/>
      <c r="C864" s="402"/>
      <c r="D864" s="402"/>
      <c r="E864" s="402"/>
      <c r="F864" s="587"/>
      <c r="G864" s="403"/>
      <c r="H864" s="402"/>
      <c r="I864" s="402"/>
      <c r="J864" s="402"/>
      <c r="K864" s="402"/>
      <c r="L864" s="402"/>
      <c r="M864" s="402"/>
      <c r="N864" s="402"/>
      <c r="O864" s="402"/>
      <c r="P864" s="405"/>
      <c r="Q864" s="405"/>
      <c r="R864" s="405"/>
      <c r="S864" s="405"/>
      <c r="T864" s="405"/>
      <c r="U864" s="405"/>
      <c r="V864" s="405"/>
      <c r="W864" s="405"/>
      <c r="X864" s="405"/>
      <c r="Y864" s="405"/>
      <c r="Z864" s="405"/>
    </row>
    <row r="865" ht="14.25" customHeight="1">
      <c r="A865" s="406"/>
      <c r="B865" s="402"/>
      <c r="C865" s="402"/>
      <c r="D865" s="402"/>
      <c r="E865" s="402"/>
      <c r="F865" s="587"/>
      <c r="G865" s="403"/>
      <c r="H865" s="402"/>
      <c r="I865" s="402"/>
      <c r="J865" s="402"/>
      <c r="K865" s="402"/>
      <c r="L865" s="402"/>
      <c r="M865" s="402"/>
      <c r="N865" s="402"/>
      <c r="O865" s="402"/>
      <c r="P865" s="405"/>
      <c r="Q865" s="405"/>
      <c r="R865" s="405"/>
      <c r="S865" s="405"/>
      <c r="T865" s="405"/>
      <c r="U865" s="405"/>
      <c r="V865" s="405"/>
      <c r="W865" s="405"/>
      <c r="X865" s="405"/>
      <c r="Y865" s="405"/>
      <c r="Z865" s="405"/>
    </row>
    <row r="866" ht="14.25" customHeight="1">
      <c r="A866" s="406"/>
      <c r="B866" s="402"/>
      <c r="C866" s="402"/>
      <c r="D866" s="402"/>
      <c r="E866" s="402"/>
      <c r="F866" s="587"/>
      <c r="G866" s="403"/>
      <c r="H866" s="402"/>
      <c r="I866" s="402"/>
      <c r="J866" s="402"/>
      <c r="K866" s="402"/>
      <c r="L866" s="402"/>
      <c r="M866" s="402"/>
      <c r="N866" s="402"/>
      <c r="O866" s="402"/>
      <c r="P866" s="405"/>
      <c r="Q866" s="405"/>
      <c r="R866" s="405"/>
      <c r="S866" s="405"/>
      <c r="T866" s="405"/>
      <c r="U866" s="405"/>
      <c r="V866" s="405"/>
      <c r="W866" s="405"/>
      <c r="X866" s="405"/>
      <c r="Y866" s="405"/>
      <c r="Z866" s="405"/>
    </row>
    <row r="867" ht="14.25" customHeight="1">
      <c r="A867" s="406"/>
      <c r="B867" s="402"/>
      <c r="C867" s="402"/>
      <c r="D867" s="402"/>
      <c r="E867" s="402"/>
      <c r="F867" s="587"/>
      <c r="G867" s="403"/>
      <c r="H867" s="402"/>
      <c r="I867" s="402"/>
      <c r="J867" s="402"/>
      <c r="K867" s="402"/>
      <c r="L867" s="402"/>
      <c r="M867" s="402"/>
      <c r="N867" s="402"/>
      <c r="O867" s="402"/>
      <c r="P867" s="405"/>
      <c r="Q867" s="405"/>
      <c r="R867" s="405"/>
      <c r="S867" s="405"/>
      <c r="T867" s="405"/>
      <c r="U867" s="405"/>
      <c r="V867" s="405"/>
      <c r="W867" s="405"/>
      <c r="X867" s="405"/>
      <c r="Y867" s="405"/>
      <c r="Z867" s="405"/>
    </row>
    <row r="868" ht="14.25" customHeight="1">
      <c r="A868" s="406"/>
      <c r="B868" s="402"/>
      <c r="C868" s="402"/>
      <c r="D868" s="402"/>
      <c r="E868" s="402"/>
      <c r="F868" s="587"/>
      <c r="G868" s="403"/>
      <c r="H868" s="402"/>
      <c r="I868" s="402"/>
      <c r="J868" s="402"/>
      <c r="K868" s="402"/>
      <c r="L868" s="402"/>
      <c r="M868" s="402"/>
      <c r="N868" s="402"/>
      <c r="O868" s="402"/>
      <c r="P868" s="405"/>
      <c r="Q868" s="405"/>
      <c r="R868" s="405"/>
      <c r="S868" s="405"/>
      <c r="T868" s="405"/>
      <c r="U868" s="405"/>
      <c r="V868" s="405"/>
      <c r="W868" s="405"/>
      <c r="X868" s="405"/>
      <c r="Y868" s="405"/>
      <c r="Z868" s="405"/>
    </row>
    <row r="869" ht="14.25" customHeight="1">
      <c r="A869" s="406"/>
      <c r="B869" s="402"/>
      <c r="C869" s="402"/>
      <c r="D869" s="402"/>
      <c r="E869" s="402"/>
      <c r="F869" s="587"/>
      <c r="G869" s="403"/>
      <c r="H869" s="402"/>
      <c r="I869" s="402"/>
      <c r="J869" s="402"/>
      <c r="K869" s="402"/>
      <c r="L869" s="402"/>
      <c r="M869" s="402"/>
      <c r="N869" s="402"/>
      <c r="O869" s="402"/>
      <c r="P869" s="405"/>
      <c r="Q869" s="405"/>
      <c r="R869" s="405"/>
      <c r="S869" s="405"/>
      <c r="T869" s="405"/>
      <c r="U869" s="405"/>
      <c r="V869" s="405"/>
      <c r="W869" s="405"/>
      <c r="X869" s="405"/>
      <c r="Y869" s="405"/>
      <c r="Z869" s="405"/>
    </row>
    <row r="870" ht="14.25" customHeight="1">
      <c r="A870" s="406"/>
      <c r="B870" s="402"/>
      <c r="C870" s="402"/>
      <c r="D870" s="402"/>
      <c r="E870" s="402"/>
      <c r="F870" s="587"/>
      <c r="G870" s="403"/>
      <c r="H870" s="402"/>
      <c r="I870" s="402"/>
      <c r="J870" s="402"/>
      <c r="K870" s="402"/>
      <c r="L870" s="402"/>
      <c r="M870" s="402"/>
      <c r="N870" s="402"/>
      <c r="O870" s="402"/>
      <c r="P870" s="405"/>
      <c r="Q870" s="405"/>
      <c r="R870" s="405"/>
      <c r="S870" s="405"/>
      <c r="T870" s="405"/>
      <c r="U870" s="405"/>
      <c r="V870" s="405"/>
      <c r="W870" s="405"/>
      <c r="X870" s="405"/>
      <c r="Y870" s="405"/>
      <c r="Z870" s="405"/>
    </row>
    <row r="871" ht="14.25" customHeight="1">
      <c r="A871" s="406"/>
      <c r="B871" s="402"/>
      <c r="C871" s="402"/>
      <c r="D871" s="402"/>
      <c r="E871" s="402"/>
      <c r="F871" s="587"/>
      <c r="G871" s="403"/>
      <c r="H871" s="402"/>
      <c r="I871" s="402"/>
      <c r="J871" s="402"/>
      <c r="K871" s="402"/>
      <c r="L871" s="402"/>
      <c r="M871" s="402"/>
      <c r="N871" s="402"/>
      <c r="O871" s="402"/>
      <c r="P871" s="405"/>
      <c r="Q871" s="405"/>
      <c r="R871" s="405"/>
      <c r="S871" s="405"/>
      <c r="T871" s="405"/>
      <c r="U871" s="405"/>
      <c r="V871" s="405"/>
      <c r="W871" s="405"/>
      <c r="X871" s="405"/>
      <c r="Y871" s="405"/>
      <c r="Z871" s="405"/>
    </row>
    <row r="872" ht="14.25" customHeight="1">
      <c r="A872" s="406"/>
      <c r="B872" s="402"/>
      <c r="C872" s="402"/>
      <c r="D872" s="402"/>
      <c r="E872" s="402"/>
      <c r="F872" s="587"/>
      <c r="G872" s="403"/>
      <c r="H872" s="402"/>
      <c r="I872" s="402"/>
      <c r="J872" s="402"/>
      <c r="K872" s="402"/>
      <c r="L872" s="402"/>
      <c r="M872" s="402"/>
      <c r="N872" s="402"/>
      <c r="O872" s="402"/>
      <c r="P872" s="405"/>
      <c r="Q872" s="405"/>
      <c r="R872" s="405"/>
      <c r="S872" s="405"/>
      <c r="T872" s="405"/>
      <c r="U872" s="405"/>
      <c r="V872" s="405"/>
      <c r="W872" s="405"/>
      <c r="X872" s="405"/>
      <c r="Y872" s="405"/>
      <c r="Z872" s="405"/>
    </row>
    <row r="873" ht="14.25" customHeight="1">
      <c r="A873" s="406"/>
      <c r="B873" s="402"/>
      <c r="C873" s="402"/>
      <c r="D873" s="402"/>
      <c r="E873" s="402"/>
      <c r="F873" s="587"/>
      <c r="G873" s="403"/>
      <c r="H873" s="402"/>
      <c r="I873" s="402"/>
      <c r="J873" s="402"/>
      <c r="K873" s="402"/>
      <c r="L873" s="402"/>
      <c r="M873" s="402"/>
      <c r="N873" s="402"/>
      <c r="O873" s="402"/>
      <c r="P873" s="405"/>
      <c r="Q873" s="405"/>
      <c r="R873" s="405"/>
      <c r="S873" s="405"/>
      <c r="T873" s="405"/>
      <c r="U873" s="405"/>
      <c r="V873" s="405"/>
      <c r="W873" s="405"/>
      <c r="X873" s="405"/>
      <c r="Y873" s="405"/>
      <c r="Z873" s="405"/>
    </row>
    <row r="874" ht="14.25" customHeight="1">
      <c r="A874" s="406"/>
      <c r="B874" s="402"/>
      <c r="C874" s="402"/>
      <c r="D874" s="402"/>
      <c r="E874" s="402"/>
      <c r="F874" s="587"/>
      <c r="G874" s="403"/>
      <c r="H874" s="402"/>
      <c r="I874" s="402"/>
      <c r="J874" s="402"/>
      <c r="K874" s="402"/>
      <c r="L874" s="402"/>
      <c r="M874" s="402"/>
      <c r="N874" s="402"/>
      <c r="O874" s="402"/>
      <c r="P874" s="405"/>
      <c r="Q874" s="405"/>
      <c r="R874" s="405"/>
      <c r="S874" s="405"/>
      <c r="T874" s="405"/>
      <c r="U874" s="405"/>
      <c r="V874" s="405"/>
      <c r="W874" s="405"/>
      <c r="X874" s="405"/>
      <c r="Y874" s="405"/>
      <c r="Z874" s="405"/>
    </row>
    <row r="875" ht="14.25" customHeight="1">
      <c r="A875" s="406"/>
      <c r="B875" s="402"/>
      <c r="C875" s="402"/>
      <c r="D875" s="402"/>
      <c r="E875" s="402"/>
      <c r="F875" s="587"/>
      <c r="G875" s="403"/>
      <c r="H875" s="402"/>
      <c r="I875" s="402"/>
      <c r="J875" s="402"/>
      <c r="K875" s="402"/>
      <c r="L875" s="402"/>
      <c r="M875" s="402"/>
      <c r="N875" s="402"/>
      <c r="O875" s="402"/>
      <c r="P875" s="405"/>
      <c r="Q875" s="405"/>
      <c r="R875" s="405"/>
      <c r="S875" s="405"/>
      <c r="T875" s="405"/>
      <c r="U875" s="405"/>
      <c r="V875" s="405"/>
      <c r="W875" s="405"/>
      <c r="X875" s="405"/>
      <c r="Y875" s="405"/>
      <c r="Z875" s="405"/>
    </row>
    <row r="876" ht="14.25" customHeight="1">
      <c r="A876" s="406"/>
      <c r="B876" s="402"/>
      <c r="C876" s="402"/>
      <c r="D876" s="402"/>
      <c r="E876" s="402"/>
      <c r="F876" s="587"/>
      <c r="G876" s="403"/>
      <c r="H876" s="402"/>
      <c r="I876" s="402"/>
      <c r="J876" s="402"/>
      <c r="K876" s="402"/>
      <c r="L876" s="402"/>
      <c r="M876" s="402"/>
      <c r="N876" s="402"/>
      <c r="O876" s="402"/>
      <c r="P876" s="405"/>
      <c r="Q876" s="405"/>
      <c r="R876" s="405"/>
      <c r="S876" s="405"/>
      <c r="T876" s="405"/>
      <c r="U876" s="405"/>
      <c r="V876" s="405"/>
      <c r="W876" s="405"/>
      <c r="X876" s="405"/>
      <c r="Y876" s="405"/>
      <c r="Z876" s="405"/>
    </row>
    <row r="877" ht="14.25" customHeight="1">
      <c r="A877" s="406"/>
      <c r="B877" s="402"/>
      <c r="C877" s="402"/>
      <c r="D877" s="402"/>
      <c r="E877" s="402"/>
      <c r="F877" s="587"/>
      <c r="G877" s="403"/>
      <c r="H877" s="402"/>
      <c r="I877" s="402"/>
      <c r="J877" s="402"/>
      <c r="K877" s="402"/>
      <c r="L877" s="402"/>
      <c r="M877" s="402"/>
      <c r="N877" s="402"/>
      <c r="O877" s="402"/>
      <c r="P877" s="405"/>
      <c r="Q877" s="405"/>
      <c r="R877" s="405"/>
      <c r="S877" s="405"/>
      <c r="T877" s="405"/>
      <c r="U877" s="405"/>
      <c r="V877" s="405"/>
      <c r="W877" s="405"/>
      <c r="X877" s="405"/>
      <c r="Y877" s="405"/>
      <c r="Z877" s="405"/>
    </row>
    <row r="878" ht="14.25" customHeight="1">
      <c r="A878" s="406"/>
      <c r="B878" s="402"/>
      <c r="C878" s="402"/>
      <c r="D878" s="402"/>
      <c r="E878" s="402"/>
      <c r="F878" s="587"/>
      <c r="G878" s="403"/>
      <c r="H878" s="402"/>
      <c r="I878" s="402"/>
      <c r="J878" s="402"/>
      <c r="K878" s="402"/>
      <c r="L878" s="402"/>
      <c r="M878" s="402"/>
      <c r="N878" s="402"/>
      <c r="O878" s="402"/>
      <c r="P878" s="405"/>
      <c r="Q878" s="405"/>
      <c r="R878" s="405"/>
      <c r="S878" s="405"/>
      <c r="T878" s="405"/>
      <c r="U878" s="405"/>
      <c r="V878" s="405"/>
      <c r="W878" s="405"/>
      <c r="X878" s="405"/>
      <c r="Y878" s="405"/>
      <c r="Z878" s="405"/>
    </row>
    <row r="879" ht="14.25" customHeight="1">
      <c r="A879" s="406"/>
      <c r="B879" s="402"/>
      <c r="C879" s="402"/>
      <c r="D879" s="402"/>
      <c r="E879" s="402"/>
      <c r="F879" s="587"/>
      <c r="G879" s="403"/>
      <c r="H879" s="402"/>
      <c r="I879" s="402"/>
      <c r="J879" s="402"/>
      <c r="K879" s="402"/>
      <c r="L879" s="402"/>
      <c r="M879" s="402"/>
      <c r="N879" s="402"/>
      <c r="O879" s="402"/>
      <c r="P879" s="405"/>
      <c r="Q879" s="405"/>
      <c r="R879" s="405"/>
      <c r="S879" s="405"/>
      <c r="T879" s="405"/>
      <c r="U879" s="405"/>
      <c r="V879" s="405"/>
      <c r="W879" s="405"/>
      <c r="X879" s="405"/>
      <c r="Y879" s="405"/>
      <c r="Z879" s="405"/>
    </row>
    <row r="880" ht="14.25" customHeight="1">
      <c r="A880" s="406"/>
      <c r="B880" s="402"/>
      <c r="C880" s="402"/>
      <c r="D880" s="402"/>
      <c r="E880" s="402"/>
      <c r="F880" s="587"/>
      <c r="G880" s="403"/>
      <c r="H880" s="402"/>
      <c r="I880" s="402"/>
      <c r="J880" s="402"/>
      <c r="K880" s="402"/>
      <c r="L880" s="402"/>
      <c r="M880" s="402"/>
      <c r="N880" s="402"/>
      <c r="O880" s="402"/>
      <c r="P880" s="405"/>
      <c r="Q880" s="405"/>
      <c r="R880" s="405"/>
      <c r="S880" s="405"/>
      <c r="T880" s="405"/>
      <c r="U880" s="405"/>
      <c r="V880" s="405"/>
      <c r="W880" s="405"/>
      <c r="X880" s="405"/>
      <c r="Y880" s="405"/>
      <c r="Z880" s="405"/>
    </row>
    <row r="881" ht="14.25" customHeight="1">
      <c r="A881" s="406"/>
      <c r="B881" s="402"/>
      <c r="C881" s="402"/>
      <c r="D881" s="402"/>
      <c r="E881" s="402"/>
      <c r="F881" s="587"/>
      <c r="G881" s="403"/>
      <c r="H881" s="402"/>
      <c r="I881" s="402"/>
      <c r="J881" s="402"/>
      <c r="K881" s="402"/>
      <c r="L881" s="402"/>
      <c r="M881" s="402"/>
      <c r="N881" s="402"/>
      <c r="O881" s="402"/>
      <c r="P881" s="405"/>
      <c r="Q881" s="405"/>
      <c r="R881" s="405"/>
      <c r="S881" s="405"/>
      <c r="T881" s="405"/>
      <c r="U881" s="405"/>
      <c r="V881" s="405"/>
      <c r="W881" s="405"/>
      <c r="X881" s="405"/>
      <c r="Y881" s="405"/>
      <c r="Z881" s="405"/>
    </row>
    <row r="882" ht="14.25" customHeight="1">
      <c r="A882" s="406"/>
      <c r="B882" s="402"/>
      <c r="C882" s="402"/>
      <c r="D882" s="402"/>
      <c r="E882" s="402"/>
      <c r="F882" s="587"/>
      <c r="G882" s="403"/>
      <c r="H882" s="402"/>
      <c r="I882" s="402"/>
      <c r="J882" s="402"/>
      <c r="K882" s="402"/>
      <c r="L882" s="402"/>
      <c r="M882" s="402"/>
      <c r="N882" s="402"/>
      <c r="O882" s="402"/>
      <c r="P882" s="405"/>
      <c r="Q882" s="405"/>
      <c r="R882" s="405"/>
      <c r="S882" s="405"/>
      <c r="T882" s="405"/>
      <c r="U882" s="405"/>
      <c r="V882" s="405"/>
      <c r="W882" s="405"/>
      <c r="X882" s="405"/>
      <c r="Y882" s="405"/>
      <c r="Z882" s="405"/>
    </row>
    <row r="883" ht="14.25" customHeight="1">
      <c r="A883" s="406"/>
      <c r="B883" s="402"/>
      <c r="C883" s="402"/>
      <c r="D883" s="402"/>
      <c r="E883" s="402"/>
      <c r="F883" s="587"/>
      <c r="G883" s="403"/>
      <c r="H883" s="402"/>
      <c r="I883" s="402"/>
      <c r="J883" s="402"/>
      <c r="K883" s="402"/>
      <c r="L883" s="402"/>
      <c r="M883" s="402"/>
      <c r="N883" s="402"/>
      <c r="O883" s="402"/>
      <c r="P883" s="405"/>
      <c r="Q883" s="405"/>
      <c r="R883" s="405"/>
      <c r="S883" s="405"/>
      <c r="T883" s="405"/>
      <c r="U883" s="405"/>
      <c r="V883" s="405"/>
      <c r="W883" s="405"/>
      <c r="X883" s="405"/>
      <c r="Y883" s="405"/>
      <c r="Z883" s="405"/>
    </row>
    <row r="884" ht="14.25" customHeight="1">
      <c r="A884" s="406"/>
      <c r="B884" s="402"/>
      <c r="C884" s="402"/>
      <c r="D884" s="402"/>
      <c r="E884" s="402"/>
      <c r="F884" s="587"/>
      <c r="G884" s="403"/>
      <c r="H884" s="402"/>
      <c r="I884" s="402"/>
      <c r="J884" s="402"/>
      <c r="K884" s="402"/>
      <c r="L884" s="402"/>
      <c r="M884" s="402"/>
      <c r="N884" s="402"/>
      <c r="O884" s="402"/>
      <c r="P884" s="405"/>
      <c r="Q884" s="405"/>
      <c r="R884" s="405"/>
      <c r="S884" s="405"/>
      <c r="T884" s="405"/>
      <c r="U884" s="405"/>
      <c r="V884" s="405"/>
      <c r="W884" s="405"/>
      <c r="X884" s="405"/>
      <c r="Y884" s="405"/>
      <c r="Z884" s="405"/>
    </row>
    <row r="885" ht="14.25" customHeight="1">
      <c r="A885" s="406"/>
      <c r="B885" s="402"/>
      <c r="C885" s="402"/>
      <c r="D885" s="402"/>
      <c r="E885" s="402"/>
      <c r="F885" s="587"/>
      <c r="G885" s="403"/>
      <c r="H885" s="402"/>
      <c r="I885" s="402"/>
      <c r="J885" s="402"/>
      <c r="K885" s="402"/>
      <c r="L885" s="402"/>
      <c r="M885" s="402"/>
      <c r="N885" s="402"/>
      <c r="O885" s="402"/>
      <c r="P885" s="405"/>
      <c r="Q885" s="405"/>
      <c r="R885" s="405"/>
      <c r="S885" s="405"/>
      <c r="T885" s="405"/>
      <c r="U885" s="405"/>
      <c r="V885" s="405"/>
      <c r="W885" s="405"/>
      <c r="X885" s="405"/>
      <c r="Y885" s="405"/>
      <c r="Z885" s="405"/>
    </row>
    <row r="886" ht="14.25" customHeight="1">
      <c r="A886" s="406"/>
      <c r="B886" s="402"/>
      <c r="C886" s="402"/>
      <c r="D886" s="402"/>
      <c r="E886" s="402"/>
      <c r="F886" s="587"/>
      <c r="G886" s="403"/>
      <c r="H886" s="402"/>
      <c r="I886" s="402"/>
      <c r="J886" s="402"/>
      <c r="K886" s="402"/>
      <c r="L886" s="402"/>
      <c r="M886" s="402"/>
      <c r="N886" s="402"/>
      <c r="O886" s="402"/>
      <c r="P886" s="405"/>
      <c r="Q886" s="405"/>
      <c r="R886" s="405"/>
      <c r="S886" s="405"/>
      <c r="T886" s="405"/>
      <c r="U886" s="405"/>
      <c r="V886" s="405"/>
      <c r="W886" s="405"/>
      <c r="X886" s="405"/>
      <c r="Y886" s="405"/>
      <c r="Z886" s="405"/>
    </row>
    <row r="887" ht="14.25" customHeight="1">
      <c r="A887" s="406"/>
      <c r="B887" s="402"/>
      <c r="C887" s="402"/>
      <c r="D887" s="402"/>
      <c r="E887" s="402"/>
      <c r="F887" s="587"/>
      <c r="G887" s="403"/>
      <c r="H887" s="402"/>
      <c r="I887" s="402"/>
      <c r="J887" s="402"/>
      <c r="K887" s="402"/>
      <c r="L887" s="402"/>
      <c r="M887" s="402"/>
      <c r="N887" s="402"/>
      <c r="O887" s="402"/>
      <c r="P887" s="405"/>
      <c r="Q887" s="405"/>
      <c r="R887" s="405"/>
      <c r="S887" s="405"/>
      <c r="T887" s="405"/>
      <c r="U887" s="405"/>
      <c r="V887" s="405"/>
      <c r="W887" s="405"/>
      <c r="X887" s="405"/>
      <c r="Y887" s="405"/>
      <c r="Z887" s="405"/>
    </row>
    <row r="888" ht="14.25" customHeight="1">
      <c r="A888" s="406"/>
      <c r="B888" s="402"/>
      <c r="C888" s="402"/>
      <c r="D888" s="402"/>
      <c r="E888" s="402"/>
      <c r="F888" s="587"/>
      <c r="G888" s="403"/>
      <c r="H888" s="402"/>
      <c r="I888" s="402"/>
      <c r="J888" s="402"/>
      <c r="K888" s="402"/>
      <c r="L888" s="402"/>
      <c r="M888" s="402"/>
      <c r="N888" s="402"/>
      <c r="O888" s="402"/>
      <c r="P888" s="405"/>
      <c r="Q888" s="405"/>
      <c r="R888" s="405"/>
      <c r="S888" s="405"/>
      <c r="T888" s="405"/>
      <c r="U888" s="405"/>
      <c r="V888" s="405"/>
      <c r="W888" s="405"/>
      <c r="X888" s="405"/>
      <c r="Y888" s="405"/>
      <c r="Z888" s="405"/>
    </row>
    <row r="889" ht="14.25" customHeight="1">
      <c r="A889" s="406"/>
      <c r="B889" s="402"/>
      <c r="C889" s="402"/>
      <c r="D889" s="402"/>
      <c r="E889" s="402"/>
      <c r="F889" s="587"/>
      <c r="G889" s="403"/>
      <c r="H889" s="402"/>
      <c r="I889" s="402"/>
      <c r="J889" s="402"/>
      <c r="K889" s="402"/>
      <c r="L889" s="402"/>
      <c r="M889" s="402"/>
      <c r="N889" s="402"/>
      <c r="O889" s="402"/>
      <c r="P889" s="405"/>
      <c r="Q889" s="405"/>
      <c r="R889" s="405"/>
      <c r="S889" s="405"/>
      <c r="T889" s="405"/>
      <c r="U889" s="405"/>
      <c r="V889" s="405"/>
      <c r="W889" s="405"/>
      <c r="X889" s="405"/>
      <c r="Y889" s="405"/>
      <c r="Z889" s="405"/>
    </row>
    <row r="890" ht="14.25" customHeight="1">
      <c r="A890" s="406"/>
      <c r="B890" s="402"/>
      <c r="C890" s="402"/>
      <c r="D890" s="402"/>
      <c r="E890" s="402"/>
      <c r="F890" s="587"/>
      <c r="G890" s="403"/>
      <c r="H890" s="402"/>
      <c r="I890" s="402"/>
      <c r="J890" s="402"/>
      <c r="K890" s="402"/>
      <c r="L890" s="402"/>
      <c r="M890" s="402"/>
      <c r="N890" s="402"/>
      <c r="O890" s="402"/>
      <c r="P890" s="405"/>
      <c r="Q890" s="405"/>
      <c r="R890" s="405"/>
      <c r="S890" s="405"/>
      <c r="T890" s="405"/>
      <c r="U890" s="405"/>
      <c r="V890" s="405"/>
      <c r="W890" s="405"/>
      <c r="X890" s="405"/>
      <c r="Y890" s="405"/>
      <c r="Z890" s="405"/>
    </row>
    <row r="891" ht="14.25" customHeight="1">
      <c r="A891" s="406"/>
      <c r="B891" s="402"/>
      <c r="C891" s="402"/>
      <c r="D891" s="402"/>
      <c r="E891" s="402"/>
      <c r="F891" s="587"/>
      <c r="G891" s="403"/>
      <c r="H891" s="402"/>
      <c r="I891" s="402"/>
      <c r="J891" s="402"/>
      <c r="K891" s="402"/>
      <c r="L891" s="402"/>
      <c r="M891" s="402"/>
      <c r="N891" s="402"/>
      <c r="O891" s="402"/>
      <c r="P891" s="405"/>
      <c r="Q891" s="405"/>
      <c r="R891" s="405"/>
      <c r="S891" s="405"/>
      <c r="T891" s="405"/>
      <c r="U891" s="405"/>
      <c r="V891" s="405"/>
      <c r="W891" s="405"/>
      <c r="X891" s="405"/>
      <c r="Y891" s="405"/>
      <c r="Z891" s="405"/>
    </row>
    <row r="892" ht="14.25" customHeight="1">
      <c r="A892" s="406"/>
      <c r="B892" s="402"/>
      <c r="C892" s="402"/>
      <c r="D892" s="402"/>
      <c r="E892" s="402"/>
      <c r="F892" s="587"/>
      <c r="G892" s="403"/>
      <c r="H892" s="402"/>
      <c r="I892" s="402"/>
      <c r="J892" s="402"/>
      <c r="K892" s="402"/>
      <c r="L892" s="402"/>
      <c r="M892" s="402"/>
      <c r="N892" s="402"/>
      <c r="O892" s="402"/>
      <c r="P892" s="405"/>
      <c r="Q892" s="405"/>
      <c r="R892" s="405"/>
      <c r="S892" s="405"/>
      <c r="T892" s="405"/>
      <c r="U892" s="405"/>
      <c r="V892" s="405"/>
      <c r="W892" s="405"/>
      <c r="X892" s="405"/>
      <c r="Y892" s="405"/>
      <c r="Z892" s="405"/>
    </row>
    <row r="893" ht="14.25" customHeight="1">
      <c r="A893" s="406"/>
      <c r="B893" s="402"/>
      <c r="C893" s="402"/>
      <c r="D893" s="402"/>
      <c r="E893" s="402"/>
      <c r="F893" s="587"/>
      <c r="G893" s="403"/>
      <c r="H893" s="402"/>
      <c r="I893" s="402"/>
      <c r="J893" s="402"/>
      <c r="K893" s="402"/>
      <c r="L893" s="402"/>
      <c r="M893" s="402"/>
      <c r="N893" s="402"/>
      <c r="O893" s="402"/>
      <c r="P893" s="405"/>
      <c r="Q893" s="405"/>
      <c r="R893" s="405"/>
      <c r="S893" s="405"/>
      <c r="T893" s="405"/>
      <c r="U893" s="405"/>
      <c r="V893" s="405"/>
      <c r="W893" s="405"/>
      <c r="X893" s="405"/>
      <c r="Y893" s="405"/>
      <c r="Z893" s="405"/>
    </row>
    <row r="894" ht="14.25" customHeight="1">
      <c r="A894" s="406"/>
      <c r="B894" s="402"/>
      <c r="C894" s="402"/>
      <c r="D894" s="402"/>
      <c r="E894" s="402"/>
      <c r="F894" s="587"/>
      <c r="G894" s="403"/>
      <c r="H894" s="402"/>
      <c r="I894" s="402"/>
      <c r="J894" s="402"/>
      <c r="K894" s="402"/>
      <c r="L894" s="402"/>
      <c r="M894" s="402"/>
      <c r="N894" s="402"/>
      <c r="O894" s="402"/>
      <c r="P894" s="405"/>
      <c r="Q894" s="405"/>
      <c r="R894" s="405"/>
      <c r="S894" s="405"/>
      <c r="T894" s="405"/>
      <c r="U894" s="405"/>
      <c r="V894" s="405"/>
      <c r="W894" s="405"/>
      <c r="X894" s="405"/>
      <c r="Y894" s="405"/>
      <c r="Z894" s="405"/>
    </row>
    <row r="895" ht="14.25" customHeight="1">
      <c r="A895" s="406"/>
      <c r="B895" s="402"/>
      <c r="C895" s="402"/>
      <c r="D895" s="402"/>
      <c r="E895" s="402"/>
      <c r="F895" s="587"/>
      <c r="G895" s="403"/>
      <c r="H895" s="402"/>
      <c r="I895" s="402"/>
      <c r="J895" s="402"/>
      <c r="K895" s="402"/>
      <c r="L895" s="402"/>
      <c r="M895" s="402"/>
      <c r="N895" s="402"/>
      <c r="O895" s="402"/>
      <c r="P895" s="405"/>
      <c r="Q895" s="405"/>
      <c r="R895" s="405"/>
      <c r="S895" s="405"/>
      <c r="T895" s="405"/>
      <c r="U895" s="405"/>
      <c r="V895" s="405"/>
      <c r="W895" s="405"/>
      <c r="X895" s="405"/>
      <c r="Y895" s="405"/>
      <c r="Z895" s="405"/>
    </row>
    <row r="896" ht="14.25" customHeight="1">
      <c r="A896" s="406"/>
      <c r="B896" s="402"/>
      <c r="C896" s="402"/>
      <c r="D896" s="402"/>
      <c r="E896" s="402"/>
      <c r="F896" s="587"/>
      <c r="G896" s="403"/>
      <c r="H896" s="402"/>
      <c r="I896" s="402"/>
      <c r="J896" s="402"/>
      <c r="K896" s="402"/>
      <c r="L896" s="402"/>
      <c r="M896" s="402"/>
      <c r="N896" s="402"/>
      <c r="O896" s="402"/>
      <c r="P896" s="405"/>
      <c r="Q896" s="405"/>
      <c r="R896" s="405"/>
      <c r="S896" s="405"/>
      <c r="T896" s="405"/>
      <c r="U896" s="405"/>
      <c r="V896" s="405"/>
      <c r="W896" s="405"/>
      <c r="X896" s="405"/>
      <c r="Y896" s="405"/>
      <c r="Z896" s="405"/>
    </row>
    <row r="897" ht="14.25" customHeight="1">
      <c r="A897" s="406"/>
      <c r="B897" s="402"/>
      <c r="C897" s="402"/>
      <c r="D897" s="402"/>
      <c r="E897" s="402"/>
      <c r="F897" s="587"/>
      <c r="G897" s="403"/>
      <c r="H897" s="402"/>
      <c r="I897" s="402"/>
      <c r="J897" s="402"/>
      <c r="K897" s="402"/>
      <c r="L897" s="402"/>
      <c r="M897" s="402"/>
      <c r="N897" s="402"/>
      <c r="O897" s="402"/>
      <c r="P897" s="405"/>
      <c r="Q897" s="405"/>
      <c r="R897" s="405"/>
      <c r="S897" s="405"/>
      <c r="T897" s="405"/>
      <c r="U897" s="405"/>
      <c r="V897" s="405"/>
      <c r="W897" s="405"/>
      <c r="X897" s="405"/>
      <c r="Y897" s="405"/>
      <c r="Z897" s="405"/>
    </row>
    <row r="898" ht="14.25" customHeight="1">
      <c r="A898" s="406"/>
      <c r="B898" s="402"/>
      <c r="C898" s="402"/>
      <c r="D898" s="402"/>
      <c r="E898" s="402"/>
      <c r="F898" s="587"/>
      <c r="G898" s="403"/>
      <c r="H898" s="402"/>
      <c r="I898" s="402"/>
      <c r="J898" s="402"/>
      <c r="K898" s="402"/>
      <c r="L898" s="402"/>
      <c r="M898" s="402"/>
      <c r="N898" s="402"/>
      <c r="O898" s="402"/>
      <c r="P898" s="405"/>
      <c r="Q898" s="405"/>
      <c r="R898" s="405"/>
      <c r="S898" s="405"/>
      <c r="T898" s="405"/>
      <c r="U898" s="405"/>
      <c r="V898" s="405"/>
      <c r="W898" s="405"/>
      <c r="X898" s="405"/>
      <c r="Y898" s="405"/>
      <c r="Z898" s="405"/>
    </row>
    <row r="899" ht="14.25" customHeight="1">
      <c r="A899" s="406"/>
      <c r="B899" s="402"/>
      <c r="C899" s="402"/>
      <c r="D899" s="402"/>
      <c r="E899" s="402"/>
      <c r="F899" s="587"/>
      <c r="G899" s="403"/>
      <c r="H899" s="402"/>
      <c r="I899" s="402"/>
      <c r="J899" s="402"/>
      <c r="K899" s="402"/>
      <c r="L899" s="402"/>
      <c r="M899" s="402"/>
      <c r="N899" s="402"/>
      <c r="O899" s="402"/>
      <c r="P899" s="405"/>
      <c r="Q899" s="405"/>
      <c r="R899" s="405"/>
      <c r="S899" s="405"/>
      <c r="T899" s="405"/>
      <c r="U899" s="405"/>
      <c r="V899" s="405"/>
      <c r="W899" s="405"/>
      <c r="X899" s="405"/>
      <c r="Y899" s="405"/>
      <c r="Z899" s="405"/>
    </row>
    <row r="900" ht="14.25" customHeight="1">
      <c r="A900" s="406"/>
      <c r="B900" s="402"/>
      <c r="C900" s="402"/>
      <c r="D900" s="402"/>
      <c r="E900" s="402"/>
      <c r="F900" s="587"/>
      <c r="G900" s="403"/>
      <c r="H900" s="402"/>
      <c r="I900" s="402"/>
      <c r="J900" s="402"/>
      <c r="K900" s="402"/>
      <c r="L900" s="402"/>
      <c r="M900" s="402"/>
      <c r="N900" s="402"/>
      <c r="O900" s="402"/>
      <c r="P900" s="405"/>
      <c r="Q900" s="405"/>
      <c r="R900" s="405"/>
      <c r="S900" s="405"/>
      <c r="T900" s="405"/>
      <c r="U900" s="405"/>
      <c r="V900" s="405"/>
      <c r="W900" s="405"/>
      <c r="X900" s="405"/>
      <c r="Y900" s="405"/>
      <c r="Z900" s="405"/>
    </row>
    <row r="901" ht="14.25" customHeight="1">
      <c r="A901" s="406"/>
      <c r="B901" s="402"/>
      <c r="C901" s="402"/>
      <c r="D901" s="402"/>
      <c r="E901" s="402"/>
      <c r="F901" s="587"/>
      <c r="G901" s="403"/>
      <c r="H901" s="402"/>
      <c r="I901" s="402"/>
      <c r="J901" s="402"/>
      <c r="K901" s="402"/>
      <c r="L901" s="402"/>
      <c r="M901" s="402"/>
      <c r="N901" s="402"/>
      <c r="O901" s="402"/>
      <c r="P901" s="405"/>
      <c r="Q901" s="405"/>
      <c r="R901" s="405"/>
      <c r="S901" s="405"/>
      <c r="T901" s="405"/>
      <c r="U901" s="405"/>
      <c r="V901" s="405"/>
      <c r="W901" s="405"/>
      <c r="X901" s="405"/>
      <c r="Y901" s="405"/>
      <c r="Z901" s="405"/>
    </row>
    <row r="902" ht="14.25" customHeight="1">
      <c r="A902" s="406"/>
      <c r="B902" s="402"/>
      <c r="C902" s="402"/>
      <c r="D902" s="402"/>
      <c r="E902" s="402"/>
      <c r="F902" s="587"/>
      <c r="G902" s="403"/>
      <c r="H902" s="402"/>
      <c r="I902" s="402"/>
      <c r="J902" s="402"/>
      <c r="K902" s="402"/>
      <c r="L902" s="402"/>
      <c r="M902" s="402"/>
      <c r="N902" s="402"/>
      <c r="O902" s="402"/>
      <c r="P902" s="405"/>
      <c r="Q902" s="405"/>
      <c r="R902" s="405"/>
      <c r="S902" s="405"/>
      <c r="T902" s="405"/>
      <c r="U902" s="405"/>
      <c r="V902" s="405"/>
      <c r="W902" s="405"/>
      <c r="X902" s="405"/>
      <c r="Y902" s="405"/>
      <c r="Z902" s="405"/>
    </row>
    <row r="903" ht="14.25" customHeight="1">
      <c r="A903" s="406"/>
      <c r="B903" s="402"/>
      <c r="C903" s="402"/>
      <c r="D903" s="402"/>
      <c r="E903" s="402"/>
      <c r="F903" s="587"/>
      <c r="G903" s="403"/>
      <c r="H903" s="402"/>
      <c r="I903" s="402"/>
      <c r="J903" s="402"/>
      <c r="K903" s="402"/>
      <c r="L903" s="402"/>
      <c r="M903" s="402"/>
      <c r="N903" s="402"/>
      <c r="O903" s="402"/>
      <c r="P903" s="405"/>
      <c r="Q903" s="405"/>
      <c r="R903" s="405"/>
      <c r="S903" s="405"/>
      <c r="T903" s="405"/>
      <c r="U903" s="405"/>
      <c r="V903" s="405"/>
      <c r="W903" s="405"/>
      <c r="X903" s="405"/>
      <c r="Y903" s="405"/>
      <c r="Z903" s="405"/>
    </row>
    <row r="904" ht="14.25" customHeight="1">
      <c r="A904" s="406"/>
      <c r="B904" s="402"/>
      <c r="C904" s="402"/>
      <c r="D904" s="402"/>
      <c r="E904" s="402"/>
      <c r="F904" s="587"/>
      <c r="G904" s="403"/>
      <c r="H904" s="402"/>
      <c r="I904" s="402"/>
      <c r="J904" s="402"/>
      <c r="K904" s="402"/>
      <c r="L904" s="402"/>
      <c r="M904" s="402"/>
      <c r="N904" s="402"/>
      <c r="O904" s="402"/>
      <c r="P904" s="405"/>
      <c r="Q904" s="405"/>
      <c r="R904" s="405"/>
      <c r="S904" s="405"/>
      <c r="T904" s="405"/>
      <c r="U904" s="405"/>
      <c r="V904" s="405"/>
      <c r="W904" s="405"/>
      <c r="X904" s="405"/>
      <c r="Y904" s="405"/>
      <c r="Z904" s="405"/>
    </row>
    <row r="905" ht="14.25" customHeight="1">
      <c r="A905" s="406"/>
      <c r="B905" s="402"/>
      <c r="C905" s="402"/>
      <c r="D905" s="402"/>
      <c r="E905" s="402"/>
      <c r="F905" s="587"/>
      <c r="G905" s="403"/>
      <c r="H905" s="402"/>
      <c r="I905" s="402"/>
      <c r="J905" s="402"/>
      <c r="K905" s="402"/>
      <c r="L905" s="402"/>
      <c r="M905" s="402"/>
      <c r="N905" s="402"/>
      <c r="O905" s="402"/>
      <c r="P905" s="405"/>
      <c r="Q905" s="405"/>
      <c r="R905" s="405"/>
      <c r="S905" s="405"/>
      <c r="T905" s="405"/>
      <c r="U905" s="405"/>
      <c r="V905" s="405"/>
      <c r="W905" s="405"/>
      <c r="X905" s="405"/>
      <c r="Y905" s="405"/>
      <c r="Z905" s="405"/>
    </row>
    <row r="906" ht="14.25" customHeight="1">
      <c r="A906" s="406"/>
      <c r="B906" s="402"/>
      <c r="C906" s="402"/>
      <c r="D906" s="402"/>
      <c r="E906" s="402"/>
      <c r="F906" s="587"/>
      <c r="G906" s="403"/>
      <c r="H906" s="402"/>
      <c r="I906" s="402"/>
      <c r="J906" s="402"/>
      <c r="K906" s="402"/>
      <c r="L906" s="402"/>
      <c r="M906" s="402"/>
      <c r="N906" s="402"/>
      <c r="O906" s="402"/>
      <c r="P906" s="405"/>
      <c r="Q906" s="405"/>
      <c r="R906" s="405"/>
      <c r="S906" s="405"/>
      <c r="T906" s="405"/>
      <c r="U906" s="405"/>
      <c r="V906" s="405"/>
      <c r="W906" s="405"/>
      <c r="X906" s="405"/>
      <c r="Y906" s="405"/>
      <c r="Z906" s="405"/>
    </row>
    <row r="907" ht="14.25" customHeight="1">
      <c r="A907" s="406"/>
      <c r="B907" s="402"/>
      <c r="C907" s="402"/>
      <c r="D907" s="402"/>
      <c r="E907" s="402"/>
      <c r="F907" s="587"/>
      <c r="G907" s="403"/>
      <c r="H907" s="402"/>
      <c r="I907" s="402"/>
      <c r="J907" s="402"/>
      <c r="K907" s="402"/>
      <c r="L907" s="402"/>
      <c r="M907" s="402"/>
      <c r="N907" s="402"/>
      <c r="O907" s="402"/>
      <c r="P907" s="405"/>
      <c r="Q907" s="405"/>
      <c r="R907" s="405"/>
      <c r="S907" s="405"/>
      <c r="T907" s="405"/>
      <c r="U907" s="405"/>
      <c r="V907" s="405"/>
      <c r="W907" s="405"/>
      <c r="X907" s="405"/>
      <c r="Y907" s="405"/>
      <c r="Z907" s="405"/>
    </row>
    <row r="908" ht="14.25" customHeight="1">
      <c r="A908" s="406"/>
      <c r="B908" s="402"/>
      <c r="C908" s="402"/>
      <c r="D908" s="402"/>
      <c r="E908" s="402"/>
      <c r="F908" s="587"/>
      <c r="G908" s="403"/>
      <c r="H908" s="402"/>
      <c r="I908" s="402"/>
      <c r="J908" s="402"/>
      <c r="K908" s="402"/>
      <c r="L908" s="402"/>
      <c r="M908" s="402"/>
      <c r="N908" s="402"/>
      <c r="O908" s="402"/>
      <c r="P908" s="405"/>
      <c r="Q908" s="405"/>
      <c r="R908" s="405"/>
      <c r="S908" s="405"/>
      <c r="T908" s="405"/>
      <c r="U908" s="405"/>
      <c r="V908" s="405"/>
      <c r="W908" s="405"/>
      <c r="X908" s="405"/>
      <c r="Y908" s="405"/>
      <c r="Z908" s="405"/>
    </row>
    <row r="909" ht="14.25" customHeight="1">
      <c r="A909" s="406"/>
      <c r="B909" s="402"/>
      <c r="C909" s="402"/>
      <c r="D909" s="402"/>
      <c r="E909" s="402"/>
      <c r="F909" s="587"/>
      <c r="G909" s="403"/>
      <c r="H909" s="402"/>
      <c r="I909" s="402"/>
      <c r="J909" s="402"/>
      <c r="K909" s="402"/>
      <c r="L909" s="402"/>
      <c r="M909" s="402"/>
      <c r="N909" s="402"/>
      <c r="O909" s="402"/>
      <c r="P909" s="405"/>
      <c r="Q909" s="405"/>
      <c r="R909" s="405"/>
      <c r="S909" s="405"/>
      <c r="T909" s="405"/>
      <c r="U909" s="405"/>
      <c r="V909" s="405"/>
      <c r="W909" s="405"/>
      <c r="X909" s="405"/>
      <c r="Y909" s="405"/>
      <c r="Z909" s="405"/>
    </row>
    <row r="910" ht="14.25" customHeight="1">
      <c r="A910" s="406"/>
      <c r="B910" s="402"/>
      <c r="C910" s="402"/>
      <c r="D910" s="402"/>
      <c r="E910" s="402"/>
      <c r="F910" s="587"/>
      <c r="G910" s="403"/>
      <c r="H910" s="402"/>
      <c r="I910" s="402"/>
      <c r="J910" s="402"/>
      <c r="K910" s="402"/>
      <c r="L910" s="402"/>
      <c r="M910" s="402"/>
      <c r="N910" s="402"/>
      <c r="O910" s="402"/>
      <c r="P910" s="405"/>
      <c r="Q910" s="405"/>
      <c r="R910" s="405"/>
      <c r="S910" s="405"/>
      <c r="T910" s="405"/>
      <c r="U910" s="405"/>
      <c r="V910" s="405"/>
      <c r="W910" s="405"/>
      <c r="X910" s="405"/>
      <c r="Y910" s="405"/>
      <c r="Z910" s="405"/>
    </row>
    <row r="911" ht="14.25" customHeight="1">
      <c r="A911" s="406"/>
      <c r="B911" s="402"/>
      <c r="C911" s="402"/>
      <c r="D911" s="402"/>
      <c r="E911" s="402"/>
      <c r="F911" s="587"/>
      <c r="G911" s="403"/>
      <c r="H911" s="402"/>
      <c r="I911" s="402"/>
      <c r="J911" s="402"/>
      <c r="K911" s="402"/>
      <c r="L911" s="402"/>
      <c r="M911" s="402"/>
      <c r="N911" s="402"/>
      <c r="O911" s="402"/>
      <c r="P911" s="405"/>
      <c r="Q911" s="405"/>
      <c r="R911" s="405"/>
      <c r="S911" s="405"/>
      <c r="T911" s="405"/>
      <c r="U911" s="405"/>
      <c r="V911" s="405"/>
      <c r="W911" s="405"/>
      <c r="X911" s="405"/>
      <c r="Y911" s="405"/>
      <c r="Z911" s="405"/>
    </row>
    <row r="912" ht="14.25" customHeight="1">
      <c r="A912" s="406"/>
      <c r="B912" s="402"/>
      <c r="C912" s="402"/>
      <c r="D912" s="402"/>
      <c r="E912" s="402"/>
      <c r="F912" s="587"/>
      <c r="G912" s="403"/>
      <c r="H912" s="402"/>
      <c r="I912" s="402"/>
      <c r="J912" s="402"/>
      <c r="K912" s="402"/>
      <c r="L912" s="402"/>
      <c r="M912" s="402"/>
      <c r="N912" s="402"/>
      <c r="O912" s="402"/>
      <c r="P912" s="405"/>
      <c r="Q912" s="405"/>
      <c r="R912" s="405"/>
      <c r="S912" s="405"/>
      <c r="T912" s="405"/>
      <c r="U912" s="405"/>
      <c r="V912" s="405"/>
      <c r="W912" s="405"/>
      <c r="X912" s="405"/>
      <c r="Y912" s="405"/>
      <c r="Z912" s="405"/>
    </row>
    <row r="913" ht="14.25" customHeight="1">
      <c r="A913" s="406"/>
      <c r="B913" s="402"/>
      <c r="C913" s="402"/>
      <c r="D913" s="402"/>
      <c r="E913" s="402"/>
      <c r="F913" s="587"/>
      <c r="G913" s="403"/>
      <c r="H913" s="402"/>
      <c r="I913" s="402"/>
      <c r="J913" s="402"/>
      <c r="K913" s="402"/>
      <c r="L913" s="402"/>
      <c r="M913" s="402"/>
      <c r="N913" s="402"/>
      <c r="O913" s="402"/>
      <c r="P913" s="405"/>
      <c r="Q913" s="405"/>
      <c r="R913" s="405"/>
      <c r="S913" s="405"/>
      <c r="T913" s="405"/>
      <c r="U913" s="405"/>
      <c r="V913" s="405"/>
      <c r="W913" s="405"/>
      <c r="X913" s="405"/>
      <c r="Y913" s="405"/>
      <c r="Z913" s="405"/>
    </row>
    <row r="914" ht="14.25" customHeight="1">
      <c r="A914" s="406"/>
      <c r="B914" s="402"/>
      <c r="C914" s="402"/>
      <c r="D914" s="402"/>
      <c r="E914" s="402"/>
      <c r="F914" s="587"/>
      <c r="G914" s="403"/>
      <c r="H914" s="402"/>
      <c r="I914" s="402"/>
      <c r="J914" s="402"/>
      <c r="K914" s="402"/>
      <c r="L914" s="402"/>
      <c r="M914" s="402"/>
      <c r="N914" s="402"/>
      <c r="O914" s="402"/>
      <c r="P914" s="405"/>
      <c r="Q914" s="405"/>
      <c r="R914" s="405"/>
      <c r="S914" s="405"/>
      <c r="T914" s="405"/>
      <c r="U914" s="405"/>
      <c r="V914" s="405"/>
      <c r="W914" s="405"/>
      <c r="X914" s="405"/>
      <c r="Y914" s="405"/>
      <c r="Z914" s="405"/>
    </row>
    <row r="915" ht="14.25" customHeight="1">
      <c r="A915" s="406"/>
      <c r="B915" s="402"/>
      <c r="C915" s="402"/>
      <c r="D915" s="402"/>
      <c r="E915" s="402"/>
      <c r="F915" s="587"/>
      <c r="G915" s="403"/>
      <c r="H915" s="402"/>
      <c r="I915" s="402"/>
      <c r="J915" s="402"/>
      <c r="K915" s="402"/>
      <c r="L915" s="402"/>
      <c r="M915" s="402"/>
      <c r="N915" s="402"/>
      <c r="O915" s="402"/>
      <c r="P915" s="405"/>
      <c r="Q915" s="405"/>
      <c r="R915" s="405"/>
      <c r="S915" s="405"/>
      <c r="T915" s="405"/>
      <c r="U915" s="405"/>
      <c r="V915" s="405"/>
      <c r="W915" s="405"/>
      <c r="X915" s="405"/>
      <c r="Y915" s="405"/>
      <c r="Z915" s="405"/>
    </row>
    <row r="916" ht="14.25" customHeight="1">
      <c r="A916" s="406"/>
      <c r="B916" s="402"/>
      <c r="C916" s="402"/>
      <c r="D916" s="402"/>
      <c r="E916" s="402"/>
      <c r="F916" s="587"/>
      <c r="G916" s="403"/>
      <c r="H916" s="402"/>
      <c r="I916" s="402"/>
      <c r="J916" s="402"/>
      <c r="K916" s="402"/>
      <c r="L916" s="402"/>
      <c r="M916" s="402"/>
      <c r="N916" s="402"/>
      <c r="O916" s="402"/>
      <c r="P916" s="405"/>
      <c r="Q916" s="405"/>
      <c r="R916" s="405"/>
      <c r="S916" s="405"/>
      <c r="T916" s="405"/>
      <c r="U916" s="405"/>
      <c r="V916" s="405"/>
      <c r="W916" s="405"/>
      <c r="X916" s="405"/>
      <c r="Y916" s="405"/>
      <c r="Z916" s="405"/>
    </row>
    <row r="917" ht="14.25" customHeight="1">
      <c r="A917" s="406"/>
      <c r="B917" s="402"/>
      <c r="C917" s="402"/>
      <c r="D917" s="402"/>
      <c r="E917" s="402"/>
      <c r="F917" s="587"/>
      <c r="G917" s="403"/>
      <c r="H917" s="402"/>
      <c r="I917" s="402"/>
      <c r="J917" s="402"/>
      <c r="K917" s="402"/>
      <c r="L917" s="402"/>
      <c r="M917" s="402"/>
      <c r="N917" s="402"/>
      <c r="O917" s="402"/>
      <c r="P917" s="405"/>
      <c r="Q917" s="405"/>
      <c r="R917" s="405"/>
      <c r="S917" s="405"/>
      <c r="T917" s="405"/>
      <c r="U917" s="405"/>
      <c r="V917" s="405"/>
      <c r="W917" s="405"/>
      <c r="X917" s="405"/>
      <c r="Y917" s="405"/>
      <c r="Z917" s="405"/>
    </row>
    <row r="918" ht="14.25" customHeight="1">
      <c r="A918" s="406"/>
      <c r="B918" s="402"/>
      <c r="C918" s="402"/>
      <c r="D918" s="402"/>
      <c r="E918" s="402"/>
      <c r="F918" s="587"/>
      <c r="G918" s="403"/>
      <c r="H918" s="402"/>
      <c r="I918" s="402"/>
      <c r="J918" s="402"/>
      <c r="K918" s="402"/>
      <c r="L918" s="402"/>
      <c r="M918" s="402"/>
      <c r="N918" s="402"/>
      <c r="O918" s="402"/>
      <c r="P918" s="405"/>
      <c r="Q918" s="405"/>
      <c r="R918" s="405"/>
      <c r="S918" s="405"/>
      <c r="T918" s="405"/>
      <c r="U918" s="405"/>
      <c r="V918" s="405"/>
      <c r="W918" s="405"/>
      <c r="X918" s="405"/>
      <c r="Y918" s="405"/>
      <c r="Z918" s="405"/>
    </row>
    <row r="919" ht="14.25" customHeight="1">
      <c r="A919" s="406"/>
      <c r="B919" s="402"/>
      <c r="C919" s="402"/>
      <c r="D919" s="402"/>
      <c r="E919" s="402"/>
      <c r="F919" s="587"/>
      <c r="G919" s="403"/>
      <c r="H919" s="402"/>
      <c r="I919" s="402"/>
      <c r="J919" s="402"/>
      <c r="K919" s="402"/>
      <c r="L919" s="402"/>
      <c r="M919" s="402"/>
      <c r="N919" s="402"/>
      <c r="O919" s="402"/>
      <c r="P919" s="405"/>
      <c r="Q919" s="405"/>
      <c r="R919" s="405"/>
      <c r="S919" s="405"/>
      <c r="T919" s="405"/>
      <c r="U919" s="405"/>
      <c r="V919" s="405"/>
      <c r="W919" s="405"/>
      <c r="X919" s="405"/>
      <c r="Y919" s="405"/>
      <c r="Z919" s="405"/>
    </row>
    <row r="920" ht="14.25" customHeight="1">
      <c r="A920" s="406"/>
      <c r="B920" s="402"/>
      <c r="C920" s="402"/>
      <c r="D920" s="402"/>
      <c r="E920" s="402"/>
      <c r="F920" s="587"/>
      <c r="G920" s="403"/>
      <c r="H920" s="402"/>
      <c r="I920" s="402"/>
      <c r="J920" s="402"/>
      <c r="K920" s="402"/>
      <c r="L920" s="402"/>
      <c r="M920" s="402"/>
      <c r="N920" s="402"/>
      <c r="O920" s="402"/>
      <c r="P920" s="405"/>
      <c r="Q920" s="405"/>
      <c r="R920" s="405"/>
      <c r="S920" s="405"/>
      <c r="T920" s="405"/>
      <c r="U920" s="405"/>
      <c r="V920" s="405"/>
      <c r="W920" s="405"/>
      <c r="X920" s="405"/>
      <c r="Y920" s="405"/>
      <c r="Z920" s="405"/>
    </row>
    <row r="921" ht="14.25" customHeight="1">
      <c r="A921" s="406"/>
      <c r="B921" s="402"/>
      <c r="C921" s="402"/>
      <c r="D921" s="402"/>
      <c r="E921" s="402"/>
      <c r="F921" s="587"/>
      <c r="G921" s="403"/>
      <c r="H921" s="402"/>
      <c r="I921" s="402"/>
      <c r="J921" s="402"/>
      <c r="K921" s="402"/>
      <c r="L921" s="402"/>
      <c r="M921" s="402"/>
      <c r="N921" s="402"/>
      <c r="O921" s="402"/>
      <c r="P921" s="405"/>
      <c r="Q921" s="405"/>
      <c r="R921" s="405"/>
      <c r="S921" s="405"/>
      <c r="T921" s="405"/>
      <c r="U921" s="405"/>
      <c r="V921" s="405"/>
      <c r="W921" s="405"/>
      <c r="X921" s="405"/>
      <c r="Y921" s="405"/>
      <c r="Z921" s="405"/>
    </row>
    <row r="922" ht="14.25" customHeight="1">
      <c r="A922" s="406"/>
      <c r="B922" s="402"/>
      <c r="C922" s="402"/>
      <c r="D922" s="402"/>
      <c r="E922" s="402"/>
      <c r="F922" s="587"/>
      <c r="G922" s="403"/>
      <c r="H922" s="402"/>
      <c r="I922" s="402"/>
      <c r="J922" s="402"/>
      <c r="K922" s="402"/>
      <c r="L922" s="402"/>
      <c r="M922" s="402"/>
      <c r="N922" s="402"/>
      <c r="O922" s="402"/>
      <c r="P922" s="405"/>
      <c r="Q922" s="405"/>
      <c r="R922" s="405"/>
      <c r="S922" s="405"/>
      <c r="T922" s="405"/>
      <c r="U922" s="405"/>
      <c r="V922" s="405"/>
      <c r="W922" s="405"/>
      <c r="X922" s="405"/>
      <c r="Y922" s="405"/>
      <c r="Z922" s="405"/>
    </row>
    <row r="923" ht="14.25" customHeight="1">
      <c r="A923" s="406"/>
      <c r="B923" s="402"/>
      <c r="C923" s="402"/>
      <c r="D923" s="402"/>
      <c r="E923" s="402"/>
      <c r="F923" s="587"/>
      <c r="G923" s="403"/>
      <c r="H923" s="402"/>
      <c r="I923" s="402"/>
      <c r="J923" s="402"/>
      <c r="K923" s="402"/>
      <c r="L923" s="402"/>
      <c r="M923" s="402"/>
      <c r="N923" s="402"/>
      <c r="O923" s="402"/>
      <c r="P923" s="405"/>
      <c r="Q923" s="405"/>
      <c r="R923" s="405"/>
      <c r="S923" s="405"/>
      <c r="T923" s="405"/>
      <c r="U923" s="405"/>
      <c r="V923" s="405"/>
      <c r="W923" s="405"/>
      <c r="X923" s="405"/>
      <c r="Y923" s="405"/>
      <c r="Z923" s="405"/>
    </row>
    <row r="924" ht="14.25" customHeight="1">
      <c r="A924" s="406"/>
      <c r="B924" s="402"/>
      <c r="C924" s="402"/>
      <c r="D924" s="402"/>
      <c r="E924" s="402"/>
      <c r="F924" s="587"/>
      <c r="G924" s="403"/>
      <c r="H924" s="402"/>
      <c r="I924" s="402"/>
      <c r="J924" s="402"/>
      <c r="K924" s="402"/>
      <c r="L924" s="402"/>
      <c r="M924" s="402"/>
      <c r="N924" s="402"/>
      <c r="O924" s="402"/>
      <c r="P924" s="405"/>
      <c r="Q924" s="405"/>
      <c r="R924" s="405"/>
      <c r="S924" s="405"/>
      <c r="T924" s="405"/>
      <c r="U924" s="405"/>
      <c r="V924" s="405"/>
      <c r="W924" s="405"/>
      <c r="X924" s="405"/>
      <c r="Y924" s="405"/>
      <c r="Z924" s="405"/>
    </row>
    <row r="925" ht="14.25" customHeight="1">
      <c r="A925" s="406"/>
      <c r="B925" s="402"/>
      <c r="C925" s="402"/>
      <c r="D925" s="402"/>
      <c r="E925" s="402"/>
      <c r="F925" s="587"/>
      <c r="G925" s="403"/>
      <c r="H925" s="402"/>
      <c r="I925" s="402"/>
      <c r="J925" s="402"/>
      <c r="K925" s="402"/>
      <c r="L925" s="402"/>
      <c r="M925" s="402"/>
      <c r="N925" s="402"/>
      <c r="O925" s="402"/>
      <c r="P925" s="405"/>
      <c r="Q925" s="405"/>
      <c r="R925" s="405"/>
      <c r="S925" s="405"/>
      <c r="T925" s="405"/>
      <c r="U925" s="405"/>
      <c r="V925" s="405"/>
      <c r="W925" s="405"/>
      <c r="X925" s="405"/>
      <c r="Y925" s="405"/>
      <c r="Z925" s="405"/>
    </row>
    <row r="926" ht="14.25" customHeight="1">
      <c r="A926" s="406"/>
      <c r="B926" s="402"/>
      <c r="C926" s="402"/>
      <c r="D926" s="402"/>
      <c r="E926" s="402"/>
      <c r="F926" s="587"/>
      <c r="G926" s="403"/>
      <c r="H926" s="402"/>
      <c r="I926" s="402"/>
      <c r="J926" s="402"/>
      <c r="K926" s="402"/>
      <c r="L926" s="402"/>
      <c r="M926" s="402"/>
      <c r="N926" s="402"/>
      <c r="O926" s="402"/>
      <c r="P926" s="405"/>
      <c r="Q926" s="405"/>
      <c r="R926" s="405"/>
      <c r="S926" s="405"/>
      <c r="T926" s="405"/>
      <c r="U926" s="405"/>
      <c r="V926" s="405"/>
      <c r="W926" s="405"/>
      <c r="X926" s="405"/>
      <c r="Y926" s="405"/>
      <c r="Z926" s="405"/>
    </row>
    <row r="927" ht="14.25" customHeight="1">
      <c r="A927" s="406"/>
      <c r="B927" s="402"/>
      <c r="C927" s="402"/>
      <c r="D927" s="402"/>
      <c r="E927" s="402"/>
      <c r="F927" s="587"/>
      <c r="G927" s="403"/>
      <c r="H927" s="402"/>
      <c r="I927" s="402"/>
      <c r="J927" s="402"/>
      <c r="K927" s="402"/>
      <c r="L927" s="402"/>
      <c r="M927" s="402"/>
      <c r="N927" s="402"/>
      <c r="O927" s="402"/>
      <c r="P927" s="405"/>
      <c r="Q927" s="405"/>
      <c r="R927" s="405"/>
      <c r="S927" s="405"/>
      <c r="T927" s="405"/>
      <c r="U927" s="405"/>
      <c r="V927" s="405"/>
      <c r="W927" s="405"/>
      <c r="X927" s="405"/>
      <c r="Y927" s="405"/>
      <c r="Z927" s="405"/>
    </row>
    <row r="928" ht="14.25" customHeight="1">
      <c r="A928" s="406"/>
      <c r="B928" s="402"/>
      <c r="C928" s="402"/>
      <c r="D928" s="402"/>
      <c r="E928" s="402"/>
      <c r="F928" s="587"/>
      <c r="G928" s="403"/>
      <c r="H928" s="402"/>
      <c r="I928" s="402"/>
      <c r="J928" s="402"/>
      <c r="K928" s="402"/>
      <c r="L928" s="402"/>
      <c r="M928" s="402"/>
      <c r="N928" s="402"/>
      <c r="O928" s="402"/>
      <c r="P928" s="405"/>
      <c r="Q928" s="405"/>
      <c r="R928" s="405"/>
      <c r="S928" s="405"/>
      <c r="T928" s="405"/>
      <c r="U928" s="405"/>
      <c r="V928" s="405"/>
      <c r="W928" s="405"/>
      <c r="X928" s="405"/>
      <c r="Y928" s="405"/>
      <c r="Z928" s="405"/>
    </row>
    <row r="929" ht="14.25" customHeight="1">
      <c r="A929" s="406"/>
      <c r="B929" s="402"/>
      <c r="C929" s="402"/>
      <c r="D929" s="402"/>
      <c r="E929" s="402"/>
      <c r="F929" s="587"/>
      <c r="G929" s="403"/>
      <c r="H929" s="402"/>
      <c r="I929" s="402"/>
      <c r="J929" s="402"/>
      <c r="K929" s="402"/>
      <c r="L929" s="402"/>
      <c r="M929" s="402"/>
      <c r="N929" s="402"/>
      <c r="O929" s="402"/>
      <c r="P929" s="405"/>
      <c r="Q929" s="405"/>
      <c r="R929" s="405"/>
      <c r="S929" s="405"/>
      <c r="T929" s="405"/>
      <c r="U929" s="405"/>
      <c r="V929" s="405"/>
      <c r="W929" s="405"/>
      <c r="X929" s="405"/>
      <c r="Y929" s="405"/>
      <c r="Z929" s="405"/>
    </row>
    <row r="930" ht="14.25" customHeight="1">
      <c r="A930" s="406"/>
      <c r="B930" s="402"/>
      <c r="C930" s="402"/>
      <c r="D930" s="402"/>
      <c r="E930" s="402"/>
      <c r="F930" s="587"/>
      <c r="G930" s="403"/>
      <c r="H930" s="402"/>
      <c r="I930" s="402"/>
      <c r="J930" s="402"/>
      <c r="K930" s="402"/>
      <c r="L930" s="402"/>
      <c r="M930" s="402"/>
      <c r="N930" s="402"/>
      <c r="O930" s="402"/>
      <c r="P930" s="405"/>
      <c r="Q930" s="405"/>
      <c r="R930" s="405"/>
      <c r="S930" s="405"/>
      <c r="T930" s="405"/>
      <c r="U930" s="405"/>
      <c r="V930" s="405"/>
      <c r="W930" s="405"/>
      <c r="X930" s="405"/>
      <c r="Y930" s="405"/>
      <c r="Z930" s="405"/>
    </row>
    <row r="931" ht="14.25" customHeight="1">
      <c r="A931" s="406"/>
      <c r="B931" s="402"/>
      <c r="C931" s="402"/>
      <c r="D931" s="402"/>
      <c r="E931" s="402"/>
      <c r="F931" s="587"/>
      <c r="G931" s="403"/>
      <c r="H931" s="402"/>
      <c r="I931" s="402"/>
      <c r="J931" s="402"/>
      <c r="K931" s="402"/>
      <c r="L931" s="402"/>
      <c r="M931" s="402"/>
      <c r="N931" s="402"/>
      <c r="O931" s="402"/>
      <c r="P931" s="405"/>
      <c r="Q931" s="405"/>
      <c r="R931" s="405"/>
      <c r="S931" s="405"/>
      <c r="T931" s="405"/>
      <c r="U931" s="405"/>
      <c r="V931" s="405"/>
      <c r="W931" s="405"/>
      <c r="X931" s="405"/>
      <c r="Y931" s="405"/>
      <c r="Z931" s="405"/>
    </row>
    <row r="932" ht="14.25" customHeight="1">
      <c r="A932" s="406"/>
      <c r="B932" s="402"/>
      <c r="C932" s="402"/>
      <c r="D932" s="402"/>
      <c r="E932" s="402"/>
      <c r="F932" s="587"/>
      <c r="G932" s="403"/>
      <c r="H932" s="402"/>
      <c r="I932" s="402"/>
      <c r="J932" s="402"/>
      <c r="K932" s="402"/>
      <c r="L932" s="402"/>
      <c r="M932" s="402"/>
      <c r="N932" s="402"/>
      <c r="O932" s="402"/>
      <c r="P932" s="405"/>
      <c r="Q932" s="405"/>
      <c r="R932" s="405"/>
      <c r="S932" s="405"/>
      <c r="T932" s="405"/>
      <c r="U932" s="405"/>
      <c r="V932" s="405"/>
      <c r="W932" s="405"/>
      <c r="X932" s="405"/>
      <c r="Y932" s="405"/>
      <c r="Z932" s="405"/>
    </row>
    <row r="933" ht="14.25" customHeight="1">
      <c r="A933" s="406"/>
      <c r="B933" s="402"/>
      <c r="C933" s="402"/>
      <c r="D933" s="402"/>
      <c r="E933" s="402"/>
      <c r="F933" s="587"/>
      <c r="G933" s="403"/>
      <c r="H933" s="402"/>
      <c r="I933" s="402"/>
      <c r="J933" s="402"/>
      <c r="K933" s="402"/>
      <c r="L933" s="402"/>
      <c r="M933" s="402"/>
      <c r="N933" s="402"/>
      <c r="O933" s="402"/>
      <c r="P933" s="405"/>
      <c r="Q933" s="405"/>
      <c r="R933" s="405"/>
      <c r="S933" s="405"/>
      <c r="T933" s="405"/>
      <c r="U933" s="405"/>
      <c r="V933" s="405"/>
      <c r="W933" s="405"/>
      <c r="X933" s="405"/>
      <c r="Y933" s="405"/>
      <c r="Z933" s="405"/>
    </row>
    <row r="934" ht="14.25" customHeight="1">
      <c r="A934" s="406"/>
      <c r="B934" s="402"/>
      <c r="C934" s="402"/>
      <c r="D934" s="402"/>
      <c r="E934" s="402"/>
      <c r="F934" s="587"/>
      <c r="G934" s="403"/>
      <c r="H934" s="402"/>
      <c r="I934" s="402"/>
      <c r="J934" s="402"/>
      <c r="K934" s="402"/>
      <c r="L934" s="402"/>
      <c r="M934" s="402"/>
      <c r="N934" s="402"/>
      <c r="O934" s="402"/>
      <c r="P934" s="405"/>
      <c r="Q934" s="405"/>
      <c r="R934" s="405"/>
      <c r="S934" s="405"/>
      <c r="T934" s="405"/>
      <c r="U934" s="405"/>
      <c r="V934" s="405"/>
      <c r="W934" s="405"/>
      <c r="X934" s="405"/>
      <c r="Y934" s="405"/>
      <c r="Z934" s="405"/>
    </row>
    <row r="935" ht="14.25" customHeight="1">
      <c r="A935" s="406"/>
      <c r="B935" s="402"/>
      <c r="C935" s="402"/>
      <c r="D935" s="402"/>
      <c r="E935" s="402"/>
      <c r="F935" s="587"/>
      <c r="G935" s="403"/>
      <c r="H935" s="402"/>
      <c r="I935" s="402"/>
      <c r="J935" s="402"/>
      <c r="K935" s="402"/>
      <c r="L935" s="402"/>
      <c r="M935" s="402"/>
      <c r="N935" s="402"/>
      <c r="O935" s="402"/>
      <c r="P935" s="405"/>
      <c r="Q935" s="405"/>
      <c r="R935" s="405"/>
      <c r="S935" s="405"/>
      <c r="T935" s="405"/>
      <c r="U935" s="405"/>
      <c r="V935" s="405"/>
      <c r="W935" s="405"/>
      <c r="X935" s="405"/>
      <c r="Y935" s="405"/>
      <c r="Z935" s="405"/>
    </row>
    <row r="936" ht="14.25" customHeight="1">
      <c r="A936" s="406"/>
      <c r="B936" s="402"/>
      <c r="C936" s="402"/>
      <c r="D936" s="402"/>
      <c r="E936" s="402"/>
      <c r="F936" s="587"/>
      <c r="G936" s="403"/>
      <c r="H936" s="402"/>
      <c r="I936" s="402"/>
      <c r="J936" s="402"/>
      <c r="K936" s="402"/>
      <c r="L936" s="402"/>
      <c r="M936" s="402"/>
      <c r="N936" s="402"/>
      <c r="O936" s="402"/>
      <c r="P936" s="405"/>
      <c r="Q936" s="405"/>
      <c r="R936" s="405"/>
      <c r="S936" s="405"/>
      <c r="T936" s="405"/>
      <c r="U936" s="405"/>
      <c r="V936" s="405"/>
      <c r="W936" s="405"/>
      <c r="X936" s="405"/>
      <c r="Y936" s="405"/>
      <c r="Z936" s="405"/>
    </row>
    <row r="937" ht="14.25" customHeight="1">
      <c r="A937" s="406"/>
      <c r="B937" s="402"/>
      <c r="C937" s="402"/>
      <c r="D937" s="402"/>
      <c r="E937" s="402"/>
      <c r="F937" s="587"/>
      <c r="G937" s="403"/>
      <c r="H937" s="402"/>
      <c r="I937" s="402"/>
      <c r="J937" s="402"/>
      <c r="K937" s="402"/>
      <c r="L937" s="402"/>
      <c r="M937" s="402"/>
      <c r="N937" s="402"/>
      <c r="O937" s="402"/>
      <c r="P937" s="405"/>
      <c r="Q937" s="405"/>
      <c r="R937" s="405"/>
      <c r="S937" s="405"/>
      <c r="T937" s="405"/>
      <c r="U937" s="405"/>
      <c r="V937" s="405"/>
      <c r="W937" s="405"/>
      <c r="X937" s="405"/>
      <c r="Y937" s="405"/>
      <c r="Z937" s="405"/>
    </row>
    <row r="938" ht="14.25" customHeight="1">
      <c r="A938" s="406"/>
      <c r="B938" s="402"/>
      <c r="C938" s="402"/>
      <c r="D938" s="402"/>
      <c r="E938" s="402"/>
      <c r="F938" s="587"/>
      <c r="G938" s="403"/>
      <c r="H938" s="402"/>
      <c r="I938" s="402"/>
      <c r="J938" s="402"/>
      <c r="K938" s="402"/>
      <c r="L938" s="402"/>
      <c r="M938" s="402"/>
      <c r="N938" s="402"/>
      <c r="O938" s="402"/>
      <c r="P938" s="405"/>
      <c r="Q938" s="405"/>
      <c r="R938" s="405"/>
      <c r="S938" s="405"/>
      <c r="T938" s="405"/>
      <c r="U938" s="405"/>
      <c r="V938" s="405"/>
      <c r="W938" s="405"/>
      <c r="X938" s="405"/>
      <c r="Y938" s="405"/>
      <c r="Z938" s="405"/>
    </row>
    <row r="939" ht="14.25" customHeight="1">
      <c r="A939" s="406"/>
      <c r="B939" s="402"/>
      <c r="C939" s="402"/>
      <c r="D939" s="402"/>
      <c r="E939" s="402"/>
      <c r="F939" s="587"/>
      <c r="G939" s="403"/>
      <c r="H939" s="402"/>
      <c r="I939" s="402"/>
      <c r="J939" s="402"/>
      <c r="K939" s="402"/>
      <c r="L939" s="402"/>
      <c r="M939" s="402"/>
      <c r="N939" s="402"/>
      <c r="O939" s="402"/>
      <c r="P939" s="405"/>
      <c r="Q939" s="405"/>
      <c r="R939" s="405"/>
      <c r="S939" s="405"/>
      <c r="T939" s="405"/>
      <c r="U939" s="405"/>
      <c r="V939" s="405"/>
      <c r="W939" s="405"/>
      <c r="X939" s="405"/>
      <c r="Y939" s="405"/>
      <c r="Z939" s="405"/>
    </row>
    <row r="940" ht="14.25" customHeight="1">
      <c r="A940" s="406"/>
      <c r="B940" s="402"/>
      <c r="C940" s="402"/>
      <c r="D940" s="402"/>
      <c r="E940" s="402"/>
      <c r="F940" s="587"/>
      <c r="G940" s="403"/>
      <c r="H940" s="402"/>
      <c r="I940" s="402"/>
      <c r="J940" s="402"/>
      <c r="K940" s="402"/>
      <c r="L940" s="402"/>
      <c r="M940" s="402"/>
      <c r="N940" s="402"/>
      <c r="O940" s="402"/>
      <c r="P940" s="405"/>
      <c r="Q940" s="405"/>
      <c r="R940" s="405"/>
      <c r="S940" s="405"/>
      <c r="T940" s="405"/>
      <c r="U940" s="405"/>
      <c r="V940" s="405"/>
      <c r="W940" s="405"/>
      <c r="X940" s="405"/>
      <c r="Y940" s="405"/>
      <c r="Z940" s="405"/>
    </row>
    <row r="941" ht="14.25" customHeight="1">
      <c r="A941" s="406"/>
      <c r="B941" s="402"/>
      <c r="C941" s="402"/>
      <c r="D941" s="402"/>
      <c r="E941" s="402"/>
      <c r="F941" s="587"/>
      <c r="G941" s="403"/>
      <c r="H941" s="402"/>
      <c r="I941" s="402"/>
      <c r="J941" s="402"/>
      <c r="K941" s="402"/>
      <c r="L941" s="402"/>
      <c r="M941" s="402"/>
      <c r="N941" s="402"/>
      <c r="O941" s="402"/>
      <c r="P941" s="405"/>
      <c r="Q941" s="405"/>
      <c r="R941" s="405"/>
      <c r="S941" s="405"/>
      <c r="T941" s="405"/>
      <c r="U941" s="405"/>
      <c r="V941" s="405"/>
      <c r="W941" s="405"/>
      <c r="X941" s="405"/>
      <c r="Y941" s="405"/>
      <c r="Z941" s="405"/>
    </row>
    <row r="942" ht="14.25" customHeight="1">
      <c r="A942" s="406"/>
      <c r="B942" s="402"/>
      <c r="C942" s="402"/>
      <c r="D942" s="402"/>
      <c r="E942" s="402"/>
      <c r="F942" s="587"/>
      <c r="G942" s="403"/>
      <c r="H942" s="402"/>
      <c r="I942" s="402"/>
      <c r="J942" s="402"/>
      <c r="K942" s="402"/>
      <c r="L942" s="402"/>
      <c r="M942" s="402"/>
      <c r="N942" s="402"/>
      <c r="O942" s="402"/>
      <c r="P942" s="405"/>
      <c r="Q942" s="405"/>
      <c r="R942" s="405"/>
      <c r="S942" s="405"/>
      <c r="T942" s="405"/>
      <c r="U942" s="405"/>
      <c r="V942" s="405"/>
      <c r="W942" s="405"/>
      <c r="X942" s="405"/>
      <c r="Y942" s="405"/>
      <c r="Z942" s="405"/>
    </row>
    <row r="943" ht="14.25" customHeight="1">
      <c r="A943" s="406"/>
      <c r="B943" s="402"/>
      <c r="C943" s="402"/>
      <c r="D943" s="402"/>
      <c r="E943" s="402"/>
      <c r="F943" s="587"/>
      <c r="G943" s="403"/>
      <c r="H943" s="402"/>
      <c r="I943" s="402"/>
      <c r="J943" s="402"/>
      <c r="K943" s="402"/>
      <c r="L943" s="402"/>
      <c r="M943" s="402"/>
      <c r="N943" s="402"/>
      <c r="O943" s="402"/>
      <c r="P943" s="405"/>
      <c r="Q943" s="405"/>
      <c r="R943" s="405"/>
      <c r="S943" s="405"/>
      <c r="T943" s="405"/>
      <c r="U943" s="405"/>
      <c r="V943" s="405"/>
      <c r="W943" s="405"/>
      <c r="X943" s="405"/>
      <c r="Y943" s="405"/>
      <c r="Z943" s="405"/>
    </row>
    <row r="944" ht="14.25" customHeight="1">
      <c r="A944" s="406"/>
      <c r="B944" s="402"/>
      <c r="C944" s="402"/>
      <c r="D944" s="402"/>
      <c r="E944" s="402"/>
      <c r="F944" s="587"/>
      <c r="G944" s="403"/>
      <c r="H944" s="402"/>
      <c r="I944" s="402"/>
      <c r="J944" s="402"/>
      <c r="K944" s="402"/>
      <c r="L944" s="402"/>
      <c r="M944" s="402"/>
      <c r="N944" s="402"/>
      <c r="O944" s="402"/>
      <c r="P944" s="405"/>
      <c r="Q944" s="405"/>
      <c r="R944" s="405"/>
      <c r="S944" s="405"/>
      <c r="T944" s="405"/>
      <c r="U944" s="405"/>
      <c r="V944" s="405"/>
      <c r="W944" s="405"/>
      <c r="X944" s="405"/>
      <c r="Y944" s="405"/>
      <c r="Z944" s="405"/>
    </row>
    <row r="945" ht="14.25" customHeight="1">
      <c r="A945" s="406"/>
      <c r="B945" s="402"/>
      <c r="C945" s="402"/>
      <c r="D945" s="402"/>
      <c r="E945" s="402"/>
      <c r="F945" s="587"/>
      <c r="G945" s="403"/>
      <c r="H945" s="402"/>
      <c r="I945" s="402"/>
      <c r="J945" s="402"/>
      <c r="K945" s="402"/>
      <c r="L945" s="402"/>
      <c r="M945" s="402"/>
      <c r="N945" s="402"/>
      <c r="O945" s="402"/>
      <c r="P945" s="405"/>
      <c r="Q945" s="405"/>
      <c r="R945" s="405"/>
      <c r="S945" s="405"/>
      <c r="T945" s="405"/>
      <c r="U945" s="405"/>
      <c r="V945" s="405"/>
      <c r="W945" s="405"/>
      <c r="X945" s="405"/>
      <c r="Y945" s="405"/>
      <c r="Z945" s="405"/>
    </row>
    <row r="946" ht="14.25" customHeight="1">
      <c r="A946" s="406"/>
      <c r="B946" s="402"/>
      <c r="C946" s="402"/>
      <c r="D946" s="402"/>
      <c r="E946" s="402"/>
      <c r="F946" s="587"/>
      <c r="G946" s="403"/>
      <c r="H946" s="402"/>
      <c r="I946" s="402"/>
      <c r="J946" s="402"/>
      <c r="K946" s="402"/>
      <c r="L946" s="402"/>
      <c r="M946" s="402"/>
      <c r="N946" s="402"/>
      <c r="O946" s="402"/>
      <c r="P946" s="405"/>
      <c r="Q946" s="405"/>
      <c r="R946" s="405"/>
      <c r="S946" s="405"/>
      <c r="T946" s="405"/>
      <c r="U946" s="405"/>
      <c r="V946" s="405"/>
      <c r="W946" s="405"/>
      <c r="X946" s="405"/>
      <c r="Y946" s="405"/>
      <c r="Z946" s="405"/>
    </row>
    <row r="947" ht="14.25" customHeight="1">
      <c r="A947" s="406"/>
      <c r="B947" s="402"/>
      <c r="C947" s="402"/>
      <c r="D947" s="402"/>
      <c r="E947" s="402"/>
      <c r="F947" s="587"/>
      <c r="G947" s="403"/>
      <c r="H947" s="402"/>
      <c r="I947" s="402"/>
      <c r="J947" s="402"/>
      <c r="K947" s="402"/>
      <c r="L947" s="402"/>
      <c r="M947" s="402"/>
      <c r="N947" s="402"/>
      <c r="O947" s="402"/>
      <c r="P947" s="405"/>
      <c r="Q947" s="405"/>
      <c r="R947" s="405"/>
      <c r="S947" s="405"/>
      <c r="T947" s="405"/>
      <c r="U947" s="405"/>
      <c r="V947" s="405"/>
      <c r="W947" s="405"/>
      <c r="X947" s="405"/>
      <c r="Y947" s="405"/>
      <c r="Z947" s="405"/>
    </row>
    <row r="948" ht="14.25" customHeight="1">
      <c r="A948" s="406"/>
      <c r="B948" s="402"/>
      <c r="C948" s="402"/>
      <c r="D948" s="402"/>
      <c r="E948" s="402"/>
      <c r="F948" s="587"/>
      <c r="G948" s="403"/>
      <c r="H948" s="402"/>
      <c r="I948" s="402"/>
      <c r="J948" s="402"/>
      <c r="K948" s="402"/>
      <c r="L948" s="402"/>
      <c r="M948" s="402"/>
      <c r="N948" s="402"/>
      <c r="O948" s="402"/>
      <c r="P948" s="405"/>
      <c r="Q948" s="405"/>
      <c r="R948" s="405"/>
      <c r="S948" s="405"/>
      <c r="T948" s="405"/>
      <c r="U948" s="405"/>
      <c r="V948" s="405"/>
      <c r="W948" s="405"/>
      <c r="X948" s="405"/>
      <c r="Y948" s="405"/>
      <c r="Z948" s="405"/>
    </row>
    <row r="949" ht="14.25" customHeight="1">
      <c r="A949" s="406"/>
      <c r="B949" s="402"/>
      <c r="C949" s="402"/>
      <c r="D949" s="402"/>
      <c r="E949" s="402"/>
      <c r="F949" s="587"/>
      <c r="G949" s="403"/>
      <c r="H949" s="402"/>
      <c r="I949" s="402"/>
      <c r="J949" s="402"/>
      <c r="K949" s="402"/>
      <c r="L949" s="402"/>
      <c r="M949" s="402"/>
      <c r="N949" s="402"/>
      <c r="O949" s="402"/>
      <c r="P949" s="405"/>
      <c r="Q949" s="405"/>
      <c r="R949" s="405"/>
      <c r="S949" s="405"/>
      <c r="T949" s="405"/>
      <c r="U949" s="405"/>
      <c r="V949" s="405"/>
      <c r="W949" s="405"/>
      <c r="X949" s="405"/>
      <c r="Y949" s="405"/>
      <c r="Z949" s="405"/>
    </row>
    <row r="950" ht="14.25" customHeight="1">
      <c r="A950" s="406"/>
      <c r="B950" s="402"/>
      <c r="C950" s="402"/>
      <c r="D950" s="402"/>
      <c r="E950" s="402"/>
      <c r="F950" s="587"/>
      <c r="G950" s="403"/>
      <c r="H950" s="402"/>
      <c r="I950" s="402"/>
      <c r="J950" s="402"/>
      <c r="K950" s="402"/>
      <c r="L950" s="402"/>
      <c r="M950" s="402"/>
      <c r="N950" s="402"/>
      <c r="O950" s="402"/>
      <c r="P950" s="405"/>
      <c r="Q950" s="405"/>
      <c r="R950" s="405"/>
      <c r="S950" s="405"/>
      <c r="T950" s="405"/>
      <c r="U950" s="405"/>
      <c r="V950" s="405"/>
      <c r="W950" s="405"/>
      <c r="X950" s="405"/>
      <c r="Y950" s="405"/>
      <c r="Z950" s="405"/>
    </row>
    <row r="951" ht="14.25" customHeight="1">
      <c r="A951" s="406"/>
      <c r="B951" s="402"/>
      <c r="C951" s="402"/>
      <c r="D951" s="402"/>
      <c r="E951" s="402"/>
      <c r="F951" s="587"/>
      <c r="G951" s="403"/>
      <c r="H951" s="402"/>
      <c r="I951" s="402"/>
      <c r="J951" s="402"/>
      <c r="K951" s="402"/>
      <c r="L951" s="402"/>
      <c r="M951" s="402"/>
      <c r="N951" s="402"/>
      <c r="O951" s="402"/>
      <c r="P951" s="405"/>
      <c r="Q951" s="405"/>
      <c r="R951" s="405"/>
      <c r="S951" s="405"/>
      <c r="T951" s="405"/>
      <c r="U951" s="405"/>
      <c r="V951" s="405"/>
      <c r="W951" s="405"/>
      <c r="X951" s="405"/>
      <c r="Y951" s="405"/>
      <c r="Z951" s="405"/>
    </row>
    <row r="952" ht="14.25" customHeight="1">
      <c r="A952" s="406"/>
      <c r="B952" s="402"/>
      <c r="C952" s="402"/>
      <c r="D952" s="402"/>
      <c r="E952" s="402"/>
      <c r="F952" s="587"/>
      <c r="G952" s="403"/>
      <c r="H952" s="402"/>
      <c r="I952" s="402"/>
      <c r="J952" s="402"/>
      <c r="K952" s="402"/>
      <c r="L952" s="402"/>
      <c r="M952" s="402"/>
      <c r="N952" s="402"/>
      <c r="O952" s="402"/>
      <c r="P952" s="405"/>
      <c r="Q952" s="405"/>
      <c r="R952" s="405"/>
      <c r="S952" s="405"/>
      <c r="T952" s="405"/>
      <c r="U952" s="405"/>
      <c r="V952" s="405"/>
      <c r="W952" s="405"/>
      <c r="X952" s="405"/>
      <c r="Y952" s="405"/>
      <c r="Z952" s="405"/>
    </row>
    <row r="953" ht="14.25" customHeight="1">
      <c r="A953" s="406"/>
      <c r="B953" s="402"/>
      <c r="C953" s="402"/>
      <c r="D953" s="402"/>
      <c r="E953" s="402"/>
      <c r="F953" s="587"/>
      <c r="G953" s="403"/>
      <c r="H953" s="402"/>
      <c r="I953" s="402"/>
      <c r="J953" s="402"/>
      <c r="K953" s="402"/>
      <c r="L953" s="402"/>
      <c r="M953" s="402"/>
      <c r="N953" s="402"/>
      <c r="O953" s="402"/>
      <c r="P953" s="405"/>
      <c r="Q953" s="405"/>
      <c r="R953" s="405"/>
      <c r="S953" s="405"/>
      <c r="T953" s="405"/>
      <c r="U953" s="405"/>
      <c r="V953" s="405"/>
      <c r="W953" s="405"/>
      <c r="X953" s="405"/>
      <c r="Y953" s="405"/>
      <c r="Z953" s="405"/>
    </row>
    <row r="954" ht="14.25" customHeight="1">
      <c r="A954" s="406"/>
      <c r="B954" s="402"/>
      <c r="C954" s="402"/>
      <c r="D954" s="402"/>
      <c r="E954" s="402"/>
      <c r="F954" s="587"/>
      <c r="G954" s="403"/>
      <c r="H954" s="402"/>
      <c r="I954" s="402"/>
      <c r="J954" s="402"/>
      <c r="K954" s="402"/>
      <c r="L954" s="402"/>
      <c r="M954" s="402"/>
      <c r="N954" s="402"/>
      <c r="O954" s="402"/>
      <c r="P954" s="405"/>
      <c r="Q954" s="405"/>
      <c r="R954" s="405"/>
      <c r="S954" s="405"/>
      <c r="T954" s="405"/>
      <c r="U954" s="405"/>
      <c r="V954" s="405"/>
      <c r="W954" s="405"/>
      <c r="X954" s="405"/>
      <c r="Y954" s="405"/>
      <c r="Z954" s="405"/>
    </row>
    <row r="955" ht="14.25" customHeight="1">
      <c r="A955" s="406"/>
      <c r="B955" s="402"/>
      <c r="C955" s="402"/>
      <c r="D955" s="402"/>
      <c r="E955" s="402"/>
      <c r="F955" s="587"/>
      <c r="G955" s="403"/>
      <c r="H955" s="402"/>
      <c r="I955" s="402"/>
      <c r="J955" s="402"/>
      <c r="K955" s="402"/>
      <c r="L955" s="402"/>
      <c r="M955" s="402"/>
      <c r="N955" s="402"/>
      <c r="O955" s="402"/>
      <c r="P955" s="405"/>
      <c r="Q955" s="405"/>
      <c r="R955" s="405"/>
      <c r="S955" s="405"/>
      <c r="T955" s="405"/>
      <c r="U955" s="405"/>
      <c r="V955" s="405"/>
      <c r="W955" s="405"/>
      <c r="X955" s="405"/>
      <c r="Y955" s="405"/>
      <c r="Z955" s="405"/>
    </row>
    <row r="956" ht="14.25" customHeight="1">
      <c r="A956" s="406"/>
      <c r="B956" s="402"/>
      <c r="C956" s="402"/>
      <c r="D956" s="402"/>
      <c r="E956" s="402"/>
      <c r="F956" s="587"/>
      <c r="G956" s="403"/>
      <c r="H956" s="402"/>
      <c r="I956" s="402"/>
      <c r="J956" s="402"/>
      <c r="K956" s="402"/>
      <c r="L956" s="402"/>
      <c r="M956" s="402"/>
      <c r="N956" s="402"/>
      <c r="O956" s="402"/>
      <c r="P956" s="405"/>
      <c r="Q956" s="405"/>
      <c r="R956" s="405"/>
      <c r="S956" s="405"/>
      <c r="T956" s="405"/>
      <c r="U956" s="405"/>
      <c r="V956" s="405"/>
      <c r="W956" s="405"/>
      <c r="X956" s="405"/>
      <c r="Y956" s="405"/>
      <c r="Z956" s="405"/>
    </row>
    <row r="957" ht="14.25" customHeight="1">
      <c r="A957" s="406"/>
      <c r="B957" s="402"/>
      <c r="C957" s="402"/>
      <c r="D957" s="402"/>
      <c r="E957" s="402"/>
      <c r="F957" s="587"/>
      <c r="G957" s="403"/>
      <c r="H957" s="402"/>
      <c r="I957" s="402"/>
      <c r="J957" s="402"/>
      <c r="K957" s="402"/>
      <c r="L957" s="402"/>
      <c r="M957" s="402"/>
      <c r="N957" s="402"/>
      <c r="O957" s="402"/>
      <c r="P957" s="405"/>
      <c r="Q957" s="405"/>
      <c r="R957" s="405"/>
      <c r="S957" s="405"/>
      <c r="T957" s="405"/>
      <c r="U957" s="405"/>
      <c r="V957" s="405"/>
      <c r="W957" s="405"/>
      <c r="X957" s="405"/>
      <c r="Y957" s="405"/>
      <c r="Z957" s="405"/>
    </row>
    <row r="958" ht="14.25" customHeight="1">
      <c r="A958" s="406"/>
      <c r="B958" s="402"/>
      <c r="C958" s="402"/>
      <c r="D958" s="402"/>
      <c r="E958" s="402"/>
      <c r="F958" s="587"/>
      <c r="G958" s="403"/>
      <c r="H958" s="402"/>
      <c r="I958" s="402"/>
      <c r="J958" s="402"/>
      <c r="K958" s="402"/>
      <c r="L958" s="402"/>
      <c r="M958" s="402"/>
      <c r="N958" s="402"/>
      <c r="O958" s="402"/>
      <c r="P958" s="405"/>
      <c r="Q958" s="405"/>
      <c r="R958" s="405"/>
      <c r="S958" s="405"/>
      <c r="T958" s="405"/>
      <c r="U958" s="405"/>
      <c r="V958" s="405"/>
      <c r="W958" s="405"/>
      <c r="X958" s="405"/>
      <c r="Y958" s="405"/>
      <c r="Z958" s="405"/>
    </row>
    <row r="959" ht="14.25" customHeight="1">
      <c r="A959" s="406"/>
      <c r="B959" s="402"/>
      <c r="C959" s="402"/>
      <c r="D959" s="402"/>
      <c r="E959" s="402"/>
      <c r="F959" s="587"/>
      <c r="G959" s="403"/>
      <c r="H959" s="402"/>
      <c r="I959" s="402"/>
      <c r="J959" s="402"/>
      <c r="K959" s="402"/>
      <c r="L959" s="402"/>
      <c r="M959" s="402"/>
      <c r="N959" s="402"/>
      <c r="O959" s="402"/>
      <c r="P959" s="405"/>
      <c r="Q959" s="405"/>
      <c r="R959" s="405"/>
      <c r="S959" s="405"/>
      <c r="T959" s="405"/>
      <c r="U959" s="405"/>
      <c r="V959" s="405"/>
      <c r="W959" s="405"/>
      <c r="X959" s="405"/>
      <c r="Y959" s="405"/>
      <c r="Z959" s="405"/>
    </row>
    <row r="960" ht="14.25" customHeight="1">
      <c r="A960" s="406"/>
      <c r="B960" s="402"/>
      <c r="C960" s="402"/>
      <c r="D960" s="402"/>
      <c r="E960" s="402"/>
      <c r="F960" s="587"/>
      <c r="G960" s="403"/>
      <c r="H960" s="402"/>
      <c r="I960" s="402"/>
      <c r="J960" s="402"/>
      <c r="K960" s="402"/>
      <c r="L960" s="402"/>
      <c r="M960" s="402"/>
      <c r="N960" s="402"/>
      <c r="O960" s="402"/>
      <c r="P960" s="405"/>
      <c r="Q960" s="405"/>
      <c r="R960" s="405"/>
      <c r="S960" s="405"/>
      <c r="T960" s="405"/>
      <c r="U960" s="405"/>
      <c r="V960" s="405"/>
      <c r="W960" s="405"/>
      <c r="X960" s="405"/>
      <c r="Y960" s="405"/>
      <c r="Z960" s="405"/>
    </row>
    <row r="961" ht="14.25" customHeight="1">
      <c r="A961" s="406"/>
      <c r="B961" s="402"/>
      <c r="C961" s="402"/>
      <c r="D961" s="402"/>
      <c r="E961" s="402"/>
      <c r="F961" s="587"/>
      <c r="G961" s="403"/>
      <c r="H961" s="402"/>
      <c r="I961" s="402"/>
      <c r="J961" s="402"/>
      <c r="K961" s="402"/>
      <c r="L961" s="402"/>
      <c r="M961" s="402"/>
      <c r="N961" s="402"/>
      <c r="O961" s="402"/>
      <c r="P961" s="405"/>
      <c r="Q961" s="405"/>
      <c r="R961" s="405"/>
      <c r="S961" s="405"/>
      <c r="T961" s="405"/>
      <c r="U961" s="405"/>
      <c r="V961" s="405"/>
      <c r="W961" s="405"/>
      <c r="X961" s="405"/>
      <c r="Y961" s="405"/>
      <c r="Z961" s="405"/>
    </row>
    <row r="962" ht="14.25" customHeight="1">
      <c r="A962" s="406"/>
      <c r="B962" s="402"/>
      <c r="C962" s="402"/>
      <c r="D962" s="402"/>
      <c r="E962" s="402"/>
      <c r="F962" s="587"/>
      <c r="G962" s="403"/>
      <c r="H962" s="402"/>
      <c r="I962" s="402"/>
      <c r="J962" s="402"/>
      <c r="K962" s="402"/>
      <c r="L962" s="402"/>
      <c r="M962" s="402"/>
      <c r="N962" s="402"/>
      <c r="O962" s="402"/>
      <c r="P962" s="405"/>
      <c r="Q962" s="405"/>
      <c r="R962" s="405"/>
      <c r="S962" s="405"/>
      <c r="T962" s="405"/>
      <c r="U962" s="405"/>
      <c r="V962" s="405"/>
      <c r="W962" s="405"/>
      <c r="X962" s="405"/>
      <c r="Y962" s="405"/>
      <c r="Z962" s="405"/>
    </row>
    <row r="963" ht="14.25" customHeight="1">
      <c r="A963" s="406"/>
      <c r="B963" s="402"/>
      <c r="C963" s="402"/>
      <c r="D963" s="402"/>
      <c r="E963" s="402"/>
      <c r="F963" s="587"/>
      <c r="G963" s="403"/>
      <c r="H963" s="402"/>
      <c r="I963" s="402"/>
      <c r="J963" s="402"/>
      <c r="K963" s="402"/>
      <c r="L963" s="402"/>
      <c r="M963" s="402"/>
      <c r="N963" s="402"/>
      <c r="O963" s="402"/>
      <c r="P963" s="405"/>
      <c r="Q963" s="405"/>
      <c r="R963" s="405"/>
      <c r="S963" s="405"/>
      <c r="T963" s="405"/>
      <c r="U963" s="405"/>
      <c r="V963" s="405"/>
      <c r="W963" s="405"/>
      <c r="X963" s="405"/>
      <c r="Y963" s="405"/>
      <c r="Z963" s="405"/>
    </row>
    <row r="964" ht="14.25" customHeight="1">
      <c r="A964" s="406"/>
      <c r="B964" s="402"/>
      <c r="C964" s="402"/>
      <c r="D964" s="402"/>
      <c r="E964" s="402"/>
      <c r="F964" s="587"/>
      <c r="G964" s="403"/>
      <c r="H964" s="402"/>
      <c r="I964" s="402"/>
      <c r="J964" s="402"/>
      <c r="K964" s="402"/>
      <c r="L964" s="402"/>
      <c r="M964" s="402"/>
      <c r="N964" s="402"/>
      <c r="O964" s="402"/>
      <c r="P964" s="405"/>
      <c r="Q964" s="405"/>
      <c r="R964" s="405"/>
      <c r="S964" s="405"/>
      <c r="T964" s="405"/>
      <c r="U964" s="405"/>
      <c r="V964" s="405"/>
      <c r="W964" s="405"/>
      <c r="X964" s="405"/>
      <c r="Y964" s="405"/>
      <c r="Z964" s="405"/>
    </row>
    <row r="965" ht="14.25" customHeight="1">
      <c r="A965" s="406"/>
      <c r="B965" s="402"/>
      <c r="C965" s="402"/>
      <c r="D965" s="402"/>
      <c r="E965" s="402"/>
      <c r="F965" s="587"/>
      <c r="G965" s="403"/>
      <c r="H965" s="402"/>
      <c r="I965" s="402"/>
      <c r="J965" s="402"/>
      <c r="K965" s="402"/>
      <c r="L965" s="402"/>
      <c r="M965" s="402"/>
      <c r="N965" s="402"/>
      <c r="O965" s="402"/>
      <c r="P965" s="405"/>
      <c r="Q965" s="405"/>
      <c r="R965" s="405"/>
      <c r="S965" s="405"/>
      <c r="T965" s="405"/>
      <c r="U965" s="405"/>
      <c r="V965" s="405"/>
      <c r="W965" s="405"/>
      <c r="X965" s="405"/>
      <c r="Y965" s="405"/>
      <c r="Z965" s="405"/>
    </row>
    <row r="966" ht="14.25" customHeight="1">
      <c r="A966" s="406"/>
      <c r="B966" s="402"/>
      <c r="C966" s="402"/>
      <c r="D966" s="402"/>
      <c r="E966" s="402"/>
      <c r="F966" s="587"/>
      <c r="G966" s="403"/>
      <c r="H966" s="402"/>
      <c r="I966" s="402"/>
      <c r="J966" s="402"/>
      <c r="K966" s="402"/>
      <c r="L966" s="402"/>
      <c r="M966" s="402"/>
      <c r="N966" s="402"/>
      <c r="O966" s="402"/>
      <c r="P966" s="405"/>
      <c r="Q966" s="405"/>
      <c r="R966" s="405"/>
      <c r="S966" s="405"/>
      <c r="T966" s="405"/>
      <c r="U966" s="405"/>
      <c r="V966" s="405"/>
      <c r="W966" s="405"/>
      <c r="X966" s="405"/>
      <c r="Y966" s="405"/>
      <c r="Z966" s="405"/>
    </row>
    <row r="967" ht="14.25" customHeight="1">
      <c r="A967" s="406"/>
      <c r="B967" s="402"/>
      <c r="C967" s="402"/>
      <c r="D967" s="402"/>
      <c r="E967" s="402"/>
      <c r="F967" s="587"/>
      <c r="G967" s="403"/>
      <c r="H967" s="402"/>
      <c r="I967" s="402"/>
      <c r="J967" s="402"/>
      <c r="K967" s="402"/>
      <c r="L967" s="402"/>
      <c r="M967" s="402"/>
      <c r="N967" s="402"/>
      <c r="O967" s="402"/>
      <c r="P967" s="405"/>
      <c r="Q967" s="405"/>
      <c r="R967" s="405"/>
      <c r="S967" s="405"/>
      <c r="T967" s="405"/>
      <c r="U967" s="405"/>
      <c r="V967" s="405"/>
      <c r="W967" s="405"/>
      <c r="X967" s="405"/>
      <c r="Y967" s="405"/>
      <c r="Z967" s="405"/>
    </row>
    <row r="968" ht="14.25" customHeight="1">
      <c r="A968" s="406"/>
      <c r="B968" s="402"/>
      <c r="C968" s="402"/>
      <c r="D968" s="402"/>
      <c r="E968" s="402"/>
      <c r="F968" s="587"/>
      <c r="G968" s="403"/>
      <c r="H968" s="402"/>
      <c r="I968" s="402"/>
      <c r="J968" s="402"/>
      <c r="K968" s="402"/>
      <c r="L968" s="402"/>
      <c r="M968" s="402"/>
      <c r="N968" s="402"/>
      <c r="O968" s="402"/>
      <c r="P968" s="405"/>
      <c r="Q968" s="405"/>
      <c r="R968" s="405"/>
      <c r="S968" s="405"/>
      <c r="T968" s="405"/>
      <c r="U968" s="405"/>
      <c r="V968" s="405"/>
      <c r="W968" s="405"/>
      <c r="X968" s="405"/>
      <c r="Y968" s="405"/>
      <c r="Z968" s="405"/>
    </row>
    <row r="969" ht="14.25" customHeight="1">
      <c r="A969" s="406"/>
      <c r="B969" s="402"/>
      <c r="C969" s="402"/>
      <c r="D969" s="402"/>
      <c r="E969" s="402"/>
      <c r="F969" s="587"/>
      <c r="G969" s="403"/>
      <c r="H969" s="402"/>
      <c r="I969" s="402"/>
      <c r="J969" s="402"/>
      <c r="K969" s="402"/>
      <c r="L969" s="402"/>
      <c r="M969" s="402"/>
      <c r="N969" s="402"/>
      <c r="O969" s="402"/>
      <c r="P969" s="405"/>
      <c r="Q969" s="405"/>
      <c r="R969" s="405"/>
      <c r="S969" s="405"/>
      <c r="T969" s="405"/>
      <c r="U969" s="405"/>
      <c r="V969" s="405"/>
      <c r="W969" s="405"/>
      <c r="X969" s="405"/>
      <c r="Y969" s="405"/>
      <c r="Z969" s="405"/>
    </row>
    <row r="970" ht="14.25" customHeight="1">
      <c r="A970" s="406"/>
      <c r="B970" s="402"/>
      <c r="C970" s="402"/>
      <c r="D970" s="402"/>
      <c r="E970" s="402"/>
      <c r="F970" s="587"/>
      <c r="G970" s="403"/>
      <c r="H970" s="402"/>
      <c r="I970" s="402"/>
      <c r="J970" s="402"/>
      <c r="K970" s="402"/>
      <c r="L970" s="402"/>
      <c r="M970" s="402"/>
      <c r="N970" s="402"/>
      <c r="O970" s="402"/>
      <c r="P970" s="405"/>
      <c r="Q970" s="405"/>
      <c r="R970" s="405"/>
      <c r="S970" s="405"/>
      <c r="T970" s="405"/>
      <c r="U970" s="405"/>
      <c r="V970" s="405"/>
      <c r="W970" s="405"/>
      <c r="X970" s="405"/>
      <c r="Y970" s="405"/>
      <c r="Z970" s="405"/>
    </row>
    <row r="971" ht="14.25" customHeight="1">
      <c r="A971" s="406"/>
      <c r="B971" s="402"/>
      <c r="C971" s="402"/>
      <c r="D971" s="402"/>
      <c r="E971" s="402"/>
      <c r="F971" s="587"/>
      <c r="G971" s="403"/>
      <c r="H971" s="402"/>
      <c r="I971" s="402"/>
      <c r="J971" s="402"/>
      <c r="K971" s="402"/>
      <c r="L971" s="402"/>
      <c r="M971" s="402"/>
      <c r="N971" s="402"/>
      <c r="O971" s="402"/>
      <c r="P971" s="405"/>
      <c r="Q971" s="405"/>
      <c r="R971" s="405"/>
      <c r="S971" s="405"/>
      <c r="T971" s="405"/>
      <c r="U971" s="405"/>
      <c r="V971" s="405"/>
      <c r="W971" s="405"/>
      <c r="X971" s="405"/>
      <c r="Y971" s="405"/>
      <c r="Z971" s="405"/>
    </row>
    <row r="972" ht="14.25" customHeight="1">
      <c r="A972" s="406"/>
      <c r="B972" s="402"/>
      <c r="C972" s="402"/>
      <c r="D972" s="402"/>
      <c r="E972" s="402"/>
      <c r="F972" s="587"/>
      <c r="G972" s="403"/>
      <c r="H972" s="402"/>
      <c r="I972" s="402"/>
      <c r="J972" s="402"/>
      <c r="K972" s="402"/>
      <c r="L972" s="402"/>
      <c r="M972" s="402"/>
      <c r="N972" s="402"/>
      <c r="O972" s="402"/>
      <c r="P972" s="405"/>
      <c r="Q972" s="405"/>
      <c r="R972" s="405"/>
      <c r="S972" s="405"/>
      <c r="T972" s="405"/>
      <c r="U972" s="405"/>
      <c r="V972" s="405"/>
      <c r="W972" s="405"/>
      <c r="X972" s="405"/>
      <c r="Y972" s="405"/>
      <c r="Z972" s="405"/>
    </row>
    <row r="973" ht="14.25" customHeight="1">
      <c r="A973" s="406"/>
      <c r="B973" s="402"/>
      <c r="C973" s="402"/>
      <c r="D973" s="402"/>
      <c r="E973" s="402"/>
      <c r="F973" s="587"/>
      <c r="G973" s="403"/>
      <c r="H973" s="402"/>
      <c r="I973" s="402"/>
      <c r="J973" s="402"/>
      <c r="K973" s="402"/>
      <c r="L973" s="402"/>
      <c r="M973" s="402"/>
      <c r="N973" s="402"/>
      <c r="O973" s="402"/>
      <c r="P973" s="405"/>
      <c r="Q973" s="405"/>
      <c r="R973" s="405"/>
      <c r="S973" s="405"/>
      <c r="T973" s="405"/>
      <c r="U973" s="405"/>
      <c r="V973" s="405"/>
      <c r="W973" s="405"/>
      <c r="X973" s="405"/>
      <c r="Y973" s="405"/>
      <c r="Z973" s="405"/>
    </row>
    <row r="974" ht="14.25" customHeight="1">
      <c r="A974" s="406"/>
      <c r="B974" s="402"/>
      <c r="C974" s="402"/>
      <c r="D974" s="402"/>
      <c r="E974" s="402"/>
      <c r="F974" s="587"/>
      <c r="G974" s="403"/>
      <c r="H974" s="402"/>
      <c r="I974" s="402"/>
      <c r="J974" s="402"/>
      <c r="K974" s="402"/>
      <c r="L974" s="402"/>
      <c r="M974" s="402"/>
      <c r="N974" s="402"/>
      <c r="O974" s="402"/>
      <c r="P974" s="405"/>
      <c r="Q974" s="405"/>
      <c r="R974" s="405"/>
      <c r="S974" s="405"/>
      <c r="T974" s="405"/>
      <c r="U974" s="405"/>
      <c r="V974" s="405"/>
      <c r="W974" s="405"/>
      <c r="X974" s="405"/>
      <c r="Y974" s="405"/>
      <c r="Z974" s="405"/>
    </row>
    <row r="975" ht="14.25" customHeight="1">
      <c r="A975" s="406"/>
      <c r="B975" s="402"/>
      <c r="C975" s="402"/>
      <c r="D975" s="402"/>
      <c r="E975" s="402"/>
      <c r="F975" s="587"/>
      <c r="G975" s="403"/>
      <c r="H975" s="402"/>
      <c r="I975" s="402"/>
      <c r="J975" s="402"/>
      <c r="K975" s="402"/>
      <c r="L975" s="402"/>
      <c r="M975" s="402"/>
      <c r="N975" s="402"/>
      <c r="O975" s="402"/>
      <c r="P975" s="405"/>
      <c r="Q975" s="405"/>
      <c r="R975" s="405"/>
      <c r="S975" s="405"/>
      <c r="T975" s="405"/>
      <c r="U975" s="405"/>
      <c r="V975" s="405"/>
      <c r="W975" s="405"/>
      <c r="X975" s="405"/>
      <c r="Y975" s="405"/>
      <c r="Z975" s="405"/>
    </row>
    <row r="976" ht="14.25" customHeight="1">
      <c r="A976" s="406"/>
      <c r="B976" s="402"/>
      <c r="C976" s="402"/>
      <c r="D976" s="402"/>
      <c r="E976" s="402"/>
      <c r="F976" s="587"/>
      <c r="G976" s="403"/>
      <c r="H976" s="402"/>
      <c r="I976" s="402"/>
      <c r="J976" s="402"/>
      <c r="K976" s="402"/>
      <c r="L976" s="402"/>
      <c r="M976" s="402"/>
      <c r="N976" s="402"/>
      <c r="O976" s="402"/>
      <c r="P976" s="405"/>
      <c r="Q976" s="405"/>
      <c r="R976" s="405"/>
      <c r="S976" s="405"/>
      <c r="T976" s="405"/>
      <c r="U976" s="405"/>
      <c r="V976" s="405"/>
      <c r="W976" s="405"/>
      <c r="X976" s="405"/>
      <c r="Y976" s="405"/>
      <c r="Z976" s="405"/>
    </row>
    <row r="977" ht="14.25" customHeight="1">
      <c r="A977" s="406"/>
      <c r="B977" s="402"/>
      <c r="C977" s="402"/>
      <c r="D977" s="402"/>
      <c r="E977" s="402"/>
      <c r="F977" s="587"/>
      <c r="G977" s="403"/>
      <c r="H977" s="402"/>
      <c r="I977" s="402"/>
      <c r="J977" s="402"/>
      <c r="K977" s="402"/>
      <c r="L977" s="402"/>
      <c r="M977" s="402"/>
      <c r="N977" s="402"/>
      <c r="O977" s="402"/>
      <c r="P977" s="405"/>
      <c r="Q977" s="405"/>
      <c r="R977" s="405"/>
      <c r="S977" s="405"/>
      <c r="T977" s="405"/>
      <c r="U977" s="405"/>
      <c r="V977" s="405"/>
      <c r="W977" s="405"/>
      <c r="X977" s="405"/>
      <c r="Y977" s="405"/>
      <c r="Z977" s="405"/>
    </row>
    <row r="978" ht="14.25" customHeight="1">
      <c r="A978" s="406"/>
      <c r="B978" s="402"/>
      <c r="C978" s="402"/>
      <c r="D978" s="402"/>
      <c r="E978" s="402"/>
      <c r="F978" s="587"/>
      <c r="G978" s="403"/>
      <c r="H978" s="402"/>
      <c r="I978" s="402"/>
      <c r="J978" s="402"/>
      <c r="K978" s="402"/>
      <c r="L978" s="402"/>
      <c r="M978" s="402"/>
      <c r="N978" s="402"/>
      <c r="O978" s="402"/>
      <c r="P978" s="405"/>
      <c r="Q978" s="405"/>
      <c r="R978" s="405"/>
      <c r="S978" s="405"/>
      <c r="T978" s="405"/>
      <c r="U978" s="405"/>
      <c r="V978" s="405"/>
      <c r="W978" s="405"/>
      <c r="X978" s="405"/>
      <c r="Y978" s="405"/>
      <c r="Z978" s="405"/>
    </row>
    <row r="979" ht="14.25" customHeight="1">
      <c r="A979" s="406"/>
      <c r="B979" s="402"/>
      <c r="C979" s="402"/>
      <c r="D979" s="402"/>
      <c r="E979" s="402"/>
      <c r="F979" s="587"/>
      <c r="G979" s="403"/>
      <c r="H979" s="402"/>
      <c r="I979" s="402"/>
      <c r="J979" s="402"/>
      <c r="K979" s="402"/>
      <c r="L979" s="402"/>
      <c r="M979" s="402"/>
      <c r="N979" s="402"/>
      <c r="O979" s="402"/>
      <c r="P979" s="405"/>
      <c r="Q979" s="405"/>
      <c r="R979" s="405"/>
      <c r="S979" s="405"/>
      <c r="T979" s="405"/>
      <c r="U979" s="405"/>
      <c r="V979" s="405"/>
      <c r="W979" s="405"/>
      <c r="X979" s="405"/>
      <c r="Y979" s="405"/>
      <c r="Z979" s="405"/>
    </row>
    <row r="980" ht="14.25" customHeight="1">
      <c r="A980" s="406"/>
      <c r="B980" s="402"/>
      <c r="C980" s="402"/>
      <c r="D980" s="402"/>
      <c r="E980" s="402"/>
      <c r="F980" s="587"/>
      <c r="G980" s="403"/>
      <c r="H980" s="402"/>
      <c r="I980" s="402"/>
      <c r="J980" s="402"/>
      <c r="K980" s="402"/>
      <c r="L980" s="402"/>
      <c r="M980" s="402"/>
      <c r="N980" s="402"/>
      <c r="O980" s="402"/>
      <c r="P980" s="405"/>
      <c r="Q980" s="405"/>
      <c r="R980" s="405"/>
      <c r="S980" s="405"/>
      <c r="T980" s="405"/>
      <c r="U980" s="405"/>
      <c r="V980" s="405"/>
      <c r="W980" s="405"/>
      <c r="X980" s="405"/>
      <c r="Y980" s="405"/>
      <c r="Z980" s="405"/>
    </row>
    <row r="981" ht="14.25" customHeight="1">
      <c r="A981" s="406"/>
      <c r="B981" s="402"/>
      <c r="C981" s="402"/>
      <c r="D981" s="402"/>
      <c r="E981" s="402"/>
      <c r="F981" s="587"/>
      <c r="G981" s="403"/>
      <c r="H981" s="402"/>
      <c r="I981" s="402"/>
      <c r="J981" s="402"/>
      <c r="K981" s="402"/>
      <c r="L981" s="402"/>
      <c r="M981" s="402"/>
      <c r="N981" s="402"/>
      <c r="O981" s="402"/>
      <c r="P981" s="405"/>
      <c r="Q981" s="405"/>
      <c r="R981" s="405"/>
      <c r="S981" s="405"/>
      <c r="T981" s="405"/>
      <c r="U981" s="405"/>
      <c r="V981" s="405"/>
      <c r="W981" s="405"/>
      <c r="X981" s="405"/>
      <c r="Y981" s="405"/>
      <c r="Z981" s="405"/>
    </row>
    <row r="982" ht="14.25" customHeight="1">
      <c r="A982" s="406"/>
      <c r="B982" s="402"/>
      <c r="C982" s="402"/>
      <c r="D982" s="402"/>
      <c r="E982" s="402"/>
      <c r="F982" s="587"/>
      <c r="G982" s="403"/>
      <c r="H982" s="402"/>
      <c r="I982" s="402"/>
      <c r="J982" s="402"/>
      <c r="K982" s="402"/>
      <c r="L982" s="402"/>
      <c r="M982" s="402"/>
      <c r="N982" s="402"/>
      <c r="O982" s="402"/>
      <c r="P982" s="405"/>
      <c r="Q982" s="405"/>
      <c r="R982" s="405"/>
      <c r="S982" s="405"/>
      <c r="T982" s="405"/>
      <c r="U982" s="405"/>
      <c r="V982" s="405"/>
      <c r="W982" s="405"/>
      <c r="X982" s="405"/>
      <c r="Y982" s="405"/>
      <c r="Z982" s="405"/>
    </row>
    <row r="983" ht="14.25" customHeight="1">
      <c r="A983" s="406"/>
      <c r="B983" s="402"/>
      <c r="C983" s="402"/>
      <c r="D983" s="402"/>
      <c r="E983" s="402"/>
      <c r="F983" s="587"/>
      <c r="G983" s="403"/>
      <c r="H983" s="402"/>
      <c r="I983" s="402"/>
      <c r="J983" s="402"/>
      <c r="K983" s="402"/>
      <c r="L983" s="402"/>
      <c r="M983" s="402"/>
      <c r="N983" s="402"/>
      <c r="O983" s="402"/>
      <c r="P983" s="405"/>
      <c r="Q983" s="405"/>
      <c r="R983" s="405"/>
      <c r="S983" s="405"/>
      <c r="T983" s="405"/>
      <c r="U983" s="405"/>
      <c r="V983" s="405"/>
      <c r="W983" s="405"/>
      <c r="X983" s="405"/>
      <c r="Y983" s="405"/>
      <c r="Z983" s="405"/>
    </row>
    <row r="984" ht="14.25" customHeight="1">
      <c r="A984" s="406"/>
      <c r="B984" s="402"/>
      <c r="C984" s="402"/>
      <c r="D984" s="402"/>
      <c r="E984" s="402"/>
      <c r="F984" s="587"/>
      <c r="G984" s="403"/>
      <c r="H984" s="402"/>
      <c r="I984" s="402"/>
      <c r="J984" s="402"/>
      <c r="K984" s="402"/>
      <c r="L984" s="402"/>
      <c r="M984" s="402"/>
      <c r="N984" s="402"/>
      <c r="O984" s="402"/>
      <c r="P984" s="405"/>
      <c r="Q984" s="405"/>
      <c r="R984" s="405"/>
      <c r="S984" s="405"/>
      <c r="T984" s="405"/>
      <c r="U984" s="405"/>
      <c r="V984" s="405"/>
      <c r="W984" s="405"/>
      <c r="X984" s="405"/>
      <c r="Y984" s="405"/>
      <c r="Z984" s="405"/>
    </row>
    <row r="985" ht="14.25" customHeight="1">
      <c r="A985" s="406"/>
      <c r="B985" s="402"/>
      <c r="C985" s="402"/>
      <c r="D985" s="402"/>
      <c r="E985" s="402"/>
      <c r="F985" s="587"/>
      <c r="G985" s="403"/>
      <c r="H985" s="402"/>
      <c r="I985" s="402"/>
      <c r="J985" s="402"/>
      <c r="K985" s="402"/>
      <c r="L985" s="402"/>
      <c r="M985" s="402"/>
      <c r="N985" s="402"/>
      <c r="O985" s="402"/>
      <c r="P985" s="405"/>
      <c r="Q985" s="405"/>
      <c r="R985" s="405"/>
      <c r="S985" s="405"/>
      <c r="T985" s="405"/>
      <c r="U985" s="405"/>
      <c r="V985" s="405"/>
      <c r="W985" s="405"/>
      <c r="X985" s="405"/>
      <c r="Y985" s="405"/>
      <c r="Z985" s="405"/>
    </row>
    <row r="986" ht="14.25" customHeight="1">
      <c r="A986" s="406"/>
      <c r="B986" s="402"/>
      <c r="C986" s="402"/>
      <c r="D986" s="402"/>
      <c r="E986" s="402"/>
      <c r="F986" s="587"/>
      <c r="G986" s="403"/>
      <c r="H986" s="402"/>
      <c r="I986" s="402"/>
      <c r="J986" s="402"/>
      <c r="K986" s="402"/>
      <c r="L986" s="402"/>
      <c r="M986" s="402"/>
      <c r="N986" s="402"/>
      <c r="O986" s="402"/>
      <c r="P986" s="405"/>
      <c r="Q986" s="405"/>
      <c r="R986" s="405"/>
      <c r="S986" s="405"/>
      <c r="T986" s="405"/>
      <c r="U986" s="405"/>
      <c r="V986" s="405"/>
      <c r="W986" s="405"/>
      <c r="X986" s="405"/>
      <c r="Y986" s="405"/>
      <c r="Z986" s="405"/>
    </row>
    <row r="987" ht="14.25" customHeight="1">
      <c r="A987" s="406"/>
      <c r="B987" s="402"/>
      <c r="C987" s="402"/>
      <c r="D987" s="402"/>
      <c r="E987" s="402"/>
      <c r="F987" s="587"/>
      <c r="G987" s="403"/>
      <c r="H987" s="402"/>
      <c r="I987" s="402"/>
      <c r="J987" s="402"/>
      <c r="K987" s="402"/>
      <c r="L987" s="402"/>
      <c r="M987" s="402"/>
      <c r="N987" s="402"/>
      <c r="O987" s="402"/>
      <c r="P987" s="405"/>
      <c r="Q987" s="405"/>
      <c r="R987" s="405"/>
      <c r="S987" s="405"/>
      <c r="T987" s="405"/>
      <c r="U987" s="405"/>
      <c r="V987" s="405"/>
      <c r="W987" s="405"/>
      <c r="X987" s="405"/>
      <c r="Y987" s="405"/>
      <c r="Z987" s="405"/>
    </row>
    <row r="988" ht="14.25" customHeight="1">
      <c r="A988" s="406"/>
      <c r="B988" s="402"/>
      <c r="C988" s="402"/>
      <c r="D988" s="402"/>
      <c r="E988" s="402"/>
      <c r="F988" s="587"/>
      <c r="G988" s="403"/>
      <c r="H988" s="402"/>
      <c r="I988" s="402"/>
      <c r="J988" s="402"/>
      <c r="K988" s="402"/>
      <c r="L988" s="402"/>
      <c r="M988" s="402"/>
      <c r="N988" s="402"/>
      <c r="O988" s="402"/>
      <c r="P988" s="405"/>
      <c r="Q988" s="405"/>
      <c r="R988" s="405"/>
      <c r="S988" s="405"/>
      <c r="T988" s="405"/>
      <c r="U988" s="405"/>
      <c r="V988" s="405"/>
      <c r="W988" s="405"/>
      <c r="X988" s="405"/>
      <c r="Y988" s="405"/>
      <c r="Z988" s="405"/>
    </row>
    <row r="989" ht="14.25" customHeight="1">
      <c r="A989" s="406"/>
      <c r="B989" s="402"/>
      <c r="C989" s="402"/>
      <c r="D989" s="402"/>
      <c r="E989" s="402"/>
      <c r="F989" s="587"/>
      <c r="G989" s="403"/>
      <c r="H989" s="402"/>
      <c r="I989" s="402"/>
      <c r="J989" s="402"/>
      <c r="K989" s="402"/>
      <c r="L989" s="402"/>
      <c r="M989" s="402"/>
      <c r="N989" s="402"/>
      <c r="O989" s="402"/>
      <c r="P989" s="405"/>
      <c r="Q989" s="405"/>
      <c r="R989" s="405"/>
      <c r="S989" s="405"/>
      <c r="T989" s="405"/>
      <c r="U989" s="405"/>
      <c r="V989" s="405"/>
      <c r="W989" s="405"/>
      <c r="X989" s="405"/>
      <c r="Y989" s="405"/>
      <c r="Z989" s="405"/>
    </row>
    <row r="990" ht="14.25" customHeight="1">
      <c r="A990" s="406"/>
      <c r="B990" s="402"/>
      <c r="C990" s="402"/>
      <c r="D990" s="402"/>
      <c r="E990" s="402"/>
      <c r="F990" s="587"/>
      <c r="G990" s="403"/>
      <c r="H990" s="402"/>
      <c r="I990" s="402"/>
      <c r="J990" s="402"/>
      <c r="K990" s="402"/>
      <c r="L990" s="402"/>
      <c r="M990" s="402"/>
      <c r="N990" s="402"/>
      <c r="O990" s="402"/>
      <c r="P990" s="405"/>
      <c r="Q990" s="405"/>
      <c r="R990" s="405"/>
      <c r="S990" s="405"/>
      <c r="T990" s="405"/>
      <c r="U990" s="405"/>
      <c r="V990" s="405"/>
      <c r="W990" s="405"/>
      <c r="X990" s="405"/>
      <c r="Y990" s="405"/>
      <c r="Z990" s="405"/>
    </row>
    <row r="991" ht="14.25" customHeight="1">
      <c r="A991" s="406"/>
      <c r="B991" s="402"/>
      <c r="C991" s="402"/>
      <c r="D991" s="402"/>
      <c r="E991" s="402"/>
      <c r="F991" s="587"/>
      <c r="G991" s="403"/>
      <c r="H991" s="402"/>
      <c r="I991" s="402"/>
      <c r="J991" s="402"/>
      <c r="K991" s="402"/>
      <c r="L991" s="402"/>
      <c r="M991" s="402"/>
      <c r="N991" s="402"/>
      <c r="O991" s="402"/>
      <c r="P991" s="405"/>
      <c r="Q991" s="405"/>
      <c r="R991" s="405"/>
      <c r="S991" s="405"/>
      <c r="T991" s="405"/>
      <c r="U991" s="405"/>
      <c r="V991" s="405"/>
      <c r="W991" s="405"/>
      <c r="X991" s="405"/>
      <c r="Y991" s="405"/>
      <c r="Z991" s="405"/>
    </row>
    <row r="992" ht="14.25" customHeight="1">
      <c r="A992" s="406"/>
      <c r="B992" s="402"/>
      <c r="C992" s="402"/>
      <c r="D992" s="402"/>
      <c r="E992" s="402"/>
      <c r="F992" s="587"/>
      <c r="G992" s="403"/>
      <c r="H992" s="402"/>
      <c r="I992" s="402"/>
      <c r="J992" s="402"/>
      <c r="K992" s="402"/>
      <c r="L992" s="402"/>
      <c r="M992" s="402"/>
      <c r="N992" s="402"/>
      <c r="O992" s="402"/>
      <c r="P992" s="405"/>
      <c r="Q992" s="405"/>
      <c r="R992" s="405"/>
      <c r="S992" s="405"/>
      <c r="T992" s="405"/>
      <c r="U992" s="405"/>
      <c r="V992" s="405"/>
      <c r="W992" s="405"/>
      <c r="X992" s="405"/>
      <c r="Y992" s="405"/>
      <c r="Z992" s="405"/>
    </row>
    <row r="993" ht="14.25" customHeight="1">
      <c r="A993" s="406"/>
      <c r="B993" s="402"/>
      <c r="C993" s="402"/>
      <c r="D993" s="402"/>
      <c r="E993" s="402"/>
      <c r="F993" s="587"/>
      <c r="G993" s="403"/>
      <c r="H993" s="402"/>
      <c r="I993" s="402"/>
      <c r="J993" s="402"/>
      <c r="K993" s="402"/>
      <c r="L993" s="402"/>
      <c r="M993" s="402"/>
      <c r="N993" s="402"/>
      <c r="O993" s="402"/>
      <c r="P993" s="405"/>
      <c r="Q993" s="405"/>
      <c r="R993" s="405"/>
      <c r="S993" s="405"/>
      <c r="T993" s="405"/>
      <c r="U993" s="405"/>
      <c r="V993" s="405"/>
      <c r="W993" s="405"/>
      <c r="X993" s="405"/>
      <c r="Y993" s="405"/>
      <c r="Z993" s="405"/>
    </row>
    <row r="994" ht="14.25" customHeight="1">
      <c r="A994" s="406"/>
      <c r="B994" s="402"/>
      <c r="C994" s="402"/>
      <c r="D994" s="402"/>
      <c r="E994" s="402"/>
      <c r="F994" s="587"/>
      <c r="G994" s="403"/>
      <c r="H994" s="402"/>
      <c r="I994" s="402"/>
      <c r="J994" s="402"/>
      <c r="K994" s="402"/>
      <c r="L994" s="402"/>
      <c r="M994" s="402"/>
      <c r="N994" s="402"/>
      <c r="O994" s="402"/>
      <c r="P994" s="405"/>
      <c r="Q994" s="405"/>
      <c r="R994" s="405"/>
      <c r="S994" s="405"/>
      <c r="T994" s="405"/>
      <c r="U994" s="405"/>
      <c r="V994" s="405"/>
      <c r="W994" s="405"/>
      <c r="X994" s="405"/>
      <c r="Y994" s="405"/>
      <c r="Z994" s="405"/>
    </row>
    <row r="995" ht="14.25" customHeight="1">
      <c r="A995" s="406"/>
      <c r="B995" s="402"/>
      <c r="C995" s="402"/>
      <c r="D995" s="402"/>
      <c r="E995" s="402"/>
      <c r="F995" s="587"/>
      <c r="G995" s="403"/>
      <c r="H995" s="402"/>
      <c r="I995" s="402"/>
      <c r="J995" s="402"/>
      <c r="K995" s="402"/>
      <c r="L995" s="402"/>
      <c r="M995" s="402"/>
      <c r="N995" s="402"/>
      <c r="O995" s="402"/>
      <c r="P995" s="405"/>
      <c r="Q995" s="405"/>
      <c r="R995" s="405"/>
      <c r="S995" s="405"/>
      <c r="T995" s="405"/>
      <c r="U995" s="405"/>
      <c r="V995" s="405"/>
      <c r="W995" s="405"/>
      <c r="X995" s="405"/>
      <c r="Y995" s="405"/>
      <c r="Z995" s="405"/>
    </row>
    <row r="996" ht="14.25" customHeight="1">
      <c r="A996" s="406"/>
      <c r="B996" s="402"/>
      <c r="C996" s="402"/>
      <c r="D996" s="402"/>
      <c r="E996" s="402"/>
      <c r="F996" s="587"/>
      <c r="G996" s="403"/>
      <c r="H996" s="402"/>
      <c r="I996" s="402"/>
      <c r="J996" s="402"/>
      <c r="K996" s="402"/>
      <c r="L996" s="402"/>
      <c r="M996" s="402"/>
      <c r="N996" s="402"/>
      <c r="O996" s="402"/>
      <c r="P996" s="405"/>
      <c r="Q996" s="405"/>
      <c r="R996" s="405"/>
      <c r="S996" s="405"/>
      <c r="T996" s="405"/>
      <c r="U996" s="405"/>
      <c r="V996" s="405"/>
      <c r="W996" s="405"/>
      <c r="X996" s="405"/>
      <c r="Y996" s="405"/>
      <c r="Z996" s="405"/>
    </row>
    <row r="997" ht="14.25" customHeight="1">
      <c r="A997" s="406"/>
      <c r="B997" s="402"/>
      <c r="C997" s="402"/>
      <c r="D997" s="402"/>
      <c r="E997" s="402"/>
      <c r="F997" s="587"/>
      <c r="G997" s="403"/>
      <c r="H997" s="402"/>
      <c r="I997" s="402"/>
      <c r="J997" s="402"/>
      <c r="K997" s="402"/>
      <c r="L997" s="402"/>
      <c r="M997" s="402"/>
      <c r="N997" s="402"/>
      <c r="O997" s="402"/>
      <c r="P997" s="405"/>
      <c r="Q997" s="405"/>
      <c r="R997" s="405"/>
      <c r="S997" s="405"/>
      <c r="T997" s="405"/>
      <c r="U997" s="405"/>
      <c r="V997" s="405"/>
      <c r="W997" s="405"/>
      <c r="X997" s="405"/>
      <c r="Y997" s="405"/>
      <c r="Z997" s="405"/>
    </row>
    <row r="998" ht="14.25" customHeight="1">
      <c r="A998" s="406"/>
      <c r="B998" s="402"/>
      <c r="C998" s="402"/>
      <c r="D998" s="402"/>
      <c r="E998" s="402"/>
      <c r="F998" s="587"/>
      <c r="G998" s="403"/>
      <c r="H998" s="402"/>
      <c r="I998" s="402"/>
      <c r="J998" s="402"/>
      <c r="K998" s="402"/>
      <c r="L998" s="402"/>
      <c r="M998" s="402"/>
      <c r="N998" s="402"/>
      <c r="O998" s="402"/>
      <c r="P998" s="405"/>
      <c r="Q998" s="405"/>
      <c r="R998" s="405"/>
      <c r="S998" s="405"/>
      <c r="T998" s="405"/>
      <c r="U998" s="405"/>
      <c r="V998" s="405"/>
      <c r="W998" s="405"/>
      <c r="X998" s="405"/>
      <c r="Y998" s="405"/>
      <c r="Z998" s="405"/>
    </row>
    <row r="999" ht="14.25" customHeight="1">
      <c r="A999" s="406"/>
      <c r="B999" s="402"/>
      <c r="C999" s="402"/>
      <c r="D999" s="402"/>
      <c r="E999" s="402"/>
      <c r="F999" s="587"/>
      <c r="G999" s="403"/>
      <c r="H999" s="402"/>
      <c r="I999" s="402"/>
      <c r="J999" s="402"/>
      <c r="K999" s="402"/>
      <c r="L999" s="402"/>
      <c r="M999" s="402"/>
      <c r="N999" s="402"/>
      <c r="O999" s="402"/>
      <c r="P999" s="405"/>
      <c r="Q999" s="405"/>
      <c r="R999" s="405"/>
      <c r="S999" s="405"/>
      <c r="T999" s="405"/>
      <c r="U999" s="405"/>
      <c r="V999" s="405"/>
      <c r="W999" s="405"/>
      <c r="X999" s="405"/>
      <c r="Y999" s="405"/>
      <c r="Z999" s="405"/>
    </row>
    <row r="1000" ht="14.25" customHeight="1">
      <c r="A1000" s="406"/>
      <c r="B1000" s="402"/>
      <c r="C1000" s="402"/>
      <c r="D1000" s="402"/>
      <c r="E1000" s="402"/>
      <c r="F1000" s="587"/>
      <c r="G1000" s="403"/>
      <c r="H1000" s="402"/>
      <c r="I1000" s="402"/>
      <c r="J1000" s="402"/>
      <c r="K1000" s="402"/>
      <c r="L1000" s="402"/>
      <c r="M1000" s="402"/>
      <c r="N1000" s="402"/>
      <c r="O1000" s="402"/>
      <c r="P1000" s="405"/>
      <c r="Q1000" s="405"/>
      <c r="R1000" s="405"/>
      <c r="S1000" s="405"/>
      <c r="T1000" s="405"/>
      <c r="U1000" s="405"/>
      <c r="V1000" s="405"/>
      <c r="W1000" s="405"/>
      <c r="X1000" s="405"/>
      <c r="Y1000" s="405"/>
      <c r="Z1000" s="405"/>
    </row>
    <row r="1001" ht="14.25" customHeight="1">
      <c r="A1001" s="406"/>
      <c r="B1001" s="402"/>
      <c r="C1001" s="402"/>
      <c r="D1001" s="402"/>
      <c r="E1001" s="402"/>
      <c r="F1001" s="587"/>
      <c r="G1001" s="403"/>
      <c r="H1001" s="402"/>
      <c r="I1001" s="402"/>
      <c r="J1001" s="402"/>
      <c r="K1001" s="402"/>
      <c r="L1001" s="402"/>
      <c r="M1001" s="402"/>
      <c r="N1001" s="402"/>
      <c r="O1001" s="402"/>
      <c r="P1001" s="405"/>
      <c r="Q1001" s="405"/>
      <c r="R1001" s="405"/>
      <c r="S1001" s="405"/>
      <c r="T1001" s="405"/>
      <c r="U1001" s="405"/>
      <c r="V1001" s="405"/>
      <c r="W1001" s="405"/>
      <c r="X1001" s="405"/>
      <c r="Y1001" s="405"/>
      <c r="Z1001" s="405"/>
    </row>
    <row r="1002" ht="14.25" customHeight="1">
      <c r="A1002" s="406"/>
      <c r="B1002" s="402"/>
      <c r="C1002" s="402"/>
      <c r="D1002" s="402"/>
      <c r="E1002" s="402"/>
      <c r="F1002" s="587"/>
      <c r="G1002" s="403"/>
      <c r="H1002" s="402"/>
      <c r="I1002" s="402"/>
      <c r="J1002" s="402"/>
      <c r="K1002" s="402"/>
      <c r="L1002" s="402"/>
      <c r="M1002" s="402"/>
      <c r="N1002" s="402"/>
      <c r="O1002" s="402"/>
      <c r="P1002" s="405"/>
      <c r="Q1002" s="405"/>
      <c r="R1002" s="405"/>
      <c r="S1002" s="405"/>
      <c r="T1002" s="405"/>
      <c r="U1002" s="405"/>
      <c r="V1002" s="405"/>
      <c r="W1002" s="405"/>
      <c r="X1002" s="405"/>
      <c r="Y1002" s="405"/>
      <c r="Z1002" s="405"/>
    </row>
    <row r="1003" ht="14.25" customHeight="1">
      <c r="A1003" s="406"/>
      <c r="B1003" s="402"/>
      <c r="C1003" s="402"/>
      <c r="D1003" s="402"/>
      <c r="E1003" s="402"/>
      <c r="F1003" s="587"/>
      <c r="G1003" s="403"/>
      <c r="H1003" s="402"/>
      <c r="I1003" s="402"/>
      <c r="J1003" s="402"/>
      <c r="K1003" s="402"/>
      <c r="L1003" s="402"/>
      <c r="M1003" s="402"/>
      <c r="N1003" s="402"/>
      <c r="O1003" s="402"/>
      <c r="P1003" s="405"/>
      <c r="Q1003" s="405"/>
      <c r="R1003" s="405"/>
      <c r="S1003" s="405"/>
      <c r="T1003" s="405"/>
      <c r="U1003" s="405"/>
      <c r="V1003" s="405"/>
      <c r="W1003" s="405"/>
      <c r="X1003" s="405"/>
      <c r="Y1003" s="405"/>
      <c r="Z1003" s="405"/>
    </row>
    <row r="1004" ht="14.25" customHeight="1">
      <c r="A1004" s="406"/>
      <c r="B1004" s="402"/>
      <c r="C1004" s="402"/>
      <c r="D1004" s="402"/>
      <c r="E1004" s="402"/>
      <c r="F1004" s="587"/>
      <c r="G1004" s="403"/>
      <c r="H1004" s="402"/>
      <c r="I1004" s="402"/>
      <c r="J1004" s="402"/>
      <c r="K1004" s="402"/>
      <c r="L1004" s="402"/>
      <c r="M1004" s="402"/>
      <c r="N1004" s="402"/>
      <c r="O1004" s="402"/>
      <c r="P1004" s="405"/>
      <c r="Q1004" s="405"/>
      <c r="R1004" s="405"/>
      <c r="S1004" s="405"/>
      <c r="T1004" s="405"/>
      <c r="U1004" s="405"/>
      <c r="V1004" s="405"/>
      <c r="W1004" s="405"/>
      <c r="X1004" s="405"/>
      <c r="Y1004" s="405"/>
      <c r="Z1004" s="405"/>
    </row>
    <row r="1005" ht="14.25" customHeight="1">
      <c r="A1005" s="406"/>
      <c r="B1005" s="402"/>
      <c r="C1005" s="402"/>
      <c r="D1005" s="402"/>
      <c r="E1005" s="402"/>
      <c r="F1005" s="587"/>
      <c r="G1005" s="403"/>
      <c r="H1005" s="402"/>
      <c r="I1005" s="402"/>
      <c r="J1005" s="402"/>
      <c r="K1005" s="402"/>
      <c r="L1005" s="402"/>
      <c r="M1005" s="402"/>
      <c r="N1005" s="402"/>
      <c r="O1005" s="402"/>
      <c r="P1005" s="405"/>
      <c r="Q1005" s="405"/>
      <c r="R1005" s="405"/>
      <c r="S1005" s="405"/>
      <c r="T1005" s="405"/>
      <c r="U1005" s="405"/>
      <c r="V1005" s="405"/>
      <c r="W1005" s="405"/>
      <c r="X1005" s="405"/>
      <c r="Y1005" s="405"/>
      <c r="Z1005" s="405"/>
    </row>
    <row r="1006" ht="14.25" customHeight="1">
      <c r="A1006" s="406"/>
      <c r="B1006" s="402"/>
      <c r="C1006" s="402"/>
      <c r="D1006" s="402"/>
      <c r="E1006" s="402"/>
      <c r="F1006" s="587"/>
      <c r="G1006" s="403"/>
      <c r="H1006" s="402"/>
      <c r="I1006" s="402"/>
      <c r="J1006" s="402"/>
      <c r="K1006" s="402"/>
      <c r="L1006" s="402"/>
      <c r="M1006" s="402"/>
      <c r="N1006" s="402"/>
      <c r="O1006" s="402"/>
      <c r="P1006" s="405"/>
      <c r="Q1006" s="405"/>
      <c r="R1006" s="405"/>
      <c r="S1006" s="405"/>
      <c r="T1006" s="405"/>
      <c r="U1006" s="405"/>
      <c r="V1006" s="405"/>
      <c r="W1006" s="405"/>
      <c r="X1006" s="405"/>
      <c r="Y1006" s="405"/>
      <c r="Z1006" s="405"/>
    </row>
    <row r="1007" ht="14.25" customHeight="1">
      <c r="A1007" s="406"/>
      <c r="B1007" s="402"/>
      <c r="C1007" s="402"/>
      <c r="D1007" s="402"/>
      <c r="E1007" s="402"/>
      <c r="F1007" s="587"/>
      <c r="G1007" s="403"/>
      <c r="H1007" s="402"/>
      <c r="I1007" s="402"/>
      <c r="J1007" s="402"/>
      <c r="K1007" s="402"/>
      <c r="L1007" s="402"/>
      <c r="M1007" s="402"/>
      <c r="N1007" s="402"/>
      <c r="O1007" s="402"/>
      <c r="P1007" s="405"/>
      <c r="Q1007" s="405"/>
      <c r="R1007" s="405"/>
      <c r="S1007" s="405"/>
      <c r="T1007" s="405"/>
      <c r="U1007" s="405"/>
      <c r="V1007" s="405"/>
      <c r="W1007" s="405"/>
      <c r="X1007" s="405"/>
      <c r="Y1007" s="405"/>
      <c r="Z1007" s="405"/>
    </row>
    <row r="1008" ht="14.25" customHeight="1">
      <c r="A1008" s="406"/>
      <c r="B1008" s="402"/>
      <c r="C1008" s="402"/>
      <c r="D1008" s="402"/>
      <c r="E1008" s="402"/>
      <c r="F1008" s="587"/>
      <c r="G1008" s="403"/>
      <c r="H1008" s="402"/>
      <c r="I1008" s="402"/>
      <c r="J1008" s="402"/>
      <c r="K1008" s="402"/>
      <c r="L1008" s="402"/>
      <c r="M1008" s="402"/>
      <c r="N1008" s="402"/>
      <c r="O1008" s="402"/>
      <c r="P1008" s="405"/>
      <c r="Q1008" s="405"/>
      <c r="R1008" s="405"/>
      <c r="S1008" s="405"/>
      <c r="T1008" s="405"/>
      <c r="U1008" s="405"/>
      <c r="V1008" s="405"/>
      <c r="W1008" s="405"/>
      <c r="X1008" s="405"/>
      <c r="Y1008" s="405"/>
      <c r="Z1008" s="405"/>
    </row>
    <row r="1009" ht="14.25" customHeight="1">
      <c r="A1009" s="406"/>
      <c r="B1009" s="402"/>
      <c r="C1009" s="402"/>
      <c r="D1009" s="402"/>
      <c r="E1009" s="402"/>
      <c r="F1009" s="587"/>
      <c r="G1009" s="403"/>
      <c r="H1009" s="402"/>
      <c r="I1009" s="402"/>
      <c r="J1009" s="402"/>
      <c r="K1009" s="402"/>
      <c r="L1009" s="402"/>
      <c r="M1009" s="402"/>
      <c r="N1009" s="402"/>
      <c r="O1009" s="402"/>
      <c r="P1009" s="405"/>
      <c r="Q1009" s="405"/>
      <c r="R1009" s="405"/>
      <c r="S1009" s="405"/>
      <c r="T1009" s="405"/>
      <c r="U1009" s="405"/>
      <c r="V1009" s="405"/>
      <c r="W1009" s="405"/>
      <c r="X1009" s="405"/>
      <c r="Y1009" s="405"/>
      <c r="Z1009" s="405"/>
    </row>
    <row r="1010" ht="14.25" customHeight="1">
      <c r="A1010" s="406"/>
      <c r="B1010" s="402"/>
      <c r="C1010" s="402"/>
      <c r="D1010" s="402"/>
      <c r="E1010" s="402"/>
      <c r="F1010" s="587"/>
      <c r="G1010" s="403"/>
      <c r="H1010" s="402"/>
      <c r="I1010" s="402"/>
      <c r="J1010" s="402"/>
      <c r="K1010" s="402"/>
      <c r="L1010" s="402"/>
      <c r="M1010" s="402"/>
      <c r="N1010" s="402"/>
      <c r="O1010" s="402"/>
      <c r="P1010" s="405"/>
      <c r="Q1010" s="405"/>
      <c r="R1010" s="405"/>
      <c r="S1010" s="405"/>
      <c r="T1010" s="405"/>
      <c r="U1010" s="405"/>
      <c r="V1010" s="405"/>
      <c r="W1010" s="405"/>
      <c r="X1010" s="405"/>
      <c r="Y1010" s="405"/>
      <c r="Z1010" s="405"/>
    </row>
    <row r="1011" ht="14.25" customHeight="1">
      <c r="A1011" s="406"/>
      <c r="B1011" s="402"/>
      <c r="C1011" s="402"/>
      <c r="D1011" s="402"/>
      <c r="E1011" s="402"/>
      <c r="F1011" s="587"/>
      <c r="G1011" s="403"/>
      <c r="H1011" s="402"/>
      <c r="I1011" s="402"/>
      <c r="J1011" s="402"/>
      <c r="K1011" s="402"/>
      <c r="L1011" s="402"/>
      <c r="M1011" s="402"/>
      <c r="N1011" s="402"/>
      <c r="O1011" s="402"/>
      <c r="P1011" s="405"/>
      <c r="Q1011" s="405"/>
      <c r="R1011" s="405"/>
      <c r="S1011" s="405"/>
      <c r="T1011" s="405"/>
      <c r="U1011" s="405"/>
      <c r="V1011" s="405"/>
      <c r="W1011" s="405"/>
      <c r="X1011" s="405"/>
      <c r="Y1011" s="405"/>
      <c r="Z1011" s="405"/>
    </row>
    <row r="1012" ht="14.25" customHeight="1">
      <c r="A1012" s="406"/>
      <c r="B1012" s="402"/>
      <c r="C1012" s="402"/>
      <c r="D1012" s="402"/>
      <c r="E1012" s="402"/>
      <c r="F1012" s="587"/>
      <c r="G1012" s="403"/>
      <c r="H1012" s="402"/>
      <c r="I1012" s="402"/>
      <c r="J1012" s="402"/>
      <c r="K1012" s="402"/>
      <c r="L1012" s="402"/>
      <c r="M1012" s="402"/>
      <c r="N1012" s="402"/>
      <c r="O1012" s="402"/>
      <c r="P1012" s="405"/>
      <c r="Q1012" s="405"/>
      <c r="R1012" s="405"/>
      <c r="S1012" s="405"/>
      <c r="T1012" s="405"/>
      <c r="U1012" s="405"/>
      <c r="V1012" s="405"/>
      <c r="W1012" s="405"/>
      <c r="X1012" s="405"/>
      <c r="Y1012" s="405"/>
      <c r="Z1012" s="405"/>
    </row>
    <row r="1013" ht="14.25" customHeight="1">
      <c r="A1013" s="406"/>
      <c r="B1013" s="402"/>
      <c r="C1013" s="402"/>
      <c r="D1013" s="402"/>
      <c r="E1013" s="402"/>
      <c r="F1013" s="587"/>
      <c r="G1013" s="403"/>
      <c r="H1013" s="402"/>
      <c r="I1013" s="402"/>
      <c r="J1013" s="402"/>
      <c r="K1013" s="402"/>
      <c r="L1013" s="402"/>
      <c r="M1013" s="402"/>
      <c r="N1013" s="402"/>
      <c r="O1013" s="402"/>
      <c r="P1013" s="405"/>
      <c r="Q1013" s="405"/>
      <c r="R1013" s="405"/>
      <c r="S1013" s="405"/>
      <c r="T1013" s="405"/>
      <c r="U1013" s="405"/>
      <c r="V1013" s="405"/>
      <c r="W1013" s="405"/>
      <c r="X1013" s="405"/>
      <c r="Y1013" s="405"/>
      <c r="Z1013" s="405"/>
    </row>
    <row r="1014" ht="14.25" customHeight="1">
      <c r="A1014" s="406"/>
      <c r="B1014" s="402"/>
      <c r="C1014" s="402"/>
      <c r="D1014" s="402"/>
      <c r="E1014" s="402"/>
      <c r="F1014" s="587"/>
      <c r="G1014" s="403"/>
      <c r="H1014" s="402"/>
      <c r="I1014" s="402"/>
      <c r="J1014" s="402"/>
      <c r="K1014" s="402"/>
      <c r="L1014" s="402"/>
      <c r="M1014" s="402"/>
      <c r="N1014" s="402"/>
      <c r="O1014" s="402"/>
      <c r="P1014" s="405"/>
      <c r="Q1014" s="405"/>
      <c r="R1014" s="405"/>
      <c r="S1014" s="405"/>
      <c r="T1014" s="405"/>
      <c r="U1014" s="405"/>
      <c r="V1014" s="405"/>
      <c r="W1014" s="405"/>
      <c r="X1014" s="405"/>
      <c r="Y1014" s="405"/>
      <c r="Z1014" s="405"/>
    </row>
    <row r="1015" ht="14.25" customHeight="1">
      <c r="A1015" s="406"/>
      <c r="B1015" s="402"/>
      <c r="C1015" s="402"/>
      <c r="D1015" s="402"/>
      <c r="E1015" s="402"/>
      <c r="F1015" s="587"/>
      <c r="G1015" s="403"/>
      <c r="H1015" s="402"/>
      <c r="I1015" s="402"/>
      <c r="J1015" s="402"/>
      <c r="K1015" s="402"/>
      <c r="L1015" s="402"/>
      <c r="M1015" s="402"/>
      <c r="N1015" s="402"/>
      <c r="O1015" s="402"/>
      <c r="P1015" s="405"/>
      <c r="Q1015" s="405"/>
      <c r="R1015" s="405"/>
      <c r="S1015" s="405"/>
      <c r="T1015" s="405"/>
      <c r="U1015" s="405"/>
      <c r="V1015" s="405"/>
      <c r="W1015" s="405"/>
      <c r="X1015" s="405"/>
      <c r="Y1015" s="405"/>
      <c r="Z1015" s="405"/>
    </row>
    <row r="1016" ht="14.25" customHeight="1">
      <c r="A1016" s="406"/>
      <c r="B1016" s="402"/>
      <c r="C1016" s="402"/>
      <c r="D1016" s="402"/>
      <c r="E1016" s="402"/>
      <c r="F1016" s="587"/>
      <c r="G1016" s="403"/>
      <c r="H1016" s="402"/>
      <c r="I1016" s="402"/>
      <c r="J1016" s="402"/>
      <c r="K1016" s="402"/>
      <c r="L1016" s="402"/>
      <c r="M1016" s="402"/>
      <c r="N1016" s="402"/>
      <c r="O1016" s="402"/>
      <c r="P1016" s="405"/>
      <c r="Q1016" s="405"/>
      <c r="R1016" s="405"/>
      <c r="S1016" s="405"/>
      <c r="T1016" s="405"/>
      <c r="U1016" s="405"/>
      <c r="V1016" s="405"/>
      <c r="W1016" s="405"/>
      <c r="X1016" s="405"/>
      <c r="Y1016" s="405"/>
      <c r="Z1016" s="405"/>
    </row>
    <row r="1017" ht="14.25" customHeight="1">
      <c r="A1017" s="406"/>
      <c r="B1017" s="402"/>
      <c r="C1017" s="402"/>
      <c r="D1017" s="402"/>
      <c r="E1017" s="402"/>
      <c r="F1017" s="587"/>
      <c r="G1017" s="403"/>
      <c r="H1017" s="402"/>
      <c r="I1017" s="402"/>
      <c r="J1017" s="402"/>
      <c r="K1017" s="402"/>
      <c r="L1017" s="402"/>
      <c r="M1017" s="402"/>
      <c r="N1017" s="402"/>
      <c r="O1017" s="402"/>
      <c r="P1017" s="405"/>
      <c r="Q1017" s="405"/>
      <c r="R1017" s="405"/>
      <c r="S1017" s="405"/>
      <c r="T1017" s="405"/>
      <c r="U1017" s="405"/>
      <c r="V1017" s="405"/>
      <c r="W1017" s="405"/>
      <c r="X1017" s="405"/>
      <c r="Y1017" s="405"/>
      <c r="Z1017" s="405"/>
    </row>
    <row r="1018" ht="14.25" customHeight="1">
      <c r="A1018" s="406"/>
      <c r="B1018" s="402"/>
      <c r="C1018" s="402"/>
      <c r="D1018" s="402"/>
      <c r="E1018" s="402"/>
      <c r="F1018" s="587"/>
      <c r="G1018" s="403"/>
      <c r="H1018" s="402"/>
      <c r="I1018" s="402"/>
      <c r="J1018" s="402"/>
      <c r="K1018" s="402"/>
      <c r="L1018" s="402"/>
      <c r="M1018" s="402"/>
      <c r="N1018" s="402"/>
      <c r="O1018" s="402"/>
      <c r="P1018" s="405"/>
      <c r="Q1018" s="405"/>
      <c r="R1018" s="405"/>
      <c r="S1018" s="405"/>
      <c r="T1018" s="405"/>
      <c r="U1018" s="405"/>
      <c r="V1018" s="405"/>
      <c r="W1018" s="405"/>
      <c r="X1018" s="405"/>
      <c r="Y1018" s="405"/>
      <c r="Z1018" s="405"/>
    </row>
    <row r="1019" ht="14.25" customHeight="1">
      <c r="A1019" s="406"/>
      <c r="B1019" s="402"/>
      <c r="C1019" s="402"/>
      <c r="D1019" s="402"/>
      <c r="E1019" s="402"/>
      <c r="F1019" s="587"/>
      <c r="G1019" s="403"/>
      <c r="H1019" s="402"/>
      <c r="I1019" s="402"/>
      <c r="J1019" s="402"/>
      <c r="K1019" s="402"/>
      <c r="L1019" s="402"/>
      <c r="M1019" s="402"/>
      <c r="N1019" s="402"/>
      <c r="O1019" s="402"/>
      <c r="P1019" s="405"/>
      <c r="Q1019" s="405"/>
      <c r="R1019" s="405"/>
      <c r="S1019" s="405"/>
      <c r="T1019" s="405"/>
      <c r="U1019" s="405"/>
      <c r="V1019" s="405"/>
      <c r="W1019" s="405"/>
      <c r="X1019" s="405"/>
      <c r="Y1019" s="405"/>
      <c r="Z1019" s="405"/>
    </row>
    <row r="1020" ht="14.25" customHeight="1">
      <c r="A1020" s="406"/>
      <c r="B1020" s="402"/>
      <c r="C1020" s="402"/>
      <c r="D1020" s="402"/>
      <c r="E1020" s="402"/>
      <c r="F1020" s="587"/>
      <c r="G1020" s="403"/>
      <c r="H1020" s="402"/>
      <c r="I1020" s="402"/>
      <c r="J1020" s="402"/>
      <c r="K1020" s="402"/>
      <c r="L1020" s="402"/>
      <c r="M1020" s="402"/>
      <c r="N1020" s="402"/>
      <c r="O1020" s="402"/>
      <c r="P1020" s="405"/>
      <c r="Q1020" s="405"/>
      <c r="R1020" s="405"/>
      <c r="S1020" s="405"/>
      <c r="T1020" s="405"/>
      <c r="U1020" s="405"/>
      <c r="V1020" s="405"/>
      <c r="W1020" s="405"/>
      <c r="X1020" s="405"/>
      <c r="Y1020" s="405"/>
      <c r="Z1020" s="405"/>
    </row>
    <row r="1021" ht="14.25" customHeight="1">
      <c r="A1021" s="406"/>
      <c r="B1021" s="402"/>
      <c r="C1021" s="402"/>
      <c r="D1021" s="402"/>
      <c r="E1021" s="402"/>
      <c r="F1021" s="587"/>
      <c r="G1021" s="403"/>
      <c r="H1021" s="402"/>
      <c r="I1021" s="402"/>
      <c r="J1021" s="402"/>
      <c r="K1021" s="402"/>
      <c r="L1021" s="402"/>
      <c r="M1021" s="402"/>
      <c r="N1021" s="402"/>
      <c r="O1021" s="402"/>
      <c r="P1021" s="405"/>
      <c r="Q1021" s="405"/>
      <c r="R1021" s="405"/>
      <c r="S1021" s="405"/>
      <c r="T1021" s="405"/>
      <c r="U1021" s="405"/>
      <c r="V1021" s="405"/>
      <c r="W1021" s="405"/>
      <c r="X1021" s="405"/>
      <c r="Y1021" s="405"/>
      <c r="Z1021" s="405"/>
    </row>
    <row r="1022" ht="14.25" customHeight="1">
      <c r="A1022" s="406"/>
      <c r="B1022" s="402"/>
      <c r="C1022" s="402"/>
      <c r="D1022" s="402"/>
      <c r="E1022" s="402"/>
      <c r="F1022" s="587"/>
      <c r="G1022" s="403"/>
      <c r="H1022" s="402"/>
      <c r="I1022" s="402"/>
      <c r="J1022" s="402"/>
      <c r="K1022" s="402"/>
      <c r="L1022" s="402"/>
      <c r="M1022" s="402"/>
      <c r="N1022" s="402"/>
      <c r="O1022" s="402"/>
      <c r="P1022" s="405"/>
      <c r="Q1022" s="405"/>
      <c r="R1022" s="405"/>
      <c r="S1022" s="405"/>
      <c r="T1022" s="405"/>
      <c r="U1022" s="405"/>
      <c r="V1022" s="405"/>
      <c r="W1022" s="405"/>
      <c r="X1022" s="405"/>
      <c r="Y1022" s="405"/>
      <c r="Z1022" s="405"/>
    </row>
    <row r="1023" ht="14.25" customHeight="1">
      <c r="A1023" s="406"/>
      <c r="B1023" s="402"/>
      <c r="C1023" s="402"/>
      <c r="D1023" s="402"/>
      <c r="E1023" s="402"/>
      <c r="F1023" s="587"/>
      <c r="G1023" s="403"/>
      <c r="H1023" s="402"/>
      <c r="I1023" s="402"/>
      <c r="J1023" s="402"/>
      <c r="K1023" s="402"/>
      <c r="L1023" s="402"/>
      <c r="M1023" s="402"/>
      <c r="N1023" s="402"/>
      <c r="O1023" s="402"/>
      <c r="P1023" s="405"/>
      <c r="Q1023" s="405"/>
      <c r="R1023" s="405"/>
      <c r="S1023" s="405"/>
      <c r="T1023" s="405"/>
      <c r="U1023" s="405"/>
      <c r="V1023" s="405"/>
      <c r="W1023" s="405"/>
      <c r="X1023" s="405"/>
      <c r="Y1023" s="405"/>
      <c r="Z1023" s="405"/>
    </row>
    <row r="1024" ht="14.25" customHeight="1">
      <c r="A1024" s="406"/>
      <c r="B1024" s="402"/>
      <c r="C1024" s="402"/>
      <c r="D1024" s="402"/>
      <c r="E1024" s="402"/>
      <c r="F1024" s="587"/>
      <c r="G1024" s="403"/>
      <c r="H1024" s="402"/>
      <c r="I1024" s="402"/>
      <c r="J1024" s="402"/>
      <c r="K1024" s="402"/>
      <c r="L1024" s="402"/>
      <c r="M1024" s="402"/>
      <c r="N1024" s="402"/>
      <c r="O1024" s="402"/>
      <c r="P1024" s="405"/>
      <c r="Q1024" s="405"/>
      <c r="R1024" s="405"/>
      <c r="S1024" s="405"/>
      <c r="T1024" s="405"/>
      <c r="U1024" s="405"/>
      <c r="V1024" s="405"/>
      <c r="W1024" s="405"/>
      <c r="X1024" s="405"/>
      <c r="Y1024" s="405"/>
      <c r="Z1024" s="405"/>
    </row>
    <row r="1025" ht="14.25" customHeight="1">
      <c r="A1025" s="406"/>
      <c r="B1025" s="402"/>
      <c r="C1025" s="402"/>
      <c r="D1025" s="402"/>
      <c r="E1025" s="402"/>
      <c r="F1025" s="587"/>
      <c r="G1025" s="403"/>
      <c r="H1025" s="402"/>
      <c r="I1025" s="402"/>
      <c r="J1025" s="402"/>
      <c r="K1025" s="402"/>
      <c r="L1025" s="402"/>
      <c r="M1025" s="402"/>
      <c r="N1025" s="402"/>
      <c r="O1025" s="402"/>
      <c r="P1025" s="405"/>
      <c r="Q1025" s="405"/>
      <c r="R1025" s="405"/>
      <c r="S1025" s="405"/>
      <c r="T1025" s="405"/>
      <c r="U1025" s="405"/>
      <c r="V1025" s="405"/>
      <c r="W1025" s="405"/>
      <c r="X1025" s="405"/>
      <c r="Y1025" s="405"/>
      <c r="Z1025" s="405"/>
    </row>
    <row r="1026" ht="14.25" customHeight="1">
      <c r="A1026" s="406"/>
      <c r="B1026" s="402"/>
      <c r="C1026" s="402"/>
      <c r="D1026" s="402"/>
      <c r="E1026" s="402"/>
      <c r="F1026" s="587"/>
      <c r="G1026" s="403"/>
      <c r="H1026" s="402"/>
      <c r="I1026" s="402"/>
      <c r="J1026" s="402"/>
      <c r="K1026" s="402"/>
      <c r="L1026" s="402"/>
      <c r="M1026" s="402"/>
      <c r="N1026" s="402"/>
      <c r="O1026" s="402"/>
      <c r="P1026" s="405"/>
      <c r="Q1026" s="405"/>
      <c r="R1026" s="405"/>
      <c r="S1026" s="405"/>
      <c r="T1026" s="405"/>
      <c r="U1026" s="405"/>
      <c r="V1026" s="405"/>
      <c r="W1026" s="405"/>
      <c r="X1026" s="405"/>
      <c r="Y1026" s="405"/>
      <c r="Z1026" s="405"/>
    </row>
    <row r="1027" ht="14.25" customHeight="1">
      <c r="A1027" s="406"/>
      <c r="B1027" s="402"/>
      <c r="C1027" s="402"/>
      <c r="D1027" s="402"/>
      <c r="E1027" s="402"/>
      <c r="F1027" s="587"/>
      <c r="G1027" s="403"/>
      <c r="H1027" s="402"/>
      <c r="I1027" s="402"/>
      <c r="J1027" s="402"/>
      <c r="K1027" s="402"/>
      <c r="L1027" s="402"/>
      <c r="M1027" s="402"/>
      <c r="N1027" s="402"/>
      <c r="O1027" s="402"/>
      <c r="P1027" s="405"/>
      <c r="Q1027" s="405"/>
      <c r="R1027" s="405"/>
      <c r="S1027" s="405"/>
      <c r="T1027" s="405"/>
      <c r="U1027" s="405"/>
      <c r="V1027" s="405"/>
      <c r="W1027" s="405"/>
      <c r="X1027" s="405"/>
      <c r="Y1027" s="405"/>
      <c r="Z1027" s="405"/>
    </row>
    <row r="1028" ht="14.25" customHeight="1">
      <c r="A1028" s="406"/>
      <c r="B1028" s="402"/>
      <c r="C1028" s="402"/>
      <c r="D1028" s="402"/>
      <c r="E1028" s="402"/>
      <c r="F1028" s="587"/>
      <c r="G1028" s="403"/>
      <c r="H1028" s="402"/>
      <c r="I1028" s="402"/>
      <c r="J1028" s="402"/>
      <c r="K1028" s="402"/>
      <c r="L1028" s="402"/>
      <c r="M1028" s="402"/>
      <c r="N1028" s="402"/>
      <c r="O1028" s="402"/>
      <c r="P1028" s="405"/>
      <c r="Q1028" s="405"/>
      <c r="R1028" s="405"/>
      <c r="S1028" s="405"/>
      <c r="T1028" s="405"/>
      <c r="U1028" s="405"/>
      <c r="V1028" s="405"/>
      <c r="W1028" s="405"/>
      <c r="X1028" s="405"/>
      <c r="Y1028" s="405"/>
      <c r="Z1028" s="405"/>
    </row>
    <row r="1029" ht="14.25" customHeight="1">
      <c r="A1029" s="406"/>
      <c r="B1029" s="402"/>
      <c r="C1029" s="402"/>
      <c r="D1029" s="402"/>
      <c r="E1029" s="402"/>
      <c r="F1029" s="587"/>
      <c r="G1029" s="403"/>
      <c r="H1029" s="402"/>
      <c r="I1029" s="402"/>
      <c r="J1029" s="402"/>
      <c r="K1029" s="402"/>
      <c r="L1029" s="402"/>
      <c r="M1029" s="402"/>
      <c r="N1029" s="402"/>
      <c r="O1029" s="402"/>
      <c r="P1029" s="405"/>
      <c r="Q1029" s="405"/>
      <c r="R1029" s="405"/>
      <c r="S1029" s="405"/>
      <c r="T1029" s="405"/>
      <c r="U1029" s="405"/>
      <c r="V1029" s="405"/>
      <c r="W1029" s="405"/>
      <c r="X1029" s="405"/>
      <c r="Y1029" s="405"/>
      <c r="Z1029" s="405"/>
    </row>
    <row r="1030" ht="14.25" customHeight="1">
      <c r="A1030" s="406"/>
      <c r="B1030" s="402"/>
      <c r="C1030" s="402"/>
      <c r="D1030" s="402"/>
      <c r="E1030" s="402"/>
      <c r="F1030" s="587"/>
      <c r="G1030" s="403"/>
      <c r="H1030" s="402"/>
      <c r="I1030" s="402"/>
      <c r="J1030" s="402"/>
      <c r="K1030" s="402"/>
      <c r="L1030" s="402"/>
      <c r="M1030" s="402"/>
      <c r="N1030" s="402"/>
      <c r="O1030" s="402"/>
      <c r="P1030" s="405"/>
      <c r="Q1030" s="405"/>
      <c r="R1030" s="405"/>
      <c r="S1030" s="405"/>
      <c r="T1030" s="405"/>
      <c r="U1030" s="405"/>
      <c r="V1030" s="405"/>
      <c r="W1030" s="405"/>
      <c r="X1030" s="405"/>
      <c r="Y1030" s="405"/>
      <c r="Z1030" s="405"/>
    </row>
    <row r="1031" ht="14.25" customHeight="1">
      <c r="A1031" s="406"/>
      <c r="B1031" s="402"/>
      <c r="C1031" s="402"/>
      <c r="D1031" s="402"/>
      <c r="E1031" s="402"/>
      <c r="F1031" s="587"/>
      <c r="G1031" s="403"/>
      <c r="H1031" s="402"/>
      <c r="I1031" s="402"/>
      <c r="J1031" s="402"/>
      <c r="K1031" s="402"/>
      <c r="L1031" s="402"/>
      <c r="M1031" s="402"/>
      <c r="N1031" s="402"/>
      <c r="O1031" s="402"/>
      <c r="P1031" s="405"/>
      <c r="Q1031" s="405"/>
      <c r="R1031" s="405"/>
      <c r="S1031" s="405"/>
      <c r="T1031" s="405"/>
      <c r="U1031" s="405"/>
      <c r="V1031" s="405"/>
      <c r="W1031" s="405"/>
      <c r="X1031" s="405"/>
      <c r="Y1031" s="405"/>
      <c r="Z1031" s="405"/>
    </row>
    <row r="1032" ht="14.25" customHeight="1">
      <c r="A1032" s="406"/>
      <c r="B1032" s="402"/>
      <c r="C1032" s="402"/>
      <c r="D1032" s="402"/>
      <c r="E1032" s="402"/>
      <c r="F1032" s="587"/>
      <c r="G1032" s="403"/>
      <c r="H1032" s="402"/>
      <c r="I1032" s="402"/>
      <c r="J1032" s="402"/>
      <c r="K1032" s="402"/>
      <c r="L1032" s="402"/>
      <c r="M1032" s="402"/>
      <c r="N1032" s="402"/>
      <c r="O1032" s="402"/>
      <c r="P1032" s="405"/>
      <c r="Q1032" s="405"/>
      <c r="R1032" s="405"/>
      <c r="S1032" s="405"/>
      <c r="T1032" s="405"/>
      <c r="U1032" s="405"/>
      <c r="V1032" s="405"/>
      <c r="W1032" s="405"/>
      <c r="X1032" s="405"/>
      <c r="Y1032" s="405"/>
      <c r="Z1032" s="405"/>
    </row>
    <row r="1033" ht="14.25" customHeight="1">
      <c r="A1033" s="406"/>
      <c r="B1033" s="402"/>
      <c r="C1033" s="402"/>
      <c r="D1033" s="402"/>
      <c r="E1033" s="402"/>
      <c r="F1033" s="587"/>
      <c r="G1033" s="403"/>
      <c r="H1033" s="402"/>
      <c r="I1033" s="402"/>
      <c r="J1033" s="402"/>
      <c r="K1033" s="402"/>
      <c r="L1033" s="402"/>
      <c r="M1033" s="402"/>
      <c r="N1033" s="402"/>
      <c r="O1033" s="402"/>
      <c r="P1033" s="405"/>
      <c r="Q1033" s="405"/>
      <c r="R1033" s="405"/>
      <c r="S1033" s="405"/>
      <c r="T1033" s="405"/>
      <c r="U1033" s="405"/>
      <c r="V1033" s="405"/>
      <c r="W1033" s="405"/>
      <c r="X1033" s="405"/>
      <c r="Y1033" s="405"/>
      <c r="Z1033" s="405"/>
    </row>
    <row r="1034" ht="14.25" customHeight="1">
      <c r="A1034" s="406"/>
      <c r="B1034" s="402"/>
      <c r="C1034" s="402"/>
      <c r="D1034" s="402"/>
      <c r="E1034" s="402"/>
      <c r="F1034" s="587"/>
      <c r="G1034" s="403"/>
      <c r="H1034" s="402"/>
      <c r="I1034" s="402"/>
      <c r="J1034" s="402"/>
      <c r="K1034" s="402"/>
      <c r="L1034" s="402"/>
      <c r="M1034" s="402"/>
      <c r="N1034" s="402"/>
      <c r="O1034" s="402"/>
      <c r="P1034" s="405"/>
      <c r="Q1034" s="405"/>
      <c r="R1034" s="405"/>
      <c r="S1034" s="405"/>
      <c r="T1034" s="405"/>
      <c r="U1034" s="405"/>
      <c r="V1034" s="405"/>
      <c r="W1034" s="405"/>
      <c r="X1034" s="405"/>
      <c r="Y1034" s="405"/>
      <c r="Z1034" s="405"/>
    </row>
    <row r="1035" ht="14.25" customHeight="1">
      <c r="A1035" s="406"/>
      <c r="B1035" s="402"/>
      <c r="C1035" s="402"/>
      <c r="D1035" s="402"/>
      <c r="E1035" s="402"/>
      <c r="F1035" s="587"/>
      <c r="G1035" s="403"/>
      <c r="H1035" s="402"/>
      <c r="I1035" s="402"/>
      <c r="J1035" s="402"/>
      <c r="K1035" s="402"/>
      <c r="L1035" s="402"/>
      <c r="M1035" s="402"/>
      <c r="N1035" s="402"/>
      <c r="O1035" s="402"/>
      <c r="P1035" s="405"/>
      <c r="Q1035" s="405"/>
      <c r="R1035" s="405"/>
      <c r="S1035" s="405"/>
      <c r="T1035" s="405"/>
      <c r="U1035" s="405"/>
      <c r="V1035" s="405"/>
      <c r="W1035" s="405"/>
      <c r="X1035" s="405"/>
      <c r="Y1035" s="405"/>
      <c r="Z1035" s="405"/>
    </row>
    <row r="1036" ht="14.25" customHeight="1">
      <c r="A1036" s="406"/>
      <c r="B1036" s="402"/>
      <c r="C1036" s="402"/>
      <c r="D1036" s="402"/>
      <c r="E1036" s="402"/>
      <c r="F1036" s="587"/>
      <c r="G1036" s="403"/>
      <c r="H1036" s="402"/>
      <c r="I1036" s="402"/>
      <c r="J1036" s="402"/>
      <c r="K1036" s="402"/>
      <c r="L1036" s="402"/>
      <c r="M1036" s="402"/>
      <c r="N1036" s="402"/>
      <c r="O1036" s="402"/>
      <c r="P1036" s="405"/>
      <c r="Q1036" s="405"/>
      <c r="R1036" s="405"/>
      <c r="S1036" s="405"/>
      <c r="T1036" s="405"/>
      <c r="U1036" s="405"/>
      <c r="V1036" s="405"/>
      <c r="W1036" s="405"/>
      <c r="X1036" s="405"/>
      <c r="Y1036" s="405"/>
      <c r="Z1036" s="405"/>
    </row>
    <row r="1037" ht="14.25" customHeight="1">
      <c r="A1037" s="406"/>
      <c r="B1037" s="402"/>
      <c r="C1037" s="402"/>
      <c r="D1037" s="402"/>
      <c r="E1037" s="402"/>
      <c r="F1037" s="587"/>
      <c r="G1037" s="403"/>
      <c r="H1037" s="402"/>
      <c r="I1037" s="402"/>
      <c r="J1037" s="402"/>
      <c r="K1037" s="402"/>
      <c r="L1037" s="402"/>
      <c r="M1037" s="402"/>
      <c r="N1037" s="402"/>
      <c r="O1037" s="402"/>
      <c r="P1037" s="405"/>
      <c r="Q1037" s="405"/>
      <c r="R1037" s="405"/>
      <c r="S1037" s="405"/>
      <c r="T1037" s="405"/>
      <c r="U1037" s="405"/>
      <c r="V1037" s="405"/>
      <c r="W1037" s="405"/>
      <c r="X1037" s="405"/>
      <c r="Y1037" s="405"/>
      <c r="Z1037" s="405"/>
    </row>
    <row r="1038" ht="14.25" customHeight="1">
      <c r="A1038" s="406"/>
      <c r="B1038" s="402"/>
      <c r="C1038" s="402"/>
      <c r="D1038" s="402"/>
      <c r="E1038" s="402"/>
      <c r="F1038" s="587"/>
      <c r="G1038" s="403"/>
      <c r="H1038" s="402"/>
      <c r="I1038" s="402"/>
      <c r="J1038" s="402"/>
      <c r="K1038" s="402"/>
      <c r="L1038" s="402"/>
      <c r="M1038" s="402"/>
      <c r="N1038" s="402"/>
      <c r="O1038" s="402"/>
      <c r="P1038" s="405"/>
      <c r="Q1038" s="405"/>
      <c r="R1038" s="405"/>
      <c r="S1038" s="405"/>
      <c r="T1038" s="405"/>
      <c r="U1038" s="405"/>
      <c r="V1038" s="405"/>
      <c r="W1038" s="405"/>
      <c r="X1038" s="405"/>
      <c r="Y1038" s="405"/>
      <c r="Z1038" s="405"/>
    </row>
    <row r="1039" ht="14.25" customHeight="1">
      <c r="A1039" s="406"/>
      <c r="B1039" s="402"/>
      <c r="C1039" s="402"/>
      <c r="D1039" s="402"/>
      <c r="E1039" s="402"/>
      <c r="F1039" s="587"/>
      <c r="G1039" s="403"/>
      <c r="H1039" s="402"/>
      <c r="I1039" s="402"/>
      <c r="J1039" s="402"/>
      <c r="K1039" s="402"/>
      <c r="L1039" s="402"/>
      <c r="M1039" s="402"/>
      <c r="N1039" s="402"/>
      <c r="O1039" s="402"/>
      <c r="P1039" s="405"/>
      <c r="Q1039" s="405"/>
      <c r="R1039" s="405"/>
      <c r="S1039" s="405"/>
      <c r="T1039" s="405"/>
      <c r="U1039" s="405"/>
      <c r="V1039" s="405"/>
      <c r="W1039" s="405"/>
      <c r="X1039" s="405"/>
      <c r="Y1039" s="405"/>
      <c r="Z1039" s="405"/>
    </row>
    <row r="1040" ht="14.25" customHeight="1">
      <c r="A1040" s="406"/>
      <c r="B1040" s="402"/>
      <c r="C1040" s="402"/>
      <c r="D1040" s="402"/>
      <c r="E1040" s="402"/>
      <c r="F1040" s="587"/>
      <c r="G1040" s="403"/>
      <c r="H1040" s="402"/>
      <c r="I1040" s="402"/>
      <c r="J1040" s="402"/>
      <c r="K1040" s="402"/>
      <c r="L1040" s="402"/>
      <c r="M1040" s="402"/>
      <c r="N1040" s="402"/>
      <c r="O1040" s="402"/>
      <c r="P1040" s="405"/>
      <c r="Q1040" s="405"/>
      <c r="R1040" s="405"/>
      <c r="S1040" s="405"/>
      <c r="T1040" s="405"/>
      <c r="U1040" s="405"/>
      <c r="V1040" s="405"/>
      <c r="W1040" s="405"/>
      <c r="X1040" s="405"/>
      <c r="Y1040" s="405"/>
      <c r="Z1040" s="405"/>
    </row>
    <row r="1041" ht="14.25" customHeight="1">
      <c r="A1041" s="406"/>
      <c r="B1041" s="402"/>
      <c r="C1041" s="402"/>
      <c r="D1041" s="402"/>
      <c r="E1041" s="402"/>
      <c r="F1041" s="587"/>
      <c r="G1041" s="403"/>
      <c r="H1041" s="402"/>
      <c r="I1041" s="402"/>
      <c r="J1041" s="402"/>
      <c r="K1041" s="402"/>
      <c r="L1041" s="402"/>
      <c r="M1041" s="402"/>
      <c r="N1041" s="402"/>
      <c r="O1041" s="402"/>
      <c r="P1041" s="405"/>
      <c r="Q1041" s="405"/>
      <c r="R1041" s="405"/>
      <c r="S1041" s="405"/>
      <c r="T1041" s="405"/>
      <c r="U1041" s="405"/>
      <c r="V1041" s="405"/>
      <c r="W1041" s="405"/>
      <c r="X1041" s="405"/>
      <c r="Y1041" s="405"/>
      <c r="Z1041" s="405"/>
    </row>
    <row r="1042" ht="14.25" customHeight="1">
      <c r="A1042" s="406"/>
      <c r="B1042" s="402"/>
      <c r="C1042" s="402"/>
      <c r="D1042" s="402"/>
      <c r="E1042" s="402"/>
      <c r="F1042" s="587"/>
      <c r="G1042" s="403"/>
      <c r="H1042" s="402"/>
      <c r="I1042" s="402"/>
      <c r="J1042" s="402"/>
      <c r="K1042" s="402"/>
      <c r="L1042" s="402"/>
      <c r="M1042" s="402"/>
      <c r="N1042" s="402"/>
      <c r="O1042" s="402"/>
      <c r="P1042" s="405"/>
      <c r="Q1042" s="405"/>
      <c r="R1042" s="405"/>
      <c r="S1042" s="405"/>
      <c r="T1042" s="405"/>
      <c r="U1042" s="405"/>
      <c r="V1042" s="405"/>
      <c r="W1042" s="405"/>
      <c r="X1042" s="405"/>
      <c r="Y1042" s="405"/>
      <c r="Z1042" s="405"/>
    </row>
    <row r="1043" ht="14.25" customHeight="1">
      <c r="A1043" s="406"/>
      <c r="B1043" s="402"/>
      <c r="C1043" s="402"/>
      <c r="D1043" s="402"/>
      <c r="E1043" s="402"/>
      <c r="F1043" s="587"/>
      <c r="G1043" s="403"/>
      <c r="H1043" s="402"/>
      <c r="I1043" s="402"/>
      <c r="J1043" s="402"/>
      <c r="K1043" s="402"/>
      <c r="L1043" s="402"/>
      <c r="M1043" s="402"/>
      <c r="N1043" s="402"/>
      <c r="O1043" s="402"/>
      <c r="P1043" s="405"/>
      <c r="Q1043" s="405"/>
      <c r="R1043" s="405"/>
      <c r="S1043" s="405"/>
      <c r="T1043" s="405"/>
      <c r="U1043" s="405"/>
      <c r="V1043" s="405"/>
      <c r="W1043" s="405"/>
      <c r="X1043" s="405"/>
      <c r="Y1043" s="405"/>
      <c r="Z1043" s="405"/>
    </row>
    <row r="1044" ht="14.25" customHeight="1">
      <c r="A1044" s="406"/>
      <c r="B1044" s="402"/>
      <c r="C1044" s="402"/>
      <c r="D1044" s="402"/>
      <c r="E1044" s="402"/>
      <c r="F1044" s="587"/>
      <c r="G1044" s="403"/>
      <c r="H1044" s="402"/>
      <c r="I1044" s="402"/>
      <c r="J1044" s="402"/>
      <c r="K1044" s="402"/>
      <c r="L1044" s="402"/>
      <c r="M1044" s="402"/>
      <c r="N1044" s="402"/>
      <c r="O1044" s="402"/>
      <c r="P1044" s="405"/>
      <c r="Q1044" s="405"/>
      <c r="R1044" s="405"/>
      <c r="S1044" s="405"/>
      <c r="T1044" s="405"/>
      <c r="U1044" s="405"/>
      <c r="V1044" s="405"/>
      <c r="W1044" s="405"/>
      <c r="X1044" s="405"/>
      <c r="Y1044" s="405"/>
      <c r="Z1044" s="405"/>
    </row>
    <row r="1045" ht="14.25" customHeight="1">
      <c r="A1045" s="406"/>
      <c r="B1045" s="402"/>
      <c r="C1045" s="402"/>
      <c r="D1045" s="402"/>
      <c r="E1045" s="402"/>
      <c r="F1045" s="587"/>
      <c r="G1045" s="403"/>
      <c r="H1045" s="402"/>
      <c r="I1045" s="402"/>
      <c r="J1045" s="402"/>
      <c r="K1045" s="402"/>
      <c r="L1045" s="402"/>
      <c r="M1045" s="402"/>
      <c r="N1045" s="402"/>
      <c r="O1045" s="402"/>
      <c r="P1045" s="405"/>
      <c r="Q1045" s="405"/>
      <c r="R1045" s="405"/>
      <c r="S1045" s="405"/>
      <c r="T1045" s="405"/>
      <c r="U1045" s="405"/>
      <c r="V1045" s="405"/>
      <c r="W1045" s="405"/>
      <c r="X1045" s="405"/>
      <c r="Y1045" s="405"/>
      <c r="Z1045" s="405"/>
    </row>
    <row r="1046" ht="14.25" customHeight="1">
      <c r="A1046" s="406"/>
      <c r="B1046" s="402"/>
      <c r="C1046" s="402"/>
      <c r="D1046" s="402"/>
      <c r="E1046" s="402"/>
      <c r="F1046" s="587"/>
      <c r="G1046" s="403"/>
      <c r="H1046" s="402"/>
      <c r="I1046" s="402"/>
      <c r="J1046" s="402"/>
      <c r="K1046" s="402"/>
      <c r="L1046" s="402"/>
      <c r="M1046" s="402"/>
      <c r="N1046" s="402"/>
      <c r="O1046" s="402"/>
      <c r="P1046" s="405"/>
      <c r="Q1046" s="405"/>
      <c r="R1046" s="405"/>
      <c r="S1046" s="405"/>
      <c r="T1046" s="405"/>
      <c r="U1046" s="405"/>
      <c r="V1046" s="405"/>
      <c r="W1046" s="405"/>
      <c r="X1046" s="405"/>
      <c r="Y1046" s="405"/>
      <c r="Z1046" s="405"/>
    </row>
    <row r="1047" ht="14.25" customHeight="1">
      <c r="A1047" s="406"/>
      <c r="B1047" s="402"/>
      <c r="C1047" s="402"/>
      <c r="D1047" s="402"/>
      <c r="E1047" s="402"/>
      <c r="F1047" s="587"/>
      <c r="G1047" s="403"/>
      <c r="H1047" s="402"/>
      <c r="I1047" s="402"/>
      <c r="J1047" s="402"/>
      <c r="K1047" s="402"/>
      <c r="L1047" s="402"/>
      <c r="M1047" s="402"/>
      <c r="N1047" s="402"/>
      <c r="O1047" s="402"/>
      <c r="P1047" s="405"/>
      <c r="Q1047" s="405"/>
      <c r="R1047" s="405"/>
      <c r="S1047" s="405"/>
      <c r="T1047" s="405"/>
      <c r="U1047" s="405"/>
      <c r="V1047" s="405"/>
      <c r="W1047" s="405"/>
      <c r="X1047" s="405"/>
      <c r="Y1047" s="405"/>
      <c r="Z1047" s="405"/>
    </row>
    <row r="1048" ht="14.25" customHeight="1">
      <c r="A1048" s="406"/>
      <c r="B1048" s="402"/>
      <c r="C1048" s="402"/>
      <c r="D1048" s="402"/>
      <c r="E1048" s="402"/>
      <c r="F1048" s="587"/>
      <c r="G1048" s="403"/>
      <c r="H1048" s="402"/>
      <c r="I1048" s="402"/>
      <c r="J1048" s="402"/>
      <c r="K1048" s="402"/>
      <c r="L1048" s="402"/>
      <c r="M1048" s="402"/>
      <c r="N1048" s="402"/>
      <c r="O1048" s="402"/>
      <c r="P1048" s="405"/>
      <c r="Q1048" s="405"/>
      <c r="R1048" s="405"/>
      <c r="S1048" s="405"/>
      <c r="T1048" s="405"/>
      <c r="U1048" s="405"/>
      <c r="V1048" s="405"/>
      <c r="W1048" s="405"/>
      <c r="X1048" s="405"/>
      <c r="Y1048" s="405"/>
      <c r="Z1048" s="405"/>
    </row>
    <row r="1049" ht="14.25" customHeight="1">
      <c r="A1049" s="406"/>
      <c r="B1049" s="402"/>
      <c r="C1049" s="402"/>
      <c r="D1049" s="402"/>
      <c r="E1049" s="402"/>
      <c r="F1049" s="587"/>
      <c r="G1049" s="403"/>
      <c r="H1049" s="402"/>
      <c r="I1049" s="402"/>
      <c r="J1049" s="402"/>
      <c r="K1049" s="402"/>
      <c r="L1049" s="402"/>
      <c r="M1049" s="402"/>
      <c r="N1049" s="402"/>
      <c r="O1049" s="402"/>
      <c r="P1049" s="405"/>
      <c r="Q1049" s="405"/>
      <c r="R1049" s="405"/>
      <c r="S1049" s="405"/>
      <c r="T1049" s="405"/>
      <c r="U1049" s="405"/>
      <c r="V1049" s="405"/>
      <c r="W1049" s="405"/>
      <c r="X1049" s="405"/>
      <c r="Y1049" s="405"/>
      <c r="Z1049" s="405"/>
    </row>
    <row r="1050" ht="14.25" customHeight="1">
      <c r="A1050" s="406"/>
      <c r="B1050" s="402"/>
      <c r="C1050" s="402"/>
      <c r="D1050" s="402"/>
      <c r="E1050" s="402"/>
      <c r="F1050" s="587"/>
      <c r="G1050" s="403"/>
      <c r="H1050" s="402"/>
      <c r="I1050" s="402"/>
      <c r="J1050" s="402"/>
      <c r="K1050" s="402"/>
      <c r="L1050" s="402"/>
      <c r="M1050" s="402"/>
      <c r="N1050" s="402"/>
      <c r="O1050" s="402"/>
      <c r="P1050" s="405"/>
      <c r="Q1050" s="405"/>
      <c r="R1050" s="405"/>
      <c r="S1050" s="405"/>
      <c r="T1050" s="405"/>
      <c r="U1050" s="405"/>
      <c r="V1050" s="405"/>
      <c r="W1050" s="405"/>
      <c r="X1050" s="405"/>
      <c r="Y1050" s="405"/>
      <c r="Z1050" s="405"/>
    </row>
    <row r="1051" ht="14.25" customHeight="1">
      <c r="A1051" s="406"/>
      <c r="B1051" s="402"/>
      <c r="C1051" s="402"/>
      <c r="D1051" s="402"/>
      <c r="E1051" s="402"/>
      <c r="F1051" s="587"/>
      <c r="G1051" s="403"/>
      <c r="H1051" s="402"/>
      <c r="I1051" s="402"/>
      <c r="J1051" s="402"/>
      <c r="K1051" s="402"/>
      <c r="L1051" s="402"/>
      <c r="M1051" s="402"/>
      <c r="N1051" s="402"/>
      <c r="O1051" s="402"/>
      <c r="P1051" s="405"/>
      <c r="Q1051" s="405"/>
      <c r="R1051" s="405"/>
      <c r="S1051" s="405"/>
      <c r="T1051" s="405"/>
      <c r="U1051" s="405"/>
      <c r="V1051" s="405"/>
      <c r="W1051" s="405"/>
      <c r="X1051" s="405"/>
      <c r="Y1051" s="405"/>
      <c r="Z1051" s="405"/>
    </row>
    <row r="1052" ht="14.25" customHeight="1">
      <c r="A1052" s="406"/>
      <c r="B1052" s="402"/>
      <c r="C1052" s="402"/>
      <c r="D1052" s="402"/>
      <c r="E1052" s="402"/>
      <c r="F1052" s="587"/>
      <c r="G1052" s="403"/>
      <c r="H1052" s="402"/>
      <c r="I1052" s="402"/>
      <c r="J1052" s="402"/>
      <c r="K1052" s="402"/>
      <c r="L1052" s="402"/>
      <c r="M1052" s="402"/>
      <c r="N1052" s="402"/>
      <c r="O1052" s="402"/>
      <c r="P1052" s="405"/>
      <c r="Q1052" s="405"/>
      <c r="R1052" s="405"/>
      <c r="S1052" s="405"/>
      <c r="T1052" s="405"/>
      <c r="U1052" s="405"/>
      <c r="V1052" s="405"/>
      <c r="W1052" s="405"/>
      <c r="X1052" s="405"/>
      <c r="Y1052" s="405"/>
      <c r="Z1052" s="405"/>
    </row>
    <row r="1053" ht="14.25" customHeight="1">
      <c r="A1053" s="406"/>
      <c r="B1053" s="402"/>
      <c r="C1053" s="402"/>
      <c r="D1053" s="402"/>
      <c r="E1053" s="402"/>
      <c r="F1053" s="587"/>
      <c r="G1053" s="403"/>
      <c r="H1053" s="402"/>
      <c r="I1053" s="402"/>
      <c r="J1053" s="402"/>
      <c r="K1053" s="402"/>
      <c r="L1053" s="402"/>
      <c r="M1053" s="402"/>
      <c r="N1053" s="402"/>
      <c r="O1053" s="402"/>
      <c r="P1053" s="405"/>
      <c r="Q1053" s="405"/>
      <c r="R1053" s="405"/>
      <c r="S1053" s="405"/>
      <c r="T1053" s="405"/>
      <c r="U1053" s="405"/>
      <c r="V1053" s="405"/>
      <c r="W1053" s="405"/>
      <c r="X1053" s="405"/>
      <c r="Y1053" s="405"/>
      <c r="Z1053" s="405"/>
    </row>
    <row r="1054" ht="14.25" customHeight="1">
      <c r="A1054" s="406"/>
      <c r="B1054" s="402"/>
      <c r="C1054" s="402"/>
      <c r="D1054" s="402"/>
      <c r="E1054" s="402"/>
      <c r="F1054" s="587"/>
      <c r="G1054" s="403"/>
      <c r="H1054" s="402"/>
      <c r="I1054" s="402"/>
      <c r="J1054" s="402"/>
      <c r="K1054" s="402"/>
      <c r="L1054" s="402"/>
      <c r="M1054" s="402"/>
      <c r="N1054" s="402"/>
      <c r="O1054" s="402"/>
      <c r="P1054" s="405"/>
      <c r="Q1054" s="405"/>
      <c r="R1054" s="405"/>
      <c r="S1054" s="405"/>
      <c r="T1054" s="405"/>
      <c r="U1054" s="405"/>
      <c r="V1054" s="405"/>
      <c r="W1054" s="405"/>
      <c r="X1054" s="405"/>
      <c r="Y1054" s="405"/>
      <c r="Z1054" s="405"/>
    </row>
    <row r="1055" ht="14.25" customHeight="1">
      <c r="A1055" s="406"/>
      <c r="B1055" s="402"/>
      <c r="C1055" s="402"/>
      <c r="D1055" s="402"/>
      <c r="E1055" s="402"/>
      <c r="F1055" s="587"/>
      <c r="G1055" s="403"/>
      <c r="H1055" s="402"/>
      <c r="I1055" s="402"/>
      <c r="J1055" s="402"/>
      <c r="K1055" s="402"/>
      <c r="L1055" s="402"/>
      <c r="M1055" s="402"/>
      <c r="N1055" s="402"/>
      <c r="O1055" s="402"/>
      <c r="P1055" s="405"/>
      <c r="Q1055" s="405"/>
      <c r="R1055" s="405"/>
      <c r="S1055" s="405"/>
      <c r="T1055" s="405"/>
      <c r="U1055" s="405"/>
      <c r="V1055" s="405"/>
      <c r="W1055" s="405"/>
      <c r="X1055" s="405"/>
      <c r="Y1055" s="405"/>
      <c r="Z1055" s="405"/>
    </row>
    <row r="1056" ht="14.25" customHeight="1">
      <c r="A1056" s="406"/>
      <c r="B1056" s="402"/>
      <c r="C1056" s="402"/>
      <c r="D1056" s="402"/>
      <c r="E1056" s="402"/>
      <c r="F1056" s="587"/>
      <c r="G1056" s="403"/>
      <c r="H1056" s="402"/>
      <c r="I1056" s="402"/>
      <c r="J1056" s="402"/>
      <c r="K1056" s="402"/>
      <c r="L1056" s="402"/>
      <c r="M1056" s="402"/>
      <c r="N1056" s="402"/>
      <c r="O1056" s="402"/>
      <c r="P1056" s="405"/>
      <c r="Q1056" s="405"/>
      <c r="R1056" s="405"/>
      <c r="S1056" s="405"/>
      <c r="T1056" s="405"/>
      <c r="U1056" s="405"/>
      <c r="V1056" s="405"/>
      <c r="W1056" s="405"/>
      <c r="X1056" s="405"/>
      <c r="Y1056" s="405"/>
      <c r="Z1056" s="405"/>
    </row>
    <row r="1057" ht="14.25" customHeight="1">
      <c r="A1057" s="406"/>
      <c r="B1057" s="402"/>
      <c r="C1057" s="402"/>
      <c r="D1057" s="402"/>
      <c r="E1057" s="402"/>
      <c r="F1057" s="587"/>
      <c r="G1057" s="403"/>
      <c r="H1057" s="402"/>
      <c r="I1057" s="402"/>
      <c r="J1057" s="402"/>
      <c r="K1057" s="402"/>
      <c r="L1057" s="402"/>
      <c r="M1057" s="402"/>
      <c r="N1057" s="402"/>
      <c r="O1057" s="402"/>
      <c r="P1057" s="405"/>
      <c r="Q1057" s="405"/>
      <c r="R1057" s="405"/>
      <c r="S1057" s="405"/>
      <c r="T1057" s="405"/>
      <c r="U1057" s="405"/>
      <c r="V1057" s="405"/>
      <c r="W1057" s="405"/>
      <c r="X1057" s="405"/>
      <c r="Y1057" s="405"/>
      <c r="Z1057" s="405"/>
    </row>
    <row r="1058" ht="14.25" customHeight="1">
      <c r="A1058" s="406"/>
      <c r="B1058" s="402"/>
      <c r="C1058" s="402"/>
      <c r="D1058" s="402"/>
      <c r="E1058" s="402"/>
      <c r="F1058" s="587"/>
      <c r="G1058" s="403"/>
      <c r="H1058" s="402"/>
      <c r="I1058" s="402"/>
      <c r="J1058" s="402"/>
      <c r="K1058" s="402"/>
      <c r="L1058" s="402"/>
      <c r="M1058" s="402"/>
      <c r="N1058" s="402"/>
      <c r="O1058" s="402"/>
      <c r="P1058" s="405"/>
      <c r="Q1058" s="405"/>
      <c r="R1058" s="405"/>
      <c r="S1058" s="405"/>
      <c r="T1058" s="405"/>
      <c r="U1058" s="405"/>
      <c r="V1058" s="405"/>
      <c r="W1058" s="405"/>
      <c r="X1058" s="405"/>
      <c r="Y1058" s="405"/>
      <c r="Z1058" s="405"/>
    </row>
    <row r="1059" ht="14.25" customHeight="1">
      <c r="A1059" s="406"/>
      <c r="B1059" s="402"/>
      <c r="C1059" s="402"/>
      <c r="D1059" s="402"/>
      <c r="E1059" s="402"/>
      <c r="F1059" s="587"/>
      <c r="G1059" s="403"/>
      <c r="H1059" s="402"/>
      <c r="I1059" s="402"/>
      <c r="J1059" s="402"/>
      <c r="K1059" s="402"/>
      <c r="L1059" s="402"/>
      <c r="M1059" s="402"/>
      <c r="N1059" s="402"/>
      <c r="O1059" s="402"/>
      <c r="P1059" s="405"/>
      <c r="Q1059" s="405"/>
      <c r="R1059" s="405"/>
      <c r="S1059" s="405"/>
      <c r="T1059" s="405"/>
      <c r="U1059" s="405"/>
      <c r="V1059" s="405"/>
      <c r="W1059" s="405"/>
      <c r="X1059" s="405"/>
      <c r="Y1059" s="405"/>
      <c r="Z1059" s="405"/>
    </row>
    <row r="1060" ht="14.25" customHeight="1">
      <c r="A1060" s="406"/>
      <c r="B1060" s="402"/>
      <c r="C1060" s="402"/>
      <c r="D1060" s="402"/>
      <c r="E1060" s="402"/>
      <c r="F1060" s="587"/>
      <c r="G1060" s="403"/>
      <c r="H1060" s="402"/>
      <c r="I1060" s="402"/>
      <c r="J1060" s="402"/>
      <c r="K1060" s="402"/>
      <c r="L1060" s="402"/>
      <c r="M1060" s="402"/>
      <c r="N1060" s="402"/>
      <c r="O1060" s="402"/>
      <c r="P1060" s="405"/>
      <c r="Q1060" s="405"/>
      <c r="R1060" s="405"/>
      <c r="S1060" s="405"/>
      <c r="T1060" s="405"/>
      <c r="U1060" s="405"/>
      <c r="V1060" s="405"/>
      <c r="W1060" s="405"/>
      <c r="X1060" s="405"/>
      <c r="Y1060" s="405"/>
      <c r="Z1060" s="405"/>
    </row>
    <row r="1061" ht="14.25" customHeight="1">
      <c r="A1061" s="406"/>
      <c r="B1061" s="402"/>
      <c r="C1061" s="402"/>
      <c r="D1061" s="402"/>
      <c r="E1061" s="402"/>
      <c r="F1061" s="587"/>
      <c r="G1061" s="403"/>
      <c r="H1061" s="402"/>
      <c r="I1061" s="402"/>
      <c r="J1061" s="402"/>
      <c r="K1061" s="402"/>
      <c r="L1061" s="402"/>
      <c r="M1061" s="402"/>
      <c r="N1061" s="402"/>
      <c r="O1061" s="402"/>
      <c r="P1061" s="405"/>
      <c r="Q1061" s="405"/>
      <c r="R1061" s="405"/>
      <c r="S1061" s="405"/>
      <c r="T1061" s="405"/>
      <c r="U1061" s="405"/>
      <c r="V1061" s="405"/>
      <c r="W1061" s="405"/>
      <c r="X1061" s="405"/>
      <c r="Y1061" s="405"/>
      <c r="Z1061" s="405"/>
    </row>
    <row r="1062" ht="14.25" customHeight="1">
      <c r="A1062" s="406"/>
      <c r="B1062" s="402"/>
      <c r="C1062" s="402"/>
      <c r="D1062" s="402"/>
      <c r="E1062" s="402"/>
      <c r="F1062" s="587"/>
      <c r="G1062" s="403"/>
      <c r="H1062" s="402"/>
      <c r="I1062" s="402"/>
      <c r="J1062" s="402"/>
      <c r="K1062" s="402"/>
      <c r="L1062" s="402"/>
      <c r="M1062" s="402"/>
      <c r="N1062" s="402"/>
      <c r="O1062" s="402"/>
      <c r="P1062" s="405"/>
      <c r="Q1062" s="405"/>
      <c r="R1062" s="405"/>
      <c r="S1062" s="405"/>
      <c r="T1062" s="405"/>
      <c r="U1062" s="405"/>
      <c r="V1062" s="405"/>
      <c r="W1062" s="405"/>
      <c r="X1062" s="405"/>
      <c r="Y1062" s="405"/>
      <c r="Z1062" s="405"/>
    </row>
    <row r="1063" ht="14.25" customHeight="1">
      <c r="A1063" s="406"/>
      <c r="B1063" s="402"/>
      <c r="C1063" s="402"/>
      <c r="D1063" s="402"/>
      <c r="E1063" s="402"/>
      <c r="F1063" s="587"/>
      <c r="G1063" s="403"/>
      <c r="H1063" s="402"/>
      <c r="I1063" s="402"/>
      <c r="J1063" s="402"/>
      <c r="K1063" s="402"/>
      <c r="L1063" s="402"/>
      <c r="M1063" s="402"/>
      <c r="N1063" s="402"/>
      <c r="O1063" s="402"/>
      <c r="P1063" s="405"/>
      <c r="Q1063" s="405"/>
      <c r="R1063" s="405"/>
      <c r="S1063" s="405"/>
      <c r="T1063" s="405"/>
      <c r="U1063" s="405"/>
      <c r="V1063" s="405"/>
      <c r="W1063" s="405"/>
      <c r="X1063" s="405"/>
      <c r="Y1063" s="405"/>
      <c r="Z1063" s="405"/>
    </row>
    <row r="1064" ht="14.25" customHeight="1">
      <c r="A1064" s="406"/>
      <c r="B1064" s="402"/>
      <c r="C1064" s="402"/>
      <c r="D1064" s="402"/>
      <c r="E1064" s="402"/>
      <c r="F1064" s="587"/>
      <c r="G1064" s="403"/>
      <c r="H1064" s="402"/>
      <c r="I1064" s="402"/>
      <c r="J1064" s="402"/>
      <c r="K1064" s="402"/>
      <c r="L1064" s="402"/>
      <c r="M1064" s="402"/>
      <c r="N1064" s="402"/>
      <c r="O1064" s="402"/>
      <c r="P1064" s="405"/>
      <c r="Q1064" s="405"/>
      <c r="R1064" s="405"/>
      <c r="S1064" s="405"/>
      <c r="T1064" s="405"/>
      <c r="U1064" s="405"/>
      <c r="V1064" s="405"/>
      <c r="W1064" s="405"/>
      <c r="X1064" s="405"/>
      <c r="Y1064" s="405"/>
      <c r="Z1064" s="405"/>
    </row>
    <row r="1065" ht="14.25" customHeight="1">
      <c r="A1065" s="406"/>
      <c r="B1065" s="402"/>
      <c r="C1065" s="402"/>
      <c r="D1065" s="402"/>
      <c r="E1065" s="402"/>
      <c r="F1065" s="587"/>
      <c r="G1065" s="403"/>
      <c r="H1065" s="402"/>
      <c r="I1065" s="402"/>
      <c r="J1065" s="402"/>
      <c r="K1065" s="402"/>
      <c r="L1065" s="402"/>
      <c r="M1065" s="402"/>
      <c r="N1065" s="402"/>
      <c r="O1065" s="402"/>
      <c r="P1065" s="405"/>
      <c r="Q1065" s="405"/>
      <c r="R1065" s="405"/>
      <c r="S1065" s="405"/>
      <c r="T1065" s="405"/>
      <c r="U1065" s="405"/>
      <c r="V1065" s="405"/>
      <c r="W1065" s="405"/>
      <c r="X1065" s="405"/>
      <c r="Y1065" s="405"/>
      <c r="Z1065" s="405"/>
    </row>
    <row r="1066" ht="14.25" customHeight="1">
      <c r="A1066" s="406"/>
      <c r="B1066" s="402"/>
      <c r="C1066" s="402"/>
      <c r="D1066" s="402"/>
      <c r="E1066" s="402"/>
      <c r="F1066" s="587"/>
      <c r="G1066" s="403"/>
      <c r="H1066" s="402"/>
      <c r="I1066" s="402"/>
      <c r="J1066" s="402"/>
      <c r="K1066" s="402"/>
      <c r="L1066" s="402"/>
      <c r="M1066" s="402"/>
      <c r="N1066" s="402"/>
      <c r="O1066" s="402"/>
      <c r="P1066" s="405"/>
      <c r="Q1066" s="405"/>
      <c r="R1066" s="405"/>
      <c r="S1066" s="405"/>
      <c r="T1066" s="405"/>
      <c r="U1066" s="405"/>
      <c r="V1066" s="405"/>
      <c r="W1066" s="405"/>
      <c r="X1066" s="405"/>
      <c r="Y1066" s="405"/>
      <c r="Z1066" s="405"/>
    </row>
    <row r="1067" ht="14.25" customHeight="1">
      <c r="A1067" s="406"/>
      <c r="B1067" s="402"/>
      <c r="C1067" s="402"/>
      <c r="D1067" s="402"/>
      <c r="E1067" s="402"/>
      <c r="F1067" s="587"/>
      <c r="G1067" s="403"/>
      <c r="H1067" s="402"/>
      <c r="I1067" s="402"/>
      <c r="J1067" s="402"/>
      <c r="K1067" s="402"/>
      <c r="L1067" s="402"/>
      <c r="M1067" s="402"/>
      <c r="N1067" s="402"/>
      <c r="O1067" s="402"/>
      <c r="P1067" s="405"/>
      <c r="Q1067" s="405"/>
      <c r="R1067" s="405"/>
      <c r="S1067" s="405"/>
      <c r="T1067" s="405"/>
      <c r="U1067" s="405"/>
      <c r="V1067" s="405"/>
      <c r="W1067" s="405"/>
      <c r="X1067" s="405"/>
      <c r="Y1067" s="405"/>
      <c r="Z1067" s="405"/>
    </row>
    <row r="1068" ht="14.25" customHeight="1">
      <c r="A1068" s="406"/>
      <c r="B1068" s="402"/>
      <c r="C1068" s="402"/>
      <c r="D1068" s="402"/>
      <c r="E1068" s="402"/>
      <c r="F1068" s="587"/>
      <c r="G1068" s="403"/>
      <c r="H1068" s="402"/>
      <c r="I1068" s="402"/>
      <c r="J1068" s="402"/>
      <c r="K1068" s="402"/>
      <c r="L1068" s="402"/>
      <c r="M1068" s="402"/>
      <c r="N1068" s="402"/>
      <c r="O1068" s="402"/>
      <c r="P1068" s="405"/>
      <c r="Q1068" s="405"/>
      <c r="R1068" s="405"/>
      <c r="S1068" s="405"/>
      <c r="T1068" s="405"/>
      <c r="U1068" s="405"/>
      <c r="V1068" s="405"/>
      <c r="W1068" s="405"/>
      <c r="X1068" s="405"/>
      <c r="Y1068" s="405"/>
      <c r="Z1068" s="405"/>
    </row>
    <row r="1069" ht="14.25" customHeight="1">
      <c r="A1069" s="406"/>
      <c r="B1069" s="402"/>
      <c r="C1069" s="402"/>
      <c r="D1069" s="402"/>
      <c r="E1069" s="402"/>
      <c r="F1069" s="587"/>
      <c r="G1069" s="403"/>
      <c r="H1069" s="402"/>
      <c r="I1069" s="402"/>
      <c r="J1069" s="402"/>
      <c r="K1069" s="402"/>
      <c r="L1069" s="402"/>
      <c r="M1069" s="402"/>
      <c r="N1069" s="402"/>
      <c r="O1069" s="402"/>
      <c r="P1069" s="405"/>
      <c r="Q1069" s="405"/>
      <c r="R1069" s="405"/>
      <c r="S1069" s="405"/>
      <c r="T1069" s="405"/>
      <c r="U1069" s="405"/>
      <c r="V1069" s="405"/>
      <c r="W1069" s="405"/>
      <c r="X1069" s="405"/>
      <c r="Y1069" s="405"/>
      <c r="Z1069" s="405"/>
    </row>
    <row r="1070" ht="14.25" customHeight="1">
      <c r="A1070" s="406"/>
      <c r="B1070" s="402"/>
      <c r="C1070" s="402"/>
      <c r="D1070" s="402"/>
      <c r="E1070" s="402"/>
      <c r="F1070" s="587"/>
      <c r="G1070" s="403"/>
      <c r="H1070" s="402"/>
      <c r="I1070" s="402"/>
      <c r="J1070" s="402"/>
      <c r="K1070" s="402"/>
      <c r="L1070" s="402"/>
      <c r="M1070" s="402"/>
      <c r="N1070" s="402"/>
      <c r="O1070" s="402"/>
      <c r="P1070" s="405"/>
      <c r="Q1070" s="405"/>
      <c r="R1070" s="405"/>
      <c r="S1070" s="405"/>
      <c r="T1070" s="405"/>
      <c r="U1070" s="405"/>
      <c r="V1070" s="405"/>
      <c r="W1070" s="405"/>
      <c r="X1070" s="405"/>
      <c r="Y1070" s="405"/>
      <c r="Z1070" s="405"/>
    </row>
    <row r="1071" ht="14.25" customHeight="1">
      <c r="A1071" s="406"/>
      <c r="B1071" s="402"/>
      <c r="C1071" s="402"/>
      <c r="D1071" s="402"/>
      <c r="E1071" s="402"/>
      <c r="F1071" s="587"/>
      <c r="G1071" s="403"/>
      <c r="H1071" s="402"/>
      <c r="I1071" s="402"/>
      <c r="J1071" s="402"/>
      <c r="K1071" s="402"/>
      <c r="L1071" s="402"/>
      <c r="M1071" s="402"/>
      <c r="N1071" s="402"/>
      <c r="O1071" s="402"/>
      <c r="P1071" s="405"/>
      <c r="Q1071" s="405"/>
      <c r="R1071" s="405"/>
      <c r="S1071" s="405"/>
      <c r="T1071" s="405"/>
      <c r="U1071" s="405"/>
      <c r="V1071" s="405"/>
      <c r="W1071" s="405"/>
      <c r="X1071" s="405"/>
      <c r="Y1071" s="405"/>
      <c r="Z1071" s="405"/>
    </row>
    <row r="1072" ht="14.25" customHeight="1">
      <c r="A1072" s="406"/>
      <c r="B1072" s="402"/>
      <c r="C1072" s="402"/>
      <c r="D1072" s="402"/>
      <c r="E1072" s="402"/>
      <c r="F1072" s="587"/>
      <c r="G1072" s="403"/>
      <c r="H1072" s="402"/>
      <c r="I1072" s="402"/>
      <c r="J1072" s="402"/>
      <c r="K1072" s="402"/>
      <c r="L1072" s="402"/>
      <c r="M1072" s="402"/>
      <c r="N1072" s="402"/>
      <c r="O1072" s="402"/>
      <c r="P1072" s="405"/>
      <c r="Q1072" s="405"/>
      <c r="R1072" s="405"/>
      <c r="S1072" s="405"/>
      <c r="T1072" s="405"/>
      <c r="U1072" s="405"/>
      <c r="V1072" s="405"/>
      <c r="W1072" s="405"/>
      <c r="X1072" s="405"/>
      <c r="Y1072" s="405"/>
      <c r="Z1072" s="405"/>
    </row>
    <row r="1073" ht="14.25" customHeight="1">
      <c r="A1073" s="406"/>
      <c r="B1073" s="402"/>
      <c r="C1073" s="402"/>
      <c r="D1073" s="402"/>
      <c r="E1073" s="402"/>
      <c r="F1073" s="587"/>
      <c r="G1073" s="403"/>
      <c r="H1073" s="402"/>
      <c r="I1073" s="402"/>
      <c r="J1073" s="402"/>
      <c r="K1073" s="402"/>
      <c r="L1073" s="402"/>
      <c r="M1073" s="402"/>
      <c r="N1073" s="402"/>
      <c r="O1073" s="402"/>
      <c r="P1073" s="405"/>
      <c r="Q1073" s="405"/>
      <c r="R1073" s="405"/>
      <c r="S1073" s="405"/>
      <c r="T1073" s="405"/>
      <c r="U1073" s="405"/>
      <c r="V1073" s="405"/>
      <c r="W1073" s="405"/>
      <c r="X1073" s="405"/>
      <c r="Y1073" s="405"/>
      <c r="Z1073" s="405"/>
    </row>
    <row r="1074" ht="14.25" customHeight="1">
      <c r="A1074" s="406"/>
      <c r="B1074" s="402"/>
      <c r="C1074" s="402"/>
      <c r="D1074" s="402"/>
      <c r="E1074" s="402"/>
      <c r="F1074" s="587"/>
      <c r="G1074" s="403"/>
      <c r="H1074" s="402"/>
      <c r="I1074" s="402"/>
      <c r="J1074" s="402"/>
      <c r="K1074" s="402"/>
      <c r="L1074" s="402"/>
      <c r="M1074" s="402"/>
      <c r="N1074" s="402"/>
      <c r="O1074" s="402"/>
      <c r="P1074" s="405"/>
      <c r="Q1074" s="405"/>
      <c r="R1074" s="405"/>
      <c r="S1074" s="405"/>
      <c r="T1074" s="405"/>
      <c r="U1074" s="405"/>
      <c r="V1074" s="405"/>
      <c r="W1074" s="405"/>
      <c r="X1074" s="405"/>
      <c r="Y1074" s="405"/>
      <c r="Z1074" s="405"/>
    </row>
    <row r="1075" ht="14.25" customHeight="1">
      <c r="A1075" s="406"/>
      <c r="B1075" s="402"/>
      <c r="C1075" s="402"/>
      <c r="D1075" s="402"/>
      <c r="E1075" s="402"/>
      <c r="F1075" s="587"/>
      <c r="G1075" s="403"/>
      <c r="H1075" s="402"/>
      <c r="I1075" s="402"/>
      <c r="J1075" s="402"/>
      <c r="K1075" s="402"/>
      <c r="L1075" s="402"/>
      <c r="M1075" s="402"/>
      <c r="N1075" s="402"/>
      <c r="O1075" s="402"/>
      <c r="P1075" s="405"/>
      <c r="Q1075" s="405"/>
      <c r="R1075" s="405"/>
      <c r="S1075" s="405"/>
      <c r="T1075" s="405"/>
      <c r="U1075" s="405"/>
      <c r="V1075" s="405"/>
      <c r="W1075" s="405"/>
      <c r="X1075" s="405"/>
      <c r="Y1075" s="405"/>
      <c r="Z1075" s="405"/>
    </row>
    <row r="1076" ht="14.25" customHeight="1">
      <c r="A1076" s="406"/>
      <c r="B1076" s="402"/>
      <c r="C1076" s="402"/>
      <c r="D1076" s="402"/>
      <c r="E1076" s="402"/>
      <c r="F1076" s="587"/>
      <c r="G1076" s="403"/>
      <c r="H1076" s="402"/>
      <c r="I1076" s="402"/>
      <c r="J1076" s="402"/>
      <c r="K1076" s="402"/>
      <c r="L1076" s="402"/>
      <c r="M1076" s="402"/>
      <c r="N1076" s="402"/>
      <c r="O1076" s="402"/>
      <c r="P1076" s="405"/>
      <c r="Q1076" s="405"/>
      <c r="R1076" s="405"/>
      <c r="S1076" s="405"/>
      <c r="T1076" s="405"/>
      <c r="U1076" s="405"/>
      <c r="V1076" s="405"/>
      <c r="W1076" s="405"/>
      <c r="X1076" s="405"/>
      <c r="Y1076" s="405"/>
      <c r="Z1076" s="405"/>
    </row>
    <row r="1077" ht="14.25" customHeight="1">
      <c r="A1077" s="406"/>
      <c r="B1077" s="402"/>
      <c r="C1077" s="402"/>
      <c r="D1077" s="402"/>
      <c r="E1077" s="402"/>
      <c r="F1077" s="587"/>
      <c r="G1077" s="403"/>
      <c r="H1077" s="402"/>
      <c r="I1077" s="402"/>
      <c r="J1077" s="402"/>
      <c r="K1077" s="402"/>
      <c r="L1077" s="402"/>
      <c r="M1077" s="402"/>
      <c r="N1077" s="402"/>
      <c r="O1077" s="402"/>
      <c r="P1077" s="405"/>
      <c r="Q1077" s="405"/>
      <c r="R1077" s="405"/>
      <c r="S1077" s="405"/>
      <c r="T1077" s="405"/>
      <c r="U1077" s="405"/>
      <c r="V1077" s="405"/>
      <c r="W1077" s="405"/>
      <c r="X1077" s="405"/>
      <c r="Y1077" s="405"/>
      <c r="Z1077" s="405"/>
    </row>
    <row r="1078" ht="14.25" customHeight="1">
      <c r="A1078" s="406"/>
      <c r="B1078" s="402"/>
      <c r="C1078" s="402"/>
      <c r="D1078" s="402"/>
      <c r="E1078" s="402"/>
      <c r="F1078" s="587"/>
      <c r="G1078" s="403"/>
      <c r="H1078" s="402"/>
      <c r="I1078" s="402"/>
      <c r="J1078" s="402"/>
      <c r="K1078" s="402"/>
      <c r="L1078" s="402"/>
      <c r="M1078" s="402"/>
      <c r="N1078" s="402"/>
      <c r="O1078" s="402"/>
      <c r="P1078" s="405"/>
      <c r="Q1078" s="405"/>
      <c r="R1078" s="405"/>
      <c r="S1078" s="405"/>
      <c r="T1078" s="405"/>
      <c r="U1078" s="405"/>
      <c r="V1078" s="405"/>
      <c r="W1078" s="405"/>
      <c r="X1078" s="405"/>
      <c r="Y1078" s="405"/>
      <c r="Z1078" s="405"/>
    </row>
    <row r="1079" ht="14.25" customHeight="1">
      <c r="A1079" s="406"/>
      <c r="B1079" s="402"/>
      <c r="C1079" s="402"/>
      <c r="D1079" s="402"/>
      <c r="E1079" s="402"/>
      <c r="F1079" s="587"/>
      <c r="G1079" s="403"/>
      <c r="H1079" s="402"/>
      <c r="I1079" s="402"/>
      <c r="J1079" s="402"/>
      <c r="K1079" s="402"/>
      <c r="L1079" s="402"/>
      <c r="M1079" s="402"/>
      <c r="N1079" s="402"/>
      <c r="O1079" s="402"/>
      <c r="P1079" s="405"/>
      <c r="Q1079" s="405"/>
      <c r="R1079" s="405"/>
      <c r="S1079" s="405"/>
      <c r="T1079" s="405"/>
      <c r="U1079" s="405"/>
      <c r="V1079" s="405"/>
      <c r="W1079" s="405"/>
      <c r="X1079" s="405"/>
      <c r="Y1079" s="405"/>
      <c r="Z1079" s="405"/>
    </row>
    <row r="1080" ht="14.25" customHeight="1">
      <c r="A1080" s="406"/>
      <c r="B1080" s="402"/>
      <c r="C1080" s="402"/>
      <c r="D1080" s="402"/>
      <c r="E1080" s="402"/>
      <c r="F1080" s="587"/>
      <c r="G1080" s="403"/>
      <c r="H1080" s="402"/>
      <c r="I1080" s="402"/>
      <c r="J1080" s="402"/>
      <c r="K1080" s="402"/>
      <c r="L1080" s="402"/>
      <c r="M1080" s="402"/>
      <c r="N1080" s="402"/>
      <c r="O1080" s="402"/>
      <c r="P1080" s="405"/>
      <c r="Q1080" s="405"/>
      <c r="R1080" s="405"/>
      <c r="S1080" s="405"/>
      <c r="T1080" s="405"/>
      <c r="U1080" s="405"/>
      <c r="V1080" s="405"/>
      <c r="W1080" s="405"/>
      <c r="X1080" s="405"/>
      <c r="Y1080" s="405"/>
      <c r="Z1080" s="405"/>
    </row>
    <row r="1081" ht="14.25" customHeight="1">
      <c r="A1081" s="406"/>
      <c r="B1081" s="402"/>
      <c r="C1081" s="402"/>
      <c r="D1081" s="402"/>
      <c r="E1081" s="402"/>
      <c r="F1081" s="587"/>
      <c r="G1081" s="403"/>
      <c r="H1081" s="402"/>
      <c r="I1081" s="402"/>
      <c r="J1081" s="402"/>
      <c r="K1081" s="402"/>
      <c r="L1081" s="402"/>
      <c r="M1081" s="402"/>
      <c r="N1081" s="402"/>
      <c r="O1081" s="402"/>
      <c r="P1081" s="405"/>
      <c r="Q1081" s="405"/>
      <c r="R1081" s="405"/>
      <c r="S1081" s="405"/>
      <c r="T1081" s="405"/>
      <c r="U1081" s="405"/>
      <c r="V1081" s="405"/>
      <c r="W1081" s="405"/>
      <c r="X1081" s="405"/>
      <c r="Y1081" s="405"/>
      <c r="Z1081" s="405"/>
    </row>
    <row r="1082" ht="14.25" customHeight="1">
      <c r="A1082" s="406"/>
      <c r="B1082" s="402"/>
      <c r="C1082" s="402"/>
      <c r="D1082" s="402"/>
      <c r="E1082" s="402"/>
      <c r="F1082" s="587"/>
      <c r="G1082" s="403"/>
      <c r="H1082" s="402"/>
      <c r="I1082" s="402"/>
      <c r="J1082" s="402"/>
      <c r="K1082" s="402"/>
      <c r="L1082" s="402"/>
      <c r="M1082" s="402"/>
      <c r="N1082" s="402"/>
      <c r="O1082" s="402"/>
      <c r="P1082" s="405"/>
      <c r="Q1082" s="405"/>
      <c r="R1082" s="405"/>
      <c r="S1082" s="405"/>
      <c r="T1082" s="405"/>
      <c r="U1082" s="405"/>
      <c r="V1082" s="405"/>
      <c r="W1082" s="405"/>
      <c r="X1082" s="405"/>
      <c r="Y1082" s="405"/>
      <c r="Z1082" s="405"/>
    </row>
    <row r="1083" ht="14.25" customHeight="1">
      <c r="A1083" s="406"/>
      <c r="B1083" s="402"/>
      <c r="C1083" s="402"/>
      <c r="D1083" s="402"/>
      <c r="E1083" s="402"/>
      <c r="F1083" s="587"/>
      <c r="G1083" s="403"/>
      <c r="H1083" s="402"/>
      <c r="I1083" s="402"/>
      <c r="J1083" s="402"/>
      <c r="K1083" s="402"/>
      <c r="L1083" s="402"/>
      <c r="M1083" s="402"/>
      <c r="N1083" s="402"/>
      <c r="O1083" s="402"/>
      <c r="P1083" s="405"/>
      <c r="Q1083" s="405"/>
      <c r="R1083" s="405"/>
      <c r="S1083" s="405"/>
      <c r="T1083" s="405"/>
      <c r="U1083" s="405"/>
      <c r="V1083" s="405"/>
      <c r="W1083" s="405"/>
      <c r="X1083" s="405"/>
      <c r="Y1083" s="405"/>
      <c r="Z1083" s="405"/>
    </row>
    <row r="1084" ht="14.25" customHeight="1">
      <c r="A1084" s="406"/>
      <c r="B1084" s="402"/>
      <c r="C1084" s="402"/>
      <c r="D1084" s="402"/>
      <c r="E1084" s="402"/>
      <c r="F1084" s="587"/>
      <c r="G1084" s="403"/>
      <c r="H1084" s="402"/>
      <c r="I1084" s="402"/>
      <c r="J1084" s="402"/>
      <c r="K1084" s="402"/>
      <c r="L1084" s="402"/>
      <c r="M1084" s="402"/>
      <c r="N1084" s="402"/>
      <c r="O1084" s="402"/>
      <c r="P1084" s="405"/>
      <c r="Q1084" s="405"/>
      <c r="R1084" s="405"/>
      <c r="S1084" s="405"/>
      <c r="T1084" s="405"/>
      <c r="U1084" s="405"/>
      <c r="V1084" s="405"/>
      <c r="W1084" s="405"/>
      <c r="X1084" s="405"/>
      <c r="Y1084" s="405"/>
      <c r="Z1084" s="405"/>
    </row>
    <row r="1085" ht="14.25" customHeight="1">
      <c r="A1085" s="406"/>
      <c r="B1085" s="402"/>
      <c r="C1085" s="402"/>
      <c r="D1085" s="402"/>
      <c r="E1085" s="402"/>
      <c r="F1085" s="587"/>
      <c r="G1085" s="403"/>
      <c r="H1085" s="402"/>
      <c r="I1085" s="402"/>
      <c r="J1085" s="402"/>
      <c r="K1085" s="402"/>
      <c r="L1085" s="402"/>
      <c r="M1085" s="402"/>
      <c r="N1085" s="402"/>
      <c r="O1085" s="402"/>
      <c r="P1085" s="405"/>
      <c r="Q1085" s="405"/>
      <c r="R1085" s="405"/>
      <c r="S1085" s="405"/>
      <c r="T1085" s="405"/>
      <c r="U1085" s="405"/>
      <c r="V1085" s="405"/>
      <c r="W1085" s="405"/>
      <c r="X1085" s="405"/>
      <c r="Y1085" s="405"/>
      <c r="Z1085" s="405"/>
    </row>
    <row r="1086" ht="14.25" customHeight="1">
      <c r="A1086" s="406"/>
      <c r="B1086" s="402"/>
      <c r="C1086" s="402"/>
      <c r="D1086" s="402"/>
      <c r="E1086" s="402"/>
      <c r="F1086" s="587"/>
      <c r="G1086" s="403"/>
      <c r="H1086" s="402"/>
      <c r="I1086" s="402"/>
      <c r="J1086" s="402"/>
      <c r="K1086" s="402"/>
      <c r="L1086" s="402"/>
      <c r="M1086" s="402"/>
      <c r="N1086" s="402"/>
      <c r="O1086" s="402"/>
      <c r="P1086" s="405"/>
      <c r="Q1086" s="405"/>
      <c r="R1086" s="405"/>
      <c r="S1086" s="405"/>
      <c r="T1086" s="405"/>
      <c r="U1086" s="405"/>
      <c r="V1086" s="405"/>
      <c r="W1086" s="405"/>
      <c r="X1086" s="405"/>
      <c r="Y1086" s="405"/>
      <c r="Z1086" s="405"/>
    </row>
    <row r="1087" ht="14.25" customHeight="1">
      <c r="A1087" s="406"/>
      <c r="B1087" s="402"/>
      <c r="C1087" s="402"/>
      <c r="D1087" s="402"/>
      <c r="E1087" s="402"/>
      <c r="F1087" s="587"/>
      <c r="G1087" s="403"/>
      <c r="H1087" s="402"/>
      <c r="I1087" s="402"/>
      <c r="J1087" s="402"/>
      <c r="K1087" s="402"/>
      <c r="L1087" s="402"/>
      <c r="M1087" s="402"/>
      <c r="N1087" s="402"/>
      <c r="O1087" s="402"/>
      <c r="P1087" s="405"/>
      <c r="Q1087" s="405"/>
      <c r="R1087" s="405"/>
      <c r="S1087" s="405"/>
      <c r="T1087" s="405"/>
      <c r="U1087" s="405"/>
      <c r="V1087" s="405"/>
      <c r="W1087" s="405"/>
      <c r="X1087" s="405"/>
      <c r="Y1087" s="405"/>
      <c r="Z1087" s="405"/>
    </row>
    <row r="1088" ht="14.25" customHeight="1">
      <c r="A1088" s="406"/>
      <c r="B1088" s="402"/>
      <c r="C1088" s="402"/>
      <c r="D1088" s="402"/>
      <c r="E1088" s="402"/>
      <c r="F1088" s="587"/>
      <c r="G1088" s="403"/>
      <c r="H1088" s="402"/>
      <c r="I1088" s="402"/>
      <c r="J1088" s="402"/>
      <c r="K1088" s="402"/>
      <c r="L1088" s="402"/>
      <c r="M1088" s="402"/>
      <c r="N1088" s="402"/>
      <c r="O1088" s="402"/>
      <c r="P1088" s="405"/>
      <c r="Q1088" s="405"/>
      <c r="R1088" s="405"/>
      <c r="S1088" s="405"/>
      <c r="T1088" s="405"/>
      <c r="U1088" s="405"/>
      <c r="V1088" s="405"/>
      <c r="W1088" s="405"/>
      <c r="X1088" s="405"/>
      <c r="Y1088" s="405"/>
      <c r="Z1088" s="405"/>
    </row>
    <row r="1089" ht="14.25" customHeight="1">
      <c r="A1089" s="406"/>
      <c r="B1089" s="402"/>
      <c r="C1089" s="402"/>
      <c r="D1089" s="402"/>
      <c r="E1089" s="402"/>
      <c r="F1089" s="587"/>
      <c r="G1089" s="403"/>
      <c r="H1089" s="402"/>
      <c r="I1089" s="402"/>
      <c r="J1089" s="402"/>
      <c r="K1089" s="402"/>
      <c r="L1089" s="402"/>
      <c r="M1089" s="402"/>
      <c r="N1089" s="402"/>
      <c r="O1089" s="402"/>
      <c r="P1089" s="405"/>
      <c r="Q1089" s="405"/>
      <c r="R1089" s="405"/>
      <c r="S1089" s="405"/>
      <c r="T1089" s="405"/>
      <c r="U1089" s="405"/>
      <c r="V1089" s="405"/>
      <c r="W1089" s="405"/>
      <c r="X1089" s="405"/>
      <c r="Y1089" s="405"/>
      <c r="Z1089" s="405"/>
    </row>
    <row r="1090" ht="14.25" customHeight="1">
      <c r="A1090" s="406"/>
      <c r="B1090" s="402"/>
      <c r="C1090" s="402"/>
      <c r="D1090" s="402"/>
      <c r="E1090" s="402"/>
      <c r="F1090" s="587"/>
      <c r="G1090" s="403"/>
      <c r="H1090" s="402"/>
      <c r="I1090" s="402"/>
      <c r="J1090" s="402"/>
      <c r="K1090" s="402"/>
      <c r="L1090" s="402"/>
      <c r="M1090" s="402"/>
      <c r="N1090" s="402"/>
      <c r="O1090" s="402"/>
      <c r="P1090" s="405"/>
      <c r="Q1090" s="405"/>
      <c r="R1090" s="405"/>
      <c r="S1090" s="405"/>
      <c r="T1090" s="405"/>
      <c r="U1090" s="405"/>
      <c r="V1090" s="405"/>
      <c r="W1090" s="405"/>
      <c r="X1090" s="405"/>
      <c r="Y1090" s="405"/>
      <c r="Z1090" s="405"/>
    </row>
    <row r="1091" ht="14.25" customHeight="1">
      <c r="A1091" s="406"/>
      <c r="B1091" s="402"/>
      <c r="C1091" s="402"/>
      <c r="D1091" s="402"/>
      <c r="E1091" s="402"/>
      <c r="F1091" s="587"/>
      <c r="G1091" s="403"/>
      <c r="H1091" s="402"/>
      <c r="I1091" s="402"/>
      <c r="J1091" s="402"/>
      <c r="K1091" s="402"/>
      <c r="L1091" s="402"/>
      <c r="M1091" s="402"/>
      <c r="N1091" s="402"/>
      <c r="O1091" s="402"/>
      <c r="P1091" s="405"/>
      <c r="Q1091" s="405"/>
      <c r="R1091" s="405"/>
      <c r="S1091" s="405"/>
      <c r="T1091" s="405"/>
      <c r="U1091" s="405"/>
      <c r="V1091" s="405"/>
      <c r="W1091" s="405"/>
      <c r="X1091" s="405"/>
      <c r="Y1091" s="405"/>
      <c r="Z1091" s="405"/>
    </row>
    <row r="1092" ht="14.25" customHeight="1">
      <c r="A1092" s="406"/>
      <c r="B1092" s="402"/>
      <c r="C1092" s="402"/>
      <c r="D1092" s="402"/>
      <c r="E1092" s="402"/>
      <c r="F1092" s="587"/>
      <c r="G1092" s="403"/>
      <c r="H1092" s="402"/>
      <c r="I1092" s="402"/>
      <c r="J1092" s="402"/>
      <c r="K1092" s="402"/>
      <c r="L1092" s="402"/>
      <c r="M1092" s="402"/>
      <c r="N1092" s="402"/>
      <c r="O1092" s="402"/>
      <c r="P1092" s="405"/>
      <c r="Q1092" s="405"/>
      <c r="R1092" s="405"/>
      <c r="S1092" s="405"/>
      <c r="T1092" s="405"/>
      <c r="U1092" s="405"/>
      <c r="V1092" s="405"/>
      <c r="W1092" s="405"/>
      <c r="X1092" s="405"/>
      <c r="Y1092" s="405"/>
      <c r="Z1092" s="405"/>
    </row>
    <row r="1093" ht="14.25" customHeight="1">
      <c r="A1093" s="406"/>
      <c r="B1093" s="402"/>
      <c r="C1093" s="402"/>
      <c r="D1093" s="402"/>
      <c r="E1093" s="402"/>
      <c r="F1093" s="587"/>
      <c r="G1093" s="403"/>
      <c r="H1093" s="402"/>
      <c r="I1093" s="402"/>
      <c r="J1093" s="402"/>
      <c r="K1093" s="402"/>
      <c r="L1093" s="402"/>
      <c r="M1093" s="402"/>
      <c r="N1093" s="402"/>
      <c r="O1093" s="402"/>
      <c r="P1093" s="405"/>
      <c r="Q1093" s="405"/>
      <c r="R1093" s="405"/>
      <c r="S1093" s="405"/>
      <c r="T1093" s="405"/>
      <c r="U1093" s="405"/>
      <c r="V1093" s="405"/>
      <c r="W1093" s="405"/>
      <c r="X1093" s="405"/>
      <c r="Y1093" s="405"/>
      <c r="Z1093" s="405"/>
    </row>
    <row r="1094" ht="14.25" customHeight="1">
      <c r="A1094" s="406"/>
      <c r="B1094" s="402"/>
      <c r="C1094" s="402"/>
      <c r="D1094" s="402"/>
      <c r="E1094" s="402"/>
      <c r="F1094" s="587"/>
      <c r="G1094" s="403"/>
      <c r="H1094" s="402"/>
      <c r="I1094" s="402"/>
      <c r="J1094" s="402"/>
      <c r="K1094" s="402"/>
      <c r="L1094" s="402"/>
      <c r="M1094" s="402"/>
      <c r="N1094" s="402"/>
      <c r="O1094" s="402"/>
      <c r="P1094" s="405"/>
      <c r="Q1094" s="405"/>
      <c r="R1094" s="405"/>
      <c r="S1094" s="405"/>
      <c r="T1094" s="405"/>
      <c r="U1094" s="405"/>
      <c r="V1094" s="405"/>
      <c r="W1094" s="405"/>
      <c r="X1094" s="405"/>
      <c r="Y1094" s="405"/>
      <c r="Z1094" s="405"/>
    </row>
    <row r="1095" ht="14.25" customHeight="1">
      <c r="A1095" s="406"/>
      <c r="B1095" s="402"/>
      <c r="C1095" s="402"/>
      <c r="D1095" s="402"/>
      <c r="E1095" s="402"/>
      <c r="F1095" s="587"/>
      <c r="G1095" s="403"/>
      <c r="H1095" s="402"/>
      <c r="I1095" s="402"/>
      <c r="J1095" s="402"/>
      <c r="K1095" s="402"/>
      <c r="L1095" s="402"/>
      <c r="M1095" s="402"/>
      <c r="N1095" s="402"/>
      <c r="O1095" s="402"/>
      <c r="P1095" s="405"/>
      <c r="Q1095" s="405"/>
      <c r="R1095" s="405"/>
      <c r="S1095" s="405"/>
      <c r="T1095" s="405"/>
      <c r="U1095" s="405"/>
      <c r="V1095" s="405"/>
      <c r="W1095" s="405"/>
      <c r="X1095" s="405"/>
      <c r="Y1095" s="405"/>
      <c r="Z1095" s="405"/>
    </row>
    <row r="1096" ht="14.25" customHeight="1">
      <c r="A1096" s="406"/>
      <c r="B1096" s="402"/>
      <c r="C1096" s="402"/>
      <c r="D1096" s="402"/>
      <c r="E1096" s="402"/>
      <c r="F1096" s="587"/>
      <c r="G1096" s="403"/>
      <c r="H1096" s="402"/>
      <c r="I1096" s="402"/>
      <c r="J1096" s="402"/>
      <c r="K1096" s="402"/>
      <c r="L1096" s="402"/>
      <c r="M1096" s="402"/>
      <c r="N1096" s="402"/>
      <c r="O1096" s="402"/>
      <c r="P1096" s="405"/>
      <c r="Q1096" s="405"/>
      <c r="R1096" s="405"/>
      <c r="S1096" s="405"/>
      <c r="T1096" s="405"/>
      <c r="U1096" s="405"/>
      <c r="V1096" s="405"/>
      <c r="W1096" s="405"/>
      <c r="X1096" s="405"/>
      <c r="Y1096" s="405"/>
      <c r="Z1096" s="405"/>
    </row>
    <row r="1097" ht="14.25" customHeight="1">
      <c r="A1097" s="406"/>
      <c r="B1097" s="402"/>
      <c r="C1097" s="402"/>
      <c r="D1097" s="402"/>
      <c r="E1097" s="402"/>
      <c r="F1097" s="587"/>
      <c r="G1097" s="403"/>
      <c r="H1097" s="402"/>
      <c r="I1097" s="402"/>
      <c r="J1097" s="402"/>
      <c r="K1097" s="402"/>
      <c r="L1097" s="402"/>
      <c r="M1097" s="402"/>
      <c r="N1097" s="402"/>
      <c r="O1097" s="402"/>
      <c r="P1097" s="405"/>
      <c r="Q1097" s="405"/>
      <c r="R1097" s="405"/>
      <c r="S1097" s="405"/>
      <c r="T1097" s="405"/>
      <c r="U1097" s="405"/>
      <c r="V1097" s="405"/>
      <c r="W1097" s="405"/>
      <c r="X1097" s="405"/>
      <c r="Y1097" s="405"/>
      <c r="Z1097" s="405"/>
    </row>
    <row r="1098" ht="14.25" customHeight="1">
      <c r="A1098" s="406"/>
      <c r="B1098" s="402"/>
      <c r="C1098" s="402"/>
      <c r="D1098" s="402"/>
      <c r="E1098" s="402"/>
      <c r="F1098" s="587"/>
      <c r="G1098" s="403"/>
      <c r="H1098" s="402"/>
      <c r="I1098" s="402"/>
      <c r="J1098" s="402"/>
      <c r="K1098" s="402"/>
      <c r="L1098" s="402"/>
      <c r="M1098" s="402"/>
      <c r="N1098" s="402"/>
      <c r="O1098" s="402"/>
      <c r="P1098" s="405"/>
      <c r="Q1098" s="405"/>
      <c r="R1098" s="405"/>
      <c r="S1098" s="405"/>
      <c r="T1098" s="405"/>
      <c r="U1098" s="405"/>
      <c r="V1098" s="405"/>
      <c r="W1098" s="405"/>
      <c r="X1098" s="405"/>
      <c r="Y1098" s="405"/>
      <c r="Z1098" s="405"/>
    </row>
    <row r="1099" ht="14.25" customHeight="1">
      <c r="A1099" s="406"/>
      <c r="B1099" s="402"/>
      <c r="C1099" s="402"/>
      <c r="D1099" s="402"/>
      <c r="E1099" s="402"/>
      <c r="F1099" s="587"/>
      <c r="G1099" s="403"/>
      <c r="H1099" s="402"/>
      <c r="I1099" s="402"/>
      <c r="J1099" s="402"/>
      <c r="K1099" s="402"/>
      <c r="L1099" s="402"/>
      <c r="M1099" s="402"/>
      <c r="N1099" s="402"/>
      <c r="O1099" s="402"/>
      <c r="P1099" s="405"/>
      <c r="Q1099" s="405"/>
      <c r="R1099" s="405"/>
      <c r="S1099" s="405"/>
      <c r="T1099" s="405"/>
      <c r="U1099" s="405"/>
      <c r="V1099" s="405"/>
      <c r="W1099" s="405"/>
      <c r="X1099" s="405"/>
      <c r="Y1099" s="405"/>
      <c r="Z1099" s="405"/>
    </row>
    <row r="1100" ht="14.25" customHeight="1">
      <c r="A1100" s="406"/>
      <c r="B1100" s="402"/>
      <c r="C1100" s="402"/>
      <c r="D1100" s="402"/>
      <c r="E1100" s="402"/>
      <c r="F1100" s="587"/>
      <c r="G1100" s="403"/>
      <c r="H1100" s="402"/>
      <c r="I1100" s="402"/>
      <c r="J1100" s="402"/>
      <c r="K1100" s="402"/>
      <c r="L1100" s="402"/>
      <c r="M1100" s="402"/>
      <c r="N1100" s="402"/>
      <c r="O1100" s="402"/>
      <c r="P1100" s="405"/>
      <c r="Q1100" s="405"/>
      <c r="R1100" s="405"/>
      <c r="S1100" s="405"/>
      <c r="T1100" s="405"/>
      <c r="U1100" s="405"/>
      <c r="V1100" s="405"/>
      <c r="W1100" s="405"/>
      <c r="X1100" s="405"/>
      <c r="Y1100" s="405"/>
      <c r="Z1100" s="405"/>
    </row>
    <row r="1101" ht="14.25" customHeight="1">
      <c r="A1101" s="406"/>
      <c r="B1101" s="402"/>
      <c r="C1101" s="402"/>
      <c r="D1101" s="402"/>
      <c r="E1101" s="402"/>
      <c r="F1101" s="587"/>
      <c r="G1101" s="403"/>
      <c r="H1101" s="402"/>
      <c r="I1101" s="402"/>
      <c r="J1101" s="402"/>
      <c r="K1101" s="402"/>
      <c r="L1101" s="402"/>
      <c r="M1101" s="402"/>
      <c r="N1101" s="402"/>
      <c r="O1101" s="402"/>
      <c r="P1101" s="405"/>
      <c r="Q1101" s="405"/>
      <c r="R1101" s="405"/>
      <c r="S1101" s="405"/>
      <c r="T1101" s="405"/>
      <c r="U1101" s="405"/>
      <c r="V1101" s="405"/>
      <c r="W1101" s="405"/>
      <c r="X1101" s="405"/>
      <c r="Y1101" s="405"/>
      <c r="Z1101" s="405"/>
    </row>
    <row r="1102" ht="14.25" customHeight="1">
      <c r="A1102" s="406"/>
      <c r="B1102" s="402"/>
      <c r="C1102" s="402"/>
      <c r="D1102" s="402"/>
      <c r="E1102" s="402"/>
      <c r="F1102" s="587"/>
      <c r="G1102" s="403"/>
      <c r="H1102" s="402"/>
      <c r="I1102" s="402"/>
      <c r="J1102" s="402"/>
      <c r="K1102" s="402"/>
      <c r="L1102" s="402"/>
      <c r="M1102" s="402"/>
      <c r="N1102" s="402"/>
      <c r="O1102" s="402"/>
      <c r="P1102" s="405"/>
      <c r="Q1102" s="405"/>
      <c r="R1102" s="405"/>
      <c r="S1102" s="405"/>
      <c r="T1102" s="405"/>
      <c r="U1102" s="405"/>
      <c r="V1102" s="405"/>
      <c r="W1102" s="405"/>
      <c r="X1102" s="405"/>
      <c r="Y1102" s="405"/>
      <c r="Z1102" s="405"/>
    </row>
    <row r="1103" ht="14.25" customHeight="1">
      <c r="A1103" s="406"/>
      <c r="B1103" s="402"/>
      <c r="C1103" s="402"/>
      <c r="D1103" s="402"/>
      <c r="E1103" s="402"/>
      <c r="F1103" s="587"/>
      <c r="G1103" s="403"/>
      <c r="H1103" s="402"/>
      <c r="I1103" s="402"/>
      <c r="J1103" s="402"/>
      <c r="K1103" s="402"/>
      <c r="L1103" s="402"/>
      <c r="M1103" s="402"/>
      <c r="N1103" s="402"/>
      <c r="O1103" s="402"/>
      <c r="P1103" s="405"/>
      <c r="Q1103" s="405"/>
      <c r="R1103" s="405"/>
      <c r="S1103" s="405"/>
      <c r="T1103" s="405"/>
      <c r="U1103" s="405"/>
      <c r="V1103" s="405"/>
      <c r="W1103" s="405"/>
      <c r="X1103" s="405"/>
      <c r="Y1103" s="405"/>
      <c r="Z1103" s="405"/>
    </row>
    <row r="1104" ht="14.25" customHeight="1">
      <c r="A1104" s="406"/>
      <c r="B1104" s="402"/>
      <c r="C1104" s="402"/>
      <c r="D1104" s="402"/>
      <c r="E1104" s="402"/>
      <c r="F1104" s="587"/>
      <c r="G1104" s="403"/>
      <c r="H1104" s="402"/>
      <c r="I1104" s="402"/>
      <c r="J1104" s="402"/>
      <c r="K1104" s="402"/>
      <c r="L1104" s="402"/>
      <c r="M1104" s="402"/>
      <c r="N1104" s="402"/>
      <c r="O1104" s="402"/>
      <c r="P1104" s="405"/>
      <c r="Q1104" s="405"/>
      <c r="R1104" s="405"/>
      <c r="S1104" s="405"/>
      <c r="T1104" s="405"/>
      <c r="U1104" s="405"/>
      <c r="V1104" s="405"/>
      <c r="W1104" s="405"/>
      <c r="X1104" s="405"/>
      <c r="Y1104" s="405"/>
      <c r="Z1104" s="405"/>
    </row>
    <row r="1105" ht="14.25" customHeight="1">
      <c r="A1105" s="406"/>
      <c r="B1105" s="402"/>
      <c r="C1105" s="402"/>
      <c r="D1105" s="402"/>
      <c r="E1105" s="402"/>
      <c r="F1105" s="587"/>
      <c r="G1105" s="403"/>
      <c r="H1105" s="402"/>
      <c r="I1105" s="402"/>
      <c r="J1105" s="402"/>
      <c r="K1105" s="402"/>
      <c r="L1105" s="402"/>
      <c r="M1105" s="402"/>
      <c r="N1105" s="402"/>
      <c r="O1105" s="402"/>
      <c r="P1105" s="405"/>
      <c r="Q1105" s="405"/>
      <c r="R1105" s="405"/>
      <c r="S1105" s="405"/>
      <c r="T1105" s="405"/>
      <c r="U1105" s="405"/>
      <c r="V1105" s="405"/>
      <c r="W1105" s="405"/>
      <c r="X1105" s="405"/>
      <c r="Y1105" s="405"/>
      <c r="Z1105" s="405"/>
    </row>
    <row r="1106" ht="14.25" customHeight="1">
      <c r="A1106" s="406"/>
      <c r="B1106" s="402"/>
      <c r="C1106" s="402"/>
      <c r="D1106" s="402"/>
      <c r="E1106" s="402"/>
      <c r="F1106" s="587"/>
      <c r="G1106" s="403"/>
      <c r="H1106" s="402"/>
      <c r="I1106" s="402"/>
      <c r="J1106" s="402"/>
      <c r="K1106" s="402"/>
      <c r="L1106" s="402"/>
      <c r="M1106" s="402"/>
      <c r="N1106" s="402"/>
      <c r="O1106" s="402"/>
      <c r="P1106" s="405"/>
      <c r="Q1106" s="405"/>
      <c r="R1106" s="405"/>
      <c r="S1106" s="405"/>
      <c r="T1106" s="405"/>
      <c r="U1106" s="405"/>
      <c r="V1106" s="405"/>
      <c r="W1106" s="405"/>
      <c r="X1106" s="405"/>
      <c r="Y1106" s="405"/>
      <c r="Z1106" s="405"/>
    </row>
    <row r="1107" ht="14.25" customHeight="1">
      <c r="A1107" s="406"/>
      <c r="B1107" s="402"/>
      <c r="C1107" s="402"/>
      <c r="D1107" s="402"/>
      <c r="E1107" s="402"/>
      <c r="F1107" s="587"/>
      <c r="G1107" s="403"/>
      <c r="H1107" s="402"/>
      <c r="I1107" s="402"/>
      <c r="J1107" s="402"/>
      <c r="K1107" s="402"/>
      <c r="L1107" s="402"/>
      <c r="M1107" s="402"/>
      <c r="N1107" s="402"/>
      <c r="O1107" s="402"/>
      <c r="P1107" s="405"/>
      <c r="Q1107" s="405"/>
      <c r="R1107" s="405"/>
      <c r="S1107" s="405"/>
      <c r="T1107" s="405"/>
      <c r="U1107" s="405"/>
      <c r="V1107" s="405"/>
      <c r="W1107" s="405"/>
      <c r="X1107" s="405"/>
      <c r="Y1107" s="405"/>
      <c r="Z1107" s="405"/>
    </row>
    <row r="1108" ht="14.25" customHeight="1">
      <c r="A1108" s="406"/>
      <c r="B1108" s="402"/>
      <c r="C1108" s="402"/>
      <c r="D1108" s="402"/>
      <c r="E1108" s="402"/>
      <c r="F1108" s="587"/>
      <c r="G1108" s="403"/>
      <c r="H1108" s="402"/>
      <c r="I1108" s="402"/>
      <c r="J1108" s="402"/>
      <c r="K1108" s="402"/>
      <c r="L1108" s="402"/>
      <c r="M1108" s="402"/>
      <c r="N1108" s="402"/>
      <c r="O1108" s="402"/>
      <c r="P1108" s="405"/>
      <c r="Q1108" s="405"/>
      <c r="R1108" s="405"/>
      <c r="S1108" s="405"/>
      <c r="T1108" s="405"/>
      <c r="U1108" s="405"/>
      <c r="V1108" s="405"/>
      <c r="W1108" s="405"/>
      <c r="X1108" s="405"/>
      <c r="Y1108" s="405"/>
      <c r="Z1108" s="405"/>
    </row>
    <row r="1109" ht="14.25" customHeight="1">
      <c r="A1109" s="406"/>
      <c r="B1109" s="402"/>
      <c r="C1109" s="402"/>
      <c r="D1109" s="402"/>
      <c r="E1109" s="402"/>
      <c r="F1109" s="587"/>
      <c r="G1109" s="403"/>
      <c r="H1109" s="402"/>
      <c r="I1109" s="402"/>
      <c r="J1109" s="402"/>
      <c r="K1109" s="402"/>
      <c r="L1109" s="402"/>
      <c r="M1109" s="402"/>
      <c r="N1109" s="402"/>
      <c r="O1109" s="402"/>
      <c r="P1109" s="405"/>
      <c r="Q1109" s="405"/>
      <c r="R1109" s="405"/>
      <c r="S1109" s="405"/>
      <c r="T1109" s="405"/>
      <c r="U1109" s="405"/>
      <c r="V1109" s="405"/>
      <c r="W1109" s="405"/>
      <c r="X1109" s="405"/>
      <c r="Y1109" s="405"/>
      <c r="Z1109" s="405"/>
    </row>
    <row r="1110" ht="14.25" customHeight="1">
      <c r="A1110" s="406"/>
      <c r="B1110" s="402"/>
      <c r="C1110" s="402"/>
      <c r="D1110" s="402"/>
      <c r="E1110" s="402"/>
      <c r="F1110" s="587"/>
      <c r="G1110" s="403"/>
      <c r="H1110" s="402"/>
      <c r="I1110" s="402"/>
      <c r="J1110" s="402"/>
      <c r="K1110" s="402"/>
      <c r="L1110" s="402"/>
      <c r="M1110" s="402"/>
      <c r="N1110" s="402"/>
      <c r="O1110" s="402"/>
      <c r="P1110" s="405"/>
      <c r="Q1110" s="405"/>
      <c r="R1110" s="405"/>
      <c r="S1110" s="405"/>
      <c r="T1110" s="405"/>
      <c r="U1110" s="405"/>
      <c r="V1110" s="405"/>
      <c r="W1110" s="405"/>
      <c r="X1110" s="405"/>
      <c r="Y1110" s="405"/>
      <c r="Z1110" s="405"/>
    </row>
    <row r="1111" ht="14.25" customHeight="1">
      <c r="A1111" s="406"/>
      <c r="B1111" s="402"/>
      <c r="C1111" s="402"/>
      <c r="D1111" s="402"/>
      <c r="E1111" s="402"/>
      <c r="F1111" s="587"/>
      <c r="G1111" s="403"/>
      <c r="H1111" s="402"/>
      <c r="I1111" s="402"/>
      <c r="J1111" s="402"/>
      <c r="K1111" s="402"/>
      <c r="L1111" s="402"/>
      <c r="M1111" s="402"/>
      <c r="N1111" s="402"/>
      <c r="O1111" s="402"/>
      <c r="P1111" s="405"/>
      <c r="Q1111" s="405"/>
      <c r="R1111" s="405"/>
      <c r="S1111" s="405"/>
      <c r="T1111" s="405"/>
      <c r="U1111" s="405"/>
      <c r="V1111" s="405"/>
      <c r="W1111" s="405"/>
      <c r="X1111" s="405"/>
      <c r="Y1111" s="405"/>
      <c r="Z1111" s="405"/>
    </row>
    <row r="1112" ht="14.25" customHeight="1">
      <c r="A1112" s="406"/>
      <c r="B1112" s="402"/>
      <c r="C1112" s="402"/>
      <c r="D1112" s="402"/>
      <c r="E1112" s="402"/>
      <c r="F1112" s="587"/>
      <c r="G1112" s="403"/>
      <c r="H1112" s="402"/>
      <c r="I1112" s="402"/>
      <c r="J1112" s="402"/>
      <c r="K1112" s="402"/>
      <c r="L1112" s="402"/>
      <c r="M1112" s="402"/>
      <c r="N1112" s="402"/>
      <c r="O1112" s="402"/>
      <c r="P1112" s="405"/>
      <c r="Q1112" s="405"/>
      <c r="R1112" s="405"/>
      <c r="S1112" s="405"/>
      <c r="T1112" s="405"/>
      <c r="U1112" s="405"/>
      <c r="V1112" s="405"/>
      <c r="W1112" s="405"/>
      <c r="X1112" s="405"/>
      <c r="Y1112" s="405"/>
      <c r="Z1112" s="405"/>
    </row>
    <row r="1113" ht="14.25" customHeight="1">
      <c r="A1113" s="406"/>
      <c r="B1113" s="402"/>
      <c r="C1113" s="402"/>
      <c r="D1113" s="402"/>
      <c r="E1113" s="402"/>
      <c r="F1113" s="587"/>
      <c r="G1113" s="403"/>
      <c r="H1113" s="402"/>
      <c r="I1113" s="402"/>
      <c r="J1113" s="402"/>
      <c r="K1113" s="402"/>
      <c r="L1113" s="402"/>
      <c r="M1113" s="402"/>
      <c r="N1113" s="402"/>
      <c r="O1113" s="402"/>
      <c r="P1113" s="405"/>
      <c r="Q1113" s="405"/>
      <c r="R1113" s="405"/>
      <c r="S1113" s="405"/>
      <c r="T1113" s="405"/>
      <c r="U1113" s="405"/>
      <c r="V1113" s="405"/>
      <c r="W1113" s="405"/>
      <c r="X1113" s="405"/>
      <c r="Y1113" s="405"/>
      <c r="Z1113" s="405"/>
    </row>
    <row r="1114" ht="14.25" customHeight="1">
      <c r="A1114" s="406"/>
      <c r="B1114" s="402"/>
      <c r="C1114" s="402"/>
      <c r="D1114" s="402"/>
      <c r="E1114" s="402"/>
      <c r="F1114" s="587"/>
      <c r="G1114" s="403"/>
      <c r="H1114" s="402"/>
      <c r="I1114" s="402"/>
      <c r="J1114" s="402"/>
      <c r="K1114" s="402"/>
      <c r="L1114" s="402"/>
      <c r="M1114" s="402"/>
      <c r="N1114" s="402"/>
      <c r="O1114" s="402"/>
      <c r="P1114" s="405"/>
      <c r="Q1114" s="405"/>
      <c r="R1114" s="405"/>
      <c r="S1114" s="405"/>
      <c r="T1114" s="405"/>
      <c r="U1114" s="405"/>
      <c r="V1114" s="405"/>
      <c r="W1114" s="405"/>
      <c r="X1114" s="405"/>
      <c r="Y1114" s="405"/>
      <c r="Z1114" s="405"/>
    </row>
    <row r="1115" ht="14.25" customHeight="1">
      <c r="A1115" s="656"/>
      <c r="B1115" s="405"/>
      <c r="C1115" s="405"/>
      <c r="D1115" s="405"/>
      <c r="E1115" s="405"/>
      <c r="F1115" s="657"/>
      <c r="G1115" s="583"/>
      <c r="H1115" s="405"/>
      <c r="I1115" s="405"/>
      <c r="J1115" s="405"/>
      <c r="K1115" s="405"/>
      <c r="L1115" s="405"/>
      <c r="M1115" s="405"/>
      <c r="N1115" s="405"/>
      <c r="O1115" s="405"/>
      <c r="P1115" s="405"/>
      <c r="Q1115" s="405"/>
      <c r="R1115" s="405"/>
      <c r="S1115" s="405"/>
      <c r="T1115" s="405"/>
      <c r="U1115" s="405"/>
      <c r="V1115" s="405"/>
      <c r="W1115" s="405"/>
      <c r="X1115" s="405"/>
      <c r="Y1115" s="405"/>
      <c r="Z1115" s="405"/>
    </row>
    <row r="1116" ht="14.25" customHeight="1">
      <c r="A1116" s="656"/>
      <c r="B1116" s="405"/>
      <c r="C1116" s="405"/>
      <c r="D1116" s="405"/>
      <c r="E1116" s="405"/>
      <c r="F1116" s="657"/>
      <c r="G1116" s="583"/>
      <c r="H1116" s="405"/>
      <c r="I1116" s="405"/>
      <c r="J1116" s="405"/>
      <c r="K1116" s="405"/>
      <c r="L1116" s="405"/>
      <c r="M1116" s="405"/>
      <c r="N1116" s="405"/>
      <c r="O1116" s="405"/>
      <c r="P1116" s="405"/>
      <c r="Q1116" s="405"/>
      <c r="R1116" s="405"/>
      <c r="S1116" s="405"/>
      <c r="T1116" s="405"/>
      <c r="U1116" s="405"/>
      <c r="V1116" s="405"/>
      <c r="W1116" s="405"/>
      <c r="X1116" s="405"/>
      <c r="Y1116" s="405"/>
      <c r="Z1116" s="405"/>
    </row>
    <row r="1117" ht="14.25" customHeight="1">
      <c r="A1117" s="656"/>
      <c r="B1117" s="405"/>
      <c r="C1117" s="405"/>
      <c r="D1117" s="405"/>
      <c r="E1117" s="405"/>
      <c r="F1117" s="657"/>
      <c r="G1117" s="583"/>
      <c r="H1117" s="405"/>
      <c r="I1117" s="405"/>
      <c r="J1117" s="405"/>
      <c r="K1117" s="405"/>
      <c r="L1117" s="405"/>
      <c r="M1117" s="405"/>
      <c r="N1117" s="405"/>
      <c r="O1117" s="405"/>
      <c r="P1117" s="405"/>
      <c r="Q1117" s="405"/>
      <c r="R1117" s="405"/>
      <c r="S1117" s="405"/>
      <c r="T1117" s="405"/>
      <c r="U1117" s="405"/>
      <c r="V1117" s="405"/>
      <c r="W1117" s="405"/>
      <c r="X1117" s="405"/>
      <c r="Y1117" s="405"/>
      <c r="Z1117" s="405"/>
    </row>
    <row r="1118" ht="14.25" customHeight="1">
      <c r="A1118" s="656"/>
      <c r="B1118" s="405"/>
      <c r="C1118" s="405"/>
      <c r="D1118" s="405"/>
      <c r="E1118" s="405"/>
      <c r="F1118" s="657"/>
      <c r="G1118" s="583"/>
      <c r="H1118" s="405"/>
      <c r="I1118" s="405"/>
      <c r="J1118" s="405"/>
      <c r="K1118" s="405"/>
      <c r="L1118" s="405"/>
      <c r="M1118" s="405"/>
      <c r="N1118" s="405"/>
      <c r="O1118" s="405"/>
      <c r="P1118" s="405"/>
      <c r="Q1118" s="405"/>
      <c r="R1118" s="405"/>
      <c r="S1118" s="405"/>
      <c r="T1118" s="405"/>
      <c r="U1118" s="405"/>
      <c r="V1118" s="405"/>
      <c r="W1118" s="405"/>
      <c r="X1118" s="405"/>
      <c r="Y1118" s="405"/>
      <c r="Z1118" s="405"/>
    </row>
    <row r="1119" ht="14.25" customHeight="1">
      <c r="A1119" s="656"/>
      <c r="B1119" s="405"/>
      <c r="C1119" s="405"/>
      <c r="D1119" s="405"/>
      <c r="E1119" s="405"/>
      <c r="F1119" s="657"/>
      <c r="G1119" s="583"/>
      <c r="H1119" s="405"/>
      <c r="I1119" s="405"/>
      <c r="J1119" s="405"/>
      <c r="K1119" s="405"/>
      <c r="L1119" s="405"/>
      <c r="M1119" s="405"/>
      <c r="N1119" s="405"/>
      <c r="O1119" s="405"/>
      <c r="P1119" s="405"/>
      <c r="Q1119" s="405"/>
      <c r="R1119" s="405"/>
      <c r="S1119" s="405"/>
      <c r="T1119" s="405"/>
      <c r="U1119" s="405"/>
      <c r="V1119" s="405"/>
      <c r="W1119" s="405"/>
      <c r="X1119" s="405"/>
      <c r="Y1119" s="405"/>
      <c r="Z1119" s="405"/>
    </row>
    <row r="1120" ht="14.25" customHeight="1">
      <c r="A1120" s="656"/>
      <c r="B1120" s="405"/>
      <c r="C1120" s="405"/>
      <c r="D1120" s="405"/>
      <c r="E1120" s="405"/>
      <c r="F1120" s="657"/>
      <c r="G1120" s="583"/>
      <c r="H1120" s="405"/>
      <c r="I1120" s="405"/>
      <c r="J1120" s="405"/>
      <c r="K1120" s="405"/>
      <c r="L1120" s="405"/>
      <c r="M1120" s="405"/>
      <c r="N1120" s="405"/>
      <c r="O1120" s="405"/>
      <c r="P1120" s="405"/>
      <c r="Q1120" s="405"/>
      <c r="R1120" s="405"/>
      <c r="S1120" s="405"/>
      <c r="T1120" s="405"/>
      <c r="U1120" s="405"/>
      <c r="V1120" s="405"/>
      <c r="W1120" s="405"/>
      <c r="X1120" s="405"/>
      <c r="Y1120" s="405"/>
      <c r="Z1120" s="405"/>
    </row>
    <row r="1121" ht="14.25" customHeight="1">
      <c r="A1121" s="656"/>
      <c r="B1121" s="405"/>
      <c r="C1121" s="405"/>
      <c r="D1121" s="405"/>
      <c r="E1121" s="405"/>
      <c r="F1121" s="657"/>
      <c r="G1121" s="583"/>
      <c r="H1121" s="405"/>
      <c r="I1121" s="405"/>
      <c r="J1121" s="405"/>
      <c r="K1121" s="405"/>
      <c r="L1121" s="405"/>
      <c r="M1121" s="405"/>
      <c r="N1121" s="405"/>
      <c r="O1121" s="405"/>
      <c r="P1121" s="405"/>
      <c r="Q1121" s="405"/>
      <c r="R1121" s="405"/>
      <c r="S1121" s="405"/>
      <c r="T1121" s="405"/>
      <c r="U1121" s="405"/>
      <c r="V1121" s="405"/>
      <c r="W1121" s="405"/>
      <c r="X1121" s="405"/>
      <c r="Y1121" s="405"/>
      <c r="Z1121" s="405"/>
    </row>
    <row r="1122" ht="14.25" customHeight="1">
      <c r="A1122" s="656"/>
      <c r="B1122" s="405"/>
      <c r="C1122" s="405"/>
      <c r="D1122" s="405"/>
      <c r="E1122" s="405"/>
      <c r="F1122" s="657"/>
      <c r="G1122" s="583"/>
      <c r="H1122" s="405"/>
      <c r="I1122" s="405"/>
      <c r="J1122" s="405"/>
      <c r="K1122" s="405"/>
      <c r="L1122" s="405"/>
      <c r="M1122" s="405"/>
      <c r="N1122" s="405"/>
      <c r="O1122" s="405"/>
      <c r="P1122" s="405"/>
      <c r="Q1122" s="405"/>
      <c r="R1122" s="405"/>
      <c r="S1122" s="405"/>
      <c r="T1122" s="405"/>
      <c r="U1122" s="405"/>
      <c r="V1122" s="405"/>
      <c r="W1122" s="405"/>
      <c r="X1122" s="405"/>
      <c r="Y1122" s="405"/>
      <c r="Z1122" s="405"/>
    </row>
    <row r="1123" ht="14.25" customHeight="1">
      <c r="A1123" s="656"/>
      <c r="B1123" s="405"/>
      <c r="C1123" s="405"/>
      <c r="D1123" s="405"/>
      <c r="E1123" s="405"/>
      <c r="F1123" s="657"/>
      <c r="G1123" s="583"/>
      <c r="H1123" s="405"/>
      <c r="I1123" s="405"/>
      <c r="J1123" s="405"/>
      <c r="K1123" s="405"/>
      <c r="L1123" s="405"/>
      <c r="M1123" s="405"/>
      <c r="N1123" s="405"/>
      <c r="O1123" s="405"/>
      <c r="P1123" s="405"/>
      <c r="Q1123" s="405"/>
      <c r="R1123" s="405"/>
      <c r="S1123" s="405"/>
      <c r="T1123" s="405"/>
      <c r="U1123" s="405"/>
      <c r="V1123" s="405"/>
      <c r="W1123" s="405"/>
      <c r="X1123" s="405"/>
      <c r="Y1123" s="405"/>
      <c r="Z1123" s="405"/>
    </row>
    <row r="1124" ht="14.25" customHeight="1">
      <c r="A1124" s="656"/>
      <c r="B1124" s="405"/>
      <c r="C1124" s="405"/>
      <c r="D1124" s="405"/>
      <c r="E1124" s="405"/>
      <c r="F1124" s="657"/>
      <c r="G1124" s="583"/>
      <c r="H1124" s="405"/>
      <c r="I1124" s="405"/>
      <c r="J1124" s="405"/>
      <c r="K1124" s="405"/>
      <c r="L1124" s="405"/>
      <c r="M1124" s="405"/>
      <c r="N1124" s="405"/>
      <c r="O1124" s="405"/>
      <c r="P1124" s="405"/>
      <c r="Q1124" s="405"/>
      <c r="R1124" s="405"/>
      <c r="S1124" s="405"/>
      <c r="T1124" s="405"/>
      <c r="U1124" s="405"/>
      <c r="V1124" s="405"/>
      <c r="W1124" s="405"/>
      <c r="X1124" s="405"/>
      <c r="Y1124" s="405"/>
      <c r="Z1124" s="405"/>
    </row>
    <row r="1125" ht="14.25" customHeight="1">
      <c r="A1125" s="656"/>
      <c r="B1125" s="405"/>
      <c r="C1125" s="405"/>
      <c r="D1125" s="405"/>
      <c r="E1125" s="405"/>
      <c r="F1125" s="657"/>
      <c r="G1125" s="583"/>
      <c r="H1125" s="405"/>
      <c r="I1125" s="405"/>
      <c r="J1125" s="405"/>
      <c r="K1125" s="405"/>
      <c r="L1125" s="405"/>
      <c r="M1125" s="405"/>
      <c r="N1125" s="405"/>
      <c r="O1125" s="405"/>
      <c r="P1125" s="405"/>
      <c r="Q1125" s="405"/>
      <c r="R1125" s="405"/>
      <c r="S1125" s="405"/>
      <c r="T1125" s="405"/>
      <c r="U1125" s="405"/>
      <c r="V1125" s="405"/>
      <c r="W1125" s="405"/>
      <c r="X1125" s="405"/>
      <c r="Y1125" s="405"/>
      <c r="Z1125" s="405"/>
    </row>
    <row r="1126" ht="14.25" customHeight="1">
      <c r="A1126" s="656"/>
      <c r="B1126" s="405"/>
      <c r="C1126" s="405"/>
      <c r="D1126" s="405"/>
      <c r="E1126" s="405"/>
      <c r="F1126" s="657"/>
      <c r="G1126" s="583"/>
      <c r="H1126" s="405"/>
      <c r="I1126" s="405"/>
      <c r="J1126" s="405"/>
      <c r="K1126" s="405"/>
      <c r="L1126" s="405"/>
      <c r="M1126" s="405"/>
      <c r="N1126" s="405"/>
      <c r="O1126" s="405"/>
      <c r="P1126" s="405"/>
      <c r="Q1126" s="405"/>
      <c r="R1126" s="405"/>
      <c r="S1126" s="405"/>
      <c r="T1126" s="405"/>
      <c r="U1126" s="405"/>
      <c r="V1126" s="405"/>
      <c r="W1126" s="405"/>
      <c r="X1126" s="405"/>
      <c r="Y1126" s="405"/>
      <c r="Z1126" s="405"/>
    </row>
    <row r="1127" ht="14.25" customHeight="1">
      <c r="A1127" s="656"/>
      <c r="B1127" s="405"/>
      <c r="C1127" s="405"/>
      <c r="D1127" s="405"/>
      <c r="E1127" s="405"/>
      <c r="F1127" s="657"/>
      <c r="G1127" s="583"/>
      <c r="H1127" s="405"/>
      <c r="I1127" s="405"/>
      <c r="J1127" s="405"/>
      <c r="K1127" s="405"/>
      <c r="L1127" s="405"/>
      <c r="M1127" s="405"/>
      <c r="N1127" s="405"/>
      <c r="O1127" s="405"/>
      <c r="P1127" s="405"/>
      <c r="Q1127" s="405"/>
      <c r="R1127" s="405"/>
      <c r="S1127" s="405"/>
      <c r="T1127" s="405"/>
      <c r="U1127" s="405"/>
      <c r="V1127" s="405"/>
      <c r="W1127" s="405"/>
      <c r="X1127" s="405"/>
      <c r="Y1127" s="405"/>
      <c r="Z1127" s="405"/>
    </row>
    <row r="1128" ht="14.25" customHeight="1">
      <c r="A1128" s="656"/>
      <c r="B1128" s="405"/>
      <c r="C1128" s="405"/>
      <c r="D1128" s="405"/>
      <c r="E1128" s="405"/>
      <c r="F1128" s="657"/>
      <c r="G1128" s="583"/>
      <c r="H1128" s="405"/>
      <c r="I1128" s="405"/>
      <c r="J1128" s="405"/>
      <c r="K1128" s="405"/>
      <c r="L1128" s="405"/>
      <c r="M1128" s="405"/>
      <c r="N1128" s="405"/>
      <c r="O1128" s="405"/>
      <c r="P1128" s="405"/>
      <c r="Q1128" s="405"/>
      <c r="R1128" s="405"/>
      <c r="S1128" s="405"/>
      <c r="T1128" s="405"/>
      <c r="U1128" s="405"/>
      <c r="V1128" s="405"/>
      <c r="W1128" s="405"/>
      <c r="X1128" s="405"/>
      <c r="Y1128" s="405"/>
      <c r="Z1128" s="405"/>
    </row>
    <row r="1129" ht="14.25" customHeight="1">
      <c r="A1129" s="656"/>
      <c r="B1129" s="405"/>
      <c r="C1129" s="405"/>
      <c r="D1129" s="405"/>
      <c r="E1129" s="405"/>
      <c r="F1129" s="657"/>
      <c r="G1129" s="583"/>
      <c r="H1129" s="405"/>
      <c r="I1129" s="405"/>
      <c r="J1129" s="405"/>
      <c r="K1129" s="405"/>
      <c r="L1129" s="405"/>
      <c r="M1129" s="405"/>
      <c r="N1129" s="405"/>
      <c r="O1129" s="405"/>
      <c r="P1129" s="405"/>
      <c r="Q1129" s="405"/>
      <c r="R1129" s="405"/>
      <c r="S1129" s="405"/>
      <c r="T1129" s="405"/>
      <c r="U1129" s="405"/>
      <c r="V1129" s="405"/>
      <c r="W1129" s="405"/>
      <c r="X1129" s="405"/>
      <c r="Y1129" s="405"/>
      <c r="Z1129" s="405"/>
    </row>
    <row r="1130" ht="14.25" customHeight="1">
      <c r="A1130" s="656"/>
      <c r="B1130" s="405"/>
      <c r="C1130" s="405"/>
      <c r="D1130" s="405"/>
      <c r="E1130" s="405"/>
      <c r="F1130" s="657"/>
      <c r="G1130" s="583"/>
      <c r="H1130" s="405"/>
      <c r="I1130" s="405"/>
      <c r="J1130" s="405"/>
      <c r="K1130" s="405"/>
      <c r="L1130" s="405"/>
      <c r="M1130" s="405"/>
      <c r="N1130" s="405"/>
      <c r="O1130" s="405"/>
      <c r="P1130" s="405"/>
      <c r="Q1130" s="405"/>
      <c r="R1130" s="405"/>
      <c r="S1130" s="405"/>
      <c r="T1130" s="405"/>
      <c r="U1130" s="405"/>
      <c r="V1130" s="405"/>
      <c r="W1130" s="405"/>
      <c r="X1130" s="405"/>
      <c r="Y1130" s="405"/>
      <c r="Z1130" s="405"/>
    </row>
    <row r="1131" ht="14.25" customHeight="1">
      <c r="A1131" s="656"/>
      <c r="B1131" s="405"/>
      <c r="C1131" s="405"/>
      <c r="D1131" s="405"/>
      <c r="E1131" s="405"/>
      <c r="F1131" s="657"/>
      <c r="G1131" s="583"/>
      <c r="H1131" s="405"/>
      <c r="I1131" s="405"/>
      <c r="J1131" s="405"/>
      <c r="K1131" s="405"/>
      <c r="L1131" s="405"/>
      <c r="M1131" s="405"/>
      <c r="N1131" s="405"/>
      <c r="O1131" s="405"/>
      <c r="P1131" s="405"/>
      <c r="Q1131" s="405"/>
      <c r="R1131" s="405"/>
      <c r="S1131" s="405"/>
      <c r="T1131" s="405"/>
      <c r="U1131" s="405"/>
      <c r="V1131" s="405"/>
      <c r="W1131" s="405"/>
      <c r="X1131" s="405"/>
      <c r="Y1131" s="405"/>
      <c r="Z1131" s="405"/>
    </row>
    <row r="1132" ht="14.25" customHeight="1">
      <c r="A1132" s="656"/>
      <c r="B1132" s="405"/>
      <c r="C1132" s="405"/>
      <c r="D1132" s="405"/>
      <c r="E1132" s="405"/>
      <c r="F1132" s="657"/>
      <c r="G1132" s="583"/>
      <c r="H1132" s="405"/>
      <c r="I1132" s="405"/>
      <c r="J1132" s="405"/>
      <c r="K1132" s="405"/>
      <c r="L1132" s="405"/>
      <c r="M1132" s="405"/>
      <c r="N1132" s="405"/>
      <c r="O1132" s="405"/>
      <c r="P1132" s="405"/>
      <c r="Q1132" s="405"/>
      <c r="R1132" s="405"/>
      <c r="S1132" s="405"/>
      <c r="T1132" s="405"/>
      <c r="U1132" s="405"/>
      <c r="V1132" s="405"/>
      <c r="W1132" s="405"/>
      <c r="X1132" s="405"/>
      <c r="Y1132" s="405"/>
      <c r="Z1132" s="405"/>
    </row>
    <row r="1133" ht="14.25" customHeight="1">
      <c r="A1133" s="656"/>
      <c r="B1133" s="405"/>
      <c r="C1133" s="405"/>
      <c r="D1133" s="405"/>
      <c r="E1133" s="405"/>
      <c r="F1133" s="657"/>
      <c r="G1133" s="583"/>
      <c r="H1133" s="405"/>
      <c r="I1133" s="405"/>
      <c r="J1133" s="405"/>
      <c r="K1133" s="405"/>
      <c r="L1133" s="405"/>
      <c r="M1133" s="405"/>
      <c r="N1133" s="405"/>
      <c r="O1133" s="405"/>
      <c r="P1133" s="405"/>
      <c r="Q1133" s="405"/>
      <c r="R1133" s="405"/>
      <c r="S1133" s="405"/>
      <c r="T1133" s="405"/>
      <c r="U1133" s="405"/>
      <c r="V1133" s="405"/>
      <c r="W1133" s="405"/>
      <c r="X1133" s="405"/>
      <c r="Y1133" s="405"/>
      <c r="Z1133" s="405"/>
    </row>
    <row r="1134" ht="14.25" customHeight="1">
      <c r="A1134" s="656"/>
      <c r="B1134" s="405"/>
      <c r="C1134" s="405"/>
      <c r="D1134" s="405"/>
      <c r="E1134" s="405"/>
      <c r="F1134" s="657"/>
      <c r="G1134" s="583"/>
      <c r="H1134" s="405"/>
      <c r="I1134" s="405"/>
      <c r="J1134" s="405"/>
      <c r="K1134" s="405"/>
      <c r="L1134" s="405"/>
      <c r="M1134" s="405"/>
      <c r="N1134" s="405"/>
      <c r="O1134" s="405"/>
      <c r="P1134" s="405"/>
      <c r="Q1134" s="405"/>
      <c r="R1134" s="405"/>
      <c r="S1134" s="405"/>
      <c r="T1134" s="405"/>
      <c r="U1134" s="405"/>
      <c r="V1134" s="405"/>
      <c r="W1134" s="405"/>
      <c r="X1134" s="405"/>
      <c r="Y1134" s="405"/>
      <c r="Z1134" s="405"/>
    </row>
    <row r="1135" ht="14.25" customHeight="1">
      <c r="A1135" s="656"/>
      <c r="B1135" s="405"/>
      <c r="C1135" s="405"/>
      <c r="D1135" s="405"/>
      <c r="E1135" s="405"/>
      <c r="F1135" s="657"/>
      <c r="G1135" s="583"/>
      <c r="H1135" s="405"/>
      <c r="I1135" s="405"/>
      <c r="J1135" s="405"/>
      <c r="K1135" s="405"/>
      <c r="L1135" s="405"/>
      <c r="M1135" s="405"/>
      <c r="N1135" s="405"/>
      <c r="O1135" s="405"/>
      <c r="P1135" s="405"/>
      <c r="Q1135" s="405"/>
      <c r="R1135" s="405"/>
      <c r="S1135" s="405"/>
      <c r="T1135" s="405"/>
      <c r="U1135" s="405"/>
      <c r="V1135" s="405"/>
      <c r="W1135" s="405"/>
      <c r="X1135" s="405"/>
      <c r="Y1135" s="405"/>
      <c r="Z1135" s="405"/>
    </row>
    <row r="1136" ht="14.25" customHeight="1">
      <c r="A1136" s="656"/>
      <c r="B1136" s="405"/>
      <c r="C1136" s="405"/>
      <c r="D1136" s="405"/>
      <c r="E1136" s="405"/>
      <c r="F1136" s="657"/>
      <c r="G1136" s="583"/>
      <c r="H1136" s="405"/>
      <c r="I1136" s="405"/>
      <c r="J1136" s="405"/>
      <c r="K1136" s="405"/>
      <c r="L1136" s="405"/>
      <c r="M1136" s="405"/>
      <c r="N1136" s="405"/>
      <c r="O1136" s="405"/>
      <c r="P1136" s="405"/>
      <c r="Q1136" s="405"/>
      <c r="R1136" s="405"/>
      <c r="S1136" s="405"/>
      <c r="T1136" s="405"/>
      <c r="U1136" s="405"/>
      <c r="V1136" s="405"/>
      <c r="W1136" s="405"/>
      <c r="X1136" s="405"/>
      <c r="Y1136" s="405"/>
      <c r="Z1136" s="405"/>
    </row>
    <row r="1137" ht="14.25" customHeight="1">
      <c r="A1137" s="656"/>
      <c r="B1137" s="405"/>
      <c r="C1137" s="405"/>
      <c r="D1137" s="405"/>
      <c r="E1137" s="405"/>
      <c r="F1137" s="657"/>
      <c r="G1137" s="583"/>
      <c r="H1137" s="405"/>
      <c r="I1137" s="405"/>
      <c r="J1137" s="405"/>
      <c r="K1137" s="405"/>
      <c r="L1137" s="405"/>
      <c r="M1137" s="405"/>
      <c r="N1137" s="405"/>
      <c r="O1137" s="405"/>
      <c r="P1137" s="405"/>
      <c r="Q1137" s="405"/>
      <c r="R1137" s="405"/>
      <c r="S1137" s="405"/>
      <c r="T1137" s="405"/>
      <c r="U1137" s="405"/>
      <c r="V1137" s="405"/>
      <c r="W1137" s="405"/>
      <c r="X1137" s="405"/>
      <c r="Y1137" s="405"/>
      <c r="Z1137" s="405"/>
    </row>
    <row r="1138" ht="14.25" customHeight="1">
      <c r="A1138" s="656"/>
      <c r="B1138" s="405"/>
      <c r="C1138" s="405"/>
      <c r="D1138" s="405"/>
      <c r="E1138" s="405"/>
      <c r="F1138" s="657"/>
      <c r="G1138" s="583"/>
      <c r="H1138" s="405"/>
      <c r="I1138" s="405"/>
      <c r="J1138" s="405"/>
      <c r="K1138" s="405"/>
      <c r="L1138" s="405"/>
      <c r="M1138" s="405"/>
      <c r="N1138" s="405"/>
      <c r="O1138" s="405"/>
      <c r="P1138" s="405"/>
      <c r="Q1138" s="405"/>
      <c r="R1138" s="405"/>
      <c r="S1138" s="405"/>
      <c r="T1138" s="405"/>
      <c r="U1138" s="405"/>
      <c r="V1138" s="405"/>
      <c r="W1138" s="405"/>
      <c r="X1138" s="405"/>
      <c r="Y1138" s="405"/>
      <c r="Z1138" s="405"/>
    </row>
    <row r="1139" ht="14.25" customHeight="1">
      <c r="A1139" s="656"/>
      <c r="B1139" s="405"/>
      <c r="C1139" s="405"/>
      <c r="D1139" s="405"/>
      <c r="E1139" s="405"/>
      <c r="F1139" s="657"/>
      <c r="G1139" s="583"/>
      <c r="H1139" s="405"/>
      <c r="I1139" s="405"/>
      <c r="J1139" s="405"/>
      <c r="K1139" s="405"/>
      <c r="L1139" s="405"/>
      <c r="M1139" s="405"/>
      <c r="N1139" s="405"/>
      <c r="O1139" s="405"/>
      <c r="P1139" s="405"/>
      <c r="Q1139" s="405"/>
      <c r="R1139" s="405"/>
      <c r="S1139" s="405"/>
      <c r="T1139" s="405"/>
      <c r="U1139" s="405"/>
      <c r="V1139" s="405"/>
      <c r="W1139" s="405"/>
      <c r="X1139" s="405"/>
      <c r="Y1139" s="405"/>
      <c r="Z1139" s="405"/>
    </row>
    <row r="1140" ht="14.25" customHeight="1">
      <c r="A1140" s="656"/>
      <c r="B1140" s="405"/>
      <c r="C1140" s="405"/>
      <c r="D1140" s="405"/>
      <c r="E1140" s="405"/>
      <c r="F1140" s="657"/>
      <c r="G1140" s="583"/>
      <c r="H1140" s="405"/>
      <c r="I1140" s="405"/>
      <c r="J1140" s="405"/>
      <c r="K1140" s="405"/>
      <c r="L1140" s="405"/>
      <c r="M1140" s="405"/>
      <c r="N1140" s="405"/>
      <c r="O1140" s="405"/>
      <c r="P1140" s="405"/>
      <c r="Q1140" s="405"/>
      <c r="R1140" s="405"/>
      <c r="S1140" s="405"/>
      <c r="T1140" s="405"/>
      <c r="U1140" s="405"/>
      <c r="V1140" s="405"/>
      <c r="W1140" s="405"/>
      <c r="X1140" s="405"/>
      <c r="Y1140" s="405"/>
      <c r="Z1140" s="405"/>
    </row>
    <row r="1141" ht="14.25" customHeight="1">
      <c r="A1141" s="656"/>
      <c r="B1141" s="405"/>
      <c r="C1141" s="405"/>
      <c r="D1141" s="405"/>
      <c r="E1141" s="405"/>
      <c r="F1141" s="657"/>
      <c r="G1141" s="583"/>
      <c r="H1141" s="405"/>
      <c r="I1141" s="405"/>
      <c r="J1141" s="405"/>
      <c r="K1141" s="405"/>
      <c r="L1141" s="405"/>
      <c r="M1141" s="405"/>
      <c r="N1141" s="405"/>
      <c r="O1141" s="405"/>
      <c r="P1141" s="405"/>
      <c r="Q1141" s="405"/>
      <c r="R1141" s="405"/>
      <c r="S1141" s="405"/>
      <c r="T1141" s="405"/>
      <c r="U1141" s="405"/>
      <c r="V1141" s="405"/>
      <c r="W1141" s="405"/>
      <c r="X1141" s="405"/>
      <c r="Y1141" s="405"/>
      <c r="Z1141" s="405"/>
    </row>
    <row r="1142" ht="14.25" customHeight="1">
      <c r="A1142" s="656"/>
      <c r="B1142" s="405"/>
      <c r="C1142" s="405"/>
      <c r="D1142" s="405"/>
      <c r="E1142" s="405"/>
      <c r="F1142" s="657"/>
      <c r="G1142" s="583"/>
      <c r="H1142" s="405"/>
      <c r="I1142" s="405"/>
      <c r="J1142" s="405"/>
      <c r="K1142" s="405"/>
      <c r="L1142" s="405"/>
      <c r="M1142" s="405"/>
      <c r="N1142" s="405"/>
      <c r="O1142" s="405"/>
      <c r="P1142" s="405"/>
      <c r="Q1142" s="405"/>
      <c r="R1142" s="405"/>
      <c r="S1142" s="405"/>
      <c r="T1142" s="405"/>
      <c r="U1142" s="405"/>
      <c r="V1142" s="405"/>
      <c r="W1142" s="405"/>
      <c r="X1142" s="405"/>
      <c r="Y1142" s="405"/>
      <c r="Z1142" s="405"/>
    </row>
    <row r="1143" ht="14.25" customHeight="1">
      <c r="A1143" s="656"/>
      <c r="B1143" s="405"/>
      <c r="C1143" s="405"/>
      <c r="D1143" s="405"/>
      <c r="E1143" s="405"/>
      <c r="F1143" s="657"/>
      <c r="G1143" s="583"/>
      <c r="H1143" s="405"/>
      <c r="I1143" s="405"/>
      <c r="J1143" s="405"/>
      <c r="K1143" s="405"/>
      <c r="L1143" s="405"/>
      <c r="M1143" s="405"/>
      <c r="N1143" s="405"/>
      <c r="O1143" s="405"/>
      <c r="P1143" s="405"/>
      <c r="Q1143" s="405"/>
      <c r="R1143" s="405"/>
      <c r="S1143" s="405"/>
      <c r="T1143" s="405"/>
      <c r="U1143" s="405"/>
      <c r="V1143" s="405"/>
      <c r="W1143" s="405"/>
      <c r="X1143" s="405"/>
      <c r="Y1143" s="405"/>
      <c r="Z1143" s="405"/>
    </row>
    <row r="1144" ht="14.25" customHeight="1">
      <c r="A1144" s="656"/>
      <c r="B1144" s="405"/>
      <c r="C1144" s="405"/>
      <c r="D1144" s="405"/>
      <c r="E1144" s="405"/>
      <c r="F1144" s="657"/>
      <c r="G1144" s="583"/>
      <c r="H1144" s="405"/>
      <c r="I1144" s="405"/>
      <c r="J1144" s="405"/>
      <c r="K1144" s="405"/>
      <c r="L1144" s="405"/>
      <c r="M1144" s="405"/>
      <c r="N1144" s="405"/>
      <c r="O1144" s="405"/>
      <c r="P1144" s="405"/>
      <c r="Q1144" s="405"/>
      <c r="R1144" s="405"/>
      <c r="S1144" s="405"/>
      <c r="T1144" s="405"/>
      <c r="U1144" s="405"/>
      <c r="V1144" s="405"/>
      <c r="W1144" s="405"/>
      <c r="X1144" s="405"/>
      <c r="Y1144" s="405"/>
      <c r="Z1144" s="405"/>
    </row>
    <row r="1145" ht="14.25" customHeight="1">
      <c r="A1145" s="656"/>
      <c r="B1145" s="405"/>
      <c r="C1145" s="405"/>
      <c r="D1145" s="405"/>
      <c r="E1145" s="405"/>
      <c r="F1145" s="657"/>
      <c r="G1145" s="583"/>
      <c r="H1145" s="405"/>
      <c r="I1145" s="405"/>
      <c r="J1145" s="405"/>
      <c r="K1145" s="405"/>
      <c r="L1145" s="405"/>
      <c r="M1145" s="405"/>
      <c r="N1145" s="405"/>
      <c r="O1145" s="405"/>
      <c r="P1145" s="405"/>
      <c r="Q1145" s="405"/>
      <c r="R1145" s="405"/>
      <c r="S1145" s="405"/>
      <c r="T1145" s="405"/>
      <c r="U1145" s="405"/>
      <c r="V1145" s="405"/>
      <c r="W1145" s="405"/>
      <c r="X1145" s="405"/>
      <c r="Y1145" s="405"/>
      <c r="Z1145" s="405"/>
    </row>
    <row r="1146" ht="14.25" customHeight="1">
      <c r="A1146" s="656"/>
      <c r="B1146" s="405"/>
      <c r="C1146" s="405"/>
      <c r="D1146" s="405"/>
      <c r="E1146" s="405"/>
      <c r="F1146" s="657"/>
      <c r="G1146" s="583"/>
      <c r="H1146" s="405"/>
      <c r="I1146" s="405"/>
      <c r="J1146" s="405"/>
      <c r="K1146" s="405"/>
      <c r="L1146" s="405"/>
      <c r="M1146" s="405"/>
      <c r="N1146" s="405"/>
      <c r="O1146" s="405"/>
      <c r="P1146" s="405"/>
      <c r="Q1146" s="405"/>
      <c r="R1146" s="405"/>
      <c r="S1146" s="405"/>
      <c r="T1146" s="405"/>
      <c r="U1146" s="405"/>
      <c r="V1146" s="405"/>
      <c r="W1146" s="405"/>
      <c r="X1146" s="405"/>
      <c r="Y1146" s="405"/>
      <c r="Z1146" s="405"/>
    </row>
    <row r="1147" ht="14.25" customHeight="1">
      <c r="A1147" s="656"/>
      <c r="B1147" s="405"/>
      <c r="C1147" s="405"/>
      <c r="D1147" s="405"/>
      <c r="E1147" s="405"/>
      <c r="F1147" s="657"/>
      <c r="G1147" s="583"/>
      <c r="H1147" s="405"/>
      <c r="I1147" s="405"/>
      <c r="J1147" s="405"/>
      <c r="K1147" s="405"/>
      <c r="L1147" s="405"/>
      <c r="M1147" s="405"/>
      <c r="N1147" s="405"/>
      <c r="O1147" s="405"/>
      <c r="P1147" s="405"/>
      <c r="Q1147" s="405"/>
      <c r="R1147" s="405"/>
      <c r="S1147" s="405"/>
      <c r="T1147" s="405"/>
      <c r="U1147" s="405"/>
      <c r="V1147" s="405"/>
      <c r="W1147" s="405"/>
      <c r="X1147" s="405"/>
      <c r="Y1147" s="405"/>
      <c r="Z1147" s="405"/>
    </row>
    <row r="1148" ht="14.25" customHeight="1">
      <c r="A1148" s="656"/>
      <c r="B1148" s="405"/>
      <c r="C1148" s="405"/>
      <c r="D1148" s="405"/>
      <c r="E1148" s="405"/>
      <c r="F1148" s="657"/>
      <c r="G1148" s="583"/>
      <c r="H1148" s="405"/>
      <c r="I1148" s="405"/>
      <c r="J1148" s="405"/>
      <c r="K1148" s="405"/>
      <c r="L1148" s="405"/>
      <c r="M1148" s="405"/>
      <c r="N1148" s="405"/>
      <c r="O1148" s="405"/>
      <c r="P1148" s="405"/>
      <c r="Q1148" s="405"/>
      <c r="R1148" s="405"/>
      <c r="S1148" s="405"/>
      <c r="T1148" s="405"/>
      <c r="U1148" s="405"/>
      <c r="V1148" s="405"/>
      <c r="W1148" s="405"/>
      <c r="X1148" s="405"/>
      <c r="Y1148" s="405"/>
      <c r="Z1148" s="405"/>
    </row>
    <row r="1149" ht="14.25" customHeight="1">
      <c r="A1149" s="656"/>
      <c r="B1149" s="405"/>
      <c r="C1149" s="405"/>
      <c r="D1149" s="405"/>
      <c r="E1149" s="405"/>
      <c r="F1149" s="657"/>
      <c r="G1149" s="583"/>
      <c r="H1149" s="405"/>
      <c r="I1149" s="405"/>
      <c r="J1149" s="405"/>
      <c r="K1149" s="405"/>
      <c r="L1149" s="405"/>
      <c r="M1149" s="405"/>
      <c r="N1149" s="405"/>
      <c r="O1149" s="405"/>
      <c r="P1149" s="405"/>
      <c r="Q1149" s="405"/>
      <c r="R1149" s="405"/>
      <c r="S1149" s="405"/>
      <c r="T1149" s="405"/>
      <c r="U1149" s="405"/>
      <c r="V1149" s="405"/>
      <c r="W1149" s="405"/>
      <c r="X1149" s="405"/>
      <c r="Y1149" s="405"/>
      <c r="Z1149" s="405"/>
    </row>
    <row r="1150" ht="14.25" customHeight="1">
      <c r="A1150" s="656"/>
      <c r="B1150" s="405"/>
      <c r="C1150" s="405"/>
      <c r="D1150" s="405"/>
      <c r="E1150" s="405"/>
      <c r="F1150" s="657"/>
      <c r="G1150" s="583"/>
      <c r="H1150" s="405"/>
      <c r="I1150" s="405"/>
      <c r="J1150" s="405"/>
      <c r="K1150" s="405"/>
      <c r="L1150" s="405"/>
      <c r="M1150" s="405"/>
      <c r="N1150" s="405"/>
      <c r="O1150" s="405"/>
      <c r="P1150" s="405"/>
      <c r="Q1150" s="405"/>
      <c r="R1150" s="405"/>
      <c r="S1150" s="405"/>
      <c r="T1150" s="405"/>
      <c r="U1150" s="405"/>
      <c r="V1150" s="405"/>
      <c r="W1150" s="405"/>
      <c r="X1150" s="405"/>
      <c r="Y1150" s="405"/>
      <c r="Z1150" s="405"/>
    </row>
    <row r="1151" ht="14.25" customHeight="1">
      <c r="A1151" s="656"/>
      <c r="B1151" s="405"/>
      <c r="C1151" s="405"/>
      <c r="D1151" s="405"/>
      <c r="E1151" s="405"/>
      <c r="F1151" s="657"/>
      <c r="G1151" s="583"/>
      <c r="H1151" s="405"/>
      <c r="I1151" s="405"/>
      <c r="J1151" s="405"/>
      <c r="K1151" s="405"/>
      <c r="L1151" s="405"/>
      <c r="M1151" s="405"/>
      <c r="N1151" s="405"/>
      <c r="O1151" s="405"/>
      <c r="P1151" s="405"/>
      <c r="Q1151" s="405"/>
      <c r="R1151" s="405"/>
      <c r="S1151" s="405"/>
      <c r="T1151" s="405"/>
      <c r="U1151" s="405"/>
      <c r="V1151" s="405"/>
      <c r="W1151" s="405"/>
      <c r="X1151" s="405"/>
      <c r="Y1151" s="405"/>
      <c r="Z1151" s="405"/>
    </row>
    <row r="1152" ht="14.25" customHeight="1">
      <c r="A1152" s="656"/>
      <c r="B1152" s="405"/>
      <c r="C1152" s="405"/>
      <c r="D1152" s="405"/>
      <c r="E1152" s="405"/>
      <c r="F1152" s="657"/>
      <c r="G1152" s="583"/>
      <c r="H1152" s="405"/>
      <c r="I1152" s="405"/>
      <c r="J1152" s="405"/>
      <c r="K1152" s="405"/>
      <c r="L1152" s="405"/>
      <c r="M1152" s="405"/>
      <c r="N1152" s="405"/>
      <c r="O1152" s="405"/>
      <c r="P1152" s="405"/>
      <c r="Q1152" s="405"/>
      <c r="R1152" s="405"/>
      <c r="S1152" s="405"/>
      <c r="T1152" s="405"/>
      <c r="U1152" s="405"/>
      <c r="V1152" s="405"/>
      <c r="W1152" s="405"/>
      <c r="X1152" s="405"/>
      <c r="Y1152" s="405"/>
      <c r="Z1152" s="405"/>
    </row>
    <row r="1153" ht="14.25" customHeight="1">
      <c r="A1153" s="656"/>
      <c r="B1153" s="405"/>
      <c r="C1153" s="405"/>
      <c r="D1153" s="405"/>
      <c r="E1153" s="405"/>
      <c r="F1153" s="657"/>
      <c r="G1153" s="583"/>
      <c r="H1153" s="405"/>
      <c r="I1153" s="405"/>
      <c r="J1153" s="405"/>
      <c r="K1153" s="405"/>
      <c r="L1153" s="405"/>
      <c r="M1153" s="405"/>
      <c r="N1153" s="405"/>
      <c r="O1153" s="405"/>
      <c r="P1153" s="405"/>
      <c r="Q1153" s="405"/>
      <c r="R1153" s="405"/>
      <c r="S1153" s="405"/>
      <c r="T1153" s="405"/>
      <c r="U1153" s="405"/>
      <c r="V1153" s="405"/>
      <c r="W1153" s="405"/>
      <c r="X1153" s="405"/>
      <c r="Y1153" s="405"/>
      <c r="Z1153" s="405"/>
    </row>
    <row r="1154" ht="14.25" customHeight="1">
      <c r="A1154" s="656"/>
      <c r="B1154" s="405"/>
      <c r="C1154" s="405"/>
      <c r="D1154" s="405"/>
      <c r="E1154" s="405"/>
      <c r="F1154" s="657"/>
      <c r="G1154" s="583"/>
      <c r="H1154" s="405"/>
      <c r="I1154" s="405"/>
      <c r="J1154" s="405"/>
      <c r="K1154" s="405"/>
      <c r="L1154" s="405"/>
      <c r="M1154" s="405"/>
      <c r="N1154" s="405"/>
      <c r="O1154" s="405"/>
      <c r="P1154" s="405"/>
      <c r="Q1154" s="405"/>
      <c r="R1154" s="405"/>
      <c r="S1154" s="405"/>
      <c r="T1154" s="405"/>
      <c r="U1154" s="405"/>
      <c r="V1154" s="405"/>
      <c r="W1154" s="405"/>
      <c r="X1154" s="405"/>
      <c r="Y1154" s="405"/>
      <c r="Z1154" s="405"/>
    </row>
    <row r="1155" ht="14.25" customHeight="1">
      <c r="A1155" s="656"/>
      <c r="B1155" s="405"/>
      <c r="C1155" s="405"/>
      <c r="D1155" s="405"/>
      <c r="E1155" s="405"/>
      <c r="F1155" s="657"/>
      <c r="G1155" s="583"/>
      <c r="H1155" s="405"/>
      <c r="I1155" s="405"/>
      <c r="J1155" s="405"/>
      <c r="K1155" s="405"/>
      <c r="L1155" s="405"/>
      <c r="M1155" s="405"/>
      <c r="N1155" s="405"/>
      <c r="O1155" s="405"/>
      <c r="P1155" s="405"/>
      <c r="Q1155" s="405"/>
      <c r="R1155" s="405"/>
      <c r="S1155" s="405"/>
      <c r="T1155" s="405"/>
      <c r="U1155" s="405"/>
      <c r="V1155" s="405"/>
      <c r="W1155" s="405"/>
      <c r="X1155" s="405"/>
      <c r="Y1155" s="405"/>
      <c r="Z1155" s="405"/>
    </row>
    <row r="1156" ht="14.25" customHeight="1">
      <c r="A1156" s="656"/>
      <c r="B1156" s="405"/>
      <c r="C1156" s="405"/>
      <c r="D1156" s="405"/>
      <c r="E1156" s="405"/>
      <c r="F1156" s="657"/>
      <c r="G1156" s="583"/>
      <c r="H1156" s="405"/>
      <c r="I1156" s="405"/>
      <c r="J1156" s="405"/>
      <c r="K1156" s="405"/>
      <c r="L1156" s="405"/>
      <c r="M1156" s="405"/>
      <c r="N1156" s="405"/>
      <c r="O1156" s="405"/>
      <c r="P1156" s="405"/>
      <c r="Q1156" s="405"/>
      <c r="R1156" s="405"/>
      <c r="S1156" s="405"/>
      <c r="T1156" s="405"/>
      <c r="U1156" s="405"/>
      <c r="V1156" s="405"/>
      <c r="W1156" s="405"/>
      <c r="X1156" s="405"/>
      <c r="Y1156" s="405"/>
      <c r="Z1156" s="405"/>
    </row>
    <row r="1157" ht="14.25" customHeight="1">
      <c r="A1157" s="656"/>
      <c r="B1157" s="405"/>
      <c r="C1157" s="405"/>
      <c r="D1157" s="405"/>
      <c r="E1157" s="405"/>
      <c r="F1157" s="657"/>
      <c r="G1157" s="583"/>
      <c r="H1157" s="405"/>
      <c r="I1157" s="405"/>
      <c r="J1157" s="405"/>
      <c r="K1157" s="405"/>
      <c r="L1157" s="405"/>
      <c r="M1157" s="405"/>
      <c r="N1157" s="405"/>
      <c r="O1157" s="405"/>
      <c r="P1157" s="405"/>
      <c r="Q1157" s="405"/>
      <c r="R1157" s="405"/>
      <c r="S1157" s="405"/>
      <c r="T1157" s="405"/>
      <c r="U1157" s="405"/>
      <c r="V1157" s="405"/>
      <c r="W1157" s="405"/>
      <c r="X1157" s="405"/>
      <c r="Y1157" s="405"/>
      <c r="Z1157" s="405"/>
    </row>
    <row r="1158" ht="14.25" customHeight="1">
      <c r="A1158" s="656"/>
      <c r="B1158" s="405"/>
      <c r="C1158" s="405"/>
      <c r="D1158" s="405"/>
      <c r="E1158" s="405"/>
      <c r="F1158" s="657"/>
      <c r="G1158" s="583"/>
      <c r="H1158" s="405"/>
      <c r="I1158" s="405"/>
      <c r="J1158" s="405"/>
      <c r="K1158" s="405"/>
      <c r="L1158" s="405"/>
      <c r="M1158" s="405"/>
      <c r="N1158" s="405"/>
      <c r="O1158" s="405"/>
      <c r="P1158" s="405"/>
      <c r="Q1158" s="405"/>
      <c r="R1158" s="405"/>
      <c r="S1158" s="405"/>
      <c r="T1158" s="405"/>
      <c r="U1158" s="405"/>
      <c r="V1158" s="405"/>
      <c r="W1158" s="405"/>
      <c r="X1158" s="405"/>
      <c r="Y1158" s="405"/>
      <c r="Z1158" s="405"/>
    </row>
    <row r="1159" ht="14.25" customHeight="1">
      <c r="A1159" s="656"/>
      <c r="B1159" s="405"/>
      <c r="C1159" s="405"/>
      <c r="D1159" s="405"/>
      <c r="E1159" s="405"/>
      <c r="F1159" s="657"/>
      <c r="G1159" s="583"/>
      <c r="H1159" s="405"/>
      <c r="I1159" s="405"/>
      <c r="J1159" s="405"/>
      <c r="K1159" s="405"/>
      <c r="L1159" s="405"/>
      <c r="M1159" s="405"/>
      <c r="N1159" s="405"/>
      <c r="O1159" s="405"/>
      <c r="P1159" s="405"/>
      <c r="Q1159" s="405"/>
      <c r="R1159" s="405"/>
      <c r="S1159" s="405"/>
      <c r="T1159" s="405"/>
      <c r="U1159" s="405"/>
      <c r="V1159" s="405"/>
      <c r="W1159" s="405"/>
      <c r="X1159" s="405"/>
      <c r="Y1159" s="405"/>
      <c r="Z1159" s="405"/>
    </row>
    <row r="1160" ht="14.25" customHeight="1">
      <c r="A1160" s="656"/>
      <c r="B1160" s="405"/>
      <c r="C1160" s="405"/>
      <c r="D1160" s="405"/>
      <c r="E1160" s="405"/>
      <c r="F1160" s="657"/>
      <c r="G1160" s="583"/>
      <c r="H1160" s="405"/>
      <c r="I1160" s="405"/>
      <c r="J1160" s="405"/>
      <c r="K1160" s="405"/>
      <c r="L1160" s="405"/>
      <c r="M1160" s="405"/>
      <c r="N1160" s="405"/>
      <c r="O1160" s="405"/>
      <c r="P1160" s="405"/>
      <c r="Q1160" s="405"/>
      <c r="R1160" s="405"/>
      <c r="S1160" s="405"/>
      <c r="T1160" s="405"/>
      <c r="U1160" s="405"/>
      <c r="V1160" s="405"/>
      <c r="W1160" s="405"/>
      <c r="X1160" s="405"/>
      <c r="Y1160" s="405"/>
      <c r="Z1160" s="405"/>
    </row>
    <row r="1161" ht="14.25" customHeight="1">
      <c r="A1161" s="656"/>
      <c r="B1161" s="405"/>
      <c r="C1161" s="405"/>
      <c r="D1161" s="405"/>
      <c r="E1161" s="405"/>
      <c r="F1161" s="657"/>
      <c r="G1161" s="583"/>
      <c r="H1161" s="405"/>
      <c r="I1161" s="405"/>
      <c r="J1161" s="405"/>
      <c r="K1161" s="405"/>
      <c r="L1161" s="405"/>
      <c r="M1161" s="405"/>
      <c r="N1161" s="405"/>
      <c r="O1161" s="405"/>
      <c r="P1161" s="405"/>
      <c r="Q1161" s="405"/>
      <c r="R1161" s="405"/>
      <c r="S1161" s="405"/>
      <c r="T1161" s="405"/>
      <c r="U1161" s="405"/>
      <c r="V1161" s="405"/>
      <c r="W1161" s="405"/>
      <c r="X1161" s="405"/>
      <c r="Y1161" s="405"/>
      <c r="Z1161" s="405"/>
    </row>
    <row r="1162" ht="14.25" customHeight="1">
      <c r="A1162" s="656"/>
      <c r="B1162" s="405"/>
      <c r="C1162" s="405"/>
      <c r="D1162" s="405"/>
      <c r="E1162" s="405"/>
      <c r="F1162" s="657"/>
      <c r="G1162" s="583"/>
      <c r="H1162" s="405"/>
      <c r="I1162" s="405"/>
      <c r="J1162" s="405"/>
      <c r="K1162" s="405"/>
      <c r="L1162" s="405"/>
      <c r="M1162" s="405"/>
      <c r="N1162" s="405"/>
      <c r="O1162" s="405"/>
      <c r="P1162" s="405"/>
      <c r="Q1162" s="405"/>
      <c r="R1162" s="405"/>
      <c r="S1162" s="405"/>
      <c r="T1162" s="405"/>
      <c r="U1162" s="405"/>
      <c r="V1162" s="405"/>
      <c r="W1162" s="405"/>
      <c r="X1162" s="405"/>
      <c r="Y1162" s="405"/>
      <c r="Z1162" s="405"/>
    </row>
    <row r="1163" ht="14.25" customHeight="1">
      <c r="A1163" s="656"/>
      <c r="B1163" s="405"/>
      <c r="C1163" s="405"/>
      <c r="D1163" s="405"/>
      <c r="E1163" s="405"/>
      <c r="F1163" s="657"/>
      <c r="G1163" s="583"/>
      <c r="H1163" s="405"/>
      <c r="I1163" s="405"/>
      <c r="J1163" s="405"/>
      <c r="K1163" s="405"/>
      <c r="L1163" s="405"/>
      <c r="M1163" s="405"/>
      <c r="N1163" s="405"/>
      <c r="O1163" s="405"/>
      <c r="P1163" s="405"/>
      <c r="Q1163" s="405"/>
      <c r="R1163" s="405"/>
      <c r="S1163" s="405"/>
      <c r="T1163" s="405"/>
      <c r="U1163" s="405"/>
      <c r="V1163" s="405"/>
      <c r="W1163" s="405"/>
      <c r="X1163" s="405"/>
      <c r="Y1163" s="405"/>
      <c r="Z1163" s="405"/>
    </row>
    <row r="1164" ht="14.25" customHeight="1">
      <c r="A1164" s="656"/>
      <c r="B1164" s="405"/>
      <c r="C1164" s="405"/>
      <c r="D1164" s="405"/>
      <c r="E1164" s="405"/>
      <c r="F1164" s="657"/>
      <c r="G1164" s="583"/>
      <c r="H1164" s="405"/>
      <c r="I1164" s="405"/>
      <c r="J1164" s="405"/>
      <c r="K1164" s="405"/>
      <c r="L1164" s="405"/>
      <c r="M1164" s="405"/>
      <c r="N1164" s="405"/>
      <c r="O1164" s="405"/>
      <c r="P1164" s="405"/>
      <c r="Q1164" s="405"/>
      <c r="R1164" s="405"/>
      <c r="S1164" s="405"/>
      <c r="T1164" s="405"/>
      <c r="U1164" s="405"/>
      <c r="V1164" s="405"/>
      <c r="W1164" s="405"/>
      <c r="X1164" s="405"/>
      <c r="Y1164" s="405"/>
      <c r="Z1164" s="405"/>
    </row>
    <row r="1165" ht="14.25" customHeight="1">
      <c r="A1165" s="656"/>
      <c r="B1165" s="405"/>
      <c r="C1165" s="405"/>
      <c r="D1165" s="405"/>
      <c r="E1165" s="405"/>
      <c r="F1165" s="657"/>
      <c r="G1165" s="583"/>
      <c r="H1165" s="405"/>
      <c r="I1165" s="405"/>
      <c r="J1165" s="405"/>
      <c r="K1165" s="405"/>
      <c r="L1165" s="405"/>
      <c r="M1165" s="405"/>
      <c r="N1165" s="405"/>
      <c r="O1165" s="405"/>
      <c r="P1165" s="405"/>
      <c r="Q1165" s="405"/>
      <c r="R1165" s="405"/>
      <c r="S1165" s="405"/>
      <c r="T1165" s="405"/>
      <c r="U1165" s="405"/>
      <c r="V1165" s="405"/>
      <c r="W1165" s="405"/>
      <c r="X1165" s="405"/>
      <c r="Y1165" s="405"/>
      <c r="Z1165" s="405"/>
    </row>
    <row r="1166" ht="14.25" customHeight="1">
      <c r="A1166" s="656"/>
      <c r="B1166" s="405"/>
      <c r="C1166" s="405"/>
      <c r="D1166" s="405"/>
      <c r="E1166" s="405"/>
      <c r="F1166" s="657"/>
      <c r="G1166" s="583"/>
      <c r="H1166" s="405"/>
      <c r="I1166" s="405"/>
      <c r="J1166" s="405"/>
      <c r="K1166" s="405"/>
      <c r="L1166" s="405"/>
      <c r="M1166" s="405"/>
      <c r="N1166" s="405"/>
      <c r="O1166" s="405"/>
      <c r="P1166" s="405"/>
      <c r="Q1166" s="405"/>
      <c r="R1166" s="405"/>
      <c r="S1166" s="405"/>
      <c r="T1166" s="405"/>
      <c r="U1166" s="405"/>
      <c r="V1166" s="405"/>
      <c r="W1166" s="405"/>
      <c r="X1166" s="405"/>
      <c r="Y1166" s="405"/>
      <c r="Z1166" s="405"/>
    </row>
    <row r="1167" ht="14.25" customHeight="1">
      <c r="A1167" s="656"/>
      <c r="B1167" s="405"/>
      <c r="C1167" s="405"/>
      <c r="D1167" s="405"/>
      <c r="E1167" s="405"/>
      <c r="F1167" s="657"/>
      <c r="G1167" s="583"/>
      <c r="H1167" s="405"/>
      <c r="I1167" s="405"/>
      <c r="J1167" s="405"/>
      <c r="K1167" s="405"/>
      <c r="L1167" s="405"/>
      <c r="M1167" s="405"/>
      <c r="N1167" s="405"/>
      <c r="O1167" s="405"/>
      <c r="P1167" s="405"/>
      <c r="Q1167" s="405"/>
      <c r="R1167" s="405"/>
      <c r="S1167" s="405"/>
      <c r="T1167" s="405"/>
      <c r="U1167" s="405"/>
      <c r="V1167" s="405"/>
      <c r="W1167" s="405"/>
      <c r="X1167" s="405"/>
      <c r="Y1167" s="405"/>
      <c r="Z1167" s="405"/>
    </row>
    <row r="1168" ht="14.25" customHeight="1">
      <c r="A1168" s="656"/>
      <c r="B1168" s="405"/>
      <c r="C1168" s="405"/>
      <c r="D1168" s="405"/>
      <c r="E1168" s="405"/>
      <c r="F1168" s="657"/>
      <c r="G1168" s="583"/>
      <c r="H1168" s="405"/>
      <c r="I1168" s="405"/>
      <c r="J1168" s="405"/>
      <c r="K1168" s="405"/>
      <c r="L1168" s="405"/>
      <c r="M1168" s="405"/>
      <c r="N1168" s="405"/>
      <c r="O1168" s="405"/>
      <c r="P1168" s="405"/>
      <c r="Q1168" s="405"/>
      <c r="R1168" s="405"/>
      <c r="S1168" s="405"/>
      <c r="T1168" s="405"/>
      <c r="U1168" s="405"/>
      <c r="V1168" s="405"/>
      <c r="W1168" s="405"/>
      <c r="X1168" s="405"/>
      <c r="Y1168" s="405"/>
      <c r="Z1168" s="405"/>
    </row>
    <row r="1169" ht="14.25" customHeight="1">
      <c r="A1169" s="656"/>
      <c r="B1169" s="405"/>
      <c r="C1169" s="405"/>
      <c r="D1169" s="405"/>
      <c r="E1169" s="405"/>
      <c r="F1169" s="657"/>
      <c r="G1169" s="583"/>
      <c r="H1169" s="405"/>
      <c r="I1169" s="405"/>
      <c r="J1169" s="405"/>
      <c r="K1169" s="405"/>
      <c r="L1169" s="405"/>
      <c r="M1169" s="405"/>
      <c r="N1169" s="405"/>
      <c r="O1169" s="405"/>
      <c r="P1169" s="405"/>
      <c r="Q1169" s="405"/>
      <c r="R1169" s="405"/>
      <c r="S1169" s="405"/>
      <c r="T1169" s="405"/>
      <c r="U1169" s="405"/>
      <c r="V1169" s="405"/>
      <c r="W1169" s="405"/>
      <c r="X1169" s="405"/>
      <c r="Y1169" s="405"/>
      <c r="Z1169" s="405"/>
    </row>
    <row r="1170" ht="14.25" customHeight="1">
      <c r="A1170" s="656"/>
      <c r="B1170" s="405"/>
      <c r="C1170" s="405"/>
      <c r="D1170" s="405"/>
      <c r="E1170" s="405"/>
      <c r="F1170" s="657"/>
      <c r="G1170" s="583"/>
      <c r="H1170" s="405"/>
      <c r="I1170" s="405"/>
      <c r="J1170" s="405"/>
      <c r="K1170" s="405"/>
      <c r="L1170" s="405"/>
      <c r="M1170" s="405"/>
      <c r="N1170" s="405"/>
      <c r="O1170" s="405"/>
      <c r="P1170" s="405"/>
      <c r="Q1170" s="405"/>
      <c r="R1170" s="405"/>
      <c r="S1170" s="405"/>
      <c r="T1170" s="405"/>
      <c r="U1170" s="405"/>
      <c r="V1170" s="405"/>
      <c r="W1170" s="405"/>
      <c r="X1170" s="405"/>
      <c r="Y1170" s="405"/>
      <c r="Z1170" s="405"/>
    </row>
    <row r="1171" ht="14.25" customHeight="1">
      <c r="A1171" s="656"/>
      <c r="B1171" s="405"/>
      <c r="C1171" s="405"/>
      <c r="D1171" s="405"/>
      <c r="E1171" s="405"/>
      <c r="F1171" s="657"/>
      <c r="G1171" s="583"/>
      <c r="H1171" s="405"/>
      <c r="I1171" s="405"/>
      <c r="J1171" s="405"/>
      <c r="K1171" s="405"/>
      <c r="L1171" s="405"/>
      <c r="M1171" s="405"/>
      <c r="N1171" s="405"/>
      <c r="O1171" s="405"/>
      <c r="P1171" s="405"/>
      <c r="Q1171" s="405"/>
      <c r="R1171" s="405"/>
      <c r="S1171" s="405"/>
      <c r="T1171" s="405"/>
      <c r="U1171" s="405"/>
      <c r="V1171" s="405"/>
      <c r="W1171" s="405"/>
      <c r="X1171" s="405"/>
      <c r="Y1171" s="405"/>
      <c r="Z1171" s="405"/>
    </row>
    <row r="1172" ht="14.25" customHeight="1">
      <c r="A1172" s="656"/>
      <c r="B1172" s="405"/>
      <c r="C1172" s="405"/>
      <c r="D1172" s="405"/>
      <c r="E1172" s="405"/>
      <c r="F1172" s="657"/>
      <c r="G1172" s="583"/>
      <c r="H1172" s="405"/>
      <c r="I1172" s="405"/>
      <c r="J1172" s="405"/>
      <c r="K1172" s="405"/>
      <c r="L1172" s="405"/>
      <c r="M1172" s="405"/>
      <c r="N1172" s="405"/>
      <c r="O1172" s="405"/>
      <c r="P1172" s="405"/>
      <c r="Q1172" s="405"/>
      <c r="R1172" s="405"/>
      <c r="S1172" s="405"/>
      <c r="T1172" s="405"/>
      <c r="U1172" s="405"/>
      <c r="V1172" s="405"/>
      <c r="W1172" s="405"/>
      <c r="X1172" s="405"/>
      <c r="Y1172" s="405"/>
      <c r="Z1172" s="405"/>
    </row>
    <row r="1173" ht="14.25" customHeight="1">
      <c r="A1173" s="656"/>
      <c r="B1173" s="405"/>
      <c r="C1173" s="405"/>
      <c r="D1173" s="405"/>
      <c r="E1173" s="405"/>
      <c r="F1173" s="657"/>
      <c r="G1173" s="583"/>
      <c r="H1173" s="405"/>
      <c r="I1173" s="405"/>
      <c r="J1173" s="405"/>
      <c r="K1173" s="405"/>
      <c r="L1173" s="405"/>
      <c r="M1173" s="405"/>
      <c r="N1173" s="405"/>
      <c r="O1173" s="405"/>
      <c r="P1173" s="405"/>
      <c r="Q1173" s="405"/>
      <c r="R1173" s="405"/>
      <c r="S1173" s="405"/>
      <c r="T1173" s="405"/>
      <c r="U1173" s="405"/>
      <c r="V1173" s="405"/>
      <c r="W1173" s="405"/>
      <c r="X1173" s="405"/>
      <c r="Y1173" s="405"/>
      <c r="Z1173" s="405"/>
    </row>
    <row r="1174" ht="14.25" customHeight="1">
      <c r="A1174" s="656"/>
      <c r="B1174" s="405"/>
      <c r="C1174" s="405"/>
      <c r="D1174" s="405"/>
      <c r="E1174" s="405"/>
      <c r="F1174" s="657"/>
      <c r="G1174" s="583"/>
      <c r="H1174" s="405"/>
      <c r="I1174" s="405"/>
      <c r="J1174" s="405"/>
      <c r="K1174" s="405"/>
      <c r="L1174" s="405"/>
      <c r="M1174" s="405"/>
      <c r="N1174" s="405"/>
      <c r="O1174" s="405"/>
      <c r="P1174" s="405"/>
      <c r="Q1174" s="405"/>
      <c r="R1174" s="405"/>
      <c r="S1174" s="405"/>
      <c r="T1174" s="405"/>
      <c r="U1174" s="405"/>
      <c r="V1174" s="405"/>
      <c r="W1174" s="405"/>
      <c r="X1174" s="405"/>
      <c r="Y1174" s="405"/>
      <c r="Z1174" s="405"/>
    </row>
    <row r="1175" ht="14.25" customHeight="1">
      <c r="A1175" s="656"/>
      <c r="B1175" s="405"/>
      <c r="C1175" s="405"/>
      <c r="D1175" s="405"/>
      <c r="E1175" s="405"/>
      <c r="F1175" s="657"/>
      <c r="G1175" s="583"/>
      <c r="H1175" s="405"/>
      <c r="I1175" s="405"/>
      <c r="J1175" s="405"/>
      <c r="K1175" s="405"/>
      <c r="L1175" s="405"/>
      <c r="M1175" s="405"/>
      <c r="N1175" s="405"/>
      <c r="O1175" s="405"/>
      <c r="P1175" s="405"/>
      <c r="Q1175" s="405"/>
      <c r="R1175" s="405"/>
      <c r="S1175" s="405"/>
      <c r="T1175" s="405"/>
      <c r="U1175" s="405"/>
      <c r="V1175" s="405"/>
      <c r="W1175" s="405"/>
      <c r="X1175" s="405"/>
      <c r="Y1175" s="405"/>
      <c r="Z1175" s="405"/>
    </row>
    <row r="1176" ht="14.25" customHeight="1">
      <c r="A1176" s="656"/>
      <c r="B1176" s="405"/>
      <c r="C1176" s="405"/>
      <c r="D1176" s="405"/>
      <c r="E1176" s="405"/>
      <c r="F1176" s="657"/>
      <c r="G1176" s="583"/>
      <c r="H1176" s="405"/>
      <c r="I1176" s="405"/>
      <c r="J1176" s="405"/>
      <c r="K1176" s="405"/>
      <c r="L1176" s="405"/>
      <c r="M1176" s="405"/>
      <c r="N1176" s="405"/>
      <c r="O1176" s="405"/>
      <c r="P1176" s="405"/>
      <c r="Q1176" s="405"/>
      <c r="R1176" s="405"/>
      <c r="S1176" s="405"/>
      <c r="T1176" s="405"/>
      <c r="U1176" s="405"/>
      <c r="V1176" s="405"/>
      <c r="W1176" s="405"/>
      <c r="X1176" s="405"/>
      <c r="Y1176" s="405"/>
      <c r="Z1176" s="405"/>
    </row>
    <row r="1177" ht="14.25" customHeight="1">
      <c r="A1177" s="656"/>
      <c r="B1177" s="405"/>
      <c r="C1177" s="405"/>
      <c r="D1177" s="405"/>
      <c r="E1177" s="405"/>
      <c r="F1177" s="657"/>
      <c r="G1177" s="583"/>
      <c r="H1177" s="405"/>
      <c r="I1177" s="405"/>
      <c r="J1177" s="405"/>
      <c r="K1177" s="405"/>
      <c r="L1177" s="405"/>
      <c r="M1177" s="405"/>
      <c r="N1177" s="405"/>
      <c r="O1177" s="405"/>
      <c r="P1177" s="405"/>
      <c r="Q1177" s="405"/>
      <c r="R1177" s="405"/>
      <c r="S1177" s="405"/>
      <c r="T1177" s="405"/>
      <c r="U1177" s="405"/>
      <c r="V1177" s="405"/>
      <c r="W1177" s="405"/>
      <c r="X1177" s="405"/>
      <c r="Y1177" s="405"/>
      <c r="Z1177" s="405"/>
    </row>
    <row r="1178" ht="14.25" customHeight="1">
      <c r="A1178" s="656"/>
      <c r="B1178" s="405"/>
      <c r="C1178" s="405"/>
      <c r="D1178" s="405"/>
      <c r="E1178" s="405"/>
      <c r="F1178" s="657"/>
      <c r="G1178" s="583"/>
      <c r="H1178" s="405"/>
      <c r="I1178" s="405"/>
      <c r="J1178" s="405"/>
      <c r="K1178" s="405"/>
      <c r="L1178" s="405"/>
      <c r="M1178" s="405"/>
      <c r="N1178" s="405"/>
      <c r="O1178" s="405"/>
      <c r="P1178" s="405"/>
      <c r="Q1178" s="405"/>
      <c r="R1178" s="405"/>
      <c r="S1178" s="405"/>
      <c r="T1178" s="405"/>
      <c r="U1178" s="405"/>
      <c r="V1178" s="405"/>
      <c r="W1178" s="405"/>
      <c r="X1178" s="405"/>
      <c r="Y1178" s="405"/>
      <c r="Z1178" s="405"/>
    </row>
    <row r="1179" ht="14.25" customHeight="1">
      <c r="A1179" s="656"/>
      <c r="B1179" s="405"/>
      <c r="C1179" s="405"/>
      <c r="D1179" s="405"/>
      <c r="E1179" s="405"/>
      <c r="F1179" s="657"/>
      <c r="G1179" s="583"/>
      <c r="H1179" s="405"/>
      <c r="I1179" s="405"/>
      <c r="J1179" s="405"/>
      <c r="K1179" s="405"/>
      <c r="L1179" s="405"/>
      <c r="M1179" s="405"/>
      <c r="N1179" s="405"/>
      <c r="O1179" s="405"/>
      <c r="P1179" s="405"/>
      <c r="Q1179" s="405"/>
      <c r="R1179" s="405"/>
      <c r="S1179" s="405"/>
      <c r="T1179" s="405"/>
      <c r="U1179" s="405"/>
      <c r="V1179" s="405"/>
      <c r="W1179" s="405"/>
      <c r="X1179" s="405"/>
      <c r="Y1179" s="405"/>
      <c r="Z1179" s="405"/>
    </row>
    <row r="1180" ht="14.25" customHeight="1">
      <c r="A1180" s="656"/>
      <c r="B1180" s="405"/>
      <c r="C1180" s="405"/>
      <c r="D1180" s="405"/>
      <c r="E1180" s="405"/>
      <c r="F1180" s="657"/>
      <c r="G1180" s="583"/>
      <c r="H1180" s="405"/>
      <c r="I1180" s="405"/>
      <c r="J1180" s="405"/>
      <c r="K1180" s="405"/>
      <c r="L1180" s="405"/>
      <c r="M1180" s="405"/>
      <c r="N1180" s="405"/>
      <c r="O1180" s="405"/>
      <c r="P1180" s="405"/>
      <c r="Q1180" s="405"/>
      <c r="R1180" s="405"/>
      <c r="S1180" s="405"/>
      <c r="T1180" s="405"/>
      <c r="U1180" s="405"/>
      <c r="V1180" s="405"/>
      <c r="W1180" s="405"/>
      <c r="X1180" s="405"/>
      <c r="Y1180" s="405"/>
      <c r="Z1180" s="405"/>
    </row>
    <row r="1181" ht="14.25" customHeight="1">
      <c r="A1181" s="656"/>
      <c r="B1181" s="405"/>
      <c r="C1181" s="405"/>
      <c r="D1181" s="405"/>
      <c r="E1181" s="405"/>
      <c r="F1181" s="657"/>
      <c r="G1181" s="583"/>
      <c r="H1181" s="405"/>
      <c r="I1181" s="405"/>
      <c r="J1181" s="405"/>
      <c r="K1181" s="405"/>
      <c r="L1181" s="405"/>
      <c r="M1181" s="405"/>
      <c r="N1181" s="405"/>
      <c r="O1181" s="405"/>
      <c r="P1181" s="405"/>
      <c r="Q1181" s="405"/>
      <c r="R1181" s="405"/>
      <c r="S1181" s="405"/>
      <c r="T1181" s="405"/>
      <c r="U1181" s="405"/>
      <c r="V1181" s="405"/>
      <c r="W1181" s="405"/>
      <c r="X1181" s="405"/>
      <c r="Y1181" s="405"/>
      <c r="Z1181" s="405"/>
    </row>
    <row r="1182" ht="14.25" customHeight="1">
      <c r="A1182" s="656"/>
      <c r="B1182" s="405"/>
      <c r="C1182" s="405"/>
      <c r="D1182" s="405"/>
      <c r="E1182" s="405"/>
      <c r="F1182" s="657"/>
      <c r="G1182" s="583"/>
      <c r="H1182" s="405"/>
      <c r="I1182" s="405"/>
      <c r="J1182" s="405"/>
      <c r="K1182" s="405"/>
      <c r="L1182" s="405"/>
      <c r="M1182" s="405"/>
      <c r="N1182" s="405"/>
      <c r="O1182" s="405"/>
      <c r="P1182" s="405"/>
      <c r="Q1182" s="405"/>
      <c r="R1182" s="405"/>
      <c r="S1182" s="405"/>
      <c r="T1182" s="405"/>
      <c r="U1182" s="405"/>
      <c r="V1182" s="405"/>
      <c r="W1182" s="405"/>
      <c r="X1182" s="405"/>
      <c r="Y1182" s="405"/>
      <c r="Z1182" s="405"/>
    </row>
    <row r="1183" ht="14.25" customHeight="1">
      <c r="A1183" s="656"/>
      <c r="B1183" s="405"/>
      <c r="C1183" s="405"/>
      <c r="D1183" s="405"/>
      <c r="E1183" s="405"/>
      <c r="F1183" s="657"/>
      <c r="G1183" s="583"/>
      <c r="H1183" s="405"/>
      <c r="I1183" s="405"/>
      <c r="J1183" s="405"/>
      <c r="K1183" s="405"/>
      <c r="L1183" s="405"/>
      <c r="M1183" s="405"/>
      <c r="N1183" s="405"/>
      <c r="O1183" s="405"/>
      <c r="P1183" s="405"/>
      <c r="Q1183" s="405"/>
      <c r="R1183" s="405"/>
      <c r="S1183" s="405"/>
      <c r="T1183" s="405"/>
      <c r="U1183" s="405"/>
      <c r="V1183" s="405"/>
      <c r="W1183" s="405"/>
      <c r="X1183" s="405"/>
      <c r="Y1183" s="405"/>
      <c r="Z1183" s="405"/>
    </row>
    <row r="1184" ht="14.25" customHeight="1">
      <c r="A1184" s="656"/>
      <c r="B1184" s="405"/>
      <c r="C1184" s="405"/>
      <c r="D1184" s="405"/>
      <c r="E1184" s="405"/>
      <c r="F1184" s="657"/>
      <c r="G1184" s="583"/>
      <c r="H1184" s="405"/>
      <c r="I1184" s="405"/>
      <c r="J1184" s="405"/>
      <c r="K1184" s="405"/>
      <c r="L1184" s="405"/>
      <c r="M1184" s="405"/>
      <c r="N1184" s="405"/>
      <c r="O1184" s="405"/>
      <c r="P1184" s="405"/>
      <c r="Q1184" s="405"/>
      <c r="R1184" s="405"/>
      <c r="S1184" s="405"/>
      <c r="T1184" s="405"/>
      <c r="U1184" s="405"/>
      <c r="V1184" s="405"/>
      <c r="W1184" s="405"/>
      <c r="X1184" s="405"/>
      <c r="Y1184" s="405"/>
      <c r="Z1184" s="405"/>
    </row>
    <row r="1185" ht="14.25" customHeight="1">
      <c r="A1185" s="656"/>
      <c r="B1185" s="405"/>
      <c r="C1185" s="405"/>
      <c r="D1185" s="405"/>
      <c r="E1185" s="405"/>
      <c r="F1185" s="657"/>
      <c r="G1185" s="583"/>
      <c r="H1185" s="405"/>
      <c r="I1185" s="405"/>
      <c r="J1185" s="405"/>
      <c r="K1185" s="405"/>
      <c r="L1185" s="405"/>
      <c r="M1185" s="405"/>
      <c r="N1185" s="405"/>
      <c r="O1185" s="405"/>
      <c r="P1185" s="405"/>
      <c r="Q1185" s="405"/>
      <c r="R1185" s="405"/>
      <c r="S1185" s="405"/>
      <c r="T1185" s="405"/>
      <c r="U1185" s="405"/>
      <c r="V1185" s="405"/>
      <c r="W1185" s="405"/>
      <c r="X1185" s="405"/>
      <c r="Y1185" s="405"/>
      <c r="Z1185" s="405"/>
    </row>
    <row r="1186" ht="14.25" customHeight="1">
      <c r="A1186" s="656"/>
      <c r="B1186" s="405"/>
      <c r="C1186" s="405"/>
      <c r="D1186" s="405"/>
      <c r="E1186" s="405"/>
      <c r="F1186" s="657"/>
      <c r="G1186" s="583"/>
      <c r="H1186" s="405"/>
      <c r="I1186" s="405"/>
      <c r="J1186" s="405"/>
      <c r="K1186" s="405"/>
      <c r="L1186" s="405"/>
      <c r="M1186" s="405"/>
      <c r="N1186" s="405"/>
      <c r="O1186" s="405"/>
      <c r="P1186" s="405"/>
      <c r="Q1186" s="405"/>
      <c r="R1186" s="405"/>
      <c r="S1186" s="405"/>
      <c r="T1186" s="405"/>
      <c r="U1186" s="405"/>
      <c r="V1186" s="405"/>
      <c r="W1186" s="405"/>
      <c r="X1186" s="405"/>
      <c r="Y1186" s="405"/>
      <c r="Z1186" s="405"/>
    </row>
    <row r="1187" ht="14.25" customHeight="1">
      <c r="A1187" s="656"/>
      <c r="B1187" s="405"/>
      <c r="C1187" s="405"/>
      <c r="D1187" s="405"/>
      <c r="E1187" s="405"/>
      <c r="F1187" s="657"/>
      <c r="G1187" s="583"/>
      <c r="H1187" s="405"/>
      <c r="I1187" s="405"/>
      <c r="J1187" s="405"/>
      <c r="K1187" s="405"/>
      <c r="L1187" s="405"/>
      <c r="M1187" s="405"/>
      <c r="N1187" s="405"/>
      <c r="O1187" s="405"/>
      <c r="P1187" s="405"/>
      <c r="Q1187" s="405"/>
      <c r="R1187" s="405"/>
      <c r="S1187" s="405"/>
      <c r="T1187" s="405"/>
      <c r="U1187" s="405"/>
      <c r="V1187" s="405"/>
      <c r="W1187" s="405"/>
      <c r="X1187" s="405"/>
      <c r="Y1187" s="405"/>
      <c r="Z1187" s="405"/>
    </row>
    <row r="1188" ht="14.25" customHeight="1">
      <c r="A1188" s="656"/>
      <c r="B1188" s="405"/>
      <c r="C1188" s="405"/>
      <c r="D1188" s="405"/>
      <c r="E1188" s="405"/>
      <c r="F1188" s="657"/>
      <c r="G1188" s="583"/>
      <c r="H1188" s="405"/>
      <c r="I1188" s="405"/>
      <c r="J1188" s="405"/>
      <c r="K1188" s="405"/>
      <c r="L1188" s="405"/>
      <c r="M1188" s="405"/>
      <c r="N1188" s="405"/>
      <c r="O1188" s="405"/>
      <c r="P1188" s="405"/>
      <c r="Q1188" s="405"/>
      <c r="R1188" s="405"/>
      <c r="S1188" s="405"/>
      <c r="T1188" s="405"/>
      <c r="U1188" s="405"/>
      <c r="V1188" s="405"/>
      <c r="W1188" s="405"/>
      <c r="X1188" s="405"/>
      <c r="Y1188" s="405"/>
      <c r="Z1188" s="405"/>
    </row>
    <row r="1189" ht="14.25" customHeight="1">
      <c r="A1189" s="656"/>
      <c r="B1189" s="405"/>
      <c r="C1189" s="405"/>
      <c r="D1189" s="405"/>
      <c r="E1189" s="405"/>
      <c r="F1189" s="657"/>
      <c r="G1189" s="583"/>
      <c r="H1189" s="405"/>
      <c r="I1189" s="405"/>
      <c r="J1189" s="405"/>
      <c r="K1189" s="405"/>
      <c r="L1189" s="405"/>
      <c r="M1189" s="405"/>
      <c r="N1189" s="405"/>
      <c r="O1189" s="405"/>
      <c r="P1189" s="405"/>
      <c r="Q1189" s="405"/>
      <c r="R1189" s="405"/>
      <c r="S1189" s="405"/>
      <c r="T1189" s="405"/>
      <c r="U1189" s="405"/>
      <c r="V1189" s="405"/>
      <c r="W1189" s="405"/>
      <c r="X1189" s="405"/>
      <c r="Y1189" s="405"/>
      <c r="Z1189" s="405"/>
    </row>
    <row r="1190" ht="14.25" customHeight="1">
      <c r="A1190" s="656"/>
      <c r="B1190" s="405"/>
      <c r="C1190" s="405"/>
      <c r="D1190" s="405"/>
      <c r="E1190" s="405"/>
      <c r="F1190" s="657"/>
      <c r="G1190" s="583"/>
      <c r="H1190" s="405"/>
      <c r="I1190" s="405"/>
      <c r="J1190" s="405"/>
      <c r="K1190" s="405"/>
      <c r="L1190" s="405"/>
      <c r="M1190" s="405"/>
      <c r="N1190" s="405"/>
      <c r="O1190" s="405"/>
      <c r="P1190" s="405"/>
      <c r="Q1190" s="405"/>
      <c r="R1190" s="405"/>
      <c r="S1190" s="405"/>
      <c r="T1190" s="405"/>
      <c r="U1190" s="405"/>
      <c r="V1190" s="405"/>
      <c r="W1190" s="405"/>
      <c r="X1190" s="405"/>
      <c r="Y1190" s="405"/>
      <c r="Z1190" s="405"/>
    </row>
    <row r="1191" ht="14.25" customHeight="1">
      <c r="A1191" s="656"/>
      <c r="B1191" s="405"/>
      <c r="C1191" s="405"/>
      <c r="D1191" s="405"/>
      <c r="E1191" s="405"/>
      <c r="F1191" s="657"/>
      <c r="G1191" s="583"/>
      <c r="H1191" s="405"/>
      <c r="I1191" s="405"/>
      <c r="J1191" s="405"/>
      <c r="K1191" s="405"/>
      <c r="L1191" s="405"/>
      <c r="M1191" s="405"/>
      <c r="N1191" s="405"/>
      <c r="O1191" s="405"/>
      <c r="P1191" s="405"/>
      <c r="Q1191" s="405"/>
      <c r="R1191" s="405"/>
      <c r="S1191" s="405"/>
      <c r="T1191" s="405"/>
      <c r="U1191" s="405"/>
      <c r="V1191" s="405"/>
      <c r="W1191" s="405"/>
      <c r="X1191" s="405"/>
      <c r="Y1191" s="405"/>
      <c r="Z1191" s="405"/>
    </row>
    <row r="1192" ht="14.25" customHeight="1">
      <c r="A1192" s="656"/>
      <c r="B1192" s="405"/>
      <c r="C1192" s="405"/>
      <c r="D1192" s="405"/>
      <c r="E1192" s="405"/>
      <c r="F1192" s="657"/>
      <c r="G1192" s="583"/>
      <c r="H1192" s="405"/>
      <c r="I1192" s="405"/>
      <c r="J1192" s="405"/>
      <c r="K1192" s="405"/>
      <c r="L1192" s="405"/>
      <c r="M1192" s="405"/>
      <c r="N1192" s="405"/>
      <c r="O1192" s="405"/>
      <c r="P1192" s="405"/>
      <c r="Q1192" s="405"/>
      <c r="R1192" s="405"/>
      <c r="S1192" s="405"/>
      <c r="T1192" s="405"/>
      <c r="U1192" s="405"/>
      <c r="V1192" s="405"/>
      <c r="W1192" s="405"/>
      <c r="X1192" s="405"/>
      <c r="Y1192" s="405"/>
      <c r="Z1192" s="405"/>
    </row>
    <row r="1193" ht="14.25" customHeight="1">
      <c r="A1193" s="656"/>
      <c r="B1193" s="405"/>
      <c r="C1193" s="405"/>
      <c r="D1193" s="405"/>
      <c r="E1193" s="405"/>
      <c r="F1193" s="657"/>
      <c r="G1193" s="583"/>
      <c r="H1193" s="405"/>
      <c r="I1193" s="405"/>
      <c r="J1193" s="405"/>
      <c r="K1193" s="405"/>
      <c r="L1193" s="405"/>
      <c r="M1193" s="405"/>
      <c r="N1193" s="405"/>
      <c r="O1193" s="405"/>
      <c r="P1193" s="405"/>
      <c r="Q1193" s="405"/>
      <c r="R1193" s="405"/>
      <c r="S1193" s="405"/>
      <c r="T1193" s="405"/>
      <c r="U1193" s="405"/>
      <c r="V1193" s="405"/>
      <c r="W1193" s="405"/>
      <c r="X1193" s="405"/>
      <c r="Y1193" s="405"/>
      <c r="Z1193" s="405"/>
    </row>
    <row r="1194" ht="14.25" customHeight="1">
      <c r="A1194" s="656"/>
      <c r="B1194" s="405"/>
      <c r="C1194" s="405"/>
      <c r="D1194" s="405"/>
      <c r="E1194" s="405"/>
      <c r="F1194" s="657"/>
      <c r="G1194" s="583"/>
      <c r="H1194" s="405"/>
      <c r="I1194" s="405"/>
      <c r="J1194" s="405"/>
      <c r="K1194" s="405"/>
      <c r="L1194" s="405"/>
      <c r="M1194" s="405"/>
      <c r="N1194" s="405"/>
      <c r="O1194" s="405"/>
      <c r="P1194" s="405"/>
      <c r="Q1194" s="405"/>
      <c r="R1194" s="405"/>
      <c r="S1194" s="405"/>
      <c r="T1194" s="405"/>
      <c r="U1194" s="405"/>
      <c r="V1194" s="405"/>
      <c r="W1194" s="405"/>
      <c r="X1194" s="405"/>
      <c r="Y1194" s="405"/>
      <c r="Z1194" s="405"/>
    </row>
    <row r="1195" ht="14.25" customHeight="1">
      <c r="A1195" s="656"/>
      <c r="B1195" s="405"/>
      <c r="C1195" s="405"/>
      <c r="D1195" s="405"/>
      <c r="E1195" s="405"/>
      <c r="F1195" s="657"/>
      <c r="G1195" s="583"/>
      <c r="H1195" s="405"/>
      <c r="I1195" s="405"/>
      <c r="J1195" s="405"/>
      <c r="K1195" s="405"/>
      <c r="L1195" s="405"/>
      <c r="M1195" s="405"/>
      <c r="N1195" s="405"/>
      <c r="O1195" s="405"/>
      <c r="P1195" s="405"/>
      <c r="Q1195" s="405"/>
      <c r="R1195" s="405"/>
      <c r="S1195" s="405"/>
      <c r="T1195" s="405"/>
      <c r="U1195" s="405"/>
      <c r="V1195" s="405"/>
      <c r="W1195" s="405"/>
      <c r="X1195" s="405"/>
      <c r="Y1195" s="405"/>
      <c r="Z1195" s="405"/>
    </row>
    <row r="1196" ht="14.25" customHeight="1">
      <c r="A1196" s="656"/>
      <c r="B1196" s="405"/>
      <c r="C1196" s="405"/>
      <c r="D1196" s="405"/>
      <c r="E1196" s="405"/>
      <c r="F1196" s="657"/>
      <c r="G1196" s="583"/>
      <c r="H1196" s="405"/>
      <c r="I1196" s="405"/>
      <c r="J1196" s="405"/>
      <c r="K1196" s="405"/>
      <c r="L1196" s="405"/>
      <c r="M1196" s="405"/>
      <c r="N1196" s="405"/>
      <c r="O1196" s="405"/>
      <c r="P1196" s="405"/>
      <c r="Q1196" s="405"/>
      <c r="R1196" s="405"/>
      <c r="S1196" s="405"/>
      <c r="T1196" s="405"/>
      <c r="U1196" s="405"/>
      <c r="V1196" s="405"/>
      <c r="W1196" s="405"/>
      <c r="X1196" s="405"/>
      <c r="Y1196" s="405"/>
      <c r="Z1196" s="405"/>
    </row>
    <row r="1197" ht="14.25" customHeight="1">
      <c r="A1197" s="656"/>
      <c r="B1197" s="405"/>
      <c r="C1197" s="405"/>
      <c r="D1197" s="405"/>
      <c r="E1197" s="405"/>
      <c r="F1197" s="657"/>
      <c r="G1197" s="583"/>
      <c r="H1197" s="405"/>
      <c r="I1197" s="405"/>
      <c r="J1197" s="405"/>
      <c r="K1197" s="405"/>
      <c r="L1197" s="405"/>
      <c r="M1197" s="405"/>
      <c r="N1197" s="405"/>
      <c r="O1197" s="405"/>
      <c r="P1197" s="405"/>
      <c r="Q1197" s="405"/>
      <c r="R1197" s="405"/>
      <c r="S1197" s="405"/>
      <c r="T1197" s="405"/>
      <c r="U1197" s="405"/>
      <c r="V1197" s="405"/>
      <c r="W1197" s="405"/>
      <c r="X1197" s="405"/>
      <c r="Y1197" s="405"/>
      <c r="Z1197" s="405"/>
    </row>
    <row r="1198" ht="14.25" customHeight="1">
      <c r="A1198" s="656"/>
      <c r="B1198" s="405"/>
      <c r="C1198" s="405"/>
      <c r="D1198" s="405"/>
      <c r="E1198" s="405"/>
      <c r="F1198" s="657"/>
      <c r="G1198" s="583"/>
      <c r="H1198" s="405"/>
      <c r="I1198" s="405"/>
      <c r="J1198" s="405"/>
      <c r="K1198" s="405"/>
      <c r="L1198" s="405"/>
      <c r="M1198" s="405"/>
      <c r="N1198" s="405"/>
      <c r="O1198" s="405"/>
      <c r="P1198" s="405"/>
      <c r="Q1198" s="405"/>
      <c r="R1198" s="405"/>
      <c r="S1198" s="405"/>
      <c r="T1198" s="405"/>
      <c r="U1198" s="405"/>
      <c r="V1198" s="405"/>
      <c r="W1198" s="405"/>
      <c r="X1198" s="405"/>
      <c r="Y1198" s="405"/>
      <c r="Z1198" s="405"/>
    </row>
    <row r="1199" ht="14.25" customHeight="1">
      <c r="A1199" s="656"/>
      <c r="B1199" s="405"/>
      <c r="C1199" s="405"/>
      <c r="D1199" s="405"/>
      <c r="E1199" s="405"/>
      <c r="F1199" s="657"/>
      <c r="G1199" s="583"/>
      <c r="H1199" s="405"/>
      <c r="I1199" s="405"/>
      <c r="J1199" s="405"/>
      <c r="K1199" s="405"/>
      <c r="L1199" s="405"/>
      <c r="M1199" s="405"/>
      <c r="N1199" s="405"/>
      <c r="O1199" s="405"/>
      <c r="P1199" s="405"/>
      <c r="Q1199" s="405"/>
      <c r="R1199" s="405"/>
      <c r="S1199" s="405"/>
      <c r="T1199" s="405"/>
      <c r="U1199" s="405"/>
      <c r="V1199" s="405"/>
      <c r="W1199" s="405"/>
      <c r="X1199" s="405"/>
      <c r="Y1199" s="405"/>
      <c r="Z1199" s="405"/>
    </row>
    <row r="1200" ht="14.25" customHeight="1">
      <c r="A1200" s="656"/>
      <c r="B1200" s="405"/>
      <c r="C1200" s="405"/>
      <c r="D1200" s="405"/>
      <c r="E1200" s="405"/>
      <c r="F1200" s="657"/>
      <c r="G1200" s="583"/>
      <c r="H1200" s="405"/>
      <c r="I1200" s="405"/>
      <c r="J1200" s="405"/>
      <c r="K1200" s="405"/>
      <c r="L1200" s="405"/>
      <c r="M1200" s="405"/>
      <c r="N1200" s="405"/>
      <c r="O1200" s="405"/>
      <c r="P1200" s="405"/>
      <c r="Q1200" s="405"/>
      <c r="R1200" s="405"/>
      <c r="S1200" s="405"/>
      <c r="T1200" s="405"/>
      <c r="U1200" s="405"/>
      <c r="V1200" s="405"/>
      <c r="W1200" s="405"/>
      <c r="X1200" s="405"/>
      <c r="Y1200" s="405"/>
      <c r="Z1200" s="405"/>
    </row>
    <row r="1201" ht="14.25" customHeight="1">
      <c r="A1201" s="656"/>
      <c r="B1201" s="405"/>
      <c r="C1201" s="405"/>
      <c r="D1201" s="405"/>
      <c r="E1201" s="405"/>
      <c r="F1201" s="657"/>
      <c r="G1201" s="583"/>
      <c r="H1201" s="405"/>
      <c r="I1201" s="405"/>
      <c r="J1201" s="405"/>
      <c r="K1201" s="405"/>
      <c r="L1201" s="405"/>
      <c r="M1201" s="405"/>
      <c r="N1201" s="405"/>
      <c r="O1201" s="405"/>
      <c r="P1201" s="405"/>
      <c r="Q1201" s="405"/>
      <c r="R1201" s="405"/>
      <c r="S1201" s="405"/>
      <c r="T1201" s="405"/>
      <c r="U1201" s="405"/>
      <c r="V1201" s="405"/>
      <c r="W1201" s="405"/>
      <c r="X1201" s="405"/>
      <c r="Y1201" s="405"/>
      <c r="Z1201" s="405"/>
    </row>
    <row r="1202" ht="14.25" customHeight="1">
      <c r="A1202" s="656"/>
      <c r="B1202" s="405"/>
      <c r="C1202" s="405"/>
      <c r="D1202" s="405"/>
      <c r="E1202" s="405"/>
      <c r="F1202" s="657"/>
      <c r="G1202" s="583"/>
      <c r="H1202" s="405"/>
      <c r="I1202" s="405"/>
      <c r="J1202" s="405"/>
      <c r="K1202" s="405"/>
      <c r="L1202" s="405"/>
      <c r="M1202" s="405"/>
      <c r="N1202" s="405"/>
      <c r="O1202" s="405"/>
      <c r="P1202" s="405"/>
      <c r="Q1202" s="405"/>
      <c r="R1202" s="405"/>
      <c r="S1202" s="405"/>
      <c r="T1202" s="405"/>
      <c r="U1202" s="405"/>
      <c r="V1202" s="405"/>
      <c r="W1202" s="405"/>
      <c r="X1202" s="405"/>
      <c r="Y1202" s="405"/>
      <c r="Z1202" s="405"/>
    </row>
    <row r="1203" ht="14.25" customHeight="1">
      <c r="A1203" s="656"/>
      <c r="B1203" s="405"/>
      <c r="C1203" s="405"/>
      <c r="D1203" s="405"/>
      <c r="E1203" s="405"/>
      <c r="F1203" s="657"/>
      <c r="G1203" s="583"/>
      <c r="H1203" s="405"/>
      <c r="I1203" s="405"/>
      <c r="J1203" s="405"/>
      <c r="K1203" s="405"/>
      <c r="L1203" s="405"/>
      <c r="M1203" s="405"/>
      <c r="N1203" s="405"/>
      <c r="O1203" s="405"/>
      <c r="P1203" s="405"/>
      <c r="Q1203" s="405"/>
      <c r="R1203" s="405"/>
      <c r="S1203" s="405"/>
      <c r="T1203" s="405"/>
      <c r="U1203" s="405"/>
      <c r="V1203" s="405"/>
      <c r="W1203" s="405"/>
      <c r="X1203" s="405"/>
      <c r="Y1203" s="405"/>
      <c r="Z1203" s="405"/>
    </row>
    <row r="1204" ht="14.25" customHeight="1">
      <c r="A1204" s="656"/>
      <c r="B1204" s="405"/>
      <c r="C1204" s="405"/>
      <c r="D1204" s="405"/>
      <c r="E1204" s="405"/>
      <c r="F1204" s="657"/>
      <c r="G1204" s="583"/>
      <c r="H1204" s="405"/>
      <c r="I1204" s="405"/>
      <c r="J1204" s="405"/>
      <c r="K1204" s="405"/>
      <c r="L1204" s="405"/>
      <c r="M1204" s="405"/>
      <c r="N1204" s="405"/>
      <c r="O1204" s="405"/>
      <c r="P1204" s="405"/>
      <c r="Q1204" s="405"/>
      <c r="R1204" s="405"/>
      <c r="S1204" s="405"/>
      <c r="T1204" s="405"/>
      <c r="U1204" s="405"/>
      <c r="V1204" s="405"/>
      <c r="W1204" s="405"/>
      <c r="X1204" s="405"/>
      <c r="Y1204" s="405"/>
      <c r="Z1204" s="405"/>
    </row>
    <row r="1205" ht="14.25" customHeight="1">
      <c r="A1205" s="656"/>
      <c r="B1205" s="405"/>
      <c r="C1205" s="405"/>
      <c r="D1205" s="405"/>
      <c r="E1205" s="405"/>
      <c r="F1205" s="657"/>
      <c r="G1205" s="583"/>
      <c r="H1205" s="405"/>
      <c r="I1205" s="405"/>
      <c r="J1205" s="405"/>
      <c r="K1205" s="405"/>
      <c r="L1205" s="405"/>
      <c r="M1205" s="405"/>
      <c r="N1205" s="405"/>
      <c r="O1205" s="405"/>
      <c r="P1205" s="405"/>
      <c r="Q1205" s="405"/>
      <c r="R1205" s="405"/>
      <c r="S1205" s="405"/>
      <c r="T1205" s="405"/>
      <c r="U1205" s="405"/>
      <c r="V1205" s="405"/>
      <c r="W1205" s="405"/>
      <c r="X1205" s="405"/>
      <c r="Y1205" s="405"/>
      <c r="Z1205" s="405"/>
    </row>
    <row r="1206" ht="14.25" customHeight="1">
      <c r="A1206" s="656"/>
      <c r="B1206" s="405"/>
      <c r="C1206" s="405"/>
      <c r="D1206" s="405"/>
      <c r="E1206" s="405"/>
      <c r="F1206" s="657"/>
      <c r="G1206" s="583"/>
      <c r="H1206" s="405"/>
      <c r="I1206" s="405"/>
      <c r="J1206" s="405"/>
      <c r="K1206" s="405"/>
      <c r="L1206" s="405"/>
      <c r="M1206" s="405"/>
      <c r="N1206" s="405"/>
      <c r="O1206" s="405"/>
      <c r="P1206" s="405"/>
      <c r="Q1206" s="405"/>
      <c r="R1206" s="405"/>
      <c r="S1206" s="405"/>
      <c r="T1206" s="405"/>
      <c r="U1206" s="405"/>
      <c r="V1206" s="405"/>
      <c r="W1206" s="405"/>
      <c r="X1206" s="405"/>
      <c r="Y1206" s="405"/>
      <c r="Z1206" s="405"/>
    </row>
    <row r="1207" ht="14.25" customHeight="1">
      <c r="A1207" s="656"/>
      <c r="B1207" s="405"/>
      <c r="C1207" s="405"/>
      <c r="D1207" s="405"/>
      <c r="E1207" s="405"/>
      <c r="F1207" s="657"/>
      <c r="G1207" s="583"/>
      <c r="H1207" s="405"/>
      <c r="I1207" s="405"/>
      <c r="J1207" s="405"/>
      <c r="K1207" s="405"/>
      <c r="L1207" s="405"/>
      <c r="M1207" s="405"/>
      <c r="N1207" s="405"/>
      <c r="O1207" s="405"/>
      <c r="P1207" s="405"/>
      <c r="Q1207" s="405"/>
      <c r="R1207" s="405"/>
      <c r="S1207" s="405"/>
      <c r="T1207" s="405"/>
      <c r="U1207" s="405"/>
      <c r="V1207" s="405"/>
      <c r="W1207" s="405"/>
      <c r="X1207" s="405"/>
      <c r="Y1207" s="405"/>
      <c r="Z1207" s="405"/>
    </row>
    <row r="1208" ht="14.25" customHeight="1">
      <c r="A1208" s="656"/>
      <c r="B1208" s="405"/>
      <c r="C1208" s="405"/>
      <c r="D1208" s="405"/>
      <c r="E1208" s="405"/>
      <c r="F1208" s="657"/>
      <c r="G1208" s="583"/>
      <c r="H1208" s="405"/>
      <c r="I1208" s="405"/>
      <c r="J1208" s="405"/>
      <c r="K1208" s="405"/>
      <c r="L1208" s="405"/>
      <c r="M1208" s="405"/>
      <c r="N1208" s="405"/>
      <c r="O1208" s="405"/>
      <c r="P1208" s="405"/>
      <c r="Q1208" s="405"/>
      <c r="R1208" s="405"/>
      <c r="S1208" s="405"/>
      <c r="T1208" s="405"/>
      <c r="U1208" s="405"/>
      <c r="V1208" s="405"/>
      <c r="W1208" s="405"/>
      <c r="X1208" s="405"/>
      <c r="Y1208" s="405"/>
      <c r="Z1208" s="405"/>
    </row>
    <row r="1209" ht="14.25" customHeight="1">
      <c r="A1209" s="656"/>
      <c r="B1209" s="405"/>
      <c r="C1209" s="405"/>
      <c r="D1209" s="405"/>
      <c r="E1209" s="405"/>
      <c r="F1209" s="657"/>
      <c r="G1209" s="583"/>
      <c r="H1209" s="405"/>
      <c r="I1209" s="405"/>
      <c r="J1209" s="405"/>
      <c r="K1209" s="405"/>
      <c r="L1209" s="405"/>
      <c r="M1209" s="405"/>
      <c r="N1209" s="405"/>
      <c r="O1209" s="405"/>
      <c r="P1209" s="405"/>
      <c r="Q1209" s="405"/>
      <c r="R1209" s="405"/>
      <c r="S1209" s="405"/>
      <c r="T1209" s="405"/>
      <c r="U1209" s="405"/>
      <c r="V1209" s="405"/>
      <c r="W1209" s="405"/>
      <c r="X1209" s="405"/>
      <c r="Y1209" s="405"/>
      <c r="Z1209" s="405"/>
    </row>
    <row r="1210" ht="14.25" customHeight="1">
      <c r="A1210" s="656"/>
      <c r="B1210" s="405"/>
      <c r="C1210" s="405"/>
      <c r="D1210" s="405"/>
      <c r="E1210" s="405"/>
      <c r="F1210" s="657"/>
      <c r="G1210" s="583"/>
      <c r="H1210" s="405"/>
      <c r="I1210" s="405"/>
      <c r="J1210" s="405"/>
      <c r="K1210" s="405"/>
      <c r="L1210" s="405"/>
      <c r="M1210" s="405"/>
      <c r="N1210" s="405"/>
      <c r="O1210" s="405"/>
      <c r="P1210" s="405"/>
      <c r="Q1210" s="405"/>
      <c r="R1210" s="405"/>
      <c r="S1210" s="405"/>
      <c r="T1210" s="405"/>
      <c r="U1210" s="405"/>
      <c r="V1210" s="405"/>
      <c r="W1210" s="405"/>
      <c r="X1210" s="405"/>
      <c r="Y1210" s="405"/>
      <c r="Z1210" s="405"/>
    </row>
    <row r="1211" ht="14.25" customHeight="1">
      <c r="A1211" s="656"/>
      <c r="B1211" s="405"/>
      <c r="C1211" s="405"/>
      <c r="D1211" s="405"/>
      <c r="E1211" s="405"/>
      <c r="F1211" s="657"/>
      <c r="G1211" s="583"/>
      <c r="H1211" s="405"/>
      <c r="I1211" s="405"/>
      <c r="J1211" s="405"/>
      <c r="K1211" s="405"/>
      <c r="L1211" s="405"/>
      <c r="M1211" s="405"/>
      <c r="N1211" s="405"/>
      <c r="O1211" s="405"/>
      <c r="P1211" s="405"/>
      <c r="Q1211" s="405"/>
      <c r="R1211" s="405"/>
      <c r="S1211" s="405"/>
      <c r="T1211" s="405"/>
      <c r="U1211" s="405"/>
      <c r="V1211" s="405"/>
      <c r="W1211" s="405"/>
      <c r="X1211" s="405"/>
      <c r="Y1211" s="405"/>
      <c r="Z1211" s="405"/>
    </row>
    <row r="1212" ht="14.25" customHeight="1">
      <c r="A1212" s="656"/>
      <c r="B1212" s="405"/>
      <c r="C1212" s="405"/>
      <c r="D1212" s="405"/>
      <c r="E1212" s="405"/>
      <c r="F1212" s="657"/>
      <c r="G1212" s="583"/>
      <c r="H1212" s="405"/>
      <c r="I1212" s="405"/>
      <c r="J1212" s="405"/>
      <c r="K1212" s="405"/>
      <c r="L1212" s="405"/>
      <c r="M1212" s="405"/>
      <c r="N1212" s="405"/>
      <c r="O1212" s="405"/>
      <c r="P1212" s="405"/>
      <c r="Q1212" s="405"/>
      <c r="R1212" s="405"/>
      <c r="S1212" s="405"/>
      <c r="T1212" s="405"/>
      <c r="U1212" s="405"/>
      <c r="V1212" s="405"/>
      <c r="W1212" s="405"/>
      <c r="X1212" s="405"/>
      <c r="Y1212" s="405"/>
      <c r="Z1212" s="405"/>
    </row>
    <row r="1213" ht="14.25" customHeight="1">
      <c r="A1213" s="656"/>
      <c r="B1213" s="405"/>
      <c r="C1213" s="405"/>
      <c r="D1213" s="405"/>
      <c r="E1213" s="405"/>
      <c r="F1213" s="657"/>
      <c r="G1213" s="583"/>
      <c r="H1213" s="405"/>
      <c r="I1213" s="405"/>
      <c r="J1213" s="405"/>
      <c r="K1213" s="405"/>
      <c r="L1213" s="405"/>
      <c r="M1213" s="405"/>
      <c r="N1213" s="405"/>
      <c r="O1213" s="405"/>
      <c r="P1213" s="405"/>
      <c r="Q1213" s="405"/>
      <c r="R1213" s="405"/>
      <c r="S1213" s="405"/>
      <c r="T1213" s="405"/>
      <c r="U1213" s="405"/>
      <c r="V1213" s="405"/>
      <c r="W1213" s="405"/>
      <c r="X1213" s="405"/>
      <c r="Y1213" s="405"/>
      <c r="Z1213" s="405"/>
    </row>
    <row r="1214" ht="14.25" customHeight="1">
      <c r="A1214" s="656"/>
      <c r="B1214" s="405"/>
      <c r="C1214" s="405"/>
      <c r="D1214" s="405"/>
      <c r="E1214" s="405"/>
      <c r="F1214" s="657"/>
      <c r="G1214" s="583"/>
      <c r="H1214" s="405"/>
      <c r="I1214" s="405"/>
      <c r="J1214" s="405"/>
      <c r="K1214" s="405"/>
      <c r="L1214" s="405"/>
      <c r="M1214" s="405"/>
      <c r="N1214" s="405"/>
      <c r="O1214" s="405"/>
      <c r="P1214" s="405"/>
      <c r="Q1214" s="405"/>
      <c r="R1214" s="405"/>
      <c r="S1214" s="405"/>
      <c r="T1214" s="405"/>
      <c r="U1214" s="405"/>
      <c r="V1214" s="405"/>
      <c r="W1214" s="405"/>
      <c r="X1214" s="405"/>
      <c r="Y1214" s="405"/>
      <c r="Z1214" s="405"/>
    </row>
    <row r="1215" ht="14.25" customHeight="1">
      <c r="A1215" s="656"/>
      <c r="B1215" s="405"/>
      <c r="C1215" s="405"/>
      <c r="D1215" s="405"/>
      <c r="E1215" s="405"/>
      <c r="F1215" s="657"/>
      <c r="G1215" s="583"/>
      <c r="H1215" s="405"/>
      <c r="I1215" s="405"/>
      <c r="J1215" s="405"/>
      <c r="K1215" s="405"/>
      <c r="L1215" s="405"/>
      <c r="M1215" s="405"/>
      <c r="N1215" s="405"/>
      <c r="O1215" s="405"/>
      <c r="P1215" s="405"/>
      <c r="Q1215" s="405"/>
      <c r="R1215" s="405"/>
      <c r="S1215" s="405"/>
      <c r="T1215" s="405"/>
      <c r="U1215" s="405"/>
      <c r="V1215" s="405"/>
      <c r="W1215" s="405"/>
      <c r="X1215" s="405"/>
      <c r="Y1215" s="405"/>
      <c r="Z1215" s="405"/>
    </row>
    <row r="1216" ht="14.25" customHeight="1">
      <c r="A1216" s="656"/>
      <c r="B1216" s="405"/>
      <c r="C1216" s="405"/>
      <c r="D1216" s="405"/>
      <c r="E1216" s="405"/>
      <c r="F1216" s="657"/>
      <c r="G1216" s="583"/>
      <c r="H1216" s="405"/>
      <c r="I1216" s="405"/>
      <c r="J1216" s="405"/>
      <c r="K1216" s="405"/>
      <c r="L1216" s="405"/>
      <c r="M1216" s="405"/>
      <c r="N1216" s="405"/>
      <c r="O1216" s="405"/>
      <c r="P1216" s="405"/>
      <c r="Q1216" s="405"/>
      <c r="R1216" s="405"/>
      <c r="S1216" s="405"/>
      <c r="T1216" s="405"/>
      <c r="U1216" s="405"/>
      <c r="V1216" s="405"/>
      <c r="W1216" s="405"/>
      <c r="X1216" s="405"/>
      <c r="Y1216" s="405"/>
      <c r="Z1216" s="405"/>
    </row>
    <row r="1217" ht="14.25" customHeight="1">
      <c r="A1217" s="656"/>
      <c r="B1217" s="405"/>
      <c r="C1217" s="405"/>
      <c r="D1217" s="405"/>
      <c r="E1217" s="405"/>
      <c r="F1217" s="657"/>
      <c r="G1217" s="583"/>
      <c r="H1217" s="405"/>
      <c r="I1217" s="405"/>
      <c r="J1217" s="405"/>
      <c r="K1217" s="405"/>
      <c r="L1217" s="405"/>
      <c r="M1217" s="405"/>
      <c r="N1217" s="405"/>
      <c r="O1217" s="405"/>
      <c r="P1217" s="405"/>
      <c r="Q1217" s="405"/>
      <c r="R1217" s="405"/>
      <c r="S1217" s="405"/>
      <c r="T1217" s="405"/>
      <c r="U1217" s="405"/>
      <c r="V1217" s="405"/>
      <c r="W1217" s="405"/>
      <c r="X1217" s="405"/>
      <c r="Y1217" s="405"/>
      <c r="Z1217" s="405"/>
    </row>
    <row r="1218" ht="14.25" customHeight="1">
      <c r="A1218" s="656"/>
      <c r="B1218" s="405"/>
      <c r="C1218" s="405"/>
      <c r="D1218" s="405"/>
      <c r="E1218" s="405"/>
      <c r="F1218" s="657"/>
      <c r="G1218" s="583"/>
      <c r="H1218" s="405"/>
      <c r="I1218" s="405"/>
      <c r="J1218" s="405"/>
      <c r="K1218" s="405"/>
      <c r="L1218" s="405"/>
      <c r="M1218" s="405"/>
      <c r="N1218" s="405"/>
      <c r="O1218" s="405"/>
      <c r="P1218" s="405"/>
      <c r="Q1218" s="405"/>
      <c r="R1218" s="405"/>
      <c r="S1218" s="405"/>
      <c r="T1218" s="405"/>
      <c r="U1218" s="405"/>
      <c r="V1218" s="405"/>
      <c r="W1218" s="405"/>
      <c r="X1218" s="405"/>
      <c r="Y1218" s="405"/>
      <c r="Z1218" s="405"/>
    </row>
    <row r="1219" ht="14.25" customHeight="1">
      <c r="A1219" s="656"/>
      <c r="B1219" s="405"/>
      <c r="C1219" s="405"/>
      <c r="D1219" s="405"/>
      <c r="E1219" s="405"/>
      <c r="F1219" s="657"/>
      <c r="G1219" s="583"/>
      <c r="H1219" s="405"/>
      <c r="I1219" s="405"/>
      <c r="J1219" s="405"/>
      <c r="K1219" s="405"/>
      <c r="L1219" s="405"/>
      <c r="M1219" s="405"/>
      <c r="N1219" s="405"/>
      <c r="O1219" s="405"/>
      <c r="P1219" s="405"/>
      <c r="Q1219" s="405"/>
      <c r="R1219" s="405"/>
      <c r="S1219" s="405"/>
      <c r="T1219" s="405"/>
      <c r="U1219" s="405"/>
      <c r="V1219" s="405"/>
      <c r="W1219" s="405"/>
      <c r="X1219" s="405"/>
      <c r="Y1219" s="405"/>
      <c r="Z1219" s="405"/>
    </row>
    <row r="1220" ht="14.25" customHeight="1">
      <c r="A1220" s="656"/>
      <c r="B1220" s="405"/>
      <c r="C1220" s="405"/>
      <c r="D1220" s="405"/>
      <c r="E1220" s="405"/>
      <c r="F1220" s="657"/>
      <c r="G1220" s="583"/>
      <c r="H1220" s="405"/>
      <c r="I1220" s="405"/>
      <c r="J1220" s="405"/>
      <c r="K1220" s="405"/>
      <c r="L1220" s="405"/>
      <c r="M1220" s="405"/>
      <c r="N1220" s="405"/>
      <c r="O1220" s="405"/>
      <c r="P1220" s="405"/>
      <c r="Q1220" s="405"/>
      <c r="R1220" s="405"/>
      <c r="S1220" s="405"/>
      <c r="T1220" s="405"/>
      <c r="U1220" s="405"/>
      <c r="V1220" s="405"/>
      <c r="W1220" s="405"/>
      <c r="X1220" s="405"/>
      <c r="Y1220" s="405"/>
      <c r="Z1220" s="405"/>
    </row>
    <row r="1221" ht="14.25" customHeight="1">
      <c r="A1221" s="656"/>
      <c r="B1221" s="405"/>
      <c r="C1221" s="405"/>
      <c r="D1221" s="405"/>
      <c r="E1221" s="405"/>
      <c r="F1221" s="657"/>
      <c r="G1221" s="583"/>
      <c r="H1221" s="405"/>
      <c r="I1221" s="405"/>
      <c r="J1221" s="405"/>
      <c r="K1221" s="405"/>
      <c r="L1221" s="405"/>
      <c r="M1221" s="405"/>
      <c r="N1221" s="405"/>
      <c r="O1221" s="405"/>
      <c r="P1221" s="405"/>
      <c r="Q1221" s="405"/>
      <c r="R1221" s="405"/>
      <c r="S1221" s="405"/>
      <c r="T1221" s="405"/>
      <c r="U1221" s="405"/>
      <c r="V1221" s="405"/>
      <c r="W1221" s="405"/>
      <c r="X1221" s="405"/>
      <c r="Y1221" s="405"/>
      <c r="Z1221" s="405"/>
    </row>
    <row r="1222" ht="14.25" customHeight="1">
      <c r="A1222" s="656"/>
      <c r="B1222" s="405"/>
      <c r="C1222" s="405"/>
      <c r="D1222" s="405"/>
      <c r="E1222" s="405"/>
      <c r="F1222" s="657"/>
      <c r="G1222" s="583"/>
      <c r="H1222" s="405"/>
      <c r="I1222" s="405"/>
      <c r="J1222" s="405"/>
      <c r="K1222" s="405"/>
      <c r="L1222" s="405"/>
      <c r="M1222" s="405"/>
      <c r="N1222" s="405"/>
      <c r="O1222" s="405"/>
      <c r="P1222" s="405"/>
      <c r="Q1222" s="405"/>
      <c r="R1222" s="405"/>
      <c r="S1222" s="405"/>
      <c r="T1222" s="405"/>
      <c r="U1222" s="405"/>
      <c r="V1222" s="405"/>
      <c r="W1222" s="405"/>
      <c r="X1222" s="405"/>
      <c r="Y1222" s="405"/>
      <c r="Z1222" s="405"/>
    </row>
    <row r="1223" ht="14.25" customHeight="1">
      <c r="A1223" s="656"/>
      <c r="B1223" s="405"/>
      <c r="C1223" s="405"/>
      <c r="D1223" s="405"/>
      <c r="E1223" s="405"/>
      <c r="F1223" s="657"/>
      <c r="G1223" s="583"/>
      <c r="H1223" s="405"/>
      <c r="I1223" s="405"/>
      <c r="J1223" s="405"/>
      <c r="K1223" s="405"/>
      <c r="L1223" s="405"/>
      <c r="M1223" s="405"/>
      <c r="N1223" s="405"/>
      <c r="O1223" s="405"/>
      <c r="P1223" s="405"/>
      <c r="Q1223" s="405"/>
      <c r="R1223" s="405"/>
      <c r="S1223" s="405"/>
      <c r="T1223" s="405"/>
      <c r="U1223" s="405"/>
      <c r="V1223" s="405"/>
      <c r="W1223" s="405"/>
      <c r="X1223" s="405"/>
      <c r="Y1223" s="405"/>
      <c r="Z1223" s="405"/>
    </row>
    <row r="1224" ht="14.25" customHeight="1">
      <c r="A1224" s="656"/>
      <c r="B1224" s="405"/>
      <c r="C1224" s="405"/>
      <c r="D1224" s="405"/>
      <c r="E1224" s="405"/>
      <c r="F1224" s="657"/>
      <c r="G1224" s="583"/>
      <c r="H1224" s="405"/>
      <c r="I1224" s="405"/>
      <c r="J1224" s="405"/>
      <c r="K1224" s="405"/>
      <c r="L1224" s="405"/>
      <c r="M1224" s="405"/>
      <c r="N1224" s="405"/>
      <c r="O1224" s="405"/>
      <c r="P1224" s="405"/>
      <c r="Q1224" s="405"/>
      <c r="R1224" s="405"/>
      <c r="S1224" s="405"/>
      <c r="T1224" s="405"/>
      <c r="U1224" s="405"/>
      <c r="V1224" s="405"/>
      <c r="W1224" s="405"/>
      <c r="X1224" s="405"/>
      <c r="Y1224" s="405"/>
      <c r="Z1224" s="405"/>
    </row>
    <row r="1225" ht="14.25" customHeight="1">
      <c r="A1225" s="656"/>
      <c r="B1225" s="405"/>
      <c r="C1225" s="405"/>
      <c r="D1225" s="405"/>
      <c r="E1225" s="405"/>
      <c r="F1225" s="657"/>
      <c r="G1225" s="583"/>
      <c r="H1225" s="405"/>
      <c r="I1225" s="405"/>
      <c r="J1225" s="405"/>
      <c r="K1225" s="405"/>
      <c r="L1225" s="405"/>
      <c r="M1225" s="405"/>
      <c r="N1225" s="405"/>
      <c r="O1225" s="405"/>
      <c r="P1225" s="405"/>
      <c r="Q1225" s="405"/>
      <c r="R1225" s="405"/>
      <c r="S1225" s="405"/>
      <c r="T1225" s="405"/>
      <c r="U1225" s="405"/>
      <c r="V1225" s="405"/>
      <c r="W1225" s="405"/>
      <c r="X1225" s="405"/>
      <c r="Y1225" s="405"/>
      <c r="Z1225" s="405"/>
    </row>
    <row r="1226" ht="14.25" customHeight="1">
      <c r="A1226" s="656"/>
      <c r="B1226" s="405"/>
      <c r="C1226" s="405"/>
      <c r="D1226" s="405"/>
      <c r="E1226" s="405"/>
      <c r="F1226" s="657"/>
      <c r="G1226" s="583"/>
      <c r="H1226" s="405"/>
      <c r="I1226" s="405"/>
      <c r="J1226" s="405"/>
      <c r="K1226" s="405"/>
      <c r="L1226" s="405"/>
      <c r="M1226" s="405"/>
      <c r="N1226" s="405"/>
      <c r="O1226" s="405"/>
      <c r="P1226" s="405"/>
      <c r="Q1226" s="405"/>
      <c r="R1226" s="405"/>
      <c r="S1226" s="405"/>
      <c r="T1226" s="405"/>
      <c r="U1226" s="405"/>
      <c r="V1226" s="405"/>
      <c r="W1226" s="405"/>
      <c r="X1226" s="405"/>
      <c r="Y1226" s="405"/>
      <c r="Z1226" s="405"/>
    </row>
    <row r="1227" ht="14.25" customHeight="1">
      <c r="A1227" s="656"/>
      <c r="B1227" s="405"/>
      <c r="C1227" s="405"/>
      <c r="D1227" s="405"/>
      <c r="E1227" s="405"/>
      <c r="F1227" s="657"/>
      <c r="G1227" s="583"/>
      <c r="H1227" s="405"/>
      <c r="I1227" s="405"/>
      <c r="J1227" s="405"/>
      <c r="K1227" s="405"/>
      <c r="L1227" s="405"/>
      <c r="M1227" s="405"/>
      <c r="N1227" s="405"/>
      <c r="O1227" s="405"/>
      <c r="P1227" s="405"/>
      <c r="Q1227" s="405"/>
      <c r="R1227" s="405"/>
      <c r="S1227" s="405"/>
      <c r="T1227" s="405"/>
      <c r="U1227" s="405"/>
      <c r="V1227" s="405"/>
      <c r="W1227" s="405"/>
      <c r="X1227" s="405"/>
      <c r="Y1227" s="405"/>
      <c r="Z1227" s="405"/>
    </row>
    <row r="1228" ht="14.25" customHeight="1">
      <c r="A1228" s="656"/>
      <c r="B1228" s="405"/>
      <c r="C1228" s="405"/>
      <c r="D1228" s="405"/>
      <c r="E1228" s="405"/>
      <c r="F1228" s="657"/>
      <c r="G1228" s="583"/>
      <c r="H1228" s="405"/>
      <c r="I1228" s="405"/>
      <c r="J1228" s="405"/>
      <c r="K1228" s="405"/>
      <c r="L1228" s="405"/>
      <c r="M1228" s="405"/>
      <c r="N1228" s="405"/>
      <c r="O1228" s="405"/>
      <c r="P1228" s="405"/>
      <c r="Q1228" s="405"/>
      <c r="R1228" s="405"/>
      <c r="S1228" s="405"/>
      <c r="T1228" s="405"/>
      <c r="U1228" s="405"/>
      <c r="V1228" s="405"/>
      <c r="W1228" s="405"/>
      <c r="X1228" s="405"/>
      <c r="Y1228" s="405"/>
      <c r="Z1228" s="405"/>
    </row>
    <row r="1229" ht="14.25" customHeight="1">
      <c r="A1229" s="656"/>
      <c r="B1229" s="405"/>
      <c r="C1229" s="405"/>
      <c r="D1229" s="405"/>
      <c r="E1229" s="405"/>
      <c r="F1229" s="657"/>
      <c r="G1229" s="583"/>
      <c r="H1229" s="405"/>
      <c r="I1229" s="405"/>
      <c r="J1229" s="405"/>
      <c r="K1229" s="405"/>
      <c r="L1229" s="405"/>
      <c r="M1229" s="405"/>
      <c r="N1229" s="405"/>
      <c r="O1229" s="405"/>
      <c r="P1229" s="405"/>
      <c r="Q1229" s="405"/>
      <c r="R1229" s="405"/>
      <c r="S1229" s="405"/>
      <c r="T1229" s="405"/>
      <c r="U1229" s="405"/>
      <c r="V1229" s="405"/>
      <c r="W1229" s="405"/>
      <c r="X1229" s="405"/>
      <c r="Y1229" s="405"/>
      <c r="Z1229" s="405"/>
    </row>
    <row r="1230" ht="14.25" customHeight="1">
      <c r="A1230" s="656"/>
      <c r="B1230" s="405"/>
      <c r="C1230" s="405"/>
      <c r="D1230" s="405"/>
      <c r="E1230" s="405"/>
      <c r="F1230" s="657"/>
      <c r="G1230" s="583"/>
      <c r="H1230" s="405"/>
      <c r="I1230" s="405"/>
      <c r="J1230" s="405"/>
      <c r="K1230" s="405"/>
      <c r="L1230" s="405"/>
      <c r="M1230" s="405"/>
      <c r="N1230" s="405"/>
      <c r="O1230" s="405"/>
      <c r="P1230" s="405"/>
      <c r="Q1230" s="405"/>
      <c r="R1230" s="405"/>
      <c r="S1230" s="405"/>
      <c r="T1230" s="405"/>
      <c r="U1230" s="405"/>
      <c r="V1230" s="405"/>
      <c r="W1230" s="405"/>
      <c r="X1230" s="405"/>
      <c r="Y1230" s="405"/>
      <c r="Z1230" s="405"/>
    </row>
    <row r="1231" ht="14.25" customHeight="1">
      <c r="A1231" s="656"/>
      <c r="B1231" s="405"/>
      <c r="C1231" s="405"/>
      <c r="D1231" s="405"/>
      <c r="E1231" s="405"/>
      <c r="F1231" s="657"/>
      <c r="G1231" s="583"/>
      <c r="H1231" s="405"/>
      <c r="I1231" s="405"/>
      <c r="J1231" s="405"/>
      <c r="K1231" s="405"/>
      <c r="L1231" s="405"/>
      <c r="M1231" s="405"/>
      <c r="N1231" s="405"/>
      <c r="O1231" s="405"/>
      <c r="P1231" s="405"/>
      <c r="Q1231" s="405"/>
      <c r="R1231" s="405"/>
      <c r="S1231" s="405"/>
      <c r="T1231" s="405"/>
      <c r="U1231" s="405"/>
      <c r="V1231" s="405"/>
      <c r="W1231" s="405"/>
      <c r="X1231" s="405"/>
      <c r="Y1231" s="405"/>
      <c r="Z1231" s="405"/>
    </row>
    <row r="1232" ht="14.25" customHeight="1">
      <c r="A1232" s="656"/>
      <c r="B1232" s="405"/>
      <c r="C1232" s="405"/>
      <c r="D1232" s="405"/>
      <c r="E1232" s="405"/>
      <c r="F1232" s="657"/>
      <c r="G1232" s="583"/>
      <c r="H1232" s="405"/>
      <c r="I1232" s="405"/>
      <c r="J1232" s="405"/>
      <c r="K1232" s="405"/>
      <c r="L1232" s="405"/>
      <c r="M1232" s="405"/>
      <c r="N1232" s="405"/>
      <c r="O1232" s="405"/>
      <c r="P1232" s="405"/>
      <c r="Q1232" s="405"/>
      <c r="R1232" s="405"/>
      <c r="S1232" s="405"/>
      <c r="T1232" s="405"/>
      <c r="U1232" s="405"/>
      <c r="V1232" s="405"/>
      <c r="W1232" s="405"/>
      <c r="X1232" s="405"/>
      <c r="Y1232" s="405"/>
      <c r="Z1232" s="405"/>
    </row>
    <row r="1233" ht="14.25" customHeight="1">
      <c r="A1233" s="656"/>
      <c r="B1233" s="405"/>
      <c r="C1233" s="405"/>
      <c r="D1233" s="405"/>
      <c r="E1233" s="405"/>
      <c r="F1233" s="657"/>
      <c r="G1233" s="583"/>
      <c r="H1233" s="405"/>
      <c r="I1233" s="405"/>
      <c r="J1233" s="405"/>
      <c r="K1233" s="405"/>
      <c r="L1233" s="405"/>
      <c r="M1233" s="405"/>
      <c r="N1233" s="405"/>
      <c r="O1233" s="405"/>
      <c r="P1233" s="405"/>
      <c r="Q1233" s="405"/>
      <c r="R1233" s="405"/>
      <c r="S1233" s="405"/>
      <c r="T1233" s="405"/>
      <c r="U1233" s="405"/>
      <c r="V1233" s="405"/>
      <c r="W1233" s="405"/>
      <c r="X1233" s="405"/>
      <c r="Y1233" s="405"/>
      <c r="Z1233" s="405"/>
    </row>
    <row r="1234" ht="14.25" customHeight="1">
      <c r="A1234" s="656"/>
      <c r="B1234" s="405"/>
      <c r="C1234" s="405"/>
      <c r="D1234" s="405"/>
      <c r="E1234" s="405"/>
      <c r="F1234" s="657"/>
      <c r="G1234" s="583"/>
      <c r="H1234" s="405"/>
      <c r="I1234" s="405"/>
      <c r="J1234" s="405"/>
      <c r="K1234" s="405"/>
      <c r="L1234" s="405"/>
      <c r="M1234" s="405"/>
      <c r="N1234" s="405"/>
      <c r="O1234" s="405"/>
      <c r="P1234" s="405"/>
      <c r="Q1234" s="405"/>
      <c r="R1234" s="405"/>
      <c r="S1234" s="405"/>
      <c r="T1234" s="405"/>
      <c r="U1234" s="405"/>
      <c r="V1234" s="405"/>
      <c r="W1234" s="405"/>
      <c r="X1234" s="405"/>
      <c r="Y1234" s="405"/>
      <c r="Z1234" s="405"/>
    </row>
    <row r="1235" ht="14.25" customHeight="1">
      <c r="A1235" s="656"/>
      <c r="B1235" s="405"/>
      <c r="C1235" s="405"/>
      <c r="D1235" s="405"/>
      <c r="E1235" s="405"/>
      <c r="F1235" s="657"/>
      <c r="G1235" s="583"/>
      <c r="H1235" s="405"/>
      <c r="I1235" s="405"/>
      <c r="J1235" s="405"/>
      <c r="K1235" s="405"/>
      <c r="L1235" s="405"/>
      <c r="M1235" s="405"/>
      <c r="N1235" s="405"/>
      <c r="O1235" s="405"/>
      <c r="P1235" s="405"/>
      <c r="Q1235" s="405"/>
      <c r="R1235" s="405"/>
      <c r="S1235" s="405"/>
      <c r="T1235" s="405"/>
      <c r="U1235" s="405"/>
      <c r="V1235" s="405"/>
      <c r="W1235" s="405"/>
      <c r="X1235" s="405"/>
      <c r="Y1235" s="405"/>
      <c r="Z1235" s="405"/>
    </row>
    <row r="1236" ht="14.25" customHeight="1">
      <c r="A1236" s="656"/>
      <c r="B1236" s="405"/>
      <c r="C1236" s="405"/>
      <c r="D1236" s="405"/>
      <c r="E1236" s="405"/>
      <c r="F1236" s="657"/>
      <c r="G1236" s="583"/>
      <c r="H1236" s="405"/>
      <c r="I1236" s="405"/>
      <c r="J1236" s="405"/>
      <c r="K1236" s="405"/>
      <c r="L1236" s="405"/>
      <c r="M1236" s="405"/>
      <c r="N1236" s="405"/>
      <c r="O1236" s="405"/>
      <c r="P1236" s="405"/>
      <c r="Q1236" s="405"/>
      <c r="R1236" s="405"/>
      <c r="S1236" s="405"/>
      <c r="T1236" s="405"/>
      <c r="U1236" s="405"/>
      <c r="V1236" s="405"/>
      <c r="W1236" s="405"/>
      <c r="X1236" s="405"/>
      <c r="Y1236" s="405"/>
      <c r="Z1236" s="405"/>
    </row>
    <row r="1237" ht="14.25" customHeight="1">
      <c r="A1237" s="656"/>
      <c r="B1237" s="405"/>
      <c r="C1237" s="405"/>
      <c r="D1237" s="405"/>
      <c r="E1237" s="405"/>
      <c r="F1237" s="657"/>
      <c r="G1237" s="583"/>
      <c r="H1237" s="405"/>
      <c r="I1237" s="405"/>
      <c r="J1237" s="405"/>
      <c r="K1237" s="405"/>
      <c r="L1237" s="405"/>
      <c r="M1237" s="405"/>
      <c r="N1237" s="405"/>
      <c r="O1237" s="405"/>
      <c r="P1237" s="405"/>
      <c r="Q1237" s="405"/>
      <c r="R1237" s="405"/>
      <c r="S1237" s="405"/>
      <c r="T1237" s="405"/>
      <c r="U1237" s="405"/>
      <c r="V1237" s="405"/>
      <c r="W1237" s="405"/>
      <c r="X1237" s="405"/>
      <c r="Y1237" s="405"/>
      <c r="Z1237" s="405"/>
    </row>
    <row r="1238" ht="14.25" customHeight="1">
      <c r="A1238" s="656"/>
      <c r="B1238" s="405"/>
      <c r="C1238" s="405"/>
      <c r="D1238" s="405"/>
      <c r="E1238" s="405"/>
      <c r="F1238" s="657"/>
      <c r="G1238" s="583"/>
      <c r="H1238" s="405"/>
      <c r="I1238" s="405"/>
      <c r="J1238" s="405"/>
      <c r="K1238" s="405"/>
      <c r="L1238" s="405"/>
      <c r="M1238" s="405"/>
      <c r="N1238" s="405"/>
      <c r="O1238" s="405"/>
      <c r="P1238" s="405"/>
      <c r="Q1238" s="405"/>
      <c r="R1238" s="405"/>
      <c r="S1238" s="405"/>
      <c r="T1238" s="405"/>
      <c r="U1238" s="405"/>
      <c r="V1238" s="405"/>
      <c r="W1238" s="405"/>
      <c r="X1238" s="405"/>
      <c r="Y1238" s="405"/>
      <c r="Z1238" s="405"/>
    </row>
    <row r="1239" ht="14.25" customHeight="1">
      <c r="A1239" s="656"/>
      <c r="B1239" s="405"/>
      <c r="C1239" s="405"/>
      <c r="D1239" s="405"/>
      <c r="E1239" s="405"/>
      <c r="F1239" s="657"/>
      <c r="G1239" s="583"/>
      <c r="H1239" s="405"/>
      <c r="I1239" s="405"/>
      <c r="J1239" s="405"/>
      <c r="K1239" s="405"/>
      <c r="L1239" s="405"/>
      <c r="M1239" s="405"/>
      <c r="N1239" s="405"/>
      <c r="O1239" s="405"/>
      <c r="P1239" s="405"/>
      <c r="Q1239" s="405"/>
      <c r="R1239" s="405"/>
      <c r="S1239" s="405"/>
      <c r="T1239" s="405"/>
      <c r="U1239" s="405"/>
      <c r="V1239" s="405"/>
      <c r="W1239" s="405"/>
      <c r="X1239" s="405"/>
      <c r="Y1239" s="405"/>
      <c r="Z1239" s="405"/>
    </row>
    <row r="1240" ht="14.25" customHeight="1">
      <c r="A1240" s="656"/>
      <c r="B1240" s="405"/>
      <c r="C1240" s="405"/>
      <c r="D1240" s="405"/>
      <c r="E1240" s="405"/>
      <c r="F1240" s="657"/>
      <c r="G1240" s="583"/>
      <c r="H1240" s="405"/>
      <c r="I1240" s="405"/>
      <c r="J1240" s="405"/>
      <c r="K1240" s="405"/>
      <c r="L1240" s="405"/>
      <c r="M1240" s="405"/>
      <c r="N1240" s="405"/>
      <c r="O1240" s="405"/>
      <c r="P1240" s="405"/>
      <c r="Q1240" s="405"/>
      <c r="R1240" s="405"/>
      <c r="S1240" s="405"/>
      <c r="T1240" s="405"/>
      <c r="U1240" s="405"/>
      <c r="V1240" s="405"/>
      <c r="W1240" s="405"/>
      <c r="X1240" s="405"/>
      <c r="Y1240" s="405"/>
      <c r="Z1240" s="405"/>
    </row>
    <row r="1241" ht="14.25" customHeight="1">
      <c r="A1241" s="656"/>
      <c r="B1241" s="405"/>
      <c r="C1241" s="405"/>
      <c r="D1241" s="405"/>
      <c r="E1241" s="405"/>
      <c r="F1241" s="657"/>
      <c r="G1241" s="583"/>
      <c r="H1241" s="405"/>
      <c r="I1241" s="405"/>
      <c r="J1241" s="405"/>
      <c r="K1241" s="405"/>
      <c r="L1241" s="405"/>
      <c r="M1241" s="405"/>
      <c r="N1241" s="405"/>
      <c r="O1241" s="405"/>
      <c r="P1241" s="405"/>
      <c r="Q1241" s="405"/>
      <c r="R1241" s="405"/>
      <c r="S1241" s="405"/>
      <c r="T1241" s="405"/>
      <c r="U1241" s="405"/>
      <c r="V1241" s="405"/>
      <c r="W1241" s="405"/>
      <c r="X1241" s="405"/>
      <c r="Y1241" s="405"/>
      <c r="Z1241" s="405"/>
    </row>
    <row r="1242" ht="14.25" customHeight="1">
      <c r="A1242" s="656"/>
      <c r="B1242" s="405"/>
      <c r="C1242" s="405"/>
      <c r="D1242" s="405"/>
      <c r="E1242" s="405"/>
      <c r="F1242" s="657"/>
      <c r="G1242" s="583"/>
      <c r="H1242" s="405"/>
      <c r="I1242" s="405"/>
      <c r="J1242" s="405"/>
      <c r="K1242" s="405"/>
      <c r="L1242" s="405"/>
      <c r="M1242" s="405"/>
      <c r="N1242" s="405"/>
      <c r="O1242" s="405"/>
      <c r="P1242" s="405"/>
      <c r="Q1242" s="405"/>
      <c r="R1242" s="405"/>
      <c r="S1242" s="405"/>
      <c r="T1242" s="405"/>
      <c r="U1242" s="405"/>
      <c r="V1242" s="405"/>
      <c r="W1242" s="405"/>
      <c r="X1242" s="405"/>
      <c r="Y1242" s="405"/>
      <c r="Z1242" s="405"/>
    </row>
    <row r="1243" ht="14.25" customHeight="1">
      <c r="A1243" s="656"/>
      <c r="B1243" s="405"/>
      <c r="C1243" s="405"/>
      <c r="D1243" s="405"/>
      <c r="E1243" s="405"/>
      <c r="F1243" s="657"/>
      <c r="G1243" s="583"/>
      <c r="H1243" s="405"/>
      <c r="I1243" s="405"/>
      <c r="J1243" s="405"/>
      <c r="K1243" s="405"/>
      <c r="L1243" s="405"/>
      <c r="M1243" s="405"/>
      <c r="N1243" s="405"/>
      <c r="O1243" s="405"/>
      <c r="P1243" s="405"/>
      <c r="Q1243" s="405"/>
      <c r="R1243" s="405"/>
      <c r="S1243" s="405"/>
      <c r="T1243" s="405"/>
      <c r="U1243" s="405"/>
      <c r="V1243" s="405"/>
      <c r="W1243" s="405"/>
      <c r="X1243" s="405"/>
      <c r="Y1243" s="405"/>
      <c r="Z1243" s="405"/>
    </row>
    <row r="1244" ht="14.25" customHeight="1">
      <c r="A1244" s="656"/>
      <c r="B1244" s="405"/>
      <c r="C1244" s="405"/>
      <c r="D1244" s="405"/>
      <c r="E1244" s="405"/>
      <c r="F1244" s="657"/>
      <c r="G1244" s="583"/>
      <c r="H1244" s="405"/>
      <c r="I1244" s="405"/>
      <c r="J1244" s="405"/>
      <c r="K1244" s="405"/>
      <c r="L1244" s="405"/>
      <c r="M1244" s="405"/>
      <c r="N1244" s="405"/>
      <c r="O1244" s="405"/>
      <c r="P1244" s="405"/>
      <c r="Q1244" s="405"/>
      <c r="R1244" s="405"/>
      <c r="S1244" s="405"/>
      <c r="T1244" s="405"/>
      <c r="U1244" s="405"/>
      <c r="V1244" s="405"/>
      <c r="W1244" s="405"/>
      <c r="X1244" s="405"/>
      <c r="Y1244" s="405"/>
      <c r="Z1244" s="405"/>
    </row>
    <row r="1245" ht="14.25" customHeight="1">
      <c r="A1245" s="656"/>
      <c r="B1245" s="405"/>
      <c r="C1245" s="405"/>
      <c r="D1245" s="405"/>
      <c r="E1245" s="405"/>
      <c r="F1245" s="657"/>
      <c r="G1245" s="583"/>
      <c r="H1245" s="405"/>
      <c r="I1245" s="405"/>
      <c r="J1245" s="405"/>
      <c r="K1245" s="405"/>
      <c r="L1245" s="405"/>
      <c r="M1245" s="405"/>
      <c r="N1245" s="405"/>
      <c r="O1245" s="405"/>
      <c r="P1245" s="405"/>
      <c r="Q1245" s="405"/>
      <c r="R1245" s="405"/>
      <c r="S1245" s="405"/>
      <c r="T1245" s="405"/>
      <c r="U1245" s="405"/>
      <c r="V1245" s="405"/>
      <c r="W1245" s="405"/>
      <c r="X1245" s="405"/>
      <c r="Y1245" s="405"/>
      <c r="Z1245" s="405"/>
    </row>
    <row r="1246" ht="14.25" customHeight="1">
      <c r="A1246" s="656"/>
      <c r="B1246" s="405"/>
      <c r="C1246" s="405"/>
      <c r="D1246" s="405"/>
      <c r="E1246" s="405"/>
      <c r="F1246" s="657"/>
      <c r="G1246" s="583"/>
      <c r="H1246" s="405"/>
      <c r="I1246" s="405"/>
      <c r="J1246" s="405"/>
      <c r="K1246" s="405"/>
      <c r="L1246" s="405"/>
      <c r="M1246" s="405"/>
      <c r="N1246" s="405"/>
      <c r="O1246" s="405"/>
      <c r="P1246" s="405"/>
      <c r="Q1246" s="405"/>
      <c r="R1246" s="405"/>
      <c r="S1246" s="405"/>
      <c r="T1246" s="405"/>
      <c r="U1246" s="405"/>
      <c r="V1246" s="405"/>
      <c r="W1246" s="405"/>
      <c r="X1246" s="405"/>
      <c r="Y1246" s="405"/>
      <c r="Z1246" s="405"/>
    </row>
    <row r="1247" ht="14.25" customHeight="1">
      <c r="A1247" s="656"/>
      <c r="B1247" s="405"/>
      <c r="C1247" s="405"/>
      <c r="D1247" s="405"/>
      <c r="E1247" s="405"/>
      <c r="F1247" s="657"/>
      <c r="G1247" s="583"/>
      <c r="H1247" s="405"/>
      <c r="I1247" s="405"/>
      <c r="J1247" s="405"/>
      <c r="K1247" s="405"/>
      <c r="L1247" s="405"/>
      <c r="M1247" s="405"/>
      <c r="N1247" s="405"/>
      <c r="O1247" s="405"/>
      <c r="P1247" s="405"/>
      <c r="Q1247" s="405"/>
      <c r="R1247" s="405"/>
      <c r="S1247" s="405"/>
      <c r="T1247" s="405"/>
      <c r="U1247" s="405"/>
      <c r="V1247" s="405"/>
      <c r="W1247" s="405"/>
      <c r="X1247" s="405"/>
      <c r="Y1247" s="405"/>
      <c r="Z1247" s="405"/>
    </row>
    <row r="1248" ht="14.25" customHeight="1">
      <c r="A1248" s="656"/>
      <c r="B1248" s="405"/>
      <c r="C1248" s="405"/>
      <c r="D1248" s="405"/>
      <c r="E1248" s="405"/>
      <c r="F1248" s="657"/>
      <c r="G1248" s="583"/>
      <c r="H1248" s="405"/>
      <c r="I1248" s="405"/>
      <c r="J1248" s="405"/>
      <c r="K1248" s="405"/>
      <c r="L1248" s="405"/>
      <c r="M1248" s="405"/>
      <c r="N1248" s="405"/>
      <c r="O1248" s="405"/>
      <c r="P1248" s="405"/>
      <c r="Q1248" s="405"/>
      <c r="R1248" s="405"/>
      <c r="S1248" s="405"/>
      <c r="T1248" s="405"/>
      <c r="U1248" s="405"/>
      <c r="V1248" s="405"/>
      <c r="W1248" s="405"/>
      <c r="X1248" s="405"/>
      <c r="Y1248" s="405"/>
      <c r="Z1248" s="405"/>
    </row>
    <row r="1249" ht="14.25" customHeight="1">
      <c r="A1249" s="656"/>
      <c r="B1249" s="405"/>
      <c r="C1249" s="405"/>
      <c r="D1249" s="405"/>
      <c r="E1249" s="405"/>
      <c r="F1249" s="657"/>
      <c r="G1249" s="583"/>
      <c r="H1249" s="405"/>
      <c r="I1249" s="405"/>
      <c r="J1249" s="405"/>
      <c r="K1249" s="405"/>
      <c r="L1249" s="405"/>
      <c r="M1249" s="405"/>
      <c r="N1249" s="405"/>
      <c r="O1249" s="405"/>
      <c r="P1249" s="405"/>
      <c r="Q1249" s="405"/>
      <c r="R1249" s="405"/>
      <c r="S1249" s="405"/>
      <c r="T1249" s="405"/>
      <c r="U1249" s="405"/>
      <c r="V1249" s="405"/>
      <c r="W1249" s="405"/>
      <c r="X1249" s="405"/>
      <c r="Y1249" s="405"/>
      <c r="Z1249" s="405"/>
    </row>
    <row r="1250" ht="14.25" customHeight="1">
      <c r="A1250" s="656"/>
      <c r="B1250" s="405"/>
      <c r="C1250" s="405"/>
      <c r="D1250" s="405"/>
      <c r="E1250" s="405"/>
      <c r="F1250" s="657"/>
      <c r="G1250" s="583"/>
      <c r="H1250" s="405"/>
      <c r="I1250" s="405"/>
      <c r="J1250" s="405"/>
      <c r="K1250" s="405"/>
      <c r="L1250" s="405"/>
      <c r="M1250" s="405"/>
      <c r="N1250" s="405"/>
      <c r="O1250" s="405"/>
      <c r="P1250" s="405"/>
      <c r="Q1250" s="405"/>
      <c r="R1250" s="405"/>
      <c r="S1250" s="405"/>
      <c r="T1250" s="405"/>
      <c r="U1250" s="405"/>
      <c r="V1250" s="405"/>
      <c r="W1250" s="405"/>
      <c r="X1250" s="405"/>
      <c r="Y1250" s="405"/>
      <c r="Z1250" s="405"/>
    </row>
    <row r="1251" ht="14.25" customHeight="1">
      <c r="A1251" s="656"/>
      <c r="B1251" s="405"/>
      <c r="C1251" s="405"/>
      <c r="D1251" s="405"/>
      <c r="E1251" s="405"/>
      <c r="F1251" s="657"/>
      <c r="G1251" s="583"/>
      <c r="H1251" s="405"/>
      <c r="I1251" s="405"/>
      <c r="J1251" s="405"/>
      <c r="K1251" s="405"/>
      <c r="L1251" s="405"/>
      <c r="M1251" s="405"/>
      <c r="N1251" s="405"/>
      <c r="O1251" s="405"/>
      <c r="P1251" s="405"/>
      <c r="Q1251" s="405"/>
      <c r="R1251" s="405"/>
      <c r="S1251" s="405"/>
      <c r="T1251" s="405"/>
      <c r="U1251" s="405"/>
      <c r="V1251" s="405"/>
      <c r="W1251" s="405"/>
      <c r="X1251" s="405"/>
      <c r="Y1251" s="405"/>
      <c r="Z1251" s="405"/>
    </row>
    <row r="1252" ht="14.25" customHeight="1">
      <c r="A1252" s="656"/>
      <c r="B1252" s="405"/>
      <c r="C1252" s="405"/>
      <c r="D1252" s="405"/>
      <c r="E1252" s="405"/>
      <c r="F1252" s="657"/>
      <c r="G1252" s="583"/>
      <c r="H1252" s="405"/>
      <c r="I1252" s="405"/>
      <c r="J1252" s="405"/>
      <c r="K1252" s="405"/>
      <c r="L1252" s="405"/>
      <c r="M1252" s="405"/>
      <c r="N1252" s="405"/>
      <c r="O1252" s="405"/>
      <c r="P1252" s="405"/>
      <c r="Q1252" s="405"/>
      <c r="R1252" s="405"/>
      <c r="S1252" s="405"/>
      <c r="T1252" s="405"/>
      <c r="U1252" s="405"/>
      <c r="V1252" s="405"/>
      <c r="W1252" s="405"/>
      <c r="X1252" s="405"/>
      <c r="Y1252" s="405"/>
      <c r="Z1252" s="405"/>
    </row>
    <row r="1253" ht="14.25" customHeight="1">
      <c r="A1253" s="656"/>
      <c r="B1253" s="405"/>
      <c r="C1253" s="405"/>
      <c r="D1253" s="405"/>
      <c r="E1253" s="405"/>
      <c r="F1253" s="657"/>
      <c r="G1253" s="583"/>
      <c r="H1253" s="405"/>
      <c r="I1253" s="405"/>
      <c r="J1253" s="405"/>
      <c r="K1253" s="405"/>
      <c r="L1253" s="405"/>
      <c r="M1253" s="405"/>
      <c r="N1253" s="405"/>
      <c r="O1253" s="405"/>
      <c r="P1253" s="405"/>
      <c r="Q1253" s="405"/>
      <c r="R1253" s="405"/>
      <c r="S1253" s="405"/>
      <c r="T1253" s="405"/>
      <c r="U1253" s="405"/>
      <c r="V1253" s="405"/>
      <c r="W1253" s="405"/>
      <c r="X1253" s="405"/>
      <c r="Y1253" s="405"/>
      <c r="Z1253" s="405"/>
    </row>
    <row r="1254" ht="14.25" customHeight="1">
      <c r="A1254" s="656"/>
      <c r="B1254" s="405"/>
      <c r="C1254" s="405"/>
      <c r="D1254" s="405"/>
      <c r="E1254" s="405"/>
      <c r="F1254" s="657"/>
      <c r="G1254" s="583"/>
      <c r="H1254" s="405"/>
      <c r="I1254" s="405"/>
      <c r="J1254" s="405"/>
      <c r="K1254" s="405"/>
      <c r="L1254" s="405"/>
      <c r="M1254" s="405"/>
      <c r="N1254" s="405"/>
      <c r="O1254" s="405"/>
      <c r="P1254" s="405"/>
      <c r="Q1254" s="405"/>
      <c r="R1254" s="405"/>
      <c r="S1254" s="405"/>
      <c r="T1254" s="405"/>
      <c r="U1254" s="405"/>
      <c r="V1254" s="405"/>
      <c r="W1254" s="405"/>
      <c r="X1254" s="405"/>
      <c r="Y1254" s="405"/>
      <c r="Z1254" s="405"/>
    </row>
    <row r="1255" ht="14.25" customHeight="1">
      <c r="A1255" s="656"/>
      <c r="B1255" s="405"/>
      <c r="C1255" s="405"/>
      <c r="D1255" s="405"/>
      <c r="E1255" s="405"/>
      <c r="F1255" s="657"/>
      <c r="G1255" s="583"/>
      <c r="H1255" s="405"/>
      <c r="I1255" s="405"/>
      <c r="J1255" s="405"/>
      <c r="K1255" s="405"/>
      <c r="L1255" s="405"/>
      <c r="M1255" s="405"/>
      <c r="N1255" s="405"/>
      <c r="O1255" s="405"/>
      <c r="P1255" s="405"/>
      <c r="Q1255" s="405"/>
      <c r="R1255" s="405"/>
      <c r="S1255" s="405"/>
      <c r="T1255" s="405"/>
      <c r="U1255" s="405"/>
      <c r="V1255" s="405"/>
      <c r="W1255" s="405"/>
      <c r="X1255" s="405"/>
      <c r="Y1255" s="405"/>
      <c r="Z1255" s="405"/>
    </row>
    <row r="1256" ht="14.25" customHeight="1">
      <c r="A1256" s="656"/>
      <c r="B1256" s="405"/>
      <c r="C1256" s="405"/>
      <c r="D1256" s="405"/>
      <c r="E1256" s="405"/>
      <c r="F1256" s="657"/>
      <c r="G1256" s="583"/>
      <c r="H1256" s="405"/>
      <c r="I1256" s="405"/>
      <c r="J1256" s="405"/>
      <c r="K1256" s="405"/>
      <c r="L1256" s="405"/>
      <c r="M1256" s="405"/>
      <c r="N1256" s="405"/>
      <c r="O1256" s="405"/>
      <c r="P1256" s="405"/>
      <c r="Q1256" s="405"/>
      <c r="R1256" s="405"/>
      <c r="S1256" s="405"/>
      <c r="T1256" s="405"/>
      <c r="U1256" s="405"/>
      <c r="V1256" s="405"/>
      <c r="W1256" s="405"/>
      <c r="X1256" s="405"/>
      <c r="Y1256" s="405"/>
      <c r="Z1256" s="405"/>
    </row>
    <row r="1257" ht="14.25" customHeight="1">
      <c r="A1257" s="656"/>
      <c r="B1257" s="405"/>
      <c r="C1257" s="405"/>
      <c r="D1257" s="405"/>
      <c r="E1257" s="405"/>
      <c r="F1257" s="657"/>
      <c r="G1257" s="583"/>
      <c r="H1257" s="405"/>
      <c r="I1257" s="405"/>
      <c r="J1257" s="405"/>
      <c r="K1257" s="405"/>
      <c r="L1257" s="405"/>
      <c r="M1257" s="405"/>
      <c r="N1257" s="405"/>
      <c r="O1257" s="405"/>
      <c r="P1257" s="405"/>
      <c r="Q1257" s="405"/>
      <c r="R1257" s="405"/>
      <c r="S1257" s="405"/>
      <c r="T1257" s="405"/>
      <c r="U1257" s="405"/>
      <c r="V1257" s="405"/>
      <c r="W1257" s="405"/>
      <c r="X1257" s="405"/>
      <c r="Y1257" s="405"/>
      <c r="Z1257" s="405"/>
    </row>
    <row r="1258" ht="14.25" customHeight="1">
      <c r="A1258" s="656"/>
      <c r="B1258" s="405"/>
      <c r="C1258" s="405"/>
      <c r="D1258" s="405"/>
      <c r="E1258" s="405"/>
      <c r="F1258" s="657"/>
      <c r="G1258" s="583"/>
      <c r="H1258" s="405"/>
      <c r="I1258" s="405"/>
      <c r="J1258" s="405"/>
      <c r="K1258" s="405"/>
      <c r="L1258" s="405"/>
      <c r="M1258" s="405"/>
      <c r="N1258" s="405"/>
      <c r="O1258" s="405"/>
      <c r="P1258" s="405"/>
      <c r="Q1258" s="405"/>
      <c r="R1258" s="405"/>
      <c r="S1258" s="405"/>
      <c r="T1258" s="405"/>
      <c r="U1258" s="405"/>
      <c r="V1258" s="405"/>
      <c r="W1258" s="405"/>
      <c r="X1258" s="405"/>
      <c r="Y1258" s="405"/>
      <c r="Z1258" s="405"/>
    </row>
    <row r="1259" ht="14.25" customHeight="1">
      <c r="A1259" s="656"/>
      <c r="B1259" s="405"/>
      <c r="C1259" s="405"/>
      <c r="D1259" s="405"/>
      <c r="E1259" s="405"/>
      <c r="F1259" s="657"/>
      <c r="G1259" s="583"/>
      <c r="H1259" s="405"/>
      <c r="I1259" s="405"/>
      <c r="J1259" s="405"/>
      <c r="K1259" s="405"/>
      <c r="L1259" s="405"/>
      <c r="M1259" s="405"/>
      <c r="N1259" s="405"/>
      <c r="O1259" s="405"/>
      <c r="P1259" s="405"/>
      <c r="Q1259" s="405"/>
      <c r="R1259" s="405"/>
      <c r="S1259" s="405"/>
      <c r="T1259" s="405"/>
      <c r="U1259" s="405"/>
      <c r="V1259" s="405"/>
      <c r="W1259" s="405"/>
      <c r="X1259" s="405"/>
      <c r="Y1259" s="405"/>
      <c r="Z1259" s="405"/>
    </row>
    <row r="1260" ht="14.25" customHeight="1">
      <c r="A1260" s="656"/>
      <c r="B1260" s="405"/>
      <c r="C1260" s="405"/>
      <c r="D1260" s="405"/>
      <c r="E1260" s="405"/>
      <c r="F1260" s="657"/>
      <c r="G1260" s="583"/>
      <c r="H1260" s="405"/>
      <c r="I1260" s="405"/>
      <c r="J1260" s="405"/>
      <c r="K1260" s="405"/>
      <c r="L1260" s="405"/>
      <c r="M1260" s="405"/>
      <c r="N1260" s="405"/>
      <c r="O1260" s="405"/>
      <c r="P1260" s="405"/>
      <c r="Q1260" s="405"/>
      <c r="R1260" s="405"/>
      <c r="S1260" s="405"/>
      <c r="T1260" s="405"/>
      <c r="U1260" s="405"/>
      <c r="V1260" s="405"/>
      <c r="W1260" s="405"/>
      <c r="X1260" s="405"/>
      <c r="Y1260" s="405"/>
      <c r="Z1260" s="405"/>
    </row>
    <row r="1261" ht="14.25" customHeight="1">
      <c r="A1261" s="656"/>
      <c r="B1261" s="405"/>
      <c r="C1261" s="405"/>
      <c r="D1261" s="405"/>
      <c r="E1261" s="405"/>
      <c r="F1261" s="657"/>
      <c r="G1261" s="583"/>
      <c r="H1261" s="405"/>
      <c r="I1261" s="405"/>
      <c r="J1261" s="405"/>
      <c r="K1261" s="405"/>
      <c r="L1261" s="405"/>
      <c r="M1261" s="405"/>
      <c r="N1261" s="405"/>
      <c r="O1261" s="405"/>
      <c r="P1261" s="405"/>
      <c r="Q1261" s="405"/>
      <c r="R1261" s="405"/>
      <c r="S1261" s="405"/>
      <c r="T1261" s="405"/>
      <c r="U1261" s="405"/>
      <c r="V1261" s="405"/>
      <c r="W1261" s="405"/>
      <c r="X1261" s="405"/>
      <c r="Y1261" s="405"/>
      <c r="Z1261" s="405"/>
    </row>
    <row r="1262" ht="14.25" customHeight="1">
      <c r="A1262" s="656"/>
      <c r="B1262" s="405"/>
      <c r="C1262" s="405"/>
      <c r="D1262" s="405"/>
      <c r="E1262" s="405"/>
      <c r="F1262" s="657"/>
      <c r="G1262" s="583"/>
      <c r="H1262" s="405"/>
      <c r="I1262" s="405"/>
      <c r="J1262" s="405"/>
      <c r="K1262" s="405"/>
      <c r="L1262" s="405"/>
      <c r="M1262" s="405"/>
      <c r="N1262" s="405"/>
      <c r="O1262" s="405"/>
      <c r="P1262" s="405"/>
      <c r="Q1262" s="405"/>
      <c r="R1262" s="405"/>
      <c r="S1262" s="405"/>
      <c r="T1262" s="405"/>
      <c r="U1262" s="405"/>
      <c r="V1262" s="405"/>
      <c r="W1262" s="405"/>
      <c r="X1262" s="405"/>
      <c r="Y1262" s="405"/>
      <c r="Z1262" s="405"/>
    </row>
    <row r="1263" ht="14.25" customHeight="1">
      <c r="A1263" s="656"/>
      <c r="B1263" s="405"/>
      <c r="C1263" s="405"/>
      <c r="D1263" s="405"/>
      <c r="E1263" s="405"/>
      <c r="F1263" s="657"/>
      <c r="G1263" s="583"/>
      <c r="H1263" s="405"/>
      <c r="I1263" s="405"/>
      <c r="J1263" s="405"/>
      <c r="K1263" s="405"/>
      <c r="L1263" s="405"/>
      <c r="M1263" s="405"/>
      <c r="N1263" s="405"/>
      <c r="O1263" s="405"/>
      <c r="P1263" s="405"/>
      <c r="Q1263" s="405"/>
      <c r="R1263" s="405"/>
      <c r="S1263" s="405"/>
      <c r="T1263" s="405"/>
      <c r="U1263" s="405"/>
      <c r="V1263" s="405"/>
      <c r="W1263" s="405"/>
      <c r="X1263" s="405"/>
      <c r="Y1263" s="405"/>
      <c r="Z1263" s="405"/>
    </row>
    <row r="1264" ht="14.25" customHeight="1">
      <c r="A1264" s="656"/>
      <c r="B1264" s="405"/>
      <c r="C1264" s="405"/>
      <c r="D1264" s="405"/>
      <c r="E1264" s="405"/>
      <c r="F1264" s="657"/>
      <c r="G1264" s="583"/>
      <c r="H1264" s="405"/>
      <c r="I1264" s="405"/>
      <c r="J1264" s="405"/>
      <c r="K1264" s="405"/>
      <c r="L1264" s="405"/>
      <c r="M1264" s="405"/>
      <c r="N1264" s="405"/>
      <c r="O1264" s="405"/>
      <c r="P1264" s="405"/>
      <c r="Q1264" s="405"/>
      <c r="R1264" s="405"/>
      <c r="S1264" s="405"/>
      <c r="T1264" s="405"/>
      <c r="U1264" s="405"/>
      <c r="V1264" s="405"/>
      <c r="W1264" s="405"/>
      <c r="X1264" s="405"/>
      <c r="Y1264" s="405"/>
      <c r="Z1264" s="405"/>
    </row>
    <row r="1265" ht="14.25" customHeight="1">
      <c r="A1265" s="656"/>
      <c r="B1265" s="405"/>
      <c r="C1265" s="405"/>
      <c r="D1265" s="405"/>
      <c r="E1265" s="405"/>
      <c r="F1265" s="657"/>
      <c r="G1265" s="583"/>
      <c r="H1265" s="405"/>
      <c r="I1265" s="405"/>
      <c r="J1265" s="405"/>
      <c r="K1265" s="405"/>
      <c r="L1265" s="405"/>
      <c r="M1265" s="405"/>
      <c r="N1265" s="405"/>
      <c r="O1265" s="405"/>
      <c r="P1265" s="405"/>
      <c r="Q1265" s="405"/>
      <c r="R1265" s="405"/>
      <c r="S1265" s="405"/>
      <c r="T1265" s="405"/>
      <c r="U1265" s="405"/>
      <c r="V1265" s="405"/>
      <c r="W1265" s="405"/>
      <c r="X1265" s="405"/>
      <c r="Y1265" s="405"/>
      <c r="Z1265" s="405"/>
    </row>
    <row r="1266" ht="14.25" customHeight="1">
      <c r="A1266" s="656"/>
      <c r="B1266" s="405"/>
      <c r="C1266" s="405"/>
      <c r="D1266" s="405"/>
      <c r="E1266" s="405"/>
      <c r="F1266" s="657"/>
      <c r="G1266" s="583"/>
      <c r="H1266" s="405"/>
      <c r="I1266" s="405"/>
      <c r="J1266" s="405"/>
      <c r="K1266" s="405"/>
      <c r="L1266" s="405"/>
      <c r="M1266" s="405"/>
      <c r="N1266" s="405"/>
      <c r="O1266" s="405"/>
      <c r="P1266" s="405"/>
      <c r="Q1266" s="405"/>
      <c r="R1266" s="405"/>
      <c r="S1266" s="405"/>
      <c r="T1266" s="405"/>
      <c r="U1266" s="405"/>
      <c r="V1266" s="405"/>
      <c r="W1266" s="405"/>
      <c r="X1266" s="405"/>
      <c r="Y1266" s="405"/>
      <c r="Z1266" s="405"/>
    </row>
    <row r="1267" ht="14.25" customHeight="1">
      <c r="A1267" s="656"/>
      <c r="B1267" s="405"/>
      <c r="C1267" s="405"/>
      <c r="D1267" s="405"/>
      <c r="E1267" s="405"/>
      <c r="F1267" s="657"/>
      <c r="G1267" s="583"/>
      <c r="H1267" s="405"/>
      <c r="I1267" s="405"/>
      <c r="J1267" s="405"/>
      <c r="K1267" s="405"/>
      <c r="L1267" s="405"/>
      <c r="M1267" s="405"/>
      <c r="N1267" s="405"/>
      <c r="O1267" s="405"/>
      <c r="P1267" s="405"/>
      <c r="Q1267" s="405"/>
      <c r="R1267" s="405"/>
      <c r="S1267" s="405"/>
      <c r="T1267" s="405"/>
      <c r="U1267" s="405"/>
      <c r="V1267" s="405"/>
      <c r="W1267" s="405"/>
      <c r="X1267" s="405"/>
      <c r="Y1267" s="405"/>
      <c r="Z1267" s="405"/>
    </row>
    <row r="1268" ht="14.25" customHeight="1">
      <c r="A1268" s="656"/>
      <c r="B1268" s="405"/>
      <c r="C1268" s="405"/>
      <c r="D1268" s="405"/>
      <c r="E1268" s="405"/>
      <c r="F1268" s="657"/>
      <c r="G1268" s="583"/>
      <c r="H1268" s="405"/>
      <c r="I1268" s="405"/>
      <c r="J1268" s="405"/>
      <c r="K1268" s="405"/>
      <c r="L1268" s="405"/>
      <c r="M1268" s="405"/>
      <c r="N1268" s="405"/>
      <c r="O1268" s="405"/>
      <c r="P1268" s="405"/>
      <c r="Q1268" s="405"/>
      <c r="R1268" s="405"/>
      <c r="S1268" s="405"/>
      <c r="T1268" s="405"/>
      <c r="U1268" s="405"/>
      <c r="V1268" s="405"/>
      <c r="W1268" s="405"/>
      <c r="X1268" s="405"/>
      <c r="Y1268" s="405"/>
      <c r="Z1268" s="405"/>
    </row>
    <row r="1269" ht="14.25" customHeight="1">
      <c r="A1269" s="656"/>
      <c r="B1269" s="405"/>
      <c r="C1269" s="405"/>
      <c r="D1269" s="405"/>
      <c r="E1269" s="405"/>
      <c r="F1269" s="657"/>
      <c r="G1269" s="583"/>
      <c r="H1269" s="405"/>
      <c r="I1269" s="405"/>
      <c r="J1269" s="405"/>
      <c r="K1269" s="405"/>
      <c r="L1269" s="405"/>
      <c r="M1269" s="405"/>
      <c r="N1269" s="405"/>
      <c r="O1269" s="405"/>
      <c r="P1269" s="405"/>
      <c r="Q1269" s="405"/>
      <c r="R1269" s="405"/>
      <c r="S1269" s="405"/>
      <c r="T1269" s="405"/>
      <c r="U1269" s="405"/>
      <c r="V1269" s="405"/>
      <c r="W1269" s="405"/>
      <c r="X1269" s="405"/>
      <c r="Y1269" s="405"/>
      <c r="Z1269" s="405"/>
    </row>
    <row r="1270" ht="14.25" customHeight="1">
      <c r="A1270" s="656"/>
      <c r="B1270" s="405"/>
      <c r="C1270" s="405"/>
      <c r="D1270" s="405"/>
      <c r="E1270" s="405"/>
      <c r="F1270" s="657"/>
      <c r="G1270" s="583"/>
      <c r="H1270" s="405"/>
      <c r="I1270" s="405"/>
      <c r="J1270" s="405"/>
      <c r="K1270" s="405"/>
      <c r="L1270" s="405"/>
      <c r="M1270" s="405"/>
      <c r="N1270" s="405"/>
      <c r="O1270" s="405"/>
      <c r="P1270" s="405"/>
      <c r="Q1270" s="405"/>
      <c r="R1270" s="405"/>
      <c r="S1270" s="405"/>
      <c r="T1270" s="405"/>
      <c r="U1270" s="405"/>
      <c r="V1270" s="405"/>
      <c r="W1270" s="405"/>
      <c r="X1270" s="405"/>
      <c r="Y1270" s="405"/>
      <c r="Z1270" s="405"/>
    </row>
    <row r="1271" ht="14.25" customHeight="1">
      <c r="A1271" s="656"/>
      <c r="B1271" s="405"/>
      <c r="C1271" s="405"/>
      <c r="D1271" s="405"/>
      <c r="E1271" s="405"/>
      <c r="F1271" s="657"/>
      <c r="G1271" s="583"/>
      <c r="H1271" s="405"/>
      <c r="I1271" s="405"/>
      <c r="J1271" s="405"/>
      <c r="K1271" s="405"/>
      <c r="L1271" s="405"/>
      <c r="M1271" s="405"/>
      <c r="N1271" s="405"/>
      <c r="O1271" s="405"/>
      <c r="P1271" s="405"/>
      <c r="Q1271" s="405"/>
      <c r="R1271" s="405"/>
      <c r="S1271" s="405"/>
      <c r="T1271" s="405"/>
      <c r="U1271" s="405"/>
      <c r="V1271" s="405"/>
      <c r="W1271" s="405"/>
      <c r="X1271" s="405"/>
      <c r="Y1271" s="405"/>
      <c r="Z1271" s="405"/>
    </row>
    <row r="1272" ht="14.25" customHeight="1">
      <c r="A1272" s="656"/>
      <c r="B1272" s="405"/>
      <c r="C1272" s="405"/>
      <c r="D1272" s="405"/>
      <c r="E1272" s="405"/>
      <c r="F1272" s="657"/>
      <c r="G1272" s="583"/>
      <c r="H1272" s="405"/>
      <c r="I1272" s="405"/>
      <c r="J1272" s="405"/>
      <c r="K1272" s="405"/>
      <c r="L1272" s="405"/>
      <c r="M1272" s="405"/>
      <c r="N1272" s="405"/>
      <c r="O1272" s="405"/>
      <c r="P1272" s="405"/>
      <c r="Q1272" s="405"/>
      <c r="R1272" s="405"/>
      <c r="S1272" s="405"/>
      <c r="T1272" s="405"/>
      <c r="U1272" s="405"/>
      <c r="V1272" s="405"/>
      <c r="W1272" s="405"/>
      <c r="X1272" s="405"/>
      <c r="Y1272" s="405"/>
      <c r="Z1272" s="405"/>
    </row>
    <row r="1273" ht="14.25" customHeight="1">
      <c r="A1273" s="656"/>
      <c r="B1273" s="405"/>
      <c r="C1273" s="405"/>
      <c r="D1273" s="405"/>
      <c r="E1273" s="405"/>
      <c r="F1273" s="657"/>
      <c r="G1273" s="583"/>
      <c r="H1273" s="405"/>
      <c r="I1273" s="405"/>
      <c r="J1273" s="405"/>
      <c r="K1273" s="405"/>
      <c r="L1273" s="405"/>
      <c r="M1273" s="405"/>
      <c r="N1273" s="405"/>
      <c r="O1273" s="405"/>
      <c r="P1273" s="405"/>
      <c r="Q1273" s="405"/>
      <c r="R1273" s="405"/>
      <c r="S1273" s="405"/>
      <c r="T1273" s="405"/>
      <c r="U1273" s="405"/>
      <c r="V1273" s="405"/>
      <c r="W1273" s="405"/>
      <c r="X1273" s="405"/>
      <c r="Y1273" s="405"/>
      <c r="Z1273" s="405"/>
    </row>
    <row r="1274" ht="14.25" customHeight="1">
      <c r="A1274" s="656"/>
      <c r="B1274" s="405"/>
      <c r="C1274" s="405"/>
      <c r="D1274" s="405"/>
      <c r="E1274" s="405"/>
      <c r="F1274" s="657"/>
      <c r="G1274" s="583"/>
      <c r="H1274" s="405"/>
      <c r="I1274" s="405"/>
      <c r="J1274" s="405"/>
      <c r="K1274" s="405"/>
      <c r="L1274" s="405"/>
      <c r="M1274" s="405"/>
      <c r="N1274" s="405"/>
      <c r="O1274" s="405"/>
      <c r="P1274" s="405"/>
      <c r="Q1274" s="405"/>
      <c r="R1274" s="405"/>
      <c r="S1274" s="405"/>
      <c r="T1274" s="405"/>
      <c r="U1274" s="405"/>
      <c r="V1274" s="405"/>
      <c r="W1274" s="405"/>
      <c r="X1274" s="405"/>
      <c r="Y1274" s="405"/>
      <c r="Z1274" s="405"/>
    </row>
    <row r="1275" ht="14.25" customHeight="1">
      <c r="A1275" s="656"/>
      <c r="B1275" s="405"/>
      <c r="C1275" s="405"/>
      <c r="D1275" s="405"/>
      <c r="E1275" s="405"/>
      <c r="F1275" s="657"/>
      <c r="G1275" s="583"/>
      <c r="H1275" s="405"/>
      <c r="I1275" s="405"/>
      <c r="J1275" s="405"/>
      <c r="K1275" s="405"/>
      <c r="L1275" s="405"/>
      <c r="M1275" s="405"/>
      <c r="N1275" s="405"/>
      <c r="O1275" s="405"/>
      <c r="P1275" s="405"/>
      <c r="Q1275" s="405"/>
      <c r="R1275" s="405"/>
      <c r="S1275" s="405"/>
      <c r="T1275" s="405"/>
      <c r="U1275" s="405"/>
      <c r="V1275" s="405"/>
      <c r="W1275" s="405"/>
      <c r="X1275" s="405"/>
      <c r="Y1275" s="405"/>
      <c r="Z1275" s="405"/>
    </row>
    <row r="1276" ht="14.25" customHeight="1">
      <c r="A1276" s="656"/>
      <c r="B1276" s="405"/>
      <c r="C1276" s="405"/>
      <c r="D1276" s="405"/>
      <c r="E1276" s="405"/>
      <c r="F1276" s="657"/>
      <c r="G1276" s="583"/>
      <c r="H1276" s="405"/>
      <c r="I1276" s="405"/>
      <c r="J1276" s="405"/>
      <c r="K1276" s="405"/>
      <c r="L1276" s="405"/>
      <c r="M1276" s="405"/>
      <c r="N1276" s="405"/>
      <c r="O1276" s="405"/>
      <c r="P1276" s="405"/>
      <c r="Q1276" s="405"/>
      <c r="R1276" s="405"/>
      <c r="S1276" s="405"/>
      <c r="T1276" s="405"/>
      <c r="U1276" s="405"/>
      <c r="V1276" s="405"/>
      <c r="W1276" s="405"/>
      <c r="X1276" s="405"/>
      <c r="Y1276" s="405"/>
      <c r="Z1276" s="405"/>
    </row>
    <row r="1277" ht="14.25" customHeight="1">
      <c r="A1277" s="656"/>
      <c r="B1277" s="405"/>
      <c r="C1277" s="405"/>
      <c r="D1277" s="405"/>
      <c r="E1277" s="405"/>
      <c r="F1277" s="657"/>
      <c r="G1277" s="583"/>
      <c r="H1277" s="405"/>
      <c r="I1277" s="405"/>
      <c r="J1277" s="405"/>
      <c r="K1277" s="405"/>
      <c r="L1277" s="405"/>
      <c r="M1277" s="405"/>
      <c r="N1277" s="405"/>
      <c r="O1277" s="405"/>
      <c r="P1277" s="405"/>
      <c r="Q1277" s="405"/>
      <c r="R1277" s="405"/>
      <c r="S1277" s="405"/>
      <c r="T1277" s="405"/>
      <c r="U1277" s="405"/>
      <c r="V1277" s="405"/>
      <c r="W1277" s="405"/>
      <c r="X1277" s="405"/>
      <c r="Y1277" s="405"/>
      <c r="Z1277" s="405"/>
    </row>
    <row r="1278" ht="14.25" customHeight="1">
      <c r="A1278" s="656"/>
      <c r="B1278" s="405"/>
      <c r="C1278" s="405"/>
      <c r="D1278" s="405"/>
      <c r="E1278" s="405"/>
      <c r="F1278" s="657"/>
      <c r="G1278" s="583"/>
      <c r="H1278" s="405"/>
      <c r="I1278" s="405"/>
      <c r="J1278" s="405"/>
      <c r="K1278" s="405"/>
      <c r="L1278" s="405"/>
      <c r="M1278" s="405"/>
      <c r="N1278" s="405"/>
      <c r="O1278" s="405"/>
      <c r="P1278" s="405"/>
      <c r="Q1278" s="405"/>
      <c r="R1278" s="405"/>
      <c r="S1278" s="405"/>
      <c r="T1278" s="405"/>
      <c r="U1278" s="405"/>
      <c r="V1278" s="405"/>
      <c r="W1278" s="405"/>
      <c r="X1278" s="405"/>
      <c r="Y1278" s="405"/>
      <c r="Z1278" s="405"/>
    </row>
    <row r="1279" ht="14.25" customHeight="1">
      <c r="A1279" s="656"/>
      <c r="B1279" s="405"/>
      <c r="C1279" s="405"/>
      <c r="D1279" s="405"/>
      <c r="E1279" s="405"/>
      <c r="F1279" s="657"/>
      <c r="G1279" s="583"/>
      <c r="H1279" s="405"/>
      <c r="I1279" s="405"/>
      <c r="J1279" s="405"/>
      <c r="K1279" s="405"/>
      <c r="L1279" s="405"/>
      <c r="M1279" s="405"/>
      <c r="N1279" s="405"/>
      <c r="O1279" s="405"/>
      <c r="P1279" s="405"/>
      <c r="Q1279" s="405"/>
      <c r="R1279" s="405"/>
      <c r="S1279" s="405"/>
      <c r="T1279" s="405"/>
      <c r="U1279" s="405"/>
      <c r="V1279" s="405"/>
      <c r="W1279" s="405"/>
      <c r="X1279" s="405"/>
      <c r="Y1279" s="405"/>
      <c r="Z1279" s="405"/>
    </row>
    <row r="1280" ht="14.25" customHeight="1">
      <c r="A1280" s="656"/>
      <c r="B1280" s="405"/>
      <c r="C1280" s="405"/>
      <c r="D1280" s="405"/>
      <c r="E1280" s="405"/>
      <c r="F1280" s="657"/>
      <c r="G1280" s="583"/>
      <c r="H1280" s="405"/>
      <c r="I1280" s="405"/>
      <c r="J1280" s="405"/>
      <c r="K1280" s="405"/>
      <c r="L1280" s="405"/>
      <c r="M1280" s="405"/>
      <c r="N1280" s="405"/>
      <c r="O1280" s="405"/>
      <c r="P1280" s="405"/>
      <c r="Q1280" s="405"/>
      <c r="R1280" s="405"/>
      <c r="S1280" s="405"/>
      <c r="T1280" s="405"/>
      <c r="U1280" s="405"/>
      <c r="V1280" s="405"/>
      <c r="W1280" s="405"/>
      <c r="X1280" s="405"/>
      <c r="Y1280" s="405"/>
      <c r="Z1280" s="405"/>
    </row>
    <row r="1281" ht="14.25" customHeight="1">
      <c r="A1281" s="656"/>
      <c r="B1281" s="405"/>
      <c r="C1281" s="405"/>
      <c r="D1281" s="405"/>
      <c r="E1281" s="405"/>
      <c r="F1281" s="657"/>
      <c r="G1281" s="583"/>
      <c r="H1281" s="405"/>
      <c r="I1281" s="405"/>
      <c r="J1281" s="405"/>
      <c r="K1281" s="405"/>
      <c r="L1281" s="405"/>
      <c r="M1281" s="405"/>
      <c r="N1281" s="405"/>
      <c r="O1281" s="405"/>
      <c r="P1281" s="405"/>
      <c r="Q1281" s="405"/>
      <c r="R1281" s="405"/>
      <c r="S1281" s="405"/>
      <c r="T1281" s="405"/>
      <c r="U1281" s="405"/>
      <c r="V1281" s="405"/>
      <c r="W1281" s="405"/>
      <c r="X1281" s="405"/>
      <c r="Y1281" s="405"/>
      <c r="Z1281" s="405"/>
    </row>
    <row r="1282" ht="14.25" customHeight="1">
      <c r="A1282" s="656"/>
      <c r="B1282" s="405"/>
      <c r="C1282" s="405"/>
      <c r="D1282" s="405"/>
      <c r="E1282" s="405"/>
      <c r="F1282" s="657"/>
      <c r="G1282" s="583"/>
      <c r="H1282" s="405"/>
      <c r="I1282" s="405"/>
      <c r="J1282" s="405"/>
      <c r="K1282" s="405"/>
      <c r="L1282" s="405"/>
      <c r="M1282" s="405"/>
      <c r="N1282" s="405"/>
      <c r="O1282" s="405"/>
      <c r="P1282" s="405"/>
      <c r="Q1282" s="405"/>
      <c r="R1282" s="405"/>
      <c r="S1282" s="405"/>
      <c r="T1282" s="405"/>
      <c r="U1282" s="405"/>
      <c r="V1282" s="405"/>
      <c r="W1282" s="405"/>
      <c r="X1282" s="405"/>
      <c r="Y1282" s="405"/>
      <c r="Z1282" s="405"/>
    </row>
    <row r="1283" ht="14.25" customHeight="1">
      <c r="A1283" s="656"/>
      <c r="B1283" s="405"/>
      <c r="C1283" s="405"/>
      <c r="D1283" s="405"/>
      <c r="E1283" s="405"/>
      <c r="F1283" s="657"/>
      <c r="G1283" s="583"/>
      <c r="H1283" s="405"/>
      <c r="I1283" s="405"/>
      <c r="J1283" s="405"/>
      <c r="K1283" s="405"/>
      <c r="L1283" s="405"/>
      <c r="M1283" s="405"/>
      <c r="N1283" s="405"/>
      <c r="O1283" s="405"/>
      <c r="P1283" s="405"/>
      <c r="Q1283" s="405"/>
      <c r="R1283" s="405"/>
      <c r="S1283" s="405"/>
      <c r="T1283" s="405"/>
      <c r="U1283" s="405"/>
      <c r="V1283" s="405"/>
      <c r="W1283" s="405"/>
      <c r="X1283" s="405"/>
      <c r="Y1283" s="405"/>
      <c r="Z1283" s="405"/>
    </row>
    <row r="1284" ht="14.25" customHeight="1">
      <c r="A1284" s="656"/>
      <c r="B1284" s="405"/>
      <c r="C1284" s="405"/>
      <c r="D1284" s="405"/>
      <c r="E1284" s="405"/>
      <c r="F1284" s="657"/>
      <c r="G1284" s="583"/>
      <c r="H1284" s="405"/>
      <c r="I1284" s="405"/>
      <c r="J1284" s="405"/>
      <c r="K1284" s="405"/>
      <c r="L1284" s="405"/>
      <c r="M1284" s="405"/>
      <c r="N1284" s="405"/>
      <c r="O1284" s="405"/>
      <c r="P1284" s="405"/>
      <c r="Q1284" s="405"/>
      <c r="R1284" s="405"/>
      <c r="S1284" s="405"/>
      <c r="T1284" s="405"/>
      <c r="U1284" s="405"/>
      <c r="V1284" s="405"/>
      <c r="W1284" s="405"/>
      <c r="X1284" s="405"/>
      <c r="Y1284" s="405"/>
      <c r="Z1284" s="405"/>
    </row>
    <row r="1285" ht="14.25" customHeight="1">
      <c r="A1285" s="656"/>
      <c r="B1285" s="405"/>
      <c r="C1285" s="405"/>
      <c r="D1285" s="405"/>
      <c r="E1285" s="405"/>
      <c r="F1285" s="657"/>
      <c r="G1285" s="583"/>
      <c r="H1285" s="405"/>
      <c r="I1285" s="405"/>
      <c r="J1285" s="405"/>
      <c r="K1285" s="405"/>
      <c r="L1285" s="405"/>
      <c r="M1285" s="405"/>
      <c r="N1285" s="405"/>
      <c r="O1285" s="405"/>
      <c r="P1285" s="405"/>
      <c r="Q1285" s="405"/>
      <c r="R1285" s="405"/>
      <c r="S1285" s="405"/>
      <c r="T1285" s="405"/>
      <c r="U1285" s="405"/>
      <c r="V1285" s="405"/>
      <c r="W1285" s="405"/>
      <c r="X1285" s="405"/>
      <c r="Y1285" s="405"/>
      <c r="Z1285" s="405"/>
    </row>
    <row r="1286" ht="14.25" customHeight="1">
      <c r="A1286" s="656"/>
      <c r="B1286" s="405"/>
      <c r="C1286" s="405"/>
      <c r="D1286" s="405"/>
      <c r="E1286" s="405"/>
      <c r="F1286" s="657"/>
      <c r="G1286" s="583"/>
      <c r="H1286" s="405"/>
      <c r="I1286" s="405"/>
      <c r="J1286" s="405"/>
      <c r="K1286" s="405"/>
      <c r="L1286" s="405"/>
      <c r="M1286" s="405"/>
      <c r="N1286" s="405"/>
      <c r="O1286" s="405"/>
      <c r="P1286" s="405"/>
      <c r="Q1286" s="405"/>
      <c r="R1286" s="405"/>
      <c r="S1286" s="405"/>
      <c r="T1286" s="405"/>
      <c r="U1286" s="405"/>
      <c r="V1286" s="405"/>
      <c r="W1286" s="405"/>
      <c r="X1286" s="405"/>
      <c r="Y1286" s="405"/>
      <c r="Z1286" s="405"/>
    </row>
    <row r="1287" ht="14.25" customHeight="1">
      <c r="A1287" s="656"/>
      <c r="B1287" s="405"/>
      <c r="C1287" s="405"/>
      <c r="D1287" s="405"/>
      <c r="E1287" s="405"/>
      <c r="F1287" s="657"/>
      <c r="G1287" s="583"/>
      <c r="H1287" s="405"/>
      <c r="I1287" s="405"/>
      <c r="J1287" s="405"/>
      <c r="K1287" s="405"/>
      <c r="L1287" s="405"/>
      <c r="M1287" s="405"/>
      <c r="N1287" s="405"/>
      <c r="O1287" s="405"/>
      <c r="P1287" s="405"/>
      <c r="Q1287" s="405"/>
      <c r="R1287" s="405"/>
      <c r="S1287" s="405"/>
      <c r="T1287" s="405"/>
      <c r="U1287" s="405"/>
      <c r="V1287" s="405"/>
      <c r="W1287" s="405"/>
      <c r="X1287" s="405"/>
      <c r="Y1287" s="405"/>
      <c r="Z1287" s="405"/>
    </row>
    <row r="1288" ht="14.25" customHeight="1">
      <c r="A1288" s="656"/>
      <c r="B1288" s="405"/>
      <c r="C1288" s="405"/>
      <c r="D1288" s="405"/>
      <c r="E1288" s="405"/>
      <c r="F1288" s="657"/>
      <c r="G1288" s="583"/>
      <c r="H1288" s="405"/>
      <c r="I1288" s="405"/>
      <c r="J1288" s="405"/>
      <c r="K1288" s="405"/>
      <c r="L1288" s="405"/>
      <c r="M1288" s="405"/>
      <c r="N1288" s="405"/>
      <c r="O1288" s="405"/>
      <c r="P1288" s="405"/>
      <c r="Q1288" s="405"/>
      <c r="R1288" s="405"/>
      <c r="S1288" s="405"/>
      <c r="T1288" s="405"/>
      <c r="U1288" s="405"/>
      <c r="V1288" s="405"/>
      <c r="W1288" s="405"/>
      <c r="X1288" s="405"/>
      <c r="Y1288" s="405"/>
      <c r="Z1288" s="405"/>
    </row>
    <row r="1289" ht="14.25" customHeight="1">
      <c r="A1289" s="656"/>
      <c r="B1289" s="405"/>
      <c r="C1289" s="405"/>
      <c r="D1289" s="405"/>
      <c r="E1289" s="405"/>
      <c r="F1289" s="657"/>
      <c r="G1289" s="583"/>
      <c r="H1289" s="405"/>
      <c r="I1289" s="405"/>
      <c r="J1289" s="405"/>
      <c r="K1289" s="405"/>
      <c r="L1289" s="405"/>
      <c r="M1289" s="405"/>
      <c r="N1289" s="405"/>
      <c r="O1289" s="405"/>
      <c r="P1289" s="405"/>
      <c r="Q1289" s="405"/>
      <c r="R1289" s="405"/>
      <c r="S1289" s="405"/>
      <c r="T1289" s="405"/>
      <c r="U1289" s="405"/>
      <c r="V1289" s="405"/>
      <c r="W1289" s="405"/>
      <c r="X1289" s="405"/>
      <c r="Y1289" s="405"/>
      <c r="Z1289" s="405"/>
    </row>
    <row r="1290" ht="14.25" customHeight="1">
      <c r="A1290" s="656"/>
      <c r="B1290" s="405"/>
      <c r="C1290" s="405"/>
      <c r="D1290" s="405"/>
      <c r="E1290" s="405"/>
      <c r="F1290" s="657"/>
      <c r="G1290" s="583"/>
      <c r="H1290" s="405"/>
      <c r="I1290" s="405"/>
      <c r="J1290" s="405"/>
      <c r="K1290" s="405"/>
      <c r="L1290" s="405"/>
      <c r="M1290" s="405"/>
      <c r="N1290" s="405"/>
      <c r="O1290" s="405"/>
      <c r="P1290" s="405"/>
      <c r="Q1290" s="405"/>
      <c r="R1290" s="405"/>
      <c r="S1290" s="405"/>
      <c r="T1290" s="405"/>
      <c r="U1290" s="405"/>
      <c r="V1290" s="405"/>
      <c r="W1290" s="405"/>
      <c r="X1290" s="405"/>
      <c r="Y1290" s="405"/>
      <c r="Z1290" s="405"/>
    </row>
    <row r="1291" ht="14.25" customHeight="1">
      <c r="A1291" s="656"/>
      <c r="B1291" s="405"/>
      <c r="C1291" s="405"/>
      <c r="D1291" s="405"/>
      <c r="E1291" s="405"/>
      <c r="F1291" s="657"/>
      <c r="G1291" s="583"/>
      <c r="H1291" s="405"/>
      <c r="I1291" s="405"/>
      <c r="J1291" s="405"/>
      <c r="K1291" s="405"/>
      <c r="L1291" s="405"/>
      <c r="M1291" s="405"/>
      <c r="N1291" s="405"/>
      <c r="O1291" s="405"/>
      <c r="P1291" s="405"/>
      <c r="Q1291" s="405"/>
      <c r="R1291" s="405"/>
      <c r="S1291" s="405"/>
      <c r="T1291" s="405"/>
      <c r="U1291" s="405"/>
      <c r="V1291" s="405"/>
      <c r="W1291" s="405"/>
      <c r="X1291" s="405"/>
      <c r="Y1291" s="405"/>
      <c r="Z1291" s="405"/>
    </row>
    <row r="1292" ht="14.25" customHeight="1">
      <c r="A1292" s="656"/>
      <c r="B1292" s="405"/>
      <c r="C1292" s="405"/>
      <c r="D1292" s="405"/>
      <c r="E1292" s="405"/>
      <c r="F1292" s="657"/>
      <c r="G1292" s="583"/>
      <c r="H1292" s="405"/>
      <c r="I1292" s="405"/>
      <c r="J1292" s="405"/>
      <c r="K1292" s="405"/>
      <c r="L1292" s="405"/>
      <c r="M1292" s="405"/>
      <c r="N1292" s="405"/>
      <c r="O1292" s="405"/>
      <c r="P1292" s="405"/>
      <c r="Q1292" s="405"/>
      <c r="R1292" s="405"/>
      <c r="S1292" s="405"/>
      <c r="T1292" s="405"/>
      <c r="U1292" s="405"/>
      <c r="V1292" s="405"/>
      <c r="W1292" s="405"/>
      <c r="X1292" s="405"/>
      <c r="Y1292" s="405"/>
      <c r="Z1292" s="405"/>
    </row>
    <row r="1293" ht="14.25" customHeight="1">
      <c r="A1293" s="656"/>
      <c r="B1293" s="405"/>
      <c r="C1293" s="405"/>
      <c r="D1293" s="405"/>
      <c r="E1293" s="405"/>
      <c r="F1293" s="657"/>
      <c r="G1293" s="583"/>
      <c r="H1293" s="405"/>
      <c r="I1293" s="405"/>
      <c r="J1293" s="405"/>
      <c r="K1293" s="405"/>
      <c r="L1293" s="405"/>
      <c r="M1293" s="405"/>
      <c r="N1293" s="405"/>
      <c r="O1293" s="405"/>
      <c r="P1293" s="405"/>
      <c r="Q1293" s="405"/>
      <c r="R1293" s="405"/>
      <c r="S1293" s="405"/>
      <c r="T1293" s="405"/>
      <c r="U1293" s="405"/>
      <c r="V1293" s="405"/>
      <c r="W1293" s="405"/>
      <c r="X1293" s="405"/>
      <c r="Y1293" s="405"/>
      <c r="Z1293" s="405"/>
    </row>
    <row r="1294" ht="14.25" customHeight="1">
      <c r="A1294" s="656"/>
      <c r="B1294" s="405"/>
      <c r="C1294" s="405"/>
      <c r="D1294" s="405"/>
      <c r="E1294" s="405"/>
      <c r="F1294" s="657"/>
      <c r="G1294" s="583"/>
      <c r="H1294" s="405"/>
      <c r="I1294" s="405"/>
      <c r="J1294" s="405"/>
      <c r="K1294" s="405"/>
      <c r="L1294" s="405"/>
      <c r="M1294" s="405"/>
      <c r="N1294" s="405"/>
      <c r="O1294" s="405"/>
      <c r="P1294" s="405"/>
      <c r="Q1294" s="405"/>
      <c r="R1294" s="405"/>
      <c r="S1294" s="405"/>
      <c r="T1294" s="405"/>
      <c r="U1294" s="405"/>
      <c r="V1294" s="405"/>
      <c r="W1294" s="405"/>
      <c r="X1294" s="405"/>
      <c r="Y1294" s="405"/>
      <c r="Z1294" s="405"/>
    </row>
    <row r="1295" ht="14.25" customHeight="1">
      <c r="A1295" s="656"/>
      <c r="B1295" s="405"/>
      <c r="C1295" s="405"/>
      <c r="D1295" s="405"/>
      <c r="E1295" s="405"/>
      <c r="F1295" s="657"/>
      <c r="G1295" s="583"/>
      <c r="H1295" s="405"/>
      <c r="I1295" s="405"/>
      <c r="J1295" s="405"/>
      <c r="K1295" s="405"/>
      <c r="L1295" s="405"/>
      <c r="M1295" s="405"/>
      <c r="N1295" s="405"/>
      <c r="O1295" s="405"/>
      <c r="P1295" s="405"/>
      <c r="Q1295" s="405"/>
      <c r="R1295" s="405"/>
      <c r="S1295" s="405"/>
      <c r="T1295" s="405"/>
      <c r="U1295" s="405"/>
      <c r="V1295" s="405"/>
      <c r="W1295" s="405"/>
      <c r="X1295" s="405"/>
      <c r="Y1295" s="405"/>
      <c r="Z1295" s="405"/>
    </row>
    <row r="1296" ht="14.25" customHeight="1">
      <c r="A1296" s="656"/>
      <c r="B1296" s="405"/>
      <c r="C1296" s="405"/>
      <c r="D1296" s="405"/>
      <c r="E1296" s="405"/>
      <c r="F1296" s="657"/>
      <c r="G1296" s="583"/>
      <c r="H1296" s="405"/>
      <c r="I1296" s="405"/>
      <c r="J1296" s="405"/>
      <c r="K1296" s="405"/>
      <c r="L1296" s="405"/>
      <c r="M1296" s="405"/>
      <c r="N1296" s="405"/>
      <c r="O1296" s="405"/>
      <c r="P1296" s="405"/>
      <c r="Q1296" s="405"/>
      <c r="R1296" s="405"/>
      <c r="S1296" s="405"/>
      <c r="T1296" s="405"/>
      <c r="U1296" s="405"/>
      <c r="V1296" s="405"/>
      <c r="W1296" s="405"/>
      <c r="X1296" s="405"/>
      <c r="Y1296" s="405"/>
      <c r="Z1296" s="405"/>
    </row>
    <row r="1297" ht="14.25" customHeight="1">
      <c r="A1297" s="656"/>
      <c r="B1297" s="405"/>
      <c r="C1297" s="405"/>
      <c r="D1297" s="405"/>
      <c r="E1297" s="405"/>
      <c r="F1297" s="657"/>
      <c r="G1297" s="583"/>
      <c r="H1297" s="405"/>
      <c r="I1297" s="405"/>
      <c r="J1297" s="405"/>
      <c r="K1297" s="405"/>
      <c r="L1297" s="405"/>
      <c r="M1297" s="405"/>
      <c r="N1297" s="405"/>
      <c r="O1297" s="405"/>
      <c r="P1297" s="405"/>
      <c r="Q1297" s="405"/>
      <c r="R1297" s="405"/>
      <c r="S1297" s="405"/>
      <c r="T1297" s="405"/>
      <c r="U1297" s="405"/>
      <c r="V1297" s="405"/>
      <c r="W1297" s="405"/>
      <c r="X1297" s="405"/>
      <c r="Y1297" s="405"/>
      <c r="Z1297" s="405"/>
    </row>
    <row r="1298" ht="14.25" customHeight="1">
      <c r="A1298" s="656"/>
      <c r="B1298" s="405"/>
      <c r="C1298" s="405"/>
      <c r="D1298" s="405"/>
      <c r="E1298" s="405"/>
      <c r="F1298" s="657"/>
      <c r="G1298" s="583"/>
      <c r="H1298" s="405"/>
      <c r="I1298" s="405"/>
      <c r="J1298" s="405"/>
      <c r="K1298" s="405"/>
      <c r="L1298" s="405"/>
      <c r="M1298" s="405"/>
      <c r="N1298" s="405"/>
      <c r="O1298" s="405"/>
      <c r="P1298" s="405"/>
      <c r="Q1298" s="405"/>
      <c r="R1298" s="405"/>
      <c r="S1298" s="405"/>
      <c r="T1298" s="405"/>
      <c r="U1298" s="405"/>
      <c r="V1298" s="405"/>
      <c r="W1298" s="405"/>
      <c r="X1298" s="405"/>
      <c r="Y1298" s="405"/>
      <c r="Z1298" s="405"/>
    </row>
    <row r="1299" ht="14.25" customHeight="1">
      <c r="A1299" s="656"/>
      <c r="B1299" s="405"/>
      <c r="C1299" s="405"/>
      <c r="D1299" s="405"/>
      <c r="E1299" s="405"/>
      <c r="F1299" s="657"/>
      <c r="G1299" s="583"/>
      <c r="H1299" s="405"/>
      <c r="I1299" s="405"/>
      <c r="J1299" s="405"/>
      <c r="K1299" s="405"/>
      <c r="L1299" s="405"/>
      <c r="M1299" s="405"/>
      <c r="N1299" s="405"/>
      <c r="O1299" s="405"/>
      <c r="P1299" s="405"/>
      <c r="Q1299" s="405"/>
      <c r="R1299" s="405"/>
      <c r="S1299" s="405"/>
      <c r="T1299" s="405"/>
      <c r="U1299" s="405"/>
      <c r="V1299" s="405"/>
      <c r="W1299" s="405"/>
      <c r="X1299" s="405"/>
      <c r="Y1299" s="405"/>
      <c r="Z1299" s="405"/>
    </row>
    <row r="1300" ht="14.25" customHeight="1">
      <c r="A1300" s="656"/>
      <c r="B1300" s="405"/>
      <c r="C1300" s="405"/>
      <c r="D1300" s="405"/>
      <c r="E1300" s="405"/>
      <c r="F1300" s="657"/>
      <c r="G1300" s="583"/>
      <c r="H1300" s="405"/>
      <c r="I1300" s="405"/>
      <c r="J1300" s="405"/>
      <c r="K1300" s="405"/>
      <c r="L1300" s="405"/>
      <c r="M1300" s="405"/>
      <c r="N1300" s="405"/>
      <c r="O1300" s="405"/>
      <c r="P1300" s="405"/>
      <c r="Q1300" s="405"/>
      <c r="R1300" s="405"/>
      <c r="S1300" s="405"/>
      <c r="T1300" s="405"/>
      <c r="U1300" s="405"/>
      <c r="V1300" s="405"/>
      <c r="W1300" s="405"/>
      <c r="X1300" s="405"/>
      <c r="Y1300" s="405"/>
      <c r="Z1300" s="405"/>
    </row>
    <row r="1301" ht="14.25" customHeight="1">
      <c r="A1301" s="656"/>
      <c r="B1301" s="405"/>
      <c r="C1301" s="405"/>
      <c r="D1301" s="405"/>
      <c r="E1301" s="405"/>
      <c r="F1301" s="657"/>
      <c r="G1301" s="583"/>
      <c r="H1301" s="405"/>
      <c r="I1301" s="405"/>
      <c r="J1301" s="405"/>
      <c r="K1301" s="405"/>
      <c r="L1301" s="405"/>
      <c r="M1301" s="405"/>
      <c r="N1301" s="405"/>
      <c r="O1301" s="405"/>
      <c r="P1301" s="405"/>
      <c r="Q1301" s="405"/>
      <c r="R1301" s="405"/>
      <c r="S1301" s="405"/>
      <c r="T1301" s="405"/>
      <c r="U1301" s="405"/>
      <c r="V1301" s="405"/>
      <c r="W1301" s="405"/>
      <c r="X1301" s="405"/>
      <c r="Y1301" s="405"/>
      <c r="Z1301" s="405"/>
    </row>
    <row r="1302" ht="14.25" customHeight="1">
      <c r="A1302" s="656"/>
      <c r="B1302" s="405"/>
      <c r="C1302" s="405"/>
      <c r="D1302" s="405"/>
      <c r="E1302" s="405"/>
      <c r="F1302" s="657"/>
      <c r="G1302" s="583"/>
      <c r="H1302" s="405"/>
      <c r="I1302" s="405"/>
      <c r="J1302" s="405"/>
      <c r="K1302" s="405"/>
      <c r="L1302" s="405"/>
      <c r="M1302" s="405"/>
      <c r="N1302" s="405"/>
      <c r="O1302" s="405"/>
      <c r="P1302" s="405"/>
      <c r="Q1302" s="405"/>
      <c r="R1302" s="405"/>
      <c r="S1302" s="405"/>
      <c r="T1302" s="405"/>
      <c r="U1302" s="405"/>
      <c r="V1302" s="405"/>
      <c r="W1302" s="405"/>
      <c r="X1302" s="405"/>
      <c r="Y1302" s="405"/>
      <c r="Z1302" s="405"/>
    </row>
    <row r="1303" ht="14.25" customHeight="1">
      <c r="A1303" s="656"/>
      <c r="B1303" s="405"/>
      <c r="C1303" s="405"/>
      <c r="D1303" s="405"/>
      <c r="E1303" s="405"/>
      <c r="F1303" s="657"/>
      <c r="G1303" s="583"/>
      <c r="H1303" s="405"/>
      <c r="I1303" s="405"/>
      <c r="J1303" s="405"/>
      <c r="K1303" s="405"/>
      <c r="L1303" s="405"/>
      <c r="M1303" s="405"/>
      <c r="N1303" s="405"/>
      <c r="O1303" s="405"/>
      <c r="P1303" s="405"/>
      <c r="Q1303" s="405"/>
      <c r="R1303" s="405"/>
      <c r="S1303" s="405"/>
      <c r="T1303" s="405"/>
      <c r="U1303" s="405"/>
      <c r="V1303" s="405"/>
      <c r="W1303" s="405"/>
      <c r="X1303" s="405"/>
      <c r="Y1303" s="405"/>
      <c r="Z1303" s="405"/>
    </row>
    <row r="1304" ht="14.25" customHeight="1">
      <c r="A1304" s="656"/>
      <c r="B1304" s="405"/>
      <c r="C1304" s="405"/>
      <c r="D1304" s="405"/>
      <c r="E1304" s="405"/>
      <c r="F1304" s="657"/>
      <c r="G1304" s="583"/>
      <c r="H1304" s="405"/>
      <c r="I1304" s="405"/>
      <c r="J1304" s="405"/>
      <c r="K1304" s="405"/>
      <c r="L1304" s="405"/>
      <c r="M1304" s="405"/>
      <c r="N1304" s="405"/>
      <c r="O1304" s="405"/>
      <c r="P1304" s="405"/>
      <c r="Q1304" s="405"/>
      <c r="R1304" s="405"/>
      <c r="S1304" s="405"/>
      <c r="T1304" s="405"/>
      <c r="U1304" s="405"/>
      <c r="V1304" s="405"/>
      <c r="W1304" s="405"/>
      <c r="X1304" s="405"/>
      <c r="Y1304" s="405"/>
      <c r="Z1304" s="405"/>
    </row>
    <row r="1305" ht="14.25" customHeight="1">
      <c r="A1305" s="656"/>
      <c r="B1305" s="405"/>
      <c r="C1305" s="405"/>
      <c r="D1305" s="405"/>
      <c r="E1305" s="405"/>
      <c r="F1305" s="657"/>
      <c r="G1305" s="583"/>
      <c r="H1305" s="405"/>
      <c r="I1305" s="405"/>
      <c r="J1305" s="405"/>
      <c r="K1305" s="405"/>
      <c r="L1305" s="405"/>
      <c r="M1305" s="405"/>
      <c r="N1305" s="405"/>
      <c r="O1305" s="405"/>
      <c r="P1305" s="405"/>
      <c r="Q1305" s="405"/>
      <c r="R1305" s="405"/>
      <c r="S1305" s="405"/>
      <c r="T1305" s="405"/>
      <c r="U1305" s="405"/>
      <c r="V1305" s="405"/>
      <c r="W1305" s="405"/>
      <c r="X1305" s="405"/>
      <c r="Y1305" s="405"/>
      <c r="Z1305" s="405"/>
    </row>
    <row r="1306" ht="14.25" customHeight="1">
      <c r="A1306" s="656"/>
      <c r="B1306" s="405"/>
      <c r="C1306" s="405"/>
      <c r="D1306" s="405"/>
      <c r="E1306" s="405"/>
      <c r="F1306" s="657"/>
      <c r="G1306" s="583"/>
      <c r="H1306" s="405"/>
      <c r="I1306" s="405"/>
      <c r="J1306" s="405"/>
      <c r="K1306" s="405"/>
      <c r="L1306" s="405"/>
      <c r="M1306" s="405"/>
      <c r="N1306" s="405"/>
      <c r="O1306" s="405"/>
      <c r="P1306" s="405"/>
      <c r="Q1306" s="405"/>
      <c r="R1306" s="405"/>
      <c r="S1306" s="405"/>
      <c r="T1306" s="405"/>
      <c r="U1306" s="405"/>
      <c r="V1306" s="405"/>
      <c r="W1306" s="405"/>
      <c r="X1306" s="405"/>
      <c r="Y1306" s="405"/>
      <c r="Z1306" s="405"/>
    </row>
    <row r="1307" ht="14.25" customHeight="1">
      <c r="A1307" s="656"/>
      <c r="B1307" s="405"/>
      <c r="C1307" s="405"/>
      <c r="D1307" s="405"/>
      <c r="E1307" s="405"/>
      <c r="F1307" s="657"/>
      <c r="G1307" s="583"/>
      <c r="H1307" s="405"/>
      <c r="I1307" s="405"/>
      <c r="J1307" s="405"/>
      <c r="K1307" s="405"/>
      <c r="L1307" s="405"/>
      <c r="M1307" s="405"/>
      <c r="N1307" s="405"/>
      <c r="O1307" s="405"/>
      <c r="P1307" s="405"/>
      <c r="Q1307" s="405"/>
      <c r="R1307" s="405"/>
      <c r="S1307" s="405"/>
      <c r="T1307" s="405"/>
      <c r="U1307" s="405"/>
      <c r="V1307" s="405"/>
      <c r="W1307" s="405"/>
      <c r="X1307" s="405"/>
      <c r="Y1307" s="405"/>
      <c r="Z1307" s="405"/>
    </row>
    <row r="1308" ht="14.25" customHeight="1">
      <c r="A1308" s="656"/>
      <c r="B1308" s="405"/>
      <c r="C1308" s="405"/>
      <c r="D1308" s="405"/>
      <c r="E1308" s="405"/>
      <c r="F1308" s="657"/>
      <c r="G1308" s="583"/>
      <c r="H1308" s="405"/>
      <c r="I1308" s="405"/>
      <c r="J1308" s="405"/>
      <c r="K1308" s="405"/>
      <c r="L1308" s="405"/>
      <c r="M1308" s="405"/>
      <c r="N1308" s="405"/>
      <c r="O1308" s="405"/>
      <c r="P1308" s="405"/>
      <c r="Q1308" s="405"/>
      <c r="R1308" s="405"/>
      <c r="S1308" s="405"/>
      <c r="T1308" s="405"/>
      <c r="U1308" s="405"/>
      <c r="V1308" s="405"/>
      <c r="W1308" s="405"/>
      <c r="X1308" s="405"/>
      <c r="Y1308" s="405"/>
      <c r="Z1308" s="405"/>
    </row>
    <row r="1309" ht="14.25" customHeight="1">
      <c r="A1309" s="656"/>
      <c r="B1309" s="405"/>
      <c r="C1309" s="405"/>
      <c r="D1309" s="405"/>
      <c r="E1309" s="405"/>
      <c r="F1309" s="657"/>
      <c r="G1309" s="583"/>
      <c r="H1309" s="405"/>
      <c r="I1309" s="405"/>
      <c r="J1309" s="405"/>
      <c r="K1309" s="405"/>
      <c r="L1309" s="405"/>
      <c r="M1309" s="405"/>
      <c r="N1309" s="405"/>
      <c r="O1309" s="405"/>
      <c r="P1309" s="405"/>
      <c r="Q1309" s="405"/>
      <c r="R1309" s="405"/>
      <c r="S1309" s="405"/>
      <c r="T1309" s="405"/>
      <c r="U1309" s="405"/>
      <c r="V1309" s="405"/>
      <c r="W1309" s="405"/>
      <c r="X1309" s="405"/>
      <c r="Y1309" s="405"/>
      <c r="Z1309" s="405"/>
    </row>
    <row r="1310" ht="14.25" customHeight="1">
      <c r="A1310" s="656"/>
      <c r="B1310" s="405"/>
      <c r="C1310" s="405"/>
      <c r="D1310" s="405"/>
      <c r="E1310" s="405"/>
      <c r="F1310" s="657"/>
      <c r="G1310" s="583"/>
      <c r="H1310" s="405"/>
      <c r="I1310" s="405"/>
      <c r="J1310" s="405"/>
      <c r="K1310" s="405"/>
      <c r="L1310" s="405"/>
      <c r="M1310" s="405"/>
      <c r="N1310" s="405"/>
      <c r="O1310" s="405"/>
      <c r="P1310" s="405"/>
      <c r="Q1310" s="405"/>
      <c r="R1310" s="405"/>
      <c r="S1310" s="405"/>
      <c r="T1310" s="405"/>
      <c r="U1310" s="405"/>
      <c r="V1310" s="405"/>
      <c r="W1310" s="405"/>
      <c r="X1310" s="405"/>
      <c r="Y1310" s="405"/>
      <c r="Z1310" s="405"/>
    </row>
    <row r="1311" ht="14.25" customHeight="1">
      <c r="A1311" s="656"/>
      <c r="B1311" s="405"/>
      <c r="C1311" s="405"/>
      <c r="D1311" s="405"/>
      <c r="E1311" s="405"/>
      <c r="F1311" s="657"/>
      <c r="G1311" s="583"/>
      <c r="H1311" s="405"/>
      <c r="I1311" s="405"/>
      <c r="J1311" s="405"/>
      <c r="K1311" s="405"/>
      <c r="L1311" s="405"/>
      <c r="M1311" s="405"/>
      <c r="N1311" s="405"/>
      <c r="O1311" s="405"/>
      <c r="P1311" s="405"/>
      <c r="Q1311" s="405"/>
      <c r="R1311" s="405"/>
      <c r="S1311" s="405"/>
      <c r="T1311" s="405"/>
      <c r="U1311" s="405"/>
      <c r="V1311" s="405"/>
      <c r="W1311" s="405"/>
      <c r="X1311" s="405"/>
      <c r="Y1311" s="405"/>
      <c r="Z1311" s="405"/>
    </row>
    <row r="1312" ht="14.25" customHeight="1">
      <c r="A1312" s="656"/>
      <c r="B1312" s="405"/>
      <c r="C1312" s="405"/>
      <c r="D1312" s="405"/>
      <c r="E1312" s="405"/>
      <c r="F1312" s="657"/>
      <c r="G1312" s="583"/>
      <c r="H1312" s="405"/>
      <c r="I1312" s="405"/>
      <c r="J1312" s="405"/>
      <c r="K1312" s="405"/>
      <c r="L1312" s="405"/>
      <c r="M1312" s="405"/>
      <c r="N1312" s="405"/>
      <c r="O1312" s="405"/>
      <c r="P1312" s="405"/>
      <c r="Q1312" s="405"/>
      <c r="R1312" s="405"/>
      <c r="S1312" s="405"/>
      <c r="T1312" s="405"/>
      <c r="U1312" s="405"/>
      <c r="V1312" s="405"/>
      <c r="W1312" s="405"/>
      <c r="X1312" s="405"/>
      <c r="Y1312" s="405"/>
      <c r="Z1312" s="405"/>
    </row>
    <row r="1313" ht="14.25" customHeight="1">
      <c r="A1313" s="656"/>
      <c r="B1313" s="405"/>
      <c r="C1313" s="405"/>
      <c r="D1313" s="405"/>
      <c r="E1313" s="405"/>
      <c r="F1313" s="657"/>
      <c r="G1313" s="583"/>
      <c r="H1313" s="405"/>
      <c r="I1313" s="405"/>
      <c r="J1313" s="405"/>
      <c r="K1313" s="405"/>
      <c r="L1313" s="405"/>
      <c r="M1313" s="405"/>
      <c r="N1313" s="405"/>
      <c r="O1313" s="405"/>
      <c r="P1313" s="405"/>
      <c r="Q1313" s="405"/>
      <c r="R1313" s="405"/>
      <c r="S1313" s="405"/>
      <c r="T1313" s="405"/>
      <c r="U1313" s="405"/>
      <c r="V1313" s="405"/>
      <c r="W1313" s="405"/>
      <c r="X1313" s="405"/>
      <c r="Y1313" s="405"/>
      <c r="Z1313" s="405"/>
    </row>
    <row r="1314" ht="14.25" customHeight="1">
      <c r="A1314" s="656"/>
      <c r="B1314" s="405"/>
      <c r="C1314" s="405"/>
      <c r="D1314" s="405"/>
      <c r="E1314" s="405"/>
      <c r="F1314" s="657"/>
      <c r="G1314" s="583"/>
      <c r="H1314" s="405"/>
      <c r="I1314" s="405"/>
      <c r="J1314" s="405"/>
      <c r="K1314" s="405"/>
      <c r="L1314" s="405"/>
      <c r="M1314" s="405"/>
      <c r="N1314" s="405"/>
      <c r="O1314" s="405"/>
      <c r="P1314" s="405"/>
      <c r="Q1314" s="405"/>
      <c r="R1314" s="405"/>
      <c r="S1314" s="405"/>
      <c r="T1314" s="405"/>
      <c r="U1314" s="405"/>
      <c r="V1314" s="405"/>
      <c r="W1314" s="405"/>
      <c r="X1314" s="405"/>
      <c r="Y1314" s="405"/>
      <c r="Z1314" s="405"/>
    </row>
    <row r="1315" ht="14.25" customHeight="1">
      <c r="A1315" s="656"/>
      <c r="B1315" s="405"/>
      <c r="C1315" s="405"/>
      <c r="D1315" s="405"/>
      <c r="E1315" s="405"/>
      <c r="F1315" s="657"/>
      <c r="G1315" s="583"/>
      <c r="H1315" s="405"/>
      <c r="I1315" s="405"/>
      <c r="J1315" s="405"/>
      <c r="K1315" s="405"/>
      <c r="L1315" s="405"/>
      <c r="M1315" s="405"/>
      <c r="N1315" s="405"/>
      <c r="O1315" s="405"/>
      <c r="P1315" s="405"/>
      <c r="Q1315" s="405"/>
      <c r="R1315" s="405"/>
      <c r="S1315" s="405"/>
      <c r="T1315" s="405"/>
      <c r="U1315" s="405"/>
      <c r="V1315" s="405"/>
      <c r="W1315" s="405"/>
      <c r="X1315" s="405"/>
      <c r="Y1315" s="405"/>
      <c r="Z1315" s="405"/>
    </row>
    <row r="1316" ht="14.25" customHeight="1">
      <c r="A1316" s="656"/>
      <c r="B1316" s="405"/>
      <c r="C1316" s="405"/>
      <c r="D1316" s="405"/>
      <c r="E1316" s="405"/>
      <c r="F1316" s="657"/>
      <c r="G1316" s="583"/>
      <c r="H1316" s="405"/>
      <c r="I1316" s="405"/>
      <c r="J1316" s="405"/>
      <c r="K1316" s="405"/>
      <c r="L1316" s="405"/>
      <c r="M1316" s="405"/>
      <c r="N1316" s="405"/>
      <c r="O1316" s="405"/>
      <c r="P1316" s="405"/>
      <c r="Q1316" s="405"/>
      <c r="R1316" s="405"/>
      <c r="S1316" s="405"/>
      <c r="T1316" s="405"/>
      <c r="U1316" s="405"/>
      <c r="V1316" s="405"/>
      <c r="W1316" s="405"/>
      <c r="X1316" s="405"/>
      <c r="Y1316" s="405"/>
      <c r="Z1316" s="405"/>
    </row>
    <row r="1317" ht="14.25" customHeight="1">
      <c r="A1317" s="656"/>
      <c r="B1317" s="405"/>
      <c r="C1317" s="405"/>
      <c r="D1317" s="405"/>
      <c r="E1317" s="405"/>
      <c r="F1317" s="657"/>
      <c r="G1317" s="583"/>
      <c r="H1317" s="405"/>
      <c r="I1317" s="405"/>
      <c r="J1317" s="405"/>
      <c r="K1317" s="405"/>
      <c r="L1317" s="405"/>
      <c r="M1317" s="405"/>
      <c r="N1317" s="405"/>
      <c r="O1317" s="405"/>
      <c r="P1317" s="405"/>
      <c r="Q1317" s="405"/>
      <c r="R1317" s="405"/>
      <c r="S1317" s="405"/>
      <c r="T1317" s="405"/>
      <c r="U1317" s="405"/>
      <c r="V1317" s="405"/>
      <c r="W1317" s="405"/>
      <c r="X1317" s="405"/>
      <c r="Y1317" s="405"/>
      <c r="Z1317" s="405"/>
    </row>
    <row r="1318" ht="14.25" customHeight="1">
      <c r="A1318" s="656"/>
      <c r="B1318" s="405"/>
      <c r="C1318" s="405"/>
      <c r="D1318" s="405"/>
      <c r="E1318" s="405"/>
      <c r="F1318" s="657"/>
      <c r="G1318" s="583"/>
      <c r="H1318" s="405"/>
      <c r="I1318" s="405"/>
      <c r="J1318" s="405"/>
      <c r="K1318" s="405"/>
      <c r="L1318" s="405"/>
      <c r="M1318" s="405"/>
      <c r="N1318" s="405"/>
      <c r="O1318" s="405"/>
      <c r="P1318" s="405"/>
      <c r="Q1318" s="405"/>
      <c r="R1318" s="405"/>
      <c r="S1318" s="405"/>
      <c r="T1318" s="405"/>
      <c r="U1318" s="405"/>
      <c r="V1318" s="405"/>
      <c r="W1318" s="405"/>
      <c r="X1318" s="405"/>
      <c r="Y1318" s="405"/>
      <c r="Z1318" s="405"/>
    </row>
    <row r="1319" ht="14.25" customHeight="1">
      <c r="A1319" s="656"/>
      <c r="B1319" s="405"/>
      <c r="C1319" s="405"/>
      <c r="D1319" s="405"/>
      <c r="E1319" s="405"/>
      <c r="F1319" s="657"/>
      <c r="G1319" s="583"/>
      <c r="H1319" s="405"/>
      <c r="I1319" s="405"/>
      <c r="J1319" s="405"/>
      <c r="K1319" s="405"/>
      <c r="L1319" s="405"/>
      <c r="M1319" s="405"/>
      <c r="N1319" s="405"/>
      <c r="O1319" s="405"/>
      <c r="P1319" s="405"/>
      <c r="Q1319" s="405"/>
      <c r="R1319" s="405"/>
      <c r="S1319" s="405"/>
      <c r="T1319" s="405"/>
      <c r="U1319" s="405"/>
      <c r="V1319" s="405"/>
      <c r="W1319" s="405"/>
      <c r="X1319" s="405"/>
      <c r="Y1319" s="405"/>
      <c r="Z1319" s="405"/>
    </row>
    <row r="1320" ht="14.25" customHeight="1">
      <c r="A1320" s="656"/>
      <c r="B1320" s="405"/>
      <c r="C1320" s="405"/>
      <c r="D1320" s="405"/>
      <c r="E1320" s="405"/>
      <c r="F1320" s="657"/>
      <c r="G1320" s="583"/>
      <c r="H1320" s="405"/>
      <c r="I1320" s="405"/>
      <c r="J1320" s="405"/>
      <c r="K1320" s="405"/>
      <c r="L1320" s="405"/>
      <c r="M1320" s="405"/>
      <c r="N1320" s="405"/>
      <c r="O1320" s="405"/>
      <c r="P1320" s="405"/>
      <c r="Q1320" s="405"/>
      <c r="R1320" s="405"/>
      <c r="S1320" s="405"/>
      <c r="T1320" s="405"/>
      <c r="U1320" s="405"/>
      <c r="V1320" s="405"/>
      <c r="W1320" s="405"/>
      <c r="X1320" s="405"/>
      <c r="Y1320" s="405"/>
      <c r="Z1320" s="405"/>
    </row>
    <row r="1321" ht="14.25" customHeight="1">
      <c r="A1321" s="656"/>
      <c r="B1321" s="405"/>
      <c r="C1321" s="405"/>
      <c r="D1321" s="405"/>
      <c r="E1321" s="405"/>
      <c r="F1321" s="657"/>
      <c r="G1321" s="583"/>
      <c r="H1321" s="405"/>
      <c r="I1321" s="405"/>
      <c r="J1321" s="405"/>
      <c r="K1321" s="405"/>
      <c r="L1321" s="405"/>
      <c r="M1321" s="405"/>
      <c r="N1321" s="405"/>
      <c r="O1321" s="405"/>
      <c r="P1321" s="405"/>
      <c r="Q1321" s="405"/>
      <c r="R1321" s="405"/>
      <c r="S1321" s="405"/>
      <c r="T1321" s="405"/>
      <c r="U1321" s="405"/>
      <c r="V1321" s="405"/>
      <c r="W1321" s="405"/>
      <c r="X1321" s="405"/>
      <c r="Y1321" s="405"/>
      <c r="Z1321" s="405"/>
    </row>
    <row r="1322" ht="14.25" customHeight="1">
      <c r="A1322" s="656"/>
      <c r="B1322" s="405"/>
      <c r="C1322" s="405"/>
      <c r="D1322" s="405"/>
      <c r="E1322" s="405"/>
      <c r="F1322" s="657"/>
      <c r="G1322" s="583"/>
      <c r="H1322" s="405"/>
      <c r="I1322" s="405"/>
      <c r="J1322" s="405"/>
      <c r="K1322" s="405"/>
      <c r="L1322" s="405"/>
      <c r="M1322" s="405"/>
      <c r="N1322" s="405"/>
      <c r="O1322" s="405"/>
      <c r="P1322" s="405"/>
      <c r="Q1322" s="405"/>
      <c r="R1322" s="405"/>
      <c r="S1322" s="405"/>
      <c r="T1322" s="405"/>
      <c r="U1322" s="405"/>
      <c r="V1322" s="405"/>
      <c r="W1322" s="405"/>
      <c r="X1322" s="405"/>
      <c r="Y1322" s="405"/>
      <c r="Z1322" s="405"/>
    </row>
    <row r="1323" ht="14.25" customHeight="1">
      <c r="A1323" s="656"/>
      <c r="B1323" s="405"/>
      <c r="C1323" s="405"/>
      <c r="D1323" s="405"/>
      <c r="E1323" s="405"/>
      <c r="F1323" s="657"/>
      <c r="G1323" s="583"/>
      <c r="H1323" s="405"/>
      <c r="I1323" s="405"/>
      <c r="J1323" s="405"/>
      <c r="K1323" s="405"/>
      <c r="L1323" s="405"/>
      <c r="M1323" s="405"/>
      <c r="N1323" s="405"/>
      <c r="O1323" s="405"/>
      <c r="P1323" s="405"/>
      <c r="Q1323" s="405"/>
      <c r="R1323" s="405"/>
      <c r="S1323" s="405"/>
      <c r="T1323" s="405"/>
      <c r="U1323" s="405"/>
      <c r="V1323" s="405"/>
      <c r="W1323" s="405"/>
      <c r="X1323" s="405"/>
      <c r="Y1323" s="405"/>
      <c r="Z1323" s="405"/>
    </row>
    <row r="1324" ht="14.25" customHeight="1">
      <c r="A1324" s="656"/>
      <c r="B1324" s="405"/>
      <c r="C1324" s="405"/>
      <c r="D1324" s="405"/>
      <c r="E1324" s="405"/>
      <c r="F1324" s="657"/>
      <c r="G1324" s="583"/>
      <c r="H1324" s="405"/>
      <c r="I1324" s="405"/>
      <c r="J1324" s="405"/>
      <c r="K1324" s="405"/>
      <c r="L1324" s="405"/>
      <c r="M1324" s="405"/>
      <c r="N1324" s="405"/>
      <c r="O1324" s="405"/>
      <c r="P1324" s="405"/>
      <c r="Q1324" s="405"/>
      <c r="R1324" s="405"/>
      <c r="S1324" s="405"/>
      <c r="T1324" s="405"/>
      <c r="U1324" s="405"/>
      <c r="V1324" s="405"/>
      <c r="W1324" s="405"/>
      <c r="X1324" s="405"/>
      <c r="Y1324" s="405"/>
      <c r="Z1324" s="405"/>
    </row>
    <row r="1325" ht="14.25" customHeight="1">
      <c r="A1325" s="656"/>
      <c r="B1325" s="405"/>
      <c r="C1325" s="405"/>
      <c r="D1325" s="405"/>
      <c r="E1325" s="405"/>
      <c r="F1325" s="657"/>
      <c r="G1325" s="583"/>
      <c r="H1325" s="405"/>
      <c r="I1325" s="405"/>
      <c r="J1325" s="405"/>
      <c r="K1325" s="405"/>
      <c r="L1325" s="405"/>
      <c r="M1325" s="405"/>
      <c r="N1325" s="405"/>
      <c r="O1325" s="405"/>
      <c r="P1325" s="405"/>
      <c r="Q1325" s="405"/>
      <c r="R1325" s="405"/>
      <c r="S1325" s="405"/>
      <c r="T1325" s="405"/>
      <c r="U1325" s="405"/>
      <c r="V1325" s="405"/>
      <c r="W1325" s="405"/>
      <c r="X1325" s="405"/>
      <c r="Y1325" s="405"/>
      <c r="Z1325" s="405"/>
    </row>
    <row r="1326" ht="14.25" customHeight="1">
      <c r="A1326" s="656"/>
      <c r="B1326" s="405"/>
      <c r="C1326" s="405"/>
      <c r="D1326" s="405"/>
      <c r="E1326" s="405"/>
      <c r="F1326" s="657"/>
      <c r="G1326" s="583"/>
      <c r="H1326" s="405"/>
      <c r="I1326" s="405"/>
      <c r="J1326" s="405"/>
      <c r="K1326" s="405"/>
      <c r="L1326" s="405"/>
      <c r="M1326" s="405"/>
      <c r="N1326" s="405"/>
      <c r="O1326" s="405"/>
      <c r="P1326" s="405"/>
      <c r="Q1326" s="405"/>
      <c r="R1326" s="405"/>
      <c r="S1326" s="405"/>
      <c r="T1326" s="405"/>
      <c r="U1326" s="405"/>
      <c r="V1326" s="405"/>
      <c r="W1326" s="405"/>
      <c r="X1326" s="405"/>
      <c r="Y1326" s="405"/>
      <c r="Z1326" s="405"/>
    </row>
    <row r="1327" ht="14.25" customHeight="1">
      <c r="A1327" s="656"/>
      <c r="B1327" s="405"/>
      <c r="C1327" s="405"/>
      <c r="D1327" s="405"/>
      <c r="E1327" s="405"/>
      <c r="F1327" s="657"/>
      <c r="G1327" s="583"/>
      <c r="H1327" s="405"/>
      <c r="I1327" s="405"/>
      <c r="J1327" s="405"/>
      <c r="K1327" s="405"/>
      <c r="L1327" s="405"/>
      <c r="M1327" s="405"/>
      <c r="N1327" s="405"/>
      <c r="O1327" s="405"/>
      <c r="P1327" s="405"/>
      <c r="Q1327" s="405"/>
      <c r="R1327" s="405"/>
      <c r="S1327" s="405"/>
      <c r="T1327" s="405"/>
      <c r="U1327" s="405"/>
      <c r="V1327" s="405"/>
      <c r="W1327" s="405"/>
      <c r="X1327" s="405"/>
      <c r="Y1327" s="405"/>
      <c r="Z1327" s="405"/>
    </row>
    <row r="1328" ht="14.25" customHeight="1">
      <c r="A1328" s="656"/>
      <c r="B1328" s="405"/>
      <c r="C1328" s="405"/>
      <c r="D1328" s="405"/>
      <c r="E1328" s="405"/>
      <c r="F1328" s="657"/>
      <c r="G1328" s="583"/>
      <c r="H1328" s="405"/>
      <c r="I1328" s="405"/>
      <c r="J1328" s="405"/>
      <c r="K1328" s="405"/>
      <c r="L1328" s="405"/>
      <c r="M1328" s="405"/>
      <c r="N1328" s="405"/>
      <c r="O1328" s="405"/>
      <c r="P1328" s="405"/>
      <c r="Q1328" s="405"/>
      <c r="R1328" s="405"/>
      <c r="S1328" s="405"/>
      <c r="T1328" s="405"/>
      <c r="U1328" s="405"/>
      <c r="V1328" s="405"/>
      <c r="W1328" s="405"/>
      <c r="X1328" s="405"/>
      <c r="Y1328" s="405"/>
      <c r="Z1328" s="405"/>
    </row>
    <row r="1329" ht="14.25" customHeight="1">
      <c r="A1329" s="656"/>
      <c r="B1329" s="405"/>
      <c r="C1329" s="405"/>
      <c r="D1329" s="405"/>
      <c r="E1329" s="405"/>
      <c r="F1329" s="657"/>
      <c r="G1329" s="583"/>
      <c r="H1329" s="405"/>
      <c r="I1329" s="405"/>
      <c r="J1329" s="405"/>
      <c r="K1329" s="405"/>
      <c r="L1329" s="405"/>
      <c r="M1329" s="405"/>
      <c r="N1329" s="405"/>
      <c r="O1329" s="405"/>
      <c r="P1329" s="405"/>
      <c r="Q1329" s="405"/>
      <c r="R1329" s="405"/>
      <c r="S1329" s="405"/>
      <c r="T1329" s="405"/>
      <c r="U1329" s="405"/>
      <c r="V1329" s="405"/>
      <c r="W1329" s="405"/>
      <c r="X1329" s="405"/>
      <c r="Y1329" s="405"/>
      <c r="Z1329" s="405"/>
    </row>
    <row r="1330" ht="14.25" customHeight="1">
      <c r="A1330" s="656"/>
      <c r="B1330" s="405"/>
      <c r="C1330" s="405"/>
      <c r="D1330" s="405"/>
      <c r="E1330" s="405"/>
      <c r="F1330" s="657"/>
      <c r="G1330" s="583"/>
      <c r="H1330" s="405"/>
      <c r="I1330" s="405"/>
      <c r="J1330" s="405"/>
      <c r="K1330" s="405"/>
      <c r="L1330" s="405"/>
      <c r="M1330" s="405"/>
      <c r="N1330" s="405"/>
      <c r="O1330" s="405"/>
      <c r="P1330" s="405"/>
      <c r="Q1330" s="405"/>
      <c r="R1330" s="405"/>
      <c r="S1330" s="405"/>
      <c r="T1330" s="405"/>
      <c r="U1330" s="405"/>
      <c r="V1330" s="405"/>
      <c r="W1330" s="405"/>
      <c r="X1330" s="405"/>
      <c r="Y1330" s="405"/>
      <c r="Z1330" s="405"/>
    </row>
    <row r="1331" ht="14.25" customHeight="1">
      <c r="A1331" s="656"/>
      <c r="B1331" s="405"/>
      <c r="C1331" s="405"/>
      <c r="D1331" s="405"/>
      <c r="E1331" s="405"/>
      <c r="F1331" s="657"/>
      <c r="G1331" s="583"/>
      <c r="H1331" s="405"/>
      <c r="I1331" s="405"/>
      <c r="J1331" s="405"/>
      <c r="K1331" s="405"/>
      <c r="L1331" s="405"/>
      <c r="M1331" s="405"/>
      <c r="N1331" s="405"/>
      <c r="O1331" s="405"/>
      <c r="P1331" s="405"/>
      <c r="Q1331" s="405"/>
      <c r="R1331" s="405"/>
      <c r="S1331" s="405"/>
      <c r="T1331" s="405"/>
      <c r="U1331" s="405"/>
      <c r="V1331" s="405"/>
      <c r="W1331" s="405"/>
      <c r="X1331" s="405"/>
      <c r="Y1331" s="405"/>
      <c r="Z1331" s="405"/>
    </row>
    <row r="1332" ht="14.25" customHeight="1">
      <c r="A1332" s="656"/>
      <c r="B1332" s="405"/>
      <c r="C1332" s="405"/>
      <c r="D1332" s="405"/>
      <c r="E1332" s="405"/>
      <c r="F1332" s="657"/>
      <c r="G1332" s="583"/>
      <c r="H1332" s="405"/>
      <c r="I1332" s="405"/>
      <c r="J1332" s="405"/>
      <c r="K1332" s="405"/>
      <c r="L1332" s="405"/>
      <c r="M1332" s="405"/>
      <c r="N1332" s="405"/>
      <c r="O1332" s="405"/>
      <c r="P1332" s="405"/>
      <c r="Q1332" s="405"/>
      <c r="R1332" s="405"/>
      <c r="S1332" s="405"/>
      <c r="T1332" s="405"/>
      <c r="U1332" s="405"/>
      <c r="V1332" s="405"/>
      <c r="W1332" s="405"/>
      <c r="X1332" s="405"/>
      <c r="Y1332" s="405"/>
      <c r="Z1332" s="405"/>
    </row>
    <row r="1333" ht="14.25" customHeight="1">
      <c r="A1333" s="656"/>
      <c r="B1333" s="405"/>
      <c r="C1333" s="405"/>
      <c r="D1333" s="405"/>
      <c r="E1333" s="405"/>
      <c r="F1333" s="657"/>
      <c r="G1333" s="583"/>
      <c r="H1333" s="405"/>
      <c r="I1333" s="405"/>
      <c r="J1333" s="405"/>
      <c r="K1333" s="405"/>
      <c r="L1333" s="405"/>
      <c r="M1333" s="405"/>
      <c r="N1333" s="405"/>
      <c r="O1333" s="405"/>
      <c r="P1333" s="405"/>
      <c r="Q1333" s="405"/>
      <c r="R1333" s="405"/>
      <c r="S1333" s="405"/>
      <c r="T1333" s="405"/>
      <c r="U1333" s="405"/>
      <c r="V1333" s="405"/>
      <c r="W1333" s="405"/>
      <c r="X1333" s="405"/>
      <c r="Y1333" s="405"/>
      <c r="Z1333" s="405"/>
    </row>
    <row r="1334" ht="14.25" customHeight="1">
      <c r="A1334" s="656"/>
      <c r="B1334" s="405"/>
      <c r="C1334" s="405"/>
      <c r="D1334" s="405"/>
      <c r="E1334" s="405"/>
      <c r="F1334" s="657"/>
      <c r="G1334" s="583"/>
      <c r="H1334" s="405"/>
      <c r="I1334" s="405"/>
      <c r="J1334" s="405"/>
      <c r="K1334" s="405"/>
      <c r="L1334" s="405"/>
      <c r="M1334" s="405"/>
      <c r="N1334" s="405"/>
      <c r="O1334" s="405"/>
      <c r="P1334" s="405"/>
      <c r="Q1334" s="405"/>
      <c r="R1334" s="405"/>
      <c r="S1334" s="405"/>
      <c r="T1334" s="405"/>
      <c r="U1334" s="405"/>
      <c r="V1334" s="405"/>
      <c r="W1334" s="405"/>
      <c r="X1334" s="405"/>
      <c r="Y1334" s="405"/>
      <c r="Z1334" s="405"/>
    </row>
    <row r="1335" ht="14.25" customHeight="1">
      <c r="A1335" s="656"/>
      <c r="B1335" s="405"/>
      <c r="C1335" s="405"/>
      <c r="D1335" s="405"/>
      <c r="E1335" s="405"/>
      <c r="F1335" s="657"/>
      <c r="G1335" s="583"/>
      <c r="H1335" s="405"/>
      <c r="I1335" s="405"/>
      <c r="J1335" s="405"/>
      <c r="K1335" s="405"/>
      <c r="L1335" s="405"/>
      <c r="M1335" s="405"/>
      <c r="N1335" s="405"/>
      <c r="O1335" s="405"/>
      <c r="P1335" s="405"/>
      <c r="Q1335" s="405"/>
      <c r="R1335" s="405"/>
      <c r="S1335" s="405"/>
      <c r="T1335" s="405"/>
      <c r="U1335" s="405"/>
      <c r="V1335" s="405"/>
      <c r="W1335" s="405"/>
      <c r="X1335" s="405"/>
      <c r="Y1335" s="405"/>
      <c r="Z1335" s="405"/>
    </row>
    <row r="1336" ht="14.25" customHeight="1">
      <c r="A1336" s="656"/>
      <c r="B1336" s="405"/>
      <c r="C1336" s="405"/>
      <c r="D1336" s="405"/>
      <c r="E1336" s="405"/>
      <c r="F1336" s="657"/>
      <c r="G1336" s="583"/>
      <c r="H1336" s="405"/>
      <c r="I1336" s="405"/>
      <c r="J1336" s="405"/>
      <c r="K1336" s="405"/>
      <c r="L1336" s="405"/>
      <c r="M1336" s="405"/>
      <c r="N1336" s="405"/>
      <c r="O1336" s="405"/>
      <c r="P1336" s="405"/>
      <c r="Q1336" s="405"/>
      <c r="R1336" s="405"/>
      <c r="S1336" s="405"/>
      <c r="T1336" s="405"/>
      <c r="U1336" s="405"/>
      <c r="V1336" s="405"/>
      <c r="W1336" s="405"/>
      <c r="X1336" s="405"/>
      <c r="Y1336" s="405"/>
      <c r="Z1336" s="405"/>
    </row>
    <row r="1337" ht="14.25" customHeight="1">
      <c r="A1337" s="656"/>
      <c r="B1337" s="405"/>
      <c r="C1337" s="405"/>
      <c r="D1337" s="405"/>
      <c r="E1337" s="405"/>
      <c r="F1337" s="657"/>
      <c r="G1337" s="583"/>
      <c r="H1337" s="405"/>
      <c r="I1337" s="405"/>
      <c r="J1337" s="405"/>
      <c r="K1337" s="405"/>
      <c r="L1337" s="405"/>
      <c r="M1337" s="405"/>
      <c r="N1337" s="405"/>
      <c r="O1337" s="405"/>
      <c r="P1337" s="405"/>
      <c r="Q1337" s="405"/>
      <c r="R1337" s="405"/>
      <c r="S1337" s="405"/>
      <c r="T1337" s="405"/>
      <c r="U1337" s="405"/>
      <c r="V1337" s="405"/>
      <c r="W1337" s="405"/>
      <c r="X1337" s="405"/>
      <c r="Y1337" s="405"/>
      <c r="Z1337" s="405"/>
    </row>
    <row r="1338" ht="14.25" customHeight="1">
      <c r="A1338" s="656"/>
      <c r="B1338" s="405"/>
      <c r="C1338" s="405"/>
      <c r="D1338" s="405"/>
      <c r="E1338" s="405"/>
      <c r="F1338" s="657"/>
      <c r="G1338" s="583"/>
      <c r="H1338" s="405"/>
      <c r="I1338" s="405"/>
      <c r="J1338" s="405"/>
      <c r="K1338" s="405"/>
      <c r="L1338" s="405"/>
      <c r="M1338" s="405"/>
      <c r="N1338" s="405"/>
      <c r="O1338" s="405"/>
      <c r="P1338" s="405"/>
      <c r="Q1338" s="405"/>
      <c r="R1338" s="405"/>
      <c r="S1338" s="405"/>
      <c r="T1338" s="405"/>
      <c r="U1338" s="405"/>
      <c r="V1338" s="405"/>
      <c r="W1338" s="405"/>
      <c r="X1338" s="405"/>
      <c r="Y1338" s="405"/>
      <c r="Z1338" s="405"/>
    </row>
    <row r="1339" ht="14.25" customHeight="1">
      <c r="A1339" s="656"/>
      <c r="B1339" s="405"/>
      <c r="C1339" s="405"/>
      <c r="D1339" s="405"/>
      <c r="E1339" s="405"/>
      <c r="F1339" s="657"/>
      <c r="G1339" s="583"/>
      <c r="H1339" s="405"/>
      <c r="I1339" s="405"/>
      <c r="J1339" s="405"/>
      <c r="K1339" s="405"/>
      <c r="L1339" s="405"/>
      <c r="M1339" s="405"/>
      <c r="N1339" s="405"/>
      <c r="O1339" s="405"/>
      <c r="P1339" s="405"/>
      <c r="Q1339" s="405"/>
      <c r="R1339" s="405"/>
      <c r="S1339" s="405"/>
      <c r="T1339" s="405"/>
      <c r="U1339" s="405"/>
      <c r="V1339" s="405"/>
      <c r="W1339" s="405"/>
      <c r="X1339" s="405"/>
      <c r="Y1339" s="405"/>
      <c r="Z1339" s="405"/>
    </row>
    <row r="1340" ht="14.25" customHeight="1">
      <c r="A1340" s="656"/>
      <c r="B1340" s="405"/>
      <c r="C1340" s="405"/>
      <c r="D1340" s="405"/>
      <c r="E1340" s="405"/>
      <c r="F1340" s="657"/>
      <c r="G1340" s="583"/>
      <c r="H1340" s="405"/>
      <c r="I1340" s="405"/>
      <c r="J1340" s="405"/>
      <c r="K1340" s="405"/>
      <c r="L1340" s="405"/>
      <c r="M1340" s="405"/>
      <c r="N1340" s="405"/>
      <c r="O1340" s="405"/>
      <c r="P1340" s="405"/>
      <c r="Q1340" s="405"/>
      <c r="R1340" s="405"/>
      <c r="S1340" s="405"/>
      <c r="T1340" s="405"/>
      <c r="U1340" s="405"/>
      <c r="V1340" s="405"/>
      <c r="W1340" s="405"/>
      <c r="X1340" s="405"/>
      <c r="Y1340" s="405"/>
      <c r="Z1340" s="405"/>
    </row>
    <row r="1341" ht="14.25" customHeight="1">
      <c r="A1341" s="656"/>
      <c r="B1341" s="405"/>
      <c r="C1341" s="405"/>
      <c r="D1341" s="405"/>
      <c r="E1341" s="405"/>
      <c r="F1341" s="657"/>
      <c r="G1341" s="583"/>
      <c r="H1341" s="405"/>
      <c r="I1341" s="405"/>
      <c r="J1341" s="405"/>
      <c r="K1341" s="405"/>
      <c r="L1341" s="405"/>
      <c r="M1341" s="405"/>
      <c r="N1341" s="405"/>
      <c r="O1341" s="405"/>
      <c r="P1341" s="405"/>
      <c r="Q1341" s="405"/>
      <c r="R1341" s="405"/>
      <c r="S1341" s="405"/>
      <c r="T1341" s="405"/>
      <c r="U1341" s="405"/>
      <c r="V1341" s="405"/>
      <c r="W1341" s="405"/>
      <c r="X1341" s="405"/>
      <c r="Y1341" s="405"/>
      <c r="Z1341" s="405"/>
    </row>
    <row r="1342" ht="14.25" customHeight="1">
      <c r="A1342" s="656"/>
      <c r="B1342" s="405"/>
      <c r="C1342" s="405"/>
      <c r="D1342" s="405"/>
      <c r="E1342" s="405"/>
      <c r="F1342" s="657"/>
      <c r="G1342" s="583"/>
      <c r="H1342" s="405"/>
      <c r="I1342" s="405"/>
      <c r="J1342" s="405"/>
      <c r="K1342" s="405"/>
      <c r="L1342" s="405"/>
      <c r="M1342" s="405"/>
      <c r="N1342" s="405"/>
      <c r="O1342" s="405"/>
      <c r="P1342" s="405"/>
      <c r="Q1342" s="405"/>
      <c r="R1342" s="405"/>
      <c r="S1342" s="405"/>
      <c r="T1342" s="405"/>
      <c r="U1342" s="405"/>
      <c r="V1342" s="405"/>
      <c r="W1342" s="405"/>
      <c r="X1342" s="405"/>
      <c r="Y1342" s="405"/>
      <c r="Z1342" s="405"/>
    </row>
    <row r="1343" ht="14.25" customHeight="1">
      <c r="A1343" s="656"/>
      <c r="B1343" s="405"/>
      <c r="C1343" s="405"/>
      <c r="D1343" s="405"/>
      <c r="E1343" s="405"/>
      <c r="F1343" s="657"/>
      <c r="G1343" s="583"/>
      <c r="H1343" s="405"/>
      <c r="I1343" s="405"/>
      <c r="J1343" s="405"/>
      <c r="K1343" s="405"/>
      <c r="L1343" s="405"/>
      <c r="M1343" s="405"/>
      <c r="N1343" s="405"/>
      <c r="O1343" s="405"/>
      <c r="P1343" s="405"/>
      <c r="Q1343" s="405"/>
      <c r="R1343" s="405"/>
      <c r="S1343" s="405"/>
      <c r="T1343" s="405"/>
      <c r="U1343" s="405"/>
      <c r="V1343" s="405"/>
      <c r="W1343" s="405"/>
      <c r="X1343" s="405"/>
      <c r="Y1343" s="405"/>
      <c r="Z1343" s="405"/>
    </row>
    <row r="1344" ht="14.25" customHeight="1">
      <c r="A1344" s="656"/>
      <c r="B1344" s="405"/>
      <c r="C1344" s="405"/>
      <c r="D1344" s="405"/>
      <c r="E1344" s="405"/>
      <c r="F1344" s="657"/>
      <c r="G1344" s="583"/>
      <c r="H1344" s="405"/>
      <c r="I1344" s="405"/>
      <c r="J1344" s="405"/>
      <c r="K1344" s="405"/>
      <c r="L1344" s="405"/>
      <c r="M1344" s="405"/>
      <c r="N1344" s="405"/>
      <c r="O1344" s="405"/>
      <c r="P1344" s="405"/>
      <c r="Q1344" s="405"/>
      <c r="R1344" s="405"/>
      <c r="S1344" s="405"/>
      <c r="T1344" s="405"/>
      <c r="U1344" s="405"/>
      <c r="V1344" s="405"/>
      <c r="W1344" s="405"/>
      <c r="X1344" s="405"/>
      <c r="Y1344" s="405"/>
      <c r="Z1344" s="405"/>
    </row>
    <row r="1345" ht="14.25" customHeight="1">
      <c r="A1345" s="656"/>
      <c r="B1345" s="405"/>
      <c r="C1345" s="405"/>
      <c r="D1345" s="405"/>
      <c r="E1345" s="405"/>
      <c r="F1345" s="657"/>
      <c r="G1345" s="583"/>
      <c r="H1345" s="405"/>
      <c r="I1345" s="405"/>
      <c r="J1345" s="405"/>
      <c r="K1345" s="405"/>
      <c r="L1345" s="405"/>
      <c r="M1345" s="405"/>
      <c r="N1345" s="405"/>
      <c r="O1345" s="405"/>
      <c r="P1345" s="405"/>
      <c r="Q1345" s="405"/>
      <c r="R1345" s="405"/>
      <c r="S1345" s="405"/>
      <c r="T1345" s="405"/>
      <c r="U1345" s="405"/>
      <c r="V1345" s="405"/>
      <c r="W1345" s="405"/>
      <c r="X1345" s="405"/>
      <c r="Y1345" s="405"/>
      <c r="Z1345" s="405"/>
    </row>
    <row r="1346" ht="14.25" customHeight="1">
      <c r="A1346" s="656"/>
      <c r="B1346" s="405"/>
      <c r="C1346" s="405"/>
      <c r="D1346" s="405"/>
      <c r="E1346" s="405"/>
      <c r="F1346" s="657"/>
      <c r="G1346" s="583"/>
      <c r="H1346" s="405"/>
      <c r="I1346" s="405"/>
      <c r="J1346" s="405"/>
      <c r="K1346" s="405"/>
      <c r="L1346" s="405"/>
      <c r="M1346" s="405"/>
      <c r="N1346" s="405"/>
      <c r="O1346" s="405"/>
      <c r="P1346" s="405"/>
      <c r="Q1346" s="405"/>
      <c r="R1346" s="405"/>
      <c r="S1346" s="405"/>
      <c r="T1346" s="405"/>
      <c r="U1346" s="405"/>
      <c r="V1346" s="405"/>
      <c r="W1346" s="405"/>
      <c r="X1346" s="405"/>
      <c r="Y1346" s="405"/>
      <c r="Z1346" s="405"/>
    </row>
    <row r="1347" ht="14.25" customHeight="1">
      <c r="A1347" s="656"/>
      <c r="B1347" s="405"/>
      <c r="C1347" s="405"/>
      <c r="D1347" s="405"/>
      <c r="E1347" s="405"/>
      <c r="F1347" s="657"/>
      <c r="G1347" s="583"/>
      <c r="H1347" s="405"/>
      <c r="I1347" s="405"/>
      <c r="J1347" s="405"/>
      <c r="K1347" s="405"/>
      <c r="L1347" s="405"/>
      <c r="M1347" s="405"/>
      <c r="N1347" s="405"/>
      <c r="O1347" s="405"/>
      <c r="P1347" s="405"/>
      <c r="Q1347" s="405"/>
      <c r="R1347" s="405"/>
      <c r="S1347" s="405"/>
      <c r="T1347" s="405"/>
      <c r="U1347" s="405"/>
      <c r="V1347" s="405"/>
      <c r="W1347" s="405"/>
      <c r="X1347" s="405"/>
      <c r="Y1347" s="405"/>
      <c r="Z1347" s="405"/>
    </row>
    <row r="1348" ht="14.25" customHeight="1">
      <c r="A1348" s="656"/>
      <c r="B1348" s="405"/>
      <c r="C1348" s="405"/>
      <c r="D1348" s="405"/>
      <c r="E1348" s="405"/>
      <c r="F1348" s="657"/>
      <c r="G1348" s="583"/>
      <c r="H1348" s="405"/>
      <c r="I1348" s="405"/>
      <c r="J1348" s="405"/>
      <c r="K1348" s="405"/>
      <c r="L1348" s="405"/>
      <c r="M1348" s="405"/>
      <c r="N1348" s="405"/>
      <c r="O1348" s="405"/>
      <c r="P1348" s="405"/>
      <c r="Q1348" s="405"/>
      <c r="R1348" s="405"/>
      <c r="S1348" s="405"/>
      <c r="T1348" s="405"/>
      <c r="U1348" s="405"/>
      <c r="V1348" s="405"/>
      <c r="W1348" s="405"/>
      <c r="X1348" s="405"/>
      <c r="Y1348" s="405"/>
      <c r="Z1348" s="405"/>
    </row>
    <row r="1349" ht="14.25" customHeight="1">
      <c r="A1349" s="656"/>
      <c r="B1349" s="405"/>
      <c r="C1349" s="405"/>
      <c r="D1349" s="405"/>
      <c r="E1349" s="405"/>
      <c r="F1349" s="657"/>
      <c r="G1349" s="583"/>
      <c r="H1349" s="405"/>
      <c r="I1349" s="405"/>
      <c r="J1349" s="405"/>
      <c r="K1349" s="405"/>
      <c r="L1349" s="405"/>
      <c r="M1349" s="405"/>
      <c r="N1349" s="405"/>
      <c r="O1349" s="405"/>
      <c r="P1349" s="405"/>
      <c r="Q1349" s="405"/>
      <c r="R1349" s="405"/>
      <c r="S1349" s="405"/>
      <c r="T1349" s="405"/>
      <c r="U1349" s="405"/>
      <c r="V1349" s="405"/>
      <c r="W1349" s="405"/>
      <c r="X1349" s="405"/>
      <c r="Y1349" s="405"/>
      <c r="Z1349" s="405"/>
    </row>
    <row r="1350" ht="14.25" customHeight="1">
      <c r="A1350" s="656"/>
      <c r="B1350" s="405"/>
      <c r="C1350" s="405"/>
      <c r="D1350" s="405"/>
      <c r="E1350" s="405"/>
      <c r="F1350" s="657"/>
      <c r="G1350" s="583"/>
      <c r="H1350" s="405"/>
      <c r="I1350" s="405"/>
      <c r="J1350" s="405"/>
      <c r="K1350" s="405"/>
      <c r="L1350" s="405"/>
      <c r="M1350" s="405"/>
      <c r="N1350" s="405"/>
      <c r="O1350" s="405"/>
      <c r="P1350" s="405"/>
      <c r="Q1350" s="405"/>
      <c r="R1350" s="405"/>
      <c r="S1350" s="405"/>
      <c r="T1350" s="405"/>
      <c r="U1350" s="405"/>
      <c r="V1350" s="405"/>
      <c r="W1350" s="405"/>
      <c r="X1350" s="405"/>
      <c r="Y1350" s="405"/>
      <c r="Z1350" s="405"/>
    </row>
    <row r="1351" ht="14.25" customHeight="1">
      <c r="A1351" s="656"/>
      <c r="B1351" s="405"/>
      <c r="C1351" s="405"/>
      <c r="D1351" s="405"/>
      <c r="E1351" s="405"/>
      <c r="F1351" s="657"/>
      <c r="G1351" s="583"/>
      <c r="H1351" s="405"/>
      <c r="I1351" s="405"/>
      <c r="J1351" s="405"/>
      <c r="K1351" s="405"/>
      <c r="L1351" s="405"/>
      <c r="M1351" s="405"/>
      <c r="N1351" s="405"/>
      <c r="O1351" s="405"/>
      <c r="P1351" s="405"/>
      <c r="Q1351" s="405"/>
      <c r="R1351" s="405"/>
      <c r="S1351" s="405"/>
      <c r="T1351" s="405"/>
      <c r="U1351" s="405"/>
      <c r="V1351" s="405"/>
      <c r="W1351" s="405"/>
      <c r="X1351" s="405"/>
      <c r="Y1351" s="405"/>
      <c r="Z1351" s="405"/>
    </row>
    <row r="1352" ht="14.25" customHeight="1">
      <c r="A1352" s="656"/>
      <c r="B1352" s="405"/>
      <c r="C1352" s="405"/>
      <c r="D1352" s="405"/>
      <c r="E1352" s="405"/>
      <c r="F1352" s="657"/>
      <c r="G1352" s="583"/>
      <c r="H1352" s="405"/>
      <c r="I1352" s="405"/>
      <c r="J1352" s="405"/>
      <c r="K1352" s="405"/>
      <c r="L1352" s="405"/>
      <c r="M1352" s="405"/>
      <c r="N1352" s="405"/>
      <c r="O1352" s="405"/>
      <c r="P1352" s="405"/>
      <c r="Q1352" s="405"/>
      <c r="R1352" s="405"/>
      <c r="S1352" s="405"/>
      <c r="T1352" s="405"/>
      <c r="U1352" s="405"/>
      <c r="V1352" s="405"/>
      <c r="W1352" s="405"/>
      <c r="X1352" s="405"/>
      <c r="Y1352" s="405"/>
      <c r="Z1352" s="405"/>
    </row>
    <row r="1353" ht="14.25" customHeight="1">
      <c r="A1353" s="656"/>
      <c r="B1353" s="405"/>
      <c r="C1353" s="405"/>
      <c r="D1353" s="405"/>
      <c r="E1353" s="405"/>
      <c r="F1353" s="657"/>
      <c r="G1353" s="583"/>
      <c r="H1353" s="405"/>
      <c r="I1353" s="405"/>
      <c r="J1353" s="405"/>
      <c r="K1353" s="405"/>
      <c r="L1353" s="405"/>
      <c r="M1353" s="405"/>
      <c r="N1353" s="405"/>
      <c r="O1353" s="405"/>
      <c r="P1353" s="405"/>
      <c r="Q1353" s="405"/>
      <c r="R1353" s="405"/>
      <c r="S1353" s="405"/>
      <c r="T1353" s="405"/>
      <c r="U1353" s="405"/>
      <c r="V1353" s="405"/>
      <c r="W1353" s="405"/>
      <c r="X1353" s="405"/>
      <c r="Y1353" s="405"/>
      <c r="Z1353" s="405"/>
    </row>
    <row r="1354" ht="14.25" customHeight="1">
      <c r="A1354" s="656"/>
      <c r="B1354" s="405"/>
      <c r="C1354" s="405"/>
      <c r="D1354" s="405"/>
      <c r="E1354" s="405"/>
      <c r="F1354" s="657"/>
      <c r="G1354" s="583"/>
      <c r="H1354" s="405"/>
      <c r="I1354" s="405"/>
      <c r="J1354" s="405"/>
      <c r="K1354" s="405"/>
      <c r="L1354" s="405"/>
      <c r="M1354" s="405"/>
      <c r="N1354" s="405"/>
      <c r="O1354" s="405"/>
      <c r="P1354" s="405"/>
      <c r="Q1354" s="405"/>
      <c r="R1354" s="405"/>
      <c r="S1354" s="405"/>
      <c r="T1354" s="405"/>
      <c r="U1354" s="405"/>
      <c r="V1354" s="405"/>
      <c r="W1354" s="405"/>
      <c r="X1354" s="405"/>
      <c r="Y1354" s="405"/>
      <c r="Z1354" s="405"/>
    </row>
    <row r="1355" ht="14.25" customHeight="1">
      <c r="A1355" s="656"/>
      <c r="B1355" s="405"/>
      <c r="C1355" s="405"/>
      <c r="D1355" s="405"/>
      <c r="E1355" s="405"/>
      <c r="F1355" s="657"/>
      <c r="G1355" s="583"/>
      <c r="H1355" s="405"/>
      <c r="I1355" s="405"/>
      <c r="J1355" s="405"/>
      <c r="K1355" s="405"/>
      <c r="L1355" s="405"/>
      <c r="M1355" s="405"/>
      <c r="N1355" s="405"/>
      <c r="O1355" s="405"/>
      <c r="P1355" s="405"/>
      <c r="Q1355" s="405"/>
      <c r="R1355" s="405"/>
      <c r="S1355" s="405"/>
      <c r="T1355" s="405"/>
      <c r="U1355" s="405"/>
      <c r="V1355" s="405"/>
      <c r="W1355" s="405"/>
      <c r="X1355" s="405"/>
      <c r="Y1355" s="405"/>
      <c r="Z1355" s="405"/>
    </row>
    <row r="1356" ht="14.25" customHeight="1">
      <c r="A1356" s="656"/>
      <c r="B1356" s="405"/>
      <c r="C1356" s="405"/>
      <c r="D1356" s="405"/>
      <c r="E1356" s="405"/>
      <c r="F1356" s="657"/>
      <c r="G1356" s="583"/>
      <c r="H1356" s="405"/>
      <c r="I1356" s="405"/>
      <c r="J1356" s="405"/>
      <c r="K1356" s="405"/>
      <c r="L1356" s="405"/>
      <c r="M1356" s="405"/>
      <c r="N1356" s="405"/>
      <c r="O1356" s="405"/>
      <c r="P1356" s="405"/>
      <c r="Q1356" s="405"/>
      <c r="R1356" s="405"/>
      <c r="S1356" s="405"/>
      <c r="T1356" s="405"/>
      <c r="U1356" s="405"/>
      <c r="V1356" s="405"/>
      <c r="W1356" s="405"/>
      <c r="X1356" s="405"/>
      <c r="Y1356" s="405"/>
      <c r="Z1356" s="405"/>
    </row>
    <row r="1357" ht="14.25" customHeight="1">
      <c r="A1357" s="656"/>
      <c r="B1357" s="405"/>
      <c r="C1357" s="405"/>
      <c r="D1357" s="405"/>
      <c r="E1357" s="405"/>
      <c r="F1357" s="657"/>
      <c r="G1357" s="583"/>
      <c r="H1357" s="405"/>
      <c r="I1357" s="405"/>
      <c r="J1357" s="405"/>
      <c r="K1357" s="405"/>
      <c r="L1357" s="405"/>
      <c r="M1357" s="405"/>
      <c r="N1357" s="405"/>
      <c r="O1357" s="405"/>
      <c r="P1357" s="405"/>
      <c r="Q1357" s="405"/>
      <c r="R1357" s="405"/>
      <c r="S1357" s="405"/>
      <c r="T1357" s="405"/>
      <c r="U1357" s="405"/>
      <c r="V1357" s="405"/>
      <c r="W1357" s="405"/>
      <c r="X1357" s="405"/>
      <c r="Y1357" s="405"/>
      <c r="Z1357" s="405"/>
    </row>
    <row r="1358" ht="14.25" customHeight="1">
      <c r="A1358" s="656"/>
      <c r="B1358" s="405"/>
      <c r="C1358" s="405"/>
      <c r="D1358" s="405"/>
      <c r="E1358" s="405"/>
      <c r="F1358" s="657"/>
      <c r="G1358" s="583"/>
      <c r="H1358" s="405"/>
      <c r="I1358" s="405"/>
      <c r="J1358" s="405"/>
      <c r="K1358" s="405"/>
      <c r="L1358" s="405"/>
      <c r="M1358" s="405"/>
      <c r="N1358" s="405"/>
      <c r="O1358" s="405"/>
      <c r="P1358" s="405"/>
      <c r="Q1358" s="405"/>
      <c r="R1358" s="405"/>
      <c r="S1358" s="405"/>
      <c r="T1358" s="405"/>
      <c r="U1358" s="405"/>
      <c r="V1358" s="405"/>
      <c r="W1358" s="405"/>
      <c r="X1358" s="405"/>
      <c r="Y1358" s="405"/>
      <c r="Z1358" s="405"/>
    </row>
    <row r="1359" ht="14.25" customHeight="1">
      <c r="A1359" s="656"/>
      <c r="B1359" s="405"/>
      <c r="C1359" s="405"/>
      <c r="D1359" s="405"/>
      <c r="E1359" s="405"/>
      <c r="F1359" s="657"/>
      <c r="G1359" s="583"/>
      <c r="H1359" s="405"/>
      <c r="I1359" s="405"/>
      <c r="J1359" s="405"/>
      <c r="K1359" s="405"/>
      <c r="L1359" s="405"/>
      <c r="M1359" s="405"/>
      <c r="N1359" s="405"/>
      <c r="O1359" s="405"/>
      <c r="P1359" s="405"/>
      <c r="Q1359" s="405"/>
      <c r="R1359" s="405"/>
      <c r="S1359" s="405"/>
      <c r="T1359" s="405"/>
      <c r="U1359" s="405"/>
      <c r="V1359" s="405"/>
      <c r="W1359" s="405"/>
      <c r="X1359" s="405"/>
      <c r="Y1359" s="405"/>
      <c r="Z1359" s="405"/>
    </row>
    <row r="1360" ht="14.25" customHeight="1">
      <c r="A1360" s="656"/>
      <c r="B1360" s="405"/>
      <c r="C1360" s="405"/>
      <c r="D1360" s="405"/>
      <c r="E1360" s="405"/>
      <c r="F1360" s="657"/>
      <c r="G1360" s="583"/>
      <c r="H1360" s="405"/>
      <c r="I1360" s="405"/>
      <c r="J1360" s="405"/>
      <c r="K1360" s="405"/>
      <c r="L1360" s="405"/>
      <c r="M1360" s="405"/>
      <c r="N1360" s="405"/>
      <c r="O1360" s="405"/>
      <c r="P1360" s="405"/>
      <c r="Q1360" s="405"/>
      <c r="R1360" s="405"/>
      <c r="S1360" s="405"/>
      <c r="T1360" s="405"/>
      <c r="U1360" s="405"/>
      <c r="V1360" s="405"/>
      <c r="W1360" s="405"/>
      <c r="X1360" s="405"/>
      <c r="Y1360" s="405"/>
      <c r="Z1360" s="405"/>
    </row>
    <row r="1361" ht="14.25" customHeight="1">
      <c r="A1361" s="656"/>
      <c r="B1361" s="405"/>
      <c r="C1361" s="405"/>
      <c r="D1361" s="405"/>
      <c r="E1361" s="405"/>
      <c r="F1361" s="657"/>
      <c r="G1361" s="583"/>
      <c r="H1361" s="405"/>
      <c r="I1361" s="405"/>
      <c r="J1361" s="405"/>
      <c r="K1361" s="405"/>
      <c r="L1361" s="405"/>
      <c r="M1361" s="405"/>
      <c r="N1361" s="405"/>
      <c r="O1361" s="405"/>
      <c r="P1361" s="405"/>
      <c r="Q1361" s="405"/>
      <c r="R1361" s="405"/>
      <c r="S1361" s="405"/>
      <c r="T1361" s="405"/>
      <c r="U1361" s="405"/>
      <c r="V1361" s="405"/>
      <c r="W1361" s="405"/>
      <c r="X1361" s="405"/>
      <c r="Y1361" s="405"/>
      <c r="Z1361" s="405"/>
    </row>
    <row r="1362" ht="14.25" customHeight="1">
      <c r="A1362" s="656"/>
      <c r="B1362" s="405"/>
      <c r="C1362" s="405"/>
      <c r="D1362" s="405"/>
      <c r="E1362" s="405"/>
      <c r="F1362" s="657"/>
      <c r="G1362" s="583"/>
      <c r="H1362" s="405"/>
      <c r="I1362" s="405"/>
      <c r="J1362" s="405"/>
      <c r="K1362" s="405"/>
      <c r="L1362" s="405"/>
      <c r="M1362" s="405"/>
      <c r="N1362" s="405"/>
      <c r="O1362" s="405"/>
      <c r="P1362" s="405"/>
      <c r="Q1362" s="405"/>
      <c r="R1362" s="405"/>
      <c r="S1362" s="405"/>
      <c r="T1362" s="405"/>
      <c r="U1362" s="405"/>
      <c r="V1362" s="405"/>
      <c r="W1362" s="405"/>
      <c r="X1362" s="405"/>
      <c r="Y1362" s="405"/>
      <c r="Z1362" s="405"/>
    </row>
    <row r="1363" ht="14.25" customHeight="1">
      <c r="A1363" s="656"/>
      <c r="B1363" s="405"/>
      <c r="C1363" s="405"/>
      <c r="D1363" s="405"/>
      <c r="E1363" s="405"/>
      <c r="F1363" s="657"/>
      <c r="G1363" s="583"/>
      <c r="H1363" s="405"/>
      <c r="I1363" s="405"/>
      <c r="J1363" s="405"/>
      <c r="K1363" s="405"/>
      <c r="L1363" s="405"/>
      <c r="M1363" s="405"/>
      <c r="N1363" s="405"/>
      <c r="O1363" s="405"/>
      <c r="P1363" s="405"/>
      <c r="Q1363" s="405"/>
      <c r="R1363" s="405"/>
      <c r="S1363" s="405"/>
      <c r="T1363" s="405"/>
      <c r="U1363" s="405"/>
      <c r="V1363" s="405"/>
      <c r="W1363" s="405"/>
      <c r="X1363" s="405"/>
      <c r="Y1363" s="405"/>
      <c r="Z1363" s="405"/>
    </row>
    <row r="1364" ht="14.25" customHeight="1">
      <c r="A1364" s="656"/>
      <c r="B1364" s="405"/>
      <c r="C1364" s="405"/>
      <c r="D1364" s="405"/>
      <c r="E1364" s="405"/>
      <c r="F1364" s="657"/>
      <c r="G1364" s="583"/>
      <c r="H1364" s="405"/>
      <c r="I1364" s="405"/>
      <c r="J1364" s="405"/>
      <c r="K1364" s="405"/>
      <c r="L1364" s="405"/>
      <c r="M1364" s="405"/>
      <c r="N1364" s="405"/>
      <c r="O1364" s="405"/>
      <c r="P1364" s="405"/>
      <c r="Q1364" s="405"/>
      <c r="R1364" s="405"/>
      <c r="S1364" s="405"/>
      <c r="T1364" s="405"/>
      <c r="U1364" s="405"/>
      <c r="V1364" s="405"/>
      <c r="W1364" s="405"/>
      <c r="X1364" s="405"/>
      <c r="Y1364" s="405"/>
      <c r="Z1364" s="405"/>
    </row>
    <row r="1365" ht="14.25" customHeight="1">
      <c r="A1365" s="656"/>
      <c r="B1365" s="405"/>
      <c r="C1365" s="405"/>
      <c r="D1365" s="405"/>
      <c r="E1365" s="405"/>
      <c r="F1365" s="657"/>
      <c r="G1365" s="583"/>
      <c r="H1365" s="405"/>
      <c r="I1365" s="405"/>
      <c r="J1365" s="405"/>
      <c r="K1365" s="405"/>
      <c r="L1365" s="405"/>
      <c r="M1365" s="405"/>
      <c r="N1365" s="405"/>
      <c r="O1365" s="405"/>
      <c r="P1365" s="405"/>
      <c r="Q1365" s="405"/>
      <c r="R1365" s="405"/>
      <c r="S1365" s="405"/>
      <c r="T1365" s="405"/>
      <c r="U1365" s="405"/>
      <c r="V1365" s="405"/>
      <c r="W1365" s="405"/>
      <c r="X1365" s="405"/>
      <c r="Y1365" s="405"/>
      <c r="Z1365" s="405"/>
    </row>
    <row r="1366" ht="14.25" customHeight="1">
      <c r="A1366" s="656"/>
      <c r="B1366" s="405"/>
      <c r="C1366" s="405"/>
      <c r="D1366" s="405"/>
      <c r="E1366" s="405"/>
      <c r="F1366" s="657"/>
      <c r="G1366" s="583"/>
      <c r="H1366" s="405"/>
      <c r="I1366" s="405"/>
      <c r="J1366" s="405"/>
      <c r="K1366" s="405"/>
      <c r="L1366" s="405"/>
      <c r="M1366" s="405"/>
      <c r="N1366" s="405"/>
      <c r="O1366" s="405"/>
      <c r="P1366" s="405"/>
      <c r="Q1366" s="405"/>
      <c r="R1366" s="405"/>
      <c r="S1366" s="405"/>
      <c r="T1366" s="405"/>
      <c r="U1366" s="405"/>
      <c r="V1366" s="405"/>
      <c r="W1366" s="405"/>
      <c r="X1366" s="405"/>
      <c r="Y1366" s="405"/>
      <c r="Z1366" s="405"/>
    </row>
    <row r="1367" ht="14.25" customHeight="1">
      <c r="A1367" s="656"/>
      <c r="B1367" s="405"/>
      <c r="C1367" s="405"/>
      <c r="D1367" s="405"/>
      <c r="E1367" s="405"/>
      <c r="F1367" s="657"/>
      <c r="G1367" s="583"/>
      <c r="H1367" s="405"/>
      <c r="I1367" s="405"/>
      <c r="J1367" s="405"/>
      <c r="K1367" s="405"/>
      <c r="L1367" s="405"/>
      <c r="M1367" s="405"/>
      <c r="N1367" s="405"/>
      <c r="O1367" s="405"/>
      <c r="P1367" s="405"/>
      <c r="Q1367" s="405"/>
      <c r="R1367" s="405"/>
      <c r="S1367" s="405"/>
      <c r="T1367" s="405"/>
      <c r="U1367" s="405"/>
      <c r="V1367" s="405"/>
      <c r="W1367" s="405"/>
      <c r="X1367" s="405"/>
      <c r="Y1367" s="405"/>
      <c r="Z1367" s="405"/>
    </row>
    <row r="1368" ht="14.25" customHeight="1">
      <c r="A1368" s="656"/>
      <c r="B1368" s="405"/>
      <c r="C1368" s="405"/>
      <c r="D1368" s="405"/>
      <c r="E1368" s="405"/>
      <c r="F1368" s="657"/>
      <c r="G1368" s="583"/>
      <c r="H1368" s="405"/>
      <c r="I1368" s="405"/>
      <c r="J1368" s="405"/>
      <c r="K1368" s="405"/>
      <c r="L1368" s="405"/>
      <c r="M1368" s="405"/>
      <c r="N1368" s="405"/>
      <c r="O1368" s="405"/>
      <c r="P1368" s="405"/>
      <c r="Q1368" s="405"/>
      <c r="R1368" s="405"/>
      <c r="S1368" s="405"/>
      <c r="T1368" s="405"/>
      <c r="U1368" s="405"/>
      <c r="V1368" s="405"/>
      <c r="W1368" s="405"/>
      <c r="X1368" s="405"/>
      <c r="Y1368" s="405"/>
      <c r="Z1368" s="405"/>
    </row>
    <row r="1369" ht="14.25" customHeight="1">
      <c r="A1369" s="656"/>
      <c r="B1369" s="405"/>
      <c r="C1369" s="405"/>
      <c r="D1369" s="405"/>
      <c r="E1369" s="405"/>
      <c r="F1369" s="657"/>
      <c r="G1369" s="583"/>
      <c r="H1369" s="405"/>
      <c r="I1369" s="405"/>
      <c r="J1369" s="405"/>
      <c r="K1369" s="405"/>
      <c r="L1369" s="405"/>
      <c r="M1369" s="405"/>
      <c r="N1369" s="405"/>
      <c r="O1369" s="405"/>
      <c r="P1369" s="405"/>
      <c r="Q1369" s="405"/>
      <c r="R1369" s="405"/>
      <c r="S1369" s="405"/>
      <c r="T1369" s="405"/>
      <c r="U1369" s="405"/>
      <c r="V1369" s="405"/>
      <c r="W1369" s="405"/>
      <c r="X1369" s="405"/>
      <c r="Y1369" s="405"/>
      <c r="Z1369" s="405"/>
    </row>
    <row r="1370" ht="14.25" customHeight="1">
      <c r="A1370" s="656"/>
      <c r="B1370" s="405"/>
      <c r="C1370" s="405"/>
      <c r="D1370" s="405"/>
      <c r="E1370" s="405"/>
      <c r="F1370" s="657"/>
      <c r="G1370" s="583"/>
      <c r="H1370" s="405"/>
      <c r="I1370" s="405"/>
      <c r="J1370" s="405"/>
      <c r="K1370" s="405"/>
      <c r="L1370" s="405"/>
      <c r="M1370" s="405"/>
      <c r="N1370" s="405"/>
      <c r="O1370" s="405"/>
      <c r="P1370" s="405"/>
      <c r="Q1370" s="405"/>
      <c r="R1370" s="405"/>
      <c r="S1370" s="405"/>
      <c r="T1370" s="405"/>
      <c r="U1370" s="405"/>
      <c r="V1370" s="405"/>
      <c r="W1370" s="405"/>
      <c r="X1370" s="405"/>
      <c r="Y1370" s="405"/>
      <c r="Z1370" s="405"/>
    </row>
    <row r="1371" ht="14.25" customHeight="1">
      <c r="A1371" s="656"/>
      <c r="B1371" s="405"/>
      <c r="C1371" s="405"/>
      <c r="D1371" s="405"/>
      <c r="E1371" s="405"/>
      <c r="F1371" s="657"/>
      <c r="G1371" s="583"/>
      <c r="H1371" s="405"/>
      <c r="I1371" s="405"/>
      <c r="J1371" s="405"/>
      <c r="K1371" s="405"/>
      <c r="L1371" s="405"/>
      <c r="M1371" s="405"/>
      <c r="N1371" s="405"/>
      <c r="O1371" s="405"/>
      <c r="P1371" s="405"/>
      <c r="Q1371" s="405"/>
      <c r="R1371" s="405"/>
      <c r="S1371" s="405"/>
      <c r="T1371" s="405"/>
      <c r="U1371" s="405"/>
      <c r="V1371" s="405"/>
      <c r="W1371" s="405"/>
      <c r="X1371" s="405"/>
      <c r="Y1371" s="405"/>
      <c r="Z1371" s="405"/>
    </row>
    <row r="1372" ht="14.25" customHeight="1">
      <c r="A1372" s="656"/>
      <c r="B1372" s="405"/>
      <c r="C1372" s="405"/>
      <c r="D1372" s="405"/>
      <c r="E1372" s="405"/>
      <c r="F1372" s="657"/>
      <c r="G1372" s="583"/>
      <c r="H1372" s="405"/>
      <c r="I1372" s="405"/>
      <c r="J1372" s="405"/>
      <c r="K1372" s="405"/>
      <c r="L1372" s="405"/>
      <c r="M1372" s="405"/>
      <c r="N1372" s="405"/>
      <c r="O1372" s="405"/>
      <c r="P1372" s="405"/>
      <c r="Q1372" s="405"/>
      <c r="R1372" s="405"/>
      <c r="S1372" s="405"/>
      <c r="T1372" s="405"/>
      <c r="U1372" s="405"/>
      <c r="V1372" s="405"/>
      <c r="W1372" s="405"/>
      <c r="X1372" s="405"/>
      <c r="Y1372" s="405"/>
      <c r="Z1372" s="405"/>
    </row>
    <row r="1373" ht="14.25" customHeight="1">
      <c r="A1373" s="656"/>
      <c r="B1373" s="405"/>
      <c r="C1373" s="405"/>
      <c r="D1373" s="405"/>
      <c r="E1373" s="405"/>
      <c r="F1373" s="657"/>
      <c r="G1373" s="583"/>
      <c r="H1373" s="405"/>
      <c r="I1373" s="405"/>
      <c r="J1373" s="405"/>
      <c r="K1373" s="405"/>
      <c r="L1373" s="405"/>
      <c r="M1373" s="405"/>
      <c r="N1373" s="405"/>
      <c r="O1373" s="405"/>
      <c r="P1373" s="405"/>
      <c r="Q1373" s="405"/>
      <c r="R1373" s="405"/>
      <c r="S1373" s="405"/>
      <c r="T1373" s="405"/>
      <c r="U1373" s="405"/>
      <c r="V1373" s="405"/>
      <c r="W1373" s="405"/>
      <c r="X1373" s="405"/>
      <c r="Y1373" s="405"/>
      <c r="Z1373" s="405"/>
    </row>
    <row r="1374" ht="14.25" customHeight="1">
      <c r="A1374" s="656"/>
      <c r="B1374" s="405"/>
      <c r="C1374" s="405"/>
      <c r="D1374" s="405"/>
      <c r="E1374" s="405"/>
      <c r="F1374" s="657"/>
      <c r="G1374" s="583"/>
      <c r="H1374" s="405"/>
      <c r="I1374" s="405"/>
      <c r="J1374" s="405"/>
      <c r="K1374" s="405"/>
      <c r="L1374" s="405"/>
      <c r="M1374" s="405"/>
      <c r="N1374" s="405"/>
      <c r="O1374" s="405"/>
      <c r="P1374" s="405"/>
      <c r="Q1374" s="405"/>
      <c r="R1374" s="405"/>
      <c r="S1374" s="405"/>
      <c r="T1374" s="405"/>
      <c r="U1374" s="405"/>
      <c r="V1374" s="405"/>
      <c r="W1374" s="405"/>
      <c r="X1374" s="405"/>
      <c r="Y1374" s="405"/>
      <c r="Z1374" s="405"/>
    </row>
    <row r="1375" ht="14.25" customHeight="1">
      <c r="A1375" s="656"/>
      <c r="B1375" s="405"/>
      <c r="C1375" s="405"/>
      <c r="D1375" s="405"/>
      <c r="E1375" s="405"/>
      <c r="F1375" s="657"/>
      <c r="G1375" s="583"/>
      <c r="H1375" s="405"/>
      <c r="I1375" s="405"/>
      <c r="J1375" s="405"/>
      <c r="K1375" s="405"/>
      <c r="L1375" s="405"/>
      <c r="M1375" s="405"/>
      <c r="N1375" s="405"/>
      <c r="O1375" s="405"/>
      <c r="P1375" s="405"/>
      <c r="Q1375" s="405"/>
      <c r="R1375" s="405"/>
      <c r="S1375" s="405"/>
      <c r="T1375" s="405"/>
      <c r="U1375" s="405"/>
      <c r="V1375" s="405"/>
      <c r="W1375" s="405"/>
      <c r="X1375" s="405"/>
      <c r="Y1375" s="405"/>
      <c r="Z1375" s="405"/>
    </row>
    <row r="1376" ht="14.25" customHeight="1">
      <c r="A1376" s="656"/>
      <c r="B1376" s="405"/>
      <c r="C1376" s="405"/>
      <c r="D1376" s="405"/>
      <c r="E1376" s="405"/>
      <c r="F1376" s="657"/>
      <c r="G1376" s="583"/>
      <c r="H1376" s="405"/>
      <c r="I1376" s="405"/>
      <c r="J1376" s="405"/>
      <c r="K1376" s="405"/>
      <c r="L1376" s="405"/>
      <c r="M1376" s="405"/>
      <c r="N1376" s="405"/>
      <c r="O1376" s="405"/>
      <c r="P1376" s="405"/>
      <c r="Q1376" s="405"/>
      <c r="R1376" s="405"/>
      <c r="S1376" s="405"/>
      <c r="T1376" s="405"/>
      <c r="U1376" s="405"/>
      <c r="V1376" s="405"/>
      <c r="W1376" s="405"/>
      <c r="X1376" s="405"/>
      <c r="Y1376" s="405"/>
      <c r="Z1376" s="405"/>
    </row>
    <row r="1377" ht="14.25" customHeight="1">
      <c r="A1377" s="656"/>
      <c r="B1377" s="405"/>
      <c r="C1377" s="405"/>
      <c r="D1377" s="405"/>
      <c r="E1377" s="405"/>
      <c r="F1377" s="657"/>
      <c r="G1377" s="583"/>
      <c r="H1377" s="405"/>
      <c r="I1377" s="405"/>
      <c r="J1377" s="405"/>
      <c r="K1377" s="405"/>
      <c r="L1377" s="405"/>
      <c r="M1377" s="405"/>
      <c r="N1377" s="405"/>
      <c r="O1377" s="405"/>
      <c r="P1377" s="405"/>
      <c r="Q1377" s="405"/>
      <c r="R1377" s="405"/>
      <c r="S1377" s="405"/>
      <c r="T1377" s="405"/>
      <c r="U1377" s="405"/>
      <c r="V1377" s="405"/>
      <c r="W1377" s="405"/>
      <c r="X1377" s="405"/>
      <c r="Y1377" s="405"/>
      <c r="Z1377" s="405"/>
    </row>
    <row r="1378" ht="14.25" customHeight="1">
      <c r="A1378" s="656"/>
      <c r="B1378" s="405"/>
      <c r="C1378" s="405"/>
      <c r="D1378" s="405"/>
      <c r="E1378" s="405"/>
      <c r="F1378" s="657"/>
      <c r="G1378" s="583"/>
      <c r="H1378" s="405"/>
      <c r="I1378" s="405"/>
      <c r="J1378" s="405"/>
      <c r="K1378" s="405"/>
      <c r="L1378" s="405"/>
      <c r="M1378" s="405"/>
      <c r="N1378" s="405"/>
      <c r="O1378" s="405"/>
      <c r="P1378" s="405"/>
      <c r="Q1378" s="405"/>
      <c r="R1378" s="405"/>
      <c r="S1378" s="405"/>
      <c r="T1378" s="405"/>
      <c r="U1378" s="405"/>
      <c r="V1378" s="405"/>
      <c r="W1378" s="405"/>
      <c r="X1378" s="405"/>
      <c r="Y1378" s="405"/>
      <c r="Z1378" s="405"/>
    </row>
    <row r="1379" ht="14.25" customHeight="1">
      <c r="A1379" s="656"/>
      <c r="B1379" s="405"/>
      <c r="C1379" s="405"/>
      <c r="D1379" s="405"/>
      <c r="E1379" s="405"/>
      <c r="F1379" s="657"/>
      <c r="G1379" s="583"/>
      <c r="H1379" s="405"/>
      <c r="I1379" s="405"/>
      <c r="J1379" s="405"/>
      <c r="K1379" s="405"/>
      <c r="L1379" s="405"/>
      <c r="M1379" s="405"/>
      <c r="N1379" s="405"/>
      <c r="O1379" s="405"/>
      <c r="P1379" s="405"/>
      <c r="Q1379" s="405"/>
      <c r="R1379" s="405"/>
      <c r="S1379" s="405"/>
      <c r="T1379" s="405"/>
      <c r="U1379" s="405"/>
      <c r="V1379" s="405"/>
      <c r="W1379" s="405"/>
      <c r="X1379" s="405"/>
      <c r="Y1379" s="405"/>
      <c r="Z1379" s="405"/>
    </row>
    <row r="1380" ht="14.25" customHeight="1">
      <c r="A1380" s="656"/>
      <c r="B1380" s="405"/>
      <c r="C1380" s="405"/>
      <c r="D1380" s="405"/>
      <c r="E1380" s="405"/>
      <c r="F1380" s="657"/>
      <c r="G1380" s="583"/>
      <c r="H1380" s="405"/>
      <c r="I1380" s="405"/>
      <c r="J1380" s="405"/>
      <c r="K1380" s="405"/>
      <c r="L1380" s="405"/>
      <c r="M1380" s="405"/>
      <c r="N1380" s="405"/>
      <c r="O1380" s="405"/>
      <c r="P1380" s="405"/>
      <c r="Q1380" s="405"/>
      <c r="R1380" s="405"/>
      <c r="S1380" s="405"/>
      <c r="T1380" s="405"/>
      <c r="U1380" s="405"/>
      <c r="V1380" s="405"/>
      <c r="W1380" s="405"/>
      <c r="X1380" s="405"/>
      <c r="Y1380" s="405"/>
      <c r="Z1380" s="405"/>
    </row>
    <row r="1381" ht="14.25" customHeight="1">
      <c r="A1381" s="656"/>
      <c r="B1381" s="405"/>
      <c r="C1381" s="405"/>
      <c r="D1381" s="405"/>
      <c r="E1381" s="405"/>
      <c r="F1381" s="657"/>
      <c r="G1381" s="583"/>
      <c r="H1381" s="405"/>
      <c r="I1381" s="405"/>
      <c r="J1381" s="405"/>
      <c r="K1381" s="405"/>
      <c r="L1381" s="405"/>
      <c r="M1381" s="405"/>
      <c r="N1381" s="405"/>
      <c r="O1381" s="405"/>
      <c r="P1381" s="405"/>
      <c r="Q1381" s="405"/>
      <c r="R1381" s="405"/>
      <c r="S1381" s="405"/>
      <c r="T1381" s="405"/>
      <c r="U1381" s="405"/>
      <c r="V1381" s="405"/>
      <c r="W1381" s="405"/>
      <c r="X1381" s="405"/>
      <c r="Y1381" s="405"/>
      <c r="Z1381" s="405"/>
    </row>
    <row r="1382" ht="14.25" customHeight="1">
      <c r="A1382" s="656"/>
      <c r="B1382" s="405"/>
      <c r="C1382" s="405"/>
      <c r="D1382" s="405"/>
      <c r="E1382" s="405"/>
      <c r="F1382" s="657"/>
      <c r="G1382" s="583"/>
      <c r="H1382" s="405"/>
      <c r="I1382" s="405"/>
      <c r="J1382" s="405"/>
      <c r="K1382" s="405"/>
      <c r="L1382" s="405"/>
      <c r="M1382" s="405"/>
      <c r="N1382" s="405"/>
      <c r="O1382" s="405"/>
      <c r="P1382" s="405"/>
      <c r="Q1382" s="405"/>
      <c r="R1382" s="405"/>
      <c r="S1382" s="405"/>
      <c r="T1382" s="405"/>
      <c r="U1382" s="405"/>
      <c r="V1382" s="405"/>
      <c r="W1382" s="405"/>
      <c r="X1382" s="405"/>
      <c r="Y1382" s="405"/>
      <c r="Z1382" s="405"/>
    </row>
    <row r="1383" ht="14.25" customHeight="1">
      <c r="A1383" s="656"/>
      <c r="B1383" s="405"/>
      <c r="C1383" s="405"/>
      <c r="D1383" s="405"/>
      <c r="E1383" s="405"/>
      <c r="F1383" s="657"/>
      <c r="G1383" s="583"/>
      <c r="H1383" s="405"/>
      <c r="I1383" s="405"/>
      <c r="J1383" s="405"/>
      <c r="K1383" s="405"/>
      <c r="L1383" s="405"/>
      <c r="M1383" s="405"/>
      <c r="N1383" s="405"/>
      <c r="O1383" s="405"/>
      <c r="P1383" s="405"/>
      <c r="Q1383" s="405"/>
      <c r="R1383" s="405"/>
      <c r="S1383" s="405"/>
      <c r="T1383" s="405"/>
      <c r="U1383" s="405"/>
      <c r="V1383" s="405"/>
      <c r="W1383" s="405"/>
      <c r="X1383" s="405"/>
      <c r="Y1383" s="405"/>
      <c r="Z1383" s="405"/>
    </row>
    <row r="1384" ht="14.25" customHeight="1">
      <c r="A1384" s="656"/>
      <c r="B1384" s="405"/>
      <c r="C1384" s="405"/>
      <c r="D1384" s="405"/>
      <c r="E1384" s="405"/>
      <c r="F1384" s="657"/>
      <c r="G1384" s="583"/>
      <c r="H1384" s="405"/>
      <c r="I1384" s="405"/>
      <c r="J1384" s="405"/>
      <c r="K1384" s="405"/>
      <c r="L1384" s="405"/>
      <c r="M1384" s="405"/>
      <c r="N1384" s="405"/>
      <c r="O1384" s="405"/>
      <c r="P1384" s="405"/>
      <c r="Q1384" s="405"/>
      <c r="R1384" s="405"/>
      <c r="S1384" s="405"/>
      <c r="T1384" s="405"/>
      <c r="U1384" s="405"/>
      <c r="V1384" s="405"/>
      <c r="W1384" s="405"/>
      <c r="X1384" s="405"/>
      <c r="Y1384" s="405"/>
      <c r="Z1384" s="405"/>
    </row>
    <row r="1385" ht="14.25" customHeight="1">
      <c r="A1385" s="656"/>
      <c r="B1385" s="405"/>
      <c r="C1385" s="405"/>
      <c r="D1385" s="405"/>
      <c r="E1385" s="405"/>
      <c r="F1385" s="657"/>
      <c r="G1385" s="583"/>
      <c r="H1385" s="405"/>
      <c r="I1385" s="405"/>
      <c r="J1385" s="405"/>
      <c r="K1385" s="405"/>
      <c r="L1385" s="405"/>
      <c r="M1385" s="405"/>
      <c r="N1385" s="405"/>
      <c r="O1385" s="405"/>
      <c r="P1385" s="405"/>
      <c r="Q1385" s="405"/>
      <c r="R1385" s="405"/>
      <c r="S1385" s="405"/>
      <c r="T1385" s="405"/>
      <c r="U1385" s="405"/>
      <c r="V1385" s="405"/>
      <c r="W1385" s="405"/>
      <c r="X1385" s="405"/>
      <c r="Y1385" s="405"/>
      <c r="Z1385" s="405"/>
    </row>
    <row r="1386" ht="14.25" customHeight="1">
      <c r="A1386" s="656"/>
      <c r="B1386" s="405"/>
      <c r="C1386" s="405"/>
      <c r="D1386" s="405"/>
      <c r="E1386" s="405"/>
      <c r="F1386" s="657"/>
      <c r="G1386" s="583"/>
      <c r="H1386" s="405"/>
      <c r="I1386" s="405"/>
      <c r="J1386" s="405"/>
      <c r="K1386" s="405"/>
      <c r="L1386" s="405"/>
      <c r="M1386" s="405"/>
      <c r="N1386" s="405"/>
      <c r="O1386" s="405"/>
      <c r="P1386" s="405"/>
      <c r="Q1386" s="405"/>
      <c r="R1386" s="405"/>
      <c r="S1386" s="405"/>
      <c r="T1386" s="405"/>
      <c r="U1386" s="405"/>
      <c r="V1386" s="405"/>
      <c r="W1386" s="405"/>
      <c r="X1386" s="405"/>
      <c r="Y1386" s="405"/>
      <c r="Z1386" s="405"/>
    </row>
    <row r="1387" ht="14.25" customHeight="1">
      <c r="A1387" s="656"/>
      <c r="B1387" s="405"/>
      <c r="C1387" s="405"/>
      <c r="D1387" s="405"/>
      <c r="E1387" s="405"/>
      <c r="F1387" s="657"/>
      <c r="G1387" s="583"/>
      <c r="H1387" s="405"/>
      <c r="I1387" s="405"/>
      <c r="J1387" s="405"/>
      <c r="K1387" s="405"/>
      <c r="L1387" s="405"/>
      <c r="M1387" s="405"/>
      <c r="N1387" s="405"/>
      <c r="O1387" s="405"/>
      <c r="P1387" s="405"/>
      <c r="Q1387" s="405"/>
      <c r="R1387" s="405"/>
      <c r="S1387" s="405"/>
      <c r="T1387" s="405"/>
      <c r="U1387" s="405"/>
      <c r="V1387" s="405"/>
      <c r="W1387" s="405"/>
      <c r="X1387" s="405"/>
      <c r="Y1387" s="405"/>
      <c r="Z1387" s="405"/>
    </row>
    <row r="1388" ht="14.25" customHeight="1">
      <c r="A1388" s="656"/>
      <c r="B1388" s="405"/>
      <c r="C1388" s="405"/>
      <c r="D1388" s="405"/>
      <c r="E1388" s="405"/>
      <c r="F1388" s="657"/>
      <c r="G1388" s="583"/>
      <c r="H1388" s="405"/>
      <c r="I1388" s="405"/>
      <c r="J1388" s="405"/>
      <c r="K1388" s="405"/>
      <c r="L1388" s="405"/>
      <c r="M1388" s="405"/>
      <c r="N1388" s="405"/>
      <c r="O1388" s="405"/>
      <c r="P1388" s="405"/>
      <c r="Q1388" s="405"/>
      <c r="R1388" s="405"/>
      <c r="S1388" s="405"/>
      <c r="T1388" s="405"/>
      <c r="U1388" s="405"/>
      <c r="V1388" s="405"/>
      <c r="W1388" s="405"/>
      <c r="X1388" s="405"/>
      <c r="Y1388" s="405"/>
      <c r="Z1388" s="405"/>
    </row>
    <row r="1389" ht="14.25" customHeight="1">
      <c r="A1389" s="656"/>
      <c r="B1389" s="405"/>
      <c r="C1389" s="405"/>
      <c r="D1389" s="405"/>
      <c r="E1389" s="405"/>
      <c r="F1389" s="657"/>
      <c r="G1389" s="583"/>
      <c r="H1389" s="405"/>
      <c r="I1389" s="405"/>
      <c r="J1389" s="405"/>
      <c r="K1389" s="405"/>
      <c r="L1389" s="405"/>
      <c r="M1389" s="405"/>
      <c r="N1389" s="405"/>
      <c r="O1389" s="405"/>
      <c r="P1389" s="405"/>
      <c r="Q1389" s="405"/>
      <c r="R1389" s="405"/>
      <c r="S1389" s="405"/>
      <c r="T1389" s="405"/>
      <c r="U1389" s="405"/>
      <c r="V1389" s="405"/>
      <c r="W1389" s="405"/>
      <c r="X1389" s="405"/>
      <c r="Y1389" s="405"/>
      <c r="Z1389" s="405"/>
    </row>
    <row r="1390" ht="14.25" customHeight="1">
      <c r="A1390" s="656"/>
      <c r="B1390" s="405"/>
      <c r="C1390" s="405"/>
      <c r="D1390" s="405"/>
      <c r="E1390" s="405"/>
      <c r="F1390" s="657"/>
      <c r="G1390" s="583"/>
      <c r="H1390" s="405"/>
      <c r="I1390" s="405"/>
      <c r="J1390" s="405"/>
      <c r="K1390" s="405"/>
      <c r="L1390" s="405"/>
      <c r="M1390" s="405"/>
      <c r="N1390" s="405"/>
      <c r="O1390" s="405"/>
      <c r="P1390" s="405"/>
      <c r="Q1390" s="405"/>
      <c r="R1390" s="405"/>
      <c r="S1390" s="405"/>
      <c r="T1390" s="405"/>
      <c r="U1390" s="405"/>
      <c r="V1390" s="405"/>
      <c r="W1390" s="405"/>
      <c r="X1390" s="405"/>
      <c r="Y1390" s="405"/>
      <c r="Z1390" s="405"/>
    </row>
    <row r="1391" ht="14.25" customHeight="1">
      <c r="A1391" s="656"/>
      <c r="B1391" s="405"/>
      <c r="C1391" s="405"/>
      <c r="D1391" s="405"/>
      <c r="E1391" s="405"/>
      <c r="F1391" s="657"/>
      <c r="G1391" s="583"/>
      <c r="H1391" s="405"/>
      <c r="I1391" s="405"/>
      <c r="J1391" s="405"/>
      <c r="K1391" s="405"/>
      <c r="L1391" s="405"/>
      <c r="M1391" s="405"/>
      <c r="N1391" s="405"/>
      <c r="O1391" s="405"/>
      <c r="P1391" s="405"/>
      <c r="Q1391" s="405"/>
      <c r="R1391" s="405"/>
      <c r="S1391" s="405"/>
      <c r="T1391" s="405"/>
      <c r="U1391" s="405"/>
      <c r="V1391" s="405"/>
      <c r="W1391" s="405"/>
      <c r="X1391" s="405"/>
      <c r="Y1391" s="405"/>
      <c r="Z1391" s="405"/>
    </row>
    <row r="1392" ht="14.25" customHeight="1">
      <c r="A1392" s="656"/>
      <c r="B1392" s="405"/>
      <c r="C1392" s="405"/>
      <c r="D1392" s="405"/>
      <c r="E1392" s="405"/>
      <c r="F1392" s="657"/>
      <c r="G1392" s="583"/>
      <c r="H1392" s="405"/>
      <c r="I1392" s="405"/>
      <c r="J1392" s="405"/>
      <c r="K1392" s="405"/>
      <c r="L1392" s="405"/>
      <c r="M1392" s="405"/>
      <c r="N1392" s="405"/>
      <c r="O1392" s="405"/>
      <c r="P1392" s="405"/>
      <c r="Q1392" s="405"/>
      <c r="R1392" s="405"/>
      <c r="S1392" s="405"/>
      <c r="T1392" s="405"/>
      <c r="U1392" s="405"/>
      <c r="V1392" s="405"/>
      <c r="W1392" s="405"/>
      <c r="X1392" s="405"/>
      <c r="Y1392" s="405"/>
      <c r="Z1392" s="405"/>
    </row>
    <row r="1393" ht="14.25" customHeight="1">
      <c r="A1393" s="656"/>
      <c r="B1393" s="405"/>
      <c r="C1393" s="405"/>
      <c r="D1393" s="405"/>
      <c r="E1393" s="405"/>
      <c r="F1393" s="657"/>
      <c r="G1393" s="583"/>
      <c r="H1393" s="405"/>
      <c r="I1393" s="405"/>
      <c r="J1393" s="405"/>
      <c r="K1393" s="405"/>
      <c r="L1393" s="405"/>
      <c r="M1393" s="405"/>
      <c r="N1393" s="405"/>
      <c r="O1393" s="405"/>
      <c r="P1393" s="405"/>
      <c r="Q1393" s="405"/>
      <c r="R1393" s="405"/>
      <c r="S1393" s="405"/>
      <c r="T1393" s="405"/>
      <c r="U1393" s="405"/>
      <c r="V1393" s="405"/>
      <c r="W1393" s="405"/>
      <c r="X1393" s="405"/>
      <c r="Y1393" s="405"/>
      <c r="Z1393" s="405"/>
    </row>
    <row r="1394" ht="14.25" customHeight="1">
      <c r="A1394" s="656"/>
      <c r="B1394" s="405"/>
      <c r="C1394" s="405"/>
      <c r="D1394" s="405"/>
      <c r="E1394" s="405"/>
      <c r="F1394" s="657"/>
      <c r="G1394" s="583"/>
      <c r="H1394" s="405"/>
      <c r="I1394" s="405"/>
      <c r="J1394" s="405"/>
      <c r="K1394" s="405"/>
      <c r="L1394" s="405"/>
      <c r="M1394" s="405"/>
      <c r="N1394" s="405"/>
      <c r="O1394" s="405"/>
      <c r="P1394" s="405"/>
      <c r="Q1394" s="405"/>
      <c r="R1394" s="405"/>
      <c r="S1394" s="405"/>
      <c r="T1394" s="405"/>
      <c r="U1394" s="405"/>
      <c r="V1394" s="405"/>
      <c r="W1394" s="405"/>
      <c r="X1394" s="405"/>
      <c r="Y1394" s="405"/>
      <c r="Z1394" s="405"/>
    </row>
    <row r="1395" ht="14.25" customHeight="1">
      <c r="A1395" s="656"/>
      <c r="B1395" s="405"/>
      <c r="C1395" s="405"/>
      <c r="D1395" s="405"/>
      <c r="E1395" s="405"/>
      <c r="F1395" s="657"/>
      <c r="G1395" s="583"/>
      <c r="H1395" s="405"/>
      <c r="I1395" s="405"/>
      <c r="J1395" s="405"/>
      <c r="K1395" s="405"/>
      <c r="L1395" s="405"/>
      <c r="M1395" s="405"/>
      <c r="N1395" s="405"/>
      <c r="O1395" s="405"/>
      <c r="P1395" s="405"/>
      <c r="Q1395" s="405"/>
      <c r="R1395" s="405"/>
      <c r="S1395" s="405"/>
      <c r="T1395" s="405"/>
      <c r="U1395" s="405"/>
      <c r="V1395" s="405"/>
      <c r="W1395" s="405"/>
      <c r="X1395" s="405"/>
      <c r="Y1395" s="405"/>
      <c r="Z1395" s="405"/>
    </row>
    <row r="1396" ht="14.25" customHeight="1">
      <c r="A1396" s="656"/>
      <c r="B1396" s="405"/>
      <c r="C1396" s="405"/>
      <c r="D1396" s="405"/>
      <c r="E1396" s="405"/>
      <c r="F1396" s="657"/>
      <c r="G1396" s="583"/>
      <c r="H1396" s="405"/>
      <c r="I1396" s="405"/>
      <c r="J1396" s="405"/>
      <c r="K1396" s="405"/>
      <c r="L1396" s="405"/>
      <c r="M1396" s="405"/>
      <c r="N1396" s="405"/>
      <c r="O1396" s="405"/>
      <c r="P1396" s="405"/>
      <c r="Q1396" s="405"/>
      <c r="R1396" s="405"/>
      <c r="S1396" s="405"/>
      <c r="T1396" s="405"/>
      <c r="U1396" s="405"/>
      <c r="V1396" s="405"/>
      <c r="W1396" s="405"/>
      <c r="X1396" s="405"/>
      <c r="Y1396" s="405"/>
      <c r="Z1396" s="405"/>
    </row>
    <row r="1397" ht="14.25" customHeight="1">
      <c r="A1397" s="656"/>
      <c r="B1397" s="405"/>
      <c r="C1397" s="405"/>
      <c r="D1397" s="405"/>
      <c r="E1397" s="405"/>
      <c r="F1397" s="657"/>
      <c r="G1397" s="583"/>
      <c r="H1397" s="405"/>
      <c r="I1397" s="405"/>
      <c r="J1397" s="405"/>
      <c r="K1397" s="405"/>
      <c r="L1397" s="405"/>
      <c r="M1397" s="405"/>
      <c r="N1397" s="405"/>
      <c r="O1397" s="405"/>
      <c r="P1397" s="405"/>
      <c r="Q1397" s="405"/>
      <c r="R1397" s="405"/>
      <c r="S1397" s="405"/>
      <c r="T1397" s="405"/>
      <c r="U1397" s="405"/>
      <c r="V1397" s="405"/>
      <c r="W1397" s="405"/>
      <c r="X1397" s="405"/>
      <c r="Y1397" s="405"/>
      <c r="Z1397" s="405"/>
    </row>
    <row r="1398" ht="14.25" customHeight="1">
      <c r="A1398" s="656"/>
      <c r="B1398" s="405"/>
      <c r="C1398" s="405"/>
      <c r="D1398" s="405"/>
      <c r="E1398" s="405"/>
      <c r="F1398" s="657"/>
      <c r="G1398" s="583"/>
      <c r="H1398" s="405"/>
      <c r="I1398" s="405"/>
      <c r="J1398" s="405"/>
      <c r="K1398" s="405"/>
      <c r="L1398" s="405"/>
      <c r="M1398" s="405"/>
      <c r="N1398" s="405"/>
      <c r="O1398" s="405"/>
      <c r="P1398" s="405"/>
      <c r="Q1398" s="405"/>
      <c r="R1398" s="405"/>
      <c r="S1398" s="405"/>
      <c r="T1398" s="405"/>
      <c r="U1398" s="405"/>
      <c r="V1398" s="405"/>
      <c r="W1398" s="405"/>
      <c r="X1398" s="405"/>
      <c r="Y1398" s="405"/>
      <c r="Z1398" s="405"/>
    </row>
    <row r="1399" ht="14.25" customHeight="1">
      <c r="A1399" s="656"/>
      <c r="B1399" s="405"/>
      <c r="C1399" s="405"/>
      <c r="D1399" s="405"/>
      <c r="E1399" s="405"/>
      <c r="F1399" s="657"/>
      <c r="G1399" s="583"/>
      <c r="H1399" s="405"/>
      <c r="I1399" s="405"/>
      <c r="J1399" s="405"/>
      <c r="K1399" s="405"/>
      <c r="L1399" s="405"/>
      <c r="M1399" s="405"/>
      <c r="N1399" s="405"/>
      <c r="O1399" s="405"/>
      <c r="P1399" s="405"/>
      <c r="Q1399" s="405"/>
      <c r="R1399" s="405"/>
      <c r="S1399" s="405"/>
      <c r="T1399" s="405"/>
      <c r="U1399" s="405"/>
      <c r="V1399" s="405"/>
      <c r="W1399" s="405"/>
      <c r="X1399" s="405"/>
      <c r="Y1399" s="405"/>
      <c r="Z1399" s="405"/>
    </row>
    <row r="1400" ht="14.25" customHeight="1">
      <c r="A1400" s="656"/>
      <c r="B1400" s="405"/>
      <c r="C1400" s="405"/>
      <c r="D1400" s="405"/>
      <c r="E1400" s="405"/>
      <c r="F1400" s="657"/>
      <c r="G1400" s="583"/>
      <c r="H1400" s="405"/>
      <c r="I1400" s="405"/>
      <c r="J1400" s="405"/>
      <c r="K1400" s="405"/>
      <c r="L1400" s="405"/>
      <c r="M1400" s="405"/>
      <c r="N1400" s="405"/>
      <c r="O1400" s="405"/>
      <c r="P1400" s="405"/>
      <c r="Q1400" s="405"/>
      <c r="R1400" s="405"/>
      <c r="S1400" s="405"/>
      <c r="T1400" s="405"/>
      <c r="U1400" s="405"/>
      <c r="V1400" s="405"/>
      <c r="W1400" s="405"/>
      <c r="X1400" s="405"/>
      <c r="Y1400" s="405"/>
      <c r="Z1400" s="405"/>
    </row>
    <row r="1401" ht="14.25" customHeight="1">
      <c r="A1401" s="656"/>
      <c r="B1401" s="405"/>
      <c r="C1401" s="405"/>
      <c r="D1401" s="405"/>
      <c r="E1401" s="405"/>
      <c r="F1401" s="657"/>
      <c r="G1401" s="583"/>
      <c r="H1401" s="405"/>
      <c r="I1401" s="405"/>
      <c r="J1401" s="405"/>
      <c r="K1401" s="405"/>
      <c r="L1401" s="405"/>
      <c r="M1401" s="405"/>
      <c r="N1401" s="405"/>
      <c r="O1401" s="405"/>
      <c r="P1401" s="405"/>
      <c r="Q1401" s="405"/>
      <c r="R1401" s="405"/>
      <c r="S1401" s="405"/>
      <c r="T1401" s="405"/>
      <c r="U1401" s="405"/>
      <c r="V1401" s="405"/>
      <c r="W1401" s="405"/>
      <c r="X1401" s="405"/>
      <c r="Y1401" s="405"/>
      <c r="Z1401" s="405"/>
    </row>
    <row r="1402" ht="14.25" customHeight="1">
      <c r="A1402" s="656"/>
      <c r="B1402" s="405"/>
      <c r="C1402" s="405"/>
      <c r="D1402" s="405"/>
      <c r="E1402" s="405"/>
      <c r="F1402" s="657"/>
      <c r="G1402" s="583"/>
      <c r="H1402" s="405"/>
      <c r="I1402" s="405"/>
      <c r="J1402" s="405"/>
      <c r="K1402" s="405"/>
      <c r="L1402" s="405"/>
      <c r="M1402" s="405"/>
      <c r="N1402" s="405"/>
      <c r="O1402" s="405"/>
      <c r="P1402" s="405"/>
      <c r="Q1402" s="405"/>
      <c r="R1402" s="405"/>
      <c r="S1402" s="405"/>
      <c r="T1402" s="405"/>
      <c r="U1402" s="405"/>
      <c r="V1402" s="405"/>
      <c r="W1402" s="405"/>
      <c r="X1402" s="405"/>
      <c r="Y1402" s="405"/>
      <c r="Z1402" s="405"/>
    </row>
    <row r="1403" ht="14.25" customHeight="1">
      <c r="A1403" s="656"/>
      <c r="B1403" s="405"/>
      <c r="C1403" s="405"/>
      <c r="D1403" s="405"/>
      <c r="E1403" s="405"/>
      <c r="F1403" s="657"/>
      <c r="G1403" s="583"/>
      <c r="H1403" s="405"/>
      <c r="I1403" s="405"/>
      <c r="J1403" s="405"/>
      <c r="K1403" s="405"/>
      <c r="L1403" s="405"/>
      <c r="M1403" s="405"/>
      <c r="N1403" s="405"/>
      <c r="O1403" s="405"/>
      <c r="P1403" s="405"/>
      <c r="Q1403" s="405"/>
      <c r="R1403" s="405"/>
      <c r="S1403" s="405"/>
      <c r="T1403" s="405"/>
      <c r="U1403" s="405"/>
      <c r="V1403" s="405"/>
      <c r="W1403" s="405"/>
      <c r="X1403" s="405"/>
      <c r="Y1403" s="405"/>
      <c r="Z1403" s="405"/>
    </row>
    <row r="1404" ht="14.25" customHeight="1">
      <c r="A1404" s="656"/>
      <c r="B1404" s="405"/>
      <c r="C1404" s="405"/>
      <c r="D1404" s="405"/>
      <c r="E1404" s="405"/>
      <c r="F1404" s="657"/>
      <c r="G1404" s="583"/>
      <c r="H1404" s="405"/>
      <c r="I1404" s="405"/>
      <c r="J1404" s="405"/>
      <c r="K1404" s="405"/>
      <c r="L1404" s="405"/>
      <c r="M1404" s="405"/>
      <c r="N1404" s="405"/>
      <c r="O1404" s="405"/>
      <c r="P1404" s="405"/>
      <c r="Q1404" s="405"/>
      <c r="R1404" s="405"/>
      <c r="S1404" s="405"/>
      <c r="T1404" s="405"/>
      <c r="U1404" s="405"/>
      <c r="V1404" s="405"/>
      <c r="W1404" s="405"/>
      <c r="X1404" s="405"/>
      <c r="Y1404" s="405"/>
      <c r="Z1404" s="405"/>
    </row>
    <row r="1405" ht="14.25" customHeight="1">
      <c r="A1405" s="656"/>
      <c r="B1405" s="405"/>
      <c r="C1405" s="405"/>
      <c r="D1405" s="405"/>
      <c r="E1405" s="405"/>
      <c r="F1405" s="657"/>
      <c r="G1405" s="583"/>
      <c r="H1405" s="405"/>
      <c r="I1405" s="405"/>
      <c r="J1405" s="405"/>
      <c r="K1405" s="405"/>
      <c r="L1405" s="405"/>
      <c r="M1405" s="405"/>
      <c r="N1405" s="405"/>
      <c r="O1405" s="405"/>
      <c r="P1405" s="405"/>
      <c r="Q1405" s="405"/>
      <c r="R1405" s="405"/>
      <c r="S1405" s="405"/>
      <c r="T1405" s="405"/>
      <c r="U1405" s="405"/>
      <c r="V1405" s="405"/>
      <c r="W1405" s="405"/>
      <c r="X1405" s="405"/>
      <c r="Y1405" s="405"/>
      <c r="Z1405" s="405"/>
    </row>
    <row r="1406" ht="14.25" customHeight="1">
      <c r="A1406" s="656"/>
      <c r="B1406" s="405"/>
      <c r="C1406" s="405"/>
      <c r="D1406" s="405"/>
      <c r="E1406" s="405"/>
      <c r="F1406" s="657"/>
      <c r="G1406" s="583"/>
      <c r="H1406" s="405"/>
      <c r="I1406" s="405"/>
      <c r="J1406" s="405"/>
      <c r="K1406" s="405"/>
      <c r="L1406" s="405"/>
      <c r="M1406" s="405"/>
      <c r="N1406" s="405"/>
      <c r="O1406" s="405"/>
      <c r="P1406" s="405"/>
      <c r="Q1406" s="405"/>
      <c r="R1406" s="405"/>
      <c r="S1406" s="405"/>
      <c r="T1406" s="405"/>
      <c r="U1406" s="405"/>
      <c r="V1406" s="405"/>
      <c r="W1406" s="405"/>
      <c r="X1406" s="405"/>
      <c r="Y1406" s="405"/>
      <c r="Z1406" s="405"/>
    </row>
    <row r="1407" ht="14.25" customHeight="1">
      <c r="A1407" s="656"/>
      <c r="B1407" s="405"/>
      <c r="C1407" s="405"/>
      <c r="D1407" s="405"/>
      <c r="E1407" s="405"/>
      <c r="F1407" s="657"/>
      <c r="G1407" s="583"/>
      <c r="H1407" s="405"/>
      <c r="I1407" s="405"/>
      <c r="J1407" s="405"/>
      <c r="K1407" s="405"/>
      <c r="L1407" s="405"/>
      <c r="M1407" s="405"/>
      <c r="N1407" s="405"/>
      <c r="O1407" s="405"/>
      <c r="P1407" s="405"/>
      <c r="Q1407" s="405"/>
      <c r="R1407" s="405"/>
      <c r="S1407" s="405"/>
      <c r="T1407" s="405"/>
      <c r="U1407" s="405"/>
      <c r="V1407" s="405"/>
      <c r="W1407" s="405"/>
      <c r="X1407" s="405"/>
      <c r="Y1407" s="405"/>
      <c r="Z1407" s="405"/>
    </row>
    <row r="1408" ht="14.25" customHeight="1">
      <c r="A1408" s="656"/>
      <c r="B1408" s="405"/>
      <c r="C1408" s="405"/>
      <c r="D1408" s="405"/>
      <c r="E1408" s="405"/>
      <c r="F1408" s="657"/>
      <c r="G1408" s="583"/>
      <c r="H1408" s="405"/>
      <c r="I1408" s="405"/>
      <c r="J1408" s="405"/>
      <c r="K1408" s="405"/>
      <c r="L1408" s="405"/>
      <c r="M1408" s="405"/>
      <c r="N1408" s="405"/>
      <c r="O1408" s="405"/>
      <c r="P1408" s="405"/>
      <c r="Q1408" s="405"/>
      <c r="R1408" s="405"/>
      <c r="S1408" s="405"/>
      <c r="T1408" s="405"/>
      <c r="U1408" s="405"/>
      <c r="V1408" s="405"/>
      <c r="W1408" s="405"/>
      <c r="X1408" s="405"/>
      <c r="Y1408" s="405"/>
      <c r="Z1408" s="405"/>
    </row>
    <row r="1409" ht="14.25" customHeight="1">
      <c r="A1409" s="656"/>
      <c r="B1409" s="405"/>
      <c r="C1409" s="405"/>
      <c r="D1409" s="405"/>
      <c r="E1409" s="405"/>
      <c r="F1409" s="657"/>
      <c r="G1409" s="583"/>
      <c r="H1409" s="405"/>
      <c r="I1409" s="405"/>
      <c r="J1409" s="405"/>
      <c r="K1409" s="405"/>
      <c r="L1409" s="405"/>
      <c r="M1409" s="405"/>
      <c r="N1409" s="405"/>
      <c r="O1409" s="405"/>
      <c r="P1409" s="405"/>
      <c r="Q1409" s="405"/>
      <c r="R1409" s="405"/>
      <c r="S1409" s="405"/>
      <c r="T1409" s="405"/>
      <c r="U1409" s="405"/>
      <c r="V1409" s="405"/>
      <c r="W1409" s="405"/>
      <c r="X1409" s="405"/>
      <c r="Y1409" s="405"/>
      <c r="Z1409" s="405"/>
    </row>
    <row r="1410" ht="14.25" customHeight="1">
      <c r="A1410" s="656"/>
      <c r="B1410" s="405"/>
      <c r="C1410" s="405"/>
      <c r="D1410" s="405"/>
      <c r="E1410" s="405"/>
      <c r="F1410" s="657"/>
      <c r="G1410" s="583"/>
      <c r="H1410" s="405"/>
      <c r="I1410" s="405"/>
      <c r="J1410" s="405"/>
      <c r="K1410" s="405"/>
      <c r="L1410" s="405"/>
      <c r="M1410" s="405"/>
      <c r="N1410" s="405"/>
      <c r="O1410" s="405"/>
      <c r="P1410" s="405"/>
      <c r="Q1410" s="405"/>
      <c r="R1410" s="405"/>
      <c r="S1410" s="405"/>
      <c r="T1410" s="405"/>
      <c r="U1410" s="405"/>
      <c r="V1410" s="405"/>
      <c r="W1410" s="405"/>
      <c r="X1410" s="405"/>
      <c r="Y1410" s="405"/>
      <c r="Z1410" s="405"/>
    </row>
    <row r="1411" ht="14.25" customHeight="1">
      <c r="A1411" s="656"/>
      <c r="B1411" s="405"/>
      <c r="C1411" s="405"/>
      <c r="D1411" s="405"/>
      <c r="E1411" s="405"/>
      <c r="F1411" s="657"/>
      <c r="G1411" s="583"/>
      <c r="H1411" s="405"/>
      <c r="I1411" s="405"/>
      <c r="J1411" s="405"/>
      <c r="K1411" s="405"/>
      <c r="L1411" s="405"/>
      <c r="M1411" s="405"/>
      <c r="N1411" s="405"/>
      <c r="O1411" s="405"/>
      <c r="P1411" s="405"/>
      <c r="Q1411" s="405"/>
      <c r="R1411" s="405"/>
      <c r="S1411" s="405"/>
      <c r="T1411" s="405"/>
      <c r="U1411" s="405"/>
      <c r="V1411" s="405"/>
      <c r="W1411" s="405"/>
      <c r="X1411" s="405"/>
      <c r="Y1411" s="405"/>
      <c r="Z1411" s="405"/>
    </row>
    <row r="1412" ht="14.25" customHeight="1">
      <c r="A1412" s="656"/>
      <c r="B1412" s="405"/>
      <c r="C1412" s="405"/>
      <c r="D1412" s="405"/>
      <c r="E1412" s="405"/>
      <c r="F1412" s="657"/>
      <c r="G1412" s="583"/>
      <c r="H1412" s="405"/>
      <c r="I1412" s="405"/>
      <c r="J1412" s="405"/>
      <c r="K1412" s="405"/>
      <c r="L1412" s="405"/>
      <c r="M1412" s="405"/>
      <c r="N1412" s="405"/>
      <c r="O1412" s="405"/>
      <c r="P1412" s="405"/>
      <c r="Q1412" s="405"/>
      <c r="R1412" s="405"/>
      <c r="S1412" s="405"/>
      <c r="T1412" s="405"/>
      <c r="U1412" s="405"/>
      <c r="V1412" s="405"/>
      <c r="W1412" s="405"/>
      <c r="X1412" s="405"/>
      <c r="Y1412" s="405"/>
      <c r="Z1412" s="405"/>
    </row>
    <row r="1413" ht="14.25" customHeight="1">
      <c r="A1413" s="656"/>
      <c r="B1413" s="405"/>
      <c r="C1413" s="405"/>
      <c r="D1413" s="405"/>
      <c r="E1413" s="405"/>
      <c r="F1413" s="657"/>
      <c r="G1413" s="583"/>
      <c r="H1413" s="405"/>
      <c r="I1413" s="405"/>
      <c r="J1413" s="405"/>
      <c r="K1413" s="405"/>
      <c r="L1413" s="405"/>
      <c r="M1413" s="405"/>
      <c r="N1413" s="405"/>
      <c r="O1413" s="405"/>
      <c r="P1413" s="405"/>
      <c r="Q1413" s="405"/>
      <c r="R1413" s="405"/>
      <c r="S1413" s="405"/>
      <c r="T1413" s="405"/>
      <c r="U1413" s="405"/>
      <c r="V1413" s="405"/>
      <c r="W1413" s="405"/>
      <c r="X1413" s="405"/>
      <c r="Y1413" s="405"/>
      <c r="Z1413" s="405"/>
    </row>
    <row r="1414" ht="14.25" customHeight="1">
      <c r="A1414" s="656"/>
      <c r="B1414" s="405"/>
      <c r="C1414" s="405"/>
      <c r="D1414" s="405"/>
      <c r="E1414" s="405"/>
      <c r="F1414" s="657"/>
      <c r="G1414" s="583"/>
      <c r="H1414" s="405"/>
      <c r="I1414" s="405"/>
      <c r="J1414" s="405"/>
      <c r="K1414" s="405"/>
      <c r="L1414" s="405"/>
      <c r="M1414" s="405"/>
      <c r="N1414" s="405"/>
      <c r="O1414" s="405"/>
      <c r="P1414" s="405"/>
      <c r="Q1414" s="405"/>
      <c r="R1414" s="405"/>
      <c r="S1414" s="405"/>
      <c r="T1414" s="405"/>
      <c r="U1414" s="405"/>
      <c r="V1414" s="405"/>
      <c r="W1414" s="405"/>
      <c r="X1414" s="405"/>
      <c r="Y1414" s="405"/>
      <c r="Z1414" s="405"/>
    </row>
    <row r="1415" ht="14.25" customHeight="1">
      <c r="A1415" s="656"/>
      <c r="B1415" s="405"/>
      <c r="C1415" s="405"/>
      <c r="D1415" s="405"/>
      <c r="E1415" s="405"/>
      <c r="F1415" s="657"/>
      <c r="G1415" s="583"/>
      <c r="H1415" s="405"/>
      <c r="I1415" s="405"/>
      <c r="J1415" s="405"/>
      <c r="K1415" s="405"/>
      <c r="L1415" s="405"/>
      <c r="M1415" s="405"/>
      <c r="N1415" s="405"/>
      <c r="O1415" s="405"/>
      <c r="P1415" s="405"/>
      <c r="Q1415" s="405"/>
      <c r="R1415" s="405"/>
      <c r="S1415" s="405"/>
      <c r="T1415" s="405"/>
      <c r="U1415" s="405"/>
      <c r="V1415" s="405"/>
      <c r="W1415" s="405"/>
      <c r="X1415" s="405"/>
      <c r="Y1415" s="405"/>
      <c r="Z1415" s="405"/>
    </row>
    <row r="1416" ht="14.25" customHeight="1">
      <c r="A1416" s="656"/>
      <c r="B1416" s="405"/>
      <c r="C1416" s="405"/>
      <c r="D1416" s="405"/>
      <c r="E1416" s="405"/>
      <c r="F1416" s="657"/>
      <c r="G1416" s="583"/>
      <c r="H1416" s="405"/>
      <c r="I1416" s="405"/>
      <c r="J1416" s="405"/>
      <c r="K1416" s="405"/>
      <c r="L1416" s="405"/>
      <c r="M1416" s="405"/>
      <c r="N1416" s="405"/>
      <c r="O1416" s="405"/>
      <c r="P1416" s="405"/>
      <c r="Q1416" s="405"/>
      <c r="R1416" s="405"/>
      <c r="S1416" s="405"/>
      <c r="T1416" s="405"/>
      <c r="U1416" s="405"/>
      <c r="V1416" s="405"/>
      <c r="W1416" s="405"/>
      <c r="X1416" s="405"/>
      <c r="Y1416" s="405"/>
      <c r="Z1416" s="405"/>
    </row>
    <row r="1417" ht="14.25" customHeight="1">
      <c r="A1417" s="656"/>
      <c r="B1417" s="405"/>
      <c r="C1417" s="405"/>
      <c r="D1417" s="405"/>
      <c r="E1417" s="405"/>
      <c r="F1417" s="657"/>
      <c r="G1417" s="583"/>
      <c r="H1417" s="405"/>
      <c r="I1417" s="405"/>
      <c r="J1417" s="405"/>
      <c r="K1417" s="405"/>
      <c r="L1417" s="405"/>
      <c r="M1417" s="405"/>
      <c r="N1417" s="405"/>
      <c r="O1417" s="405"/>
      <c r="P1417" s="405"/>
      <c r="Q1417" s="405"/>
      <c r="R1417" s="405"/>
      <c r="S1417" s="405"/>
      <c r="T1417" s="405"/>
      <c r="U1417" s="405"/>
      <c r="V1417" s="405"/>
      <c r="W1417" s="405"/>
      <c r="X1417" s="405"/>
      <c r="Y1417" s="405"/>
      <c r="Z1417" s="405"/>
    </row>
    <row r="1418" ht="14.25" customHeight="1">
      <c r="A1418" s="656"/>
      <c r="B1418" s="405"/>
      <c r="C1418" s="405"/>
      <c r="D1418" s="405"/>
      <c r="E1418" s="405"/>
      <c r="F1418" s="657"/>
      <c r="G1418" s="583"/>
      <c r="H1418" s="405"/>
      <c r="I1418" s="405"/>
      <c r="J1418" s="405"/>
      <c r="K1418" s="405"/>
      <c r="L1418" s="405"/>
      <c r="M1418" s="405"/>
      <c r="N1418" s="405"/>
      <c r="O1418" s="405"/>
      <c r="P1418" s="405"/>
      <c r="Q1418" s="405"/>
      <c r="R1418" s="405"/>
      <c r="S1418" s="405"/>
      <c r="T1418" s="405"/>
      <c r="U1418" s="405"/>
      <c r="V1418" s="405"/>
      <c r="W1418" s="405"/>
      <c r="X1418" s="405"/>
      <c r="Y1418" s="405"/>
      <c r="Z1418" s="405"/>
    </row>
    <row r="1419" ht="14.25" customHeight="1">
      <c r="A1419" s="656"/>
      <c r="B1419" s="405"/>
      <c r="C1419" s="405"/>
      <c r="D1419" s="405"/>
      <c r="E1419" s="405"/>
      <c r="F1419" s="657"/>
      <c r="G1419" s="583"/>
      <c r="H1419" s="405"/>
      <c r="I1419" s="405"/>
      <c r="J1419" s="405"/>
      <c r="K1419" s="405"/>
      <c r="L1419" s="405"/>
      <c r="M1419" s="405"/>
      <c r="N1419" s="405"/>
      <c r="O1419" s="405"/>
      <c r="P1419" s="405"/>
      <c r="Q1419" s="405"/>
      <c r="R1419" s="405"/>
      <c r="S1419" s="405"/>
      <c r="T1419" s="405"/>
      <c r="U1419" s="405"/>
      <c r="V1419" s="405"/>
      <c r="W1419" s="405"/>
      <c r="X1419" s="405"/>
      <c r="Y1419" s="405"/>
      <c r="Z1419" s="405"/>
    </row>
    <row r="1420" ht="14.25" customHeight="1">
      <c r="A1420" s="656"/>
      <c r="B1420" s="405"/>
      <c r="C1420" s="405"/>
      <c r="D1420" s="405"/>
      <c r="E1420" s="405"/>
      <c r="F1420" s="657"/>
      <c r="G1420" s="583"/>
      <c r="H1420" s="405"/>
      <c r="I1420" s="405"/>
      <c r="J1420" s="405"/>
      <c r="K1420" s="405"/>
      <c r="L1420" s="405"/>
      <c r="M1420" s="405"/>
      <c r="N1420" s="405"/>
      <c r="O1420" s="405"/>
      <c r="P1420" s="405"/>
      <c r="Q1420" s="405"/>
      <c r="R1420" s="405"/>
      <c r="S1420" s="405"/>
      <c r="T1420" s="405"/>
      <c r="U1420" s="405"/>
      <c r="V1420" s="405"/>
      <c r="W1420" s="405"/>
      <c r="X1420" s="405"/>
      <c r="Y1420" s="405"/>
      <c r="Z1420" s="405"/>
    </row>
    <row r="1421" ht="14.25" customHeight="1">
      <c r="A1421" s="656"/>
      <c r="B1421" s="405"/>
      <c r="C1421" s="405"/>
      <c r="D1421" s="405"/>
      <c r="E1421" s="405"/>
      <c r="F1421" s="657"/>
      <c r="G1421" s="583"/>
      <c r="H1421" s="405"/>
      <c r="I1421" s="405"/>
      <c r="J1421" s="405"/>
      <c r="K1421" s="405"/>
      <c r="L1421" s="405"/>
      <c r="M1421" s="405"/>
      <c r="N1421" s="405"/>
      <c r="O1421" s="405"/>
      <c r="P1421" s="405"/>
      <c r="Q1421" s="405"/>
      <c r="R1421" s="405"/>
      <c r="S1421" s="405"/>
      <c r="T1421" s="405"/>
      <c r="U1421" s="405"/>
      <c r="V1421" s="405"/>
      <c r="W1421" s="405"/>
      <c r="X1421" s="405"/>
      <c r="Y1421" s="405"/>
      <c r="Z1421" s="405"/>
    </row>
    <row r="1422" ht="14.25" customHeight="1">
      <c r="A1422" s="656"/>
      <c r="B1422" s="405"/>
      <c r="C1422" s="405"/>
      <c r="D1422" s="405"/>
      <c r="E1422" s="405"/>
      <c r="F1422" s="657"/>
      <c r="G1422" s="583"/>
      <c r="H1422" s="405"/>
      <c r="I1422" s="405"/>
      <c r="J1422" s="405"/>
      <c r="K1422" s="405"/>
      <c r="L1422" s="405"/>
      <c r="M1422" s="405"/>
      <c r="N1422" s="405"/>
      <c r="O1422" s="405"/>
      <c r="P1422" s="405"/>
      <c r="Q1422" s="405"/>
      <c r="R1422" s="405"/>
      <c r="S1422" s="405"/>
      <c r="T1422" s="405"/>
      <c r="U1422" s="405"/>
      <c r="V1422" s="405"/>
      <c r="W1422" s="405"/>
      <c r="X1422" s="405"/>
      <c r="Y1422" s="405"/>
      <c r="Z1422" s="405"/>
    </row>
    <row r="1423" ht="14.25" customHeight="1">
      <c r="A1423" s="656"/>
      <c r="B1423" s="405"/>
      <c r="C1423" s="405"/>
      <c r="D1423" s="405"/>
      <c r="E1423" s="405"/>
      <c r="F1423" s="657"/>
      <c r="G1423" s="583"/>
      <c r="H1423" s="405"/>
      <c r="I1423" s="405"/>
      <c r="J1423" s="405"/>
      <c r="K1423" s="405"/>
      <c r="L1423" s="405"/>
      <c r="M1423" s="405"/>
      <c r="N1423" s="405"/>
      <c r="O1423" s="405"/>
      <c r="P1423" s="405"/>
      <c r="Q1423" s="405"/>
      <c r="R1423" s="405"/>
      <c r="S1423" s="405"/>
      <c r="T1423" s="405"/>
      <c r="U1423" s="405"/>
      <c r="V1423" s="405"/>
      <c r="W1423" s="405"/>
      <c r="X1423" s="405"/>
      <c r="Y1423" s="405"/>
      <c r="Z1423" s="405"/>
    </row>
    <row r="1424" ht="14.25" customHeight="1">
      <c r="A1424" s="656"/>
      <c r="B1424" s="405"/>
      <c r="C1424" s="405"/>
      <c r="D1424" s="405"/>
      <c r="E1424" s="405"/>
      <c r="F1424" s="657"/>
      <c r="G1424" s="583"/>
      <c r="H1424" s="405"/>
      <c r="I1424" s="405"/>
      <c r="J1424" s="405"/>
      <c r="K1424" s="405"/>
      <c r="L1424" s="405"/>
      <c r="M1424" s="405"/>
      <c r="N1424" s="405"/>
      <c r="O1424" s="405"/>
      <c r="P1424" s="405"/>
      <c r="Q1424" s="405"/>
      <c r="R1424" s="405"/>
      <c r="S1424" s="405"/>
      <c r="T1424" s="405"/>
      <c r="U1424" s="405"/>
      <c r="V1424" s="405"/>
      <c r="W1424" s="405"/>
      <c r="X1424" s="405"/>
      <c r="Y1424" s="405"/>
      <c r="Z1424" s="405"/>
    </row>
    <row r="1425" ht="14.25" customHeight="1">
      <c r="A1425" s="656"/>
      <c r="B1425" s="405"/>
      <c r="C1425" s="405"/>
      <c r="D1425" s="405"/>
      <c r="E1425" s="405"/>
      <c r="F1425" s="657"/>
      <c r="G1425" s="583"/>
      <c r="H1425" s="405"/>
      <c r="I1425" s="405"/>
      <c r="J1425" s="405"/>
      <c r="K1425" s="405"/>
      <c r="L1425" s="405"/>
      <c r="M1425" s="405"/>
      <c r="N1425" s="405"/>
      <c r="O1425" s="405"/>
      <c r="P1425" s="405"/>
      <c r="Q1425" s="405"/>
      <c r="R1425" s="405"/>
      <c r="S1425" s="405"/>
      <c r="T1425" s="405"/>
      <c r="U1425" s="405"/>
      <c r="V1425" s="405"/>
      <c r="W1425" s="405"/>
      <c r="X1425" s="405"/>
      <c r="Y1425" s="405"/>
      <c r="Z1425" s="405"/>
    </row>
    <row r="1426" ht="14.25" customHeight="1">
      <c r="A1426" s="656"/>
      <c r="B1426" s="405"/>
      <c r="C1426" s="405"/>
      <c r="D1426" s="405"/>
      <c r="E1426" s="405"/>
      <c r="F1426" s="657"/>
      <c r="G1426" s="583"/>
      <c r="H1426" s="405"/>
      <c r="I1426" s="405"/>
      <c r="J1426" s="405"/>
      <c r="K1426" s="405"/>
      <c r="L1426" s="405"/>
      <c r="M1426" s="405"/>
      <c r="N1426" s="405"/>
      <c r="O1426" s="405"/>
      <c r="P1426" s="405"/>
      <c r="Q1426" s="405"/>
      <c r="R1426" s="405"/>
      <c r="S1426" s="405"/>
      <c r="T1426" s="405"/>
      <c r="U1426" s="405"/>
      <c r="V1426" s="405"/>
      <c r="W1426" s="405"/>
      <c r="X1426" s="405"/>
      <c r="Y1426" s="405"/>
      <c r="Z1426" s="405"/>
    </row>
    <row r="1427" ht="14.25" customHeight="1">
      <c r="A1427" s="656"/>
      <c r="B1427" s="405"/>
      <c r="C1427" s="405"/>
      <c r="D1427" s="405"/>
      <c r="E1427" s="405"/>
      <c r="F1427" s="657"/>
      <c r="G1427" s="583"/>
      <c r="H1427" s="405"/>
      <c r="I1427" s="405"/>
      <c r="J1427" s="405"/>
      <c r="K1427" s="405"/>
      <c r="L1427" s="405"/>
      <c r="M1427" s="405"/>
      <c r="N1427" s="405"/>
      <c r="O1427" s="405"/>
      <c r="P1427" s="405"/>
      <c r="Q1427" s="405"/>
      <c r="R1427" s="405"/>
      <c r="S1427" s="405"/>
      <c r="T1427" s="405"/>
      <c r="U1427" s="405"/>
      <c r="V1427" s="405"/>
      <c r="W1427" s="405"/>
      <c r="X1427" s="405"/>
      <c r="Y1427" s="405"/>
      <c r="Z1427" s="405"/>
    </row>
    <row r="1428" ht="14.25" customHeight="1">
      <c r="A1428" s="656"/>
      <c r="B1428" s="405"/>
      <c r="C1428" s="405"/>
      <c r="D1428" s="405"/>
      <c r="E1428" s="405"/>
      <c r="F1428" s="657"/>
      <c r="G1428" s="583"/>
      <c r="H1428" s="405"/>
      <c r="I1428" s="405"/>
      <c r="J1428" s="405"/>
      <c r="K1428" s="405"/>
      <c r="L1428" s="405"/>
      <c r="M1428" s="405"/>
      <c r="N1428" s="405"/>
      <c r="O1428" s="405"/>
      <c r="P1428" s="405"/>
      <c r="Q1428" s="405"/>
      <c r="R1428" s="405"/>
      <c r="S1428" s="405"/>
      <c r="T1428" s="405"/>
      <c r="U1428" s="405"/>
      <c r="V1428" s="405"/>
      <c r="W1428" s="405"/>
      <c r="X1428" s="405"/>
      <c r="Y1428" s="405"/>
      <c r="Z1428" s="405"/>
    </row>
    <row r="1429" ht="14.25" customHeight="1">
      <c r="A1429" s="656"/>
      <c r="B1429" s="405"/>
      <c r="C1429" s="405"/>
      <c r="D1429" s="405"/>
      <c r="E1429" s="405"/>
      <c r="F1429" s="657"/>
      <c r="G1429" s="583"/>
      <c r="H1429" s="405"/>
      <c r="I1429" s="405"/>
      <c r="J1429" s="405"/>
      <c r="K1429" s="405"/>
      <c r="L1429" s="405"/>
      <c r="M1429" s="405"/>
      <c r="N1429" s="405"/>
      <c r="O1429" s="405"/>
      <c r="P1429" s="405"/>
      <c r="Q1429" s="405"/>
      <c r="R1429" s="405"/>
      <c r="S1429" s="405"/>
      <c r="T1429" s="405"/>
      <c r="U1429" s="405"/>
      <c r="V1429" s="405"/>
      <c r="W1429" s="405"/>
      <c r="X1429" s="405"/>
      <c r="Y1429" s="405"/>
      <c r="Z1429" s="405"/>
    </row>
    <row r="1430" ht="14.25" customHeight="1">
      <c r="A1430" s="656"/>
      <c r="B1430" s="405"/>
      <c r="C1430" s="405"/>
      <c r="D1430" s="405"/>
      <c r="E1430" s="405"/>
      <c r="F1430" s="657"/>
      <c r="G1430" s="583"/>
      <c r="H1430" s="405"/>
      <c r="I1430" s="405"/>
      <c r="J1430" s="405"/>
      <c r="K1430" s="405"/>
      <c r="L1430" s="405"/>
      <c r="M1430" s="405"/>
      <c r="N1430" s="405"/>
      <c r="O1430" s="405"/>
      <c r="P1430" s="405"/>
      <c r="Q1430" s="405"/>
      <c r="R1430" s="405"/>
      <c r="S1430" s="405"/>
      <c r="T1430" s="405"/>
      <c r="U1430" s="405"/>
      <c r="V1430" s="405"/>
      <c r="W1430" s="405"/>
      <c r="X1430" s="405"/>
      <c r="Y1430" s="405"/>
      <c r="Z1430" s="405"/>
    </row>
    <row r="1431" ht="14.25" customHeight="1">
      <c r="A1431" s="656"/>
      <c r="B1431" s="405"/>
      <c r="C1431" s="405"/>
      <c r="D1431" s="405"/>
      <c r="E1431" s="405"/>
      <c r="F1431" s="657"/>
      <c r="G1431" s="583"/>
      <c r="H1431" s="405"/>
      <c r="I1431" s="405"/>
      <c r="J1431" s="405"/>
      <c r="K1431" s="405"/>
      <c r="L1431" s="405"/>
      <c r="M1431" s="405"/>
      <c r="N1431" s="405"/>
      <c r="O1431" s="405"/>
      <c r="P1431" s="405"/>
      <c r="Q1431" s="405"/>
      <c r="R1431" s="405"/>
      <c r="S1431" s="405"/>
      <c r="T1431" s="405"/>
      <c r="U1431" s="405"/>
      <c r="V1431" s="405"/>
      <c r="W1431" s="405"/>
      <c r="X1431" s="405"/>
      <c r="Y1431" s="405"/>
      <c r="Z1431" s="405"/>
    </row>
    <row r="1432" ht="14.25" customHeight="1">
      <c r="A1432" s="656"/>
      <c r="B1432" s="405"/>
      <c r="C1432" s="405"/>
      <c r="D1432" s="405"/>
      <c r="E1432" s="405"/>
      <c r="F1432" s="657"/>
      <c r="G1432" s="583"/>
      <c r="H1432" s="405"/>
      <c r="I1432" s="405"/>
      <c r="J1432" s="405"/>
      <c r="K1432" s="405"/>
      <c r="L1432" s="405"/>
      <c r="M1432" s="405"/>
      <c r="N1432" s="405"/>
      <c r="O1432" s="405"/>
      <c r="P1432" s="405"/>
      <c r="Q1432" s="405"/>
      <c r="R1432" s="405"/>
      <c r="S1432" s="405"/>
      <c r="T1432" s="405"/>
      <c r="U1432" s="405"/>
      <c r="V1432" s="405"/>
      <c r="W1432" s="405"/>
      <c r="X1432" s="405"/>
      <c r="Y1432" s="405"/>
      <c r="Z1432" s="405"/>
    </row>
    <row r="1433" ht="14.25" customHeight="1">
      <c r="A1433" s="656"/>
      <c r="B1433" s="405"/>
      <c r="C1433" s="405"/>
      <c r="D1433" s="405"/>
      <c r="E1433" s="405"/>
      <c r="F1433" s="657"/>
      <c r="G1433" s="583"/>
      <c r="H1433" s="405"/>
      <c r="I1433" s="405"/>
      <c r="J1433" s="405"/>
      <c r="K1433" s="405"/>
      <c r="L1433" s="405"/>
      <c r="M1433" s="405"/>
      <c r="N1433" s="405"/>
      <c r="O1433" s="405"/>
      <c r="P1433" s="405"/>
      <c r="Q1433" s="405"/>
      <c r="R1433" s="405"/>
      <c r="S1433" s="405"/>
      <c r="T1433" s="405"/>
      <c r="U1433" s="405"/>
      <c r="V1433" s="405"/>
      <c r="W1433" s="405"/>
      <c r="X1433" s="405"/>
      <c r="Y1433" s="405"/>
      <c r="Z1433" s="405"/>
    </row>
    <row r="1434" ht="14.25" customHeight="1">
      <c r="A1434" s="656"/>
      <c r="B1434" s="405"/>
      <c r="C1434" s="405"/>
      <c r="D1434" s="405"/>
      <c r="E1434" s="405"/>
      <c r="F1434" s="657"/>
      <c r="G1434" s="583"/>
      <c r="H1434" s="405"/>
      <c r="I1434" s="405"/>
      <c r="J1434" s="405"/>
      <c r="K1434" s="405"/>
      <c r="L1434" s="405"/>
      <c r="M1434" s="405"/>
      <c r="N1434" s="405"/>
      <c r="O1434" s="405"/>
      <c r="P1434" s="405"/>
      <c r="Q1434" s="405"/>
      <c r="R1434" s="405"/>
      <c r="S1434" s="405"/>
      <c r="T1434" s="405"/>
      <c r="U1434" s="405"/>
      <c r="V1434" s="405"/>
      <c r="W1434" s="405"/>
      <c r="X1434" s="405"/>
      <c r="Y1434" s="405"/>
      <c r="Z1434" s="405"/>
    </row>
    <row r="1435" ht="14.25" customHeight="1">
      <c r="A1435" s="656"/>
      <c r="B1435" s="405"/>
      <c r="C1435" s="405"/>
      <c r="D1435" s="405"/>
      <c r="E1435" s="405"/>
      <c r="F1435" s="657"/>
      <c r="G1435" s="583"/>
      <c r="H1435" s="405"/>
      <c r="I1435" s="405"/>
      <c r="J1435" s="405"/>
      <c r="K1435" s="405"/>
      <c r="L1435" s="405"/>
      <c r="M1435" s="405"/>
      <c r="N1435" s="405"/>
      <c r="O1435" s="405"/>
      <c r="P1435" s="405"/>
      <c r="Q1435" s="405"/>
      <c r="R1435" s="405"/>
      <c r="S1435" s="405"/>
      <c r="T1435" s="405"/>
      <c r="U1435" s="405"/>
      <c r="V1435" s="405"/>
      <c r="W1435" s="405"/>
      <c r="X1435" s="405"/>
      <c r="Y1435" s="405"/>
      <c r="Z1435" s="405"/>
    </row>
    <row r="1436" ht="14.25" customHeight="1">
      <c r="A1436" s="656"/>
      <c r="B1436" s="405"/>
      <c r="C1436" s="405"/>
      <c r="D1436" s="405"/>
      <c r="E1436" s="405"/>
      <c r="F1436" s="657"/>
      <c r="G1436" s="583"/>
      <c r="H1436" s="405"/>
      <c r="I1436" s="405"/>
      <c r="J1436" s="405"/>
      <c r="K1436" s="405"/>
      <c r="L1436" s="405"/>
      <c r="M1436" s="405"/>
      <c r="N1436" s="405"/>
      <c r="O1436" s="405"/>
      <c r="P1436" s="405"/>
      <c r="Q1436" s="405"/>
      <c r="R1436" s="405"/>
      <c r="S1436" s="405"/>
      <c r="T1436" s="405"/>
      <c r="U1436" s="405"/>
      <c r="V1436" s="405"/>
      <c r="W1436" s="405"/>
      <c r="X1436" s="405"/>
      <c r="Y1436" s="405"/>
      <c r="Z1436" s="405"/>
    </row>
    <row r="1437" ht="14.25" customHeight="1">
      <c r="A1437" s="656"/>
      <c r="B1437" s="405"/>
      <c r="C1437" s="405"/>
      <c r="D1437" s="405"/>
      <c r="E1437" s="405"/>
      <c r="F1437" s="657"/>
      <c r="G1437" s="583"/>
      <c r="H1437" s="405"/>
      <c r="I1437" s="405"/>
      <c r="J1437" s="405"/>
      <c r="K1437" s="405"/>
      <c r="L1437" s="405"/>
      <c r="M1437" s="405"/>
      <c r="N1437" s="405"/>
      <c r="O1437" s="405"/>
      <c r="P1437" s="405"/>
      <c r="Q1437" s="405"/>
      <c r="R1437" s="405"/>
      <c r="S1437" s="405"/>
      <c r="T1437" s="405"/>
      <c r="U1437" s="405"/>
      <c r="V1437" s="405"/>
      <c r="W1437" s="405"/>
      <c r="X1437" s="405"/>
      <c r="Y1437" s="405"/>
      <c r="Z1437" s="405"/>
    </row>
    <row r="1438" ht="14.25" customHeight="1">
      <c r="A1438" s="656"/>
      <c r="B1438" s="405"/>
      <c r="C1438" s="405"/>
      <c r="D1438" s="405"/>
      <c r="E1438" s="405"/>
      <c r="F1438" s="657"/>
      <c r="G1438" s="583"/>
      <c r="H1438" s="405"/>
      <c r="I1438" s="405"/>
      <c r="J1438" s="405"/>
      <c r="K1438" s="405"/>
      <c r="L1438" s="405"/>
      <c r="M1438" s="405"/>
      <c r="N1438" s="405"/>
      <c r="O1438" s="405"/>
      <c r="P1438" s="405"/>
      <c r="Q1438" s="405"/>
      <c r="R1438" s="405"/>
      <c r="S1438" s="405"/>
      <c r="T1438" s="405"/>
      <c r="U1438" s="405"/>
      <c r="V1438" s="405"/>
      <c r="W1438" s="405"/>
      <c r="X1438" s="405"/>
      <c r="Y1438" s="405"/>
      <c r="Z1438" s="405"/>
    </row>
    <row r="1439" ht="14.25" customHeight="1">
      <c r="A1439" s="656"/>
      <c r="B1439" s="405"/>
      <c r="C1439" s="405"/>
      <c r="D1439" s="405"/>
      <c r="E1439" s="405"/>
      <c r="F1439" s="657"/>
      <c r="G1439" s="583"/>
      <c r="H1439" s="405"/>
      <c r="I1439" s="405"/>
      <c r="J1439" s="405"/>
      <c r="K1439" s="405"/>
      <c r="L1439" s="405"/>
      <c r="M1439" s="405"/>
      <c r="N1439" s="405"/>
      <c r="O1439" s="405"/>
      <c r="P1439" s="405"/>
      <c r="Q1439" s="405"/>
      <c r="R1439" s="405"/>
      <c r="S1439" s="405"/>
      <c r="T1439" s="405"/>
      <c r="U1439" s="405"/>
      <c r="V1439" s="405"/>
      <c r="W1439" s="405"/>
      <c r="X1439" s="405"/>
      <c r="Y1439" s="405"/>
      <c r="Z1439" s="405"/>
    </row>
    <row r="1440" ht="14.25" customHeight="1">
      <c r="A1440" s="656"/>
      <c r="B1440" s="405"/>
      <c r="C1440" s="405"/>
      <c r="D1440" s="405"/>
      <c r="E1440" s="405"/>
      <c r="F1440" s="657"/>
      <c r="G1440" s="583"/>
      <c r="H1440" s="405"/>
      <c r="I1440" s="405"/>
      <c r="J1440" s="405"/>
      <c r="K1440" s="405"/>
      <c r="L1440" s="405"/>
      <c r="M1440" s="405"/>
      <c r="N1440" s="405"/>
      <c r="O1440" s="405"/>
      <c r="P1440" s="405"/>
      <c r="Q1440" s="405"/>
      <c r="R1440" s="405"/>
      <c r="S1440" s="405"/>
      <c r="T1440" s="405"/>
      <c r="U1440" s="405"/>
      <c r="V1440" s="405"/>
      <c r="W1440" s="405"/>
      <c r="X1440" s="405"/>
      <c r="Y1440" s="405"/>
      <c r="Z1440" s="405"/>
    </row>
    <row r="1441" ht="14.25" customHeight="1">
      <c r="A1441" s="656"/>
      <c r="B1441" s="405"/>
      <c r="C1441" s="405"/>
      <c r="D1441" s="405"/>
      <c r="E1441" s="405"/>
      <c r="F1441" s="657"/>
      <c r="G1441" s="583"/>
      <c r="H1441" s="405"/>
      <c r="I1441" s="405"/>
      <c r="J1441" s="405"/>
      <c r="K1441" s="405"/>
      <c r="L1441" s="405"/>
      <c r="M1441" s="405"/>
      <c r="N1441" s="405"/>
      <c r="O1441" s="405"/>
      <c r="P1441" s="405"/>
      <c r="Q1441" s="405"/>
      <c r="R1441" s="405"/>
      <c r="S1441" s="405"/>
      <c r="T1441" s="405"/>
      <c r="U1441" s="405"/>
      <c r="V1441" s="405"/>
      <c r="W1441" s="405"/>
      <c r="X1441" s="405"/>
      <c r="Y1441" s="405"/>
      <c r="Z1441" s="405"/>
    </row>
    <row r="1442" ht="14.25" customHeight="1">
      <c r="A1442" s="656"/>
      <c r="B1442" s="405"/>
      <c r="C1442" s="405"/>
      <c r="D1442" s="405"/>
      <c r="E1442" s="405"/>
      <c r="F1442" s="657"/>
      <c r="G1442" s="583"/>
      <c r="H1442" s="405"/>
      <c r="I1442" s="405"/>
      <c r="J1442" s="405"/>
      <c r="K1442" s="405"/>
      <c r="L1442" s="405"/>
      <c r="M1442" s="405"/>
      <c r="N1442" s="405"/>
      <c r="O1442" s="405"/>
      <c r="P1442" s="405"/>
      <c r="Q1442" s="405"/>
      <c r="R1442" s="405"/>
      <c r="S1442" s="405"/>
      <c r="T1442" s="405"/>
      <c r="U1442" s="405"/>
      <c r="V1442" s="405"/>
      <c r="W1442" s="405"/>
      <c r="X1442" s="405"/>
      <c r="Y1442" s="405"/>
      <c r="Z1442" s="405"/>
    </row>
    <row r="1443" ht="14.25" customHeight="1">
      <c r="A1443" s="656"/>
      <c r="B1443" s="405"/>
      <c r="C1443" s="405"/>
      <c r="D1443" s="405"/>
      <c r="E1443" s="405"/>
      <c r="F1443" s="657"/>
      <c r="G1443" s="583"/>
      <c r="H1443" s="405"/>
      <c r="I1443" s="405"/>
      <c r="J1443" s="405"/>
      <c r="K1443" s="405"/>
      <c r="L1443" s="405"/>
      <c r="M1443" s="405"/>
      <c r="N1443" s="405"/>
      <c r="O1443" s="405"/>
      <c r="P1443" s="405"/>
      <c r="Q1443" s="405"/>
      <c r="R1443" s="405"/>
      <c r="S1443" s="405"/>
      <c r="T1443" s="405"/>
      <c r="U1443" s="405"/>
      <c r="V1443" s="405"/>
      <c r="W1443" s="405"/>
      <c r="X1443" s="405"/>
      <c r="Y1443" s="405"/>
      <c r="Z1443" s="405"/>
    </row>
    <row r="1444" ht="14.25" customHeight="1">
      <c r="A1444" s="656"/>
      <c r="B1444" s="405"/>
      <c r="C1444" s="405"/>
      <c r="D1444" s="405"/>
      <c r="E1444" s="405"/>
      <c r="F1444" s="657"/>
      <c r="G1444" s="583"/>
      <c r="H1444" s="405"/>
      <c r="I1444" s="405"/>
      <c r="J1444" s="405"/>
      <c r="K1444" s="405"/>
      <c r="L1444" s="405"/>
      <c r="M1444" s="405"/>
      <c r="N1444" s="405"/>
      <c r="O1444" s="405"/>
      <c r="P1444" s="405"/>
      <c r="Q1444" s="405"/>
      <c r="R1444" s="405"/>
      <c r="S1444" s="405"/>
      <c r="T1444" s="405"/>
      <c r="U1444" s="405"/>
      <c r="V1444" s="405"/>
      <c r="W1444" s="405"/>
      <c r="X1444" s="405"/>
      <c r="Y1444" s="405"/>
      <c r="Z1444" s="405"/>
    </row>
    <row r="1445" ht="14.25" customHeight="1">
      <c r="A1445" s="656"/>
      <c r="B1445" s="405"/>
      <c r="C1445" s="405"/>
      <c r="D1445" s="405"/>
      <c r="E1445" s="405"/>
      <c r="F1445" s="657"/>
      <c r="G1445" s="583"/>
      <c r="H1445" s="405"/>
      <c r="I1445" s="405"/>
      <c r="J1445" s="405"/>
      <c r="K1445" s="405"/>
      <c r="L1445" s="405"/>
      <c r="M1445" s="405"/>
      <c r="N1445" s="405"/>
      <c r="O1445" s="405"/>
      <c r="P1445" s="405"/>
      <c r="Q1445" s="405"/>
      <c r="R1445" s="405"/>
      <c r="S1445" s="405"/>
      <c r="T1445" s="405"/>
      <c r="U1445" s="405"/>
      <c r="V1445" s="405"/>
      <c r="W1445" s="405"/>
      <c r="X1445" s="405"/>
      <c r="Y1445" s="405"/>
      <c r="Z1445" s="405"/>
    </row>
    <row r="1446" ht="14.25" customHeight="1">
      <c r="A1446" s="656"/>
      <c r="B1446" s="405"/>
      <c r="C1446" s="405"/>
      <c r="D1446" s="405"/>
      <c r="E1446" s="405"/>
      <c r="F1446" s="657"/>
      <c r="G1446" s="583"/>
      <c r="H1446" s="405"/>
      <c r="I1446" s="405"/>
      <c r="J1446" s="405"/>
      <c r="K1446" s="405"/>
      <c r="L1446" s="405"/>
      <c r="M1446" s="405"/>
      <c r="N1446" s="405"/>
      <c r="O1446" s="405"/>
      <c r="P1446" s="405"/>
      <c r="Q1446" s="405"/>
      <c r="R1446" s="405"/>
      <c r="S1446" s="405"/>
      <c r="T1446" s="405"/>
      <c r="U1446" s="405"/>
      <c r="V1446" s="405"/>
      <c r="W1446" s="405"/>
      <c r="X1446" s="405"/>
      <c r="Y1446" s="405"/>
      <c r="Z1446" s="405"/>
    </row>
    <row r="1447" ht="14.25" customHeight="1">
      <c r="A1447" s="656"/>
      <c r="B1447" s="405"/>
      <c r="C1447" s="405"/>
      <c r="D1447" s="405"/>
      <c r="E1447" s="405"/>
      <c r="F1447" s="657"/>
      <c r="G1447" s="583"/>
      <c r="H1447" s="405"/>
      <c r="I1447" s="405"/>
      <c r="J1447" s="405"/>
      <c r="K1447" s="405"/>
      <c r="L1447" s="405"/>
      <c r="M1447" s="405"/>
      <c r="N1447" s="405"/>
      <c r="O1447" s="405"/>
      <c r="P1447" s="405"/>
      <c r="Q1447" s="405"/>
      <c r="R1447" s="405"/>
      <c r="S1447" s="405"/>
      <c r="T1447" s="405"/>
      <c r="U1447" s="405"/>
      <c r="V1447" s="405"/>
      <c r="W1447" s="405"/>
      <c r="X1447" s="405"/>
      <c r="Y1447" s="405"/>
      <c r="Z1447" s="405"/>
    </row>
    <row r="1448" ht="14.25" customHeight="1">
      <c r="A1448" s="656"/>
      <c r="B1448" s="405"/>
      <c r="C1448" s="405"/>
      <c r="D1448" s="405"/>
      <c r="E1448" s="405"/>
      <c r="F1448" s="657"/>
      <c r="G1448" s="583"/>
      <c r="H1448" s="405"/>
      <c r="I1448" s="405"/>
      <c r="J1448" s="405"/>
      <c r="K1448" s="405"/>
      <c r="L1448" s="405"/>
      <c r="M1448" s="405"/>
      <c r="N1448" s="405"/>
      <c r="O1448" s="405"/>
      <c r="P1448" s="405"/>
      <c r="Q1448" s="405"/>
      <c r="R1448" s="405"/>
      <c r="S1448" s="405"/>
      <c r="T1448" s="405"/>
      <c r="U1448" s="405"/>
      <c r="V1448" s="405"/>
      <c r="W1448" s="405"/>
      <c r="X1448" s="405"/>
      <c r="Y1448" s="405"/>
      <c r="Z1448" s="405"/>
    </row>
    <row r="1449" ht="14.25" customHeight="1">
      <c r="A1449" s="656"/>
      <c r="B1449" s="405"/>
      <c r="C1449" s="405"/>
      <c r="D1449" s="405"/>
      <c r="E1449" s="405"/>
      <c r="F1449" s="657"/>
      <c r="G1449" s="583"/>
      <c r="H1449" s="405"/>
      <c r="I1449" s="405"/>
      <c r="J1449" s="405"/>
      <c r="K1449" s="405"/>
      <c r="L1449" s="405"/>
      <c r="M1449" s="405"/>
      <c r="N1449" s="405"/>
      <c r="O1449" s="405"/>
      <c r="P1449" s="405"/>
      <c r="Q1449" s="405"/>
      <c r="R1449" s="405"/>
      <c r="S1449" s="405"/>
      <c r="T1449" s="405"/>
      <c r="U1449" s="405"/>
      <c r="V1449" s="405"/>
      <c r="W1449" s="405"/>
      <c r="X1449" s="405"/>
      <c r="Y1449" s="405"/>
      <c r="Z1449" s="405"/>
    </row>
    <row r="1450" ht="14.25" customHeight="1">
      <c r="A1450" s="656"/>
      <c r="B1450" s="405"/>
      <c r="C1450" s="405"/>
      <c r="D1450" s="405"/>
      <c r="E1450" s="405"/>
      <c r="F1450" s="657"/>
      <c r="G1450" s="583"/>
      <c r="H1450" s="405"/>
      <c r="I1450" s="405"/>
      <c r="J1450" s="405"/>
      <c r="K1450" s="405"/>
      <c r="L1450" s="405"/>
      <c r="M1450" s="405"/>
      <c r="N1450" s="405"/>
      <c r="O1450" s="405"/>
      <c r="P1450" s="405"/>
      <c r="Q1450" s="405"/>
      <c r="R1450" s="405"/>
      <c r="S1450" s="405"/>
      <c r="T1450" s="405"/>
      <c r="U1450" s="405"/>
      <c r="V1450" s="405"/>
      <c r="W1450" s="405"/>
      <c r="X1450" s="405"/>
      <c r="Y1450" s="405"/>
      <c r="Z1450" s="405"/>
    </row>
    <row r="1451" ht="14.25" customHeight="1">
      <c r="A1451" s="656"/>
      <c r="B1451" s="405"/>
      <c r="C1451" s="405"/>
      <c r="D1451" s="405"/>
      <c r="E1451" s="405"/>
      <c r="F1451" s="657"/>
      <c r="G1451" s="583"/>
      <c r="H1451" s="405"/>
      <c r="I1451" s="405"/>
      <c r="J1451" s="405"/>
      <c r="K1451" s="405"/>
      <c r="L1451" s="405"/>
      <c r="M1451" s="405"/>
      <c r="N1451" s="405"/>
      <c r="O1451" s="405"/>
      <c r="P1451" s="405"/>
      <c r="Q1451" s="405"/>
      <c r="R1451" s="405"/>
      <c r="S1451" s="405"/>
      <c r="T1451" s="405"/>
      <c r="U1451" s="405"/>
      <c r="V1451" s="405"/>
      <c r="W1451" s="405"/>
      <c r="X1451" s="405"/>
      <c r="Y1451" s="405"/>
      <c r="Z1451" s="405"/>
    </row>
    <row r="1452" ht="14.25" customHeight="1">
      <c r="A1452" s="656"/>
      <c r="B1452" s="405"/>
      <c r="C1452" s="405"/>
      <c r="D1452" s="405"/>
      <c r="E1452" s="405"/>
      <c r="F1452" s="657"/>
      <c r="G1452" s="583"/>
      <c r="H1452" s="405"/>
      <c r="I1452" s="405"/>
      <c r="J1452" s="405"/>
      <c r="K1452" s="405"/>
      <c r="L1452" s="405"/>
      <c r="M1452" s="405"/>
      <c r="N1452" s="405"/>
      <c r="O1452" s="405"/>
      <c r="P1452" s="405"/>
      <c r="Q1452" s="405"/>
      <c r="R1452" s="405"/>
      <c r="S1452" s="405"/>
      <c r="T1452" s="405"/>
      <c r="U1452" s="405"/>
      <c r="V1452" s="405"/>
      <c r="W1452" s="405"/>
      <c r="X1452" s="405"/>
      <c r="Y1452" s="405"/>
      <c r="Z1452" s="405"/>
    </row>
    <row r="1453" ht="14.25" customHeight="1">
      <c r="A1453" s="656"/>
      <c r="B1453" s="405"/>
      <c r="C1453" s="405"/>
      <c r="D1453" s="405"/>
      <c r="E1453" s="405"/>
      <c r="F1453" s="657"/>
      <c r="G1453" s="583"/>
      <c r="H1453" s="405"/>
      <c r="I1453" s="405"/>
      <c r="J1453" s="405"/>
      <c r="K1453" s="405"/>
      <c r="L1453" s="405"/>
      <c r="M1453" s="405"/>
      <c r="N1453" s="405"/>
      <c r="O1453" s="405"/>
      <c r="P1453" s="405"/>
      <c r="Q1453" s="405"/>
      <c r="R1453" s="405"/>
      <c r="S1453" s="405"/>
      <c r="T1453" s="405"/>
      <c r="U1453" s="405"/>
      <c r="V1453" s="405"/>
      <c r="W1453" s="405"/>
      <c r="X1453" s="405"/>
      <c r="Y1453" s="405"/>
      <c r="Z1453" s="405"/>
    </row>
    <row r="1454" ht="14.25" customHeight="1">
      <c r="A1454" s="656"/>
      <c r="B1454" s="405"/>
      <c r="C1454" s="405"/>
      <c r="D1454" s="405"/>
      <c r="E1454" s="405"/>
      <c r="F1454" s="657"/>
      <c r="G1454" s="583"/>
      <c r="H1454" s="405"/>
      <c r="I1454" s="405"/>
      <c r="J1454" s="405"/>
      <c r="K1454" s="405"/>
      <c r="L1454" s="405"/>
      <c r="M1454" s="405"/>
      <c r="N1454" s="405"/>
      <c r="O1454" s="405"/>
      <c r="P1454" s="405"/>
      <c r="Q1454" s="405"/>
      <c r="R1454" s="405"/>
      <c r="S1454" s="405"/>
      <c r="T1454" s="405"/>
      <c r="U1454" s="405"/>
      <c r="V1454" s="405"/>
      <c r="W1454" s="405"/>
      <c r="X1454" s="405"/>
      <c r="Y1454" s="405"/>
      <c r="Z1454" s="405"/>
    </row>
    <row r="1455" ht="14.25" customHeight="1">
      <c r="A1455" s="656"/>
      <c r="B1455" s="405"/>
      <c r="C1455" s="405"/>
      <c r="D1455" s="405"/>
      <c r="E1455" s="405"/>
      <c r="F1455" s="657"/>
      <c r="G1455" s="583"/>
      <c r="H1455" s="405"/>
      <c r="I1455" s="405"/>
      <c r="J1455" s="405"/>
      <c r="K1455" s="405"/>
      <c r="L1455" s="405"/>
      <c r="M1455" s="405"/>
      <c r="N1455" s="405"/>
      <c r="O1455" s="405"/>
      <c r="P1455" s="405"/>
      <c r="Q1455" s="405"/>
      <c r="R1455" s="405"/>
      <c r="S1455" s="405"/>
      <c r="T1455" s="405"/>
      <c r="U1455" s="405"/>
      <c r="V1455" s="405"/>
      <c r="W1455" s="405"/>
      <c r="X1455" s="405"/>
      <c r="Y1455" s="405"/>
      <c r="Z1455" s="405"/>
    </row>
    <row r="1456" ht="14.25" customHeight="1">
      <c r="A1456" s="656"/>
      <c r="B1456" s="405"/>
      <c r="C1456" s="405"/>
      <c r="D1456" s="405"/>
      <c r="E1456" s="405"/>
      <c r="F1456" s="657"/>
      <c r="G1456" s="583"/>
      <c r="H1456" s="405"/>
      <c r="I1456" s="405"/>
      <c r="J1456" s="405"/>
      <c r="K1456" s="405"/>
      <c r="L1456" s="405"/>
      <c r="M1456" s="405"/>
      <c r="N1456" s="405"/>
      <c r="O1456" s="405"/>
      <c r="P1456" s="405"/>
      <c r="Q1456" s="405"/>
      <c r="R1456" s="405"/>
      <c r="S1456" s="405"/>
      <c r="T1456" s="405"/>
      <c r="U1456" s="405"/>
      <c r="V1456" s="405"/>
      <c r="W1456" s="405"/>
      <c r="X1456" s="405"/>
      <c r="Y1456" s="405"/>
      <c r="Z1456" s="405"/>
    </row>
    <row r="1457" ht="14.25" customHeight="1">
      <c r="A1457" s="656"/>
      <c r="B1457" s="405"/>
      <c r="C1457" s="405"/>
      <c r="D1457" s="405"/>
      <c r="E1457" s="405"/>
      <c r="F1457" s="657"/>
      <c r="G1457" s="583"/>
      <c r="H1457" s="405"/>
      <c r="I1457" s="405"/>
      <c r="J1457" s="405"/>
      <c r="K1457" s="405"/>
      <c r="L1457" s="405"/>
      <c r="M1457" s="405"/>
      <c r="N1457" s="405"/>
      <c r="O1457" s="405"/>
      <c r="P1457" s="405"/>
      <c r="Q1457" s="405"/>
      <c r="R1457" s="405"/>
      <c r="S1457" s="405"/>
      <c r="T1457" s="405"/>
      <c r="U1457" s="405"/>
      <c r="V1457" s="405"/>
      <c r="W1457" s="405"/>
      <c r="X1457" s="405"/>
      <c r="Y1457" s="405"/>
      <c r="Z1457" s="405"/>
    </row>
    <row r="1458" ht="14.25" customHeight="1">
      <c r="A1458" s="656"/>
      <c r="B1458" s="405"/>
      <c r="C1458" s="405"/>
      <c r="D1458" s="405"/>
      <c r="E1458" s="405"/>
      <c r="F1458" s="657"/>
      <c r="G1458" s="583"/>
      <c r="H1458" s="405"/>
      <c r="I1458" s="405"/>
      <c r="J1458" s="405"/>
      <c r="K1458" s="405"/>
      <c r="L1458" s="405"/>
      <c r="M1458" s="405"/>
      <c r="N1458" s="405"/>
      <c r="O1458" s="405"/>
      <c r="P1458" s="405"/>
      <c r="Q1458" s="405"/>
      <c r="R1458" s="405"/>
      <c r="S1458" s="405"/>
      <c r="T1458" s="405"/>
      <c r="U1458" s="405"/>
      <c r="V1458" s="405"/>
      <c r="W1458" s="405"/>
      <c r="X1458" s="405"/>
      <c r="Y1458" s="405"/>
      <c r="Z1458" s="405"/>
    </row>
    <row r="1459" ht="14.25" customHeight="1">
      <c r="A1459" s="656"/>
      <c r="B1459" s="405"/>
      <c r="C1459" s="405"/>
      <c r="D1459" s="405"/>
      <c r="E1459" s="405"/>
      <c r="F1459" s="657"/>
      <c r="G1459" s="583"/>
      <c r="H1459" s="405"/>
      <c r="I1459" s="405"/>
      <c r="J1459" s="405"/>
      <c r="K1459" s="405"/>
      <c r="L1459" s="405"/>
      <c r="M1459" s="405"/>
      <c r="N1459" s="405"/>
      <c r="O1459" s="405"/>
      <c r="P1459" s="405"/>
      <c r="Q1459" s="405"/>
      <c r="R1459" s="405"/>
      <c r="S1459" s="405"/>
      <c r="T1459" s="405"/>
      <c r="U1459" s="405"/>
      <c r="V1459" s="405"/>
      <c r="W1459" s="405"/>
      <c r="X1459" s="405"/>
      <c r="Y1459" s="405"/>
      <c r="Z1459" s="405"/>
    </row>
    <row r="1460" ht="14.25" customHeight="1">
      <c r="A1460" s="656"/>
      <c r="B1460" s="405"/>
      <c r="C1460" s="405"/>
      <c r="D1460" s="405"/>
      <c r="E1460" s="405"/>
      <c r="F1460" s="657"/>
      <c r="G1460" s="583"/>
      <c r="H1460" s="405"/>
      <c r="I1460" s="405"/>
      <c r="J1460" s="405"/>
      <c r="K1460" s="405"/>
      <c r="L1460" s="405"/>
      <c r="M1460" s="405"/>
      <c r="N1460" s="405"/>
      <c r="O1460" s="405"/>
      <c r="P1460" s="405"/>
      <c r="Q1460" s="405"/>
      <c r="R1460" s="405"/>
      <c r="S1460" s="405"/>
      <c r="T1460" s="405"/>
      <c r="U1460" s="405"/>
      <c r="V1460" s="405"/>
      <c r="W1460" s="405"/>
      <c r="X1460" s="405"/>
      <c r="Y1460" s="405"/>
      <c r="Z1460" s="405"/>
    </row>
    <row r="1461" ht="14.25" customHeight="1">
      <c r="A1461" s="656"/>
      <c r="B1461" s="405"/>
      <c r="C1461" s="405"/>
      <c r="D1461" s="405"/>
      <c r="E1461" s="405"/>
      <c r="F1461" s="657"/>
      <c r="G1461" s="583"/>
      <c r="H1461" s="405"/>
      <c r="I1461" s="405"/>
      <c r="J1461" s="405"/>
      <c r="K1461" s="405"/>
      <c r="L1461" s="405"/>
      <c r="M1461" s="405"/>
      <c r="N1461" s="405"/>
      <c r="O1461" s="405"/>
      <c r="P1461" s="405"/>
      <c r="Q1461" s="405"/>
      <c r="R1461" s="405"/>
      <c r="S1461" s="405"/>
      <c r="T1461" s="405"/>
      <c r="U1461" s="405"/>
      <c r="V1461" s="405"/>
      <c r="W1461" s="405"/>
      <c r="X1461" s="405"/>
      <c r="Y1461" s="405"/>
      <c r="Z1461" s="405"/>
    </row>
    <row r="1462" ht="14.25" customHeight="1">
      <c r="A1462" s="656"/>
      <c r="B1462" s="405"/>
      <c r="C1462" s="405"/>
      <c r="D1462" s="405"/>
      <c r="E1462" s="405"/>
      <c r="F1462" s="657"/>
      <c r="G1462" s="583"/>
      <c r="H1462" s="405"/>
      <c r="I1462" s="405"/>
      <c r="J1462" s="405"/>
      <c r="K1462" s="405"/>
      <c r="L1462" s="405"/>
      <c r="M1462" s="405"/>
      <c r="N1462" s="405"/>
      <c r="O1462" s="405"/>
      <c r="P1462" s="405"/>
      <c r="Q1462" s="405"/>
      <c r="R1462" s="405"/>
      <c r="S1462" s="405"/>
      <c r="T1462" s="405"/>
      <c r="U1462" s="405"/>
      <c r="V1462" s="405"/>
      <c r="W1462" s="405"/>
      <c r="X1462" s="405"/>
      <c r="Y1462" s="405"/>
      <c r="Z1462" s="405"/>
    </row>
    <row r="1463" ht="14.25" customHeight="1">
      <c r="A1463" s="656"/>
      <c r="B1463" s="405"/>
      <c r="C1463" s="405"/>
      <c r="D1463" s="405"/>
      <c r="E1463" s="405"/>
      <c r="F1463" s="657"/>
      <c r="G1463" s="583"/>
      <c r="H1463" s="405"/>
      <c r="I1463" s="405"/>
      <c r="J1463" s="405"/>
      <c r="K1463" s="405"/>
      <c r="L1463" s="405"/>
      <c r="M1463" s="405"/>
      <c r="N1463" s="405"/>
      <c r="O1463" s="405"/>
      <c r="P1463" s="405"/>
      <c r="Q1463" s="405"/>
      <c r="R1463" s="405"/>
      <c r="S1463" s="405"/>
      <c r="T1463" s="405"/>
      <c r="U1463" s="405"/>
      <c r="V1463" s="405"/>
      <c r="W1463" s="405"/>
      <c r="X1463" s="405"/>
      <c r="Y1463" s="405"/>
      <c r="Z1463" s="405"/>
    </row>
    <row r="1464" ht="14.25" customHeight="1">
      <c r="A1464" s="656"/>
      <c r="B1464" s="405"/>
      <c r="C1464" s="405"/>
      <c r="D1464" s="405"/>
      <c r="E1464" s="405"/>
      <c r="F1464" s="657"/>
      <c r="G1464" s="583"/>
      <c r="H1464" s="405"/>
      <c r="I1464" s="405"/>
      <c r="J1464" s="405"/>
      <c r="K1464" s="405"/>
      <c r="L1464" s="405"/>
      <c r="M1464" s="405"/>
      <c r="N1464" s="405"/>
      <c r="O1464" s="405"/>
      <c r="P1464" s="405"/>
      <c r="Q1464" s="405"/>
      <c r="R1464" s="405"/>
      <c r="S1464" s="405"/>
      <c r="T1464" s="405"/>
      <c r="U1464" s="405"/>
      <c r="V1464" s="405"/>
      <c r="W1464" s="405"/>
      <c r="X1464" s="405"/>
      <c r="Y1464" s="405"/>
      <c r="Z1464" s="405"/>
    </row>
    <row r="1465" ht="14.25" customHeight="1">
      <c r="A1465" s="656"/>
      <c r="B1465" s="405"/>
      <c r="C1465" s="405"/>
      <c r="D1465" s="405"/>
      <c r="E1465" s="405"/>
      <c r="F1465" s="657"/>
      <c r="G1465" s="583"/>
      <c r="H1465" s="405"/>
      <c r="I1465" s="405"/>
      <c r="J1465" s="405"/>
      <c r="K1465" s="405"/>
      <c r="L1465" s="405"/>
      <c r="M1465" s="405"/>
      <c r="N1465" s="405"/>
      <c r="O1465" s="405"/>
      <c r="P1465" s="405"/>
      <c r="Q1465" s="405"/>
      <c r="R1465" s="405"/>
      <c r="S1465" s="405"/>
      <c r="T1465" s="405"/>
      <c r="U1465" s="405"/>
      <c r="V1465" s="405"/>
      <c r="W1465" s="405"/>
      <c r="X1465" s="405"/>
      <c r="Y1465" s="405"/>
      <c r="Z1465" s="405"/>
    </row>
    <row r="1466" ht="14.25" customHeight="1">
      <c r="A1466" s="656"/>
      <c r="B1466" s="405"/>
      <c r="C1466" s="405"/>
      <c r="D1466" s="405"/>
      <c r="E1466" s="405"/>
      <c r="F1466" s="657"/>
      <c r="G1466" s="583"/>
      <c r="H1466" s="405"/>
      <c r="I1466" s="405"/>
      <c r="J1466" s="405"/>
      <c r="K1466" s="405"/>
      <c r="L1466" s="405"/>
      <c r="M1466" s="405"/>
      <c r="N1466" s="405"/>
      <c r="O1466" s="405"/>
      <c r="P1466" s="405"/>
      <c r="Q1466" s="405"/>
      <c r="R1466" s="405"/>
      <c r="S1466" s="405"/>
      <c r="T1466" s="405"/>
      <c r="U1466" s="405"/>
      <c r="V1466" s="405"/>
      <c r="W1466" s="405"/>
      <c r="X1466" s="405"/>
      <c r="Y1466" s="405"/>
      <c r="Z1466" s="405"/>
    </row>
    <row r="1467" ht="14.25" customHeight="1">
      <c r="A1467" s="656"/>
      <c r="B1467" s="405"/>
      <c r="C1467" s="405"/>
      <c r="D1467" s="405"/>
      <c r="E1467" s="405"/>
      <c r="F1467" s="657"/>
      <c r="G1467" s="583"/>
      <c r="H1467" s="405"/>
      <c r="I1467" s="405"/>
      <c r="J1467" s="405"/>
      <c r="K1467" s="405"/>
      <c r="L1467" s="405"/>
      <c r="M1467" s="405"/>
      <c r="N1467" s="405"/>
      <c r="O1467" s="405"/>
      <c r="P1467" s="405"/>
      <c r="Q1467" s="405"/>
      <c r="R1467" s="405"/>
      <c r="S1467" s="405"/>
      <c r="T1467" s="405"/>
      <c r="U1467" s="405"/>
      <c r="V1467" s="405"/>
      <c r="W1467" s="405"/>
      <c r="X1467" s="405"/>
      <c r="Y1467" s="405"/>
      <c r="Z1467" s="405"/>
    </row>
    <row r="1468" ht="14.25" customHeight="1">
      <c r="A1468" s="656"/>
      <c r="B1468" s="405"/>
      <c r="C1468" s="405"/>
      <c r="D1468" s="405"/>
      <c r="E1468" s="405"/>
      <c r="F1468" s="657"/>
      <c r="G1468" s="583"/>
      <c r="H1468" s="405"/>
      <c r="I1468" s="405"/>
      <c r="J1468" s="405"/>
      <c r="K1468" s="405"/>
      <c r="L1468" s="405"/>
      <c r="M1468" s="405"/>
      <c r="N1468" s="405"/>
      <c r="O1468" s="405"/>
      <c r="P1468" s="405"/>
      <c r="Q1468" s="405"/>
      <c r="R1468" s="405"/>
      <c r="S1468" s="405"/>
      <c r="T1468" s="405"/>
      <c r="U1468" s="405"/>
      <c r="V1468" s="405"/>
      <c r="W1468" s="405"/>
      <c r="X1468" s="405"/>
      <c r="Y1468" s="405"/>
      <c r="Z1468" s="405"/>
    </row>
    <row r="1469" ht="14.25" customHeight="1">
      <c r="A1469" s="656"/>
      <c r="B1469" s="405"/>
      <c r="C1469" s="405"/>
      <c r="D1469" s="405"/>
      <c r="E1469" s="405"/>
      <c r="F1469" s="657"/>
      <c r="G1469" s="583"/>
      <c r="H1469" s="405"/>
      <c r="I1469" s="405"/>
      <c r="J1469" s="405"/>
      <c r="K1469" s="405"/>
      <c r="L1469" s="405"/>
      <c r="M1469" s="405"/>
      <c r="N1469" s="405"/>
      <c r="O1469" s="405"/>
      <c r="P1469" s="405"/>
      <c r="Q1469" s="405"/>
      <c r="R1469" s="405"/>
      <c r="S1469" s="405"/>
      <c r="T1469" s="405"/>
      <c r="U1469" s="405"/>
      <c r="V1469" s="405"/>
      <c r="W1469" s="405"/>
      <c r="X1469" s="405"/>
      <c r="Y1469" s="405"/>
      <c r="Z1469" s="405"/>
    </row>
    <row r="1470" ht="14.25" customHeight="1">
      <c r="A1470" s="656"/>
      <c r="B1470" s="405"/>
      <c r="C1470" s="405"/>
      <c r="D1470" s="405"/>
      <c r="E1470" s="405"/>
      <c r="F1470" s="657"/>
      <c r="G1470" s="583"/>
      <c r="H1470" s="405"/>
      <c r="I1470" s="405"/>
      <c r="J1470" s="405"/>
      <c r="K1470" s="405"/>
      <c r="L1470" s="405"/>
      <c r="M1470" s="405"/>
      <c r="N1470" s="405"/>
      <c r="O1470" s="405"/>
      <c r="P1470" s="405"/>
      <c r="Q1470" s="405"/>
      <c r="R1470" s="405"/>
      <c r="S1470" s="405"/>
      <c r="T1470" s="405"/>
      <c r="U1470" s="405"/>
      <c r="V1470" s="405"/>
      <c r="W1470" s="405"/>
      <c r="X1470" s="405"/>
      <c r="Y1470" s="405"/>
      <c r="Z1470" s="405"/>
    </row>
    <row r="1471" ht="14.25" customHeight="1">
      <c r="A1471" s="656"/>
      <c r="B1471" s="405"/>
      <c r="C1471" s="405"/>
      <c r="D1471" s="405"/>
      <c r="E1471" s="405"/>
      <c r="F1471" s="657"/>
      <c r="G1471" s="583"/>
      <c r="H1471" s="405"/>
      <c r="I1471" s="405"/>
      <c r="J1471" s="405"/>
      <c r="K1471" s="405"/>
      <c r="L1471" s="405"/>
      <c r="M1471" s="405"/>
      <c r="N1471" s="405"/>
      <c r="O1471" s="405"/>
      <c r="P1471" s="405"/>
      <c r="Q1471" s="405"/>
      <c r="R1471" s="405"/>
      <c r="S1471" s="405"/>
      <c r="T1471" s="405"/>
      <c r="U1471" s="405"/>
      <c r="V1471" s="405"/>
      <c r="W1471" s="405"/>
      <c r="X1471" s="405"/>
      <c r="Y1471" s="405"/>
      <c r="Z1471" s="405"/>
    </row>
    <row r="1472" ht="14.25" customHeight="1">
      <c r="A1472" s="656"/>
      <c r="B1472" s="405"/>
      <c r="C1472" s="405"/>
      <c r="D1472" s="405"/>
      <c r="E1472" s="405"/>
      <c r="F1472" s="657"/>
      <c r="G1472" s="583"/>
      <c r="H1472" s="405"/>
      <c r="I1472" s="405"/>
      <c r="J1472" s="405"/>
      <c r="K1472" s="405"/>
      <c r="L1472" s="405"/>
      <c r="M1472" s="405"/>
      <c r="N1472" s="405"/>
      <c r="O1472" s="405"/>
      <c r="P1472" s="405"/>
      <c r="Q1472" s="405"/>
      <c r="R1472" s="405"/>
      <c r="S1472" s="405"/>
      <c r="T1472" s="405"/>
      <c r="U1472" s="405"/>
      <c r="V1472" s="405"/>
      <c r="W1472" s="405"/>
      <c r="X1472" s="405"/>
      <c r="Y1472" s="405"/>
      <c r="Z1472" s="405"/>
    </row>
    <row r="1473" ht="14.25" customHeight="1">
      <c r="A1473" s="656"/>
      <c r="B1473" s="405"/>
      <c r="C1473" s="405"/>
      <c r="D1473" s="405"/>
      <c r="E1473" s="405"/>
      <c r="F1473" s="657"/>
      <c r="G1473" s="583"/>
      <c r="H1473" s="405"/>
      <c r="I1473" s="405"/>
      <c r="J1473" s="405"/>
      <c r="K1473" s="405"/>
      <c r="L1473" s="405"/>
      <c r="M1473" s="405"/>
      <c r="N1473" s="405"/>
      <c r="O1473" s="405"/>
      <c r="P1473" s="405"/>
      <c r="Q1473" s="405"/>
      <c r="R1473" s="405"/>
      <c r="S1473" s="405"/>
      <c r="T1473" s="405"/>
      <c r="U1473" s="405"/>
      <c r="V1473" s="405"/>
      <c r="W1473" s="405"/>
      <c r="X1473" s="405"/>
      <c r="Y1473" s="405"/>
      <c r="Z1473" s="405"/>
    </row>
    <row r="1474" ht="14.25" customHeight="1">
      <c r="A1474" s="656"/>
      <c r="B1474" s="405"/>
      <c r="C1474" s="405"/>
      <c r="D1474" s="405"/>
      <c r="E1474" s="405"/>
      <c r="F1474" s="657"/>
      <c r="G1474" s="583"/>
      <c r="H1474" s="405"/>
      <c r="I1474" s="405"/>
      <c r="J1474" s="405"/>
      <c r="K1474" s="405"/>
      <c r="L1474" s="405"/>
      <c r="M1474" s="405"/>
      <c r="N1474" s="405"/>
      <c r="O1474" s="405"/>
      <c r="P1474" s="405"/>
      <c r="Q1474" s="405"/>
      <c r="R1474" s="405"/>
      <c r="S1474" s="405"/>
      <c r="T1474" s="405"/>
      <c r="U1474" s="405"/>
      <c r="V1474" s="405"/>
      <c r="W1474" s="405"/>
      <c r="X1474" s="405"/>
      <c r="Y1474" s="405"/>
      <c r="Z1474" s="405"/>
    </row>
    <row r="1475" ht="14.25" customHeight="1">
      <c r="A1475" s="656"/>
      <c r="B1475" s="405"/>
      <c r="C1475" s="405"/>
      <c r="D1475" s="405"/>
      <c r="E1475" s="405"/>
      <c r="F1475" s="657"/>
      <c r="G1475" s="583"/>
      <c r="H1475" s="405"/>
      <c r="I1475" s="405"/>
      <c r="J1475" s="405"/>
      <c r="K1475" s="405"/>
      <c r="L1475" s="405"/>
      <c r="M1475" s="405"/>
      <c r="N1475" s="405"/>
      <c r="O1475" s="405"/>
      <c r="P1475" s="405"/>
      <c r="Q1475" s="405"/>
      <c r="R1475" s="405"/>
      <c r="S1475" s="405"/>
      <c r="T1475" s="405"/>
      <c r="U1475" s="405"/>
      <c r="V1475" s="405"/>
      <c r="W1475" s="405"/>
      <c r="X1475" s="405"/>
      <c r="Y1475" s="405"/>
      <c r="Z1475" s="405"/>
    </row>
    <row r="1476" ht="14.25" customHeight="1">
      <c r="A1476" s="656"/>
      <c r="B1476" s="405"/>
      <c r="C1476" s="405"/>
      <c r="D1476" s="405"/>
      <c r="E1476" s="405"/>
      <c r="F1476" s="657"/>
      <c r="G1476" s="583"/>
      <c r="H1476" s="405"/>
      <c r="I1476" s="405"/>
      <c r="J1476" s="405"/>
      <c r="K1476" s="405"/>
      <c r="L1476" s="405"/>
      <c r="M1476" s="405"/>
      <c r="N1476" s="405"/>
      <c r="O1476" s="405"/>
      <c r="P1476" s="405"/>
      <c r="Q1476" s="405"/>
      <c r="R1476" s="405"/>
      <c r="S1476" s="405"/>
      <c r="T1476" s="405"/>
      <c r="U1476" s="405"/>
      <c r="V1476" s="405"/>
      <c r="W1476" s="405"/>
      <c r="X1476" s="405"/>
      <c r="Y1476" s="405"/>
      <c r="Z1476" s="405"/>
    </row>
    <row r="1477" ht="14.25" customHeight="1">
      <c r="A1477" s="656"/>
      <c r="B1477" s="405"/>
      <c r="C1477" s="405"/>
      <c r="D1477" s="405"/>
      <c r="E1477" s="405"/>
      <c r="F1477" s="657"/>
      <c r="G1477" s="583"/>
      <c r="H1477" s="405"/>
      <c r="I1477" s="405"/>
      <c r="J1477" s="405"/>
      <c r="K1477" s="405"/>
      <c r="L1477" s="405"/>
      <c r="M1477" s="405"/>
      <c r="N1477" s="405"/>
      <c r="O1477" s="405"/>
      <c r="P1477" s="405"/>
      <c r="Q1477" s="405"/>
      <c r="R1477" s="405"/>
      <c r="S1477" s="405"/>
      <c r="T1477" s="405"/>
      <c r="U1477" s="405"/>
      <c r="V1477" s="405"/>
      <c r="W1477" s="405"/>
      <c r="X1477" s="405"/>
      <c r="Y1477" s="405"/>
      <c r="Z1477" s="405"/>
    </row>
    <row r="1478" ht="14.25" customHeight="1">
      <c r="A1478" s="656"/>
      <c r="B1478" s="405"/>
      <c r="C1478" s="405"/>
      <c r="D1478" s="405"/>
      <c r="E1478" s="405"/>
      <c r="F1478" s="657"/>
      <c r="G1478" s="583"/>
      <c r="H1478" s="405"/>
      <c r="I1478" s="405"/>
      <c r="J1478" s="405"/>
      <c r="K1478" s="405"/>
      <c r="L1478" s="405"/>
      <c r="M1478" s="405"/>
      <c r="N1478" s="405"/>
      <c r="O1478" s="405"/>
      <c r="P1478" s="405"/>
      <c r="Q1478" s="405"/>
      <c r="R1478" s="405"/>
      <c r="S1478" s="405"/>
      <c r="T1478" s="405"/>
      <c r="U1478" s="405"/>
      <c r="V1478" s="405"/>
      <c r="W1478" s="405"/>
      <c r="X1478" s="405"/>
      <c r="Y1478" s="405"/>
      <c r="Z1478" s="405"/>
    </row>
    <row r="1479" ht="14.25" customHeight="1">
      <c r="A1479" s="656"/>
      <c r="B1479" s="405"/>
      <c r="C1479" s="405"/>
      <c r="D1479" s="405"/>
      <c r="E1479" s="405"/>
      <c r="F1479" s="657"/>
      <c r="G1479" s="583"/>
      <c r="H1479" s="405"/>
      <c r="I1479" s="405"/>
      <c r="J1479" s="405"/>
      <c r="K1479" s="405"/>
      <c r="L1479" s="405"/>
      <c r="M1479" s="405"/>
      <c r="N1479" s="405"/>
      <c r="O1479" s="405"/>
      <c r="P1479" s="405"/>
      <c r="Q1479" s="405"/>
      <c r="R1479" s="405"/>
      <c r="S1479" s="405"/>
      <c r="T1479" s="405"/>
      <c r="U1479" s="405"/>
      <c r="V1479" s="405"/>
      <c r="W1479" s="405"/>
      <c r="X1479" s="405"/>
      <c r="Y1479" s="405"/>
      <c r="Z1479" s="405"/>
    </row>
    <row r="1480" ht="14.25" customHeight="1">
      <c r="A1480" s="656"/>
      <c r="B1480" s="405"/>
      <c r="C1480" s="405"/>
      <c r="D1480" s="405"/>
      <c r="E1480" s="405"/>
      <c r="F1480" s="657"/>
      <c r="G1480" s="583"/>
      <c r="H1480" s="405"/>
      <c r="I1480" s="405"/>
      <c r="J1480" s="405"/>
      <c r="K1480" s="405"/>
      <c r="L1480" s="405"/>
      <c r="M1480" s="405"/>
      <c r="N1480" s="405"/>
      <c r="O1480" s="405"/>
      <c r="P1480" s="405"/>
      <c r="Q1480" s="405"/>
      <c r="R1480" s="405"/>
      <c r="S1480" s="405"/>
      <c r="T1480" s="405"/>
      <c r="U1480" s="405"/>
      <c r="V1480" s="405"/>
      <c r="W1480" s="405"/>
      <c r="X1480" s="405"/>
      <c r="Y1480" s="405"/>
      <c r="Z1480" s="405"/>
    </row>
    <row r="1481" ht="14.25" customHeight="1">
      <c r="A1481" s="656"/>
      <c r="B1481" s="405"/>
      <c r="C1481" s="405"/>
      <c r="D1481" s="405"/>
      <c r="E1481" s="405"/>
      <c r="F1481" s="657"/>
      <c r="G1481" s="583"/>
      <c r="H1481" s="405"/>
      <c r="I1481" s="405"/>
      <c r="J1481" s="405"/>
      <c r="K1481" s="405"/>
      <c r="L1481" s="405"/>
      <c r="M1481" s="405"/>
      <c r="N1481" s="405"/>
      <c r="O1481" s="405"/>
      <c r="P1481" s="405"/>
      <c r="Q1481" s="405"/>
      <c r="R1481" s="405"/>
      <c r="S1481" s="405"/>
      <c r="T1481" s="405"/>
      <c r="U1481" s="405"/>
      <c r="V1481" s="405"/>
      <c r="W1481" s="405"/>
      <c r="X1481" s="405"/>
      <c r="Y1481" s="405"/>
      <c r="Z1481" s="405"/>
    </row>
    <row r="1482" ht="14.25" customHeight="1">
      <c r="A1482" s="656"/>
      <c r="B1482" s="405"/>
      <c r="C1482" s="405"/>
      <c r="D1482" s="405"/>
      <c r="E1482" s="405"/>
      <c r="F1482" s="657"/>
      <c r="G1482" s="583"/>
      <c r="H1482" s="405"/>
      <c r="I1482" s="405"/>
      <c r="J1482" s="405"/>
      <c r="K1482" s="405"/>
      <c r="L1482" s="405"/>
      <c r="M1482" s="405"/>
      <c r="N1482" s="405"/>
      <c r="O1482" s="405"/>
      <c r="P1482" s="405"/>
      <c r="Q1482" s="405"/>
      <c r="R1482" s="405"/>
      <c r="S1482" s="405"/>
      <c r="T1482" s="405"/>
      <c r="U1482" s="405"/>
      <c r="V1482" s="405"/>
      <c r="W1482" s="405"/>
      <c r="X1482" s="405"/>
      <c r="Y1482" s="405"/>
      <c r="Z1482" s="405"/>
    </row>
    <row r="1483" ht="14.25" customHeight="1">
      <c r="A1483" s="656"/>
      <c r="B1483" s="405"/>
      <c r="C1483" s="405"/>
      <c r="D1483" s="405"/>
      <c r="E1483" s="405"/>
      <c r="F1483" s="657"/>
      <c r="G1483" s="583"/>
      <c r="H1483" s="405"/>
      <c r="I1483" s="405"/>
      <c r="J1483" s="405"/>
      <c r="K1483" s="405"/>
      <c r="L1483" s="405"/>
      <c r="M1483" s="405"/>
      <c r="N1483" s="405"/>
      <c r="O1483" s="405"/>
      <c r="P1483" s="405"/>
      <c r="Q1483" s="405"/>
      <c r="R1483" s="405"/>
      <c r="S1483" s="405"/>
      <c r="T1483" s="405"/>
      <c r="U1483" s="405"/>
      <c r="V1483" s="405"/>
      <c r="W1483" s="405"/>
      <c r="X1483" s="405"/>
      <c r="Y1483" s="405"/>
      <c r="Z1483" s="405"/>
    </row>
    <row r="1484" ht="14.25" customHeight="1">
      <c r="A1484" s="656"/>
      <c r="B1484" s="405"/>
      <c r="C1484" s="405"/>
      <c r="D1484" s="405"/>
      <c r="E1484" s="405"/>
      <c r="F1484" s="657"/>
      <c r="G1484" s="583"/>
      <c r="H1484" s="405"/>
      <c r="I1484" s="405"/>
      <c r="J1484" s="405"/>
      <c r="K1484" s="405"/>
      <c r="L1484" s="405"/>
      <c r="M1484" s="405"/>
      <c r="N1484" s="405"/>
      <c r="O1484" s="405"/>
      <c r="P1484" s="405"/>
      <c r="Q1484" s="405"/>
      <c r="R1484" s="405"/>
      <c r="S1484" s="405"/>
      <c r="T1484" s="405"/>
      <c r="U1484" s="405"/>
      <c r="V1484" s="405"/>
      <c r="W1484" s="405"/>
      <c r="X1484" s="405"/>
      <c r="Y1484" s="405"/>
      <c r="Z1484" s="405"/>
    </row>
    <row r="1485" ht="14.25" customHeight="1">
      <c r="A1485" s="656"/>
      <c r="B1485" s="405"/>
      <c r="C1485" s="405"/>
      <c r="D1485" s="405"/>
      <c r="E1485" s="405"/>
      <c r="F1485" s="657"/>
      <c r="G1485" s="583"/>
      <c r="H1485" s="405"/>
      <c r="I1485" s="405"/>
      <c r="J1485" s="405"/>
      <c r="K1485" s="405"/>
      <c r="L1485" s="405"/>
      <c r="M1485" s="405"/>
      <c r="N1485" s="405"/>
      <c r="O1485" s="405"/>
      <c r="P1485" s="405"/>
      <c r="Q1485" s="405"/>
      <c r="R1485" s="405"/>
      <c r="S1485" s="405"/>
      <c r="T1485" s="405"/>
      <c r="U1485" s="405"/>
      <c r="V1485" s="405"/>
      <c r="W1485" s="405"/>
      <c r="X1485" s="405"/>
      <c r="Y1485" s="405"/>
      <c r="Z1485" s="405"/>
    </row>
    <row r="1486" ht="14.25" customHeight="1">
      <c r="A1486" s="656"/>
      <c r="B1486" s="405"/>
      <c r="C1486" s="405"/>
      <c r="D1486" s="405"/>
      <c r="E1486" s="405"/>
      <c r="F1486" s="657"/>
      <c r="G1486" s="583"/>
      <c r="H1486" s="405"/>
      <c r="I1486" s="405"/>
      <c r="J1486" s="405"/>
      <c r="K1486" s="405"/>
      <c r="L1486" s="405"/>
      <c r="M1486" s="405"/>
      <c r="N1486" s="405"/>
      <c r="O1486" s="405"/>
      <c r="P1486" s="405"/>
      <c r="Q1486" s="405"/>
      <c r="R1486" s="405"/>
      <c r="S1486" s="405"/>
      <c r="T1486" s="405"/>
      <c r="U1486" s="405"/>
      <c r="V1486" s="405"/>
      <c r="W1486" s="405"/>
      <c r="X1486" s="405"/>
      <c r="Y1486" s="405"/>
      <c r="Z1486" s="405"/>
    </row>
    <row r="1487" ht="14.25" customHeight="1">
      <c r="A1487" s="656"/>
      <c r="B1487" s="405"/>
      <c r="C1487" s="405"/>
      <c r="D1487" s="405"/>
      <c r="E1487" s="405"/>
      <c r="F1487" s="657"/>
      <c r="G1487" s="583"/>
      <c r="H1487" s="405"/>
      <c r="I1487" s="405"/>
      <c r="J1487" s="405"/>
      <c r="K1487" s="405"/>
      <c r="L1487" s="405"/>
      <c r="M1487" s="405"/>
      <c r="N1487" s="405"/>
      <c r="O1487" s="405"/>
      <c r="P1487" s="405"/>
      <c r="Q1487" s="405"/>
      <c r="R1487" s="405"/>
      <c r="S1487" s="405"/>
      <c r="T1487" s="405"/>
      <c r="U1487" s="405"/>
      <c r="V1487" s="405"/>
      <c r="W1487" s="405"/>
      <c r="X1487" s="405"/>
      <c r="Y1487" s="405"/>
      <c r="Z1487" s="405"/>
    </row>
    <row r="1488" ht="14.25" customHeight="1">
      <c r="A1488" s="656"/>
      <c r="B1488" s="405"/>
      <c r="C1488" s="405"/>
      <c r="D1488" s="405"/>
      <c r="E1488" s="405"/>
      <c r="F1488" s="657"/>
      <c r="G1488" s="583"/>
      <c r="H1488" s="405"/>
      <c r="I1488" s="405"/>
      <c r="J1488" s="405"/>
      <c r="K1488" s="405"/>
      <c r="L1488" s="405"/>
      <c r="M1488" s="405"/>
      <c r="N1488" s="405"/>
      <c r="O1488" s="405"/>
      <c r="P1488" s="405"/>
      <c r="Q1488" s="405"/>
      <c r="R1488" s="405"/>
      <c r="S1488" s="405"/>
      <c r="T1488" s="405"/>
      <c r="U1488" s="405"/>
      <c r="V1488" s="405"/>
      <c r="W1488" s="405"/>
      <c r="X1488" s="405"/>
      <c r="Y1488" s="405"/>
      <c r="Z1488" s="405"/>
    </row>
    <row r="1489" ht="14.25" customHeight="1">
      <c r="A1489" s="656"/>
      <c r="B1489" s="405"/>
      <c r="C1489" s="405"/>
      <c r="D1489" s="405"/>
      <c r="E1489" s="405"/>
      <c r="F1489" s="657"/>
      <c r="G1489" s="583"/>
      <c r="H1489" s="405"/>
      <c r="I1489" s="405"/>
      <c r="J1489" s="405"/>
      <c r="K1489" s="405"/>
      <c r="L1489" s="405"/>
      <c r="M1489" s="405"/>
      <c r="N1489" s="405"/>
      <c r="O1489" s="405"/>
      <c r="P1489" s="405"/>
      <c r="Q1489" s="405"/>
      <c r="R1489" s="405"/>
      <c r="S1489" s="405"/>
      <c r="T1489" s="405"/>
      <c r="U1489" s="405"/>
      <c r="V1489" s="405"/>
      <c r="W1489" s="405"/>
      <c r="X1489" s="405"/>
      <c r="Y1489" s="405"/>
      <c r="Z1489" s="405"/>
    </row>
    <row r="1490" ht="14.25" customHeight="1">
      <c r="A1490" s="656"/>
      <c r="B1490" s="405"/>
      <c r="C1490" s="405"/>
      <c r="D1490" s="405"/>
      <c r="E1490" s="405"/>
      <c r="F1490" s="657"/>
      <c r="G1490" s="583"/>
      <c r="H1490" s="405"/>
      <c r="I1490" s="405"/>
      <c r="J1490" s="405"/>
      <c r="K1490" s="405"/>
      <c r="L1490" s="405"/>
      <c r="M1490" s="405"/>
      <c r="N1490" s="405"/>
      <c r="O1490" s="405"/>
      <c r="P1490" s="405"/>
      <c r="Q1490" s="405"/>
      <c r="R1490" s="405"/>
      <c r="S1490" s="405"/>
      <c r="T1490" s="405"/>
      <c r="U1490" s="405"/>
      <c r="V1490" s="405"/>
      <c r="W1490" s="405"/>
      <c r="X1490" s="405"/>
      <c r="Y1490" s="405"/>
      <c r="Z1490" s="405"/>
    </row>
    <row r="1491" ht="14.25" customHeight="1">
      <c r="A1491" s="656"/>
      <c r="B1491" s="405"/>
      <c r="C1491" s="405"/>
      <c r="D1491" s="405"/>
      <c r="E1491" s="405"/>
      <c r="F1491" s="657"/>
      <c r="G1491" s="583"/>
      <c r="H1491" s="405"/>
      <c r="I1491" s="405"/>
      <c r="J1491" s="405"/>
      <c r="K1491" s="405"/>
      <c r="L1491" s="405"/>
      <c r="M1491" s="405"/>
      <c r="N1491" s="405"/>
      <c r="O1491" s="405"/>
      <c r="P1491" s="405"/>
      <c r="Q1491" s="405"/>
      <c r="R1491" s="405"/>
      <c r="S1491" s="405"/>
      <c r="T1491" s="405"/>
      <c r="U1491" s="405"/>
      <c r="V1491" s="405"/>
      <c r="W1491" s="405"/>
      <c r="X1491" s="405"/>
      <c r="Y1491" s="405"/>
      <c r="Z1491" s="405"/>
    </row>
    <row r="1492" ht="14.25" customHeight="1">
      <c r="A1492" s="656"/>
      <c r="B1492" s="405"/>
      <c r="C1492" s="405"/>
      <c r="D1492" s="405"/>
      <c r="E1492" s="405"/>
      <c r="F1492" s="657"/>
      <c r="G1492" s="583"/>
      <c r="H1492" s="405"/>
      <c r="I1492" s="405"/>
      <c r="J1492" s="405"/>
      <c r="K1492" s="405"/>
      <c r="L1492" s="405"/>
      <c r="M1492" s="405"/>
      <c r="N1492" s="405"/>
      <c r="O1492" s="405"/>
      <c r="P1492" s="405"/>
      <c r="Q1492" s="405"/>
      <c r="R1492" s="405"/>
      <c r="S1492" s="405"/>
      <c r="T1492" s="405"/>
      <c r="U1492" s="405"/>
      <c r="V1492" s="405"/>
      <c r="W1492" s="405"/>
      <c r="X1492" s="405"/>
      <c r="Y1492" s="405"/>
      <c r="Z1492" s="405"/>
    </row>
    <row r="1493" ht="14.25" customHeight="1">
      <c r="A1493" s="656"/>
      <c r="B1493" s="405"/>
      <c r="C1493" s="405"/>
      <c r="D1493" s="405"/>
      <c r="E1493" s="405"/>
      <c r="F1493" s="657"/>
      <c r="G1493" s="583"/>
      <c r="H1493" s="405"/>
      <c r="I1493" s="405"/>
      <c r="J1493" s="405"/>
      <c r="K1493" s="405"/>
      <c r="L1493" s="405"/>
      <c r="M1493" s="405"/>
      <c r="N1493" s="405"/>
      <c r="O1493" s="405"/>
      <c r="P1493" s="405"/>
      <c r="Q1493" s="405"/>
      <c r="R1493" s="405"/>
      <c r="S1493" s="405"/>
      <c r="T1493" s="405"/>
      <c r="U1493" s="405"/>
      <c r="V1493" s="405"/>
      <c r="W1493" s="405"/>
      <c r="X1493" s="405"/>
      <c r="Y1493" s="405"/>
      <c r="Z1493" s="405"/>
    </row>
    <row r="1494" ht="14.25" customHeight="1">
      <c r="A1494" s="656"/>
      <c r="B1494" s="405"/>
      <c r="C1494" s="405"/>
      <c r="D1494" s="405"/>
      <c r="E1494" s="405"/>
      <c r="F1494" s="657"/>
      <c r="G1494" s="583"/>
      <c r="H1494" s="405"/>
      <c r="I1494" s="405"/>
      <c r="J1494" s="405"/>
      <c r="K1494" s="405"/>
      <c r="L1494" s="405"/>
      <c r="M1494" s="405"/>
      <c r="N1494" s="405"/>
      <c r="O1494" s="405"/>
      <c r="P1494" s="405"/>
      <c r="Q1494" s="405"/>
      <c r="R1494" s="405"/>
      <c r="S1494" s="405"/>
      <c r="T1494" s="405"/>
      <c r="U1494" s="405"/>
      <c r="V1494" s="405"/>
      <c r="W1494" s="405"/>
      <c r="X1494" s="405"/>
      <c r="Y1494" s="405"/>
      <c r="Z1494" s="405"/>
    </row>
    <row r="1495" ht="14.25" customHeight="1">
      <c r="A1495" s="656"/>
      <c r="B1495" s="405"/>
      <c r="C1495" s="405"/>
      <c r="D1495" s="405"/>
      <c r="E1495" s="405"/>
      <c r="F1495" s="657"/>
      <c r="G1495" s="583"/>
      <c r="H1495" s="405"/>
      <c r="I1495" s="405"/>
      <c r="J1495" s="405"/>
      <c r="K1495" s="405"/>
      <c r="L1495" s="405"/>
      <c r="M1495" s="405"/>
      <c r="N1495" s="405"/>
      <c r="O1495" s="405"/>
      <c r="P1495" s="405"/>
      <c r="Q1495" s="405"/>
      <c r="R1495" s="405"/>
      <c r="S1495" s="405"/>
      <c r="T1495" s="405"/>
      <c r="U1495" s="405"/>
      <c r="V1495" s="405"/>
      <c r="W1495" s="405"/>
      <c r="X1495" s="405"/>
      <c r="Y1495" s="405"/>
      <c r="Z1495" s="405"/>
    </row>
    <row r="1496" ht="14.25" customHeight="1">
      <c r="A1496" s="656"/>
      <c r="B1496" s="405"/>
      <c r="C1496" s="405"/>
      <c r="D1496" s="405"/>
      <c r="E1496" s="405"/>
      <c r="F1496" s="657"/>
      <c r="G1496" s="583"/>
      <c r="H1496" s="405"/>
      <c r="I1496" s="405"/>
      <c r="J1496" s="405"/>
      <c r="K1496" s="405"/>
      <c r="L1496" s="405"/>
      <c r="M1496" s="405"/>
      <c r="N1496" s="405"/>
      <c r="O1496" s="405"/>
      <c r="P1496" s="405"/>
      <c r="Q1496" s="405"/>
      <c r="R1496" s="405"/>
      <c r="S1496" s="405"/>
      <c r="T1496" s="405"/>
      <c r="U1496" s="405"/>
      <c r="V1496" s="405"/>
      <c r="W1496" s="405"/>
      <c r="X1496" s="405"/>
      <c r="Y1496" s="405"/>
      <c r="Z1496" s="405"/>
    </row>
    <row r="1497" ht="14.25" customHeight="1">
      <c r="A1497" s="656"/>
      <c r="B1497" s="405"/>
      <c r="C1497" s="405"/>
      <c r="D1497" s="405"/>
      <c r="E1497" s="405"/>
      <c r="F1497" s="657"/>
      <c r="G1497" s="583"/>
      <c r="H1497" s="405"/>
      <c r="I1497" s="405"/>
      <c r="J1497" s="405"/>
      <c r="K1497" s="405"/>
      <c r="L1497" s="405"/>
      <c r="M1497" s="405"/>
      <c r="N1497" s="405"/>
      <c r="O1497" s="405"/>
      <c r="P1497" s="405"/>
      <c r="Q1497" s="405"/>
      <c r="R1497" s="405"/>
      <c r="S1497" s="405"/>
      <c r="T1497" s="405"/>
      <c r="U1497" s="405"/>
      <c r="V1497" s="405"/>
      <c r="W1497" s="405"/>
      <c r="X1497" s="405"/>
      <c r="Y1497" s="405"/>
      <c r="Z1497" s="405"/>
    </row>
    <row r="1498" ht="14.25" customHeight="1">
      <c r="A1498" s="656"/>
      <c r="B1498" s="405"/>
      <c r="C1498" s="405"/>
      <c r="D1498" s="405"/>
      <c r="E1498" s="405"/>
      <c r="F1498" s="657"/>
      <c r="G1498" s="583"/>
      <c r="H1498" s="405"/>
      <c r="I1498" s="405"/>
      <c r="J1498" s="405"/>
      <c r="K1498" s="405"/>
      <c r="L1498" s="405"/>
      <c r="M1498" s="405"/>
      <c r="N1498" s="405"/>
      <c r="O1498" s="405"/>
      <c r="P1498" s="405"/>
      <c r="Q1498" s="405"/>
      <c r="R1498" s="405"/>
      <c r="S1498" s="405"/>
      <c r="T1498" s="405"/>
      <c r="U1498" s="405"/>
      <c r="V1498" s="405"/>
      <c r="W1498" s="405"/>
      <c r="X1498" s="405"/>
      <c r="Y1498" s="405"/>
      <c r="Z1498" s="405"/>
    </row>
    <row r="1499" ht="14.25" customHeight="1">
      <c r="A1499" s="656"/>
      <c r="B1499" s="405"/>
      <c r="C1499" s="405"/>
      <c r="D1499" s="405"/>
      <c r="E1499" s="405"/>
      <c r="F1499" s="657"/>
      <c r="G1499" s="583"/>
      <c r="H1499" s="405"/>
      <c r="I1499" s="405"/>
      <c r="J1499" s="405"/>
      <c r="K1499" s="405"/>
      <c r="L1499" s="405"/>
      <c r="M1499" s="405"/>
      <c r="N1499" s="405"/>
      <c r="O1499" s="405"/>
      <c r="P1499" s="405"/>
      <c r="Q1499" s="405"/>
      <c r="R1499" s="405"/>
      <c r="S1499" s="405"/>
      <c r="T1499" s="405"/>
      <c r="U1499" s="405"/>
      <c r="V1499" s="405"/>
      <c r="W1499" s="405"/>
      <c r="X1499" s="405"/>
      <c r="Y1499" s="405"/>
      <c r="Z1499" s="405"/>
    </row>
    <row r="1500" ht="14.25" customHeight="1">
      <c r="A1500" s="656"/>
      <c r="B1500" s="405"/>
      <c r="C1500" s="405"/>
      <c r="D1500" s="405"/>
      <c r="E1500" s="405"/>
      <c r="F1500" s="657"/>
      <c r="G1500" s="583"/>
      <c r="H1500" s="405"/>
      <c r="I1500" s="405"/>
      <c r="J1500" s="405"/>
      <c r="K1500" s="405"/>
      <c r="L1500" s="405"/>
      <c r="M1500" s="405"/>
      <c r="N1500" s="405"/>
      <c r="O1500" s="405"/>
      <c r="P1500" s="405"/>
      <c r="Q1500" s="405"/>
      <c r="R1500" s="405"/>
      <c r="S1500" s="405"/>
      <c r="T1500" s="405"/>
      <c r="U1500" s="405"/>
      <c r="V1500" s="405"/>
      <c r="W1500" s="405"/>
      <c r="X1500" s="405"/>
      <c r="Y1500" s="405"/>
      <c r="Z1500" s="405"/>
    </row>
    <row r="1501" ht="14.25" customHeight="1">
      <c r="A1501" s="656"/>
      <c r="B1501" s="405"/>
      <c r="C1501" s="405"/>
      <c r="D1501" s="405"/>
      <c r="E1501" s="405"/>
      <c r="F1501" s="657"/>
      <c r="G1501" s="583"/>
      <c r="H1501" s="405"/>
      <c r="I1501" s="405"/>
      <c r="J1501" s="405"/>
      <c r="K1501" s="405"/>
      <c r="L1501" s="405"/>
      <c r="M1501" s="405"/>
      <c r="N1501" s="405"/>
      <c r="O1501" s="405"/>
      <c r="P1501" s="405"/>
      <c r="Q1501" s="405"/>
      <c r="R1501" s="405"/>
      <c r="S1501" s="405"/>
      <c r="T1501" s="405"/>
      <c r="U1501" s="405"/>
      <c r="V1501" s="405"/>
      <c r="W1501" s="405"/>
      <c r="X1501" s="405"/>
      <c r="Y1501" s="405"/>
      <c r="Z1501" s="405"/>
    </row>
    <row r="1502" ht="14.25" customHeight="1">
      <c r="A1502" s="656"/>
      <c r="B1502" s="405"/>
      <c r="C1502" s="405"/>
      <c r="D1502" s="405"/>
      <c r="E1502" s="405"/>
      <c r="F1502" s="657"/>
      <c r="G1502" s="583"/>
      <c r="H1502" s="405"/>
      <c r="I1502" s="405"/>
      <c r="J1502" s="405"/>
      <c r="K1502" s="405"/>
      <c r="L1502" s="405"/>
      <c r="M1502" s="405"/>
      <c r="N1502" s="405"/>
      <c r="O1502" s="405"/>
      <c r="P1502" s="405"/>
      <c r="Q1502" s="405"/>
      <c r="R1502" s="405"/>
      <c r="S1502" s="405"/>
      <c r="T1502" s="405"/>
      <c r="U1502" s="405"/>
      <c r="V1502" s="405"/>
      <c r="W1502" s="405"/>
      <c r="X1502" s="405"/>
      <c r="Y1502" s="405"/>
      <c r="Z1502" s="405"/>
    </row>
    <row r="1503" ht="14.25" customHeight="1">
      <c r="A1503" s="656"/>
      <c r="B1503" s="405"/>
      <c r="C1503" s="405"/>
      <c r="D1503" s="405"/>
      <c r="E1503" s="405"/>
      <c r="F1503" s="657"/>
      <c r="G1503" s="583"/>
      <c r="H1503" s="405"/>
      <c r="I1503" s="405"/>
      <c r="J1503" s="405"/>
      <c r="K1503" s="405"/>
      <c r="L1503" s="405"/>
      <c r="M1503" s="405"/>
      <c r="N1503" s="405"/>
      <c r="O1503" s="405"/>
      <c r="P1503" s="405"/>
      <c r="Q1503" s="405"/>
      <c r="R1503" s="405"/>
      <c r="S1503" s="405"/>
      <c r="T1503" s="405"/>
      <c r="U1503" s="405"/>
      <c r="V1503" s="405"/>
      <c r="W1503" s="405"/>
      <c r="X1503" s="405"/>
      <c r="Y1503" s="405"/>
      <c r="Z1503" s="405"/>
    </row>
    <row r="1504" ht="14.25" customHeight="1">
      <c r="A1504" s="656"/>
      <c r="B1504" s="405"/>
      <c r="C1504" s="405"/>
      <c r="D1504" s="405"/>
      <c r="E1504" s="405"/>
      <c r="F1504" s="657"/>
      <c r="G1504" s="583"/>
      <c r="H1504" s="405"/>
      <c r="I1504" s="405"/>
      <c r="J1504" s="405"/>
      <c r="K1504" s="405"/>
      <c r="L1504" s="405"/>
      <c r="M1504" s="405"/>
      <c r="N1504" s="405"/>
      <c r="O1504" s="405"/>
      <c r="P1504" s="405"/>
      <c r="Q1504" s="405"/>
      <c r="R1504" s="405"/>
      <c r="S1504" s="405"/>
      <c r="T1504" s="405"/>
      <c r="U1504" s="405"/>
      <c r="V1504" s="405"/>
      <c r="W1504" s="405"/>
      <c r="X1504" s="405"/>
      <c r="Y1504" s="405"/>
      <c r="Z1504" s="405"/>
    </row>
    <row r="1505" ht="14.25" customHeight="1">
      <c r="A1505" s="656"/>
      <c r="B1505" s="405"/>
      <c r="C1505" s="405"/>
      <c r="D1505" s="405"/>
      <c r="E1505" s="405"/>
      <c r="F1505" s="657"/>
      <c r="G1505" s="583"/>
      <c r="H1505" s="405"/>
      <c r="I1505" s="405"/>
      <c r="J1505" s="405"/>
      <c r="K1505" s="405"/>
      <c r="L1505" s="405"/>
      <c r="M1505" s="405"/>
      <c r="N1505" s="405"/>
      <c r="O1505" s="405"/>
      <c r="P1505" s="405"/>
      <c r="Q1505" s="405"/>
      <c r="R1505" s="405"/>
      <c r="S1505" s="405"/>
      <c r="T1505" s="405"/>
      <c r="U1505" s="405"/>
      <c r="V1505" s="405"/>
      <c r="W1505" s="405"/>
      <c r="X1505" s="405"/>
      <c r="Y1505" s="405"/>
      <c r="Z1505" s="405"/>
    </row>
    <row r="1506" ht="14.25" customHeight="1">
      <c r="A1506" s="656"/>
      <c r="B1506" s="405"/>
      <c r="C1506" s="405"/>
      <c r="D1506" s="405"/>
      <c r="E1506" s="405"/>
      <c r="F1506" s="657"/>
      <c r="G1506" s="583"/>
      <c r="H1506" s="405"/>
      <c r="I1506" s="405"/>
      <c r="J1506" s="405"/>
      <c r="K1506" s="405"/>
      <c r="L1506" s="405"/>
      <c r="M1506" s="405"/>
      <c r="N1506" s="405"/>
      <c r="O1506" s="405"/>
      <c r="P1506" s="405"/>
      <c r="Q1506" s="405"/>
      <c r="R1506" s="405"/>
      <c r="S1506" s="405"/>
      <c r="T1506" s="405"/>
      <c r="U1506" s="405"/>
      <c r="V1506" s="405"/>
      <c r="W1506" s="405"/>
      <c r="X1506" s="405"/>
      <c r="Y1506" s="405"/>
      <c r="Z1506" s="405"/>
    </row>
    <row r="1507" ht="14.25" customHeight="1">
      <c r="A1507" s="656"/>
      <c r="B1507" s="405"/>
      <c r="C1507" s="405"/>
      <c r="D1507" s="405"/>
      <c r="E1507" s="405"/>
      <c r="F1507" s="657"/>
      <c r="G1507" s="583"/>
      <c r="H1507" s="405"/>
      <c r="I1507" s="405"/>
      <c r="J1507" s="405"/>
      <c r="K1507" s="405"/>
      <c r="L1507" s="405"/>
      <c r="M1507" s="405"/>
      <c r="N1507" s="405"/>
      <c r="O1507" s="405"/>
      <c r="P1507" s="405"/>
      <c r="Q1507" s="405"/>
      <c r="R1507" s="405"/>
      <c r="S1507" s="405"/>
      <c r="T1507" s="405"/>
      <c r="U1507" s="405"/>
      <c r="V1507" s="405"/>
      <c r="W1507" s="405"/>
      <c r="X1507" s="405"/>
      <c r="Y1507" s="405"/>
      <c r="Z1507" s="405"/>
    </row>
    <row r="1508" ht="14.25" customHeight="1">
      <c r="A1508" s="656"/>
      <c r="B1508" s="405"/>
      <c r="C1508" s="405"/>
      <c r="D1508" s="405"/>
      <c r="E1508" s="405"/>
      <c r="F1508" s="657"/>
      <c r="G1508" s="583"/>
      <c r="H1508" s="405"/>
      <c r="I1508" s="405"/>
      <c r="J1508" s="405"/>
      <c r="K1508" s="405"/>
      <c r="L1508" s="405"/>
      <c r="M1508" s="405"/>
      <c r="N1508" s="405"/>
      <c r="O1508" s="405"/>
      <c r="P1508" s="405"/>
      <c r="Q1508" s="405"/>
      <c r="R1508" s="405"/>
      <c r="S1508" s="405"/>
      <c r="T1508" s="405"/>
      <c r="U1508" s="405"/>
      <c r="V1508" s="405"/>
      <c r="W1508" s="405"/>
      <c r="X1508" s="405"/>
      <c r="Y1508" s="405"/>
      <c r="Z1508" s="405"/>
    </row>
    <row r="1509" ht="14.25" customHeight="1">
      <c r="A1509" s="656"/>
      <c r="B1509" s="405"/>
      <c r="C1509" s="405"/>
      <c r="D1509" s="405"/>
      <c r="E1509" s="405"/>
      <c r="F1509" s="657"/>
      <c r="G1509" s="583"/>
      <c r="H1509" s="405"/>
      <c r="I1509" s="405"/>
      <c r="J1509" s="405"/>
      <c r="K1509" s="405"/>
      <c r="L1509" s="405"/>
      <c r="M1509" s="405"/>
      <c r="N1509" s="405"/>
      <c r="O1509" s="405"/>
      <c r="P1509" s="405"/>
      <c r="Q1509" s="405"/>
      <c r="R1509" s="405"/>
      <c r="S1509" s="405"/>
      <c r="T1509" s="405"/>
      <c r="U1509" s="405"/>
      <c r="V1509" s="405"/>
      <c r="W1509" s="405"/>
      <c r="X1509" s="405"/>
      <c r="Y1509" s="405"/>
      <c r="Z1509" s="405"/>
    </row>
    <row r="1510" ht="14.25" customHeight="1">
      <c r="A1510" s="656"/>
      <c r="B1510" s="405"/>
      <c r="C1510" s="405"/>
      <c r="D1510" s="405"/>
      <c r="E1510" s="405"/>
      <c r="F1510" s="657"/>
      <c r="G1510" s="583"/>
      <c r="H1510" s="405"/>
      <c r="I1510" s="405"/>
      <c r="J1510" s="405"/>
      <c r="K1510" s="405"/>
      <c r="L1510" s="405"/>
      <c r="M1510" s="405"/>
      <c r="N1510" s="405"/>
      <c r="O1510" s="405"/>
      <c r="P1510" s="405"/>
      <c r="Q1510" s="405"/>
      <c r="R1510" s="405"/>
      <c r="S1510" s="405"/>
      <c r="T1510" s="405"/>
      <c r="U1510" s="405"/>
      <c r="V1510" s="405"/>
      <c r="W1510" s="405"/>
      <c r="X1510" s="405"/>
      <c r="Y1510" s="405"/>
      <c r="Z1510" s="405"/>
    </row>
    <row r="1511" ht="14.25" customHeight="1">
      <c r="A1511" s="656"/>
      <c r="B1511" s="405"/>
      <c r="C1511" s="405"/>
      <c r="D1511" s="405"/>
      <c r="E1511" s="405"/>
      <c r="F1511" s="657"/>
      <c r="G1511" s="583"/>
      <c r="H1511" s="405"/>
      <c r="I1511" s="405"/>
      <c r="J1511" s="405"/>
      <c r="K1511" s="405"/>
      <c r="L1511" s="405"/>
      <c r="M1511" s="405"/>
      <c r="N1511" s="405"/>
      <c r="O1511" s="405"/>
      <c r="P1511" s="405"/>
      <c r="Q1511" s="405"/>
      <c r="R1511" s="405"/>
      <c r="S1511" s="405"/>
      <c r="T1511" s="405"/>
      <c r="U1511" s="405"/>
      <c r="V1511" s="405"/>
      <c r="W1511" s="405"/>
      <c r="X1511" s="405"/>
      <c r="Y1511" s="405"/>
      <c r="Z1511" s="405"/>
    </row>
    <row r="1512" ht="14.25" customHeight="1">
      <c r="A1512" s="656"/>
      <c r="B1512" s="405"/>
      <c r="C1512" s="405"/>
      <c r="D1512" s="405"/>
      <c r="E1512" s="405"/>
      <c r="F1512" s="657"/>
      <c r="G1512" s="583"/>
      <c r="H1512" s="405"/>
      <c r="I1512" s="405"/>
      <c r="J1512" s="405"/>
      <c r="K1512" s="405"/>
      <c r="L1512" s="405"/>
      <c r="M1512" s="405"/>
      <c r="N1512" s="405"/>
      <c r="O1512" s="405"/>
      <c r="P1512" s="405"/>
      <c r="Q1512" s="405"/>
      <c r="R1512" s="405"/>
      <c r="S1512" s="405"/>
      <c r="T1512" s="405"/>
      <c r="U1512" s="405"/>
      <c r="V1512" s="405"/>
      <c r="W1512" s="405"/>
      <c r="X1512" s="405"/>
      <c r="Y1512" s="405"/>
      <c r="Z1512" s="405"/>
    </row>
    <row r="1513" ht="14.25" customHeight="1">
      <c r="A1513" s="656"/>
      <c r="B1513" s="405"/>
      <c r="C1513" s="405"/>
      <c r="D1513" s="405"/>
      <c r="E1513" s="405"/>
      <c r="F1513" s="657"/>
      <c r="G1513" s="583"/>
      <c r="H1513" s="405"/>
      <c r="I1513" s="405"/>
      <c r="J1513" s="405"/>
      <c r="K1513" s="405"/>
      <c r="L1513" s="405"/>
      <c r="M1513" s="405"/>
      <c r="N1513" s="405"/>
      <c r="O1513" s="405"/>
      <c r="P1513" s="405"/>
      <c r="Q1513" s="405"/>
      <c r="R1513" s="405"/>
      <c r="S1513" s="405"/>
      <c r="T1513" s="405"/>
      <c r="U1513" s="405"/>
      <c r="V1513" s="405"/>
      <c r="W1513" s="405"/>
      <c r="X1513" s="405"/>
      <c r="Y1513" s="405"/>
      <c r="Z1513" s="405"/>
    </row>
    <row r="1514" ht="14.25" customHeight="1">
      <c r="A1514" s="656"/>
      <c r="B1514" s="405"/>
      <c r="C1514" s="405"/>
      <c r="D1514" s="405"/>
      <c r="E1514" s="405"/>
      <c r="F1514" s="657"/>
      <c r="G1514" s="583"/>
      <c r="H1514" s="405"/>
      <c r="I1514" s="405"/>
      <c r="J1514" s="405"/>
      <c r="K1514" s="405"/>
      <c r="L1514" s="405"/>
      <c r="M1514" s="405"/>
      <c r="N1514" s="405"/>
      <c r="O1514" s="405"/>
      <c r="P1514" s="405"/>
      <c r="Q1514" s="405"/>
      <c r="R1514" s="405"/>
      <c r="S1514" s="405"/>
      <c r="T1514" s="405"/>
      <c r="U1514" s="405"/>
      <c r="V1514" s="405"/>
      <c r="W1514" s="405"/>
      <c r="X1514" s="405"/>
      <c r="Y1514" s="405"/>
      <c r="Z1514" s="405"/>
    </row>
    <row r="1515" ht="14.25" customHeight="1">
      <c r="A1515" s="656"/>
      <c r="B1515" s="405"/>
      <c r="C1515" s="405"/>
      <c r="D1515" s="405"/>
      <c r="E1515" s="405"/>
      <c r="F1515" s="657"/>
      <c r="G1515" s="583"/>
      <c r="H1515" s="405"/>
      <c r="I1515" s="405"/>
      <c r="J1515" s="405"/>
      <c r="K1515" s="405"/>
      <c r="L1515" s="405"/>
      <c r="M1515" s="405"/>
      <c r="N1515" s="405"/>
      <c r="O1515" s="405"/>
      <c r="P1515" s="405"/>
      <c r="Q1515" s="405"/>
      <c r="R1515" s="405"/>
      <c r="S1515" s="405"/>
      <c r="T1515" s="405"/>
      <c r="U1515" s="405"/>
      <c r="V1515" s="405"/>
      <c r="W1515" s="405"/>
      <c r="X1515" s="405"/>
      <c r="Y1515" s="405"/>
      <c r="Z1515" s="405"/>
    </row>
    <row r="1516" ht="14.25" customHeight="1">
      <c r="A1516" s="656"/>
      <c r="B1516" s="405"/>
      <c r="C1516" s="405"/>
      <c r="D1516" s="405"/>
      <c r="E1516" s="405"/>
      <c r="F1516" s="657"/>
      <c r="G1516" s="583"/>
      <c r="H1516" s="405"/>
      <c r="I1516" s="405"/>
      <c r="J1516" s="405"/>
      <c r="K1516" s="405"/>
      <c r="L1516" s="405"/>
      <c r="M1516" s="405"/>
      <c r="N1516" s="405"/>
      <c r="O1516" s="405"/>
      <c r="P1516" s="405"/>
      <c r="Q1516" s="405"/>
      <c r="R1516" s="405"/>
      <c r="S1516" s="405"/>
      <c r="T1516" s="405"/>
      <c r="U1516" s="405"/>
      <c r="V1516" s="405"/>
      <c r="W1516" s="405"/>
      <c r="X1516" s="405"/>
      <c r="Y1516" s="405"/>
      <c r="Z1516" s="405"/>
    </row>
    <row r="1517" ht="14.25" customHeight="1">
      <c r="A1517" s="656"/>
      <c r="B1517" s="405"/>
      <c r="C1517" s="405"/>
      <c r="D1517" s="405"/>
      <c r="E1517" s="405"/>
      <c r="F1517" s="657"/>
      <c r="G1517" s="583"/>
      <c r="H1517" s="405"/>
      <c r="I1517" s="405"/>
      <c r="J1517" s="405"/>
      <c r="K1517" s="405"/>
      <c r="L1517" s="405"/>
      <c r="M1517" s="405"/>
      <c r="N1517" s="405"/>
      <c r="O1517" s="405"/>
      <c r="P1517" s="405"/>
      <c r="Q1517" s="405"/>
      <c r="R1517" s="405"/>
      <c r="S1517" s="405"/>
      <c r="T1517" s="405"/>
      <c r="U1517" s="405"/>
      <c r="V1517" s="405"/>
      <c r="W1517" s="405"/>
      <c r="X1517" s="405"/>
      <c r="Y1517" s="405"/>
      <c r="Z1517" s="405"/>
    </row>
    <row r="1518" ht="14.25" customHeight="1">
      <c r="A1518" s="656"/>
      <c r="B1518" s="405"/>
      <c r="C1518" s="405"/>
      <c r="D1518" s="405"/>
      <c r="E1518" s="405"/>
      <c r="F1518" s="657"/>
      <c r="G1518" s="583"/>
      <c r="H1518" s="405"/>
      <c r="I1518" s="405"/>
      <c r="J1518" s="405"/>
      <c r="K1518" s="405"/>
      <c r="L1518" s="405"/>
      <c r="M1518" s="405"/>
      <c r="N1518" s="405"/>
      <c r="O1518" s="405"/>
      <c r="P1518" s="405"/>
      <c r="Q1518" s="405"/>
      <c r="R1518" s="405"/>
      <c r="S1518" s="405"/>
      <c r="T1518" s="405"/>
      <c r="U1518" s="405"/>
      <c r="V1518" s="405"/>
      <c r="W1518" s="405"/>
      <c r="X1518" s="405"/>
      <c r="Y1518" s="405"/>
      <c r="Z1518" s="405"/>
    </row>
    <row r="1519" ht="14.25" customHeight="1">
      <c r="A1519" s="656"/>
      <c r="B1519" s="405"/>
      <c r="C1519" s="405"/>
      <c r="D1519" s="405"/>
      <c r="E1519" s="405"/>
      <c r="F1519" s="657"/>
      <c r="G1519" s="583"/>
      <c r="H1519" s="405"/>
      <c r="I1519" s="405"/>
      <c r="J1519" s="405"/>
      <c r="K1519" s="405"/>
      <c r="L1519" s="405"/>
      <c r="M1519" s="405"/>
      <c r="N1519" s="405"/>
      <c r="O1519" s="405"/>
      <c r="P1519" s="405"/>
      <c r="Q1519" s="405"/>
      <c r="R1519" s="405"/>
      <c r="S1519" s="405"/>
      <c r="T1519" s="405"/>
      <c r="U1519" s="405"/>
      <c r="V1519" s="405"/>
      <c r="W1519" s="405"/>
      <c r="X1519" s="405"/>
      <c r="Y1519" s="405"/>
      <c r="Z1519" s="405"/>
    </row>
    <row r="1520" ht="14.25" customHeight="1">
      <c r="A1520" s="656"/>
      <c r="B1520" s="405"/>
      <c r="C1520" s="405"/>
      <c r="D1520" s="405"/>
      <c r="E1520" s="405"/>
      <c r="F1520" s="657"/>
      <c r="G1520" s="583"/>
      <c r="H1520" s="405"/>
      <c r="I1520" s="405"/>
      <c r="J1520" s="405"/>
      <c r="K1520" s="405"/>
      <c r="L1520" s="405"/>
      <c r="M1520" s="405"/>
      <c r="N1520" s="405"/>
      <c r="O1520" s="405"/>
      <c r="P1520" s="405"/>
      <c r="Q1520" s="405"/>
      <c r="R1520" s="405"/>
      <c r="S1520" s="405"/>
      <c r="T1520" s="405"/>
      <c r="U1520" s="405"/>
      <c r="V1520" s="405"/>
      <c r="W1520" s="405"/>
      <c r="X1520" s="405"/>
      <c r="Y1520" s="405"/>
      <c r="Z1520" s="405"/>
    </row>
    <row r="1521" ht="14.25" customHeight="1">
      <c r="A1521" s="656"/>
      <c r="B1521" s="405"/>
      <c r="C1521" s="405"/>
      <c r="D1521" s="405"/>
      <c r="E1521" s="405"/>
      <c r="F1521" s="657"/>
      <c r="G1521" s="583"/>
      <c r="H1521" s="405"/>
      <c r="I1521" s="405"/>
      <c r="J1521" s="405"/>
      <c r="K1521" s="405"/>
      <c r="L1521" s="405"/>
      <c r="M1521" s="405"/>
      <c r="N1521" s="405"/>
      <c r="O1521" s="405"/>
      <c r="P1521" s="405"/>
      <c r="Q1521" s="405"/>
      <c r="R1521" s="405"/>
      <c r="S1521" s="405"/>
      <c r="T1521" s="405"/>
      <c r="U1521" s="405"/>
      <c r="V1521" s="405"/>
      <c r="W1521" s="405"/>
      <c r="X1521" s="405"/>
      <c r="Y1521" s="405"/>
      <c r="Z1521" s="405"/>
    </row>
    <row r="1522" ht="14.25" customHeight="1">
      <c r="A1522" s="656"/>
      <c r="B1522" s="405"/>
      <c r="C1522" s="405"/>
      <c r="D1522" s="405"/>
      <c r="E1522" s="405"/>
      <c r="F1522" s="657"/>
      <c r="G1522" s="583"/>
      <c r="H1522" s="405"/>
      <c r="I1522" s="405"/>
      <c r="J1522" s="405"/>
      <c r="K1522" s="405"/>
      <c r="L1522" s="405"/>
      <c r="M1522" s="405"/>
      <c r="N1522" s="405"/>
      <c r="O1522" s="405"/>
      <c r="P1522" s="405"/>
      <c r="Q1522" s="405"/>
      <c r="R1522" s="405"/>
      <c r="S1522" s="405"/>
      <c r="T1522" s="405"/>
      <c r="U1522" s="405"/>
      <c r="V1522" s="405"/>
      <c r="W1522" s="405"/>
      <c r="X1522" s="405"/>
      <c r="Y1522" s="405"/>
      <c r="Z1522" s="405"/>
    </row>
    <row r="1523" ht="14.25" customHeight="1">
      <c r="A1523" s="656"/>
      <c r="B1523" s="405"/>
      <c r="C1523" s="405"/>
      <c r="D1523" s="405"/>
      <c r="E1523" s="405"/>
      <c r="F1523" s="657"/>
      <c r="G1523" s="583"/>
      <c r="H1523" s="405"/>
      <c r="I1523" s="405"/>
      <c r="J1523" s="405"/>
      <c r="K1523" s="405"/>
      <c r="L1523" s="405"/>
      <c r="M1523" s="405"/>
      <c r="N1523" s="405"/>
      <c r="O1523" s="405"/>
      <c r="P1523" s="405"/>
      <c r="Q1523" s="405"/>
      <c r="R1523" s="405"/>
      <c r="S1523" s="405"/>
      <c r="T1523" s="405"/>
      <c r="U1523" s="405"/>
      <c r="V1523" s="405"/>
      <c r="W1523" s="405"/>
      <c r="X1523" s="405"/>
      <c r="Y1523" s="405"/>
      <c r="Z1523" s="405"/>
    </row>
    <row r="1524" ht="14.25" customHeight="1">
      <c r="A1524" s="656"/>
      <c r="B1524" s="405"/>
      <c r="C1524" s="405"/>
      <c r="D1524" s="405"/>
      <c r="E1524" s="405"/>
      <c r="F1524" s="657"/>
      <c r="G1524" s="583"/>
      <c r="H1524" s="405"/>
      <c r="I1524" s="405"/>
      <c r="J1524" s="405"/>
      <c r="K1524" s="405"/>
      <c r="L1524" s="405"/>
      <c r="M1524" s="405"/>
      <c r="N1524" s="405"/>
      <c r="O1524" s="405"/>
      <c r="P1524" s="405"/>
      <c r="Q1524" s="405"/>
      <c r="R1524" s="405"/>
      <c r="S1524" s="405"/>
      <c r="T1524" s="405"/>
      <c r="U1524" s="405"/>
      <c r="V1524" s="405"/>
      <c r="W1524" s="405"/>
      <c r="X1524" s="405"/>
      <c r="Y1524" s="405"/>
      <c r="Z1524" s="405"/>
    </row>
    <row r="1525" ht="14.25" customHeight="1">
      <c r="A1525" s="656"/>
      <c r="B1525" s="405"/>
      <c r="C1525" s="405"/>
      <c r="D1525" s="405"/>
      <c r="E1525" s="405"/>
      <c r="F1525" s="657"/>
      <c r="G1525" s="583"/>
      <c r="H1525" s="405"/>
      <c r="I1525" s="405"/>
      <c r="J1525" s="405"/>
      <c r="K1525" s="405"/>
      <c r="L1525" s="405"/>
      <c r="M1525" s="405"/>
      <c r="N1525" s="405"/>
      <c r="O1525" s="405"/>
      <c r="P1525" s="405"/>
      <c r="Q1525" s="405"/>
      <c r="R1525" s="405"/>
      <c r="S1525" s="405"/>
      <c r="T1525" s="405"/>
      <c r="U1525" s="405"/>
      <c r="V1525" s="405"/>
      <c r="W1525" s="405"/>
      <c r="X1525" s="405"/>
      <c r="Y1525" s="405"/>
      <c r="Z1525" s="405"/>
    </row>
    <row r="1526" ht="14.25" customHeight="1">
      <c r="A1526" s="656"/>
      <c r="B1526" s="405"/>
      <c r="C1526" s="405"/>
      <c r="D1526" s="405"/>
      <c r="E1526" s="405"/>
      <c r="F1526" s="657"/>
      <c r="G1526" s="583"/>
      <c r="H1526" s="405"/>
      <c r="I1526" s="405"/>
      <c r="J1526" s="405"/>
      <c r="K1526" s="405"/>
      <c r="L1526" s="405"/>
      <c r="M1526" s="405"/>
      <c r="N1526" s="405"/>
      <c r="O1526" s="405"/>
      <c r="P1526" s="405"/>
      <c r="Q1526" s="405"/>
      <c r="R1526" s="405"/>
      <c r="S1526" s="405"/>
      <c r="T1526" s="405"/>
      <c r="U1526" s="405"/>
      <c r="V1526" s="405"/>
      <c r="W1526" s="405"/>
      <c r="X1526" s="405"/>
      <c r="Y1526" s="405"/>
      <c r="Z1526" s="405"/>
    </row>
    <row r="1527" ht="14.25" customHeight="1">
      <c r="A1527" s="656"/>
      <c r="B1527" s="405"/>
      <c r="C1527" s="405"/>
      <c r="D1527" s="405"/>
      <c r="E1527" s="405"/>
      <c r="F1527" s="657"/>
      <c r="G1527" s="583"/>
      <c r="H1527" s="405"/>
      <c r="I1527" s="405"/>
      <c r="J1527" s="405"/>
      <c r="K1527" s="405"/>
      <c r="L1527" s="405"/>
      <c r="M1527" s="405"/>
      <c r="N1527" s="405"/>
      <c r="O1527" s="405"/>
      <c r="P1527" s="405"/>
      <c r="Q1527" s="405"/>
      <c r="R1527" s="405"/>
      <c r="S1527" s="405"/>
      <c r="T1527" s="405"/>
      <c r="U1527" s="405"/>
      <c r="V1527" s="405"/>
      <c r="W1527" s="405"/>
      <c r="X1527" s="405"/>
      <c r="Y1527" s="405"/>
      <c r="Z1527" s="405"/>
    </row>
    <row r="1528" ht="14.25" customHeight="1">
      <c r="A1528" s="656"/>
      <c r="B1528" s="405"/>
      <c r="C1528" s="405"/>
      <c r="D1528" s="405"/>
      <c r="E1528" s="405"/>
      <c r="F1528" s="657"/>
      <c r="G1528" s="583"/>
      <c r="H1528" s="405"/>
      <c r="I1528" s="405"/>
      <c r="J1528" s="405"/>
      <c r="K1528" s="405"/>
      <c r="L1528" s="405"/>
      <c r="M1528" s="405"/>
      <c r="N1528" s="405"/>
      <c r="O1528" s="405"/>
      <c r="P1528" s="405"/>
      <c r="Q1528" s="405"/>
      <c r="R1528" s="405"/>
      <c r="S1528" s="405"/>
      <c r="T1528" s="405"/>
      <c r="U1528" s="405"/>
      <c r="V1528" s="405"/>
      <c r="W1528" s="405"/>
      <c r="X1528" s="405"/>
      <c r="Y1528" s="405"/>
      <c r="Z1528" s="405"/>
    </row>
    <row r="1529" ht="14.25" customHeight="1">
      <c r="A1529" s="656"/>
      <c r="B1529" s="405"/>
      <c r="C1529" s="405"/>
      <c r="D1529" s="405"/>
      <c r="E1529" s="405"/>
      <c r="F1529" s="657"/>
      <c r="G1529" s="583"/>
      <c r="H1529" s="405"/>
      <c r="I1529" s="405"/>
      <c r="J1529" s="405"/>
      <c r="K1529" s="405"/>
      <c r="L1529" s="405"/>
      <c r="M1529" s="405"/>
      <c r="N1529" s="405"/>
      <c r="O1529" s="405"/>
      <c r="P1529" s="405"/>
      <c r="Q1529" s="405"/>
      <c r="R1529" s="405"/>
      <c r="S1529" s="405"/>
      <c r="T1529" s="405"/>
      <c r="U1529" s="405"/>
      <c r="V1529" s="405"/>
      <c r="W1529" s="405"/>
      <c r="X1529" s="405"/>
      <c r="Y1529" s="405"/>
      <c r="Z1529" s="405"/>
    </row>
    <row r="1530" ht="14.25" customHeight="1">
      <c r="A1530" s="656"/>
      <c r="B1530" s="405"/>
      <c r="C1530" s="405"/>
      <c r="D1530" s="405"/>
      <c r="E1530" s="405"/>
      <c r="F1530" s="657"/>
      <c r="G1530" s="583"/>
      <c r="H1530" s="405"/>
      <c r="I1530" s="405"/>
      <c r="J1530" s="405"/>
      <c r="K1530" s="405"/>
      <c r="L1530" s="405"/>
      <c r="M1530" s="405"/>
      <c r="N1530" s="405"/>
      <c r="O1530" s="405"/>
      <c r="P1530" s="405"/>
      <c r="Q1530" s="405"/>
      <c r="R1530" s="405"/>
      <c r="S1530" s="405"/>
      <c r="T1530" s="405"/>
      <c r="U1530" s="405"/>
      <c r="V1530" s="405"/>
      <c r="W1530" s="405"/>
      <c r="X1530" s="405"/>
      <c r="Y1530" s="405"/>
      <c r="Z1530" s="405"/>
    </row>
    <row r="1531" ht="14.25" customHeight="1">
      <c r="A1531" s="656"/>
      <c r="B1531" s="405"/>
      <c r="C1531" s="405"/>
      <c r="D1531" s="405"/>
      <c r="E1531" s="405"/>
      <c r="F1531" s="657"/>
      <c r="G1531" s="583"/>
      <c r="H1531" s="405"/>
      <c r="I1531" s="405"/>
      <c r="J1531" s="405"/>
      <c r="K1531" s="405"/>
      <c r="L1531" s="405"/>
      <c r="M1531" s="405"/>
      <c r="N1531" s="405"/>
      <c r="O1531" s="405"/>
      <c r="P1531" s="405"/>
      <c r="Q1531" s="405"/>
      <c r="R1531" s="405"/>
      <c r="S1531" s="405"/>
      <c r="T1531" s="405"/>
      <c r="U1531" s="405"/>
      <c r="V1531" s="405"/>
      <c r="W1531" s="405"/>
      <c r="X1531" s="405"/>
      <c r="Y1531" s="405"/>
      <c r="Z1531" s="405"/>
    </row>
    <row r="1532" ht="14.25" customHeight="1">
      <c r="A1532" s="656"/>
      <c r="B1532" s="405"/>
      <c r="C1532" s="405"/>
      <c r="D1532" s="405"/>
      <c r="E1532" s="405"/>
      <c r="F1532" s="657"/>
      <c r="G1532" s="583"/>
      <c r="H1532" s="405"/>
      <c r="I1532" s="405"/>
      <c r="J1532" s="405"/>
      <c r="K1532" s="405"/>
      <c r="L1532" s="405"/>
      <c r="M1532" s="405"/>
      <c r="N1532" s="405"/>
      <c r="O1532" s="405"/>
      <c r="P1532" s="405"/>
      <c r="Q1532" s="405"/>
      <c r="R1532" s="405"/>
      <c r="S1532" s="405"/>
      <c r="T1532" s="405"/>
      <c r="U1532" s="405"/>
      <c r="V1532" s="405"/>
      <c r="W1532" s="405"/>
      <c r="X1532" s="405"/>
      <c r="Y1532" s="405"/>
      <c r="Z1532" s="405"/>
    </row>
    <row r="1533" ht="14.25" customHeight="1">
      <c r="A1533" s="656"/>
      <c r="B1533" s="405"/>
      <c r="C1533" s="405"/>
      <c r="D1533" s="405"/>
      <c r="E1533" s="405"/>
      <c r="F1533" s="657"/>
      <c r="G1533" s="583"/>
      <c r="H1533" s="405"/>
      <c r="I1533" s="405"/>
      <c r="J1533" s="405"/>
      <c r="K1533" s="405"/>
      <c r="L1533" s="405"/>
      <c r="M1533" s="405"/>
      <c r="N1533" s="405"/>
      <c r="O1533" s="405"/>
      <c r="P1533" s="405"/>
      <c r="Q1533" s="405"/>
      <c r="R1533" s="405"/>
      <c r="S1533" s="405"/>
      <c r="T1533" s="405"/>
      <c r="U1533" s="405"/>
      <c r="V1533" s="405"/>
      <c r="W1533" s="405"/>
      <c r="X1533" s="405"/>
      <c r="Y1533" s="405"/>
      <c r="Z1533" s="405"/>
    </row>
    <row r="1534" ht="14.25" customHeight="1">
      <c r="A1534" s="656"/>
      <c r="B1534" s="405"/>
      <c r="C1534" s="405"/>
      <c r="D1534" s="405"/>
      <c r="E1534" s="405"/>
      <c r="F1534" s="657"/>
      <c r="G1534" s="583"/>
      <c r="H1534" s="405"/>
      <c r="I1534" s="405"/>
      <c r="J1534" s="405"/>
      <c r="K1534" s="405"/>
      <c r="L1534" s="405"/>
      <c r="M1534" s="405"/>
      <c r="N1534" s="405"/>
      <c r="O1534" s="405"/>
      <c r="P1534" s="405"/>
      <c r="Q1534" s="405"/>
      <c r="R1534" s="405"/>
      <c r="S1534" s="405"/>
      <c r="T1534" s="405"/>
      <c r="U1534" s="405"/>
      <c r="V1534" s="405"/>
      <c r="W1534" s="405"/>
      <c r="X1534" s="405"/>
      <c r="Y1534" s="405"/>
      <c r="Z1534" s="405"/>
    </row>
    <row r="1535" ht="14.25" customHeight="1">
      <c r="A1535" s="656"/>
      <c r="B1535" s="405"/>
      <c r="C1535" s="405"/>
      <c r="D1535" s="405"/>
      <c r="E1535" s="405"/>
      <c r="F1535" s="657"/>
      <c r="G1535" s="583"/>
      <c r="H1535" s="405"/>
      <c r="I1535" s="405"/>
      <c r="J1535" s="405"/>
      <c r="K1535" s="405"/>
      <c r="L1535" s="405"/>
      <c r="M1535" s="405"/>
      <c r="N1535" s="405"/>
      <c r="O1535" s="405"/>
      <c r="P1535" s="405"/>
      <c r="Q1535" s="405"/>
      <c r="R1535" s="405"/>
      <c r="S1535" s="405"/>
      <c r="T1535" s="405"/>
      <c r="U1535" s="405"/>
      <c r="V1535" s="405"/>
      <c r="W1535" s="405"/>
      <c r="X1535" s="405"/>
      <c r="Y1535" s="405"/>
      <c r="Z1535" s="405"/>
    </row>
    <row r="1536" ht="14.25" customHeight="1">
      <c r="A1536" s="656"/>
      <c r="B1536" s="405"/>
      <c r="C1536" s="405"/>
      <c r="D1536" s="405"/>
      <c r="E1536" s="405"/>
      <c r="F1536" s="657"/>
      <c r="G1536" s="583"/>
      <c r="H1536" s="405"/>
      <c r="I1536" s="405"/>
      <c r="J1536" s="405"/>
      <c r="K1536" s="405"/>
      <c r="L1536" s="405"/>
      <c r="M1536" s="405"/>
      <c r="N1536" s="405"/>
      <c r="O1536" s="405"/>
      <c r="P1536" s="405"/>
      <c r="Q1536" s="405"/>
      <c r="R1536" s="405"/>
      <c r="S1536" s="405"/>
      <c r="T1536" s="405"/>
      <c r="U1536" s="405"/>
      <c r="V1536" s="405"/>
      <c r="W1536" s="405"/>
      <c r="X1536" s="405"/>
      <c r="Y1536" s="405"/>
      <c r="Z1536" s="405"/>
    </row>
    <row r="1537" ht="14.25" customHeight="1">
      <c r="A1537" s="656"/>
      <c r="B1537" s="405"/>
      <c r="C1537" s="405"/>
      <c r="D1537" s="405"/>
      <c r="E1537" s="405"/>
      <c r="F1537" s="657"/>
      <c r="G1537" s="583"/>
      <c r="H1537" s="405"/>
      <c r="I1537" s="405"/>
      <c r="J1537" s="405"/>
      <c r="K1537" s="405"/>
      <c r="L1537" s="405"/>
      <c r="M1537" s="405"/>
      <c r="N1537" s="405"/>
      <c r="O1537" s="405"/>
      <c r="P1537" s="405"/>
      <c r="Q1537" s="405"/>
      <c r="R1537" s="405"/>
      <c r="S1537" s="405"/>
      <c r="T1537" s="405"/>
      <c r="U1537" s="405"/>
      <c r="V1537" s="405"/>
      <c r="W1537" s="405"/>
      <c r="X1537" s="405"/>
      <c r="Y1537" s="405"/>
      <c r="Z1537" s="405"/>
    </row>
    <row r="1538" ht="14.25" customHeight="1">
      <c r="A1538" s="656"/>
      <c r="B1538" s="405"/>
      <c r="C1538" s="405"/>
      <c r="D1538" s="405"/>
      <c r="E1538" s="405"/>
      <c r="F1538" s="657"/>
      <c r="G1538" s="583"/>
      <c r="H1538" s="405"/>
      <c r="I1538" s="405"/>
      <c r="J1538" s="405"/>
      <c r="K1538" s="405"/>
      <c r="L1538" s="405"/>
      <c r="M1538" s="405"/>
      <c r="N1538" s="405"/>
      <c r="O1538" s="405"/>
      <c r="P1538" s="405"/>
      <c r="Q1538" s="405"/>
      <c r="R1538" s="405"/>
      <c r="S1538" s="405"/>
      <c r="T1538" s="405"/>
      <c r="U1538" s="405"/>
      <c r="V1538" s="405"/>
      <c r="W1538" s="405"/>
      <c r="X1538" s="405"/>
      <c r="Y1538" s="405"/>
      <c r="Z1538" s="405"/>
    </row>
    <row r="1539" ht="14.25" customHeight="1">
      <c r="A1539" s="656"/>
      <c r="B1539" s="405"/>
      <c r="C1539" s="405"/>
      <c r="D1539" s="405"/>
      <c r="E1539" s="405"/>
      <c r="F1539" s="657"/>
      <c r="G1539" s="583"/>
      <c r="H1539" s="405"/>
      <c r="I1539" s="405"/>
      <c r="J1539" s="405"/>
      <c r="K1539" s="405"/>
      <c r="L1539" s="405"/>
      <c r="M1539" s="405"/>
      <c r="N1539" s="405"/>
      <c r="O1539" s="405"/>
      <c r="P1539" s="405"/>
      <c r="Q1539" s="405"/>
      <c r="R1539" s="405"/>
      <c r="S1539" s="405"/>
      <c r="T1539" s="405"/>
      <c r="U1539" s="405"/>
      <c r="V1539" s="405"/>
      <c r="W1539" s="405"/>
      <c r="X1539" s="405"/>
      <c r="Y1539" s="405"/>
      <c r="Z1539" s="405"/>
    </row>
    <row r="1540" ht="14.25" customHeight="1">
      <c r="A1540" s="656"/>
      <c r="B1540" s="405"/>
      <c r="C1540" s="405"/>
      <c r="D1540" s="405"/>
      <c r="E1540" s="405"/>
      <c r="F1540" s="657"/>
      <c r="G1540" s="583"/>
      <c r="H1540" s="405"/>
      <c r="I1540" s="405"/>
      <c r="J1540" s="405"/>
      <c r="K1540" s="405"/>
      <c r="L1540" s="405"/>
      <c r="M1540" s="405"/>
      <c r="N1540" s="405"/>
      <c r="O1540" s="405"/>
      <c r="P1540" s="405"/>
      <c r="Q1540" s="405"/>
      <c r="R1540" s="405"/>
      <c r="S1540" s="405"/>
      <c r="T1540" s="405"/>
      <c r="U1540" s="405"/>
      <c r="V1540" s="405"/>
      <c r="W1540" s="405"/>
      <c r="X1540" s="405"/>
      <c r="Y1540" s="405"/>
      <c r="Z1540" s="405"/>
    </row>
    <row r="1541" ht="14.25" customHeight="1">
      <c r="A1541" s="656"/>
      <c r="B1541" s="405"/>
      <c r="C1541" s="405"/>
      <c r="D1541" s="405"/>
      <c r="E1541" s="405"/>
      <c r="F1541" s="657"/>
      <c r="G1541" s="583"/>
      <c r="H1541" s="405"/>
      <c r="I1541" s="405"/>
      <c r="J1541" s="405"/>
      <c r="K1541" s="405"/>
      <c r="L1541" s="405"/>
      <c r="M1541" s="405"/>
      <c r="N1541" s="405"/>
      <c r="O1541" s="405"/>
      <c r="P1541" s="405"/>
      <c r="Q1541" s="405"/>
      <c r="R1541" s="405"/>
      <c r="S1541" s="405"/>
      <c r="T1541" s="405"/>
      <c r="U1541" s="405"/>
      <c r="V1541" s="405"/>
      <c r="W1541" s="405"/>
      <c r="X1541" s="405"/>
      <c r="Y1541" s="405"/>
      <c r="Z1541" s="405"/>
    </row>
    <row r="1542" ht="14.25" customHeight="1">
      <c r="A1542" s="656"/>
      <c r="B1542" s="405"/>
      <c r="C1542" s="405"/>
      <c r="D1542" s="405"/>
      <c r="E1542" s="405"/>
      <c r="F1542" s="657"/>
      <c r="G1542" s="583"/>
      <c r="H1542" s="405"/>
      <c r="I1542" s="405"/>
      <c r="J1542" s="405"/>
      <c r="K1542" s="405"/>
      <c r="L1542" s="405"/>
      <c r="M1542" s="405"/>
      <c r="N1542" s="405"/>
      <c r="O1542" s="405"/>
      <c r="P1542" s="405"/>
      <c r="Q1542" s="405"/>
      <c r="R1542" s="405"/>
      <c r="S1542" s="405"/>
      <c r="T1542" s="405"/>
      <c r="U1542" s="405"/>
      <c r="V1542" s="405"/>
      <c r="W1542" s="405"/>
      <c r="X1542" s="405"/>
      <c r="Y1542" s="405"/>
      <c r="Z1542" s="405"/>
    </row>
    <row r="1543" ht="14.25" customHeight="1">
      <c r="A1543" s="656"/>
      <c r="B1543" s="405"/>
      <c r="C1543" s="405"/>
      <c r="D1543" s="405"/>
      <c r="E1543" s="405"/>
      <c r="F1543" s="657"/>
      <c r="G1543" s="583"/>
      <c r="H1543" s="405"/>
      <c r="I1543" s="405"/>
      <c r="J1543" s="405"/>
      <c r="K1543" s="405"/>
      <c r="L1543" s="405"/>
      <c r="M1543" s="405"/>
      <c r="N1543" s="405"/>
      <c r="O1543" s="405"/>
      <c r="P1543" s="405"/>
      <c r="Q1543" s="405"/>
      <c r="R1543" s="405"/>
      <c r="S1543" s="405"/>
      <c r="T1543" s="405"/>
      <c r="U1543" s="405"/>
      <c r="V1543" s="405"/>
      <c r="W1543" s="405"/>
      <c r="X1543" s="405"/>
      <c r="Y1543" s="405"/>
      <c r="Z1543" s="405"/>
    </row>
    <row r="1544" ht="14.25" customHeight="1">
      <c r="A1544" s="656"/>
      <c r="B1544" s="405"/>
      <c r="C1544" s="405"/>
      <c r="D1544" s="405"/>
      <c r="E1544" s="405"/>
      <c r="F1544" s="657"/>
      <c r="G1544" s="583"/>
      <c r="H1544" s="405"/>
      <c r="I1544" s="405"/>
      <c r="J1544" s="405"/>
      <c r="K1544" s="405"/>
      <c r="L1544" s="405"/>
      <c r="M1544" s="405"/>
      <c r="N1544" s="405"/>
      <c r="O1544" s="405"/>
      <c r="P1544" s="405"/>
      <c r="Q1544" s="405"/>
      <c r="R1544" s="405"/>
      <c r="S1544" s="405"/>
      <c r="T1544" s="405"/>
      <c r="U1544" s="405"/>
      <c r="V1544" s="405"/>
      <c r="W1544" s="405"/>
      <c r="X1544" s="405"/>
      <c r="Y1544" s="405"/>
      <c r="Z1544" s="405"/>
    </row>
    <row r="1545" ht="14.25" customHeight="1">
      <c r="A1545" s="656"/>
      <c r="B1545" s="405"/>
      <c r="C1545" s="405"/>
      <c r="D1545" s="405"/>
      <c r="E1545" s="405"/>
      <c r="F1545" s="657"/>
      <c r="G1545" s="583"/>
      <c r="H1545" s="405"/>
      <c r="I1545" s="405"/>
      <c r="J1545" s="405"/>
      <c r="K1545" s="405"/>
      <c r="L1545" s="405"/>
      <c r="M1545" s="405"/>
      <c r="N1545" s="405"/>
      <c r="O1545" s="405"/>
      <c r="P1545" s="405"/>
      <c r="Q1545" s="405"/>
      <c r="R1545" s="405"/>
      <c r="S1545" s="405"/>
      <c r="T1545" s="405"/>
      <c r="U1545" s="405"/>
      <c r="V1545" s="405"/>
      <c r="W1545" s="405"/>
      <c r="X1545" s="405"/>
      <c r="Y1545" s="405"/>
      <c r="Z1545" s="405"/>
    </row>
    <row r="1546" ht="14.25" customHeight="1">
      <c r="A1546" s="656"/>
      <c r="B1546" s="405"/>
      <c r="C1546" s="405"/>
      <c r="D1546" s="405"/>
      <c r="E1546" s="405"/>
      <c r="F1546" s="657"/>
      <c r="G1546" s="583"/>
      <c r="H1546" s="405"/>
      <c r="I1546" s="405"/>
      <c r="J1546" s="405"/>
      <c r="K1546" s="405"/>
      <c r="L1546" s="405"/>
      <c r="M1546" s="405"/>
      <c r="N1546" s="405"/>
      <c r="O1546" s="405"/>
      <c r="P1546" s="405"/>
      <c r="Q1546" s="405"/>
      <c r="R1546" s="405"/>
      <c r="S1546" s="405"/>
      <c r="T1546" s="405"/>
      <c r="U1546" s="405"/>
      <c r="V1546" s="405"/>
      <c r="W1546" s="405"/>
      <c r="X1546" s="405"/>
      <c r="Y1546" s="405"/>
      <c r="Z1546" s="405"/>
    </row>
    <row r="1547" ht="14.25" customHeight="1">
      <c r="A1547" s="656"/>
      <c r="B1547" s="405"/>
      <c r="C1547" s="405"/>
      <c r="D1547" s="405"/>
      <c r="E1547" s="405"/>
      <c r="F1547" s="657"/>
      <c r="G1547" s="583"/>
      <c r="H1547" s="405"/>
      <c r="I1547" s="405"/>
      <c r="J1547" s="405"/>
      <c r="K1547" s="405"/>
      <c r="L1547" s="405"/>
      <c r="M1547" s="405"/>
      <c r="N1547" s="405"/>
      <c r="O1547" s="405"/>
      <c r="P1547" s="405"/>
      <c r="Q1547" s="405"/>
      <c r="R1547" s="405"/>
      <c r="S1547" s="405"/>
      <c r="T1547" s="405"/>
      <c r="U1547" s="405"/>
      <c r="V1547" s="405"/>
      <c r="W1547" s="405"/>
      <c r="X1547" s="405"/>
      <c r="Y1547" s="405"/>
      <c r="Z1547" s="405"/>
    </row>
    <row r="1548" ht="14.25" customHeight="1">
      <c r="A1548" s="656"/>
      <c r="B1548" s="405"/>
      <c r="C1548" s="405"/>
      <c r="D1548" s="405"/>
      <c r="E1548" s="405"/>
      <c r="F1548" s="657"/>
      <c r="G1548" s="583"/>
      <c r="H1548" s="405"/>
      <c r="I1548" s="405"/>
      <c r="J1548" s="405"/>
      <c r="K1548" s="405"/>
      <c r="L1548" s="405"/>
      <c r="M1548" s="405"/>
      <c r="N1548" s="405"/>
      <c r="O1548" s="405"/>
      <c r="P1548" s="405"/>
      <c r="Q1548" s="405"/>
      <c r="R1548" s="405"/>
      <c r="S1548" s="405"/>
      <c r="T1548" s="405"/>
      <c r="U1548" s="405"/>
      <c r="V1548" s="405"/>
      <c r="W1548" s="405"/>
      <c r="X1548" s="405"/>
      <c r="Y1548" s="405"/>
      <c r="Z1548" s="405"/>
    </row>
    <row r="1549" ht="14.25" customHeight="1">
      <c r="A1549" s="656"/>
      <c r="B1549" s="405"/>
      <c r="C1549" s="405"/>
      <c r="D1549" s="405"/>
      <c r="E1549" s="405"/>
      <c r="F1549" s="657"/>
      <c r="G1549" s="583"/>
      <c r="H1549" s="405"/>
      <c r="I1549" s="405"/>
      <c r="J1549" s="405"/>
      <c r="K1549" s="405"/>
      <c r="L1549" s="405"/>
      <c r="M1549" s="405"/>
      <c r="N1549" s="405"/>
      <c r="O1549" s="405"/>
      <c r="P1549" s="405"/>
      <c r="Q1549" s="405"/>
      <c r="R1549" s="405"/>
      <c r="S1549" s="405"/>
      <c r="T1549" s="405"/>
      <c r="U1549" s="405"/>
      <c r="V1549" s="405"/>
      <c r="W1549" s="405"/>
      <c r="X1549" s="405"/>
      <c r="Y1549" s="405"/>
      <c r="Z1549" s="405"/>
    </row>
    <row r="1550" ht="14.25" customHeight="1">
      <c r="A1550" s="656"/>
      <c r="B1550" s="405"/>
      <c r="C1550" s="405"/>
      <c r="D1550" s="405"/>
      <c r="E1550" s="405"/>
      <c r="F1550" s="657"/>
      <c r="G1550" s="583"/>
      <c r="H1550" s="405"/>
      <c r="I1550" s="405"/>
      <c r="J1550" s="405"/>
      <c r="K1550" s="405"/>
      <c r="L1550" s="405"/>
      <c r="M1550" s="405"/>
      <c r="N1550" s="405"/>
      <c r="O1550" s="405"/>
      <c r="P1550" s="405"/>
      <c r="Q1550" s="405"/>
      <c r="R1550" s="405"/>
      <c r="S1550" s="405"/>
      <c r="T1550" s="405"/>
      <c r="U1550" s="405"/>
      <c r="V1550" s="405"/>
      <c r="W1550" s="405"/>
      <c r="X1550" s="405"/>
      <c r="Y1550" s="405"/>
      <c r="Z1550" s="405"/>
    </row>
    <row r="1551" ht="14.25" customHeight="1">
      <c r="A1551" s="656"/>
      <c r="B1551" s="405"/>
      <c r="C1551" s="405"/>
      <c r="D1551" s="405"/>
      <c r="E1551" s="405"/>
      <c r="F1551" s="657"/>
      <c r="G1551" s="583"/>
      <c r="H1551" s="405"/>
      <c r="I1551" s="405"/>
      <c r="J1551" s="405"/>
      <c r="K1551" s="405"/>
      <c r="L1551" s="405"/>
      <c r="M1551" s="405"/>
      <c r="N1551" s="405"/>
      <c r="O1551" s="405"/>
      <c r="P1551" s="405"/>
      <c r="Q1551" s="405"/>
      <c r="R1551" s="405"/>
      <c r="S1551" s="405"/>
      <c r="T1551" s="405"/>
      <c r="U1551" s="405"/>
      <c r="V1551" s="405"/>
      <c r="W1551" s="405"/>
      <c r="X1551" s="405"/>
      <c r="Y1551" s="405"/>
      <c r="Z1551" s="405"/>
    </row>
    <row r="1552" ht="14.25" customHeight="1">
      <c r="A1552" s="656"/>
      <c r="B1552" s="405"/>
      <c r="C1552" s="405"/>
      <c r="D1552" s="405"/>
      <c r="E1552" s="405"/>
      <c r="F1552" s="657"/>
      <c r="G1552" s="583"/>
      <c r="H1552" s="405"/>
      <c r="I1552" s="405"/>
      <c r="J1552" s="405"/>
      <c r="K1552" s="405"/>
      <c r="L1552" s="405"/>
      <c r="M1552" s="405"/>
      <c r="N1552" s="405"/>
      <c r="O1552" s="405"/>
      <c r="P1552" s="405"/>
      <c r="Q1552" s="405"/>
      <c r="R1552" s="405"/>
      <c r="S1552" s="405"/>
      <c r="T1552" s="405"/>
      <c r="U1552" s="405"/>
      <c r="V1552" s="405"/>
      <c r="W1552" s="405"/>
      <c r="X1552" s="405"/>
      <c r="Y1552" s="405"/>
      <c r="Z1552" s="405"/>
    </row>
    <row r="1553" ht="14.25" customHeight="1">
      <c r="A1553" s="656"/>
      <c r="B1553" s="405"/>
      <c r="C1553" s="405"/>
      <c r="D1553" s="405"/>
      <c r="E1553" s="405"/>
      <c r="F1553" s="657"/>
      <c r="G1553" s="583"/>
      <c r="H1553" s="405"/>
      <c r="I1553" s="405"/>
      <c r="J1553" s="405"/>
      <c r="K1553" s="405"/>
      <c r="L1553" s="405"/>
      <c r="M1553" s="405"/>
      <c r="N1553" s="405"/>
      <c r="O1553" s="405"/>
      <c r="P1553" s="405"/>
      <c r="Q1553" s="405"/>
      <c r="R1553" s="405"/>
      <c r="S1553" s="405"/>
      <c r="T1553" s="405"/>
      <c r="U1553" s="405"/>
      <c r="V1553" s="405"/>
      <c r="W1553" s="405"/>
      <c r="X1553" s="405"/>
      <c r="Y1553" s="405"/>
      <c r="Z1553" s="405"/>
    </row>
    <row r="1554" ht="14.25" customHeight="1">
      <c r="A1554" s="656"/>
      <c r="B1554" s="405"/>
      <c r="C1554" s="405"/>
      <c r="D1554" s="405"/>
      <c r="E1554" s="405"/>
      <c r="F1554" s="657"/>
      <c r="G1554" s="583"/>
      <c r="H1554" s="405"/>
      <c r="I1554" s="405"/>
      <c r="J1554" s="405"/>
      <c r="K1554" s="405"/>
      <c r="L1554" s="405"/>
      <c r="M1554" s="405"/>
      <c r="N1554" s="405"/>
      <c r="O1554" s="405"/>
      <c r="P1554" s="405"/>
      <c r="Q1554" s="405"/>
      <c r="R1554" s="405"/>
      <c r="S1554" s="405"/>
      <c r="T1554" s="405"/>
      <c r="U1554" s="405"/>
      <c r="V1554" s="405"/>
      <c r="W1554" s="405"/>
      <c r="X1554" s="405"/>
      <c r="Y1554" s="405"/>
      <c r="Z1554" s="405"/>
    </row>
    <row r="1555" ht="14.25" customHeight="1">
      <c r="A1555" s="656"/>
      <c r="B1555" s="405"/>
      <c r="C1555" s="405"/>
      <c r="D1555" s="405"/>
      <c r="E1555" s="405"/>
      <c r="F1555" s="657"/>
      <c r="G1555" s="583"/>
      <c r="H1555" s="405"/>
      <c r="I1555" s="405"/>
      <c r="J1555" s="405"/>
      <c r="K1555" s="405"/>
      <c r="L1555" s="405"/>
      <c r="M1555" s="405"/>
      <c r="N1555" s="405"/>
      <c r="O1555" s="405"/>
      <c r="P1555" s="405"/>
      <c r="Q1555" s="405"/>
      <c r="R1555" s="405"/>
      <c r="S1555" s="405"/>
      <c r="T1555" s="405"/>
      <c r="U1555" s="405"/>
      <c r="V1555" s="405"/>
      <c r="W1555" s="405"/>
      <c r="X1555" s="405"/>
      <c r="Y1555" s="405"/>
      <c r="Z1555" s="405"/>
    </row>
    <row r="1556" ht="14.25" customHeight="1">
      <c r="A1556" s="656"/>
      <c r="B1556" s="405"/>
      <c r="C1556" s="405"/>
      <c r="D1556" s="405"/>
      <c r="E1556" s="405"/>
      <c r="F1556" s="657"/>
      <c r="G1556" s="583"/>
      <c r="H1556" s="405"/>
      <c r="I1556" s="405"/>
      <c r="J1556" s="405"/>
      <c r="K1556" s="405"/>
      <c r="L1556" s="405"/>
      <c r="M1556" s="405"/>
      <c r="N1556" s="405"/>
      <c r="O1556" s="405"/>
      <c r="P1556" s="405"/>
      <c r="Q1556" s="405"/>
      <c r="R1556" s="405"/>
      <c r="S1556" s="405"/>
      <c r="T1556" s="405"/>
      <c r="U1556" s="405"/>
      <c r="V1556" s="405"/>
      <c r="W1556" s="405"/>
      <c r="X1556" s="405"/>
      <c r="Y1556" s="405"/>
      <c r="Z1556" s="405"/>
    </row>
    <row r="1557" ht="14.25" customHeight="1">
      <c r="A1557" s="656"/>
      <c r="B1557" s="405"/>
      <c r="C1557" s="405"/>
      <c r="D1557" s="405"/>
      <c r="E1557" s="405"/>
      <c r="F1557" s="657"/>
      <c r="G1557" s="583"/>
      <c r="H1557" s="405"/>
      <c r="I1557" s="405"/>
      <c r="J1557" s="405"/>
      <c r="K1557" s="405"/>
      <c r="L1557" s="405"/>
      <c r="M1557" s="405"/>
      <c r="N1557" s="405"/>
      <c r="O1557" s="405"/>
      <c r="P1557" s="405"/>
      <c r="Q1557" s="405"/>
      <c r="R1557" s="405"/>
      <c r="S1557" s="405"/>
      <c r="T1557" s="405"/>
      <c r="U1557" s="405"/>
      <c r="V1557" s="405"/>
      <c r="W1557" s="405"/>
      <c r="X1557" s="405"/>
      <c r="Y1557" s="405"/>
      <c r="Z1557" s="405"/>
    </row>
    <row r="1558" ht="14.25" customHeight="1">
      <c r="A1558" s="656"/>
      <c r="B1558" s="405"/>
      <c r="C1558" s="405"/>
      <c r="D1558" s="405"/>
      <c r="E1558" s="405"/>
      <c r="F1558" s="657"/>
      <c r="G1558" s="583"/>
      <c r="H1558" s="405"/>
      <c r="I1558" s="405"/>
      <c r="J1558" s="405"/>
      <c r="K1558" s="405"/>
      <c r="L1558" s="405"/>
      <c r="M1558" s="405"/>
      <c r="N1558" s="405"/>
      <c r="O1558" s="405"/>
      <c r="P1558" s="405"/>
      <c r="Q1558" s="405"/>
      <c r="R1558" s="405"/>
      <c r="S1558" s="405"/>
      <c r="T1558" s="405"/>
      <c r="U1558" s="405"/>
      <c r="V1558" s="405"/>
      <c r="W1558" s="405"/>
      <c r="X1558" s="405"/>
      <c r="Y1558" s="405"/>
      <c r="Z1558" s="405"/>
    </row>
    <row r="1559" ht="14.25" customHeight="1">
      <c r="A1559" s="656"/>
      <c r="B1559" s="405"/>
      <c r="C1559" s="405"/>
      <c r="D1559" s="405"/>
      <c r="E1559" s="405"/>
      <c r="F1559" s="657"/>
      <c r="G1559" s="583"/>
      <c r="H1559" s="405"/>
      <c r="I1559" s="405"/>
      <c r="J1559" s="405"/>
      <c r="K1559" s="405"/>
      <c r="L1559" s="405"/>
      <c r="M1559" s="405"/>
      <c r="N1559" s="405"/>
      <c r="O1559" s="405"/>
      <c r="P1559" s="405"/>
      <c r="Q1559" s="405"/>
      <c r="R1559" s="405"/>
      <c r="S1559" s="405"/>
      <c r="T1559" s="405"/>
      <c r="U1559" s="405"/>
      <c r="V1559" s="405"/>
      <c r="W1559" s="405"/>
      <c r="X1559" s="405"/>
      <c r="Y1559" s="405"/>
      <c r="Z1559" s="405"/>
    </row>
    <row r="1560" ht="14.25" customHeight="1">
      <c r="A1560" s="656"/>
      <c r="B1560" s="405"/>
      <c r="C1560" s="405"/>
      <c r="D1560" s="405"/>
      <c r="E1560" s="405"/>
      <c r="F1560" s="657"/>
      <c r="G1560" s="583"/>
      <c r="H1560" s="405"/>
      <c r="I1560" s="405"/>
      <c r="J1560" s="405"/>
      <c r="K1560" s="405"/>
      <c r="L1560" s="405"/>
      <c r="M1560" s="405"/>
      <c r="N1560" s="405"/>
      <c r="O1560" s="405"/>
      <c r="P1560" s="405"/>
      <c r="Q1560" s="405"/>
      <c r="R1560" s="405"/>
      <c r="S1560" s="405"/>
      <c r="T1560" s="405"/>
      <c r="U1560" s="405"/>
      <c r="V1560" s="405"/>
      <c r="W1560" s="405"/>
      <c r="X1560" s="405"/>
      <c r="Y1560" s="405"/>
      <c r="Z1560" s="405"/>
    </row>
    <row r="1561" ht="14.25" customHeight="1">
      <c r="A1561" s="656"/>
      <c r="B1561" s="405"/>
      <c r="C1561" s="405"/>
      <c r="D1561" s="405"/>
      <c r="E1561" s="405"/>
      <c r="F1561" s="657"/>
      <c r="G1561" s="583"/>
      <c r="H1561" s="405"/>
      <c r="I1561" s="405"/>
      <c r="J1561" s="405"/>
      <c r="K1561" s="405"/>
      <c r="L1561" s="405"/>
      <c r="M1561" s="405"/>
      <c r="N1561" s="405"/>
      <c r="O1561" s="405"/>
      <c r="P1561" s="405"/>
      <c r="Q1561" s="405"/>
      <c r="R1561" s="405"/>
      <c r="S1561" s="405"/>
      <c r="T1561" s="405"/>
      <c r="U1561" s="405"/>
      <c r="V1561" s="405"/>
      <c r="W1561" s="405"/>
      <c r="X1561" s="405"/>
      <c r="Y1561" s="405"/>
      <c r="Z1561" s="405"/>
    </row>
    <row r="1562" ht="14.25" customHeight="1">
      <c r="A1562" s="656"/>
      <c r="B1562" s="405"/>
      <c r="C1562" s="405"/>
      <c r="D1562" s="405"/>
      <c r="E1562" s="405"/>
      <c r="F1562" s="657"/>
      <c r="G1562" s="583"/>
      <c r="H1562" s="405"/>
      <c r="I1562" s="405"/>
      <c r="J1562" s="405"/>
      <c r="K1562" s="405"/>
      <c r="L1562" s="405"/>
      <c r="M1562" s="405"/>
      <c r="N1562" s="405"/>
      <c r="O1562" s="405"/>
      <c r="P1562" s="405"/>
      <c r="Q1562" s="405"/>
      <c r="R1562" s="405"/>
      <c r="S1562" s="405"/>
      <c r="T1562" s="405"/>
      <c r="U1562" s="405"/>
      <c r="V1562" s="405"/>
      <c r="W1562" s="405"/>
      <c r="X1562" s="405"/>
      <c r="Y1562" s="405"/>
      <c r="Z1562" s="405"/>
    </row>
    <row r="1563" ht="14.25" customHeight="1">
      <c r="A1563" s="656"/>
      <c r="B1563" s="405"/>
      <c r="C1563" s="405"/>
      <c r="D1563" s="405"/>
      <c r="E1563" s="405"/>
      <c r="F1563" s="657"/>
      <c r="G1563" s="583"/>
      <c r="H1563" s="405"/>
      <c r="I1563" s="405"/>
      <c r="J1563" s="405"/>
      <c r="K1563" s="405"/>
      <c r="L1563" s="405"/>
      <c r="M1563" s="405"/>
      <c r="N1563" s="405"/>
      <c r="O1563" s="405"/>
      <c r="P1563" s="405"/>
      <c r="Q1563" s="405"/>
      <c r="R1563" s="405"/>
      <c r="S1563" s="405"/>
      <c r="T1563" s="405"/>
      <c r="U1563" s="405"/>
      <c r="V1563" s="405"/>
      <c r="W1563" s="405"/>
      <c r="X1563" s="405"/>
      <c r="Y1563" s="405"/>
      <c r="Z1563" s="405"/>
    </row>
    <row r="1564" ht="14.25" customHeight="1">
      <c r="A1564" s="656"/>
      <c r="B1564" s="405"/>
      <c r="C1564" s="405"/>
      <c r="D1564" s="405"/>
      <c r="E1564" s="405"/>
      <c r="F1564" s="657"/>
      <c r="G1564" s="583"/>
      <c r="H1564" s="405"/>
      <c r="I1564" s="405"/>
      <c r="J1564" s="405"/>
      <c r="K1564" s="405"/>
      <c r="L1564" s="405"/>
      <c r="M1564" s="405"/>
      <c r="N1564" s="405"/>
      <c r="O1564" s="405"/>
      <c r="P1564" s="405"/>
      <c r="Q1564" s="405"/>
      <c r="R1564" s="405"/>
      <c r="S1564" s="405"/>
      <c r="T1564" s="405"/>
      <c r="U1564" s="405"/>
      <c r="V1564" s="405"/>
      <c r="W1564" s="405"/>
      <c r="X1564" s="405"/>
      <c r="Y1564" s="405"/>
      <c r="Z1564" s="405"/>
    </row>
    <row r="1565" ht="14.25" customHeight="1">
      <c r="A1565" s="656"/>
      <c r="B1565" s="405"/>
      <c r="C1565" s="405"/>
      <c r="D1565" s="405"/>
      <c r="E1565" s="405"/>
      <c r="F1565" s="657"/>
      <c r="G1565" s="583"/>
      <c r="H1565" s="405"/>
      <c r="I1565" s="405"/>
      <c r="J1565" s="405"/>
      <c r="K1565" s="405"/>
      <c r="L1565" s="405"/>
      <c r="M1565" s="405"/>
      <c r="N1565" s="405"/>
      <c r="O1565" s="405"/>
      <c r="P1565" s="405"/>
      <c r="Q1565" s="405"/>
      <c r="R1565" s="405"/>
      <c r="S1565" s="405"/>
      <c r="T1565" s="405"/>
      <c r="U1565" s="405"/>
      <c r="V1565" s="405"/>
      <c r="W1565" s="405"/>
      <c r="X1565" s="405"/>
      <c r="Y1565" s="405"/>
      <c r="Z1565" s="405"/>
    </row>
    <row r="1566" ht="14.25" customHeight="1">
      <c r="A1566" s="656"/>
      <c r="B1566" s="405"/>
      <c r="C1566" s="405"/>
      <c r="D1566" s="405"/>
      <c r="E1566" s="405"/>
      <c r="F1566" s="657"/>
      <c r="G1566" s="583"/>
      <c r="H1566" s="405"/>
      <c r="I1566" s="405"/>
      <c r="J1566" s="405"/>
      <c r="K1566" s="405"/>
      <c r="L1566" s="405"/>
      <c r="M1566" s="405"/>
      <c r="N1566" s="405"/>
      <c r="O1566" s="405"/>
      <c r="P1566" s="405"/>
      <c r="Q1566" s="405"/>
      <c r="R1566" s="405"/>
      <c r="S1566" s="405"/>
      <c r="T1566" s="405"/>
      <c r="U1566" s="405"/>
      <c r="V1566" s="405"/>
      <c r="W1566" s="405"/>
      <c r="X1566" s="405"/>
      <c r="Y1566" s="405"/>
      <c r="Z1566" s="405"/>
    </row>
    <row r="1567" ht="14.25" customHeight="1">
      <c r="A1567" s="656"/>
      <c r="B1567" s="405"/>
      <c r="C1567" s="405"/>
      <c r="D1567" s="405"/>
      <c r="E1567" s="405"/>
      <c r="F1567" s="657"/>
      <c r="G1567" s="583"/>
      <c r="H1567" s="405"/>
      <c r="I1567" s="405"/>
      <c r="J1567" s="405"/>
      <c r="K1567" s="405"/>
      <c r="L1567" s="405"/>
      <c r="M1567" s="405"/>
      <c r="N1567" s="405"/>
      <c r="O1567" s="405"/>
      <c r="P1567" s="405"/>
      <c r="Q1567" s="405"/>
      <c r="R1567" s="405"/>
      <c r="S1567" s="405"/>
      <c r="T1567" s="405"/>
      <c r="U1567" s="405"/>
      <c r="V1567" s="405"/>
      <c r="W1567" s="405"/>
      <c r="X1567" s="405"/>
      <c r="Y1567" s="405"/>
      <c r="Z1567" s="405"/>
    </row>
    <row r="1568" ht="14.25" customHeight="1">
      <c r="A1568" s="656"/>
      <c r="B1568" s="405"/>
      <c r="C1568" s="405"/>
      <c r="D1568" s="405"/>
      <c r="E1568" s="405"/>
      <c r="F1568" s="657"/>
      <c r="G1568" s="583"/>
      <c r="H1568" s="405"/>
      <c r="I1568" s="405"/>
      <c r="J1568" s="405"/>
      <c r="K1568" s="405"/>
      <c r="L1568" s="405"/>
      <c r="M1568" s="405"/>
      <c r="N1568" s="405"/>
      <c r="O1568" s="405"/>
      <c r="P1568" s="405"/>
      <c r="Q1568" s="405"/>
      <c r="R1568" s="405"/>
      <c r="S1568" s="405"/>
      <c r="T1568" s="405"/>
      <c r="U1568" s="405"/>
      <c r="V1568" s="405"/>
      <c r="W1568" s="405"/>
      <c r="X1568" s="405"/>
      <c r="Y1568" s="405"/>
      <c r="Z1568" s="405"/>
    </row>
    <row r="1569" ht="14.25" customHeight="1">
      <c r="A1569" s="656"/>
      <c r="B1569" s="405"/>
      <c r="C1569" s="405"/>
      <c r="D1569" s="405"/>
      <c r="E1569" s="405"/>
      <c r="F1569" s="657"/>
      <c r="G1569" s="583"/>
      <c r="H1569" s="405"/>
      <c r="I1569" s="405"/>
      <c r="J1569" s="405"/>
      <c r="K1569" s="405"/>
      <c r="L1569" s="405"/>
      <c r="M1569" s="405"/>
      <c r="N1569" s="405"/>
      <c r="O1569" s="405"/>
      <c r="P1569" s="405"/>
      <c r="Q1569" s="405"/>
      <c r="R1569" s="405"/>
      <c r="S1569" s="405"/>
      <c r="T1569" s="405"/>
      <c r="U1569" s="405"/>
      <c r="V1569" s="405"/>
      <c r="W1569" s="405"/>
      <c r="X1569" s="405"/>
      <c r="Y1569" s="405"/>
      <c r="Z1569" s="405"/>
    </row>
    <row r="1570" ht="14.25" customHeight="1">
      <c r="A1570" s="656"/>
      <c r="B1570" s="405"/>
      <c r="C1570" s="405"/>
      <c r="D1570" s="405"/>
      <c r="E1570" s="405"/>
      <c r="F1570" s="657"/>
      <c r="G1570" s="583"/>
      <c r="H1570" s="405"/>
      <c r="I1570" s="405"/>
      <c r="J1570" s="405"/>
      <c r="K1570" s="405"/>
      <c r="L1570" s="405"/>
      <c r="M1570" s="405"/>
      <c r="N1570" s="405"/>
      <c r="O1570" s="405"/>
      <c r="P1570" s="405"/>
      <c r="Q1570" s="405"/>
      <c r="R1570" s="405"/>
      <c r="S1570" s="405"/>
      <c r="T1570" s="405"/>
      <c r="U1570" s="405"/>
      <c r="V1570" s="405"/>
      <c r="W1570" s="405"/>
      <c r="X1570" s="405"/>
      <c r="Y1570" s="405"/>
      <c r="Z1570" s="405"/>
    </row>
    <row r="1571" ht="14.25" customHeight="1">
      <c r="A1571" s="656"/>
      <c r="B1571" s="405"/>
      <c r="C1571" s="405"/>
      <c r="D1571" s="405"/>
      <c r="E1571" s="405"/>
      <c r="F1571" s="657"/>
      <c r="G1571" s="583"/>
      <c r="H1571" s="405"/>
      <c r="I1571" s="405"/>
      <c r="J1571" s="405"/>
      <c r="K1571" s="405"/>
      <c r="L1571" s="405"/>
      <c r="M1571" s="405"/>
      <c r="N1571" s="405"/>
      <c r="O1571" s="405"/>
      <c r="P1571" s="405"/>
      <c r="Q1571" s="405"/>
      <c r="R1571" s="405"/>
      <c r="S1571" s="405"/>
      <c r="T1571" s="405"/>
      <c r="U1571" s="405"/>
      <c r="V1571" s="405"/>
      <c r="W1571" s="405"/>
      <c r="X1571" s="405"/>
      <c r="Y1571" s="405"/>
      <c r="Z1571" s="405"/>
    </row>
    <row r="1572" ht="14.25" customHeight="1">
      <c r="A1572" s="656"/>
      <c r="B1572" s="405"/>
      <c r="C1572" s="405"/>
      <c r="D1572" s="405"/>
      <c r="E1572" s="405"/>
      <c r="F1572" s="657"/>
      <c r="G1572" s="583"/>
      <c r="H1572" s="405"/>
      <c r="I1572" s="405"/>
      <c r="J1572" s="405"/>
      <c r="K1572" s="405"/>
      <c r="L1572" s="405"/>
      <c r="M1572" s="405"/>
      <c r="N1572" s="405"/>
      <c r="O1572" s="405"/>
      <c r="P1572" s="405"/>
      <c r="Q1572" s="405"/>
      <c r="R1572" s="405"/>
      <c r="S1572" s="405"/>
      <c r="T1572" s="405"/>
      <c r="U1572" s="405"/>
      <c r="V1572" s="405"/>
      <c r="W1572" s="405"/>
      <c r="X1572" s="405"/>
      <c r="Y1572" s="405"/>
      <c r="Z1572" s="405"/>
    </row>
    <row r="1573" ht="14.25" customHeight="1">
      <c r="A1573" s="656"/>
      <c r="B1573" s="405"/>
      <c r="C1573" s="405"/>
      <c r="D1573" s="405"/>
      <c r="E1573" s="405"/>
      <c r="F1573" s="657"/>
      <c r="G1573" s="583"/>
      <c r="H1573" s="405"/>
      <c r="I1573" s="405"/>
      <c r="J1573" s="405"/>
      <c r="K1573" s="405"/>
      <c r="L1573" s="405"/>
      <c r="M1573" s="405"/>
      <c r="N1573" s="405"/>
      <c r="O1573" s="405"/>
      <c r="P1573" s="405"/>
      <c r="Q1573" s="405"/>
      <c r="R1573" s="405"/>
      <c r="S1573" s="405"/>
      <c r="T1573" s="405"/>
      <c r="U1573" s="405"/>
      <c r="V1573" s="405"/>
      <c r="W1573" s="405"/>
      <c r="X1573" s="405"/>
      <c r="Y1573" s="405"/>
      <c r="Z1573" s="405"/>
    </row>
    <row r="1574" ht="14.25" customHeight="1">
      <c r="A1574" s="656"/>
      <c r="B1574" s="405"/>
      <c r="C1574" s="405"/>
      <c r="D1574" s="405"/>
      <c r="E1574" s="405"/>
      <c r="F1574" s="657"/>
      <c r="G1574" s="583"/>
      <c r="H1574" s="405"/>
      <c r="I1574" s="405"/>
      <c r="J1574" s="405"/>
      <c r="K1574" s="405"/>
      <c r="L1574" s="405"/>
      <c r="M1574" s="405"/>
      <c r="N1574" s="405"/>
      <c r="O1574" s="405"/>
      <c r="P1574" s="405"/>
      <c r="Q1574" s="405"/>
      <c r="R1574" s="405"/>
      <c r="S1574" s="405"/>
      <c r="T1574" s="405"/>
      <c r="U1574" s="405"/>
      <c r="V1574" s="405"/>
      <c r="W1574" s="405"/>
      <c r="X1574" s="405"/>
      <c r="Y1574" s="405"/>
      <c r="Z1574" s="405"/>
    </row>
    <row r="1575" ht="14.25" customHeight="1">
      <c r="A1575" s="656"/>
      <c r="B1575" s="405"/>
      <c r="C1575" s="405"/>
      <c r="D1575" s="405"/>
      <c r="E1575" s="405"/>
      <c r="F1575" s="657"/>
      <c r="G1575" s="583"/>
      <c r="H1575" s="405"/>
      <c r="I1575" s="405"/>
      <c r="J1575" s="405"/>
      <c r="K1575" s="405"/>
      <c r="L1575" s="405"/>
      <c r="M1575" s="405"/>
      <c r="N1575" s="405"/>
      <c r="O1575" s="405"/>
      <c r="P1575" s="405"/>
      <c r="Q1575" s="405"/>
      <c r="R1575" s="405"/>
      <c r="S1575" s="405"/>
      <c r="T1575" s="405"/>
      <c r="U1575" s="405"/>
      <c r="V1575" s="405"/>
      <c r="W1575" s="405"/>
      <c r="X1575" s="405"/>
      <c r="Y1575" s="405"/>
      <c r="Z1575" s="405"/>
    </row>
    <row r="1576" ht="14.25" customHeight="1">
      <c r="A1576" s="656"/>
      <c r="B1576" s="405"/>
      <c r="C1576" s="405"/>
      <c r="D1576" s="405"/>
      <c r="E1576" s="405"/>
      <c r="F1576" s="657"/>
      <c r="G1576" s="583"/>
      <c r="H1576" s="405"/>
      <c r="I1576" s="405"/>
      <c r="J1576" s="405"/>
      <c r="K1576" s="405"/>
      <c r="L1576" s="405"/>
      <c r="M1576" s="405"/>
      <c r="N1576" s="405"/>
      <c r="O1576" s="405"/>
      <c r="P1576" s="405"/>
      <c r="Q1576" s="405"/>
      <c r="R1576" s="405"/>
      <c r="S1576" s="405"/>
      <c r="T1576" s="405"/>
      <c r="U1576" s="405"/>
      <c r="V1576" s="405"/>
      <c r="W1576" s="405"/>
      <c r="X1576" s="405"/>
      <c r="Y1576" s="405"/>
      <c r="Z1576" s="405"/>
    </row>
    <row r="1577" ht="14.25" customHeight="1">
      <c r="A1577" s="656"/>
      <c r="B1577" s="405"/>
      <c r="C1577" s="405"/>
      <c r="D1577" s="405"/>
      <c r="E1577" s="405"/>
      <c r="F1577" s="657"/>
      <c r="G1577" s="583"/>
      <c r="H1577" s="405"/>
      <c r="I1577" s="405"/>
      <c r="J1577" s="405"/>
      <c r="K1577" s="405"/>
      <c r="L1577" s="405"/>
      <c r="M1577" s="405"/>
      <c r="N1577" s="405"/>
      <c r="O1577" s="405"/>
      <c r="P1577" s="405"/>
      <c r="Q1577" s="405"/>
      <c r="R1577" s="405"/>
      <c r="S1577" s="405"/>
      <c r="T1577" s="405"/>
      <c r="U1577" s="405"/>
      <c r="V1577" s="405"/>
      <c r="W1577" s="405"/>
      <c r="X1577" s="405"/>
      <c r="Y1577" s="405"/>
      <c r="Z1577" s="405"/>
    </row>
    <row r="1578" ht="14.25" customHeight="1">
      <c r="A1578" s="656"/>
      <c r="B1578" s="405"/>
      <c r="C1578" s="405"/>
      <c r="D1578" s="405"/>
      <c r="E1578" s="405"/>
      <c r="F1578" s="657"/>
      <c r="G1578" s="583"/>
      <c r="H1578" s="405"/>
      <c r="I1578" s="405"/>
      <c r="J1578" s="405"/>
      <c r="K1578" s="405"/>
      <c r="L1578" s="405"/>
      <c r="M1578" s="405"/>
      <c r="N1578" s="405"/>
      <c r="O1578" s="405"/>
      <c r="P1578" s="405"/>
      <c r="Q1578" s="405"/>
      <c r="R1578" s="405"/>
      <c r="S1578" s="405"/>
      <c r="T1578" s="405"/>
      <c r="U1578" s="405"/>
      <c r="V1578" s="405"/>
      <c r="W1578" s="405"/>
      <c r="X1578" s="405"/>
      <c r="Y1578" s="405"/>
      <c r="Z1578" s="405"/>
    </row>
    <row r="1579" ht="14.25" customHeight="1">
      <c r="A1579" s="656"/>
      <c r="B1579" s="405"/>
      <c r="C1579" s="405"/>
      <c r="D1579" s="405"/>
      <c r="E1579" s="405"/>
      <c r="F1579" s="657"/>
      <c r="G1579" s="583"/>
      <c r="H1579" s="405"/>
      <c r="I1579" s="405"/>
      <c r="J1579" s="405"/>
      <c r="K1579" s="405"/>
      <c r="L1579" s="405"/>
      <c r="M1579" s="405"/>
      <c r="N1579" s="405"/>
      <c r="O1579" s="405"/>
      <c r="P1579" s="405"/>
      <c r="Q1579" s="405"/>
      <c r="R1579" s="405"/>
      <c r="S1579" s="405"/>
      <c r="T1579" s="405"/>
      <c r="U1579" s="405"/>
      <c r="V1579" s="405"/>
      <c r="W1579" s="405"/>
      <c r="X1579" s="405"/>
      <c r="Y1579" s="405"/>
      <c r="Z1579" s="405"/>
    </row>
    <row r="1580" ht="14.25" customHeight="1">
      <c r="A1580" s="656"/>
      <c r="B1580" s="405"/>
      <c r="C1580" s="405"/>
      <c r="D1580" s="405"/>
      <c r="E1580" s="405"/>
      <c r="F1580" s="657"/>
      <c r="G1580" s="583"/>
      <c r="H1580" s="405"/>
      <c r="I1580" s="405"/>
      <c r="J1580" s="405"/>
      <c r="K1580" s="405"/>
      <c r="L1580" s="405"/>
      <c r="M1580" s="405"/>
      <c r="N1580" s="405"/>
      <c r="O1580" s="405"/>
      <c r="P1580" s="405"/>
      <c r="Q1580" s="405"/>
      <c r="R1580" s="405"/>
      <c r="S1580" s="405"/>
      <c r="T1580" s="405"/>
      <c r="U1580" s="405"/>
      <c r="V1580" s="405"/>
      <c r="W1580" s="405"/>
      <c r="X1580" s="405"/>
      <c r="Y1580" s="405"/>
      <c r="Z1580" s="405"/>
    </row>
    <row r="1581" ht="14.25" customHeight="1">
      <c r="A1581" s="656"/>
      <c r="B1581" s="405"/>
      <c r="C1581" s="405"/>
      <c r="D1581" s="405"/>
      <c r="E1581" s="405"/>
      <c r="F1581" s="657"/>
      <c r="G1581" s="583"/>
      <c r="H1581" s="405"/>
      <c r="I1581" s="405"/>
      <c r="J1581" s="405"/>
      <c r="K1581" s="405"/>
      <c r="L1581" s="405"/>
      <c r="M1581" s="405"/>
      <c r="N1581" s="405"/>
      <c r="O1581" s="405"/>
      <c r="P1581" s="405"/>
      <c r="Q1581" s="405"/>
      <c r="R1581" s="405"/>
      <c r="S1581" s="405"/>
      <c r="T1581" s="405"/>
      <c r="U1581" s="405"/>
      <c r="V1581" s="405"/>
      <c r="W1581" s="405"/>
      <c r="X1581" s="405"/>
      <c r="Y1581" s="405"/>
      <c r="Z1581" s="405"/>
    </row>
    <row r="1582" ht="14.25" customHeight="1">
      <c r="A1582" s="656"/>
      <c r="B1582" s="405"/>
      <c r="C1582" s="405"/>
      <c r="D1582" s="405"/>
      <c r="E1582" s="405"/>
      <c r="F1582" s="657"/>
      <c r="G1582" s="583"/>
      <c r="H1582" s="405"/>
      <c r="I1582" s="405"/>
      <c r="J1582" s="405"/>
      <c r="K1582" s="405"/>
      <c r="L1582" s="405"/>
      <c r="M1582" s="405"/>
      <c r="N1582" s="405"/>
      <c r="O1582" s="405"/>
      <c r="P1582" s="405"/>
      <c r="Q1582" s="405"/>
      <c r="R1582" s="405"/>
      <c r="S1582" s="405"/>
      <c r="T1582" s="405"/>
      <c r="U1582" s="405"/>
      <c r="V1582" s="405"/>
      <c r="W1582" s="405"/>
      <c r="X1582" s="405"/>
      <c r="Y1582" s="405"/>
      <c r="Z1582" s="405"/>
    </row>
    <row r="1583" ht="14.25" customHeight="1">
      <c r="A1583" s="656"/>
      <c r="B1583" s="405"/>
      <c r="C1583" s="405"/>
      <c r="D1583" s="405"/>
      <c r="E1583" s="405"/>
      <c r="F1583" s="657"/>
      <c r="G1583" s="583"/>
      <c r="H1583" s="405"/>
      <c r="I1583" s="405"/>
      <c r="J1583" s="405"/>
      <c r="K1583" s="405"/>
      <c r="L1583" s="405"/>
      <c r="M1583" s="405"/>
      <c r="N1583" s="405"/>
      <c r="O1583" s="405"/>
      <c r="P1583" s="405"/>
      <c r="Q1583" s="405"/>
      <c r="R1583" s="405"/>
      <c r="S1583" s="405"/>
      <c r="T1583" s="405"/>
      <c r="U1583" s="405"/>
      <c r="V1583" s="405"/>
      <c r="W1583" s="405"/>
      <c r="X1583" s="405"/>
      <c r="Y1583" s="405"/>
      <c r="Z1583" s="405"/>
    </row>
    <row r="1584" ht="14.25" customHeight="1">
      <c r="A1584" s="656"/>
      <c r="B1584" s="405"/>
      <c r="C1584" s="405"/>
      <c r="D1584" s="405"/>
      <c r="E1584" s="405"/>
      <c r="F1584" s="657"/>
      <c r="G1584" s="583"/>
      <c r="H1584" s="405"/>
      <c r="I1584" s="405"/>
      <c r="J1584" s="405"/>
      <c r="K1584" s="405"/>
      <c r="L1584" s="405"/>
      <c r="M1584" s="405"/>
      <c r="N1584" s="405"/>
      <c r="O1584" s="405"/>
      <c r="P1584" s="405"/>
      <c r="Q1584" s="405"/>
      <c r="R1584" s="405"/>
      <c r="S1584" s="405"/>
      <c r="T1584" s="405"/>
      <c r="U1584" s="405"/>
      <c r="V1584" s="405"/>
      <c r="W1584" s="405"/>
      <c r="X1584" s="405"/>
      <c r="Y1584" s="405"/>
      <c r="Z1584" s="405"/>
    </row>
    <row r="1585" ht="14.25" customHeight="1">
      <c r="A1585" s="656"/>
      <c r="B1585" s="405"/>
      <c r="C1585" s="405"/>
      <c r="D1585" s="405"/>
      <c r="E1585" s="405"/>
      <c r="F1585" s="657"/>
      <c r="G1585" s="583"/>
      <c r="H1585" s="405"/>
      <c r="I1585" s="405"/>
      <c r="J1585" s="405"/>
      <c r="K1585" s="405"/>
      <c r="L1585" s="405"/>
      <c r="M1585" s="405"/>
      <c r="N1585" s="405"/>
      <c r="O1585" s="405"/>
      <c r="P1585" s="405"/>
      <c r="Q1585" s="405"/>
      <c r="R1585" s="405"/>
      <c r="S1585" s="405"/>
      <c r="T1585" s="405"/>
      <c r="U1585" s="405"/>
      <c r="V1585" s="405"/>
      <c r="W1585" s="405"/>
      <c r="X1585" s="405"/>
      <c r="Y1585" s="405"/>
      <c r="Z1585" s="405"/>
    </row>
    <row r="1586" ht="14.25" customHeight="1">
      <c r="A1586" s="656"/>
      <c r="B1586" s="405"/>
      <c r="C1586" s="405"/>
      <c r="D1586" s="405"/>
      <c r="E1586" s="405"/>
      <c r="F1586" s="657"/>
      <c r="G1586" s="583"/>
      <c r="H1586" s="405"/>
      <c r="I1586" s="405"/>
      <c r="J1586" s="405"/>
      <c r="K1586" s="405"/>
      <c r="L1586" s="405"/>
      <c r="M1586" s="405"/>
      <c r="N1586" s="405"/>
      <c r="O1586" s="405"/>
      <c r="P1586" s="405"/>
      <c r="Q1586" s="405"/>
      <c r="R1586" s="405"/>
      <c r="S1586" s="405"/>
      <c r="T1586" s="405"/>
      <c r="U1586" s="405"/>
      <c r="V1586" s="405"/>
      <c r="W1586" s="405"/>
      <c r="X1586" s="405"/>
      <c r="Y1586" s="405"/>
      <c r="Z1586" s="405"/>
    </row>
    <row r="1587" ht="14.25" customHeight="1">
      <c r="A1587" s="656"/>
      <c r="B1587" s="405"/>
      <c r="C1587" s="405"/>
      <c r="D1587" s="405"/>
      <c r="E1587" s="405"/>
      <c r="F1587" s="657"/>
      <c r="G1587" s="583"/>
      <c r="H1587" s="405"/>
      <c r="I1587" s="405"/>
      <c r="J1587" s="405"/>
      <c r="K1587" s="405"/>
      <c r="L1587" s="405"/>
      <c r="M1587" s="405"/>
      <c r="N1587" s="405"/>
      <c r="O1587" s="405"/>
      <c r="P1587" s="405"/>
      <c r="Q1587" s="405"/>
      <c r="R1587" s="405"/>
      <c r="S1587" s="405"/>
      <c r="T1587" s="405"/>
      <c r="U1587" s="405"/>
      <c r="V1587" s="405"/>
      <c r="W1587" s="405"/>
      <c r="X1587" s="405"/>
      <c r="Y1587" s="405"/>
      <c r="Z1587" s="405"/>
    </row>
    <row r="1588" ht="14.25" customHeight="1">
      <c r="A1588" s="656"/>
      <c r="B1588" s="405"/>
      <c r="C1588" s="405"/>
      <c r="D1588" s="405"/>
      <c r="E1588" s="405"/>
      <c r="F1588" s="657"/>
      <c r="G1588" s="583"/>
      <c r="H1588" s="405"/>
      <c r="I1588" s="405"/>
      <c r="J1588" s="405"/>
      <c r="K1588" s="405"/>
      <c r="L1588" s="405"/>
      <c r="M1588" s="405"/>
      <c r="N1588" s="405"/>
      <c r="O1588" s="405"/>
      <c r="P1588" s="405"/>
      <c r="Q1588" s="405"/>
      <c r="R1588" s="405"/>
      <c r="S1588" s="405"/>
      <c r="T1588" s="405"/>
      <c r="U1588" s="405"/>
      <c r="V1588" s="405"/>
      <c r="W1588" s="405"/>
      <c r="X1588" s="405"/>
      <c r="Y1588" s="405"/>
      <c r="Z1588" s="405"/>
    </row>
    <row r="1589" ht="14.25" customHeight="1">
      <c r="A1589" s="656"/>
      <c r="B1589" s="405"/>
      <c r="C1589" s="405"/>
      <c r="D1589" s="405"/>
      <c r="E1589" s="405"/>
      <c r="F1589" s="657"/>
      <c r="G1589" s="583"/>
      <c r="H1589" s="405"/>
      <c r="I1589" s="405"/>
      <c r="J1589" s="405"/>
      <c r="K1589" s="405"/>
      <c r="L1589" s="405"/>
      <c r="M1589" s="405"/>
      <c r="N1589" s="405"/>
      <c r="O1589" s="405"/>
      <c r="P1589" s="405"/>
      <c r="Q1589" s="405"/>
      <c r="R1589" s="405"/>
      <c r="S1589" s="405"/>
      <c r="T1589" s="405"/>
      <c r="U1589" s="405"/>
      <c r="V1589" s="405"/>
      <c r="W1589" s="405"/>
      <c r="X1589" s="405"/>
      <c r="Y1589" s="405"/>
      <c r="Z1589" s="405"/>
    </row>
    <row r="1590" ht="14.25" customHeight="1">
      <c r="A1590" s="656"/>
      <c r="B1590" s="405"/>
      <c r="C1590" s="405"/>
      <c r="D1590" s="405"/>
      <c r="E1590" s="405"/>
      <c r="F1590" s="657"/>
      <c r="G1590" s="583"/>
      <c r="H1590" s="405"/>
      <c r="I1590" s="405"/>
      <c r="J1590" s="405"/>
      <c r="K1590" s="405"/>
      <c r="L1590" s="405"/>
      <c r="M1590" s="405"/>
      <c r="N1590" s="405"/>
      <c r="O1590" s="405"/>
      <c r="P1590" s="405"/>
      <c r="Q1590" s="405"/>
      <c r="R1590" s="405"/>
      <c r="S1590" s="405"/>
      <c r="T1590" s="405"/>
      <c r="U1590" s="405"/>
      <c r="V1590" s="405"/>
      <c r="W1590" s="405"/>
      <c r="X1590" s="405"/>
      <c r="Y1590" s="405"/>
      <c r="Z1590" s="405"/>
    </row>
    <row r="1591" ht="14.25" customHeight="1">
      <c r="A1591" s="656"/>
      <c r="B1591" s="405"/>
      <c r="C1591" s="405"/>
      <c r="D1591" s="405"/>
      <c r="E1591" s="405"/>
      <c r="F1591" s="657"/>
      <c r="G1591" s="583"/>
      <c r="H1591" s="405"/>
      <c r="I1591" s="405"/>
      <c r="J1591" s="405"/>
      <c r="K1591" s="405"/>
      <c r="L1591" s="405"/>
      <c r="M1591" s="405"/>
      <c r="N1591" s="405"/>
      <c r="O1591" s="405"/>
      <c r="P1591" s="405"/>
      <c r="Q1591" s="405"/>
      <c r="R1591" s="405"/>
      <c r="S1591" s="405"/>
      <c r="T1591" s="405"/>
      <c r="U1591" s="405"/>
      <c r="V1591" s="405"/>
      <c r="W1591" s="405"/>
      <c r="X1591" s="405"/>
      <c r="Y1591" s="405"/>
      <c r="Z1591" s="405"/>
    </row>
    <row r="1592" ht="14.25" customHeight="1">
      <c r="A1592" s="656"/>
      <c r="B1592" s="405"/>
      <c r="C1592" s="405"/>
      <c r="D1592" s="405"/>
      <c r="E1592" s="405"/>
      <c r="F1592" s="657"/>
      <c r="G1592" s="583"/>
      <c r="H1592" s="405"/>
      <c r="I1592" s="405"/>
      <c r="J1592" s="405"/>
      <c r="K1592" s="405"/>
      <c r="L1592" s="405"/>
      <c r="M1592" s="405"/>
      <c r="N1592" s="405"/>
      <c r="O1592" s="405"/>
      <c r="P1592" s="405"/>
      <c r="Q1592" s="405"/>
      <c r="R1592" s="405"/>
      <c r="S1592" s="405"/>
      <c r="T1592" s="405"/>
      <c r="U1592" s="405"/>
      <c r="V1592" s="405"/>
      <c r="W1592" s="405"/>
      <c r="X1592" s="405"/>
      <c r="Y1592" s="405"/>
      <c r="Z1592" s="405"/>
    </row>
    <row r="1593" ht="14.25" customHeight="1">
      <c r="A1593" s="656"/>
      <c r="B1593" s="405"/>
      <c r="C1593" s="405"/>
      <c r="D1593" s="405"/>
      <c r="E1593" s="405"/>
      <c r="F1593" s="657"/>
      <c r="G1593" s="583"/>
      <c r="H1593" s="405"/>
      <c r="I1593" s="405"/>
      <c r="J1593" s="405"/>
      <c r="K1593" s="405"/>
      <c r="L1593" s="405"/>
      <c r="M1593" s="405"/>
      <c r="N1593" s="405"/>
      <c r="O1593" s="405"/>
      <c r="P1593" s="405"/>
      <c r="Q1593" s="405"/>
      <c r="R1593" s="405"/>
      <c r="S1593" s="405"/>
      <c r="T1593" s="405"/>
      <c r="U1593" s="405"/>
      <c r="V1593" s="405"/>
      <c r="W1593" s="405"/>
      <c r="X1593" s="405"/>
      <c r="Y1593" s="405"/>
      <c r="Z1593" s="405"/>
    </row>
    <row r="1594" ht="14.25" customHeight="1">
      <c r="A1594" s="656"/>
      <c r="B1594" s="405"/>
      <c r="C1594" s="405"/>
      <c r="D1594" s="405"/>
      <c r="E1594" s="405"/>
      <c r="F1594" s="657"/>
      <c r="G1594" s="583"/>
      <c r="H1594" s="405"/>
      <c r="I1594" s="405"/>
      <c r="J1594" s="405"/>
      <c r="K1594" s="405"/>
      <c r="L1594" s="405"/>
      <c r="M1594" s="405"/>
      <c r="N1594" s="405"/>
      <c r="O1594" s="405"/>
      <c r="P1594" s="405"/>
      <c r="Q1594" s="405"/>
      <c r="R1594" s="405"/>
      <c r="S1594" s="405"/>
      <c r="T1594" s="405"/>
      <c r="U1594" s="405"/>
      <c r="V1594" s="405"/>
      <c r="W1594" s="405"/>
      <c r="X1594" s="405"/>
      <c r="Y1594" s="405"/>
      <c r="Z1594" s="405"/>
    </row>
    <row r="1595" ht="14.25" customHeight="1">
      <c r="A1595" s="656"/>
      <c r="B1595" s="405"/>
      <c r="C1595" s="405"/>
      <c r="D1595" s="405"/>
      <c r="E1595" s="405"/>
      <c r="F1595" s="657"/>
      <c r="G1595" s="583"/>
      <c r="H1595" s="405"/>
      <c r="I1595" s="405"/>
      <c r="J1595" s="405"/>
      <c r="K1595" s="405"/>
      <c r="L1595" s="405"/>
      <c r="M1595" s="405"/>
      <c r="N1595" s="405"/>
      <c r="O1595" s="405"/>
      <c r="P1595" s="405"/>
      <c r="Q1595" s="405"/>
      <c r="R1595" s="405"/>
      <c r="S1595" s="405"/>
      <c r="T1595" s="405"/>
      <c r="U1595" s="405"/>
      <c r="V1595" s="405"/>
      <c r="W1595" s="405"/>
      <c r="X1595" s="405"/>
      <c r="Y1595" s="405"/>
      <c r="Z1595" s="405"/>
    </row>
    <row r="1596" ht="14.25" customHeight="1">
      <c r="A1596" s="656"/>
      <c r="B1596" s="405"/>
      <c r="C1596" s="405"/>
      <c r="D1596" s="405"/>
      <c r="E1596" s="405"/>
      <c r="F1596" s="657"/>
      <c r="G1596" s="583"/>
      <c r="H1596" s="405"/>
      <c r="I1596" s="405"/>
      <c r="J1596" s="405"/>
      <c r="K1596" s="405"/>
      <c r="L1596" s="405"/>
      <c r="M1596" s="405"/>
      <c r="N1596" s="405"/>
      <c r="O1596" s="405"/>
      <c r="P1596" s="405"/>
      <c r="Q1596" s="405"/>
      <c r="R1596" s="405"/>
      <c r="S1596" s="405"/>
      <c r="T1596" s="405"/>
      <c r="U1596" s="405"/>
      <c r="V1596" s="405"/>
      <c r="W1596" s="405"/>
      <c r="X1596" s="405"/>
      <c r="Y1596" s="405"/>
      <c r="Z1596" s="405"/>
    </row>
    <row r="1597" ht="14.25" customHeight="1">
      <c r="A1597" s="656"/>
      <c r="B1597" s="405"/>
      <c r="C1597" s="405"/>
      <c r="D1597" s="405"/>
      <c r="E1597" s="405"/>
      <c r="F1597" s="657"/>
      <c r="G1597" s="583"/>
      <c r="H1597" s="405"/>
      <c r="I1597" s="405"/>
      <c r="J1597" s="405"/>
      <c r="K1597" s="405"/>
      <c r="L1597" s="405"/>
      <c r="M1597" s="405"/>
      <c r="N1597" s="405"/>
      <c r="O1597" s="405"/>
      <c r="P1597" s="405"/>
      <c r="Q1597" s="405"/>
      <c r="R1597" s="405"/>
      <c r="S1597" s="405"/>
      <c r="T1597" s="405"/>
      <c r="U1597" s="405"/>
      <c r="V1597" s="405"/>
      <c r="W1597" s="405"/>
      <c r="X1597" s="405"/>
      <c r="Y1597" s="405"/>
      <c r="Z1597" s="405"/>
    </row>
    <row r="1598" ht="14.25" customHeight="1">
      <c r="A1598" s="656"/>
      <c r="B1598" s="405"/>
      <c r="C1598" s="405"/>
      <c r="D1598" s="405"/>
      <c r="E1598" s="405"/>
      <c r="F1598" s="657"/>
      <c r="G1598" s="583"/>
      <c r="H1598" s="405"/>
      <c r="I1598" s="405"/>
      <c r="J1598" s="405"/>
      <c r="K1598" s="405"/>
      <c r="L1598" s="405"/>
      <c r="M1598" s="405"/>
      <c r="N1598" s="405"/>
      <c r="O1598" s="405"/>
      <c r="P1598" s="405"/>
      <c r="Q1598" s="405"/>
      <c r="R1598" s="405"/>
      <c r="S1598" s="405"/>
      <c r="T1598" s="405"/>
      <c r="U1598" s="405"/>
      <c r="V1598" s="405"/>
      <c r="W1598" s="405"/>
      <c r="X1598" s="405"/>
      <c r="Y1598" s="405"/>
      <c r="Z1598" s="405"/>
    </row>
    <row r="1599" ht="14.25" customHeight="1">
      <c r="A1599" s="656"/>
      <c r="B1599" s="405"/>
      <c r="C1599" s="405"/>
      <c r="D1599" s="405"/>
      <c r="E1599" s="405"/>
      <c r="F1599" s="657"/>
      <c r="G1599" s="583"/>
      <c r="H1599" s="405"/>
      <c r="I1599" s="405"/>
      <c r="J1599" s="405"/>
      <c r="K1599" s="405"/>
      <c r="L1599" s="405"/>
      <c r="M1599" s="405"/>
      <c r="N1599" s="405"/>
      <c r="O1599" s="405"/>
      <c r="P1599" s="405"/>
      <c r="Q1599" s="405"/>
      <c r="R1599" s="405"/>
      <c r="S1599" s="405"/>
      <c r="T1599" s="405"/>
      <c r="U1599" s="405"/>
      <c r="V1599" s="405"/>
      <c r="W1599" s="405"/>
      <c r="X1599" s="405"/>
      <c r="Y1599" s="405"/>
      <c r="Z1599" s="405"/>
    </row>
    <row r="1600" ht="14.25" customHeight="1">
      <c r="A1600" s="656"/>
      <c r="B1600" s="405"/>
      <c r="C1600" s="405"/>
      <c r="D1600" s="405"/>
      <c r="E1600" s="405"/>
      <c r="F1600" s="657"/>
      <c r="G1600" s="583"/>
      <c r="H1600" s="405"/>
      <c r="I1600" s="405"/>
      <c r="J1600" s="405"/>
      <c r="K1600" s="405"/>
      <c r="L1600" s="405"/>
      <c r="M1600" s="405"/>
      <c r="N1600" s="405"/>
      <c r="O1600" s="405"/>
      <c r="P1600" s="405"/>
      <c r="Q1600" s="405"/>
      <c r="R1600" s="405"/>
      <c r="S1600" s="405"/>
      <c r="T1600" s="405"/>
      <c r="U1600" s="405"/>
      <c r="V1600" s="405"/>
      <c r="W1600" s="405"/>
      <c r="X1600" s="405"/>
      <c r="Y1600" s="405"/>
      <c r="Z1600" s="405"/>
    </row>
    <row r="1601" ht="14.25" customHeight="1">
      <c r="A1601" s="656"/>
      <c r="B1601" s="405"/>
      <c r="C1601" s="405"/>
      <c r="D1601" s="405"/>
      <c r="E1601" s="405"/>
      <c r="F1601" s="657"/>
      <c r="G1601" s="583"/>
      <c r="H1601" s="405"/>
      <c r="I1601" s="405"/>
      <c r="J1601" s="405"/>
      <c r="K1601" s="405"/>
      <c r="L1601" s="405"/>
      <c r="M1601" s="405"/>
      <c r="N1601" s="405"/>
      <c r="O1601" s="405"/>
      <c r="P1601" s="405"/>
      <c r="Q1601" s="405"/>
      <c r="R1601" s="405"/>
      <c r="S1601" s="405"/>
      <c r="T1601" s="405"/>
      <c r="U1601" s="405"/>
      <c r="V1601" s="405"/>
      <c r="W1601" s="405"/>
      <c r="X1601" s="405"/>
      <c r="Y1601" s="405"/>
      <c r="Z1601" s="405"/>
    </row>
    <row r="1602" ht="14.25" customHeight="1">
      <c r="A1602" s="656"/>
      <c r="B1602" s="405"/>
      <c r="C1602" s="405"/>
      <c r="D1602" s="405"/>
      <c r="E1602" s="405"/>
      <c r="F1602" s="657"/>
      <c r="G1602" s="583"/>
      <c r="H1602" s="405"/>
      <c r="I1602" s="405"/>
      <c r="J1602" s="405"/>
      <c r="K1602" s="405"/>
      <c r="L1602" s="405"/>
      <c r="M1602" s="405"/>
      <c r="N1602" s="405"/>
      <c r="O1602" s="405"/>
      <c r="P1602" s="405"/>
      <c r="Q1602" s="405"/>
      <c r="R1602" s="405"/>
      <c r="S1602" s="405"/>
      <c r="T1602" s="405"/>
      <c r="U1602" s="405"/>
      <c r="V1602" s="405"/>
      <c r="W1602" s="405"/>
      <c r="X1602" s="405"/>
      <c r="Y1602" s="405"/>
      <c r="Z1602" s="405"/>
    </row>
    <row r="1603" ht="14.25" customHeight="1">
      <c r="A1603" s="656"/>
      <c r="B1603" s="405"/>
      <c r="C1603" s="405"/>
      <c r="D1603" s="405"/>
      <c r="E1603" s="405"/>
      <c r="F1603" s="657"/>
      <c r="G1603" s="583"/>
      <c r="H1603" s="405"/>
      <c r="I1603" s="405"/>
      <c r="J1603" s="405"/>
      <c r="K1603" s="405"/>
      <c r="L1603" s="405"/>
      <c r="M1603" s="405"/>
      <c r="N1603" s="405"/>
      <c r="O1603" s="405"/>
      <c r="P1603" s="405"/>
      <c r="Q1603" s="405"/>
      <c r="R1603" s="405"/>
      <c r="S1603" s="405"/>
      <c r="T1603" s="405"/>
      <c r="U1603" s="405"/>
      <c r="V1603" s="405"/>
      <c r="W1603" s="405"/>
      <c r="X1603" s="405"/>
      <c r="Y1603" s="405"/>
      <c r="Z1603" s="405"/>
    </row>
    <row r="1604" ht="14.25" customHeight="1">
      <c r="A1604" s="656"/>
      <c r="B1604" s="405"/>
      <c r="C1604" s="405"/>
      <c r="D1604" s="405"/>
      <c r="E1604" s="405"/>
      <c r="F1604" s="657"/>
      <c r="G1604" s="583"/>
      <c r="H1604" s="405"/>
      <c r="I1604" s="405"/>
      <c r="J1604" s="405"/>
      <c r="K1604" s="405"/>
      <c r="L1604" s="405"/>
      <c r="M1604" s="405"/>
      <c r="N1604" s="405"/>
      <c r="O1604" s="405"/>
      <c r="P1604" s="405"/>
      <c r="Q1604" s="405"/>
      <c r="R1604" s="405"/>
      <c r="S1604" s="405"/>
      <c r="T1604" s="405"/>
      <c r="U1604" s="405"/>
      <c r="V1604" s="405"/>
      <c r="W1604" s="405"/>
      <c r="X1604" s="405"/>
      <c r="Y1604" s="405"/>
      <c r="Z1604" s="405"/>
    </row>
    <row r="1605" ht="14.25" customHeight="1">
      <c r="A1605" s="656"/>
      <c r="B1605" s="405"/>
      <c r="C1605" s="405"/>
      <c r="D1605" s="405"/>
      <c r="E1605" s="405"/>
      <c r="F1605" s="657"/>
      <c r="G1605" s="583"/>
      <c r="H1605" s="405"/>
      <c r="I1605" s="405"/>
      <c r="J1605" s="405"/>
      <c r="K1605" s="405"/>
      <c r="L1605" s="405"/>
      <c r="M1605" s="405"/>
      <c r="N1605" s="405"/>
      <c r="O1605" s="405"/>
      <c r="P1605" s="405"/>
      <c r="Q1605" s="405"/>
      <c r="R1605" s="405"/>
      <c r="S1605" s="405"/>
      <c r="T1605" s="405"/>
      <c r="U1605" s="405"/>
      <c r="V1605" s="405"/>
      <c r="W1605" s="405"/>
      <c r="X1605" s="405"/>
      <c r="Y1605" s="405"/>
      <c r="Z1605" s="405"/>
    </row>
    <row r="1606" ht="14.25" customHeight="1">
      <c r="A1606" s="656"/>
      <c r="B1606" s="405"/>
      <c r="C1606" s="405"/>
      <c r="D1606" s="405"/>
      <c r="E1606" s="405"/>
      <c r="F1606" s="657"/>
      <c r="G1606" s="583"/>
      <c r="H1606" s="405"/>
      <c r="I1606" s="405"/>
      <c r="J1606" s="405"/>
      <c r="K1606" s="405"/>
      <c r="L1606" s="405"/>
      <c r="M1606" s="405"/>
      <c r="N1606" s="405"/>
      <c r="O1606" s="405"/>
      <c r="P1606" s="405"/>
      <c r="Q1606" s="405"/>
      <c r="R1606" s="405"/>
      <c r="S1606" s="405"/>
      <c r="T1606" s="405"/>
      <c r="U1606" s="405"/>
      <c r="V1606" s="405"/>
      <c r="W1606" s="405"/>
      <c r="X1606" s="405"/>
      <c r="Y1606" s="405"/>
      <c r="Z1606" s="405"/>
    </row>
    <row r="1607" ht="14.25" customHeight="1">
      <c r="A1607" s="656"/>
      <c r="B1607" s="405"/>
      <c r="C1607" s="405"/>
      <c r="D1607" s="405"/>
      <c r="E1607" s="405"/>
      <c r="F1607" s="657"/>
      <c r="G1607" s="583"/>
      <c r="H1607" s="405"/>
      <c r="I1607" s="405"/>
      <c r="J1607" s="405"/>
      <c r="K1607" s="405"/>
      <c r="L1607" s="405"/>
      <c r="M1607" s="405"/>
      <c r="N1607" s="405"/>
      <c r="O1607" s="405"/>
      <c r="P1607" s="405"/>
      <c r="Q1607" s="405"/>
      <c r="R1607" s="405"/>
      <c r="S1607" s="405"/>
      <c r="T1607" s="405"/>
      <c r="U1607" s="405"/>
      <c r="V1607" s="405"/>
      <c r="W1607" s="405"/>
      <c r="X1607" s="405"/>
      <c r="Y1607" s="405"/>
      <c r="Z1607" s="405"/>
    </row>
    <row r="1608" ht="14.25" customHeight="1">
      <c r="A1608" s="656"/>
      <c r="B1608" s="405"/>
      <c r="C1608" s="405"/>
      <c r="D1608" s="405"/>
      <c r="E1608" s="405"/>
      <c r="F1608" s="657"/>
      <c r="G1608" s="583"/>
      <c r="H1608" s="405"/>
      <c r="I1608" s="405"/>
      <c r="J1608" s="405"/>
      <c r="K1608" s="405"/>
      <c r="L1608" s="405"/>
      <c r="M1608" s="405"/>
      <c r="N1608" s="405"/>
      <c r="O1608" s="405"/>
      <c r="P1608" s="405"/>
      <c r="Q1608" s="405"/>
      <c r="R1608" s="405"/>
      <c r="S1608" s="405"/>
      <c r="T1608" s="405"/>
      <c r="U1608" s="405"/>
      <c r="V1608" s="405"/>
      <c r="W1608" s="405"/>
      <c r="X1608" s="405"/>
      <c r="Y1608" s="405"/>
      <c r="Z1608" s="405"/>
    </row>
    <row r="1609" ht="14.25" customHeight="1">
      <c r="A1609" s="656"/>
      <c r="B1609" s="405"/>
      <c r="C1609" s="405"/>
      <c r="D1609" s="405"/>
      <c r="E1609" s="405"/>
      <c r="F1609" s="657"/>
      <c r="G1609" s="583"/>
      <c r="H1609" s="405"/>
      <c r="I1609" s="405"/>
      <c r="J1609" s="405"/>
      <c r="K1609" s="405"/>
      <c r="L1609" s="405"/>
      <c r="M1609" s="405"/>
      <c r="N1609" s="405"/>
      <c r="O1609" s="405"/>
      <c r="P1609" s="405"/>
      <c r="Q1609" s="405"/>
      <c r="R1609" s="405"/>
      <c r="S1609" s="405"/>
      <c r="T1609" s="405"/>
      <c r="U1609" s="405"/>
      <c r="V1609" s="405"/>
      <c r="W1609" s="405"/>
      <c r="X1609" s="405"/>
      <c r="Y1609" s="405"/>
      <c r="Z1609" s="405"/>
    </row>
    <row r="1610" ht="14.25" customHeight="1">
      <c r="A1610" s="656"/>
      <c r="B1610" s="405"/>
      <c r="C1610" s="405"/>
      <c r="D1610" s="405"/>
      <c r="E1610" s="405"/>
      <c r="F1610" s="657"/>
      <c r="G1610" s="583"/>
      <c r="H1610" s="405"/>
      <c r="I1610" s="405"/>
      <c r="J1610" s="405"/>
      <c r="K1610" s="405"/>
      <c r="L1610" s="405"/>
      <c r="M1610" s="405"/>
      <c r="N1610" s="405"/>
      <c r="O1610" s="405"/>
      <c r="P1610" s="405"/>
      <c r="Q1610" s="405"/>
      <c r="R1610" s="405"/>
      <c r="S1610" s="405"/>
      <c r="T1610" s="405"/>
      <c r="U1610" s="405"/>
      <c r="V1610" s="405"/>
      <c r="W1610" s="405"/>
      <c r="X1610" s="405"/>
      <c r="Y1610" s="405"/>
      <c r="Z1610" s="405"/>
    </row>
    <row r="1611" ht="14.25" customHeight="1">
      <c r="A1611" s="656"/>
      <c r="B1611" s="405"/>
      <c r="C1611" s="405"/>
      <c r="D1611" s="405"/>
      <c r="E1611" s="405"/>
      <c r="F1611" s="657"/>
      <c r="G1611" s="583"/>
      <c r="H1611" s="405"/>
      <c r="I1611" s="405"/>
      <c r="J1611" s="405"/>
      <c r="K1611" s="405"/>
      <c r="L1611" s="405"/>
      <c r="M1611" s="405"/>
      <c r="N1611" s="405"/>
      <c r="O1611" s="405"/>
      <c r="P1611" s="405"/>
      <c r="Q1611" s="405"/>
      <c r="R1611" s="405"/>
      <c r="S1611" s="405"/>
      <c r="T1611" s="405"/>
      <c r="U1611" s="405"/>
      <c r="V1611" s="405"/>
      <c r="W1611" s="405"/>
      <c r="X1611" s="405"/>
      <c r="Y1611" s="405"/>
      <c r="Z1611" s="405"/>
    </row>
    <row r="1612" ht="14.25" customHeight="1">
      <c r="A1612" s="656"/>
      <c r="B1612" s="405"/>
      <c r="C1612" s="405"/>
      <c r="D1612" s="405"/>
      <c r="E1612" s="405"/>
      <c r="F1612" s="657"/>
      <c r="G1612" s="583"/>
      <c r="H1612" s="405"/>
      <c r="I1612" s="405"/>
      <c r="J1612" s="405"/>
      <c r="K1612" s="405"/>
      <c r="L1612" s="405"/>
      <c r="M1612" s="405"/>
      <c r="N1612" s="405"/>
      <c r="O1612" s="405"/>
      <c r="P1612" s="405"/>
      <c r="Q1612" s="405"/>
      <c r="R1612" s="405"/>
      <c r="S1612" s="405"/>
      <c r="T1612" s="405"/>
      <c r="U1612" s="405"/>
      <c r="V1612" s="405"/>
      <c r="W1612" s="405"/>
      <c r="X1612" s="405"/>
      <c r="Y1612" s="405"/>
      <c r="Z1612" s="405"/>
    </row>
    <row r="1613" ht="14.25" customHeight="1">
      <c r="A1613" s="656"/>
      <c r="B1613" s="405"/>
      <c r="C1613" s="405"/>
      <c r="D1613" s="405"/>
      <c r="E1613" s="405"/>
      <c r="F1613" s="657"/>
      <c r="G1613" s="583"/>
      <c r="H1613" s="405"/>
      <c r="I1613" s="405"/>
      <c r="J1613" s="405"/>
      <c r="K1613" s="405"/>
      <c r="L1613" s="405"/>
      <c r="M1613" s="405"/>
      <c r="N1613" s="405"/>
      <c r="O1613" s="405"/>
      <c r="P1613" s="405"/>
      <c r="Q1613" s="405"/>
      <c r="R1613" s="405"/>
      <c r="S1613" s="405"/>
      <c r="T1613" s="405"/>
      <c r="U1613" s="405"/>
      <c r="V1613" s="405"/>
      <c r="W1613" s="405"/>
      <c r="X1613" s="405"/>
      <c r="Y1613" s="405"/>
      <c r="Z1613" s="405"/>
    </row>
    <row r="1614" ht="14.25" customHeight="1">
      <c r="A1614" s="656"/>
      <c r="B1614" s="405"/>
      <c r="C1614" s="405"/>
      <c r="D1614" s="405"/>
      <c r="E1614" s="405"/>
      <c r="F1614" s="657"/>
      <c r="G1614" s="583"/>
      <c r="H1614" s="405"/>
      <c r="I1614" s="405"/>
      <c r="J1614" s="405"/>
      <c r="K1614" s="405"/>
      <c r="L1614" s="405"/>
      <c r="M1614" s="405"/>
      <c r="N1614" s="405"/>
      <c r="O1614" s="405"/>
      <c r="P1614" s="405"/>
      <c r="Q1614" s="405"/>
      <c r="R1614" s="405"/>
      <c r="S1614" s="405"/>
      <c r="T1614" s="405"/>
      <c r="U1614" s="405"/>
      <c r="V1614" s="405"/>
      <c r="W1614" s="405"/>
      <c r="X1614" s="405"/>
      <c r="Y1614" s="405"/>
      <c r="Z1614" s="405"/>
    </row>
    <row r="1615" ht="14.25" customHeight="1">
      <c r="A1615" s="656"/>
      <c r="B1615" s="405"/>
      <c r="C1615" s="405"/>
      <c r="D1615" s="405"/>
      <c r="E1615" s="405"/>
      <c r="F1615" s="657"/>
      <c r="G1615" s="583"/>
      <c r="H1615" s="405"/>
      <c r="I1615" s="405"/>
      <c r="J1615" s="405"/>
      <c r="K1615" s="405"/>
      <c r="L1615" s="405"/>
      <c r="M1615" s="405"/>
      <c r="N1615" s="405"/>
      <c r="O1615" s="405"/>
      <c r="P1615" s="405"/>
      <c r="Q1615" s="405"/>
      <c r="R1615" s="405"/>
      <c r="S1615" s="405"/>
      <c r="T1615" s="405"/>
      <c r="U1615" s="405"/>
      <c r="V1615" s="405"/>
      <c r="W1615" s="405"/>
      <c r="X1615" s="405"/>
      <c r="Y1615" s="405"/>
      <c r="Z1615" s="405"/>
    </row>
    <row r="1616" ht="14.25" customHeight="1">
      <c r="A1616" s="656"/>
      <c r="B1616" s="405"/>
      <c r="C1616" s="405"/>
      <c r="D1616" s="405"/>
      <c r="E1616" s="405"/>
      <c r="F1616" s="657"/>
      <c r="G1616" s="583"/>
      <c r="H1616" s="405"/>
      <c r="I1616" s="405"/>
      <c r="J1616" s="405"/>
      <c r="K1616" s="405"/>
      <c r="L1616" s="405"/>
      <c r="M1616" s="405"/>
      <c r="N1616" s="405"/>
      <c r="O1616" s="405"/>
      <c r="P1616" s="405"/>
      <c r="Q1616" s="405"/>
      <c r="R1616" s="405"/>
      <c r="S1616" s="405"/>
      <c r="T1616" s="405"/>
      <c r="U1616" s="405"/>
      <c r="V1616" s="405"/>
      <c r="W1616" s="405"/>
      <c r="X1616" s="405"/>
      <c r="Y1616" s="405"/>
      <c r="Z1616" s="405"/>
    </row>
    <row r="1617" ht="14.25" customHeight="1">
      <c r="A1617" s="656"/>
      <c r="B1617" s="405"/>
      <c r="C1617" s="405"/>
      <c r="D1617" s="405"/>
      <c r="E1617" s="405"/>
      <c r="F1617" s="657"/>
      <c r="G1617" s="583"/>
      <c r="H1617" s="405"/>
      <c r="I1617" s="405"/>
      <c r="J1617" s="405"/>
      <c r="K1617" s="405"/>
      <c r="L1617" s="405"/>
      <c r="M1617" s="405"/>
      <c r="N1617" s="405"/>
      <c r="O1617" s="405"/>
      <c r="P1617" s="405"/>
      <c r="Q1617" s="405"/>
      <c r="R1617" s="405"/>
      <c r="S1617" s="405"/>
      <c r="T1617" s="405"/>
      <c r="U1617" s="405"/>
      <c r="V1617" s="405"/>
      <c r="W1617" s="405"/>
      <c r="X1617" s="405"/>
      <c r="Y1617" s="405"/>
      <c r="Z1617" s="405"/>
    </row>
    <row r="1618" ht="14.25" customHeight="1">
      <c r="A1618" s="656"/>
      <c r="B1618" s="405"/>
      <c r="C1618" s="405"/>
      <c r="D1618" s="405"/>
      <c r="E1618" s="405"/>
      <c r="F1618" s="657"/>
      <c r="G1618" s="583"/>
      <c r="H1618" s="405"/>
      <c r="I1618" s="405"/>
      <c r="J1618" s="405"/>
      <c r="K1618" s="405"/>
      <c r="L1618" s="405"/>
      <c r="M1618" s="405"/>
      <c r="N1618" s="405"/>
      <c r="O1618" s="405"/>
      <c r="P1618" s="405"/>
      <c r="Q1618" s="405"/>
      <c r="R1618" s="405"/>
      <c r="S1618" s="405"/>
      <c r="T1618" s="405"/>
      <c r="U1618" s="405"/>
      <c r="V1618" s="405"/>
      <c r="W1618" s="405"/>
      <c r="X1618" s="405"/>
      <c r="Y1618" s="405"/>
      <c r="Z1618" s="405"/>
    </row>
    <row r="1619" ht="14.25" customHeight="1">
      <c r="A1619" s="656"/>
      <c r="B1619" s="405"/>
      <c r="C1619" s="405"/>
      <c r="D1619" s="405"/>
      <c r="E1619" s="405"/>
      <c r="F1619" s="657"/>
      <c r="G1619" s="583"/>
      <c r="H1619" s="405"/>
      <c r="I1619" s="405"/>
      <c r="J1619" s="405"/>
      <c r="K1619" s="405"/>
      <c r="L1619" s="405"/>
      <c r="M1619" s="405"/>
      <c r="N1619" s="405"/>
      <c r="O1619" s="405"/>
      <c r="P1619" s="405"/>
      <c r="Q1619" s="405"/>
      <c r="R1619" s="405"/>
      <c r="S1619" s="405"/>
      <c r="T1619" s="405"/>
      <c r="U1619" s="405"/>
      <c r="V1619" s="405"/>
      <c r="W1619" s="405"/>
      <c r="X1619" s="405"/>
      <c r="Y1619" s="405"/>
      <c r="Z1619" s="405"/>
    </row>
    <row r="1620" ht="14.25" customHeight="1">
      <c r="A1620" s="656"/>
      <c r="B1620" s="405"/>
      <c r="C1620" s="405"/>
      <c r="D1620" s="405"/>
      <c r="E1620" s="405"/>
      <c r="F1620" s="657"/>
      <c r="G1620" s="583"/>
      <c r="H1620" s="405"/>
      <c r="I1620" s="405"/>
      <c r="J1620" s="405"/>
      <c r="K1620" s="405"/>
      <c r="L1620" s="405"/>
      <c r="M1620" s="405"/>
      <c r="N1620" s="405"/>
      <c r="O1620" s="405"/>
      <c r="P1620" s="405"/>
      <c r="Q1620" s="405"/>
      <c r="R1620" s="405"/>
      <c r="S1620" s="405"/>
      <c r="T1620" s="405"/>
      <c r="U1620" s="405"/>
      <c r="V1620" s="405"/>
      <c r="W1620" s="405"/>
      <c r="X1620" s="405"/>
      <c r="Y1620" s="405"/>
      <c r="Z1620" s="405"/>
    </row>
    <row r="1621" ht="14.25" customHeight="1">
      <c r="A1621" s="656"/>
      <c r="B1621" s="405"/>
      <c r="C1621" s="405"/>
      <c r="D1621" s="405"/>
      <c r="E1621" s="405"/>
      <c r="F1621" s="657"/>
      <c r="G1621" s="583"/>
      <c r="H1621" s="405"/>
      <c r="I1621" s="405"/>
      <c r="J1621" s="405"/>
      <c r="K1621" s="405"/>
      <c r="L1621" s="405"/>
      <c r="M1621" s="405"/>
      <c r="N1621" s="405"/>
      <c r="O1621" s="405"/>
      <c r="P1621" s="405"/>
      <c r="Q1621" s="405"/>
      <c r="R1621" s="405"/>
      <c r="S1621" s="405"/>
      <c r="T1621" s="405"/>
      <c r="U1621" s="405"/>
      <c r="V1621" s="405"/>
      <c r="W1621" s="405"/>
      <c r="X1621" s="405"/>
      <c r="Y1621" s="405"/>
      <c r="Z1621" s="405"/>
    </row>
    <row r="1622" ht="14.25" customHeight="1">
      <c r="A1622" s="656"/>
      <c r="B1622" s="405"/>
      <c r="C1622" s="405"/>
      <c r="D1622" s="405"/>
      <c r="E1622" s="405"/>
      <c r="F1622" s="657"/>
      <c r="G1622" s="583"/>
      <c r="H1622" s="405"/>
      <c r="I1622" s="405"/>
      <c r="J1622" s="405"/>
      <c r="K1622" s="405"/>
      <c r="L1622" s="405"/>
      <c r="M1622" s="405"/>
      <c r="N1622" s="405"/>
      <c r="O1622" s="405"/>
      <c r="P1622" s="405"/>
      <c r="Q1622" s="405"/>
      <c r="R1622" s="405"/>
      <c r="S1622" s="405"/>
      <c r="T1622" s="405"/>
      <c r="U1622" s="405"/>
      <c r="V1622" s="405"/>
      <c r="W1622" s="405"/>
      <c r="X1622" s="405"/>
      <c r="Y1622" s="405"/>
      <c r="Z1622" s="405"/>
    </row>
    <row r="1623" ht="14.25" customHeight="1">
      <c r="A1623" s="656"/>
      <c r="B1623" s="405"/>
      <c r="C1623" s="405"/>
      <c r="D1623" s="405"/>
      <c r="E1623" s="405"/>
      <c r="F1623" s="657"/>
      <c r="G1623" s="583"/>
      <c r="H1623" s="405"/>
      <c r="I1623" s="405"/>
      <c r="J1623" s="405"/>
      <c r="K1623" s="405"/>
      <c r="L1623" s="405"/>
      <c r="M1623" s="405"/>
      <c r="N1623" s="405"/>
      <c r="O1623" s="405"/>
      <c r="P1623" s="405"/>
      <c r="Q1623" s="405"/>
      <c r="R1623" s="405"/>
      <c r="S1623" s="405"/>
      <c r="T1623" s="405"/>
      <c r="U1623" s="405"/>
      <c r="V1623" s="405"/>
      <c r="W1623" s="405"/>
      <c r="X1623" s="405"/>
      <c r="Y1623" s="405"/>
      <c r="Z1623" s="405"/>
    </row>
    <row r="1624" ht="14.25" customHeight="1">
      <c r="A1624" s="656"/>
      <c r="B1624" s="405"/>
      <c r="C1624" s="405"/>
      <c r="D1624" s="405"/>
      <c r="E1624" s="405"/>
      <c r="F1624" s="657"/>
      <c r="G1624" s="583"/>
      <c r="H1624" s="405"/>
      <c r="I1624" s="405"/>
      <c r="J1624" s="405"/>
      <c r="K1624" s="405"/>
      <c r="L1624" s="405"/>
      <c r="M1624" s="405"/>
      <c r="N1624" s="405"/>
      <c r="O1624" s="405"/>
      <c r="P1624" s="405"/>
      <c r="Q1624" s="405"/>
      <c r="R1624" s="405"/>
      <c r="S1624" s="405"/>
      <c r="T1624" s="405"/>
      <c r="U1624" s="405"/>
      <c r="V1624" s="405"/>
      <c r="W1624" s="405"/>
      <c r="X1624" s="405"/>
      <c r="Y1624" s="405"/>
      <c r="Z1624" s="405"/>
    </row>
    <row r="1625" ht="14.25" customHeight="1">
      <c r="A1625" s="656"/>
      <c r="B1625" s="405"/>
      <c r="C1625" s="405"/>
      <c r="D1625" s="405"/>
      <c r="E1625" s="405"/>
      <c r="F1625" s="657"/>
      <c r="G1625" s="583"/>
      <c r="H1625" s="405"/>
      <c r="I1625" s="405"/>
      <c r="J1625" s="405"/>
      <c r="K1625" s="405"/>
      <c r="L1625" s="405"/>
      <c r="M1625" s="405"/>
      <c r="N1625" s="405"/>
      <c r="O1625" s="405"/>
      <c r="P1625" s="405"/>
      <c r="Q1625" s="405"/>
      <c r="R1625" s="405"/>
      <c r="S1625" s="405"/>
      <c r="T1625" s="405"/>
      <c r="U1625" s="405"/>
      <c r="V1625" s="405"/>
      <c r="W1625" s="405"/>
      <c r="X1625" s="405"/>
      <c r="Y1625" s="405"/>
      <c r="Z1625" s="405"/>
    </row>
    <row r="1626" ht="14.25" customHeight="1">
      <c r="A1626" s="656"/>
      <c r="B1626" s="405"/>
      <c r="C1626" s="405"/>
      <c r="D1626" s="405"/>
      <c r="E1626" s="405"/>
      <c r="F1626" s="657"/>
      <c r="G1626" s="583"/>
      <c r="H1626" s="405"/>
      <c r="I1626" s="405"/>
      <c r="J1626" s="405"/>
      <c r="K1626" s="405"/>
      <c r="L1626" s="405"/>
      <c r="M1626" s="405"/>
      <c r="N1626" s="405"/>
      <c r="O1626" s="405"/>
      <c r="P1626" s="405"/>
      <c r="Q1626" s="405"/>
      <c r="R1626" s="405"/>
      <c r="S1626" s="405"/>
      <c r="T1626" s="405"/>
      <c r="U1626" s="405"/>
      <c r="V1626" s="405"/>
      <c r="W1626" s="405"/>
      <c r="X1626" s="405"/>
      <c r="Y1626" s="405"/>
      <c r="Z1626" s="405"/>
    </row>
    <row r="1627" ht="14.25" customHeight="1">
      <c r="A1627" s="656"/>
      <c r="B1627" s="405"/>
      <c r="C1627" s="405"/>
      <c r="D1627" s="405"/>
      <c r="E1627" s="405"/>
      <c r="F1627" s="657"/>
      <c r="G1627" s="583"/>
      <c r="H1627" s="405"/>
      <c r="I1627" s="405"/>
      <c r="J1627" s="405"/>
      <c r="K1627" s="405"/>
      <c r="L1627" s="405"/>
      <c r="M1627" s="405"/>
      <c r="N1627" s="405"/>
      <c r="O1627" s="405"/>
      <c r="P1627" s="405"/>
      <c r="Q1627" s="405"/>
      <c r="R1627" s="405"/>
      <c r="S1627" s="405"/>
      <c r="T1627" s="405"/>
      <c r="U1627" s="405"/>
      <c r="V1627" s="405"/>
      <c r="W1627" s="405"/>
      <c r="X1627" s="405"/>
      <c r="Y1627" s="405"/>
      <c r="Z1627" s="405"/>
    </row>
    <row r="1628" ht="14.25" customHeight="1">
      <c r="A1628" s="656"/>
      <c r="B1628" s="405"/>
      <c r="C1628" s="405"/>
      <c r="D1628" s="405"/>
      <c r="E1628" s="405"/>
      <c r="F1628" s="657"/>
      <c r="G1628" s="583"/>
      <c r="H1628" s="405"/>
      <c r="I1628" s="405"/>
      <c r="J1628" s="405"/>
      <c r="K1628" s="405"/>
      <c r="L1628" s="405"/>
      <c r="M1628" s="405"/>
      <c r="N1628" s="405"/>
      <c r="O1628" s="405"/>
      <c r="P1628" s="405"/>
      <c r="Q1628" s="405"/>
      <c r="R1628" s="405"/>
      <c r="S1628" s="405"/>
      <c r="T1628" s="405"/>
      <c r="U1628" s="405"/>
      <c r="V1628" s="405"/>
      <c r="W1628" s="405"/>
      <c r="X1628" s="405"/>
      <c r="Y1628" s="405"/>
      <c r="Z1628" s="405"/>
    </row>
    <row r="1629" ht="14.25" customHeight="1">
      <c r="A1629" s="656"/>
      <c r="B1629" s="405"/>
      <c r="C1629" s="405"/>
      <c r="D1629" s="405"/>
      <c r="E1629" s="405"/>
      <c r="F1629" s="657"/>
      <c r="G1629" s="583"/>
      <c r="H1629" s="405"/>
      <c r="I1629" s="405"/>
      <c r="J1629" s="405"/>
      <c r="K1629" s="405"/>
      <c r="L1629" s="405"/>
      <c r="M1629" s="405"/>
      <c r="N1629" s="405"/>
      <c r="O1629" s="405"/>
      <c r="P1629" s="405"/>
      <c r="Q1629" s="405"/>
      <c r="R1629" s="405"/>
      <c r="S1629" s="405"/>
      <c r="T1629" s="405"/>
      <c r="U1629" s="405"/>
      <c r="V1629" s="405"/>
      <c r="W1629" s="405"/>
      <c r="X1629" s="405"/>
      <c r="Y1629" s="405"/>
      <c r="Z1629" s="405"/>
    </row>
    <row r="1630" ht="14.25" customHeight="1">
      <c r="A1630" s="656"/>
      <c r="B1630" s="405"/>
      <c r="C1630" s="405"/>
      <c r="D1630" s="405"/>
      <c r="E1630" s="405"/>
      <c r="F1630" s="657"/>
      <c r="G1630" s="583"/>
      <c r="H1630" s="405"/>
      <c r="I1630" s="405"/>
      <c r="J1630" s="405"/>
      <c r="K1630" s="405"/>
      <c r="L1630" s="405"/>
      <c r="M1630" s="405"/>
      <c r="N1630" s="405"/>
      <c r="O1630" s="405"/>
      <c r="P1630" s="405"/>
      <c r="Q1630" s="405"/>
      <c r="R1630" s="405"/>
      <c r="S1630" s="405"/>
      <c r="T1630" s="405"/>
      <c r="U1630" s="405"/>
      <c r="V1630" s="405"/>
      <c r="W1630" s="405"/>
      <c r="X1630" s="405"/>
      <c r="Y1630" s="405"/>
      <c r="Z1630" s="405"/>
    </row>
    <row r="1631" ht="14.25" customHeight="1">
      <c r="A1631" s="656"/>
      <c r="B1631" s="405"/>
      <c r="C1631" s="405"/>
      <c r="D1631" s="405"/>
      <c r="E1631" s="405"/>
      <c r="F1631" s="657"/>
      <c r="G1631" s="583"/>
      <c r="H1631" s="405"/>
      <c r="I1631" s="405"/>
      <c r="J1631" s="405"/>
      <c r="K1631" s="405"/>
      <c r="L1631" s="405"/>
      <c r="M1631" s="405"/>
      <c r="N1631" s="405"/>
      <c r="O1631" s="405"/>
      <c r="P1631" s="405"/>
      <c r="Q1631" s="405"/>
      <c r="R1631" s="405"/>
      <c r="S1631" s="405"/>
      <c r="T1631" s="405"/>
      <c r="U1631" s="405"/>
      <c r="V1631" s="405"/>
      <c r="W1631" s="405"/>
      <c r="X1631" s="405"/>
      <c r="Y1631" s="405"/>
      <c r="Z1631" s="405"/>
    </row>
    <row r="1632" ht="14.25" customHeight="1">
      <c r="A1632" s="656"/>
      <c r="B1632" s="405"/>
      <c r="C1632" s="405"/>
      <c r="D1632" s="405"/>
      <c r="E1632" s="405"/>
      <c r="F1632" s="657"/>
      <c r="G1632" s="583"/>
      <c r="H1632" s="405"/>
      <c r="I1632" s="405"/>
      <c r="J1632" s="405"/>
      <c r="K1632" s="405"/>
      <c r="L1632" s="405"/>
      <c r="M1632" s="405"/>
      <c r="N1632" s="405"/>
      <c r="O1632" s="405"/>
      <c r="P1632" s="405"/>
      <c r="Q1632" s="405"/>
      <c r="R1632" s="405"/>
      <c r="S1632" s="405"/>
      <c r="T1632" s="405"/>
      <c r="U1632" s="405"/>
      <c r="V1632" s="405"/>
      <c r="W1632" s="405"/>
      <c r="X1632" s="405"/>
      <c r="Y1632" s="405"/>
      <c r="Z1632" s="405"/>
    </row>
    <row r="1633" ht="14.25" customHeight="1">
      <c r="A1633" s="656"/>
      <c r="B1633" s="405"/>
      <c r="C1633" s="405"/>
      <c r="D1633" s="405"/>
      <c r="E1633" s="405"/>
      <c r="F1633" s="657"/>
      <c r="G1633" s="583"/>
      <c r="H1633" s="405"/>
      <c r="I1633" s="405"/>
      <c r="J1633" s="405"/>
      <c r="K1633" s="405"/>
      <c r="L1633" s="405"/>
      <c r="M1633" s="405"/>
      <c r="N1633" s="405"/>
      <c r="O1633" s="405"/>
      <c r="P1633" s="405"/>
      <c r="Q1633" s="405"/>
      <c r="R1633" s="405"/>
      <c r="S1633" s="405"/>
      <c r="T1633" s="405"/>
      <c r="U1633" s="405"/>
      <c r="V1633" s="405"/>
      <c r="W1633" s="405"/>
      <c r="X1633" s="405"/>
      <c r="Y1633" s="405"/>
      <c r="Z1633" s="405"/>
    </row>
    <row r="1634" ht="14.25" customHeight="1">
      <c r="A1634" s="656"/>
      <c r="B1634" s="405"/>
      <c r="C1634" s="405"/>
      <c r="D1634" s="405"/>
      <c r="E1634" s="405"/>
      <c r="F1634" s="657"/>
      <c r="G1634" s="583"/>
      <c r="H1634" s="405"/>
      <c r="I1634" s="405"/>
      <c r="J1634" s="405"/>
      <c r="K1634" s="405"/>
      <c r="L1634" s="405"/>
      <c r="M1634" s="405"/>
      <c r="N1634" s="405"/>
      <c r="O1634" s="405"/>
      <c r="P1634" s="405"/>
      <c r="Q1634" s="405"/>
      <c r="R1634" s="405"/>
      <c r="S1634" s="405"/>
      <c r="T1634" s="405"/>
      <c r="U1634" s="405"/>
      <c r="V1634" s="405"/>
      <c r="W1634" s="405"/>
      <c r="X1634" s="405"/>
      <c r="Y1634" s="405"/>
      <c r="Z1634" s="405"/>
    </row>
    <row r="1635" ht="14.25" customHeight="1">
      <c r="A1635" s="656"/>
      <c r="B1635" s="405"/>
      <c r="C1635" s="405"/>
      <c r="D1635" s="405"/>
      <c r="E1635" s="405"/>
      <c r="F1635" s="657"/>
      <c r="G1635" s="583"/>
      <c r="H1635" s="405"/>
      <c r="I1635" s="405"/>
      <c r="J1635" s="405"/>
      <c r="K1635" s="405"/>
      <c r="L1635" s="405"/>
      <c r="M1635" s="405"/>
      <c r="N1635" s="405"/>
      <c r="O1635" s="405"/>
      <c r="P1635" s="405"/>
      <c r="Q1635" s="405"/>
      <c r="R1635" s="405"/>
      <c r="S1635" s="405"/>
      <c r="T1635" s="405"/>
      <c r="U1635" s="405"/>
      <c r="V1635" s="405"/>
      <c r="W1635" s="405"/>
      <c r="X1635" s="405"/>
      <c r="Y1635" s="405"/>
      <c r="Z1635" s="405"/>
    </row>
    <row r="1636" ht="14.25" customHeight="1">
      <c r="A1636" s="656"/>
      <c r="B1636" s="405"/>
      <c r="C1636" s="405"/>
      <c r="D1636" s="405"/>
      <c r="E1636" s="405"/>
      <c r="F1636" s="657"/>
      <c r="G1636" s="583"/>
      <c r="H1636" s="405"/>
      <c r="I1636" s="405"/>
      <c r="J1636" s="405"/>
      <c r="K1636" s="405"/>
      <c r="L1636" s="405"/>
      <c r="M1636" s="405"/>
      <c r="N1636" s="405"/>
      <c r="O1636" s="405"/>
      <c r="P1636" s="405"/>
      <c r="Q1636" s="405"/>
      <c r="R1636" s="405"/>
      <c r="S1636" s="405"/>
      <c r="T1636" s="405"/>
      <c r="U1636" s="405"/>
      <c r="V1636" s="405"/>
      <c r="W1636" s="405"/>
      <c r="X1636" s="405"/>
      <c r="Y1636" s="405"/>
      <c r="Z1636" s="405"/>
    </row>
    <row r="1637" ht="14.25" customHeight="1">
      <c r="A1637" s="656"/>
      <c r="B1637" s="405"/>
      <c r="C1637" s="405"/>
      <c r="D1637" s="405"/>
      <c r="E1637" s="405"/>
      <c r="F1637" s="657"/>
      <c r="G1637" s="583"/>
      <c r="H1637" s="405"/>
      <c r="I1637" s="405"/>
      <c r="J1637" s="405"/>
      <c r="K1637" s="405"/>
      <c r="L1637" s="405"/>
      <c r="M1637" s="405"/>
      <c r="N1637" s="405"/>
      <c r="O1637" s="405"/>
      <c r="P1637" s="405"/>
      <c r="Q1637" s="405"/>
      <c r="R1637" s="405"/>
      <c r="S1637" s="405"/>
      <c r="T1637" s="405"/>
      <c r="U1637" s="405"/>
      <c r="V1637" s="405"/>
      <c r="W1637" s="405"/>
      <c r="X1637" s="405"/>
      <c r="Y1637" s="405"/>
      <c r="Z1637" s="405"/>
    </row>
    <row r="1638" ht="14.25" customHeight="1">
      <c r="A1638" s="656"/>
      <c r="B1638" s="405"/>
      <c r="C1638" s="405"/>
      <c r="D1638" s="405"/>
      <c r="E1638" s="405"/>
      <c r="F1638" s="657"/>
      <c r="G1638" s="583"/>
      <c r="H1638" s="405"/>
      <c r="I1638" s="405"/>
      <c r="J1638" s="405"/>
      <c r="K1638" s="405"/>
      <c r="L1638" s="405"/>
      <c r="M1638" s="405"/>
      <c r="N1638" s="405"/>
      <c r="O1638" s="405"/>
      <c r="P1638" s="405"/>
      <c r="Q1638" s="405"/>
      <c r="R1638" s="405"/>
      <c r="S1638" s="405"/>
      <c r="T1638" s="405"/>
      <c r="U1638" s="405"/>
      <c r="V1638" s="405"/>
      <c r="W1638" s="405"/>
      <c r="X1638" s="405"/>
      <c r="Y1638" s="405"/>
      <c r="Z1638" s="405"/>
    </row>
    <row r="1639" ht="14.25" customHeight="1">
      <c r="A1639" s="656"/>
      <c r="B1639" s="405"/>
      <c r="C1639" s="405"/>
      <c r="D1639" s="405"/>
      <c r="E1639" s="405"/>
      <c r="F1639" s="657"/>
      <c r="G1639" s="583"/>
      <c r="H1639" s="405"/>
      <c r="I1639" s="405"/>
      <c r="J1639" s="405"/>
      <c r="K1639" s="405"/>
      <c r="L1639" s="405"/>
      <c r="M1639" s="405"/>
      <c r="N1639" s="405"/>
      <c r="O1639" s="405"/>
      <c r="P1639" s="405"/>
      <c r="Q1639" s="405"/>
      <c r="R1639" s="405"/>
      <c r="S1639" s="405"/>
      <c r="T1639" s="405"/>
      <c r="U1639" s="405"/>
      <c r="V1639" s="405"/>
      <c r="W1639" s="405"/>
      <c r="X1639" s="405"/>
      <c r="Y1639" s="405"/>
      <c r="Z1639" s="405"/>
    </row>
    <row r="1640" ht="14.25" customHeight="1">
      <c r="A1640" s="656"/>
      <c r="B1640" s="405"/>
      <c r="C1640" s="405"/>
      <c r="D1640" s="405"/>
      <c r="E1640" s="405"/>
      <c r="F1640" s="657"/>
      <c r="G1640" s="583"/>
      <c r="H1640" s="405"/>
      <c r="I1640" s="405"/>
      <c r="J1640" s="405"/>
      <c r="K1640" s="405"/>
      <c r="L1640" s="405"/>
      <c r="M1640" s="405"/>
      <c r="N1640" s="405"/>
      <c r="O1640" s="405"/>
      <c r="P1640" s="405"/>
      <c r="Q1640" s="405"/>
      <c r="R1640" s="405"/>
      <c r="S1640" s="405"/>
      <c r="T1640" s="405"/>
      <c r="U1640" s="405"/>
      <c r="V1640" s="405"/>
      <c r="W1640" s="405"/>
      <c r="X1640" s="405"/>
      <c r="Y1640" s="405"/>
      <c r="Z1640" s="405"/>
    </row>
    <row r="1641" ht="14.25" customHeight="1">
      <c r="A1641" s="656"/>
      <c r="B1641" s="405"/>
      <c r="C1641" s="405"/>
      <c r="D1641" s="405"/>
      <c r="E1641" s="405"/>
      <c r="F1641" s="657"/>
      <c r="G1641" s="583"/>
      <c r="H1641" s="405"/>
      <c r="I1641" s="405"/>
      <c r="J1641" s="405"/>
      <c r="K1641" s="405"/>
      <c r="L1641" s="405"/>
      <c r="M1641" s="405"/>
      <c r="N1641" s="405"/>
      <c r="O1641" s="405"/>
      <c r="P1641" s="405"/>
      <c r="Q1641" s="405"/>
      <c r="R1641" s="405"/>
      <c r="S1641" s="405"/>
      <c r="T1641" s="405"/>
      <c r="U1641" s="405"/>
      <c r="V1641" s="405"/>
      <c r="W1641" s="405"/>
      <c r="X1641" s="405"/>
      <c r="Y1641" s="405"/>
      <c r="Z1641" s="405"/>
    </row>
    <row r="1642" ht="14.25" customHeight="1">
      <c r="A1642" s="656"/>
      <c r="B1642" s="405"/>
      <c r="C1642" s="405"/>
      <c r="D1642" s="405"/>
      <c r="E1642" s="405"/>
      <c r="F1642" s="657"/>
      <c r="G1642" s="583"/>
      <c r="H1642" s="405"/>
      <c r="I1642" s="405"/>
      <c r="J1642" s="405"/>
      <c r="K1642" s="405"/>
      <c r="L1642" s="405"/>
      <c r="M1642" s="405"/>
      <c r="N1642" s="405"/>
      <c r="O1642" s="405"/>
      <c r="P1642" s="405"/>
      <c r="Q1642" s="405"/>
      <c r="R1642" s="405"/>
      <c r="S1642" s="405"/>
      <c r="T1642" s="405"/>
      <c r="U1642" s="405"/>
      <c r="V1642" s="405"/>
      <c r="W1642" s="405"/>
      <c r="X1642" s="405"/>
      <c r="Y1642" s="405"/>
      <c r="Z1642" s="405"/>
    </row>
    <row r="1643" ht="14.25" customHeight="1">
      <c r="A1643" s="656"/>
      <c r="B1643" s="405"/>
      <c r="C1643" s="405"/>
      <c r="D1643" s="405"/>
      <c r="E1643" s="405"/>
      <c r="F1643" s="657"/>
      <c r="G1643" s="583"/>
      <c r="H1643" s="405"/>
      <c r="I1643" s="405"/>
      <c r="J1643" s="405"/>
      <c r="K1643" s="405"/>
      <c r="L1643" s="405"/>
      <c r="M1643" s="405"/>
      <c r="N1643" s="405"/>
      <c r="O1643" s="405"/>
      <c r="P1643" s="405"/>
      <c r="Q1643" s="405"/>
      <c r="R1643" s="405"/>
      <c r="S1643" s="405"/>
      <c r="T1643" s="405"/>
      <c r="U1643" s="405"/>
      <c r="V1643" s="405"/>
      <c r="W1643" s="405"/>
      <c r="X1643" s="405"/>
      <c r="Y1643" s="405"/>
      <c r="Z1643" s="405"/>
    </row>
    <row r="1644" ht="14.25" customHeight="1">
      <c r="A1644" s="656"/>
      <c r="B1644" s="405"/>
      <c r="C1644" s="405"/>
      <c r="D1644" s="405"/>
      <c r="E1644" s="405"/>
      <c r="F1644" s="657"/>
      <c r="G1644" s="583"/>
      <c r="H1644" s="405"/>
      <c r="I1644" s="405"/>
      <c r="J1644" s="405"/>
      <c r="K1644" s="405"/>
      <c r="L1644" s="405"/>
      <c r="M1644" s="405"/>
      <c r="N1644" s="405"/>
      <c r="O1644" s="405"/>
      <c r="P1644" s="405"/>
      <c r="Q1644" s="405"/>
      <c r="R1644" s="405"/>
      <c r="S1644" s="405"/>
      <c r="T1644" s="405"/>
      <c r="U1644" s="405"/>
      <c r="V1644" s="405"/>
      <c r="W1644" s="405"/>
      <c r="X1644" s="405"/>
      <c r="Y1644" s="405"/>
      <c r="Z1644" s="405"/>
    </row>
    <row r="1645" ht="14.25" customHeight="1">
      <c r="A1645" s="656"/>
      <c r="B1645" s="405"/>
      <c r="C1645" s="405"/>
      <c r="D1645" s="405"/>
      <c r="E1645" s="405"/>
      <c r="F1645" s="657"/>
      <c r="G1645" s="583"/>
      <c r="H1645" s="405"/>
      <c r="I1645" s="405"/>
      <c r="J1645" s="405"/>
      <c r="K1645" s="405"/>
      <c r="L1645" s="405"/>
      <c r="M1645" s="405"/>
      <c r="N1645" s="405"/>
      <c r="O1645" s="405"/>
      <c r="P1645" s="405"/>
      <c r="Q1645" s="405"/>
      <c r="R1645" s="405"/>
      <c r="S1645" s="405"/>
      <c r="T1645" s="405"/>
      <c r="U1645" s="405"/>
      <c r="V1645" s="405"/>
      <c r="W1645" s="405"/>
      <c r="X1645" s="405"/>
      <c r="Y1645" s="405"/>
      <c r="Z1645" s="405"/>
    </row>
    <row r="1646" ht="14.25" customHeight="1">
      <c r="A1646" s="656"/>
      <c r="B1646" s="405"/>
      <c r="C1646" s="405"/>
      <c r="D1646" s="405"/>
      <c r="E1646" s="405"/>
      <c r="F1646" s="657"/>
      <c r="G1646" s="583"/>
      <c r="H1646" s="405"/>
      <c r="I1646" s="405"/>
      <c r="J1646" s="405"/>
      <c r="K1646" s="405"/>
      <c r="L1646" s="405"/>
      <c r="M1646" s="405"/>
      <c r="N1646" s="405"/>
      <c r="O1646" s="405"/>
      <c r="P1646" s="405"/>
      <c r="Q1646" s="405"/>
      <c r="R1646" s="405"/>
      <c r="S1646" s="405"/>
      <c r="T1646" s="405"/>
      <c r="U1646" s="405"/>
      <c r="V1646" s="405"/>
      <c r="W1646" s="405"/>
      <c r="X1646" s="405"/>
      <c r="Y1646" s="405"/>
      <c r="Z1646" s="405"/>
    </row>
    <row r="1647" ht="14.25" customHeight="1">
      <c r="A1647" s="656"/>
      <c r="B1647" s="405"/>
      <c r="C1647" s="405"/>
      <c r="D1647" s="405"/>
      <c r="E1647" s="405"/>
      <c r="F1647" s="657"/>
      <c r="G1647" s="583"/>
      <c r="H1647" s="405"/>
      <c r="I1647" s="405"/>
      <c r="J1647" s="405"/>
      <c r="K1647" s="405"/>
      <c r="L1647" s="405"/>
      <c r="M1647" s="405"/>
      <c r="N1647" s="405"/>
      <c r="O1647" s="405"/>
      <c r="P1647" s="405"/>
      <c r="Q1647" s="405"/>
      <c r="R1647" s="405"/>
      <c r="S1647" s="405"/>
      <c r="T1647" s="405"/>
      <c r="U1647" s="405"/>
      <c r="V1647" s="405"/>
      <c r="W1647" s="405"/>
      <c r="X1647" s="405"/>
      <c r="Y1647" s="405"/>
      <c r="Z1647" s="405"/>
    </row>
    <row r="1648" ht="14.25" customHeight="1">
      <c r="A1648" s="656"/>
      <c r="B1648" s="405"/>
      <c r="C1648" s="405"/>
      <c r="D1648" s="405"/>
      <c r="E1648" s="405"/>
      <c r="F1648" s="657"/>
      <c r="G1648" s="583"/>
      <c r="H1648" s="405"/>
      <c r="I1648" s="405"/>
      <c r="J1648" s="405"/>
      <c r="K1648" s="405"/>
      <c r="L1648" s="405"/>
      <c r="M1648" s="405"/>
      <c r="N1648" s="405"/>
      <c r="O1648" s="405"/>
      <c r="P1648" s="405"/>
      <c r="Q1648" s="405"/>
      <c r="R1648" s="405"/>
      <c r="S1648" s="405"/>
      <c r="T1648" s="405"/>
      <c r="U1648" s="405"/>
      <c r="V1648" s="405"/>
      <c r="W1648" s="405"/>
      <c r="X1648" s="405"/>
      <c r="Y1648" s="405"/>
      <c r="Z1648" s="405"/>
    </row>
    <row r="1649" ht="14.25" customHeight="1">
      <c r="A1649" s="656"/>
      <c r="B1649" s="405"/>
      <c r="C1649" s="405"/>
      <c r="D1649" s="405"/>
      <c r="E1649" s="405"/>
      <c r="F1649" s="657"/>
      <c r="G1649" s="583"/>
      <c r="H1649" s="405"/>
      <c r="I1649" s="405"/>
      <c r="J1649" s="405"/>
      <c r="K1649" s="405"/>
      <c r="L1649" s="405"/>
      <c r="M1649" s="405"/>
      <c r="N1649" s="405"/>
      <c r="O1649" s="405"/>
      <c r="P1649" s="405"/>
      <c r="Q1649" s="405"/>
      <c r="R1649" s="405"/>
      <c r="S1649" s="405"/>
      <c r="T1649" s="405"/>
      <c r="U1649" s="405"/>
      <c r="V1649" s="405"/>
      <c r="W1649" s="405"/>
      <c r="X1649" s="405"/>
      <c r="Y1649" s="405"/>
      <c r="Z1649" s="405"/>
    </row>
    <row r="1650" ht="14.25" customHeight="1">
      <c r="A1650" s="656"/>
      <c r="B1650" s="405"/>
      <c r="C1650" s="405"/>
      <c r="D1650" s="405"/>
      <c r="E1650" s="405"/>
      <c r="F1650" s="657"/>
      <c r="G1650" s="583"/>
      <c r="H1650" s="405"/>
      <c r="I1650" s="405"/>
      <c r="J1650" s="405"/>
      <c r="K1650" s="405"/>
      <c r="L1650" s="405"/>
      <c r="M1650" s="405"/>
      <c r="N1650" s="405"/>
      <c r="O1650" s="405"/>
      <c r="P1650" s="405"/>
      <c r="Q1650" s="405"/>
      <c r="R1650" s="405"/>
      <c r="S1650" s="405"/>
      <c r="T1650" s="405"/>
      <c r="U1650" s="405"/>
      <c r="V1650" s="405"/>
      <c r="W1650" s="405"/>
      <c r="X1650" s="405"/>
      <c r="Y1650" s="405"/>
      <c r="Z1650" s="405"/>
    </row>
    <row r="1651" ht="14.25" customHeight="1">
      <c r="A1651" s="656"/>
      <c r="B1651" s="405"/>
      <c r="C1651" s="405"/>
      <c r="D1651" s="405"/>
      <c r="E1651" s="405"/>
      <c r="F1651" s="657"/>
      <c r="G1651" s="583"/>
      <c r="H1651" s="405"/>
      <c r="I1651" s="405"/>
      <c r="J1651" s="405"/>
      <c r="K1651" s="405"/>
      <c r="L1651" s="405"/>
      <c r="M1651" s="405"/>
      <c r="N1651" s="405"/>
      <c r="O1651" s="405"/>
      <c r="P1651" s="405"/>
      <c r="Q1651" s="405"/>
      <c r="R1651" s="405"/>
      <c r="S1651" s="405"/>
      <c r="T1651" s="405"/>
      <c r="U1651" s="405"/>
      <c r="V1651" s="405"/>
      <c r="W1651" s="405"/>
      <c r="X1651" s="405"/>
      <c r="Y1651" s="405"/>
      <c r="Z1651" s="405"/>
    </row>
    <row r="1652" ht="14.25" customHeight="1">
      <c r="A1652" s="656"/>
      <c r="B1652" s="405"/>
      <c r="C1652" s="405"/>
      <c r="D1652" s="405"/>
      <c r="E1652" s="405"/>
      <c r="F1652" s="657"/>
      <c r="G1652" s="583"/>
      <c r="H1652" s="405"/>
      <c r="I1652" s="405"/>
      <c r="J1652" s="405"/>
      <c r="K1652" s="405"/>
      <c r="L1652" s="405"/>
      <c r="M1652" s="405"/>
      <c r="N1652" s="405"/>
      <c r="O1652" s="405"/>
      <c r="P1652" s="405"/>
      <c r="Q1652" s="405"/>
      <c r="R1652" s="405"/>
      <c r="S1652" s="405"/>
      <c r="T1652" s="405"/>
      <c r="U1652" s="405"/>
      <c r="V1652" s="405"/>
      <c r="W1652" s="405"/>
      <c r="X1652" s="405"/>
      <c r="Y1652" s="405"/>
      <c r="Z1652" s="405"/>
    </row>
    <row r="1653" ht="14.25" customHeight="1">
      <c r="A1653" s="656"/>
      <c r="B1653" s="405"/>
      <c r="C1653" s="405"/>
      <c r="D1653" s="405"/>
      <c r="E1653" s="405"/>
      <c r="F1653" s="657"/>
      <c r="G1653" s="583"/>
      <c r="H1653" s="405"/>
      <c r="I1653" s="405"/>
      <c r="J1653" s="405"/>
      <c r="K1653" s="405"/>
      <c r="L1653" s="405"/>
      <c r="M1653" s="405"/>
      <c r="N1653" s="405"/>
      <c r="O1653" s="405"/>
      <c r="P1653" s="405"/>
      <c r="Q1653" s="405"/>
      <c r="R1653" s="405"/>
      <c r="S1653" s="405"/>
      <c r="T1653" s="405"/>
      <c r="U1653" s="405"/>
      <c r="V1653" s="405"/>
      <c r="W1653" s="405"/>
      <c r="X1653" s="405"/>
      <c r="Y1653" s="405"/>
      <c r="Z1653" s="405"/>
    </row>
    <row r="1654" ht="14.25" customHeight="1">
      <c r="A1654" s="656"/>
      <c r="B1654" s="405"/>
      <c r="C1654" s="405"/>
      <c r="D1654" s="405"/>
      <c r="E1654" s="405"/>
      <c r="F1654" s="657"/>
      <c r="G1654" s="583"/>
      <c r="H1654" s="405"/>
      <c r="I1654" s="405"/>
      <c r="J1654" s="405"/>
      <c r="K1654" s="405"/>
      <c r="L1654" s="405"/>
      <c r="M1654" s="405"/>
      <c r="N1654" s="405"/>
      <c r="O1654" s="405"/>
      <c r="P1654" s="405"/>
      <c r="Q1654" s="405"/>
      <c r="R1654" s="405"/>
      <c r="S1654" s="405"/>
      <c r="T1654" s="405"/>
      <c r="U1654" s="405"/>
      <c r="V1654" s="405"/>
      <c r="W1654" s="405"/>
      <c r="X1654" s="405"/>
      <c r="Y1654" s="405"/>
      <c r="Z1654" s="405"/>
    </row>
    <row r="1655" ht="14.25" customHeight="1">
      <c r="A1655" s="656"/>
      <c r="B1655" s="405"/>
      <c r="C1655" s="405"/>
      <c r="D1655" s="405"/>
      <c r="E1655" s="405"/>
      <c r="F1655" s="657"/>
      <c r="G1655" s="583"/>
      <c r="H1655" s="405"/>
      <c r="I1655" s="405"/>
      <c r="J1655" s="405"/>
      <c r="K1655" s="405"/>
      <c r="L1655" s="405"/>
      <c r="M1655" s="405"/>
      <c r="N1655" s="405"/>
      <c r="O1655" s="405"/>
      <c r="P1655" s="405"/>
      <c r="Q1655" s="405"/>
      <c r="R1655" s="405"/>
      <c r="S1655" s="405"/>
      <c r="T1655" s="405"/>
      <c r="U1655" s="405"/>
      <c r="V1655" s="405"/>
      <c r="W1655" s="405"/>
      <c r="X1655" s="405"/>
      <c r="Y1655" s="405"/>
      <c r="Z1655" s="405"/>
    </row>
    <row r="1656" ht="14.25" customHeight="1">
      <c r="A1656" s="656"/>
      <c r="B1656" s="405"/>
      <c r="C1656" s="405"/>
      <c r="D1656" s="405"/>
      <c r="E1656" s="405"/>
      <c r="F1656" s="657"/>
      <c r="G1656" s="583"/>
      <c r="H1656" s="405"/>
      <c r="I1656" s="405"/>
      <c r="J1656" s="405"/>
      <c r="K1656" s="405"/>
      <c r="L1656" s="405"/>
      <c r="M1656" s="405"/>
      <c r="N1656" s="405"/>
      <c r="O1656" s="405"/>
      <c r="P1656" s="405"/>
      <c r="Q1656" s="405"/>
      <c r="R1656" s="405"/>
      <c r="S1656" s="405"/>
      <c r="T1656" s="405"/>
      <c r="U1656" s="405"/>
      <c r="V1656" s="405"/>
      <c r="W1656" s="405"/>
      <c r="X1656" s="405"/>
      <c r="Y1656" s="405"/>
      <c r="Z1656" s="405"/>
    </row>
    <row r="1657" ht="14.25" customHeight="1">
      <c r="A1657" s="656"/>
      <c r="B1657" s="405"/>
      <c r="C1657" s="405"/>
      <c r="D1657" s="405"/>
      <c r="E1657" s="405"/>
      <c r="F1657" s="657"/>
      <c r="G1657" s="583"/>
      <c r="H1657" s="405"/>
      <c r="I1657" s="405"/>
      <c r="J1657" s="405"/>
      <c r="K1657" s="405"/>
      <c r="L1657" s="405"/>
      <c r="M1657" s="405"/>
      <c r="N1657" s="405"/>
      <c r="O1657" s="405"/>
      <c r="P1657" s="405"/>
      <c r="Q1657" s="405"/>
      <c r="R1657" s="405"/>
      <c r="S1657" s="405"/>
      <c r="T1657" s="405"/>
      <c r="U1657" s="405"/>
      <c r="V1657" s="405"/>
      <c r="W1657" s="405"/>
      <c r="X1657" s="405"/>
      <c r="Y1657" s="405"/>
      <c r="Z1657" s="405"/>
    </row>
    <row r="1658" ht="14.25" customHeight="1">
      <c r="A1658" s="656"/>
      <c r="B1658" s="405"/>
      <c r="C1658" s="405"/>
      <c r="D1658" s="405"/>
      <c r="E1658" s="405"/>
      <c r="F1658" s="657"/>
      <c r="G1658" s="583"/>
      <c r="H1658" s="405"/>
      <c r="I1658" s="405"/>
      <c r="J1658" s="405"/>
      <c r="K1658" s="405"/>
      <c r="L1658" s="405"/>
      <c r="M1658" s="405"/>
      <c r="N1658" s="405"/>
      <c r="O1658" s="405"/>
      <c r="P1658" s="405"/>
      <c r="Q1658" s="405"/>
      <c r="R1658" s="405"/>
      <c r="S1658" s="405"/>
      <c r="T1658" s="405"/>
      <c r="U1658" s="405"/>
      <c r="V1658" s="405"/>
      <c r="W1658" s="405"/>
      <c r="X1658" s="405"/>
      <c r="Y1658" s="405"/>
      <c r="Z1658" s="405"/>
    </row>
    <row r="1659" ht="14.25" customHeight="1">
      <c r="A1659" s="656"/>
      <c r="B1659" s="405"/>
      <c r="C1659" s="405"/>
      <c r="D1659" s="405"/>
      <c r="E1659" s="405"/>
      <c r="F1659" s="657"/>
      <c r="G1659" s="583"/>
      <c r="H1659" s="405"/>
      <c r="I1659" s="405"/>
      <c r="J1659" s="405"/>
      <c r="K1659" s="405"/>
      <c r="L1659" s="405"/>
      <c r="M1659" s="405"/>
      <c r="N1659" s="405"/>
      <c r="O1659" s="405"/>
      <c r="P1659" s="405"/>
      <c r="Q1659" s="405"/>
      <c r="R1659" s="405"/>
      <c r="S1659" s="405"/>
      <c r="T1659" s="405"/>
      <c r="U1659" s="405"/>
      <c r="V1659" s="405"/>
      <c r="W1659" s="405"/>
      <c r="X1659" s="405"/>
      <c r="Y1659" s="405"/>
      <c r="Z1659" s="405"/>
    </row>
    <row r="1660" ht="14.25" customHeight="1">
      <c r="A1660" s="656"/>
      <c r="B1660" s="405"/>
      <c r="C1660" s="405"/>
      <c r="D1660" s="405"/>
      <c r="E1660" s="405"/>
      <c r="F1660" s="657"/>
      <c r="G1660" s="583"/>
      <c r="H1660" s="405"/>
      <c r="I1660" s="405"/>
      <c r="J1660" s="405"/>
      <c r="K1660" s="405"/>
      <c r="L1660" s="405"/>
      <c r="M1660" s="405"/>
      <c r="N1660" s="405"/>
      <c r="O1660" s="405"/>
      <c r="P1660" s="405"/>
      <c r="Q1660" s="405"/>
      <c r="R1660" s="405"/>
      <c r="S1660" s="405"/>
      <c r="T1660" s="405"/>
      <c r="U1660" s="405"/>
      <c r="V1660" s="405"/>
      <c r="W1660" s="405"/>
      <c r="X1660" s="405"/>
      <c r="Y1660" s="405"/>
      <c r="Z1660" s="405"/>
    </row>
    <row r="1661" ht="14.25" customHeight="1">
      <c r="A1661" s="656"/>
      <c r="B1661" s="405"/>
      <c r="C1661" s="405"/>
      <c r="D1661" s="405"/>
      <c r="E1661" s="405"/>
      <c r="F1661" s="657"/>
      <c r="G1661" s="583"/>
      <c r="H1661" s="405"/>
      <c r="I1661" s="405"/>
      <c r="J1661" s="405"/>
      <c r="K1661" s="405"/>
      <c r="L1661" s="405"/>
      <c r="M1661" s="405"/>
      <c r="N1661" s="405"/>
      <c r="O1661" s="405"/>
      <c r="P1661" s="405"/>
      <c r="Q1661" s="405"/>
      <c r="R1661" s="405"/>
      <c r="S1661" s="405"/>
      <c r="T1661" s="405"/>
      <c r="U1661" s="405"/>
      <c r="V1661" s="405"/>
      <c r="W1661" s="405"/>
      <c r="X1661" s="405"/>
      <c r="Y1661" s="405"/>
      <c r="Z1661" s="405"/>
    </row>
    <row r="1662" ht="14.25" customHeight="1">
      <c r="A1662" s="656"/>
      <c r="B1662" s="405"/>
      <c r="C1662" s="405"/>
      <c r="D1662" s="405"/>
      <c r="E1662" s="405"/>
      <c r="F1662" s="657"/>
      <c r="G1662" s="583"/>
      <c r="H1662" s="405"/>
      <c r="I1662" s="405"/>
      <c r="J1662" s="405"/>
      <c r="K1662" s="405"/>
      <c r="L1662" s="405"/>
      <c r="M1662" s="405"/>
      <c r="N1662" s="405"/>
      <c r="O1662" s="405"/>
      <c r="P1662" s="405"/>
      <c r="Q1662" s="405"/>
      <c r="R1662" s="405"/>
      <c r="S1662" s="405"/>
      <c r="T1662" s="405"/>
      <c r="U1662" s="405"/>
      <c r="V1662" s="405"/>
      <c r="W1662" s="405"/>
      <c r="X1662" s="405"/>
      <c r="Y1662" s="405"/>
      <c r="Z1662" s="405"/>
    </row>
    <row r="1663" ht="14.25" customHeight="1">
      <c r="A1663" s="656"/>
      <c r="B1663" s="405"/>
      <c r="C1663" s="405"/>
      <c r="D1663" s="405"/>
      <c r="E1663" s="405"/>
      <c r="F1663" s="657"/>
      <c r="G1663" s="583"/>
      <c r="H1663" s="405"/>
      <c r="I1663" s="405"/>
      <c r="J1663" s="405"/>
      <c r="K1663" s="405"/>
      <c r="L1663" s="405"/>
      <c r="M1663" s="405"/>
      <c r="N1663" s="405"/>
      <c r="O1663" s="405"/>
      <c r="P1663" s="405"/>
      <c r="Q1663" s="405"/>
      <c r="R1663" s="405"/>
      <c r="S1663" s="405"/>
      <c r="T1663" s="405"/>
      <c r="U1663" s="405"/>
      <c r="V1663" s="405"/>
      <c r="W1663" s="405"/>
      <c r="X1663" s="405"/>
      <c r="Y1663" s="405"/>
      <c r="Z1663" s="405"/>
    </row>
    <row r="1664" ht="14.25" customHeight="1">
      <c r="A1664" s="656"/>
      <c r="B1664" s="405"/>
      <c r="C1664" s="405"/>
      <c r="D1664" s="405"/>
      <c r="E1664" s="405"/>
      <c r="F1664" s="657"/>
      <c r="G1664" s="583"/>
      <c r="H1664" s="405"/>
      <c r="I1664" s="405"/>
      <c r="J1664" s="405"/>
      <c r="K1664" s="405"/>
      <c r="L1664" s="405"/>
      <c r="M1664" s="405"/>
      <c r="N1664" s="405"/>
      <c r="O1664" s="405"/>
      <c r="P1664" s="405"/>
      <c r="Q1664" s="405"/>
      <c r="R1664" s="405"/>
      <c r="S1664" s="405"/>
      <c r="T1664" s="405"/>
      <c r="U1664" s="405"/>
      <c r="V1664" s="405"/>
      <c r="W1664" s="405"/>
      <c r="X1664" s="405"/>
      <c r="Y1664" s="405"/>
      <c r="Z1664" s="405"/>
    </row>
    <row r="1665" ht="14.25" customHeight="1">
      <c r="A1665" s="656"/>
      <c r="B1665" s="405"/>
      <c r="C1665" s="405"/>
      <c r="D1665" s="405"/>
      <c r="E1665" s="405"/>
      <c r="F1665" s="657"/>
      <c r="G1665" s="583"/>
      <c r="H1665" s="405"/>
      <c r="I1665" s="405"/>
      <c r="J1665" s="405"/>
      <c r="K1665" s="405"/>
      <c r="L1665" s="405"/>
      <c r="M1665" s="405"/>
      <c r="N1665" s="405"/>
      <c r="O1665" s="405"/>
      <c r="P1665" s="405"/>
      <c r="Q1665" s="405"/>
      <c r="R1665" s="405"/>
      <c r="S1665" s="405"/>
      <c r="T1665" s="405"/>
      <c r="U1665" s="405"/>
      <c r="V1665" s="405"/>
      <c r="W1665" s="405"/>
      <c r="X1665" s="405"/>
      <c r="Y1665" s="405"/>
      <c r="Z1665" s="405"/>
    </row>
    <row r="1666" ht="14.25" customHeight="1">
      <c r="A1666" s="656"/>
      <c r="B1666" s="405"/>
      <c r="C1666" s="405"/>
      <c r="D1666" s="405"/>
      <c r="E1666" s="405"/>
      <c r="F1666" s="657"/>
      <c r="G1666" s="583"/>
      <c r="H1666" s="405"/>
      <c r="I1666" s="405"/>
      <c r="J1666" s="405"/>
      <c r="K1666" s="405"/>
      <c r="L1666" s="405"/>
      <c r="M1666" s="405"/>
      <c r="N1666" s="405"/>
      <c r="O1666" s="405"/>
      <c r="P1666" s="405"/>
      <c r="Q1666" s="405"/>
      <c r="R1666" s="405"/>
      <c r="S1666" s="405"/>
      <c r="T1666" s="405"/>
      <c r="U1666" s="405"/>
      <c r="V1666" s="405"/>
      <c r="W1666" s="405"/>
      <c r="X1666" s="405"/>
      <c r="Y1666" s="405"/>
      <c r="Z1666" s="405"/>
    </row>
    <row r="1667" ht="14.25" customHeight="1">
      <c r="A1667" s="656"/>
      <c r="B1667" s="405"/>
      <c r="C1667" s="405"/>
      <c r="D1667" s="405"/>
      <c r="E1667" s="405"/>
      <c r="F1667" s="657"/>
      <c r="G1667" s="583"/>
      <c r="H1667" s="405"/>
      <c r="I1667" s="405"/>
      <c r="J1667" s="405"/>
      <c r="K1667" s="405"/>
      <c r="L1667" s="405"/>
      <c r="M1667" s="405"/>
      <c r="N1667" s="405"/>
      <c r="O1667" s="405"/>
      <c r="P1667" s="405"/>
      <c r="Q1667" s="405"/>
      <c r="R1667" s="405"/>
      <c r="S1667" s="405"/>
      <c r="T1667" s="405"/>
      <c r="U1667" s="405"/>
      <c r="V1667" s="405"/>
      <c r="W1667" s="405"/>
      <c r="X1667" s="405"/>
      <c r="Y1667" s="405"/>
      <c r="Z1667" s="405"/>
    </row>
    <row r="1668" ht="14.25" customHeight="1">
      <c r="A1668" s="656"/>
      <c r="B1668" s="405"/>
      <c r="C1668" s="405"/>
      <c r="D1668" s="405"/>
      <c r="E1668" s="405"/>
      <c r="F1668" s="657"/>
      <c r="G1668" s="583"/>
      <c r="H1668" s="405"/>
      <c r="I1668" s="405"/>
      <c r="J1668" s="405"/>
      <c r="K1668" s="405"/>
      <c r="L1668" s="405"/>
      <c r="M1668" s="405"/>
      <c r="N1668" s="405"/>
      <c r="O1668" s="405"/>
      <c r="P1668" s="405"/>
      <c r="Q1668" s="405"/>
      <c r="R1668" s="405"/>
      <c r="S1668" s="405"/>
      <c r="T1668" s="405"/>
      <c r="U1668" s="405"/>
      <c r="V1668" s="405"/>
      <c r="W1668" s="405"/>
      <c r="X1668" s="405"/>
      <c r="Y1668" s="405"/>
      <c r="Z1668" s="405"/>
    </row>
    <row r="1669" ht="14.25" customHeight="1">
      <c r="A1669" s="656"/>
      <c r="B1669" s="405"/>
      <c r="C1669" s="405"/>
      <c r="D1669" s="405"/>
      <c r="E1669" s="405"/>
      <c r="F1669" s="657"/>
      <c r="G1669" s="583"/>
      <c r="H1669" s="405"/>
      <c r="I1669" s="405"/>
      <c r="J1669" s="405"/>
      <c r="K1669" s="405"/>
      <c r="L1669" s="405"/>
      <c r="M1669" s="405"/>
      <c r="N1669" s="405"/>
      <c r="O1669" s="405"/>
      <c r="P1669" s="405"/>
      <c r="Q1669" s="405"/>
      <c r="R1669" s="405"/>
      <c r="S1669" s="405"/>
      <c r="T1669" s="405"/>
      <c r="U1669" s="405"/>
      <c r="V1669" s="405"/>
      <c r="W1669" s="405"/>
      <c r="X1669" s="405"/>
      <c r="Y1669" s="405"/>
      <c r="Z1669" s="405"/>
    </row>
    <row r="1670" ht="14.25" customHeight="1">
      <c r="A1670" s="656"/>
      <c r="B1670" s="405"/>
      <c r="C1670" s="405"/>
      <c r="D1670" s="405"/>
      <c r="E1670" s="405"/>
      <c r="F1670" s="657"/>
      <c r="G1670" s="583"/>
      <c r="H1670" s="405"/>
      <c r="I1670" s="405"/>
      <c r="J1670" s="405"/>
      <c r="K1670" s="405"/>
      <c r="L1670" s="405"/>
      <c r="M1670" s="405"/>
      <c r="N1670" s="405"/>
      <c r="O1670" s="405"/>
      <c r="P1670" s="405"/>
      <c r="Q1670" s="405"/>
      <c r="R1670" s="405"/>
      <c r="S1670" s="405"/>
      <c r="T1670" s="405"/>
      <c r="U1670" s="405"/>
      <c r="V1670" s="405"/>
      <c r="W1670" s="405"/>
      <c r="X1670" s="405"/>
      <c r="Y1670" s="405"/>
      <c r="Z1670" s="405"/>
    </row>
    <row r="1671" ht="14.25" customHeight="1">
      <c r="A1671" s="656"/>
      <c r="B1671" s="405"/>
      <c r="C1671" s="405"/>
      <c r="D1671" s="405"/>
      <c r="E1671" s="405"/>
      <c r="F1671" s="657"/>
      <c r="G1671" s="583"/>
      <c r="H1671" s="405"/>
      <c r="I1671" s="405"/>
      <c r="J1671" s="405"/>
      <c r="K1671" s="405"/>
      <c r="L1671" s="405"/>
      <c r="M1671" s="405"/>
      <c r="N1671" s="405"/>
      <c r="O1671" s="405"/>
      <c r="P1671" s="405"/>
      <c r="Q1671" s="405"/>
      <c r="R1671" s="405"/>
      <c r="S1671" s="405"/>
      <c r="T1671" s="405"/>
      <c r="U1671" s="405"/>
      <c r="V1671" s="405"/>
      <c r="W1671" s="405"/>
      <c r="X1671" s="405"/>
      <c r="Y1671" s="405"/>
      <c r="Z1671" s="405"/>
    </row>
    <row r="1672" ht="14.25" customHeight="1">
      <c r="A1672" s="656"/>
      <c r="B1672" s="405"/>
      <c r="C1672" s="405"/>
      <c r="D1672" s="405"/>
      <c r="E1672" s="405"/>
      <c r="F1672" s="657"/>
      <c r="G1672" s="583"/>
      <c r="H1672" s="405"/>
      <c r="I1672" s="405"/>
      <c r="J1672" s="405"/>
      <c r="K1672" s="405"/>
      <c r="L1672" s="405"/>
      <c r="M1672" s="405"/>
      <c r="N1672" s="405"/>
      <c r="O1672" s="405"/>
      <c r="P1672" s="405"/>
      <c r="Q1672" s="405"/>
      <c r="R1672" s="405"/>
      <c r="S1672" s="405"/>
      <c r="T1672" s="405"/>
      <c r="U1672" s="405"/>
      <c r="V1672" s="405"/>
      <c r="W1672" s="405"/>
      <c r="X1672" s="405"/>
      <c r="Y1672" s="405"/>
      <c r="Z1672" s="405"/>
    </row>
    <row r="1673" ht="14.25" customHeight="1">
      <c r="A1673" s="656"/>
      <c r="B1673" s="405"/>
      <c r="C1673" s="405"/>
      <c r="D1673" s="405"/>
      <c r="E1673" s="405"/>
      <c r="F1673" s="657"/>
      <c r="G1673" s="583"/>
      <c r="H1673" s="405"/>
      <c r="I1673" s="405"/>
      <c r="J1673" s="405"/>
      <c r="K1673" s="405"/>
      <c r="L1673" s="405"/>
      <c r="M1673" s="405"/>
      <c r="N1673" s="405"/>
      <c r="O1673" s="405"/>
      <c r="P1673" s="405"/>
      <c r="Q1673" s="405"/>
      <c r="R1673" s="405"/>
      <c r="S1673" s="405"/>
      <c r="T1673" s="405"/>
      <c r="U1673" s="405"/>
      <c r="V1673" s="405"/>
      <c r="W1673" s="405"/>
      <c r="X1673" s="405"/>
      <c r="Y1673" s="405"/>
      <c r="Z1673" s="405"/>
    </row>
    <row r="1674" ht="14.25" customHeight="1">
      <c r="A1674" s="656"/>
      <c r="B1674" s="405"/>
      <c r="C1674" s="405"/>
      <c r="D1674" s="405"/>
      <c r="E1674" s="405"/>
      <c r="F1674" s="657"/>
      <c r="G1674" s="583"/>
      <c r="H1674" s="405"/>
      <c r="I1674" s="405"/>
      <c r="J1674" s="405"/>
      <c r="K1674" s="405"/>
      <c r="L1674" s="405"/>
      <c r="M1674" s="405"/>
      <c r="N1674" s="405"/>
      <c r="O1674" s="405"/>
      <c r="P1674" s="405"/>
      <c r="Q1674" s="405"/>
      <c r="R1674" s="405"/>
      <c r="S1674" s="405"/>
      <c r="T1674" s="405"/>
      <c r="U1674" s="405"/>
      <c r="V1674" s="405"/>
      <c r="W1674" s="405"/>
      <c r="X1674" s="405"/>
      <c r="Y1674" s="405"/>
      <c r="Z1674" s="405"/>
    </row>
    <row r="1675" ht="14.25" customHeight="1">
      <c r="A1675" s="656"/>
      <c r="B1675" s="405"/>
      <c r="C1675" s="405"/>
      <c r="D1675" s="405"/>
      <c r="E1675" s="405"/>
      <c r="F1675" s="657"/>
      <c r="G1675" s="583"/>
      <c r="H1675" s="405"/>
      <c r="I1675" s="405"/>
      <c r="J1675" s="405"/>
      <c r="K1675" s="405"/>
      <c r="L1675" s="405"/>
      <c r="M1675" s="405"/>
      <c r="N1675" s="405"/>
      <c r="O1675" s="405"/>
      <c r="P1675" s="405"/>
      <c r="Q1675" s="405"/>
      <c r="R1675" s="405"/>
      <c r="S1675" s="405"/>
      <c r="T1675" s="405"/>
      <c r="U1675" s="405"/>
      <c r="V1675" s="405"/>
      <c r="W1675" s="405"/>
      <c r="X1675" s="405"/>
      <c r="Y1675" s="405"/>
      <c r="Z1675" s="405"/>
    </row>
    <row r="1676" ht="14.25" customHeight="1">
      <c r="A1676" s="656"/>
      <c r="B1676" s="405"/>
      <c r="C1676" s="405"/>
      <c r="D1676" s="405"/>
      <c r="E1676" s="405"/>
      <c r="F1676" s="657"/>
      <c r="G1676" s="583"/>
      <c r="H1676" s="405"/>
      <c r="I1676" s="405"/>
      <c r="J1676" s="405"/>
      <c r="K1676" s="405"/>
      <c r="L1676" s="405"/>
      <c r="M1676" s="405"/>
      <c r="N1676" s="405"/>
      <c r="O1676" s="405"/>
      <c r="P1676" s="405"/>
      <c r="Q1676" s="405"/>
      <c r="R1676" s="405"/>
      <c r="S1676" s="405"/>
      <c r="T1676" s="405"/>
      <c r="U1676" s="405"/>
      <c r="V1676" s="405"/>
      <c r="W1676" s="405"/>
      <c r="X1676" s="405"/>
      <c r="Y1676" s="405"/>
      <c r="Z1676" s="405"/>
    </row>
    <row r="1677" ht="14.25" customHeight="1">
      <c r="A1677" s="656"/>
      <c r="B1677" s="405"/>
      <c r="C1677" s="405"/>
      <c r="D1677" s="405"/>
      <c r="E1677" s="405"/>
      <c r="F1677" s="657"/>
      <c r="G1677" s="583"/>
      <c r="H1677" s="405"/>
      <c r="I1677" s="405"/>
      <c r="J1677" s="405"/>
      <c r="K1677" s="405"/>
      <c r="L1677" s="405"/>
      <c r="M1677" s="405"/>
      <c r="N1677" s="405"/>
      <c r="O1677" s="405"/>
      <c r="P1677" s="405"/>
      <c r="Q1677" s="405"/>
      <c r="R1677" s="405"/>
      <c r="S1677" s="405"/>
      <c r="T1677" s="405"/>
      <c r="U1677" s="405"/>
      <c r="V1677" s="405"/>
      <c r="W1677" s="405"/>
      <c r="X1677" s="405"/>
      <c r="Y1677" s="405"/>
      <c r="Z1677" s="405"/>
    </row>
    <row r="1678" ht="14.25" customHeight="1">
      <c r="A1678" s="656"/>
      <c r="B1678" s="405"/>
      <c r="C1678" s="405"/>
      <c r="D1678" s="405"/>
      <c r="E1678" s="405"/>
      <c r="F1678" s="657"/>
      <c r="G1678" s="583"/>
      <c r="H1678" s="405"/>
      <c r="I1678" s="405"/>
      <c r="J1678" s="405"/>
      <c r="K1678" s="405"/>
      <c r="L1678" s="405"/>
      <c r="M1678" s="405"/>
      <c r="N1678" s="405"/>
      <c r="O1678" s="405"/>
      <c r="P1678" s="405"/>
      <c r="Q1678" s="405"/>
      <c r="R1678" s="405"/>
      <c r="S1678" s="405"/>
      <c r="T1678" s="405"/>
      <c r="U1678" s="405"/>
      <c r="V1678" s="405"/>
      <c r="W1678" s="405"/>
      <c r="X1678" s="405"/>
      <c r="Y1678" s="405"/>
      <c r="Z1678" s="405"/>
    </row>
    <row r="1679" ht="14.25" customHeight="1">
      <c r="A1679" s="656"/>
      <c r="B1679" s="405"/>
      <c r="C1679" s="405"/>
      <c r="D1679" s="405"/>
      <c r="E1679" s="405"/>
      <c r="F1679" s="657"/>
      <c r="G1679" s="583"/>
      <c r="H1679" s="405"/>
      <c r="I1679" s="405"/>
      <c r="J1679" s="405"/>
      <c r="K1679" s="405"/>
      <c r="L1679" s="405"/>
      <c r="M1679" s="405"/>
      <c r="N1679" s="405"/>
      <c r="O1679" s="405"/>
      <c r="P1679" s="405"/>
      <c r="Q1679" s="405"/>
      <c r="R1679" s="405"/>
      <c r="S1679" s="405"/>
      <c r="T1679" s="405"/>
      <c r="U1679" s="405"/>
      <c r="V1679" s="405"/>
      <c r="W1679" s="405"/>
      <c r="X1679" s="405"/>
      <c r="Y1679" s="405"/>
      <c r="Z1679" s="405"/>
    </row>
    <row r="1680" ht="14.25" customHeight="1">
      <c r="A1680" s="656"/>
      <c r="B1680" s="405"/>
      <c r="C1680" s="405"/>
      <c r="D1680" s="405"/>
      <c r="E1680" s="405"/>
      <c r="F1680" s="657"/>
      <c r="G1680" s="583"/>
      <c r="H1680" s="405"/>
      <c r="I1680" s="405"/>
      <c r="J1680" s="405"/>
      <c r="K1680" s="405"/>
      <c r="L1680" s="405"/>
      <c r="M1680" s="405"/>
      <c r="N1680" s="405"/>
      <c r="O1680" s="405"/>
      <c r="P1680" s="405"/>
      <c r="Q1680" s="405"/>
      <c r="R1680" s="405"/>
      <c r="S1680" s="405"/>
      <c r="T1680" s="405"/>
      <c r="U1680" s="405"/>
      <c r="V1680" s="405"/>
      <c r="W1680" s="405"/>
      <c r="X1680" s="405"/>
      <c r="Y1680" s="405"/>
      <c r="Z1680" s="405"/>
    </row>
    <row r="1681" ht="14.25" customHeight="1">
      <c r="A1681" s="656"/>
      <c r="B1681" s="405"/>
      <c r="C1681" s="405"/>
      <c r="D1681" s="405"/>
      <c r="E1681" s="405"/>
      <c r="F1681" s="657"/>
      <c r="G1681" s="583"/>
      <c r="H1681" s="405"/>
      <c r="I1681" s="405"/>
      <c r="J1681" s="405"/>
      <c r="K1681" s="405"/>
      <c r="L1681" s="405"/>
      <c r="M1681" s="405"/>
      <c r="N1681" s="405"/>
      <c r="O1681" s="405"/>
      <c r="P1681" s="405"/>
      <c r="Q1681" s="405"/>
      <c r="R1681" s="405"/>
      <c r="S1681" s="405"/>
      <c r="T1681" s="405"/>
      <c r="U1681" s="405"/>
      <c r="V1681" s="405"/>
      <c r="W1681" s="405"/>
      <c r="X1681" s="405"/>
      <c r="Y1681" s="405"/>
      <c r="Z1681" s="405"/>
    </row>
    <row r="1682" ht="14.25" customHeight="1">
      <c r="A1682" s="656"/>
      <c r="B1682" s="405"/>
      <c r="C1682" s="405"/>
      <c r="D1682" s="405"/>
      <c r="E1682" s="405"/>
      <c r="F1682" s="657"/>
      <c r="G1682" s="583"/>
      <c r="H1682" s="405"/>
      <c r="I1682" s="405"/>
      <c r="J1682" s="405"/>
      <c r="K1682" s="405"/>
      <c r="L1682" s="405"/>
      <c r="M1682" s="405"/>
      <c r="N1682" s="405"/>
      <c r="O1682" s="405"/>
      <c r="P1682" s="405"/>
      <c r="Q1682" s="405"/>
      <c r="R1682" s="405"/>
      <c r="S1682" s="405"/>
      <c r="T1682" s="405"/>
      <c r="U1682" s="405"/>
      <c r="V1682" s="405"/>
      <c r="W1682" s="405"/>
      <c r="X1682" s="405"/>
      <c r="Y1682" s="405"/>
      <c r="Z1682" s="405"/>
    </row>
    <row r="1683" ht="14.25" customHeight="1">
      <c r="A1683" s="656"/>
      <c r="B1683" s="405"/>
      <c r="C1683" s="405"/>
      <c r="D1683" s="405"/>
      <c r="E1683" s="405"/>
      <c r="F1683" s="657"/>
      <c r="G1683" s="583"/>
      <c r="H1683" s="405"/>
      <c r="I1683" s="405"/>
      <c r="J1683" s="405"/>
      <c r="K1683" s="405"/>
      <c r="L1683" s="405"/>
      <c r="M1683" s="405"/>
      <c r="N1683" s="405"/>
      <c r="O1683" s="405"/>
      <c r="P1683" s="405"/>
      <c r="Q1683" s="405"/>
      <c r="R1683" s="405"/>
      <c r="S1683" s="405"/>
      <c r="T1683" s="405"/>
      <c r="U1683" s="405"/>
      <c r="V1683" s="405"/>
      <c r="W1683" s="405"/>
      <c r="X1683" s="405"/>
      <c r="Y1683" s="405"/>
      <c r="Z1683" s="405"/>
    </row>
    <row r="1684" ht="14.25" customHeight="1">
      <c r="A1684" s="656"/>
      <c r="B1684" s="405"/>
      <c r="C1684" s="405"/>
      <c r="D1684" s="405"/>
      <c r="E1684" s="405"/>
      <c r="F1684" s="657"/>
      <c r="G1684" s="583"/>
      <c r="H1684" s="405"/>
      <c r="I1684" s="405"/>
      <c r="J1684" s="405"/>
      <c r="K1684" s="405"/>
      <c r="L1684" s="405"/>
      <c r="M1684" s="405"/>
      <c r="N1684" s="405"/>
      <c r="O1684" s="405"/>
      <c r="P1684" s="405"/>
      <c r="Q1684" s="405"/>
      <c r="R1684" s="405"/>
      <c r="S1684" s="405"/>
      <c r="T1684" s="405"/>
      <c r="U1684" s="405"/>
      <c r="V1684" s="405"/>
      <c r="W1684" s="405"/>
      <c r="X1684" s="405"/>
      <c r="Y1684" s="405"/>
      <c r="Z1684" s="405"/>
    </row>
    <row r="1685" ht="14.25" customHeight="1">
      <c r="A1685" s="656"/>
      <c r="B1685" s="405"/>
      <c r="C1685" s="405"/>
      <c r="D1685" s="405"/>
      <c r="E1685" s="405"/>
      <c r="F1685" s="657"/>
      <c r="G1685" s="583"/>
      <c r="H1685" s="405"/>
      <c r="I1685" s="405"/>
      <c r="J1685" s="405"/>
      <c r="K1685" s="405"/>
      <c r="L1685" s="405"/>
      <c r="M1685" s="405"/>
      <c r="N1685" s="405"/>
      <c r="O1685" s="405"/>
      <c r="P1685" s="405"/>
      <c r="Q1685" s="405"/>
      <c r="R1685" s="405"/>
      <c r="S1685" s="405"/>
      <c r="T1685" s="405"/>
      <c r="U1685" s="405"/>
      <c r="V1685" s="405"/>
      <c r="W1685" s="405"/>
      <c r="X1685" s="405"/>
      <c r="Y1685" s="405"/>
      <c r="Z1685" s="405"/>
    </row>
    <row r="1686" ht="14.25" customHeight="1">
      <c r="A1686" s="656"/>
      <c r="B1686" s="405"/>
      <c r="C1686" s="405"/>
      <c r="D1686" s="405"/>
      <c r="E1686" s="405"/>
      <c r="F1686" s="657"/>
      <c r="G1686" s="583"/>
      <c r="H1686" s="405"/>
      <c r="I1686" s="405"/>
      <c r="J1686" s="405"/>
      <c r="K1686" s="405"/>
      <c r="L1686" s="405"/>
      <c r="M1686" s="405"/>
      <c r="N1686" s="405"/>
      <c r="O1686" s="405"/>
      <c r="P1686" s="405"/>
      <c r="Q1686" s="405"/>
      <c r="R1686" s="405"/>
      <c r="S1686" s="405"/>
      <c r="T1686" s="405"/>
      <c r="U1686" s="405"/>
      <c r="V1686" s="405"/>
      <c r="W1686" s="405"/>
      <c r="X1686" s="405"/>
      <c r="Y1686" s="405"/>
      <c r="Z1686" s="405"/>
    </row>
    <row r="1687" ht="14.25" customHeight="1">
      <c r="A1687" s="656"/>
      <c r="B1687" s="405"/>
      <c r="C1687" s="405"/>
      <c r="D1687" s="405"/>
      <c r="E1687" s="405"/>
      <c r="F1687" s="657"/>
      <c r="G1687" s="583"/>
      <c r="H1687" s="405"/>
      <c r="I1687" s="405"/>
      <c r="J1687" s="405"/>
      <c r="K1687" s="405"/>
      <c r="L1687" s="405"/>
      <c r="M1687" s="405"/>
      <c r="N1687" s="405"/>
      <c r="O1687" s="405"/>
      <c r="P1687" s="405"/>
      <c r="Q1687" s="405"/>
      <c r="R1687" s="405"/>
      <c r="S1687" s="405"/>
      <c r="T1687" s="405"/>
      <c r="U1687" s="405"/>
      <c r="V1687" s="405"/>
      <c r="W1687" s="405"/>
      <c r="X1687" s="405"/>
      <c r="Y1687" s="405"/>
      <c r="Z1687" s="405"/>
    </row>
    <row r="1688" ht="14.25" customHeight="1">
      <c r="A1688" s="656"/>
      <c r="B1688" s="405"/>
      <c r="C1688" s="405"/>
      <c r="D1688" s="405"/>
      <c r="E1688" s="405"/>
      <c r="F1688" s="657"/>
      <c r="G1688" s="583"/>
      <c r="H1688" s="405"/>
      <c r="I1688" s="405"/>
      <c r="J1688" s="405"/>
      <c r="K1688" s="405"/>
      <c r="L1688" s="405"/>
      <c r="M1688" s="405"/>
      <c r="N1688" s="405"/>
      <c r="O1688" s="405"/>
      <c r="P1688" s="405"/>
      <c r="Q1688" s="405"/>
      <c r="R1688" s="405"/>
      <c r="S1688" s="405"/>
      <c r="T1688" s="405"/>
      <c r="U1688" s="405"/>
      <c r="V1688" s="405"/>
      <c r="W1688" s="405"/>
      <c r="X1688" s="405"/>
      <c r="Y1688" s="405"/>
      <c r="Z1688" s="405"/>
    </row>
    <row r="1689" ht="14.25" customHeight="1">
      <c r="A1689" s="656"/>
      <c r="B1689" s="405"/>
      <c r="C1689" s="405"/>
      <c r="D1689" s="405"/>
      <c r="E1689" s="405"/>
      <c r="F1689" s="657"/>
      <c r="G1689" s="583"/>
      <c r="H1689" s="405"/>
      <c r="I1689" s="405"/>
      <c r="J1689" s="405"/>
      <c r="K1689" s="405"/>
      <c r="L1689" s="405"/>
      <c r="M1689" s="405"/>
      <c r="N1689" s="405"/>
      <c r="O1689" s="405"/>
      <c r="P1689" s="405"/>
      <c r="Q1689" s="405"/>
      <c r="R1689" s="405"/>
      <c r="S1689" s="405"/>
      <c r="T1689" s="405"/>
      <c r="U1689" s="405"/>
      <c r="V1689" s="405"/>
      <c r="W1689" s="405"/>
      <c r="X1689" s="405"/>
      <c r="Y1689" s="405"/>
      <c r="Z1689" s="405"/>
    </row>
    <row r="1690" ht="14.25" customHeight="1">
      <c r="A1690" s="656"/>
      <c r="B1690" s="405"/>
      <c r="C1690" s="405"/>
      <c r="D1690" s="405"/>
      <c r="E1690" s="405"/>
      <c r="F1690" s="657"/>
      <c r="G1690" s="583"/>
      <c r="H1690" s="405"/>
      <c r="I1690" s="405"/>
      <c r="J1690" s="405"/>
      <c r="K1690" s="405"/>
      <c r="L1690" s="405"/>
      <c r="M1690" s="405"/>
      <c r="N1690" s="405"/>
      <c r="O1690" s="405"/>
      <c r="P1690" s="405"/>
      <c r="Q1690" s="405"/>
      <c r="R1690" s="405"/>
      <c r="S1690" s="405"/>
      <c r="T1690" s="405"/>
      <c r="U1690" s="405"/>
      <c r="V1690" s="405"/>
      <c r="W1690" s="405"/>
      <c r="X1690" s="405"/>
      <c r="Y1690" s="405"/>
      <c r="Z1690" s="405"/>
    </row>
    <row r="1691" ht="14.25" customHeight="1">
      <c r="A1691" s="656"/>
      <c r="B1691" s="405"/>
      <c r="C1691" s="405"/>
      <c r="D1691" s="405"/>
      <c r="E1691" s="405"/>
      <c r="F1691" s="657"/>
      <c r="G1691" s="583"/>
      <c r="H1691" s="405"/>
      <c r="I1691" s="405"/>
      <c r="J1691" s="405"/>
      <c r="K1691" s="405"/>
      <c r="L1691" s="405"/>
      <c r="M1691" s="405"/>
      <c r="N1691" s="405"/>
      <c r="O1691" s="405"/>
      <c r="P1691" s="405"/>
      <c r="Q1691" s="405"/>
      <c r="R1691" s="405"/>
      <c r="S1691" s="405"/>
      <c r="T1691" s="405"/>
      <c r="U1691" s="405"/>
      <c r="V1691" s="405"/>
      <c r="W1691" s="405"/>
      <c r="X1691" s="405"/>
      <c r="Y1691" s="405"/>
      <c r="Z1691" s="405"/>
    </row>
    <row r="1692" ht="14.25" customHeight="1">
      <c r="A1692" s="656"/>
      <c r="B1692" s="405"/>
      <c r="C1692" s="405"/>
      <c r="D1692" s="405"/>
      <c r="E1692" s="405"/>
      <c r="F1692" s="657"/>
      <c r="G1692" s="583"/>
      <c r="H1692" s="405"/>
      <c r="I1692" s="405"/>
      <c r="J1692" s="405"/>
      <c r="K1692" s="405"/>
      <c r="L1692" s="405"/>
      <c r="M1692" s="405"/>
      <c r="N1692" s="405"/>
      <c r="O1692" s="405"/>
      <c r="P1692" s="405"/>
      <c r="Q1692" s="405"/>
      <c r="R1692" s="405"/>
      <c r="S1692" s="405"/>
      <c r="T1692" s="405"/>
      <c r="U1692" s="405"/>
      <c r="V1692" s="405"/>
      <c r="W1692" s="405"/>
      <c r="X1692" s="405"/>
      <c r="Y1692" s="405"/>
      <c r="Z1692" s="405"/>
    </row>
    <row r="1693" ht="14.25" customHeight="1">
      <c r="A1693" s="656"/>
      <c r="B1693" s="405"/>
      <c r="C1693" s="405"/>
      <c r="D1693" s="405"/>
      <c r="E1693" s="405"/>
      <c r="F1693" s="657"/>
      <c r="G1693" s="583"/>
      <c r="H1693" s="405"/>
      <c r="I1693" s="405"/>
      <c r="J1693" s="405"/>
      <c r="K1693" s="405"/>
      <c r="L1693" s="405"/>
      <c r="M1693" s="405"/>
      <c r="N1693" s="405"/>
      <c r="O1693" s="405"/>
      <c r="P1693" s="405"/>
      <c r="Q1693" s="405"/>
      <c r="R1693" s="405"/>
      <c r="S1693" s="405"/>
      <c r="T1693" s="405"/>
      <c r="U1693" s="405"/>
      <c r="V1693" s="405"/>
      <c r="W1693" s="405"/>
      <c r="X1693" s="405"/>
      <c r="Y1693" s="405"/>
      <c r="Z1693" s="405"/>
    </row>
    <row r="1694" ht="14.25" customHeight="1">
      <c r="A1694" s="656"/>
      <c r="B1694" s="405"/>
      <c r="C1694" s="405"/>
      <c r="D1694" s="405"/>
      <c r="E1694" s="405"/>
      <c r="F1694" s="657"/>
      <c r="G1694" s="583"/>
      <c r="H1694" s="405"/>
      <c r="I1694" s="405"/>
      <c r="J1694" s="405"/>
      <c r="K1694" s="405"/>
      <c r="L1694" s="405"/>
      <c r="M1694" s="405"/>
      <c r="N1694" s="405"/>
      <c r="O1694" s="405"/>
      <c r="P1694" s="405"/>
      <c r="Q1694" s="405"/>
      <c r="R1694" s="405"/>
      <c r="S1694" s="405"/>
      <c r="T1694" s="405"/>
      <c r="U1694" s="405"/>
      <c r="V1694" s="405"/>
      <c r="W1694" s="405"/>
      <c r="X1694" s="405"/>
      <c r="Y1694" s="405"/>
      <c r="Z1694" s="405"/>
    </row>
    <row r="1695" ht="14.25" customHeight="1">
      <c r="A1695" s="656"/>
      <c r="B1695" s="405"/>
      <c r="C1695" s="405"/>
      <c r="D1695" s="405"/>
      <c r="E1695" s="405"/>
      <c r="F1695" s="657"/>
      <c r="G1695" s="583"/>
      <c r="H1695" s="405"/>
      <c r="I1695" s="405"/>
      <c r="J1695" s="405"/>
      <c r="K1695" s="405"/>
      <c r="L1695" s="405"/>
      <c r="M1695" s="405"/>
      <c r="N1695" s="405"/>
      <c r="O1695" s="405"/>
      <c r="P1695" s="405"/>
      <c r="Q1695" s="405"/>
      <c r="R1695" s="405"/>
      <c r="S1695" s="405"/>
      <c r="T1695" s="405"/>
      <c r="U1695" s="405"/>
      <c r="V1695" s="405"/>
      <c r="W1695" s="405"/>
      <c r="X1695" s="405"/>
      <c r="Y1695" s="405"/>
      <c r="Z1695" s="405"/>
    </row>
    <row r="1696" ht="14.25" customHeight="1">
      <c r="A1696" s="656"/>
      <c r="B1696" s="405"/>
      <c r="C1696" s="405"/>
      <c r="D1696" s="405"/>
      <c r="E1696" s="405"/>
      <c r="F1696" s="657"/>
      <c r="G1696" s="583"/>
      <c r="H1696" s="405"/>
      <c r="I1696" s="405"/>
      <c r="J1696" s="405"/>
      <c r="K1696" s="405"/>
      <c r="L1696" s="405"/>
      <c r="M1696" s="405"/>
      <c r="N1696" s="405"/>
      <c r="O1696" s="405"/>
      <c r="P1696" s="405"/>
      <c r="Q1696" s="405"/>
      <c r="R1696" s="405"/>
      <c r="S1696" s="405"/>
      <c r="T1696" s="405"/>
      <c r="U1696" s="405"/>
      <c r="V1696" s="405"/>
      <c r="W1696" s="405"/>
      <c r="X1696" s="405"/>
      <c r="Y1696" s="405"/>
      <c r="Z1696" s="405"/>
    </row>
    <row r="1697" ht="14.25" customHeight="1">
      <c r="A1697" s="656"/>
      <c r="B1697" s="405"/>
      <c r="C1697" s="405"/>
      <c r="D1697" s="405"/>
      <c r="E1697" s="405"/>
      <c r="F1697" s="657"/>
      <c r="G1697" s="583"/>
      <c r="H1697" s="405"/>
      <c r="I1697" s="405"/>
      <c r="J1697" s="405"/>
      <c r="K1697" s="405"/>
      <c r="L1697" s="405"/>
      <c r="M1697" s="405"/>
      <c r="N1697" s="405"/>
      <c r="O1697" s="405"/>
      <c r="P1697" s="405"/>
      <c r="Q1697" s="405"/>
      <c r="R1697" s="405"/>
      <c r="S1697" s="405"/>
      <c r="T1697" s="405"/>
      <c r="U1697" s="405"/>
      <c r="V1697" s="405"/>
      <c r="W1697" s="405"/>
      <c r="X1697" s="405"/>
      <c r="Y1697" s="405"/>
      <c r="Z1697" s="405"/>
    </row>
    <row r="1698" ht="14.25" customHeight="1">
      <c r="A1698" s="656"/>
      <c r="B1698" s="405"/>
      <c r="C1698" s="405"/>
      <c r="D1698" s="405"/>
      <c r="E1698" s="405"/>
      <c r="F1698" s="657"/>
      <c r="G1698" s="583"/>
      <c r="H1698" s="405"/>
      <c r="I1698" s="405"/>
      <c r="J1698" s="405"/>
      <c r="K1698" s="405"/>
      <c r="L1698" s="405"/>
      <c r="M1698" s="405"/>
      <c r="N1698" s="405"/>
      <c r="O1698" s="405"/>
      <c r="P1698" s="405"/>
      <c r="Q1698" s="405"/>
      <c r="R1698" s="405"/>
      <c r="S1698" s="405"/>
      <c r="T1698" s="405"/>
      <c r="U1698" s="405"/>
      <c r="V1698" s="405"/>
      <c r="W1698" s="405"/>
      <c r="X1698" s="405"/>
      <c r="Y1698" s="405"/>
      <c r="Z1698" s="405"/>
    </row>
    <row r="1699" ht="14.25" customHeight="1">
      <c r="A1699" s="656"/>
      <c r="B1699" s="405"/>
      <c r="C1699" s="405"/>
      <c r="D1699" s="405"/>
      <c r="E1699" s="405"/>
      <c r="F1699" s="657"/>
      <c r="G1699" s="583"/>
      <c r="H1699" s="405"/>
      <c r="I1699" s="405"/>
      <c r="J1699" s="405"/>
      <c r="K1699" s="405"/>
      <c r="L1699" s="405"/>
      <c r="M1699" s="405"/>
      <c r="N1699" s="405"/>
      <c r="O1699" s="405"/>
      <c r="P1699" s="405"/>
      <c r="Q1699" s="405"/>
      <c r="R1699" s="405"/>
      <c r="S1699" s="405"/>
      <c r="T1699" s="405"/>
      <c r="U1699" s="405"/>
      <c r="V1699" s="405"/>
      <c r="W1699" s="405"/>
      <c r="X1699" s="405"/>
      <c r="Y1699" s="405"/>
      <c r="Z1699" s="405"/>
    </row>
    <row r="1700" ht="14.25" customHeight="1">
      <c r="A1700" s="656"/>
      <c r="B1700" s="405"/>
      <c r="C1700" s="405"/>
      <c r="D1700" s="405"/>
      <c r="E1700" s="405"/>
      <c r="F1700" s="657"/>
      <c r="G1700" s="583"/>
      <c r="H1700" s="405"/>
      <c r="I1700" s="405"/>
      <c r="J1700" s="405"/>
      <c r="K1700" s="405"/>
      <c r="L1700" s="405"/>
      <c r="M1700" s="405"/>
      <c r="N1700" s="405"/>
      <c r="O1700" s="405"/>
      <c r="P1700" s="405"/>
      <c r="Q1700" s="405"/>
      <c r="R1700" s="405"/>
      <c r="S1700" s="405"/>
      <c r="T1700" s="405"/>
      <c r="U1700" s="405"/>
      <c r="V1700" s="405"/>
      <c r="W1700" s="405"/>
      <c r="X1700" s="405"/>
      <c r="Y1700" s="405"/>
      <c r="Z1700" s="405"/>
    </row>
    <row r="1701" ht="14.25" customHeight="1">
      <c r="A1701" s="656"/>
      <c r="B1701" s="405"/>
      <c r="C1701" s="405"/>
      <c r="D1701" s="405"/>
      <c r="E1701" s="405"/>
      <c r="F1701" s="657"/>
      <c r="G1701" s="583"/>
      <c r="H1701" s="405"/>
      <c r="I1701" s="405"/>
      <c r="J1701" s="405"/>
      <c r="K1701" s="405"/>
      <c r="L1701" s="405"/>
      <c r="M1701" s="405"/>
      <c r="N1701" s="405"/>
      <c r="O1701" s="405"/>
      <c r="P1701" s="405"/>
      <c r="Q1701" s="405"/>
      <c r="R1701" s="405"/>
      <c r="S1701" s="405"/>
      <c r="T1701" s="405"/>
      <c r="U1701" s="405"/>
      <c r="V1701" s="405"/>
      <c r="W1701" s="405"/>
      <c r="X1701" s="405"/>
      <c r="Y1701" s="405"/>
      <c r="Z1701" s="405"/>
    </row>
    <row r="1702" ht="14.25" customHeight="1">
      <c r="A1702" s="656"/>
      <c r="B1702" s="405"/>
      <c r="C1702" s="405"/>
      <c r="D1702" s="405"/>
      <c r="E1702" s="405"/>
      <c r="F1702" s="657"/>
      <c r="G1702" s="583"/>
      <c r="H1702" s="405"/>
      <c r="I1702" s="405"/>
      <c r="J1702" s="405"/>
      <c r="K1702" s="405"/>
      <c r="L1702" s="405"/>
      <c r="M1702" s="405"/>
      <c r="N1702" s="405"/>
      <c r="O1702" s="405"/>
      <c r="P1702" s="405"/>
      <c r="Q1702" s="405"/>
      <c r="R1702" s="405"/>
      <c r="S1702" s="405"/>
      <c r="T1702" s="405"/>
      <c r="U1702" s="405"/>
      <c r="V1702" s="405"/>
      <c r="W1702" s="405"/>
      <c r="X1702" s="405"/>
      <c r="Y1702" s="405"/>
      <c r="Z1702" s="405"/>
    </row>
    <row r="1703" ht="14.25" customHeight="1">
      <c r="A1703" s="656"/>
      <c r="B1703" s="405"/>
      <c r="C1703" s="405"/>
      <c r="D1703" s="405"/>
      <c r="E1703" s="405"/>
      <c r="F1703" s="657"/>
      <c r="G1703" s="583"/>
      <c r="H1703" s="405"/>
      <c r="I1703" s="405"/>
      <c r="J1703" s="405"/>
      <c r="K1703" s="405"/>
      <c r="L1703" s="405"/>
      <c r="M1703" s="405"/>
      <c r="N1703" s="405"/>
      <c r="O1703" s="405"/>
      <c r="P1703" s="405"/>
      <c r="Q1703" s="405"/>
      <c r="R1703" s="405"/>
      <c r="S1703" s="405"/>
      <c r="T1703" s="405"/>
      <c r="U1703" s="405"/>
      <c r="V1703" s="405"/>
      <c r="W1703" s="405"/>
      <c r="X1703" s="405"/>
      <c r="Y1703" s="405"/>
      <c r="Z1703" s="405"/>
    </row>
    <row r="1704" ht="14.25" customHeight="1">
      <c r="A1704" s="656"/>
      <c r="B1704" s="405"/>
      <c r="C1704" s="405"/>
      <c r="D1704" s="405"/>
      <c r="E1704" s="405"/>
      <c r="F1704" s="657"/>
      <c r="G1704" s="583"/>
      <c r="H1704" s="405"/>
      <c r="I1704" s="405"/>
      <c r="J1704" s="405"/>
      <c r="K1704" s="405"/>
      <c r="L1704" s="405"/>
      <c r="M1704" s="405"/>
      <c r="N1704" s="405"/>
      <c r="O1704" s="405"/>
      <c r="P1704" s="405"/>
      <c r="Q1704" s="405"/>
      <c r="R1704" s="405"/>
      <c r="S1704" s="405"/>
      <c r="T1704" s="405"/>
      <c r="U1704" s="405"/>
      <c r="V1704" s="405"/>
      <c r="W1704" s="405"/>
      <c r="X1704" s="405"/>
      <c r="Y1704" s="405"/>
      <c r="Z1704" s="405"/>
    </row>
    <row r="1705" ht="14.25" customHeight="1">
      <c r="A1705" s="656"/>
      <c r="B1705" s="405"/>
      <c r="C1705" s="405"/>
      <c r="D1705" s="405"/>
      <c r="E1705" s="405"/>
      <c r="F1705" s="657"/>
      <c r="G1705" s="583"/>
      <c r="H1705" s="405"/>
      <c r="I1705" s="405"/>
      <c r="J1705" s="405"/>
      <c r="K1705" s="405"/>
      <c r="L1705" s="405"/>
      <c r="M1705" s="405"/>
      <c r="N1705" s="405"/>
      <c r="O1705" s="405"/>
      <c r="P1705" s="405"/>
      <c r="Q1705" s="405"/>
      <c r="R1705" s="405"/>
      <c r="S1705" s="405"/>
      <c r="T1705" s="405"/>
      <c r="U1705" s="405"/>
      <c r="V1705" s="405"/>
      <c r="W1705" s="405"/>
      <c r="X1705" s="405"/>
      <c r="Y1705" s="405"/>
      <c r="Z1705" s="405"/>
    </row>
    <row r="1706" ht="14.25" customHeight="1">
      <c r="A1706" s="656"/>
      <c r="B1706" s="405"/>
      <c r="C1706" s="405"/>
      <c r="D1706" s="405"/>
      <c r="E1706" s="405"/>
      <c r="F1706" s="657"/>
      <c r="G1706" s="583"/>
      <c r="H1706" s="405"/>
      <c r="I1706" s="405"/>
      <c r="J1706" s="405"/>
      <c r="K1706" s="405"/>
      <c r="L1706" s="405"/>
      <c r="M1706" s="405"/>
      <c r="N1706" s="405"/>
      <c r="O1706" s="405"/>
      <c r="P1706" s="405"/>
      <c r="Q1706" s="405"/>
      <c r="R1706" s="405"/>
      <c r="S1706" s="405"/>
      <c r="T1706" s="405"/>
      <c r="U1706" s="405"/>
      <c r="V1706" s="405"/>
      <c r="W1706" s="405"/>
      <c r="X1706" s="405"/>
      <c r="Y1706" s="405"/>
      <c r="Z1706" s="405"/>
    </row>
    <row r="1707" ht="14.25" customHeight="1">
      <c r="A1707" s="656"/>
      <c r="B1707" s="405"/>
      <c r="C1707" s="405"/>
      <c r="D1707" s="405"/>
      <c r="E1707" s="405"/>
      <c r="F1707" s="657"/>
      <c r="G1707" s="583"/>
      <c r="H1707" s="405"/>
      <c r="I1707" s="405"/>
      <c r="J1707" s="405"/>
      <c r="K1707" s="405"/>
      <c r="L1707" s="405"/>
      <c r="M1707" s="405"/>
      <c r="N1707" s="405"/>
      <c r="O1707" s="405"/>
      <c r="P1707" s="405"/>
      <c r="Q1707" s="405"/>
      <c r="R1707" s="405"/>
      <c r="S1707" s="405"/>
      <c r="T1707" s="405"/>
      <c r="U1707" s="405"/>
      <c r="V1707" s="405"/>
      <c r="W1707" s="405"/>
      <c r="X1707" s="405"/>
      <c r="Y1707" s="405"/>
      <c r="Z1707" s="405"/>
    </row>
    <row r="1708" ht="14.25" customHeight="1">
      <c r="A1708" s="656"/>
      <c r="B1708" s="405"/>
      <c r="C1708" s="405"/>
      <c r="D1708" s="405"/>
      <c r="E1708" s="405"/>
      <c r="F1708" s="657"/>
      <c r="G1708" s="583"/>
      <c r="H1708" s="405"/>
      <c r="I1708" s="405"/>
      <c r="J1708" s="405"/>
      <c r="K1708" s="405"/>
      <c r="L1708" s="405"/>
      <c r="M1708" s="405"/>
      <c r="N1708" s="405"/>
      <c r="O1708" s="405"/>
      <c r="P1708" s="405"/>
      <c r="Q1708" s="405"/>
      <c r="R1708" s="405"/>
      <c r="S1708" s="405"/>
      <c r="T1708" s="405"/>
      <c r="U1708" s="405"/>
      <c r="V1708" s="405"/>
      <c r="W1708" s="405"/>
      <c r="X1708" s="405"/>
      <c r="Y1708" s="405"/>
      <c r="Z1708" s="405"/>
    </row>
    <row r="1709" ht="14.25" customHeight="1">
      <c r="A1709" s="656"/>
      <c r="B1709" s="405"/>
      <c r="C1709" s="405"/>
      <c r="D1709" s="405"/>
      <c r="E1709" s="405"/>
      <c r="F1709" s="657"/>
      <c r="G1709" s="583"/>
      <c r="H1709" s="405"/>
      <c r="I1709" s="405"/>
      <c r="J1709" s="405"/>
      <c r="K1709" s="405"/>
      <c r="L1709" s="405"/>
      <c r="M1709" s="405"/>
      <c r="N1709" s="405"/>
      <c r="O1709" s="405"/>
      <c r="P1709" s="405"/>
      <c r="Q1709" s="405"/>
      <c r="R1709" s="405"/>
      <c r="S1709" s="405"/>
      <c r="T1709" s="405"/>
      <c r="U1709" s="405"/>
      <c r="V1709" s="405"/>
      <c r="W1709" s="405"/>
      <c r="X1709" s="405"/>
      <c r="Y1709" s="405"/>
      <c r="Z1709" s="405"/>
    </row>
    <row r="1710" ht="14.25" customHeight="1">
      <c r="A1710" s="656"/>
      <c r="B1710" s="405"/>
      <c r="C1710" s="405"/>
      <c r="D1710" s="405"/>
      <c r="E1710" s="405"/>
      <c r="F1710" s="657"/>
      <c r="G1710" s="583"/>
      <c r="H1710" s="405"/>
      <c r="I1710" s="405"/>
      <c r="J1710" s="405"/>
      <c r="K1710" s="405"/>
      <c r="L1710" s="405"/>
      <c r="M1710" s="405"/>
      <c r="N1710" s="405"/>
      <c r="O1710" s="405"/>
      <c r="P1710" s="405"/>
      <c r="Q1710" s="405"/>
      <c r="R1710" s="405"/>
      <c r="S1710" s="405"/>
      <c r="T1710" s="405"/>
      <c r="U1710" s="405"/>
      <c r="V1710" s="405"/>
      <c r="W1710" s="405"/>
      <c r="X1710" s="405"/>
      <c r="Y1710" s="405"/>
      <c r="Z1710" s="405"/>
    </row>
    <row r="1711" ht="14.25" customHeight="1">
      <c r="A1711" s="656"/>
      <c r="B1711" s="405"/>
      <c r="C1711" s="405"/>
      <c r="D1711" s="405"/>
      <c r="E1711" s="405"/>
      <c r="F1711" s="657"/>
      <c r="G1711" s="583"/>
      <c r="H1711" s="405"/>
      <c r="I1711" s="405"/>
      <c r="J1711" s="405"/>
      <c r="K1711" s="405"/>
      <c r="L1711" s="405"/>
      <c r="M1711" s="405"/>
      <c r="N1711" s="405"/>
      <c r="O1711" s="405"/>
      <c r="P1711" s="405"/>
      <c r="Q1711" s="405"/>
      <c r="R1711" s="405"/>
      <c r="S1711" s="405"/>
      <c r="T1711" s="405"/>
      <c r="U1711" s="405"/>
      <c r="V1711" s="405"/>
      <c r="W1711" s="405"/>
      <c r="X1711" s="405"/>
      <c r="Y1711" s="405"/>
      <c r="Z1711" s="405"/>
    </row>
    <row r="1712" ht="14.25" customHeight="1">
      <c r="A1712" s="656"/>
      <c r="B1712" s="405"/>
      <c r="C1712" s="405"/>
      <c r="D1712" s="405"/>
      <c r="E1712" s="405"/>
      <c r="F1712" s="657"/>
      <c r="G1712" s="583"/>
      <c r="H1712" s="405"/>
      <c r="I1712" s="405"/>
      <c r="J1712" s="405"/>
      <c r="K1712" s="405"/>
      <c r="L1712" s="405"/>
      <c r="M1712" s="405"/>
      <c r="N1712" s="405"/>
      <c r="O1712" s="405"/>
      <c r="P1712" s="405"/>
      <c r="Q1712" s="405"/>
      <c r="R1712" s="405"/>
      <c r="S1712" s="405"/>
      <c r="T1712" s="405"/>
      <c r="U1712" s="405"/>
      <c r="V1712" s="405"/>
      <c r="W1712" s="405"/>
      <c r="X1712" s="405"/>
      <c r="Y1712" s="405"/>
      <c r="Z1712" s="405"/>
    </row>
    <row r="1713" ht="14.25" customHeight="1">
      <c r="A1713" s="656"/>
      <c r="B1713" s="405"/>
      <c r="C1713" s="405"/>
      <c r="D1713" s="405"/>
      <c r="E1713" s="405"/>
      <c r="F1713" s="657"/>
      <c r="G1713" s="583"/>
      <c r="H1713" s="405"/>
      <c r="I1713" s="405"/>
      <c r="J1713" s="405"/>
      <c r="K1713" s="405"/>
      <c r="L1713" s="405"/>
      <c r="M1713" s="405"/>
      <c r="N1713" s="405"/>
      <c r="O1713" s="405"/>
      <c r="P1713" s="405"/>
      <c r="Q1713" s="405"/>
      <c r="R1713" s="405"/>
      <c r="S1713" s="405"/>
      <c r="T1713" s="405"/>
      <c r="U1713" s="405"/>
      <c r="V1713" s="405"/>
      <c r="W1713" s="405"/>
      <c r="X1713" s="405"/>
      <c r="Y1713" s="405"/>
      <c r="Z1713" s="405"/>
    </row>
    <row r="1714" ht="14.25" customHeight="1">
      <c r="A1714" s="656"/>
      <c r="B1714" s="405"/>
      <c r="C1714" s="405"/>
      <c r="D1714" s="405"/>
      <c r="E1714" s="405"/>
      <c r="F1714" s="657"/>
      <c r="G1714" s="583"/>
      <c r="H1714" s="405"/>
      <c r="I1714" s="405"/>
      <c r="J1714" s="405"/>
      <c r="K1714" s="405"/>
      <c r="L1714" s="405"/>
      <c r="M1714" s="405"/>
      <c r="N1714" s="405"/>
      <c r="O1714" s="405"/>
      <c r="P1714" s="405"/>
      <c r="Q1714" s="405"/>
      <c r="R1714" s="405"/>
      <c r="S1714" s="405"/>
      <c r="T1714" s="405"/>
      <c r="U1714" s="405"/>
      <c r="V1714" s="405"/>
      <c r="W1714" s="405"/>
      <c r="X1714" s="405"/>
      <c r="Y1714" s="405"/>
      <c r="Z1714" s="405"/>
    </row>
    <row r="1715" ht="14.25" customHeight="1">
      <c r="A1715" s="656"/>
      <c r="B1715" s="405"/>
      <c r="C1715" s="405"/>
      <c r="D1715" s="405"/>
      <c r="E1715" s="405"/>
      <c r="F1715" s="657"/>
      <c r="G1715" s="583"/>
      <c r="H1715" s="405"/>
      <c r="I1715" s="405"/>
      <c r="J1715" s="405"/>
      <c r="K1715" s="405"/>
      <c r="L1715" s="405"/>
      <c r="M1715" s="405"/>
      <c r="N1715" s="405"/>
      <c r="O1715" s="405"/>
      <c r="P1715" s="405"/>
      <c r="Q1715" s="405"/>
      <c r="R1715" s="405"/>
      <c r="S1715" s="405"/>
      <c r="T1715" s="405"/>
      <c r="U1715" s="405"/>
      <c r="V1715" s="405"/>
      <c r="W1715" s="405"/>
      <c r="X1715" s="405"/>
      <c r="Y1715" s="405"/>
      <c r="Z1715" s="405"/>
    </row>
    <row r="1716" ht="14.25" customHeight="1">
      <c r="A1716" s="656"/>
      <c r="B1716" s="405"/>
      <c r="C1716" s="405"/>
      <c r="D1716" s="405"/>
      <c r="E1716" s="405"/>
      <c r="F1716" s="657"/>
      <c r="G1716" s="583"/>
      <c r="H1716" s="405"/>
      <c r="I1716" s="405"/>
      <c r="J1716" s="405"/>
      <c r="K1716" s="405"/>
      <c r="L1716" s="405"/>
      <c r="M1716" s="405"/>
      <c r="N1716" s="405"/>
      <c r="O1716" s="405"/>
      <c r="P1716" s="405"/>
      <c r="Q1716" s="405"/>
      <c r="R1716" s="405"/>
      <c r="S1716" s="405"/>
      <c r="T1716" s="405"/>
      <c r="U1716" s="405"/>
      <c r="V1716" s="405"/>
      <c r="W1716" s="405"/>
      <c r="X1716" s="405"/>
      <c r="Y1716" s="405"/>
      <c r="Z1716" s="405"/>
    </row>
    <row r="1717" ht="14.25" customHeight="1">
      <c r="A1717" s="656"/>
      <c r="B1717" s="405"/>
      <c r="C1717" s="405"/>
      <c r="D1717" s="405"/>
      <c r="E1717" s="405"/>
      <c r="F1717" s="657"/>
      <c r="G1717" s="583"/>
      <c r="H1717" s="405"/>
      <c r="I1717" s="405"/>
      <c r="J1717" s="405"/>
      <c r="K1717" s="405"/>
      <c r="L1717" s="405"/>
      <c r="M1717" s="405"/>
      <c r="N1717" s="405"/>
      <c r="O1717" s="405"/>
      <c r="P1717" s="405"/>
      <c r="Q1717" s="405"/>
      <c r="R1717" s="405"/>
      <c r="S1717" s="405"/>
      <c r="T1717" s="405"/>
      <c r="U1717" s="405"/>
      <c r="V1717" s="405"/>
      <c r="W1717" s="405"/>
      <c r="X1717" s="405"/>
      <c r="Y1717" s="405"/>
      <c r="Z1717" s="405"/>
    </row>
    <row r="1718" ht="14.25" customHeight="1">
      <c r="A1718" s="656"/>
      <c r="B1718" s="405"/>
      <c r="C1718" s="405"/>
      <c r="D1718" s="405"/>
      <c r="E1718" s="405"/>
      <c r="F1718" s="657"/>
      <c r="G1718" s="583"/>
      <c r="H1718" s="405"/>
      <c r="I1718" s="405"/>
      <c r="J1718" s="405"/>
      <c r="K1718" s="405"/>
      <c r="L1718" s="405"/>
      <c r="M1718" s="405"/>
      <c r="N1718" s="405"/>
      <c r="O1718" s="405"/>
      <c r="P1718" s="405"/>
      <c r="Q1718" s="405"/>
      <c r="R1718" s="405"/>
      <c r="S1718" s="405"/>
      <c r="T1718" s="405"/>
      <c r="U1718" s="405"/>
      <c r="V1718" s="405"/>
      <c r="W1718" s="405"/>
      <c r="X1718" s="405"/>
      <c r="Y1718" s="405"/>
      <c r="Z1718" s="405"/>
    </row>
    <row r="1719" ht="14.25" customHeight="1">
      <c r="A1719" s="656"/>
      <c r="B1719" s="405"/>
      <c r="C1719" s="405"/>
      <c r="D1719" s="405"/>
      <c r="E1719" s="405"/>
      <c r="F1719" s="657"/>
      <c r="G1719" s="583"/>
      <c r="H1719" s="405"/>
      <c r="I1719" s="405"/>
      <c r="J1719" s="405"/>
      <c r="K1719" s="405"/>
      <c r="L1719" s="405"/>
      <c r="M1719" s="405"/>
      <c r="N1719" s="405"/>
      <c r="O1719" s="405"/>
      <c r="P1719" s="405"/>
      <c r="Q1719" s="405"/>
      <c r="R1719" s="405"/>
      <c r="S1719" s="405"/>
      <c r="T1719" s="405"/>
      <c r="U1719" s="405"/>
      <c r="V1719" s="405"/>
      <c r="W1719" s="405"/>
      <c r="X1719" s="405"/>
      <c r="Y1719" s="405"/>
      <c r="Z1719" s="405"/>
    </row>
    <row r="1720" ht="14.25" customHeight="1">
      <c r="A1720" s="656"/>
      <c r="B1720" s="405"/>
      <c r="C1720" s="405"/>
      <c r="D1720" s="405"/>
      <c r="E1720" s="405"/>
      <c r="F1720" s="657"/>
      <c r="G1720" s="583"/>
      <c r="H1720" s="405"/>
      <c r="I1720" s="405"/>
      <c r="J1720" s="405"/>
      <c r="K1720" s="405"/>
      <c r="L1720" s="405"/>
      <c r="M1720" s="405"/>
      <c r="N1720" s="405"/>
      <c r="O1720" s="405"/>
      <c r="P1720" s="405"/>
      <c r="Q1720" s="405"/>
      <c r="R1720" s="405"/>
      <c r="S1720" s="405"/>
      <c r="T1720" s="405"/>
      <c r="U1720" s="405"/>
      <c r="V1720" s="405"/>
      <c r="W1720" s="405"/>
      <c r="X1720" s="405"/>
      <c r="Y1720" s="405"/>
      <c r="Z1720" s="405"/>
    </row>
    <row r="1721" ht="14.25" customHeight="1">
      <c r="A1721" s="656"/>
      <c r="B1721" s="405"/>
      <c r="C1721" s="405"/>
      <c r="D1721" s="405"/>
      <c r="E1721" s="405"/>
      <c r="F1721" s="657"/>
      <c r="G1721" s="583"/>
      <c r="H1721" s="405"/>
      <c r="I1721" s="405"/>
      <c r="J1721" s="405"/>
      <c r="K1721" s="405"/>
      <c r="L1721" s="405"/>
      <c r="M1721" s="405"/>
      <c r="N1721" s="405"/>
      <c r="O1721" s="405"/>
      <c r="P1721" s="405"/>
      <c r="Q1721" s="405"/>
      <c r="R1721" s="405"/>
      <c r="S1721" s="405"/>
      <c r="T1721" s="405"/>
      <c r="U1721" s="405"/>
      <c r="V1721" s="405"/>
      <c r="W1721" s="405"/>
      <c r="X1721" s="405"/>
      <c r="Y1721" s="405"/>
      <c r="Z1721" s="405"/>
    </row>
    <row r="1722" ht="14.25" customHeight="1">
      <c r="A1722" s="656"/>
      <c r="B1722" s="405"/>
      <c r="C1722" s="405"/>
      <c r="D1722" s="405"/>
      <c r="E1722" s="405"/>
      <c r="F1722" s="657"/>
      <c r="G1722" s="583"/>
      <c r="H1722" s="405"/>
      <c r="I1722" s="405"/>
      <c r="J1722" s="405"/>
      <c r="K1722" s="405"/>
      <c r="L1722" s="405"/>
      <c r="M1722" s="405"/>
      <c r="N1722" s="405"/>
      <c r="O1722" s="405"/>
      <c r="P1722" s="405"/>
      <c r="Q1722" s="405"/>
      <c r="R1722" s="405"/>
      <c r="S1722" s="405"/>
      <c r="T1722" s="405"/>
      <c r="U1722" s="405"/>
      <c r="V1722" s="405"/>
      <c r="W1722" s="405"/>
      <c r="X1722" s="405"/>
      <c r="Y1722" s="405"/>
      <c r="Z1722" s="405"/>
    </row>
    <row r="1723" ht="14.25" customHeight="1">
      <c r="A1723" s="656"/>
      <c r="B1723" s="405"/>
      <c r="C1723" s="405"/>
      <c r="D1723" s="405"/>
      <c r="E1723" s="405"/>
      <c r="F1723" s="657"/>
      <c r="G1723" s="583"/>
      <c r="H1723" s="405"/>
      <c r="I1723" s="405"/>
      <c r="J1723" s="405"/>
      <c r="K1723" s="405"/>
      <c r="L1723" s="405"/>
      <c r="M1723" s="405"/>
      <c r="N1723" s="405"/>
      <c r="O1723" s="405"/>
      <c r="P1723" s="405"/>
      <c r="Q1723" s="405"/>
      <c r="R1723" s="405"/>
      <c r="S1723" s="405"/>
      <c r="T1723" s="405"/>
      <c r="U1723" s="405"/>
      <c r="V1723" s="405"/>
      <c r="W1723" s="405"/>
      <c r="X1723" s="405"/>
      <c r="Y1723" s="405"/>
      <c r="Z1723" s="405"/>
    </row>
    <row r="1724" ht="14.25" customHeight="1">
      <c r="A1724" s="656"/>
      <c r="B1724" s="405"/>
      <c r="C1724" s="405"/>
      <c r="D1724" s="405"/>
      <c r="E1724" s="405"/>
      <c r="F1724" s="657"/>
      <c r="G1724" s="583"/>
      <c r="H1724" s="405"/>
      <c r="I1724" s="405"/>
      <c r="J1724" s="405"/>
      <c r="K1724" s="405"/>
      <c r="L1724" s="405"/>
      <c r="M1724" s="405"/>
      <c r="N1724" s="405"/>
      <c r="O1724" s="405"/>
      <c r="P1724" s="405"/>
      <c r="Q1724" s="405"/>
      <c r="R1724" s="405"/>
      <c r="S1724" s="405"/>
      <c r="T1724" s="405"/>
      <c r="U1724" s="405"/>
      <c r="V1724" s="405"/>
      <c r="W1724" s="405"/>
      <c r="X1724" s="405"/>
      <c r="Y1724" s="405"/>
      <c r="Z1724" s="405"/>
    </row>
    <row r="1725" ht="14.25" customHeight="1">
      <c r="A1725" s="656"/>
      <c r="B1725" s="405"/>
      <c r="C1725" s="405"/>
      <c r="D1725" s="405"/>
      <c r="E1725" s="405"/>
      <c r="F1725" s="657"/>
      <c r="G1725" s="583"/>
      <c r="H1725" s="405"/>
      <c r="I1725" s="405"/>
      <c r="J1725" s="405"/>
      <c r="K1725" s="405"/>
      <c r="L1725" s="405"/>
      <c r="M1725" s="405"/>
      <c r="N1725" s="405"/>
      <c r="O1725" s="405"/>
      <c r="P1725" s="405"/>
      <c r="Q1725" s="405"/>
      <c r="R1725" s="405"/>
      <c r="S1725" s="405"/>
      <c r="T1725" s="405"/>
      <c r="U1725" s="405"/>
      <c r="V1725" s="405"/>
      <c r="W1725" s="405"/>
      <c r="X1725" s="405"/>
      <c r="Y1725" s="405"/>
      <c r="Z1725" s="405"/>
    </row>
    <row r="1726" ht="14.25" customHeight="1">
      <c r="A1726" s="656"/>
      <c r="B1726" s="405"/>
      <c r="C1726" s="405"/>
      <c r="D1726" s="405"/>
      <c r="E1726" s="405"/>
      <c r="F1726" s="657"/>
      <c r="G1726" s="583"/>
      <c r="H1726" s="405"/>
      <c r="I1726" s="405"/>
      <c r="J1726" s="405"/>
      <c r="K1726" s="405"/>
      <c r="L1726" s="405"/>
      <c r="M1726" s="405"/>
      <c r="N1726" s="405"/>
      <c r="O1726" s="405"/>
      <c r="P1726" s="405"/>
      <c r="Q1726" s="405"/>
      <c r="R1726" s="405"/>
      <c r="S1726" s="405"/>
      <c r="T1726" s="405"/>
      <c r="U1726" s="405"/>
      <c r="V1726" s="405"/>
      <c r="W1726" s="405"/>
      <c r="X1726" s="405"/>
      <c r="Y1726" s="405"/>
      <c r="Z1726" s="405"/>
    </row>
    <row r="1727" ht="14.25" customHeight="1">
      <c r="A1727" s="656"/>
      <c r="B1727" s="405"/>
      <c r="C1727" s="405"/>
      <c r="D1727" s="405"/>
      <c r="E1727" s="405"/>
      <c r="F1727" s="657"/>
      <c r="G1727" s="583"/>
      <c r="H1727" s="405"/>
      <c r="I1727" s="405"/>
      <c r="J1727" s="405"/>
      <c r="K1727" s="405"/>
      <c r="L1727" s="405"/>
      <c r="M1727" s="405"/>
      <c r="N1727" s="405"/>
      <c r="O1727" s="405"/>
      <c r="P1727" s="405"/>
      <c r="Q1727" s="405"/>
      <c r="R1727" s="405"/>
      <c r="S1727" s="405"/>
      <c r="T1727" s="405"/>
      <c r="U1727" s="405"/>
      <c r="V1727" s="405"/>
      <c r="W1727" s="405"/>
      <c r="X1727" s="405"/>
      <c r="Y1727" s="405"/>
      <c r="Z1727" s="405"/>
    </row>
    <row r="1728" ht="14.25" customHeight="1">
      <c r="A1728" s="656"/>
      <c r="B1728" s="405"/>
      <c r="C1728" s="405"/>
      <c r="D1728" s="405"/>
      <c r="E1728" s="405"/>
      <c r="F1728" s="657"/>
      <c r="G1728" s="583"/>
      <c r="H1728" s="405"/>
      <c r="I1728" s="405"/>
      <c r="J1728" s="405"/>
      <c r="K1728" s="405"/>
      <c r="L1728" s="405"/>
      <c r="M1728" s="405"/>
      <c r="N1728" s="405"/>
      <c r="O1728" s="405"/>
      <c r="P1728" s="405"/>
      <c r="Q1728" s="405"/>
      <c r="R1728" s="405"/>
      <c r="S1728" s="405"/>
      <c r="T1728" s="405"/>
      <c r="U1728" s="405"/>
      <c r="V1728" s="405"/>
      <c r="W1728" s="405"/>
      <c r="X1728" s="405"/>
      <c r="Y1728" s="405"/>
      <c r="Z1728" s="405"/>
    </row>
    <row r="1729" ht="14.25" customHeight="1">
      <c r="A1729" s="656"/>
      <c r="B1729" s="405"/>
      <c r="C1729" s="405"/>
      <c r="D1729" s="405"/>
      <c r="E1729" s="405"/>
      <c r="F1729" s="657"/>
      <c r="G1729" s="583"/>
      <c r="H1729" s="405"/>
      <c r="I1729" s="405"/>
      <c r="J1729" s="405"/>
      <c r="K1729" s="405"/>
      <c r="L1729" s="405"/>
      <c r="M1729" s="405"/>
      <c r="N1729" s="405"/>
      <c r="O1729" s="405"/>
      <c r="P1729" s="405"/>
      <c r="Q1729" s="405"/>
      <c r="R1729" s="405"/>
      <c r="S1729" s="405"/>
      <c r="T1729" s="405"/>
      <c r="U1729" s="405"/>
      <c r="V1729" s="405"/>
      <c r="W1729" s="405"/>
      <c r="X1729" s="405"/>
      <c r="Y1729" s="405"/>
      <c r="Z1729" s="405"/>
    </row>
    <row r="1730" ht="14.25" customHeight="1">
      <c r="A1730" s="656"/>
      <c r="B1730" s="405"/>
      <c r="C1730" s="405"/>
      <c r="D1730" s="405"/>
      <c r="E1730" s="405"/>
      <c r="F1730" s="657"/>
      <c r="G1730" s="583"/>
      <c r="H1730" s="405"/>
      <c r="I1730" s="405"/>
      <c r="J1730" s="405"/>
      <c r="K1730" s="405"/>
      <c r="L1730" s="405"/>
      <c r="M1730" s="405"/>
      <c r="N1730" s="405"/>
      <c r="O1730" s="405"/>
      <c r="P1730" s="405"/>
      <c r="Q1730" s="405"/>
      <c r="R1730" s="405"/>
      <c r="S1730" s="405"/>
      <c r="T1730" s="405"/>
      <c r="U1730" s="405"/>
      <c r="V1730" s="405"/>
      <c r="W1730" s="405"/>
      <c r="X1730" s="405"/>
      <c r="Y1730" s="405"/>
      <c r="Z1730" s="405"/>
    </row>
    <row r="1731" ht="14.25" customHeight="1">
      <c r="A1731" s="656"/>
      <c r="B1731" s="405"/>
      <c r="C1731" s="405"/>
      <c r="D1731" s="405"/>
      <c r="E1731" s="405"/>
      <c r="F1731" s="657"/>
      <c r="G1731" s="583"/>
      <c r="H1731" s="405"/>
      <c r="I1731" s="405"/>
      <c r="J1731" s="405"/>
      <c r="K1731" s="405"/>
      <c r="L1731" s="405"/>
      <c r="M1731" s="405"/>
      <c r="N1731" s="405"/>
      <c r="O1731" s="405"/>
      <c r="P1731" s="405"/>
      <c r="Q1731" s="405"/>
      <c r="R1731" s="405"/>
      <c r="S1731" s="405"/>
      <c r="T1731" s="405"/>
      <c r="U1731" s="405"/>
      <c r="V1731" s="405"/>
      <c r="W1731" s="405"/>
      <c r="X1731" s="405"/>
      <c r="Y1731" s="405"/>
      <c r="Z1731" s="405"/>
    </row>
    <row r="1732" ht="14.25" customHeight="1">
      <c r="A1732" s="656"/>
      <c r="B1732" s="405"/>
      <c r="C1732" s="405"/>
      <c r="D1732" s="405"/>
      <c r="E1732" s="405"/>
      <c r="F1732" s="657"/>
      <c r="G1732" s="583"/>
      <c r="H1732" s="405"/>
      <c r="I1732" s="405"/>
      <c r="J1732" s="405"/>
      <c r="K1732" s="405"/>
      <c r="L1732" s="405"/>
      <c r="M1732" s="405"/>
      <c r="N1732" s="405"/>
      <c r="O1732" s="405"/>
      <c r="P1732" s="405"/>
      <c r="Q1732" s="405"/>
      <c r="R1732" s="405"/>
      <c r="S1732" s="405"/>
      <c r="T1732" s="405"/>
      <c r="U1732" s="405"/>
      <c r="V1732" s="405"/>
      <c r="W1732" s="405"/>
      <c r="X1732" s="405"/>
      <c r="Y1732" s="405"/>
      <c r="Z1732" s="405"/>
    </row>
    <row r="1733" ht="14.25" customHeight="1">
      <c r="A1733" s="656"/>
      <c r="B1733" s="405"/>
      <c r="C1733" s="405"/>
      <c r="D1733" s="405"/>
      <c r="E1733" s="405"/>
      <c r="F1733" s="657"/>
      <c r="G1733" s="583"/>
      <c r="H1733" s="405"/>
      <c r="I1733" s="405"/>
      <c r="J1733" s="405"/>
      <c r="K1733" s="405"/>
      <c r="L1733" s="405"/>
      <c r="M1733" s="405"/>
      <c r="N1733" s="405"/>
      <c r="O1733" s="405"/>
      <c r="P1733" s="405"/>
      <c r="Q1733" s="405"/>
      <c r="R1733" s="405"/>
      <c r="S1733" s="405"/>
      <c r="T1733" s="405"/>
      <c r="U1733" s="405"/>
      <c r="V1733" s="405"/>
      <c r="W1733" s="405"/>
      <c r="X1733" s="405"/>
      <c r="Y1733" s="405"/>
      <c r="Z1733" s="405"/>
    </row>
    <row r="1734" ht="14.25" customHeight="1">
      <c r="A1734" s="656"/>
      <c r="B1734" s="405"/>
      <c r="C1734" s="405"/>
      <c r="D1734" s="405"/>
      <c r="E1734" s="405"/>
      <c r="F1734" s="657"/>
      <c r="G1734" s="583"/>
      <c r="H1734" s="405"/>
      <c r="I1734" s="405"/>
      <c r="J1734" s="405"/>
      <c r="K1734" s="405"/>
      <c r="L1734" s="405"/>
      <c r="M1734" s="405"/>
      <c r="N1734" s="405"/>
      <c r="O1734" s="405"/>
      <c r="P1734" s="405"/>
      <c r="Q1734" s="405"/>
      <c r="R1734" s="405"/>
      <c r="S1734" s="405"/>
      <c r="T1734" s="405"/>
      <c r="U1734" s="405"/>
      <c r="V1734" s="405"/>
      <c r="W1734" s="405"/>
      <c r="X1734" s="405"/>
      <c r="Y1734" s="405"/>
      <c r="Z1734" s="405"/>
    </row>
    <row r="1735" ht="14.25" customHeight="1">
      <c r="A1735" s="656"/>
      <c r="B1735" s="405"/>
      <c r="C1735" s="405"/>
      <c r="D1735" s="405"/>
      <c r="E1735" s="405"/>
      <c r="F1735" s="657"/>
      <c r="G1735" s="583"/>
      <c r="H1735" s="405"/>
      <c r="I1735" s="405"/>
      <c r="J1735" s="405"/>
      <c r="K1735" s="405"/>
      <c r="L1735" s="405"/>
      <c r="M1735" s="405"/>
      <c r="N1735" s="405"/>
      <c r="O1735" s="405"/>
      <c r="P1735" s="405"/>
      <c r="Q1735" s="405"/>
      <c r="R1735" s="405"/>
      <c r="S1735" s="405"/>
      <c r="T1735" s="405"/>
      <c r="U1735" s="405"/>
      <c r="V1735" s="405"/>
      <c r="W1735" s="405"/>
      <c r="X1735" s="405"/>
      <c r="Y1735" s="405"/>
      <c r="Z1735" s="405"/>
    </row>
    <row r="1736" ht="14.25" customHeight="1">
      <c r="A1736" s="656"/>
      <c r="B1736" s="405"/>
      <c r="C1736" s="405"/>
      <c r="D1736" s="405"/>
      <c r="E1736" s="405"/>
      <c r="F1736" s="657"/>
      <c r="G1736" s="583"/>
      <c r="H1736" s="405"/>
      <c r="I1736" s="405"/>
      <c r="J1736" s="405"/>
      <c r="K1736" s="405"/>
      <c r="L1736" s="405"/>
      <c r="M1736" s="405"/>
      <c r="N1736" s="405"/>
      <c r="O1736" s="405"/>
      <c r="P1736" s="405"/>
      <c r="Q1736" s="405"/>
      <c r="R1736" s="405"/>
      <c r="S1736" s="405"/>
      <c r="T1736" s="405"/>
      <c r="U1736" s="405"/>
      <c r="V1736" s="405"/>
      <c r="W1736" s="405"/>
      <c r="X1736" s="405"/>
      <c r="Y1736" s="405"/>
      <c r="Z1736" s="405"/>
    </row>
    <row r="1737" ht="14.25" customHeight="1">
      <c r="A1737" s="656"/>
      <c r="B1737" s="405"/>
      <c r="C1737" s="405"/>
      <c r="D1737" s="405"/>
      <c r="E1737" s="405"/>
      <c r="F1737" s="657"/>
      <c r="G1737" s="583"/>
      <c r="H1737" s="405"/>
      <c r="I1737" s="405"/>
      <c r="J1737" s="405"/>
      <c r="K1737" s="405"/>
      <c r="L1737" s="405"/>
      <c r="M1737" s="405"/>
      <c r="N1737" s="405"/>
      <c r="O1737" s="405"/>
      <c r="P1737" s="405"/>
      <c r="Q1737" s="405"/>
      <c r="R1737" s="405"/>
      <c r="S1737" s="405"/>
      <c r="T1737" s="405"/>
      <c r="U1737" s="405"/>
      <c r="V1737" s="405"/>
      <c r="W1737" s="405"/>
      <c r="X1737" s="405"/>
      <c r="Y1737" s="405"/>
      <c r="Z1737" s="405"/>
    </row>
    <row r="1738" ht="14.25" customHeight="1">
      <c r="A1738" s="656"/>
      <c r="B1738" s="405"/>
      <c r="C1738" s="405"/>
      <c r="D1738" s="405"/>
      <c r="E1738" s="405"/>
      <c r="F1738" s="657"/>
      <c r="G1738" s="583"/>
      <c r="H1738" s="405"/>
      <c r="I1738" s="405"/>
      <c r="J1738" s="405"/>
      <c r="K1738" s="405"/>
      <c r="L1738" s="405"/>
      <c r="M1738" s="405"/>
      <c r="N1738" s="405"/>
      <c r="O1738" s="405"/>
      <c r="P1738" s="405"/>
      <c r="Q1738" s="405"/>
      <c r="R1738" s="405"/>
      <c r="S1738" s="405"/>
      <c r="T1738" s="405"/>
      <c r="U1738" s="405"/>
      <c r="V1738" s="405"/>
      <c r="W1738" s="405"/>
      <c r="X1738" s="405"/>
      <c r="Y1738" s="405"/>
      <c r="Z1738" s="405"/>
    </row>
    <row r="1739" ht="14.25" customHeight="1">
      <c r="A1739" s="656"/>
      <c r="B1739" s="405"/>
      <c r="C1739" s="405"/>
      <c r="D1739" s="405"/>
      <c r="E1739" s="405"/>
      <c r="F1739" s="657"/>
      <c r="G1739" s="583"/>
      <c r="H1739" s="405"/>
      <c r="I1739" s="405"/>
      <c r="J1739" s="405"/>
      <c r="K1739" s="405"/>
      <c r="L1739" s="405"/>
      <c r="M1739" s="405"/>
      <c r="N1739" s="405"/>
      <c r="O1739" s="405"/>
      <c r="P1739" s="405"/>
      <c r="Q1739" s="405"/>
      <c r="R1739" s="405"/>
      <c r="S1739" s="405"/>
      <c r="T1739" s="405"/>
      <c r="U1739" s="405"/>
      <c r="V1739" s="405"/>
      <c r="W1739" s="405"/>
      <c r="X1739" s="405"/>
      <c r="Y1739" s="405"/>
      <c r="Z1739" s="405"/>
    </row>
    <row r="1740" ht="14.25" customHeight="1">
      <c r="A1740" s="656"/>
      <c r="B1740" s="405"/>
      <c r="C1740" s="405"/>
      <c r="D1740" s="405"/>
      <c r="E1740" s="405"/>
      <c r="F1740" s="657"/>
      <c r="G1740" s="583"/>
      <c r="H1740" s="405"/>
      <c r="I1740" s="405"/>
      <c r="J1740" s="405"/>
      <c r="K1740" s="405"/>
      <c r="L1740" s="405"/>
      <c r="M1740" s="405"/>
      <c r="N1740" s="405"/>
      <c r="O1740" s="405"/>
      <c r="P1740" s="405"/>
      <c r="Q1740" s="405"/>
      <c r="R1740" s="405"/>
      <c r="S1740" s="405"/>
      <c r="T1740" s="405"/>
      <c r="U1740" s="405"/>
      <c r="V1740" s="405"/>
      <c r="W1740" s="405"/>
      <c r="X1740" s="405"/>
      <c r="Y1740" s="405"/>
      <c r="Z1740" s="405"/>
    </row>
    <row r="1741" ht="14.25" customHeight="1">
      <c r="A1741" s="656"/>
      <c r="B1741" s="405"/>
      <c r="C1741" s="405"/>
      <c r="D1741" s="405"/>
      <c r="E1741" s="405"/>
      <c r="F1741" s="657"/>
      <c r="G1741" s="583"/>
      <c r="H1741" s="405"/>
      <c r="I1741" s="405"/>
      <c r="J1741" s="405"/>
      <c r="K1741" s="405"/>
      <c r="L1741" s="405"/>
      <c r="M1741" s="405"/>
      <c r="N1741" s="405"/>
      <c r="O1741" s="405"/>
      <c r="P1741" s="405"/>
      <c r="Q1741" s="405"/>
      <c r="R1741" s="405"/>
      <c r="S1741" s="405"/>
      <c r="T1741" s="405"/>
      <c r="U1741" s="405"/>
      <c r="V1741" s="405"/>
      <c r="W1741" s="405"/>
      <c r="X1741" s="405"/>
      <c r="Y1741" s="405"/>
      <c r="Z1741" s="405"/>
    </row>
    <row r="1742" ht="14.25" customHeight="1">
      <c r="A1742" s="656"/>
      <c r="B1742" s="405"/>
      <c r="C1742" s="405"/>
      <c r="D1742" s="405"/>
      <c r="E1742" s="405"/>
      <c r="F1742" s="657"/>
      <c r="G1742" s="583"/>
      <c r="H1742" s="405"/>
      <c r="I1742" s="405"/>
      <c r="J1742" s="405"/>
      <c r="K1742" s="405"/>
      <c r="L1742" s="405"/>
      <c r="M1742" s="405"/>
      <c r="N1742" s="405"/>
      <c r="O1742" s="405"/>
      <c r="P1742" s="405"/>
      <c r="Q1742" s="405"/>
      <c r="R1742" s="405"/>
      <c r="S1742" s="405"/>
      <c r="T1742" s="405"/>
      <c r="U1742" s="405"/>
      <c r="V1742" s="405"/>
      <c r="W1742" s="405"/>
      <c r="X1742" s="405"/>
      <c r="Y1742" s="405"/>
      <c r="Z1742" s="405"/>
    </row>
    <row r="1743" ht="14.25" customHeight="1">
      <c r="A1743" s="656"/>
      <c r="B1743" s="405"/>
      <c r="C1743" s="405"/>
      <c r="D1743" s="405"/>
      <c r="E1743" s="405"/>
      <c r="F1743" s="657"/>
      <c r="G1743" s="583"/>
      <c r="H1743" s="405"/>
      <c r="I1743" s="405"/>
      <c r="J1743" s="405"/>
      <c r="K1743" s="405"/>
      <c r="L1743" s="405"/>
      <c r="M1743" s="405"/>
      <c r="N1743" s="405"/>
      <c r="O1743" s="405"/>
      <c r="P1743" s="405"/>
      <c r="Q1743" s="405"/>
      <c r="R1743" s="405"/>
      <c r="S1743" s="405"/>
      <c r="T1743" s="405"/>
      <c r="U1743" s="405"/>
      <c r="V1743" s="405"/>
      <c r="W1743" s="405"/>
      <c r="X1743" s="405"/>
      <c r="Y1743" s="405"/>
      <c r="Z1743" s="405"/>
    </row>
    <row r="1744" ht="14.25" customHeight="1">
      <c r="A1744" s="656"/>
      <c r="B1744" s="405"/>
      <c r="C1744" s="405"/>
      <c r="D1744" s="405"/>
      <c r="E1744" s="405"/>
      <c r="F1744" s="657"/>
      <c r="G1744" s="583"/>
      <c r="H1744" s="405"/>
      <c r="I1744" s="405"/>
      <c r="J1744" s="405"/>
      <c r="K1744" s="405"/>
      <c r="L1744" s="405"/>
      <c r="M1744" s="405"/>
      <c r="N1744" s="405"/>
      <c r="O1744" s="405"/>
      <c r="P1744" s="405"/>
      <c r="Q1744" s="405"/>
      <c r="R1744" s="405"/>
      <c r="S1744" s="405"/>
      <c r="T1744" s="405"/>
      <c r="U1744" s="405"/>
      <c r="V1744" s="405"/>
      <c r="W1744" s="405"/>
      <c r="X1744" s="405"/>
      <c r="Y1744" s="405"/>
      <c r="Z1744" s="405"/>
    </row>
    <row r="1745" ht="14.25" customHeight="1">
      <c r="A1745" s="656"/>
      <c r="B1745" s="405"/>
      <c r="C1745" s="405"/>
      <c r="D1745" s="405"/>
      <c r="E1745" s="405"/>
      <c r="F1745" s="657"/>
      <c r="G1745" s="583"/>
      <c r="H1745" s="405"/>
      <c r="I1745" s="405"/>
      <c r="J1745" s="405"/>
      <c r="K1745" s="405"/>
      <c r="L1745" s="405"/>
      <c r="M1745" s="405"/>
      <c r="N1745" s="405"/>
      <c r="O1745" s="405"/>
      <c r="P1745" s="405"/>
      <c r="Q1745" s="405"/>
      <c r="R1745" s="405"/>
      <c r="S1745" s="405"/>
      <c r="T1745" s="405"/>
      <c r="U1745" s="405"/>
      <c r="V1745" s="405"/>
      <c r="W1745" s="405"/>
      <c r="X1745" s="405"/>
      <c r="Y1745" s="405"/>
      <c r="Z1745" s="405"/>
    </row>
    <row r="1746" ht="14.25" customHeight="1">
      <c r="A1746" s="656"/>
      <c r="B1746" s="405"/>
      <c r="C1746" s="405"/>
      <c r="D1746" s="405"/>
      <c r="E1746" s="405"/>
      <c r="F1746" s="657"/>
      <c r="G1746" s="583"/>
      <c r="H1746" s="405"/>
      <c r="I1746" s="405"/>
      <c r="J1746" s="405"/>
      <c r="K1746" s="405"/>
      <c r="L1746" s="405"/>
      <c r="M1746" s="405"/>
      <c r="N1746" s="405"/>
      <c r="O1746" s="405"/>
      <c r="P1746" s="405"/>
      <c r="Q1746" s="405"/>
      <c r="R1746" s="405"/>
      <c r="S1746" s="405"/>
      <c r="T1746" s="405"/>
      <c r="U1746" s="405"/>
      <c r="V1746" s="405"/>
      <c r="W1746" s="405"/>
      <c r="X1746" s="405"/>
      <c r="Y1746" s="405"/>
      <c r="Z1746" s="405"/>
    </row>
    <row r="1747" ht="14.25" customHeight="1">
      <c r="A1747" s="656"/>
      <c r="B1747" s="405"/>
      <c r="C1747" s="405"/>
      <c r="D1747" s="405"/>
      <c r="E1747" s="405"/>
      <c r="F1747" s="657"/>
      <c r="G1747" s="583"/>
      <c r="H1747" s="405"/>
      <c r="I1747" s="405"/>
      <c r="J1747" s="405"/>
      <c r="K1747" s="405"/>
      <c r="L1747" s="405"/>
      <c r="M1747" s="405"/>
      <c r="N1747" s="405"/>
      <c r="O1747" s="405"/>
      <c r="P1747" s="405"/>
      <c r="Q1747" s="405"/>
      <c r="R1747" s="405"/>
      <c r="S1747" s="405"/>
      <c r="T1747" s="405"/>
      <c r="U1747" s="405"/>
      <c r="V1747" s="405"/>
      <c r="W1747" s="405"/>
      <c r="X1747" s="405"/>
      <c r="Y1747" s="405"/>
      <c r="Z1747" s="405"/>
    </row>
    <row r="1748" ht="14.25" customHeight="1">
      <c r="A1748" s="656"/>
      <c r="B1748" s="405"/>
      <c r="C1748" s="405"/>
      <c r="D1748" s="405"/>
      <c r="E1748" s="405"/>
      <c r="F1748" s="657"/>
      <c r="G1748" s="583"/>
      <c r="H1748" s="405"/>
      <c r="I1748" s="405"/>
      <c r="J1748" s="405"/>
      <c r="K1748" s="405"/>
      <c r="L1748" s="405"/>
      <c r="M1748" s="405"/>
      <c r="N1748" s="405"/>
      <c r="O1748" s="405"/>
      <c r="P1748" s="405"/>
      <c r="Q1748" s="405"/>
      <c r="R1748" s="405"/>
      <c r="S1748" s="405"/>
      <c r="T1748" s="405"/>
      <c r="U1748" s="405"/>
      <c r="V1748" s="405"/>
      <c r="W1748" s="405"/>
      <c r="X1748" s="405"/>
      <c r="Y1748" s="405"/>
      <c r="Z1748" s="405"/>
    </row>
    <row r="1749" ht="14.25" customHeight="1">
      <c r="A1749" s="656"/>
      <c r="B1749" s="405"/>
      <c r="C1749" s="405"/>
      <c r="D1749" s="405"/>
      <c r="E1749" s="405"/>
      <c r="F1749" s="657"/>
      <c r="G1749" s="583"/>
      <c r="H1749" s="405"/>
      <c r="I1749" s="405"/>
      <c r="J1749" s="405"/>
      <c r="K1749" s="405"/>
      <c r="L1749" s="405"/>
      <c r="M1749" s="405"/>
      <c r="N1749" s="405"/>
      <c r="O1749" s="405"/>
      <c r="P1749" s="405"/>
      <c r="Q1749" s="405"/>
      <c r="R1749" s="405"/>
      <c r="S1749" s="405"/>
      <c r="T1749" s="405"/>
      <c r="U1749" s="405"/>
      <c r="V1749" s="405"/>
      <c r="W1749" s="405"/>
      <c r="X1749" s="405"/>
      <c r="Y1749" s="405"/>
      <c r="Z1749" s="405"/>
    </row>
    <row r="1750" ht="14.25" customHeight="1">
      <c r="A1750" s="656"/>
      <c r="B1750" s="405"/>
      <c r="C1750" s="405"/>
      <c r="D1750" s="405"/>
      <c r="E1750" s="405"/>
      <c r="F1750" s="657"/>
      <c r="G1750" s="583"/>
      <c r="H1750" s="405"/>
      <c r="I1750" s="405"/>
      <c r="J1750" s="405"/>
      <c r="K1750" s="405"/>
      <c r="L1750" s="405"/>
      <c r="M1750" s="405"/>
      <c r="N1750" s="405"/>
      <c r="O1750" s="405"/>
      <c r="P1750" s="405"/>
      <c r="Q1750" s="405"/>
      <c r="R1750" s="405"/>
      <c r="S1750" s="405"/>
      <c r="T1750" s="405"/>
      <c r="U1750" s="405"/>
      <c r="V1750" s="405"/>
      <c r="W1750" s="405"/>
      <c r="X1750" s="405"/>
      <c r="Y1750" s="405"/>
      <c r="Z1750" s="405"/>
    </row>
    <row r="1751" ht="14.25" customHeight="1">
      <c r="A1751" s="656"/>
      <c r="B1751" s="405"/>
      <c r="C1751" s="405"/>
      <c r="D1751" s="405"/>
      <c r="E1751" s="405"/>
      <c r="F1751" s="657"/>
      <c r="G1751" s="583"/>
      <c r="H1751" s="405"/>
      <c r="I1751" s="405"/>
      <c r="J1751" s="405"/>
      <c r="K1751" s="405"/>
      <c r="L1751" s="405"/>
      <c r="M1751" s="405"/>
      <c r="N1751" s="405"/>
      <c r="O1751" s="405"/>
      <c r="P1751" s="405"/>
      <c r="Q1751" s="405"/>
      <c r="R1751" s="405"/>
      <c r="S1751" s="405"/>
      <c r="T1751" s="405"/>
      <c r="U1751" s="405"/>
      <c r="V1751" s="405"/>
      <c r="W1751" s="405"/>
      <c r="X1751" s="405"/>
      <c r="Y1751" s="405"/>
      <c r="Z1751" s="405"/>
    </row>
    <row r="1752" ht="14.25" customHeight="1">
      <c r="A1752" s="656"/>
      <c r="B1752" s="405"/>
      <c r="C1752" s="405"/>
      <c r="D1752" s="405"/>
      <c r="E1752" s="405"/>
      <c r="F1752" s="657"/>
      <c r="G1752" s="583"/>
      <c r="H1752" s="405"/>
      <c r="I1752" s="405"/>
      <c r="J1752" s="405"/>
      <c r="K1752" s="405"/>
      <c r="L1752" s="405"/>
      <c r="M1752" s="405"/>
      <c r="N1752" s="405"/>
      <c r="O1752" s="405"/>
      <c r="P1752" s="405"/>
      <c r="Q1752" s="405"/>
      <c r="R1752" s="405"/>
      <c r="S1752" s="405"/>
      <c r="T1752" s="405"/>
      <c r="U1752" s="405"/>
      <c r="V1752" s="405"/>
      <c r="W1752" s="405"/>
      <c r="X1752" s="405"/>
      <c r="Y1752" s="405"/>
      <c r="Z1752" s="405"/>
    </row>
    <row r="1753" ht="14.25" customHeight="1">
      <c r="A1753" s="656"/>
      <c r="B1753" s="405"/>
      <c r="C1753" s="405"/>
      <c r="D1753" s="405"/>
      <c r="E1753" s="405"/>
      <c r="F1753" s="657"/>
      <c r="G1753" s="583"/>
      <c r="H1753" s="405"/>
      <c r="I1753" s="405"/>
      <c r="J1753" s="405"/>
      <c r="K1753" s="405"/>
      <c r="L1753" s="405"/>
      <c r="M1753" s="405"/>
      <c r="N1753" s="405"/>
      <c r="O1753" s="405"/>
      <c r="P1753" s="405"/>
      <c r="Q1753" s="405"/>
      <c r="R1753" s="405"/>
      <c r="S1753" s="405"/>
      <c r="T1753" s="405"/>
      <c r="U1753" s="405"/>
      <c r="V1753" s="405"/>
      <c r="W1753" s="405"/>
      <c r="X1753" s="405"/>
      <c r="Y1753" s="405"/>
      <c r="Z1753" s="405"/>
    </row>
    <row r="1754" ht="14.25" customHeight="1">
      <c r="A1754" s="656"/>
      <c r="B1754" s="405"/>
      <c r="C1754" s="405"/>
      <c r="D1754" s="405"/>
      <c r="E1754" s="405"/>
      <c r="F1754" s="657"/>
      <c r="G1754" s="583"/>
      <c r="H1754" s="405"/>
      <c r="I1754" s="405"/>
      <c r="J1754" s="405"/>
      <c r="K1754" s="405"/>
      <c r="L1754" s="405"/>
      <c r="M1754" s="405"/>
      <c r="N1754" s="405"/>
      <c r="O1754" s="405"/>
      <c r="P1754" s="405"/>
      <c r="Q1754" s="405"/>
      <c r="R1754" s="405"/>
      <c r="S1754" s="405"/>
      <c r="T1754" s="405"/>
      <c r="U1754" s="405"/>
      <c r="V1754" s="405"/>
      <c r="W1754" s="405"/>
      <c r="X1754" s="405"/>
      <c r="Y1754" s="405"/>
      <c r="Z1754" s="405"/>
    </row>
    <row r="1755" ht="14.25" customHeight="1">
      <c r="A1755" s="656"/>
      <c r="B1755" s="405"/>
      <c r="C1755" s="405"/>
      <c r="D1755" s="405"/>
      <c r="E1755" s="405"/>
      <c r="F1755" s="657"/>
      <c r="G1755" s="583"/>
      <c r="H1755" s="405"/>
      <c r="I1755" s="405"/>
      <c r="J1755" s="405"/>
      <c r="K1755" s="405"/>
      <c r="L1755" s="405"/>
      <c r="M1755" s="405"/>
      <c r="N1755" s="405"/>
      <c r="O1755" s="405"/>
      <c r="P1755" s="405"/>
      <c r="Q1755" s="405"/>
      <c r="R1755" s="405"/>
      <c r="S1755" s="405"/>
      <c r="T1755" s="405"/>
      <c r="U1755" s="405"/>
      <c r="V1755" s="405"/>
      <c r="W1755" s="405"/>
      <c r="X1755" s="405"/>
      <c r="Y1755" s="405"/>
      <c r="Z1755" s="405"/>
    </row>
    <row r="1756" ht="14.25" customHeight="1">
      <c r="A1756" s="656"/>
      <c r="B1756" s="405"/>
      <c r="C1756" s="405"/>
      <c r="D1756" s="405"/>
      <c r="E1756" s="405"/>
      <c r="F1756" s="657"/>
      <c r="G1756" s="583"/>
      <c r="H1756" s="405"/>
      <c r="I1756" s="405"/>
      <c r="J1756" s="405"/>
      <c r="K1756" s="405"/>
      <c r="L1756" s="405"/>
      <c r="M1756" s="405"/>
      <c r="N1756" s="405"/>
      <c r="O1756" s="405"/>
      <c r="P1756" s="405"/>
      <c r="Q1756" s="405"/>
      <c r="R1756" s="405"/>
      <c r="S1756" s="405"/>
      <c r="T1756" s="405"/>
      <c r="U1756" s="405"/>
      <c r="V1756" s="405"/>
      <c r="W1756" s="405"/>
      <c r="X1756" s="405"/>
      <c r="Y1756" s="405"/>
      <c r="Z1756" s="405"/>
    </row>
    <row r="1757" ht="14.25" customHeight="1">
      <c r="A1757" s="656"/>
      <c r="B1757" s="405"/>
      <c r="C1757" s="405"/>
      <c r="D1757" s="405"/>
      <c r="E1757" s="405"/>
      <c r="F1757" s="657"/>
      <c r="G1757" s="583"/>
      <c r="H1757" s="405"/>
      <c r="I1757" s="405"/>
      <c r="J1757" s="405"/>
      <c r="K1757" s="405"/>
      <c r="L1757" s="405"/>
      <c r="M1757" s="405"/>
      <c r="N1757" s="405"/>
      <c r="O1757" s="405"/>
      <c r="P1757" s="405"/>
      <c r="Q1757" s="405"/>
      <c r="R1757" s="405"/>
      <c r="S1757" s="405"/>
      <c r="T1757" s="405"/>
      <c r="U1757" s="405"/>
      <c r="V1757" s="405"/>
      <c r="W1757" s="405"/>
      <c r="X1757" s="405"/>
      <c r="Y1757" s="405"/>
      <c r="Z1757" s="405"/>
    </row>
    <row r="1758" ht="14.25" customHeight="1">
      <c r="A1758" s="656"/>
      <c r="B1758" s="405"/>
      <c r="C1758" s="405"/>
      <c r="D1758" s="405"/>
      <c r="E1758" s="405"/>
      <c r="F1758" s="657"/>
      <c r="G1758" s="583"/>
      <c r="H1758" s="405"/>
      <c r="I1758" s="405"/>
      <c r="J1758" s="405"/>
      <c r="K1758" s="405"/>
      <c r="L1758" s="405"/>
      <c r="M1758" s="405"/>
      <c r="N1758" s="405"/>
      <c r="O1758" s="405"/>
      <c r="P1758" s="405"/>
      <c r="Q1758" s="405"/>
      <c r="R1758" s="405"/>
      <c r="S1758" s="405"/>
      <c r="T1758" s="405"/>
      <c r="U1758" s="405"/>
      <c r="V1758" s="405"/>
      <c r="W1758" s="405"/>
      <c r="X1758" s="405"/>
      <c r="Y1758" s="405"/>
      <c r="Z1758" s="405"/>
    </row>
    <row r="1759" ht="14.25" customHeight="1">
      <c r="A1759" s="656"/>
      <c r="B1759" s="405"/>
      <c r="C1759" s="405"/>
      <c r="D1759" s="405"/>
      <c r="E1759" s="405"/>
      <c r="F1759" s="657"/>
      <c r="G1759" s="583"/>
      <c r="H1759" s="405"/>
      <c r="I1759" s="405"/>
      <c r="J1759" s="405"/>
      <c r="K1759" s="405"/>
      <c r="L1759" s="405"/>
      <c r="M1759" s="405"/>
      <c r="N1759" s="405"/>
      <c r="O1759" s="405"/>
      <c r="P1759" s="405"/>
      <c r="Q1759" s="405"/>
      <c r="R1759" s="405"/>
      <c r="S1759" s="405"/>
      <c r="T1759" s="405"/>
      <c r="U1759" s="405"/>
      <c r="V1759" s="405"/>
      <c r="W1759" s="405"/>
      <c r="X1759" s="405"/>
      <c r="Y1759" s="405"/>
      <c r="Z1759" s="405"/>
    </row>
    <row r="1760" ht="14.25" customHeight="1">
      <c r="A1760" s="656"/>
      <c r="B1760" s="405"/>
      <c r="C1760" s="405"/>
      <c r="D1760" s="405"/>
      <c r="E1760" s="405"/>
      <c r="F1760" s="657"/>
      <c r="G1760" s="583"/>
      <c r="H1760" s="405"/>
      <c r="I1760" s="405"/>
      <c r="J1760" s="405"/>
      <c r="K1760" s="405"/>
      <c r="L1760" s="405"/>
      <c r="M1760" s="405"/>
      <c r="N1760" s="405"/>
      <c r="O1760" s="405"/>
      <c r="P1760" s="405"/>
      <c r="Q1760" s="405"/>
      <c r="R1760" s="405"/>
      <c r="S1760" s="405"/>
      <c r="T1760" s="405"/>
      <c r="U1760" s="405"/>
      <c r="V1760" s="405"/>
      <c r="W1760" s="405"/>
      <c r="X1760" s="405"/>
      <c r="Y1760" s="405"/>
      <c r="Z1760" s="405"/>
    </row>
    <row r="1761" ht="14.25" customHeight="1">
      <c r="A1761" s="656"/>
      <c r="B1761" s="405"/>
      <c r="C1761" s="405"/>
      <c r="D1761" s="405"/>
      <c r="E1761" s="405"/>
      <c r="F1761" s="657"/>
      <c r="G1761" s="583"/>
      <c r="H1761" s="405"/>
      <c r="I1761" s="405"/>
      <c r="J1761" s="405"/>
      <c r="K1761" s="405"/>
      <c r="L1761" s="405"/>
      <c r="M1761" s="405"/>
      <c r="N1761" s="405"/>
      <c r="O1761" s="405"/>
      <c r="P1761" s="405"/>
      <c r="Q1761" s="405"/>
      <c r="R1761" s="405"/>
      <c r="S1761" s="405"/>
      <c r="T1761" s="405"/>
      <c r="U1761" s="405"/>
      <c r="V1761" s="405"/>
      <c r="W1761" s="405"/>
      <c r="X1761" s="405"/>
      <c r="Y1761" s="405"/>
      <c r="Z1761" s="405"/>
    </row>
    <row r="1762" ht="14.25" customHeight="1">
      <c r="A1762" s="656"/>
      <c r="B1762" s="405"/>
      <c r="C1762" s="405"/>
      <c r="D1762" s="405"/>
      <c r="E1762" s="405"/>
      <c r="F1762" s="657"/>
      <c r="G1762" s="583"/>
      <c r="H1762" s="405"/>
      <c r="I1762" s="405"/>
      <c r="J1762" s="405"/>
      <c r="K1762" s="405"/>
      <c r="L1762" s="405"/>
      <c r="M1762" s="405"/>
      <c r="N1762" s="405"/>
      <c r="O1762" s="405"/>
      <c r="P1762" s="405"/>
      <c r="Q1762" s="405"/>
      <c r="R1762" s="405"/>
      <c r="S1762" s="405"/>
      <c r="T1762" s="405"/>
      <c r="U1762" s="405"/>
      <c r="V1762" s="405"/>
      <c r="W1762" s="405"/>
      <c r="X1762" s="405"/>
      <c r="Y1762" s="405"/>
      <c r="Z1762" s="405"/>
    </row>
    <row r="1763" ht="14.25" customHeight="1">
      <c r="A1763" s="656"/>
      <c r="B1763" s="405"/>
      <c r="C1763" s="405"/>
      <c r="D1763" s="405"/>
      <c r="E1763" s="405"/>
      <c r="F1763" s="657"/>
      <c r="G1763" s="583"/>
      <c r="H1763" s="405"/>
      <c r="I1763" s="405"/>
      <c r="J1763" s="405"/>
      <c r="K1763" s="405"/>
      <c r="L1763" s="405"/>
      <c r="M1763" s="405"/>
      <c r="N1763" s="405"/>
      <c r="O1763" s="405"/>
      <c r="P1763" s="405"/>
      <c r="Q1763" s="405"/>
      <c r="R1763" s="405"/>
      <c r="S1763" s="405"/>
      <c r="T1763" s="405"/>
      <c r="U1763" s="405"/>
      <c r="V1763" s="405"/>
      <c r="W1763" s="405"/>
      <c r="X1763" s="405"/>
      <c r="Y1763" s="405"/>
      <c r="Z1763" s="405"/>
    </row>
    <row r="1764" ht="14.25" customHeight="1">
      <c r="A1764" s="656"/>
      <c r="B1764" s="405"/>
      <c r="C1764" s="405"/>
      <c r="D1764" s="405"/>
      <c r="E1764" s="405"/>
      <c r="F1764" s="657"/>
      <c r="G1764" s="583"/>
      <c r="H1764" s="405"/>
      <c r="I1764" s="405"/>
      <c r="J1764" s="405"/>
      <c r="K1764" s="405"/>
      <c r="L1764" s="405"/>
      <c r="M1764" s="405"/>
      <c r="N1764" s="405"/>
      <c r="O1764" s="405"/>
      <c r="P1764" s="405"/>
      <c r="Q1764" s="405"/>
      <c r="R1764" s="405"/>
      <c r="S1764" s="405"/>
      <c r="T1764" s="405"/>
      <c r="U1764" s="405"/>
      <c r="V1764" s="405"/>
      <c r="W1764" s="405"/>
      <c r="X1764" s="405"/>
      <c r="Y1764" s="405"/>
      <c r="Z1764" s="405"/>
    </row>
    <row r="1765" ht="14.25" customHeight="1">
      <c r="A1765" s="656"/>
      <c r="B1765" s="405"/>
      <c r="C1765" s="405"/>
      <c r="D1765" s="405"/>
      <c r="E1765" s="405"/>
      <c r="F1765" s="657"/>
      <c r="G1765" s="583"/>
      <c r="H1765" s="405"/>
      <c r="I1765" s="405"/>
      <c r="J1765" s="405"/>
      <c r="K1765" s="405"/>
      <c r="L1765" s="405"/>
      <c r="M1765" s="405"/>
      <c r="N1765" s="405"/>
      <c r="O1765" s="405"/>
      <c r="P1765" s="405"/>
      <c r="Q1765" s="405"/>
      <c r="R1765" s="405"/>
      <c r="S1765" s="405"/>
      <c r="T1765" s="405"/>
      <c r="U1765" s="405"/>
      <c r="V1765" s="405"/>
      <c r="W1765" s="405"/>
      <c r="X1765" s="405"/>
      <c r="Y1765" s="405"/>
      <c r="Z1765" s="405"/>
    </row>
    <row r="1766" ht="14.25" customHeight="1">
      <c r="A1766" s="656"/>
      <c r="B1766" s="405"/>
      <c r="C1766" s="405"/>
      <c r="D1766" s="405"/>
      <c r="E1766" s="405"/>
      <c r="F1766" s="657"/>
      <c r="G1766" s="583"/>
      <c r="H1766" s="405"/>
      <c r="I1766" s="405"/>
      <c r="J1766" s="405"/>
      <c r="K1766" s="405"/>
      <c r="L1766" s="405"/>
      <c r="M1766" s="405"/>
      <c r="N1766" s="405"/>
      <c r="O1766" s="405"/>
      <c r="P1766" s="405"/>
      <c r="Q1766" s="405"/>
      <c r="R1766" s="405"/>
      <c r="S1766" s="405"/>
      <c r="T1766" s="405"/>
      <c r="U1766" s="405"/>
      <c r="V1766" s="405"/>
      <c r="W1766" s="405"/>
      <c r="X1766" s="405"/>
      <c r="Y1766" s="405"/>
      <c r="Z1766" s="405"/>
    </row>
    <row r="1767" ht="14.25" customHeight="1">
      <c r="A1767" s="656"/>
      <c r="B1767" s="405"/>
      <c r="C1767" s="405"/>
      <c r="D1767" s="405"/>
      <c r="E1767" s="405"/>
      <c r="F1767" s="657"/>
      <c r="G1767" s="583"/>
      <c r="H1767" s="405"/>
      <c r="I1767" s="405"/>
      <c r="J1767" s="405"/>
      <c r="K1767" s="405"/>
      <c r="L1767" s="405"/>
      <c r="M1767" s="405"/>
      <c r="N1767" s="405"/>
      <c r="O1767" s="405"/>
      <c r="P1767" s="405"/>
      <c r="Q1767" s="405"/>
      <c r="R1767" s="405"/>
      <c r="S1767" s="405"/>
      <c r="T1767" s="405"/>
      <c r="U1767" s="405"/>
      <c r="V1767" s="405"/>
      <c r="W1767" s="405"/>
      <c r="X1767" s="405"/>
      <c r="Y1767" s="405"/>
      <c r="Z1767" s="405"/>
    </row>
    <row r="1768" ht="14.25" customHeight="1">
      <c r="A1768" s="656"/>
      <c r="B1768" s="405"/>
      <c r="C1768" s="405"/>
      <c r="D1768" s="405"/>
      <c r="E1768" s="405"/>
      <c r="F1768" s="657"/>
      <c r="G1768" s="583"/>
      <c r="H1768" s="405"/>
      <c r="I1768" s="405"/>
      <c r="J1768" s="405"/>
      <c r="K1768" s="405"/>
      <c r="L1768" s="405"/>
      <c r="M1768" s="405"/>
      <c r="N1768" s="405"/>
      <c r="O1768" s="405"/>
      <c r="P1768" s="405"/>
      <c r="Q1768" s="405"/>
      <c r="R1768" s="405"/>
      <c r="S1768" s="405"/>
      <c r="T1768" s="405"/>
      <c r="U1768" s="405"/>
      <c r="V1768" s="405"/>
      <c r="W1768" s="405"/>
      <c r="X1768" s="405"/>
      <c r="Y1768" s="405"/>
      <c r="Z1768" s="405"/>
    </row>
    <row r="1769" ht="14.25" customHeight="1">
      <c r="A1769" s="656"/>
      <c r="B1769" s="405"/>
      <c r="C1769" s="405"/>
      <c r="D1769" s="405"/>
      <c r="E1769" s="405"/>
      <c r="F1769" s="657"/>
      <c r="G1769" s="583"/>
      <c r="H1769" s="405"/>
      <c r="I1769" s="405"/>
      <c r="J1769" s="405"/>
      <c r="K1769" s="405"/>
      <c r="L1769" s="405"/>
      <c r="M1769" s="405"/>
      <c r="N1769" s="405"/>
      <c r="O1769" s="405"/>
      <c r="P1769" s="405"/>
      <c r="Q1769" s="405"/>
      <c r="R1769" s="405"/>
      <c r="S1769" s="405"/>
      <c r="T1769" s="405"/>
      <c r="U1769" s="405"/>
      <c r="V1769" s="405"/>
      <c r="W1769" s="405"/>
      <c r="X1769" s="405"/>
      <c r="Y1769" s="405"/>
      <c r="Z1769" s="405"/>
    </row>
    <row r="1770" ht="14.25" customHeight="1">
      <c r="A1770" s="656"/>
      <c r="B1770" s="405"/>
      <c r="C1770" s="405"/>
      <c r="D1770" s="405"/>
      <c r="E1770" s="405"/>
      <c r="F1770" s="657"/>
      <c r="G1770" s="583"/>
      <c r="H1770" s="405"/>
      <c r="I1770" s="405"/>
      <c r="J1770" s="405"/>
      <c r="K1770" s="405"/>
      <c r="L1770" s="405"/>
      <c r="M1770" s="405"/>
      <c r="N1770" s="405"/>
      <c r="O1770" s="405"/>
      <c r="P1770" s="405"/>
      <c r="Q1770" s="405"/>
      <c r="R1770" s="405"/>
      <c r="S1770" s="405"/>
      <c r="T1770" s="405"/>
      <c r="U1770" s="405"/>
      <c r="V1770" s="405"/>
      <c r="W1770" s="405"/>
      <c r="X1770" s="405"/>
      <c r="Y1770" s="405"/>
      <c r="Z1770" s="405"/>
    </row>
    <row r="1771" ht="14.25" customHeight="1">
      <c r="A1771" s="656"/>
      <c r="B1771" s="405"/>
      <c r="C1771" s="405"/>
      <c r="D1771" s="405"/>
      <c r="E1771" s="405"/>
      <c r="F1771" s="657"/>
      <c r="G1771" s="583"/>
      <c r="H1771" s="405"/>
      <c r="I1771" s="405"/>
      <c r="J1771" s="405"/>
      <c r="K1771" s="405"/>
      <c r="L1771" s="405"/>
      <c r="M1771" s="405"/>
      <c r="N1771" s="405"/>
      <c r="O1771" s="405"/>
      <c r="P1771" s="405"/>
      <c r="Q1771" s="405"/>
      <c r="R1771" s="405"/>
      <c r="S1771" s="405"/>
      <c r="T1771" s="405"/>
      <c r="U1771" s="405"/>
      <c r="V1771" s="405"/>
      <c r="W1771" s="405"/>
      <c r="X1771" s="405"/>
      <c r="Y1771" s="405"/>
      <c r="Z1771" s="405"/>
    </row>
    <row r="1772" ht="14.25" customHeight="1">
      <c r="A1772" s="656"/>
      <c r="B1772" s="405"/>
      <c r="C1772" s="405"/>
      <c r="D1772" s="405"/>
      <c r="E1772" s="405"/>
      <c r="F1772" s="657"/>
      <c r="G1772" s="583"/>
      <c r="H1772" s="405"/>
      <c r="I1772" s="405"/>
      <c r="J1772" s="405"/>
      <c r="K1772" s="405"/>
      <c r="L1772" s="405"/>
      <c r="M1772" s="405"/>
      <c r="N1772" s="405"/>
      <c r="O1772" s="405"/>
      <c r="P1772" s="405"/>
      <c r="Q1772" s="405"/>
      <c r="R1772" s="405"/>
      <c r="S1772" s="405"/>
      <c r="T1772" s="405"/>
      <c r="U1772" s="405"/>
      <c r="V1772" s="405"/>
      <c r="W1772" s="405"/>
      <c r="X1772" s="405"/>
      <c r="Y1772" s="405"/>
      <c r="Z1772" s="405"/>
    </row>
    <row r="1773" ht="14.25" customHeight="1">
      <c r="A1773" s="656"/>
      <c r="B1773" s="405"/>
      <c r="C1773" s="405"/>
      <c r="D1773" s="405"/>
      <c r="E1773" s="405"/>
      <c r="F1773" s="657"/>
      <c r="G1773" s="583"/>
      <c r="H1773" s="405"/>
      <c r="I1773" s="405"/>
      <c r="J1773" s="405"/>
      <c r="K1773" s="405"/>
      <c r="L1773" s="405"/>
      <c r="M1773" s="405"/>
      <c r="N1773" s="405"/>
      <c r="O1773" s="405"/>
      <c r="P1773" s="405"/>
      <c r="Q1773" s="405"/>
      <c r="R1773" s="405"/>
      <c r="S1773" s="405"/>
      <c r="T1773" s="405"/>
      <c r="U1773" s="405"/>
      <c r="V1773" s="405"/>
      <c r="W1773" s="405"/>
      <c r="X1773" s="405"/>
      <c r="Y1773" s="405"/>
      <c r="Z1773" s="405"/>
    </row>
    <row r="1774" ht="14.25" customHeight="1">
      <c r="A1774" s="656"/>
      <c r="B1774" s="405"/>
      <c r="C1774" s="405"/>
      <c r="D1774" s="405"/>
      <c r="E1774" s="405"/>
      <c r="F1774" s="657"/>
      <c r="G1774" s="583"/>
      <c r="H1774" s="405"/>
      <c r="I1774" s="405"/>
      <c r="J1774" s="405"/>
      <c r="K1774" s="405"/>
      <c r="L1774" s="405"/>
      <c r="M1774" s="405"/>
      <c r="N1774" s="405"/>
      <c r="O1774" s="405"/>
      <c r="P1774" s="405"/>
      <c r="Q1774" s="405"/>
      <c r="R1774" s="405"/>
      <c r="S1774" s="405"/>
      <c r="T1774" s="405"/>
      <c r="U1774" s="405"/>
      <c r="V1774" s="405"/>
      <c r="W1774" s="405"/>
      <c r="X1774" s="405"/>
      <c r="Y1774" s="405"/>
      <c r="Z1774" s="405"/>
    </row>
    <row r="1775" ht="14.25" customHeight="1">
      <c r="A1775" s="656"/>
      <c r="B1775" s="405"/>
      <c r="C1775" s="405"/>
      <c r="D1775" s="405"/>
      <c r="E1775" s="405"/>
      <c r="F1775" s="657"/>
      <c r="G1775" s="583"/>
      <c r="H1775" s="405"/>
      <c r="I1775" s="405"/>
      <c r="J1775" s="405"/>
      <c r="K1775" s="405"/>
      <c r="L1775" s="405"/>
      <c r="M1775" s="405"/>
      <c r="N1775" s="405"/>
      <c r="O1775" s="405"/>
      <c r="P1775" s="405"/>
      <c r="Q1775" s="405"/>
      <c r="R1775" s="405"/>
      <c r="S1775" s="405"/>
      <c r="T1775" s="405"/>
      <c r="U1775" s="405"/>
      <c r="V1775" s="405"/>
      <c r="W1775" s="405"/>
      <c r="X1775" s="405"/>
      <c r="Y1775" s="405"/>
      <c r="Z1775" s="405"/>
    </row>
    <row r="1776" ht="14.25" customHeight="1">
      <c r="A1776" s="656"/>
      <c r="B1776" s="405"/>
      <c r="C1776" s="405"/>
      <c r="D1776" s="405"/>
      <c r="E1776" s="405"/>
      <c r="F1776" s="657"/>
      <c r="G1776" s="583"/>
      <c r="H1776" s="405"/>
      <c r="I1776" s="405"/>
      <c r="J1776" s="405"/>
      <c r="K1776" s="405"/>
      <c r="L1776" s="405"/>
      <c r="M1776" s="405"/>
      <c r="N1776" s="405"/>
      <c r="O1776" s="405"/>
      <c r="P1776" s="405"/>
      <c r="Q1776" s="405"/>
      <c r="R1776" s="405"/>
      <c r="S1776" s="405"/>
      <c r="T1776" s="405"/>
      <c r="U1776" s="405"/>
      <c r="V1776" s="405"/>
      <c r="W1776" s="405"/>
      <c r="X1776" s="405"/>
      <c r="Y1776" s="405"/>
      <c r="Z1776" s="405"/>
    </row>
    <row r="1777" ht="14.25" customHeight="1">
      <c r="A1777" s="656"/>
      <c r="B1777" s="405"/>
      <c r="C1777" s="405"/>
      <c r="D1777" s="405"/>
      <c r="E1777" s="405"/>
      <c r="F1777" s="657"/>
      <c r="G1777" s="583"/>
      <c r="H1777" s="405"/>
      <c r="I1777" s="405"/>
      <c r="J1777" s="405"/>
      <c r="K1777" s="405"/>
      <c r="L1777" s="405"/>
      <c r="M1777" s="405"/>
      <c r="N1777" s="405"/>
      <c r="O1777" s="405"/>
      <c r="P1777" s="405"/>
      <c r="Q1777" s="405"/>
      <c r="R1777" s="405"/>
      <c r="S1777" s="405"/>
      <c r="T1777" s="405"/>
      <c r="U1777" s="405"/>
      <c r="V1777" s="405"/>
      <c r="W1777" s="405"/>
      <c r="X1777" s="405"/>
      <c r="Y1777" s="405"/>
      <c r="Z1777" s="405"/>
    </row>
    <row r="1778" ht="14.25" customHeight="1">
      <c r="A1778" s="656"/>
      <c r="B1778" s="405"/>
      <c r="C1778" s="405"/>
      <c r="D1778" s="405"/>
      <c r="E1778" s="405"/>
      <c r="F1778" s="657"/>
      <c r="G1778" s="583"/>
      <c r="H1778" s="405"/>
      <c r="I1778" s="405"/>
      <c r="J1778" s="405"/>
      <c r="K1778" s="405"/>
      <c r="L1778" s="405"/>
      <c r="M1778" s="405"/>
      <c r="N1778" s="405"/>
      <c r="O1778" s="405"/>
      <c r="P1778" s="405"/>
      <c r="Q1778" s="405"/>
      <c r="R1778" s="405"/>
      <c r="S1778" s="405"/>
      <c r="T1778" s="405"/>
      <c r="U1778" s="405"/>
      <c r="V1778" s="405"/>
      <c r="W1778" s="405"/>
      <c r="X1778" s="405"/>
      <c r="Y1778" s="405"/>
      <c r="Z1778" s="405"/>
    </row>
    <row r="1779" ht="14.25" customHeight="1">
      <c r="A1779" s="656"/>
      <c r="B1779" s="405"/>
      <c r="C1779" s="405"/>
      <c r="D1779" s="405"/>
      <c r="E1779" s="405"/>
      <c r="F1779" s="657"/>
      <c r="G1779" s="583"/>
      <c r="H1779" s="405"/>
      <c r="I1779" s="405"/>
      <c r="J1779" s="405"/>
      <c r="K1779" s="405"/>
      <c r="L1779" s="405"/>
      <c r="M1779" s="405"/>
      <c r="N1779" s="405"/>
      <c r="O1779" s="405"/>
      <c r="P1779" s="405"/>
      <c r="Q1779" s="405"/>
      <c r="R1779" s="405"/>
      <c r="S1779" s="405"/>
      <c r="T1779" s="405"/>
      <c r="U1779" s="405"/>
      <c r="V1779" s="405"/>
      <c r="W1779" s="405"/>
      <c r="X1779" s="405"/>
      <c r="Y1779" s="405"/>
      <c r="Z1779" s="405"/>
    </row>
    <row r="1780" ht="14.25" customHeight="1">
      <c r="A1780" s="656"/>
      <c r="B1780" s="405"/>
      <c r="C1780" s="405"/>
      <c r="D1780" s="405"/>
      <c r="E1780" s="405"/>
      <c r="F1780" s="657"/>
      <c r="G1780" s="583"/>
      <c r="H1780" s="405"/>
      <c r="I1780" s="405"/>
      <c r="J1780" s="405"/>
      <c r="K1780" s="405"/>
      <c r="L1780" s="405"/>
      <c r="M1780" s="405"/>
      <c r="N1780" s="405"/>
      <c r="O1780" s="405"/>
      <c r="P1780" s="405"/>
      <c r="Q1780" s="405"/>
      <c r="R1780" s="405"/>
      <c r="S1780" s="405"/>
      <c r="T1780" s="405"/>
      <c r="U1780" s="405"/>
      <c r="V1780" s="405"/>
      <c r="W1780" s="405"/>
      <c r="X1780" s="405"/>
      <c r="Y1780" s="405"/>
      <c r="Z1780" s="405"/>
    </row>
    <row r="1781" ht="14.25" customHeight="1">
      <c r="A1781" s="656"/>
      <c r="B1781" s="405"/>
      <c r="C1781" s="405"/>
      <c r="D1781" s="405"/>
      <c r="E1781" s="405"/>
      <c r="F1781" s="657"/>
      <c r="G1781" s="583"/>
      <c r="H1781" s="405"/>
      <c r="I1781" s="405"/>
      <c r="J1781" s="405"/>
      <c r="K1781" s="405"/>
      <c r="L1781" s="405"/>
      <c r="M1781" s="405"/>
      <c r="N1781" s="405"/>
      <c r="O1781" s="405"/>
      <c r="P1781" s="405"/>
      <c r="Q1781" s="405"/>
      <c r="R1781" s="405"/>
      <c r="S1781" s="405"/>
      <c r="T1781" s="405"/>
      <c r="U1781" s="405"/>
      <c r="V1781" s="405"/>
      <c r="W1781" s="405"/>
      <c r="X1781" s="405"/>
      <c r="Y1781" s="405"/>
      <c r="Z1781" s="405"/>
    </row>
    <row r="1782" ht="14.25" customHeight="1">
      <c r="A1782" s="656"/>
      <c r="B1782" s="405"/>
      <c r="C1782" s="405"/>
      <c r="D1782" s="405"/>
      <c r="E1782" s="405"/>
      <c r="F1782" s="657"/>
      <c r="G1782" s="583"/>
      <c r="H1782" s="405"/>
      <c r="I1782" s="405"/>
      <c r="J1782" s="405"/>
      <c r="K1782" s="405"/>
      <c r="L1782" s="405"/>
      <c r="M1782" s="405"/>
      <c r="N1782" s="405"/>
      <c r="O1782" s="405"/>
      <c r="P1782" s="405"/>
      <c r="Q1782" s="405"/>
      <c r="R1782" s="405"/>
      <c r="S1782" s="405"/>
      <c r="T1782" s="405"/>
      <c r="U1782" s="405"/>
      <c r="V1782" s="405"/>
      <c r="W1782" s="405"/>
      <c r="X1782" s="405"/>
      <c r="Y1782" s="405"/>
      <c r="Z1782" s="405"/>
    </row>
    <row r="1783" ht="14.25" customHeight="1">
      <c r="A1783" s="656"/>
      <c r="B1783" s="405"/>
      <c r="C1783" s="405"/>
      <c r="D1783" s="405"/>
      <c r="E1783" s="405"/>
      <c r="F1783" s="657"/>
      <c r="G1783" s="583"/>
      <c r="H1783" s="405"/>
      <c r="I1783" s="405"/>
      <c r="J1783" s="405"/>
      <c r="K1783" s="405"/>
      <c r="L1783" s="405"/>
      <c r="M1783" s="405"/>
      <c r="N1783" s="405"/>
      <c r="O1783" s="405"/>
      <c r="P1783" s="405"/>
      <c r="Q1783" s="405"/>
      <c r="R1783" s="405"/>
      <c r="S1783" s="405"/>
      <c r="T1783" s="405"/>
      <c r="U1783" s="405"/>
      <c r="V1783" s="405"/>
      <c r="W1783" s="405"/>
      <c r="X1783" s="405"/>
      <c r="Y1783" s="405"/>
      <c r="Z1783" s="405"/>
    </row>
    <row r="1784" ht="14.25" customHeight="1">
      <c r="A1784" s="656"/>
      <c r="B1784" s="405"/>
      <c r="C1784" s="405"/>
      <c r="D1784" s="405"/>
      <c r="E1784" s="405"/>
      <c r="F1784" s="657"/>
      <c r="G1784" s="583"/>
      <c r="H1784" s="405"/>
      <c r="I1784" s="405"/>
      <c r="J1784" s="405"/>
      <c r="K1784" s="405"/>
      <c r="L1784" s="405"/>
      <c r="M1784" s="405"/>
      <c r="N1784" s="405"/>
      <c r="O1784" s="405"/>
      <c r="P1784" s="405"/>
      <c r="Q1784" s="405"/>
      <c r="R1784" s="405"/>
      <c r="S1784" s="405"/>
      <c r="T1784" s="405"/>
      <c r="U1784" s="405"/>
      <c r="V1784" s="405"/>
      <c r="W1784" s="405"/>
      <c r="X1784" s="405"/>
      <c r="Y1784" s="405"/>
      <c r="Z1784" s="405"/>
    </row>
    <row r="1785" ht="14.25" customHeight="1">
      <c r="A1785" s="656"/>
      <c r="B1785" s="405"/>
      <c r="C1785" s="405"/>
      <c r="D1785" s="405"/>
      <c r="E1785" s="405"/>
      <c r="F1785" s="657"/>
      <c r="G1785" s="583"/>
      <c r="H1785" s="405"/>
      <c r="I1785" s="405"/>
      <c r="J1785" s="405"/>
      <c r="K1785" s="405"/>
      <c r="L1785" s="405"/>
      <c r="M1785" s="405"/>
      <c r="N1785" s="405"/>
      <c r="O1785" s="405"/>
      <c r="P1785" s="405"/>
      <c r="Q1785" s="405"/>
      <c r="R1785" s="405"/>
      <c r="S1785" s="405"/>
      <c r="T1785" s="405"/>
      <c r="U1785" s="405"/>
      <c r="V1785" s="405"/>
      <c r="W1785" s="405"/>
      <c r="X1785" s="405"/>
      <c r="Y1785" s="405"/>
      <c r="Z1785" s="405"/>
    </row>
    <row r="1786" ht="14.25" customHeight="1">
      <c r="A1786" s="656"/>
      <c r="B1786" s="405"/>
      <c r="C1786" s="405"/>
      <c r="D1786" s="405"/>
      <c r="E1786" s="405"/>
      <c r="F1786" s="657"/>
      <c r="G1786" s="583"/>
      <c r="H1786" s="405"/>
      <c r="I1786" s="405"/>
      <c r="J1786" s="405"/>
      <c r="K1786" s="405"/>
      <c r="L1786" s="405"/>
      <c r="M1786" s="405"/>
      <c r="N1786" s="405"/>
      <c r="O1786" s="405"/>
      <c r="P1786" s="405"/>
      <c r="Q1786" s="405"/>
      <c r="R1786" s="405"/>
      <c r="S1786" s="405"/>
      <c r="T1786" s="405"/>
      <c r="U1786" s="405"/>
      <c r="V1786" s="405"/>
      <c r="W1786" s="405"/>
      <c r="X1786" s="405"/>
      <c r="Y1786" s="405"/>
      <c r="Z1786" s="405"/>
    </row>
    <row r="1787" ht="14.25" customHeight="1">
      <c r="A1787" s="656"/>
      <c r="B1787" s="405"/>
      <c r="C1787" s="405"/>
      <c r="D1787" s="405"/>
      <c r="E1787" s="405"/>
      <c r="F1787" s="657"/>
      <c r="G1787" s="583"/>
      <c r="H1787" s="405"/>
      <c r="I1787" s="405"/>
      <c r="J1787" s="405"/>
      <c r="K1787" s="405"/>
      <c r="L1787" s="405"/>
      <c r="M1787" s="405"/>
      <c r="N1787" s="405"/>
      <c r="O1787" s="405"/>
      <c r="P1787" s="405"/>
      <c r="Q1787" s="405"/>
      <c r="R1787" s="405"/>
      <c r="S1787" s="405"/>
      <c r="T1787" s="405"/>
      <c r="U1787" s="405"/>
      <c r="V1787" s="405"/>
      <c r="W1787" s="405"/>
      <c r="X1787" s="405"/>
      <c r="Y1787" s="405"/>
      <c r="Z1787" s="405"/>
    </row>
    <row r="1788" ht="14.25" customHeight="1">
      <c r="A1788" s="656"/>
      <c r="B1788" s="405"/>
      <c r="C1788" s="405"/>
      <c r="D1788" s="405"/>
      <c r="E1788" s="405"/>
      <c r="F1788" s="657"/>
      <c r="G1788" s="583"/>
      <c r="H1788" s="405"/>
      <c r="I1788" s="405"/>
      <c r="J1788" s="405"/>
      <c r="K1788" s="405"/>
      <c r="L1788" s="405"/>
      <c r="M1788" s="405"/>
      <c r="N1788" s="405"/>
      <c r="O1788" s="405"/>
      <c r="P1788" s="405"/>
      <c r="Q1788" s="405"/>
      <c r="R1788" s="405"/>
      <c r="S1788" s="405"/>
      <c r="T1788" s="405"/>
      <c r="U1788" s="405"/>
      <c r="V1788" s="405"/>
      <c r="W1788" s="405"/>
      <c r="X1788" s="405"/>
      <c r="Y1788" s="405"/>
      <c r="Z1788" s="405"/>
    </row>
    <row r="1789" ht="14.25" customHeight="1">
      <c r="A1789" s="656"/>
      <c r="B1789" s="405"/>
      <c r="C1789" s="405"/>
      <c r="D1789" s="405"/>
      <c r="E1789" s="405"/>
      <c r="F1789" s="657"/>
      <c r="G1789" s="583"/>
      <c r="H1789" s="405"/>
      <c r="I1789" s="405"/>
      <c r="J1789" s="405"/>
      <c r="K1789" s="405"/>
      <c r="L1789" s="405"/>
      <c r="M1789" s="405"/>
      <c r="N1789" s="405"/>
      <c r="O1789" s="405"/>
      <c r="P1789" s="405"/>
      <c r="Q1789" s="405"/>
      <c r="R1789" s="405"/>
      <c r="S1789" s="405"/>
      <c r="T1789" s="405"/>
      <c r="U1789" s="405"/>
      <c r="V1789" s="405"/>
      <c r="W1789" s="405"/>
      <c r="X1789" s="405"/>
      <c r="Y1789" s="405"/>
      <c r="Z1789" s="405"/>
    </row>
  </sheetData>
  <conditionalFormatting sqref="A1:Z1">
    <cfRule type="notContainsBlanks" dxfId="0" priority="1">
      <formula>LEN(TRIM(A1))&gt;0</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29"/>
    <col customWidth="1" min="2" max="2" width="20.0"/>
    <col customWidth="1" min="3" max="3" width="32.43"/>
    <col customWidth="1" min="4" max="4" width="13.71"/>
    <col customWidth="1" min="5" max="5" width="18.0"/>
    <col customWidth="1" min="6" max="6" width="19.57"/>
    <col customWidth="1" min="7" max="7" width="15.14"/>
    <col customWidth="1" min="8" max="8" width="118.86"/>
    <col customWidth="1" min="9" max="9" width="14.14"/>
    <col customWidth="1" min="10" max="33" width="8.71"/>
  </cols>
  <sheetData>
    <row r="1" ht="14.25" customHeight="1">
      <c r="A1" s="584" t="s">
        <v>2130</v>
      </c>
      <c r="B1" s="584" t="s">
        <v>39</v>
      </c>
      <c r="C1" s="584" t="s">
        <v>48</v>
      </c>
      <c r="D1" s="584" t="s">
        <v>49</v>
      </c>
      <c r="E1" s="584" t="s">
        <v>50</v>
      </c>
      <c r="F1" s="658" t="s">
        <v>2</v>
      </c>
      <c r="G1" s="586" t="s">
        <v>44</v>
      </c>
      <c r="H1" s="584" t="s">
        <v>45</v>
      </c>
      <c r="I1" s="584"/>
      <c r="J1" s="584"/>
      <c r="K1" s="584"/>
      <c r="L1" s="584"/>
      <c r="M1" s="584"/>
      <c r="N1" s="584"/>
      <c r="O1" s="584"/>
      <c r="P1" s="584"/>
      <c r="Q1" s="584"/>
      <c r="R1" s="584"/>
      <c r="S1" s="584"/>
      <c r="T1" s="584"/>
      <c r="U1" s="584"/>
      <c r="V1" s="584"/>
      <c r="W1" s="584"/>
      <c r="X1" s="584"/>
      <c r="Y1" s="584"/>
      <c r="Z1" s="584"/>
      <c r="AA1" s="659"/>
      <c r="AB1" s="659"/>
      <c r="AC1" s="659"/>
      <c r="AD1" s="659"/>
      <c r="AE1" s="659"/>
      <c r="AF1" s="659"/>
      <c r="AG1" s="659"/>
    </row>
    <row r="2" ht="14.25" customHeight="1">
      <c r="A2" s="660">
        <v>45495.0</v>
      </c>
      <c r="B2" s="349" t="s">
        <v>2440</v>
      </c>
      <c r="C2" s="349" t="s">
        <v>2441</v>
      </c>
      <c r="D2" s="349" t="s">
        <v>346</v>
      </c>
      <c r="E2" s="349" t="s">
        <v>2442</v>
      </c>
      <c r="F2" s="559">
        <v>6000.0</v>
      </c>
      <c r="G2" s="413">
        <v>6000.0</v>
      </c>
      <c r="H2" s="349" t="s">
        <v>710</v>
      </c>
      <c r="I2" s="404" t="str">
        <f t="shared" ref="I2:I13" si="1">IF(G2&gt;=F2,"FULLY PAID",IF(G2=0,"NOT PAID","PARTIALLY PAID"))</f>
        <v>FULLY PAID</v>
      </c>
      <c r="J2" s="402"/>
      <c r="K2" s="402"/>
      <c r="L2" s="402"/>
      <c r="M2" s="402"/>
      <c r="N2" s="402"/>
      <c r="O2" s="402"/>
      <c r="P2" s="402"/>
      <c r="Q2" s="402"/>
      <c r="R2" s="402"/>
      <c r="S2" s="402"/>
      <c r="T2" s="402"/>
      <c r="U2" s="402"/>
      <c r="V2" s="402"/>
      <c r="W2" s="402"/>
      <c r="X2" s="402"/>
      <c r="Y2" s="402"/>
      <c r="Z2" s="402"/>
      <c r="AA2" s="405"/>
      <c r="AB2" s="405"/>
      <c r="AC2" s="405"/>
      <c r="AD2" s="405"/>
      <c r="AE2" s="405"/>
      <c r="AF2" s="405"/>
      <c r="AG2" s="405"/>
    </row>
    <row r="3" ht="14.25" customHeight="1">
      <c r="A3" s="660">
        <v>45495.0</v>
      </c>
      <c r="B3" s="349" t="s">
        <v>2443</v>
      </c>
      <c r="C3" s="349" t="s">
        <v>2444</v>
      </c>
      <c r="D3" s="349" t="s">
        <v>54</v>
      </c>
      <c r="E3" s="349" t="s">
        <v>2442</v>
      </c>
      <c r="F3" s="559">
        <v>20717.0</v>
      </c>
      <c r="G3" s="413"/>
      <c r="H3" s="349" t="s">
        <v>179</v>
      </c>
      <c r="I3" s="404" t="str">
        <f t="shared" si="1"/>
        <v>NOT PAID</v>
      </c>
      <c r="J3" s="406"/>
      <c r="K3" s="349"/>
      <c r="L3" s="349"/>
      <c r="M3" s="413"/>
      <c r="N3" s="413"/>
      <c r="O3" s="402"/>
      <c r="P3" s="402"/>
      <c r="Q3" s="402"/>
      <c r="R3" s="402"/>
      <c r="S3" s="402"/>
      <c r="T3" s="402"/>
      <c r="U3" s="402"/>
      <c r="V3" s="402"/>
      <c r="W3" s="402"/>
      <c r="X3" s="402"/>
      <c r="Y3" s="402"/>
      <c r="Z3" s="402"/>
      <c r="AA3" s="405"/>
      <c r="AB3" s="405"/>
      <c r="AC3" s="405"/>
      <c r="AD3" s="405"/>
      <c r="AE3" s="405"/>
      <c r="AF3" s="405"/>
      <c r="AG3" s="405"/>
    </row>
    <row r="4" ht="14.25" customHeight="1">
      <c r="A4" s="660">
        <v>45495.0</v>
      </c>
      <c r="B4" s="349" t="s">
        <v>2445</v>
      </c>
      <c r="C4" s="349" t="s">
        <v>2441</v>
      </c>
      <c r="D4" s="349" t="s">
        <v>54</v>
      </c>
      <c r="E4" s="349" t="s">
        <v>2442</v>
      </c>
      <c r="F4" s="559">
        <v>6000.0</v>
      </c>
      <c r="G4" s="413">
        <v>4000.0</v>
      </c>
      <c r="H4" s="349" t="s">
        <v>710</v>
      </c>
      <c r="I4" s="404" t="str">
        <f t="shared" si="1"/>
        <v>PARTIALLY PAID</v>
      </c>
      <c r="J4" s="406"/>
      <c r="K4" s="349"/>
      <c r="L4" s="413"/>
      <c r="M4" s="349"/>
      <c r="N4" s="413"/>
      <c r="O4" s="402"/>
      <c r="P4" s="402"/>
      <c r="Q4" s="402"/>
      <c r="R4" s="402"/>
      <c r="S4" s="402"/>
      <c r="T4" s="402"/>
      <c r="U4" s="402"/>
      <c r="V4" s="402"/>
      <c r="W4" s="402"/>
      <c r="X4" s="402"/>
      <c r="Y4" s="402"/>
      <c r="Z4" s="402"/>
      <c r="AA4" s="405"/>
      <c r="AB4" s="405"/>
      <c r="AC4" s="405"/>
      <c r="AD4" s="405"/>
      <c r="AE4" s="405"/>
      <c r="AF4" s="405"/>
      <c r="AG4" s="405"/>
    </row>
    <row r="5" ht="14.25" customHeight="1">
      <c r="A5" s="660">
        <v>45495.0</v>
      </c>
      <c r="B5" s="349" t="s">
        <v>2446</v>
      </c>
      <c r="C5" s="349" t="s">
        <v>2447</v>
      </c>
      <c r="D5" s="349" t="s">
        <v>54</v>
      </c>
      <c r="E5" s="349" t="s">
        <v>2442</v>
      </c>
      <c r="F5" s="559">
        <v>243326.0</v>
      </c>
      <c r="G5" s="413">
        <v>243325.0</v>
      </c>
      <c r="H5" s="349" t="s">
        <v>2198</v>
      </c>
      <c r="I5" s="404" t="str">
        <f t="shared" si="1"/>
        <v>PARTIALLY PAID</v>
      </c>
      <c r="J5" s="406"/>
      <c r="K5" s="349"/>
      <c r="L5" s="413"/>
      <c r="M5" s="349"/>
      <c r="N5" s="413"/>
      <c r="O5" s="402"/>
      <c r="P5" s="402"/>
      <c r="Q5" s="402"/>
      <c r="R5" s="402"/>
      <c r="S5" s="402"/>
      <c r="T5" s="402"/>
      <c r="U5" s="402"/>
      <c r="V5" s="402"/>
      <c r="W5" s="402"/>
      <c r="X5" s="402"/>
      <c r="Y5" s="402"/>
      <c r="Z5" s="402"/>
      <c r="AA5" s="405"/>
      <c r="AB5" s="405"/>
      <c r="AC5" s="405"/>
      <c r="AD5" s="405"/>
      <c r="AE5" s="405"/>
      <c r="AF5" s="405"/>
      <c r="AG5" s="405"/>
    </row>
    <row r="6" ht="14.25" customHeight="1">
      <c r="A6" s="660">
        <v>45495.0</v>
      </c>
      <c r="B6" s="349" t="s">
        <v>2448</v>
      </c>
      <c r="C6" s="349" t="s">
        <v>2449</v>
      </c>
      <c r="D6" s="413" t="s">
        <v>2450</v>
      </c>
      <c r="E6" s="349" t="s">
        <v>2442</v>
      </c>
      <c r="F6" s="559">
        <v>287500.0</v>
      </c>
      <c r="G6" s="413">
        <v>287500.0</v>
      </c>
      <c r="H6" s="349" t="s">
        <v>710</v>
      </c>
      <c r="I6" s="404" t="str">
        <f t="shared" si="1"/>
        <v>FULLY PAID</v>
      </c>
      <c r="J6" s="402"/>
      <c r="K6" s="402"/>
      <c r="L6" s="402"/>
      <c r="M6" s="402"/>
      <c r="N6" s="402"/>
      <c r="O6" s="402"/>
      <c r="P6" s="402"/>
      <c r="Q6" s="402"/>
      <c r="R6" s="402"/>
      <c r="S6" s="402"/>
      <c r="T6" s="402"/>
      <c r="U6" s="402"/>
      <c r="V6" s="402"/>
      <c r="W6" s="402"/>
      <c r="X6" s="402"/>
      <c r="Y6" s="402"/>
      <c r="Z6" s="402"/>
      <c r="AA6" s="405"/>
      <c r="AB6" s="405"/>
      <c r="AC6" s="405"/>
      <c r="AD6" s="405"/>
      <c r="AE6" s="405"/>
      <c r="AF6" s="405"/>
      <c r="AG6" s="405"/>
    </row>
    <row r="7" ht="14.25" customHeight="1">
      <c r="A7" s="660">
        <v>45495.0</v>
      </c>
      <c r="B7" s="349" t="s">
        <v>2451</v>
      </c>
      <c r="C7" s="349" t="s">
        <v>2452</v>
      </c>
      <c r="D7" s="413" t="s">
        <v>54</v>
      </c>
      <c r="E7" s="349" t="s">
        <v>2442</v>
      </c>
      <c r="F7" s="559">
        <v>31075.0</v>
      </c>
      <c r="G7" s="413">
        <v>31000.0</v>
      </c>
      <c r="H7" s="349" t="s">
        <v>710</v>
      </c>
      <c r="I7" s="404" t="str">
        <f t="shared" si="1"/>
        <v>PARTIALLY PAID</v>
      </c>
      <c r="J7" s="402"/>
      <c r="K7" s="402"/>
      <c r="L7" s="402"/>
      <c r="M7" s="402"/>
      <c r="N7" s="402"/>
      <c r="O7" s="402"/>
      <c r="P7" s="402"/>
      <c r="Q7" s="402"/>
      <c r="R7" s="402"/>
      <c r="S7" s="402"/>
      <c r="T7" s="402"/>
      <c r="U7" s="402"/>
      <c r="V7" s="402"/>
      <c r="W7" s="402"/>
      <c r="X7" s="402"/>
      <c r="Y7" s="402"/>
      <c r="Z7" s="402"/>
      <c r="AA7" s="405"/>
      <c r="AB7" s="405"/>
      <c r="AC7" s="405"/>
      <c r="AD7" s="405"/>
      <c r="AE7" s="405"/>
      <c r="AF7" s="405"/>
      <c r="AG7" s="405"/>
    </row>
    <row r="8" ht="14.25" customHeight="1">
      <c r="A8" s="660">
        <v>45495.0</v>
      </c>
      <c r="B8" s="417" t="s">
        <v>2453</v>
      </c>
      <c r="C8" s="418" t="s">
        <v>2454</v>
      </c>
      <c r="D8" s="661" t="s">
        <v>346</v>
      </c>
      <c r="E8" s="349" t="s">
        <v>2442</v>
      </c>
      <c r="F8" s="428">
        <v>5160.0</v>
      </c>
      <c r="G8" s="403"/>
      <c r="H8" s="349" t="s">
        <v>179</v>
      </c>
      <c r="I8" s="404" t="str">
        <f t="shared" si="1"/>
        <v>NOT PAID</v>
      </c>
      <c r="J8" s="402"/>
      <c r="K8" s="402"/>
      <c r="L8" s="402"/>
      <c r="M8" s="402"/>
      <c r="N8" s="402"/>
      <c r="O8" s="402"/>
      <c r="P8" s="402"/>
      <c r="Q8" s="402"/>
      <c r="R8" s="402"/>
      <c r="S8" s="402"/>
      <c r="T8" s="402"/>
      <c r="U8" s="402"/>
      <c r="V8" s="402"/>
      <c r="W8" s="402"/>
      <c r="X8" s="402"/>
      <c r="Y8" s="402"/>
      <c r="Z8" s="402"/>
      <c r="AA8" s="405"/>
      <c r="AB8" s="405"/>
      <c r="AC8" s="405"/>
      <c r="AD8" s="405"/>
      <c r="AE8" s="405"/>
      <c r="AF8" s="405"/>
      <c r="AG8" s="405"/>
    </row>
    <row r="9" ht="14.25" customHeight="1">
      <c r="A9" s="660">
        <v>45495.0</v>
      </c>
      <c r="B9" s="349" t="s">
        <v>2455</v>
      </c>
      <c r="C9" s="349" t="s">
        <v>2456</v>
      </c>
      <c r="D9" s="349" t="s">
        <v>54</v>
      </c>
      <c r="E9" s="349" t="s">
        <v>2442</v>
      </c>
      <c r="F9" s="662">
        <v>10000.0</v>
      </c>
      <c r="G9" s="403"/>
      <c r="H9" s="349" t="s">
        <v>179</v>
      </c>
      <c r="I9" s="404" t="str">
        <f t="shared" si="1"/>
        <v>NOT PAID</v>
      </c>
      <c r="J9" s="402"/>
      <c r="K9" s="402"/>
      <c r="L9" s="402"/>
      <c r="M9" s="402"/>
      <c r="N9" s="402"/>
      <c r="O9" s="402"/>
      <c r="P9" s="402"/>
      <c r="Q9" s="402"/>
      <c r="R9" s="402"/>
      <c r="S9" s="402"/>
      <c r="T9" s="402"/>
      <c r="U9" s="402"/>
      <c r="V9" s="402"/>
      <c r="W9" s="402"/>
      <c r="X9" s="402"/>
      <c r="Y9" s="402"/>
      <c r="Z9" s="402"/>
      <c r="AA9" s="405"/>
      <c r="AB9" s="405"/>
      <c r="AC9" s="405"/>
      <c r="AD9" s="405"/>
      <c r="AE9" s="405"/>
      <c r="AF9" s="405"/>
      <c r="AG9" s="405"/>
    </row>
    <row r="10" ht="14.25" customHeight="1">
      <c r="A10" s="660">
        <v>45495.0</v>
      </c>
      <c r="B10" s="349" t="s">
        <v>2457</v>
      </c>
      <c r="C10" s="349" t="s">
        <v>2458</v>
      </c>
      <c r="D10" s="349" t="s">
        <v>75</v>
      </c>
      <c r="E10" s="349" t="s">
        <v>2442</v>
      </c>
      <c r="F10" s="559">
        <v>230000.0</v>
      </c>
      <c r="G10" s="403"/>
      <c r="H10" s="349" t="s">
        <v>2459</v>
      </c>
      <c r="I10" s="404" t="str">
        <f t="shared" si="1"/>
        <v>NOT PAID</v>
      </c>
      <c r="J10" s="402"/>
      <c r="K10" s="402"/>
      <c r="L10" s="402"/>
      <c r="M10" s="402"/>
      <c r="N10" s="402"/>
      <c r="O10" s="402"/>
      <c r="P10" s="402"/>
      <c r="Q10" s="402"/>
      <c r="R10" s="402"/>
      <c r="S10" s="402"/>
      <c r="T10" s="402"/>
      <c r="U10" s="402"/>
      <c r="V10" s="402"/>
      <c r="W10" s="402"/>
      <c r="X10" s="402"/>
      <c r="Y10" s="402"/>
      <c r="Z10" s="402"/>
      <c r="AA10" s="405"/>
      <c r="AB10" s="405"/>
      <c r="AC10" s="405"/>
      <c r="AD10" s="405"/>
      <c r="AE10" s="405"/>
      <c r="AF10" s="405"/>
      <c r="AG10" s="405"/>
    </row>
    <row r="11" ht="14.25" customHeight="1">
      <c r="A11" s="660">
        <v>45495.0</v>
      </c>
      <c r="B11" s="417" t="s">
        <v>2460</v>
      </c>
      <c r="C11" s="418" t="s">
        <v>2461</v>
      </c>
      <c r="D11" s="418" t="s">
        <v>54</v>
      </c>
      <c r="E11" s="349" t="s">
        <v>2442</v>
      </c>
      <c r="F11" s="428">
        <v>119519.0</v>
      </c>
      <c r="G11" s="403"/>
      <c r="H11" s="349" t="s">
        <v>2462</v>
      </c>
      <c r="I11" s="404" t="str">
        <f t="shared" si="1"/>
        <v>NOT PAID</v>
      </c>
      <c r="J11" s="402"/>
      <c r="K11" s="402"/>
      <c r="L11" s="402"/>
      <c r="M11" s="402"/>
      <c r="N11" s="402"/>
      <c r="O11" s="402"/>
      <c r="P11" s="402"/>
      <c r="Q11" s="402"/>
      <c r="R11" s="402"/>
      <c r="S11" s="402"/>
      <c r="T11" s="402"/>
      <c r="U11" s="402"/>
      <c r="V11" s="402"/>
      <c r="W11" s="402"/>
      <c r="X11" s="402"/>
      <c r="Y11" s="402"/>
      <c r="Z11" s="402"/>
      <c r="AA11" s="405"/>
      <c r="AB11" s="405"/>
      <c r="AC11" s="405"/>
      <c r="AD11" s="405"/>
      <c r="AE11" s="405"/>
      <c r="AF11" s="405"/>
      <c r="AG11" s="405"/>
    </row>
    <row r="12" ht="14.25" customHeight="1">
      <c r="A12" s="660">
        <v>45495.0</v>
      </c>
      <c r="B12" s="349" t="s">
        <v>2463</v>
      </c>
      <c r="C12" s="349" t="s">
        <v>2464</v>
      </c>
      <c r="D12" s="418" t="s">
        <v>54</v>
      </c>
      <c r="E12" s="349" t="s">
        <v>2442</v>
      </c>
      <c r="F12" s="662">
        <v>50000.0</v>
      </c>
      <c r="G12" s="403"/>
      <c r="H12" s="349" t="s">
        <v>179</v>
      </c>
      <c r="I12" s="404" t="str">
        <f t="shared" si="1"/>
        <v>NOT PAID</v>
      </c>
      <c r="J12" s="402"/>
      <c r="K12" s="402"/>
      <c r="L12" s="402"/>
      <c r="M12" s="402"/>
      <c r="N12" s="402"/>
      <c r="O12" s="402"/>
      <c r="P12" s="402"/>
      <c r="Q12" s="402"/>
      <c r="R12" s="402"/>
      <c r="S12" s="402"/>
      <c r="T12" s="402"/>
      <c r="U12" s="402"/>
      <c r="V12" s="402"/>
      <c r="W12" s="402"/>
      <c r="X12" s="402"/>
      <c r="Y12" s="402"/>
      <c r="Z12" s="402"/>
      <c r="AA12" s="405"/>
      <c r="AB12" s="405"/>
      <c r="AC12" s="405"/>
      <c r="AD12" s="405"/>
      <c r="AE12" s="405"/>
      <c r="AF12" s="405"/>
      <c r="AG12" s="405"/>
    </row>
    <row r="13" ht="14.25" customHeight="1">
      <c r="A13" s="497">
        <v>45495.0</v>
      </c>
      <c r="B13" s="663" t="s">
        <v>2465</v>
      </c>
      <c r="C13" s="663" t="s">
        <v>2466</v>
      </c>
      <c r="D13" s="349" t="s">
        <v>893</v>
      </c>
      <c r="E13" s="349" t="s">
        <v>894</v>
      </c>
      <c r="F13" s="662">
        <v>200000.0</v>
      </c>
      <c r="G13" s="413">
        <v>200000.0</v>
      </c>
      <c r="H13" s="349" t="s">
        <v>8</v>
      </c>
      <c r="I13" s="404" t="str">
        <f t="shared" si="1"/>
        <v>FULLY PAID</v>
      </c>
      <c r="J13" s="402"/>
      <c r="K13" s="402"/>
      <c r="L13" s="402"/>
      <c r="M13" s="402"/>
      <c r="N13" s="402"/>
      <c r="O13" s="402"/>
      <c r="P13" s="402"/>
      <c r="Q13" s="402"/>
      <c r="R13" s="402"/>
      <c r="S13" s="402"/>
      <c r="T13" s="402"/>
      <c r="U13" s="402"/>
      <c r="V13" s="402"/>
      <c r="W13" s="402"/>
      <c r="X13" s="402"/>
      <c r="Y13" s="402"/>
      <c r="Z13" s="402"/>
      <c r="AA13" s="405"/>
      <c r="AB13" s="405"/>
      <c r="AC13" s="405"/>
      <c r="AD13" s="405"/>
      <c r="AE13" s="405"/>
      <c r="AF13" s="405"/>
      <c r="AG13" s="405"/>
    </row>
    <row r="14" ht="14.25" customHeight="1">
      <c r="A14" s="402"/>
      <c r="B14" s="402"/>
      <c r="C14" s="402"/>
      <c r="D14" s="402"/>
      <c r="E14" s="402"/>
      <c r="F14" s="664"/>
      <c r="G14" s="403"/>
      <c r="H14" s="402"/>
      <c r="I14" s="404"/>
      <c r="J14" s="402"/>
      <c r="K14" s="402"/>
      <c r="L14" s="402"/>
      <c r="M14" s="402"/>
      <c r="N14" s="402"/>
      <c r="O14" s="402"/>
      <c r="P14" s="402"/>
      <c r="Q14" s="402"/>
      <c r="R14" s="402"/>
      <c r="S14" s="402"/>
      <c r="T14" s="402"/>
      <c r="U14" s="402"/>
      <c r="V14" s="402"/>
      <c r="W14" s="402"/>
      <c r="X14" s="402"/>
      <c r="Y14" s="402"/>
      <c r="Z14" s="402"/>
      <c r="AA14" s="405"/>
      <c r="AB14" s="405"/>
      <c r="AC14" s="405"/>
      <c r="AD14" s="405"/>
      <c r="AE14" s="405"/>
      <c r="AF14" s="405"/>
      <c r="AG14" s="405"/>
    </row>
    <row r="15" ht="14.25" customHeight="1">
      <c r="A15" s="402"/>
      <c r="B15" s="402"/>
      <c r="C15" s="402"/>
      <c r="D15" s="402"/>
      <c r="E15" s="402"/>
      <c r="F15" s="664"/>
      <c r="G15" s="403"/>
      <c r="H15" s="402"/>
      <c r="I15" s="404"/>
      <c r="J15" s="402"/>
      <c r="K15" s="402"/>
      <c r="L15" s="402"/>
      <c r="M15" s="402"/>
      <c r="N15" s="402"/>
      <c r="O15" s="402"/>
      <c r="P15" s="402"/>
      <c r="Q15" s="402"/>
      <c r="R15" s="402"/>
      <c r="S15" s="402"/>
      <c r="T15" s="402"/>
      <c r="U15" s="402"/>
      <c r="V15" s="402"/>
      <c r="W15" s="402"/>
      <c r="X15" s="402"/>
      <c r="Y15" s="402"/>
      <c r="Z15" s="402"/>
      <c r="AA15" s="405"/>
      <c r="AB15" s="405"/>
      <c r="AC15" s="405"/>
      <c r="AD15" s="405"/>
      <c r="AE15" s="405"/>
      <c r="AF15" s="405"/>
      <c r="AG15" s="405"/>
    </row>
    <row r="16" ht="14.25" customHeight="1">
      <c r="A16" s="660">
        <v>45495.0</v>
      </c>
      <c r="B16" s="599" t="s">
        <v>2467</v>
      </c>
      <c r="C16" s="471" t="s">
        <v>2468</v>
      </c>
      <c r="D16" s="471" t="s">
        <v>54</v>
      </c>
      <c r="E16" s="665" t="s">
        <v>2469</v>
      </c>
      <c r="F16" s="600">
        <v>43000.0</v>
      </c>
      <c r="G16" s="665"/>
      <c r="H16" s="349" t="s">
        <v>2470</v>
      </c>
      <c r="I16" s="404" t="str">
        <f t="shared" ref="I16:I18" si="2">IF(G16&gt;=F16,"FULLY PAID",IF(G16=0,"NOT PAID","PARTIALLY PAID"))</f>
        <v>NOT PAID</v>
      </c>
      <c r="J16" s="402"/>
      <c r="K16" s="402"/>
      <c r="L16" s="402"/>
      <c r="M16" s="402"/>
      <c r="N16" s="402"/>
      <c r="O16" s="402"/>
      <c r="P16" s="402"/>
      <c r="Q16" s="402"/>
      <c r="R16" s="402"/>
      <c r="S16" s="402"/>
      <c r="T16" s="402"/>
      <c r="U16" s="402"/>
      <c r="V16" s="402"/>
      <c r="W16" s="402"/>
      <c r="X16" s="402"/>
      <c r="Y16" s="402"/>
      <c r="Z16" s="402"/>
      <c r="AA16" s="405"/>
      <c r="AB16" s="405"/>
      <c r="AC16" s="405"/>
      <c r="AD16" s="405"/>
      <c r="AE16" s="405"/>
      <c r="AF16" s="405"/>
      <c r="AG16" s="405"/>
    </row>
    <row r="17" ht="14.25" customHeight="1">
      <c r="A17" s="660">
        <v>45495.0</v>
      </c>
      <c r="B17" s="456" t="s">
        <v>2471</v>
      </c>
      <c r="C17" s="395" t="s">
        <v>2472</v>
      </c>
      <c r="D17" s="395" t="s">
        <v>54</v>
      </c>
      <c r="E17" s="665" t="s">
        <v>2469</v>
      </c>
      <c r="F17" s="666">
        <v>512638.0</v>
      </c>
      <c r="G17" s="665"/>
      <c r="H17" s="349" t="s">
        <v>2473</v>
      </c>
      <c r="I17" s="404" t="str">
        <f t="shared" si="2"/>
        <v>NOT PAID</v>
      </c>
      <c r="J17" s="402"/>
      <c r="K17" s="402"/>
      <c r="L17" s="402"/>
      <c r="M17" s="402"/>
      <c r="N17" s="402"/>
      <c r="O17" s="402"/>
      <c r="P17" s="402"/>
      <c r="Q17" s="402"/>
      <c r="R17" s="402"/>
      <c r="S17" s="402"/>
      <c r="T17" s="402"/>
      <c r="U17" s="402"/>
      <c r="V17" s="402"/>
      <c r="W17" s="402"/>
      <c r="X17" s="402"/>
      <c r="Y17" s="402"/>
      <c r="Z17" s="402"/>
      <c r="AA17" s="405"/>
      <c r="AB17" s="405"/>
      <c r="AC17" s="405"/>
      <c r="AD17" s="405"/>
      <c r="AE17" s="405"/>
      <c r="AF17" s="405"/>
      <c r="AG17" s="405"/>
    </row>
    <row r="18" ht="14.25" customHeight="1">
      <c r="A18" s="660">
        <v>45495.0</v>
      </c>
      <c r="B18" s="456" t="s">
        <v>2474</v>
      </c>
      <c r="C18" s="395" t="s">
        <v>2475</v>
      </c>
      <c r="D18" s="395" t="s">
        <v>54</v>
      </c>
      <c r="E18" s="665" t="s">
        <v>114</v>
      </c>
      <c r="F18" s="666">
        <v>15000.0</v>
      </c>
      <c r="G18" s="665"/>
      <c r="H18" s="349" t="s">
        <v>2476</v>
      </c>
      <c r="I18" s="404" t="str">
        <f t="shared" si="2"/>
        <v>NOT PAID</v>
      </c>
      <c r="J18" s="402"/>
      <c r="K18" s="402"/>
      <c r="L18" s="402"/>
      <c r="M18" s="402"/>
      <c r="N18" s="402"/>
      <c r="O18" s="402"/>
      <c r="P18" s="402"/>
      <c r="Q18" s="402"/>
      <c r="R18" s="402"/>
      <c r="S18" s="402"/>
      <c r="T18" s="402"/>
      <c r="U18" s="402"/>
      <c r="V18" s="402"/>
      <c r="W18" s="402"/>
      <c r="X18" s="402"/>
      <c r="Y18" s="402"/>
      <c r="Z18" s="402"/>
      <c r="AA18" s="405"/>
      <c r="AB18" s="405"/>
      <c r="AC18" s="405"/>
      <c r="AD18" s="405"/>
      <c r="AE18" s="405"/>
      <c r="AF18" s="405"/>
      <c r="AG18" s="405"/>
    </row>
    <row r="19" ht="14.25" customHeight="1">
      <c r="A19" s="402"/>
      <c r="B19" s="402"/>
      <c r="C19" s="402"/>
      <c r="D19" s="402"/>
      <c r="E19" s="402"/>
      <c r="F19" s="664"/>
      <c r="G19" s="403"/>
      <c r="H19" s="402"/>
      <c r="I19" s="404"/>
      <c r="J19" s="402"/>
      <c r="K19" s="402"/>
      <c r="L19" s="402"/>
      <c r="M19" s="402"/>
      <c r="N19" s="402"/>
      <c r="O19" s="402"/>
      <c r="P19" s="402"/>
      <c r="Q19" s="402"/>
      <c r="R19" s="402"/>
      <c r="S19" s="402"/>
      <c r="T19" s="402"/>
      <c r="U19" s="402"/>
      <c r="V19" s="402"/>
      <c r="W19" s="402"/>
      <c r="X19" s="402"/>
      <c r="Y19" s="402"/>
      <c r="Z19" s="402"/>
      <c r="AA19" s="405"/>
      <c r="AB19" s="405"/>
      <c r="AC19" s="405"/>
      <c r="AD19" s="405"/>
      <c r="AE19" s="405"/>
      <c r="AF19" s="405"/>
      <c r="AG19" s="405"/>
    </row>
    <row r="20" ht="14.25" customHeight="1">
      <c r="A20" s="402"/>
      <c r="B20" s="402"/>
      <c r="C20" s="402"/>
      <c r="D20" s="402"/>
      <c r="E20" s="402"/>
      <c r="F20" s="664"/>
      <c r="G20" s="403"/>
      <c r="H20" s="402"/>
      <c r="I20" s="404"/>
      <c r="J20" s="402"/>
      <c r="K20" s="402"/>
      <c r="L20" s="402"/>
      <c r="M20" s="402"/>
      <c r="N20" s="402"/>
      <c r="O20" s="402"/>
      <c r="P20" s="402"/>
      <c r="Q20" s="402"/>
      <c r="R20" s="402"/>
      <c r="S20" s="402"/>
      <c r="T20" s="402"/>
      <c r="U20" s="402"/>
      <c r="V20" s="402"/>
      <c r="W20" s="402"/>
      <c r="X20" s="402"/>
      <c r="Y20" s="402"/>
      <c r="Z20" s="402"/>
      <c r="AA20" s="405"/>
      <c r="AB20" s="405"/>
      <c r="AC20" s="405"/>
      <c r="AD20" s="405"/>
      <c r="AE20" s="405"/>
      <c r="AF20" s="405"/>
      <c r="AG20" s="405"/>
    </row>
    <row r="21" ht="14.25" customHeight="1">
      <c r="A21" s="660">
        <v>45496.0</v>
      </c>
      <c r="B21" s="402" t="s">
        <v>2453</v>
      </c>
      <c r="C21" s="402" t="s">
        <v>2454</v>
      </c>
      <c r="D21" s="402" t="s">
        <v>346</v>
      </c>
      <c r="E21" s="402" t="s">
        <v>2442</v>
      </c>
      <c r="F21" s="587">
        <v>5160.0</v>
      </c>
      <c r="G21" s="403"/>
      <c r="H21" s="349" t="s">
        <v>2477</v>
      </c>
      <c r="I21" s="404" t="str">
        <f t="shared" ref="I21:I33" si="3">IF(G21&gt;=F21,"FULLY PAID",IF(G21=0,"NOT PAID","PARTIALLY PAID"))</f>
        <v>NOT PAID</v>
      </c>
      <c r="J21" s="402"/>
      <c r="K21" s="402"/>
      <c r="L21" s="402"/>
      <c r="M21" s="402"/>
      <c r="N21" s="402"/>
      <c r="O21" s="402"/>
      <c r="P21" s="402"/>
      <c r="Q21" s="402"/>
      <c r="R21" s="402"/>
      <c r="S21" s="402"/>
      <c r="T21" s="402"/>
      <c r="U21" s="402"/>
      <c r="V21" s="402"/>
      <c r="W21" s="402"/>
      <c r="X21" s="402"/>
      <c r="Y21" s="402"/>
      <c r="Z21" s="402"/>
      <c r="AA21" s="405"/>
      <c r="AB21" s="405"/>
      <c r="AC21" s="405"/>
      <c r="AD21" s="405"/>
      <c r="AE21" s="405"/>
      <c r="AF21" s="405"/>
      <c r="AG21" s="405"/>
    </row>
    <row r="22" ht="14.25" customHeight="1">
      <c r="A22" s="660">
        <v>45496.0</v>
      </c>
      <c r="B22" s="402" t="s">
        <v>2455</v>
      </c>
      <c r="C22" s="402" t="s">
        <v>2456</v>
      </c>
      <c r="D22" s="402" t="s">
        <v>54</v>
      </c>
      <c r="E22" s="402" t="s">
        <v>2442</v>
      </c>
      <c r="F22" s="664">
        <v>10000.0</v>
      </c>
      <c r="G22" s="403"/>
      <c r="H22" s="349" t="s">
        <v>2477</v>
      </c>
      <c r="I22" s="404" t="str">
        <f t="shared" si="3"/>
        <v>NOT PAID</v>
      </c>
      <c r="J22" s="402"/>
      <c r="K22" s="402"/>
      <c r="L22" s="402"/>
      <c r="M22" s="402"/>
      <c r="N22" s="402"/>
      <c r="O22" s="402"/>
      <c r="P22" s="402"/>
      <c r="Q22" s="402"/>
      <c r="R22" s="402"/>
      <c r="S22" s="402"/>
      <c r="T22" s="402"/>
      <c r="U22" s="402"/>
      <c r="V22" s="402"/>
      <c r="W22" s="402"/>
      <c r="X22" s="402"/>
      <c r="Y22" s="402"/>
      <c r="Z22" s="402"/>
      <c r="AA22" s="405"/>
      <c r="AB22" s="405"/>
      <c r="AC22" s="405"/>
      <c r="AD22" s="405"/>
      <c r="AE22" s="405"/>
      <c r="AF22" s="405"/>
      <c r="AG22" s="405"/>
    </row>
    <row r="23" ht="14.25" customHeight="1">
      <c r="A23" s="660">
        <v>45496.0</v>
      </c>
      <c r="B23" s="349" t="s">
        <v>2457</v>
      </c>
      <c r="C23" s="349" t="s">
        <v>2458</v>
      </c>
      <c r="D23" s="349" t="s">
        <v>75</v>
      </c>
      <c r="E23" s="349" t="s">
        <v>2442</v>
      </c>
      <c r="F23" s="559">
        <v>230000.0</v>
      </c>
      <c r="G23" s="403"/>
      <c r="H23" s="349" t="s">
        <v>2478</v>
      </c>
      <c r="I23" s="404" t="str">
        <f t="shared" si="3"/>
        <v>NOT PAID</v>
      </c>
      <c r="J23" s="402"/>
      <c r="K23" s="402"/>
      <c r="L23" s="402"/>
      <c r="M23" s="402"/>
      <c r="N23" s="402"/>
      <c r="O23" s="402"/>
      <c r="P23" s="402"/>
      <c r="Q23" s="402"/>
      <c r="R23" s="402"/>
      <c r="S23" s="402"/>
      <c r="T23" s="402"/>
      <c r="U23" s="402"/>
      <c r="V23" s="402"/>
      <c r="W23" s="402"/>
      <c r="X23" s="402"/>
      <c r="Y23" s="402"/>
      <c r="Z23" s="402"/>
      <c r="AA23" s="405"/>
      <c r="AB23" s="405"/>
      <c r="AC23" s="405"/>
      <c r="AD23" s="405"/>
      <c r="AE23" s="405"/>
      <c r="AF23" s="405"/>
      <c r="AG23" s="405"/>
    </row>
    <row r="24" ht="14.25" customHeight="1">
      <c r="A24" s="660">
        <v>45496.0</v>
      </c>
      <c r="B24" s="349" t="s">
        <v>2479</v>
      </c>
      <c r="C24" s="349" t="s">
        <v>2480</v>
      </c>
      <c r="D24" s="349" t="s">
        <v>54</v>
      </c>
      <c r="E24" s="349" t="s">
        <v>2442</v>
      </c>
      <c r="F24" s="559">
        <v>33248.0</v>
      </c>
      <c r="G24" s="403"/>
      <c r="H24" s="349" t="s">
        <v>2477</v>
      </c>
      <c r="I24" s="404" t="str">
        <f t="shared" si="3"/>
        <v>NOT PAID</v>
      </c>
      <c r="J24" s="402"/>
      <c r="K24" s="402"/>
      <c r="L24" s="402"/>
      <c r="M24" s="402"/>
      <c r="N24" s="402"/>
      <c r="O24" s="402"/>
      <c r="P24" s="402"/>
      <c r="Q24" s="402"/>
      <c r="R24" s="402"/>
      <c r="S24" s="402"/>
      <c r="T24" s="402"/>
      <c r="U24" s="402"/>
      <c r="V24" s="402"/>
      <c r="W24" s="402"/>
      <c r="X24" s="402"/>
      <c r="Y24" s="402"/>
      <c r="Z24" s="402"/>
      <c r="AA24" s="405"/>
      <c r="AB24" s="405"/>
      <c r="AC24" s="405"/>
      <c r="AD24" s="405"/>
      <c r="AE24" s="405"/>
      <c r="AF24" s="405"/>
      <c r="AG24" s="405"/>
    </row>
    <row r="25" ht="14.25" customHeight="1">
      <c r="A25" s="660">
        <v>45496.0</v>
      </c>
      <c r="B25" s="349" t="s">
        <v>2443</v>
      </c>
      <c r="C25" s="349" t="s">
        <v>2444</v>
      </c>
      <c r="D25" s="349" t="s">
        <v>54</v>
      </c>
      <c r="E25" s="349" t="s">
        <v>2442</v>
      </c>
      <c r="F25" s="559">
        <v>20717.0</v>
      </c>
      <c r="G25" s="403"/>
      <c r="H25" s="349" t="s">
        <v>2481</v>
      </c>
      <c r="I25" s="404" t="str">
        <f t="shared" si="3"/>
        <v>NOT PAID</v>
      </c>
      <c r="J25" s="402"/>
      <c r="K25" s="402"/>
      <c r="L25" s="402"/>
      <c r="M25" s="402"/>
      <c r="N25" s="402"/>
      <c r="O25" s="402"/>
      <c r="P25" s="402"/>
      <c r="Q25" s="402"/>
      <c r="R25" s="402"/>
      <c r="S25" s="402"/>
      <c r="T25" s="402"/>
      <c r="U25" s="402"/>
      <c r="V25" s="402"/>
      <c r="W25" s="402"/>
      <c r="X25" s="402"/>
      <c r="Y25" s="402"/>
      <c r="Z25" s="402"/>
      <c r="AA25" s="405"/>
      <c r="AB25" s="405"/>
      <c r="AC25" s="405"/>
      <c r="AD25" s="405"/>
      <c r="AE25" s="405"/>
      <c r="AF25" s="405"/>
      <c r="AG25" s="405"/>
    </row>
    <row r="26" ht="14.25" customHeight="1">
      <c r="A26" s="660">
        <v>45496.0</v>
      </c>
      <c r="B26" s="349" t="s">
        <v>2482</v>
      </c>
      <c r="C26" s="349" t="s">
        <v>2483</v>
      </c>
      <c r="D26" s="349" t="s">
        <v>54</v>
      </c>
      <c r="E26" s="349" t="s">
        <v>2442</v>
      </c>
      <c r="F26" s="559">
        <v>31012.0</v>
      </c>
      <c r="G26" s="413">
        <v>283.0</v>
      </c>
      <c r="H26" s="349" t="s">
        <v>1039</v>
      </c>
      <c r="I26" s="404" t="str">
        <f t="shared" si="3"/>
        <v>PARTIALLY PAID</v>
      </c>
      <c r="J26" s="402"/>
      <c r="K26" s="402"/>
      <c r="L26" s="402"/>
      <c r="M26" s="402"/>
      <c r="N26" s="402"/>
      <c r="O26" s="402"/>
      <c r="P26" s="402"/>
      <c r="Q26" s="402"/>
      <c r="R26" s="402"/>
      <c r="S26" s="402"/>
      <c r="T26" s="402"/>
      <c r="U26" s="402"/>
      <c r="V26" s="402"/>
      <c r="W26" s="402"/>
      <c r="X26" s="402"/>
      <c r="Y26" s="402"/>
      <c r="Z26" s="402"/>
      <c r="AA26" s="405"/>
      <c r="AB26" s="405"/>
      <c r="AC26" s="405"/>
      <c r="AD26" s="405"/>
      <c r="AE26" s="405"/>
      <c r="AF26" s="405"/>
      <c r="AG26" s="405"/>
    </row>
    <row r="27" ht="14.25" customHeight="1">
      <c r="A27" s="660">
        <v>45496.0</v>
      </c>
      <c r="B27" s="349" t="s">
        <v>2484</v>
      </c>
      <c r="C27" s="349" t="s">
        <v>2483</v>
      </c>
      <c r="D27" s="349" t="s">
        <v>346</v>
      </c>
      <c r="E27" s="349" t="s">
        <v>2442</v>
      </c>
      <c r="F27" s="559">
        <v>4620.0</v>
      </c>
      <c r="G27" s="403"/>
      <c r="H27" s="349" t="s">
        <v>2477</v>
      </c>
      <c r="I27" s="404" t="str">
        <f t="shared" si="3"/>
        <v>NOT PAID</v>
      </c>
      <c r="J27" s="402"/>
      <c r="K27" s="402"/>
      <c r="L27" s="402"/>
      <c r="M27" s="402"/>
      <c r="N27" s="402"/>
      <c r="O27" s="402"/>
      <c r="P27" s="402"/>
      <c r="Q27" s="402"/>
      <c r="R27" s="402"/>
      <c r="S27" s="402"/>
      <c r="T27" s="402"/>
      <c r="U27" s="402"/>
      <c r="V27" s="402"/>
      <c r="W27" s="402"/>
      <c r="X27" s="402"/>
      <c r="Y27" s="402"/>
      <c r="Z27" s="402"/>
      <c r="AA27" s="405"/>
      <c r="AB27" s="405"/>
      <c r="AC27" s="405"/>
      <c r="AD27" s="405"/>
      <c r="AE27" s="405"/>
      <c r="AF27" s="405"/>
      <c r="AG27" s="405"/>
    </row>
    <row r="28" ht="14.25" customHeight="1">
      <c r="A28" s="660">
        <v>45496.0</v>
      </c>
      <c r="B28" s="349" t="s">
        <v>2485</v>
      </c>
      <c r="C28" s="349" t="s">
        <v>2486</v>
      </c>
      <c r="D28" s="349" t="s">
        <v>54</v>
      </c>
      <c r="E28" s="349" t="s">
        <v>2442</v>
      </c>
      <c r="F28" s="559">
        <v>10000.0</v>
      </c>
      <c r="G28" s="403"/>
      <c r="H28" s="349" t="s">
        <v>2487</v>
      </c>
      <c r="I28" s="404" t="str">
        <f t="shared" si="3"/>
        <v>NOT PAID</v>
      </c>
      <c r="J28" s="402"/>
      <c r="K28" s="402"/>
      <c r="L28" s="402"/>
      <c r="M28" s="402"/>
      <c r="N28" s="402"/>
      <c r="O28" s="402"/>
      <c r="P28" s="402"/>
      <c r="Q28" s="402"/>
      <c r="R28" s="402"/>
      <c r="S28" s="402"/>
      <c r="T28" s="402"/>
      <c r="U28" s="402"/>
      <c r="V28" s="402"/>
      <c r="W28" s="402"/>
      <c r="X28" s="402"/>
      <c r="Y28" s="402"/>
      <c r="Z28" s="402"/>
      <c r="AA28" s="405"/>
      <c r="AB28" s="405"/>
      <c r="AC28" s="405"/>
      <c r="AD28" s="405"/>
      <c r="AE28" s="405"/>
      <c r="AF28" s="405"/>
      <c r="AG28" s="405"/>
    </row>
    <row r="29" ht="14.25" customHeight="1">
      <c r="A29" s="660">
        <v>45496.0</v>
      </c>
      <c r="B29" s="417" t="s">
        <v>2445</v>
      </c>
      <c r="C29" s="418" t="s">
        <v>2441</v>
      </c>
      <c r="D29" s="418" t="s">
        <v>54</v>
      </c>
      <c r="E29" s="418" t="s">
        <v>2442</v>
      </c>
      <c r="F29" s="428">
        <v>6000.0</v>
      </c>
      <c r="G29" s="403"/>
      <c r="H29" s="349" t="s">
        <v>2488</v>
      </c>
      <c r="I29" s="404" t="str">
        <f t="shared" si="3"/>
        <v>NOT PAID</v>
      </c>
      <c r="J29" s="402"/>
      <c r="K29" s="402"/>
      <c r="L29" s="402"/>
      <c r="M29" s="402"/>
      <c r="N29" s="402"/>
      <c r="O29" s="402"/>
      <c r="P29" s="402"/>
      <c r="Q29" s="402"/>
      <c r="R29" s="402"/>
      <c r="S29" s="402"/>
      <c r="T29" s="402"/>
      <c r="U29" s="402"/>
      <c r="V29" s="402"/>
      <c r="W29" s="402"/>
      <c r="X29" s="402"/>
      <c r="Y29" s="402"/>
      <c r="Z29" s="402"/>
      <c r="AA29" s="405"/>
      <c r="AB29" s="405"/>
      <c r="AC29" s="405"/>
      <c r="AD29" s="405"/>
      <c r="AE29" s="405"/>
      <c r="AF29" s="405"/>
      <c r="AG29" s="405"/>
    </row>
    <row r="30" ht="14.25" customHeight="1">
      <c r="A30" s="660">
        <v>45496.0</v>
      </c>
      <c r="B30" s="343" t="s">
        <v>2460</v>
      </c>
      <c r="C30" s="344" t="s">
        <v>2461</v>
      </c>
      <c r="D30" s="344" t="s">
        <v>54</v>
      </c>
      <c r="E30" s="344" t="s">
        <v>2442</v>
      </c>
      <c r="F30" s="430">
        <v>119519.0</v>
      </c>
      <c r="G30" s="403"/>
      <c r="H30" s="349" t="s">
        <v>2489</v>
      </c>
      <c r="I30" s="404" t="str">
        <f t="shared" si="3"/>
        <v>NOT PAID</v>
      </c>
      <c r="J30" s="402"/>
      <c r="K30" s="402"/>
      <c r="L30" s="402"/>
      <c r="M30" s="402"/>
      <c r="N30" s="402"/>
      <c r="O30" s="402"/>
      <c r="P30" s="402"/>
      <c r="Q30" s="402"/>
      <c r="R30" s="402"/>
      <c r="S30" s="402"/>
      <c r="T30" s="402"/>
      <c r="U30" s="402"/>
      <c r="V30" s="402"/>
      <c r="W30" s="402"/>
      <c r="X30" s="402"/>
      <c r="Y30" s="402"/>
      <c r="Z30" s="402"/>
      <c r="AA30" s="405"/>
      <c r="AB30" s="405"/>
      <c r="AC30" s="405"/>
      <c r="AD30" s="405"/>
      <c r="AE30" s="405"/>
      <c r="AF30" s="405"/>
      <c r="AG30" s="405"/>
    </row>
    <row r="31" ht="14.25" customHeight="1">
      <c r="A31" s="660">
        <v>45496.0</v>
      </c>
      <c r="B31" s="349" t="s">
        <v>2490</v>
      </c>
      <c r="C31" s="349" t="s">
        <v>2491</v>
      </c>
      <c r="D31" s="349" t="s">
        <v>54</v>
      </c>
      <c r="E31" s="349" t="s">
        <v>2442</v>
      </c>
      <c r="F31" s="662">
        <v>10000.0</v>
      </c>
      <c r="G31" s="403"/>
      <c r="H31" s="484" t="s">
        <v>2492</v>
      </c>
      <c r="I31" s="404" t="str">
        <f t="shared" si="3"/>
        <v>NOT PAID</v>
      </c>
      <c r="J31" s="402"/>
      <c r="K31" s="402"/>
      <c r="L31" s="402"/>
      <c r="M31" s="402"/>
      <c r="N31" s="402"/>
      <c r="O31" s="402"/>
      <c r="P31" s="402"/>
      <c r="Q31" s="402"/>
      <c r="R31" s="402"/>
      <c r="S31" s="402"/>
      <c r="T31" s="402"/>
      <c r="U31" s="402"/>
      <c r="V31" s="402"/>
      <c r="W31" s="402"/>
      <c r="X31" s="402"/>
      <c r="Y31" s="402"/>
      <c r="Z31" s="402"/>
      <c r="AA31" s="405"/>
      <c r="AB31" s="405"/>
      <c r="AC31" s="405"/>
      <c r="AD31" s="405"/>
      <c r="AE31" s="405"/>
      <c r="AF31" s="405"/>
      <c r="AG31" s="405"/>
    </row>
    <row r="32" ht="14.25" customHeight="1">
      <c r="A32" s="660">
        <v>45496.0</v>
      </c>
      <c r="B32" s="349" t="s">
        <v>2493</v>
      </c>
      <c r="C32" s="349" t="s">
        <v>2494</v>
      </c>
      <c r="D32" s="349" t="s">
        <v>54</v>
      </c>
      <c r="E32" s="349" t="s">
        <v>2442</v>
      </c>
      <c r="F32" s="662">
        <v>50000.0</v>
      </c>
      <c r="G32" s="413">
        <v>50000.0</v>
      </c>
      <c r="H32" s="349" t="s">
        <v>710</v>
      </c>
      <c r="I32" s="404" t="str">
        <f t="shared" si="3"/>
        <v>FULLY PAID</v>
      </c>
      <c r="J32" s="402"/>
      <c r="K32" s="402"/>
      <c r="L32" s="402"/>
      <c r="M32" s="402"/>
      <c r="N32" s="402"/>
      <c r="O32" s="402"/>
      <c r="P32" s="402"/>
      <c r="Q32" s="402"/>
      <c r="R32" s="402"/>
      <c r="S32" s="402"/>
      <c r="T32" s="402"/>
      <c r="U32" s="402"/>
      <c r="V32" s="402"/>
      <c r="W32" s="402"/>
      <c r="X32" s="402"/>
      <c r="Y32" s="402"/>
      <c r="Z32" s="402"/>
      <c r="AA32" s="405"/>
      <c r="AB32" s="405"/>
      <c r="AC32" s="405"/>
      <c r="AD32" s="405"/>
      <c r="AE32" s="405"/>
      <c r="AF32" s="405"/>
      <c r="AG32" s="405"/>
    </row>
    <row r="33" ht="14.25" customHeight="1">
      <c r="A33" s="660">
        <v>45496.0</v>
      </c>
      <c r="B33" s="349" t="s">
        <v>2463</v>
      </c>
      <c r="C33" s="349" t="s">
        <v>2464</v>
      </c>
      <c r="D33" s="418" t="s">
        <v>54</v>
      </c>
      <c r="E33" s="349" t="s">
        <v>2442</v>
      </c>
      <c r="F33" s="662">
        <v>50000.0</v>
      </c>
      <c r="G33" s="403"/>
      <c r="H33" s="349" t="s">
        <v>2495</v>
      </c>
      <c r="I33" s="404" t="str">
        <f t="shared" si="3"/>
        <v>NOT PAID</v>
      </c>
      <c r="J33" s="402"/>
      <c r="K33" s="402"/>
      <c r="L33" s="402"/>
      <c r="M33" s="402"/>
      <c r="N33" s="402"/>
      <c r="O33" s="402"/>
      <c r="P33" s="402"/>
      <c r="Q33" s="402"/>
      <c r="R33" s="402"/>
      <c r="S33" s="402"/>
      <c r="T33" s="402"/>
      <c r="U33" s="402"/>
      <c r="V33" s="402"/>
      <c r="W33" s="402"/>
      <c r="X33" s="402"/>
      <c r="Y33" s="402"/>
      <c r="Z33" s="402"/>
      <c r="AA33" s="405"/>
      <c r="AB33" s="405"/>
      <c r="AC33" s="405"/>
      <c r="AD33" s="405"/>
      <c r="AE33" s="405"/>
      <c r="AF33" s="405"/>
      <c r="AG33" s="405"/>
    </row>
    <row r="34" ht="14.25" customHeight="1">
      <c r="A34" s="402"/>
      <c r="B34" s="402"/>
      <c r="C34" s="424" t="s">
        <v>797</v>
      </c>
      <c r="D34" s="402"/>
      <c r="E34" s="402"/>
      <c r="F34" s="664"/>
      <c r="G34" s="403"/>
      <c r="H34" s="402"/>
      <c r="I34" s="404"/>
      <c r="J34" s="402"/>
      <c r="K34" s="402"/>
      <c r="L34" s="402"/>
      <c r="M34" s="402"/>
      <c r="N34" s="402"/>
      <c r="O34" s="402"/>
      <c r="P34" s="402"/>
      <c r="Q34" s="402"/>
      <c r="R34" s="402"/>
      <c r="S34" s="402"/>
      <c r="T34" s="402"/>
      <c r="U34" s="402"/>
      <c r="V34" s="402"/>
      <c r="W34" s="402"/>
      <c r="X34" s="402"/>
      <c r="Y34" s="402"/>
      <c r="Z34" s="402"/>
      <c r="AA34" s="405"/>
      <c r="AB34" s="405"/>
      <c r="AC34" s="405"/>
      <c r="AD34" s="405"/>
      <c r="AE34" s="405"/>
      <c r="AF34" s="405"/>
      <c r="AG34" s="405"/>
    </row>
    <row r="35" ht="14.25" customHeight="1">
      <c r="A35" s="660">
        <v>45496.0</v>
      </c>
      <c r="B35" s="599" t="s">
        <v>2496</v>
      </c>
      <c r="C35" s="471" t="s">
        <v>2497</v>
      </c>
      <c r="D35" s="471" t="s">
        <v>75</v>
      </c>
      <c r="E35" s="665" t="s">
        <v>2469</v>
      </c>
      <c r="F35" s="600">
        <v>172500.0</v>
      </c>
      <c r="G35" s="665"/>
      <c r="H35" s="349" t="s">
        <v>2476</v>
      </c>
      <c r="I35" s="404" t="str">
        <f t="shared" ref="I35:I37" si="4">IF(G35&gt;=F35,"FULLY PAID",IF(G35=0,"NOT PAID","PARTIALLY PAID"))</f>
        <v>NOT PAID</v>
      </c>
      <c r="J35" s="402"/>
      <c r="K35" s="402"/>
      <c r="L35" s="402"/>
      <c r="M35" s="402"/>
      <c r="N35" s="402"/>
      <c r="O35" s="402"/>
      <c r="P35" s="402"/>
      <c r="Q35" s="402"/>
      <c r="R35" s="402"/>
      <c r="S35" s="402"/>
      <c r="T35" s="402"/>
      <c r="U35" s="402"/>
      <c r="V35" s="402"/>
      <c r="W35" s="402"/>
      <c r="X35" s="402"/>
      <c r="Y35" s="402"/>
      <c r="Z35" s="402"/>
      <c r="AA35" s="405"/>
      <c r="AB35" s="405"/>
      <c r="AC35" s="405"/>
      <c r="AD35" s="405"/>
      <c r="AE35" s="405"/>
      <c r="AF35" s="405"/>
      <c r="AG35" s="405"/>
    </row>
    <row r="36" ht="14.25" customHeight="1">
      <c r="A36" s="660">
        <v>45496.0</v>
      </c>
      <c r="B36" s="456" t="s">
        <v>2498</v>
      </c>
      <c r="C36" s="395" t="s">
        <v>2499</v>
      </c>
      <c r="D36" s="395" t="s">
        <v>75</v>
      </c>
      <c r="E36" s="665" t="s">
        <v>2469</v>
      </c>
      <c r="F36" s="666">
        <v>497109.24</v>
      </c>
      <c r="G36" s="665"/>
      <c r="H36" s="349" t="s">
        <v>2500</v>
      </c>
      <c r="I36" s="404" t="str">
        <f t="shared" si="4"/>
        <v>NOT PAID</v>
      </c>
      <c r="J36" s="402"/>
      <c r="K36" s="402"/>
      <c r="L36" s="402"/>
      <c r="M36" s="402"/>
      <c r="N36" s="402"/>
      <c r="O36" s="402"/>
      <c r="P36" s="402"/>
      <c r="Q36" s="402"/>
      <c r="R36" s="402"/>
      <c r="S36" s="402"/>
      <c r="T36" s="402"/>
      <c r="U36" s="402"/>
      <c r="V36" s="402"/>
      <c r="W36" s="402"/>
      <c r="X36" s="402"/>
      <c r="Y36" s="402"/>
      <c r="Z36" s="402"/>
      <c r="AA36" s="405"/>
      <c r="AB36" s="405"/>
      <c r="AC36" s="405"/>
      <c r="AD36" s="405"/>
      <c r="AE36" s="405"/>
      <c r="AF36" s="405"/>
      <c r="AG36" s="405"/>
    </row>
    <row r="37" ht="14.25" customHeight="1">
      <c r="A37" s="660">
        <v>45496.0</v>
      </c>
      <c r="B37" s="456" t="s">
        <v>2471</v>
      </c>
      <c r="C37" s="395" t="s">
        <v>2472</v>
      </c>
      <c r="D37" s="395" t="s">
        <v>54</v>
      </c>
      <c r="E37" s="665" t="s">
        <v>2469</v>
      </c>
      <c r="F37" s="666">
        <v>512638.0</v>
      </c>
      <c r="G37" s="665"/>
      <c r="H37" s="349" t="s">
        <v>2473</v>
      </c>
      <c r="I37" s="404" t="str">
        <f t="shared" si="4"/>
        <v>NOT PAID</v>
      </c>
      <c r="J37" s="402"/>
      <c r="K37" s="402"/>
      <c r="L37" s="402"/>
      <c r="M37" s="402"/>
      <c r="N37" s="402"/>
      <c r="O37" s="402"/>
      <c r="P37" s="402"/>
      <c r="Q37" s="402"/>
      <c r="R37" s="402"/>
      <c r="S37" s="402"/>
      <c r="T37" s="402"/>
      <c r="U37" s="402"/>
      <c r="V37" s="402"/>
      <c r="W37" s="402"/>
      <c r="X37" s="402"/>
      <c r="Y37" s="402"/>
      <c r="Z37" s="402"/>
      <c r="AA37" s="405"/>
      <c r="AB37" s="405"/>
      <c r="AC37" s="405"/>
      <c r="AD37" s="405"/>
      <c r="AE37" s="405"/>
      <c r="AF37" s="405"/>
      <c r="AG37" s="405"/>
    </row>
    <row r="38" ht="14.25" customHeight="1">
      <c r="B38" s="402"/>
      <c r="C38" s="402"/>
      <c r="D38" s="402"/>
      <c r="E38" s="402"/>
      <c r="F38" s="664"/>
      <c r="G38" s="403"/>
      <c r="H38" s="402"/>
      <c r="I38" s="404"/>
      <c r="J38" s="402"/>
      <c r="K38" s="402"/>
      <c r="L38" s="402"/>
      <c r="M38" s="402"/>
      <c r="N38" s="402"/>
      <c r="O38" s="402"/>
      <c r="P38" s="402"/>
      <c r="Q38" s="402"/>
      <c r="R38" s="402"/>
      <c r="S38" s="402"/>
      <c r="T38" s="402"/>
      <c r="U38" s="402"/>
      <c r="V38" s="402"/>
      <c r="W38" s="402"/>
      <c r="X38" s="402"/>
      <c r="Y38" s="402"/>
      <c r="Z38" s="402"/>
      <c r="AA38" s="405"/>
      <c r="AB38" s="405"/>
      <c r="AC38" s="405"/>
      <c r="AD38" s="405"/>
      <c r="AE38" s="405"/>
      <c r="AF38" s="405"/>
      <c r="AG38" s="405"/>
    </row>
    <row r="39" ht="14.25" customHeight="1">
      <c r="A39" s="402"/>
      <c r="B39" s="402"/>
      <c r="C39" s="402"/>
      <c r="D39" s="402"/>
      <c r="E39" s="402"/>
      <c r="F39" s="664"/>
      <c r="G39" s="403"/>
      <c r="H39" s="402"/>
      <c r="I39" s="404"/>
      <c r="J39" s="402"/>
      <c r="K39" s="402"/>
      <c r="L39" s="402"/>
      <c r="M39" s="402"/>
      <c r="N39" s="402"/>
      <c r="O39" s="402"/>
      <c r="P39" s="402"/>
      <c r="Q39" s="402"/>
      <c r="R39" s="402"/>
      <c r="S39" s="402"/>
      <c r="T39" s="402"/>
      <c r="U39" s="402"/>
      <c r="V39" s="402"/>
      <c r="W39" s="402"/>
      <c r="X39" s="402"/>
      <c r="Y39" s="402"/>
      <c r="Z39" s="402"/>
      <c r="AA39" s="405"/>
      <c r="AB39" s="405"/>
      <c r="AC39" s="405"/>
      <c r="AD39" s="405"/>
      <c r="AE39" s="405"/>
      <c r="AF39" s="405"/>
      <c r="AG39" s="405"/>
    </row>
    <row r="40" ht="14.25" customHeight="1">
      <c r="A40" s="402"/>
      <c r="B40" s="402"/>
      <c r="C40" s="402"/>
      <c r="D40" s="402"/>
      <c r="E40" s="402"/>
      <c r="F40" s="664"/>
      <c r="G40" s="403"/>
      <c r="H40" s="402"/>
      <c r="I40" s="404"/>
      <c r="J40" s="402"/>
      <c r="K40" s="402"/>
      <c r="L40" s="402"/>
      <c r="M40" s="402"/>
      <c r="N40" s="402"/>
      <c r="O40" s="402"/>
      <c r="P40" s="402"/>
      <c r="Q40" s="402"/>
      <c r="R40" s="402"/>
      <c r="S40" s="402"/>
      <c r="T40" s="402"/>
      <c r="U40" s="402"/>
      <c r="V40" s="402"/>
      <c r="W40" s="402"/>
      <c r="X40" s="402"/>
      <c r="Y40" s="402"/>
      <c r="Z40" s="402"/>
      <c r="AA40" s="405"/>
      <c r="AB40" s="405"/>
      <c r="AC40" s="405"/>
      <c r="AD40" s="405"/>
      <c r="AE40" s="405"/>
      <c r="AF40" s="405"/>
      <c r="AG40" s="405"/>
    </row>
    <row r="41" ht="14.25" customHeight="1">
      <c r="A41" s="402"/>
      <c r="B41" s="402"/>
      <c r="C41" s="402"/>
      <c r="D41" s="402"/>
      <c r="E41" s="402"/>
      <c r="F41" s="664"/>
      <c r="G41" s="403"/>
      <c r="H41" s="402"/>
      <c r="I41" s="404"/>
      <c r="J41" s="402"/>
      <c r="K41" s="402"/>
      <c r="L41" s="402"/>
      <c r="M41" s="402"/>
      <c r="N41" s="402"/>
      <c r="O41" s="402"/>
      <c r="P41" s="402"/>
      <c r="Q41" s="402"/>
      <c r="R41" s="402"/>
      <c r="S41" s="402"/>
      <c r="T41" s="402"/>
      <c r="U41" s="402"/>
      <c r="V41" s="402"/>
      <c r="W41" s="402"/>
      <c r="X41" s="402"/>
      <c r="Y41" s="402"/>
      <c r="Z41" s="402"/>
      <c r="AA41" s="405"/>
      <c r="AB41" s="405"/>
      <c r="AC41" s="405"/>
      <c r="AD41" s="405"/>
      <c r="AE41" s="405"/>
      <c r="AF41" s="405"/>
      <c r="AG41" s="405"/>
    </row>
    <row r="42" ht="14.25" customHeight="1">
      <c r="A42" s="660">
        <v>45497.0</v>
      </c>
      <c r="B42" s="349" t="s">
        <v>2501</v>
      </c>
      <c r="C42" s="349" t="s">
        <v>2502</v>
      </c>
      <c r="D42" s="395" t="s">
        <v>54</v>
      </c>
      <c r="E42" s="349" t="s">
        <v>2442</v>
      </c>
      <c r="F42" s="559">
        <v>23072.0</v>
      </c>
      <c r="G42" s="413"/>
      <c r="H42" s="349" t="s">
        <v>2477</v>
      </c>
      <c r="I42" s="404" t="str">
        <f t="shared" ref="I42:I53" si="5">IF(G42&gt;=F42,"FULLY PAID",IF(G42=0,"NOT PAID","PARTIALLY PAID"))</f>
        <v>NOT PAID</v>
      </c>
      <c r="J42" s="406"/>
      <c r="K42" s="349"/>
      <c r="L42" s="413"/>
      <c r="M42" s="349"/>
      <c r="N42" s="413"/>
      <c r="O42" s="402"/>
      <c r="P42" s="402"/>
      <c r="Q42" s="402"/>
      <c r="R42" s="402"/>
      <c r="S42" s="402"/>
      <c r="T42" s="402"/>
      <c r="U42" s="402"/>
      <c r="V42" s="402"/>
      <c r="W42" s="402"/>
      <c r="X42" s="402"/>
      <c r="Y42" s="402"/>
      <c r="Z42" s="402"/>
      <c r="AA42" s="405"/>
      <c r="AB42" s="405"/>
      <c r="AC42" s="405"/>
      <c r="AD42" s="405"/>
      <c r="AE42" s="405"/>
      <c r="AF42" s="405"/>
      <c r="AG42" s="405"/>
    </row>
    <row r="43" ht="14.25" customHeight="1">
      <c r="A43" s="660">
        <v>45497.0</v>
      </c>
      <c r="B43" s="349" t="s">
        <v>2490</v>
      </c>
      <c r="C43" s="349" t="s">
        <v>2491</v>
      </c>
      <c r="D43" s="349" t="s">
        <v>54</v>
      </c>
      <c r="E43" s="349" t="s">
        <v>2442</v>
      </c>
      <c r="F43" s="662">
        <v>10000.0</v>
      </c>
      <c r="G43" s="403"/>
      <c r="H43" s="484" t="s">
        <v>2492</v>
      </c>
      <c r="I43" s="404" t="str">
        <f t="shared" si="5"/>
        <v>NOT PAID</v>
      </c>
      <c r="J43" s="402"/>
      <c r="K43" s="402"/>
      <c r="L43" s="402"/>
      <c r="M43" s="402"/>
      <c r="N43" s="402"/>
      <c r="O43" s="402"/>
      <c r="P43" s="402"/>
      <c r="Q43" s="402"/>
      <c r="R43" s="402"/>
      <c r="S43" s="402"/>
      <c r="T43" s="402"/>
      <c r="U43" s="402"/>
      <c r="V43" s="402"/>
      <c r="W43" s="402"/>
      <c r="X43" s="402"/>
      <c r="Y43" s="402"/>
      <c r="Z43" s="402"/>
      <c r="AA43" s="405"/>
      <c r="AB43" s="405"/>
      <c r="AC43" s="405"/>
      <c r="AD43" s="405"/>
      <c r="AE43" s="405"/>
      <c r="AF43" s="405"/>
      <c r="AG43" s="405"/>
    </row>
    <row r="44" ht="14.25" customHeight="1">
      <c r="A44" s="660">
        <v>45497.0</v>
      </c>
      <c r="B44" s="417" t="s">
        <v>2455</v>
      </c>
      <c r="C44" s="418" t="s">
        <v>2456</v>
      </c>
      <c r="D44" s="418" t="s">
        <v>54</v>
      </c>
      <c r="E44" s="418" t="s">
        <v>2442</v>
      </c>
      <c r="F44" s="667">
        <v>10000.0</v>
      </c>
      <c r="G44" s="403"/>
      <c r="H44" s="349" t="s">
        <v>2503</v>
      </c>
      <c r="I44" s="404" t="str">
        <f t="shared" si="5"/>
        <v>NOT PAID</v>
      </c>
      <c r="J44" s="402"/>
      <c r="K44" s="402"/>
      <c r="L44" s="402"/>
      <c r="M44" s="402"/>
      <c r="N44" s="402"/>
      <c r="O44" s="402"/>
      <c r="P44" s="402"/>
      <c r="Q44" s="402"/>
      <c r="R44" s="402"/>
      <c r="S44" s="402"/>
      <c r="T44" s="402"/>
      <c r="U44" s="402"/>
      <c r="V44" s="402"/>
      <c r="W44" s="402"/>
      <c r="X44" s="402"/>
      <c r="Y44" s="402"/>
      <c r="Z44" s="402"/>
      <c r="AA44" s="405"/>
      <c r="AB44" s="405"/>
      <c r="AC44" s="405"/>
      <c r="AD44" s="405"/>
      <c r="AE44" s="405"/>
      <c r="AF44" s="405"/>
      <c r="AG44" s="405"/>
    </row>
    <row r="45" ht="14.25" customHeight="1">
      <c r="A45" s="660">
        <v>45497.0</v>
      </c>
      <c r="B45" s="343" t="s">
        <v>2457</v>
      </c>
      <c r="C45" s="344" t="s">
        <v>2458</v>
      </c>
      <c r="D45" s="344" t="s">
        <v>75</v>
      </c>
      <c r="E45" s="344" t="s">
        <v>2442</v>
      </c>
      <c r="F45" s="430">
        <v>230000.0</v>
      </c>
      <c r="G45" s="413">
        <v>130000.0</v>
      </c>
      <c r="H45" s="402"/>
      <c r="I45" s="404" t="str">
        <f t="shared" si="5"/>
        <v>PARTIALLY PAID</v>
      </c>
      <c r="J45" s="402"/>
      <c r="K45" s="402"/>
      <c r="L45" s="402"/>
      <c r="M45" s="402"/>
      <c r="N45" s="402"/>
      <c r="O45" s="402"/>
      <c r="P45" s="402"/>
      <c r="Q45" s="402"/>
      <c r="R45" s="402"/>
      <c r="S45" s="402"/>
      <c r="T45" s="402"/>
      <c r="U45" s="402"/>
      <c r="V45" s="402"/>
      <c r="W45" s="402"/>
      <c r="X45" s="402"/>
      <c r="Y45" s="402"/>
      <c r="Z45" s="402"/>
      <c r="AA45" s="405"/>
      <c r="AB45" s="405"/>
      <c r="AC45" s="405"/>
      <c r="AD45" s="405"/>
      <c r="AE45" s="405"/>
      <c r="AF45" s="405"/>
      <c r="AG45" s="405"/>
    </row>
    <row r="46" ht="14.25" customHeight="1">
      <c r="A46" s="660">
        <v>45497.0</v>
      </c>
      <c r="B46" s="343" t="s">
        <v>2460</v>
      </c>
      <c r="C46" s="344" t="s">
        <v>2461</v>
      </c>
      <c r="D46" s="344" t="s">
        <v>54</v>
      </c>
      <c r="E46" s="344" t="s">
        <v>2442</v>
      </c>
      <c r="F46" s="430">
        <v>119519.0</v>
      </c>
      <c r="G46" s="403"/>
      <c r="H46" s="349" t="s">
        <v>2504</v>
      </c>
      <c r="I46" s="404" t="str">
        <f t="shared" si="5"/>
        <v>NOT PAID</v>
      </c>
      <c r="J46" s="402"/>
      <c r="K46" s="402"/>
      <c r="L46" s="402"/>
      <c r="M46" s="402"/>
      <c r="N46" s="402"/>
      <c r="O46" s="402"/>
      <c r="P46" s="402"/>
      <c r="Q46" s="402"/>
      <c r="R46" s="402"/>
      <c r="S46" s="402"/>
      <c r="T46" s="402"/>
      <c r="U46" s="402"/>
      <c r="V46" s="402"/>
      <c r="W46" s="402"/>
      <c r="X46" s="402"/>
      <c r="Y46" s="402"/>
      <c r="Z46" s="402"/>
      <c r="AA46" s="405"/>
      <c r="AB46" s="405"/>
      <c r="AC46" s="405"/>
      <c r="AD46" s="405"/>
      <c r="AE46" s="405"/>
      <c r="AF46" s="405"/>
      <c r="AG46" s="405"/>
    </row>
    <row r="47" ht="14.25" customHeight="1">
      <c r="A47" s="660">
        <v>45497.0</v>
      </c>
      <c r="B47" s="349" t="s">
        <v>2485</v>
      </c>
      <c r="C47" s="349" t="s">
        <v>2486</v>
      </c>
      <c r="D47" s="349" t="s">
        <v>54</v>
      </c>
      <c r="E47" s="349" t="s">
        <v>2442</v>
      </c>
      <c r="F47" s="559">
        <v>10000.0</v>
      </c>
      <c r="G47" s="403"/>
      <c r="H47" s="349" t="s">
        <v>2487</v>
      </c>
      <c r="I47" s="404" t="str">
        <f t="shared" si="5"/>
        <v>NOT PAID</v>
      </c>
      <c r="J47" s="402"/>
      <c r="K47" s="402"/>
      <c r="L47" s="402"/>
      <c r="M47" s="402"/>
      <c r="N47" s="402"/>
      <c r="O47" s="402"/>
      <c r="P47" s="402"/>
      <c r="Q47" s="402"/>
      <c r="R47" s="402"/>
      <c r="S47" s="402"/>
      <c r="T47" s="402"/>
      <c r="U47" s="402"/>
      <c r="V47" s="402"/>
      <c r="W47" s="402"/>
      <c r="X47" s="402"/>
      <c r="Y47" s="402"/>
      <c r="Z47" s="402"/>
      <c r="AA47" s="405"/>
      <c r="AB47" s="405"/>
      <c r="AC47" s="405"/>
      <c r="AD47" s="405"/>
      <c r="AE47" s="405"/>
      <c r="AF47" s="405"/>
      <c r="AG47" s="405"/>
    </row>
    <row r="48" ht="14.25" customHeight="1">
      <c r="A48" s="660">
        <v>45497.0</v>
      </c>
      <c r="B48" s="349" t="s">
        <v>2505</v>
      </c>
      <c r="C48" s="349" t="s">
        <v>2506</v>
      </c>
      <c r="D48" s="349" t="s">
        <v>54</v>
      </c>
      <c r="E48" s="349" t="s">
        <v>2442</v>
      </c>
      <c r="F48" s="559">
        <v>46912.0</v>
      </c>
      <c r="G48" s="403"/>
      <c r="H48" s="349" t="s">
        <v>2477</v>
      </c>
      <c r="I48" s="404" t="str">
        <f t="shared" si="5"/>
        <v>NOT PAID</v>
      </c>
      <c r="J48" s="402"/>
      <c r="K48" s="402"/>
      <c r="L48" s="402"/>
      <c r="M48" s="402"/>
      <c r="N48" s="402"/>
      <c r="O48" s="402"/>
      <c r="P48" s="402"/>
      <c r="Q48" s="402"/>
      <c r="R48" s="402"/>
      <c r="S48" s="402"/>
      <c r="T48" s="402"/>
      <c r="U48" s="402"/>
      <c r="V48" s="402"/>
      <c r="W48" s="402"/>
      <c r="X48" s="402"/>
      <c r="Y48" s="402"/>
      <c r="Z48" s="402"/>
      <c r="AA48" s="405"/>
      <c r="AB48" s="405"/>
      <c r="AC48" s="405"/>
      <c r="AD48" s="405"/>
      <c r="AE48" s="405"/>
      <c r="AF48" s="405"/>
      <c r="AG48" s="405"/>
    </row>
    <row r="49" ht="14.25" customHeight="1">
      <c r="A49" s="660">
        <v>45497.0</v>
      </c>
      <c r="B49" s="349" t="s">
        <v>2463</v>
      </c>
      <c r="C49" s="349" t="s">
        <v>2464</v>
      </c>
      <c r="D49" s="418" t="s">
        <v>54</v>
      </c>
      <c r="E49" s="349" t="s">
        <v>2442</v>
      </c>
      <c r="F49" s="662">
        <v>50000.0</v>
      </c>
      <c r="G49" s="403"/>
      <c r="H49" s="349" t="s">
        <v>2507</v>
      </c>
      <c r="I49" s="404" t="str">
        <f t="shared" si="5"/>
        <v>NOT PAID</v>
      </c>
      <c r="J49" s="402"/>
      <c r="K49" s="402"/>
      <c r="L49" s="402"/>
      <c r="M49" s="402"/>
      <c r="N49" s="402"/>
      <c r="O49" s="402"/>
      <c r="P49" s="402"/>
      <c r="Q49" s="402"/>
      <c r="R49" s="402"/>
      <c r="S49" s="402"/>
      <c r="T49" s="402"/>
      <c r="U49" s="402"/>
      <c r="V49" s="402"/>
      <c r="W49" s="402"/>
      <c r="X49" s="402"/>
      <c r="Y49" s="402"/>
      <c r="Z49" s="402"/>
      <c r="AA49" s="405"/>
      <c r="AB49" s="405"/>
      <c r="AC49" s="405"/>
      <c r="AD49" s="405"/>
      <c r="AE49" s="405"/>
      <c r="AF49" s="405"/>
      <c r="AG49" s="405"/>
    </row>
    <row r="50" ht="14.25" customHeight="1">
      <c r="A50" s="660">
        <v>45497.0</v>
      </c>
      <c r="B50" s="349" t="s">
        <v>2508</v>
      </c>
      <c r="C50" s="349" t="s">
        <v>2509</v>
      </c>
      <c r="D50" s="349" t="s">
        <v>54</v>
      </c>
      <c r="E50" s="349" t="s">
        <v>2442</v>
      </c>
      <c r="F50" s="662">
        <v>20000.0</v>
      </c>
      <c r="G50" s="403"/>
      <c r="H50" s="484" t="s">
        <v>2489</v>
      </c>
      <c r="I50" s="404" t="str">
        <f t="shared" si="5"/>
        <v>NOT PAID</v>
      </c>
      <c r="J50" s="402"/>
      <c r="K50" s="402"/>
      <c r="L50" s="402"/>
      <c r="M50" s="402"/>
      <c r="N50" s="402"/>
      <c r="O50" s="402"/>
      <c r="P50" s="402"/>
      <c r="Q50" s="402"/>
      <c r="R50" s="402"/>
      <c r="S50" s="402"/>
      <c r="T50" s="402"/>
      <c r="U50" s="402"/>
      <c r="V50" s="402"/>
      <c r="W50" s="402"/>
      <c r="X50" s="402"/>
      <c r="Y50" s="402"/>
      <c r="Z50" s="402"/>
      <c r="AA50" s="405"/>
      <c r="AB50" s="405"/>
      <c r="AC50" s="405"/>
      <c r="AD50" s="405"/>
      <c r="AE50" s="405"/>
      <c r="AF50" s="405"/>
      <c r="AG50" s="405"/>
    </row>
    <row r="51" ht="14.25" customHeight="1">
      <c r="A51" s="660">
        <v>45497.0</v>
      </c>
      <c r="B51" s="349" t="s">
        <v>2510</v>
      </c>
      <c r="C51" s="349" t="s">
        <v>2511</v>
      </c>
      <c r="D51" s="418" t="s">
        <v>54</v>
      </c>
      <c r="E51" s="349" t="s">
        <v>2442</v>
      </c>
      <c r="F51" s="662">
        <v>2000.0</v>
      </c>
      <c r="G51" s="403"/>
      <c r="H51" s="349" t="s">
        <v>2477</v>
      </c>
      <c r="I51" s="404" t="str">
        <f t="shared" si="5"/>
        <v>NOT PAID</v>
      </c>
      <c r="J51" s="402"/>
      <c r="K51" s="402"/>
      <c r="L51" s="402"/>
      <c r="M51" s="402"/>
      <c r="N51" s="402"/>
      <c r="O51" s="402"/>
      <c r="P51" s="402"/>
      <c r="Q51" s="402"/>
      <c r="R51" s="402"/>
      <c r="S51" s="402"/>
      <c r="T51" s="402"/>
      <c r="U51" s="402"/>
      <c r="V51" s="402"/>
      <c r="W51" s="402"/>
      <c r="X51" s="402"/>
      <c r="Y51" s="402"/>
      <c r="Z51" s="402"/>
      <c r="AA51" s="405"/>
      <c r="AB51" s="405"/>
      <c r="AC51" s="405"/>
      <c r="AD51" s="405"/>
      <c r="AE51" s="405"/>
      <c r="AF51" s="405"/>
      <c r="AG51" s="405"/>
    </row>
    <row r="52" ht="14.25" customHeight="1">
      <c r="A52" s="660">
        <v>45497.0</v>
      </c>
      <c r="B52" s="349" t="s">
        <v>2512</v>
      </c>
      <c r="C52" s="349" t="s">
        <v>2513</v>
      </c>
      <c r="D52" s="349" t="s">
        <v>54</v>
      </c>
      <c r="E52" s="349" t="s">
        <v>2442</v>
      </c>
      <c r="F52" s="662">
        <v>25000.0</v>
      </c>
      <c r="G52" s="413">
        <v>13500.0</v>
      </c>
      <c r="H52" s="349" t="s">
        <v>1039</v>
      </c>
      <c r="I52" s="404" t="str">
        <f t="shared" si="5"/>
        <v>PARTIALLY PAID</v>
      </c>
      <c r="J52" s="402"/>
      <c r="K52" s="402"/>
      <c r="L52" s="402"/>
      <c r="M52" s="402"/>
      <c r="N52" s="402"/>
      <c r="O52" s="402"/>
      <c r="P52" s="402"/>
      <c r="Q52" s="402"/>
      <c r="R52" s="402"/>
      <c r="S52" s="402"/>
      <c r="T52" s="402"/>
      <c r="U52" s="402"/>
      <c r="V52" s="402"/>
      <c r="W52" s="402"/>
      <c r="X52" s="402"/>
      <c r="Y52" s="402"/>
      <c r="Z52" s="402"/>
      <c r="AA52" s="405"/>
      <c r="AB52" s="405"/>
      <c r="AC52" s="405"/>
      <c r="AD52" s="405"/>
      <c r="AE52" s="405"/>
      <c r="AF52" s="405"/>
      <c r="AG52" s="405"/>
    </row>
    <row r="53" ht="14.25" customHeight="1">
      <c r="A53" s="406">
        <v>45497.0</v>
      </c>
      <c r="B53" s="349" t="s">
        <v>2514</v>
      </c>
      <c r="C53" s="349" t="s">
        <v>2515</v>
      </c>
      <c r="D53" s="349" t="s">
        <v>54</v>
      </c>
      <c r="E53" s="416" t="s">
        <v>779</v>
      </c>
      <c r="F53" s="559">
        <v>2043000.0</v>
      </c>
      <c r="G53" s="403"/>
      <c r="H53" s="349" t="s">
        <v>2516</v>
      </c>
      <c r="I53" s="404" t="str">
        <f t="shared" si="5"/>
        <v>NOT PAID</v>
      </c>
      <c r="J53" s="402"/>
      <c r="K53" s="402"/>
      <c r="L53" s="402"/>
      <c r="M53" s="402"/>
      <c r="N53" s="402"/>
      <c r="O53" s="402"/>
      <c r="P53" s="402"/>
      <c r="Q53" s="402"/>
      <c r="R53" s="402"/>
      <c r="S53" s="402"/>
      <c r="T53" s="402"/>
      <c r="U53" s="402"/>
      <c r="V53" s="402"/>
      <c r="W53" s="402"/>
      <c r="X53" s="402"/>
      <c r="Y53" s="402"/>
      <c r="Z53" s="402"/>
      <c r="AA53" s="405"/>
      <c r="AB53" s="405"/>
      <c r="AC53" s="405"/>
      <c r="AD53" s="405"/>
      <c r="AE53" s="405"/>
      <c r="AF53" s="405"/>
      <c r="AG53" s="405"/>
    </row>
    <row r="54" ht="14.25" customHeight="1">
      <c r="A54" s="402"/>
      <c r="B54" s="402"/>
      <c r="C54" s="424" t="s">
        <v>797</v>
      </c>
      <c r="D54" s="402"/>
      <c r="E54" s="402"/>
      <c r="F54" s="664"/>
      <c r="G54" s="403"/>
      <c r="H54" s="402"/>
      <c r="I54" s="404"/>
      <c r="J54" s="402"/>
      <c r="K54" s="402"/>
      <c r="L54" s="402"/>
      <c r="M54" s="402"/>
      <c r="N54" s="402"/>
      <c r="O54" s="402"/>
      <c r="P54" s="402"/>
      <c r="Q54" s="402"/>
      <c r="R54" s="402"/>
      <c r="S54" s="402"/>
      <c r="T54" s="402"/>
      <c r="U54" s="402"/>
      <c r="V54" s="402"/>
      <c r="W54" s="402"/>
      <c r="X54" s="402"/>
      <c r="Y54" s="402"/>
      <c r="Z54" s="402"/>
      <c r="AA54" s="405"/>
      <c r="AB54" s="405"/>
      <c r="AC54" s="405"/>
      <c r="AD54" s="405"/>
      <c r="AE54" s="405"/>
      <c r="AF54" s="405"/>
      <c r="AG54" s="405"/>
    </row>
    <row r="55" ht="14.25" customHeight="1">
      <c r="A55" s="406">
        <v>45497.0</v>
      </c>
      <c r="B55" s="436" t="s">
        <v>2467</v>
      </c>
      <c r="C55" s="435" t="s">
        <v>2468</v>
      </c>
      <c r="D55" s="668" t="s">
        <v>54</v>
      </c>
      <c r="E55" s="436" t="s">
        <v>2517</v>
      </c>
      <c r="F55" s="437">
        <v>43000.0</v>
      </c>
      <c r="G55" s="403"/>
      <c r="H55" s="349" t="s">
        <v>2473</v>
      </c>
      <c r="I55" s="404" t="str">
        <f t="shared" ref="I55:I58" si="6">IF(G55&gt;=F55,"FULLY PAID",IF(G55=0,"NOT PAID","PARTIALLY PAID"))</f>
        <v>NOT PAID</v>
      </c>
      <c r="J55" s="402"/>
      <c r="K55" s="402"/>
      <c r="L55" s="402"/>
      <c r="M55" s="402"/>
      <c r="N55" s="402"/>
      <c r="O55" s="402"/>
      <c r="P55" s="402"/>
      <c r="Q55" s="402"/>
      <c r="R55" s="402"/>
      <c r="S55" s="402"/>
      <c r="T55" s="402"/>
      <c r="U55" s="402"/>
      <c r="V55" s="402"/>
      <c r="W55" s="402"/>
      <c r="X55" s="402"/>
      <c r="Y55" s="402"/>
      <c r="Z55" s="402"/>
      <c r="AA55" s="405"/>
      <c r="AB55" s="405"/>
      <c r="AC55" s="405"/>
      <c r="AD55" s="405"/>
      <c r="AE55" s="405"/>
      <c r="AF55" s="405"/>
      <c r="AG55" s="405"/>
    </row>
    <row r="56" ht="14.25" customHeight="1">
      <c r="A56" s="406">
        <v>45497.0</v>
      </c>
      <c r="B56" s="439" t="s">
        <v>2471</v>
      </c>
      <c r="C56" s="438" t="s">
        <v>2472</v>
      </c>
      <c r="D56" s="669" t="s">
        <v>54</v>
      </c>
      <c r="E56" s="439" t="s">
        <v>2517</v>
      </c>
      <c r="F56" s="440">
        <v>512638.0</v>
      </c>
      <c r="G56" s="403"/>
      <c r="H56" s="349" t="s">
        <v>2473</v>
      </c>
      <c r="I56" s="404" t="str">
        <f t="shared" si="6"/>
        <v>NOT PAID</v>
      </c>
      <c r="J56" s="402"/>
      <c r="K56" s="402"/>
      <c r="L56" s="402"/>
      <c r="M56" s="402"/>
      <c r="N56" s="402"/>
      <c r="O56" s="402"/>
      <c r="P56" s="402"/>
      <c r="Q56" s="402"/>
      <c r="R56" s="402"/>
      <c r="S56" s="402"/>
      <c r="T56" s="402"/>
      <c r="U56" s="402"/>
      <c r="V56" s="402"/>
      <c r="W56" s="402"/>
      <c r="X56" s="402"/>
      <c r="Y56" s="402"/>
      <c r="Z56" s="402"/>
      <c r="AA56" s="405"/>
      <c r="AB56" s="405"/>
      <c r="AC56" s="405"/>
      <c r="AD56" s="405"/>
      <c r="AE56" s="405"/>
      <c r="AF56" s="405"/>
      <c r="AG56" s="405"/>
    </row>
    <row r="57" ht="14.25" customHeight="1">
      <c r="A57" s="402"/>
      <c r="B57" s="402"/>
      <c r="C57" s="402"/>
      <c r="D57" s="402"/>
      <c r="E57" s="402"/>
      <c r="F57" s="664"/>
      <c r="G57" s="403"/>
      <c r="H57" s="402"/>
      <c r="I57" s="404" t="str">
        <f t="shared" si="6"/>
        <v>FULLY PAID</v>
      </c>
      <c r="J57" s="402"/>
      <c r="K57" s="402"/>
      <c r="L57" s="402"/>
      <c r="M57" s="402"/>
      <c r="N57" s="402"/>
      <c r="O57" s="402"/>
      <c r="P57" s="402"/>
      <c r="Q57" s="402"/>
      <c r="R57" s="402"/>
      <c r="S57" s="402"/>
      <c r="T57" s="402"/>
      <c r="U57" s="402"/>
      <c r="V57" s="402"/>
      <c r="W57" s="402"/>
      <c r="X57" s="402"/>
      <c r="Y57" s="402"/>
      <c r="Z57" s="402"/>
      <c r="AA57" s="405"/>
      <c r="AB57" s="405"/>
      <c r="AC57" s="405"/>
      <c r="AD57" s="405"/>
      <c r="AE57" s="405"/>
      <c r="AF57" s="405"/>
      <c r="AG57" s="405"/>
    </row>
    <row r="58" ht="14.25" customHeight="1">
      <c r="A58" s="406">
        <v>45497.0</v>
      </c>
      <c r="B58" s="441" t="s">
        <v>2518</v>
      </c>
      <c r="C58" s="441" t="s">
        <v>2519</v>
      </c>
      <c r="D58" s="349" t="s">
        <v>893</v>
      </c>
      <c r="E58" s="349" t="s">
        <v>2172</v>
      </c>
      <c r="F58" s="662">
        <v>2100000.0</v>
      </c>
      <c r="G58" s="403"/>
      <c r="H58" s="349" t="s">
        <v>2500</v>
      </c>
      <c r="I58" s="404" t="str">
        <f t="shared" si="6"/>
        <v>NOT PAID</v>
      </c>
      <c r="J58" s="402"/>
      <c r="K58" s="402"/>
      <c r="L58" s="402"/>
      <c r="M58" s="402"/>
      <c r="N58" s="402"/>
      <c r="O58" s="402"/>
      <c r="P58" s="402"/>
      <c r="Q58" s="402"/>
      <c r="R58" s="402"/>
      <c r="S58" s="402"/>
      <c r="T58" s="402"/>
      <c r="U58" s="402"/>
      <c r="V58" s="402"/>
      <c r="W58" s="402"/>
      <c r="X58" s="402"/>
      <c r="Y58" s="402"/>
      <c r="Z58" s="402"/>
      <c r="AA58" s="405"/>
      <c r="AB58" s="405"/>
      <c r="AC58" s="405"/>
      <c r="AD58" s="405"/>
      <c r="AE58" s="405"/>
      <c r="AF58" s="405"/>
      <c r="AG58" s="405"/>
    </row>
    <row r="59" ht="14.25" customHeight="1">
      <c r="B59" s="402"/>
      <c r="C59" s="402"/>
      <c r="D59" s="402"/>
      <c r="E59" s="402"/>
      <c r="F59" s="664"/>
      <c r="G59" s="403"/>
      <c r="H59" s="402"/>
      <c r="I59" s="404"/>
      <c r="J59" s="402"/>
      <c r="K59" s="402"/>
      <c r="L59" s="402"/>
      <c r="M59" s="402"/>
      <c r="N59" s="402"/>
      <c r="O59" s="402"/>
      <c r="P59" s="402"/>
      <c r="Q59" s="402"/>
      <c r="R59" s="402"/>
      <c r="S59" s="402"/>
      <c r="T59" s="402"/>
      <c r="U59" s="402"/>
      <c r="V59" s="402"/>
      <c r="W59" s="402"/>
      <c r="X59" s="402"/>
      <c r="Y59" s="402"/>
      <c r="Z59" s="402"/>
      <c r="AA59" s="405"/>
      <c r="AB59" s="405"/>
      <c r="AC59" s="405"/>
      <c r="AD59" s="405"/>
      <c r="AE59" s="405"/>
      <c r="AF59" s="405"/>
      <c r="AG59" s="405"/>
    </row>
    <row r="60" ht="14.25" customHeight="1">
      <c r="A60" s="402"/>
      <c r="B60" s="402"/>
      <c r="C60" s="402"/>
      <c r="D60" s="402"/>
      <c r="E60" s="402"/>
      <c r="F60" s="664"/>
      <c r="G60" s="403"/>
      <c r="H60" s="402"/>
      <c r="I60" s="404"/>
      <c r="J60" s="402"/>
      <c r="K60" s="402"/>
      <c r="L60" s="402"/>
      <c r="M60" s="402"/>
      <c r="N60" s="402"/>
      <c r="O60" s="402"/>
      <c r="P60" s="402"/>
      <c r="Q60" s="402"/>
      <c r="R60" s="402"/>
      <c r="S60" s="402"/>
      <c r="T60" s="402"/>
      <c r="U60" s="402"/>
      <c r="V60" s="402"/>
      <c r="W60" s="402"/>
      <c r="X60" s="402"/>
      <c r="Y60" s="402"/>
      <c r="Z60" s="402"/>
      <c r="AA60" s="405"/>
      <c r="AB60" s="405"/>
      <c r="AC60" s="405"/>
      <c r="AD60" s="405"/>
      <c r="AE60" s="405"/>
      <c r="AF60" s="405"/>
      <c r="AG60" s="405"/>
    </row>
    <row r="61" ht="14.25" customHeight="1">
      <c r="A61" s="402"/>
      <c r="B61" s="402"/>
      <c r="C61" s="402"/>
      <c r="D61" s="402"/>
      <c r="E61" s="402"/>
      <c r="F61" s="664"/>
      <c r="G61" s="403"/>
      <c r="H61" s="402"/>
      <c r="I61" s="404"/>
      <c r="J61" s="402"/>
      <c r="K61" s="402"/>
      <c r="L61" s="402"/>
      <c r="M61" s="402"/>
      <c r="N61" s="402"/>
      <c r="O61" s="402"/>
      <c r="P61" s="402"/>
      <c r="Q61" s="402"/>
      <c r="R61" s="402"/>
      <c r="S61" s="402"/>
      <c r="T61" s="402"/>
      <c r="U61" s="402"/>
      <c r="V61" s="402"/>
      <c r="W61" s="402"/>
      <c r="X61" s="402"/>
      <c r="Y61" s="402"/>
      <c r="Z61" s="402"/>
      <c r="AA61" s="405"/>
      <c r="AB61" s="405"/>
      <c r="AC61" s="405"/>
      <c r="AD61" s="405"/>
      <c r="AE61" s="405"/>
      <c r="AF61" s="405"/>
      <c r="AG61" s="405"/>
    </row>
    <row r="62" ht="14.25" customHeight="1">
      <c r="A62" s="406">
        <v>45498.0</v>
      </c>
      <c r="B62" s="349" t="s">
        <v>2501</v>
      </c>
      <c r="C62" s="349" t="s">
        <v>2502</v>
      </c>
      <c r="D62" s="349" t="s">
        <v>54</v>
      </c>
      <c r="E62" s="349" t="s">
        <v>2442</v>
      </c>
      <c r="F62" s="559">
        <v>10000.0</v>
      </c>
      <c r="G62" s="413">
        <v>24500.0</v>
      </c>
      <c r="H62" s="349" t="s">
        <v>710</v>
      </c>
      <c r="I62" s="404" t="str">
        <f t="shared" ref="I62:I74" si="7">IF(G62&gt;=F62,"FULLY PAID",IF(G62=0,"NOT PAID","PARTIALLY PAID"))</f>
        <v>FULLY PAID</v>
      </c>
      <c r="J62" s="402"/>
      <c r="K62" s="402"/>
      <c r="L62" s="402"/>
      <c r="M62" s="402"/>
      <c r="N62" s="402"/>
      <c r="O62" s="402"/>
      <c r="P62" s="402"/>
      <c r="Q62" s="402"/>
      <c r="R62" s="402"/>
      <c r="S62" s="402"/>
      <c r="T62" s="402"/>
      <c r="U62" s="402"/>
      <c r="V62" s="402"/>
      <c r="W62" s="402"/>
      <c r="X62" s="402"/>
      <c r="Y62" s="402"/>
      <c r="Z62" s="402"/>
      <c r="AA62" s="405"/>
      <c r="AB62" s="405"/>
      <c r="AC62" s="405"/>
      <c r="AD62" s="405"/>
      <c r="AE62" s="405"/>
      <c r="AF62" s="405"/>
      <c r="AG62" s="405"/>
    </row>
    <row r="63" ht="14.25" customHeight="1">
      <c r="A63" s="406">
        <v>45498.0</v>
      </c>
      <c r="B63" s="623" t="s">
        <v>2520</v>
      </c>
      <c r="C63" s="624" t="s">
        <v>2521</v>
      </c>
      <c r="D63" s="349" t="s">
        <v>54</v>
      </c>
      <c r="E63" s="349" t="s">
        <v>2442</v>
      </c>
      <c r="F63" s="670">
        <v>20557.0</v>
      </c>
      <c r="G63" s="413">
        <v>26500.0</v>
      </c>
      <c r="H63" s="349" t="s">
        <v>710</v>
      </c>
      <c r="I63" s="404" t="str">
        <f t="shared" si="7"/>
        <v>FULLY PAID</v>
      </c>
      <c r="J63" s="402"/>
      <c r="K63" s="402"/>
      <c r="L63" s="402"/>
      <c r="M63" s="402"/>
      <c r="N63" s="402"/>
      <c r="O63" s="402"/>
      <c r="P63" s="402"/>
      <c r="Q63" s="402"/>
      <c r="R63" s="402"/>
      <c r="S63" s="402"/>
      <c r="T63" s="402"/>
      <c r="U63" s="402"/>
      <c r="V63" s="402"/>
      <c r="W63" s="402"/>
      <c r="X63" s="402"/>
      <c r="Y63" s="402"/>
      <c r="Z63" s="402"/>
      <c r="AA63" s="405"/>
      <c r="AB63" s="405"/>
      <c r="AC63" s="405"/>
      <c r="AD63" s="405"/>
      <c r="AE63" s="405"/>
      <c r="AF63" s="405"/>
      <c r="AG63" s="405"/>
    </row>
    <row r="64" ht="14.25" customHeight="1">
      <c r="A64" s="406">
        <v>45498.0</v>
      </c>
      <c r="B64" s="628" t="s">
        <v>2522</v>
      </c>
      <c r="C64" s="629" t="s">
        <v>2523</v>
      </c>
      <c r="D64" s="349" t="s">
        <v>54</v>
      </c>
      <c r="E64" s="349" t="s">
        <v>2442</v>
      </c>
      <c r="F64" s="671">
        <v>33398.0</v>
      </c>
      <c r="G64" s="671">
        <v>33398.0</v>
      </c>
      <c r="H64" s="349" t="s">
        <v>179</v>
      </c>
      <c r="I64" s="404" t="str">
        <f t="shared" si="7"/>
        <v>FULLY PAID</v>
      </c>
      <c r="J64" s="402"/>
      <c r="K64" s="402"/>
      <c r="L64" s="402"/>
      <c r="M64" s="402"/>
      <c r="N64" s="402"/>
      <c r="O64" s="402"/>
      <c r="P64" s="402"/>
      <c r="Q64" s="402"/>
      <c r="R64" s="402"/>
      <c r="S64" s="402"/>
      <c r="T64" s="402"/>
      <c r="U64" s="402"/>
      <c r="V64" s="402"/>
      <c r="W64" s="402"/>
      <c r="X64" s="402"/>
      <c r="Y64" s="402"/>
      <c r="Z64" s="402"/>
      <c r="AA64" s="405"/>
      <c r="AB64" s="405"/>
      <c r="AC64" s="405"/>
      <c r="AD64" s="405"/>
      <c r="AE64" s="405"/>
      <c r="AF64" s="405"/>
      <c r="AG64" s="405"/>
    </row>
    <row r="65" ht="14.25" customHeight="1">
      <c r="A65" s="406">
        <v>45498.0</v>
      </c>
      <c r="B65" s="628" t="s">
        <v>2524</v>
      </c>
      <c r="C65" s="629" t="s">
        <v>2525</v>
      </c>
      <c r="D65" s="349" t="s">
        <v>54</v>
      </c>
      <c r="E65" s="349" t="s">
        <v>2442</v>
      </c>
      <c r="F65" s="671">
        <v>107500.0</v>
      </c>
      <c r="G65" s="671">
        <v>107500.0</v>
      </c>
      <c r="H65" s="349" t="s">
        <v>710</v>
      </c>
      <c r="I65" s="404" t="str">
        <f t="shared" si="7"/>
        <v>FULLY PAID</v>
      </c>
      <c r="J65" s="402"/>
      <c r="K65" s="402"/>
      <c r="L65" s="402"/>
      <c r="M65" s="402"/>
      <c r="N65" s="402"/>
      <c r="O65" s="402"/>
      <c r="P65" s="402"/>
      <c r="Q65" s="402"/>
      <c r="R65" s="402"/>
      <c r="S65" s="402"/>
      <c r="T65" s="402"/>
      <c r="U65" s="402"/>
      <c r="V65" s="402"/>
      <c r="W65" s="402"/>
      <c r="X65" s="402"/>
      <c r="Y65" s="402"/>
      <c r="Z65" s="402"/>
      <c r="AA65" s="405"/>
      <c r="AB65" s="405"/>
      <c r="AC65" s="405"/>
      <c r="AD65" s="405"/>
      <c r="AE65" s="405"/>
      <c r="AF65" s="405"/>
      <c r="AG65" s="405"/>
    </row>
    <row r="66" ht="14.25" customHeight="1">
      <c r="A66" s="406">
        <v>45498.0</v>
      </c>
      <c r="B66" s="628" t="s">
        <v>2526</v>
      </c>
      <c r="C66" s="629" t="s">
        <v>2527</v>
      </c>
      <c r="D66" s="349" t="s">
        <v>54</v>
      </c>
      <c r="E66" s="349" t="s">
        <v>2442</v>
      </c>
      <c r="F66" s="671">
        <v>576108.0</v>
      </c>
      <c r="G66" s="671">
        <v>576108.0</v>
      </c>
      <c r="H66" s="349" t="s">
        <v>710</v>
      </c>
      <c r="I66" s="404" t="str">
        <f t="shared" si="7"/>
        <v>FULLY PAID</v>
      </c>
      <c r="J66" s="402"/>
      <c r="K66" s="402"/>
      <c r="L66" s="402"/>
      <c r="M66" s="402"/>
      <c r="N66" s="402"/>
      <c r="O66" s="402"/>
      <c r="P66" s="402"/>
      <c r="Q66" s="402"/>
      <c r="R66" s="402"/>
      <c r="S66" s="402"/>
      <c r="T66" s="402"/>
      <c r="U66" s="402"/>
      <c r="V66" s="402"/>
      <c r="W66" s="402"/>
      <c r="X66" s="402"/>
      <c r="Y66" s="402"/>
      <c r="Z66" s="402"/>
      <c r="AA66" s="405"/>
      <c r="AB66" s="405"/>
      <c r="AC66" s="405"/>
      <c r="AD66" s="405"/>
      <c r="AE66" s="405"/>
      <c r="AF66" s="405"/>
      <c r="AG66" s="405"/>
    </row>
    <row r="67" ht="14.25" customHeight="1">
      <c r="A67" s="406">
        <v>45498.0</v>
      </c>
      <c r="B67" s="628" t="s">
        <v>2528</v>
      </c>
      <c r="C67" s="629" t="s">
        <v>2529</v>
      </c>
      <c r="D67" s="349" t="s">
        <v>54</v>
      </c>
      <c r="E67" s="349" t="s">
        <v>2442</v>
      </c>
      <c r="F67" s="671">
        <v>14470.0</v>
      </c>
      <c r="G67" s="403"/>
      <c r="H67" s="349" t="s">
        <v>179</v>
      </c>
      <c r="I67" s="404" t="str">
        <f t="shared" si="7"/>
        <v>NOT PAID</v>
      </c>
      <c r="J67" s="402"/>
      <c r="K67" s="402"/>
      <c r="L67" s="402"/>
      <c r="M67" s="402"/>
      <c r="N67" s="402"/>
      <c r="O67" s="402"/>
      <c r="P67" s="402"/>
      <c r="Q67" s="402"/>
      <c r="R67" s="402"/>
      <c r="S67" s="402"/>
      <c r="T67" s="402"/>
      <c r="U67" s="402"/>
      <c r="V67" s="402"/>
      <c r="W67" s="402"/>
      <c r="X67" s="402"/>
      <c r="Y67" s="402"/>
      <c r="Z67" s="402"/>
      <c r="AA67" s="405"/>
      <c r="AB67" s="405"/>
      <c r="AC67" s="405"/>
      <c r="AD67" s="405"/>
      <c r="AE67" s="405"/>
      <c r="AF67" s="405"/>
      <c r="AG67" s="405"/>
    </row>
    <row r="68" ht="14.25" customHeight="1">
      <c r="A68" s="406">
        <v>45498.0</v>
      </c>
      <c r="B68" s="349" t="s">
        <v>2530</v>
      </c>
      <c r="C68" s="349" t="s">
        <v>2531</v>
      </c>
      <c r="D68" s="349" t="s">
        <v>54</v>
      </c>
      <c r="E68" s="349" t="s">
        <v>2442</v>
      </c>
      <c r="F68" s="559">
        <v>5000.0</v>
      </c>
      <c r="G68" s="403"/>
      <c r="H68" s="349" t="s">
        <v>2532</v>
      </c>
      <c r="I68" s="404" t="str">
        <f t="shared" si="7"/>
        <v>NOT PAID</v>
      </c>
      <c r="J68" s="402"/>
      <c r="K68" s="402"/>
      <c r="L68" s="402"/>
      <c r="M68" s="402"/>
      <c r="N68" s="402"/>
      <c r="O68" s="402"/>
      <c r="P68" s="402"/>
      <c r="Q68" s="402"/>
      <c r="R68" s="402"/>
      <c r="S68" s="402"/>
      <c r="T68" s="402"/>
      <c r="U68" s="402"/>
      <c r="V68" s="402"/>
      <c r="W68" s="402"/>
      <c r="X68" s="402"/>
      <c r="Y68" s="402"/>
      <c r="Z68" s="402"/>
      <c r="AA68" s="405"/>
      <c r="AB68" s="405"/>
      <c r="AC68" s="405"/>
      <c r="AD68" s="405"/>
      <c r="AE68" s="405"/>
      <c r="AF68" s="405"/>
      <c r="AG68" s="405"/>
    </row>
    <row r="69" ht="14.25" customHeight="1">
      <c r="A69" s="406">
        <v>45498.0</v>
      </c>
      <c r="B69" s="512" t="s">
        <v>2533</v>
      </c>
      <c r="C69" s="512" t="s">
        <v>2534</v>
      </c>
      <c r="D69" s="595" t="s">
        <v>54</v>
      </c>
      <c r="E69" s="349" t="s">
        <v>2442</v>
      </c>
      <c r="F69" s="559">
        <v>36675.0</v>
      </c>
      <c r="G69" s="559">
        <v>36675.0</v>
      </c>
      <c r="H69" s="559" t="s">
        <v>710</v>
      </c>
      <c r="I69" s="404" t="str">
        <f t="shared" si="7"/>
        <v>FULLY PAID</v>
      </c>
      <c r="J69" s="402"/>
      <c r="K69" s="402"/>
      <c r="L69" s="402"/>
      <c r="M69" s="402"/>
      <c r="N69" s="402"/>
      <c r="O69" s="402"/>
      <c r="P69" s="402"/>
      <c r="Q69" s="402"/>
      <c r="R69" s="402"/>
      <c r="S69" s="402"/>
      <c r="T69" s="402"/>
      <c r="U69" s="402"/>
      <c r="V69" s="402"/>
      <c r="W69" s="402"/>
      <c r="X69" s="402"/>
      <c r="Y69" s="402"/>
      <c r="Z69" s="402"/>
      <c r="AA69" s="405"/>
      <c r="AB69" s="405"/>
      <c r="AC69" s="405"/>
      <c r="AD69" s="405"/>
      <c r="AE69" s="405"/>
      <c r="AF69" s="405"/>
      <c r="AG69" s="405"/>
    </row>
    <row r="70" ht="14.25" customHeight="1">
      <c r="A70" s="406">
        <v>45498.0</v>
      </c>
      <c r="B70" s="349" t="s">
        <v>2455</v>
      </c>
      <c r="C70" s="349" t="s">
        <v>2456</v>
      </c>
      <c r="D70" s="349" t="s">
        <v>54</v>
      </c>
      <c r="E70" s="349" t="s">
        <v>2442</v>
      </c>
      <c r="F70" s="559">
        <v>10000.0</v>
      </c>
      <c r="G70" s="413">
        <v>10000.0</v>
      </c>
      <c r="H70" s="349" t="s">
        <v>710</v>
      </c>
      <c r="I70" s="404" t="str">
        <f t="shared" si="7"/>
        <v>FULLY PAID</v>
      </c>
      <c r="J70" s="402"/>
      <c r="K70" s="402"/>
      <c r="L70" s="402"/>
      <c r="M70" s="402"/>
      <c r="N70" s="402"/>
      <c r="O70" s="402"/>
      <c r="P70" s="402"/>
      <c r="Q70" s="402"/>
      <c r="R70" s="402"/>
      <c r="S70" s="402"/>
      <c r="T70" s="402"/>
      <c r="U70" s="402"/>
      <c r="V70" s="402"/>
      <c r="W70" s="402"/>
      <c r="X70" s="402"/>
      <c r="Y70" s="402"/>
      <c r="Z70" s="402"/>
      <c r="AA70" s="405"/>
      <c r="AB70" s="405"/>
      <c r="AC70" s="405"/>
      <c r="AD70" s="405"/>
      <c r="AE70" s="405"/>
      <c r="AF70" s="405"/>
      <c r="AG70" s="405"/>
    </row>
    <row r="71" ht="14.25" customHeight="1">
      <c r="A71" s="406">
        <v>45498.0</v>
      </c>
      <c r="B71" s="349" t="s">
        <v>2512</v>
      </c>
      <c r="C71" s="349" t="s">
        <v>2513</v>
      </c>
      <c r="D71" s="349" t="s">
        <v>54</v>
      </c>
      <c r="E71" s="349" t="s">
        <v>2442</v>
      </c>
      <c r="F71" s="662">
        <v>5000.0</v>
      </c>
      <c r="G71" s="403"/>
      <c r="H71" s="349" t="s">
        <v>2229</v>
      </c>
      <c r="I71" s="404" t="str">
        <f t="shared" si="7"/>
        <v>NOT PAID</v>
      </c>
      <c r="J71" s="402"/>
      <c r="K71" s="402"/>
      <c r="L71" s="402"/>
      <c r="M71" s="402"/>
      <c r="N71" s="402"/>
      <c r="O71" s="402"/>
      <c r="P71" s="402"/>
      <c r="Q71" s="402"/>
      <c r="R71" s="402"/>
      <c r="S71" s="402"/>
      <c r="T71" s="402"/>
      <c r="U71" s="402"/>
      <c r="V71" s="402"/>
      <c r="W71" s="402"/>
      <c r="X71" s="402"/>
      <c r="Y71" s="402"/>
      <c r="Z71" s="402"/>
      <c r="AA71" s="405"/>
      <c r="AB71" s="405"/>
      <c r="AC71" s="405"/>
      <c r="AD71" s="405"/>
      <c r="AE71" s="405"/>
      <c r="AF71" s="405"/>
      <c r="AG71" s="405"/>
    </row>
    <row r="72" ht="14.25" customHeight="1">
      <c r="A72" s="406">
        <v>45498.0</v>
      </c>
      <c r="B72" s="349" t="s">
        <v>2457</v>
      </c>
      <c r="C72" s="349" t="s">
        <v>2458</v>
      </c>
      <c r="D72" s="349" t="s">
        <v>54</v>
      </c>
      <c r="E72" s="349" t="s">
        <v>2442</v>
      </c>
      <c r="F72" s="559">
        <v>100000.0</v>
      </c>
      <c r="G72" s="403"/>
      <c r="H72" s="349" t="s">
        <v>2459</v>
      </c>
      <c r="I72" s="404" t="str">
        <f t="shared" si="7"/>
        <v>NOT PAID</v>
      </c>
      <c r="J72" s="402"/>
      <c r="K72" s="402"/>
      <c r="L72" s="402"/>
      <c r="M72" s="402"/>
      <c r="N72" s="402"/>
      <c r="O72" s="402"/>
      <c r="P72" s="402"/>
      <c r="Q72" s="402"/>
      <c r="R72" s="402"/>
      <c r="S72" s="402"/>
      <c r="T72" s="402"/>
      <c r="U72" s="402"/>
      <c r="V72" s="402"/>
      <c r="W72" s="402"/>
      <c r="X72" s="402"/>
      <c r="Y72" s="402"/>
      <c r="Z72" s="402"/>
      <c r="AA72" s="405"/>
      <c r="AB72" s="405"/>
      <c r="AC72" s="405"/>
      <c r="AD72" s="405"/>
      <c r="AE72" s="405"/>
      <c r="AF72" s="405"/>
      <c r="AG72" s="405"/>
    </row>
    <row r="73" ht="14.25" customHeight="1">
      <c r="A73" s="406">
        <v>45498.0</v>
      </c>
      <c r="B73" s="349" t="s">
        <v>2482</v>
      </c>
      <c r="C73" s="349" t="s">
        <v>2483</v>
      </c>
      <c r="D73" s="349" t="s">
        <v>54</v>
      </c>
      <c r="E73" s="349" t="s">
        <v>2442</v>
      </c>
      <c r="F73" s="559">
        <v>10000.0</v>
      </c>
      <c r="G73" s="403"/>
      <c r="H73" s="349" t="s">
        <v>2535</v>
      </c>
      <c r="I73" s="404" t="str">
        <f t="shared" si="7"/>
        <v>NOT PAID</v>
      </c>
      <c r="J73" s="402"/>
      <c r="K73" s="402"/>
      <c r="L73" s="402"/>
      <c r="M73" s="402"/>
      <c r="N73" s="402"/>
      <c r="O73" s="402"/>
      <c r="P73" s="402"/>
      <c r="Q73" s="402"/>
      <c r="R73" s="402"/>
      <c r="S73" s="402"/>
      <c r="T73" s="402"/>
      <c r="U73" s="402"/>
      <c r="V73" s="402"/>
      <c r="W73" s="402"/>
      <c r="X73" s="402"/>
      <c r="Y73" s="402"/>
      <c r="Z73" s="402"/>
      <c r="AA73" s="405"/>
      <c r="AB73" s="405"/>
      <c r="AC73" s="405"/>
      <c r="AD73" s="405"/>
      <c r="AE73" s="405"/>
      <c r="AF73" s="405"/>
      <c r="AG73" s="405"/>
    </row>
    <row r="74" ht="14.25" customHeight="1">
      <c r="A74" s="406">
        <v>45498.0</v>
      </c>
      <c r="B74" s="349" t="s">
        <v>2514</v>
      </c>
      <c r="C74" s="349" t="s">
        <v>2515</v>
      </c>
      <c r="D74" s="349" t="s">
        <v>54</v>
      </c>
      <c r="E74" s="349" t="s">
        <v>2442</v>
      </c>
      <c r="F74" s="559">
        <v>2043000.0</v>
      </c>
      <c r="G74" s="403"/>
      <c r="H74" s="349" t="s">
        <v>2536</v>
      </c>
      <c r="I74" s="404" t="str">
        <f t="shared" si="7"/>
        <v>NOT PAID</v>
      </c>
      <c r="J74" s="402"/>
      <c r="K74" s="402"/>
      <c r="L74" s="402"/>
      <c r="M74" s="402"/>
      <c r="N74" s="402"/>
      <c r="O74" s="402"/>
      <c r="P74" s="402"/>
      <c r="Q74" s="402"/>
      <c r="R74" s="402"/>
      <c r="S74" s="402"/>
      <c r="T74" s="402"/>
      <c r="U74" s="402"/>
      <c r="V74" s="402"/>
      <c r="W74" s="402"/>
      <c r="X74" s="402"/>
      <c r="Y74" s="402"/>
      <c r="Z74" s="402"/>
      <c r="AA74" s="405"/>
      <c r="AB74" s="405"/>
      <c r="AC74" s="405"/>
      <c r="AD74" s="405"/>
      <c r="AE74" s="405"/>
      <c r="AF74" s="405"/>
      <c r="AG74" s="405"/>
    </row>
    <row r="75" ht="14.25" customHeight="1">
      <c r="A75" s="406">
        <v>45498.0</v>
      </c>
      <c r="B75" s="349" t="s">
        <v>2463</v>
      </c>
      <c r="C75" s="349" t="s">
        <v>2464</v>
      </c>
      <c r="D75" s="418" t="s">
        <v>54</v>
      </c>
      <c r="E75" s="349" t="s">
        <v>2442</v>
      </c>
      <c r="F75" s="662">
        <v>50000.0</v>
      </c>
      <c r="G75" s="672"/>
      <c r="H75" s="413" t="s">
        <v>2507</v>
      </c>
      <c r="I75" s="404" t="str">
        <f>IF(H75&gt;=F75,"FULLY PAID",IF(H75=0,"NOT PAID","PARTIALLY PAID"))</f>
        <v>FULLY PAID</v>
      </c>
      <c r="J75" s="402"/>
      <c r="K75" s="402"/>
      <c r="L75" s="402"/>
      <c r="M75" s="402"/>
      <c r="N75" s="402"/>
      <c r="O75" s="402"/>
      <c r="P75" s="402"/>
      <c r="Q75" s="402"/>
      <c r="R75" s="402"/>
      <c r="S75" s="402"/>
      <c r="T75" s="402"/>
      <c r="U75" s="402"/>
      <c r="V75" s="402"/>
      <c r="W75" s="402"/>
      <c r="X75" s="402"/>
      <c r="Y75" s="402"/>
      <c r="Z75" s="402"/>
      <c r="AA75" s="405"/>
      <c r="AB75" s="405"/>
      <c r="AC75" s="405"/>
      <c r="AD75" s="405"/>
      <c r="AE75" s="405"/>
      <c r="AF75" s="405"/>
      <c r="AG75" s="405"/>
    </row>
    <row r="76" ht="14.25" customHeight="1">
      <c r="A76" s="406">
        <v>45498.0</v>
      </c>
      <c r="B76" s="349" t="s">
        <v>2453</v>
      </c>
      <c r="C76" s="349" t="s">
        <v>2537</v>
      </c>
      <c r="D76" s="420" t="s">
        <v>2538</v>
      </c>
      <c r="E76" s="349" t="s">
        <v>2442</v>
      </c>
      <c r="F76" s="662">
        <v>5160.0</v>
      </c>
      <c r="G76" s="559">
        <v>5160.0</v>
      </c>
      <c r="H76" s="349" t="s">
        <v>710</v>
      </c>
      <c r="I76" s="404" t="str">
        <f>IF(G76&gt;=F76,"FULLY PAID",IF(G76=0,"NOT PAID","PARTIALLY PAID"))</f>
        <v>FULLY PAID</v>
      </c>
      <c r="J76" s="402"/>
      <c r="K76" s="402"/>
      <c r="L76" s="402"/>
      <c r="M76" s="402"/>
      <c r="N76" s="402"/>
      <c r="O76" s="402"/>
      <c r="P76" s="402"/>
      <c r="Q76" s="402"/>
      <c r="R76" s="402"/>
      <c r="S76" s="402"/>
      <c r="T76" s="402"/>
      <c r="U76" s="402"/>
      <c r="V76" s="402"/>
      <c r="W76" s="402"/>
      <c r="X76" s="402"/>
      <c r="Y76" s="402"/>
      <c r="Z76" s="402"/>
      <c r="AA76" s="405"/>
      <c r="AB76" s="405"/>
      <c r="AC76" s="405"/>
      <c r="AD76" s="405"/>
      <c r="AE76" s="405"/>
      <c r="AF76" s="405"/>
      <c r="AG76" s="405"/>
    </row>
    <row r="77" ht="14.25" customHeight="1">
      <c r="A77" s="406"/>
      <c r="B77" s="402"/>
      <c r="C77" s="424" t="s">
        <v>797</v>
      </c>
      <c r="D77" s="402"/>
      <c r="E77" s="402"/>
      <c r="F77" s="664"/>
      <c r="G77" s="403"/>
      <c r="H77" s="402"/>
      <c r="I77" s="404"/>
      <c r="J77" s="402"/>
      <c r="K77" s="402"/>
      <c r="L77" s="402"/>
      <c r="M77" s="402"/>
      <c r="N77" s="402"/>
      <c r="O77" s="402"/>
      <c r="P77" s="402"/>
      <c r="Q77" s="402"/>
      <c r="R77" s="402"/>
      <c r="S77" s="402"/>
      <c r="T77" s="402"/>
      <c r="U77" s="402"/>
      <c r="V77" s="402"/>
      <c r="W77" s="402"/>
      <c r="X77" s="402"/>
      <c r="Y77" s="402"/>
      <c r="Z77" s="402"/>
      <c r="AA77" s="405"/>
      <c r="AB77" s="405"/>
      <c r="AC77" s="405"/>
      <c r="AD77" s="405"/>
      <c r="AE77" s="405"/>
      <c r="AF77" s="405"/>
      <c r="AG77" s="405"/>
    </row>
    <row r="78" ht="14.25" customHeight="1">
      <c r="A78" s="406">
        <v>45498.0</v>
      </c>
      <c r="B78" s="436" t="s">
        <v>2467</v>
      </c>
      <c r="C78" s="435" t="s">
        <v>2468</v>
      </c>
      <c r="D78" s="668" t="s">
        <v>54</v>
      </c>
      <c r="E78" s="436" t="s">
        <v>2517</v>
      </c>
      <c r="F78" s="437">
        <v>43000.0</v>
      </c>
      <c r="G78" s="403"/>
      <c r="H78" s="349" t="s">
        <v>2473</v>
      </c>
      <c r="I78" s="404" t="str">
        <f t="shared" ref="I78:I98" si="8">IF(G78&gt;=F78,"FULLY PAID",IF(G78=0,"NOT PAID","PARTIALLY PAID"))</f>
        <v>NOT PAID</v>
      </c>
      <c r="J78" s="402"/>
      <c r="K78" s="402"/>
      <c r="L78" s="402"/>
      <c r="M78" s="402"/>
      <c r="N78" s="402"/>
      <c r="O78" s="402"/>
      <c r="P78" s="402"/>
      <c r="Q78" s="402"/>
      <c r="R78" s="402"/>
      <c r="S78" s="402"/>
      <c r="T78" s="402"/>
      <c r="U78" s="402"/>
      <c r="V78" s="402"/>
      <c r="W78" s="402"/>
      <c r="X78" s="402"/>
      <c r="Y78" s="402"/>
      <c r="Z78" s="402"/>
      <c r="AA78" s="405"/>
      <c r="AB78" s="405"/>
      <c r="AC78" s="405"/>
      <c r="AD78" s="405"/>
      <c r="AE78" s="405"/>
      <c r="AF78" s="405"/>
      <c r="AG78" s="405"/>
    </row>
    <row r="79" ht="14.25" customHeight="1">
      <c r="A79" s="406">
        <v>45498.0</v>
      </c>
      <c r="B79" s="439" t="s">
        <v>2471</v>
      </c>
      <c r="C79" s="438" t="s">
        <v>2472</v>
      </c>
      <c r="D79" s="669" t="s">
        <v>54</v>
      </c>
      <c r="E79" s="439" t="s">
        <v>2517</v>
      </c>
      <c r="F79" s="440">
        <v>512638.0</v>
      </c>
      <c r="G79" s="403"/>
      <c r="H79" s="349" t="s">
        <v>2473</v>
      </c>
      <c r="I79" s="404" t="str">
        <f t="shared" si="8"/>
        <v>NOT PAID</v>
      </c>
      <c r="J79" s="402"/>
      <c r="K79" s="402"/>
      <c r="L79" s="402"/>
      <c r="M79" s="402"/>
      <c r="N79" s="402"/>
      <c r="O79" s="402"/>
      <c r="P79" s="402"/>
      <c r="Q79" s="402"/>
      <c r="R79" s="402"/>
      <c r="S79" s="402"/>
      <c r="T79" s="402"/>
      <c r="U79" s="402"/>
      <c r="V79" s="402"/>
      <c r="W79" s="402"/>
      <c r="X79" s="402"/>
      <c r="Y79" s="402"/>
      <c r="Z79" s="402"/>
      <c r="AA79" s="405"/>
      <c r="AB79" s="405"/>
      <c r="AC79" s="405"/>
      <c r="AD79" s="405"/>
      <c r="AE79" s="405"/>
      <c r="AF79" s="405"/>
      <c r="AG79" s="405"/>
    </row>
    <row r="80" ht="14.25" customHeight="1">
      <c r="B80" s="402"/>
      <c r="C80" s="402"/>
      <c r="D80" s="402"/>
      <c r="E80" s="402"/>
      <c r="F80" s="664"/>
      <c r="G80" s="403"/>
      <c r="H80" s="402"/>
      <c r="I80" s="404" t="str">
        <f t="shared" si="8"/>
        <v>FULLY PAID</v>
      </c>
      <c r="J80" s="402"/>
      <c r="K80" s="402"/>
      <c r="L80" s="402"/>
      <c r="M80" s="402"/>
      <c r="N80" s="402"/>
      <c r="O80" s="402"/>
      <c r="P80" s="402"/>
      <c r="Q80" s="402"/>
      <c r="R80" s="402"/>
      <c r="S80" s="402"/>
      <c r="T80" s="402"/>
      <c r="U80" s="402"/>
      <c r="V80" s="402"/>
      <c r="W80" s="402"/>
      <c r="X80" s="402"/>
      <c r="Y80" s="402"/>
      <c r="Z80" s="402"/>
      <c r="AA80" s="405"/>
      <c r="AB80" s="405"/>
      <c r="AC80" s="405"/>
      <c r="AD80" s="405"/>
      <c r="AE80" s="405"/>
      <c r="AF80" s="405"/>
      <c r="AG80" s="405"/>
    </row>
    <row r="81" ht="14.25" customHeight="1">
      <c r="A81" s="402"/>
      <c r="B81" s="402"/>
      <c r="C81" s="402"/>
      <c r="D81" s="402"/>
      <c r="E81" s="402"/>
      <c r="F81" s="664"/>
      <c r="G81" s="403"/>
      <c r="H81" s="402"/>
      <c r="I81" s="404" t="str">
        <f t="shared" si="8"/>
        <v>FULLY PAID</v>
      </c>
      <c r="J81" s="402"/>
      <c r="K81" s="402"/>
      <c r="L81" s="402"/>
      <c r="M81" s="402"/>
      <c r="N81" s="402"/>
      <c r="O81" s="402"/>
      <c r="P81" s="402"/>
      <c r="Q81" s="402"/>
      <c r="R81" s="402"/>
      <c r="S81" s="402"/>
      <c r="T81" s="402"/>
      <c r="U81" s="402"/>
      <c r="V81" s="402"/>
      <c r="W81" s="402"/>
      <c r="X81" s="402"/>
      <c r="Y81" s="402"/>
      <c r="Z81" s="402"/>
      <c r="AA81" s="405"/>
      <c r="AB81" s="405"/>
      <c r="AC81" s="405"/>
      <c r="AD81" s="405"/>
      <c r="AE81" s="405"/>
      <c r="AF81" s="405"/>
      <c r="AG81" s="405"/>
    </row>
    <row r="82" ht="14.25" customHeight="1">
      <c r="A82" s="406">
        <v>45499.0</v>
      </c>
      <c r="B82" s="623" t="s">
        <v>2539</v>
      </c>
      <c r="C82" s="624" t="s">
        <v>2540</v>
      </c>
      <c r="D82" s="624" t="s">
        <v>54</v>
      </c>
      <c r="E82" s="349" t="s">
        <v>2442</v>
      </c>
      <c r="F82" s="670">
        <v>116821.0</v>
      </c>
      <c r="G82" s="403"/>
      <c r="H82" s="349" t="s">
        <v>2229</v>
      </c>
      <c r="I82" s="404" t="str">
        <f t="shared" si="8"/>
        <v>NOT PAID</v>
      </c>
      <c r="J82" s="402"/>
      <c r="K82" s="402"/>
      <c r="L82" s="402"/>
      <c r="M82" s="402"/>
      <c r="N82" s="402"/>
      <c r="O82" s="402"/>
      <c r="P82" s="402"/>
      <c r="Q82" s="402"/>
      <c r="R82" s="402"/>
      <c r="S82" s="402"/>
      <c r="T82" s="402"/>
      <c r="U82" s="402"/>
      <c r="V82" s="402"/>
      <c r="W82" s="402"/>
      <c r="X82" s="402"/>
      <c r="Y82" s="402"/>
      <c r="Z82" s="402"/>
      <c r="AA82" s="405"/>
      <c r="AB82" s="405"/>
      <c r="AC82" s="405"/>
      <c r="AD82" s="405"/>
      <c r="AE82" s="405"/>
      <c r="AF82" s="405"/>
      <c r="AG82" s="405"/>
    </row>
    <row r="83" ht="14.25" customHeight="1">
      <c r="A83" s="406">
        <v>45499.0</v>
      </c>
      <c r="B83" s="628" t="s">
        <v>2541</v>
      </c>
      <c r="C83" s="629" t="s">
        <v>2542</v>
      </c>
      <c r="D83" s="629" t="s">
        <v>54</v>
      </c>
      <c r="E83" s="349" t="s">
        <v>2442</v>
      </c>
      <c r="F83" s="671">
        <v>20717.0</v>
      </c>
      <c r="G83" s="403"/>
      <c r="H83" s="433" t="s">
        <v>2229</v>
      </c>
      <c r="I83" s="404" t="str">
        <f t="shared" si="8"/>
        <v>NOT PAID</v>
      </c>
      <c r="J83" s="402"/>
      <c r="K83" s="402"/>
      <c r="L83" s="402"/>
      <c r="M83" s="402"/>
      <c r="N83" s="402"/>
      <c r="O83" s="402"/>
      <c r="P83" s="402"/>
      <c r="Q83" s="402"/>
      <c r="R83" s="402"/>
      <c r="S83" s="402"/>
      <c r="T83" s="402"/>
      <c r="U83" s="402"/>
      <c r="V83" s="402"/>
      <c r="W83" s="402"/>
      <c r="X83" s="402"/>
      <c r="Y83" s="402"/>
      <c r="Z83" s="402"/>
      <c r="AA83" s="405"/>
      <c r="AB83" s="405"/>
      <c r="AC83" s="405"/>
      <c r="AD83" s="405"/>
      <c r="AE83" s="405"/>
      <c r="AF83" s="405"/>
      <c r="AG83" s="405"/>
    </row>
    <row r="84" ht="14.25" customHeight="1">
      <c r="A84" s="406">
        <v>45499.0</v>
      </c>
      <c r="B84" s="628" t="s">
        <v>2543</v>
      </c>
      <c r="C84" s="629" t="s">
        <v>2544</v>
      </c>
      <c r="D84" s="629" t="s">
        <v>54</v>
      </c>
      <c r="E84" s="349" t="s">
        <v>2442</v>
      </c>
      <c r="F84" s="671">
        <v>35783.0</v>
      </c>
      <c r="G84" s="671">
        <v>39783.0</v>
      </c>
      <c r="H84" s="349" t="s">
        <v>2545</v>
      </c>
      <c r="I84" s="404" t="str">
        <f t="shared" si="8"/>
        <v>FULLY PAID</v>
      </c>
      <c r="J84" s="402"/>
      <c r="K84" s="402"/>
      <c r="L84" s="402"/>
      <c r="M84" s="402"/>
      <c r="N84" s="402"/>
      <c r="O84" s="402"/>
      <c r="P84" s="402"/>
      <c r="Q84" s="402"/>
      <c r="R84" s="402"/>
      <c r="S84" s="402"/>
      <c r="T84" s="402"/>
      <c r="U84" s="402"/>
      <c r="V84" s="402"/>
      <c r="W84" s="402"/>
      <c r="X84" s="402"/>
      <c r="Y84" s="402"/>
      <c r="Z84" s="402"/>
      <c r="AA84" s="405"/>
      <c r="AB84" s="405"/>
      <c r="AC84" s="405"/>
      <c r="AD84" s="405"/>
      <c r="AE84" s="405"/>
      <c r="AF84" s="405"/>
      <c r="AG84" s="405"/>
    </row>
    <row r="85" ht="14.25" customHeight="1">
      <c r="A85" s="406">
        <v>45499.0</v>
      </c>
      <c r="B85" s="349" t="s">
        <v>2512</v>
      </c>
      <c r="C85" s="349" t="s">
        <v>2513</v>
      </c>
      <c r="D85" s="349" t="s">
        <v>54</v>
      </c>
      <c r="E85" s="349" t="s">
        <v>2442</v>
      </c>
      <c r="F85" s="662">
        <v>5000.0</v>
      </c>
      <c r="G85" s="403"/>
      <c r="H85" s="349" t="s">
        <v>2546</v>
      </c>
      <c r="I85" s="404" t="str">
        <f t="shared" si="8"/>
        <v>NOT PAID</v>
      </c>
      <c r="J85" s="402"/>
      <c r="K85" s="402"/>
      <c r="L85" s="402"/>
      <c r="M85" s="402"/>
      <c r="N85" s="402"/>
      <c r="O85" s="402"/>
      <c r="P85" s="402"/>
      <c r="Q85" s="402"/>
      <c r="R85" s="402"/>
      <c r="S85" s="402"/>
      <c r="T85" s="402"/>
      <c r="U85" s="402"/>
      <c r="V85" s="402"/>
      <c r="W85" s="402"/>
      <c r="X85" s="402"/>
      <c r="Y85" s="402"/>
      <c r="Z85" s="402"/>
      <c r="AA85" s="405"/>
      <c r="AB85" s="405"/>
      <c r="AC85" s="405"/>
      <c r="AD85" s="405"/>
      <c r="AE85" s="405"/>
      <c r="AF85" s="405"/>
      <c r="AG85" s="405"/>
    </row>
    <row r="86" ht="14.25" customHeight="1">
      <c r="A86" s="406">
        <v>45499.0</v>
      </c>
      <c r="B86" s="349" t="s">
        <v>2457</v>
      </c>
      <c r="C86" s="349" t="s">
        <v>2458</v>
      </c>
      <c r="D86" s="349" t="s">
        <v>54</v>
      </c>
      <c r="E86" s="349" t="s">
        <v>2442</v>
      </c>
      <c r="F86" s="559">
        <v>100000.0</v>
      </c>
      <c r="G86" s="403"/>
      <c r="H86" s="349" t="s">
        <v>2459</v>
      </c>
      <c r="I86" s="404" t="str">
        <f t="shared" si="8"/>
        <v>NOT PAID</v>
      </c>
      <c r="J86" s="402"/>
      <c r="K86" s="402"/>
      <c r="L86" s="402"/>
      <c r="M86" s="402"/>
      <c r="N86" s="402"/>
      <c r="O86" s="402"/>
      <c r="P86" s="402"/>
      <c r="Q86" s="402"/>
      <c r="R86" s="402"/>
      <c r="S86" s="402"/>
      <c r="T86" s="402"/>
      <c r="U86" s="402"/>
      <c r="V86" s="402"/>
      <c r="W86" s="402"/>
      <c r="X86" s="402"/>
      <c r="Y86" s="402"/>
      <c r="Z86" s="402"/>
      <c r="AA86" s="405"/>
      <c r="AB86" s="405"/>
      <c r="AC86" s="405"/>
      <c r="AD86" s="405"/>
      <c r="AE86" s="405"/>
      <c r="AF86" s="405"/>
      <c r="AG86" s="405"/>
    </row>
    <row r="87" ht="14.25" customHeight="1">
      <c r="A87" s="406">
        <v>45499.0</v>
      </c>
      <c r="B87" s="349" t="s">
        <v>2514</v>
      </c>
      <c r="C87" s="349" t="s">
        <v>2515</v>
      </c>
      <c r="D87" s="349" t="s">
        <v>54</v>
      </c>
      <c r="E87" s="349" t="s">
        <v>2442</v>
      </c>
      <c r="F87" s="559">
        <v>2043000.0</v>
      </c>
      <c r="G87" s="413">
        <v>2043082.0</v>
      </c>
      <c r="H87" s="349" t="s">
        <v>401</v>
      </c>
      <c r="I87" s="404" t="str">
        <f t="shared" si="8"/>
        <v>FULLY PAID</v>
      </c>
      <c r="J87" s="402"/>
      <c r="K87" s="402"/>
      <c r="L87" s="402"/>
      <c r="M87" s="402"/>
      <c r="N87" s="402"/>
      <c r="O87" s="402"/>
      <c r="P87" s="402"/>
      <c r="Q87" s="402"/>
      <c r="R87" s="402"/>
      <c r="S87" s="402"/>
      <c r="T87" s="402"/>
      <c r="U87" s="402"/>
      <c r="V87" s="402"/>
      <c r="W87" s="402"/>
      <c r="X87" s="402"/>
      <c r="Y87" s="402"/>
      <c r="Z87" s="402"/>
      <c r="AA87" s="405"/>
      <c r="AB87" s="405"/>
      <c r="AC87" s="405"/>
      <c r="AD87" s="405"/>
      <c r="AE87" s="405"/>
      <c r="AF87" s="405"/>
      <c r="AG87" s="405"/>
    </row>
    <row r="88" ht="14.25" customHeight="1">
      <c r="A88" s="406">
        <v>45499.0</v>
      </c>
      <c r="B88" s="349" t="s">
        <v>2547</v>
      </c>
      <c r="C88" s="349" t="s">
        <v>2548</v>
      </c>
      <c r="D88" s="349" t="s">
        <v>54</v>
      </c>
      <c r="E88" s="349" t="s">
        <v>2442</v>
      </c>
      <c r="F88" s="559">
        <v>10000.0</v>
      </c>
      <c r="G88" s="403"/>
      <c r="H88" s="349" t="s">
        <v>2549</v>
      </c>
      <c r="I88" s="404" t="str">
        <f t="shared" si="8"/>
        <v>NOT PAID</v>
      </c>
      <c r="J88" s="402"/>
      <c r="K88" s="402"/>
      <c r="L88" s="402"/>
      <c r="M88" s="402"/>
      <c r="N88" s="402"/>
      <c r="O88" s="402"/>
      <c r="P88" s="402"/>
      <c r="Q88" s="402"/>
      <c r="R88" s="402"/>
      <c r="S88" s="402"/>
      <c r="T88" s="402"/>
      <c r="U88" s="402"/>
      <c r="V88" s="402"/>
      <c r="W88" s="402"/>
      <c r="X88" s="402"/>
      <c r="Y88" s="402"/>
      <c r="Z88" s="402"/>
      <c r="AA88" s="405"/>
      <c r="AB88" s="405"/>
      <c r="AC88" s="405"/>
      <c r="AD88" s="405"/>
      <c r="AE88" s="405"/>
      <c r="AF88" s="405"/>
      <c r="AG88" s="405"/>
    </row>
    <row r="89" ht="14.25" customHeight="1">
      <c r="A89" s="406">
        <v>45499.0</v>
      </c>
      <c r="B89" s="349" t="s">
        <v>2482</v>
      </c>
      <c r="C89" s="349" t="s">
        <v>2483</v>
      </c>
      <c r="D89" s="349" t="s">
        <v>54</v>
      </c>
      <c r="E89" s="349" t="s">
        <v>2442</v>
      </c>
      <c r="F89" s="559">
        <v>10000.0</v>
      </c>
      <c r="G89" s="403"/>
      <c r="H89" s="349" t="s">
        <v>2535</v>
      </c>
      <c r="I89" s="404" t="str">
        <f t="shared" si="8"/>
        <v>NOT PAID</v>
      </c>
      <c r="J89" s="402"/>
      <c r="K89" s="402"/>
      <c r="L89" s="402"/>
      <c r="M89" s="402"/>
      <c r="N89" s="402"/>
      <c r="O89" s="402"/>
      <c r="P89" s="402"/>
      <c r="Q89" s="402"/>
      <c r="R89" s="402"/>
      <c r="S89" s="402"/>
      <c r="T89" s="402"/>
      <c r="U89" s="402"/>
      <c r="V89" s="402"/>
      <c r="W89" s="402"/>
      <c r="X89" s="402"/>
      <c r="Y89" s="402"/>
      <c r="Z89" s="402"/>
      <c r="AA89" s="405"/>
      <c r="AB89" s="405"/>
      <c r="AC89" s="405"/>
      <c r="AD89" s="405"/>
      <c r="AE89" s="405"/>
      <c r="AF89" s="405"/>
      <c r="AG89" s="405"/>
    </row>
    <row r="90" ht="14.25" customHeight="1">
      <c r="A90" s="406">
        <v>45499.0</v>
      </c>
      <c r="B90" s="349" t="s">
        <v>2463</v>
      </c>
      <c r="C90" s="349" t="s">
        <v>2464</v>
      </c>
      <c r="D90" s="418" t="s">
        <v>54</v>
      </c>
      <c r="E90" s="349" t="s">
        <v>2442</v>
      </c>
      <c r="F90" s="662">
        <v>50000.0</v>
      </c>
      <c r="G90" s="403"/>
      <c r="H90" s="413" t="s">
        <v>2507</v>
      </c>
      <c r="I90" s="404" t="str">
        <f t="shared" si="8"/>
        <v>NOT PAID</v>
      </c>
      <c r="J90" s="402"/>
      <c r="K90" s="402"/>
      <c r="L90" s="402"/>
      <c r="M90" s="402"/>
      <c r="N90" s="402"/>
      <c r="O90" s="402"/>
      <c r="P90" s="402"/>
      <c r="Q90" s="402"/>
      <c r="R90" s="402"/>
      <c r="S90" s="402"/>
      <c r="T90" s="402"/>
      <c r="U90" s="402"/>
      <c r="V90" s="402"/>
      <c r="W90" s="402"/>
      <c r="X90" s="402"/>
      <c r="Y90" s="402"/>
      <c r="Z90" s="402"/>
      <c r="AA90" s="405"/>
      <c r="AB90" s="405"/>
      <c r="AC90" s="405"/>
      <c r="AD90" s="405"/>
      <c r="AE90" s="405"/>
      <c r="AF90" s="405"/>
      <c r="AG90" s="405"/>
    </row>
    <row r="91" ht="14.25" customHeight="1">
      <c r="A91" s="406">
        <v>45499.0</v>
      </c>
      <c r="B91" s="349" t="s">
        <v>2485</v>
      </c>
      <c r="C91" s="349" t="s">
        <v>2486</v>
      </c>
      <c r="D91" s="349" t="s">
        <v>54</v>
      </c>
      <c r="E91" s="349" t="s">
        <v>2442</v>
      </c>
      <c r="F91" s="559">
        <v>10000.0</v>
      </c>
      <c r="G91" s="403"/>
      <c r="H91" s="349" t="s">
        <v>2550</v>
      </c>
      <c r="I91" s="404" t="str">
        <f t="shared" si="8"/>
        <v>NOT PAID</v>
      </c>
      <c r="J91" s="402"/>
      <c r="K91" s="402"/>
      <c r="L91" s="402"/>
      <c r="M91" s="402"/>
      <c r="N91" s="402"/>
      <c r="O91" s="402"/>
      <c r="P91" s="402"/>
      <c r="Q91" s="402"/>
      <c r="R91" s="402"/>
      <c r="S91" s="402"/>
      <c r="T91" s="402"/>
      <c r="U91" s="402"/>
      <c r="V91" s="402"/>
      <c r="W91" s="402"/>
      <c r="X91" s="402"/>
      <c r="Y91" s="402"/>
      <c r="Z91" s="402"/>
      <c r="AA91" s="405"/>
      <c r="AB91" s="405"/>
      <c r="AC91" s="405"/>
      <c r="AD91" s="405"/>
      <c r="AE91" s="405"/>
      <c r="AF91" s="405"/>
      <c r="AG91" s="405"/>
    </row>
    <row r="92" ht="14.25" customHeight="1">
      <c r="A92" s="406">
        <v>45499.0</v>
      </c>
      <c r="B92" s="623" t="s">
        <v>2551</v>
      </c>
      <c r="C92" s="624" t="s">
        <v>2552</v>
      </c>
      <c r="D92" s="624" t="s">
        <v>54</v>
      </c>
      <c r="E92" s="349" t="s">
        <v>2442</v>
      </c>
      <c r="F92" s="662">
        <v>20000.0</v>
      </c>
      <c r="G92" s="403"/>
      <c r="H92" s="349" t="s">
        <v>2553</v>
      </c>
      <c r="I92" s="404" t="str">
        <f t="shared" si="8"/>
        <v>NOT PAID</v>
      </c>
      <c r="J92" s="402"/>
      <c r="K92" s="402"/>
      <c r="L92" s="402"/>
      <c r="M92" s="402"/>
      <c r="N92" s="402"/>
      <c r="O92" s="402"/>
      <c r="P92" s="402"/>
      <c r="Q92" s="402"/>
      <c r="R92" s="402"/>
      <c r="S92" s="402"/>
      <c r="T92" s="402"/>
      <c r="U92" s="402"/>
      <c r="V92" s="402"/>
      <c r="W92" s="402"/>
      <c r="X92" s="402"/>
      <c r="Y92" s="402"/>
      <c r="Z92" s="402"/>
      <c r="AA92" s="405"/>
      <c r="AB92" s="405"/>
      <c r="AC92" s="405"/>
      <c r="AD92" s="405"/>
      <c r="AE92" s="405"/>
      <c r="AF92" s="405"/>
      <c r="AG92" s="405"/>
    </row>
    <row r="93" ht="14.25" customHeight="1">
      <c r="A93" s="406">
        <v>45499.0</v>
      </c>
      <c r="B93" s="349" t="s">
        <v>2505</v>
      </c>
      <c r="C93" s="349" t="s">
        <v>2506</v>
      </c>
      <c r="D93" s="349" t="s">
        <v>54</v>
      </c>
      <c r="E93" s="349" t="s">
        <v>2442</v>
      </c>
      <c r="F93" s="559">
        <v>46912.0</v>
      </c>
      <c r="G93" s="403"/>
      <c r="H93" s="349" t="s">
        <v>2554</v>
      </c>
      <c r="I93" s="404" t="str">
        <f t="shared" si="8"/>
        <v>NOT PAID</v>
      </c>
      <c r="J93" s="402"/>
      <c r="K93" s="402"/>
      <c r="L93" s="402"/>
      <c r="M93" s="402"/>
      <c r="N93" s="402"/>
      <c r="O93" s="402"/>
      <c r="P93" s="402"/>
      <c r="Q93" s="402"/>
      <c r="R93" s="402"/>
      <c r="S93" s="402"/>
      <c r="T93" s="402"/>
      <c r="U93" s="402"/>
      <c r="V93" s="402"/>
      <c r="W93" s="402"/>
      <c r="X93" s="402"/>
      <c r="Y93" s="402"/>
      <c r="Z93" s="402"/>
      <c r="AA93" s="405"/>
      <c r="AB93" s="405"/>
      <c r="AC93" s="405"/>
      <c r="AD93" s="405"/>
      <c r="AE93" s="405"/>
      <c r="AF93" s="405"/>
      <c r="AG93" s="405"/>
    </row>
    <row r="94" ht="14.25" customHeight="1">
      <c r="A94" s="406">
        <v>45499.0</v>
      </c>
      <c r="B94" s="349" t="s">
        <v>2455</v>
      </c>
      <c r="C94" s="349" t="s">
        <v>2456</v>
      </c>
      <c r="D94" s="349" t="s">
        <v>54</v>
      </c>
      <c r="E94" s="349" t="s">
        <v>2442</v>
      </c>
      <c r="F94" s="559">
        <v>10000.0</v>
      </c>
      <c r="G94" s="403"/>
      <c r="H94" s="349" t="s">
        <v>2555</v>
      </c>
      <c r="I94" s="404" t="str">
        <f t="shared" si="8"/>
        <v>NOT PAID</v>
      </c>
      <c r="J94" s="402"/>
      <c r="K94" s="402"/>
      <c r="L94" s="402"/>
      <c r="M94" s="402"/>
      <c r="N94" s="402"/>
      <c r="O94" s="402"/>
      <c r="P94" s="402"/>
      <c r="Q94" s="402"/>
      <c r="R94" s="402"/>
      <c r="S94" s="402"/>
      <c r="T94" s="402"/>
      <c r="U94" s="402"/>
      <c r="V94" s="402"/>
      <c r="W94" s="402"/>
      <c r="X94" s="402"/>
      <c r="Y94" s="402"/>
      <c r="Z94" s="402"/>
      <c r="AA94" s="405"/>
      <c r="AB94" s="405"/>
      <c r="AC94" s="405"/>
      <c r="AD94" s="405"/>
      <c r="AE94" s="405"/>
      <c r="AF94" s="405"/>
      <c r="AG94" s="405"/>
    </row>
    <row r="95" ht="14.25" customHeight="1">
      <c r="A95" s="402"/>
      <c r="B95" s="402"/>
      <c r="C95" s="402"/>
      <c r="D95" s="402"/>
      <c r="E95" s="402"/>
      <c r="F95" s="664"/>
      <c r="G95" s="403"/>
      <c r="H95" s="402"/>
      <c r="I95" s="404" t="str">
        <f t="shared" si="8"/>
        <v>FULLY PAID</v>
      </c>
      <c r="J95" s="402"/>
      <c r="K95" s="402"/>
      <c r="L95" s="402"/>
      <c r="M95" s="402"/>
      <c r="N95" s="402"/>
      <c r="O95" s="402"/>
      <c r="P95" s="402"/>
      <c r="Q95" s="402"/>
      <c r="R95" s="402"/>
      <c r="S95" s="402"/>
      <c r="T95" s="402"/>
      <c r="U95" s="402"/>
      <c r="V95" s="402"/>
      <c r="W95" s="402"/>
      <c r="X95" s="402"/>
      <c r="Y95" s="402"/>
      <c r="Z95" s="402"/>
      <c r="AA95" s="405"/>
      <c r="AB95" s="405"/>
      <c r="AC95" s="405"/>
      <c r="AD95" s="405"/>
      <c r="AE95" s="405"/>
      <c r="AF95" s="405"/>
      <c r="AG95" s="405"/>
    </row>
    <row r="96" ht="14.25" customHeight="1">
      <c r="A96" s="402"/>
      <c r="B96" s="402"/>
      <c r="C96" s="424" t="s">
        <v>797</v>
      </c>
      <c r="D96" s="402"/>
      <c r="E96" s="402"/>
      <c r="F96" s="664"/>
      <c r="G96" s="403"/>
      <c r="H96" s="402"/>
      <c r="I96" s="404" t="str">
        <f t="shared" si="8"/>
        <v>FULLY PAID</v>
      </c>
      <c r="J96" s="402"/>
      <c r="K96" s="402"/>
      <c r="L96" s="402"/>
      <c r="M96" s="402"/>
      <c r="N96" s="402"/>
      <c r="O96" s="402"/>
      <c r="P96" s="402"/>
      <c r="Q96" s="402"/>
      <c r="R96" s="402"/>
      <c r="S96" s="402"/>
      <c r="T96" s="402"/>
      <c r="U96" s="402"/>
      <c r="V96" s="402"/>
      <c r="W96" s="402"/>
      <c r="X96" s="402"/>
      <c r="Y96" s="402"/>
      <c r="Z96" s="402"/>
      <c r="AA96" s="405"/>
      <c r="AB96" s="405"/>
      <c r="AC96" s="405"/>
      <c r="AD96" s="405"/>
      <c r="AE96" s="405"/>
      <c r="AF96" s="405"/>
      <c r="AG96" s="405"/>
    </row>
    <row r="97" ht="14.25" customHeight="1">
      <c r="A97" s="406">
        <v>45499.0</v>
      </c>
      <c r="B97" s="436" t="s">
        <v>2467</v>
      </c>
      <c r="C97" s="435" t="s">
        <v>2468</v>
      </c>
      <c r="D97" s="668" t="s">
        <v>54</v>
      </c>
      <c r="E97" s="436" t="s">
        <v>2517</v>
      </c>
      <c r="F97" s="437">
        <v>43000.0</v>
      </c>
      <c r="G97" s="403"/>
      <c r="H97" s="349" t="s">
        <v>2473</v>
      </c>
      <c r="I97" s="404" t="str">
        <f t="shared" si="8"/>
        <v>NOT PAID</v>
      </c>
      <c r="J97" s="402"/>
      <c r="K97" s="402"/>
      <c r="L97" s="402"/>
      <c r="M97" s="402"/>
      <c r="N97" s="402"/>
      <c r="O97" s="402"/>
      <c r="P97" s="402"/>
      <c r="Q97" s="402"/>
      <c r="R97" s="402"/>
      <c r="S97" s="402"/>
      <c r="T97" s="402"/>
      <c r="U97" s="402"/>
      <c r="V97" s="402"/>
      <c r="W97" s="402"/>
      <c r="X97" s="402"/>
      <c r="Y97" s="402"/>
      <c r="Z97" s="402"/>
      <c r="AA97" s="405"/>
      <c r="AB97" s="405"/>
      <c r="AC97" s="405"/>
      <c r="AD97" s="405"/>
      <c r="AE97" s="405"/>
      <c r="AF97" s="405"/>
      <c r="AG97" s="405"/>
    </row>
    <row r="98" ht="14.25" customHeight="1">
      <c r="A98" s="406">
        <v>45499.0</v>
      </c>
      <c r="B98" s="439" t="s">
        <v>2471</v>
      </c>
      <c r="C98" s="438" t="s">
        <v>2472</v>
      </c>
      <c r="D98" s="669" t="s">
        <v>54</v>
      </c>
      <c r="E98" s="439" t="s">
        <v>2517</v>
      </c>
      <c r="F98" s="440">
        <v>512638.0</v>
      </c>
      <c r="G98" s="403"/>
      <c r="H98" s="349" t="s">
        <v>2473</v>
      </c>
      <c r="I98" s="404" t="str">
        <f t="shared" si="8"/>
        <v>NOT PAID</v>
      </c>
      <c r="J98" s="402"/>
      <c r="K98" s="402"/>
      <c r="L98" s="402"/>
      <c r="M98" s="402"/>
      <c r="N98" s="402"/>
      <c r="O98" s="402"/>
      <c r="P98" s="402"/>
      <c r="Q98" s="402"/>
      <c r="R98" s="402"/>
      <c r="S98" s="402"/>
      <c r="T98" s="402"/>
      <c r="U98" s="402"/>
      <c r="V98" s="402"/>
      <c r="W98" s="402"/>
      <c r="X98" s="402"/>
      <c r="Y98" s="402"/>
      <c r="Z98" s="402"/>
      <c r="AA98" s="405"/>
      <c r="AB98" s="405"/>
      <c r="AC98" s="405"/>
      <c r="AD98" s="405"/>
      <c r="AE98" s="405"/>
      <c r="AF98" s="405"/>
      <c r="AG98" s="405"/>
    </row>
    <row r="99" ht="14.25" customHeight="1">
      <c r="B99" s="349"/>
      <c r="C99" s="349"/>
      <c r="D99" s="349"/>
      <c r="E99" s="349"/>
      <c r="F99" s="559"/>
      <c r="G99" s="403"/>
      <c r="H99" s="402"/>
      <c r="I99" s="404"/>
      <c r="J99" s="402"/>
      <c r="K99" s="402"/>
      <c r="L99" s="402"/>
      <c r="M99" s="402"/>
      <c r="N99" s="402"/>
      <c r="O99" s="402"/>
      <c r="P99" s="402"/>
      <c r="Q99" s="402"/>
      <c r="R99" s="402"/>
      <c r="S99" s="402"/>
      <c r="T99" s="402"/>
      <c r="U99" s="402"/>
      <c r="V99" s="402"/>
      <c r="W99" s="402"/>
      <c r="X99" s="402"/>
      <c r="Y99" s="402"/>
      <c r="Z99" s="402"/>
      <c r="AA99" s="405"/>
      <c r="AB99" s="405"/>
      <c r="AC99" s="405"/>
      <c r="AD99" s="405"/>
      <c r="AE99" s="405"/>
      <c r="AF99" s="405"/>
      <c r="AG99" s="405"/>
    </row>
    <row r="100" ht="14.25" customHeight="1">
      <c r="A100" s="406"/>
      <c r="B100" s="402"/>
      <c r="C100" s="402"/>
      <c r="D100" s="669"/>
      <c r="E100" s="402"/>
      <c r="F100" s="664"/>
      <c r="G100" s="403"/>
      <c r="H100" s="402"/>
      <c r="I100" s="404"/>
      <c r="J100" s="402"/>
      <c r="K100" s="402"/>
      <c r="L100" s="402"/>
      <c r="M100" s="402"/>
      <c r="N100" s="402"/>
      <c r="O100" s="402"/>
      <c r="P100" s="402"/>
      <c r="Q100" s="402"/>
      <c r="R100" s="402"/>
      <c r="S100" s="402"/>
      <c r="T100" s="402"/>
      <c r="U100" s="402"/>
      <c r="V100" s="402"/>
      <c r="W100" s="402"/>
      <c r="X100" s="402"/>
      <c r="Y100" s="402"/>
      <c r="Z100" s="402"/>
      <c r="AA100" s="405"/>
      <c r="AB100" s="405"/>
      <c r="AC100" s="405"/>
      <c r="AD100" s="405"/>
      <c r="AE100" s="405"/>
      <c r="AF100" s="405"/>
      <c r="AG100" s="405"/>
    </row>
    <row r="101" ht="14.25" customHeight="1">
      <c r="A101" s="406">
        <v>45500.0</v>
      </c>
      <c r="B101" s="623" t="s">
        <v>2556</v>
      </c>
      <c r="C101" s="623" t="s">
        <v>2557</v>
      </c>
      <c r="D101" s="669" t="s">
        <v>54</v>
      </c>
      <c r="E101" s="349" t="s">
        <v>2442</v>
      </c>
      <c r="F101" s="670">
        <v>49450.0</v>
      </c>
      <c r="G101" s="673"/>
      <c r="H101" s="624" t="s">
        <v>2558</v>
      </c>
      <c r="I101" s="404" t="str">
        <f t="shared" ref="I101:I525" si="9">IF(G101&gt;=F101,"FULLY PAID",IF(G101=0,"NOT PAID","PARTIALLY PAID"))</f>
        <v>NOT PAID</v>
      </c>
      <c r="J101" s="674"/>
      <c r="K101" s="624"/>
      <c r="L101" s="673"/>
      <c r="M101" s="624"/>
      <c r="N101" s="673"/>
      <c r="O101" s="402"/>
      <c r="P101" s="402"/>
      <c r="Q101" s="402"/>
      <c r="R101" s="402"/>
      <c r="S101" s="402"/>
      <c r="T101" s="402"/>
      <c r="U101" s="402"/>
      <c r="V101" s="402"/>
      <c r="W101" s="402"/>
      <c r="X101" s="402"/>
      <c r="Y101" s="402"/>
      <c r="Z101" s="402"/>
      <c r="AA101" s="405"/>
      <c r="AB101" s="405"/>
      <c r="AC101" s="405"/>
      <c r="AD101" s="405"/>
      <c r="AE101" s="405"/>
      <c r="AF101" s="405"/>
      <c r="AG101" s="405"/>
    </row>
    <row r="102" ht="14.25" customHeight="1">
      <c r="A102" s="406">
        <v>45500.0</v>
      </c>
      <c r="B102" s="349" t="s">
        <v>2541</v>
      </c>
      <c r="C102" s="349" t="s">
        <v>2542</v>
      </c>
      <c r="D102" s="349" t="s">
        <v>54</v>
      </c>
      <c r="E102" s="349" t="s">
        <v>2442</v>
      </c>
      <c r="F102" s="559">
        <v>20717.0</v>
      </c>
      <c r="G102" s="403"/>
      <c r="H102" s="624" t="s">
        <v>2558</v>
      </c>
      <c r="I102" s="404" t="str">
        <f t="shared" si="9"/>
        <v>NOT PAID</v>
      </c>
      <c r="J102" s="402"/>
      <c r="K102" s="402"/>
      <c r="L102" s="402"/>
      <c r="M102" s="402"/>
      <c r="N102" s="402"/>
      <c r="O102" s="402"/>
      <c r="P102" s="402"/>
      <c r="Q102" s="402"/>
      <c r="R102" s="402"/>
      <c r="S102" s="402"/>
      <c r="T102" s="402"/>
      <c r="U102" s="402"/>
      <c r="V102" s="402"/>
      <c r="W102" s="402"/>
      <c r="X102" s="402"/>
      <c r="Y102" s="402"/>
      <c r="Z102" s="402"/>
      <c r="AA102" s="405"/>
      <c r="AB102" s="405"/>
      <c r="AC102" s="405"/>
      <c r="AD102" s="405"/>
      <c r="AE102" s="405"/>
      <c r="AF102" s="405"/>
      <c r="AG102" s="405"/>
    </row>
    <row r="103" ht="14.25" customHeight="1">
      <c r="A103" s="406">
        <v>45500.0</v>
      </c>
      <c r="B103" s="349" t="s">
        <v>2490</v>
      </c>
      <c r="C103" s="349" t="s">
        <v>2491</v>
      </c>
      <c r="D103" s="349" t="s">
        <v>439</v>
      </c>
      <c r="E103" s="349" t="s">
        <v>2442</v>
      </c>
      <c r="F103" s="559">
        <v>32583.0</v>
      </c>
      <c r="G103" s="403"/>
      <c r="H103" s="624" t="s">
        <v>2558</v>
      </c>
      <c r="I103" s="404" t="str">
        <f t="shared" si="9"/>
        <v>NOT PAID</v>
      </c>
      <c r="J103" s="402"/>
      <c r="K103" s="402"/>
      <c r="L103" s="402"/>
      <c r="M103" s="402"/>
      <c r="N103" s="402"/>
      <c r="O103" s="402"/>
      <c r="P103" s="402"/>
      <c r="Q103" s="402"/>
      <c r="R103" s="402"/>
      <c r="S103" s="402"/>
      <c r="T103" s="402"/>
      <c r="U103" s="402"/>
      <c r="V103" s="402"/>
      <c r="W103" s="402"/>
      <c r="X103" s="402"/>
      <c r="Y103" s="402"/>
      <c r="Z103" s="402"/>
      <c r="AA103" s="405"/>
      <c r="AB103" s="405"/>
      <c r="AC103" s="405"/>
      <c r="AD103" s="405"/>
      <c r="AE103" s="405"/>
      <c r="AF103" s="405"/>
      <c r="AG103" s="405"/>
    </row>
    <row r="104" ht="14.25" customHeight="1">
      <c r="A104" s="406">
        <v>45500.0</v>
      </c>
      <c r="B104" s="343" t="s">
        <v>2455</v>
      </c>
      <c r="C104" s="344" t="s">
        <v>2456</v>
      </c>
      <c r="D104" s="344" t="s">
        <v>54</v>
      </c>
      <c r="E104" s="344" t="s">
        <v>2442</v>
      </c>
      <c r="F104" s="430">
        <v>10000.0</v>
      </c>
      <c r="G104" s="403"/>
      <c r="H104" s="349" t="s">
        <v>2555</v>
      </c>
      <c r="I104" s="404" t="str">
        <f t="shared" si="9"/>
        <v>NOT PAID</v>
      </c>
      <c r="J104" s="402"/>
      <c r="K104" s="402"/>
      <c r="L104" s="402"/>
      <c r="M104" s="402"/>
      <c r="N104" s="402"/>
      <c r="O104" s="402"/>
      <c r="P104" s="402"/>
      <c r="Q104" s="402"/>
      <c r="R104" s="402"/>
      <c r="S104" s="402"/>
      <c r="T104" s="402"/>
      <c r="U104" s="402"/>
      <c r="V104" s="402"/>
      <c r="W104" s="402"/>
      <c r="X104" s="402"/>
      <c r="Y104" s="402"/>
      <c r="Z104" s="402"/>
      <c r="AA104" s="405"/>
      <c r="AB104" s="405"/>
      <c r="AC104" s="405"/>
      <c r="AD104" s="405"/>
      <c r="AE104" s="405"/>
      <c r="AF104" s="405"/>
      <c r="AG104" s="405"/>
    </row>
    <row r="105" ht="14.25" customHeight="1">
      <c r="A105" s="406">
        <v>45500.0</v>
      </c>
      <c r="B105" s="349" t="s">
        <v>2512</v>
      </c>
      <c r="C105" s="349" t="s">
        <v>2513</v>
      </c>
      <c r="D105" s="349" t="s">
        <v>54</v>
      </c>
      <c r="E105" s="349" t="s">
        <v>2442</v>
      </c>
      <c r="F105" s="662">
        <v>5000.0</v>
      </c>
      <c r="G105" s="403"/>
      <c r="H105" s="455" t="s">
        <v>2559</v>
      </c>
      <c r="I105" s="404" t="str">
        <f t="shared" si="9"/>
        <v>NOT PAID</v>
      </c>
      <c r="J105" s="402"/>
      <c r="K105" s="402"/>
      <c r="L105" s="402"/>
      <c r="M105" s="402"/>
      <c r="N105" s="402"/>
      <c r="O105" s="402"/>
      <c r="P105" s="402"/>
      <c r="Q105" s="402"/>
      <c r="R105" s="402"/>
      <c r="S105" s="402"/>
      <c r="T105" s="402"/>
      <c r="U105" s="402"/>
      <c r="V105" s="402"/>
      <c r="W105" s="402"/>
      <c r="X105" s="402"/>
      <c r="Y105" s="402"/>
      <c r="Z105" s="402"/>
      <c r="AA105" s="405"/>
      <c r="AB105" s="405"/>
      <c r="AC105" s="405"/>
      <c r="AD105" s="405"/>
      <c r="AE105" s="405"/>
      <c r="AF105" s="405"/>
      <c r="AG105" s="405"/>
    </row>
    <row r="106" ht="14.25" customHeight="1">
      <c r="A106" s="406">
        <v>45500.0</v>
      </c>
      <c r="B106" s="349" t="s">
        <v>2485</v>
      </c>
      <c r="C106" s="349" t="s">
        <v>2486</v>
      </c>
      <c r="D106" s="349" t="s">
        <v>54</v>
      </c>
      <c r="E106" s="349" t="s">
        <v>2442</v>
      </c>
      <c r="F106" s="559">
        <v>10000.0</v>
      </c>
      <c r="G106" s="403"/>
      <c r="H106" s="349" t="s">
        <v>2550</v>
      </c>
      <c r="I106" s="404" t="str">
        <f t="shared" si="9"/>
        <v>NOT PAID</v>
      </c>
      <c r="J106" s="402"/>
      <c r="K106" s="402"/>
      <c r="L106" s="402"/>
      <c r="M106" s="402"/>
      <c r="N106" s="402"/>
      <c r="O106" s="402"/>
      <c r="P106" s="402"/>
      <c r="Q106" s="402"/>
      <c r="R106" s="402"/>
      <c r="S106" s="402"/>
      <c r="T106" s="402"/>
      <c r="U106" s="402"/>
      <c r="V106" s="402"/>
      <c r="W106" s="402"/>
      <c r="X106" s="402"/>
      <c r="Y106" s="402"/>
      <c r="Z106" s="402"/>
      <c r="AA106" s="405"/>
      <c r="AB106" s="405"/>
      <c r="AC106" s="405"/>
      <c r="AD106" s="405"/>
      <c r="AE106" s="405"/>
      <c r="AF106" s="405"/>
      <c r="AG106" s="405"/>
    </row>
    <row r="107" ht="14.25" customHeight="1">
      <c r="A107" s="406">
        <v>45500.0</v>
      </c>
      <c r="B107" s="343" t="s">
        <v>2460</v>
      </c>
      <c r="C107" s="344" t="s">
        <v>2461</v>
      </c>
      <c r="D107" s="344" t="s">
        <v>54</v>
      </c>
      <c r="E107" s="344" t="s">
        <v>2442</v>
      </c>
      <c r="F107" s="430">
        <v>119519.0</v>
      </c>
      <c r="G107" s="403"/>
      <c r="H107" s="349" t="s">
        <v>2504</v>
      </c>
      <c r="I107" s="404" t="str">
        <f t="shared" si="9"/>
        <v>NOT PAID</v>
      </c>
      <c r="J107" s="402"/>
      <c r="K107" s="402"/>
      <c r="L107" s="402"/>
      <c r="M107" s="402"/>
      <c r="N107" s="402"/>
      <c r="O107" s="402"/>
      <c r="P107" s="402"/>
      <c r="Q107" s="402"/>
      <c r="R107" s="402"/>
      <c r="S107" s="402"/>
      <c r="T107" s="402"/>
      <c r="U107" s="402"/>
      <c r="V107" s="402"/>
      <c r="W107" s="402"/>
      <c r="X107" s="402"/>
      <c r="Y107" s="402"/>
      <c r="Z107" s="402"/>
      <c r="AA107" s="405"/>
      <c r="AB107" s="405"/>
      <c r="AC107" s="405"/>
      <c r="AD107" s="405"/>
      <c r="AE107" s="405"/>
      <c r="AF107" s="405"/>
      <c r="AG107" s="405"/>
    </row>
    <row r="108" ht="14.25" customHeight="1">
      <c r="A108" s="406">
        <v>45500.0</v>
      </c>
      <c r="B108" s="349" t="s">
        <v>2457</v>
      </c>
      <c r="C108" s="349" t="s">
        <v>2458</v>
      </c>
      <c r="D108" s="349" t="s">
        <v>54</v>
      </c>
      <c r="E108" s="349" t="s">
        <v>2442</v>
      </c>
      <c r="F108" s="559">
        <v>100000.0</v>
      </c>
      <c r="G108" s="403"/>
      <c r="H108" s="349" t="s">
        <v>2459</v>
      </c>
      <c r="I108" s="404" t="str">
        <f t="shared" si="9"/>
        <v>NOT PAID</v>
      </c>
      <c r="J108" s="402"/>
      <c r="K108" s="402"/>
      <c r="L108" s="402"/>
      <c r="M108" s="402"/>
      <c r="N108" s="402"/>
      <c r="O108" s="402"/>
      <c r="P108" s="402"/>
      <c r="Q108" s="402"/>
      <c r="R108" s="402"/>
      <c r="S108" s="402"/>
      <c r="T108" s="402"/>
      <c r="U108" s="402"/>
      <c r="V108" s="402"/>
      <c r="W108" s="402"/>
      <c r="X108" s="402"/>
      <c r="Y108" s="402"/>
      <c r="Z108" s="402"/>
      <c r="AA108" s="405"/>
      <c r="AB108" s="405"/>
      <c r="AC108" s="405"/>
      <c r="AD108" s="405"/>
      <c r="AE108" s="405"/>
      <c r="AF108" s="405"/>
      <c r="AG108" s="405"/>
    </row>
    <row r="109" ht="14.25" customHeight="1">
      <c r="A109" s="406">
        <v>45500.0</v>
      </c>
      <c r="B109" s="349" t="s">
        <v>2505</v>
      </c>
      <c r="C109" s="349" t="s">
        <v>2506</v>
      </c>
      <c r="D109" s="349" t="s">
        <v>54</v>
      </c>
      <c r="E109" s="349" t="s">
        <v>2442</v>
      </c>
      <c r="F109" s="559">
        <v>46912.0</v>
      </c>
      <c r="G109" s="403"/>
      <c r="H109" s="349" t="s">
        <v>2554</v>
      </c>
      <c r="I109" s="404" t="str">
        <f t="shared" si="9"/>
        <v>NOT PAID</v>
      </c>
      <c r="J109" s="402"/>
      <c r="K109" s="402"/>
      <c r="L109" s="402"/>
      <c r="M109" s="402"/>
      <c r="N109" s="402"/>
      <c r="O109" s="402"/>
      <c r="P109" s="402"/>
      <c r="Q109" s="402"/>
      <c r="R109" s="402"/>
      <c r="S109" s="402"/>
      <c r="T109" s="402"/>
      <c r="U109" s="402"/>
      <c r="V109" s="402"/>
      <c r="W109" s="402"/>
      <c r="X109" s="402"/>
      <c r="Y109" s="402"/>
      <c r="Z109" s="402"/>
      <c r="AA109" s="405"/>
      <c r="AB109" s="405"/>
      <c r="AC109" s="405"/>
      <c r="AD109" s="405"/>
      <c r="AE109" s="405"/>
      <c r="AF109" s="405"/>
      <c r="AG109" s="405"/>
    </row>
    <row r="110" ht="14.25" customHeight="1">
      <c r="A110" s="406">
        <v>45500.0</v>
      </c>
      <c r="B110" s="349" t="s">
        <v>2560</v>
      </c>
      <c r="C110" s="349" t="s">
        <v>2561</v>
      </c>
      <c r="D110" s="349" t="s">
        <v>54</v>
      </c>
      <c r="E110" s="349" t="s">
        <v>2442</v>
      </c>
      <c r="F110" s="559">
        <v>52716.0</v>
      </c>
      <c r="G110" s="403"/>
      <c r="H110" s="349" t="s">
        <v>2562</v>
      </c>
      <c r="I110" s="404" t="str">
        <f t="shared" si="9"/>
        <v>NOT PAID</v>
      </c>
      <c r="J110" s="402"/>
      <c r="K110" s="402"/>
      <c r="L110" s="402"/>
      <c r="M110" s="402"/>
      <c r="N110" s="402"/>
      <c r="O110" s="402"/>
      <c r="P110" s="402"/>
      <c r="Q110" s="402"/>
      <c r="R110" s="402"/>
      <c r="S110" s="402"/>
      <c r="T110" s="402"/>
      <c r="U110" s="402"/>
      <c r="V110" s="402"/>
      <c r="W110" s="402"/>
      <c r="X110" s="402"/>
      <c r="Y110" s="402"/>
      <c r="Z110" s="402"/>
      <c r="AA110" s="405"/>
      <c r="AB110" s="405"/>
      <c r="AC110" s="405"/>
      <c r="AD110" s="405"/>
      <c r="AE110" s="405"/>
      <c r="AF110" s="405"/>
      <c r="AG110" s="405"/>
    </row>
    <row r="111" ht="14.25" customHeight="1">
      <c r="A111" s="406"/>
      <c r="B111" s="402"/>
      <c r="C111" s="402"/>
      <c r="D111" s="402"/>
      <c r="E111" s="402"/>
      <c r="F111" s="664"/>
      <c r="G111" s="403"/>
      <c r="H111" s="402"/>
      <c r="I111" s="404" t="str">
        <f t="shared" si="9"/>
        <v>FULLY PAID</v>
      </c>
      <c r="J111" s="402"/>
      <c r="K111" s="402"/>
      <c r="L111" s="402"/>
      <c r="M111" s="402"/>
      <c r="N111" s="402"/>
      <c r="O111" s="402"/>
      <c r="P111" s="402"/>
      <c r="Q111" s="402"/>
      <c r="R111" s="402"/>
      <c r="S111" s="402"/>
      <c r="T111" s="402"/>
      <c r="U111" s="402"/>
      <c r="V111" s="402"/>
      <c r="W111" s="402"/>
      <c r="X111" s="402"/>
      <c r="Y111" s="402"/>
      <c r="Z111" s="402"/>
      <c r="AA111" s="405"/>
      <c r="AB111" s="405"/>
      <c r="AC111" s="405"/>
      <c r="AD111" s="405"/>
      <c r="AE111" s="405"/>
      <c r="AF111" s="405"/>
      <c r="AG111" s="405"/>
    </row>
    <row r="112" ht="14.25" customHeight="1">
      <c r="A112" s="406"/>
      <c r="B112" s="402"/>
      <c r="C112" s="402"/>
      <c r="D112" s="402"/>
      <c r="E112" s="402"/>
      <c r="F112" s="664"/>
      <c r="G112" s="403"/>
      <c r="H112" s="402"/>
      <c r="I112" s="404" t="str">
        <f t="shared" si="9"/>
        <v>FULLY PAID</v>
      </c>
      <c r="J112" s="402"/>
      <c r="K112" s="402"/>
      <c r="L112" s="402"/>
      <c r="M112" s="402"/>
      <c r="N112" s="402"/>
      <c r="O112" s="402"/>
      <c r="P112" s="402"/>
      <c r="Q112" s="402"/>
      <c r="R112" s="402"/>
      <c r="S112" s="402"/>
      <c r="T112" s="402"/>
      <c r="U112" s="402"/>
      <c r="V112" s="402"/>
      <c r="W112" s="402"/>
      <c r="X112" s="402"/>
      <c r="Y112" s="402"/>
      <c r="Z112" s="402"/>
      <c r="AA112" s="405"/>
      <c r="AB112" s="405"/>
      <c r="AC112" s="405"/>
      <c r="AD112" s="405"/>
      <c r="AE112" s="405"/>
      <c r="AF112" s="405"/>
      <c r="AG112" s="405"/>
    </row>
    <row r="113" ht="14.25" customHeight="1">
      <c r="A113" s="402"/>
      <c r="B113" s="402"/>
      <c r="C113" s="402"/>
      <c r="D113" s="402"/>
      <c r="E113" s="402"/>
      <c r="F113" s="664"/>
      <c r="G113" s="403"/>
      <c r="H113" s="402"/>
      <c r="I113" s="404" t="str">
        <f t="shared" si="9"/>
        <v>FULLY PAID</v>
      </c>
      <c r="J113" s="402"/>
      <c r="K113" s="402"/>
      <c r="L113" s="402"/>
      <c r="M113" s="402"/>
      <c r="N113" s="402"/>
      <c r="O113" s="402"/>
      <c r="P113" s="402"/>
      <c r="Q113" s="402"/>
      <c r="R113" s="402"/>
      <c r="S113" s="402"/>
      <c r="T113" s="402"/>
      <c r="U113" s="402"/>
      <c r="V113" s="402"/>
      <c r="W113" s="402"/>
      <c r="X113" s="402"/>
      <c r="Y113" s="402"/>
      <c r="Z113" s="402"/>
      <c r="AA113" s="405"/>
      <c r="AB113" s="405"/>
      <c r="AC113" s="405"/>
      <c r="AD113" s="405"/>
      <c r="AE113" s="405"/>
      <c r="AF113" s="405"/>
      <c r="AG113" s="405"/>
    </row>
    <row r="114" ht="14.25" customHeight="1">
      <c r="A114" s="406">
        <v>45502.0</v>
      </c>
      <c r="B114" s="349" t="s">
        <v>2512</v>
      </c>
      <c r="C114" s="349" t="s">
        <v>2513</v>
      </c>
      <c r="D114" s="349" t="s">
        <v>54</v>
      </c>
      <c r="E114" s="349" t="s">
        <v>2442</v>
      </c>
      <c r="F114" s="413">
        <v>40636.0</v>
      </c>
      <c r="G114" s="413">
        <v>30000.0</v>
      </c>
      <c r="H114" s="349" t="s">
        <v>1039</v>
      </c>
      <c r="I114" s="404" t="str">
        <f t="shared" si="9"/>
        <v>PARTIALLY PAID</v>
      </c>
      <c r="J114" s="406"/>
      <c r="K114" s="349"/>
      <c r="L114" s="413"/>
      <c r="M114" s="349"/>
      <c r="N114" s="413"/>
      <c r="O114" s="402"/>
      <c r="P114" s="402"/>
      <c r="Q114" s="402"/>
      <c r="R114" s="402"/>
      <c r="S114" s="402"/>
      <c r="T114" s="402"/>
      <c r="U114" s="402"/>
      <c r="V114" s="402"/>
      <c r="W114" s="402"/>
      <c r="X114" s="402"/>
      <c r="Y114" s="402"/>
      <c r="Z114" s="402"/>
      <c r="AA114" s="405"/>
      <c r="AB114" s="405"/>
      <c r="AC114" s="405"/>
      <c r="AD114" s="405"/>
      <c r="AE114" s="405"/>
      <c r="AF114" s="405"/>
      <c r="AG114" s="405"/>
    </row>
    <row r="115" ht="14.25" customHeight="1">
      <c r="A115" s="406">
        <v>45502.0</v>
      </c>
      <c r="B115" s="349" t="s">
        <v>2563</v>
      </c>
      <c r="C115" s="349" t="s">
        <v>2564</v>
      </c>
      <c r="D115" s="349" t="s">
        <v>54</v>
      </c>
      <c r="E115" s="349" t="s">
        <v>2442</v>
      </c>
      <c r="F115" s="413">
        <v>14507.0</v>
      </c>
      <c r="G115" s="413"/>
      <c r="H115" s="349" t="s">
        <v>2229</v>
      </c>
      <c r="I115" s="404" t="str">
        <f t="shared" si="9"/>
        <v>NOT PAID</v>
      </c>
      <c r="J115" s="406"/>
      <c r="K115" s="349"/>
      <c r="L115" s="413"/>
      <c r="M115" s="349"/>
      <c r="N115" s="413"/>
      <c r="O115" s="402"/>
      <c r="P115" s="402"/>
      <c r="Q115" s="402"/>
      <c r="R115" s="402"/>
      <c r="S115" s="402"/>
      <c r="T115" s="402"/>
      <c r="U115" s="402"/>
      <c r="V115" s="402"/>
      <c r="W115" s="402"/>
      <c r="X115" s="402"/>
      <c r="Y115" s="402"/>
      <c r="Z115" s="402"/>
      <c r="AA115" s="405"/>
      <c r="AB115" s="405"/>
      <c r="AC115" s="405"/>
      <c r="AD115" s="405"/>
      <c r="AE115" s="405"/>
      <c r="AF115" s="405"/>
      <c r="AG115" s="405"/>
    </row>
    <row r="116" ht="14.25" customHeight="1">
      <c r="A116" s="406">
        <v>45502.0</v>
      </c>
      <c r="B116" s="349" t="s">
        <v>2565</v>
      </c>
      <c r="C116" s="349" t="s">
        <v>2566</v>
      </c>
      <c r="D116" s="349" t="s">
        <v>54</v>
      </c>
      <c r="E116" s="349" t="s">
        <v>2442</v>
      </c>
      <c r="F116" s="413">
        <v>131205.0</v>
      </c>
      <c r="G116" s="413"/>
      <c r="H116" s="349" t="s">
        <v>2229</v>
      </c>
      <c r="I116" s="404" t="str">
        <f t="shared" si="9"/>
        <v>NOT PAID</v>
      </c>
      <c r="J116" s="406"/>
      <c r="K116" s="349"/>
      <c r="L116" s="413"/>
      <c r="M116" s="349"/>
      <c r="N116" s="413"/>
      <c r="O116" s="402"/>
      <c r="P116" s="402"/>
      <c r="Q116" s="402"/>
      <c r="R116" s="402"/>
      <c r="S116" s="402"/>
      <c r="T116" s="402"/>
      <c r="U116" s="402"/>
      <c r="V116" s="402"/>
      <c r="W116" s="402"/>
      <c r="X116" s="402"/>
      <c r="Y116" s="402"/>
      <c r="Z116" s="402"/>
      <c r="AA116" s="405"/>
      <c r="AB116" s="405"/>
      <c r="AC116" s="405"/>
      <c r="AD116" s="405"/>
      <c r="AE116" s="405"/>
      <c r="AF116" s="405"/>
      <c r="AG116" s="405"/>
    </row>
    <row r="117" ht="14.25" customHeight="1">
      <c r="A117" s="406">
        <v>45502.0</v>
      </c>
      <c r="B117" s="349" t="s">
        <v>2567</v>
      </c>
      <c r="C117" s="349" t="s">
        <v>2568</v>
      </c>
      <c r="D117" s="349" t="s">
        <v>54</v>
      </c>
      <c r="E117" s="349" t="s">
        <v>2442</v>
      </c>
      <c r="F117" s="413">
        <v>22310.0</v>
      </c>
      <c r="G117" s="413">
        <v>11000.0</v>
      </c>
      <c r="H117" s="406"/>
      <c r="I117" s="404" t="str">
        <f t="shared" si="9"/>
        <v>PARTIALLY PAID</v>
      </c>
      <c r="J117" s="406"/>
      <c r="K117" s="349"/>
      <c r="L117" s="413"/>
      <c r="M117" s="349"/>
      <c r="N117" s="413"/>
      <c r="O117" s="402"/>
      <c r="P117" s="402"/>
      <c r="Q117" s="402"/>
      <c r="R117" s="402"/>
      <c r="S117" s="402"/>
      <c r="T117" s="402"/>
      <c r="U117" s="402"/>
      <c r="V117" s="402"/>
      <c r="W117" s="402"/>
      <c r="X117" s="402"/>
      <c r="Y117" s="402"/>
      <c r="Z117" s="402"/>
      <c r="AA117" s="405"/>
      <c r="AB117" s="405"/>
      <c r="AC117" s="405"/>
      <c r="AD117" s="405"/>
      <c r="AE117" s="405"/>
      <c r="AF117" s="405"/>
      <c r="AG117" s="405"/>
    </row>
    <row r="118" ht="14.25" customHeight="1">
      <c r="A118" s="406">
        <v>45502.0</v>
      </c>
      <c r="B118" s="349" t="s">
        <v>2569</v>
      </c>
      <c r="C118" s="349" t="s">
        <v>2570</v>
      </c>
      <c r="D118" s="349" t="s">
        <v>54</v>
      </c>
      <c r="E118" s="349" t="s">
        <v>2442</v>
      </c>
      <c r="F118" s="413">
        <v>27888.0</v>
      </c>
      <c r="G118" s="413" t="s">
        <v>0</v>
      </c>
      <c r="H118" s="349" t="s">
        <v>2229</v>
      </c>
      <c r="I118" s="404" t="str">
        <f t="shared" si="9"/>
        <v>FULLY PAID</v>
      </c>
      <c r="J118" s="406"/>
      <c r="K118" s="349"/>
      <c r="L118" s="413"/>
      <c r="M118" s="349"/>
      <c r="N118" s="413"/>
      <c r="O118" s="402"/>
      <c r="P118" s="402"/>
      <c r="Q118" s="402"/>
      <c r="R118" s="402"/>
      <c r="S118" s="402"/>
      <c r="T118" s="402"/>
      <c r="U118" s="402"/>
      <c r="V118" s="402"/>
      <c r="W118" s="402"/>
      <c r="X118" s="402"/>
      <c r="Y118" s="402"/>
      <c r="Z118" s="402"/>
      <c r="AA118" s="405"/>
      <c r="AB118" s="405"/>
      <c r="AC118" s="405"/>
      <c r="AD118" s="405"/>
      <c r="AE118" s="405"/>
      <c r="AF118" s="405"/>
      <c r="AG118" s="405"/>
    </row>
    <row r="119" ht="14.25" customHeight="1">
      <c r="A119" s="406">
        <v>45502.0</v>
      </c>
      <c r="B119" s="349" t="s">
        <v>2571</v>
      </c>
      <c r="C119" s="349" t="s">
        <v>2572</v>
      </c>
      <c r="D119" s="349" t="s">
        <v>54</v>
      </c>
      <c r="E119" s="349" t="s">
        <v>2442</v>
      </c>
      <c r="F119" s="413">
        <v>17892.0</v>
      </c>
      <c r="G119" s="413"/>
      <c r="H119" s="349" t="s">
        <v>2573</v>
      </c>
      <c r="I119" s="404" t="str">
        <f t="shared" si="9"/>
        <v>NOT PAID</v>
      </c>
      <c r="J119" s="406"/>
      <c r="K119" s="349"/>
      <c r="L119" s="413"/>
      <c r="M119" s="349"/>
      <c r="N119" s="413"/>
      <c r="O119" s="402"/>
      <c r="P119" s="402"/>
      <c r="Q119" s="402"/>
      <c r="R119" s="402"/>
      <c r="S119" s="402"/>
      <c r="T119" s="402"/>
      <c r="U119" s="402"/>
      <c r="V119" s="402"/>
      <c r="W119" s="402"/>
      <c r="X119" s="402"/>
      <c r="Y119" s="402"/>
      <c r="Z119" s="402"/>
      <c r="AA119" s="405"/>
      <c r="AB119" s="405"/>
      <c r="AC119" s="405"/>
      <c r="AD119" s="405"/>
      <c r="AE119" s="405"/>
      <c r="AF119" s="405"/>
      <c r="AG119" s="405"/>
    </row>
    <row r="120" ht="14.25" customHeight="1">
      <c r="A120" s="406">
        <v>45502.0</v>
      </c>
      <c r="B120" s="349" t="s">
        <v>2455</v>
      </c>
      <c r="C120" s="349" t="s">
        <v>2574</v>
      </c>
      <c r="D120" s="349" t="s">
        <v>54</v>
      </c>
      <c r="E120" s="349" t="s">
        <v>2442</v>
      </c>
      <c r="F120" s="413">
        <v>10000.0</v>
      </c>
      <c r="G120" s="413">
        <v>10000.0</v>
      </c>
      <c r="H120" s="349" t="s">
        <v>710</v>
      </c>
      <c r="I120" s="404" t="str">
        <f t="shared" si="9"/>
        <v>FULLY PAID</v>
      </c>
      <c r="J120" s="402"/>
      <c r="K120" s="349"/>
      <c r="L120" s="413"/>
      <c r="M120" s="349"/>
      <c r="N120" s="413"/>
      <c r="O120" s="402"/>
      <c r="P120" s="402"/>
      <c r="Q120" s="402"/>
      <c r="R120" s="402"/>
      <c r="S120" s="402"/>
      <c r="T120" s="402"/>
      <c r="U120" s="402"/>
      <c r="V120" s="402"/>
      <c r="W120" s="402"/>
      <c r="X120" s="402"/>
      <c r="Y120" s="402"/>
      <c r="Z120" s="402"/>
      <c r="AA120" s="405"/>
      <c r="AB120" s="405"/>
      <c r="AC120" s="405"/>
      <c r="AD120" s="405"/>
      <c r="AE120" s="405"/>
      <c r="AF120" s="405"/>
      <c r="AG120" s="405"/>
    </row>
    <row r="121" ht="14.25" customHeight="1">
      <c r="A121" s="406">
        <v>45502.0</v>
      </c>
      <c r="B121" s="349" t="s">
        <v>2575</v>
      </c>
      <c r="C121" s="349" t="s">
        <v>2576</v>
      </c>
      <c r="D121" s="349" t="s">
        <v>54</v>
      </c>
      <c r="E121" s="349" t="s">
        <v>2442</v>
      </c>
      <c r="F121" s="413">
        <v>129000.0</v>
      </c>
      <c r="G121" s="413">
        <v>129000.0</v>
      </c>
      <c r="H121" s="349" t="s">
        <v>2111</v>
      </c>
      <c r="I121" s="404" t="str">
        <f t="shared" si="9"/>
        <v>FULLY PAID</v>
      </c>
      <c r="J121" s="402"/>
      <c r="K121" s="349"/>
      <c r="L121" s="413"/>
      <c r="M121" s="349"/>
      <c r="N121" s="413"/>
      <c r="O121" s="402"/>
      <c r="P121" s="402"/>
      <c r="Q121" s="402"/>
      <c r="R121" s="402"/>
      <c r="S121" s="402"/>
      <c r="T121" s="402"/>
      <c r="U121" s="402"/>
      <c r="V121" s="402"/>
      <c r="W121" s="402"/>
      <c r="X121" s="402"/>
      <c r="Y121" s="402"/>
      <c r="Z121" s="402"/>
      <c r="AA121" s="405"/>
      <c r="AB121" s="405"/>
      <c r="AC121" s="405"/>
      <c r="AD121" s="405"/>
      <c r="AE121" s="405"/>
      <c r="AF121" s="405"/>
      <c r="AG121" s="405"/>
    </row>
    <row r="122" ht="14.25" customHeight="1">
      <c r="A122" s="406">
        <v>45502.0</v>
      </c>
      <c r="B122" s="349" t="s">
        <v>2577</v>
      </c>
      <c r="C122" s="349" t="s">
        <v>2578</v>
      </c>
      <c r="D122" s="349" t="s">
        <v>54</v>
      </c>
      <c r="E122" s="349" t="s">
        <v>2442</v>
      </c>
      <c r="F122" s="413">
        <v>172500.0</v>
      </c>
      <c r="G122" s="413"/>
      <c r="H122" s="349" t="s">
        <v>2229</v>
      </c>
      <c r="I122" s="404" t="str">
        <f t="shared" si="9"/>
        <v>NOT PAID</v>
      </c>
      <c r="J122" s="402"/>
      <c r="K122" s="349"/>
      <c r="L122" s="413"/>
      <c r="M122" s="349"/>
      <c r="N122" s="413"/>
      <c r="O122" s="402"/>
      <c r="P122" s="402"/>
      <c r="Q122" s="402"/>
      <c r="R122" s="402"/>
      <c r="S122" s="402"/>
      <c r="T122" s="402"/>
      <c r="U122" s="402"/>
      <c r="V122" s="402"/>
      <c r="W122" s="402"/>
      <c r="X122" s="402"/>
      <c r="Y122" s="402"/>
      <c r="Z122" s="402"/>
      <c r="AA122" s="405"/>
      <c r="AB122" s="405"/>
      <c r="AC122" s="405"/>
      <c r="AD122" s="405"/>
      <c r="AE122" s="405"/>
      <c r="AF122" s="405"/>
      <c r="AG122" s="405"/>
    </row>
    <row r="123" ht="14.25" customHeight="1">
      <c r="A123" s="406">
        <v>45502.0</v>
      </c>
      <c r="B123" s="349" t="s">
        <v>2579</v>
      </c>
      <c r="C123" s="349" t="s">
        <v>2580</v>
      </c>
      <c r="D123" s="349" t="s">
        <v>54</v>
      </c>
      <c r="E123" s="349" t="s">
        <v>2442</v>
      </c>
      <c r="F123" s="413">
        <v>28445.0</v>
      </c>
      <c r="G123" s="403"/>
      <c r="H123" s="349" t="s">
        <v>2229</v>
      </c>
      <c r="I123" s="404" t="str">
        <f t="shared" si="9"/>
        <v>NOT PAID</v>
      </c>
      <c r="J123" s="402"/>
      <c r="K123" s="402"/>
      <c r="L123" s="402"/>
      <c r="M123" s="402"/>
      <c r="N123" s="402"/>
      <c r="O123" s="402"/>
      <c r="P123" s="402"/>
      <c r="Q123" s="402"/>
      <c r="R123" s="402"/>
      <c r="S123" s="402"/>
      <c r="T123" s="402"/>
      <c r="U123" s="402"/>
      <c r="V123" s="402"/>
      <c r="W123" s="402"/>
      <c r="X123" s="402"/>
      <c r="Y123" s="402"/>
      <c r="Z123" s="402"/>
      <c r="AA123" s="405"/>
      <c r="AB123" s="405"/>
      <c r="AC123" s="405"/>
      <c r="AD123" s="405"/>
      <c r="AE123" s="405"/>
      <c r="AF123" s="405"/>
      <c r="AG123" s="405"/>
    </row>
    <row r="124" ht="14.25" customHeight="1">
      <c r="A124" s="406">
        <v>45502.0</v>
      </c>
      <c r="B124" s="349" t="s">
        <v>2581</v>
      </c>
      <c r="C124" s="349" t="s">
        <v>2582</v>
      </c>
      <c r="D124" s="349" t="s">
        <v>54</v>
      </c>
      <c r="E124" s="349" t="s">
        <v>2442</v>
      </c>
      <c r="F124" s="413">
        <v>46750.0</v>
      </c>
      <c r="G124" s="403"/>
      <c r="H124" s="349" t="s">
        <v>2229</v>
      </c>
      <c r="I124" s="404" t="str">
        <f t="shared" si="9"/>
        <v>NOT PAID</v>
      </c>
      <c r="J124" s="402"/>
      <c r="K124" s="402"/>
      <c r="L124" s="402"/>
      <c r="M124" s="402"/>
      <c r="N124" s="402"/>
      <c r="O124" s="402"/>
      <c r="P124" s="402"/>
      <c r="Q124" s="402"/>
      <c r="R124" s="402"/>
      <c r="S124" s="402"/>
      <c r="T124" s="402"/>
      <c r="U124" s="402"/>
      <c r="V124" s="402"/>
      <c r="W124" s="402"/>
      <c r="X124" s="402"/>
      <c r="Y124" s="402"/>
      <c r="Z124" s="402"/>
      <c r="AA124" s="405"/>
      <c r="AB124" s="405"/>
      <c r="AC124" s="405"/>
      <c r="AD124" s="405"/>
      <c r="AE124" s="405"/>
      <c r="AF124" s="405"/>
      <c r="AG124" s="405"/>
    </row>
    <row r="125" ht="14.25" customHeight="1">
      <c r="A125" s="406">
        <v>45502.0</v>
      </c>
      <c r="B125" s="349" t="s">
        <v>2556</v>
      </c>
      <c r="C125" s="349" t="s">
        <v>2557</v>
      </c>
      <c r="D125" s="349" t="s">
        <v>54</v>
      </c>
      <c r="E125" s="349" t="s">
        <v>2442</v>
      </c>
      <c r="F125" s="413">
        <v>49450.0</v>
      </c>
      <c r="G125" s="413">
        <v>50000.0</v>
      </c>
      <c r="H125" s="349" t="s">
        <v>710</v>
      </c>
      <c r="I125" s="404" t="str">
        <f t="shared" si="9"/>
        <v>FULLY PAID</v>
      </c>
      <c r="J125" s="402"/>
      <c r="K125" s="402"/>
      <c r="L125" s="402"/>
      <c r="M125" s="402"/>
      <c r="N125" s="402"/>
      <c r="O125" s="402"/>
      <c r="P125" s="402"/>
      <c r="Q125" s="402"/>
      <c r="R125" s="402"/>
      <c r="S125" s="402"/>
      <c r="T125" s="402"/>
      <c r="U125" s="402"/>
      <c r="V125" s="402"/>
      <c r="W125" s="402"/>
      <c r="X125" s="402"/>
      <c r="Y125" s="402"/>
      <c r="Z125" s="402"/>
      <c r="AA125" s="405"/>
      <c r="AB125" s="405"/>
      <c r="AC125" s="405"/>
      <c r="AD125" s="405"/>
      <c r="AE125" s="405"/>
      <c r="AF125" s="405"/>
      <c r="AG125" s="405"/>
    </row>
    <row r="126" ht="14.25" customHeight="1">
      <c r="A126" s="406">
        <v>45502.0</v>
      </c>
      <c r="B126" s="349" t="s">
        <v>2463</v>
      </c>
      <c r="C126" s="349" t="s">
        <v>2464</v>
      </c>
      <c r="D126" s="418" t="s">
        <v>54</v>
      </c>
      <c r="E126" s="349" t="s">
        <v>2442</v>
      </c>
      <c r="F126" s="662">
        <v>50000.0</v>
      </c>
      <c r="G126" s="403"/>
      <c r="H126" s="349" t="s">
        <v>2507</v>
      </c>
      <c r="I126" s="404" t="str">
        <f t="shared" si="9"/>
        <v>NOT PAID</v>
      </c>
      <c r="J126" s="402"/>
      <c r="K126" s="402"/>
      <c r="L126" s="402"/>
      <c r="M126" s="402"/>
      <c r="N126" s="402"/>
      <c r="O126" s="402"/>
      <c r="P126" s="402"/>
      <c r="Q126" s="402"/>
      <c r="R126" s="402"/>
      <c r="S126" s="402"/>
      <c r="T126" s="402"/>
      <c r="U126" s="402"/>
      <c r="V126" s="402"/>
      <c r="W126" s="402"/>
      <c r="X126" s="402"/>
      <c r="Y126" s="402"/>
      <c r="Z126" s="402"/>
      <c r="AA126" s="405"/>
      <c r="AB126" s="405"/>
      <c r="AC126" s="405"/>
      <c r="AD126" s="405"/>
      <c r="AE126" s="405"/>
      <c r="AF126" s="405"/>
      <c r="AG126" s="405"/>
    </row>
    <row r="127" ht="14.25" customHeight="1">
      <c r="A127" s="406">
        <v>45502.0</v>
      </c>
      <c r="B127" s="349" t="s">
        <v>2539</v>
      </c>
      <c r="C127" s="349" t="s">
        <v>2540</v>
      </c>
      <c r="D127" s="349" t="s">
        <v>54</v>
      </c>
      <c r="E127" s="349" t="s">
        <v>2442</v>
      </c>
      <c r="F127" s="662">
        <v>50000.0</v>
      </c>
      <c r="G127" s="413">
        <v>70000.0</v>
      </c>
      <c r="H127" s="349" t="s">
        <v>710</v>
      </c>
      <c r="I127" s="404" t="str">
        <f t="shared" si="9"/>
        <v>FULLY PAID</v>
      </c>
      <c r="J127" s="402"/>
      <c r="K127" s="402"/>
      <c r="L127" s="402"/>
      <c r="M127" s="402"/>
      <c r="N127" s="402"/>
      <c r="O127" s="402"/>
      <c r="P127" s="402"/>
      <c r="Q127" s="402"/>
      <c r="R127" s="402"/>
      <c r="S127" s="402"/>
      <c r="T127" s="402"/>
      <c r="U127" s="402"/>
      <c r="V127" s="402"/>
      <c r="W127" s="402"/>
      <c r="X127" s="402"/>
      <c r="Y127" s="402"/>
      <c r="Z127" s="402"/>
      <c r="AA127" s="405"/>
      <c r="AB127" s="405"/>
      <c r="AC127" s="405"/>
      <c r="AD127" s="405"/>
      <c r="AE127" s="405"/>
      <c r="AF127" s="405"/>
      <c r="AG127" s="405"/>
    </row>
    <row r="128" ht="14.25" customHeight="1">
      <c r="A128" s="406">
        <v>45502.0</v>
      </c>
      <c r="B128" s="349" t="s">
        <v>2505</v>
      </c>
      <c r="C128" s="349" t="s">
        <v>2506</v>
      </c>
      <c r="D128" s="349" t="s">
        <v>54</v>
      </c>
      <c r="E128" s="349" t="s">
        <v>2442</v>
      </c>
      <c r="F128" s="559">
        <v>46912.0</v>
      </c>
      <c r="G128" s="403"/>
      <c r="H128" s="349" t="s">
        <v>2583</v>
      </c>
      <c r="I128" s="404" t="str">
        <f t="shared" si="9"/>
        <v>NOT PAID</v>
      </c>
      <c r="J128" s="402"/>
      <c r="K128" s="402"/>
      <c r="L128" s="402"/>
      <c r="M128" s="402"/>
      <c r="N128" s="402"/>
      <c r="O128" s="402"/>
      <c r="P128" s="402"/>
      <c r="Q128" s="402"/>
      <c r="R128" s="402"/>
      <c r="S128" s="402"/>
      <c r="T128" s="402"/>
      <c r="U128" s="402"/>
      <c r="V128" s="402"/>
      <c r="W128" s="402"/>
      <c r="X128" s="402"/>
      <c r="Y128" s="402"/>
      <c r="Z128" s="402"/>
      <c r="AA128" s="405"/>
      <c r="AB128" s="405"/>
      <c r="AC128" s="405"/>
      <c r="AD128" s="405"/>
      <c r="AE128" s="405"/>
      <c r="AF128" s="405"/>
      <c r="AG128" s="405"/>
    </row>
    <row r="129" ht="14.25" customHeight="1">
      <c r="A129" s="406">
        <v>45502.0</v>
      </c>
      <c r="B129" s="349" t="s">
        <v>2498</v>
      </c>
      <c r="C129" s="349" t="s">
        <v>2519</v>
      </c>
      <c r="D129" s="349" t="s">
        <v>54</v>
      </c>
      <c r="E129" s="349" t="s">
        <v>2442</v>
      </c>
      <c r="F129" s="662">
        <v>100000.0</v>
      </c>
      <c r="G129" s="403"/>
      <c r="H129" s="349" t="s">
        <v>2584</v>
      </c>
      <c r="I129" s="404" t="str">
        <f t="shared" si="9"/>
        <v>NOT PAID</v>
      </c>
      <c r="J129" s="402"/>
      <c r="K129" s="402"/>
      <c r="L129" s="402"/>
      <c r="M129" s="402"/>
      <c r="N129" s="402"/>
      <c r="O129" s="402"/>
      <c r="P129" s="402"/>
      <c r="Q129" s="402"/>
      <c r="R129" s="402"/>
      <c r="S129" s="402"/>
      <c r="T129" s="402"/>
      <c r="U129" s="402"/>
      <c r="V129" s="402"/>
      <c r="W129" s="402"/>
      <c r="X129" s="402"/>
      <c r="Y129" s="402"/>
      <c r="Z129" s="402"/>
      <c r="AA129" s="405"/>
      <c r="AB129" s="405"/>
      <c r="AC129" s="405"/>
      <c r="AD129" s="405"/>
      <c r="AE129" s="405"/>
      <c r="AF129" s="405"/>
      <c r="AG129" s="405"/>
    </row>
    <row r="130" ht="14.25" customHeight="1">
      <c r="A130" s="402"/>
      <c r="B130" s="402"/>
      <c r="C130" s="402"/>
      <c r="D130" s="402"/>
      <c r="E130" s="402"/>
      <c r="F130" s="664"/>
      <c r="G130" s="403"/>
      <c r="H130" s="402"/>
      <c r="I130" s="404" t="str">
        <f t="shared" si="9"/>
        <v>FULLY PAID</v>
      </c>
      <c r="J130" s="402"/>
      <c r="K130" s="402"/>
      <c r="L130" s="402"/>
      <c r="M130" s="402"/>
      <c r="N130" s="402"/>
      <c r="O130" s="402"/>
      <c r="P130" s="402"/>
      <c r="Q130" s="402"/>
      <c r="R130" s="402"/>
      <c r="S130" s="402"/>
      <c r="T130" s="402"/>
      <c r="U130" s="402"/>
      <c r="V130" s="402"/>
      <c r="W130" s="402"/>
      <c r="X130" s="402"/>
      <c r="Y130" s="402"/>
      <c r="Z130" s="402"/>
      <c r="AA130" s="405"/>
      <c r="AB130" s="405"/>
      <c r="AC130" s="405"/>
      <c r="AD130" s="405"/>
      <c r="AE130" s="405"/>
      <c r="AF130" s="405"/>
      <c r="AG130" s="405"/>
    </row>
    <row r="131" ht="14.25" customHeight="1">
      <c r="A131" s="402"/>
      <c r="B131" s="402"/>
      <c r="C131" s="402"/>
      <c r="D131" s="349"/>
      <c r="E131" s="349"/>
      <c r="F131" s="662"/>
      <c r="G131" s="403"/>
      <c r="H131" s="402"/>
      <c r="I131" s="404" t="str">
        <f t="shared" si="9"/>
        <v>FULLY PAID</v>
      </c>
      <c r="J131" s="402"/>
      <c r="K131" s="402"/>
      <c r="L131" s="402"/>
      <c r="M131" s="402"/>
      <c r="N131" s="402"/>
      <c r="O131" s="402"/>
      <c r="P131" s="402"/>
      <c r="Q131" s="402"/>
      <c r="R131" s="402"/>
      <c r="S131" s="402"/>
      <c r="T131" s="402"/>
      <c r="U131" s="402"/>
      <c r="V131" s="402"/>
      <c r="W131" s="402"/>
      <c r="X131" s="402"/>
      <c r="Y131" s="402"/>
      <c r="Z131" s="402"/>
      <c r="AA131" s="405"/>
      <c r="AB131" s="405"/>
      <c r="AC131" s="405"/>
      <c r="AD131" s="405"/>
      <c r="AE131" s="405"/>
      <c r="AF131" s="405"/>
      <c r="AG131" s="405"/>
    </row>
    <row r="132" ht="14.25" customHeight="1">
      <c r="A132" s="406">
        <v>45502.0</v>
      </c>
      <c r="B132" s="349" t="s">
        <v>2467</v>
      </c>
      <c r="C132" s="349" t="s">
        <v>2468</v>
      </c>
      <c r="D132" s="349" t="s">
        <v>54</v>
      </c>
      <c r="E132" s="349" t="s">
        <v>2469</v>
      </c>
      <c r="F132" s="662">
        <v>43000.0</v>
      </c>
      <c r="G132" s="403"/>
      <c r="H132" s="349" t="s">
        <v>2473</v>
      </c>
      <c r="I132" s="404" t="str">
        <f t="shared" si="9"/>
        <v>NOT PAID</v>
      </c>
      <c r="J132" s="402"/>
      <c r="K132" s="402"/>
      <c r="L132" s="402"/>
      <c r="M132" s="402"/>
      <c r="N132" s="402"/>
      <c r="O132" s="402"/>
      <c r="P132" s="402"/>
      <c r="Q132" s="402"/>
      <c r="R132" s="402"/>
      <c r="S132" s="402"/>
      <c r="T132" s="402"/>
      <c r="U132" s="402"/>
      <c r="V132" s="402"/>
      <c r="W132" s="402"/>
      <c r="X132" s="402"/>
      <c r="Y132" s="402"/>
      <c r="Z132" s="402"/>
      <c r="AA132" s="405"/>
      <c r="AB132" s="405"/>
      <c r="AC132" s="405"/>
      <c r="AD132" s="405"/>
      <c r="AE132" s="405"/>
      <c r="AF132" s="405"/>
      <c r="AG132" s="405"/>
    </row>
    <row r="133" ht="14.25" customHeight="1">
      <c r="A133" s="406">
        <v>45502.0</v>
      </c>
      <c r="B133" s="349" t="s">
        <v>2471</v>
      </c>
      <c r="C133" s="349" t="s">
        <v>2472</v>
      </c>
      <c r="D133" s="349" t="s">
        <v>54</v>
      </c>
      <c r="E133" s="349" t="s">
        <v>2469</v>
      </c>
      <c r="F133" s="662">
        <v>512638.0</v>
      </c>
      <c r="G133" s="403"/>
      <c r="H133" s="349" t="s">
        <v>2473</v>
      </c>
      <c r="I133" s="404" t="str">
        <f t="shared" si="9"/>
        <v>NOT PAID</v>
      </c>
      <c r="J133" s="402"/>
      <c r="K133" s="402"/>
      <c r="L133" s="402"/>
      <c r="M133" s="402"/>
      <c r="N133" s="402"/>
      <c r="O133" s="402"/>
      <c r="P133" s="402"/>
      <c r="Q133" s="402"/>
      <c r="R133" s="402"/>
      <c r="S133" s="402"/>
      <c r="T133" s="402"/>
      <c r="U133" s="402"/>
      <c r="V133" s="402"/>
      <c r="W133" s="402"/>
      <c r="X133" s="402"/>
      <c r="Y133" s="402"/>
      <c r="Z133" s="402"/>
      <c r="AA133" s="405"/>
      <c r="AB133" s="405"/>
      <c r="AC133" s="405"/>
      <c r="AD133" s="405"/>
      <c r="AE133" s="405"/>
      <c r="AF133" s="405"/>
      <c r="AG133" s="405"/>
    </row>
    <row r="134" ht="14.25" customHeight="1">
      <c r="B134" s="402"/>
      <c r="C134" s="402"/>
      <c r="D134" s="402"/>
      <c r="E134" s="349"/>
      <c r="F134" s="664"/>
      <c r="G134" s="403"/>
      <c r="H134" s="402"/>
      <c r="I134" s="404" t="str">
        <f t="shared" si="9"/>
        <v>FULLY PAID</v>
      </c>
      <c r="J134" s="402"/>
      <c r="K134" s="402"/>
      <c r="L134" s="402"/>
      <c r="M134" s="402"/>
      <c r="N134" s="402"/>
      <c r="O134" s="402"/>
      <c r="P134" s="402"/>
      <c r="Q134" s="402"/>
      <c r="R134" s="402"/>
      <c r="S134" s="402"/>
      <c r="T134" s="402"/>
      <c r="U134" s="402"/>
      <c r="V134" s="402"/>
      <c r="W134" s="402"/>
      <c r="X134" s="402"/>
      <c r="Y134" s="402"/>
      <c r="Z134" s="402"/>
      <c r="AA134" s="405"/>
      <c r="AB134" s="405"/>
      <c r="AC134" s="405"/>
      <c r="AD134" s="405"/>
      <c r="AE134" s="405"/>
      <c r="AF134" s="405"/>
      <c r="AG134" s="405"/>
    </row>
    <row r="135" ht="14.25" customHeight="1">
      <c r="A135" s="402"/>
      <c r="B135" s="402"/>
      <c r="C135" s="402"/>
      <c r="D135" s="402"/>
      <c r="E135" s="402"/>
      <c r="F135" s="664"/>
      <c r="G135" s="403"/>
      <c r="H135" s="402"/>
      <c r="I135" s="404" t="str">
        <f t="shared" si="9"/>
        <v>FULLY PAID</v>
      </c>
      <c r="J135" s="402"/>
      <c r="K135" s="402"/>
      <c r="L135" s="402"/>
      <c r="M135" s="402"/>
      <c r="N135" s="402"/>
      <c r="O135" s="402"/>
      <c r="P135" s="402"/>
      <c r="Q135" s="402"/>
      <c r="R135" s="402"/>
      <c r="S135" s="402"/>
      <c r="T135" s="402"/>
      <c r="U135" s="402"/>
      <c r="V135" s="402"/>
      <c r="W135" s="402"/>
      <c r="X135" s="402"/>
      <c r="Y135" s="402"/>
      <c r="Z135" s="402"/>
      <c r="AA135" s="405"/>
      <c r="AB135" s="405"/>
      <c r="AC135" s="405"/>
      <c r="AD135" s="405"/>
      <c r="AE135" s="405"/>
      <c r="AF135" s="405"/>
      <c r="AG135" s="405"/>
    </row>
    <row r="136" ht="14.25" customHeight="1">
      <c r="A136" s="406">
        <v>45503.0</v>
      </c>
      <c r="B136" s="349" t="s">
        <v>2512</v>
      </c>
      <c r="C136" s="349" t="s">
        <v>2513</v>
      </c>
      <c r="D136" s="349" t="s">
        <v>54</v>
      </c>
      <c r="E136" s="349" t="s">
        <v>2442</v>
      </c>
      <c r="F136" s="413">
        <v>10000.0</v>
      </c>
      <c r="G136" s="403"/>
      <c r="H136" s="349" t="s">
        <v>2585</v>
      </c>
      <c r="I136" s="404" t="str">
        <f t="shared" si="9"/>
        <v>NOT PAID</v>
      </c>
      <c r="J136" s="402"/>
      <c r="K136" s="402"/>
      <c r="L136" s="402"/>
      <c r="M136" s="402"/>
      <c r="N136" s="402"/>
      <c r="O136" s="402"/>
      <c r="P136" s="402"/>
      <c r="Q136" s="402"/>
      <c r="R136" s="402"/>
      <c r="S136" s="402"/>
      <c r="T136" s="402"/>
      <c r="U136" s="402"/>
      <c r="V136" s="402"/>
      <c r="W136" s="402"/>
      <c r="X136" s="402"/>
      <c r="Y136" s="402"/>
      <c r="Z136" s="402"/>
      <c r="AA136" s="405"/>
      <c r="AB136" s="405"/>
      <c r="AC136" s="405"/>
      <c r="AD136" s="405"/>
      <c r="AE136" s="405"/>
      <c r="AF136" s="405"/>
      <c r="AG136" s="405"/>
    </row>
    <row r="137" ht="14.25" customHeight="1">
      <c r="A137" s="406">
        <v>45503.0</v>
      </c>
      <c r="B137" s="349" t="s">
        <v>2563</v>
      </c>
      <c r="C137" s="349" t="s">
        <v>2564</v>
      </c>
      <c r="D137" s="349" t="s">
        <v>54</v>
      </c>
      <c r="E137" s="349" t="s">
        <v>2442</v>
      </c>
      <c r="F137" s="413">
        <v>5000.0</v>
      </c>
      <c r="G137" s="403"/>
      <c r="H137" s="349" t="s">
        <v>2586</v>
      </c>
      <c r="I137" s="404" t="str">
        <f t="shared" si="9"/>
        <v>NOT PAID</v>
      </c>
      <c r="J137" s="402"/>
      <c r="K137" s="402"/>
      <c r="L137" s="402"/>
      <c r="M137" s="402"/>
      <c r="N137" s="402"/>
      <c r="O137" s="402"/>
      <c r="P137" s="402"/>
      <c r="Q137" s="402"/>
      <c r="R137" s="402"/>
      <c r="S137" s="402"/>
      <c r="T137" s="402"/>
      <c r="U137" s="402"/>
      <c r="V137" s="402"/>
      <c r="W137" s="402"/>
      <c r="X137" s="402"/>
      <c r="Y137" s="402"/>
      <c r="Z137" s="402"/>
      <c r="AA137" s="405"/>
      <c r="AB137" s="405"/>
      <c r="AC137" s="405"/>
      <c r="AD137" s="405"/>
      <c r="AE137" s="405"/>
      <c r="AF137" s="405"/>
      <c r="AG137" s="405"/>
    </row>
    <row r="138" ht="14.25" customHeight="1">
      <c r="A138" s="406">
        <v>45503.0</v>
      </c>
      <c r="B138" s="349" t="s">
        <v>2565</v>
      </c>
      <c r="C138" s="349" t="s">
        <v>2566</v>
      </c>
      <c r="D138" s="349" t="s">
        <v>54</v>
      </c>
      <c r="E138" s="349" t="s">
        <v>2442</v>
      </c>
      <c r="F138" s="413">
        <v>131205.0</v>
      </c>
      <c r="G138" s="403"/>
      <c r="H138" s="349" t="s">
        <v>2587</v>
      </c>
      <c r="I138" s="404" t="str">
        <f t="shared" si="9"/>
        <v>NOT PAID</v>
      </c>
      <c r="J138" s="402"/>
      <c r="K138" s="402"/>
      <c r="L138" s="402"/>
      <c r="M138" s="402"/>
      <c r="N138" s="402"/>
      <c r="O138" s="402"/>
      <c r="P138" s="402"/>
      <c r="Q138" s="402"/>
      <c r="R138" s="402"/>
      <c r="S138" s="402"/>
      <c r="T138" s="402"/>
      <c r="U138" s="402"/>
      <c r="V138" s="402"/>
      <c r="W138" s="402"/>
      <c r="X138" s="402"/>
      <c r="Y138" s="402"/>
      <c r="Z138" s="402"/>
      <c r="AA138" s="405"/>
      <c r="AB138" s="405"/>
      <c r="AC138" s="405"/>
      <c r="AD138" s="405"/>
      <c r="AE138" s="405"/>
      <c r="AF138" s="405"/>
      <c r="AG138" s="405"/>
    </row>
    <row r="139" ht="14.25" customHeight="1">
      <c r="A139" s="406">
        <v>45503.0</v>
      </c>
      <c r="B139" s="349" t="s">
        <v>2567</v>
      </c>
      <c r="C139" s="349" t="s">
        <v>2568</v>
      </c>
      <c r="D139" s="349" t="s">
        <v>54</v>
      </c>
      <c r="E139" s="349" t="s">
        <v>2442</v>
      </c>
      <c r="F139" s="413">
        <v>10000.0</v>
      </c>
      <c r="G139" s="403"/>
      <c r="H139" s="349" t="s">
        <v>2586</v>
      </c>
      <c r="I139" s="404" t="str">
        <f t="shared" si="9"/>
        <v>NOT PAID</v>
      </c>
      <c r="J139" s="402"/>
      <c r="K139" s="402"/>
      <c r="L139" s="402"/>
      <c r="M139" s="402"/>
      <c r="N139" s="402"/>
      <c r="O139" s="402"/>
      <c r="P139" s="402"/>
      <c r="Q139" s="402"/>
      <c r="R139" s="402"/>
      <c r="S139" s="402"/>
      <c r="T139" s="402"/>
      <c r="U139" s="402"/>
      <c r="V139" s="402"/>
      <c r="W139" s="402"/>
      <c r="X139" s="402"/>
      <c r="Y139" s="402"/>
      <c r="Z139" s="402"/>
      <c r="AA139" s="405"/>
      <c r="AB139" s="405"/>
      <c r="AC139" s="405"/>
      <c r="AD139" s="405"/>
      <c r="AE139" s="405"/>
      <c r="AF139" s="405"/>
      <c r="AG139" s="405"/>
    </row>
    <row r="140" ht="14.25" customHeight="1">
      <c r="A140" s="406">
        <v>45503.0</v>
      </c>
      <c r="B140" s="349" t="s">
        <v>2569</v>
      </c>
      <c r="C140" s="349" t="s">
        <v>2570</v>
      </c>
      <c r="D140" s="349" t="s">
        <v>54</v>
      </c>
      <c r="E140" s="349" t="s">
        <v>2442</v>
      </c>
      <c r="F140" s="413">
        <v>27888.0</v>
      </c>
      <c r="G140" s="403"/>
      <c r="H140" s="349" t="s">
        <v>2588</v>
      </c>
      <c r="I140" s="404" t="str">
        <f t="shared" si="9"/>
        <v>NOT PAID</v>
      </c>
      <c r="J140" s="402"/>
      <c r="K140" s="402"/>
      <c r="L140" s="402"/>
      <c r="M140" s="402"/>
      <c r="N140" s="402"/>
      <c r="O140" s="402"/>
      <c r="P140" s="402"/>
      <c r="Q140" s="402"/>
      <c r="R140" s="402"/>
      <c r="S140" s="402"/>
      <c r="T140" s="402"/>
      <c r="U140" s="402"/>
      <c r="V140" s="402"/>
      <c r="W140" s="402"/>
      <c r="X140" s="402"/>
      <c r="Y140" s="402"/>
      <c r="Z140" s="402"/>
      <c r="AA140" s="405"/>
      <c r="AB140" s="405"/>
      <c r="AC140" s="405"/>
      <c r="AD140" s="405"/>
      <c r="AE140" s="405"/>
      <c r="AF140" s="405"/>
      <c r="AG140" s="405"/>
    </row>
    <row r="141" ht="14.25" customHeight="1">
      <c r="A141" s="406">
        <v>45503.0</v>
      </c>
      <c r="B141" s="349" t="s">
        <v>2571</v>
      </c>
      <c r="C141" s="349" t="s">
        <v>2572</v>
      </c>
      <c r="D141" s="349" t="s">
        <v>54</v>
      </c>
      <c r="E141" s="349" t="s">
        <v>2442</v>
      </c>
      <c r="F141" s="413">
        <v>10000.0</v>
      </c>
      <c r="G141" s="413">
        <v>14000.0</v>
      </c>
      <c r="H141" s="349" t="s">
        <v>401</v>
      </c>
      <c r="I141" s="404" t="str">
        <f t="shared" si="9"/>
        <v>FULLY PAID</v>
      </c>
      <c r="J141" s="402"/>
      <c r="K141" s="402"/>
      <c r="L141" s="402"/>
      <c r="M141" s="402"/>
      <c r="N141" s="402"/>
      <c r="O141" s="402"/>
      <c r="P141" s="402"/>
      <c r="Q141" s="402"/>
      <c r="R141" s="402"/>
      <c r="S141" s="402"/>
      <c r="T141" s="402"/>
      <c r="U141" s="402"/>
      <c r="V141" s="402"/>
      <c r="W141" s="402"/>
      <c r="X141" s="402"/>
      <c r="Y141" s="402"/>
      <c r="Z141" s="402"/>
      <c r="AA141" s="405"/>
      <c r="AB141" s="405"/>
      <c r="AC141" s="405"/>
      <c r="AD141" s="405"/>
      <c r="AE141" s="405"/>
      <c r="AF141" s="405"/>
      <c r="AG141" s="405"/>
    </row>
    <row r="142" ht="14.25" customHeight="1">
      <c r="A142" s="406">
        <v>45503.0</v>
      </c>
      <c r="B142" s="349" t="s">
        <v>2539</v>
      </c>
      <c r="C142" s="349" t="s">
        <v>2540</v>
      </c>
      <c r="D142" s="349" t="s">
        <v>54</v>
      </c>
      <c r="E142" s="349" t="s">
        <v>2442</v>
      </c>
      <c r="F142" s="662">
        <v>10000.0</v>
      </c>
      <c r="G142" s="413">
        <v>55035.0</v>
      </c>
      <c r="H142" s="349" t="s">
        <v>401</v>
      </c>
      <c r="I142" s="404" t="str">
        <f t="shared" si="9"/>
        <v>FULLY PAID</v>
      </c>
      <c r="J142" s="402"/>
      <c r="K142" s="402"/>
      <c r="L142" s="402"/>
      <c r="M142" s="402"/>
      <c r="N142" s="402"/>
      <c r="O142" s="402"/>
      <c r="P142" s="402"/>
      <c r="Q142" s="402"/>
      <c r="R142" s="402"/>
      <c r="S142" s="402"/>
      <c r="T142" s="402"/>
      <c r="U142" s="402"/>
      <c r="V142" s="402"/>
      <c r="W142" s="402"/>
      <c r="X142" s="402"/>
      <c r="Y142" s="402"/>
      <c r="Z142" s="402"/>
      <c r="AA142" s="405"/>
      <c r="AB142" s="405"/>
      <c r="AC142" s="405"/>
      <c r="AD142" s="405"/>
      <c r="AE142" s="405"/>
      <c r="AF142" s="405"/>
      <c r="AG142" s="405"/>
    </row>
    <row r="143" ht="14.25" customHeight="1">
      <c r="A143" s="406">
        <v>45503.0</v>
      </c>
      <c r="B143" s="349" t="s">
        <v>2498</v>
      </c>
      <c r="C143" s="349" t="s">
        <v>2519</v>
      </c>
      <c r="D143" s="349" t="s">
        <v>54</v>
      </c>
      <c r="E143" s="349" t="s">
        <v>2442</v>
      </c>
      <c r="F143" s="662">
        <v>100000.0</v>
      </c>
      <c r="G143" s="403"/>
      <c r="H143" s="349" t="s">
        <v>2589</v>
      </c>
      <c r="I143" s="404" t="str">
        <f t="shared" si="9"/>
        <v>NOT PAID</v>
      </c>
      <c r="J143" s="402"/>
      <c r="K143" s="402"/>
      <c r="L143" s="402"/>
      <c r="M143" s="402"/>
      <c r="N143" s="402"/>
      <c r="O143" s="402"/>
      <c r="P143" s="402"/>
      <c r="Q143" s="402"/>
      <c r="R143" s="402"/>
      <c r="S143" s="402"/>
      <c r="T143" s="402"/>
      <c r="U143" s="402"/>
      <c r="V143" s="402"/>
      <c r="W143" s="402"/>
      <c r="X143" s="402"/>
      <c r="Y143" s="402"/>
      <c r="Z143" s="402"/>
      <c r="AA143" s="405"/>
      <c r="AB143" s="405"/>
      <c r="AC143" s="405"/>
      <c r="AD143" s="405"/>
      <c r="AE143" s="405"/>
      <c r="AF143" s="405"/>
      <c r="AG143" s="405"/>
    </row>
    <row r="144" ht="14.25" customHeight="1">
      <c r="A144" s="406">
        <v>45503.0</v>
      </c>
      <c r="B144" s="349" t="s">
        <v>2505</v>
      </c>
      <c r="C144" s="349" t="s">
        <v>2506</v>
      </c>
      <c r="D144" s="349" t="s">
        <v>54</v>
      </c>
      <c r="E144" s="349" t="s">
        <v>2442</v>
      </c>
      <c r="F144" s="559">
        <v>46912.0</v>
      </c>
      <c r="G144" s="413">
        <v>52590.0</v>
      </c>
      <c r="H144" s="349" t="s">
        <v>710</v>
      </c>
      <c r="I144" s="404" t="str">
        <f t="shared" si="9"/>
        <v>FULLY PAID</v>
      </c>
      <c r="J144" s="402"/>
      <c r="K144" s="402"/>
      <c r="L144" s="402"/>
      <c r="M144" s="402"/>
      <c r="N144" s="402"/>
      <c r="O144" s="402"/>
      <c r="P144" s="402"/>
      <c r="Q144" s="402"/>
      <c r="R144" s="402"/>
      <c r="S144" s="402"/>
      <c r="T144" s="402"/>
      <c r="U144" s="402"/>
      <c r="V144" s="402"/>
      <c r="W144" s="402"/>
      <c r="X144" s="402"/>
      <c r="Y144" s="402"/>
      <c r="Z144" s="402"/>
      <c r="AA144" s="405"/>
      <c r="AB144" s="405"/>
      <c r="AC144" s="405"/>
      <c r="AD144" s="405"/>
      <c r="AE144" s="405"/>
      <c r="AF144" s="405"/>
      <c r="AG144" s="405"/>
    </row>
    <row r="145" ht="14.25" customHeight="1">
      <c r="A145" s="406">
        <v>45503.0</v>
      </c>
      <c r="B145" s="349" t="s">
        <v>2581</v>
      </c>
      <c r="C145" s="349" t="s">
        <v>2582</v>
      </c>
      <c r="D145" s="349" t="s">
        <v>54</v>
      </c>
      <c r="E145" s="349" t="s">
        <v>2442</v>
      </c>
      <c r="F145" s="413">
        <v>46750.0</v>
      </c>
      <c r="G145" s="413">
        <v>30000.0</v>
      </c>
      <c r="H145" s="349" t="s">
        <v>1039</v>
      </c>
      <c r="I145" s="404" t="str">
        <f t="shared" si="9"/>
        <v>PARTIALLY PAID</v>
      </c>
      <c r="J145" s="402"/>
      <c r="K145" s="402"/>
      <c r="L145" s="402"/>
      <c r="M145" s="402"/>
      <c r="N145" s="402"/>
      <c r="O145" s="402"/>
      <c r="P145" s="402"/>
      <c r="Q145" s="402"/>
      <c r="R145" s="402"/>
      <c r="S145" s="402"/>
      <c r="T145" s="402"/>
      <c r="U145" s="402"/>
      <c r="V145" s="402"/>
      <c r="W145" s="402"/>
      <c r="X145" s="402"/>
      <c r="Y145" s="402"/>
      <c r="Z145" s="402"/>
      <c r="AA145" s="405"/>
      <c r="AB145" s="405"/>
      <c r="AC145" s="405"/>
      <c r="AD145" s="405"/>
      <c r="AE145" s="405"/>
      <c r="AF145" s="405"/>
      <c r="AG145" s="405"/>
    </row>
    <row r="146" ht="14.25" customHeight="1">
      <c r="A146" s="406">
        <v>45503.0</v>
      </c>
      <c r="B146" s="349" t="s">
        <v>2579</v>
      </c>
      <c r="C146" s="349" t="s">
        <v>2580</v>
      </c>
      <c r="D146" s="349" t="s">
        <v>54</v>
      </c>
      <c r="E146" s="349" t="s">
        <v>2442</v>
      </c>
      <c r="F146" s="413">
        <v>28445.0</v>
      </c>
      <c r="G146" s="403"/>
      <c r="H146" s="402"/>
      <c r="I146" s="404" t="str">
        <f t="shared" si="9"/>
        <v>NOT PAID</v>
      </c>
      <c r="J146" s="402"/>
      <c r="K146" s="402"/>
      <c r="L146" s="402"/>
      <c r="M146" s="402"/>
      <c r="N146" s="402"/>
      <c r="O146" s="402"/>
      <c r="P146" s="402"/>
      <c r="Q146" s="402"/>
      <c r="R146" s="402"/>
      <c r="S146" s="402"/>
      <c r="T146" s="402"/>
      <c r="U146" s="402"/>
      <c r="V146" s="402"/>
      <c r="W146" s="402"/>
      <c r="X146" s="402"/>
      <c r="Y146" s="402"/>
      <c r="Z146" s="402"/>
      <c r="AA146" s="405"/>
      <c r="AB146" s="405"/>
      <c r="AC146" s="405"/>
      <c r="AD146" s="405"/>
      <c r="AE146" s="405"/>
      <c r="AF146" s="405"/>
      <c r="AG146" s="405"/>
    </row>
    <row r="147" ht="14.25" customHeight="1">
      <c r="A147" s="406">
        <v>45503.0</v>
      </c>
      <c r="B147" s="349" t="s">
        <v>2590</v>
      </c>
      <c r="C147" s="349" t="s">
        <v>2591</v>
      </c>
      <c r="D147" s="349" t="s">
        <v>54</v>
      </c>
      <c r="E147" s="349" t="s">
        <v>2442</v>
      </c>
      <c r="F147" s="559">
        <v>23904.0</v>
      </c>
      <c r="G147" s="413">
        <v>13000.0</v>
      </c>
      <c r="H147" s="349" t="s">
        <v>2592</v>
      </c>
      <c r="I147" s="404" t="str">
        <f t="shared" si="9"/>
        <v>PARTIALLY PAID</v>
      </c>
      <c r="J147" s="406"/>
      <c r="K147" s="349"/>
      <c r="L147" s="413"/>
      <c r="M147" s="349"/>
      <c r="N147" s="413"/>
      <c r="O147" s="402"/>
      <c r="P147" s="402"/>
      <c r="Q147" s="402"/>
      <c r="R147" s="402"/>
      <c r="S147" s="402"/>
      <c r="T147" s="402"/>
      <c r="U147" s="402"/>
      <c r="V147" s="402"/>
      <c r="W147" s="402"/>
      <c r="X147" s="402"/>
      <c r="Y147" s="402"/>
      <c r="Z147" s="402"/>
      <c r="AA147" s="405"/>
      <c r="AB147" s="405"/>
      <c r="AC147" s="405"/>
      <c r="AD147" s="405"/>
      <c r="AE147" s="405"/>
      <c r="AF147" s="405"/>
      <c r="AG147" s="405"/>
    </row>
    <row r="148" ht="14.25" customHeight="1">
      <c r="A148" s="406">
        <v>45503.0</v>
      </c>
      <c r="B148" s="349" t="s">
        <v>2510</v>
      </c>
      <c r="C148" s="349" t="s">
        <v>2593</v>
      </c>
      <c r="D148" s="349" t="s">
        <v>54</v>
      </c>
      <c r="E148" s="349" t="s">
        <v>2442</v>
      </c>
      <c r="F148" s="559">
        <v>26522.0</v>
      </c>
      <c r="G148" s="413"/>
      <c r="H148" s="349" t="s">
        <v>2594</v>
      </c>
      <c r="I148" s="404" t="str">
        <f t="shared" si="9"/>
        <v>NOT PAID</v>
      </c>
      <c r="J148" s="406"/>
      <c r="K148" s="349"/>
      <c r="L148" s="413"/>
      <c r="M148" s="349"/>
      <c r="N148" s="413"/>
      <c r="O148" s="402"/>
      <c r="P148" s="402"/>
      <c r="Q148" s="402"/>
      <c r="R148" s="402"/>
      <c r="S148" s="402"/>
      <c r="T148" s="402"/>
      <c r="U148" s="402"/>
      <c r="V148" s="402"/>
      <c r="W148" s="402"/>
      <c r="X148" s="402"/>
      <c r="Y148" s="402"/>
      <c r="Z148" s="402"/>
      <c r="AA148" s="405"/>
      <c r="AB148" s="405"/>
      <c r="AC148" s="405"/>
      <c r="AD148" s="405"/>
      <c r="AE148" s="405"/>
      <c r="AF148" s="405"/>
      <c r="AG148" s="405"/>
    </row>
    <row r="149" ht="14.25" customHeight="1">
      <c r="A149" s="406">
        <v>45503.0</v>
      </c>
      <c r="B149" s="349" t="s">
        <v>2595</v>
      </c>
      <c r="C149" s="349" t="s">
        <v>2596</v>
      </c>
      <c r="D149" s="349" t="s">
        <v>54</v>
      </c>
      <c r="E149" s="349" t="s">
        <v>2442</v>
      </c>
      <c r="F149" s="559">
        <v>83017.0</v>
      </c>
      <c r="G149" s="559">
        <v>83017.0</v>
      </c>
      <c r="H149" s="349" t="s">
        <v>2597</v>
      </c>
      <c r="I149" s="404" t="str">
        <f t="shared" si="9"/>
        <v>FULLY PAID</v>
      </c>
      <c r="J149" s="406"/>
      <c r="K149" s="349"/>
      <c r="L149" s="413"/>
      <c r="M149" s="349"/>
      <c r="N149" s="413"/>
      <c r="O149" s="402"/>
      <c r="P149" s="402"/>
      <c r="Q149" s="402"/>
      <c r="R149" s="402"/>
      <c r="S149" s="402"/>
      <c r="T149" s="402"/>
      <c r="U149" s="402"/>
      <c r="V149" s="402"/>
      <c r="W149" s="402"/>
      <c r="X149" s="402"/>
      <c r="Y149" s="402"/>
      <c r="Z149" s="402"/>
      <c r="AA149" s="405"/>
      <c r="AB149" s="405"/>
      <c r="AC149" s="405"/>
      <c r="AD149" s="405"/>
      <c r="AE149" s="405"/>
      <c r="AF149" s="405"/>
      <c r="AG149" s="405"/>
    </row>
    <row r="150" ht="14.25" customHeight="1">
      <c r="A150" s="406">
        <v>45503.0</v>
      </c>
      <c r="B150" s="349" t="s">
        <v>2598</v>
      </c>
      <c r="C150" s="349" t="s">
        <v>2599</v>
      </c>
      <c r="D150" s="349" t="s">
        <v>54</v>
      </c>
      <c r="E150" s="349" t="s">
        <v>2442</v>
      </c>
      <c r="F150" s="559">
        <v>178916.0</v>
      </c>
      <c r="G150" s="559">
        <v>178916.0</v>
      </c>
      <c r="H150" s="349" t="s">
        <v>2597</v>
      </c>
      <c r="I150" s="404" t="str">
        <f t="shared" si="9"/>
        <v>FULLY PAID</v>
      </c>
      <c r="J150" s="406"/>
      <c r="K150" s="349"/>
      <c r="L150" s="413"/>
      <c r="M150" s="349"/>
      <c r="N150" s="413"/>
      <c r="O150" s="402"/>
      <c r="P150" s="402"/>
      <c r="Q150" s="402"/>
      <c r="R150" s="402"/>
      <c r="S150" s="402"/>
      <c r="T150" s="402"/>
      <c r="U150" s="402"/>
      <c r="V150" s="402"/>
      <c r="W150" s="402"/>
      <c r="X150" s="402"/>
      <c r="Y150" s="402"/>
      <c r="Z150" s="402"/>
      <c r="AA150" s="405"/>
      <c r="AB150" s="405"/>
      <c r="AC150" s="405"/>
      <c r="AD150" s="405"/>
      <c r="AE150" s="405"/>
      <c r="AF150" s="405"/>
      <c r="AG150" s="405"/>
    </row>
    <row r="151" ht="14.25" customHeight="1">
      <c r="A151" s="406">
        <v>45503.0</v>
      </c>
      <c r="B151" s="349" t="s">
        <v>2463</v>
      </c>
      <c r="C151" s="349" t="s">
        <v>2600</v>
      </c>
      <c r="D151" s="349" t="s">
        <v>54</v>
      </c>
      <c r="E151" s="349" t="s">
        <v>54</v>
      </c>
      <c r="F151" s="559">
        <v>192425.0</v>
      </c>
      <c r="G151" s="413"/>
      <c r="H151" s="349" t="s">
        <v>2507</v>
      </c>
      <c r="I151" s="404" t="str">
        <f t="shared" si="9"/>
        <v>NOT PAID</v>
      </c>
      <c r="J151" s="406"/>
      <c r="K151" s="349"/>
      <c r="L151" s="413"/>
      <c r="M151" s="349"/>
      <c r="N151" s="413"/>
      <c r="O151" s="402"/>
      <c r="P151" s="402"/>
      <c r="Q151" s="402"/>
      <c r="R151" s="402"/>
      <c r="S151" s="402"/>
      <c r="T151" s="402"/>
      <c r="U151" s="402"/>
      <c r="V151" s="402"/>
      <c r="W151" s="402"/>
      <c r="X151" s="402"/>
      <c r="Y151" s="402"/>
      <c r="Z151" s="402"/>
      <c r="AA151" s="405"/>
      <c r="AB151" s="405"/>
      <c r="AC151" s="405"/>
      <c r="AD151" s="405"/>
      <c r="AE151" s="405"/>
      <c r="AF151" s="405"/>
      <c r="AG151" s="405"/>
    </row>
    <row r="152" ht="14.25" customHeight="1">
      <c r="A152" s="402"/>
      <c r="B152" s="402"/>
      <c r="C152" s="402"/>
      <c r="D152" s="402"/>
      <c r="E152" s="402"/>
      <c r="F152" s="664"/>
      <c r="G152" s="403"/>
      <c r="H152" s="402"/>
      <c r="I152" s="404" t="str">
        <f t="shared" si="9"/>
        <v>FULLY PAID</v>
      </c>
      <c r="J152" s="402"/>
      <c r="K152" s="402"/>
      <c r="L152" s="402"/>
      <c r="M152" s="402"/>
      <c r="N152" s="402"/>
      <c r="O152" s="402"/>
      <c r="P152" s="402"/>
      <c r="Q152" s="402"/>
      <c r="R152" s="402"/>
      <c r="S152" s="402"/>
      <c r="T152" s="402"/>
      <c r="U152" s="402"/>
      <c r="V152" s="402"/>
      <c r="W152" s="402"/>
      <c r="X152" s="402"/>
      <c r="Y152" s="402"/>
      <c r="Z152" s="402"/>
      <c r="AA152" s="405"/>
      <c r="AB152" s="405"/>
      <c r="AC152" s="405"/>
      <c r="AD152" s="405"/>
      <c r="AE152" s="405"/>
      <c r="AF152" s="405"/>
      <c r="AG152" s="405"/>
    </row>
    <row r="153" ht="14.25" customHeight="1">
      <c r="A153" s="402"/>
      <c r="B153" s="402"/>
      <c r="C153" s="349" t="s">
        <v>224</v>
      </c>
      <c r="D153" s="402"/>
      <c r="E153" s="402"/>
      <c r="F153" s="664"/>
      <c r="G153" s="403"/>
      <c r="H153" s="402"/>
      <c r="I153" s="404" t="str">
        <f t="shared" si="9"/>
        <v>FULLY PAID</v>
      </c>
      <c r="J153" s="402"/>
      <c r="K153" s="402"/>
      <c r="L153" s="402"/>
      <c r="M153" s="402"/>
      <c r="N153" s="402"/>
      <c r="O153" s="402"/>
      <c r="P153" s="402"/>
      <c r="Q153" s="402"/>
      <c r="R153" s="402"/>
      <c r="S153" s="402"/>
      <c r="T153" s="402"/>
      <c r="U153" s="402"/>
      <c r="V153" s="402"/>
      <c r="W153" s="402"/>
      <c r="X153" s="402"/>
      <c r="Y153" s="402"/>
      <c r="Z153" s="402"/>
      <c r="AA153" s="405"/>
      <c r="AB153" s="405"/>
      <c r="AC153" s="405"/>
      <c r="AD153" s="405"/>
      <c r="AE153" s="405"/>
      <c r="AF153" s="405"/>
      <c r="AG153" s="405"/>
    </row>
    <row r="154" ht="14.25" customHeight="1">
      <c r="A154" s="406">
        <v>45503.0</v>
      </c>
      <c r="B154" s="349" t="s">
        <v>2471</v>
      </c>
      <c r="C154" s="349" t="s">
        <v>2472</v>
      </c>
      <c r="D154" s="349" t="s">
        <v>54</v>
      </c>
      <c r="E154" s="349" t="s">
        <v>2469</v>
      </c>
      <c r="F154" s="662">
        <v>512638.0</v>
      </c>
      <c r="G154" s="403"/>
      <c r="H154" s="349" t="s">
        <v>2473</v>
      </c>
      <c r="I154" s="404" t="str">
        <f t="shared" si="9"/>
        <v>NOT PAID</v>
      </c>
      <c r="J154" s="402"/>
      <c r="K154" s="402"/>
      <c r="L154" s="402"/>
      <c r="M154" s="402"/>
      <c r="N154" s="402"/>
      <c r="O154" s="402"/>
      <c r="P154" s="402"/>
      <c r="Q154" s="402"/>
      <c r="R154" s="402"/>
      <c r="S154" s="402"/>
      <c r="T154" s="402"/>
      <c r="U154" s="402"/>
      <c r="V154" s="402"/>
      <c r="W154" s="402"/>
      <c r="X154" s="402"/>
      <c r="Y154" s="402"/>
      <c r="Z154" s="402"/>
      <c r="AA154" s="405"/>
      <c r="AB154" s="405"/>
      <c r="AC154" s="405"/>
      <c r="AD154" s="405"/>
      <c r="AE154" s="405"/>
      <c r="AF154" s="405"/>
      <c r="AG154" s="405"/>
    </row>
    <row r="155" ht="14.25" customHeight="1">
      <c r="A155" s="406">
        <v>45503.0</v>
      </c>
      <c r="B155" s="471" t="s">
        <v>2468</v>
      </c>
      <c r="C155" s="471" t="s">
        <v>54</v>
      </c>
      <c r="D155" s="665" t="s">
        <v>2469</v>
      </c>
      <c r="E155" s="600">
        <v>43000.0</v>
      </c>
      <c r="F155" s="437">
        <v>172500.0</v>
      </c>
      <c r="G155" s="403"/>
      <c r="H155" s="349" t="s">
        <v>2473</v>
      </c>
      <c r="I155" s="404" t="str">
        <f t="shared" si="9"/>
        <v>NOT PAID</v>
      </c>
      <c r="J155" s="402"/>
      <c r="K155" s="402"/>
      <c r="L155" s="402"/>
      <c r="M155" s="402"/>
      <c r="N155" s="402"/>
      <c r="O155" s="402"/>
      <c r="P155" s="402"/>
      <c r="Q155" s="402"/>
      <c r="R155" s="402"/>
      <c r="S155" s="402"/>
      <c r="T155" s="402"/>
      <c r="U155" s="402"/>
      <c r="V155" s="402"/>
      <c r="W155" s="402"/>
      <c r="X155" s="402"/>
      <c r="Y155" s="402"/>
      <c r="Z155" s="402"/>
      <c r="AA155" s="405"/>
      <c r="AB155" s="405"/>
      <c r="AC155" s="405"/>
      <c r="AD155" s="405"/>
      <c r="AE155" s="405"/>
      <c r="AF155" s="405"/>
      <c r="AG155" s="405"/>
    </row>
    <row r="156" ht="14.25" customHeight="1">
      <c r="A156" s="406">
        <v>45503.0</v>
      </c>
      <c r="B156" s="395" t="s">
        <v>2472</v>
      </c>
      <c r="C156" s="395" t="s">
        <v>54</v>
      </c>
      <c r="D156" s="665" t="s">
        <v>2469</v>
      </c>
      <c r="E156" s="666">
        <v>512638.0</v>
      </c>
      <c r="F156" s="600">
        <v>43000.0</v>
      </c>
      <c r="G156" s="403"/>
      <c r="H156" s="349" t="s">
        <v>2473</v>
      </c>
      <c r="I156" s="404" t="str">
        <f t="shared" si="9"/>
        <v>NOT PAID</v>
      </c>
      <c r="J156" s="402"/>
      <c r="K156" s="402"/>
      <c r="L156" s="402"/>
      <c r="M156" s="402"/>
      <c r="N156" s="402"/>
      <c r="O156" s="402"/>
      <c r="P156" s="402"/>
      <c r="Q156" s="402"/>
      <c r="R156" s="402"/>
      <c r="S156" s="402"/>
      <c r="T156" s="402"/>
      <c r="U156" s="402"/>
      <c r="V156" s="402"/>
      <c r="W156" s="402"/>
      <c r="X156" s="402"/>
      <c r="Y156" s="402"/>
      <c r="Z156" s="402"/>
      <c r="AA156" s="405"/>
      <c r="AB156" s="405"/>
      <c r="AC156" s="405"/>
      <c r="AD156" s="405"/>
      <c r="AE156" s="405"/>
      <c r="AF156" s="405"/>
      <c r="AG156" s="405"/>
    </row>
    <row r="157" ht="14.25" customHeight="1">
      <c r="A157" s="406">
        <v>45503.0</v>
      </c>
      <c r="B157" s="395" t="s">
        <v>2475</v>
      </c>
      <c r="C157" s="395" t="s">
        <v>54</v>
      </c>
      <c r="D157" s="665" t="s">
        <v>114</v>
      </c>
      <c r="E157" s="666">
        <v>15000.0</v>
      </c>
      <c r="F157" s="666">
        <v>512638.0</v>
      </c>
      <c r="G157" s="403"/>
      <c r="H157" s="349" t="s">
        <v>2473</v>
      </c>
      <c r="I157" s="404" t="str">
        <f t="shared" si="9"/>
        <v>NOT PAID</v>
      </c>
      <c r="J157" s="402"/>
      <c r="K157" s="402"/>
      <c r="L157" s="402"/>
      <c r="M157" s="402"/>
      <c r="N157" s="402"/>
      <c r="O157" s="402"/>
      <c r="P157" s="402"/>
      <c r="Q157" s="402"/>
      <c r="R157" s="402"/>
      <c r="S157" s="402"/>
      <c r="T157" s="402"/>
      <c r="U157" s="402"/>
      <c r="V157" s="402"/>
      <c r="W157" s="402"/>
      <c r="X157" s="402"/>
      <c r="Y157" s="402"/>
      <c r="Z157" s="402"/>
      <c r="AA157" s="405"/>
      <c r="AB157" s="405"/>
      <c r="AC157" s="405"/>
      <c r="AD157" s="405"/>
      <c r="AE157" s="405"/>
      <c r="AF157" s="405"/>
      <c r="AG157" s="405"/>
    </row>
    <row r="158" ht="14.25" customHeight="1">
      <c r="A158" s="406">
        <v>45503.0</v>
      </c>
      <c r="B158" s="456" t="s">
        <v>2474</v>
      </c>
      <c r="C158" s="395" t="s">
        <v>2475</v>
      </c>
      <c r="D158" s="395" t="s">
        <v>54</v>
      </c>
      <c r="E158" s="665" t="s">
        <v>114</v>
      </c>
      <c r="F158" s="666">
        <v>15000.0</v>
      </c>
      <c r="G158" s="403"/>
      <c r="H158" s="349" t="s">
        <v>2601</v>
      </c>
      <c r="I158" s="404" t="str">
        <f t="shared" si="9"/>
        <v>NOT PAID</v>
      </c>
      <c r="J158" s="402"/>
      <c r="K158" s="402"/>
      <c r="L158" s="402"/>
      <c r="M158" s="402"/>
      <c r="N158" s="402"/>
      <c r="O158" s="402"/>
      <c r="P158" s="402"/>
      <c r="Q158" s="402"/>
      <c r="R158" s="402"/>
      <c r="S158" s="402"/>
      <c r="T158" s="402"/>
      <c r="U158" s="402"/>
      <c r="V158" s="402"/>
      <c r="W158" s="402"/>
      <c r="X158" s="402"/>
      <c r="Y158" s="402"/>
      <c r="Z158" s="402"/>
      <c r="AA158" s="405"/>
      <c r="AB158" s="405"/>
      <c r="AC158" s="405"/>
      <c r="AD158" s="405"/>
      <c r="AE158" s="405"/>
      <c r="AF158" s="405"/>
      <c r="AG158" s="405"/>
    </row>
    <row r="159" ht="14.25" customHeight="1">
      <c r="A159" s="402"/>
      <c r="B159" s="402"/>
      <c r="C159" s="402"/>
      <c r="D159" s="402"/>
      <c r="E159" s="402"/>
      <c r="F159" s="664"/>
      <c r="G159" s="403"/>
      <c r="H159" s="402"/>
      <c r="I159" s="404" t="str">
        <f t="shared" si="9"/>
        <v>FULLY PAID</v>
      </c>
      <c r="J159" s="402"/>
      <c r="K159" s="402"/>
      <c r="L159" s="402"/>
      <c r="M159" s="402"/>
      <c r="N159" s="402"/>
      <c r="O159" s="402"/>
      <c r="P159" s="402"/>
      <c r="Q159" s="402"/>
      <c r="R159" s="402"/>
      <c r="S159" s="402"/>
      <c r="T159" s="402"/>
      <c r="U159" s="402"/>
      <c r="V159" s="402"/>
      <c r="W159" s="402"/>
      <c r="X159" s="402"/>
      <c r="Y159" s="402"/>
      <c r="Z159" s="402"/>
      <c r="AA159" s="405"/>
      <c r="AB159" s="405"/>
      <c r="AC159" s="405"/>
      <c r="AD159" s="405"/>
      <c r="AE159" s="405"/>
      <c r="AF159" s="405"/>
      <c r="AG159" s="405"/>
    </row>
    <row r="160" ht="14.25" customHeight="1">
      <c r="A160" s="402"/>
      <c r="B160" s="402"/>
      <c r="C160" s="402"/>
      <c r="D160" s="402"/>
      <c r="E160" s="402"/>
      <c r="F160" s="664"/>
      <c r="G160" s="403"/>
      <c r="H160" s="402"/>
      <c r="I160" s="404" t="str">
        <f t="shared" si="9"/>
        <v>FULLY PAID</v>
      </c>
      <c r="J160" s="402"/>
      <c r="K160" s="402"/>
      <c r="L160" s="402"/>
      <c r="M160" s="402"/>
      <c r="N160" s="402"/>
      <c r="O160" s="402"/>
      <c r="P160" s="402"/>
      <c r="Q160" s="402"/>
      <c r="R160" s="402"/>
      <c r="S160" s="402"/>
      <c r="T160" s="402"/>
      <c r="U160" s="402"/>
      <c r="V160" s="402"/>
      <c r="W160" s="402"/>
      <c r="X160" s="402"/>
      <c r="Y160" s="402"/>
      <c r="Z160" s="402"/>
      <c r="AA160" s="405"/>
      <c r="AB160" s="405"/>
      <c r="AC160" s="405"/>
      <c r="AD160" s="405"/>
      <c r="AE160" s="405"/>
      <c r="AF160" s="405"/>
      <c r="AG160" s="405"/>
    </row>
    <row r="161" ht="14.25" customHeight="1">
      <c r="A161" s="402"/>
      <c r="B161" s="402"/>
      <c r="C161" s="402"/>
      <c r="D161" s="402"/>
      <c r="E161" s="402"/>
      <c r="F161" s="664"/>
      <c r="G161" s="403"/>
      <c r="H161" s="402"/>
      <c r="I161" s="404" t="str">
        <f t="shared" si="9"/>
        <v>FULLY PAID</v>
      </c>
      <c r="J161" s="402"/>
      <c r="K161" s="402"/>
      <c r="L161" s="402"/>
      <c r="M161" s="402"/>
      <c r="N161" s="402"/>
      <c r="O161" s="402"/>
      <c r="P161" s="402"/>
      <c r="Q161" s="402"/>
      <c r="R161" s="402"/>
      <c r="S161" s="402"/>
      <c r="T161" s="402"/>
      <c r="U161" s="402"/>
      <c r="V161" s="402"/>
      <c r="W161" s="402"/>
      <c r="X161" s="402"/>
      <c r="Y161" s="402"/>
      <c r="Z161" s="402"/>
      <c r="AA161" s="405"/>
      <c r="AB161" s="405"/>
      <c r="AC161" s="405"/>
      <c r="AD161" s="405"/>
      <c r="AE161" s="405"/>
      <c r="AF161" s="405"/>
      <c r="AG161" s="405"/>
    </row>
    <row r="162" ht="14.25" customHeight="1">
      <c r="A162" s="584" t="s">
        <v>2130</v>
      </c>
      <c r="B162" s="584" t="s">
        <v>39</v>
      </c>
      <c r="C162" s="584" t="s">
        <v>48</v>
      </c>
      <c r="D162" s="584" t="s">
        <v>49</v>
      </c>
      <c r="E162" s="584" t="s">
        <v>50</v>
      </c>
      <c r="F162" s="658" t="s">
        <v>2</v>
      </c>
      <c r="G162" s="586" t="s">
        <v>44</v>
      </c>
      <c r="H162" s="584" t="s">
        <v>45</v>
      </c>
      <c r="I162" s="675" t="str">
        <f t="shared" si="9"/>
        <v>FULLY PAID</v>
      </c>
      <c r="J162" s="584"/>
      <c r="K162" s="584"/>
      <c r="L162" s="584"/>
      <c r="M162" s="584"/>
      <c r="N162" s="584"/>
      <c r="O162" s="584"/>
      <c r="P162" s="584"/>
      <c r="Q162" s="584"/>
      <c r="R162" s="584"/>
      <c r="S162" s="584"/>
      <c r="T162" s="584"/>
      <c r="U162" s="584"/>
      <c r="V162" s="584"/>
      <c r="W162" s="584"/>
      <c r="X162" s="584"/>
      <c r="Y162" s="584"/>
      <c r="Z162" s="584"/>
      <c r="AA162" s="659"/>
      <c r="AB162" s="659"/>
      <c r="AC162" s="659"/>
      <c r="AD162" s="659"/>
      <c r="AE162" s="659"/>
      <c r="AF162" s="659"/>
      <c r="AG162" s="659"/>
    </row>
    <row r="163" ht="14.25" customHeight="1">
      <c r="A163" s="406">
        <v>45504.0</v>
      </c>
      <c r="B163" s="349" t="s">
        <v>2590</v>
      </c>
      <c r="C163" s="484" t="s">
        <v>2591</v>
      </c>
      <c r="D163" s="349" t="s">
        <v>54</v>
      </c>
      <c r="E163" s="349" t="s">
        <v>2442</v>
      </c>
      <c r="F163" s="662">
        <v>10000.0</v>
      </c>
      <c r="G163" s="403"/>
      <c r="H163" s="402"/>
      <c r="I163" s="404" t="str">
        <f t="shared" si="9"/>
        <v>NOT PAID</v>
      </c>
      <c r="J163" s="402"/>
      <c r="K163" s="402"/>
      <c r="L163" s="402"/>
      <c r="M163" s="402"/>
      <c r="N163" s="402"/>
      <c r="O163" s="402"/>
      <c r="P163" s="402"/>
      <c r="Q163" s="402"/>
      <c r="R163" s="402"/>
      <c r="S163" s="402"/>
      <c r="T163" s="402"/>
      <c r="U163" s="402"/>
      <c r="V163" s="402"/>
      <c r="W163" s="402"/>
      <c r="X163" s="402"/>
      <c r="Y163" s="402"/>
      <c r="Z163" s="402"/>
      <c r="AA163" s="405"/>
      <c r="AB163" s="405"/>
      <c r="AC163" s="405"/>
      <c r="AD163" s="405"/>
      <c r="AE163" s="405"/>
      <c r="AF163" s="405"/>
      <c r="AG163" s="405"/>
    </row>
    <row r="164" ht="14.25" customHeight="1">
      <c r="A164" s="406">
        <v>45504.0</v>
      </c>
      <c r="B164" s="349" t="s">
        <v>2510</v>
      </c>
      <c r="C164" s="484" t="s">
        <v>2593</v>
      </c>
      <c r="D164" s="349" t="s">
        <v>54</v>
      </c>
      <c r="E164" s="349" t="s">
        <v>2442</v>
      </c>
      <c r="F164" s="662">
        <v>5000.0</v>
      </c>
      <c r="G164" s="403"/>
      <c r="H164" s="349" t="s">
        <v>2602</v>
      </c>
      <c r="I164" s="404" t="str">
        <f t="shared" si="9"/>
        <v>NOT PAID</v>
      </c>
      <c r="J164" s="402"/>
      <c r="K164" s="402"/>
      <c r="L164" s="402"/>
      <c r="M164" s="402"/>
      <c r="N164" s="402"/>
      <c r="O164" s="402"/>
      <c r="P164" s="402"/>
      <c r="Q164" s="402"/>
      <c r="R164" s="402"/>
      <c r="S164" s="402"/>
      <c r="T164" s="402"/>
      <c r="U164" s="402"/>
      <c r="V164" s="402"/>
      <c r="W164" s="402"/>
      <c r="X164" s="402"/>
      <c r="Y164" s="402"/>
      <c r="Z164" s="402"/>
      <c r="AA164" s="405"/>
      <c r="AB164" s="405"/>
      <c r="AC164" s="405"/>
      <c r="AD164" s="405"/>
      <c r="AE164" s="405"/>
      <c r="AF164" s="405"/>
      <c r="AG164" s="405"/>
    </row>
    <row r="165" ht="14.25" customHeight="1">
      <c r="A165" s="406">
        <v>45504.0</v>
      </c>
      <c r="B165" s="349" t="s">
        <v>2463</v>
      </c>
      <c r="C165" s="484" t="s">
        <v>2600</v>
      </c>
      <c r="D165" s="349" t="s">
        <v>54</v>
      </c>
      <c r="E165" s="349" t="s">
        <v>2442</v>
      </c>
      <c r="F165" s="559">
        <v>192425.0</v>
      </c>
      <c r="G165" s="403"/>
      <c r="H165" s="349" t="s">
        <v>2603</v>
      </c>
      <c r="I165" s="404" t="str">
        <f t="shared" si="9"/>
        <v>NOT PAID</v>
      </c>
      <c r="J165" s="402"/>
      <c r="K165" s="402"/>
      <c r="L165" s="402"/>
      <c r="M165" s="402"/>
      <c r="N165" s="402"/>
      <c r="O165" s="402"/>
      <c r="P165" s="402"/>
      <c r="Q165" s="402"/>
      <c r="R165" s="402"/>
      <c r="S165" s="402"/>
      <c r="T165" s="402"/>
      <c r="U165" s="402"/>
      <c r="V165" s="402"/>
      <c r="W165" s="402"/>
      <c r="X165" s="402"/>
      <c r="Y165" s="402"/>
      <c r="Z165" s="402"/>
      <c r="AA165" s="405"/>
      <c r="AB165" s="405"/>
      <c r="AC165" s="405"/>
      <c r="AD165" s="405"/>
      <c r="AE165" s="405"/>
      <c r="AF165" s="405"/>
      <c r="AG165" s="405"/>
    </row>
    <row r="166" ht="14.25" customHeight="1">
      <c r="A166" s="406">
        <v>45504.0</v>
      </c>
      <c r="B166" s="349" t="s">
        <v>2563</v>
      </c>
      <c r="C166" s="349" t="s">
        <v>2564</v>
      </c>
      <c r="D166" s="349" t="s">
        <v>54</v>
      </c>
      <c r="E166" s="349" t="s">
        <v>2442</v>
      </c>
      <c r="F166" s="413">
        <v>14507.0</v>
      </c>
      <c r="G166" s="403"/>
      <c r="H166" s="402"/>
      <c r="I166" s="404" t="str">
        <f t="shared" si="9"/>
        <v>NOT PAID</v>
      </c>
      <c r="J166" s="402"/>
      <c r="K166" s="402"/>
      <c r="L166" s="402"/>
      <c r="M166" s="402"/>
      <c r="N166" s="402"/>
      <c r="O166" s="402"/>
      <c r="P166" s="402"/>
      <c r="Q166" s="402"/>
      <c r="R166" s="402"/>
      <c r="S166" s="402"/>
      <c r="T166" s="402"/>
      <c r="U166" s="402"/>
      <c r="V166" s="402"/>
      <c r="W166" s="402"/>
      <c r="X166" s="402"/>
      <c r="Y166" s="402"/>
      <c r="Z166" s="402"/>
      <c r="AA166" s="405"/>
      <c r="AB166" s="405"/>
      <c r="AC166" s="405"/>
      <c r="AD166" s="405"/>
      <c r="AE166" s="405"/>
      <c r="AF166" s="405"/>
      <c r="AG166" s="405"/>
    </row>
    <row r="167" ht="14.25" customHeight="1">
      <c r="A167" s="406">
        <v>45504.0</v>
      </c>
      <c r="B167" s="349" t="s">
        <v>2565</v>
      </c>
      <c r="C167" s="349" t="s">
        <v>2566</v>
      </c>
      <c r="D167" s="349" t="s">
        <v>54</v>
      </c>
      <c r="E167" s="349" t="s">
        <v>2442</v>
      </c>
      <c r="F167" s="413">
        <v>131205.0</v>
      </c>
      <c r="G167" s="403"/>
      <c r="H167" s="443" t="s">
        <v>2604</v>
      </c>
      <c r="I167" s="404" t="str">
        <f t="shared" si="9"/>
        <v>NOT PAID</v>
      </c>
      <c r="J167" s="402"/>
      <c r="K167" s="402"/>
      <c r="L167" s="402"/>
      <c r="M167" s="402"/>
      <c r="N167" s="402"/>
      <c r="O167" s="402"/>
      <c r="P167" s="402"/>
      <c r="Q167" s="402"/>
      <c r="R167" s="402"/>
      <c r="S167" s="402"/>
      <c r="T167" s="402"/>
      <c r="U167" s="402"/>
      <c r="V167" s="402"/>
      <c r="W167" s="402"/>
      <c r="X167" s="402"/>
      <c r="Y167" s="402"/>
      <c r="Z167" s="402"/>
      <c r="AA167" s="405"/>
      <c r="AB167" s="405"/>
      <c r="AC167" s="405"/>
      <c r="AD167" s="405"/>
      <c r="AE167" s="405"/>
      <c r="AF167" s="405"/>
      <c r="AG167" s="405"/>
    </row>
    <row r="168" ht="14.25" customHeight="1">
      <c r="A168" s="406">
        <v>45504.0</v>
      </c>
      <c r="B168" s="349" t="s">
        <v>2567</v>
      </c>
      <c r="C168" s="349" t="s">
        <v>2568</v>
      </c>
      <c r="D168" s="349" t="s">
        <v>54</v>
      </c>
      <c r="E168" s="349" t="s">
        <v>2442</v>
      </c>
      <c r="F168" s="662">
        <v>10000.0</v>
      </c>
      <c r="G168" s="403"/>
      <c r="H168" s="443" t="s">
        <v>2604</v>
      </c>
      <c r="I168" s="404" t="str">
        <f t="shared" si="9"/>
        <v>NOT PAID</v>
      </c>
      <c r="J168" s="402"/>
      <c r="K168" s="402"/>
      <c r="L168" s="402"/>
      <c r="M168" s="402"/>
      <c r="N168" s="402"/>
      <c r="O168" s="402"/>
      <c r="P168" s="402"/>
      <c r="Q168" s="402"/>
      <c r="R168" s="402"/>
      <c r="S168" s="402"/>
      <c r="T168" s="402"/>
      <c r="U168" s="402"/>
      <c r="V168" s="402"/>
      <c r="W168" s="402"/>
      <c r="X168" s="402"/>
      <c r="Y168" s="402"/>
      <c r="Z168" s="402"/>
      <c r="AA168" s="405"/>
      <c r="AB168" s="405"/>
      <c r="AC168" s="405"/>
      <c r="AD168" s="405"/>
      <c r="AE168" s="405"/>
      <c r="AF168" s="405"/>
      <c r="AG168" s="405"/>
    </row>
    <row r="169" ht="14.25" customHeight="1">
      <c r="A169" s="406">
        <v>45504.0</v>
      </c>
      <c r="B169" s="349" t="s">
        <v>2569</v>
      </c>
      <c r="C169" s="349" t="s">
        <v>2570</v>
      </c>
      <c r="D169" s="349" t="s">
        <v>54</v>
      </c>
      <c r="E169" s="349" t="s">
        <v>2442</v>
      </c>
      <c r="F169" s="413">
        <v>27888.0</v>
      </c>
      <c r="G169" s="403"/>
      <c r="H169" s="443" t="s">
        <v>2604</v>
      </c>
      <c r="I169" s="404" t="str">
        <f t="shared" si="9"/>
        <v>NOT PAID</v>
      </c>
      <c r="J169" s="402"/>
      <c r="K169" s="402"/>
      <c r="L169" s="402"/>
      <c r="M169" s="402"/>
      <c r="N169" s="402"/>
      <c r="O169" s="402"/>
      <c r="P169" s="402"/>
      <c r="Q169" s="402"/>
      <c r="R169" s="402"/>
      <c r="S169" s="402"/>
      <c r="T169" s="402"/>
      <c r="U169" s="402"/>
      <c r="V169" s="402"/>
      <c r="W169" s="402"/>
      <c r="X169" s="402"/>
      <c r="Y169" s="402"/>
      <c r="Z169" s="402"/>
      <c r="AA169" s="405"/>
      <c r="AB169" s="405"/>
      <c r="AC169" s="405"/>
      <c r="AD169" s="405"/>
      <c r="AE169" s="405"/>
      <c r="AF169" s="405"/>
      <c r="AG169" s="405"/>
    </row>
    <row r="170" ht="14.25" customHeight="1">
      <c r="A170" s="406">
        <v>45504.0</v>
      </c>
      <c r="B170" s="349" t="s">
        <v>2571</v>
      </c>
      <c r="C170" s="349" t="s">
        <v>2572</v>
      </c>
      <c r="D170" s="349" t="s">
        <v>54</v>
      </c>
      <c r="E170" s="349" t="s">
        <v>2442</v>
      </c>
      <c r="F170" s="662">
        <v>4000.0</v>
      </c>
      <c r="G170" s="403"/>
      <c r="H170" s="433" t="s">
        <v>2604</v>
      </c>
      <c r="I170" s="404" t="str">
        <f t="shared" si="9"/>
        <v>NOT PAID</v>
      </c>
      <c r="J170" s="402"/>
      <c r="K170" s="402"/>
      <c r="L170" s="402"/>
      <c r="M170" s="402"/>
      <c r="N170" s="402"/>
      <c r="O170" s="402"/>
      <c r="P170" s="402"/>
      <c r="Q170" s="402"/>
      <c r="R170" s="402"/>
      <c r="S170" s="402"/>
      <c r="T170" s="402"/>
      <c r="U170" s="402"/>
      <c r="V170" s="402"/>
      <c r="W170" s="402"/>
      <c r="X170" s="402"/>
      <c r="Y170" s="402"/>
      <c r="Z170" s="402"/>
      <c r="AA170" s="405"/>
      <c r="AB170" s="405"/>
      <c r="AC170" s="405"/>
      <c r="AD170" s="405"/>
      <c r="AE170" s="405"/>
      <c r="AF170" s="405"/>
      <c r="AG170" s="405"/>
    </row>
    <row r="171" ht="14.25" customHeight="1">
      <c r="A171" s="406">
        <v>45504.0</v>
      </c>
      <c r="B171" s="349" t="s">
        <v>2498</v>
      </c>
      <c r="C171" s="349" t="s">
        <v>2519</v>
      </c>
      <c r="D171" s="349" t="s">
        <v>54</v>
      </c>
      <c r="E171" s="349" t="s">
        <v>2442</v>
      </c>
      <c r="F171" s="662">
        <v>100000.0</v>
      </c>
      <c r="G171" s="403"/>
      <c r="H171" s="349" t="s">
        <v>2605</v>
      </c>
      <c r="I171" s="404" t="str">
        <f t="shared" si="9"/>
        <v>NOT PAID</v>
      </c>
      <c r="J171" s="402"/>
      <c r="K171" s="402"/>
      <c r="L171" s="402"/>
      <c r="M171" s="402"/>
      <c r="N171" s="402"/>
      <c r="O171" s="402"/>
      <c r="P171" s="402"/>
      <c r="Q171" s="402"/>
      <c r="R171" s="402"/>
      <c r="S171" s="402"/>
      <c r="T171" s="402"/>
      <c r="U171" s="402"/>
      <c r="V171" s="402"/>
      <c r="W171" s="402"/>
      <c r="X171" s="402"/>
      <c r="Y171" s="402"/>
      <c r="Z171" s="402"/>
      <c r="AA171" s="405"/>
      <c r="AB171" s="405"/>
      <c r="AC171" s="405"/>
      <c r="AD171" s="405"/>
      <c r="AE171" s="405"/>
      <c r="AF171" s="405"/>
      <c r="AG171" s="405"/>
    </row>
    <row r="172" ht="14.25" customHeight="1">
      <c r="A172" s="406">
        <v>45504.0</v>
      </c>
      <c r="B172" s="349" t="s">
        <v>2579</v>
      </c>
      <c r="C172" s="349" t="s">
        <v>2580</v>
      </c>
      <c r="D172" s="349" t="s">
        <v>54</v>
      </c>
      <c r="E172" s="349" t="s">
        <v>2442</v>
      </c>
      <c r="F172" s="559">
        <v>28445.0</v>
      </c>
      <c r="G172" s="403"/>
      <c r="H172" s="433" t="s">
        <v>2604</v>
      </c>
      <c r="I172" s="404" t="str">
        <f t="shared" si="9"/>
        <v>NOT PAID</v>
      </c>
      <c r="J172" s="402"/>
      <c r="K172" s="402"/>
      <c r="L172" s="402"/>
      <c r="M172" s="402"/>
      <c r="N172" s="402"/>
      <c r="O172" s="402"/>
      <c r="P172" s="402"/>
      <c r="Q172" s="402"/>
      <c r="R172" s="402"/>
      <c r="S172" s="402"/>
      <c r="T172" s="402"/>
      <c r="U172" s="402"/>
      <c r="V172" s="402"/>
      <c r="W172" s="402"/>
      <c r="X172" s="402"/>
      <c r="Y172" s="402"/>
      <c r="Z172" s="402"/>
      <c r="AA172" s="405"/>
      <c r="AB172" s="405"/>
      <c r="AC172" s="405"/>
      <c r="AD172" s="405"/>
      <c r="AE172" s="405"/>
      <c r="AF172" s="405"/>
      <c r="AG172" s="405"/>
    </row>
    <row r="173" ht="14.25" customHeight="1">
      <c r="A173" s="406">
        <v>45504.0</v>
      </c>
      <c r="B173" s="349" t="s">
        <v>2457</v>
      </c>
      <c r="C173" s="349" t="s">
        <v>2458</v>
      </c>
      <c r="D173" s="349" t="s">
        <v>54</v>
      </c>
      <c r="E173" s="349" t="s">
        <v>2442</v>
      </c>
      <c r="F173" s="559">
        <v>60000.0</v>
      </c>
      <c r="G173" s="403"/>
      <c r="H173" s="349" t="s">
        <v>2606</v>
      </c>
      <c r="I173" s="404" t="str">
        <f t="shared" si="9"/>
        <v>NOT PAID</v>
      </c>
      <c r="J173" s="402"/>
      <c r="K173" s="402"/>
      <c r="L173" s="402"/>
      <c r="M173" s="402"/>
      <c r="N173" s="402"/>
      <c r="O173" s="402"/>
      <c r="P173" s="402"/>
      <c r="Q173" s="402"/>
      <c r="R173" s="402"/>
      <c r="S173" s="402"/>
      <c r="T173" s="402"/>
      <c r="U173" s="402"/>
      <c r="V173" s="402"/>
      <c r="W173" s="402"/>
      <c r="X173" s="402"/>
      <c r="Y173" s="402"/>
      <c r="Z173" s="402"/>
      <c r="AA173" s="405"/>
      <c r="AB173" s="405"/>
      <c r="AC173" s="405"/>
      <c r="AD173" s="405"/>
      <c r="AE173" s="405"/>
      <c r="AF173" s="405"/>
      <c r="AG173" s="405"/>
    </row>
    <row r="174" ht="14.25" customHeight="1">
      <c r="A174" s="406">
        <v>45504.0</v>
      </c>
      <c r="B174" s="349" t="s">
        <v>2577</v>
      </c>
      <c r="C174" s="349" t="s">
        <v>2578</v>
      </c>
      <c r="D174" s="349" t="s">
        <v>54</v>
      </c>
      <c r="E174" s="349" t="s">
        <v>2442</v>
      </c>
      <c r="F174" s="413">
        <v>100000.0</v>
      </c>
      <c r="G174" s="403"/>
      <c r="H174" s="349" t="s">
        <v>2604</v>
      </c>
      <c r="I174" s="404" t="str">
        <f t="shared" si="9"/>
        <v>NOT PAID</v>
      </c>
      <c r="J174" s="402"/>
      <c r="K174" s="402"/>
      <c r="L174" s="402"/>
      <c r="M174" s="402"/>
      <c r="N174" s="402"/>
      <c r="O174" s="402"/>
      <c r="P174" s="402"/>
      <c r="Q174" s="402"/>
      <c r="R174" s="402"/>
      <c r="S174" s="402"/>
      <c r="T174" s="402"/>
      <c r="U174" s="402"/>
      <c r="V174" s="402"/>
      <c r="W174" s="402"/>
      <c r="X174" s="402"/>
      <c r="Y174" s="402"/>
      <c r="Z174" s="402"/>
      <c r="AA174" s="405"/>
      <c r="AB174" s="405"/>
      <c r="AC174" s="405"/>
      <c r="AD174" s="405"/>
      <c r="AE174" s="405"/>
      <c r="AF174" s="405"/>
      <c r="AG174" s="405"/>
    </row>
    <row r="175" ht="14.25" customHeight="1">
      <c r="A175" s="406">
        <v>45504.0</v>
      </c>
      <c r="B175" s="349" t="s">
        <v>2547</v>
      </c>
      <c r="C175" s="349" t="s">
        <v>2607</v>
      </c>
      <c r="D175" s="349" t="s">
        <v>54</v>
      </c>
      <c r="E175" s="349" t="s">
        <v>2442</v>
      </c>
      <c r="F175" s="662">
        <v>25000.0</v>
      </c>
      <c r="G175" s="413">
        <v>25000.0</v>
      </c>
      <c r="H175" s="349" t="s">
        <v>267</v>
      </c>
      <c r="I175" s="404" t="str">
        <f t="shared" si="9"/>
        <v>FULLY PAID</v>
      </c>
      <c r="J175" s="402"/>
      <c r="K175" s="402"/>
      <c r="L175" s="402"/>
      <c r="M175" s="402"/>
      <c r="N175" s="402"/>
      <c r="O175" s="402"/>
      <c r="P175" s="402"/>
      <c r="Q175" s="402"/>
      <c r="R175" s="402"/>
      <c r="S175" s="402"/>
      <c r="T175" s="402"/>
      <c r="U175" s="402"/>
      <c r="V175" s="402"/>
      <c r="W175" s="402"/>
      <c r="X175" s="402"/>
      <c r="Y175" s="402"/>
      <c r="Z175" s="402"/>
      <c r="AA175" s="405"/>
      <c r="AB175" s="405"/>
      <c r="AC175" s="405"/>
      <c r="AD175" s="405"/>
      <c r="AE175" s="405"/>
      <c r="AF175" s="405"/>
      <c r="AG175" s="405"/>
    </row>
    <row r="176" ht="14.25" customHeight="1">
      <c r="A176" s="406">
        <v>45504.0</v>
      </c>
      <c r="B176" s="349" t="s">
        <v>2474</v>
      </c>
      <c r="C176" s="349" t="s">
        <v>2608</v>
      </c>
      <c r="D176" s="349" t="s">
        <v>54</v>
      </c>
      <c r="E176" s="349" t="s">
        <v>2442</v>
      </c>
      <c r="F176" s="662">
        <v>7200.0</v>
      </c>
      <c r="G176" s="413">
        <v>7200.0</v>
      </c>
      <c r="H176" s="349" t="s">
        <v>267</v>
      </c>
      <c r="I176" s="404" t="str">
        <f t="shared" si="9"/>
        <v>FULLY PAID</v>
      </c>
      <c r="J176" s="402"/>
      <c r="K176" s="402"/>
      <c r="L176" s="402"/>
      <c r="M176" s="402"/>
      <c r="N176" s="402"/>
      <c r="O176" s="402"/>
      <c r="P176" s="402"/>
      <c r="Q176" s="402"/>
      <c r="R176" s="402"/>
      <c r="S176" s="402"/>
      <c r="T176" s="402"/>
      <c r="U176" s="402"/>
      <c r="V176" s="402"/>
      <c r="W176" s="402"/>
      <c r="X176" s="402"/>
      <c r="Y176" s="402"/>
      <c r="Z176" s="402"/>
      <c r="AA176" s="405"/>
      <c r="AB176" s="405"/>
      <c r="AC176" s="405"/>
      <c r="AD176" s="405"/>
      <c r="AE176" s="405"/>
      <c r="AF176" s="405"/>
      <c r="AG176" s="405"/>
    </row>
    <row r="177" ht="14.25" customHeight="1">
      <c r="A177" s="406">
        <v>45504.0</v>
      </c>
      <c r="B177" s="349" t="s">
        <v>2485</v>
      </c>
      <c r="C177" s="349" t="s">
        <v>2486</v>
      </c>
      <c r="D177" s="349" t="s">
        <v>54</v>
      </c>
      <c r="E177" s="349" t="s">
        <v>2442</v>
      </c>
      <c r="F177" s="662">
        <v>10000.0</v>
      </c>
      <c r="G177" s="403"/>
      <c r="H177" s="349" t="s">
        <v>2609</v>
      </c>
      <c r="I177" s="404" t="str">
        <f t="shared" si="9"/>
        <v>NOT PAID</v>
      </c>
      <c r="J177" s="402"/>
      <c r="K177" s="402"/>
      <c r="L177" s="402"/>
      <c r="M177" s="402"/>
      <c r="N177" s="402"/>
      <c r="O177" s="402"/>
      <c r="P177" s="402"/>
      <c r="Q177" s="402"/>
      <c r="R177" s="402"/>
      <c r="S177" s="402"/>
      <c r="T177" s="402"/>
      <c r="U177" s="402"/>
      <c r="V177" s="402"/>
      <c r="W177" s="402"/>
      <c r="X177" s="402"/>
      <c r="Y177" s="402"/>
      <c r="Z177" s="402"/>
      <c r="AA177" s="405"/>
      <c r="AB177" s="405"/>
      <c r="AC177" s="405"/>
      <c r="AD177" s="405"/>
      <c r="AE177" s="405"/>
      <c r="AF177" s="405"/>
      <c r="AG177" s="405"/>
    </row>
    <row r="178" ht="14.25" customHeight="1">
      <c r="A178" s="406">
        <v>45504.0</v>
      </c>
      <c r="B178" s="349" t="s">
        <v>2595</v>
      </c>
      <c r="C178" s="349" t="s">
        <v>2596</v>
      </c>
      <c r="D178" s="349" t="s">
        <v>54</v>
      </c>
      <c r="E178" s="349" t="s">
        <v>2442</v>
      </c>
      <c r="F178" s="559">
        <v>83017.0</v>
      </c>
      <c r="G178" s="413">
        <v>83017.0</v>
      </c>
      <c r="H178" s="349" t="s">
        <v>2198</v>
      </c>
      <c r="I178" s="404" t="str">
        <f t="shared" si="9"/>
        <v>FULLY PAID</v>
      </c>
      <c r="J178" s="402"/>
      <c r="K178" s="402"/>
      <c r="L178" s="402"/>
      <c r="M178" s="402"/>
      <c r="N178" s="402"/>
      <c r="O178" s="402"/>
      <c r="P178" s="402"/>
      <c r="Q178" s="402"/>
      <c r="R178" s="402"/>
      <c r="S178" s="402"/>
      <c r="T178" s="402"/>
      <c r="U178" s="402"/>
      <c r="V178" s="402"/>
      <c r="W178" s="402"/>
      <c r="X178" s="402"/>
      <c r="Y178" s="402"/>
      <c r="Z178" s="402"/>
      <c r="AA178" s="405"/>
      <c r="AB178" s="405"/>
      <c r="AC178" s="405"/>
      <c r="AD178" s="405"/>
      <c r="AE178" s="405"/>
      <c r="AF178" s="405"/>
      <c r="AG178" s="405"/>
    </row>
    <row r="179" ht="14.25" customHeight="1">
      <c r="A179" s="406"/>
      <c r="B179" s="349"/>
      <c r="C179" s="349"/>
      <c r="D179" s="349"/>
      <c r="E179" s="349"/>
      <c r="F179" s="662"/>
      <c r="G179" s="403"/>
      <c r="H179" s="402"/>
      <c r="I179" s="404" t="str">
        <f t="shared" si="9"/>
        <v>FULLY PAID</v>
      </c>
      <c r="J179" s="402"/>
      <c r="K179" s="402"/>
      <c r="L179" s="402"/>
      <c r="M179" s="402"/>
      <c r="N179" s="402"/>
      <c r="O179" s="402"/>
      <c r="P179" s="402"/>
      <c r="Q179" s="402"/>
      <c r="R179" s="402"/>
      <c r="S179" s="402"/>
      <c r="T179" s="402"/>
      <c r="U179" s="402"/>
      <c r="V179" s="402"/>
      <c r="W179" s="402"/>
      <c r="X179" s="402"/>
      <c r="Y179" s="402"/>
      <c r="Z179" s="402"/>
      <c r="AA179" s="405"/>
      <c r="AB179" s="405"/>
      <c r="AC179" s="405"/>
      <c r="AD179" s="405"/>
      <c r="AE179" s="405"/>
      <c r="AF179" s="405"/>
      <c r="AG179" s="405"/>
    </row>
    <row r="180" ht="14.25" customHeight="1">
      <c r="A180" s="406">
        <v>45504.0</v>
      </c>
      <c r="B180" s="349" t="s">
        <v>2471</v>
      </c>
      <c r="C180" s="349" t="s">
        <v>2472</v>
      </c>
      <c r="D180" s="349" t="s">
        <v>54</v>
      </c>
      <c r="E180" s="349" t="s">
        <v>2469</v>
      </c>
      <c r="F180" s="662">
        <v>512638.0</v>
      </c>
      <c r="G180" s="403"/>
      <c r="H180" s="349" t="s">
        <v>2473</v>
      </c>
      <c r="I180" s="404" t="str">
        <f t="shared" si="9"/>
        <v>NOT PAID</v>
      </c>
      <c r="J180" s="402"/>
      <c r="K180" s="402"/>
      <c r="L180" s="402"/>
      <c r="M180" s="402"/>
      <c r="N180" s="402"/>
      <c r="O180" s="402"/>
      <c r="P180" s="402"/>
      <c r="Q180" s="402"/>
      <c r="R180" s="402"/>
      <c r="S180" s="402"/>
      <c r="T180" s="402"/>
      <c r="U180" s="402"/>
      <c r="V180" s="402"/>
      <c r="W180" s="402"/>
      <c r="X180" s="402"/>
      <c r="Y180" s="402"/>
      <c r="Z180" s="402"/>
      <c r="AA180" s="405"/>
      <c r="AB180" s="405"/>
      <c r="AC180" s="405"/>
      <c r="AD180" s="405"/>
      <c r="AE180" s="405"/>
      <c r="AF180" s="405"/>
      <c r="AG180" s="405"/>
    </row>
    <row r="181" ht="14.25" customHeight="1">
      <c r="A181" s="406">
        <v>45504.0</v>
      </c>
      <c r="B181" s="349" t="s">
        <v>2610</v>
      </c>
      <c r="C181" s="349" t="s">
        <v>2611</v>
      </c>
      <c r="D181" s="349" t="s">
        <v>54</v>
      </c>
      <c r="E181" s="349" t="s">
        <v>2469</v>
      </c>
      <c r="F181" s="676">
        <v>164294.0</v>
      </c>
      <c r="G181" s="413">
        <v>163414.0</v>
      </c>
      <c r="H181" s="349" t="s">
        <v>2612</v>
      </c>
      <c r="I181" s="404" t="str">
        <f t="shared" si="9"/>
        <v>PARTIALLY PAID</v>
      </c>
      <c r="J181" s="402"/>
      <c r="K181" s="402"/>
      <c r="L181" s="402"/>
      <c r="M181" s="402"/>
      <c r="N181" s="402"/>
      <c r="O181" s="402"/>
      <c r="P181" s="402"/>
      <c r="Q181" s="402"/>
      <c r="R181" s="402"/>
      <c r="S181" s="402"/>
      <c r="T181" s="402"/>
      <c r="U181" s="402"/>
      <c r="V181" s="402"/>
      <c r="W181" s="402"/>
      <c r="X181" s="402"/>
      <c r="Y181" s="402"/>
      <c r="Z181" s="402"/>
      <c r="AA181" s="405"/>
      <c r="AB181" s="405"/>
      <c r="AC181" s="405"/>
      <c r="AD181" s="405"/>
      <c r="AE181" s="405"/>
      <c r="AF181" s="405"/>
      <c r="AG181" s="405"/>
    </row>
    <row r="182" ht="14.25" customHeight="1">
      <c r="A182" s="402"/>
      <c r="B182" s="402"/>
      <c r="C182" s="402"/>
      <c r="D182" s="402"/>
      <c r="E182" s="402"/>
      <c r="F182" s="664"/>
      <c r="G182" s="403"/>
      <c r="H182" s="402"/>
      <c r="I182" s="404" t="str">
        <f t="shared" si="9"/>
        <v>FULLY PAID</v>
      </c>
      <c r="J182" s="402"/>
      <c r="K182" s="402"/>
      <c r="L182" s="402"/>
      <c r="M182" s="402"/>
      <c r="N182" s="402"/>
      <c r="O182" s="402"/>
      <c r="P182" s="402"/>
      <c r="Q182" s="402"/>
      <c r="R182" s="402"/>
      <c r="S182" s="402"/>
      <c r="T182" s="402"/>
      <c r="U182" s="402"/>
      <c r="V182" s="402"/>
      <c r="W182" s="402"/>
      <c r="X182" s="402"/>
      <c r="Y182" s="402"/>
      <c r="Z182" s="402"/>
      <c r="AA182" s="405"/>
      <c r="AB182" s="405"/>
      <c r="AC182" s="405"/>
      <c r="AD182" s="405"/>
      <c r="AE182" s="405"/>
      <c r="AF182" s="405"/>
      <c r="AG182" s="405"/>
    </row>
    <row r="183" ht="14.25" customHeight="1">
      <c r="A183" s="402"/>
      <c r="B183" s="402"/>
      <c r="C183" s="402"/>
      <c r="D183" s="402"/>
      <c r="E183" s="402"/>
      <c r="F183" s="664"/>
      <c r="G183" s="403"/>
      <c r="H183" s="402"/>
      <c r="I183" s="404" t="str">
        <f t="shared" si="9"/>
        <v>FULLY PAID</v>
      </c>
      <c r="J183" s="402"/>
      <c r="K183" s="402"/>
      <c r="L183" s="402"/>
      <c r="M183" s="402"/>
      <c r="N183" s="402"/>
      <c r="O183" s="402"/>
      <c r="P183" s="402"/>
      <c r="Q183" s="402"/>
      <c r="R183" s="402"/>
      <c r="S183" s="402"/>
      <c r="T183" s="402"/>
      <c r="U183" s="402"/>
      <c r="V183" s="402"/>
      <c r="W183" s="402"/>
      <c r="X183" s="402"/>
      <c r="Y183" s="402"/>
      <c r="Z183" s="402"/>
      <c r="AA183" s="405"/>
      <c r="AB183" s="405"/>
      <c r="AC183" s="405"/>
      <c r="AD183" s="405"/>
      <c r="AE183" s="405"/>
      <c r="AF183" s="405"/>
      <c r="AG183" s="405"/>
    </row>
    <row r="184" ht="14.25" customHeight="1">
      <c r="A184" s="402"/>
      <c r="B184" s="402"/>
      <c r="C184" s="402"/>
      <c r="D184" s="402"/>
      <c r="E184" s="402"/>
      <c r="F184" s="664"/>
      <c r="G184" s="403"/>
      <c r="H184" s="402"/>
      <c r="I184" s="404" t="str">
        <f t="shared" si="9"/>
        <v>FULLY PAID</v>
      </c>
      <c r="J184" s="402"/>
      <c r="K184" s="402"/>
      <c r="L184" s="402"/>
      <c r="M184" s="402"/>
      <c r="N184" s="402"/>
      <c r="O184" s="402"/>
      <c r="P184" s="402"/>
      <c r="Q184" s="402"/>
      <c r="R184" s="402"/>
      <c r="S184" s="402"/>
      <c r="T184" s="402"/>
      <c r="U184" s="402"/>
      <c r="V184" s="402"/>
      <c r="W184" s="402"/>
      <c r="X184" s="402"/>
      <c r="Y184" s="402"/>
      <c r="Z184" s="402"/>
      <c r="AA184" s="405"/>
      <c r="AB184" s="405"/>
      <c r="AC184" s="405"/>
      <c r="AD184" s="405"/>
      <c r="AE184" s="405"/>
      <c r="AF184" s="405"/>
      <c r="AG184" s="405"/>
    </row>
    <row r="185" ht="14.25" customHeight="1">
      <c r="A185" s="406">
        <v>45505.0</v>
      </c>
      <c r="B185" s="349" t="s">
        <v>2613</v>
      </c>
      <c r="C185" s="349" t="s">
        <v>2614</v>
      </c>
      <c r="D185" s="349" t="s">
        <v>54</v>
      </c>
      <c r="E185" s="349" t="s">
        <v>2442</v>
      </c>
      <c r="F185" s="413">
        <v>82866.0</v>
      </c>
      <c r="G185" s="413"/>
      <c r="H185" s="349" t="s">
        <v>2615</v>
      </c>
      <c r="I185" s="404" t="str">
        <f t="shared" si="9"/>
        <v>NOT PAID</v>
      </c>
      <c r="J185" s="406"/>
      <c r="K185" s="349"/>
      <c r="L185" s="413"/>
      <c r="M185" s="349"/>
      <c r="O185" s="402"/>
      <c r="P185" s="402"/>
      <c r="Q185" s="402"/>
      <c r="R185" s="402"/>
      <c r="S185" s="402"/>
      <c r="T185" s="402"/>
      <c r="U185" s="402"/>
      <c r="V185" s="402"/>
      <c r="W185" s="402"/>
      <c r="X185" s="402"/>
      <c r="Y185" s="402"/>
      <c r="Z185" s="402"/>
      <c r="AA185" s="405"/>
      <c r="AB185" s="405"/>
      <c r="AC185" s="405"/>
      <c r="AD185" s="405"/>
      <c r="AE185" s="405"/>
      <c r="AF185" s="405"/>
      <c r="AG185" s="405"/>
    </row>
    <row r="186" ht="14.25" customHeight="1">
      <c r="A186" s="406">
        <v>45505.0</v>
      </c>
      <c r="B186" s="349" t="s">
        <v>2616</v>
      </c>
      <c r="C186" s="349" t="s">
        <v>2617</v>
      </c>
      <c r="D186" s="349" t="s">
        <v>54</v>
      </c>
      <c r="E186" s="349" t="s">
        <v>2442</v>
      </c>
      <c r="F186" s="413">
        <v>18660.0</v>
      </c>
      <c r="G186" s="413"/>
      <c r="H186" s="349" t="s">
        <v>2618</v>
      </c>
      <c r="I186" s="404" t="str">
        <f t="shared" si="9"/>
        <v>NOT PAID</v>
      </c>
      <c r="J186" s="406"/>
      <c r="K186" s="349"/>
      <c r="L186" s="413"/>
      <c r="M186" s="349"/>
      <c r="N186" s="413"/>
      <c r="O186" s="402"/>
      <c r="P186" s="402"/>
      <c r="Q186" s="402"/>
      <c r="R186" s="402"/>
      <c r="S186" s="402"/>
      <c r="T186" s="402"/>
      <c r="U186" s="402"/>
      <c r="V186" s="402"/>
      <c r="W186" s="402"/>
      <c r="X186" s="402"/>
      <c r="Y186" s="402"/>
      <c r="Z186" s="402"/>
      <c r="AA186" s="405"/>
      <c r="AB186" s="405"/>
      <c r="AC186" s="405"/>
      <c r="AD186" s="405"/>
      <c r="AE186" s="405"/>
      <c r="AF186" s="405"/>
      <c r="AG186" s="405"/>
    </row>
    <row r="187" ht="14.25" customHeight="1">
      <c r="A187" s="406">
        <v>45505.0</v>
      </c>
      <c r="B187" s="349" t="s">
        <v>2619</v>
      </c>
      <c r="C187" s="349" t="s">
        <v>2620</v>
      </c>
      <c r="D187" s="349" t="s">
        <v>54</v>
      </c>
      <c r="E187" s="349" t="s">
        <v>2442</v>
      </c>
      <c r="F187" s="413">
        <v>115136.0</v>
      </c>
      <c r="G187" s="413"/>
      <c r="H187" s="349" t="s">
        <v>2621</v>
      </c>
      <c r="I187" s="404" t="str">
        <f t="shared" si="9"/>
        <v>NOT PAID</v>
      </c>
      <c r="J187" s="406"/>
      <c r="K187" s="349"/>
      <c r="L187" s="413"/>
      <c r="M187" s="349"/>
      <c r="N187" s="413"/>
      <c r="O187" s="402"/>
      <c r="P187" s="402"/>
      <c r="Q187" s="402"/>
      <c r="R187" s="402"/>
      <c r="S187" s="402"/>
      <c r="T187" s="402"/>
      <c r="U187" s="402"/>
      <c r="V187" s="402"/>
      <c r="W187" s="402"/>
      <c r="X187" s="402"/>
      <c r="Y187" s="402"/>
      <c r="Z187" s="402"/>
      <c r="AA187" s="405"/>
      <c r="AB187" s="405"/>
      <c r="AC187" s="405"/>
      <c r="AD187" s="405"/>
      <c r="AE187" s="405"/>
      <c r="AF187" s="405"/>
      <c r="AG187" s="405"/>
    </row>
    <row r="188" ht="14.25" customHeight="1">
      <c r="A188" s="406">
        <v>45505.0</v>
      </c>
      <c r="B188" s="349" t="s">
        <v>2590</v>
      </c>
      <c r="C188" s="484" t="s">
        <v>2591</v>
      </c>
      <c r="D188" s="349" t="s">
        <v>54</v>
      </c>
      <c r="E188" s="349" t="s">
        <v>2442</v>
      </c>
      <c r="F188" s="662">
        <v>186.0</v>
      </c>
      <c r="G188" s="403"/>
      <c r="H188" s="349" t="s">
        <v>2615</v>
      </c>
      <c r="I188" s="404" t="str">
        <f t="shared" si="9"/>
        <v>NOT PAID</v>
      </c>
      <c r="J188" s="402"/>
      <c r="K188" s="402"/>
      <c r="L188" s="402"/>
      <c r="M188" s="402"/>
      <c r="N188" s="402"/>
      <c r="O188" s="402"/>
      <c r="P188" s="402"/>
      <c r="Q188" s="402"/>
      <c r="R188" s="402"/>
      <c r="S188" s="402"/>
      <c r="T188" s="402"/>
      <c r="U188" s="402"/>
      <c r="V188" s="402"/>
      <c r="W188" s="402"/>
      <c r="X188" s="402"/>
      <c r="Y188" s="402"/>
      <c r="Z188" s="402"/>
      <c r="AA188" s="405"/>
      <c r="AB188" s="405"/>
      <c r="AC188" s="405"/>
      <c r="AD188" s="405"/>
      <c r="AE188" s="405"/>
      <c r="AF188" s="405"/>
      <c r="AG188" s="405"/>
    </row>
    <row r="189" ht="14.25" customHeight="1">
      <c r="A189" s="406">
        <v>45505.0</v>
      </c>
      <c r="B189" s="349" t="s">
        <v>2510</v>
      </c>
      <c r="C189" s="484" t="s">
        <v>2593</v>
      </c>
      <c r="D189" s="349" t="s">
        <v>54</v>
      </c>
      <c r="E189" s="349" t="s">
        <v>2442</v>
      </c>
      <c r="F189" s="662">
        <v>5000.0</v>
      </c>
      <c r="G189" s="403"/>
      <c r="H189" s="349" t="s">
        <v>2622</v>
      </c>
      <c r="I189" s="404" t="str">
        <f t="shared" si="9"/>
        <v>NOT PAID</v>
      </c>
      <c r="J189" s="402"/>
      <c r="K189" s="402"/>
      <c r="L189" s="402"/>
      <c r="M189" s="402"/>
      <c r="N189" s="402"/>
      <c r="O189" s="402"/>
      <c r="P189" s="402"/>
      <c r="Q189" s="402"/>
      <c r="R189" s="402"/>
      <c r="S189" s="402"/>
      <c r="T189" s="402"/>
      <c r="U189" s="402"/>
      <c r="V189" s="402"/>
      <c r="W189" s="402"/>
      <c r="X189" s="402"/>
      <c r="Y189" s="402"/>
      <c r="Z189" s="402"/>
      <c r="AA189" s="405"/>
      <c r="AB189" s="405"/>
      <c r="AC189" s="405"/>
      <c r="AD189" s="405"/>
      <c r="AE189" s="405"/>
      <c r="AF189" s="405"/>
      <c r="AG189" s="405"/>
    </row>
    <row r="190" ht="14.25" customHeight="1">
      <c r="A190" s="406">
        <v>45505.0</v>
      </c>
      <c r="B190" s="349" t="s">
        <v>2463</v>
      </c>
      <c r="C190" s="484" t="s">
        <v>2600</v>
      </c>
      <c r="D190" s="349" t="s">
        <v>54</v>
      </c>
      <c r="E190" s="349" t="s">
        <v>2442</v>
      </c>
      <c r="F190" s="559">
        <v>50000.0</v>
      </c>
      <c r="G190" s="403"/>
      <c r="H190" s="349" t="s">
        <v>2623</v>
      </c>
      <c r="I190" s="404" t="str">
        <f t="shared" si="9"/>
        <v>NOT PAID</v>
      </c>
      <c r="J190" s="402"/>
      <c r="K190" s="402"/>
      <c r="L190" s="402"/>
      <c r="M190" s="402"/>
      <c r="N190" s="402"/>
      <c r="O190" s="402"/>
      <c r="P190" s="402"/>
      <c r="Q190" s="402"/>
      <c r="R190" s="402"/>
      <c r="S190" s="402"/>
      <c r="T190" s="402"/>
      <c r="U190" s="402"/>
      <c r="V190" s="402"/>
      <c r="W190" s="402"/>
      <c r="X190" s="402"/>
      <c r="Y190" s="402"/>
      <c r="Z190" s="402"/>
      <c r="AA190" s="405"/>
      <c r="AB190" s="405"/>
      <c r="AC190" s="405"/>
      <c r="AD190" s="405"/>
      <c r="AE190" s="405"/>
      <c r="AF190" s="405"/>
      <c r="AG190" s="405"/>
    </row>
    <row r="191" ht="14.25" customHeight="1">
      <c r="A191" s="406">
        <v>45505.0</v>
      </c>
      <c r="B191" s="349" t="s">
        <v>2563</v>
      </c>
      <c r="C191" s="349" t="s">
        <v>2564</v>
      </c>
      <c r="D191" s="349" t="s">
        <v>54</v>
      </c>
      <c r="E191" s="349" t="s">
        <v>2442</v>
      </c>
      <c r="F191" s="413">
        <v>14507.0</v>
      </c>
      <c r="G191" s="403"/>
      <c r="H191" s="349" t="s">
        <v>2624</v>
      </c>
      <c r="I191" s="404" t="str">
        <f t="shared" si="9"/>
        <v>NOT PAID</v>
      </c>
      <c r="J191" s="402"/>
      <c r="K191" s="402"/>
      <c r="L191" s="402"/>
      <c r="M191" s="402"/>
      <c r="N191" s="402"/>
      <c r="O191" s="402"/>
      <c r="P191" s="402"/>
      <c r="Q191" s="402"/>
      <c r="R191" s="402"/>
      <c r="S191" s="402"/>
      <c r="T191" s="402"/>
      <c r="U191" s="402"/>
      <c r="V191" s="402"/>
      <c r="W191" s="402"/>
      <c r="X191" s="402"/>
      <c r="Y191" s="402"/>
      <c r="Z191" s="402"/>
      <c r="AA191" s="405"/>
      <c r="AB191" s="405"/>
      <c r="AC191" s="405"/>
      <c r="AD191" s="405"/>
      <c r="AE191" s="405"/>
      <c r="AF191" s="405"/>
      <c r="AG191" s="405"/>
    </row>
    <row r="192" ht="14.25" customHeight="1">
      <c r="A192" s="406">
        <v>45505.0</v>
      </c>
      <c r="B192" s="349" t="s">
        <v>2565</v>
      </c>
      <c r="C192" s="349" t="s">
        <v>2566</v>
      </c>
      <c r="D192" s="349" t="s">
        <v>54</v>
      </c>
      <c r="E192" s="349" t="s">
        <v>2442</v>
      </c>
      <c r="F192" s="413">
        <v>131205.0</v>
      </c>
      <c r="G192" s="403"/>
      <c r="H192" s="454" t="s">
        <v>2625</v>
      </c>
      <c r="I192" s="404" t="str">
        <f t="shared" si="9"/>
        <v>NOT PAID</v>
      </c>
      <c r="J192" s="402"/>
      <c r="K192" s="402"/>
      <c r="L192" s="402"/>
      <c r="M192" s="402"/>
      <c r="N192" s="402"/>
      <c r="O192" s="402"/>
      <c r="P192" s="402"/>
      <c r="Q192" s="402"/>
      <c r="R192" s="402"/>
      <c r="S192" s="402"/>
      <c r="T192" s="402"/>
      <c r="U192" s="402"/>
      <c r="V192" s="402"/>
      <c r="W192" s="402"/>
      <c r="X192" s="402"/>
      <c r="Y192" s="402"/>
      <c r="Z192" s="402"/>
      <c r="AA192" s="405"/>
      <c r="AB192" s="405"/>
      <c r="AC192" s="405"/>
      <c r="AD192" s="405"/>
      <c r="AE192" s="405"/>
      <c r="AF192" s="405"/>
      <c r="AG192" s="405"/>
    </row>
    <row r="193" ht="14.25" customHeight="1">
      <c r="A193" s="406">
        <v>45505.0</v>
      </c>
      <c r="B193" s="349" t="s">
        <v>2567</v>
      </c>
      <c r="C193" s="349" t="s">
        <v>2568</v>
      </c>
      <c r="D193" s="349" t="s">
        <v>54</v>
      </c>
      <c r="E193" s="349" t="s">
        <v>2442</v>
      </c>
      <c r="F193" s="662">
        <v>10000.0</v>
      </c>
      <c r="G193" s="403"/>
      <c r="H193" s="349" t="s">
        <v>2626</v>
      </c>
      <c r="I193" s="404" t="str">
        <f t="shared" si="9"/>
        <v>NOT PAID</v>
      </c>
      <c r="J193" s="402"/>
      <c r="K193" s="402"/>
      <c r="L193" s="402"/>
      <c r="M193" s="402"/>
      <c r="N193" s="402"/>
      <c r="O193" s="402"/>
      <c r="P193" s="402"/>
      <c r="Q193" s="402"/>
      <c r="R193" s="402"/>
      <c r="S193" s="402"/>
      <c r="T193" s="402"/>
      <c r="U193" s="402"/>
      <c r="V193" s="402"/>
      <c r="W193" s="402"/>
      <c r="X193" s="402"/>
      <c r="Y193" s="402"/>
      <c r="Z193" s="402"/>
      <c r="AA193" s="405"/>
      <c r="AB193" s="405"/>
      <c r="AC193" s="405"/>
      <c r="AD193" s="405"/>
      <c r="AE193" s="405"/>
      <c r="AF193" s="405"/>
      <c r="AG193" s="405"/>
    </row>
    <row r="194" ht="14.25" customHeight="1">
      <c r="A194" s="406">
        <v>45505.0</v>
      </c>
      <c r="B194" s="349" t="s">
        <v>2627</v>
      </c>
      <c r="C194" s="349" t="s">
        <v>2628</v>
      </c>
      <c r="D194" s="349" t="s">
        <v>54</v>
      </c>
      <c r="E194" s="349" t="s">
        <v>2442</v>
      </c>
      <c r="F194" s="413">
        <v>27107.0</v>
      </c>
      <c r="G194" s="413">
        <v>27107.0</v>
      </c>
      <c r="H194" s="349" t="s">
        <v>710</v>
      </c>
      <c r="I194" s="404" t="str">
        <f t="shared" si="9"/>
        <v>FULLY PAID</v>
      </c>
      <c r="J194" s="402"/>
      <c r="K194" s="402"/>
      <c r="L194" s="402"/>
      <c r="M194" s="402"/>
      <c r="N194" s="402"/>
      <c r="O194" s="402"/>
      <c r="P194" s="402"/>
      <c r="Q194" s="402"/>
      <c r="R194" s="402"/>
      <c r="S194" s="402"/>
      <c r="T194" s="402"/>
      <c r="U194" s="402"/>
      <c r="V194" s="402"/>
      <c r="W194" s="402"/>
      <c r="X194" s="402"/>
      <c r="Y194" s="402"/>
      <c r="Z194" s="402"/>
      <c r="AA194" s="405"/>
      <c r="AB194" s="405"/>
      <c r="AC194" s="405"/>
      <c r="AD194" s="405"/>
      <c r="AE194" s="405"/>
      <c r="AF194" s="405"/>
      <c r="AG194" s="405"/>
    </row>
    <row r="195" ht="14.25" customHeight="1">
      <c r="A195" s="406">
        <v>45505.0</v>
      </c>
      <c r="B195" s="349" t="s">
        <v>2571</v>
      </c>
      <c r="C195" s="349" t="s">
        <v>2572</v>
      </c>
      <c r="D195" s="349" t="s">
        <v>54</v>
      </c>
      <c r="E195" s="349" t="s">
        <v>2442</v>
      </c>
      <c r="F195" s="662">
        <v>4000.0</v>
      </c>
      <c r="G195" s="403"/>
      <c r="H195" s="349" t="s">
        <v>2629</v>
      </c>
      <c r="I195" s="404" t="str">
        <f t="shared" si="9"/>
        <v>NOT PAID</v>
      </c>
      <c r="J195" s="402"/>
      <c r="K195" s="402"/>
      <c r="L195" s="402"/>
      <c r="M195" s="402"/>
      <c r="N195" s="402"/>
      <c r="O195" s="402"/>
      <c r="P195" s="402"/>
      <c r="Q195" s="402"/>
      <c r="R195" s="402"/>
      <c r="S195" s="402"/>
      <c r="T195" s="402"/>
      <c r="U195" s="402"/>
      <c r="V195" s="402"/>
      <c r="W195" s="402"/>
      <c r="X195" s="402"/>
      <c r="Y195" s="402"/>
      <c r="Z195" s="402"/>
      <c r="AA195" s="405"/>
      <c r="AB195" s="405"/>
      <c r="AC195" s="405"/>
      <c r="AD195" s="405"/>
      <c r="AE195" s="405"/>
      <c r="AF195" s="405"/>
      <c r="AG195" s="405"/>
    </row>
    <row r="196" ht="14.25" customHeight="1">
      <c r="A196" s="406">
        <v>45505.0</v>
      </c>
      <c r="B196" s="349" t="s">
        <v>2579</v>
      </c>
      <c r="C196" s="349" t="s">
        <v>2580</v>
      </c>
      <c r="D196" s="349" t="s">
        <v>54</v>
      </c>
      <c r="E196" s="349" t="s">
        <v>2442</v>
      </c>
      <c r="F196" s="559">
        <v>20000.0</v>
      </c>
      <c r="G196" s="403"/>
      <c r="H196" s="349" t="s">
        <v>2630</v>
      </c>
      <c r="I196" s="404" t="str">
        <f t="shared" si="9"/>
        <v>NOT PAID</v>
      </c>
      <c r="J196" s="402"/>
      <c r="K196" s="402"/>
      <c r="L196" s="402"/>
      <c r="M196" s="402"/>
      <c r="N196" s="402"/>
      <c r="O196" s="402"/>
      <c r="P196" s="402"/>
      <c r="Q196" s="402"/>
      <c r="R196" s="402"/>
      <c r="S196" s="402"/>
      <c r="T196" s="402"/>
      <c r="U196" s="402"/>
      <c r="V196" s="402"/>
      <c r="W196" s="402"/>
      <c r="X196" s="402"/>
      <c r="Y196" s="402"/>
      <c r="Z196" s="402"/>
      <c r="AA196" s="405"/>
      <c r="AB196" s="405"/>
      <c r="AC196" s="405"/>
      <c r="AD196" s="405"/>
      <c r="AE196" s="405"/>
      <c r="AF196" s="405"/>
      <c r="AG196" s="405"/>
    </row>
    <row r="197" ht="14.25" customHeight="1">
      <c r="A197" s="406">
        <v>45505.0</v>
      </c>
      <c r="B197" s="349" t="s">
        <v>2457</v>
      </c>
      <c r="C197" s="349" t="s">
        <v>2458</v>
      </c>
      <c r="D197" s="349" t="s">
        <v>54</v>
      </c>
      <c r="E197" s="349" t="s">
        <v>2442</v>
      </c>
      <c r="F197" s="559">
        <v>60000.0</v>
      </c>
      <c r="G197" s="403"/>
      <c r="H197" s="349" t="s">
        <v>2631</v>
      </c>
      <c r="I197" s="404" t="str">
        <f t="shared" si="9"/>
        <v>NOT PAID</v>
      </c>
      <c r="J197" s="402"/>
      <c r="K197" s="402"/>
      <c r="L197" s="402"/>
      <c r="M197" s="402"/>
      <c r="N197" s="402"/>
      <c r="O197" s="402"/>
      <c r="P197" s="402"/>
      <c r="Q197" s="402"/>
      <c r="R197" s="402"/>
      <c r="S197" s="402"/>
      <c r="T197" s="402"/>
      <c r="U197" s="402"/>
      <c r="V197" s="402"/>
      <c r="W197" s="402"/>
      <c r="X197" s="402"/>
      <c r="Y197" s="402"/>
      <c r="Z197" s="402"/>
      <c r="AA197" s="405"/>
      <c r="AB197" s="405"/>
      <c r="AC197" s="405"/>
      <c r="AD197" s="405"/>
      <c r="AE197" s="405"/>
      <c r="AF197" s="405"/>
      <c r="AG197" s="405"/>
    </row>
    <row r="198" ht="14.25" customHeight="1">
      <c r="A198" s="406">
        <v>45505.0</v>
      </c>
      <c r="B198" s="349" t="s">
        <v>2581</v>
      </c>
      <c r="C198" s="349" t="s">
        <v>2582</v>
      </c>
      <c r="D198" s="349" t="s">
        <v>54</v>
      </c>
      <c r="E198" s="349" t="s">
        <v>2442</v>
      </c>
      <c r="F198" s="662">
        <v>10000.0</v>
      </c>
      <c r="G198" s="403"/>
      <c r="H198" s="349" t="s">
        <v>2632</v>
      </c>
      <c r="I198" s="404" t="str">
        <f t="shared" si="9"/>
        <v>NOT PAID</v>
      </c>
      <c r="J198" s="402"/>
      <c r="K198" s="402"/>
      <c r="L198" s="402"/>
      <c r="M198" s="402"/>
      <c r="N198" s="402"/>
      <c r="O198" s="402"/>
      <c r="P198" s="402"/>
      <c r="Q198" s="402"/>
      <c r="R198" s="402"/>
      <c r="S198" s="402"/>
      <c r="T198" s="402"/>
      <c r="U198" s="402"/>
      <c r="V198" s="402"/>
      <c r="W198" s="402"/>
      <c r="X198" s="402"/>
      <c r="Y198" s="402"/>
      <c r="Z198" s="402"/>
      <c r="AA198" s="405"/>
      <c r="AB198" s="405"/>
      <c r="AC198" s="405"/>
      <c r="AD198" s="405"/>
      <c r="AE198" s="405"/>
      <c r="AF198" s="405"/>
      <c r="AG198" s="405"/>
    </row>
    <row r="199" ht="14.25" customHeight="1">
      <c r="A199" s="406">
        <v>45505.0</v>
      </c>
      <c r="B199" s="349" t="s">
        <v>2485</v>
      </c>
      <c r="C199" s="349" t="s">
        <v>2486</v>
      </c>
      <c r="D199" s="349" t="s">
        <v>54</v>
      </c>
      <c r="E199" s="349" t="s">
        <v>2442</v>
      </c>
      <c r="F199" s="662">
        <v>10000.0</v>
      </c>
      <c r="G199" s="403"/>
      <c r="H199" s="349" t="s">
        <v>2633</v>
      </c>
      <c r="I199" s="404" t="str">
        <f t="shared" si="9"/>
        <v>NOT PAID</v>
      </c>
      <c r="J199" s="402"/>
      <c r="K199" s="402"/>
      <c r="L199" s="402"/>
      <c r="M199" s="402"/>
      <c r="N199" s="402"/>
      <c r="O199" s="402"/>
      <c r="P199" s="402"/>
      <c r="Q199" s="402"/>
      <c r="R199" s="402"/>
      <c r="S199" s="402"/>
      <c r="T199" s="402"/>
      <c r="U199" s="402"/>
      <c r="V199" s="402"/>
      <c r="W199" s="402"/>
      <c r="X199" s="402"/>
      <c r="Y199" s="402"/>
      <c r="Z199" s="402"/>
      <c r="AA199" s="405"/>
      <c r="AB199" s="405"/>
      <c r="AC199" s="405"/>
      <c r="AD199" s="405"/>
      <c r="AE199" s="405"/>
      <c r="AF199" s="405"/>
      <c r="AG199" s="405"/>
    </row>
    <row r="200" ht="14.25" customHeight="1">
      <c r="A200" s="406">
        <v>45505.0</v>
      </c>
      <c r="B200" s="349" t="s">
        <v>2560</v>
      </c>
      <c r="C200" s="349" t="s">
        <v>2561</v>
      </c>
      <c r="D200" s="349" t="s">
        <v>54</v>
      </c>
      <c r="E200" s="349" t="s">
        <v>2442</v>
      </c>
      <c r="F200" s="559">
        <v>52716.0</v>
      </c>
      <c r="G200" s="403"/>
      <c r="H200" s="349" t="s">
        <v>2634</v>
      </c>
      <c r="I200" s="404" t="str">
        <f t="shared" si="9"/>
        <v>NOT PAID</v>
      </c>
      <c r="J200" s="402"/>
      <c r="K200" s="402"/>
      <c r="L200" s="402"/>
      <c r="M200" s="402"/>
      <c r="N200" s="402"/>
      <c r="O200" s="402"/>
      <c r="P200" s="402"/>
      <c r="Q200" s="402"/>
      <c r="R200" s="402"/>
      <c r="S200" s="402"/>
      <c r="T200" s="402"/>
      <c r="U200" s="402"/>
      <c r="V200" s="402"/>
      <c r="W200" s="402"/>
      <c r="X200" s="402"/>
      <c r="Y200" s="402"/>
      <c r="Z200" s="402"/>
      <c r="AA200" s="405"/>
      <c r="AB200" s="405"/>
      <c r="AC200" s="405"/>
      <c r="AD200" s="405"/>
      <c r="AE200" s="405"/>
      <c r="AF200" s="405"/>
      <c r="AG200" s="405"/>
    </row>
    <row r="201" ht="14.25" customHeight="1">
      <c r="A201" s="402"/>
      <c r="B201" s="402"/>
      <c r="C201" s="402"/>
      <c r="D201" s="402"/>
      <c r="E201" s="402"/>
      <c r="F201" s="664"/>
      <c r="G201" s="403"/>
      <c r="H201" s="402"/>
      <c r="I201" s="404" t="str">
        <f t="shared" si="9"/>
        <v>FULLY PAID</v>
      </c>
      <c r="J201" s="402"/>
      <c r="K201" s="402"/>
      <c r="L201" s="402"/>
      <c r="M201" s="402"/>
      <c r="N201" s="402"/>
      <c r="O201" s="402"/>
      <c r="P201" s="402"/>
      <c r="Q201" s="402"/>
      <c r="R201" s="402"/>
      <c r="S201" s="402"/>
      <c r="T201" s="402"/>
      <c r="U201" s="402"/>
      <c r="V201" s="402"/>
      <c r="W201" s="402"/>
      <c r="X201" s="402"/>
      <c r="Y201" s="402"/>
      <c r="Z201" s="402"/>
      <c r="AA201" s="405"/>
      <c r="AB201" s="405"/>
      <c r="AC201" s="405"/>
      <c r="AD201" s="405"/>
      <c r="AE201" s="405"/>
      <c r="AF201" s="405"/>
      <c r="AG201" s="405"/>
    </row>
    <row r="202" ht="14.25" customHeight="1">
      <c r="A202" s="406"/>
      <c r="B202" s="402"/>
      <c r="C202" s="424" t="s">
        <v>107</v>
      </c>
      <c r="D202" s="402"/>
      <c r="E202" s="402"/>
      <c r="F202" s="664"/>
      <c r="G202" s="403"/>
      <c r="H202" s="402"/>
      <c r="I202" s="404" t="str">
        <f t="shared" si="9"/>
        <v>FULLY PAID</v>
      </c>
      <c r="J202" s="402"/>
      <c r="K202" s="402"/>
      <c r="L202" s="402"/>
      <c r="M202" s="402"/>
      <c r="N202" s="402"/>
      <c r="O202" s="402"/>
      <c r="P202" s="402"/>
      <c r="Q202" s="402"/>
      <c r="R202" s="402"/>
      <c r="S202" s="402"/>
      <c r="T202" s="402"/>
      <c r="U202" s="402"/>
      <c r="V202" s="402"/>
      <c r="W202" s="402"/>
      <c r="X202" s="402"/>
      <c r="Y202" s="402"/>
      <c r="Z202" s="402"/>
      <c r="AA202" s="405"/>
      <c r="AB202" s="405"/>
      <c r="AC202" s="405"/>
      <c r="AD202" s="405"/>
      <c r="AE202" s="405"/>
      <c r="AF202" s="405"/>
      <c r="AG202" s="405"/>
    </row>
    <row r="203" ht="14.25" customHeight="1">
      <c r="A203" s="406">
        <v>45505.0</v>
      </c>
      <c r="B203" s="436" t="s">
        <v>2496</v>
      </c>
      <c r="C203" s="435" t="s">
        <v>2497</v>
      </c>
      <c r="D203" s="668" t="s">
        <v>75</v>
      </c>
      <c r="E203" s="436" t="s">
        <v>2469</v>
      </c>
      <c r="F203" s="437">
        <v>172500.0</v>
      </c>
      <c r="G203" s="403"/>
      <c r="H203" s="349" t="s">
        <v>2635</v>
      </c>
      <c r="I203" s="404" t="str">
        <f t="shared" si="9"/>
        <v>NOT PAID</v>
      </c>
      <c r="J203" s="402"/>
      <c r="K203" s="402"/>
      <c r="L203" s="402"/>
      <c r="M203" s="402"/>
      <c r="N203" s="402"/>
      <c r="O203" s="402"/>
      <c r="P203" s="402"/>
      <c r="Q203" s="402"/>
      <c r="R203" s="402"/>
      <c r="S203" s="402"/>
      <c r="T203" s="402"/>
      <c r="U203" s="402"/>
      <c r="V203" s="402"/>
      <c r="W203" s="402"/>
      <c r="X203" s="402"/>
      <c r="Y203" s="402"/>
      <c r="Z203" s="402"/>
      <c r="AA203" s="405"/>
      <c r="AB203" s="405"/>
      <c r="AC203" s="405"/>
      <c r="AD203" s="405"/>
      <c r="AE203" s="405"/>
      <c r="AF203" s="405"/>
      <c r="AG203" s="405"/>
    </row>
    <row r="204" ht="14.25" customHeight="1">
      <c r="A204" s="406">
        <v>45505.0</v>
      </c>
      <c r="B204" s="439" t="s">
        <v>2498</v>
      </c>
      <c r="C204" s="438" t="s">
        <v>2499</v>
      </c>
      <c r="D204" s="669" t="s">
        <v>75</v>
      </c>
      <c r="E204" s="439" t="s">
        <v>2469</v>
      </c>
      <c r="F204" s="440">
        <v>497109.24</v>
      </c>
      <c r="G204" s="403"/>
      <c r="H204" s="349" t="s">
        <v>2636</v>
      </c>
      <c r="I204" s="404" t="str">
        <f t="shared" si="9"/>
        <v>NOT PAID</v>
      </c>
      <c r="J204" s="402"/>
      <c r="K204" s="402"/>
      <c r="L204" s="402"/>
      <c r="M204" s="402"/>
      <c r="N204" s="402"/>
      <c r="O204" s="402"/>
      <c r="P204" s="402"/>
      <c r="Q204" s="402"/>
      <c r="R204" s="402"/>
      <c r="S204" s="402"/>
      <c r="T204" s="402"/>
      <c r="U204" s="402"/>
      <c r="V204" s="402"/>
      <c r="W204" s="402"/>
      <c r="X204" s="402"/>
      <c r="Y204" s="402"/>
      <c r="Z204" s="402"/>
      <c r="AA204" s="405"/>
      <c r="AB204" s="405"/>
      <c r="AC204" s="405"/>
      <c r="AD204" s="405"/>
      <c r="AE204" s="405"/>
      <c r="AF204" s="405"/>
      <c r="AG204" s="405"/>
    </row>
    <row r="205" ht="14.25" customHeight="1">
      <c r="A205" s="406">
        <v>45505.0</v>
      </c>
      <c r="B205" s="439" t="s">
        <v>2471</v>
      </c>
      <c r="C205" s="438" t="s">
        <v>2472</v>
      </c>
      <c r="D205" s="669" t="s">
        <v>54</v>
      </c>
      <c r="E205" s="439" t="s">
        <v>2469</v>
      </c>
      <c r="F205" s="440">
        <v>512638.0</v>
      </c>
      <c r="G205" s="403"/>
      <c r="H205" s="349" t="s">
        <v>2473</v>
      </c>
      <c r="I205" s="404" t="str">
        <f t="shared" si="9"/>
        <v>NOT PAID</v>
      </c>
      <c r="J205" s="402"/>
      <c r="K205" s="402"/>
      <c r="L205" s="402"/>
      <c r="M205" s="402"/>
      <c r="N205" s="402"/>
      <c r="O205" s="402"/>
      <c r="P205" s="402"/>
      <c r="Q205" s="402"/>
      <c r="R205" s="402"/>
      <c r="S205" s="402"/>
      <c r="T205" s="402"/>
      <c r="U205" s="402"/>
      <c r="V205" s="402"/>
      <c r="W205" s="402"/>
      <c r="X205" s="402"/>
      <c r="Y205" s="402"/>
      <c r="Z205" s="402"/>
      <c r="AA205" s="405"/>
      <c r="AB205" s="405"/>
      <c r="AC205" s="405"/>
      <c r="AD205" s="405"/>
      <c r="AE205" s="405"/>
      <c r="AF205" s="405"/>
      <c r="AG205" s="405"/>
    </row>
    <row r="206" ht="14.25" customHeight="1">
      <c r="A206" s="402"/>
      <c r="B206" s="402"/>
      <c r="C206" s="402"/>
      <c r="D206" s="402"/>
      <c r="E206" s="402"/>
      <c r="F206" s="664"/>
      <c r="G206" s="403"/>
      <c r="H206" s="402"/>
      <c r="I206" s="404" t="str">
        <f t="shared" si="9"/>
        <v>FULLY PAID</v>
      </c>
      <c r="J206" s="402"/>
      <c r="K206" s="402"/>
      <c r="L206" s="402"/>
      <c r="M206" s="402"/>
      <c r="N206" s="402"/>
      <c r="O206" s="402"/>
      <c r="P206" s="402"/>
      <c r="Q206" s="402"/>
      <c r="R206" s="402"/>
      <c r="S206" s="402"/>
      <c r="T206" s="402"/>
      <c r="U206" s="402"/>
      <c r="V206" s="402"/>
      <c r="W206" s="402"/>
      <c r="X206" s="402"/>
      <c r="Y206" s="402"/>
      <c r="Z206" s="402"/>
      <c r="AA206" s="405"/>
      <c r="AB206" s="405"/>
      <c r="AC206" s="405"/>
      <c r="AD206" s="405"/>
      <c r="AE206" s="405"/>
      <c r="AF206" s="405"/>
      <c r="AG206" s="405"/>
    </row>
    <row r="207" ht="14.25" customHeight="1">
      <c r="A207" s="406">
        <v>45506.0</v>
      </c>
      <c r="B207" s="349" t="s">
        <v>2637</v>
      </c>
      <c r="C207" s="349" t="s">
        <v>2638</v>
      </c>
      <c r="D207" s="349" t="s">
        <v>54</v>
      </c>
      <c r="E207" s="349" t="s">
        <v>2442</v>
      </c>
      <c r="F207" s="662">
        <v>19000.0</v>
      </c>
      <c r="G207" s="413">
        <v>19000.0</v>
      </c>
      <c r="H207" s="349" t="s">
        <v>710</v>
      </c>
      <c r="I207" s="404" t="str">
        <f t="shared" si="9"/>
        <v>FULLY PAID</v>
      </c>
      <c r="J207" s="402"/>
      <c r="K207" s="402"/>
      <c r="L207" s="402"/>
      <c r="M207" s="402"/>
      <c r="N207" s="402"/>
      <c r="O207" s="402"/>
      <c r="P207" s="402"/>
      <c r="Q207" s="402"/>
      <c r="R207" s="402"/>
      <c r="S207" s="402"/>
      <c r="T207" s="402"/>
      <c r="U207" s="402"/>
      <c r="V207" s="402"/>
      <c r="W207" s="402"/>
      <c r="X207" s="402"/>
      <c r="Y207" s="402"/>
      <c r="Z207" s="402"/>
      <c r="AA207" s="405"/>
      <c r="AB207" s="405"/>
      <c r="AC207" s="405"/>
      <c r="AD207" s="405"/>
      <c r="AE207" s="405"/>
      <c r="AF207" s="405"/>
      <c r="AG207" s="405"/>
    </row>
    <row r="208" ht="14.25" customHeight="1">
      <c r="A208" s="406">
        <v>45506.0</v>
      </c>
      <c r="B208" s="349" t="s">
        <v>2639</v>
      </c>
      <c r="C208" s="349" t="s">
        <v>2640</v>
      </c>
      <c r="D208" s="349" t="s">
        <v>54</v>
      </c>
      <c r="E208" s="349" t="s">
        <v>2442</v>
      </c>
      <c r="F208" s="413">
        <v>25467.67</v>
      </c>
      <c r="G208" s="413">
        <v>28667.0</v>
      </c>
      <c r="H208" s="349" t="s">
        <v>710</v>
      </c>
      <c r="I208" s="404" t="str">
        <f t="shared" si="9"/>
        <v>FULLY PAID</v>
      </c>
      <c r="J208" s="406"/>
      <c r="K208" s="349"/>
      <c r="L208" s="413"/>
      <c r="M208" s="349"/>
      <c r="N208" s="413"/>
      <c r="O208" s="402"/>
      <c r="P208" s="402"/>
      <c r="Q208" s="402"/>
      <c r="R208" s="402"/>
      <c r="S208" s="402"/>
      <c r="T208" s="402"/>
      <c r="U208" s="402"/>
      <c r="V208" s="402"/>
      <c r="W208" s="402"/>
      <c r="X208" s="402"/>
      <c r="Y208" s="402"/>
      <c r="Z208" s="402"/>
      <c r="AA208" s="405"/>
      <c r="AB208" s="405"/>
      <c r="AC208" s="405"/>
      <c r="AD208" s="405"/>
      <c r="AE208" s="405"/>
      <c r="AF208" s="405"/>
      <c r="AG208" s="405"/>
    </row>
    <row r="209" ht="14.25" customHeight="1">
      <c r="A209" s="406">
        <v>45506.0</v>
      </c>
      <c r="B209" s="349" t="s">
        <v>2641</v>
      </c>
      <c r="C209" s="349" t="s">
        <v>2642</v>
      </c>
      <c r="D209" s="349" t="s">
        <v>54</v>
      </c>
      <c r="E209" s="349" t="s">
        <v>2442</v>
      </c>
      <c r="F209" s="413">
        <v>57548.49</v>
      </c>
      <c r="G209" s="413"/>
      <c r="H209" s="349" t="s">
        <v>2229</v>
      </c>
      <c r="I209" s="404" t="str">
        <f t="shared" si="9"/>
        <v>NOT PAID</v>
      </c>
      <c r="J209" s="406"/>
      <c r="K209" s="349"/>
      <c r="L209" s="413"/>
      <c r="M209" s="349"/>
      <c r="N209" s="413"/>
      <c r="O209" s="402"/>
      <c r="P209" s="402"/>
      <c r="Q209" s="402"/>
      <c r="R209" s="402"/>
      <c r="S209" s="402"/>
      <c r="T209" s="402"/>
      <c r="U209" s="402"/>
      <c r="V209" s="402"/>
      <c r="W209" s="402"/>
      <c r="X209" s="402"/>
      <c r="Y209" s="402"/>
      <c r="Z209" s="402"/>
      <c r="AA209" s="405"/>
      <c r="AB209" s="405"/>
      <c r="AC209" s="405"/>
      <c r="AD209" s="405"/>
      <c r="AE209" s="405"/>
      <c r="AF209" s="405"/>
      <c r="AG209" s="405"/>
    </row>
    <row r="210" ht="14.25" customHeight="1">
      <c r="A210" s="406">
        <v>45506.0</v>
      </c>
      <c r="B210" s="349" t="s">
        <v>2643</v>
      </c>
      <c r="C210" s="349" t="s">
        <v>2644</v>
      </c>
      <c r="D210" s="349" t="s">
        <v>54</v>
      </c>
      <c r="E210" s="349" t="s">
        <v>2442</v>
      </c>
      <c r="F210" s="413">
        <v>4764.25</v>
      </c>
      <c r="G210" s="413"/>
      <c r="H210" s="349" t="s">
        <v>2229</v>
      </c>
      <c r="I210" s="404" t="str">
        <f t="shared" si="9"/>
        <v>NOT PAID</v>
      </c>
      <c r="J210" s="406"/>
      <c r="K210" s="349"/>
      <c r="L210" s="413"/>
      <c r="M210" s="349"/>
      <c r="N210" s="413"/>
      <c r="O210" s="402"/>
      <c r="P210" s="402"/>
      <c r="Q210" s="402"/>
      <c r="R210" s="402"/>
      <c r="S210" s="402"/>
      <c r="T210" s="402"/>
      <c r="U210" s="402"/>
      <c r="V210" s="402"/>
      <c r="W210" s="402"/>
      <c r="X210" s="402"/>
      <c r="Y210" s="402"/>
      <c r="Z210" s="402"/>
      <c r="AA210" s="405"/>
      <c r="AB210" s="405"/>
      <c r="AC210" s="405"/>
      <c r="AD210" s="405"/>
      <c r="AE210" s="405"/>
      <c r="AF210" s="405"/>
      <c r="AG210" s="405"/>
    </row>
    <row r="211" ht="14.25" customHeight="1">
      <c r="A211" s="406">
        <v>45506.0</v>
      </c>
      <c r="B211" s="349" t="s">
        <v>2645</v>
      </c>
      <c r="C211" s="349" t="s">
        <v>2646</v>
      </c>
      <c r="D211" s="349" t="s">
        <v>54</v>
      </c>
      <c r="E211" s="349" t="s">
        <v>2442</v>
      </c>
      <c r="F211" s="413">
        <v>61009.0</v>
      </c>
      <c r="G211" s="413">
        <v>61009.0</v>
      </c>
      <c r="H211" s="349" t="s">
        <v>710</v>
      </c>
      <c r="I211" s="404" t="str">
        <f t="shared" si="9"/>
        <v>FULLY PAID</v>
      </c>
      <c r="J211" s="406"/>
      <c r="K211" s="349"/>
      <c r="L211" s="413"/>
      <c r="M211" s="349"/>
      <c r="N211" s="413"/>
      <c r="O211" s="402"/>
      <c r="P211" s="402"/>
      <c r="Q211" s="402"/>
      <c r="R211" s="402"/>
      <c r="S211" s="402"/>
      <c r="T211" s="402"/>
      <c r="U211" s="402"/>
      <c r="V211" s="402"/>
      <c r="W211" s="402"/>
      <c r="X211" s="402"/>
      <c r="Y211" s="402"/>
      <c r="Z211" s="402"/>
      <c r="AA211" s="405"/>
      <c r="AB211" s="405"/>
      <c r="AC211" s="405"/>
      <c r="AD211" s="405"/>
      <c r="AE211" s="405"/>
      <c r="AF211" s="405"/>
      <c r="AG211" s="405"/>
    </row>
    <row r="212" ht="14.25" customHeight="1">
      <c r="A212" s="406">
        <v>45506.0</v>
      </c>
      <c r="B212" s="349" t="s">
        <v>2530</v>
      </c>
      <c r="C212" s="349" t="s">
        <v>2647</v>
      </c>
      <c r="D212" s="349" t="s">
        <v>54</v>
      </c>
      <c r="E212" s="349" t="s">
        <v>2442</v>
      </c>
      <c r="F212" s="413">
        <v>30282.2</v>
      </c>
      <c r="G212" s="413">
        <v>21673.0</v>
      </c>
      <c r="H212" s="349" t="s">
        <v>1039</v>
      </c>
      <c r="I212" s="404" t="str">
        <f t="shared" si="9"/>
        <v>PARTIALLY PAID</v>
      </c>
      <c r="J212" s="406"/>
      <c r="K212" s="349"/>
      <c r="L212" s="413"/>
      <c r="M212" s="349"/>
      <c r="N212" s="413"/>
      <c r="O212" s="402"/>
      <c r="P212" s="402"/>
      <c r="Q212" s="402"/>
      <c r="R212" s="402"/>
      <c r="S212" s="402"/>
      <c r="T212" s="402"/>
      <c r="U212" s="402"/>
      <c r="V212" s="402"/>
      <c r="W212" s="402"/>
      <c r="X212" s="402"/>
      <c r="Y212" s="402"/>
      <c r="Z212" s="402"/>
      <c r="AA212" s="405"/>
      <c r="AB212" s="405"/>
      <c r="AC212" s="405"/>
      <c r="AD212" s="405"/>
      <c r="AE212" s="405"/>
      <c r="AF212" s="405"/>
      <c r="AG212" s="405"/>
    </row>
    <row r="213" ht="14.25" customHeight="1">
      <c r="A213" s="406">
        <v>45506.0</v>
      </c>
      <c r="B213" s="417" t="s">
        <v>2571</v>
      </c>
      <c r="C213" s="418" t="s">
        <v>2572</v>
      </c>
      <c r="D213" s="418" t="s">
        <v>54</v>
      </c>
      <c r="E213" s="418" t="s">
        <v>2442</v>
      </c>
      <c r="F213" s="667">
        <v>4000.0</v>
      </c>
      <c r="G213" s="677"/>
      <c r="H213" s="349" t="s">
        <v>2229</v>
      </c>
      <c r="I213" s="404" t="str">
        <f t="shared" si="9"/>
        <v>NOT PAID</v>
      </c>
      <c r="J213" s="402"/>
      <c r="K213" s="402"/>
      <c r="L213" s="402"/>
      <c r="M213" s="402"/>
      <c r="N213" s="402"/>
      <c r="O213" s="402"/>
      <c r="P213" s="402"/>
      <c r="Q213" s="402"/>
      <c r="R213" s="402"/>
      <c r="S213" s="402"/>
      <c r="T213" s="402"/>
      <c r="U213" s="402"/>
      <c r="V213" s="402"/>
      <c r="W213" s="402"/>
      <c r="X213" s="402"/>
      <c r="Y213" s="402"/>
      <c r="Z213" s="402"/>
      <c r="AA213" s="405"/>
      <c r="AB213" s="405"/>
      <c r="AC213" s="405"/>
      <c r="AD213" s="405"/>
      <c r="AE213" s="405"/>
      <c r="AF213" s="405"/>
      <c r="AG213" s="405"/>
    </row>
    <row r="214" ht="14.25" customHeight="1">
      <c r="A214" s="406">
        <v>45506.0</v>
      </c>
      <c r="B214" s="349" t="s">
        <v>2510</v>
      </c>
      <c r="C214" s="484" t="s">
        <v>2593</v>
      </c>
      <c r="D214" s="349" t="s">
        <v>54</v>
      </c>
      <c r="E214" s="349" t="s">
        <v>2442</v>
      </c>
      <c r="F214" s="662">
        <v>5000.0</v>
      </c>
      <c r="G214" s="403"/>
      <c r="H214" s="349" t="s">
        <v>2622</v>
      </c>
      <c r="I214" s="404" t="str">
        <f t="shared" si="9"/>
        <v>NOT PAID</v>
      </c>
      <c r="J214" s="402"/>
      <c r="K214" s="402"/>
      <c r="L214" s="402"/>
      <c r="M214" s="402"/>
      <c r="N214" s="402"/>
      <c r="O214" s="402"/>
      <c r="P214" s="402"/>
      <c r="Q214" s="402"/>
      <c r="R214" s="402"/>
      <c r="S214" s="402"/>
      <c r="T214" s="402"/>
      <c r="U214" s="402"/>
      <c r="V214" s="402"/>
      <c r="W214" s="402"/>
      <c r="X214" s="402"/>
      <c r="Y214" s="402"/>
      <c r="Z214" s="402"/>
      <c r="AA214" s="405"/>
      <c r="AB214" s="405"/>
      <c r="AC214" s="405"/>
      <c r="AD214" s="405"/>
      <c r="AE214" s="405"/>
      <c r="AF214" s="405"/>
      <c r="AG214" s="405"/>
    </row>
    <row r="215" ht="14.25" customHeight="1">
      <c r="A215" s="406">
        <v>45506.0</v>
      </c>
      <c r="B215" s="349" t="s">
        <v>2463</v>
      </c>
      <c r="C215" s="484" t="s">
        <v>2600</v>
      </c>
      <c r="D215" s="349" t="s">
        <v>54</v>
      </c>
      <c r="E215" s="349" t="s">
        <v>2442</v>
      </c>
      <c r="F215" s="559">
        <v>192425.0</v>
      </c>
      <c r="G215" s="403"/>
      <c r="H215" s="349" t="s">
        <v>2648</v>
      </c>
      <c r="I215" s="404" t="str">
        <f t="shared" si="9"/>
        <v>NOT PAID</v>
      </c>
      <c r="J215" s="402"/>
      <c r="K215" s="402"/>
      <c r="L215" s="402"/>
      <c r="M215" s="402"/>
      <c r="N215" s="402"/>
      <c r="O215" s="402"/>
      <c r="P215" s="402"/>
      <c r="Q215" s="402"/>
      <c r="R215" s="402"/>
      <c r="S215" s="402"/>
      <c r="T215" s="402"/>
      <c r="U215" s="402"/>
      <c r="V215" s="402"/>
      <c r="W215" s="402"/>
      <c r="X215" s="402"/>
      <c r="Y215" s="402"/>
      <c r="Z215" s="402"/>
      <c r="AA215" s="405"/>
      <c r="AB215" s="405"/>
      <c r="AC215" s="405"/>
      <c r="AD215" s="405"/>
      <c r="AE215" s="405"/>
      <c r="AF215" s="405"/>
      <c r="AG215" s="405"/>
    </row>
    <row r="216" ht="14.25" customHeight="1">
      <c r="A216" s="406">
        <v>45506.0</v>
      </c>
      <c r="B216" s="349" t="s">
        <v>2613</v>
      </c>
      <c r="C216" s="349" t="s">
        <v>2614</v>
      </c>
      <c r="D216" s="349" t="s">
        <v>54</v>
      </c>
      <c r="E216" s="349" t="s">
        <v>2442</v>
      </c>
      <c r="F216" s="413">
        <v>90000.0</v>
      </c>
      <c r="G216" s="413">
        <v>90000.0</v>
      </c>
      <c r="H216" s="349" t="s">
        <v>267</v>
      </c>
      <c r="I216" s="404" t="str">
        <f t="shared" si="9"/>
        <v>FULLY PAID</v>
      </c>
      <c r="J216" s="402"/>
      <c r="K216" s="402"/>
      <c r="L216" s="402"/>
      <c r="M216" s="402"/>
      <c r="N216" s="402"/>
      <c r="O216" s="402"/>
      <c r="P216" s="402"/>
      <c r="Q216" s="402"/>
      <c r="R216" s="402"/>
      <c r="S216" s="402"/>
      <c r="T216" s="402"/>
      <c r="U216" s="402"/>
      <c r="V216" s="402"/>
      <c r="W216" s="402"/>
      <c r="X216" s="402"/>
      <c r="Y216" s="402"/>
      <c r="Z216" s="402"/>
      <c r="AA216" s="405"/>
      <c r="AB216" s="405"/>
      <c r="AC216" s="405"/>
      <c r="AD216" s="405"/>
      <c r="AE216" s="405"/>
      <c r="AF216" s="405"/>
      <c r="AG216" s="405"/>
    </row>
    <row r="217" ht="14.25" customHeight="1">
      <c r="A217" s="406">
        <v>45506.0</v>
      </c>
      <c r="B217" s="349" t="s">
        <v>2493</v>
      </c>
      <c r="C217" s="349" t="s">
        <v>2494</v>
      </c>
      <c r="D217" s="349" t="s">
        <v>54</v>
      </c>
      <c r="E217" s="349" t="s">
        <v>2442</v>
      </c>
      <c r="F217" s="662">
        <v>50000.0</v>
      </c>
      <c r="G217" s="403"/>
      <c r="H217" s="349" t="s">
        <v>2649</v>
      </c>
      <c r="I217" s="404" t="str">
        <f t="shared" si="9"/>
        <v>NOT PAID</v>
      </c>
      <c r="J217" s="402"/>
      <c r="K217" s="402"/>
      <c r="L217" s="402"/>
      <c r="M217" s="402"/>
      <c r="N217" s="402"/>
      <c r="O217" s="402"/>
      <c r="P217" s="402"/>
      <c r="Q217" s="402"/>
      <c r="R217" s="402"/>
      <c r="S217" s="402"/>
      <c r="T217" s="402"/>
      <c r="U217" s="402"/>
      <c r="V217" s="402"/>
      <c r="W217" s="402"/>
      <c r="X217" s="402"/>
      <c r="Y217" s="402"/>
      <c r="Z217" s="402"/>
      <c r="AA217" s="405"/>
      <c r="AB217" s="405"/>
      <c r="AC217" s="405"/>
      <c r="AD217" s="405"/>
      <c r="AE217" s="405"/>
      <c r="AF217" s="405"/>
      <c r="AG217" s="405"/>
    </row>
    <row r="218" ht="14.25" customHeight="1">
      <c r="A218" s="406">
        <v>45506.0</v>
      </c>
      <c r="B218" s="417" t="s">
        <v>2455</v>
      </c>
      <c r="C218" s="418" t="s">
        <v>2456</v>
      </c>
      <c r="D218" s="418" t="s">
        <v>54</v>
      </c>
      <c r="E218" s="418" t="s">
        <v>2442</v>
      </c>
      <c r="F218" s="667">
        <v>10000.0</v>
      </c>
      <c r="G218" s="403"/>
      <c r="H218" s="349" t="s">
        <v>2229</v>
      </c>
      <c r="I218" s="404" t="str">
        <f t="shared" si="9"/>
        <v>NOT PAID</v>
      </c>
      <c r="J218" s="402"/>
      <c r="K218" s="402"/>
      <c r="L218" s="402"/>
      <c r="M218" s="402"/>
      <c r="N218" s="402"/>
      <c r="O218" s="402"/>
      <c r="P218" s="402"/>
      <c r="Q218" s="402"/>
      <c r="R218" s="402"/>
      <c r="S218" s="402"/>
      <c r="T218" s="402"/>
      <c r="U218" s="402"/>
      <c r="V218" s="402"/>
      <c r="W218" s="402"/>
      <c r="X218" s="402"/>
      <c r="Y218" s="402"/>
      <c r="Z218" s="402"/>
      <c r="AA218" s="405"/>
      <c r="AB218" s="405"/>
      <c r="AC218" s="405"/>
      <c r="AD218" s="405"/>
      <c r="AE218" s="405"/>
      <c r="AF218" s="405"/>
      <c r="AG218" s="405"/>
    </row>
    <row r="219" ht="14.25" customHeight="1">
      <c r="A219" s="406">
        <v>45506.0</v>
      </c>
      <c r="B219" s="349" t="s">
        <v>2551</v>
      </c>
      <c r="C219" s="349" t="s">
        <v>2458</v>
      </c>
      <c r="D219" s="349" t="s">
        <v>54</v>
      </c>
      <c r="E219" s="418" t="s">
        <v>2442</v>
      </c>
      <c r="F219" s="662">
        <v>20000.0</v>
      </c>
      <c r="G219" s="413">
        <v>68125.0</v>
      </c>
      <c r="H219" s="349" t="s">
        <v>710</v>
      </c>
      <c r="I219" s="404" t="str">
        <f t="shared" si="9"/>
        <v>FULLY PAID</v>
      </c>
      <c r="J219" s="402"/>
      <c r="K219" s="402"/>
      <c r="L219" s="402"/>
      <c r="M219" s="402"/>
      <c r="N219" s="402"/>
      <c r="O219" s="402"/>
      <c r="P219" s="402"/>
      <c r="Q219" s="402"/>
      <c r="R219" s="402"/>
      <c r="S219" s="402"/>
      <c r="T219" s="402"/>
      <c r="U219" s="402"/>
      <c r="V219" s="402"/>
      <c r="W219" s="402"/>
      <c r="X219" s="402"/>
      <c r="Y219" s="402"/>
      <c r="Z219" s="402"/>
      <c r="AA219" s="405"/>
      <c r="AB219" s="405"/>
      <c r="AC219" s="405"/>
      <c r="AD219" s="405"/>
      <c r="AE219" s="405"/>
      <c r="AF219" s="405"/>
      <c r="AG219" s="405"/>
    </row>
    <row r="220" ht="14.25" customHeight="1">
      <c r="A220" s="406">
        <v>45506.0</v>
      </c>
      <c r="B220" s="349" t="s">
        <v>2581</v>
      </c>
      <c r="C220" s="349" t="s">
        <v>2582</v>
      </c>
      <c r="D220" s="349" t="s">
        <v>54</v>
      </c>
      <c r="E220" s="349" t="s">
        <v>2442</v>
      </c>
      <c r="F220" s="413">
        <v>20000.0</v>
      </c>
      <c r="G220" s="403"/>
      <c r="H220" s="349" t="s">
        <v>2650</v>
      </c>
      <c r="I220" s="404" t="str">
        <f t="shared" si="9"/>
        <v>NOT PAID</v>
      </c>
      <c r="J220" s="402"/>
      <c r="K220" s="402"/>
      <c r="L220" s="402"/>
      <c r="M220" s="402"/>
      <c r="N220" s="402"/>
      <c r="O220" s="402"/>
      <c r="P220" s="402"/>
      <c r="Q220" s="402"/>
      <c r="R220" s="402"/>
      <c r="S220" s="402"/>
      <c r="T220" s="402"/>
      <c r="U220" s="402"/>
      <c r="V220" s="402"/>
      <c r="W220" s="402"/>
      <c r="X220" s="402"/>
      <c r="Y220" s="402"/>
      <c r="Z220" s="402"/>
      <c r="AA220" s="405"/>
      <c r="AB220" s="405"/>
      <c r="AC220" s="405"/>
      <c r="AD220" s="405"/>
      <c r="AE220" s="405"/>
      <c r="AF220" s="405"/>
      <c r="AG220" s="405"/>
    </row>
    <row r="221" ht="14.25" customHeight="1">
      <c r="A221" s="406">
        <v>45506.0</v>
      </c>
      <c r="B221" s="349" t="s">
        <v>2560</v>
      </c>
      <c r="C221" s="349" t="s">
        <v>2561</v>
      </c>
      <c r="D221" s="349" t="s">
        <v>54</v>
      </c>
      <c r="E221" s="349" t="s">
        <v>2442</v>
      </c>
      <c r="F221" s="662">
        <v>10000.0</v>
      </c>
      <c r="G221" s="403"/>
      <c r="H221" s="349" t="s">
        <v>2651</v>
      </c>
      <c r="I221" s="404" t="str">
        <f t="shared" si="9"/>
        <v>NOT PAID</v>
      </c>
      <c r="J221" s="402"/>
      <c r="K221" s="402"/>
      <c r="L221" s="402"/>
      <c r="M221" s="402"/>
      <c r="N221" s="402"/>
      <c r="O221" s="402"/>
      <c r="P221" s="402"/>
      <c r="Q221" s="402"/>
      <c r="R221" s="402"/>
      <c r="S221" s="402"/>
      <c r="T221" s="402"/>
      <c r="U221" s="402"/>
      <c r="V221" s="402"/>
      <c r="W221" s="402"/>
      <c r="X221" s="402"/>
      <c r="Y221" s="402"/>
      <c r="Z221" s="402"/>
      <c r="AA221" s="405"/>
      <c r="AB221" s="405"/>
      <c r="AC221" s="405"/>
      <c r="AD221" s="405"/>
      <c r="AE221" s="405"/>
      <c r="AF221" s="405"/>
      <c r="AG221" s="405"/>
    </row>
    <row r="222" ht="14.25" customHeight="1">
      <c r="A222" s="406">
        <v>45506.0</v>
      </c>
      <c r="B222" s="349" t="s">
        <v>2652</v>
      </c>
      <c r="C222" s="349" t="s">
        <v>2653</v>
      </c>
      <c r="D222" s="349" t="s">
        <v>59</v>
      </c>
      <c r="E222" s="349" t="s">
        <v>2442</v>
      </c>
      <c r="F222" s="662">
        <v>50000.0</v>
      </c>
      <c r="G222" s="403"/>
      <c r="H222" s="349" t="s">
        <v>2654</v>
      </c>
      <c r="I222" s="404" t="str">
        <f t="shared" si="9"/>
        <v>NOT PAID</v>
      </c>
      <c r="J222" s="402"/>
      <c r="K222" s="402"/>
      <c r="L222" s="402"/>
      <c r="M222" s="402"/>
      <c r="N222" s="402"/>
      <c r="O222" s="402"/>
      <c r="P222" s="402"/>
      <c r="Q222" s="402"/>
      <c r="R222" s="402"/>
      <c r="S222" s="402"/>
      <c r="T222" s="402"/>
      <c r="U222" s="402"/>
      <c r="V222" s="402"/>
      <c r="W222" s="402"/>
      <c r="X222" s="402"/>
      <c r="Y222" s="402"/>
      <c r="Z222" s="402"/>
      <c r="AA222" s="405"/>
      <c r="AB222" s="405"/>
      <c r="AC222" s="405"/>
      <c r="AD222" s="405"/>
      <c r="AE222" s="405"/>
      <c r="AF222" s="405"/>
      <c r="AG222" s="405"/>
    </row>
    <row r="223" ht="14.25" customHeight="1">
      <c r="A223" s="406">
        <v>45506.0</v>
      </c>
      <c r="B223" s="349" t="s">
        <v>2655</v>
      </c>
      <c r="C223" s="349" t="s">
        <v>2656</v>
      </c>
      <c r="D223" s="349" t="s">
        <v>54</v>
      </c>
      <c r="E223" s="349" t="s">
        <v>2442</v>
      </c>
      <c r="F223" s="662">
        <v>10000.0</v>
      </c>
      <c r="G223" s="413">
        <v>20000.0</v>
      </c>
      <c r="H223" s="349" t="s">
        <v>710</v>
      </c>
      <c r="I223" s="404" t="str">
        <f t="shared" si="9"/>
        <v>FULLY PAID</v>
      </c>
      <c r="J223" s="402"/>
      <c r="K223" s="402"/>
      <c r="L223" s="402"/>
      <c r="M223" s="402"/>
      <c r="N223" s="402"/>
      <c r="O223" s="402"/>
      <c r="P223" s="402"/>
      <c r="Q223" s="402"/>
      <c r="R223" s="402"/>
      <c r="S223" s="402"/>
      <c r="T223" s="402"/>
      <c r="U223" s="402"/>
      <c r="V223" s="402"/>
      <c r="W223" s="402"/>
      <c r="X223" s="402"/>
      <c r="Y223" s="402"/>
      <c r="Z223" s="402"/>
      <c r="AA223" s="405"/>
      <c r="AB223" s="405"/>
      <c r="AC223" s="405"/>
      <c r="AD223" s="405"/>
      <c r="AE223" s="405"/>
      <c r="AF223" s="405"/>
      <c r="AG223" s="405"/>
    </row>
    <row r="224" ht="14.25" customHeight="1">
      <c r="G224" s="403"/>
      <c r="H224" s="402"/>
      <c r="I224" s="404" t="str">
        <f t="shared" si="9"/>
        <v>FULLY PAID</v>
      </c>
      <c r="J224" s="402"/>
      <c r="K224" s="402"/>
      <c r="L224" s="402"/>
      <c r="M224" s="402"/>
      <c r="N224" s="402"/>
      <c r="O224" s="402"/>
      <c r="P224" s="402"/>
      <c r="Q224" s="402"/>
      <c r="R224" s="402"/>
      <c r="S224" s="402"/>
      <c r="T224" s="402"/>
      <c r="U224" s="402"/>
      <c r="V224" s="402"/>
      <c r="W224" s="402"/>
      <c r="X224" s="402"/>
      <c r="Y224" s="402"/>
      <c r="Z224" s="402"/>
      <c r="AA224" s="405"/>
      <c r="AB224" s="405"/>
      <c r="AC224" s="405"/>
      <c r="AD224" s="405"/>
      <c r="AE224" s="405"/>
      <c r="AF224" s="405"/>
      <c r="AG224" s="405"/>
    </row>
    <row r="225" ht="14.25" customHeight="1">
      <c r="A225" s="406"/>
      <c r="B225" s="402"/>
      <c r="C225" s="402"/>
      <c r="D225" s="402"/>
      <c r="E225" s="402"/>
      <c r="F225" s="664"/>
      <c r="G225" s="403"/>
      <c r="H225" s="402"/>
      <c r="I225" s="404" t="str">
        <f t="shared" si="9"/>
        <v>FULLY PAID</v>
      </c>
      <c r="J225" s="402"/>
      <c r="K225" s="402"/>
      <c r="L225" s="402"/>
      <c r="M225" s="402"/>
      <c r="N225" s="402"/>
      <c r="O225" s="402"/>
      <c r="P225" s="402"/>
      <c r="Q225" s="402"/>
      <c r="R225" s="402"/>
      <c r="S225" s="402"/>
      <c r="T225" s="402"/>
      <c r="U225" s="402"/>
      <c r="V225" s="402"/>
      <c r="W225" s="402"/>
      <c r="X225" s="402"/>
      <c r="Y225" s="402"/>
      <c r="Z225" s="402"/>
      <c r="AA225" s="405"/>
      <c r="AB225" s="405"/>
      <c r="AC225" s="405"/>
      <c r="AD225" s="405"/>
      <c r="AE225" s="405"/>
      <c r="AF225" s="405"/>
      <c r="AG225" s="405"/>
    </row>
    <row r="226" ht="14.25" customHeight="1">
      <c r="A226" s="406"/>
      <c r="B226" s="402"/>
      <c r="C226" s="402"/>
      <c r="D226" s="402"/>
      <c r="E226" s="402"/>
      <c r="F226" s="664"/>
      <c r="G226" s="403"/>
      <c r="H226" s="402"/>
      <c r="I226" s="404" t="str">
        <f t="shared" si="9"/>
        <v>FULLY PAID</v>
      </c>
      <c r="J226" s="402"/>
      <c r="K226" s="402"/>
      <c r="L226" s="402"/>
      <c r="M226" s="402"/>
      <c r="N226" s="402"/>
      <c r="O226" s="402"/>
      <c r="P226" s="402"/>
      <c r="Q226" s="402"/>
      <c r="R226" s="402"/>
      <c r="S226" s="402"/>
      <c r="T226" s="402"/>
      <c r="U226" s="402"/>
      <c r="V226" s="402"/>
      <c r="W226" s="402"/>
      <c r="X226" s="402"/>
      <c r="Y226" s="402"/>
      <c r="Z226" s="402"/>
      <c r="AA226" s="405"/>
      <c r="AB226" s="405"/>
      <c r="AC226" s="405"/>
      <c r="AD226" s="405"/>
      <c r="AE226" s="405"/>
      <c r="AF226" s="405"/>
      <c r="AG226" s="405"/>
    </row>
    <row r="227" ht="14.25" customHeight="1">
      <c r="A227" s="402"/>
      <c r="B227" s="402"/>
      <c r="C227" s="402"/>
      <c r="D227" s="402"/>
      <c r="E227" s="402"/>
      <c r="F227" s="664"/>
      <c r="G227" s="403"/>
      <c r="H227" s="402"/>
      <c r="I227" s="404" t="str">
        <f t="shared" si="9"/>
        <v>FULLY PAID</v>
      </c>
      <c r="J227" s="402"/>
      <c r="K227" s="402"/>
      <c r="L227" s="402"/>
      <c r="M227" s="402"/>
      <c r="N227" s="402"/>
      <c r="O227" s="402"/>
      <c r="P227" s="402"/>
      <c r="Q227" s="402"/>
      <c r="R227" s="402"/>
      <c r="S227" s="402"/>
      <c r="T227" s="402"/>
      <c r="U227" s="402"/>
      <c r="V227" s="402"/>
      <c r="W227" s="402"/>
      <c r="X227" s="402"/>
      <c r="Y227" s="402"/>
      <c r="Z227" s="402"/>
      <c r="AA227" s="405"/>
      <c r="AB227" s="405"/>
      <c r="AC227" s="405"/>
      <c r="AD227" s="405"/>
      <c r="AE227" s="405"/>
      <c r="AF227" s="405"/>
      <c r="AG227" s="405"/>
    </row>
    <row r="228" ht="14.25" customHeight="1">
      <c r="A228" s="402"/>
      <c r="B228" s="402"/>
      <c r="C228" s="424" t="s">
        <v>107</v>
      </c>
      <c r="D228" s="402"/>
      <c r="E228" s="402"/>
      <c r="F228" s="664"/>
      <c r="G228" s="403"/>
      <c r="H228" s="402"/>
      <c r="I228" s="404" t="str">
        <f t="shared" si="9"/>
        <v>FULLY PAID</v>
      </c>
      <c r="J228" s="402"/>
      <c r="K228" s="402"/>
      <c r="L228" s="402"/>
      <c r="M228" s="402"/>
      <c r="N228" s="402"/>
      <c r="O228" s="402"/>
      <c r="P228" s="402"/>
      <c r="Q228" s="402"/>
      <c r="R228" s="402"/>
      <c r="S228" s="402"/>
      <c r="T228" s="402"/>
      <c r="U228" s="402"/>
      <c r="V228" s="402"/>
      <c r="W228" s="402"/>
      <c r="X228" s="402"/>
      <c r="Y228" s="402"/>
      <c r="Z228" s="402"/>
      <c r="AA228" s="405"/>
      <c r="AB228" s="405"/>
      <c r="AC228" s="405"/>
      <c r="AD228" s="405"/>
      <c r="AE228" s="405"/>
      <c r="AF228" s="405"/>
      <c r="AG228" s="405"/>
    </row>
    <row r="229" ht="14.25" customHeight="1">
      <c r="A229" s="406">
        <v>45506.0</v>
      </c>
      <c r="B229" s="678" t="s">
        <v>2496</v>
      </c>
      <c r="C229" s="482" t="s">
        <v>2497</v>
      </c>
      <c r="D229" s="679" t="s">
        <v>75</v>
      </c>
      <c r="E229" s="678" t="s">
        <v>2497</v>
      </c>
      <c r="F229" s="680">
        <v>81125.0</v>
      </c>
      <c r="G229" s="403"/>
      <c r="H229" s="349" t="s">
        <v>2657</v>
      </c>
      <c r="I229" s="404" t="str">
        <f t="shared" si="9"/>
        <v>NOT PAID</v>
      </c>
      <c r="J229" s="402"/>
      <c r="K229" s="402"/>
      <c r="L229" s="402"/>
      <c r="M229" s="402"/>
      <c r="N229" s="402"/>
      <c r="O229" s="402"/>
      <c r="P229" s="402"/>
      <c r="Q229" s="402"/>
      <c r="R229" s="402"/>
      <c r="S229" s="402"/>
      <c r="T229" s="402"/>
      <c r="U229" s="402"/>
      <c r="V229" s="402"/>
      <c r="W229" s="402"/>
      <c r="X229" s="402"/>
      <c r="Y229" s="402"/>
      <c r="Z229" s="402"/>
      <c r="AA229" s="405"/>
      <c r="AB229" s="405"/>
      <c r="AC229" s="405"/>
      <c r="AD229" s="405"/>
      <c r="AE229" s="405"/>
      <c r="AF229" s="405"/>
      <c r="AG229" s="405"/>
    </row>
    <row r="230" ht="14.25" customHeight="1">
      <c r="A230" s="406">
        <v>45506.0</v>
      </c>
      <c r="B230" s="349" t="s">
        <v>2471</v>
      </c>
      <c r="C230" s="349" t="s">
        <v>2472</v>
      </c>
      <c r="D230" s="349" t="s">
        <v>54</v>
      </c>
      <c r="E230" s="349" t="s">
        <v>2472</v>
      </c>
      <c r="F230" s="662">
        <v>512638.0</v>
      </c>
      <c r="G230" s="403"/>
      <c r="H230" s="349" t="s">
        <v>2658</v>
      </c>
      <c r="I230" s="404" t="str">
        <f t="shared" si="9"/>
        <v>NOT PAID</v>
      </c>
      <c r="J230" s="402"/>
      <c r="K230" s="402"/>
      <c r="L230" s="402"/>
      <c r="M230" s="402"/>
      <c r="N230" s="402"/>
      <c r="O230" s="402"/>
      <c r="P230" s="402"/>
      <c r="Q230" s="402"/>
      <c r="R230" s="402"/>
      <c r="S230" s="402"/>
      <c r="T230" s="402"/>
      <c r="U230" s="402"/>
      <c r="V230" s="402"/>
      <c r="W230" s="402"/>
      <c r="X230" s="402"/>
      <c r="Y230" s="402"/>
      <c r="Z230" s="402"/>
      <c r="AA230" s="405"/>
      <c r="AB230" s="405"/>
      <c r="AC230" s="405"/>
      <c r="AD230" s="405"/>
      <c r="AE230" s="405"/>
      <c r="AF230" s="405"/>
      <c r="AG230" s="405"/>
    </row>
    <row r="231" ht="14.25" customHeight="1">
      <c r="A231" s="406">
        <v>45506.0</v>
      </c>
      <c r="B231" s="349" t="s">
        <v>2659</v>
      </c>
      <c r="C231" s="349" t="s">
        <v>2660</v>
      </c>
      <c r="D231" s="349" t="s">
        <v>54</v>
      </c>
      <c r="E231" s="349" t="s">
        <v>2661</v>
      </c>
      <c r="F231" s="662">
        <v>50000.0</v>
      </c>
      <c r="G231" s="403"/>
      <c r="H231" s="349" t="s">
        <v>2662</v>
      </c>
      <c r="I231" s="404" t="str">
        <f t="shared" si="9"/>
        <v>NOT PAID</v>
      </c>
      <c r="J231" s="402"/>
      <c r="K231" s="402"/>
      <c r="L231" s="402"/>
      <c r="M231" s="402"/>
      <c r="N231" s="402"/>
      <c r="O231" s="402"/>
      <c r="P231" s="402"/>
      <c r="Q231" s="402"/>
      <c r="R231" s="402"/>
      <c r="S231" s="402"/>
      <c r="T231" s="402"/>
      <c r="U231" s="402"/>
      <c r="V231" s="402"/>
      <c r="W231" s="402"/>
      <c r="X231" s="402"/>
      <c r="Y231" s="402"/>
      <c r="Z231" s="402"/>
      <c r="AA231" s="405"/>
      <c r="AB231" s="405"/>
      <c r="AC231" s="405"/>
      <c r="AD231" s="405"/>
      <c r="AE231" s="405"/>
      <c r="AF231" s="405"/>
      <c r="AG231" s="405"/>
    </row>
    <row r="232" ht="14.25" customHeight="1">
      <c r="B232" s="402"/>
      <c r="C232" s="402"/>
      <c r="D232" s="402"/>
      <c r="E232" s="402"/>
      <c r="F232" s="664"/>
      <c r="G232" s="403"/>
      <c r="H232" s="402"/>
      <c r="I232" s="404" t="str">
        <f t="shared" si="9"/>
        <v>FULLY PAID</v>
      </c>
      <c r="J232" s="402"/>
      <c r="K232" s="402"/>
      <c r="L232" s="402"/>
      <c r="M232" s="402"/>
      <c r="N232" s="402"/>
      <c r="O232" s="402"/>
      <c r="P232" s="402"/>
      <c r="Q232" s="402"/>
      <c r="R232" s="402"/>
      <c r="S232" s="402"/>
      <c r="T232" s="402"/>
      <c r="U232" s="402"/>
      <c r="V232" s="402"/>
      <c r="W232" s="402"/>
      <c r="X232" s="402"/>
      <c r="Y232" s="402"/>
      <c r="Z232" s="402"/>
      <c r="AA232" s="405"/>
      <c r="AB232" s="405"/>
      <c r="AC232" s="405"/>
      <c r="AD232" s="405"/>
      <c r="AE232" s="405"/>
      <c r="AF232" s="405"/>
      <c r="AG232" s="405"/>
    </row>
    <row r="233" ht="14.25" customHeight="1">
      <c r="A233" s="402"/>
      <c r="B233" s="402"/>
      <c r="C233" s="402"/>
      <c r="D233" s="402"/>
      <c r="E233" s="402"/>
      <c r="F233" s="664"/>
      <c r="G233" s="403"/>
      <c r="H233" s="402"/>
      <c r="I233" s="404" t="str">
        <f t="shared" si="9"/>
        <v>FULLY PAID</v>
      </c>
      <c r="J233" s="402"/>
      <c r="K233" s="402"/>
      <c r="L233" s="402"/>
      <c r="M233" s="402"/>
      <c r="N233" s="402"/>
      <c r="O233" s="402"/>
      <c r="P233" s="402"/>
      <c r="Q233" s="402"/>
      <c r="R233" s="402"/>
      <c r="S233" s="402"/>
      <c r="T233" s="402"/>
      <c r="U233" s="402"/>
      <c r="V233" s="402"/>
      <c r="W233" s="402"/>
      <c r="X233" s="402"/>
      <c r="Y233" s="402"/>
      <c r="Z233" s="402"/>
      <c r="AA233" s="405"/>
      <c r="AB233" s="405"/>
      <c r="AC233" s="405"/>
      <c r="AD233" s="405"/>
      <c r="AE233" s="405"/>
      <c r="AF233" s="405"/>
      <c r="AG233" s="405"/>
    </row>
    <row r="234" ht="14.25" customHeight="1">
      <c r="A234" s="406">
        <v>45507.0</v>
      </c>
      <c r="B234" s="349" t="s">
        <v>2663</v>
      </c>
      <c r="C234" s="349" t="s">
        <v>2664</v>
      </c>
      <c r="D234" s="349" t="s">
        <v>54</v>
      </c>
      <c r="E234" s="349" t="s">
        <v>2442</v>
      </c>
      <c r="F234" s="413">
        <v>11323.26</v>
      </c>
      <c r="G234" s="413"/>
      <c r="H234" s="349" t="s">
        <v>2665</v>
      </c>
      <c r="I234" s="404" t="str">
        <f t="shared" si="9"/>
        <v>NOT PAID</v>
      </c>
      <c r="J234" s="406"/>
      <c r="K234" s="349"/>
      <c r="M234" s="402"/>
      <c r="N234" s="402"/>
      <c r="O234" s="402"/>
      <c r="P234" s="402"/>
      <c r="Q234" s="402"/>
      <c r="R234" s="402"/>
      <c r="S234" s="402"/>
      <c r="T234" s="402"/>
      <c r="U234" s="402"/>
      <c r="V234" s="402"/>
      <c r="W234" s="402"/>
      <c r="X234" s="402"/>
      <c r="Y234" s="402"/>
      <c r="Z234" s="402"/>
      <c r="AA234" s="405"/>
      <c r="AB234" s="405"/>
      <c r="AC234" s="405"/>
      <c r="AD234" s="405"/>
      <c r="AE234" s="405"/>
      <c r="AF234" s="405"/>
      <c r="AG234" s="405"/>
    </row>
    <row r="235" ht="14.25" customHeight="1">
      <c r="A235" s="406">
        <v>45507.0</v>
      </c>
      <c r="B235" s="349" t="s">
        <v>2581</v>
      </c>
      <c r="C235" s="349" t="s">
        <v>2582</v>
      </c>
      <c r="D235" s="349" t="s">
        <v>54</v>
      </c>
      <c r="E235" s="349" t="s">
        <v>2442</v>
      </c>
      <c r="F235" s="413">
        <v>22693.0</v>
      </c>
      <c r="G235" s="403"/>
      <c r="H235" s="349" t="s">
        <v>2666</v>
      </c>
      <c r="I235" s="404" t="str">
        <f t="shared" si="9"/>
        <v>NOT PAID</v>
      </c>
      <c r="J235" s="402"/>
      <c r="K235" s="402"/>
      <c r="L235" s="402"/>
      <c r="M235" s="402"/>
      <c r="N235" s="402"/>
      <c r="O235" s="402"/>
      <c r="P235" s="402"/>
      <c r="Q235" s="402"/>
      <c r="R235" s="402"/>
      <c r="S235" s="402"/>
      <c r="T235" s="402"/>
      <c r="U235" s="402"/>
      <c r="V235" s="402"/>
      <c r="W235" s="402"/>
      <c r="X235" s="402"/>
      <c r="Y235" s="402"/>
      <c r="Z235" s="402"/>
      <c r="AA235" s="405"/>
      <c r="AB235" s="405"/>
      <c r="AC235" s="405"/>
      <c r="AD235" s="405"/>
      <c r="AE235" s="405"/>
      <c r="AF235" s="405"/>
      <c r="AG235" s="405"/>
    </row>
    <row r="236" ht="14.25" customHeight="1">
      <c r="A236" s="406">
        <v>45507.0</v>
      </c>
      <c r="B236" s="417" t="s">
        <v>2455</v>
      </c>
      <c r="C236" s="418" t="s">
        <v>2456</v>
      </c>
      <c r="D236" s="418" t="s">
        <v>54</v>
      </c>
      <c r="E236" s="418" t="s">
        <v>2442</v>
      </c>
      <c r="F236" s="667">
        <v>10000.0</v>
      </c>
      <c r="G236" s="403"/>
      <c r="H236" s="349" t="s">
        <v>2667</v>
      </c>
      <c r="I236" s="404" t="str">
        <f t="shared" si="9"/>
        <v>NOT PAID</v>
      </c>
      <c r="J236" s="402"/>
      <c r="K236" s="402"/>
      <c r="L236" s="402"/>
      <c r="M236" s="402"/>
      <c r="N236" s="402"/>
      <c r="O236" s="402"/>
      <c r="P236" s="402"/>
      <c r="Q236" s="402"/>
      <c r="R236" s="402"/>
      <c r="S236" s="402"/>
      <c r="T236" s="402"/>
      <c r="U236" s="402"/>
      <c r="V236" s="402"/>
      <c r="W236" s="402"/>
      <c r="X236" s="402"/>
      <c r="Y236" s="402"/>
      <c r="Z236" s="402"/>
      <c r="AA236" s="405"/>
      <c r="AB236" s="405"/>
      <c r="AC236" s="405"/>
      <c r="AD236" s="405"/>
      <c r="AE236" s="405"/>
      <c r="AF236" s="405"/>
      <c r="AG236" s="405"/>
    </row>
    <row r="237" ht="14.25" customHeight="1">
      <c r="A237" s="406">
        <v>45507.0</v>
      </c>
      <c r="B237" s="349" t="s">
        <v>2463</v>
      </c>
      <c r="C237" s="484" t="s">
        <v>2600</v>
      </c>
      <c r="D237" s="349" t="s">
        <v>54</v>
      </c>
      <c r="E237" s="349" t="s">
        <v>2442</v>
      </c>
      <c r="F237" s="559">
        <v>192425.0</v>
      </c>
      <c r="G237" s="413">
        <v>192425.0</v>
      </c>
      <c r="H237" s="349" t="s">
        <v>710</v>
      </c>
      <c r="I237" s="404" t="str">
        <f t="shared" si="9"/>
        <v>FULLY PAID</v>
      </c>
      <c r="J237" s="402"/>
      <c r="K237" s="402"/>
      <c r="L237" s="402"/>
      <c r="M237" s="402"/>
      <c r="N237" s="402"/>
      <c r="O237" s="402"/>
      <c r="P237" s="402"/>
      <c r="Q237" s="402"/>
      <c r="R237" s="402"/>
      <c r="S237" s="402"/>
      <c r="T237" s="402"/>
      <c r="U237" s="402"/>
      <c r="V237" s="402"/>
      <c r="W237" s="402"/>
      <c r="X237" s="402"/>
      <c r="Y237" s="402"/>
      <c r="Z237" s="402"/>
      <c r="AA237" s="405"/>
      <c r="AB237" s="405"/>
      <c r="AC237" s="405"/>
      <c r="AD237" s="405"/>
      <c r="AE237" s="405"/>
      <c r="AF237" s="405"/>
      <c r="AG237" s="405"/>
    </row>
    <row r="238" ht="14.25" customHeight="1">
      <c r="A238" s="406">
        <v>45507.0</v>
      </c>
      <c r="B238" s="349" t="s">
        <v>2641</v>
      </c>
      <c r="C238" s="349" t="s">
        <v>2642</v>
      </c>
      <c r="D238" s="349" t="s">
        <v>54</v>
      </c>
      <c r="E238" s="349" t="s">
        <v>2442</v>
      </c>
      <c r="F238" s="559">
        <v>57548.49</v>
      </c>
      <c r="G238" s="403"/>
      <c r="H238" s="349" t="s">
        <v>2668</v>
      </c>
      <c r="I238" s="404" t="str">
        <f t="shared" si="9"/>
        <v>NOT PAID</v>
      </c>
      <c r="J238" s="402"/>
      <c r="K238" s="402"/>
      <c r="L238" s="402"/>
      <c r="M238" s="402"/>
      <c r="N238" s="402"/>
      <c r="O238" s="402"/>
      <c r="P238" s="402"/>
      <c r="Q238" s="402"/>
      <c r="R238" s="402"/>
      <c r="S238" s="402"/>
      <c r="T238" s="402"/>
      <c r="U238" s="402"/>
      <c r="V238" s="402"/>
      <c r="W238" s="402"/>
      <c r="X238" s="402"/>
      <c r="Y238" s="402"/>
      <c r="Z238" s="402"/>
      <c r="AA238" s="405"/>
      <c r="AB238" s="405"/>
      <c r="AC238" s="405"/>
      <c r="AD238" s="405"/>
      <c r="AE238" s="405"/>
      <c r="AF238" s="405"/>
      <c r="AG238" s="405"/>
    </row>
    <row r="239" ht="14.25" customHeight="1">
      <c r="A239" s="406">
        <v>45507.0</v>
      </c>
      <c r="B239" s="349" t="s">
        <v>2528</v>
      </c>
      <c r="C239" s="349" t="s">
        <v>2529</v>
      </c>
      <c r="D239" s="349" t="s">
        <v>346</v>
      </c>
      <c r="E239" s="349" t="s">
        <v>2442</v>
      </c>
      <c r="F239" s="413">
        <v>14470.0</v>
      </c>
      <c r="G239" s="403"/>
      <c r="H239" s="349" t="s">
        <v>2669</v>
      </c>
      <c r="I239" s="404" t="str">
        <f t="shared" si="9"/>
        <v>NOT PAID</v>
      </c>
      <c r="J239" s="402"/>
      <c r="K239" s="402"/>
      <c r="L239" s="402"/>
      <c r="M239" s="402"/>
      <c r="N239" s="402"/>
      <c r="O239" s="402"/>
      <c r="P239" s="402"/>
      <c r="Q239" s="402"/>
      <c r="R239" s="402"/>
      <c r="S239" s="402"/>
      <c r="T239" s="402"/>
      <c r="U239" s="402"/>
      <c r="V239" s="402"/>
      <c r="W239" s="402"/>
      <c r="X239" s="402"/>
      <c r="Y239" s="402"/>
      <c r="Z239" s="402"/>
      <c r="AA239" s="405"/>
      <c r="AB239" s="405"/>
      <c r="AC239" s="405"/>
      <c r="AD239" s="405"/>
      <c r="AE239" s="405"/>
      <c r="AF239" s="405"/>
      <c r="AG239" s="405"/>
    </row>
    <row r="240" ht="14.25" customHeight="1">
      <c r="A240" s="406">
        <v>45507.0</v>
      </c>
      <c r="B240" s="349" t="s">
        <v>2482</v>
      </c>
      <c r="C240" s="349" t="s">
        <v>2483</v>
      </c>
      <c r="D240" s="349" t="s">
        <v>54</v>
      </c>
      <c r="E240" s="349" t="s">
        <v>2442</v>
      </c>
      <c r="F240" s="413">
        <v>31012.0</v>
      </c>
      <c r="G240" s="403"/>
      <c r="H240" s="349" t="s">
        <v>2670</v>
      </c>
      <c r="I240" s="404" t="str">
        <f t="shared" si="9"/>
        <v>NOT PAID</v>
      </c>
      <c r="J240" s="402"/>
      <c r="K240" s="402"/>
      <c r="L240" s="402"/>
      <c r="M240" s="402"/>
      <c r="N240" s="402"/>
      <c r="O240" s="402"/>
      <c r="P240" s="402"/>
      <c r="Q240" s="402"/>
      <c r="R240" s="402"/>
      <c r="S240" s="402"/>
      <c r="T240" s="402"/>
      <c r="U240" s="402"/>
      <c r="V240" s="402"/>
      <c r="W240" s="402"/>
      <c r="X240" s="402"/>
      <c r="Y240" s="402"/>
      <c r="Z240" s="402"/>
      <c r="AA240" s="405"/>
      <c r="AB240" s="405"/>
      <c r="AC240" s="405"/>
      <c r="AD240" s="405"/>
      <c r="AE240" s="405"/>
      <c r="AF240" s="405"/>
      <c r="AG240" s="405"/>
    </row>
    <row r="241" ht="14.25" customHeight="1">
      <c r="A241" s="406">
        <v>45507.0</v>
      </c>
      <c r="B241" s="349" t="s">
        <v>2579</v>
      </c>
      <c r="C241" s="349" t="s">
        <v>2580</v>
      </c>
      <c r="D241" s="349" t="s">
        <v>54</v>
      </c>
      <c r="E241" s="349" t="s">
        <v>2442</v>
      </c>
      <c r="F241" s="559">
        <v>20000.0</v>
      </c>
      <c r="G241" s="403"/>
      <c r="H241" s="349" t="s">
        <v>2671</v>
      </c>
      <c r="I241" s="404" t="str">
        <f t="shared" si="9"/>
        <v>NOT PAID</v>
      </c>
      <c r="J241" s="402"/>
      <c r="K241" s="402"/>
      <c r="L241" s="402"/>
      <c r="M241" s="402"/>
      <c r="N241" s="402"/>
      <c r="O241" s="402"/>
      <c r="P241" s="402"/>
      <c r="Q241" s="402"/>
      <c r="R241" s="402"/>
      <c r="S241" s="402"/>
      <c r="T241" s="402"/>
      <c r="U241" s="402"/>
      <c r="V241" s="402"/>
      <c r="W241" s="402"/>
      <c r="X241" s="402"/>
      <c r="Y241" s="402"/>
      <c r="Z241" s="402"/>
      <c r="AA241" s="405"/>
      <c r="AB241" s="405"/>
      <c r="AC241" s="405"/>
      <c r="AD241" s="405"/>
      <c r="AE241" s="405"/>
      <c r="AF241" s="405"/>
      <c r="AG241" s="405"/>
    </row>
    <row r="242" ht="14.25" customHeight="1">
      <c r="A242" s="406">
        <v>45507.0</v>
      </c>
      <c r="B242" s="349" t="s">
        <v>2560</v>
      </c>
      <c r="C242" s="349" t="s">
        <v>2561</v>
      </c>
      <c r="D242" s="349" t="s">
        <v>54</v>
      </c>
      <c r="E242" s="349" t="s">
        <v>2442</v>
      </c>
      <c r="F242" s="662">
        <v>70000.0</v>
      </c>
      <c r="G242" s="403"/>
      <c r="H242" s="349" t="s">
        <v>2672</v>
      </c>
      <c r="I242" s="404" t="str">
        <f t="shared" si="9"/>
        <v>NOT PAID</v>
      </c>
      <c r="J242" s="402"/>
      <c r="K242" s="402"/>
      <c r="L242" s="402"/>
      <c r="M242" s="402"/>
      <c r="N242" s="402"/>
      <c r="O242" s="402"/>
      <c r="P242" s="402"/>
      <c r="Q242" s="402"/>
      <c r="R242" s="402"/>
      <c r="S242" s="402"/>
      <c r="T242" s="402"/>
      <c r="U242" s="402"/>
      <c r="V242" s="402"/>
      <c r="W242" s="402"/>
      <c r="X242" s="402"/>
      <c r="Y242" s="402"/>
      <c r="Z242" s="402"/>
      <c r="AA242" s="405"/>
      <c r="AB242" s="405"/>
      <c r="AC242" s="405"/>
      <c r="AD242" s="405"/>
      <c r="AE242" s="405"/>
      <c r="AF242" s="405"/>
      <c r="AG242" s="405"/>
    </row>
    <row r="243" ht="14.25" customHeight="1">
      <c r="A243" s="406">
        <v>45507.0</v>
      </c>
      <c r="B243" s="349" t="s">
        <v>2510</v>
      </c>
      <c r="C243" s="484" t="s">
        <v>2593</v>
      </c>
      <c r="D243" s="349" t="s">
        <v>54</v>
      </c>
      <c r="E243" s="349" t="s">
        <v>2442</v>
      </c>
      <c r="F243" s="662">
        <v>3000.0</v>
      </c>
      <c r="G243" s="413">
        <v>2000.0</v>
      </c>
      <c r="H243" s="349" t="s">
        <v>2622</v>
      </c>
      <c r="I243" s="404" t="str">
        <f t="shared" si="9"/>
        <v>PARTIALLY PAID</v>
      </c>
      <c r="J243" s="402"/>
      <c r="K243" s="402"/>
      <c r="L243" s="402"/>
      <c r="M243" s="402"/>
      <c r="N243" s="402"/>
      <c r="O243" s="402"/>
      <c r="P243" s="402"/>
      <c r="Q243" s="402"/>
      <c r="R243" s="402"/>
      <c r="S243" s="402"/>
      <c r="T243" s="402"/>
      <c r="U243" s="402"/>
      <c r="V243" s="402"/>
      <c r="W243" s="402"/>
      <c r="X243" s="402"/>
      <c r="Y243" s="402"/>
      <c r="Z243" s="402"/>
      <c r="AA243" s="405"/>
      <c r="AB243" s="405"/>
      <c r="AC243" s="405"/>
      <c r="AD243" s="405"/>
      <c r="AE243" s="405"/>
      <c r="AF243" s="405"/>
      <c r="AG243" s="405"/>
    </row>
    <row r="244" ht="14.25" customHeight="1">
      <c r="A244" s="406"/>
      <c r="B244" s="402"/>
      <c r="C244" s="402"/>
      <c r="D244" s="402"/>
      <c r="E244" s="402"/>
      <c r="F244" s="664"/>
      <c r="G244" s="403"/>
      <c r="H244" s="402"/>
      <c r="I244" s="404" t="str">
        <f t="shared" si="9"/>
        <v>FULLY PAID</v>
      </c>
      <c r="J244" s="402"/>
      <c r="K244" s="402"/>
      <c r="L244" s="402"/>
      <c r="M244" s="402"/>
      <c r="N244" s="402"/>
      <c r="O244" s="402"/>
      <c r="P244" s="402"/>
      <c r="Q244" s="402"/>
      <c r="R244" s="402"/>
      <c r="S244" s="402"/>
      <c r="T244" s="402"/>
      <c r="U244" s="402"/>
      <c r="V244" s="402"/>
      <c r="W244" s="402"/>
      <c r="X244" s="402"/>
      <c r="Y244" s="402"/>
      <c r="Z244" s="402"/>
      <c r="AA244" s="405"/>
      <c r="AB244" s="405"/>
      <c r="AC244" s="405"/>
      <c r="AD244" s="405"/>
      <c r="AE244" s="405"/>
      <c r="AF244" s="405"/>
      <c r="AG244" s="405"/>
    </row>
    <row r="245" ht="14.25" customHeight="1">
      <c r="A245" s="406"/>
      <c r="B245" s="402"/>
      <c r="C245" s="424" t="s">
        <v>797</v>
      </c>
      <c r="D245" s="402"/>
      <c r="E245" s="402"/>
      <c r="F245" s="664"/>
      <c r="G245" s="403"/>
      <c r="H245" s="402"/>
      <c r="I245" s="404" t="str">
        <f t="shared" si="9"/>
        <v>FULLY PAID</v>
      </c>
      <c r="J245" s="402"/>
      <c r="K245" s="402"/>
      <c r="L245" s="402"/>
      <c r="M245" s="402"/>
      <c r="N245" s="402"/>
      <c r="O245" s="402"/>
      <c r="P245" s="402"/>
      <c r="Q245" s="402"/>
      <c r="R245" s="402"/>
      <c r="S245" s="402"/>
      <c r="T245" s="402"/>
      <c r="U245" s="402"/>
      <c r="V245" s="402"/>
      <c r="W245" s="402"/>
      <c r="X245" s="402"/>
      <c r="Y245" s="402"/>
      <c r="Z245" s="402"/>
      <c r="AA245" s="405"/>
      <c r="AB245" s="405"/>
      <c r="AC245" s="405"/>
      <c r="AD245" s="405"/>
      <c r="AE245" s="405"/>
      <c r="AF245" s="405"/>
      <c r="AG245" s="405"/>
    </row>
    <row r="246" ht="14.25" customHeight="1">
      <c r="A246" s="406">
        <v>45507.0</v>
      </c>
      <c r="B246" s="436" t="s">
        <v>2496</v>
      </c>
      <c r="C246" s="435" t="s">
        <v>2497</v>
      </c>
      <c r="D246" s="668" t="s">
        <v>75</v>
      </c>
      <c r="E246" s="436" t="s">
        <v>2469</v>
      </c>
      <c r="F246" s="437">
        <v>72500.0</v>
      </c>
      <c r="G246" s="403"/>
      <c r="H246" s="349" t="s">
        <v>2635</v>
      </c>
      <c r="I246" s="404" t="str">
        <f t="shared" si="9"/>
        <v>NOT PAID</v>
      </c>
      <c r="J246" s="402"/>
      <c r="K246" s="402"/>
      <c r="L246" s="402"/>
      <c r="M246" s="402"/>
      <c r="N246" s="402"/>
      <c r="O246" s="402"/>
      <c r="P246" s="402"/>
      <c r="Q246" s="402"/>
      <c r="R246" s="402"/>
      <c r="S246" s="402"/>
      <c r="T246" s="402"/>
      <c r="U246" s="402"/>
      <c r="V246" s="402"/>
      <c r="W246" s="402"/>
      <c r="X246" s="402"/>
      <c r="Y246" s="402"/>
      <c r="Z246" s="402"/>
      <c r="AA246" s="405"/>
      <c r="AB246" s="405"/>
      <c r="AC246" s="405"/>
      <c r="AD246" s="405"/>
      <c r="AE246" s="405"/>
      <c r="AF246" s="405"/>
      <c r="AG246" s="405"/>
    </row>
    <row r="247" ht="14.25" customHeight="1">
      <c r="A247" s="406">
        <v>45507.0</v>
      </c>
      <c r="B247" s="439" t="s">
        <v>2471</v>
      </c>
      <c r="C247" s="438" t="s">
        <v>2472</v>
      </c>
      <c r="D247" s="669" t="s">
        <v>54</v>
      </c>
      <c r="E247" s="439" t="s">
        <v>2469</v>
      </c>
      <c r="F247" s="440">
        <v>512638.0</v>
      </c>
      <c r="G247" s="403"/>
      <c r="H247" s="349" t="s">
        <v>2473</v>
      </c>
      <c r="I247" s="404" t="str">
        <f t="shared" si="9"/>
        <v>NOT PAID</v>
      </c>
      <c r="J247" s="402"/>
      <c r="K247" s="402"/>
      <c r="L247" s="402"/>
      <c r="M247" s="402"/>
      <c r="N247" s="402"/>
      <c r="O247" s="402"/>
      <c r="P247" s="402"/>
      <c r="Q247" s="402"/>
      <c r="R247" s="402"/>
      <c r="S247" s="402"/>
      <c r="T247" s="402"/>
      <c r="U247" s="402"/>
      <c r="V247" s="402"/>
      <c r="W247" s="402"/>
      <c r="X247" s="402"/>
      <c r="Y247" s="402"/>
      <c r="Z247" s="402"/>
      <c r="AA247" s="405"/>
      <c r="AB247" s="405"/>
      <c r="AC247" s="405"/>
      <c r="AD247" s="405"/>
      <c r="AE247" s="405"/>
      <c r="AF247" s="405"/>
      <c r="AG247" s="405"/>
    </row>
    <row r="248" ht="14.25" customHeight="1">
      <c r="A248" s="406"/>
      <c r="B248" s="402"/>
      <c r="C248" s="402"/>
      <c r="D248" s="402"/>
      <c r="E248" s="402"/>
      <c r="F248" s="664"/>
      <c r="G248" s="403"/>
      <c r="H248" s="402"/>
      <c r="I248" s="404" t="str">
        <f t="shared" si="9"/>
        <v>FULLY PAID</v>
      </c>
      <c r="J248" s="402"/>
      <c r="K248" s="402"/>
      <c r="L248" s="402"/>
      <c r="M248" s="402"/>
      <c r="N248" s="402"/>
      <c r="O248" s="402"/>
      <c r="P248" s="402"/>
      <c r="Q248" s="402"/>
      <c r="R248" s="402"/>
      <c r="S248" s="402"/>
      <c r="T248" s="402"/>
      <c r="U248" s="402"/>
      <c r="V248" s="402"/>
      <c r="W248" s="402"/>
      <c r="X248" s="402"/>
      <c r="Y248" s="402"/>
      <c r="Z248" s="402"/>
      <c r="AA248" s="405"/>
      <c r="AB248" s="405"/>
      <c r="AC248" s="405"/>
      <c r="AD248" s="405"/>
      <c r="AE248" s="405"/>
      <c r="AF248" s="405"/>
      <c r="AG248" s="405"/>
    </row>
    <row r="249" ht="14.25" customHeight="1">
      <c r="A249" s="406">
        <v>45509.0</v>
      </c>
      <c r="B249" s="343" t="s">
        <v>2482</v>
      </c>
      <c r="C249" s="344" t="s">
        <v>2483</v>
      </c>
      <c r="D249" s="344" t="s">
        <v>54</v>
      </c>
      <c r="E249" s="344" t="s">
        <v>2442</v>
      </c>
      <c r="F249" s="430">
        <v>31012.0</v>
      </c>
      <c r="G249" s="403"/>
      <c r="H249" s="349" t="s">
        <v>2673</v>
      </c>
      <c r="I249" s="404" t="str">
        <f t="shared" si="9"/>
        <v>NOT PAID</v>
      </c>
      <c r="J249" s="402"/>
      <c r="K249" s="402"/>
      <c r="L249" s="402"/>
      <c r="M249" s="402"/>
      <c r="N249" s="402"/>
      <c r="O249" s="402"/>
      <c r="P249" s="402"/>
      <c r="Q249" s="402"/>
      <c r="R249" s="402"/>
      <c r="S249" s="402"/>
      <c r="T249" s="402"/>
      <c r="U249" s="402"/>
      <c r="V249" s="402"/>
      <c r="W249" s="402"/>
      <c r="X249" s="402"/>
      <c r="Y249" s="402"/>
      <c r="Z249" s="402"/>
      <c r="AA249" s="405"/>
      <c r="AB249" s="405"/>
      <c r="AC249" s="405"/>
      <c r="AD249" s="405"/>
      <c r="AE249" s="405"/>
      <c r="AF249" s="405"/>
      <c r="AG249" s="405"/>
    </row>
    <row r="250" ht="14.25" customHeight="1">
      <c r="A250" s="406">
        <v>45509.0</v>
      </c>
      <c r="B250" s="343" t="s">
        <v>2579</v>
      </c>
      <c r="C250" s="344" t="s">
        <v>2580</v>
      </c>
      <c r="D250" s="344" t="s">
        <v>54</v>
      </c>
      <c r="E250" s="344" t="s">
        <v>2442</v>
      </c>
      <c r="F250" s="430">
        <v>20000.0</v>
      </c>
      <c r="G250" s="403"/>
      <c r="H250" s="349" t="s">
        <v>2671</v>
      </c>
      <c r="I250" s="404" t="str">
        <f t="shared" si="9"/>
        <v>NOT PAID</v>
      </c>
      <c r="J250" s="402"/>
      <c r="K250" s="402"/>
      <c r="L250" s="402"/>
      <c r="M250" s="402"/>
      <c r="N250" s="402"/>
      <c r="O250" s="402"/>
      <c r="P250" s="402"/>
      <c r="Q250" s="402"/>
      <c r="R250" s="402"/>
      <c r="S250" s="402"/>
      <c r="T250" s="402"/>
      <c r="U250" s="402"/>
      <c r="V250" s="402"/>
      <c r="W250" s="402"/>
      <c r="X250" s="402"/>
      <c r="Y250" s="402"/>
      <c r="Z250" s="402"/>
      <c r="AA250" s="405"/>
      <c r="AB250" s="405"/>
      <c r="AC250" s="405"/>
      <c r="AD250" s="405"/>
      <c r="AE250" s="405"/>
      <c r="AF250" s="405"/>
      <c r="AG250" s="405"/>
    </row>
    <row r="251" ht="14.25" customHeight="1">
      <c r="A251" s="406">
        <v>45509.0</v>
      </c>
      <c r="B251" s="349" t="s">
        <v>2474</v>
      </c>
      <c r="C251" s="349" t="s">
        <v>2608</v>
      </c>
      <c r="D251" s="349" t="s">
        <v>54</v>
      </c>
      <c r="E251" s="349" t="s">
        <v>2442</v>
      </c>
      <c r="F251" s="413">
        <v>40318.0</v>
      </c>
      <c r="G251" s="413"/>
      <c r="H251" s="349" t="s">
        <v>2558</v>
      </c>
      <c r="I251" s="404" t="str">
        <f t="shared" si="9"/>
        <v>NOT PAID</v>
      </c>
      <c r="J251" s="406"/>
      <c r="K251" s="349"/>
      <c r="L251" s="413"/>
      <c r="M251" s="349"/>
      <c r="N251" s="413"/>
      <c r="O251" s="402"/>
      <c r="P251" s="402"/>
      <c r="Q251" s="402"/>
      <c r="R251" s="402"/>
      <c r="S251" s="402"/>
      <c r="T251" s="402"/>
      <c r="U251" s="402"/>
      <c r="V251" s="402"/>
      <c r="W251" s="402"/>
      <c r="X251" s="402"/>
      <c r="Y251" s="402"/>
      <c r="Z251" s="402"/>
      <c r="AA251" s="405"/>
      <c r="AB251" s="405"/>
      <c r="AC251" s="405"/>
      <c r="AD251" s="405"/>
      <c r="AE251" s="405"/>
      <c r="AF251" s="405"/>
      <c r="AG251" s="405"/>
    </row>
    <row r="252" ht="14.25" customHeight="1">
      <c r="A252" s="406">
        <v>45509.0</v>
      </c>
      <c r="B252" s="349" t="s">
        <v>2674</v>
      </c>
      <c r="C252" s="349" t="s">
        <v>2675</v>
      </c>
      <c r="D252" s="349" t="s">
        <v>54</v>
      </c>
      <c r="E252" s="349" t="s">
        <v>2442</v>
      </c>
      <c r="F252" s="413">
        <v>20935.0</v>
      </c>
      <c r="G252" s="413"/>
      <c r="H252" s="349" t="s">
        <v>2676</v>
      </c>
      <c r="I252" s="404" t="str">
        <f t="shared" si="9"/>
        <v>NOT PAID</v>
      </c>
      <c r="J252" s="406"/>
      <c r="K252" s="349"/>
      <c r="L252" s="349"/>
      <c r="M252" s="413"/>
      <c r="N252" s="413"/>
      <c r="O252" s="402"/>
      <c r="P252" s="402"/>
      <c r="Q252" s="402"/>
      <c r="R252" s="402"/>
      <c r="S252" s="402"/>
      <c r="T252" s="402"/>
      <c r="U252" s="402"/>
      <c r="V252" s="402"/>
      <c r="W252" s="402"/>
      <c r="X252" s="402"/>
      <c r="Y252" s="402"/>
      <c r="Z252" s="402"/>
      <c r="AA252" s="405"/>
      <c r="AB252" s="405"/>
      <c r="AC252" s="405"/>
      <c r="AD252" s="405"/>
      <c r="AE252" s="405"/>
      <c r="AF252" s="405"/>
      <c r="AG252" s="405"/>
    </row>
    <row r="253" ht="14.25" customHeight="1">
      <c r="A253" s="406">
        <v>45509.0</v>
      </c>
      <c r="B253" s="349" t="s">
        <v>2677</v>
      </c>
      <c r="C253" s="349" t="s">
        <v>2678</v>
      </c>
      <c r="D253" s="349" t="s">
        <v>54</v>
      </c>
      <c r="E253" s="349" t="s">
        <v>2442</v>
      </c>
      <c r="F253" s="413">
        <v>22073.0</v>
      </c>
      <c r="G253" s="413"/>
      <c r="H253" s="349" t="s">
        <v>2558</v>
      </c>
      <c r="I253" s="404" t="str">
        <f t="shared" si="9"/>
        <v>NOT PAID</v>
      </c>
      <c r="J253" s="406"/>
      <c r="K253" s="349"/>
      <c r="L253" s="413"/>
      <c r="M253" s="349"/>
      <c r="N253" s="413"/>
      <c r="O253" s="402"/>
      <c r="P253" s="402"/>
      <c r="Q253" s="402"/>
      <c r="R253" s="402"/>
      <c r="S253" s="402"/>
      <c r="T253" s="402"/>
      <c r="U253" s="402"/>
      <c r="V253" s="402"/>
      <c r="W253" s="402"/>
      <c r="X253" s="402"/>
      <c r="Y253" s="402"/>
      <c r="Z253" s="402"/>
      <c r="AA253" s="405"/>
      <c r="AB253" s="405"/>
      <c r="AC253" s="405"/>
      <c r="AD253" s="405"/>
      <c r="AE253" s="405"/>
      <c r="AF253" s="405"/>
      <c r="AG253" s="405"/>
    </row>
    <row r="254" ht="14.25" customHeight="1">
      <c r="A254" s="406">
        <v>45509.0</v>
      </c>
      <c r="B254" s="349" t="s">
        <v>2479</v>
      </c>
      <c r="C254" s="349" t="s">
        <v>2679</v>
      </c>
      <c r="D254" s="349" t="s">
        <v>54</v>
      </c>
      <c r="E254" s="349" t="s">
        <v>2442</v>
      </c>
      <c r="F254" s="662">
        <v>4000.0</v>
      </c>
      <c r="G254" s="559">
        <v>4000.0</v>
      </c>
      <c r="H254" s="402"/>
      <c r="I254" s="404" t="str">
        <f t="shared" si="9"/>
        <v>FULLY PAID</v>
      </c>
      <c r="J254" s="402"/>
      <c r="K254" s="402"/>
      <c r="L254" s="402"/>
      <c r="M254" s="402"/>
      <c r="N254" s="402"/>
      <c r="O254" s="402"/>
      <c r="P254" s="402"/>
      <c r="Q254" s="402"/>
      <c r="R254" s="402"/>
      <c r="S254" s="402"/>
      <c r="T254" s="402"/>
      <c r="U254" s="402"/>
      <c r="V254" s="402"/>
      <c r="W254" s="402"/>
      <c r="X254" s="402"/>
      <c r="Y254" s="402"/>
      <c r="Z254" s="402"/>
      <c r="AA254" s="405"/>
      <c r="AB254" s="405"/>
      <c r="AC254" s="405"/>
      <c r="AD254" s="405"/>
      <c r="AE254" s="405"/>
      <c r="AF254" s="405"/>
      <c r="AG254" s="405"/>
    </row>
    <row r="255" ht="14.25" customHeight="1">
      <c r="A255" s="406">
        <v>45509.0</v>
      </c>
      <c r="B255" s="349" t="s">
        <v>2485</v>
      </c>
      <c r="C255" s="349" t="s">
        <v>2680</v>
      </c>
      <c r="D255" s="349" t="s">
        <v>54</v>
      </c>
      <c r="E255" s="349" t="s">
        <v>2442</v>
      </c>
      <c r="F255" s="662">
        <v>10000.0</v>
      </c>
      <c r="G255" s="559">
        <v>10000.0</v>
      </c>
      <c r="H255" s="402"/>
      <c r="I255" s="404" t="str">
        <f t="shared" si="9"/>
        <v>FULLY PAID</v>
      </c>
      <c r="J255" s="402"/>
      <c r="K255" s="402"/>
      <c r="L255" s="402"/>
      <c r="M255" s="402"/>
      <c r="N255" s="402"/>
      <c r="O255" s="402"/>
      <c r="P255" s="402"/>
      <c r="Q255" s="402"/>
      <c r="R255" s="402"/>
      <c r="S255" s="402"/>
      <c r="T255" s="402"/>
      <c r="U255" s="402"/>
      <c r="V255" s="402"/>
      <c r="W255" s="402"/>
      <c r="X255" s="402"/>
      <c r="Y255" s="402"/>
      <c r="Z255" s="402"/>
      <c r="AA255" s="405"/>
      <c r="AB255" s="405"/>
      <c r="AC255" s="405"/>
      <c r="AD255" s="405"/>
      <c r="AE255" s="405"/>
      <c r="AF255" s="405"/>
      <c r="AG255" s="405"/>
    </row>
    <row r="256" ht="14.25" customHeight="1">
      <c r="A256" s="406">
        <v>45509.0</v>
      </c>
      <c r="B256" s="349" t="s">
        <v>2643</v>
      </c>
      <c r="C256" s="349" t="s">
        <v>2644</v>
      </c>
      <c r="D256" s="349" t="s">
        <v>54</v>
      </c>
      <c r="E256" s="349" t="s">
        <v>2442</v>
      </c>
      <c r="F256" s="662">
        <v>10000.0</v>
      </c>
      <c r="G256" s="403"/>
      <c r="H256" s="349" t="s">
        <v>2681</v>
      </c>
      <c r="I256" s="404" t="str">
        <f t="shared" si="9"/>
        <v>NOT PAID</v>
      </c>
      <c r="J256" s="402"/>
      <c r="K256" s="402"/>
      <c r="L256" s="402"/>
      <c r="M256" s="402"/>
      <c r="N256" s="402"/>
      <c r="O256" s="402"/>
      <c r="P256" s="402"/>
      <c r="Q256" s="402"/>
      <c r="R256" s="402"/>
      <c r="S256" s="402"/>
      <c r="T256" s="402"/>
      <c r="U256" s="402"/>
      <c r="V256" s="402"/>
      <c r="W256" s="402"/>
      <c r="X256" s="402"/>
      <c r="Y256" s="402"/>
      <c r="Z256" s="402"/>
      <c r="AA256" s="405"/>
      <c r="AB256" s="405"/>
      <c r="AC256" s="405"/>
      <c r="AD256" s="405"/>
      <c r="AE256" s="405"/>
      <c r="AF256" s="405"/>
      <c r="AG256" s="405"/>
    </row>
    <row r="257" ht="14.25" customHeight="1">
      <c r="A257" s="406">
        <v>45509.0</v>
      </c>
      <c r="B257" s="349" t="s">
        <v>2565</v>
      </c>
      <c r="C257" s="349" t="s">
        <v>2566</v>
      </c>
      <c r="D257" s="349" t="s">
        <v>54</v>
      </c>
      <c r="E257" s="349" t="s">
        <v>2442</v>
      </c>
      <c r="F257" s="676">
        <v>149161.0</v>
      </c>
      <c r="G257" s="403"/>
      <c r="H257" s="349" t="s">
        <v>2682</v>
      </c>
      <c r="I257" s="404" t="str">
        <f t="shared" si="9"/>
        <v>NOT PAID</v>
      </c>
      <c r="J257" s="402"/>
      <c r="K257" s="402"/>
      <c r="L257" s="402"/>
      <c r="M257" s="402"/>
      <c r="N257" s="402"/>
      <c r="O257" s="402"/>
      <c r="P257" s="402"/>
      <c r="Q257" s="402"/>
      <c r="R257" s="402"/>
      <c r="S257" s="402"/>
      <c r="T257" s="402"/>
      <c r="U257" s="402"/>
      <c r="V257" s="402"/>
      <c r="W257" s="402"/>
      <c r="X257" s="402"/>
      <c r="Y257" s="402"/>
      <c r="Z257" s="402"/>
      <c r="AA257" s="405"/>
      <c r="AB257" s="405"/>
      <c r="AC257" s="405"/>
      <c r="AD257" s="405"/>
      <c r="AE257" s="405"/>
      <c r="AF257" s="405"/>
      <c r="AG257" s="405"/>
    </row>
    <row r="258" ht="14.25" customHeight="1">
      <c r="A258" s="406">
        <v>45509.0</v>
      </c>
      <c r="B258" s="417" t="s">
        <v>2455</v>
      </c>
      <c r="C258" s="418" t="s">
        <v>2456</v>
      </c>
      <c r="D258" s="418" t="s">
        <v>54</v>
      </c>
      <c r="E258" s="418" t="s">
        <v>2442</v>
      </c>
      <c r="F258" s="667">
        <v>10000.0</v>
      </c>
      <c r="G258" s="403"/>
      <c r="H258" s="349" t="s">
        <v>2683</v>
      </c>
      <c r="I258" s="404" t="str">
        <f t="shared" si="9"/>
        <v>NOT PAID</v>
      </c>
      <c r="J258" s="402"/>
      <c r="K258" s="402"/>
      <c r="L258" s="402"/>
      <c r="M258" s="402"/>
      <c r="N258" s="402"/>
      <c r="O258" s="402"/>
      <c r="P258" s="402"/>
      <c r="Q258" s="402"/>
      <c r="R258" s="402"/>
      <c r="S258" s="402"/>
      <c r="T258" s="402"/>
      <c r="U258" s="402"/>
      <c r="V258" s="402"/>
      <c r="W258" s="402"/>
      <c r="X258" s="402"/>
      <c r="Y258" s="402"/>
      <c r="Z258" s="402"/>
      <c r="AA258" s="405"/>
      <c r="AB258" s="405"/>
      <c r="AC258" s="405"/>
      <c r="AD258" s="405"/>
      <c r="AE258" s="405"/>
      <c r="AF258" s="405"/>
      <c r="AG258" s="405"/>
    </row>
    <row r="259" ht="14.25" customHeight="1">
      <c r="A259" s="406">
        <v>45509.0</v>
      </c>
      <c r="B259" s="349" t="s">
        <v>2684</v>
      </c>
      <c r="C259" s="349" t="s">
        <v>2685</v>
      </c>
      <c r="D259" s="349" t="s">
        <v>54</v>
      </c>
      <c r="E259" s="349" t="s">
        <v>2442</v>
      </c>
      <c r="F259" s="413">
        <v>35782.0</v>
      </c>
      <c r="G259" s="413">
        <v>35784.0</v>
      </c>
      <c r="H259" s="406"/>
      <c r="I259" s="404" t="str">
        <f t="shared" si="9"/>
        <v>FULLY PAID</v>
      </c>
      <c r="J259" s="406"/>
      <c r="K259" s="349"/>
      <c r="L259" s="413"/>
      <c r="M259" s="349"/>
      <c r="N259" s="413"/>
      <c r="O259" s="402"/>
      <c r="P259" s="402"/>
      <c r="Q259" s="402"/>
      <c r="R259" s="402"/>
      <c r="S259" s="402"/>
      <c r="T259" s="402"/>
      <c r="U259" s="402"/>
      <c r="V259" s="402"/>
      <c r="W259" s="402"/>
      <c r="X259" s="402"/>
      <c r="Y259" s="402"/>
      <c r="Z259" s="402"/>
      <c r="AA259" s="405"/>
      <c r="AB259" s="405"/>
      <c r="AC259" s="405"/>
      <c r="AD259" s="405"/>
      <c r="AE259" s="405"/>
      <c r="AF259" s="405"/>
      <c r="AG259" s="405"/>
    </row>
    <row r="260" ht="14.25" customHeight="1">
      <c r="A260" s="406">
        <v>45509.0</v>
      </c>
      <c r="B260" s="349" t="s">
        <v>2686</v>
      </c>
      <c r="C260" s="349" t="s">
        <v>2687</v>
      </c>
      <c r="D260" s="349" t="s">
        <v>54</v>
      </c>
      <c r="E260" s="349" t="s">
        <v>2442</v>
      </c>
      <c r="F260" s="413">
        <v>17917.0</v>
      </c>
      <c r="G260" s="413"/>
      <c r="H260" s="349" t="s">
        <v>2688</v>
      </c>
      <c r="I260" s="404" t="str">
        <f t="shared" si="9"/>
        <v>NOT PAID</v>
      </c>
      <c r="J260" s="402"/>
      <c r="K260" s="349"/>
      <c r="L260" s="413"/>
      <c r="M260" s="349"/>
      <c r="N260" s="413"/>
      <c r="O260" s="402"/>
      <c r="P260" s="402"/>
      <c r="Q260" s="402"/>
      <c r="R260" s="402"/>
      <c r="S260" s="402"/>
      <c r="T260" s="402"/>
      <c r="U260" s="402"/>
      <c r="V260" s="402"/>
      <c r="W260" s="402"/>
      <c r="X260" s="402"/>
      <c r="Y260" s="402"/>
      <c r="Z260" s="402"/>
      <c r="AA260" s="405"/>
      <c r="AB260" s="405"/>
      <c r="AC260" s="405"/>
      <c r="AD260" s="405"/>
      <c r="AE260" s="405"/>
      <c r="AF260" s="405"/>
      <c r="AG260" s="405"/>
    </row>
    <row r="261" ht="14.25" customHeight="1">
      <c r="A261" s="406">
        <v>45509.0</v>
      </c>
      <c r="B261" s="349" t="s">
        <v>2512</v>
      </c>
      <c r="C261" s="349" t="s">
        <v>2513</v>
      </c>
      <c r="D261" s="349" t="s">
        <v>54</v>
      </c>
      <c r="E261" s="349" t="s">
        <v>2442</v>
      </c>
      <c r="F261" s="662">
        <v>10000.0</v>
      </c>
      <c r="G261" s="403"/>
      <c r="H261" s="349" t="s">
        <v>2689</v>
      </c>
      <c r="I261" s="404" t="str">
        <f t="shared" si="9"/>
        <v>NOT PAID</v>
      </c>
      <c r="J261" s="402"/>
      <c r="K261" s="402"/>
      <c r="L261" s="402"/>
      <c r="M261" s="402"/>
      <c r="N261" s="402"/>
      <c r="O261" s="402"/>
      <c r="P261" s="402"/>
      <c r="Q261" s="402"/>
      <c r="R261" s="402"/>
      <c r="S261" s="402"/>
      <c r="T261" s="402"/>
      <c r="U261" s="402"/>
      <c r="V261" s="402"/>
      <c r="W261" s="402"/>
      <c r="X261" s="402"/>
      <c r="Y261" s="402"/>
      <c r="Z261" s="402"/>
      <c r="AA261" s="405"/>
      <c r="AB261" s="405"/>
      <c r="AC261" s="405"/>
      <c r="AD261" s="405"/>
      <c r="AE261" s="405"/>
      <c r="AF261" s="405"/>
      <c r="AG261" s="405"/>
    </row>
    <row r="262" ht="14.25" customHeight="1">
      <c r="A262" s="406">
        <v>45509.0</v>
      </c>
      <c r="B262" s="417" t="s">
        <v>2460</v>
      </c>
      <c r="C262" s="418" t="s">
        <v>2461</v>
      </c>
      <c r="D262" s="418" t="s">
        <v>54</v>
      </c>
      <c r="E262" s="418" t="s">
        <v>2442</v>
      </c>
      <c r="F262" s="428">
        <v>119519.0</v>
      </c>
      <c r="G262" s="403"/>
      <c r="H262" s="349" t="s">
        <v>2690</v>
      </c>
      <c r="I262" s="404" t="str">
        <f t="shared" si="9"/>
        <v>NOT PAID</v>
      </c>
      <c r="J262" s="402"/>
      <c r="K262" s="402"/>
      <c r="L262" s="402"/>
      <c r="M262" s="402"/>
      <c r="N262" s="402"/>
      <c r="O262" s="402"/>
      <c r="P262" s="402"/>
      <c r="Q262" s="402"/>
      <c r="R262" s="402"/>
      <c r="S262" s="402"/>
      <c r="T262" s="402"/>
      <c r="U262" s="402"/>
      <c r="V262" s="402"/>
      <c r="W262" s="402"/>
      <c r="X262" s="402"/>
      <c r="Y262" s="402"/>
      <c r="Z262" s="402"/>
      <c r="AA262" s="405"/>
      <c r="AB262" s="405"/>
      <c r="AC262" s="405"/>
      <c r="AD262" s="405"/>
      <c r="AE262" s="405"/>
      <c r="AF262" s="405"/>
      <c r="AG262" s="405"/>
    </row>
    <row r="263" ht="14.25" customHeight="1">
      <c r="A263" s="406">
        <v>45509.0</v>
      </c>
      <c r="B263" s="343" t="s">
        <v>2508</v>
      </c>
      <c r="C263" s="344" t="s">
        <v>2509</v>
      </c>
      <c r="D263" s="344" t="s">
        <v>54</v>
      </c>
      <c r="E263" s="344" t="s">
        <v>2442</v>
      </c>
      <c r="F263" s="8">
        <v>20000.0</v>
      </c>
      <c r="G263" s="403"/>
      <c r="H263" s="349" t="s">
        <v>2691</v>
      </c>
      <c r="I263" s="404" t="str">
        <f t="shared" si="9"/>
        <v>NOT PAID</v>
      </c>
      <c r="J263" s="402"/>
      <c r="K263" s="402"/>
      <c r="L263" s="402"/>
      <c r="M263" s="402"/>
      <c r="N263" s="402"/>
      <c r="O263" s="402"/>
      <c r="P263" s="402"/>
      <c r="Q263" s="402"/>
      <c r="R263" s="402"/>
      <c r="S263" s="402"/>
      <c r="T263" s="402"/>
      <c r="U263" s="402"/>
      <c r="V263" s="402"/>
      <c r="W263" s="402"/>
      <c r="X263" s="402"/>
      <c r="Y263" s="402"/>
      <c r="Z263" s="402"/>
      <c r="AA263" s="405"/>
      <c r="AB263" s="405"/>
      <c r="AC263" s="405"/>
      <c r="AD263" s="405"/>
      <c r="AE263" s="405"/>
      <c r="AF263" s="405"/>
      <c r="AG263" s="405"/>
    </row>
    <row r="264" ht="14.25" customHeight="1">
      <c r="A264" s="406">
        <v>45509.0</v>
      </c>
      <c r="B264" s="349" t="s">
        <v>2563</v>
      </c>
      <c r="C264" s="349" t="s">
        <v>2564</v>
      </c>
      <c r="D264" s="349" t="s">
        <v>54</v>
      </c>
      <c r="E264" s="344" t="s">
        <v>2442</v>
      </c>
      <c r="F264" s="413">
        <v>14507.0</v>
      </c>
      <c r="G264" s="403"/>
      <c r="H264" s="349" t="s">
        <v>2558</v>
      </c>
      <c r="I264" s="404" t="str">
        <f t="shared" si="9"/>
        <v>NOT PAID</v>
      </c>
      <c r="J264" s="402"/>
      <c r="K264" s="402"/>
      <c r="L264" s="402"/>
      <c r="M264" s="402"/>
      <c r="N264" s="402"/>
      <c r="O264" s="402"/>
      <c r="P264" s="402"/>
      <c r="Q264" s="402"/>
      <c r="R264" s="402"/>
      <c r="S264" s="402"/>
      <c r="T264" s="402"/>
      <c r="U264" s="402"/>
      <c r="V264" s="402"/>
      <c r="W264" s="402"/>
      <c r="X264" s="402"/>
      <c r="Y264" s="402"/>
      <c r="Z264" s="402"/>
      <c r="AA264" s="405"/>
      <c r="AB264" s="405"/>
      <c r="AC264" s="405"/>
      <c r="AD264" s="405"/>
      <c r="AE264" s="405"/>
      <c r="AF264" s="405"/>
      <c r="AG264" s="405"/>
    </row>
    <row r="265" ht="14.25" customHeight="1">
      <c r="A265" s="406">
        <v>45509.0</v>
      </c>
      <c r="B265" s="349" t="s">
        <v>2571</v>
      </c>
      <c r="C265" s="349" t="s">
        <v>2692</v>
      </c>
      <c r="D265" s="349" t="s">
        <v>54</v>
      </c>
      <c r="E265" s="344" t="s">
        <v>2442</v>
      </c>
      <c r="F265" s="662">
        <v>3500.0</v>
      </c>
      <c r="G265" s="559">
        <v>3500.0</v>
      </c>
      <c r="H265" s="402"/>
      <c r="I265" s="404" t="str">
        <f t="shared" si="9"/>
        <v>FULLY PAID</v>
      </c>
      <c r="J265" s="402"/>
      <c r="K265" s="402"/>
      <c r="L265" s="402"/>
      <c r="M265" s="402"/>
      <c r="N265" s="402"/>
      <c r="O265" s="402"/>
      <c r="P265" s="402"/>
      <c r="Q265" s="402"/>
      <c r="R265" s="402"/>
      <c r="S265" s="402"/>
      <c r="T265" s="402"/>
      <c r="U265" s="402"/>
      <c r="V265" s="402"/>
      <c r="W265" s="402"/>
      <c r="X265" s="402"/>
      <c r="Y265" s="402"/>
      <c r="Z265" s="402"/>
      <c r="AA265" s="405"/>
      <c r="AB265" s="405"/>
      <c r="AC265" s="405"/>
      <c r="AD265" s="405"/>
      <c r="AE265" s="405"/>
      <c r="AF265" s="405"/>
      <c r="AG265" s="405"/>
    </row>
    <row r="266" ht="14.25" customHeight="1">
      <c r="A266" s="406">
        <v>45509.0</v>
      </c>
      <c r="B266" s="349" t="s">
        <v>2445</v>
      </c>
      <c r="C266" s="349" t="s">
        <v>2693</v>
      </c>
      <c r="D266" s="349" t="s">
        <v>54</v>
      </c>
      <c r="E266" s="344" t="s">
        <v>2442</v>
      </c>
      <c r="F266" s="662">
        <v>21595.0</v>
      </c>
      <c r="G266" s="559">
        <v>21595.0</v>
      </c>
      <c r="H266" s="402"/>
      <c r="I266" s="404" t="str">
        <f t="shared" si="9"/>
        <v>FULLY PAID</v>
      </c>
      <c r="J266" s="402"/>
      <c r="K266" s="402"/>
      <c r="L266" s="402"/>
      <c r="M266" s="402"/>
      <c r="N266" s="402"/>
      <c r="O266" s="402"/>
      <c r="P266" s="402"/>
      <c r="Q266" s="402"/>
      <c r="R266" s="402"/>
      <c r="S266" s="402"/>
      <c r="T266" s="402"/>
      <c r="U266" s="402"/>
      <c r="V266" s="402"/>
      <c r="W266" s="402"/>
      <c r="X266" s="402"/>
      <c r="Y266" s="402"/>
      <c r="Z266" s="402"/>
      <c r="AA266" s="405"/>
      <c r="AB266" s="405"/>
      <c r="AC266" s="405"/>
      <c r="AD266" s="405"/>
      <c r="AE266" s="405"/>
      <c r="AF266" s="405"/>
      <c r="AG266" s="405"/>
    </row>
    <row r="267" ht="14.25" customHeight="1">
      <c r="A267" s="406">
        <v>45509.0</v>
      </c>
      <c r="B267" s="349" t="s">
        <v>2641</v>
      </c>
      <c r="C267" s="349" t="s">
        <v>2642</v>
      </c>
      <c r="D267" s="349" t="s">
        <v>54</v>
      </c>
      <c r="E267" s="344" t="s">
        <v>2442</v>
      </c>
      <c r="F267" s="662">
        <v>57705.0</v>
      </c>
      <c r="G267" s="403"/>
      <c r="H267" s="349" t="s">
        <v>2694</v>
      </c>
      <c r="I267" s="404" t="str">
        <f t="shared" si="9"/>
        <v>NOT PAID</v>
      </c>
      <c r="J267" s="402"/>
      <c r="K267" s="402"/>
      <c r="L267" s="402"/>
      <c r="M267" s="402"/>
      <c r="N267" s="402"/>
      <c r="O267" s="402"/>
      <c r="P267" s="402"/>
      <c r="Q267" s="402"/>
      <c r="R267" s="402"/>
      <c r="S267" s="402"/>
      <c r="T267" s="402"/>
      <c r="U267" s="402"/>
      <c r="V267" s="402"/>
      <c r="W267" s="402"/>
      <c r="X267" s="402"/>
      <c r="Y267" s="402"/>
      <c r="Z267" s="402"/>
      <c r="AA267" s="405"/>
      <c r="AB267" s="405"/>
      <c r="AC267" s="405"/>
      <c r="AD267" s="405"/>
      <c r="AE267" s="405"/>
      <c r="AF267" s="405"/>
      <c r="AG267" s="405"/>
    </row>
    <row r="268" ht="14.25" customHeight="1">
      <c r="A268" s="406"/>
      <c r="B268" s="349"/>
      <c r="C268" s="349"/>
      <c r="D268" s="349"/>
      <c r="E268" s="344"/>
      <c r="F268" s="662"/>
      <c r="G268" s="403"/>
      <c r="H268" s="402"/>
      <c r="I268" s="404" t="str">
        <f t="shared" si="9"/>
        <v>FULLY PAID</v>
      </c>
      <c r="J268" s="402"/>
      <c r="K268" s="402"/>
      <c r="L268" s="402"/>
      <c r="M268" s="402"/>
      <c r="N268" s="402"/>
      <c r="O268" s="402"/>
      <c r="P268" s="402"/>
      <c r="Q268" s="402"/>
      <c r="R268" s="402"/>
      <c r="S268" s="402"/>
      <c r="T268" s="402"/>
      <c r="U268" s="402"/>
      <c r="V268" s="402"/>
      <c r="W268" s="402"/>
      <c r="X268" s="402"/>
      <c r="Y268" s="402"/>
      <c r="Z268" s="402"/>
      <c r="AA268" s="405"/>
      <c r="AB268" s="405"/>
      <c r="AC268" s="405"/>
      <c r="AD268" s="405"/>
      <c r="AE268" s="405"/>
      <c r="AF268" s="405"/>
      <c r="AG268" s="405"/>
    </row>
    <row r="269" ht="14.25" customHeight="1">
      <c r="A269" s="406"/>
      <c r="B269" s="349"/>
      <c r="C269" s="349"/>
      <c r="D269" s="349"/>
      <c r="E269" s="344"/>
      <c r="F269" s="662"/>
      <c r="G269" s="403"/>
      <c r="H269" s="402"/>
      <c r="I269" s="404" t="str">
        <f t="shared" si="9"/>
        <v>FULLY PAID</v>
      </c>
      <c r="J269" s="402"/>
      <c r="K269" s="402"/>
      <c r="L269" s="402"/>
      <c r="M269" s="402"/>
      <c r="N269" s="402"/>
      <c r="O269" s="402"/>
      <c r="P269" s="402"/>
      <c r="Q269" s="402"/>
      <c r="R269" s="402"/>
      <c r="S269" s="402"/>
      <c r="T269" s="402"/>
      <c r="U269" s="402"/>
      <c r="V269" s="402"/>
      <c r="W269" s="402"/>
      <c r="X269" s="402"/>
      <c r="Y269" s="402"/>
      <c r="Z269" s="402"/>
      <c r="AA269" s="405"/>
      <c r="AB269" s="405"/>
      <c r="AC269" s="405"/>
      <c r="AD269" s="405"/>
      <c r="AE269" s="405"/>
      <c r="AF269" s="405"/>
      <c r="AG269" s="405"/>
    </row>
    <row r="270" ht="14.25" customHeight="1">
      <c r="A270" s="406">
        <v>45509.0</v>
      </c>
      <c r="B270" s="349" t="s">
        <v>2560</v>
      </c>
      <c r="C270" s="349" t="s">
        <v>2561</v>
      </c>
      <c r="D270" s="349" t="s">
        <v>54</v>
      </c>
      <c r="E270" s="349" t="s">
        <v>2695</v>
      </c>
      <c r="F270" s="676">
        <v>104984.0</v>
      </c>
      <c r="G270" s="403"/>
      <c r="H270" s="349" t="s">
        <v>2696</v>
      </c>
      <c r="I270" s="404" t="str">
        <f t="shared" si="9"/>
        <v>NOT PAID</v>
      </c>
      <c r="J270" s="402"/>
      <c r="K270" s="402"/>
      <c r="L270" s="402"/>
      <c r="M270" s="402"/>
      <c r="N270" s="402"/>
      <c r="O270" s="402"/>
      <c r="P270" s="402"/>
      <c r="Q270" s="402"/>
      <c r="R270" s="402"/>
      <c r="S270" s="402"/>
      <c r="T270" s="402"/>
      <c r="U270" s="402"/>
      <c r="V270" s="402"/>
      <c r="W270" s="402"/>
      <c r="X270" s="402"/>
      <c r="Y270" s="402"/>
      <c r="Z270" s="402"/>
      <c r="AA270" s="405"/>
      <c r="AB270" s="405"/>
      <c r="AC270" s="405"/>
      <c r="AD270" s="405"/>
      <c r="AE270" s="405"/>
      <c r="AF270" s="405"/>
      <c r="AG270" s="405"/>
    </row>
    <row r="271" ht="14.25" customHeight="1">
      <c r="A271" s="406">
        <v>45509.0</v>
      </c>
      <c r="B271" s="436" t="s">
        <v>2496</v>
      </c>
      <c r="C271" s="435" t="s">
        <v>2497</v>
      </c>
      <c r="D271" s="668" t="s">
        <v>75</v>
      </c>
      <c r="E271" s="436" t="s">
        <v>2469</v>
      </c>
      <c r="F271" s="437">
        <v>72500.0</v>
      </c>
      <c r="G271" s="403"/>
      <c r="H271" s="349" t="s">
        <v>2635</v>
      </c>
      <c r="I271" s="404" t="str">
        <f t="shared" si="9"/>
        <v>NOT PAID</v>
      </c>
      <c r="J271" s="402"/>
      <c r="K271" s="402"/>
      <c r="L271" s="402"/>
      <c r="M271" s="402"/>
      <c r="N271" s="402"/>
      <c r="O271" s="402"/>
      <c r="P271" s="402"/>
      <c r="Q271" s="402"/>
      <c r="R271" s="402"/>
      <c r="S271" s="402"/>
      <c r="T271" s="402"/>
      <c r="U271" s="402"/>
      <c r="V271" s="402"/>
      <c r="W271" s="402"/>
      <c r="X271" s="402"/>
      <c r="Y271" s="402"/>
      <c r="Z271" s="402"/>
      <c r="AA271" s="405"/>
      <c r="AB271" s="405"/>
      <c r="AC271" s="405"/>
      <c r="AD271" s="405"/>
      <c r="AE271" s="405"/>
      <c r="AF271" s="405"/>
      <c r="AG271" s="405"/>
    </row>
    <row r="272" ht="14.25" customHeight="1">
      <c r="A272" s="406">
        <v>45509.0</v>
      </c>
      <c r="B272" s="439" t="s">
        <v>2471</v>
      </c>
      <c r="C272" s="438" t="s">
        <v>2472</v>
      </c>
      <c r="D272" s="669" t="s">
        <v>54</v>
      </c>
      <c r="E272" s="439" t="s">
        <v>2469</v>
      </c>
      <c r="F272" s="440">
        <v>512638.0</v>
      </c>
      <c r="G272" s="403"/>
      <c r="H272" s="349" t="s">
        <v>2473</v>
      </c>
      <c r="I272" s="404" t="str">
        <f t="shared" si="9"/>
        <v>NOT PAID</v>
      </c>
      <c r="J272" s="402"/>
      <c r="K272" s="402"/>
      <c r="L272" s="402"/>
      <c r="M272" s="402"/>
      <c r="N272" s="402"/>
      <c r="O272" s="402"/>
      <c r="P272" s="402"/>
      <c r="Q272" s="402"/>
      <c r="R272" s="402"/>
      <c r="S272" s="402"/>
      <c r="T272" s="402"/>
      <c r="U272" s="402"/>
      <c r="V272" s="402"/>
      <c r="W272" s="402"/>
      <c r="X272" s="402"/>
      <c r="Y272" s="402"/>
      <c r="Z272" s="402"/>
      <c r="AA272" s="405"/>
      <c r="AB272" s="405"/>
      <c r="AC272" s="405"/>
      <c r="AD272" s="405"/>
      <c r="AE272" s="405"/>
      <c r="AF272" s="405"/>
      <c r="AG272" s="405"/>
    </row>
    <row r="273" ht="14.25" customHeight="1">
      <c r="B273" s="402"/>
      <c r="C273" s="402"/>
      <c r="D273" s="402"/>
      <c r="E273" s="402"/>
      <c r="F273" s="664"/>
      <c r="G273" s="403"/>
      <c r="H273" s="402"/>
      <c r="I273" s="404" t="str">
        <f t="shared" si="9"/>
        <v>FULLY PAID</v>
      </c>
      <c r="J273" s="402"/>
      <c r="K273" s="402"/>
      <c r="L273" s="402"/>
      <c r="M273" s="402"/>
      <c r="N273" s="402"/>
      <c r="O273" s="402"/>
      <c r="P273" s="402"/>
      <c r="Q273" s="402"/>
      <c r="R273" s="402"/>
      <c r="S273" s="402"/>
      <c r="T273" s="402"/>
      <c r="U273" s="402"/>
      <c r="V273" s="402"/>
      <c r="W273" s="402"/>
      <c r="X273" s="402"/>
      <c r="Y273" s="402"/>
      <c r="Z273" s="402"/>
      <c r="AA273" s="405"/>
      <c r="AB273" s="405"/>
      <c r="AC273" s="405"/>
      <c r="AD273" s="405"/>
      <c r="AE273" s="405"/>
      <c r="AF273" s="405"/>
      <c r="AG273" s="405"/>
    </row>
    <row r="274" ht="14.25" customHeight="1">
      <c r="A274" s="402"/>
      <c r="B274" s="402"/>
      <c r="C274" s="402"/>
      <c r="D274" s="402"/>
      <c r="E274" s="402"/>
      <c r="F274" s="664"/>
      <c r="G274" s="403"/>
      <c r="H274" s="402"/>
      <c r="I274" s="404" t="str">
        <f t="shared" si="9"/>
        <v>FULLY PAID</v>
      </c>
      <c r="J274" s="402"/>
      <c r="K274" s="402"/>
      <c r="L274" s="402"/>
      <c r="M274" s="402"/>
      <c r="N274" s="402"/>
      <c r="O274" s="402"/>
      <c r="P274" s="402"/>
      <c r="Q274" s="402"/>
      <c r="R274" s="402"/>
      <c r="S274" s="402"/>
      <c r="T274" s="402"/>
      <c r="U274" s="402"/>
      <c r="V274" s="402"/>
      <c r="W274" s="402"/>
      <c r="X274" s="402"/>
      <c r="Y274" s="402"/>
      <c r="Z274" s="402"/>
      <c r="AA274" s="405"/>
      <c r="AB274" s="405"/>
      <c r="AC274" s="405"/>
      <c r="AD274" s="405"/>
      <c r="AE274" s="405"/>
      <c r="AF274" s="405"/>
      <c r="AG274" s="405"/>
    </row>
    <row r="275" ht="14.25" customHeight="1">
      <c r="A275" s="402"/>
      <c r="B275" s="402"/>
      <c r="C275" s="402"/>
      <c r="D275" s="402"/>
      <c r="E275" s="402"/>
      <c r="F275" s="664"/>
      <c r="G275" s="403"/>
      <c r="H275" s="402"/>
      <c r="I275" s="404" t="str">
        <f t="shared" si="9"/>
        <v>FULLY PAID</v>
      </c>
      <c r="J275" s="402"/>
      <c r="K275" s="402"/>
      <c r="L275" s="402"/>
      <c r="M275" s="402"/>
      <c r="N275" s="402"/>
      <c r="O275" s="402"/>
      <c r="P275" s="402"/>
      <c r="Q275" s="402"/>
      <c r="R275" s="402"/>
      <c r="S275" s="402"/>
      <c r="T275" s="402"/>
      <c r="U275" s="402"/>
      <c r="V275" s="402"/>
      <c r="W275" s="402"/>
      <c r="X275" s="402"/>
      <c r="Y275" s="402"/>
      <c r="Z275" s="402"/>
      <c r="AA275" s="405"/>
      <c r="AB275" s="405"/>
      <c r="AC275" s="405"/>
      <c r="AD275" s="405"/>
      <c r="AE275" s="405"/>
      <c r="AF275" s="405"/>
      <c r="AG275" s="405"/>
    </row>
    <row r="276" ht="14.25" customHeight="1">
      <c r="A276" s="406">
        <v>45510.0</v>
      </c>
      <c r="B276" s="349" t="s">
        <v>2697</v>
      </c>
      <c r="C276" s="349" t="s">
        <v>2698</v>
      </c>
      <c r="D276" s="349" t="s">
        <v>54</v>
      </c>
      <c r="E276" s="344" t="s">
        <v>2442</v>
      </c>
      <c r="F276" s="413">
        <v>55414.0</v>
      </c>
      <c r="G276" s="413"/>
      <c r="H276" s="349" t="s">
        <v>2699</v>
      </c>
      <c r="I276" s="404" t="str">
        <f t="shared" si="9"/>
        <v>NOT PAID</v>
      </c>
      <c r="J276" s="406"/>
      <c r="K276" s="349"/>
      <c r="L276" s="413"/>
      <c r="M276" s="349"/>
      <c r="N276" s="413"/>
      <c r="O276" s="402"/>
      <c r="P276" s="402"/>
      <c r="Q276" s="402"/>
      <c r="R276" s="402"/>
      <c r="S276" s="402"/>
      <c r="T276" s="402"/>
      <c r="U276" s="402"/>
      <c r="V276" s="402"/>
      <c r="W276" s="402"/>
      <c r="X276" s="402"/>
      <c r="Y276" s="402"/>
      <c r="Z276" s="402"/>
      <c r="AA276" s="405"/>
      <c r="AB276" s="405"/>
      <c r="AC276" s="405"/>
      <c r="AD276" s="405"/>
      <c r="AE276" s="405"/>
      <c r="AF276" s="405"/>
      <c r="AG276" s="405"/>
    </row>
    <row r="277" ht="14.25" customHeight="1">
      <c r="A277" s="406">
        <v>45510.0</v>
      </c>
      <c r="B277" s="349" t="s">
        <v>2474</v>
      </c>
      <c r="C277" s="349" t="s">
        <v>2608</v>
      </c>
      <c r="D277" s="349" t="s">
        <v>54</v>
      </c>
      <c r="E277" s="349" t="s">
        <v>2442</v>
      </c>
      <c r="F277" s="559">
        <v>40318.0</v>
      </c>
      <c r="G277" s="403"/>
      <c r="H277" s="349" t="s">
        <v>2700</v>
      </c>
      <c r="I277" s="404" t="str">
        <f t="shared" si="9"/>
        <v>NOT PAID</v>
      </c>
      <c r="J277" s="402"/>
      <c r="K277" s="402"/>
      <c r="L277" s="402"/>
      <c r="M277" s="402"/>
      <c r="N277" s="402"/>
      <c r="O277" s="402"/>
      <c r="P277" s="402"/>
      <c r="Q277" s="402"/>
      <c r="R277" s="402"/>
      <c r="S277" s="402"/>
      <c r="T277" s="402"/>
      <c r="U277" s="402"/>
      <c r="V277" s="402"/>
      <c r="W277" s="402"/>
      <c r="X277" s="402"/>
      <c r="Y277" s="402"/>
      <c r="Z277" s="402"/>
      <c r="AA277" s="405"/>
      <c r="AB277" s="405"/>
      <c r="AC277" s="405"/>
      <c r="AD277" s="405"/>
      <c r="AE277" s="405"/>
      <c r="AF277" s="405"/>
      <c r="AG277" s="405"/>
    </row>
    <row r="278" ht="14.25" customHeight="1">
      <c r="A278" s="406">
        <v>45510.0</v>
      </c>
      <c r="B278" s="402" t="s">
        <v>2508</v>
      </c>
      <c r="C278" s="402" t="s">
        <v>2509</v>
      </c>
      <c r="D278" s="402" t="s">
        <v>54</v>
      </c>
      <c r="E278" s="402" t="s">
        <v>2442</v>
      </c>
      <c r="F278" s="664">
        <v>20000.0</v>
      </c>
      <c r="G278" s="403"/>
      <c r="H278" s="349" t="s">
        <v>2701</v>
      </c>
      <c r="I278" s="404" t="str">
        <f t="shared" si="9"/>
        <v>NOT PAID</v>
      </c>
      <c r="J278" s="402"/>
      <c r="K278" s="402"/>
      <c r="L278" s="402"/>
      <c r="M278" s="402"/>
      <c r="N278" s="402"/>
      <c r="O278" s="402"/>
      <c r="P278" s="402"/>
      <c r="Q278" s="402"/>
      <c r="R278" s="402"/>
      <c r="S278" s="402"/>
      <c r="T278" s="402"/>
      <c r="U278" s="402"/>
      <c r="V278" s="402"/>
      <c r="W278" s="402"/>
      <c r="X278" s="402"/>
      <c r="Y278" s="402"/>
      <c r="Z278" s="402"/>
      <c r="AA278" s="405"/>
      <c r="AB278" s="405"/>
      <c r="AC278" s="405"/>
      <c r="AD278" s="405"/>
      <c r="AE278" s="405"/>
      <c r="AF278" s="405"/>
      <c r="AG278" s="405"/>
    </row>
    <row r="279" ht="14.25" customHeight="1">
      <c r="A279" s="406">
        <v>45510.0</v>
      </c>
      <c r="B279" s="417" t="s">
        <v>2565</v>
      </c>
      <c r="C279" s="418" t="s">
        <v>2566</v>
      </c>
      <c r="D279" s="418" t="s">
        <v>54</v>
      </c>
      <c r="E279" s="418" t="s">
        <v>2442</v>
      </c>
      <c r="F279" s="681">
        <v>149161.0</v>
      </c>
      <c r="G279" s="403"/>
      <c r="H279" s="349" t="s">
        <v>2702</v>
      </c>
      <c r="I279" s="404" t="str">
        <f t="shared" si="9"/>
        <v>NOT PAID</v>
      </c>
      <c r="J279" s="402"/>
      <c r="K279" s="402"/>
      <c r="L279" s="402"/>
      <c r="M279" s="402"/>
      <c r="N279" s="402"/>
      <c r="O279" s="402"/>
      <c r="P279" s="402"/>
      <c r="Q279" s="402"/>
      <c r="R279" s="402"/>
      <c r="S279" s="402"/>
      <c r="T279" s="402"/>
      <c r="U279" s="402"/>
      <c r="V279" s="402"/>
      <c r="W279" s="402"/>
      <c r="X279" s="402"/>
      <c r="Y279" s="402"/>
      <c r="Z279" s="402"/>
      <c r="AA279" s="405"/>
      <c r="AB279" s="405"/>
      <c r="AC279" s="405"/>
      <c r="AD279" s="405"/>
      <c r="AE279" s="405"/>
      <c r="AF279" s="405"/>
      <c r="AG279" s="405"/>
    </row>
    <row r="280" ht="14.25" customHeight="1">
      <c r="A280" s="406">
        <v>45510.0</v>
      </c>
      <c r="B280" s="518" t="s">
        <v>2455</v>
      </c>
      <c r="C280" s="344" t="s">
        <v>2456</v>
      </c>
      <c r="D280" s="344" t="s">
        <v>54</v>
      </c>
      <c r="E280" s="344" t="s">
        <v>2442</v>
      </c>
      <c r="F280" s="8">
        <v>10000.0</v>
      </c>
      <c r="G280" s="403"/>
      <c r="H280" s="349" t="s">
        <v>2683</v>
      </c>
      <c r="I280" s="404" t="str">
        <f t="shared" si="9"/>
        <v>NOT PAID</v>
      </c>
      <c r="J280" s="402"/>
      <c r="K280" s="402"/>
      <c r="L280" s="402"/>
      <c r="M280" s="402"/>
      <c r="N280" s="402"/>
      <c r="O280" s="402"/>
      <c r="P280" s="402"/>
      <c r="Q280" s="402"/>
      <c r="R280" s="402"/>
      <c r="S280" s="402"/>
      <c r="T280" s="402"/>
      <c r="U280" s="402"/>
      <c r="V280" s="402"/>
      <c r="W280" s="402"/>
      <c r="X280" s="402"/>
      <c r="Y280" s="402"/>
      <c r="Z280" s="402"/>
      <c r="AA280" s="405"/>
      <c r="AB280" s="405"/>
      <c r="AC280" s="405"/>
      <c r="AD280" s="405"/>
      <c r="AE280" s="405"/>
      <c r="AF280" s="405"/>
      <c r="AG280" s="405"/>
    </row>
    <row r="281" ht="14.25" customHeight="1">
      <c r="A281" s="406">
        <v>45510.0</v>
      </c>
      <c r="B281" s="518" t="s">
        <v>2512</v>
      </c>
      <c r="C281" s="344" t="s">
        <v>2513</v>
      </c>
      <c r="D281" s="344" t="s">
        <v>54</v>
      </c>
      <c r="E281" s="344" t="s">
        <v>2442</v>
      </c>
      <c r="F281" s="8">
        <v>10000.0</v>
      </c>
      <c r="G281" s="403"/>
      <c r="H281" s="349" t="s">
        <v>2703</v>
      </c>
      <c r="I281" s="404" t="str">
        <f t="shared" si="9"/>
        <v>NOT PAID</v>
      </c>
      <c r="J281" s="402"/>
      <c r="K281" s="402"/>
      <c r="L281" s="402"/>
      <c r="M281" s="402"/>
      <c r="N281" s="402"/>
      <c r="O281" s="402"/>
      <c r="P281" s="402"/>
      <c r="Q281" s="402"/>
      <c r="R281" s="402"/>
      <c r="S281" s="402"/>
      <c r="T281" s="402"/>
      <c r="U281" s="402"/>
      <c r="V281" s="402"/>
      <c r="W281" s="402"/>
      <c r="X281" s="402"/>
      <c r="Y281" s="402"/>
      <c r="Z281" s="402"/>
      <c r="AA281" s="405"/>
      <c r="AB281" s="405"/>
      <c r="AC281" s="405"/>
      <c r="AD281" s="405"/>
      <c r="AE281" s="405"/>
      <c r="AF281" s="405"/>
      <c r="AG281" s="405"/>
    </row>
    <row r="282" ht="14.25" customHeight="1">
      <c r="A282" s="406">
        <v>45510.0</v>
      </c>
      <c r="B282" s="407" t="s">
        <v>2482</v>
      </c>
      <c r="C282" s="418" t="s">
        <v>2483</v>
      </c>
      <c r="D282" s="418" t="s">
        <v>54</v>
      </c>
      <c r="E282" s="418" t="s">
        <v>2442</v>
      </c>
      <c r="F282" s="428">
        <v>31012.0</v>
      </c>
      <c r="G282" s="413">
        <v>1000.0</v>
      </c>
      <c r="H282" s="349" t="s">
        <v>2673</v>
      </c>
      <c r="I282" s="404" t="str">
        <f t="shared" si="9"/>
        <v>PARTIALLY PAID</v>
      </c>
      <c r="J282" s="402"/>
      <c r="K282" s="402"/>
      <c r="L282" s="402"/>
      <c r="M282" s="402"/>
      <c r="N282" s="402"/>
      <c r="O282" s="402"/>
      <c r="P282" s="402"/>
      <c r="Q282" s="402"/>
      <c r="R282" s="402"/>
      <c r="S282" s="402"/>
      <c r="T282" s="402"/>
      <c r="U282" s="402"/>
      <c r="V282" s="402"/>
      <c r="W282" s="402"/>
      <c r="X282" s="402"/>
      <c r="Y282" s="402"/>
      <c r="Z282" s="402"/>
      <c r="AA282" s="405"/>
      <c r="AB282" s="405"/>
      <c r="AC282" s="405"/>
      <c r="AD282" s="405"/>
      <c r="AE282" s="405"/>
      <c r="AF282" s="405"/>
      <c r="AG282" s="405"/>
    </row>
    <row r="283" ht="14.25" customHeight="1">
      <c r="A283" s="406">
        <v>45510.0</v>
      </c>
      <c r="B283" s="343" t="s">
        <v>2579</v>
      </c>
      <c r="C283" s="344" t="s">
        <v>2580</v>
      </c>
      <c r="D283" s="344" t="s">
        <v>54</v>
      </c>
      <c r="E283" s="344" t="s">
        <v>2442</v>
      </c>
      <c r="F283" s="430">
        <v>20000.0</v>
      </c>
      <c r="G283" s="403"/>
      <c r="H283" s="349" t="s">
        <v>2702</v>
      </c>
      <c r="I283" s="404" t="str">
        <f t="shared" si="9"/>
        <v>NOT PAID</v>
      </c>
      <c r="J283" s="402"/>
      <c r="K283" s="402"/>
      <c r="L283" s="402"/>
      <c r="M283" s="402"/>
      <c r="N283" s="402"/>
      <c r="O283" s="402"/>
      <c r="P283" s="402"/>
      <c r="Q283" s="402"/>
      <c r="R283" s="402"/>
      <c r="S283" s="402"/>
      <c r="T283" s="402"/>
      <c r="U283" s="402"/>
      <c r="V283" s="402"/>
      <c r="W283" s="402"/>
      <c r="X283" s="402"/>
      <c r="Y283" s="402"/>
      <c r="Z283" s="402"/>
      <c r="AA283" s="405"/>
      <c r="AB283" s="405"/>
      <c r="AC283" s="405"/>
      <c r="AD283" s="405"/>
      <c r="AE283" s="405"/>
      <c r="AF283" s="405"/>
      <c r="AG283" s="405"/>
    </row>
    <row r="284" ht="14.25" customHeight="1">
      <c r="A284" s="406">
        <v>45510.0</v>
      </c>
      <c r="B284" s="349" t="s">
        <v>2643</v>
      </c>
      <c r="C284" s="349" t="s">
        <v>2644</v>
      </c>
      <c r="D284" s="349" t="s">
        <v>54</v>
      </c>
      <c r="E284" s="349" t="s">
        <v>2442</v>
      </c>
      <c r="F284" s="662">
        <v>8000.0</v>
      </c>
      <c r="G284" s="403"/>
      <c r="H284" s="349" t="s">
        <v>2704</v>
      </c>
      <c r="I284" s="404" t="str">
        <f t="shared" si="9"/>
        <v>NOT PAID</v>
      </c>
      <c r="J284" s="402"/>
      <c r="K284" s="402"/>
      <c r="L284" s="402"/>
      <c r="M284" s="402"/>
      <c r="N284" s="402"/>
      <c r="O284" s="402"/>
      <c r="P284" s="402"/>
      <c r="Q284" s="402"/>
      <c r="R284" s="402"/>
      <c r="S284" s="402"/>
      <c r="T284" s="402"/>
      <c r="U284" s="402"/>
      <c r="V284" s="402"/>
      <c r="W284" s="402"/>
      <c r="X284" s="402"/>
      <c r="Y284" s="402"/>
      <c r="Z284" s="402"/>
      <c r="AA284" s="405"/>
      <c r="AB284" s="405"/>
      <c r="AC284" s="405"/>
      <c r="AD284" s="405"/>
      <c r="AE284" s="405"/>
      <c r="AF284" s="405"/>
      <c r="AG284" s="405"/>
    </row>
    <row r="285" ht="14.25" customHeight="1">
      <c r="A285" s="406">
        <v>45510.0</v>
      </c>
      <c r="B285" s="349" t="s">
        <v>2655</v>
      </c>
      <c r="C285" s="349" t="s">
        <v>2656</v>
      </c>
      <c r="D285" s="349" t="s">
        <v>54</v>
      </c>
      <c r="E285" s="349" t="s">
        <v>2442</v>
      </c>
      <c r="F285" s="413">
        <v>22073.0</v>
      </c>
      <c r="G285" s="413">
        <v>13000.0</v>
      </c>
      <c r="H285" s="349" t="s">
        <v>710</v>
      </c>
      <c r="I285" s="404" t="str">
        <f t="shared" si="9"/>
        <v>PARTIALLY PAID</v>
      </c>
      <c r="J285" s="402"/>
      <c r="K285" s="402"/>
      <c r="L285" s="402"/>
      <c r="M285" s="402"/>
      <c r="N285" s="402"/>
      <c r="O285" s="402"/>
      <c r="P285" s="402"/>
      <c r="Q285" s="402"/>
      <c r="R285" s="402"/>
      <c r="S285" s="402"/>
      <c r="T285" s="402"/>
      <c r="U285" s="402"/>
      <c r="V285" s="402"/>
      <c r="W285" s="402"/>
      <c r="X285" s="402"/>
      <c r="Y285" s="402"/>
      <c r="Z285" s="402"/>
      <c r="AA285" s="405"/>
      <c r="AB285" s="405"/>
      <c r="AC285" s="405"/>
      <c r="AD285" s="405"/>
      <c r="AE285" s="405"/>
      <c r="AF285" s="405"/>
      <c r="AG285" s="405"/>
    </row>
    <row r="286" ht="14.25" customHeight="1">
      <c r="A286" s="406">
        <v>45510.0</v>
      </c>
      <c r="B286" s="349" t="s">
        <v>2619</v>
      </c>
      <c r="C286" s="349" t="s">
        <v>2620</v>
      </c>
      <c r="D286" s="349" t="s">
        <v>54</v>
      </c>
      <c r="E286" s="349" t="s">
        <v>2442</v>
      </c>
      <c r="F286" s="413">
        <v>115136.0</v>
      </c>
      <c r="G286" s="403"/>
      <c r="H286" s="349" t="s">
        <v>2705</v>
      </c>
      <c r="I286" s="404" t="str">
        <f t="shared" si="9"/>
        <v>NOT PAID</v>
      </c>
      <c r="J286" s="402"/>
      <c r="K286" s="402"/>
      <c r="L286" s="402"/>
      <c r="M286" s="402"/>
      <c r="N286" s="402"/>
      <c r="O286" s="402"/>
      <c r="P286" s="402"/>
      <c r="Q286" s="402"/>
      <c r="R286" s="402"/>
      <c r="S286" s="402"/>
      <c r="T286" s="402"/>
      <c r="U286" s="402"/>
      <c r="V286" s="402"/>
      <c r="W286" s="402"/>
      <c r="X286" s="402"/>
      <c r="Y286" s="402"/>
      <c r="Z286" s="402"/>
      <c r="AA286" s="405"/>
      <c r="AB286" s="405"/>
      <c r="AC286" s="405"/>
      <c r="AD286" s="405"/>
      <c r="AE286" s="405"/>
      <c r="AF286" s="405"/>
      <c r="AG286" s="405"/>
    </row>
    <row r="287" ht="14.25" customHeight="1">
      <c r="A287" s="406">
        <v>45510.0</v>
      </c>
      <c r="B287" s="417" t="s">
        <v>2460</v>
      </c>
      <c r="C287" s="418" t="s">
        <v>2461</v>
      </c>
      <c r="D287" s="418" t="s">
        <v>54</v>
      </c>
      <c r="E287" s="418" t="s">
        <v>2442</v>
      </c>
      <c r="F287" s="428">
        <v>119519.0</v>
      </c>
      <c r="G287" s="403"/>
      <c r="H287" s="349" t="s">
        <v>2706</v>
      </c>
      <c r="I287" s="404" t="str">
        <f t="shared" si="9"/>
        <v>NOT PAID</v>
      </c>
      <c r="J287" s="402"/>
      <c r="K287" s="402"/>
      <c r="L287" s="402"/>
      <c r="M287" s="402"/>
      <c r="N287" s="402"/>
      <c r="O287" s="402"/>
      <c r="P287" s="402"/>
      <c r="Q287" s="402"/>
      <c r="R287" s="402"/>
      <c r="S287" s="402"/>
      <c r="T287" s="402"/>
      <c r="U287" s="402"/>
      <c r="V287" s="402"/>
      <c r="W287" s="402"/>
      <c r="X287" s="402"/>
      <c r="Y287" s="402"/>
      <c r="Z287" s="402"/>
      <c r="AA287" s="405"/>
      <c r="AB287" s="405"/>
      <c r="AC287" s="405"/>
      <c r="AD287" s="405"/>
      <c r="AE287" s="405"/>
      <c r="AF287" s="405"/>
      <c r="AG287" s="405"/>
    </row>
    <row r="288" ht="14.25" customHeight="1">
      <c r="A288" s="406">
        <v>45510.0</v>
      </c>
      <c r="B288" s="349" t="s">
        <v>2463</v>
      </c>
      <c r="C288" s="349" t="s">
        <v>2464</v>
      </c>
      <c r="D288" s="418" t="s">
        <v>54</v>
      </c>
      <c r="E288" s="418" t="s">
        <v>2442</v>
      </c>
      <c r="F288" s="662">
        <v>25167.0</v>
      </c>
      <c r="G288" s="559">
        <v>25167.0</v>
      </c>
      <c r="H288" s="349" t="s">
        <v>710</v>
      </c>
      <c r="I288" s="404" t="str">
        <f t="shared" si="9"/>
        <v>FULLY PAID</v>
      </c>
      <c r="J288" s="402"/>
      <c r="K288" s="402"/>
      <c r="L288" s="402"/>
      <c r="M288" s="402"/>
      <c r="N288" s="402"/>
      <c r="O288" s="402"/>
      <c r="P288" s="402"/>
      <c r="Q288" s="402"/>
      <c r="R288" s="402"/>
      <c r="S288" s="402"/>
      <c r="T288" s="402"/>
      <c r="U288" s="402"/>
      <c r="V288" s="402"/>
      <c r="W288" s="402"/>
      <c r="X288" s="402"/>
      <c r="Y288" s="402"/>
      <c r="Z288" s="402"/>
      <c r="AA288" s="405"/>
      <c r="AB288" s="405"/>
      <c r="AC288" s="405"/>
      <c r="AD288" s="405"/>
      <c r="AE288" s="405"/>
      <c r="AF288" s="405"/>
      <c r="AG288" s="405"/>
    </row>
    <row r="289" ht="14.25" customHeight="1">
      <c r="A289" s="406"/>
      <c r="B289" s="402"/>
      <c r="C289" s="402"/>
      <c r="D289" s="402"/>
      <c r="E289" s="402"/>
      <c r="F289" s="664"/>
      <c r="G289" s="403"/>
      <c r="H289" s="402"/>
      <c r="I289" s="404" t="str">
        <f t="shared" si="9"/>
        <v>FULLY PAID</v>
      </c>
      <c r="J289" s="402"/>
      <c r="K289" s="402"/>
      <c r="L289" s="402"/>
      <c r="M289" s="402"/>
      <c r="N289" s="402"/>
      <c r="O289" s="402"/>
      <c r="P289" s="402"/>
      <c r="Q289" s="402"/>
      <c r="R289" s="402"/>
      <c r="S289" s="402"/>
      <c r="T289" s="402"/>
      <c r="U289" s="402"/>
      <c r="V289" s="402"/>
      <c r="W289" s="402"/>
      <c r="X289" s="402"/>
      <c r="Y289" s="402"/>
      <c r="Z289" s="402"/>
      <c r="AA289" s="405"/>
      <c r="AB289" s="405"/>
      <c r="AC289" s="405"/>
      <c r="AD289" s="405"/>
      <c r="AE289" s="405"/>
      <c r="AF289" s="405"/>
      <c r="AG289" s="405"/>
    </row>
    <row r="290" ht="14.25" customHeight="1">
      <c r="A290" s="406"/>
      <c r="B290" s="402"/>
      <c r="C290" s="402"/>
      <c r="D290" s="402"/>
      <c r="E290" s="402"/>
      <c r="F290" s="664"/>
      <c r="G290" s="403"/>
      <c r="H290" s="402"/>
      <c r="I290" s="404" t="str">
        <f t="shared" si="9"/>
        <v>FULLY PAID</v>
      </c>
      <c r="J290" s="402"/>
      <c r="K290" s="402"/>
      <c r="L290" s="402"/>
      <c r="M290" s="402"/>
      <c r="N290" s="402"/>
      <c r="O290" s="402"/>
      <c r="P290" s="402"/>
      <c r="Q290" s="402"/>
      <c r="R290" s="402"/>
      <c r="S290" s="402"/>
      <c r="T290" s="402"/>
      <c r="U290" s="402"/>
      <c r="V290" s="402"/>
      <c r="W290" s="402"/>
      <c r="X290" s="402"/>
      <c r="Y290" s="402"/>
      <c r="Z290" s="402"/>
      <c r="AA290" s="405"/>
      <c r="AB290" s="405"/>
      <c r="AC290" s="405"/>
      <c r="AD290" s="405"/>
      <c r="AE290" s="405"/>
      <c r="AF290" s="405"/>
      <c r="AG290" s="405"/>
    </row>
    <row r="291" ht="14.25" customHeight="1">
      <c r="A291" s="406">
        <v>45510.0</v>
      </c>
      <c r="B291" s="436" t="s">
        <v>2496</v>
      </c>
      <c r="C291" s="435" t="s">
        <v>2497</v>
      </c>
      <c r="D291" s="668" t="s">
        <v>75</v>
      </c>
      <c r="E291" s="436" t="s">
        <v>2469</v>
      </c>
      <c r="F291" s="437">
        <v>72500.0</v>
      </c>
      <c r="G291" s="403"/>
      <c r="H291" s="349" t="s">
        <v>2707</v>
      </c>
      <c r="I291" s="404" t="str">
        <f t="shared" si="9"/>
        <v>NOT PAID</v>
      </c>
      <c r="J291" s="402"/>
      <c r="K291" s="402"/>
      <c r="L291" s="402"/>
      <c r="M291" s="402"/>
      <c r="N291" s="402"/>
      <c r="O291" s="402"/>
      <c r="P291" s="402"/>
      <c r="Q291" s="402"/>
      <c r="R291" s="402"/>
      <c r="S291" s="402"/>
      <c r="T291" s="402"/>
      <c r="U291" s="402"/>
      <c r="V291" s="402"/>
      <c r="W291" s="402"/>
      <c r="X291" s="402"/>
      <c r="Y291" s="402"/>
      <c r="Z291" s="402"/>
      <c r="AA291" s="405"/>
      <c r="AB291" s="405"/>
      <c r="AC291" s="405"/>
      <c r="AD291" s="405"/>
      <c r="AE291" s="405"/>
      <c r="AF291" s="405"/>
      <c r="AG291" s="405"/>
    </row>
    <row r="292" ht="14.25" customHeight="1">
      <c r="A292" s="406">
        <v>45510.0</v>
      </c>
      <c r="B292" s="439" t="s">
        <v>2471</v>
      </c>
      <c r="C292" s="438" t="s">
        <v>2472</v>
      </c>
      <c r="D292" s="669" t="s">
        <v>54</v>
      </c>
      <c r="E292" s="439" t="s">
        <v>2469</v>
      </c>
      <c r="F292" s="682">
        <v>1100009.0</v>
      </c>
      <c r="G292" s="403"/>
      <c r="H292" s="349" t="s">
        <v>2708</v>
      </c>
      <c r="I292" s="404" t="str">
        <f t="shared" si="9"/>
        <v>NOT PAID</v>
      </c>
      <c r="J292" s="402"/>
      <c r="K292" s="402"/>
      <c r="L292" s="402"/>
      <c r="M292" s="402"/>
      <c r="N292" s="402"/>
      <c r="O292" s="402"/>
      <c r="P292" s="402"/>
      <c r="Q292" s="402"/>
      <c r="R292" s="402"/>
      <c r="S292" s="402"/>
      <c r="T292" s="402"/>
      <c r="U292" s="402"/>
      <c r="V292" s="402"/>
      <c r="W292" s="402"/>
      <c r="X292" s="402"/>
      <c r="Y292" s="402"/>
      <c r="Z292" s="402"/>
      <c r="AA292" s="405"/>
      <c r="AB292" s="405"/>
      <c r="AC292" s="405"/>
      <c r="AD292" s="405"/>
      <c r="AE292" s="405"/>
      <c r="AF292" s="405"/>
      <c r="AG292" s="405"/>
    </row>
    <row r="293" ht="14.25" customHeight="1">
      <c r="B293" s="402"/>
      <c r="C293" s="402"/>
      <c r="D293" s="402"/>
      <c r="E293" s="402"/>
      <c r="F293" s="664"/>
      <c r="G293" s="403"/>
      <c r="H293" s="402"/>
      <c r="I293" s="404" t="str">
        <f t="shared" si="9"/>
        <v>FULLY PAID</v>
      </c>
      <c r="J293" s="402"/>
      <c r="K293" s="402"/>
      <c r="L293" s="402"/>
      <c r="M293" s="402"/>
      <c r="N293" s="402"/>
      <c r="O293" s="402"/>
      <c r="P293" s="402"/>
      <c r="Q293" s="402"/>
      <c r="R293" s="402"/>
      <c r="S293" s="402"/>
      <c r="T293" s="402"/>
      <c r="U293" s="402"/>
      <c r="V293" s="402"/>
      <c r="W293" s="402"/>
      <c r="X293" s="402"/>
      <c r="Y293" s="402"/>
      <c r="Z293" s="402"/>
      <c r="AA293" s="405"/>
      <c r="AB293" s="405"/>
      <c r="AC293" s="405"/>
      <c r="AD293" s="405"/>
      <c r="AE293" s="405"/>
      <c r="AF293" s="405"/>
      <c r="AG293" s="405"/>
    </row>
    <row r="294" ht="14.25" customHeight="1">
      <c r="A294" s="402"/>
      <c r="B294" s="402"/>
      <c r="C294" s="402"/>
      <c r="D294" s="402"/>
      <c r="E294" s="402"/>
      <c r="F294" s="664"/>
      <c r="G294" s="403"/>
      <c r="H294" s="402"/>
      <c r="I294" s="404" t="str">
        <f t="shared" si="9"/>
        <v>FULLY PAID</v>
      </c>
      <c r="J294" s="402"/>
      <c r="K294" s="402"/>
      <c r="L294" s="402"/>
      <c r="M294" s="402"/>
      <c r="N294" s="402"/>
      <c r="O294" s="402"/>
      <c r="P294" s="402"/>
      <c r="Q294" s="402"/>
      <c r="R294" s="402"/>
      <c r="S294" s="402"/>
      <c r="T294" s="402"/>
      <c r="U294" s="402"/>
      <c r="V294" s="402"/>
      <c r="W294" s="402"/>
      <c r="X294" s="402"/>
      <c r="Y294" s="402"/>
      <c r="Z294" s="402"/>
      <c r="AA294" s="405"/>
      <c r="AB294" s="405"/>
      <c r="AC294" s="405"/>
      <c r="AD294" s="405"/>
      <c r="AE294" s="405"/>
      <c r="AF294" s="405"/>
      <c r="AG294" s="405"/>
    </row>
    <row r="295" ht="14.25" customHeight="1">
      <c r="A295" s="402"/>
      <c r="B295" s="402"/>
      <c r="C295" s="402"/>
      <c r="D295" s="402"/>
      <c r="E295" s="402"/>
      <c r="F295" s="664"/>
      <c r="G295" s="403"/>
      <c r="H295" s="402"/>
      <c r="I295" s="404" t="str">
        <f t="shared" si="9"/>
        <v>FULLY PAID</v>
      </c>
      <c r="J295" s="402"/>
      <c r="K295" s="402"/>
      <c r="L295" s="402"/>
      <c r="M295" s="402"/>
      <c r="N295" s="402"/>
      <c r="O295" s="402"/>
      <c r="P295" s="402"/>
      <c r="Q295" s="402"/>
      <c r="R295" s="402"/>
      <c r="S295" s="402"/>
      <c r="T295" s="402"/>
      <c r="U295" s="402"/>
      <c r="V295" s="402"/>
      <c r="W295" s="402"/>
      <c r="X295" s="402"/>
      <c r="Y295" s="402"/>
      <c r="Z295" s="402"/>
      <c r="AA295" s="405"/>
      <c r="AB295" s="405"/>
      <c r="AC295" s="405"/>
      <c r="AD295" s="405"/>
      <c r="AE295" s="405"/>
      <c r="AF295" s="405"/>
      <c r="AG295" s="405"/>
    </row>
    <row r="296" ht="14.25" customHeight="1">
      <c r="A296" s="406">
        <v>45511.0</v>
      </c>
      <c r="B296" s="349" t="s">
        <v>2709</v>
      </c>
      <c r="C296" s="349" t="s">
        <v>2578</v>
      </c>
      <c r="D296" s="418" t="s">
        <v>54</v>
      </c>
      <c r="E296" s="418" t="s">
        <v>2442</v>
      </c>
      <c r="F296" s="413">
        <v>101962.0</v>
      </c>
      <c r="G296" s="413"/>
      <c r="H296" s="349" t="s">
        <v>2710</v>
      </c>
      <c r="I296" s="404" t="str">
        <f t="shared" si="9"/>
        <v>NOT PAID</v>
      </c>
      <c r="J296" s="406"/>
      <c r="K296" s="349"/>
      <c r="L296" s="413"/>
      <c r="M296" s="349"/>
      <c r="N296" s="413"/>
      <c r="O296" s="402"/>
      <c r="P296" s="402"/>
      <c r="Q296" s="402"/>
      <c r="R296" s="402"/>
      <c r="S296" s="402"/>
      <c r="T296" s="402"/>
      <c r="U296" s="402"/>
      <c r="V296" s="402"/>
      <c r="W296" s="402"/>
      <c r="X296" s="402"/>
      <c r="Y296" s="402"/>
      <c r="Z296" s="402"/>
      <c r="AA296" s="405"/>
      <c r="AB296" s="405"/>
      <c r="AC296" s="405"/>
      <c r="AD296" s="405"/>
      <c r="AE296" s="405"/>
      <c r="AF296" s="405"/>
      <c r="AG296" s="405"/>
    </row>
    <row r="297" ht="14.25" customHeight="1">
      <c r="A297" s="406">
        <v>45511.0</v>
      </c>
      <c r="B297" s="349" t="s">
        <v>2711</v>
      </c>
      <c r="C297" s="349" t="s">
        <v>2712</v>
      </c>
      <c r="D297" s="418" t="s">
        <v>54</v>
      </c>
      <c r="E297" s="418" t="s">
        <v>2442</v>
      </c>
      <c r="F297" s="413">
        <v>30676.0</v>
      </c>
      <c r="G297" s="521">
        <v>31000.0</v>
      </c>
      <c r="H297" s="349" t="s">
        <v>772</v>
      </c>
      <c r="I297" s="404" t="str">
        <f t="shared" si="9"/>
        <v>FULLY PAID</v>
      </c>
      <c r="J297" s="406"/>
      <c r="K297" s="349"/>
      <c r="L297" s="413"/>
      <c r="M297" s="349"/>
      <c r="N297" s="413"/>
      <c r="O297" s="402"/>
      <c r="P297" s="402"/>
      <c r="Q297" s="402"/>
      <c r="R297" s="402"/>
      <c r="S297" s="402"/>
      <c r="T297" s="402"/>
      <c r="U297" s="402"/>
      <c r="V297" s="402"/>
      <c r="W297" s="402"/>
      <c r="X297" s="402"/>
      <c r="Y297" s="402"/>
      <c r="Z297" s="402"/>
      <c r="AA297" s="405"/>
      <c r="AB297" s="405"/>
      <c r="AC297" s="405"/>
      <c r="AD297" s="405"/>
      <c r="AE297" s="405"/>
      <c r="AF297" s="405"/>
      <c r="AG297" s="405"/>
    </row>
    <row r="298" ht="14.25" customHeight="1">
      <c r="A298" s="406">
        <v>45511.0</v>
      </c>
      <c r="B298" s="349" t="s">
        <v>2713</v>
      </c>
      <c r="C298" s="349" t="s">
        <v>2714</v>
      </c>
      <c r="D298" s="418" t="s">
        <v>54</v>
      </c>
      <c r="E298" s="418" t="s">
        <v>2442</v>
      </c>
      <c r="F298" s="413">
        <v>84968.0</v>
      </c>
      <c r="G298" s="413"/>
      <c r="H298" s="349" t="s">
        <v>2715</v>
      </c>
      <c r="I298" s="404" t="str">
        <f t="shared" si="9"/>
        <v>NOT PAID</v>
      </c>
      <c r="J298" s="406"/>
      <c r="K298" s="349"/>
      <c r="L298" s="413"/>
      <c r="M298" s="349"/>
      <c r="N298" s="413"/>
      <c r="O298" s="402"/>
      <c r="P298" s="402"/>
      <c r="Q298" s="402"/>
      <c r="R298" s="402"/>
      <c r="S298" s="402"/>
      <c r="T298" s="402"/>
      <c r="U298" s="402"/>
      <c r="V298" s="402"/>
      <c r="W298" s="402"/>
      <c r="X298" s="402"/>
      <c r="Y298" s="402"/>
      <c r="Z298" s="402"/>
      <c r="AA298" s="405"/>
      <c r="AB298" s="405"/>
      <c r="AC298" s="405"/>
      <c r="AD298" s="405"/>
      <c r="AE298" s="405"/>
      <c r="AF298" s="405"/>
      <c r="AG298" s="405"/>
    </row>
    <row r="299" ht="14.25" customHeight="1">
      <c r="A299" s="406">
        <v>45511.0</v>
      </c>
      <c r="B299" s="349" t="s">
        <v>2716</v>
      </c>
      <c r="C299" s="349" t="s">
        <v>2564</v>
      </c>
      <c r="D299" s="349" t="s">
        <v>346</v>
      </c>
      <c r="E299" s="418" t="s">
        <v>2442</v>
      </c>
      <c r="F299" s="413">
        <v>12367.0</v>
      </c>
      <c r="G299" s="413"/>
      <c r="H299" s="349" t="s">
        <v>2715</v>
      </c>
      <c r="I299" s="404" t="str">
        <f t="shared" si="9"/>
        <v>NOT PAID</v>
      </c>
      <c r="J299" s="406"/>
      <c r="K299" s="349"/>
      <c r="L299" s="413"/>
      <c r="M299" s="349"/>
      <c r="N299" s="413"/>
      <c r="O299" s="402"/>
      <c r="P299" s="402"/>
      <c r="Q299" s="402"/>
      <c r="R299" s="402"/>
      <c r="S299" s="402"/>
      <c r="T299" s="402"/>
      <c r="U299" s="402"/>
      <c r="V299" s="402"/>
      <c r="W299" s="402"/>
      <c r="X299" s="402"/>
      <c r="Y299" s="402"/>
      <c r="Z299" s="402"/>
      <c r="AA299" s="405"/>
      <c r="AB299" s="405"/>
      <c r="AC299" s="405"/>
      <c r="AD299" s="405"/>
      <c r="AE299" s="405"/>
      <c r="AF299" s="405"/>
      <c r="AG299" s="405"/>
    </row>
    <row r="300" ht="14.25" customHeight="1">
      <c r="A300" s="406">
        <v>45511.0</v>
      </c>
      <c r="B300" s="349" t="s">
        <v>2717</v>
      </c>
      <c r="C300" s="349" t="s">
        <v>2642</v>
      </c>
      <c r="D300" s="418" t="s">
        <v>54</v>
      </c>
      <c r="E300" s="418" t="s">
        <v>2442</v>
      </c>
      <c r="F300" s="662">
        <v>57706.0</v>
      </c>
      <c r="G300" s="413"/>
      <c r="H300" s="349" t="s">
        <v>2718</v>
      </c>
      <c r="I300" s="404" t="str">
        <f t="shared" si="9"/>
        <v>NOT PAID</v>
      </c>
      <c r="J300" s="402"/>
      <c r="K300" s="402"/>
      <c r="L300" s="402"/>
      <c r="M300" s="402"/>
      <c r="N300" s="402"/>
      <c r="O300" s="402"/>
      <c r="P300" s="402"/>
      <c r="Q300" s="402"/>
      <c r="R300" s="402"/>
      <c r="S300" s="402"/>
      <c r="T300" s="402"/>
      <c r="U300" s="402"/>
      <c r="V300" s="402"/>
      <c r="W300" s="402"/>
      <c r="X300" s="402"/>
      <c r="Y300" s="402"/>
      <c r="Z300" s="402"/>
      <c r="AA300" s="405"/>
      <c r="AB300" s="405"/>
      <c r="AC300" s="405"/>
      <c r="AD300" s="405"/>
      <c r="AE300" s="405"/>
      <c r="AF300" s="405"/>
      <c r="AG300" s="405"/>
    </row>
    <row r="301" ht="14.25" customHeight="1">
      <c r="A301" s="406">
        <v>45511.0</v>
      </c>
      <c r="B301" s="518" t="s">
        <v>2455</v>
      </c>
      <c r="C301" s="344" t="s">
        <v>2456</v>
      </c>
      <c r="D301" s="344" t="s">
        <v>54</v>
      </c>
      <c r="E301" s="344" t="s">
        <v>2442</v>
      </c>
      <c r="F301" s="8">
        <v>10000.0</v>
      </c>
      <c r="G301" s="403"/>
      <c r="H301" s="349" t="s">
        <v>2719</v>
      </c>
      <c r="I301" s="404" t="str">
        <f t="shared" si="9"/>
        <v>NOT PAID</v>
      </c>
      <c r="J301" s="402"/>
      <c r="K301" s="402"/>
      <c r="L301" s="402"/>
      <c r="M301" s="402"/>
      <c r="N301" s="402"/>
      <c r="O301" s="402"/>
      <c r="P301" s="402"/>
      <c r="Q301" s="402"/>
      <c r="R301" s="402"/>
      <c r="S301" s="402"/>
      <c r="T301" s="402"/>
      <c r="U301" s="402"/>
      <c r="V301" s="402"/>
      <c r="W301" s="402"/>
      <c r="X301" s="402"/>
      <c r="Y301" s="402"/>
      <c r="Z301" s="402"/>
      <c r="AA301" s="405"/>
      <c r="AB301" s="405"/>
      <c r="AC301" s="405"/>
      <c r="AD301" s="405"/>
      <c r="AE301" s="405"/>
      <c r="AF301" s="405"/>
      <c r="AG301" s="405"/>
    </row>
    <row r="302" ht="14.25" customHeight="1">
      <c r="A302" s="406">
        <v>45511.0</v>
      </c>
      <c r="B302" s="410" t="s">
        <v>2720</v>
      </c>
      <c r="C302" s="411" t="s">
        <v>2721</v>
      </c>
      <c r="D302" s="344" t="s">
        <v>54</v>
      </c>
      <c r="E302" s="344" t="s">
        <v>2442</v>
      </c>
      <c r="F302" s="30">
        <v>2383.0</v>
      </c>
      <c r="G302" s="413">
        <v>2383.0</v>
      </c>
      <c r="H302" s="349" t="s">
        <v>710</v>
      </c>
      <c r="I302" s="404" t="str">
        <f t="shared" si="9"/>
        <v>FULLY PAID</v>
      </c>
      <c r="J302" s="402"/>
      <c r="K302" s="402"/>
      <c r="L302" s="402"/>
      <c r="M302" s="402"/>
      <c r="N302" s="402"/>
      <c r="O302" s="402"/>
      <c r="P302" s="402"/>
      <c r="Q302" s="402"/>
      <c r="R302" s="402"/>
      <c r="S302" s="402"/>
      <c r="T302" s="402"/>
      <c r="U302" s="402"/>
      <c r="V302" s="402"/>
      <c r="W302" s="402"/>
      <c r="X302" s="402"/>
      <c r="Y302" s="402"/>
      <c r="Z302" s="402"/>
      <c r="AA302" s="405"/>
      <c r="AB302" s="405"/>
      <c r="AC302" s="405"/>
      <c r="AD302" s="405"/>
      <c r="AE302" s="405"/>
      <c r="AF302" s="405"/>
      <c r="AG302" s="405"/>
    </row>
    <row r="303" ht="14.25" customHeight="1">
      <c r="A303" s="406">
        <v>45511.0</v>
      </c>
      <c r="B303" s="349" t="s">
        <v>2512</v>
      </c>
      <c r="C303" s="349" t="s">
        <v>2513</v>
      </c>
      <c r="D303" s="349" t="s">
        <v>54</v>
      </c>
      <c r="E303" s="344" t="s">
        <v>2442</v>
      </c>
      <c r="F303" s="413">
        <v>40636.0</v>
      </c>
      <c r="G303" s="403"/>
      <c r="H303" s="349" t="s">
        <v>2722</v>
      </c>
      <c r="I303" s="404" t="str">
        <f t="shared" si="9"/>
        <v>NOT PAID</v>
      </c>
      <c r="J303" s="402"/>
      <c r="K303" s="402"/>
      <c r="L303" s="402"/>
      <c r="M303" s="402"/>
      <c r="N303" s="402"/>
      <c r="O303" s="402"/>
      <c r="P303" s="402"/>
      <c r="Q303" s="402"/>
      <c r="R303" s="402"/>
      <c r="S303" s="402"/>
      <c r="T303" s="402"/>
      <c r="U303" s="402"/>
      <c r="V303" s="402"/>
      <c r="W303" s="402"/>
      <c r="X303" s="402"/>
      <c r="Y303" s="402"/>
      <c r="Z303" s="402"/>
      <c r="AA303" s="405"/>
      <c r="AB303" s="405"/>
      <c r="AC303" s="405"/>
      <c r="AD303" s="405"/>
      <c r="AE303" s="405"/>
      <c r="AF303" s="405"/>
      <c r="AG303" s="405"/>
    </row>
    <row r="304" ht="14.25" customHeight="1">
      <c r="A304" s="406">
        <v>45511.0</v>
      </c>
      <c r="B304" s="349" t="s">
        <v>2563</v>
      </c>
      <c r="C304" s="349" t="s">
        <v>2564</v>
      </c>
      <c r="D304" s="349" t="s">
        <v>54</v>
      </c>
      <c r="E304" s="344" t="s">
        <v>2442</v>
      </c>
      <c r="F304" s="413">
        <v>14507.0</v>
      </c>
      <c r="G304" s="403"/>
      <c r="H304" s="349" t="s">
        <v>2604</v>
      </c>
      <c r="I304" s="404" t="str">
        <f t="shared" si="9"/>
        <v>NOT PAID</v>
      </c>
      <c r="J304" s="402"/>
      <c r="K304" s="402"/>
      <c r="L304" s="402"/>
      <c r="M304" s="402"/>
      <c r="N304" s="402"/>
      <c r="O304" s="402"/>
      <c r="P304" s="402"/>
      <c r="Q304" s="402"/>
      <c r="R304" s="402"/>
      <c r="S304" s="402"/>
      <c r="T304" s="402"/>
      <c r="U304" s="402"/>
      <c r="V304" s="402"/>
      <c r="W304" s="402"/>
      <c r="X304" s="402"/>
      <c r="Y304" s="402"/>
      <c r="Z304" s="402"/>
      <c r="AA304" s="405"/>
      <c r="AB304" s="405"/>
      <c r="AC304" s="405"/>
      <c r="AD304" s="405"/>
      <c r="AE304" s="405"/>
      <c r="AF304" s="405"/>
      <c r="AG304" s="405"/>
    </row>
    <row r="305" ht="14.25" customHeight="1">
      <c r="A305" s="406">
        <v>45511.0</v>
      </c>
      <c r="B305" s="349" t="s">
        <v>2567</v>
      </c>
      <c r="C305" s="349" t="s">
        <v>2568</v>
      </c>
      <c r="D305" s="349" t="s">
        <v>54</v>
      </c>
      <c r="E305" s="344" t="s">
        <v>2442</v>
      </c>
      <c r="F305" s="413">
        <v>11000.0</v>
      </c>
      <c r="G305" s="403"/>
      <c r="H305" s="349" t="s">
        <v>2723</v>
      </c>
      <c r="I305" s="404" t="str">
        <f t="shared" si="9"/>
        <v>NOT PAID</v>
      </c>
      <c r="J305" s="402"/>
      <c r="K305" s="402"/>
      <c r="L305" s="402"/>
      <c r="M305" s="402"/>
      <c r="N305" s="402"/>
      <c r="O305" s="402"/>
      <c r="P305" s="402"/>
      <c r="Q305" s="402"/>
      <c r="R305" s="402"/>
      <c r="S305" s="402"/>
      <c r="T305" s="402"/>
      <c r="U305" s="402"/>
      <c r="V305" s="402"/>
      <c r="W305" s="402"/>
      <c r="X305" s="402"/>
      <c r="Y305" s="402"/>
      <c r="Z305" s="402"/>
      <c r="AA305" s="405"/>
      <c r="AB305" s="405"/>
      <c r="AC305" s="405"/>
      <c r="AD305" s="405"/>
      <c r="AE305" s="405"/>
      <c r="AF305" s="405"/>
      <c r="AG305" s="405"/>
    </row>
    <row r="306" ht="14.25" customHeight="1">
      <c r="A306" s="406">
        <v>45511.0</v>
      </c>
      <c r="B306" s="349" t="s">
        <v>2569</v>
      </c>
      <c r="C306" s="349" t="s">
        <v>2570</v>
      </c>
      <c r="D306" s="349" t="s">
        <v>54</v>
      </c>
      <c r="E306" s="344" t="s">
        <v>2442</v>
      </c>
      <c r="F306" s="413">
        <v>36037.0</v>
      </c>
      <c r="G306" s="403"/>
      <c r="H306" s="349" t="s">
        <v>2724</v>
      </c>
      <c r="I306" s="404" t="str">
        <f t="shared" si="9"/>
        <v>NOT PAID</v>
      </c>
      <c r="J306" s="402"/>
      <c r="K306" s="402"/>
      <c r="L306" s="402"/>
      <c r="M306" s="402"/>
      <c r="N306" s="402"/>
      <c r="O306" s="402"/>
      <c r="P306" s="402"/>
      <c r="Q306" s="402"/>
      <c r="R306" s="402"/>
      <c r="S306" s="402"/>
      <c r="T306" s="402"/>
      <c r="U306" s="402"/>
      <c r="V306" s="402"/>
      <c r="W306" s="402"/>
      <c r="X306" s="402"/>
      <c r="Y306" s="402"/>
      <c r="Z306" s="402"/>
      <c r="AA306" s="405"/>
      <c r="AB306" s="405"/>
      <c r="AC306" s="405"/>
      <c r="AD306" s="405"/>
      <c r="AE306" s="405"/>
      <c r="AF306" s="405"/>
      <c r="AG306" s="405"/>
    </row>
    <row r="307" ht="14.25" customHeight="1">
      <c r="A307" s="406">
        <v>45511.0</v>
      </c>
      <c r="B307" s="349" t="s">
        <v>2571</v>
      </c>
      <c r="C307" s="349" t="s">
        <v>2572</v>
      </c>
      <c r="D307" s="349" t="s">
        <v>54</v>
      </c>
      <c r="E307" s="344" t="s">
        <v>2442</v>
      </c>
      <c r="F307" s="413">
        <v>3000.0</v>
      </c>
      <c r="G307" s="413">
        <v>1000.0</v>
      </c>
      <c r="H307" s="402"/>
      <c r="I307" s="404" t="str">
        <f t="shared" si="9"/>
        <v>PARTIALLY PAID</v>
      </c>
      <c r="J307" s="402"/>
      <c r="K307" s="402"/>
      <c r="L307" s="402"/>
      <c r="M307" s="402"/>
      <c r="N307" s="402"/>
      <c r="O307" s="402"/>
      <c r="P307" s="402"/>
      <c r="Q307" s="402"/>
      <c r="R307" s="402"/>
      <c r="S307" s="402"/>
      <c r="T307" s="402"/>
      <c r="U307" s="402"/>
      <c r="V307" s="402"/>
      <c r="W307" s="402"/>
      <c r="X307" s="402"/>
      <c r="Y307" s="402"/>
      <c r="Z307" s="402"/>
      <c r="AA307" s="405"/>
      <c r="AB307" s="405"/>
      <c r="AC307" s="405"/>
      <c r="AD307" s="405"/>
      <c r="AE307" s="405"/>
      <c r="AF307" s="405"/>
      <c r="AG307" s="405"/>
    </row>
    <row r="308" ht="14.25" customHeight="1">
      <c r="A308" s="406">
        <v>45511.0</v>
      </c>
      <c r="B308" s="349" t="s">
        <v>2579</v>
      </c>
      <c r="C308" s="349" t="s">
        <v>2580</v>
      </c>
      <c r="D308" s="349" t="s">
        <v>54</v>
      </c>
      <c r="E308" s="344" t="s">
        <v>2442</v>
      </c>
      <c r="F308" s="413">
        <v>40866.0</v>
      </c>
      <c r="G308" s="403"/>
      <c r="H308" s="349" t="s">
        <v>2725</v>
      </c>
      <c r="I308" s="404" t="str">
        <f t="shared" si="9"/>
        <v>NOT PAID</v>
      </c>
      <c r="J308" s="402"/>
      <c r="K308" s="402"/>
      <c r="L308" s="402"/>
      <c r="M308" s="402"/>
      <c r="N308" s="402"/>
      <c r="O308" s="402"/>
      <c r="P308" s="402"/>
      <c r="Q308" s="402"/>
      <c r="R308" s="402"/>
      <c r="S308" s="402"/>
      <c r="T308" s="402"/>
      <c r="U308" s="402"/>
      <c r="V308" s="402"/>
      <c r="W308" s="402"/>
      <c r="X308" s="402"/>
      <c r="Y308" s="402"/>
      <c r="Z308" s="402"/>
      <c r="AA308" s="405"/>
      <c r="AB308" s="405"/>
      <c r="AC308" s="405"/>
      <c r="AD308" s="405"/>
      <c r="AE308" s="405"/>
      <c r="AF308" s="405"/>
      <c r="AG308" s="405"/>
    </row>
    <row r="309" ht="14.25" customHeight="1">
      <c r="A309" s="406">
        <v>45511.0</v>
      </c>
      <c r="B309" s="349" t="s">
        <v>2581</v>
      </c>
      <c r="C309" s="349" t="s">
        <v>2582</v>
      </c>
      <c r="D309" s="349" t="s">
        <v>54</v>
      </c>
      <c r="E309" s="344" t="s">
        <v>2442</v>
      </c>
      <c r="F309" s="413">
        <v>22777.0</v>
      </c>
      <c r="G309" s="403"/>
      <c r="H309" s="349" t="s">
        <v>2726</v>
      </c>
      <c r="I309" s="404" t="str">
        <f t="shared" si="9"/>
        <v>NOT PAID</v>
      </c>
      <c r="J309" s="402"/>
      <c r="K309" s="402"/>
      <c r="L309" s="402"/>
      <c r="M309" s="402"/>
      <c r="N309" s="402"/>
      <c r="O309" s="402"/>
      <c r="P309" s="402"/>
      <c r="Q309" s="402"/>
      <c r="R309" s="402"/>
      <c r="S309" s="402"/>
      <c r="T309" s="402"/>
      <c r="U309" s="402"/>
      <c r="V309" s="402"/>
      <c r="W309" s="402"/>
      <c r="X309" s="402"/>
      <c r="Y309" s="402"/>
      <c r="Z309" s="402"/>
      <c r="AA309" s="405"/>
      <c r="AB309" s="405"/>
      <c r="AC309" s="405"/>
      <c r="AD309" s="405"/>
      <c r="AE309" s="405"/>
      <c r="AF309" s="405"/>
      <c r="AG309" s="405"/>
    </row>
    <row r="310" ht="14.25" customHeight="1">
      <c r="A310" s="406">
        <v>45511.0</v>
      </c>
      <c r="B310" s="349" t="s">
        <v>2482</v>
      </c>
      <c r="C310" s="349" t="s">
        <v>2483</v>
      </c>
      <c r="D310" s="349" t="s">
        <v>54</v>
      </c>
      <c r="E310" s="344" t="s">
        <v>2442</v>
      </c>
      <c r="F310" s="683">
        <v>33125.0</v>
      </c>
      <c r="G310" s="413">
        <v>1000.0</v>
      </c>
      <c r="H310" s="349" t="s">
        <v>2727</v>
      </c>
      <c r="I310" s="404" t="str">
        <f t="shared" si="9"/>
        <v>PARTIALLY PAID</v>
      </c>
      <c r="J310" s="402"/>
      <c r="K310" s="402"/>
      <c r="L310" s="402"/>
      <c r="M310" s="402"/>
      <c r="N310" s="402"/>
      <c r="O310" s="402"/>
      <c r="P310" s="402"/>
      <c r="Q310" s="402"/>
      <c r="R310" s="402"/>
      <c r="S310" s="402"/>
      <c r="T310" s="402"/>
      <c r="U310" s="402"/>
      <c r="V310" s="402"/>
      <c r="W310" s="402"/>
      <c r="X310" s="402"/>
      <c r="Y310" s="402"/>
      <c r="Z310" s="402"/>
      <c r="AA310" s="405"/>
      <c r="AB310" s="405"/>
      <c r="AC310" s="405"/>
      <c r="AD310" s="405"/>
      <c r="AE310" s="405"/>
      <c r="AF310" s="405"/>
      <c r="AG310" s="405"/>
    </row>
    <row r="311" ht="14.25" customHeight="1">
      <c r="A311" s="406">
        <v>45511.0</v>
      </c>
      <c r="B311" s="349" t="s">
        <v>2479</v>
      </c>
      <c r="C311" s="349" t="s">
        <v>2679</v>
      </c>
      <c r="D311" s="349" t="s">
        <v>54</v>
      </c>
      <c r="E311" s="344" t="s">
        <v>2442</v>
      </c>
      <c r="F311" s="413">
        <v>31807.0</v>
      </c>
      <c r="G311" s="403"/>
      <c r="H311" s="349" t="s">
        <v>2728</v>
      </c>
      <c r="I311" s="404" t="str">
        <f t="shared" si="9"/>
        <v>NOT PAID</v>
      </c>
      <c r="J311" s="402"/>
      <c r="K311" s="402"/>
      <c r="L311" s="402"/>
      <c r="M311" s="402"/>
      <c r="N311" s="402"/>
      <c r="O311" s="402"/>
      <c r="P311" s="402"/>
      <c r="Q311" s="402"/>
      <c r="R311" s="402"/>
      <c r="S311" s="402"/>
      <c r="T311" s="402"/>
      <c r="U311" s="402"/>
      <c r="V311" s="402"/>
      <c r="W311" s="402"/>
      <c r="X311" s="402"/>
      <c r="Y311" s="402"/>
      <c r="Z311" s="402"/>
      <c r="AA311" s="405"/>
      <c r="AB311" s="405"/>
      <c r="AC311" s="405"/>
      <c r="AD311" s="405"/>
      <c r="AE311" s="405"/>
      <c r="AF311" s="405"/>
      <c r="AG311" s="405"/>
    </row>
    <row r="312" ht="14.25" customHeight="1">
      <c r="A312" s="406">
        <v>45511.0</v>
      </c>
      <c r="B312" s="349" t="s">
        <v>2717</v>
      </c>
      <c r="C312" s="349" t="s">
        <v>2642</v>
      </c>
      <c r="D312" s="349" t="s">
        <v>54</v>
      </c>
      <c r="E312" s="344" t="s">
        <v>2442</v>
      </c>
      <c r="F312" s="413">
        <v>6498.0</v>
      </c>
      <c r="G312" s="413">
        <v>6498.0</v>
      </c>
      <c r="H312" s="349" t="s">
        <v>710</v>
      </c>
      <c r="I312" s="404" t="str">
        <f t="shared" si="9"/>
        <v>FULLY PAID</v>
      </c>
      <c r="J312" s="402"/>
      <c r="K312" s="402"/>
      <c r="L312" s="402"/>
      <c r="M312" s="402"/>
      <c r="N312" s="402"/>
      <c r="O312" s="402"/>
      <c r="P312" s="402"/>
      <c r="Q312" s="402"/>
      <c r="R312" s="402"/>
      <c r="S312" s="402"/>
      <c r="T312" s="402"/>
      <c r="U312" s="402"/>
      <c r="V312" s="402"/>
      <c r="W312" s="402"/>
      <c r="X312" s="402"/>
      <c r="Y312" s="402"/>
      <c r="Z312" s="402"/>
      <c r="AA312" s="405"/>
      <c r="AB312" s="405"/>
      <c r="AC312" s="405"/>
      <c r="AD312" s="405"/>
      <c r="AE312" s="405"/>
      <c r="AF312" s="405"/>
      <c r="AG312" s="405"/>
    </row>
    <row r="313" ht="14.25" customHeight="1">
      <c r="A313" s="406">
        <v>45511.0</v>
      </c>
      <c r="B313" s="349" t="s">
        <v>2729</v>
      </c>
      <c r="C313" s="349" t="s">
        <v>2730</v>
      </c>
      <c r="D313" s="349" t="s">
        <v>54</v>
      </c>
      <c r="E313" s="344" t="s">
        <v>2442</v>
      </c>
      <c r="F313" s="413">
        <v>49666.0</v>
      </c>
      <c r="G313" s="403"/>
      <c r="H313" s="349" t="s">
        <v>2731</v>
      </c>
      <c r="I313" s="404" t="str">
        <f t="shared" si="9"/>
        <v>NOT PAID</v>
      </c>
      <c r="J313" s="402"/>
      <c r="K313" s="402"/>
      <c r="L313" s="402"/>
      <c r="M313" s="402"/>
      <c r="N313" s="402"/>
      <c r="O313" s="402"/>
      <c r="P313" s="402"/>
      <c r="Q313" s="402"/>
      <c r="R313" s="402"/>
      <c r="S313" s="402"/>
      <c r="T313" s="402"/>
      <c r="U313" s="402"/>
      <c r="V313" s="402"/>
      <c r="W313" s="402"/>
      <c r="X313" s="402"/>
      <c r="Y313" s="402"/>
      <c r="Z313" s="402"/>
      <c r="AA313" s="405"/>
      <c r="AB313" s="405"/>
      <c r="AC313" s="405"/>
      <c r="AD313" s="405"/>
      <c r="AE313" s="405"/>
      <c r="AF313" s="405"/>
      <c r="AG313" s="405"/>
    </row>
    <row r="314" ht="14.25" customHeight="1">
      <c r="A314" s="406">
        <v>45511.0</v>
      </c>
      <c r="B314" s="349" t="s">
        <v>2530</v>
      </c>
      <c r="C314" s="349" t="s">
        <v>2531</v>
      </c>
      <c r="D314" s="349" t="s">
        <v>54</v>
      </c>
      <c r="E314" s="344" t="s">
        <v>2442</v>
      </c>
      <c r="F314" s="413">
        <v>12273.0</v>
      </c>
      <c r="G314" s="403"/>
      <c r="H314" s="349" t="s">
        <v>2732</v>
      </c>
      <c r="I314" s="404" t="str">
        <f t="shared" si="9"/>
        <v>NOT PAID</v>
      </c>
      <c r="J314" s="402"/>
      <c r="K314" s="402"/>
      <c r="L314" s="402"/>
      <c r="M314" s="402"/>
      <c r="N314" s="402"/>
      <c r="O314" s="402"/>
      <c r="P314" s="402"/>
      <c r="Q314" s="402"/>
      <c r="R314" s="402"/>
      <c r="S314" s="402"/>
      <c r="T314" s="402"/>
      <c r="U314" s="402"/>
      <c r="V314" s="402"/>
      <c r="W314" s="402"/>
      <c r="X314" s="402"/>
      <c r="Y314" s="402"/>
      <c r="Z314" s="402"/>
      <c r="AA314" s="405"/>
      <c r="AB314" s="405"/>
      <c r="AC314" s="405"/>
      <c r="AD314" s="405"/>
      <c r="AE314" s="405"/>
      <c r="AF314" s="405"/>
      <c r="AG314" s="405"/>
    </row>
    <row r="315" ht="14.25" customHeight="1">
      <c r="A315" s="406">
        <v>45511.0</v>
      </c>
      <c r="B315" s="349" t="s">
        <v>2510</v>
      </c>
      <c r="C315" s="349" t="s">
        <v>2593</v>
      </c>
      <c r="D315" s="349" t="s">
        <v>54</v>
      </c>
      <c r="E315" s="344" t="s">
        <v>2442</v>
      </c>
      <c r="F315" s="413">
        <v>26522.0</v>
      </c>
      <c r="G315" s="403"/>
      <c r="H315" s="349" t="s">
        <v>2733</v>
      </c>
      <c r="I315" s="404" t="str">
        <f t="shared" si="9"/>
        <v>NOT PAID</v>
      </c>
      <c r="J315" s="402"/>
      <c r="K315" s="402"/>
      <c r="L315" s="402"/>
      <c r="M315" s="402"/>
      <c r="N315" s="402"/>
      <c r="O315" s="402"/>
      <c r="P315" s="402"/>
      <c r="Q315" s="402"/>
      <c r="R315" s="402"/>
      <c r="S315" s="402"/>
      <c r="T315" s="402"/>
      <c r="U315" s="402"/>
      <c r="V315" s="402"/>
      <c r="W315" s="402"/>
      <c r="X315" s="402"/>
      <c r="Y315" s="402"/>
      <c r="Z315" s="402"/>
      <c r="AA315" s="405"/>
      <c r="AB315" s="405"/>
      <c r="AC315" s="405"/>
      <c r="AD315" s="405"/>
      <c r="AE315" s="405"/>
      <c r="AF315" s="405"/>
      <c r="AG315" s="405"/>
    </row>
    <row r="316" ht="14.25" customHeight="1">
      <c r="A316" s="402"/>
      <c r="G316" s="403"/>
      <c r="H316" s="402"/>
      <c r="I316" s="404" t="str">
        <f t="shared" si="9"/>
        <v>FULLY PAID</v>
      </c>
      <c r="J316" s="402"/>
      <c r="K316" s="402"/>
      <c r="L316" s="402"/>
      <c r="M316" s="402"/>
      <c r="N316" s="402"/>
      <c r="O316" s="402"/>
      <c r="P316" s="402"/>
      <c r="Q316" s="402"/>
      <c r="R316" s="402"/>
      <c r="S316" s="402"/>
      <c r="T316" s="402"/>
      <c r="U316" s="402"/>
      <c r="V316" s="402"/>
      <c r="W316" s="402"/>
      <c r="X316" s="402"/>
      <c r="Y316" s="402"/>
      <c r="Z316" s="402"/>
      <c r="AA316" s="405"/>
      <c r="AB316" s="405"/>
      <c r="AC316" s="405"/>
      <c r="AD316" s="405"/>
      <c r="AE316" s="405"/>
      <c r="AF316" s="405"/>
      <c r="AG316" s="405"/>
    </row>
    <row r="317" ht="14.25" customHeight="1">
      <c r="A317" s="402"/>
      <c r="B317" s="349" t="s">
        <v>107</v>
      </c>
      <c r="C317" s="402"/>
      <c r="D317" s="402"/>
      <c r="E317" s="402"/>
      <c r="F317" s="664"/>
      <c r="G317" s="403"/>
      <c r="H317" s="402"/>
      <c r="I317" s="404" t="str">
        <f t="shared" si="9"/>
        <v>FULLY PAID</v>
      </c>
      <c r="J317" s="402"/>
      <c r="K317" s="402"/>
      <c r="L317" s="402"/>
      <c r="M317" s="402"/>
      <c r="N317" s="402"/>
      <c r="O317" s="402"/>
      <c r="P317" s="402"/>
      <c r="Q317" s="402"/>
      <c r="R317" s="402"/>
      <c r="S317" s="402"/>
      <c r="T317" s="402"/>
      <c r="U317" s="402"/>
      <c r="V317" s="402"/>
      <c r="W317" s="402"/>
      <c r="X317" s="402"/>
      <c r="Y317" s="402"/>
      <c r="Z317" s="402"/>
      <c r="AA317" s="405"/>
      <c r="AB317" s="405"/>
      <c r="AC317" s="405"/>
      <c r="AD317" s="405"/>
      <c r="AE317" s="405"/>
      <c r="AF317" s="405"/>
      <c r="AG317" s="405"/>
    </row>
    <row r="318" ht="14.25" customHeight="1">
      <c r="A318" s="406">
        <v>45511.0</v>
      </c>
      <c r="B318" s="402" t="s">
        <v>2471</v>
      </c>
      <c r="C318" s="402" t="s">
        <v>2472</v>
      </c>
      <c r="D318" s="402" t="s">
        <v>54</v>
      </c>
      <c r="E318" s="684" t="s">
        <v>2695</v>
      </c>
      <c r="F318" s="685">
        <v>1000000.0</v>
      </c>
      <c r="G318" s="413">
        <v>1019415.0</v>
      </c>
      <c r="H318" s="349" t="s">
        <v>2734</v>
      </c>
      <c r="I318" s="404" t="str">
        <f t="shared" si="9"/>
        <v>FULLY PAID</v>
      </c>
      <c r="J318" s="402"/>
      <c r="K318" s="402"/>
      <c r="L318" s="402"/>
      <c r="M318" s="402"/>
      <c r="N318" s="402"/>
      <c r="O318" s="402"/>
      <c r="P318" s="402"/>
      <c r="Q318" s="402"/>
      <c r="R318" s="402"/>
      <c r="S318" s="402"/>
      <c r="T318" s="402"/>
      <c r="U318" s="402"/>
      <c r="V318" s="402"/>
      <c r="W318" s="402"/>
      <c r="X318" s="402"/>
      <c r="Y318" s="402"/>
      <c r="Z318" s="402"/>
      <c r="AA318" s="405"/>
      <c r="AB318" s="405"/>
      <c r="AC318" s="405"/>
      <c r="AD318" s="405"/>
      <c r="AE318" s="405"/>
      <c r="AF318" s="405"/>
      <c r="AG318" s="405"/>
    </row>
    <row r="319" ht="14.25" customHeight="1">
      <c r="A319" s="406">
        <v>45511.0</v>
      </c>
      <c r="B319" s="402" t="s">
        <v>2493</v>
      </c>
      <c r="C319" s="402" t="s">
        <v>2735</v>
      </c>
      <c r="D319" s="402" t="s">
        <v>54</v>
      </c>
      <c r="E319" s="684" t="s">
        <v>2695</v>
      </c>
      <c r="F319" s="685">
        <v>50000.0</v>
      </c>
      <c r="G319" s="403"/>
      <c r="H319" s="349" t="s">
        <v>2736</v>
      </c>
      <c r="I319" s="404" t="str">
        <f t="shared" si="9"/>
        <v>NOT PAID</v>
      </c>
      <c r="J319" s="402"/>
      <c r="K319" s="402"/>
      <c r="L319" s="402"/>
      <c r="M319" s="402"/>
      <c r="N319" s="402"/>
      <c r="O319" s="402"/>
      <c r="P319" s="402"/>
      <c r="Q319" s="402"/>
      <c r="R319" s="402"/>
      <c r="S319" s="402"/>
      <c r="T319" s="402"/>
      <c r="U319" s="402"/>
      <c r="V319" s="402"/>
      <c r="W319" s="402"/>
      <c r="X319" s="402"/>
      <c r="Y319" s="402"/>
      <c r="Z319" s="402"/>
      <c r="AA319" s="405"/>
      <c r="AB319" s="405"/>
      <c r="AC319" s="405"/>
      <c r="AD319" s="405"/>
      <c r="AE319" s="405"/>
      <c r="AF319" s="405"/>
      <c r="AG319" s="405"/>
    </row>
    <row r="320" ht="14.25" customHeight="1">
      <c r="A320" s="406">
        <v>45511.0</v>
      </c>
      <c r="B320" s="349" t="s">
        <v>2619</v>
      </c>
      <c r="C320" s="349" t="s">
        <v>2620</v>
      </c>
      <c r="D320" s="349" t="s">
        <v>54</v>
      </c>
      <c r="E320" s="684" t="s">
        <v>2695</v>
      </c>
      <c r="F320" s="413">
        <v>115136.0</v>
      </c>
      <c r="G320" s="413"/>
      <c r="H320" s="349" t="s">
        <v>1534</v>
      </c>
      <c r="I320" s="404" t="str">
        <f t="shared" si="9"/>
        <v>NOT PAID</v>
      </c>
      <c r="J320" s="402"/>
      <c r="K320" s="402"/>
      <c r="L320" s="402"/>
      <c r="M320" s="402"/>
      <c r="N320" s="402"/>
      <c r="O320" s="402"/>
      <c r="P320" s="402"/>
      <c r="Q320" s="402"/>
      <c r="R320" s="402"/>
      <c r="S320" s="402"/>
      <c r="T320" s="402"/>
      <c r="U320" s="402"/>
      <c r="V320" s="402"/>
      <c r="W320" s="402"/>
      <c r="X320" s="402"/>
      <c r="Y320" s="402"/>
      <c r="Z320" s="402"/>
      <c r="AA320" s="405"/>
      <c r="AB320" s="405"/>
      <c r="AC320" s="405"/>
      <c r="AD320" s="405"/>
      <c r="AE320" s="405"/>
      <c r="AF320" s="405"/>
      <c r="AG320" s="405"/>
    </row>
    <row r="321" ht="14.25" customHeight="1">
      <c r="A321" s="406"/>
      <c r="B321" s="402"/>
      <c r="C321" s="402"/>
      <c r="D321" s="402"/>
      <c r="E321" s="402"/>
      <c r="F321" s="664"/>
      <c r="G321" s="403"/>
      <c r="H321" s="402"/>
      <c r="I321" s="404" t="str">
        <f t="shared" si="9"/>
        <v>FULLY PAID</v>
      </c>
      <c r="J321" s="402"/>
      <c r="K321" s="402"/>
      <c r="L321" s="402"/>
      <c r="M321" s="402"/>
      <c r="N321" s="402"/>
      <c r="O321" s="402"/>
      <c r="P321" s="402"/>
      <c r="Q321" s="402"/>
      <c r="R321" s="402"/>
      <c r="S321" s="402"/>
      <c r="T321" s="402"/>
      <c r="U321" s="402"/>
      <c r="V321" s="402"/>
      <c r="W321" s="402"/>
      <c r="X321" s="402"/>
      <c r="Y321" s="402"/>
      <c r="Z321" s="402"/>
      <c r="AA321" s="405"/>
      <c r="AB321" s="405"/>
      <c r="AC321" s="405"/>
      <c r="AD321" s="405"/>
      <c r="AE321" s="405"/>
      <c r="AF321" s="405"/>
      <c r="AG321" s="405"/>
    </row>
    <row r="322" ht="14.25" customHeight="1">
      <c r="A322" s="402"/>
      <c r="B322" s="402"/>
      <c r="C322" s="402"/>
      <c r="D322" s="402"/>
      <c r="E322" s="402"/>
      <c r="F322" s="664"/>
      <c r="G322" s="403"/>
      <c r="H322" s="402"/>
      <c r="I322" s="404" t="str">
        <f t="shared" si="9"/>
        <v>FULLY PAID</v>
      </c>
      <c r="J322" s="402"/>
      <c r="K322" s="402"/>
      <c r="L322" s="402"/>
      <c r="M322" s="402"/>
      <c r="N322" s="402"/>
      <c r="O322" s="402"/>
      <c r="P322" s="402"/>
      <c r="Q322" s="402"/>
      <c r="R322" s="402"/>
      <c r="S322" s="402"/>
      <c r="T322" s="402"/>
      <c r="U322" s="402"/>
      <c r="V322" s="402"/>
      <c r="W322" s="402"/>
      <c r="X322" s="402"/>
      <c r="Y322" s="402"/>
      <c r="Z322" s="402"/>
      <c r="AA322" s="405"/>
      <c r="AB322" s="405"/>
      <c r="AC322" s="405"/>
      <c r="AD322" s="405"/>
      <c r="AE322" s="405"/>
      <c r="AF322" s="405"/>
      <c r="AG322" s="405"/>
    </row>
    <row r="323" ht="14.25" customHeight="1">
      <c r="A323" s="406"/>
      <c r="B323" s="349"/>
      <c r="C323" s="349"/>
      <c r="D323" s="349"/>
      <c r="E323" s="344"/>
      <c r="F323" s="413"/>
      <c r="G323" s="403"/>
      <c r="H323" s="402"/>
      <c r="I323" s="404" t="str">
        <f t="shared" si="9"/>
        <v>FULLY PAID</v>
      </c>
      <c r="J323" s="402"/>
      <c r="K323" s="402"/>
      <c r="L323" s="402"/>
      <c r="M323" s="402"/>
      <c r="N323" s="402"/>
      <c r="O323" s="402"/>
      <c r="P323" s="402"/>
      <c r="Q323" s="402"/>
      <c r="R323" s="402"/>
      <c r="S323" s="402"/>
      <c r="T323" s="402"/>
      <c r="U323" s="402"/>
      <c r="V323" s="402"/>
      <c r="W323" s="402"/>
      <c r="X323" s="402"/>
      <c r="Y323" s="402"/>
      <c r="Z323" s="402"/>
      <c r="AA323" s="405"/>
      <c r="AB323" s="405"/>
      <c r="AC323" s="405"/>
      <c r="AD323" s="405"/>
      <c r="AE323" s="405"/>
      <c r="AF323" s="405"/>
      <c r="AG323" s="405"/>
    </row>
    <row r="324" ht="14.25" customHeight="1">
      <c r="A324" s="406">
        <v>45512.0</v>
      </c>
      <c r="B324" s="349" t="s">
        <v>2505</v>
      </c>
      <c r="C324" s="349" t="s">
        <v>2737</v>
      </c>
      <c r="D324" s="349" t="s">
        <v>54</v>
      </c>
      <c r="E324" s="344" t="s">
        <v>2442</v>
      </c>
      <c r="F324" s="413">
        <v>42968.0</v>
      </c>
      <c r="G324" s="403"/>
      <c r="H324" s="349" t="s">
        <v>2738</v>
      </c>
      <c r="I324" s="404" t="str">
        <f t="shared" si="9"/>
        <v>NOT PAID</v>
      </c>
      <c r="J324" s="402"/>
      <c r="K324" s="402"/>
      <c r="L324" s="402"/>
      <c r="M324" s="402"/>
      <c r="N324" s="402"/>
      <c r="O324" s="402"/>
      <c r="P324" s="402"/>
      <c r="Q324" s="402"/>
      <c r="R324" s="402"/>
      <c r="S324" s="402"/>
      <c r="T324" s="402"/>
      <c r="U324" s="402"/>
      <c r="V324" s="402"/>
      <c r="W324" s="402"/>
      <c r="X324" s="402"/>
      <c r="Y324" s="402"/>
      <c r="Z324" s="402"/>
      <c r="AA324" s="405"/>
      <c r="AB324" s="405"/>
      <c r="AC324" s="405"/>
      <c r="AD324" s="405"/>
      <c r="AE324" s="405"/>
      <c r="AF324" s="405"/>
      <c r="AG324" s="405"/>
    </row>
    <row r="325" ht="14.25" customHeight="1">
      <c r="A325" s="406">
        <v>45512.0</v>
      </c>
      <c r="B325" s="349" t="s">
        <v>2655</v>
      </c>
      <c r="C325" s="349" t="s">
        <v>2656</v>
      </c>
      <c r="D325" s="349" t="s">
        <v>54</v>
      </c>
      <c r="E325" s="344" t="s">
        <v>2442</v>
      </c>
      <c r="F325" s="413">
        <v>40554.0</v>
      </c>
      <c r="G325" s="413">
        <v>41000.0</v>
      </c>
      <c r="H325" s="349" t="s">
        <v>710</v>
      </c>
      <c r="I325" s="404" t="str">
        <f t="shared" si="9"/>
        <v>FULLY PAID</v>
      </c>
      <c r="J325" s="402"/>
      <c r="K325" s="402"/>
      <c r="L325" s="402"/>
      <c r="M325" s="402"/>
      <c r="N325" s="402"/>
      <c r="O325" s="402"/>
      <c r="P325" s="402"/>
      <c r="Q325" s="402"/>
      <c r="R325" s="402"/>
      <c r="S325" s="402"/>
      <c r="T325" s="402"/>
      <c r="U325" s="402"/>
      <c r="V325" s="402"/>
      <c r="W325" s="402"/>
      <c r="X325" s="402"/>
      <c r="Y325" s="402"/>
      <c r="Z325" s="402"/>
      <c r="AA325" s="405"/>
      <c r="AB325" s="405"/>
      <c r="AC325" s="405"/>
      <c r="AD325" s="405"/>
      <c r="AE325" s="405"/>
      <c r="AF325" s="405"/>
      <c r="AG325" s="405"/>
    </row>
    <row r="326" ht="14.25" customHeight="1">
      <c r="A326" s="406">
        <v>45512.0</v>
      </c>
      <c r="B326" s="349" t="s">
        <v>2739</v>
      </c>
      <c r="C326" s="349" t="s">
        <v>2740</v>
      </c>
      <c r="D326" s="349" t="s">
        <v>54</v>
      </c>
      <c r="E326" s="344" t="s">
        <v>2442</v>
      </c>
      <c r="F326" s="413">
        <v>15139.0</v>
      </c>
      <c r="G326" s="403"/>
      <c r="H326" s="349" t="s">
        <v>2741</v>
      </c>
      <c r="I326" s="404" t="str">
        <f t="shared" si="9"/>
        <v>NOT PAID</v>
      </c>
      <c r="J326" s="402"/>
      <c r="K326" s="402"/>
      <c r="L326" s="402"/>
      <c r="M326" s="402"/>
      <c r="N326" s="402"/>
      <c r="O326" s="402"/>
      <c r="P326" s="402"/>
      <c r="Q326" s="402"/>
      <c r="R326" s="402"/>
      <c r="S326" s="402"/>
      <c r="T326" s="402"/>
      <c r="U326" s="402"/>
      <c r="V326" s="402"/>
      <c r="W326" s="402"/>
      <c r="X326" s="402"/>
      <c r="Y326" s="402"/>
      <c r="Z326" s="402"/>
      <c r="AA326" s="405"/>
      <c r="AB326" s="405"/>
      <c r="AC326" s="405"/>
      <c r="AD326" s="405"/>
      <c r="AE326" s="405"/>
      <c r="AF326" s="405"/>
      <c r="AG326" s="405"/>
    </row>
    <row r="327" ht="14.25" customHeight="1">
      <c r="A327" s="406">
        <v>45512.0</v>
      </c>
      <c r="B327" s="349" t="s">
        <v>2742</v>
      </c>
      <c r="C327" s="349" t="s">
        <v>2743</v>
      </c>
      <c r="D327" s="349" t="s">
        <v>75</v>
      </c>
      <c r="E327" s="344" t="s">
        <v>2442</v>
      </c>
      <c r="F327" s="413">
        <v>700000.0</v>
      </c>
      <c r="G327" s="403"/>
      <c r="H327" s="349" t="s">
        <v>2744</v>
      </c>
      <c r="I327" s="404" t="str">
        <f t="shared" si="9"/>
        <v>NOT PAID</v>
      </c>
      <c r="J327" s="402"/>
      <c r="K327" s="402"/>
      <c r="L327" s="402"/>
      <c r="M327" s="402"/>
      <c r="N327" s="402"/>
      <c r="O327" s="402"/>
      <c r="P327" s="402"/>
      <c r="Q327" s="402"/>
      <c r="R327" s="402"/>
      <c r="S327" s="402"/>
      <c r="T327" s="402"/>
      <c r="U327" s="402"/>
      <c r="V327" s="402"/>
      <c r="W327" s="402"/>
      <c r="X327" s="402"/>
      <c r="Y327" s="402"/>
      <c r="Z327" s="402"/>
      <c r="AA327" s="405"/>
      <c r="AB327" s="405"/>
      <c r="AC327" s="405"/>
      <c r="AD327" s="405"/>
      <c r="AE327" s="405"/>
      <c r="AF327" s="405"/>
      <c r="AG327" s="405"/>
    </row>
    <row r="328" ht="14.25" customHeight="1">
      <c r="A328" s="406">
        <v>45512.0</v>
      </c>
      <c r="B328" s="349" t="s">
        <v>2717</v>
      </c>
      <c r="C328" s="349" t="s">
        <v>2642</v>
      </c>
      <c r="D328" s="418" t="s">
        <v>54</v>
      </c>
      <c r="E328" s="418" t="s">
        <v>2442</v>
      </c>
      <c r="F328" s="662">
        <v>57706.0</v>
      </c>
      <c r="G328" s="403"/>
      <c r="H328" s="349" t="s">
        <v>710</v>
      </c>
      <c r="I328" s="404" t="str">
        <f t="shared" si="9"/>
        <v>NOT PAID</v>
      </c>
      <c r="J328" s="402"/>
      <c r="K328" s="402"/>
      <c r="L328" s="402"/>
      <c r="M328" s="402"/>
      <c r="N328" s="402"/>
      <c r="O328" s="402"/>
      <c r="P328" s="402"/>
      <c r="Q328" s="402"/>
      <c r="R328" s="402"/>
      <c r="S328" s="402"/>
      <c r="T328" s="402"/>
      <c r="U328" s="402"/>
      <c r="V328" s="402"/>
      <c r="W328" s="402"/>
      <c r="X328" s="402"/>
      <c r="Y328" s="402"/>
      <c r="Z328" s="402"/>
      <c r="AA328" s="405"/>
      <c r="AB328" s="405"/>
      <c r="AC328" s="405"/>
      <c r="AD328" s="405"/>
      <c r="AE328" s="405"/>
      <c r="AF328" s="405"/>
      <c r="AG328" s="405"/>
    </row>
    <row r="329" ht="14.25" customHeight="1">
      <c r="A329" s="406">
        <v>45512.0</v>
      </c>
      <c r="B329" s="349" t="s">
        <v>2512</v>
      </c>
      <c r="C329" s="349" t="s">
        <v>2513</v>
      </c>
      <c r="D329" s="349" t="s">
        <v>54</v>
      </c>
      <c r="E329" s="418" t="s">
        <v>2442</v>
      </c>
      <c r="F329" s="559">
        <v>40636.0</v>
      </c>
      <c r="G329" s="403"/>
      <c r="H329" s="349" t="s">
        <v>2745</v>
      </c>
      <c r="I329" s="404" t="str">
        <f t="shared" si="9"/>
        <v>NOT PAID</v>
      </c>
      <c r="J329" s="402"/>
      <c r="K329" s="402"/>
      <c r="L329" s="402"/>
      <c r="M329" s="402"/>
      <c r="N329" s="402"/>
      <c r="O329" s="402"/>
      <c r="P329" s="402"/>
      <c r="Q329" s="402"/>
      <c r="R329" s="402"/>
      <c r="S329" s="402"/>
      <c r="T329" s="402"/>
      <c r="U329" s="402"/>
      <c r="V329" s="402"/>
      <c r="W329" s="402"/>
      <c r="X329" s="402"/>
      <c r="Y329" s="402"/>
      <c r="Z329" s="402"/>
      <c r="AA329" s="405"/>
      <c r="AB329" s="405"/>
      <c r="AC329" s="405"/>
      <c r="AD329" s="405"/>
      <c r="AE329" s="405"/>
      <c r="AF329" s="405"/>
      <c r="AG329" s="405"/>
    </row>
    <row r="330" ht="14.25" customHeight="1">
      <c r="A330" s="406">
        <v>45512.0</v>
      </c>
      <c r="B330" s="349" t="s">
        <v>2610</v>
      </c>
      <c r="C330" s="349" t="s">
        <v>2746</v>
      </c>
      <c r="D330" s="349" t="s">
        <v>54</v>
      </c>
      <c r="E330" s="418" t="s">
        <v>2442</v>
      </c>
      <c r="F330" s="662">
        <v>10000.0</v>
      </c>
      <c r="G330" s="413">
        <v>10000.0</v>
      </c>
      <c r="H330" s="349" t="s">
        <v>710</v>
      </c>
      <c r="I330" s="404" t="str">
        <f t="shared" si="9"/>
        <v>FULLY PAID</v>
      </c>
      <c r="J330" s="402"/>
      <c r="K330" s="402"/>
      <c r="L330" s="402"/>
      <c r="M330" s="402"/>
      <c r="N330" s="402"/>
      <c r="O330" s="402"/>
      <c r="P330" s="402"/>
      <c r="Q330" s="402"/>
      <c r="R330" s="402"/>
      <c r="S330" s="402"/>
      <c r="T330" s="402"/>
      <c r="U330" s="402"/>
      <c r="V330" s="402"/>
      <c r="W330" s="402"/>
      <c r="X330" s="402"/>
      <c r="Y330" s="402"/>
      <c r="Z330" s="402"/>
      <c r="AA330" s="405"/>
      <c r="AB330" s="405"/>
      <c r="AC330" s="405"/>
      <c r="AD330" s="405"/>
      <c r="AE330" s="405"/>
      <c r="AF330" s="405"/>
      <c r="AG330" s="405"/>
    </row>
    <row r="331" ht="14.25" customHeight="1">
      <c r="A331" s="406">
        <v>45512.0</v>
      </c>
      <c r="B331" s="349" t="s">
        <v>2482</v>
      </c>
      <c r="C331" s="349" t="s">
        <v>2483</v>
      </c>
      <c r="D331" s="349" t="s">
        <v>54</v>
      </c>
      <c r="E331" s="344" t="s">
        <v>2442</v>
      </c>
      <c r="F331" s="662">
        <v>32125.0</v>
      </c>
      <c r="G331" s="413">
        <v>1000.0</v>
      </c>
      <c r="H331" s="349" t="s">
        <v>1039</v>
      </c>
      <c r="I331" s="404" t="str">
        <f t="shared" si="9"/>
        <v>PARTIALLY PAID</v>
      </c>
      <c r="J331" s="402"/>
      <c r="K331" s="402"/>
      <c r="L331" s="402"/>
      <c r="M331" s="402"/>
      <c r="N331" s="402"/>
      <c r="O331" s="402"/>
      <c r="P331" s="402"/>
      <c r="Q331" s="402"/>
      <c r="R331" s="402"/>
      <c r="S331" s="402"/>
      <c r="T331" s="402"/>
      <c r="U331" s="402"/>
      <c r="V331" s="402"/>
      <c r="W331" s="402"/>
      <c r="X331" s="402"/>
      <c r="Y331" s="402"/>
      <c r="Z331" s="402"/>
      <c r="AA331" s="405"/>
      <c r="AB331" s="405"/>
      <c r="AC331" s="405"/>
      <c r="AD331" s="405"/>
      <c r="AE331" s="405"/>
      <c r="AF331" s="405"/>
      <c r="AG331" s="405"/>
    </row>
    <row r="332" ht="14.25" customHeight="1">
      <c r="A332" s="406">
        <v>45512.0</v>
      </c>
      <c r="B332" s="349" t="s">
        <v>2729</v>
      </c>
      <c r="C332" s="349" t="s">
        <v>2730</v>
      </c>
      <c r="D332" s="349" t="s">
        <v>54</v>
      </c>
      <c r="E332" s="415" t="s">
        <v>2747</v>
      </c>
      <c r="F332" s="413">
        <v>49666.0</v>
      </c>
      <c r="G332" s="403"/>
      <c r="H332" s="349" t="s">
        <v>2748</v>
      </c>
      <c r="I332" s="404" t="str">
        <f t="shared" si="9"/>
        <v>NOT PAID</v>
      </c>
      <c r="J332" s="402"/>
      <c r="K332" s="402"/>
      <c r="L332" s="402"/>
      <c r="M332" s="402"/>
      <c r="N332" s="402"/>
      <c r="O332" s="402"/>
      <c r="P332" s="402"/>
      <c r="Q332" s="402"/>
      <c r="R332" s="402"/>
      <c r="S332" s="402"/>
      <c r="T332" s="402"/>
      <c r="U332" s="402"/>
      <c r="V332" s="402"/>
      <c r="W332" s="402"/>
      <c r="X332" s="402"/>
      <c r="Y332" s="402"/>
      <c r="Z332" s="402"/>
      <c r="AA332" s="405"/>
      <c r="AB332" s="405"/>
      <c r="AC332" s="405"/>
      <c r="AD332" s="405"/>
      <c r="AE332" s="405"/>
      <c r="AF332" s="405"/>
      <c r="AG332" s="405"/>
    </row>
    <row r="333" ht="14.25" customHeight="1">
      <c r="A333" s="406">
        <v>45512.0</v>
      </c>
      <c r="B333" s="349" t="s">
        <v>2510</v>
      </c>
      <c r="C333" s="349" t="s">
        <v>2593</v>
      </c>
      <c r="D333" s="349" t="s">
        <v>54</v>
      </c>
      <c r="E333" s="344" t="s">
        <v>2442</v>
      </c>
      <c r="F333" s="413">
        <v>26522.0</v>
      </c>
      <c r="G333" s="403"/>
      <c r="H333" s="402"/>
      <c r="I333" s="404" t="str">
        <f t="shared" si="9"/>
        <v>NOT PAID</v>
      </c>
      <c r="J333" s="402"/>
      <c r="K333" s="402"/>
      <c r="L333" s="402"/>
      <c r="M333" s="402"/>
      <c r="N333" s="402"/>
      <c r="O333" s="402"/>
      <c r="P333" s="402"/>
      <c r="Q333" s="402"/>
      <c r="R333" s="402"/>
      <c r="S333" s="402"/>
      <c r="T333" s="402"/>
      <c r="U333" s="402"/>
      <c r="V333" s="402"/>
      <c r="W333" s="402"/>
      <c r="X333" s="402"/>
      <c r="Y333" s="402"/>
      <c r="Z333" s="402"/>
      <c r="AA333" s="405"/>
      <c r="AB333" s="405"/>
      <c r="AC333" s="405"/>
      <c r="AD333" s="405"/>
      <c r="AE333" s="405"/>
      <c r="AF333" s="405"/>
      <c r="AG333" s="405"/>
    </row>
    <row r="334" ht="14.25" customHeight="1">
      <c r="A334" s="406">
        <v>45512.0</v>
      </c>
      <c r="B334" s="349" t="s">
        <v>2579</v>
      </c>
      <c r="C334" s="349" t="s">
        <v>2580</v>
      </c>
      <c r="D334" s="349" t="s">
        <v>54</v>
      </c>
      <c r="E334" s="344" t="s">
        <v>2442</v>
      </c>
      <c r="F334" s="489">
        <v>28445.0</v>
      </c>
      <c r="G334" s="403"/>
      <c r="H334" s="349" t="s">
        <v>2749</v>
      </c>
      <c r="I334" s="404" t="str">
        <f t="shared" si="9"/>
        <v>NOT PAID</v>
      </c>
      <c r="J334" s="402"/>
      <c r="K334" s="402"/>
      <c r="L334" s="402"/>
      <c r="M334" s="402"/>
      <c r="N334" s="402"/>
      <c r="O334" s="402"/>
      <c r="P334" s="402"/>
      <c r="Q334" s="402"/>
      <c r="R334" s="402"/>
      <c r="S334" s="402"/>
      <c r="T334" s="402"/>
      <c r="U334" s="402"/>
      <c r="V334" s="402"/>
      <c r="W334" s="402"/>
      <c r="X334" s="402"/>
      <c r="Y334" s="402"/>
      <c r="Z334" s="402"/>
      <c r="AA334" s="405"/>
      <c r="AB334" s="405"/>
      <c r="AC334" s="405"/>
      <c r="AD334" s="405"/>
      <c r="AE334" s="405"/>
      <c r="AF334" s="405"/>
      <c r="AG334" s="405"/>
    </row>
    <row r="335" ht="14.25" customHeight="1">
      <c r="A335" s="406">
        <v>45512.0</v>
      </c>
      <c r="B335" s="349" t="s">
        <v>2581</v>
      </c>
      <c r="C335" s="349" t="s">
        <v>2582</v>
      </c>
      <c r="D335" s="349" t="s">
        <v>54</v>
      </c>
      <c r="E335" s="344" t="s">
        <v>2442</v>
      </c>
      <c r="F335" s="413">
        <v>46750.0</v>
      </c>
      <c r="G335" s="413">
        <v>10000.0</v>
      </c>
      <c r="H335" s="349" t="s">
        <v>1039</v>
      </c>
      <c r="I335" s="404" t="str">
        <f t="shared" si="9"/>
        <v>PARTIALLY PAID</v>
      </c>
      <c r="J335" s="402"/>
      <c r="K335" s="402"/>
      <c r="L335" s="402"/>
      <c r="M335" s="402"/>
      <c r="N335" s="402"/>
      <c r="O335" s="402"/>
      <c r="P335" s="402"/>
      <c r="Q335" s="402"/>
      <c r="R335" s="402"/>
      <c r="S335" s="402"/>
      <c r="T335" s="402"/>
      <c r="U335" s="402"/>
      <c r="V335" s="402"/>
      <c r="W335" s="402"/>
      <c r="X335" s="402"/>
      <c r="Y335" s="402"/>
      <c r="Z335" s="402"/>
      <c r="AA335" s="405"/>
      <c r="AB335" s="405"/>
      <c r="AC335" s="405"/>
      <c r="AD335" s="405"/>
      <c r="AE335" s="405"/>
      <c r="AF335" s="405"/>
      <c r="AG335" s="405"/>
    </row>
    <row r="336" ht="14.25" customHeight="1">
      <c r="A336" s="406">
        <v>45512.0</v>
      </c>
      <c r="B336" s="349" t="s">
        <v>2508</v>
      </c>
      <c r="C336" s="349" t="s">
        <v>2750</v>
      </c>
      <c r="D336" s="349" t="s">
        <v>54</v>
      </c>
      <c r="E336" s="344" t="s">
        <v>2442</v>
      </c>
      <c r="F336" s="662" t="s">
        <v>0</v>
      </c>
      <c r="G336" s="413">
        <v>10000.0</v>
      </c>
      <c r="H336" s="349" t="s">
        <v>1039</v>
      </c>
      <c r="I336" s="404" t="str">
        <f t="shared" si="9"/>
        <v>PARTIALLY PAID</v>
      </c>
      <c r="J336" s="402"/>
      <c r="K336" s="402"/>
      <c r="L336" s="402"/>
      <c r="M336" s="402"/>
      <c r="N336" s="402"/>
      <c r="O336" s="402"/>
      <c r="P336" s="402"/>
      <c r="Q336" s="402"/>
      <c r="R336" s="402"/>
      <c r="S336" s="402"/>
      <c r="T336" s="402"/>
      <c r="U336" s="402"/>
      <c r="V336" s="402"/>
      <c r="W336" s="402"/>
      <c r="X336" s="402"/>
      <c r="Y336" s="402"/>
      <c r="Z336" s="402"/>
      <c r="AA336" s="405"/>
      <c r="AB336" s="405"/>
      <c r="AC336" s="405"/>
      <c r="AD336" s="405"/>
      <c r="AE336" s="405"/>
      <c r="AF336" s="405"/>
      <c r="AG336" s="405"/>
    </row>
    <row r="337" ht="14.25" customHeight="1">
      <c r="A337" s="406"/>
      <c r="B337" s="402"/>
      <c r="C337" s="402"/>
      <c r="D337" s="402"/>
      <c r="E337" s="501"/>
      <c r="F337" s="664"/>
      <c r="G337" s="403"/>
      <c r="H337" s="402"/>
      <c r="I337" s="404" t="str">
        <f t="shared" si="9"/>
        <v>FULLY PAID</v>
      </c>
      <c r="J337" s="402"/>
      <c r="K337" s="402"/>
      <c r="L337" s="402"/>
      <c r="M337" s="402"/>
      <c r="N337" s="402"/>
      <c r="O337" s="402"/>
      <c r="P337" s="402"/>
      <c r="Q337" s="402"/>
      <c r="R337" s="402"/>
      <c r="S337" s="402"/>
      <c r="T337" s="402"/>
      <c r="U337" s="402"/>
      <c r="V337" s="402"/>
      <c r="W337" s="402"/>
      <c r="X337" s="402"/>
      <c r="Y337" s="402"/>
      <c r="Z337" s="402"/>
      <c r="AA337" s="405"/>
      <c r="AB337" s="405"/>
      <c r="AC337" s="405"/>
      <c r="AD337" s="405"/>
      <c r="AE337" s="405"/>
      <c r="AF337" s="405"/>
      <c r="AG337" s="405"/>
    </row>
    <row r="338" ht="14.25" customHeight="1">
      <c r="A338" s="402"/>
      <c r="B338" s="402"/>
      <c r="C338" s="402"/>
      <c r="D338" s="402"/>
      <c r="E338" s="402"/>
      <c r="F338" s="664"/>
      <c r="G338" s="403"/>
      <c r="H338" s="402"/>
      <c r="I338" s="404" t="str">
        <f t="shared" si="9"/>
        <v>FULLY PAID</v>
      </c>
      <c r="J338" s="402"/>
      <c r="K338" s="402"/>
      <c r="L338" s="402"/>
      <c r="M338" s="402"/>
      <c r="N338" s="402"/>
      <c r="O338" s="402"/>
      <c r="P338" s="402"/>
      <c r="Q338" s="402"/>
      <c r="R338" s="402"/>
      <c r="S338" s="402"/>
      <c r="T338" s="402"/>
      <c r="U338" s="402"/>
      <c r="V338" s="402"/>
      <c r="W338" s="402"/>
      <c r="X338" s="402"/>
      <c r="Y338" s="402"/>
      <c r="Z338" s="402"/>
      <c r="AA338" s="405"/>
      <c r="AB338" s="405"/>
      <c r="AC338" s="405"/>
      <c r="AD338" s="405"/>
      <c r="AE338" s="405"/>
      <c r="AF338" s="405"/>
      <c r="AG338" s="405"/>
    </row>
    <row r="339" ht="14.25" customHeight="1">
      <c r="A339" s="402"/>
      <c r="B339" s="402"/>
      <c r="C339" s="402"/>
      <c r="D339" s="402"/>
      <c r="E339" s="402"/>
      <c r="F339" s="664"/>
      <c r="G339" s="403"/>
      <c r="H339" s="402"/>
      <c r="I339" s="404" t="str">
        <f t="shared" si="9"/>
        <v>FULLY PAID</v>
      </c>
      <c r="J339" s="402"/>
      <c r="K339" s="402"/>
      <c r="L339" s="402"/>
      <c r="M339" s="402"/>
      <c r="N339" s="402"/>
      <c r="O339" s="402"/>
      <c r="P339" s="402"/>
      <c r="Q339" s="402"/>
      <c r="R339" s="402"/>
      <c r="S339" s="402"/>
      <c r="T339" s="402"/>
      <c r="U339" s="402"/>
      <c r="V339" s="402"/>
      <c r="W339" s="402"/>
      <c r="X339" s="402"/>
      <c r="Y339" s="402"/>
      <c r="Z339" s="402"/>
      <c r="AA339" s="405"/>
      <c r="AB339" s="405"/>
      <c r="AC339" s="405"/>
      <c r="AD339" s="405"/>
      <c r="AE339" s="405"/>
      <c r="AF339" s="405"/>
      <c r="AG339" s="405"/>
    </row>
    <row r="340" ht="14.25" customHeight="1">
      <c r="A340" s="406">
        <v>45512.0</v>
      </c>
      <c r="B340" s="349" t="s">
        <v>2652</v>
      </c>
      <c r="C340" s="349" t="s">
        <v>2653</v>
      </c>
      <c r="D340" s="349" t="s">
        <v>59</v>
      </c>
      <c r="E340" s="415" t="s">
        <v>2751</v>
      </c>
      <c r="F340" s="413">
        <v>63743.0</v>
      </c>
      <c r="G340" s="403"/>
      <c r="H340" s="349" t="s">
        <v>2752</v>
      </c>
      <c r="I340" s="404" t="str">
        <f t="shared" si="9"/>
        <v>NOT PAID</v>
      </c>
      <c r="J340" s="402"/>
      <c r="K340" s="402"/>
      <c r="L340" s="402"/>
      <c r="M340" s="402"/>
      <c r="N340" s="402"/>
      <c r="O340" s="402"/>
      <c r="P340" s="402"/>
      <c r="Q340" s="402"/>
      <c r="R340" s="402"/>
      <c r="S340" s="402"/>
      <c r="T340" s="402"/>
      <c r="U340" s="402"/>
      <c r="V340" s="402"/>
      <c r="W340" s="402"/>
      <c r="X340" s="402"/>
      <c r="Y340" s="402"/>
      <c r="Z340" s="402"/>
      <c r="AA340" s="405"/>
      <c r="AB340" s="405"/>
      <c r="AC340" s="405"/>
      <c r="AD340" s="405"/>
      <c r="AE340" s="405"/>
      <c r="AF340" s="405"/>
      <c r="AG340" s="405"/>
    </row>
    <row r="341" ht="14.25" customHeight="1">
      <c r="A341" s="406">
        <v>45512.0</v>
      </c>
      <c r="B341" s="349" t="s">
        <v>2677</v>
      </c>
      <c r="C341" s="349" t="s">
        <v>2753</v>
      </c>
      <c r="D341" s="686" t="s">
        <v>54</v>
      </c>
      <c r="E341" s="349" t="s">
        <v>2469</v>
      </c>
      <c r="F341" s="559">
        <v>45000.0</v>
      </c>
      <c r="G341" s="403"/>
      <c r="H341" s="349" t="s">
        <v>2754</v>
      </c>
      <c r="I341" s="404" t="str">
        <f t="shared" si="9"/>
        <v>NOT PAID</v>
      </c>
      <c r="J341" s="402"/>
      <c r="K341" s="402"/>
      <c r="L341" s="402"/>
      <c r="M341" s="402"/>
      <c r="N341" s="402"/>
      <c r="O341" s="402"/>
      <c r="P341" s="402"/>
      <c r="Q341" s="402"/>
      <c r="R341" s="402"/>
      <c r="S341" s="402"/>
      <c r="T341" s="402"/>
      <c r="U341" s="402"/>
      <c r="V341" s="402"/>
      <c r="W341" s="402"/>
      <c r="X341" s="402"/>
      <c r="Y341" s="402"/>
      <c r="Z341" s="402"/>
      <c r="AA341" s="405"/>
      <c r="AB341" s="405"/>
      <c r="AC341" s="405"/>
      <c r="AD341" s="405"/>
      <c r="AE341" s="405"/>
      <c r="AF341" s="405"/>
      <c r="AG341" s="405"/>
    </row>
    <row r="342" ht="14.25" customHeight="1">
      <c r="A342" s="406">
        <v>45512.0</v>
      </c>
      <c r="B342" s="349" t="s">
        <v>2493</v>
      </c>
      <c r="C342" s="349" t="s">
        <v>2735</v>
      </c>
      <c r="D342" s="686" t="s">
        <v>54</v>
      </c>
      <c r="E342" s="349" t="s">
        <v>2469</v>
      </c>
      <c r="F342" s="559">
        <v>285868.0</v>
      </c>
      <c r="G342" s="403"/>
      <c r="H342" s="349" t="s">
        <v>2755</v>
      </c>
      <c r="I342" s="404" t="str">
        <f t="shared" si="9"/>
        <v>NOT PAID</v>
      </c>
      <c r="J342" s="402"/>
      <c r="K342" s="402"/>
      <c r="L342" s="402"/>
      <c r="M342" s="402"/>
      <c r="N342" s="402"/>
      <c r="O342" s="402"/>
      <c r="P342" s="402"/>
      <c r="Q342" s="402"/>
      <c r="R342" s="402"/>
      <c r="S342" s="402"/>
      <c r="T342" s="402"/>
      <c r="U342" s="402"/>
      <c r="V342" s="402"/>
      <c r="W342" s="402"/>
      <c r="X342" s="402"/>
      <c r="Y342" s="402"/>
      <c r="Z342" s="402"/>
      <c r="AA342" s="405"/>
      <c r="AB342" s="405"/>
      <c r="AC342" s="405"/>
      <c r="AD342" s="405"/>
      <c r="AE342" s="405"/>
      <c r="AF342" s="405"/>
      <c r="AG342" s="405"/>
    </row>
    <row r="343" ht="14.25" customHeight="1">
      <c r="A343" s="406">
        <v>45512.0</v>
      </c>
      <c r="B343" s="349" t="s">
        <v>2697</v>
      </c>
      <c r="C343" s="349" t="s">
        <v>2756</v>
      </c>
      <c r="D343" s="686" t="s">
        <v>54</v>
      </c>
      <c r="E343" s="349" t="s">
        <v>2469</v>
      </c>
      <c r="F343" s="559">
        <v>71466.79</v>
      </c>
      <c r="G343" s="403"/>
      <c r="H343" s="349" t="s">
        <v>2757</v>
      </c>
      <c r="I343" s="404" t="str">
        <f t="shared" si="9"/>
        <v>NOT PAID</v>
      </c>
      <c r="J343" s="402"/>
      <c r="K343" s="402"/>
      <c r="L343" s="402"/>
      <c r="M343" s="402"/>
      <c r="N343" s="402"/>
      <c r="O343" s="402"/>
      <c r="P343" s="402"/>
      <c r="Q343" s="402"/>
      <c r="R343" s="402"/>
      <c r="S343" s="402"/>
      <c r="T343" s="402"/>
      <c r="U343" s="402"/>
      <c r="V343" s="402"/>
      <c r="W343" s="402"/>
      <c r="X343" s="402"/>
      <c r="Y343" s="402"/>
      <c r="Z343" s="402"/>
      <c r="AA343" s="405"/>
      <c r="AB343" s="405"/>
      <c r="AC343" s="405"/>
      <c r="AD343" s="405"/>
      <c r="AE343" s="405"/>
      <c r="AF343" s="405"/>
      <c r="AG343" s="405"/>
    </row>
    <row r="344" ht="14.25" customHeight="1">
      <c r="A344" s="406">
        <v>45512.0</v>
      </c>
      <c r="B344" s="349" t="s">
        <v>2686</v>
      </c>
      <c r="C344" s="349" t="s">
        <v>2758</v>
      </c>
      <c r="D344" s="686" t="s">
        <v>54</v>
      </c>
      <c r="E344" s="349" t="s">
        <v>2469</v>
      </c>
      <c r="F344" s="559">
        <v>18812.85</v>
      </c>
      <c r="G344" s="403"/>
      <c r="H344" s="349" t="s">
        <v>2759</v>
      </c>
      <c r="I344" s="404" t="str">
        <f t="shared" si="9"/>
        <v>NOT PAID</v>
      </c>
      <c r="J344" s="402"/>
      <c r="K344" s="402"/>
      <c r="L344" s="402"/>
      <c r="M344" s="402"/>
      <c r="N344" s="402"/>
      <c r="O344" s="402"/>
      <c r="P344" s="402"/>
      <c r="Q344" s="402"/>
      <c r="R344" s="402"/>
      <c r="S344" s="402"/>
      <c r="T344" s="402"/>
      <c r="U344" s="402"/>
      <c r="V344" s="402"/>
      <c r="W344" s="402"/>
      <c r="X344" s="402"/>
      <c r="Y344" s="402"/>
      <c r="Z344" s="402"/>
      <c r="AA344" s="405"/>
      <c r="AB344" s="405"/>
      <c r="AC344" s="405"/>
      <c r="AD344" s="405"/>
      <c r="AE344" s="405"/>
      <c r="AF344" s="405"/>
      <c r="AG344" s="405"/>
    </row>
    <row r="345" ht="14.25" customHeight="1">
      <c r="A345" s="406">
        <v>45512.0</v>
      </c>
      <c r="B345" s="349" t="s">
        <v>2496</v>
      </c>
      <c r="C345" s="349" t="s">
        <v>2497</v>
      </c>
      <c r="D345" s="686" t="s">
        <v>75</v>
      </c>
      <c r="E345" s="349" t="s">
        <v>2469</v>
      </c>
      <c r="F345" s="559">
        <v>86182.0</v>
      </c>
      <c r="G345" s="403"/>
      <c r="H345" s="349" t="s">
        <v>2760</v>
      </c>
      <c r="I345" s="404" t="str">
        <f t="shared" si="9"/>
        <v>NOT PAID</v>
      </c>
      <c r="J345" s="402"/>
      <c r="K345" s="402"/>
      <c r="L345" s="402"/>
      <c r="M345" s="402"/>
      <c r="N345" s="402"/>
      <c r="O345" s="402"/>
      <c r="P345" s="402"/>
      <c r="Q345" s="402"/>
      <c r="R345" s="402"/>
      <c r="S345" s="402"/>
      <c r="T345" s="402"/>
      <c r="U345" s="402"/>
      <c r="V345" s="402"/>
      <c r="W345" s="402"/>
      <c r="X345" s="402"/>
      <c r="Y345" s="402"/>
      <c r="Z345" s="402"/>
      <c r="AA345" s="405"/>
      <c r="AB345" s="405"/>
      <c r="AC345" s="405"/>
      <c r="AD345" s="405"/>
      <c r="AE345" s="405"/>
      <c r="AF345" s="405"/>
      <c r="AG345" s="405"/>
    </row>
    <row r="346" ht="14.25" customHeight="1">
      <c r="A346" s="402"/>
      <c r="B346" s="349"/>
      <c r="C346" s="349"/>
      <c r="D346" s="413"/>
      <c r="E346" s="402"/>
      <c r="F346" s="662"/>
      <c r="G346" s="413"/>
      <c r="H346" s="349"/>
      <c r="I346" s="404" t="str">
        <f t="shared" si="9"/>
        <v>FULLY PAID</v>
      </c>
      <c r="J346" s="349"/>
      <c r="K346" s="406"/>
      <c r="L346" s="402"/>
      <c r="M346" s="402"/>
      <c r="N346" s="402"/>
      <c r="O346" s="402"/>
      <c r="P346" s="402"/>
      <c r="Q346" s="402"/>
      <c r="R346" s="402"/>
      <c r="S346" s="402"/>
      <c r="T346" s="402"/>
      <c r="U346" s="402"/>
      <c r="V346" s="402"/>
      <c r="W346" s="402"/>
      <c r="X346" s="402"/>
      <c r="Y346" s="402"/>
      <c r="Z346" s="402"/>
      <c r="AA346" s="405"/>
      <c r="AB346" s="405"/>
      <c r="AC346" s="405"/>
      <c r="AD346" s="405"/>
      <c r="AE346" s="405"/>
      <c r="AF346" s="405"/>
      <c r="AG346" s="405"/>
    </row>
    <row r="347" ht="14.25" customHeight="1">
      <c r="A347" s="402"/>
      <c r="B347" s="402"/>
      <c r="C347" s="402"/>
      <c r="D347" s="402"/>
      <c r="E347" s="402"/>
      <c r="F347" s="402"/>
      <c r="G347" s="403"/>
      <c r="H347" s="402"/>
      <c r="I347" s="404" t="str">
        <f t="shared" si="9"/>
        <v>FULLY PAID</v>
      </c>
      <c r="J347" s="402"/>
      <c r="K347" s="402"/>
      <c r="L347" s="402"/>
      <c r="M347" s="402"/>
      <c r="N347" s="402"/>
      <c r="O347" s="402"/>
      <c r="P347" s="402"/>
      <c r="Q347" s="405"/>
    </row>
    <row r="348" ht="14.25" customHeight="1">
      <c r="A348" s="406">
        <v>45513.0</v>
      </c>
      <c r="B348" s="349" t="s">
        <v>2761</v>
      </c>
      <c r="C348" s="349" t="s">
        <v>2762</v>
      </c>
      <c r="D348" s="349" t="s">
        <v>54</v>
      </c>
      <c r="E348" s="418" t="s">
        <v>2442</v>
      </c>
      <c r="F348" s="413">
        <v>16125.0</v>
      </c>
      <c r="G348" s="413">
        <v>20125.0</v>
      </c>
      <c r="H348" s="349" t="s">
        <v>2763</v>
      </c>
      <c r="I348" s="404" t="str">
        <f t="shared" si="9"/>
        <v>FULLY PAID</v>
      </c>
      <c r="J348" s="402"/>
      <c r="K348" s="402"/>
      <c r="L348" s="402"/>
      <c r="M348" s="402"/>
      <c r="N348" s="402"/>
      <c r="O348" s="402"/>
      <c r="P348" s="402"/>
      <c r="Q348" s="405"/>
    </row>
    <row r="349" ht="14.25" customHeight="1">
      <c r="A349" s="406">
        <v>45513.0</v>
      </c>
      <c r="B349" s="349" t="s">
        <v>2764</v>
      </c>
      <c r="C349" s="349" t="s">
        <v>2765</v>
      </c>
      <c r="D349" s="349" t="s">
        <v>54</v>
      </c>
      <c r="E349" s="349" t="s">
        <v>2469</v>
      </c>
      <c r="F349" s="413">
        <v>27592.0</v>
      </c>
      <c r="G349" s="403"/>
      <c r="H349" s="349" t="s">
        <v>2766</v>
      </c>
      <c r="I349" s="404" t="str">
        <f t="shared" si="9"/>
        <v>NOT PAID</v>
      </c>
      <c r="J349" s="402"/>
      <c r="K349" s="402"/>
      <c r="L349" s="402"/>
      <c r="M349" s="402"/>
      <c r="N349" s="402"/>
      <c r="O349" s="402"/>
      <c r="P349" s="402"/>
      <c r="Q349" s="405"/>
    </row>
    <row r="350" ht="14.25" customHeight="1">
      <c r="A350" s="406">
        <v>45513.0</v>
      </c>
      <c r="B350" s="349" t="s">
        <v>2767</v>
      </c>
      <c r="C350" s="349" t="s">
        <v>2768</v>
      </c>
      <c r="D350" s="349" t="s">
        <v>54</v>
      </c>
      <c r="E350" s="418" t="s">
        <v>2442</v>
      </c>
      <c r="F350" s="413">
        <v>24987.0</v>
      </c>
      <c r="G350" s="403"/>
      <c r="H350" s="349" t="s">
        <v>2769</v>
      </c>
      <c r="I350" s="404" t="str">
        <f t="shared" si="9"/>
        <v>NOT PAID</v>
      </c>
      <c r="J350" s="402"/>
      <c r="K350" s="402"/>
      <c r="L350" s="402"/>
      <c r="M350" s="402"/>
      <c r="N350" s="402"/>
      <c r="O350" s="402"/>
      <c r="P350" s="402"/>
      <c r="Q350" s="405"/>
    </row>
    <row r="351" ht="14.25" customHeight="1">
      <c r="A351" s="406">
        <v>45513.0</v>
      </c>
      <c r="B351" s="349" t="s">
        <v>2493</v>
      </c>
      <c r="C351" s="349" t="s">
        <v>2494</v>
      </c>
      <c r="D351" s="349" t="s">
        <v>54</v>
      </c>
      <c r="E351" s="349" t="s">
        <v>2469</v>
      </c>
      <c r="F351" s="413">
        <v>56230.0</v>
      </c>
      <c r="G351" s="403"/>
      <c r="H351" s="349" t="s">
        <v>2770</v>
      </c>
      <c r="I351" s="404" t="str">
        <f t="shared" si="9"/>
        <v>NOT PAID</v>
      </c>
      <c r="J351" s="402"/>
      <c r="K351" s="402"/>
      <c r="L351" s="402"/>
      <c r="M351" s="402"/>
      <c r="N351" s="402"/>
      <c r="O351" s="402"/>
      <c r="P351" s="402"/>
      <c r="Q351" s="405"/>
    </row>
    <row r="352" ht="14.25" customHeight="1">
      <c r="A352" s="406">
        <v>45513.0</v>
      </c>
      <c r="B352" s="349" t="s">
        <v>2771</v>
      </c>
      <c r="C352" s="349" t="s">
        <v>2772</v>
      </c>
      <c r="D352" s="349" t="s">
        <v>54</v>
      </c>
      <c r="E352" s="418" t="s">
        <v>2442</v>
      </c>
      <c r="F352" s="413">
        <v>50995.0</v>
      </c>
      <c r="G352" s="403"/>
      <c r="H352" s="349" t="s">
        <v>2763</v>
      </c>
      <c r="I352" s="404" t="str">
        <f t="shared" si="9"/>
        <v>NOT PAID</v>
      </c>
      <c r="J352" s="402"/>
      <c r="K352" s="402"/>
      <c r="L352" s="402"/>
      <c r="M352" s="402"/>
      <c r="N352" s="402"/>
      <c r="O352" s="402"/>
      <c r="P352" s="402"/>
      <c r="Q352" s="402"/>
      <c r="R352" s="402"/>
      <c r="S352" s="402"/>
      <c r="T352" s="402"/>
      <c r="U352" s="402"/>
      <c r="V352" s="402"/>
      <c r="W352" s="402"/>
      <c r="X352" s="402"/>
      <c r="Y352" s="402"/>
      <c r="Z352" s="402"/>
      <c r="AA352" s="405"/>
      <c r="AB352" s="405"/>
      <c r="AC352" s="405"/>
      <c r="AD352" s="405"/>
      <c r="AE352" s="405"/>
      <c r="AF352" s="405"/>
      <c r="AG352" s="405"/>
    </row>
    <row r="353" ht="14.25" customHeight="1">
      <c r="A353" s="406">
        <v>45513.0</v>
      </c>
      <c r="B353" s="349" t="s">
        <v>2496</v>
      </c>
      <c r="C353" s="349" t="s">
        <v>2497</v>
      </c>
      <c r="D353" s="686" t="s">
        <v>75</v>
      </c>
      <c r="E353" s="349" t="s">
        <v>2469</v>
      </c>
      <c r="F353" s="559">
        <v>86182.0</v>
      </c>
      <c r="G353" s="413">
        <v>1000.0</v>
      </c>
      <c r="H353" s="349" t="s">
        <v>2760</v>
      </c>
      <c r="I353" s="404" t="str">
        <f t="shared" si="9"/>
        <v>PARTIALLY PAID</v>
      </c>
      <c r="J353" s="402"/>
      <c r="K353" s="402"/>
      <c r="L353" s="402"/>
      <c r="M353" s="402"/>
      <c r="N353" s="402"/>
      <c r="O353" s="402"/>
      <c r="P353" s="402"/>
      <c r="Q353" s="402"/>
      <c r="R353" s="402"/>
      <c r="S353" s="402"/>
      <c r="T353" s="402"/>
      <c r="U353" s="402"/>
      <c r="V353" s="402"/>
      <c r="W353" s="402"/>
      <c r="X353" s="402"/>
      <c r="Y353" s="402"/>
      <c r="Z353" s="402"/>
      <c r="AA353" s="405"/>
      <c r="AB353" s="405"/>
      <c r="AC353" s="405"/>
      <c r="AD353" s="405"/>
      <c r="AE353" s="405"/>
      <c r="AF353" s="405"/>
      <c r="AG353" s="405"/>
    </row>
    <row r="354" ht="14.25" customHeight="1">
      <c r="A354" s="406">
        <v>45513.0</v>
      </c>
      <c r="B354" s="349" t="s">
        <v>2697</v>
      </c>
      <c r="C354" s="349" t="s">
        <v>2756</v>
      </c>
      <c r="D354" s="686" t="s">
        <v>54</v>
      </c>
      <c r="E354" s="349" t="s">
        <v>2469</v>
      </c>
      <c r="F354" s="559">
        <v>65989.0</v>
      </c>
      <c r="G354" s="403"/>
      <c r="H354" s="349" t="s">
        <v>2773</v>
      </c>
      <c r="I354" s="404" t="str">
        <f t="shared" si="9"/>
        <v>NOT PAID</v>
      </c>
      <c r="J354" s="402"/>
      <c r="K354" s="402"/>
      <c r="L354" s="402"/>
      <c r="M354" s="402"/>
      <c r="N354" s="402"/>
      <c r="O354" s="402"/>
      <c r="P354" s="402"/>
      <c r="Q354" s="402"/>
      <c r="R354" s="402"/>
      <c r="S354" s="402"/>
      <c r="T354" s="402"/>
      <c r="U354" s="402"/>
      <c r="V354" s="402"/>
      <c r="W354" s="402"/>
      <c r="X354" s="402"/>
      <c r="Y354" s="402"/>
      <c r="Z354" s="402"/>
      <c r="AA354" s="405"/>
      <c r="AB354" s="405"/>
      <c r="AC354" s="405"/>
      <c r="AD354" s="405"/>
      <c r="AE354" s="405"/>
      <c r="AF354" s="405"/>
      <c r="AG354" s="405"/>
    </row>
    <row r="355" ht="14.25" customHeight="1">
      <c r="A355" s="406">
        <v>45513.0</v>
      </c>
      <c r="B355" s="349" t="s">
        <v>2774</v>
      </c>
      <c r="C355" s="349" t="s">
        <v>2775</v>
      </c>
      <c r="D355" s="349" t="s">
        <v>59</v>
      </c>
      <c r="E355" s="349" t="s">
        <v>2469</v>
      </c>
      <c r="F355" s="662">
        <v>500000.0</v>
      </c>
      <c r="G355" s="403"/>
      <c r="H355" s="349" t="s">
        <v>2776</v>
      </c>
      <c r="I355" s="404" t="str">
        <f t="shared" si="9"/>
        <v>NOT PAID</v>
      </c>
      <c r="J355" s="402"/>
      <c r="K355" s="402"/>
      <c r="L355" s="402"/>
      <c r="M355" s="402"/>
      <c r="N355" s="402"/>
      <c r="O355" s="402"/>
      <c r="P355" s="402"/>
      <c r="Q355" s="402"/>
      <c r="R355" s="402"/>
      <c r="S355" s="402"/>
      <c r="T355" s="402"/>
      <c r="U355" s="402"/>
      <c r="V355" s="402"/>
      <c r="W355" s="402"/>
      <c r="X355" s="402"/>
      <c r="Y355" s="402"/>
      <c r="Z355" s="402"/>
      <c r="AA355" s="405"/>
      <c r="AB355" s="405"/>
      <c r="AC355" s="405"/>
      <c r="AD355" s="405"/>
      <c r="AE355" s="405"/>
      <c r="AF355" s="405"/>
      <c r="AG355" s="405"/>
    </row>
    <row r="356" ht="14.25" customHeight="1">
      <c r="A356" s="406">
        <v>45513.0</v>
      </c>
      <c r="B356" s="349" t="s">
        <v>2512</v>
      </c>
      <c r="C356" s="349" t="s">
        <v>2513</v>
      </c>
      <c r="D356" s="349" t="s">
        <v>54</v>
      </c>
      <c r="E356" s="402" t="s">
        <v>2442</v>
      </c>
      <c r="F356" s="559">
        <v>40636.0</v>
      </c>
      <c r="G356" s="403"/>
      <c r="H356" s="349" t="s">
        <v>2777</v>
      </c>
      <c r="I356" s="404" t="str">
        <f t="shared" si="9"/>
        <v>NOT PAID</v>
      </c>
      <c r="J356" s="402"/>
      <c r="K356" s="402"/>
      <c r="L356" s="402"/>
      <c r="M356" s="402"/>
      <c r="N356" s="402"/>
      <c r="O356" s="402"/>
      <c r="P356" s="402"/>
      <c r="Q356" s="402"/>
      <c r="R356" s="402"/>
      <c r="S356" s="402"/>
      <c r="T356" s="402"/>
      <c r="U356" s="402"/>
      <c r="V356" s="402"/>
      <c r="W356" s="402"/>
      <c r="X356" s="402"/>
      <c r="Y356" s="402"/>
      <c r="Z356" s="402"/>
      <c r="AA356" s="405"/>
      <c r="AB356" s="405"/>
      <c r="AC356" s="405"/>
      <c r="AD356" s="405"/>
      <c r="AE356" s="405"/>
      <c r="AF356" s="405"/>
      <c r="AG356" s="405"/>
    </row>
    <row r="357" ht="14.25" customHeight="1">
      <c r="A357" s="406">
        <v>45513.0</v>
      </c>
      <c r="B357" s="349" t="s">
        <v>2739</v>
      </c>
      <c r="C357" s="349" t="s">
        <v>2740</v>
      </c>
      <c r="D357" s="349" t="s">
        <v>54</v>
      </c>
      <c r="E357" s="402" t="s">
        <v>2442</v>
      </c>
      <c r="F357" s="413">
        <v>15139.0</v>
      </c>
      <c r="G357" s="403"/>
      <c r="H357" s="349" t="s">
        <v>2778</v>
      </c>
      <c r="I357" s="404" t="str">
        <f t="shared" si="9"/>
        <v>NOT PAID</v>
      </c>
      <c r="J357" s="402"/>
      <c r="K357" s="402"/>
      <c r="L357" s="402"/>
      <c r="M357" s="402"/>
      <c r="N357" s="402"/>
      <c r="O357" s="402"/>
      <c r="P357" s="402"/>
      <c r="Q357" s="402"/>
      <c r="R357" s="402"/>
      <c r="S357" s="402"/>
      <c r="T357" s="402"/>
      <c r="U357" s="402"/>
      <c r="V357" s="402"/>
      <c r="W357" s="402"/>
      <c r="X357" s="402"/>
      <c r="Y357" s="402"/>
      <c r="Z357" s="402"/>
      <c r="AA357" s="405"/>
      <c r="AB357" s="405"/>
      <c r="AC357" s="405"/>
      <c r="AD357" s="405"/>
      <c r="AE357" s="405"/>
      <c r="AF357" s="405"/>
      <c r="AG357" s="405"/>
    </row>
    <row r="358" ht="14.25" customHeight="1">
      <c r="A358" s="406">
        <v>45513.0</v>
      </c>
      <c r="B358" s="349" t="s">
        <v>2505</v>
      </c>
      <c r="C358" s="349" t="s">
        <v>2737</v>
      </c>
      <c r="D358" s="349" t="s">
        <v>54</v>
      </c>
      <c r="E358" s="402" t="s">
        <v>2442</v>
      </c>
      <c r="F358" s="413">
        <v>42968.0</v>
      </c>
      <c r="G358" s="403"/>
      <c r="H358" s="349" t="s">
        <v>2779</v>
      </c>
      <c r="I358" s="404" t="str">
        <f t="shared" si="9"/>
        <v>NOT PAID</v>
      </c>
      <c r="J358" s="402"/>
      <c r="K358" s="402"/>
      <c r="L358" s="402"/>
      <c r="M358" s="402"/>
      <c r="N358" s="402"/>
      <c r="O358" s="402"/>
      <c r="P358" s="402"/>
      <c r="Q358" s="402"/>
      <c r="R358" s="402"/>
      <c r="S358" s="402"/>
      <c r="T358" s="402"/>
      <c r="U358" s="402"/>
      <c r="V358" s="402"/>
      <c r="W358" s="402"/>
      <c r="X358" s="402"/>
      <c r="Y358" s="402"/>
      <c r="Z358" s="402"/>
      <c r="AA358" s="405"/>
      <c r="AB358" s="405"/>
      <c r="AC358" s="405"/>
      <c r="AD358" s="405"/>
      <c r="AE358" s="405"/>
      <c r="AF358" s="405"/>
      <c r="AG358" s="405"/>
    </row>
    <row r="359" ht="14.25" customHeight="1">
      <c r="A359" s="406">
        <v>45513.0</v>
      </c>
      <c r="B359" s="349" t="s">
        <v>2579</v>
      </c>
      <c r="C359" s="349" t="s">
        <v>2580</v>
      </c>
      <c r="D359" s="349" t="s">
        <v>54</v>
      </c>
      <c r="E359" s="344" t="s">
        <v>2442</v>
      </c>
      <c r="F359" s="489">
        <v>28445.0</v>
      </c>
      <c r="G359" s="403"/>
      <c r="H359" s="487" t="s">
        <v>2780</v>
      </c>
      <c r="I359" s="404" t="str">
        <f t="shared" si="9"/>
        <v>NOT PAID</v>
      </c>
      <c r="J359" s="402"/>
      <c r="K359" s="402"/>
      <c r="L359" s="402"/>
      <c r="M359" s="402"/>
      <c r="N359" s="402"/>
      <c r="O359" s="402"/>
      <c r="P359" s="402"/>
      <c r="Q359" s="402"/>
      <c r="R359" s="402"/>
      <c r="S359" s="402"/>
      <c r="T359" s="402"/>
      <c r="U359" s="402"/>
      <c r="V359" s="402"/>
      <c r="W359" s="402"/>
      <c r="X359" s="402"/>
      <c r="Y359" s="402"/>
      <c r="Z359" s="402"/>
      <c r="AA359" s="405"/>
      <c r="AB359" s="405"/>
      <c r="AC359" s="405"/>
      <c r="AD359" s="405"/>
      <c r="AE359" s="405"/>
      <c r="AF359" s="405"/>
      <c r="AG359" s="405"/>
    </row>
    <row r="360" ht="14.25" customHeight="1">
      <c r="A360" s="406">
        <v>45513.0</v>
      </c>
      <c r="B360" s="349" t="s">
        <v>2479</v>
      </c>
      <c r="C360" s="349" t="s">
        <v>2679</v>
      </c>
      <c r="D360" s="349" t="s">
        <v>54</v>
      </c>
      <c r="E360" s="344" t="s">
        <v>2442</v>
      </c>
      <c r="F360" s="413">
        <v>31807.0</v>
      </c>
      <c r="G360" s="403"/>
      <c r="H360" s="349" t="s">
        <v>2781</v>
      </c>
      <c r="I360" s="404" t="str">
        <f t="shared" si="9"/>
        <v>NOT PAID</v>
      </c>
      <c r="J360" s="402"/>
      <c r="K360" s="402"/>
      <c r="L360" s="402"/>
      <c r="M360" s="402"/>
      <c r="N360" s="402"/>
      <c r="O360" s="402"/>
      <c r="P360" s="402"/>
      <c r="Q360" s="402"/>
      <c r="R360" s="402"/>
      <c r="S360" s="402"/>
      <c r="T360" s="402"/>
      <c r="U360" s="402"/>
      <c r="V360" s="402"/>
      <c r="W360" s="402"/>
      <c r="X360" s="402"/>
      <c r="Y360" s="402"/>
      <c r="Z360" s="402"/>
      <c r="AA360" s="405"/>
      <c r="AB360" s="405"/>
      <c r="AC360" s="405"/>
      <c r="AD360" s="405"/>
      <c r="AE360" s="405"/>
      <c r="AF360" s="405"/>
      <c r="AG360" s="405"/>
    </row>
    <row r="361" ht="14.25" customHeight="1">
      <c r="A361" s="406">
        <v>45513.0</v>
      </c>
      <c r="B361" s="349" t="s">
        <v>2717</v>
      </c>
      <c r="C361" s="349" t="s">
        <v>2642</v>
      </c>
      <c r="D361" s="418" t="s">
        <v>54</v>
      </c>
      <c r="E361" s="418" t="s">
        <v>2442</v>
      </c>
      <c r="F361" s="662">
        <v>57706.0</v>
      </c>
      <c r="G361" s="403"/>
      <c r="H361" s="349" t="s">
        <v>2782</v>
      </c>
      <c r="I361" s="404" t="str">
        <f t="shared" si="9"/>
        <v>NOT PAID</v>
      </c>
      <c r="J361" s="402"/>
      <c r="K361" s="402"/>
      <c r="L361" s="402"/>
      <c r="M361" s="402"/>
      <c r="N361" s="402"/>
      <c r="O361" s="402"/>
      <c r="P361" s="402"/>
      <c r="Q361" s="402"/>
      <c r="R361" s="402"/>
      <c r="S361" s="402"/>
      <c r="T361" s="402"/>
      <c r="U361" s="402"/>
      <c r="V361" s="402"/>
      <c r="W361" s="402"/>
      <c r="X361" s="402"/>
      <c r="Y361" s="402"/>
      <c r="Z361" s="402"/>
      <c r="AA361" s="405"/>
      <c r="AB361" s="405"/>
      <c r="AC361" s="405"/>
      <c r="AD361" s="405"/>
      <c r="AE361" s="405"/>
      <c r="AF361" s="405"/>
      <c r="AG361" s="405"/>
    </row>
    <row r="362" ht="14.25" customHeight="1">
      <c r="A362" s="406">
        <v>45513.0</v>
      </c>
      <c r="B362" s="349" t="s">
        <v>2677</v>
      </c>
      <c r="C362" s="349" t="s">
        <v>2753</v>
      </c>
      <c r="D362" s="686" t="s">
        <v>54</v>
      </c>
      <c r="E362" s="349" t="s">
        <v>2469</v>
      </c>
      <c r="F362" s="559">
        <v>45000.0</v>
      </c>
      <c r="G362" s="403"/>
      <c r="H362" s="349" t="s">
        <v>2783</v>
      </c>
      <c r="I362" s="404" t="str">
        <f t="shared" si="9"/>
        <v>NOT PAID</v>
      </c>
      <c r="J362" s="402"/>
      <c r="K362" s="402"/>
      <c r="L362" s="402"/>
      <c r="M362" s="402"/>
      <c r="N362" s="402"/>
      <c r="O362" s="402"/>
      <c r="P362" s="402"/>
      <c r="Q362" s="402"/>
      <c r="R362" s="402"/>
      <c r="S362" s="402"/>
      <c r="T362" s="402"/>
      <c r="U362" s="402"/>
      <c r="V362" s="402"/>
      <c r="W362" s="402"/>
      <c r="X362" s="402"/>
      <c r="Y362" s="402"/>
      <c r="Z362" s="402"/>
      <c r="AA362" s="405"/>
      <c r="AB362" s="405"/>
      <c r="AC362" s="405"/>
      <c r="AD362" s="405"/>
      <c r="AE362" s="405"/>
      <c r="AF362" s="405"/>
      <c r="AG362" s="405"/>
    </row>
    <row r="363" ht="14.25" customHeight="1">
      <c r="A363" s="406">
        <v>45513.0</v>
      </c>
      <c r="B363" s="349" t="s">
        <v>2652</v>
      </c>
      <c r="C363" s="349" t="s">
        <v>2653</v>
      </c>
      <c r="D363" s="349" t="s">
        <v>59</v>
      </c>
      <c r="E363" s="415" t="s">
        <v>2751</v>
      </c>
      <c r="F363" s="413">
        <v>63743.0</v>
      </c>
      <c r="G363" s="413">
        <v>63744.0</v>
      </c>
      <c r="H363" s="349" t="s">
        <v>2784</v>
      </c>
      <c r="I363" s="404" t="str">
        <f t="shared" si="9"/>
        <v>FULLY PAID</v>
      </c>
      <c r="J363" s="402"/>
      <c r="K363" s="402"/>
      <c r="L363" s="402"/>
      <c r="M363" s="402"/>
      <c r="N363" s="402"/>
      <c r="O363" s="402"/>
      <c r="P363" s="402"/>
      <c r="Q363" s="402"/>
      <c r="R363" s="402"/>
      <c r="S363" s="402"/>
      <c r="T363" s="402"/>
      <c r="U363" s="402"/>
      <c r="V363" s="402"/>
      <c r="W363" s="402"/>
      <c r="X363" s="402"/>
      <c r="Y363" s="402"/>
      <c r="Z363" s="402"/>
      <c r="AA363" s="405"/>
      <c r="AB363" s="405"/>
      <c r="AC363" s="405"/>
      <c r="AD363" s="405"/>
      <c r="AE363" s="405"/>
      <c r="AF363" s="405"/>
      <c r="AG363" s="405"/>
    </row>
    <row r="364" ht="14.25" customHeight="1">
      <c r="A364" s="406"/>
      <c r="B364" s="402"/>
      <c r="C364" s="402"/>
      <c r="D364" s="402"/>
      <c r="E364" s="402"/>
      <c r="F364" s="687">
        <v>1153544.0</v>
      </c>
      <c r="G364" s="403"/>
      <c r="H364" s="402"/>
      <c r="I364" s="404" t="str">
        <f t="shared" si="9"/>
        <v>NOT PAID</v>
      </c>
      <c r="J364" s="402"/>
      <c r="K364" s="402"/>
      <c r="L364" s="402"/>
      <c r="M364" s="402"/>
      <c r="N364" s="402"/>
      <c r="O364" s="402"/>
      <c r="P364" s="402"/>
      <c r="Q364" s="402"/>
      <c r="R364" s="402"/>
      <c r="S364" s="402"/>
      <c r="T364" s="402"/>
      <c r="U364" s="402"/>
      <c r="V364" s="402"/>
      <c r="W364" s="402"/>
      <c r="X364" s="402"/>
      <c r="Y364" s="402"/>
      <c r="Z364" s="402"/>
      <c r="AA364" s="405"/>
      <c r="AB364" s="405"/>
      <c r="AC364" s="405"/>
      <c r="AD364" s="405"/>
      <c r="AE364" s="405"/>
      <c r="AF364" s="405"/>
      <c r="AG364" s="405"/>
    </row>
    <row r="365" ht="14.25" customHeight="1">
      <c r="A365" s="406"/>
      <c r="B365" s="402"/>
      <c r="C365" s="402"/>
      <c r="D365" s="402"/>
      <c r="E365" s="402"/>
      <c r="F365" s="664"/>
      <c r="G365" s="403"/>
      <c r="H365" s="402"/>
      <c r="I365" s="404" t="str">
        <f t="shared" si="9"/>
        <v>FULLY PAID</v>
      </c>
      <c r="J365" s="402"/>
      <c r="K365" s="402"/>
      <c r="L365" s="402"/>
      <c r="M365" s="402"/>
      <c r="N365" s="402"/>
      <c r="O365" s="402"/>
      <c r="P365" s="402"/>
      <c r="Q365" s="402"/>
      <c r="R365" s="402"/>
      <c r="S365" s="402"/>
      <c r="T365" s="402"/>
      <c r="U365" s="402"/>
      <c r="V365" s="402"/>
      <c r="W365" s="402"/>
      <c r="X365" s="402"/>
      <c r="Y365" s="402"/>
      <c r="Z365" s="402"/>
      <c r="AA365" s="405"/>
      <c r="AB365" s="405"/>
      <c r="AC365" s="405"/>
      <c r="AD365" s="405"/>
      <c r="AE365" s="405"/>
      <c r="AF365" s="405"/>
      <c r="AG365" s="405"/>
    </row>
    <row r="366" ht="14.25" customHeight="1">
      <c r="A366" s="402"/>
      <c r="B366" s="402"/>
      <c r="C366" s="402"/>
      <c r="D366" s="402"/>
      <c r="E366" s="402"/>
      <c r="F366" s="664"/>
      <c r="G366" s="403"/>
      <c r="H366" s="402"/>
      <c r="I366" s="404" t="str">
        <f t="shared" si="9"/>
        <v>FULLY PAID</v>
      </c>
      <c r="J366" s="402"/>
      <c r="K366" s="402"/>
      <c r="L366" s="402"/>
      <c r="M366" s="402"/>
      <c r="N366" s="402"/>
      <c r="O366" s="402"/>
      <c r="P366" s="402"/>
      <c r="Q366" s="402"/>
      <c r="R366" s="402"/>
      <c r="S366" s="402"/>
      <c r="T366" s="402"/>
      <c r="U366" s="402"/>
      <c r="V366" s="402"/>
      <c r="W366" s="402"/>
      <c r="X366" s="402"/>
      <c r="Y366" s="402"/>
      <c r="Z366" s="402"/>
      <c r="AA366" s="405"/>
      <c r="AB366" s="405"/>
      <c r="AC366" s="405"/>
      <c r="AD366" s="405"/>
      <c r="AE366" s="405"/>
      <c r="AF366" s="405"/>
      <c r="AG366" s="405"/>
    </row>
    <row r="367" ht="14.25" customHeight="1">
      <c r="A367" s="402"/>
      <c r="B367" s="402"/>
      <c r="C367" s="402"/>
      <c r="D367" s="402"/>
      <c r="E367" s="402"/>
      <c r="F367" s="664"/>
      <c r="G367" s="403"/>
      <c r="H367" s="402"/>
      <c r="I367" s="404" t="str">
        <f t="shared" si="9"/>
        <v>FULLY PAID</v>
      </c>
      <c r="J367" s="402"/>
      <c r="K367" s="402"/>
      <c r="L367" s="402"/>
      <c r="M367" s="402"/>
      <c r="N367" s="402"/>
      <c r="O367" s="402"/>
      <c r="P367" s="402"/>
      <c r="Q367" s="402"/>
      <c r="R367" s="402"/>
      <c r="S367" s="402"/>
      <c r="T367" s="402"/>
      <c r="U367" s="402"/>
      <c r="V367" s="402"/>
      <c r="W367" s="402"/>
      <c r="X367" s="402"/>
      <c r="Y367" s="402"/>
      <c r="Z367" s="402"/>
      <c r="AA367" s="405"/>
      <c r="AB367" s="405"/>
      <c r="AC367" s="405"/>
      <c r="AD367" s="405"/>
      <c r="AE367" s="405"/>
      <c r="AF367" s="405"/>
      <c r="AG367" s="405"/>
    </row>
    <row r="368" ht="14.25" customHeight="1">
      <c r="A368" s="402"/>
      <c r="B368" s="402"/>
      <c r="C368" s="402"/>
      <c r="D368" s="402"/>
      <c r="E368" s="402"/>
      <c r="F368" s="664"/>
      <c r="G368" s="403"/>
      <c r="H368" s="402"/>
      <c r="I368" s="404" t="str">
        <f t="shared" si="9"/>
        <v>FULLY PAID</v>
      </c>
      <c r="J368" s="402"/>
      <c r="K368" s="402"/>
      <c r="L368" s="402"/>
      <c r="M368" s="402"/>
      <c r="N368" s="402"/>
      <c r="O368" s="402"/>
      <c r="P368" s="402"/>
      <c r="Q368" s="402"/>
      <c r="R368" s="402"/>
      <c r="S368" s="402"/>
      <c r="T368" s="402"/>
      <c r="U368" s="402"/>
      <c r="V368" s="402"/>
      <c r="W368" s="402"/>
      <c r="X368" s="402"/>
      <c r="Y368" s="402"/>
      <c r="Z368" s="402"/>
      <c r="AA368" s="405"/>
      <c r="AB368" s="405"/>
      <c r="AC368" s="405"/>
      <c r="AD368" s="405"/>
      <c r="AE368" s="405"/>
      <c r="AF368" s="405"/>
      <c r="AG368" s="405"/>
    </row>
    <row r="369" ht="14.25" customHeight="1">
      <c r="A369" s="406">
        <v>45514.0</v>
      </c>
      <c r="B369" s="349" t="s">
        <v>2641</v>
      </c>
      <c r="C369" s="349" t="s">
        <v>2642</v>
      </c>
      <c r="D369" s="349" t="s">
        <v>54</v>
      </c>
      <c r="E369" s="344" t="s">
        <v>2442</v>
      </c>
      <c r="F369" s="413">
        <v>54400.0</v>
      </c>
      <c r="G369" s="413">
        <v>54400.0</v>
      </c>
      <c r="H369" s="349" t="s">
        <v>2785</v>
      </c>
      <c r="I369" s="404" t="str">
        <f t="shared" si="9"/>
        <v>FULLY PAID</v>
      </c>
      <c r="J369" s="402"/>
      <c r="K369" s="402"/>
      <c r="L369" s="402"/>
      <c r="M369" s="402"/>
      <c r="N369" s="402"/>
      <c r="O369" s="402"/>
      <c r="P369" s="402"/>
      <c r="Q369" s="402"/>
      <c r="R369" s="402"/>
      <c r="S369" s="402"/>
      <c r="T369" s="402"/>
      <c r="U369" s="402"/>
      <c r="V369" s="402"/>
      <c r="W369" s="402"/>
      <c r="X369" s="402"/>
      <c r="Y369" s="402"/>
      <c r="Z369" s="402"/>
      <c r="AA369" s="405"/>
      <c r="AB369" s="405"/>
      <c r="AC369" s="405"/>
      <c r="AD369" s="405"/>
      <c r="AE369" s="405"/>
      <c r="AF369" s="405"/>
      <c r="AG369" s="405"/>
    </row>
    <row r="370" ht="14.25" customHeight="1">
      <c r="A370" s="406">
        <v>45514.0</v>
      </c>
      <c r="B370" s="349" t="s">
        <v>2643</v>
      </c>
      <c r="C370" s="349" t="s">
        <v>2644</v>
      </c>
      <c r="D370" s="349" t="s">
        <v>54</v>
      </c>
      <c r="E370" s="413" t="s">
        <v>2469</v>
      </c>
      <c r="F370" s="662">
        <v>8000.0</v>
      </c>
      <c r="G370" s="403"/>
      <c r="H370" s="349" t="s">
        <v>2786</v>
      </c>
      <c r="I370" s="404" t="str">
        <f t="shared" si="9"/>
        <v>NOT PAID</v>
      </c>
      <c r="J370" s="402"/>
      <c r="K370" s="402"/>
      <c r="L370" s="402"/>
      <c r="M370" s="402"/>
      <c r="N370" s="402"/>
      <c r="O370" s="402"/>
      <c r="P370" s="402"/>
      <c r="Q370" s="402"/>
      <c r="R370" s="402"/>
      <c r="S370" s="402"/>
      <c r="T370" s="402"/>
      <c r="U370" s="402"/>
      <c r="V370" s="402"/>
      <c r="W370" s="402"/>
      <c r="X370" s="402"/>
      <c r="Y370" s="402"/>
      <c r="Z370" s="402"/>
      <c r="AA370" s="405"/>
      <c r="AB370" s="405"/>
      <c r="AC370" s="405"/>
      <c r="AD370" s="405"/>
      <c r="AE370" s="405"/>
      <c r="AF370" s="405"/>
      <c r="AG370" s="405"/>
    </row>
    <row r="371" ht="14.25" customHeight="1">
      <c r="A371" s="406">
        <v>45514.0</v>
      </c>
      <c r="B371" s="349" t="s">
        <v>2496</v>
      </c>
      <c r="C371" s="349" t="s">
        <v>2497</v>
      </c>
      <c r="D371" s="686" t="s">
        <v>75</v>
      </c>
      <c r="E371" s="349" t="s">
        <v>2469</v>
      </c>
      <c r="F371" s="559">
        <v>86182.0</v>
      </c>
      <c r="G371" s="403"/>
      <c r="H371" s="349" t="s">
        <v>2787</v>
      </c>
      <c r="I371" s="404" t="str">
        <f t="shared" si="9"/>
        <v>NOT PAID</v>
      </c>
      <c r="J371" s="402"/>
      <c r="K371" s="402"/>
      <c r="L371" s="402"/>
      <c r="M371" s="402"/>
      <c r="N371" s="402"/>
      <c r="O371" s="402"/>
      <c r="P371" s="402"/>
      <c r="Q371" s="402"/>
      <c r="R371" s="402"/>
      <c r="S371" s="402"/>
      <c r="T371" s="402"/>
      <c r="U371" s="402"/>
      <c r="V371" s="402"/>
      <c r="W371" s="402"/>
      <c r="X371" s="402"/>
      <c r="Y371" s="402"/>
      <c r="Z371" s="402"/>
      <c r="AA371" s="405"/>
      <c r="AB371" s="405"/>
      <c r="AC371" s="405"/>
      <c r="AD371" s="405"/>
      <c r="AE371" s="405"/>
      <c r="AF371" s="405"/>
      <c r="AG371" s="405"/>
    </row>
    <row r="372" ht="14.25" customHeight="1">
      <c r="A372" s="406">
        <v>45514.0</v>
      </c>
      <c r="B372" s="417" t="s">
        <v>2512</v>
      </c>
      <c r="C372" s="417" t="s">
        <v>2513</v>
      </c>
      <c r="D372" s="417" t="s">
        <v>54</v>
      </c>
      <c r="E372" s="417" t="s">
        <v>2442</v>
      </c>
      <c r="F372" s="69">
        <v>40636.0</v>
      </c>
      <c r="G372" s="403"/>
      <c r="H372" s="349" t="s">
        <v>2788</v>
      </c>
      <c r="I372" s="404" t="str">
        <f t="shared" si="9"/>
        <v>NOT PAID</v>
      </c>
      <c r="J372" s="402"/>
      <c r="K372" s="402"/>
      <c r="L372" s="402"/>
      <c r="M372" s="402"/>
      <c r="N372" s="402"/>
      <c r="O372" s="402"/>
      <c r="P372" s="402"/>
      <c r="Q372" s="402"/>
      <c r="R372" s="402"/>
      <c r="S372" s="402"/>
      <c r="T372" s="402"/>
      <c r="U372" s="402"/>
      <c r="V372" s="402"/>
      <c r="W372" s="402"/>
      <c r="X372" s="402"/>
      <c r="Y372" s="402"/>
      <c r="Z372" s="402"/>
      <c r="AA372" s="405"/>
      <c r="AB372" s="405"/>
      <c r="AC372" s="405"/>
      <c r="AD372" s="405"/>
      <c r="AE372" s="405"/>
      <c r="AF372" s="405"/>
      <c r="AG372" s="405"/>
    </row>
    <row r="373" ht="14.25" customHeight="1">
      <c r="A373" s="406">
        <v>45514.0</v>
      </c>
      <c r="B373" s="419" t="s">
        <v>2789</v>
      </c>
      <c r="C373" s="419" t="s">
        <v>2790</v>
      </c>
      <c r="D373" s="417" t="s">
        <v>54</v>
      </c>
      <c r="E373" s="344" t="s">
        <v>2442</v>
      </c>
      <c r="F373" s="69">
        <v>31807.0</v>
      </c>
      <c r="G373" s="413">
        <v>31800.0</v>
      </c>
      <c r="H373" s="349" t="s">
        <v>710</v>
      </c>
      <c r="I373" s="404" t="str">
        <f t="shared" si="9"/>
        <v>PARTIALLY PAID</v>
      </c>
      <c r="J373" s="402"/>
      <c r="K373" s="402"/>
      <c r="L373" s="402"/>
      <c r="M373" s="402"/>
      <c r="N373" s="402"/>
      <c r="O373" s="402"/>
      <c r="P373" s="402"/>
      <c r="Q373" s="402"/>
      <c r="R373" s="402"/>
      <c r="S373" s="402"/>
      <c r="T373" s="402"/>
      <c r="U373" s="402"/>
      <c r="V373" s="402"/>
      <c r="W373" s="402"/>
      <c r="X373" s="402"/>
      <c r="Y373" s="402"/>
      <c r="Z373" s="402"/>
      <c r="AA373" s="405"/>
      <c r="AB373" s="405"/>
      <c r="AC373" s="405"/>
      <c r="AD373" s="405"/>
      <c r="AE373" s="405"/>
      <c r="AF373" s="405"/>
      <c r="AG373" s="405"/>
    </row>
    <row r="374" ht="14.25" customHeight="1">
      <c r="A374" s="406">
        <v>45514.0</v>
      </c>
      <c r="B374" s="349" t="s">
        <v>2771</v>
      </c>
      <c r="C374" s="349" t="s">
        <v>2772</v>
      </c>
      <c r="D374" s="349" t="s">
        <v>54</v>
      </c>
      <c r="E374" s="418" t="s">
        <v>2442</v>
      </c>
      <c r="F374" s="413">
        <v>50995.0</v>
      </c>
      <c r="G374" s="403"/>
      <c r="H374" s="349" t="s">
        <v>2791</v>
      </c>
      <c r="I374" s="404" t="str">
        <f t="shared" si="9"/>
        <v>NOT PAID</v>
      </c>
      <c r="J374" s="402"/>
      <c r="K374" s="402"/>
      <c r="L374" s="402"/>
      <c r="M374" s="402"/>
      <c r="N374" s="402"/>
      <c r="O374" s="402"/>
      <c r="P374" s="402"/>
      <c r="Q374" s="402"/>
      <c r="R374" s="402"/>
      <c r="S374" s="402"/>
      <c r="T374" s="402"/>
      <c r="U374" s="402"/>
      <c r="V374" s="402"/>
      <c r="W374" s="402"/>
      <c r="X374" s="402"/>
      <c r="Y374" s="402"/>
      <c r="Z374" s="402"/>
      <c r="AA374" s="405"/>
      <c r="AB374" s="405"/>
      <c r="AC374" s="405"/>
      <c r="AD374" s="405"/>
      <c r="AE374" s="405"/>
      <c r="AF374" s="405"/>
      <c r="AG374" s="405"/>
    </row>
    <row r="375" ht="14.25" customHeight="1">
      <c r="A375" s="406">
        <v>45514.0</v>
      </c>
      <c r="B375" s="349" t="s">
        <v>2493</v>
      </c>
      <c r="C375" s="349" t="s">
        <v>2494</v>
      </c>
      <c r="D375" s="349" t="s">
        <v>54</v>
      </c>
      <c r="E375" s="349" t="s">
        <v>2469</v>
      </c>
      <c r="F375" s="559">
        <v>56230.0</v>
      </c>
      <c r="G375" s="403"/>
      <c r="H375" s="349" t="s">
        <v>2792</v>
      </c>
      <c r="I375" s="404" t="str">
        <f t="shared" si="9"/>
        <v>NOT PAID</v>
      </c>
      <c r="J375" s="402"/>
      <c r="K375" s="402"/>
      <c r="L375" s="402"/>
      <c r="M375" s="402"/>
      <c r="N375" s="402"/>
      <c r="O375" s="402"/>
      <c r="P375" s="402"/>
      <c r="Q375" s="402"/>
      <c r="R375" s="402"/>
      <c r="S375" s="402"/>
      <c r="T375" s="402"/>
      <c r="U375" s="402"/>
      <c r="V375" s="402"/>
      <c r="W375" s="402"/>
      <c r="X375" s="402"/>
      <c r="Y375" s="402"/>
      <c r="Z375" s="402"/>
      <c r="AA375" s="405"/>
      <c r="AB375" s="405"/>
      <c r="AC375" s="405"/>
      <c r="AD375" s="405"/>
      <c r="AE375" s="405"/>
      <c r="AF375" s="405"/>
      <c r="AG375" s="405"/>
    </row>
    <row r="376" ht="14.25" customHeight="1">
      <c r="A376" s="406">
        <v>45514.0</v>
      </c>
      <c r="B376" s="349" t="s">
        <v>2764</v>
      </c>
      <c r="C376" s="349" t="s">
        <v>2765</v>
      </c>
      <c r="D376" s="349" t="s">
        <v>54</v>
      </c>
      <c r="E376" s="349" t="s">
        <v>2469</v>
      </c>
      <c r="F376" s="559">
        <v>33382.0</v>
      </c>
      <c r="G376" s="403"/>
      <c r="H376" s="349" t="s">
        <v>2793</v>
      </c>
      <c r="I376" s="404" t="str">
        <f t="shared" si="9"/>
        <v>NOT PAID</v>
      </c>
      <c r="J376" s="402"/>
      <c r="K376" s="402"/>
      <c r="L376" s="402"/>
      <c r="M376" s="402"/>
      <c r="N376" s="402"/>
      <c r="O376" s="402"/>
      <c r="P376" s="402"/>
      <c r="Q376" s="402"/>
      <c r="R376" s="402"/>
      <c r="S376" s="402"/>
      <c r="T376" s="402"/>
      <c r="U376" s="402"/>
      <c r="V376" s="402"/>
      <c r="W376" s="402"/>
      <c r="X376" s="402"/>
      <c r="Y376" s="402"/>
      <c r="Z376" s="402"/>
      <c r="AA376" s="405"/>
      <c r="AB376" s="405"/>
      <c r="AC376" s="405"/>
      <c r="AD376" s="405"/>
      <c r="AE376" s="405"/>
      <c r="AF376" s="405"/>
      <c r="AG376" s="405"/>
    </row>
    <row r="377" ht="14.25" customHeight="1">
      <c r="A377" s="406">
        <v>45514.0</v>
      </c>
      <c r="B377" s="349" t="s">
        <v>2697</v>
      </c>
      <c r="C377" s="349" t="s">
        <v>2756</v>
      </c>
      <c r="D377" s="349" t="s">
        <v>54</v>
      </c>
      <c r="E377" s="349" t="s">
        <v>2469</v>
      </c>
      <c r="F377" s="662">
        <v>71466.79</v>
      </c>
      <c r="G377" s="403"/>
      <c r="H377" s="349" t="s">
        <v>2794</v>
      </c>
      <c r="I377" s="404" t="str">
        <f t="shared" si="9"/>
        <v>NOT PAID</v>
      </c>
      <c r="J377" s="402"/>
      <c r="K377" s="402"/>
      <c r="L377" s="402"/>
      <c r="M377" s="402"/>
      <c r="N377" s="402"/>
      <c r="O377" s="402"/>
      <c r="P377" s="402"/>
      <c r="Q377" s="402"/>
      <c r="R377" s="402"/>
      <c r="S377" s="402"/>
      <c r="T377" s="402"/>
      <c r="U377" s="402"/>
      <c r="V377" s="402"/>
      <c r="W377" s="402"/>
      <c r="X377" s="402"/>
      <c r="Y377" s="402"/>
      <c r="Z377" s="402"/>
      <c r="AA377" s="405"/>
      <c r="AB377" s="405"/>
      <c r="AC377" s="405"/>
      <c r="AD377" s="405"/>
      <c r="AE377" s="405"/>
      <c r="AF377" s="405"/>
      <c r="AG377" s="405"/>
    </row>
    <row r="378" ht="14.25" customHeight="1">
      <c r="A378" s="406">
        <v>45514.0</v>
      </c>
      <c r="B378" s="349" t="s">
        <v>2677</v>
      </c>
      <c r="C378" s="349" t="s">
        <v>2753</v>
      </c>
      <c r="D378" s="349" t="s">
        <v>54</v>
      </c>
      <c r="E378" s="349" t="s">
        <v>2469</v>
      </c>
      <c r="F378" s="662">
        <v>45000.0</v>
      </c>
      <c r="G378" s="403"/>
      <c r="H378" s="349" t="s">
        <v>2795</v>
      </c>
      <c r="I378" s="404" t="str">
        <f t="shared" si="9"/>
        <v>NOT PAID</v>
      </c>
      <c r="J378" s="402"/>
      <c r="K378" s="402"/>
      <c r="L378" s="402"/>
      <c r="M378" s="402"/>
      <c r="N378" s="402"/>
      <c r="O378" s="402"/>
      <c r="P378" s="402"/>
      <c r="Q378" s="402"/>
      <c r="R378" s="402"/>
      <c r="S378" s="402"/>
      <c r="T378" s="402"/>
      <c r="U378" s="402"/>
      <c r="V378" s="402"/>
      <c r="W378" s="402"/>
      <c r="X378" s="402"/>
      <c r="Y378" s="402"/>
      <c r="Z378" s="402"/>
      <c r="AA378" s="405"/>
      <c r="AB378" s="405"/>
      <c r="AC378" s="405"/>
      <c r="AD378" s="405"/>
      <c r="AE378" s="405"/>
      <c r="AF378" s="405"/>
      <c r="AG378" s="405"/>
    </row>
    <row r="379" ht="14.25" customHeight="1">
      <c r="A379" s="402"/>
      <c r="B379" s="402"/>
      <c r="C379" s="402"/>
      <c r="D379" s="402"/>
      <c r="E379" s="402"/>
      <c r="F379" s="664"/>
      <c r="G379" s="403"/>
      <c r="H379" s="402"/>
      <c r="I379" s="404" t="str">
        <f t="shared" si="9"/>
        <v>FULLY PAID</v>
      </c>
      <c r="J379" s="402"/>
      <c r="K379" s="402"/>
      <c r="L379" s="402"/>
      <c r="M379" s="402"/>
      <c r="N379" s="402"/>
      <c r="O379" s="402"/>
      <c r="P379" s="402"/>
      <c r="Q379" s="402"/>
      <c r="R379" s="402"/>
      <c r="S379" s="402"/>
      <c r="T379" s="402"/>
      <c r="U379" s="402"/>
      <c r="V379" s="402"/>
      <c r="W379" s="402"/>
      <c r="X379" s="402"/>
      <c r="Y379" s="402"/>
      <c r="Z379" s="402"/>
      <c r="AA379" s="405"/>
      <c r="AB379" s="405"/>
      <c r="AC379" s="405"/>
      <c r="AD379" s="405"/>
      <c r="AE379" s="405"/>
      <c r="AF379" s="405"/>
      <c r="AG379" s="405"/>
    </row>
    <row r="380" ht="14.25" customHeight="1">
      <c r="A380" s="402"/>
      <c r="B380" s="402"/>
      <c r="C380" s="402"/>
      <c r="D380" s="402"/>
      <c r="E380" s="402"/>
      <c r="F380" s="664"/>
      <c r="G380" s="403"/>
      <c r="H380" s="402"/>
      <c r="I380" s="404" t="str">
        <f t="shared" si="9"/>
        <v>FULLY PAID</v>
      </c>
      <c r="J380" s="402"/>
      <c r="K380" s="402"/>
      <c r="L380" s="402"/>
      <c r="M380" s="402"/>
      <c r="N380" s="402"/>
      <c r="O380" s="402"/>
      <c r="P380" s="402"/>
      <c r="Q380" s="402"/>
      <c r="R380" s="402"/>
      <c r="S380" s="402"/>
      <c r="T380" s="402"/>
      <c r="U380" s="402"/>
      <c r="V380" s="402"/>
      <c r="W380" s="402"/>
      <c r="X380" s="402"/>
      <c r="Y380" s="402"/>
      <c r="Z380" s="402"/>
      <c r="AA380" s="405"/>
      <c r="AB380" s="405"/>
      <c r="AC380" s="405"/>
      <c r="AD380" s="405"/>
      <c r="AE380" s="405"/>
      <c r="AF380" s="405"/>
      <c r="AG380" s="405"/>
    </row>
    <row r="381" ht="14.25" customHeight="1">
      <c r="A381" s="402"/>
      <c r="B381" s="402"/>
      <c r="C381" s="402"/>
      <c r="D381" s="402"/>
      <c r="E381" s="402"/>
      <c r="F381" s="664"/>
      <c r="G381" s="403"/>
      <c r="H381" s="402"/>
      <c r="I381" s="404" t="str">
        <f t="shared" si="9"/>
        <v>FULLY PAID</v>
      </c>
      <c r="J381" s="402"/>
      <c r="K381" s="402"/>
      <c r="L381" s="402"/>
      <c r="M381" s="402"/>
      <c r="N381" s="402"/>
      <c r="O381" s="402"/>
      <c r="P381" s="402"/>
      <c r="Q381" s="402"/>
      <c r="R381" s="402"/>
      <c r="S381" s="402"/>
      <c r="T381" s="402"/>
      <c r="U381" s="402"/>
      <c r="V381" s="402"/>
      <c r="W381" s="402"/>
      <c r="X381" s="402"/>
      <c r="Y381" s="402"/>
      <c r="Z381" s="402"/>
      <c r="AA381" s="405"/>
      <c r="AB381" s="405"/>
      <c r="AC381" s="405"/>
      <c r="AD381" s="405"/>
      <c r="AE381" s="405"/>
      <c r="AF381" s="405"/>
      <c r="AG381" s="405"/>
    </row>
    <row r="382" ht="14.25" customHeight="1">
      <c r="A382" s="406">
        <v>45516.0</v>
      </c>
      <c r="B382" s="349" t="s">
        <v>2796</v>
      </c>
      <c r="C382" s="349" t="s">
        <v>2797</v>
      </c>
      <c r="D382" s="349" t="s">
        <v>54</v>
      </c>
      <c r="E382" s="349" t="s">
        <v>2469</v>
      </c>
      <c r="F382" s="413">
        <v>45580.63</v>
      </c>
      <c r="G382" s="413"/>
      <c r="H382" s="349" t="s">
        <v>2798</v>
      </c>
      <c r="I382" s="404" t="str">
        <f t="shared" si="9"/>
        <v>NOT PAID</v>
      </c>
      <c r="J382" s="406"/>
      <c r="K382" s="349"/>
      <c r="L382" s="413"/>
      <c r="M382" s="349"/>
      <c r="N382" s="413"/>
      <c r="O382" s="402"/>
      <c r="P382" s="402"/>
      <c r="Q382" s="402"/>
      <c r="R382" s="402"/>
      <c r="S382" s="402"/>
      <c r="T382" s="402"/>
      <c r="U382" s="402"/>
      <c r="V382" s="402"/>
      <c r="W382" s="402"/>
      <c r="X382" s="402"/>
      <c r="Y382" s="402"/>
      <c r="Z382" s="402"/>
      <c r="AA382" s="405"/>
      <c r="AB382" s="405"/>
      <c r="AC382" s="405"/>
      <c r="AD382" s="405"/>
      <c r="AE382" s="405"/>
      <c r="AF382" s="405"/>
      <c r="AG382" s="405"/>
    </row>
    <row r="383" ht="14.25" customHeight="1">
      <c r="A383" s="406">
        <v>45516.0</v>
      </c>
      <c r="B383" s="349" t="s">
        <v>2729</v>
      </c>
      <c r="C383" s="349" t="s">
        <v>2799</v>
      </c>
      <c r="D383" s="349" t="s">
        <v>54</v>
      </c>
      <c r="E383" s="417" t="s">
        <v>2442</v>
      </c>
      <c r="F383" s="413">
        <v>20402.67</v>
      </c>
      <c r="G383" s="413"/>
      <c r="H383" s="349" t="s">
        <v>2800</v>
      </c>
      <c r="I383" s="404" t="str">
        <f t="shared" si="9"/>
        <v>NOT PAID</v>
      </c>
      <c r="J383" s="406"/>
      <c r="K383" s="349"/>
      <c r="L383" s="413"/>
      <c r="M383" s="349"/>
      <c r="N383" s="413"/>
      <c r="O383" s="402"/>
      <c r="P383" s="402"/>
      <c r="Q383" s="402"/>
      <c r="R383" s="402"/>
      <c r="S383" s="402"/>
      <c r="T383" s="402"/>
      <c r="U383" s="402"/>
      <c r="V383" s="402"/>
      <c r="W383" s="402"/>
      <c r="X383" s="402"/>
      <c r="Y383" s="402"/>
      <c r="Z383" s="402"/>
      <c r="AA383" s="405"/>
      <c r="AB383" s="405"/>
      <c r="AC383" s="405"/>
      <c r="AD383" s="405"/>
      <c r="AE383" s="405"/>
      <c r="AF383" s="405"/>
      <c r="AG383" s="405"/>
    </row>
    <row r="384" ht="14.25" customHeight="1">
      <c r="A384" s="406">
        <v>45516.0</v>
      </c>
      <c r="B384" s="349" t="s">
        <v>2801</v>
      </c>
      <c r="C384" s="349" t="s">
        <v>2802</v>
      </c>
      <c r="D384" s="349" t="s">
        <v>54</v>
      </c>
      <c r="E384" s="349" t="s">
        <v>2469</v>
      </c>
      <c r="F384" s="413">
        <v>23707.6</v>
      </c>
      <c r="G384" s="413"/>
      <c r="H384" s="349" t="s">
        <v>2803</v>
      </c>
      <c r="I384" s="404" t="str">
        <f t="shared" si="9"/>
        <v>NOT PAID</v>
      </c>
      <c r="J384" s="406"/>
      <c r="K384" s="349"/>
      <c r="L384" s="413"/>
      <c r="M384" s="349"/>
      <c r="N384" s="413"/>
      <c r="O384" s="402"/>
      <c r="P384" s="402"/>
      <c r="Q384" s="402"/>
      <c r="R384" s="402"/>
      <c r="S384" s="402"/>
      <c r="T384" s="402"/>
      <c r="U384" s="402"/>
      <c r="V384" s="402"/>
      <c r="W384" s="402"/>
      <c r="X384" s="402"/>
      <c r="Y384" s="402"/>
      <c r="Z384" s="402"/>
      <c r="AA384" s="405"/>
      <c r="AB384" s="405"/>
      <c r="AC384" s="405"/>
      <c r="AD384" s="405"/>
      <c r="AE384" s="405"/>
      <c r="AF384" s="405"/>
      <c r="AG384" s="405"/>
    </row>
    <row r="385" ht="14.25" customHeight="1">
      <c r="A385" s="406">
        <v>45516.0</v>
      </c>
      <c r="B385" s="349" t="s">
        <v>2804</v>
      </c>
      <c r="C385" s="349" t="s">
        <v>2805</v>
      </c>
      <c r="D385" s="349" t="s">
        <v>54</v>
      </c>
      <c r="E385" s="349" t="s">
        <v>2469</v>
      </c>
      <c r="F385" s="413">
        <v>21623.09</v>
      </c>
      <c r="G385" s="413">
        <v>28000.0</v>
      </c>
      <c r="H385" s="349" t="s">
        <v>2806</v>
      </c>
      <c r="I385" s="404" t="str">
        <f t="shared" si="9"/>
        <v>FULLY PAID</v>
      </c>
      <c r="J385" s="406"/>
      <c r="K385" s="349"/>
      <c r="L385" s="413"/>
      <c r="M385" s="349"/>
      <c r="N385" s="413"/>
      <c r="O385" s="402"/>
      <c r="P385" s="402"/>
      <c r="Q385" s="402"/>
      <c r="R385" s="402"/>
      <c r="S385" s="402"/>
      <c r="T385" s="402"/>
      <c r="U385" s="402"/>
      <c r="V385" s="402"/>
      <c r="W385" s="402"/>
      <c r="X385" s="402"/>
      <c r="Y385" s="402"/>
      <c r="Z385" s="402"/>
      <c r="AA385" s="405"/>
      <c r="AB385" s="405"/>
      <c r="AC385" s="405"/>
      <c r="AD385" s="405"/>
      <c r="AE385" s="405"/>
      <c r="AF385" s="405"/>
      <c r="AG385" s="405"/>
    </row>
    <row r="386" ht="14.25" customHeight="1">
      <c r="A386" s="406">
        <v>45516.0</v>
      </c>
      <c r="B386" s="349" t="s">
        <v>2804</v>
      </c>
      <c r="C386" s="349" t="s">
        <v>2721</v>
      </c>
      <c r="D386" s="349" t="s">
        <v>54</v>
      </c>
      <c r="E386" s="417" t="s">
        <v>2442</v>
      </c>
      <c r="F386" s="413">
        <v>16255.0</v>
      </c>
      <c r="G386" s="403"/>
      <c r="H386" s="349" t="s">
        <v>2807</v>
      </c>
      <c r="I386" s="404" t="str">
        <f t="shared" si="9"/>
        <v>NOT PAID</v>
      </c>
      <c r="J386" s="402"/>
      <c r="K386" s="402"/>
      <c r="L386" s="402"/>
      <c r="M386" s="402"/>
      <c r="N386" s="402"/>
      <c r="O386" s="402"/>
      <c r="P386" s="402"/>
      <c r="Q386" s="402"/>
      <c r="R386" s="402"/>
      <c r="S386" s="402"/>
      <c r="T386" s="402"/>
      <c r="U386" s="402"/>
      <c r="V386" s="402"/>
      <c r="W386" s="402"/>
      <c r="X386" s="402"/>
      <c r="Y386" s="402"/>
      <c r="Z386" s="402"/>
      <c r="AA386" s="405"/>
      <c r="AB386" s="405"/>
      <c r="AC386" s="405"/>
      <c r="AD386" s="405"/>
      <c r="AE386" s="405"/>
      <c r="AF386" s="405"/>
      <c r="AG386" s="405"/>
    </row>
    <row r="387" ht="14.25" customHeight="1">
      <c r="A387" s="406">
        <v>45516.0</v>
      </c>
      <c r="B387" s="417" t="s">
        <v>2512</v>
      </c>
      <c r="C387" s="417" t="s">
        <v>2513</v>
      </c>
      <c r="D387" s="417" t="s">
        <v>54</v>
      </c>
      <c r="E387" s="417" t="s">
        <v>2442</v>
      </c>
      <c r="F387" s="69">
        <v>40636.0</v>
      </c>
      <c r="G387" s="403"/>
      <c r="H387" s="349" t="s">
        <v>2808</v>
      </c>
      <c r="I387" s="404" t="str">
        <f t="shared" si="9"/>
        <v>NOT PAID</v>
      </c>
      <c r="J387" s="402"/>
      <c r="K387" s="402"/>
      <c r="L387" s="402"/>
      <c r="M387" s="402"/>
      <c r="N387" s="402"/>
      <c r="O387" s="402"/>
      <c r="P387" s="402"/>
      <c r="Q387" s="402"/>
      <c r="R387" s="402"/>
      <c r="S387" s="402"/>
      <c r="T387" s="402"/>
      <c r="U387" s="402"/>
      <c r="V387" s="402"/>
      <c r="W387" s="402"/>
      <c r="X387" s="402"/>
      <c r="Y387" s="402"/>
      <c r="Z387" s="402"/>
      <c r="AA387" s="405"/>
      <c r="AB387" s="405"/>
      <c r="AC387" s="405"/>
      <c r="AD387" s="405"/>
      <c r="AE387" s="405"/>
      <c r="AF387" s="405"/>
      <c r="AG387" s="405"/>
    </row>
    <row r="388" ht="14.25" customHeight="1">
      <c r="A388" s="406">
        <v>45516.0</v>
      </c>
      <c r="B388" s="417" t="s">
        <v>2771</v>
      </c>
      <c r="C388" s="417" t="s">
        <v>2772</v>
      </c>
      <c r="D388" s="417" t="s">
        <v>54</v>
      </c>
      <c r="E388" s="418" t="s">
        <v>2442</v>
      </c>
      <c r="F388" s="69">
        <v>50995.0</v>
      </c>
      <c r="G388" s="403"/>
      <c r="H388" s="349" t="s">
        <v>2809</v>
      </c>
      <c r="I388" s="404" t="str">
        <f t="shared" si="9"/>
        <v>NOT PAID</v>
      </c>
      <c r="J388" s="402"/>
      <c r="K388" s="402"/>
      <c r="L388" s="402"/>
      <c r="M388" s="402"/>
      <c r="N388" s="402"/>
      <c r="O388" s="402"/>
      <c r="P388" s="402"/>
      <c r="Q388" s="402"/>
      <c r="R388" s="402"/>
      <c r="S388" s="402"/>
      <c r="T388" s="402"/>
      <c r="U388" s="402"/>
      <c r="V388" s="402"/>
      <c r="W388" s="402"/>
      <c r="X388" s="402"/>
      <c r="Y388" s="402"/>
      <c r="Z388" s="402"/>
      <c r="AA388" s="405"/>
      <c r="AB388" s="405"/>
      <c r="AC388" s="405"/>
      <c r="AD388" s="405"/>
      <c r="AE388" s="405"/>
      <c r="AF388" s="405"/>
      <c r="AG388" s="405"/>
    </row>
    <row r="389" ht="14.25" customHeight="1">
      <c r="A389" s="406">
        <v>45516.0</v>
      </c>
      <c r="B389" s="349" t="s">
        <v>2479</v>
      </c>
      <c r="C389" s="349" t="s">
        <v>2679</v>
      </c>
      <c r="D389" s="349" t="s">
        <v>54</v>
      </c>
      <c r="E389" s="344" t="s">
        <v>2442</v>
      </c>
      <c r="F389" s="662">
        <v>20000.0</v>
      </c>
      <c r="G389" s="403"/>
      <c r="H389" s="349" t="s">
        <v>2810</v>
      </c>
      <c r="I389" s="404" t="str">
        <f t="shared" si="9"/>
        <v>NOT PAID</v>
      </c>
      <c r="J389" s="402"/>
      <c r="K389" s="402"/>
      <c r="L389" s="402"/>
      <c r="M389" s="402"/>
      <c r="N389" s="402"/>
      <c r="O389" s="402"/>
      <c r="P389" s="402"/>
      <c r="Q389" s="402"/>
      <c r="R389" s="402"/>
      <c r="S389" s="402"/>
      <c r="T389" s="402"/>
      <c r="U389" s="402"/>
      <c r="V389" s="402"/>
      <c r="W389" s="402"/>
      <c r="X389" s="402"/>
      <c r="Y389" s="402"/>
      <c r="Z389" s="402"/>
      <c r="AA389" s="405"/>
      <c r="AB389" s="405"/>
      <c r="AC389" s="405"/>
      <c r="AD389" s="405"/>
      <c r="AE389" s="405"/>
      <c r="AF389" s="405"/>
      <c r="AG389" s="405"/>
    </row>
    <row r="390" ht="14.25" customHeight="1">
      <c r="A390" s="406">
        <v>45516.0</v>
      </c>
      <c r="B390" s="417" t="s">
        <v>2739</v>
      </c>
      <c r="C390" s="417" t="s">
        <v>2740</v>
      </c>
      <c r="D390" s="417" t="s">
        <v>54</v>
      </c>
      <c r="E390" s="417" t="s">
        <v>2442</v>
      </c>
      <c r="F390" s="69">
        <v>15139.0</v>
      </c>
      <c r="G390" s="403"/>
      <c r="H390" s="349" t="s">
        <v>2811</v>
      </c>
      <c r="I390" s="404" t="str">
        <f t="shared" si="9"/>
        <v>NOT PAID</v>
      </c>
      <c r="J390" s="402"/>
      <c r="K390" s="402"/>
      <c r="L390" s="402"/>
      <c r="M390" s="402"/>
      <c r="N390" s="402"/>
      <c r="O390" s="402"/>
      <c r="P390" s="402"/>
      <c r="Q390" s="402"/>
      <c r="R390" s="402"/>
      <c r="S390" s="402"/>
      <c r="T390" s="402"/>
      <c r="U390" s="402"/>
      <c r="V390" s="402"/>
      <c r="W390" s="402"/>
      <c r="X390" s="402"/>
      <c r="Y390" s="402"/>
      <c r="Z390" s="402"/>
      <c r="AA390" s="405"/>
      <c r="AB390" s="405"/>
      <c r="AC390" s="405"/>
      <c r="AD390" s="405"/>
      <c r="AE390" s="405"/>
      <c r="AF390" s="405"/>
      <c r="AG390" s="405"/>
    </row>
    <row r="391" ht="14.25" customHeight="1">
      <c r="A391" s="406">
        <v>45516.0</v>
      </c>
      <c r="B391" s="419" t="s">
        <v>2571</v>
      </c>
      <c r="C391" s="419" t="s">
        <v>2692</v>
      </c>
      <c r="D391" s="417" t="s">
        <v>54</v>
      </c>
      <c r="E391" s="417" t="s">
        <v>2442</v>
      </c>
      <c r="F391" s="73">
        <v>3000.0</v>
      </c>
      <c r="G391" s="413">
        <v>3000.0</v>
      </c>
      <c r="H391" s="402"/>
      <c r="I391" s="404" t="str">
        <f t="shared" si="9"/>
        <v>FULLY PAID</v>
      </c>
      <c r="J391" s="402"/>
      <c r="K391" s="402"/>
      <c r="L391" s="402"/>
      <c r="M391" s="402"/>
      <c r="N391" s="402"/>
      <c r="O391" s="402"/>
      <c r="P391" s="402"/>
      <c r="Q391" s="402"/>
      <c r="R391" s="402"/>
      <c r="S391" s="402"/>
      <c r="T391" s="402"/>
      <c r="U391" s="402"/>
      <c r="V391" s="402"/>
      <c r="W391" s="402"/>
      <c r="X391" s="402"/>
      <c r="Y391" s="402"/>
      <c r="Z391" s="402"/>
      <c r="AA391" s="405"/>
      <c r="AB391" s="405"/>
      <c r="AC391" s="405"/>
      <c r="AD391" s="405"/>
      <c r="AE391" s="405"/>
      <c r="AF391" s="405"/>
      <c r="AG391" s="405"/>
    </row>
    <row r="392" ht="14.25" customHeight="1">
      <c r="A392" s="406">
        <v>45516.0</v>
      </c>
      <c r="B392" s="417" t="s">
        <v>2505</v>
      </c>
      <c r="C392" s="417" t="s">
        <v>2737</v>
      </c>
      <c r="D392" s="417" t="s">
        <v>54</v>
      </c>
      <c r="E392" s="417" t="s">
        <v>2442</v>
      </c>
      <c r="F392" s="69">
        <v>42968.0</v>
      </c>
      <c r="G392" s="403"/>
      <c r="H392" s="349" t="s">
        <v>2812</v>
      </c>
      <c r="I392" s="404" t="str">
        <f t="shared" si="9"/>
        <v>NOT PAID</v>
      </c>
      <c r="J392" s="402"/>
      <c r="K392" s="402"/>
      <c r="L392" s="402"/>
      <c r="M392" s="402"/>
      <c r="N392" s="402"/>
      <c r="O392" s="402"/>
      <c r="P392" s="402"/>
      <c r="Q392" s="402"/>
      <c r="R392" s="402"/>
      <c r="S392" s="402"/>
      <c r="T392" s="402"/>
      <c r="U392" s="402"/>
      <c r="V392" s="402"/>
      <c r="W392" s="402"/>
      <c r="X392" s="402"/>
      <c r="Y392" s="402"/>
      <c r="Z392" s="402"/>
      <c r="AA392" s="405"/>
      <c r="AB392" s="405"/>
      <c r="AC392" s="405"/>
      <c r="AD392" s="405"/>
      <c r="AE392" s="405"/>
      <c r="AF392" s="405"/>
      <c r="AG392" s="405"/>
    </row>
    <row r="393" ht="14.25" customHeight="1">
      <c r="A393" s="406">
        <v>45516.0</v>
      </c>
      <c r="B393" s="417" t="s">
        <v>2579</v>
      </c>
      <c r="C393" s="417" t="s">
        <v>2580</v>
      </c>
      <c r="D393" s="417" t="s">
        <v>54</v>
      </c>
      <c r="E393" s="344" t="s">
        <v>2442</v>
      </c>
      <c r="F393" s="430">
        <v>28445.0</v>
      </c>
      <c r="G393" s="403"/>
      <c r="H393" s="349" t="s">
        <v>2813</v>
      </c>
      <c r="I393" s="404" t="str">
        <f t="shared" si="9"/>
        <v>NOT PAID</v>
      </c>
      <c r="J393" s="402"/>
      <c r="K393" s="402"/>
      <c r="L393" s="402"/>
      <c r="M393" s="402"/>
      <c r="N393" s="402"/>
      <c r="O393" s="402"/>
      <c r="P393" s="402"/>
      <c r="Q393" s="402"/>
      <c r="R393" s="402"/>
      <c r="S393" s="402"/>
      <c r="T393" s="402"/>
      <c r="U393" s="402"/>
      <c r="V393" s="402"/>
      <c r="W393" s="402"/>
      <c r="X393" s="402"/>
      <c r="Y393" s="402"/>
      <c r="Z393" s="402"/>
      <c r="AA393" s="405"/>
      <c r="AB393" s="405"/>
      <c r="AC393" s="405"/>
      <c r="AD393" s="405"/>
      <c r="AE393" s="405"/>
      <c r="AF393" s="405"/>
      <c r="AG393" s="405"/>
    </row>
    <row r="394" ht="14.25" customHeight="1">
      <c r="A394" s="406">
        <v>45516.0</v>
      </c>
      <c r="B394" s="349" t="s">
        <v>2530</v>
      </c>
      <c r="C394" s="349" t="s">
        <v>2531</v>
      </c>
      <c r="D394" s="349" t="s">
        <v>54</v>
      </c>
      <c r="E394" s="344" t="s">
        <v>2442</v>
      </c>
      <c r="F394" s="413">
        <v>12273.0</v>
      </c>
      <c r="G394" s="403"/>
      <c r="H394" s="349" t="s">
        <v>2807</v>
      </c>
      <c r="I394" s="404" t="str">
        <f t="shared" si="9"/>
        <v>NOT PAID</v>
      </c>
      <c r="J394" s="402"/>
      <c r="K394" s="402"/>
      <c r="L394" s="402"/>
      <c r="M394" s="402"/>
      <c r="N394" s="402"/>
      <c r="O394" s="402"/>
      <c r="P394" s="402"/>
      <c r="Q394" s="402"/>
      <c r="R394" s="402"/>
      <c r="S394" s="402"/>
      <c r="T394" s="402"/>
      <c r="U394" s="402"/>
      <c r="V394" s="402"/>
      <c r="W394" s="402"/>
      <c r="X394" s="402"/>
      <c r="Y394" s="402"/>
      <c r="Z394" s="402"/>
      <c r="AA394" s="405"/>
      <c r="AB394" s="405"/>
      <c r="AC394" s="405"/>
      <c r="AD394" s="405"/>
      <c r="AE394" s="405"/>
      <c r="AF394" s="405"/>
      <c r="AG394" s="405"/>
    </row>
    <row r="395" ht="14.25" customHeight="1">
      <c r="A395" s="406">
        <v>45516.0</v>
      </c>
      <c r="B395" s="349" t="s">
        <v>2493</v>
      </c>
      <c r="C395" s="349" t="s">
        <v>2735</v>
      </c>
      <c r="D395" s="349" t="s">
        <v>54</v>
      </c>
      <c r="E395" s="688" t="s">
        <v>2469</v>
      </c>
      <c r="F395" s="413">
        <v>200000.0</v>
      </c>
      <c r="G395" s="403"/>
      <c r="H395" s="349" t="s">
        <v>2814</v>
      </c>
      <c r="I395" s="404" t="str">
        <f t="shared" si="9"/>
        <v>NOT PAID</v>
      </c>
      <c r="J395" s="402"/>
      <c r="K395" s="402"/>
      <c r="L395" s="402"/>
      <c r="M395" s="402"/>
      <c r="N395" s="402"/>
      <c r="O395" s="402"/>
      <c r="P395" s="402"/>
      <c r="Q395" s="402"/>
      <c r="R395" s="402"/>
      <c r="S395" s="402"/>
      <c r="T395" s="402"/>
      <c r="U395" s="405"/>
    </row>
    <row r="396" ht="14.25" customHeight="1">
      <c r="A396" s="406">
        <v>45516.0</v>
      </c>
      <c r="B396" s="349" t="s">
        <v>2767</v>
      </c>
      <c r="C396" s="349" t="s">
        <v>2768</v>
      </c>
      <c r="D396" s="349" t="s">
        <v>54</v>
      </c>
      <c r="E396" s="344" t="s">
        <v>2442</v>
      </c>
      <c r="F396" s="413">
        <v>24987.0</v>
      </c>
      <c r="G396" s="403"/>
      <c r="H396" s="349" t="s">
        <v>2807</v>
      </c>
      <c r="I396" s="404" t="str">
        <f t="shared" si="9"/>
        <v>NOT PAID</v>
      </c>
      <c r="J396" s="402"/>
      <c r="K396" s="402"/>
      <c r="L396" s="402"/>
      <c r="M396" s="402"/>
      <c r="N396" s="402"/>
      <c r="O396" s="402"/>
      <c r="P396" s="402"/>
      <c r="Q396" s="402"/>
      <c r="R396" s="402"/>
      <c r="S396" s="402"/>
      <c r="T396" s="402"/>
      <c r="U396" s="402"/>
      <c r="V396" s="402"/>
      <c r="W396" s="402"/>
      <c r="X396" s="402"/>
      <c r="Y396" s="402"/>
      <c r="Z396" s="402"/>
      <c r="AA396" s="405"/>
      <c r="AB396" s="405"/>
      <c r="AC396" s="405"/>
      <c r="AD396" s="405"/>
      <c r="AE396" s="405"/>
      <c r="AF396" s="405"/>
      <c r="AG396" s="405"/>
    </row>
    <row r="397" ht="14.25" customHeight="1">
      <c r="A397" s="406">
        <v>45516.0</v>
      </c>
      <c r="B397" s="349" t="s">
        <v>2697</v>
      </c>
      <c r="C397" s="349" t="s">
        <v>2756</v>
      </c>
      <c r="D397" s="349" t="s">
        <v>54</v>
      </c>
      <c r="E397" s="349" t="s">
        <v>2469</v>
      </c>
      <c r="F397" s="559">
        <v>71466.79</v>
      </c>
      <c r="G397" s="413"/>
      <c r="H397" s="349" t="s">
        <v>2815</v>
      </c>
      <c r="I397" s="404" t="str">
        <f t="shared" si="9"/>
        <v>NOT PAID</v>
      </c>
      <c r="J397" s="349"/>
      <c r="K397" s="406"/>
      <c r="L397" s="402"/>
      <c r="M397" s="402"/>
      <c r="N397" s="402"/>
      <c r="O397" s="402"/>
      <c r="P397" s="402"/>
      <c r="Q397" s="402"/>
      <c r="R397" s="402"/>
      <c r="S397" s="402"/>
      <c r="T397" s="402"/>
      <c r="U397" s="402"/>
      <c r="V397" s="402"/>
      <c r="W397" s="402"/>
      <c r="X397" s="402"/>
      <c r="Y397" s="402"/>
      <c r="Z397" s="402"/>
      <c r="AA397" s="405"/>
      <c r="AB397" s="405"/>
      <c r="AC397" s="405"/>
      <c r="AD397" s="405"/>
      <c r="AE397" s="405"/>
      <c r="AF397" s="405"/>
      <c r="AG397" s="405"/>
    </row>
    <row r="398" ht="14.25" customHeight="1">
      <c r="A398" s="406">
        <v>45516.0</v>
      </c>
      <c r="B398" s="402" t="s">
        <v>2460</v>
      </c>
      <c r="C398" s="402" t="s">
        <v>2461</v>
      </c>
      <c r="D398" s="402" t="s">
        <v>54</v>
      </c>
      <c r="E398" s="402" t="s">
        <v>2442</v>
      </c>
      <c r="F398" s="587">
        <v>119519.0</v>
      </c>
      <c r="G398" s="403"/>
      <c r="H398" s="349" t="s">
        <v>2816</v>
      </c>
      <c r="I398" s="404" t="str">
        <f t="shared" si="9"/>
        <v>NOT PAID</v>
      </c>
      <c r="J398" s="402"/>
      <c r="K398" s="402"/>
      <c r="L398" s="402"/>
      <c r="M398" s="402"/>
      <c r="N398" s="402"/>
      <c r="O398" s="402"/>
      <c r="P398" s="402"/>
      <c r="Q398" s="402"/>
      <c r="R398" s="402"/>
      <c r="S398" s="402"/>
      <c r="T398" s="402"/>
      <c r="U398" s="402"/>
      <c r="V398" s="402"/>
      <c r="W398" s="402"/>
      <c r="X398" s="402"/>
      <c r="Y398" s="402"/>
      <c r="Z398" s="402"/>
      <c r="AA398" s="405"/>
      <c r="AB398" s="405"/>
      <c r="AC398" s="405"/>
      <c r="AD398" s="405"/>
      <c r="AE398" s="405"/>
      <c r="AF398" s="405"/>
      <c r="AG398" s="405"/>
    </row>
    <row r="399" ht="14.25" customHeight="1">
      <c r="A399" s="406">
        <v>45516.0</v>
      </c>
      <c r="B399" s="349" t="s">
        <v>2565</v>
      </c>
      <c r="C399" s="349" t="s">
        <v>2566</v>
      </c>
      <c r="D399" s="349" t="s">
        <v>54</v>
      </c>
      <c r="E399" s="349" t="s">
        <v>2442</v>
      </c>
      <c r="F399" s="413">
        <v>131205.0</v>
      </c>
      <c r="G399" s="403"/>
      <c r="H399" s="349" t="s">
        <v>2604</v>
      </c>
      <c r="I399" s="404" t="str">
        <f t="shared" si="9"/>
        <v>NOT PAID</v>
      </c>
      <c r="J399" s="402"/>
      <c r="K399" s="402"/>
      <c r="L399" s="402"/>
      <c r="M399" s="402"/>
      <c r="N399" s="402"/>
      <c r="O399" s="402"/>
      <c r="P399" s="402"/>
      <c r="Q399" s="402"/>
      <c r="R399" s="402"/>
      <c r="S399" s="402"/>
      <c r="T399" s="402"/>
      <c r="U399" s="402"/>
      <c r="V399" s="402"/>
      <c r="W399" s="402"/>
      <c r="X399" s="402"/>
      <c r="Y399" s="402"/>
      <c r="Z399" s="402"/>
      <c r="AA399" s="405"/>
      <c r="AB399" s="405"/>
      <c r="AC399" s="405"/>
      <c r="AD399" s="405"/>
      <c r="AE399" s="405"/>
      <c r="AF399" s="405"/>
      <c r="AG399" s="405"/>
    </row>
    <row r="400" ht="14.25" customHeight="1">
      <c r="A400" s="402"/>
      <c r="B400" s="402"/>
      <c r="C400" s="402"/>
      <c r="D400" s="402"/>
      <c r="E400" s="402"/>
      <c r="F400" s="664"/>
      <c r="G400" s="403"/>
      <c r="H400" s="402"/>
      <c r="I400" s="404" t="str">
        <f t="shared" si="9"/>
        <v>FULLY PAID</v>
      </c>
      <c r="J400" s="402"/>
      <c r="K400" s="402"/>
      <c r="L400" s="402"/>
      <c r="M400" s="402"/>
      <c r="N400" s="402"/>
      <c r="O400" s="402"/>
      <c r="P400" s="402"/>
      <c r="Q400" s="402"/>
      <c r="R400" s="402"/>
      <c r="S400" s="402"/>
      <c r="T400" s="402"/>
      <c r="U400" s="402"/>
      <c r="V400" s="402"/>
      <c r="W400" s="402"/>
      <c r="X400" s="402"/>
      <c r="Y400" s="402"/>
      <c r="Z400" s="402"/>
      <c r="AA400" s="405"/>
      <c r="AB400" s="405"/>
      <c r="AC400" s="405"/>
      <c r="AD400" s="405"/>
      <c r="AE400" s="405"/>
      <c r="AF400" s="405"/>
      <c r="AG400" s="405"/>
    </row>
    <row r="401" ht="14.25" customHeight="1">
      <c r="A401" s="402"/>
      <c r="B401" s="402"/>
      <c r="C401" s="402"/>
      <c r="D401" s="402"/>
      <c r="E401" s="402"/>
      <c r="F401" s="664"/>
      <c r="G401" s="403"/>
      <c r="H401" s="402"/>
      <c r="I401" s="404" t="str">
        <f t="shared" si="9"/>
        <v>FULLY PAID</v>
      </c>
      <c r="J401" s="402"/>
      <c r="K401" s="402"/>
      <c r="L401" s="402"/>
      <c r="M401" s="402"/>
      <c r="N401" s="402"/>
      <c r="O401" s="402"/>
      <c r="P401" s="402"/>
      <c r="Q401" s="402"/>
      <c r="R401" s="402"/>
      <c r="S401" s="402"/>
      <c r="T401" s="402"/>
      <c r="U401" s="402"/>
      <c r="V401" s="402"/>
      <c r="W401" s="402"/>
      <c r="X401" s="402"/>
      <c r="Y401" s="402"/>
      <c r="Z401" s="402"/>
      <c r="AA401" s="405"/>
      <c r="AB401" s="405"/>
      <c r="AC401" s="405"/>
      <c r="AD401" s="405"/>
      <c r="AE401" s="405"/>
      <c r="AF401" s="405"/>
      <c r="AG401" s="405"/>
    </row>
    <row r="402" ht="14.25" customHeight="1">
      <c r="A402" s="584" t="s">
        <v>2130</v>
      </c>
      <c r="B402" s="584" t="s">
        <v>39</v>
      </c>
      <c r="C402" s="584" t="s">
        <v>48</v>
      </c>
      <c r="D402" s="584" t="s">
        <v>49</v>
      </c>
      <c r="E402" s="584" t="s">
        <v>50</v>
      </c>
      <c r="F402" s="658" t="s">
        <v>2</v>
      </c>
      <c r="G402" s="586" t="s">
        <v>44</v>
      </c>
      <c r="H402" s="584" t="s">
        <v>45</v>
      </c>
      <c r="I402" s="404" t="str">
        <f t="shared" si="9"/>
        <v>FULLY PAID</v>
      </c>
      <c r="J402" s="402"/>
      <c r="K402" s="402"/>
      <c r="L402" s="402"/>
      <c r="M402" s="402"/>
      <c r="N402" s="402"/>
      <c r="O402" s="402"/>
      <c r="P402" s="402"/>
      <c r="Q402" s="402"/>
      <c r="R402" s="402"/>
      <c r="S402" s="402"/>
      <c r="T402" s="402"/>
      <c r="U402" s="402"/>
      <c r="V402" s="402"/>
      <c r="W402" s="402"/>
      <c r="X402" s="402"/>
      <c r="Y402" s="402"/>
      <c r="Z402" s="402"/>
      <c r="AA402" s="405"/>
      <c r="AB402" s="405"/>
      <c r="AC402" s="405"/>
      <c r="AD402" s="405"/>
      <c r="AE402" s="405"/>
      <c r="AF402" s="405"/>
      <c r="AG402" s="405"/>
    </row>
    <row r="403" ht="14.25" customHeight="1">
      <c r="A403" s="406">
        <v>45517.0</v>
      </c>
      <c r="B403" s="349" t="s">
        <v>2455</v>
      </c>
      <c r="C403" s="349" t="s">
        <v>2456</v>
      </c>
      <c r="D403" s="402" t="s">
        <v>54</v>
      </c>
      <c r="E403" s="417" t="s">
        <v>2442</v>
      </c>
      <c r="F403" s="413">
        <v>32270.0</v>
      </c>
      <c r="G403" s="413"/>
      <c r="H403" s="349" t="s">
        <v>2817</v>
      </c>
      <c r="I403" s="404" t="str">
        <f t="shared" si="9"/>
        <v>NOT PAID</v>
      </c>
      <c r="J403" s="406"/>
      <c r="K403" s="349"/>
      <c r="L403" s="413"/>
      <c r="M403" s="349"/>
      <c r="N403" s="413"/>
      <c r="O403" s="402"/>
      <c r="P403" s="402"/>
      <c r="Q403" s="402"/>
      <c r="R403" s="402"/>
      <c r="S403" s="402"/>
      <c r="T403" s="402"/>
      <c r="U403" s="402"/>
      <c r="V403" s="402"/>
      <c r="W403" s="402"/>
      <c r="X403" s="402"/>
      <c r="Y403" s="402"/>
      <c r="Z403" s="402"/>
      <c r="AA403" s="405"/>
      <c r="AB403" s="405"/>
      <c r="AC403" s="405"/>
      <c r="AD403" s="405"/>
      <c r="AE403" s="405"/>
      <c r="AF403" s="405"/>
      <c r="AG403" s="405"/>
    </row>
    <row r="404" ht="14.25" customHeight="1">
      <c r="A404" s="406">
        <v>45517.0</v>
      </c>
      <c r="B404" s="349" t="s">
        <v>2818</v>
      </c>
      <c r="C404" s="349" t="s">
        <v>2819</v>
      </c>
      <c r="D404" s="402" t="s">
        <v>54</v>
      </c>
      <c r="E404" s="417" t="s">
        <v>2442</v>
      </c>
      <c r="F404" s="413">
        <v>69144.0</v>
      </c>
      <c r="G404" s="413">
        <v>69200.0</v>
      </c>
      <c r="H404" s="406"/>
      <c r="I404" s="404" t="str">
        <f t="shared" si="9"/>
        <v>FULLY PAID</v>
      </c>
      <c r="J404" s="406"/>
      <c r="K404" s="349"/>
      <c r="L404" s="413"/>
      <c r="M404" s="349"/>
      <c r="N404" s="413"/>
      <c r="O404" s="402"/>
      <c r="P404" s="402"/>
      <c r="Q404" s="402"/>
      <c r="R404" s="402"/>
      <c r="S404" s="402"/>
      <c r="T404" s="402"/>
      <c r="U404" s="402"/>
      <c r="V404" s="402"/>
      <c r="W404" s="402"/>
      <c r="X404" s="402"/>
      <c r="Y404" s="402"/>
      <c r="Z404" s="402"/>
      <c r="AA404" s="405"/>
      <c r="AB404" s="405"/>
      <c r="AC404" s="405"/>
      <c r="AD404" s="405"/>
      <c r="AE404" s="405"/>
      <c r="AF404" s="405"/>
      <c r="AG404" s="405"/>
    </row>
    <row r="405" ht="14.25" customHeight="1">
      <c r="A405" s="406">
        <v>45517.0</v>
      </c>
      <c r="B405" s="349" t="s">
        <v>2820</v>
      </c>
      <c r="C405" s="349" t="s">
        <v>2821</v>
      </c>
      <c r="D405" s="402" t="s">
        <v>54</v>
      </c>
      <c r="E405" s="417" t="s">
        <v>2442</v>
      </c>
      <c r="F405" s="413">
        <v>31872.0</v>
      </c>
      <c r="G405" s="413"/>
      <c r="H405" s="349" t="s">
        <v>2822</v>
      </c>
      <c r="I405" s="404" t="str">
        <f t="shared" si="9"/>
        <v>NOT PAID</v>
      </c>
      <c r="J405" s="406"/>
      <c r="K405" s="349"/>
      <c r="L405" s="413"/>
      <c r="M405" s="349"/>
      <c r="N405" s="413"/>
      <c r="O405" s="402"/>
      <c r="P405" s="402"/>
      <c r="Q405" s="402"/>
      <c r="R405" s="402"/>
      <c r="S405" s="402"/>
      <c r="T405" s="402"/>
      <c r="U405" s="402"/>
      <c r="V405" s="402"/>
      <c r="W405" s="402"/>
      <c r="X405" s="402"/>
      <c r="Y405" s="402"/>
      <c r="Z405" s="402"/>
      <c r="AA405" s="405"/>
      <c r="AB405" s="405"/>
      <c r="AC405" s="405"/>
      <c r="AD405" s="405"/>
      <c r="AE405" s="405"/>
      <c r="AF405" s="405"/>
      <c r="AG405" s="405"/>
    </row>
    <row r="406" ht="14.25" customHeight="1">
      <c r="A406" s="406">
        <v>45517.0</v>
      </c>
      <c r="B406" s="417" t="s">
        <v>2460</v>
      </c>
      <c r="C406" s="417" t="s">
        <v>2461</v>
      </c>
      <c r="D406" s="417" t="s">
        <v>54</v>
      </c>
      <c r="E406" s="417" t="s">
        <v>2442</v>
      </c>
      <c r="F406" s="69">
        <v>119519.0</v>
      </c>
      <c r="G406" s="403"/>
      <c r="H406" s="349" t="s">
        <v>2823</v>
      </c>
      <c r="I406" s="404" t="str">
        <f t="shared" si="9"/>
        <v>NOT PAID</v>
      </c>
      <c r="J406" s="402"/>
      <c r="K406" s="402"/>
      <c r="L406" s="402"/>
      <c r="M406" s="402"/>
      <c r="N406" s="402"/>
      <c r="O406" s="402"/>
      <c r="P406" s="402"/>
      <c r="Q406" s="402"/>
      <c r="R406" s="402"/>
      <c r="S406" s="402"/>
      <c r="T406" s="402"/>
      <c r="U406" s="402"/>
      <c r="V406" s="402"/>
      <c r="W406" s="402"/>
      <c r="X406" s="402"/>
      <c r="Y406" s="402"/>
      <c r="Z406" s="402"/>
      <c r="AA406" s="405"/>
      <c r="AB406" s="405"/>
      <c r="AC406" s="405"/>
      <c r="AD406" s="405"/>
      <c r="AE406" s="405"/>
      <c r="AF406" s="405"/>
      <c r="AG406" s="405"/>
    </row>
    <row r="407" ht="14.25" customHeight="1">
      <c r="A407" s="406">
        <v>45517.0</v>
      </c>
      <c r="B407" s="419" t="s">
        <v>2720</v>
      </c>
      <c r="C407" s="419" t="s">
        <v>2721</v>
      </c>
      <c r="D407" s="417" t="s">
        <v>54</v>
      </c>
      <c r="E407" s="417" t="s">
        <v>2442</v>
      </c>
      <c r="F407" s="73">
        <v>5000.0</v>
      </c>
      <c r="G407" s="403"/>
      <c r="H407" s="349" t="s">
        <v>2824</v>
      </c>
      <c r="I407" s="404" t="str">
        <f t="shared" si="9"/>
        <v>NOT PAID</v>
      </c>
      <c r="J407" s="402"/>
      <c r="K407" s="402"/>
      <c r="L407" s="402"/>
      <c r="M407" s="402"/>
      <c r="N407" s="402"/>
      <c r="O407" s="402"/>
      <c r="P407" s="402"/>
      <c r="Q407" s="402"/>
      <c r="R407" s="402"/>
      <c r="S407" s="402"/>
      <c r="T407" s="402"/>
      <c r="U407" s="402"/>
      <c r="V407" s="402"/>
      <c r="W407" s="402"/>
      <c r="X407" s="402"/>
      <c r="Y407" s="402"/>
      <c r="Z407" s="402"/>
      <c r="AA407" s="405"/>
      <c r="AB407" s="405"/>
      <c r="AC407" s="405"/>
      <c r="AD407" s="405"/>
      <c r="AE407" s="405"/>
      <c r="AF407" s="405"/>
      <c r="AG407" s="405"/>
    </row>
    <row r="408" ht="14.25" customHeight="1">
      <c r="A408" s="406">
        <v>45517.0</v>
      </c>
      <c r="B408" s="419" t="s">
        <v>2565</v>
      </c>
      <c r="C408" s="417" t="s">
        <v>2566</v>
      </c>
      <c r="D408" s="417" t="s">
        <v>54</v>
      </c>
      <c r="E408" s="417" t="s">
        <v>2442</v>
      </c>
      <c r="F408" s="73">
        <v>20000.0</v>
      </c>
      <c r="G408" s="403"/>
      <c r="H408" s="349" t="s">
        <v>2825</v>
      </c>
      <c r="I408" s="404" t="str">
        <f t="shared" si="9"/>
        <v>NOT PAID</v>
      </c>
      <c r="J408" s="402"/>
      <c r="K408" s="402"/>
      <c r="L408" s="402"/>
      <c r="M408" s="402"/>
      <c r="N408" s="402"/>
      <c r="O408" s="402"/>
      <c r="P408" s="402"/>
      <c r="Q408" s="402"/>
      <c r="R408" s="402"/>
      <c r="S408" s="402"/>
      <c r="T408" s="402"/>
      <c r="U408" s="402"/>
      <c r="V408" s="402"/>
      <c r="W408" s="402"/>
      <c r="X408" s="402"/>
      <c r="Y408" s="402"/>
      <c r="Z408" s="402"/>
      <c r="AA408" s="405"/>
      <c r="AB408" s="405"/>
      <c r="AC408" s="405"/>
      <c r="AD408" s="405"/>
      <c r="AE408" s="405"/>
      <c r="AF408" s="405"/>
      <c r="AG408" s="405"/>
    </row>
    <row r="409" ht="14.25" customHeight="1">
      <c r="A409" s="406">
        <v>45517.0</v>
      </c>
      <c r="B409" s="419" t="s">
        <v>2729</v>
      </c>
      <c r="C409" s="417" t="s">
        <v>2799</v>
      </c>
      <c r="D409" s="417" t="s">
        <v>54</v>
      </c>
      <c r="E409" s="417" t="s">
        <v>2442</v>
      </c>
      <c r="F409" s="69">
        <v>20402.67</v>
      </c>
      <c r="G409" s="403"/>
      <c r="H409" s="349" t="s">
        <v>2826</v>
      </c>
      <c r="I409" s="404" t="str">
        <f t="shared" si="9"/>
        <v>NOT PAID</v>
      </c>
      <c r="J409" s="402"/>
      <c r="K409" s="402"/>
      <c r="L409" s="402"/>
      <c r="M409" s="402"/>
      <c r="N409" s="402"/>
      <c r="O409" s="402"/>
      <c r="P409" s="402"/>
      <c r="Q409" s="402"/>
      <c r="R409" s="402"/>
      <c r="S409" s="402"/>
      <c r="T409" s="402"/>
      <c r="U409" s="402"/>
      <c r="V409" s="402"/>
      <c r="W409" s="402"/>
      <c r="X409" s="402"/>
      <c r="Y409" s="402"/>
      <c r="Z409" s="402"/>
      <c r="AA409" s="405"/>
      <c r="AB409" s="405"/>
      <c r="AC409" s="405"/>
      <c r="AD409" s="405"/>
      <c r="AE409" s="405"/>
      <c r="AF409" s="405"/>
      <c r="AG409" s="405"/>
    </row>
    <row r="410" ht="14.25" customHeight="1">
      <c r="A410" s="406">
        <v>45517.0</v>
      </c>
      <c r="B410" s="417" t="s">
        <v>2512</v>
      </c>
      <c r="C410" s="417" t="s">
        <v>2513</v>
      </c>
      <c r="D410" s="417" t="s">
        <v>54</v>
      </c>
      <c r="E410" s="417" t="s">
        <v>2442</v>
      </c>
      <c r="F410" s="69">
        <v>40636.0</v>
      </c>
      <c r="G410" s="403"/>
      <c r="H410" s="349" t="s">
        <v>2827</v>
      </c>
      <c r="I410" s="404" t="str">
        <f t="shared" si="9"/>
        <v>NOT PAID</v>
      </c>
      <c r="J410" s="402"/>
      <c r="K410" s="402"/>
      <c r="L410" s="402"/>
      <c r="M410" s="402"/>
      <c r="N410" s="402"/>
      <c r="O410" s="402"/>
      <c r="P410" s="402"/>
      <c r="Q410" s="402"/>
      <c r="R410" s="402"/>
      <c r="S410" s="402"/>
      <c r="T410" s="402"/>
      <c r="U410" s="402"/>
      <c r="V410" s="402"/>
      <c r="W410" s="402"/>
      <c r="X410" s="402"/>
      <c r="Y410" s="402"/>
      <c r="Z410" s="402"/>
      <c r="AA410" s="405"/>
      <c r="AB410" s="405"/>
      <c r="AC410" s="405"/>
      <c r="AD410" s="405"/>
      <c r="AE410" s="405"/>
      <c r="AF410" s="405"/>
      <c r="AG410" s="405"/>
    </row>
    <row r="411" ht="14.25" customHeight="1">
      <c r="A411" s="406">
        <v>45517.0</v>
      </c>
      <c r="B411" s="417" t="s">
        <v>2771</v>
      </c>
      <c r="C411" s="417" t="s">
        <v>2772</v>
      </c>
      <c r="D411" s="417" t="s">
        <v>54</v>
      </c>
      <c r="E411" s="418" t="s">
        <v>2442</v>
      </c>
      <c r="F411" s="69">
        <v>50995.0</v>
      </c>
      <c r="G411" s="403"/>
      <c r="H411" s="349" t="s">
        <v>2828</v>
      </c>
      <c r="I411" s="404" t="str">
        <f t="shared" si="9"/>
        <v>NOT PAID</v>
      </c>
      <c r="J411" s="402"/>
      <c r="K411" s="402"/>
      <c r="L411" s="402"/>
      <c r="M411" s="402"/>
      <c r="N411" s="402"/>
      <c r="O411" s="402"/>
      <c r="P411" s="402"/>
      <c r="Q411" s="402"/>
      <c r="R411" s="402"/>
      <c r="S411" s="402"/>
      <c r="T411" s="402"/>
      <c r="U411" s="402"/>
      <c r="V411" s="402"/>
      <c r="W411" s="402"/>
      <c r="X411" s="402"/>
      <c r="Y411" s="402"/>
      <c r="Z411" s="402"/>
      <c r="AA411" s="405"/>
      <c r="AB411" s="405"/>
      <c r="AC411" s="405"/>
      <c r="AD411" s="405"/>
      <c r="AE411" s="405"/>
      <c r="AF411" s="405"/>
      <c r="AG411" s="405"/>
    </row>
    <row r="412" ht="14.25" customHeight="1">
      <c r="A412" s="406">
        <v>45517.0</v>
      </c>
      <c r="B412" s="417" t="s">
        <v>2479</v>
      </c>
      <c r="C412" s="417" t="s">
        <v>2679</v>
      </c>
      <c r="D412" s="417" t="s">
        <v>54</v>
      </c>
      <c r="E412" s="344" t="s">
        <v>2442</v>
      </c>
      <c r="F412" s="44">
        <v>20000.0</v>
      </c>
      <c r="G412" s="413">
        <v>3000.0</v>
      </c>
      <c r="H412" s="349" t="s">
        <v>2829</v>
      </c>
      <c r="I412" s="404" t="str">
        <f t="shared" si="9"/>
        <v>PARTIALLY PAID</v>
      </c>
      <c r="J412" s="402"/>
      <c r="K412" s="402"/>
      <c r="L412" s="402"/>
      <c r="M412" s="402"/>
      <c r="N412" s="402"/>
      <c r="O412" s="402"/>
      <c r="P412" s="402"/>
      <c r="Q412" s="402"/>
      <c r="R412" s="402"/>
      <c r="S412" s="402"/>
      <c r="T412" s="402"/>
      <c r="U412" s="402"/>
      <c r="V412" s="402"/>
      <c r="W412" s="402"/>
      <c r="X412" s="402"/>
      <c r="Y412" s="402"/>
      <c r="Z412" s="402"/>
      <c r="AA412" s="405"/>
      <c r="AB412" s="405"/>
      <c r="AC412" s="405"/>
      <c r="AD412" s="405"/>
      <c r="AE412" s="405"/>
      <c r="AF412" s="405"/>
      <c r="AG412" s="405"/>
    </row>
    <row r="413" ht="14.25" customHeight="1">
      <c r="A413" s="406">
        <v>45517.0</v>
      </c>
      <c r="B413" s="417" t="s">
        <v>2505</v>
      </c>
      <c r="C413" s="417" t="s">
        <v>2737</v>
      </c>
      <c r="D413" s="417" t="s">
        <v>54</v>
      </c>
      <c r="E413" s="417" t="s">
        <v>2442</v>
      </c>
      <c r="F413" s="69">
        <v>42968.0</v>
      </c>
      <c r="G413" s="403"/>
      <c r="H413" s="349" t="s">
        <v>2830</v>
      </c>
      <c r="I413" s="404" t="str">
        <f t="shared" si="9"/>
        <v>NOT PAID</v>
      </c>
      <c r="J413" s="402"/>
      <c r="K413" s="402"/>
      <c r="L413" s="402"/>
      <c r="M413" s="402"/>
      <c r="N413" s="402"/>
      <c r="O413" s="402"/>
      <c r="P413" s="402"/>
      <c r="Q413" s="402"/>
      <c r="R413" s="402"/>
      <c r="S413" s="402"/>
      <c r="T413" s="402"/>
      <c r="U413" s="402"/>
      <c r="V413" s="402"/>
      <c r="W413" s="402"/>
      <c r="X413" s="402"/>
      <c r="Y413" s="402"/>
      <c r="Z413" s="402"/>
      <c r="AA413" s="405"/>
      <c r="AB413" s="405"/>
      <c r="AC413" s="405"/>
      <c r="AD413" s="405"/>
      <c r="AE413" s="405"/>
      <c r="AF413" s="405"/>
      <c r="AG413" s="405"/>
    </row>
    <row r="414" ht="14.25" customHeight="1">
      <c r="A414" s="406">
        <v>45517.0</v>
      </c>
      <c r="B414" s="349" t="s">
        <v>2767</v>
      </c>
      <c r="C414" s="349" t="s">
        <v>2768</v>
      </c>
      <c r="D414" s="349" t="s">
        <v>54</v>
      </c>
      <c r="E414" s="344" t="s">
        <v>2442</v>
      </c>
      <c r="F414" s="413">
        <v>24987.0</v>
      </c>
      <c r="G414" s="403"/>
      <c r="H414" s="349" t="s">
        <v>2831</v>
      </c>
      <c r="I414" s="404" t="str">
        <f t="shared" si="9"/>
        <v>NOT PAID</v>
      </c>
      <c r="J414" s="402"/>
      <c r="K414" s="402"/>
      <c r="L414" s="402"/>
      <c r="M414" s="402"/>
      <c r="N414" s="402"/>
      <c r="O414" s="402"/>
      <c r="P414" s="402"/>
      <c r="Q414" s="402"/>
      <c r="R414" s="402"/>
      <c r="S414" s="402"/>
      <c r="T414" s="402"/>
      <c r="U414" s="402"/>
      <c r="V414" s="402"/>
      <c r="W414" s="402"/>
      <c r="X414" s="402"/>
      <c r="Y414" s="402"/>
      <c r="Z414" s="402"/>
      <c r="AA414" s="405"/>
      <c r="AB414" s="405"/>
      <c r="AC414" s="405"/>
      <c r="AD414" s="405"/>
      <c r="AE414" s="405"/>
      <c r="AF414" s="405"/>
      <c r="AG414" s="405"/>
    </row>
    <row r="415" ht="14.25" customHeight="1">
      <c r="A415" s="406">
        <v>45517.0</v>
      </c>
      <c r="B415" s="414" t="s">
        <v>2677</v>
      </c>
      <c r="C415" s="415" t="s">
        <v>2753</v>
      </c>
      <c r="D415" s="344" t="s">
        <v>54</v>
      </c>
      <c r="E415" s="344" t="s">
        <v>2442</v>
      </c>
      <c r="F415" s="32">
        <v>20000.0</v>
      </c>
      <c r="G415" s="413">
        <v>22074.0</v>
      </c>
      <c r="H415" s="349" t="s">
        <v>710</v>
      </c>
      <c r="I415" s="404" t="str">
        <f t="shared" si="9"/>
        <v>FULLY PAID</v>
      </c>
      <c r="J415" s="402"/>
      <c r="K415" s="402"/>
      <c r="L415" s="402"/>
      <c r="M415" s="402"/>
      <c r="N415" s="402"/>
      <c r="O415" s="402"/>
      <c r="P415" s="402"/>
      <c r="Q415" s="402"/>
      <c r="R415" s="402"/>
      <c r="S415" s="402"/>
      <c r="T415" s="402"/>
      <c r="U415" s="402"/>
      <c r="V415" s="402"/>
      <c r="W415" s="402"/>
      <c r="X415" s="402"/>
      <c r="Y415" s="402"/>
      <c r="Z415" s="402"/>
      <c r="AA415" s="405"/>
      <c r="AB415" s="405"/>
      <c r="AC415" s="405"/>
      <c r="AD415" s="405"/>
      <c r="AE415" s="405"/>
      <c r="AF415" s="405"/>
      <c r="AG415" s="405"/>
    </row>
    <row r="416" ht="14.25" customHeight="1">
      <c r="A416" s="406">
        <v>45517.0</v>
      </c>
      <c r="B416" s="349" t="s">
        <v>2493</v>
      </c>
      <c r="C416" s="349" t="s">
        <v>2735</v>
      </c>
      <c r="D416" s="349" t="s">
        <v>54</v>
      </c>
      <c r="E416" s="349" t="s">
        <v>2832</v>
      </c>
      <c r="F416" s="413">
        <v>200000.0</v>
      </c>
      <c r="G416" s="403"/>
      <c r="H416" s="689" t="s">
        <v>2833</v>
      </c>
      <c r="I416" s="404" t="str">
        <f t="shared" si="9"/>
        <v>NOT PAID</v>
      </c>
      <c r="J416" s="402"/>
      <c r="K416" s="402"/>
      <c r="L416" s="402"/>
      <c r="M416" s="402"/>
      <c r="N416" s="402"/>
      <c r="O416" s="402"/>
      <c r="P416" s="402"/>
      <c r="Q416" s="402"/>
      <c r="R416" s="402"/>
      <c r="S416" s="402"/>
      <c r="T416" s="402"/>
      <c r="U416" s="402"/>
      <c r="V416" s="402"/>
      <c r="W416" s="402"/>
      <c r="X416" s="402"/>
      <c r="Y416" s="402"/>
      <c r="Z416" s="402"/>
      <c r="AA416" s="402"/>
      <c r="AB416" s="402"/>
      <c r="AC416" s="405"/>
      <c r="AD416" s="405"/>
      <c r="AE416" s="405"/>
      <c r="AF416" s="405"/>
      <c r="AG416" s="405"/>
    </row>
    <row r="417" ht="14.25" customHeight="1">
      <c r="A417" s="406">
        <v>45517.0</v>
      </c>
      <c r="B417" s="349" t="s">
        <v>2697</v>
      </c>
      <c r="C417" s="349" t="s">
        <v>2756</v>
      </c>
      <c r="D417" s="349" t="s">
        <v>54</v>
      </c>
      <c r="E417" s="349" t="s">
        <v>2832</v>
      </c>
      <c r="F417" s="413">
        <v>71466.79</v>
      </c>
      <c r="G417" s="403"/>
      <c r="H417" s="690" t="s">
        <v>2834</v>
      </c>
      <c r="I417" s="404" t="str">
        <f t="shared" si="9"/>
        <v>NOT PAID</v>
      </c>
      <c r="J417" s="402"/>
      <c r="K417" s="402"/>
      <c r="L417" s="402"/>
      <c r="M417" s="402"/>
      <c r="N417" s="402"/>
      <c r="O417" s="402"/>
      <c r="P417" s="402"/>
      <c r="Q417" s="402"/>
      <c r="R417" s="402"/>
      <c r="S417" s="402"/>
      <c r="T417" s="402"/>
      <c r="U417" s="402"/>
      <c r="V417" s="402"/>
      <c r="W417" s="402"/>
      <c r="X417" s="402"/>
      <c r="Y417" s="402"/>
      <c r="Z417" s="402"/>
      <c r="AA417" s="402"/>
      <c r="AB417" s="402"/>
      <c r="AC417" s="405"/>
      <c r="AD417" s="405"/>
      <c r="AE417" s="405"/>
      <c r="AF417" s="405"/>
      <c r="AG417" s="405"/>
    </row>
    <row r="418" ht="14.25" customHeight="1">
      <c r="A418" s="406">
        <v>45517.0</v>
      </c>
      <c r="B418" s="349" t="s">
        <v>2796</v>
      </c>
      <c r="C418" s="349" t="s">
        <v>2835</v>
      </c>
      <c r="D418" s="349" t="s">
        <v>54</v>
      </c>
      <c r="E418" s="349" t="s">
        <v>2832</v>
      </c>
      <c r="F418" s="413">
        <v>52429.0</v>
      </c>
      <c r="G418" s="413"/>
      <c r="H418" s="690" t="s">
        <v>2836</v>
      </c>
      <c r="I418" s="404" t="str">
        <f t="shared" si="9"/>
        <v>NOT PAID</v>
      </c>
      <c r="J418" s="402"/>
      <c r="K418" s="402"/>
      <c r="L418" s="402"/>
      <c r="M418" s="402"/>
      <c r="N418" s="402"/>
      <c r="O418" s="402"/>
      <c r="P418" s="402"/>
      <c r="Q418" s="402"/>
      <c r="R418" s="402"/>
      <c r="S418" s="402"/>
      <c r="T418" s="402"/>
      <c r="U418" s="402"/>
      <c r="V418" s="402"/>
      <c r="W418" s="402"/>
      <c r="X418" s="402"/>
      <c r="Y418" s="402"/>
      <c r="Z418" s="402"/>
      <c r="AA418" s="402"/>
      <c r="AB418" s="402"/>
      <c r="AC418" s="405"/>
      <c r="AD418" s="405"/>
      <c r="AE418" s="405"/>
      <c r="AF418" s="405"/>
      <c r="AG418" s="405"/>
    </row>
    <row r="419" ht="14.25" customHeight="1">
      <c r="A419" s="406">
        <v>45517.0</v>
      </c>
      <c r="B419" s="349" t="s">
        <v>2619</v>
      </c>
      <c r="C419" s="349" t="s">
        <v>2837</v>
      </c>
      <c r="D419" s="349" t="s">
        <v>54</v>
      </c>
      <c r="E419" s="349" t="s">
        <v>2832</v>
      </c>
      <c r="F419" s="662">
        <v>161463.0</v>
      </c>
      <c r="G419" s="403"/>
      <c r="H419" s="402"/>
      <c r="I419" s="404" t="str">
        <f t="shared" si="9"/>
        <v>NOT PAID</v>
      </c>
      <c r="J419" s="402"/>
      <c r="K419" s="402"/>
      <c r="L419" s="402"/>
      <c r="M419" s="402"/>
      <c r="N419" s="402"/>
      <c r="O419" s="402"/>
      <c r="P419" s="402"/>
      <c r="Q419" s="402"/>
      <c r="R419" s="402"/>
      <c r="S419" s="402"/>
      <c r="T419" s="402"/>
      <c r="U419" s="402"/>
      <c r="V419" s="402"/>
      <c r="W419" s="402"/>
      <c r="X419" s="402"/>
      <c r="Y419" s="402"/>
      <c r="Z419" s="402"/>
      <c r="AA419" s="405"/>
      <c r="AB419" s="405"/>
      <c r="AC419" s="405"/>
      <c r="AD419" s="405"/>
      <c r="AE419" s="405"/>
      <c r="AF419" s="405"/>
      <c r="AG419" s="405"/>
    </row>
    <row r="420" ht="14.25" customHeight="1">
      <c r="A420" s="406"/>
      <c r="B420" s="402"/>
      <c r="C420" s="402"/>
      <c r="D420" s="402"/>
      <c r="E420" s="402"/>
      <c r="F420" s="664"/>
      <c r="G420" s="403"/>
      <c r="I420" s="404" t="str">
        <f t="shared" si="9"/>
        <v>FULLY PAID</v>
      </c>
      <c r="J420" s="402"/>
      <c r="K420" s="402"/>
      <c r="L420" s="402"/>
      <c r="M420" s="402"/>
      <c r="N420" s="402"/>
      <c r="O420" s="402"/>
      <c r="P420" s="402"/>
      <c r="Q420" s="402"/>
      <c r="R420" s="402"/>
      <c r="S420" s="402"/>
      <c r="T420" s="402"/>
      <c r="U420" s="402"/>
      <c r="V420" s="402"/>
      <c r="W420" s="402"/>
      <c r="X420" s="402"/>
      <c r="Y420" s="402"/>
      <c r="Z420" s="402"/>
      <c r="AA420" s="405"/>
      <c r="AB420" s="405"/>
      <c r="AC420" s="405"/>
      <c r="AD420" s="405"/>
      <c r="AE420" s="405"/>
      <c r="AF420" s="405"/>
      <c r="AG420" s="405"/>
    </row>
    <row r="421" ht="14.25" customHeight="1">
      <c r="A421" s="584" t="s">
        <v>2130</v>
      </c>
      <c r="B421" s="584" t="s">
        <v>39</v>
      </c>
      <c r="C421" s="584" t="s">
        <v>48</v>
      </c>
      <c r="D421" s="584" t="s">
        <v>49</v>
      </c>
      <c r="E421" s="584" t="s">
        <v>50</v>
      </c>
      <c r="F421" s="658" t="s">
        <v>2</v>
      </c>
      <c r="G421" s="586" t="s">
        <v>44</v>
      </c>
      <c r="H421" s="584" t="s">
        <v>45</v>
      </c>
      <c r="I421" s="404" t="str">
        <f t="shared" si="9"/>
        <v>FULLY PAID</v>
      </c>
      <c r="J421" s="402"/>
      <c r="K421" s="402"/>
      <c r="L421" s="402"/>
      <c r="M421" s="402"/>
      <c r="N421" s="402"/>
      <c r="O421" s="402"/>
      <c r="P421" s="402"/>
      <c r="Q421" s="402"/>
      <c r="R421" s="402"/>
      <c r="S421" s="402"/>
      <c r="T421" s="402"/>
      <c r="U421" s="402"/>
      <c r="V421" s="402"/>
      <c r="W421" s="402"/>
      <c r="X421" s="402"/>
      <c r="Y421" s="402"/>
      <c r="Z421" s="402"/>
      <c r="AA421" s="405"/>
      <c r="AB421" s="405"/>
      <c r="AC421" s="405"/>
      <c r="AD421" s="405"/>
      <c r="AE421" s="405"/>
      <c r="AF421" s="405"/>
      <c r="AG421" s="405"/>
    </row>
    <row r="422" ht="14.25" customHeight="1">
      <c r="A422" s="406">
        <v>45518.0</v>
      </c>
      <c r="B422" s="417" t="s">
        <v>2455</v>
      </c>
      <c r="C422" s="417" t="s">
        <v>2456</v>
      </c>
      <c r="D422" s="417" t="s">
        <v>54</v>
      </c>
      <c r="E422" s="417" t="s">
        <v>2442</v>
      </c>
      <c r="F422" s="69">
        <v>32270.0</v>
      </c>
      <c r="G422" s="413">
        <v>20000.0</v>
      </c>
      <c r="H422" s="349" t="s">
        <v>2838</v>
      </c>
      <c r="I422" s="404" t="str">
        <f t="shared" si="9"/>
        <v>PARTIALLY PAID</v>
      </c>
      <c r="J422" s="402"/>
      <c r="K422" s="402"/>
      <c r="L422" s="402"/>
      <c r="M422" s="402"/>
      <c r="N422" s="402"/>
      <c r="O422" s="402"/>
      <c r="P422" s="402"/>
      <c r="Q422" s="402"/>
      <c r="R422" s="402"/>
      <c r="S422" s="402"/>
      <c r="T422" s="402"/>
      <c r="U422" s="402"/>
      <c r="V422" s="402"/>
      <c r="W422" s="402"/>
      <c r="X422" s="402"/>
      <c r="Y422" s="402"/>
      <c r="Z422" s="402"/>
      <c r="AA422" s="405"/>
      <c r="AB422" s="405"/>
      <c r="AC422" s="405"/>
      <c r="AD422" s="405"/>
      <c r="AE422" s="405"/>
      <c r="AF422" s="405"/>
      <c r="AG422" s="405"/>
    </row>
    <row r="423" ht="14.25" customHeight="1">
      <c r="A423" s="406">
        <v>45518.0</v>
      </c>
      <c r="B423" s="417" t="s">
        <v>2820</v>
      </c>
      <c r="C423" s="417" t="s">
        <v>2821</v>
      </c>
      <c r="D423" s="417" t="s">
        <v>54</v>
      </c>
      <c r="E423" s="417" t="s">
        <v>2442</v>
      </c>
      <c r="F423" s="69">
        <v>31872.0</v>
      </c>
      <c r="G423" s="403"/>
      <c r="H423" s="349" t="s">
        <v>2839</v>
      </c>
      <c r="I423" s="404" t="str">
        <f t="shared" si="9"/>
        <v>NOT PAID</v>
      </c>
      <c r="J423" s="402"/>
      <c r="K423" s="402"/>
      <c r="L423" s="402"/>
      <c r="M423" s="402"/>
      <c r="N423" s="402"/>
      <c r="O423" s="402"/>
      <c r="P423" s="402"/>
      <c r="Q423" s="402"/>
      <c r="R423" s="402"/>
      <c r="S423" s="402"/>
      <c r="T423" s="402"/>
      <c r="U423" s="402"/>
      <c r="V423" s="402"/>
      <c r="W423" s="402"/>
      <c r="X423" s="402"/>
      <c r="Y423" s="402"/>
      <c r="Z423" s="402"/>
      <c r="AA423" s="405"/>
      <c r="AB423" s="405"/>
      <c r="AC423" s="405"/>
      <c r="AD423" s="405"/>
      <c r="AE423" s="405"/>
      <c r="AF423" s="405"/>
      <c r="AG423" s="405"/>
    </row>
    <row r="424" ht="14.25" customHeight="1">
      <c r="A424" s="406">
        <v>45518.0</v>
      </c>
      <c r="B424" s="417" t="s">
        <v>2512</v>
      </c>
      <c r="C424" s="417" t="s">
        <v>2513</v>
      </c>
      <c r="D424" s="417" t="s">
        <v>54</v>
      </c>
      <c r="E424" s="417" t="s">
        <v>2442</v>
      </c>
      <c r="F424" s="69">
        <v>40636.0</v>
      </c>
      <c r="G424" s="403"/>
      <c r="H424" s="349" t="s">
        <v>2840</v>
      </c>
      <c r="I424" s="404" t="str">
        <f t="shared" si="9"/>
        <v>NOT PAID</v>
      </c>
      <c r="J424" s="402"/>
      <c r="K424" s="402"/>
      <c r="L424" s="402"/>
      <c r="M424" s="402"/>
      <c r="N424" s="402"/>
      <c r="O424" s="402"/>
      <c r="P424" s="402"/>
      <c r="Q424" s="402"/>
      <c r="R424" s="402"/>
      <c r="S424" s="402"/>
      <c r="T424" s="402"/>
      <c r="U424" s="402"/>
      <c r="V424" s="402"/>
      <c r="W424" s="402"/>
      <c r="X424" s="402"/>
      <c r="Y424" s="402"/>
      <c r="Z424" s="402"/>
      <c r="AA424" s="405"/>
      <c r="AB424" s="405"/>
      <c r="AC424" s="405"/>
      <c r="AD424" s="405"/>
      <c r="AE424" s="405"/>
      <c r="AF424" s="405"/>
      <c r="AG424" s="405"/>
    </row>
    <row r="425" ht="14.25" customHeight="1">
      <c r="A425" s="406">
        <v>45518.0</v>
      </c>
      <c r="B425" s="419" t="s">
        <v>2729</v>
      </c>
      <c r="C425" s="417" t="s">
        <v>2799</v>
      </c>
      <c r="D425" s="417" t="s">
        <v>54</v>
      </c>
      <c r="E425" s="417" t="s">
        <v>2442</v>
      </c>
      <c r="F425" s="69">
        <v>20402.67</v>
      </c>
      <c r="G425" s="403"/>
      <c r="H425" s="349" t="s">
        <v>2840</v>
      </c>
      <c r="I425" s="404" t="str">
        <f t="shared" si="9"/>
        <v>NOT PAID</v>
      </c>
      <c r="J425" s="402"/>
      <c r="K425" s="402"/>
      <c r="L425" s="402"/>
      <c r="M425" s="402"/>
      <c r="N425" s="402"/>
      <c r="O425" s="402"/>
      <c r="P425" s="402"/>
      <c r="Q425" s="402"/>
      <c r="R425" s="402"/>
      <c r="S425" s="402"/>
      <c r="T425" s="402"/>
      <c r="U425" s="402"/>
      <c r="V425" s="402"/>
      <c r="W425" s="402"/>
      <c r="X425" s="402"/>
      <c r="Y425" s="402"/>
      <c r="Z425" s="402"/>
      <c r="AA425" s="405"/>
      <c r="AB425" s="405"/>
      <c r="AC425" s="405"/>
      <c r="AD425" s="405"/>
      <c r="AE425" s="405"/>
      <c r="AF425" s="405"/>
      <c r="AG425" s="405"/>
    </row>
    <row r="426" ht="14.25" customHeight="1">
      <c r="A426" s="406">
        <v>45518.0</v>
      </c>
      <c r="B426" s="417" t="s">
        <v>2565</v>
      </c>
      <c r="C426" s="417" t="s">
        <v>2566</v>
      </c>
      <c r="D426" s="417" t="s">
        <v>54</v>
      </c>
      <c r="E426" s="417" t="s">
        <v>2442</v>
      </c>
      <c r="F426" s="69">
        <v>20000.0</v>
      </c>
      <c r="G426" s="403"/>
      <c r="H426" s="349" t="s">
        <v>2841</v>
      </c>
      <c r="I426" s="404" t="str">
        <f t="shared" si="9"/>
        <v>NOT PAID</v>
      </c>
      <c r="J426" s="402"/>
      <c r="K426" s="402"/>
      <c r="L426" s="402"/>
      <c r="M426" s="402"/>
      <c r="N426" s="402"/>
      <c r="O426" s="402"/>
      <c r="P426" s="402"/>
      <c r="Q426" s="402"/>
      <c r="R426" s="402"/>
      <c r="S426" s="402"/>
      <c r="T426" s="402"/>
      <c r="U426" s="402"/>
      <c r="V426" s="402"/>
      <c r="W426" s="402"/>
      <c r="X426" s="402"/>
      <c r="Y426" s="402"/>
      <c r="Z426" s="402"/>
      <c r="AA426" s="405"/>
      <c r="AB426" s="405"/>
      <c r="AC426" s="405"/>
      <c r="AD426" s="405"/>
      <c r="AE426" s="405"/>
      <c r="AF426" s="405"/>
      <c r="AG426" s="405"/>
    </row>
    <row r="427" ht="14.25" customHeight="1">
      <c r="A427" s="406">
        <v>45518.0</v>
      </c>
      <c r="B427" s="417" t="s">
        <v>2479</v>
      </c>
      <c r="C427" s="417" t="s">
        <v>2679</v>
      </c>
      <c r="D427" s="417" t="s">
        <v>54</v>
      </c>
      <c r="E427" s="344" t="s">
        <v>2442</v>
      </c>
      <c r="F427" s="44">
        <v>20000.0</v>
      </c>
      <c r="G427" s="403"/>
      <c r="H427" s="349" t="s">
        <v>2841</v>
      </c>
      <c r="I427" s="404" t="str">
        <f t="shared" si="9"/>
        <v>NOT PAID</v>
      </c>
      <c r="J427" s="402"/>
      <c r="K427" s="402"/>
      <c r="L427" s="402"/>
      <c r="M427" s="402"/>
      <c r="N427" s="402"/>
      <c r="O427" s="402"/>
      <c r="P427" s="402"/>
      <c r="Q427" s="402"/>
      <c r="R427" s="402"/>
      <c r="S427" s="402"/>
      <c r="T427" s="402"/>
      <c r="U427" s="402"/>
      <c r="V427" s="402"/>
      <c r="W427" s="402"/>
      <c r="X427" s="402"/>
      <c r="Y427" s="402"/>
      <c r="Z427" s="402"/>
      <c r="AA427" s="405"/>
      <c r="AB427" s="405"/>
      <c r="AC427" s="405"/>
      <c r="AD427" s="405"/>
      <c r="AE427" s="405"/>
      <c r="AF427" s="405"/>
      <c r="AG427" s="405"/>
    </row>
    <row r="428" ht="14.25" customHeight="1">
      <c r="A428" s="406">
        <v>45518.0</v>
      </c>
      <c r="B428" s="417" t="s">
        <v>2767</v>
      </c>
      <c r="C428" s="417" t="s">
        <v>2768</v>
      </c>
      <c r="D428" s="417" t="s">
        <v>54</v>
      </c>
      <c r="E428" s="344" t="s">
        <v>2442</v>
      </c>
      <c r="F428" s="69">
        <v>24987.0</v>
      </c>
      <c r="G428" s="413">
        <v>10000.0</v>
      </c>
      <c r="H428" s="349" t="s">
        <v>2842</v>
      </c>
      <c r="I428" s="404" t="str">
        <f t="shared" si="9"/>
        <v>PARTIALLY PAID</v>
      </c>
      <c r="J428" s="402"/>
      <c r="K428" s="402"/>
      <c r="L428" s="402"/>
      <c r="M428" s="402"/>
      <c r="N428" s="402"/>
      <c r="O428" s="402"/>
      <c r="P428" s="402"/>
      <c r="Q428" s="402"/>
      <c r="R428" s="402"/>
      <c r="S428" s="402"/>
      <c r="T428" s="402"/>
      <c r="U428" s="402"/>
      <c r="V428" s="402"/>
      <c r="W428" s="402"/>
      <c r="X428" s="402"/>
      <c r="Y428" s="402"/>
      <c r="Z428" s="402"/>
      <c r="AA428" s="405"/>
      <c r="AB428" s="405"/>
      <c r="AC428" s="405"/>
      <c r="AD428" s="405"/>
      <c r="AE428" s="405"/>
      <c r="AF428" s="405"/>
      <c r="AG428" s="405"/>
    </row>
    <row r="429" ht="14.25" customHeight="1">
      <c r="A429" s="406">
        <v>45518.0</v>
      </c>
      <c r="B429" s="417" t="s">
        <v>2771</v>
      </c>
      <c r="C429" s="417" t="s">
        <v>2772</v>
      </c>
      <c r="D429" s="417" t="s">
        <v>54</v>
      </c>
      <c r="E429" s="418" t="s">
        <v>2442</v>
      </c>
      <c r="F429" s="69">
        <v>50995.0</v>
      </c>
      <c r="G429" s="403"/>
      <c r="H429" s="349" t="s">
        <v>2843</v>
      </c>
      <c r="I429" s="404" t="str">
        <f t="shared" si="9"/>
        <v>NOT PAID</v>
      </c>
      <c r="J429" s="402"/>
      <c r="K429" s="402"/>
      <c r="L429" s="402"/>
      <c r="M429" s="402"/>
      <c r="N429" s="402"/>
      <c r="O429" s="402"/>
      <c r="P429" s="402"/>
      <c r="Q429" s="402"/>
      <c r="R429" s="402"/>
      <c r="S429" s="402"/>
      <c r="T429" s="402"/>
      <c r="U429" s="402"/>
      <c r="V429" s="402"/>
      <c r="W429" s="402"/>
      <c r="X429" s="402"/>
      <c r="Y429" s="402"/>
      <c r="Z429" s="402"/>
      <c r="AA429" s="405"/>
      <c r="AB429" s="405"/>
      <c r="AC429" s="405"/>
      <c r="AD429" s="405"/>
      <c r="AE429" s="405"/>
      <c r="AF429" s="405"/>
      <c r="AG429" s="405"/>
    </row>
    <row r="430" ht="14.25" customHeight="1">
      <c r="A430" s="406">
        <v>45518.0</v>
      </c>
      <c r="B430" s="349" t="s">
        <v>2844</v>
      </c>
      <c r="C430" s="349" t="s">
        <v>2845</v>
      </c>
      <c r="D430" s="349" t="s">
        <v>54</v>
      </c>
      <c r="E430" s="344" t="s">
        <v>2442</v>
      </c>
      <c r="F430" s="413">
        <v>40554.0</v>
      </c>
      <c r="G430" s="413">
        <v>48597.0</v>
      </c>
      <c r="H430" s="402"/>
      <c r="I430" s="404" t="str">
        <f t="shared" si="9"/>
        <v>FULLY PAID</v>
      </c>
      <c r="J430" s="402"/>
      <c r="K430" s="402"/>
      <c r="L430" s="402"/>
      <c r="M430" s="402"/>
      <c r="N430" s="402"/>
      <c r="O430" s="402"/>
      <c r="P430" s="402"/>
      <c r="Q430" s="402"/>
      <c r="R430" s="402"/>
      <c r="S430" s="402"/>
      <c r="T430" s="402"/>
      <c r="U430" s="402"/>
      <c r="V430" s="402"/>
      <c r="W430" s="402"/>
      <c r="X430" s="402"/>
      <c r="Y430" s="402"/>
      <c r="Z430" s="402"/>
      <c r="AA430" s="405"/>
      <c r="AB430" s="405"/>
      <c r="AC430" s="405"/>
      <c r="AD430" s="405"/>
      <c r="AE430" s="405"/>
      <c r="AF430" s="405"/>
      <c r="AG430" s="405"/>
    </row>
    <row r="431" ht="14.25" customHeight="1">
      <c r="A431" s="406">
        <v>45518.0</v>
      </c>
      <c r="B431" s="349" t="s">
        <v>2547</v>
      </c>
      <c r="C431" s="349" t="s">
        <v>2607</v>
      </c>
      <c r="D431" s="349" t="s">
        <v>54</v>
      </c>
      <c r="E431" s="344" t="s">
        <v>2442</v>
      </c>
      <c r="F431" s="413">
        <v>25800.0</v>
      </c>
      <c r="G431" s="403"/>
      <c r="H431" s="349" t="s">
        <v>2846</v>
      </c>
      <c r="I431" s="404" t="str">
        <f t="shared" si="9"/>
        <v>NOT PAID</v>
      </c>
      <c r="J431" s="402"/>
      <c r="K431" s="402"/>
      <c r="L431" s="402"/>
      <c r="M431" s="402"/>
      <c r="N431" s="402"/>
      <c r="O431" s="402"/>
      <c r="P431" s="402"/>
      <c r="Q431" s="402"/>
      <c r="R431" s="402"/>
      <c r="S431" s="402"/>
      <c r="T431" s="402"/>
      <c r="U431" s="402"/>
      <c r="V431" s="402"/>
      <c r="W431" s="402"/>
      <c r="X431" s="402"/>
      <c r="Y431" s="402"/>
      <c r="Z431" s="402"/>
      <c r="AA431" s="405"/>
      <c r="AB431" s="405"/>
      <c r="AC431" s="405"/>
      <c r="AD431" s="405"/>
      <c r="AE431" s="405"/>
      <c r="AF431" s="405"/>
      <c r="AG431" s="405"/>
    </row>
    <row r="432" ht="14.25" customHeight="1">
      <c r="A432" s="406">
        <v>45518.0</v>
      </c>
      <c r="B432" s="349" t="s">
        <v>2847</v>
      </c>
      <c r="C432" s="349" t="s">
        <v>2848</v>
      </c>
      <c r="D432" s="349" t="s">
        <v>54</v>
      </c>
      <c r="E432" s="344" t="s">
        <v>2442</v>
      </c>
      <c r="F432" s="413">
        <v>16733.0</v>
      </c>
      <c r="G432" s="403"/>
      <c r="H432" s="349" t="s">
        <v>2846</v>
      </c>
      <c r="I432" s="404" t="str">
        <f t="shared" si="9"/>
        <v>NOT PAID</v>
      </c>
      <c r="J432" s="402"/>
      <c r="K432" s="402"/>
      <c r="L432" s="402"/>
      <c r="M432" s="402"/>
      <c r="N432" s="402"/>
      <c r="O432" s="402"/>
      <c r="P432" s="402"/>
      <c r="Q432" s="402"/>
      <c r="R432" s="402"/>
      <c r="S432" s="402"/>
      <c r="T432" s="402"/>
      <c r="U432" s="402"/>
      <c r="V432" s="402"/>
      <c r="W432" s="402"/>
      <c r="X432" s="402"/>
      <c r="Y432" s="402"/>
      <c r="Z432" s="402"/>
      <c r="AA432" s="405"/>
      <c r="AB432" s="405"/>
      <c r="AC432" s="405"/>
      <c r="AD432" s="405"/>
      <c r="AE432" s="405"/>
      <c r="AF432" s="405"/>
      <c r="AG432" s="405"/>
    </row>
    <row r="433" ht="14.25" customHeight="1">
      <c r="A433" s="406">
        <v>45518.0</v>
      </c>
      <c r="B433" s="349" t="s">
        <v>2720</v>
      </c>
      <c r="C433" s="349" t="s">
        <v>2721</v>
      </c>
      <c r="D433" s="349" t="s">
        <v>54</v>
      </c>
      <c r="E433" s="344" t="s">
        <v>2442</v>
      </c>
      <c r="F433" s="413">
        <v>16255.0</v>
      </c>
      <c r="G433" s="403"/>
      <c r="H433" s="349" t="s">
        <v>2824</v>
      </c>
      <c r="I433" s="404" t="str">
        <f t="shared" si="9"/>
        <v>NOT PAID</v>
      </c>
      <c r="J433" s="402"/>
      <c r="K433" s="402"/>
      <c r="L433" s="402"/>
      <c r="M433" s="402"/>
      <c r="N433" s="402"/>
      <c r="O433" s="402"/>
      <c r="P433" s="402"/>
      <c r="Q433" s="402"/>
      <c r="R433" s="402"/>
      <c r="S433" s="402"/>
      <c r="T433" s="402"/>
      <c r="U433" s="402"/>
      <c r="V433" s="402"/>
      <c r="W433" s="402"/>
      <c r="X433" s="402"/>
      <c r="Y433" s="402"/>
      <c r="Z433" s="402"/>
      <c r="AA433" s="405"/>
      <c r="AB433" s="405"/>
      <c r="AC433" s="405"/>
      <c r="AD433" s="405"/>
      <c r="AE433" s="405"/>
      <c r="AF433" s="405"/>
      <c r="AG433" s="405"/>
    </row>
    <row r="434" ht="14.25" customHeight="1">
      <c r="A434" s="406">
        <v>45518.0</v>
      </c>
      <c r="B434" s="419" t="s">
        <v>2569</v>
      </c>
      <c r="C434" s="419" t="s">
        <v>2849</v>
      </c>
      <c r="D434" s="417" t="s">
        <v>54</v>
      </c>
      <c r="E434" s="344" t="s">
        <v>2442</v>
      </c>
      <c r="F434" s="430">
        <v>28445.0</v>
      </c>
      <c r="G434" s="413">
        <v>10000.0</v>
      </c>
      <c r="H434" s="349" t="s">
        <v>2850</v>
      </c>
      <c r="I434" s="404" t="str">
        <f t="shared" si="9"/>
        <v>PARTIALLY PAID</v>
      </c>
      <c r="J434" s="402"/>
      <c r="K434" s="402"/>
      <c r="L434" s="402"/>
      <c r="M434" s="402"/>
      <c r="N434" s="402"/>
      <c r="O434" s="402"/>
      <c r="P434" s="402"/>
      <c r="Q434" s="402"/>
      <c r="R434" s="402"/>
      <c r="S434" s="402"/>
      <c r="T434" s="402"/>
      <c r="U434" s="402"/>
      <c r="V434" s="402"/>
      <c r="W434" s="402"/>
      <c r="X434" s="402"/>
      <c r="Y434" s="402"/>
      <c r="Z434" s="402"/>
      <c r="AA434" s="405"/>
      <c r="AB434" s="405"/>
      <c r="AC434" s="405"/>
      <c r="AD434" s="405"/>
      <c r="AE434" s="405"/>
      <c r="AF434" s="405"/>
      <c r="AG434" s="405"/>
    </row>
    <row r="435" ht="14.25" customHeight="1">
      <c r="A435" s="406">
        <v>45518.0</v>
      </c>
      <c r="B435" s="349" t="s">
        <v>2739</v>
      </c>
      <c r="C435" s="349" t="s">
        <v>2740</v>
      </c>
      <c r="D435" s="349" t="s">
        <v>54</v>
      </c>
      <c r="E435" s="402" t="s">
        <v>2442</v>
      </c>
      <c r="F435" s="413">
        <v>15139.0</v>
      </c>
      <c r="G435" s="403"/>
      <c r="H435" s="349" t="s">
        <v>2851</v>
      </c>
      <c r="I435" s="404" t="str">
        <f t="shared" si="9"/>
        <v>NOT PAID</v>
      </c>
      <c r="J435" s="402"/>
      <c r="K435" s="402"/>
      <c r="L435" s="402"/>
      <c r="M435" s="402"/>
      <c r="N435" s="402"/>
      <c r="O435" s="402"/>
      <c r="P435" s="402"/>
      <c r="Q435" s="402"/>
      <c r="R435" s="402"/>
      <c r="S435" s="402"/>
      <c r="T435" s="402"/>
      <c r="U435" s="402"/>
      <c r="V435" s="402"/>
      <c r="W435" s="402"/>
      <c r="X435" s="402"/>
      <c r="Y435" s="402"/>
      <c r="Z435" s="402"/>
      <c r="AA435" s="405"/>
      <c r="AB435" s="405"/>
      <c r="AC435" s="405"/>
      <c r="AD435" s="405"/>
      <c r="AE435" s="405"/>
      <c r="AF435" s="405"/>
      <c r="AG435" s="405"/>
    </row>
    <row r="436" ht="14.25" customHeight="1">
      <c r="A436" s="406">
        <v>45518.0</v>
      </c>
      <c r="B436" s="349" t="s">
        <v>2852</v>
      </c>
      <c r="C436" s="349" t="s">
        <v>2452</v>
      </c>
      <c r="D436" s="349" t="s">
        <v>54</v>
      </c>
      <c r="E436" s="402" t="s">
        <v>2442</v>
      </c>
      <c r="F436" s="662">
        <v>4215.0</v>
      </c>
      <c r="G436" s="403"/>
      <c r="H436" s="349" t="s">
        <v>2853</v>
      </c>
      <c r="I436" s="404" t="str">
        <f t="shared" si="9"/>
        <v>NOT PAID</v>
      </c>
      <c r="J436" s="402"/>
      <c r="K436" s="402"/>
      <c r="L436" s="402"/>
      <c r="M436" s="402"/>
      <c r="N436" s="402"/>
      <c r="O436" s="402"/>
      <c r="P436" s="402"/>
      <c r="Q436" s="402"/>
      <c r="R436" s="402"/>
      <c r="S436" s="402"/>
      <c r="T436" s="402"/>
      <c r="U436" s="402"/>
      <c r="V436" s="402"/>
      <c r="W436" s="402"/>
      <c r="X436" s="402"/>
      <c r="Y436" s="402"/>
      <c r="Z436" s="402"/>
      <c r="AA436" s="405"/>
      <c r="AB436" s="405"/>
      <c r="AC436" s="405"/>
      <c r="AD436" s="405"/>
      <c r="AE436" s="405"/>
      <c r="AF436" s="405"/>
      <c r="AG436" s="405"/>
    </row>
    <row r="437" ht="14.25" customHeight="1">
      <c r="A437" s="406">
        <v>45518.0</v>
      </c>
      <c r="B437" s="349" t="s">
        <v>2619</v>
      </c>
      <c r="C437" s="349" t="s">
        <v>2837</v>
      </c>
      <c r="D437" s="349" t="s">
        <v>54</v>
      </c>
      <c r="E437" s="349" t="s">
        <v>2832</v>
      </c>
      <c r="F437" s="413">
        <v>161463.0</v>
      </c>
      <c r="G437" s="403"/>
      <c r="H437" s="690" t="s">
        <v>2854</v>
      </c>
      <c r="I437" s="404" t="str">
        <f t="shared" si="9"/>
        <v>NOT PAID</v>
      </c>
      <c r="J437" s="402"/>
      <c r="K437" s="404"/>
      <c r="L437" s="402"/>
      <c r="M437" s="402"/>
      <c r="N437" s="402"/>
      <c r="O437" s="402"/>
      <c r="P437" s="402"/>
      <c r="Q437" s="402"/>
      <c r="R437" s="402"/>
      <c r="S437" s="402"/>
      <c r="T437" s="402"/>
      <c r="U437" s="402"/>
      <c r="V437" s="402"/>
      <c r="W437" s="402"/>
      <c r="X437" s="402"/>
      <c r="Y437" s="402"/>
      <c r="Z437" s="402"/>
      <c r="AA437" s="402"/>
      <c r="AB437" s="402"/>
      <c r="AC437" s="405"/>
      <c r="AD437" s="405"/>
      <c r="AE437" s="405"/>
      <c r="AF437" s="405"/>
      <c r="AG437" s="405"/>
    </row>
    <row r="438" ht="14.25" customHeight="1">
      <c r="A438" s="406">
        <v>45518.0</v>
      </c>
      <c r="B438" s="349" t="s">
        <v>2493</v>
      </c>
      <c r="C438" s="349" t="s">
        <v>2735</v>
      </c>
      <c r="D438" s="349" t="s">
        <v>54</v>
      </c>
      <c r="E438" s="349" t="s">
        <v>2832</v>
      </c>
      <c r="F438" s="413">
        <v>200000.0</v>
      </c>
      <c r="G438" s="413">
        <v>150000.0</v>
      </c>
      <c r="H438" s="690" t="s">
        <v>2855</v>
      </c>
      <c r="I438" s="404" t="str">
        <f t="shared" si="9"/>
        <v>PARTIALLY PAID</v>
      </c>
      <c r="J438" s="402"/>
      <c r="K438" s="404"/>
      <c r="L438" s="402"/>
      <c r="M438" s="402"/>
      <c r="N438" s="402"/>
      <c r="O438" s="402"/>
      <c r="P438" s="402"/>
      <c r="Q438" s="402"/>
      <c r="R438" s="402"/>
      <c r="S438" s="402"/>
      <c r="T438" s="402"/>
      <c r="U438" s="402"/>
      <c r="V438" s="402"/>
      <c r="W438" s="402"/>
      <c r="X438" s="402"/>
      <c r="Y438" s="402"/>
      <c r="Z438" s="402"/>
      <c r="AA438" s="402"/>
      <c r="AB438" s="402"/>
      <c r="AC438" s="405"/>
      <c r="AD438" s="405"/>
      <c r="AE438" s="405"/>
      <c r="AF438" s="405"/>
      <c r="AG438" s="405"/>
    </row>
    <row r="439" ht="14.25" customHeight="1">
      <c r="A439" s="406">
        <v>45518.0</v>
      </c>
      <c r="B439" s="349" t="s">
        <v>2764</v>
      </c>
      <c r="C439" s="349" t="s">
        <v>2856</v>
      </c>
      <c r="D439" s="349" t="s">
        <v>54</v>
      </c>
      <c r="E439" s="349" t="s">
        <v>2832</v>
      </c>
      <c r="F439" s="413">
        <v>34851.0</v>
      </c>
      <c r="G439" s="403"/>
      <c r="H439" s="690" t="s">
        <v>2857</v>
      </c>
      <c r="I439" s="404" t="str">
        <f t="shared" si="9"/>
        <v>NOT PAID</v>
      </c>
      <c r="J439" s="402"/>
      <c r="K439" s="404"/>
      <c r="L439" s="402"/>
      <c r="M439" s="402"/>
      <c r="N439" s="402"/>
      <c r="O439" s="402"/>
      <c r="P439" s="402"/>
      <c r="Q439" s="402"/>
      <c r="R439" s="402"/>
      <c r="S439" s="402"/>
      <c r="T439" s="402"/>
      <c r="U439" s="402"/>
      <c r="V439" s="402"/>
      <c r="W439" s="402"/>
      <c r="X439" s="402"/>
      <c r="Y439" s="402"/>
      <c r="Z439" s="402"/>
      <c r="AA439" s="402"/>
      <c r="AB439" s="402"/>
      <c r="AC439" s="405"/>
      <c r="AD439" s="405"/>
      <c r="AE439" s="405"/>
      <c r="AF439" s="405"/>
      <c r="AG439" s="405"/>
    </row>
    <row r="440" ht="14.25" customHeight="1">
      <c r="A440" s="406">
        <v>45518.0</v>
      </c>
      <c r="B440" s="349" t="s">
        <v>2697</v>
      </c>
      <c r="C440" s="349" t="s">
        <v>2756</v>
      </c>
      <c r="D440" s="349" t="s">
        <v>54</v>
      </c>
      <c r="E440" s="349" t="s">
        <v>2832</v>
      </c>
      <c r="F440" s="413">
        <v>71466.79</v>
      </c>
      <c r="G440" s="403"/>
      <c r="H440" s="690" t="s">
        <v>2858</v>
      </c>
      <c r="I440" s="404" t="str">
        <f t="shared" si="9"/>
        <v>NOT PAID</v>
      </c>
      <c r="J440" s="402"/>
      <c r="K440" s="404"/>
      <c r="L440" s="402"/>
      <c r="M440" s="402"/>
      <c r="N440" s="402"/>
      <c r="O440" s="402"/>
      <c r="P440" s="402"/>
      <c r="Q440" s="402"/>
      <c r="R440" s="402"/>
      <c r="S440" s="402"/>
      <c r="T440" s="402"/>
      <c r="U440" s="402"/>
      <c r="V440" s="402"/>
      <c r="W440" s="402"/>
      <c r="X440" s="402"/>
      <c r="Y440" s="402"/>
      <c r="Z440" s="402"/>
      <c r="AA440" s="402"/>
      <c r="AB440" s="402"/>
      <c r="AC440" s="405"/>
      <c r="AD440" s="405"/>
      <c r="AE440" s="405"/>
      <c r="AF440" s="405"/>
      <c r="AG440" s="405"/>
    </row>
    <row r="441" ht="14.25" customHeight="1">
      <c r="A441" s="406">
        <v>45518.0</v>
      </c>
      <c r="B441" s="349" t="s">
        <v>2581</v>
      </c>
      <c r="C441" s="349" t="s">
        <v>2859</v>
      </c>
      <c r="D441" s="349" t="s">
        <v>54</v>
      </c>
      <c r="E441" s="349" t="s">
        <v>2832</v>
      </c>
      <c r="F441" s="662">
        <v>14000.0</v>
      </c>
      <c r="G441" s="413">
        <v>14000.0</v>
      </c>
      <c r="H441" s="349" t="s">
        <v>2860</v>
      </c>
      <c r="I441" s="404" t="str">
        <f t="shared" si="9"/>
        <v>FULLY PAID</v>
      </c>
      <c r="J441" s="402"/>
      <c r="K441" s="402"/>
      <c r="L441" s="402"/>
      <c r="M441" s="402"/>
      <c r="N441" s="402"/>
      <c r="O441" s="402"/>
      <c r="P441" s="402"/>
      <c r="Q441" s="402"/>
      <c r="R441" s="402"/>
      <c r="S441" s="402"/>
      <c r="T441" s="402"/>
      <c r="U441" s="402"/>
      <c r="V441" s="402"/>
      <c r="W441" s="402"/>
      <c r="X441" s="402"/>
      <c r="Y441" s="402"/>
      <c r="Z441" s="402"/>
      <c r="AA441" s="405"/>
      <c r="AB441" s="405"/>
      <c r="AC441" s="405"/>
      <c r="AD441" s="405"/>
      <c r="AE441" s="405"/>
      <c r="AF441" s="405"/>
      <c r="AG441" s="405"/>
    </row>
    <row r="442" ht="14.25" customHeight="1">
      <c r="A442" s="406">
        <v>45519.0</v>
      </c>
      <c r="B442" s="402"/>
      <c r="C442" s="402"/>
      <c r="D442" s="402"/>
      <c r="E442" s="402"/>
      <c r="F442" s="664"/>
      <c r="G442" s="403"/>
      <c r="H442" s="402"/>
      <c r="I442" s="404" t="str">
        <f t="shared" si="9"/>
        <v>FULLY PAID</v>
      </c>
      <c r="J442" s="402"/>
      <c r="K442" s="402"/>
      <c r="L442" s="402"/>
      <c r="M442" s="402"/>
      <c r="N442" s="402"/>
      <c r="O442" s="402"/>
      <c r="P442" s="402"/>
      <c r="Q442" s="402"/>
      <c r="R442" s="402"/>
      <c r="S442" s="402"/>
      <c r="T442" s="402"/>
      <c r="U442" s="402"/>
      <c r="V442" s="402"/>
      <c r="W442" s="402"/>
      <c r="X442" s="402"/>
      <c r="Y442" s="402"/>
      <c r="Z442" s="402"/>
      <c r="AA442" s="405"/>
      <c r="AB442" s="405"/>
      <c r="AC442" s="405"/>
      <c r="AD442" s="405"/>
      <c r="AE442" s="405"/>
      <c r="AF442" s="405"/>
      <c r="AG442" s="405"/>
    </row>
    <row r="443" ht="14.25" customHeight="1">
      <c r="A443" s="406"/>
      <c r="B443" s="402"/>
      <c r="C443" s="402"/>
      <c r="D443" s="402"/>
      <c r="E443" s="402"/>
      <c r="F443" s="664"/>
      <c r="G443" s="403"/>
      <c r="H443" s="402"/>
      <c r="I443" s="404" t="str">
        <f t="shared" si="9"/>
        <v>FULLY PAID</v>
      </c>
      <c r="J443" s="402"/>
      <c r="K443" s="402"/>
      <c r="L443" s="402"/>
      <c r="M443" s="402"/>
      <c r="N443" s="402"/>
      <c r="O443" s="402"/>
      <c r="P443" s="402"/>
      <c r="Q443" s="402"/>
      <c r="R443" s="402"/>
      <c r="S443" s="402"/>
      <c r="T443" s="402"/>
      <c r="U443" s="402"/>
      <c r="V443" s="402"/>
      <c r="W443" s="402"/>
      <c r="X443" s="402"/>
      <c r="Y443" s="402"/>
      <c r="Z443" s="402"/>
      <c r="AA443" s="405"/>
      <c r="AB443" s="405"/>
      <c r="AC443" s="405"/>
      <c r="AD443" s="405"/>
      <c r="AE443" s="405"/>
      <c r="AF443" s="405"/>
      <c r="AG443" s="405"/>
    </row>
    <row r="444" ht="14.25" customHeight="1">
      <c r="A444" s="402"/>
      <c r="B444" s="402"/>
      <c r="C444" s="402"/>
      <c r="D444" s="402"/>
      <c r="E444" s="402"/>
      <c r="F444" s="664"/>
      <c r="G444" s="403"/>
      <c r="H444" s="402"/>
      <c r="I444" s="404" t="str">
        <f t="shared" si="9"/>
        <v>FULLY PAID</v>
      </c>
      <c r="J444" s="402"/>
      <c r="K444" s="402"/>
      <c r="L444" s="402"/>
      <c r="M444" s="402"/>
      <c r="N444" s="402"/>
      <c r="O444" s="402"/>
      <c r="P444" s="402"/>
      <c r="Q444" s="402"/>
      <c r="R444" s="402"/>
      <c r="S444" s="402"/>
      <c r="T444" s="402"/>
      <c r="U444" s="402"/>
      <c r="V444" s="402"/>
      <c r="W444" s="402"/>
      <c r="X444" s="402"/>
      <c r="Y444" s="402"/>
      <c r="Z444" s="402"/>
      <c r="AA444" s="405"/>
      <c r="AB444" s="405"/>
      <c r="AC444" s="405"/>
      <c r="AD444" s="405"/>
      <c r="AE444" s="405"/>
      <c r="AF444" s="405"/>
      <c r="AG444" s="405"/>
    </row>
    <row r="445" ht="14.25" customHeight="1">
      <c r="A445" s="584" t="s">
        <v>2130</v>
      </c>
      <c r="B445" s="584" t="s">
        <v>39</v>
      </c>
      <c r="C445" s="584" t="s">
        <v>48</v>
      </c>
      <c r="D445" s="584" t="s">
        <v>49</v>
      </c>
      <c r="E445" s="584" t="s">
        <v>50</v>
      </c>
      <c r="F445" s="658" t="s">
        <v>2</v>
      </c>
      <c r="G445" s="586" t="s">
        <v>44</v>
      </c>
      <c r="H445" s="584" t="s">
        <v>45</v>
      </c>
      <c r="I445" s="404" t="str">
        <f t="shared" si="9"/>
        <v>FULLY PAID</v>
      </c>
      <c r="J445" s="402"/>
      <c r="K445" s="402"/>
      <c r="L445" s="402"/>
      <c r="M445" s="402"/>
      <c r="N445" s="402"/>
      <c r="O445" s="402"/>
      <c r="P445" s="402"/>
      <c r="Q445" s="402"/>
      <c r="R445" s="402"/>
      <c r="S445" s="402"/>
      <c r="T445" s="402"/>
      <c r="U445" s="402"/>
      <c r="V445" s="402"/>
      <c r="W445" s="402"/>
      <c r="X445" s="402"/>
      <c r="Y445" s="402"/>
      <c r="Z445" s="402"/>
      <c r="AA445" s="405"/>
      <c r="AB445" s="405"/>
      <c r="AC445" s="405"/>
      <c r="AD445" s="405"/>
      <c r="AE445" s="405"/>
      <c r="AF445" s="405"/>
      <c r="AG445" s="405"/>
    </row>
    <row r="446" ht="14.25" customHeight="1">
      <c r="A446" s="406">
        <v>45519.0</v>
      </c>
      <c r="B446" s="349" t="s">
        <v>2697</v>
      </c>
      <c r="C446" s="349" t="s">
        <v>2756</v>
      </c>
      <c r="D446" s="349" t="s">
        <v>54</v>
      </c>
      <c r="E446" s="349" t="s">
        <v>2832</v>
      </c>
      <c r="F446" s="559">
        <v>71466.79</v>
      </c>
      <c r="G446" s="403"/>
      <c r="H446" s="349" t="s">
        <v>2861</v>
      </c>
      <c r="I446" s="404" t="str">
        <f t="shared" si="9"/>
        <v>NOT PAID</v>
      </c>
      <c r="J446" s="402"/>
      <c r="K446" s="402"/>
      <c r="L446" s="402"/>
      <c r="M446" s="402"/>
      <c r="N446" s="402"/>
      <c r="O446" s="402"/>
      <c r="P446" s="402"/>
      <c r="Q446" s="402"/>
      <c r="R446" s="402"/>
      <c r="S446" s="402"/>
      <c r="T446" s="402"/>
      <c r="U446" s="402"/>
      <c r="V446" s="402"/>
      <c r="W446" s="402"/>
      <c r="X446" s="402"/>
      <c r="Y446" s="402"/>
      <c r="Z446" s="402"/>
      <c r="AA446" s="405"/>
      <c r="AB446" s="405"/>
      <c r="AC446" s="405"/>
      <c r="AD446" s="405"/>
      <c r="AE446" s="405"/>
      <c r="AF446" s="405"/>
      <c r="AG446" s="405"/>
    </row>
    <row r="447" ht="14.25" customHeight="1">
      <c r="A447" s="406">
        <v>45519.0</v>
      </c>
      <c r="B447" s="349" t="s">
        <v>2764</v>
      </c>
      <c r="C447" s="349" t="s">
        <v>2856</v>
      </c>
      <c r="D447" s="349" t="s">
        <v>54</v>
      </c>
      <c r="E447" s="349" t="s">
        <v>2832</v>
      </c>
      <c r="F447" s="559">
        <v>34851.0</v>
      </c>
      <c r="G447" s="403"/>
      <c r="H447" s="349" t="s">
        <v>2862</v>
      </c>
      <c r="I447" s="404" t="str">
        <f t="shared" si="9"/>
        <v>NOT PAID</v>
      </c>
      <c r="J447" s="402"/>
      <c r="K447" s="402"/>
      <c r="L447" s="402"/>
      <c r="M447" s="402"/>
      <c r="N447" s="402"/>
      <c r="O447" s="402"/>
      <c r="P447" s="402"/>
      <c r="Q447" s="402"/>
      <c r="R447" s="402"/>
      <c r="S447" s="402"/>
      <c r="T447" s="402"/>
      <c r="U447" s="402"/>
      <c r="V447" s="402"/>
      <c r="W447" s="402"/>
      <c r="X447" s="402"/>
      <c r="Y447" s="402"/>
      <c r="Z447" s="402"/>
      <c r="AA447" s="405"/>
      <c r="AB447" s="405"/>
      <c r="AC447" s="405"/>
      <c r="AD447" s="405"/>
      <c r="AE447" s="405"/>
      <c r="AF447" s="405"/>
      <c r="AG447" s="405"/>
    </row>
    <row r="448" ht="14.25" customHeight="1">
      <c r="A448" s="406">
        <v>45519.0</v>
      </c>
      <c r="B448" s="349" t="s">
        <v>2863</v>
      </c>
      <c r="C448" s="349" t="s">
        <v>2864</v>
      </c>
      <c r="D448" s="349" t="s">
        <v>54</v>
      </c>
      <c r="E448" s="689" t="s">
        <v>2832</v>
      </c>
      <c r="F448" s="413">
        <v>35833.0</v>
      </c>
      <c r="G448" s="413" t="s">
        <v>2865</v>
      </c>
      <c r="H448" s="349" t="s">
        <v>2866</v>
      </c>
      <c r="I448" s="404" t="str">
        <f t="shared" si="9"/>
        <v>FULLY PAID</v>
      </c>
      <c r="J448" s="402"/>
      <c r="K448" s="402"/>
      <c r="L448" s="402"/>
      <c r="M448" s="402"/>
      <c r="N448" s="402"/>
      <c r="O448" s="402"/>
      <c r="P448" s="402"/>
      <c r="Q448" s="402"/>
      <c r="R448" s="402"/>
      <c r="S448" s="402"/>
      <c r="T448" s="402"/>
      <c r="U448" s="402"/>
      <c r="V448" s="402"/>
      <c r="W448" s="402"/>
      <c r="X448" s="402"/>
      <c r="Y448" s="402"/>
      <c r="Z448" s="405"/>
      <c r="AA448" s="405"/>
      <c r="AB448" s="405"/>
      <c r="AC448" s="405"/>
      <c r="AD448" s="405"/>
    </row>
    <row r="449" ht="14.25" customHeight="1">
      <c r="A449" s="406">
        <v>45519.0</v>
      </c>
      <c r="B449" s="349" t="s">
        <v>2867</v>
      </c>
      <c r="C449" s="349" t="s">
        <v>2868</v>
      </c>
      <c r="D449" s="349" t="s">
        <v>54</v>
      </c>
      <c r="E449" s="689" t="s">
        <v>2832</v>
      </c>
      <c r="F449" s="413">
        <v>110332.0</v>
      </c>
      <c r="G449" s="403"/>
      <c r="H449" s="349" t="s">
        <v>2869</v>
      </c>
      <c r="I449" s="404" t="str">
        <f t="shared" si="9"/>
        <v>NOT PAID</v>
      </c>
      <c r="J449" s="402"/>
      <c r="K449" s="402"/>
      <c r="L449" s="402"/>
      <c r="M449" s="402"/>
      <c r="N449" s="402"/>
      <c r="O449" s="402"/>
      <c r="P449" s="402"/>
      <c r="Q449" s="402"/>
      <c r="R449" s="402"/>
      <c r="S449" s="402"/>
      <c r="T449" s="402"/>
      <c r="U449" s="402"/>
      <c r="V449" s="402"/>
      <c r="W449" s="402"/>
      <c r="X449" s="402"/>
      <c r="Y449" s="402"/>
      <c r="Z449" s="405"/>
      <c r="AA449" s="405"/>
      <c r="AB449" s="405"/>
      <c r="AC449" s="405"/>
      <c r="AD449" s="405"/>
    </row>
    <row r="450" ht="14.25" customHeight="1">
      <c r="A450" s="406">
        <v>45519.0</v>
      </c>
      <c r="B450" s="349" t="s">
        <v>2493</v>
      </c>
      <c r="C450" s="349" t="s">
        <v>2735</v>
      </c>
      <c r="D450" s="349" t="s">
        <v>54</v>
      </c>
      <c r="E450" s="349" t="s">
        <v>2832</v>
      </c>
      <c r="F450" s="662">
        <v>50000.0</v>
      </c>
      <c r="G450" s="403"/>
      <c r="H450" s="349" t="s">
        <v>2870</v>
      </c>
      <c r="I450" s="404" t="str">
        <f t="shared" si="9"/>
        <v>NOT PAID</v>
      </c>
      <c r="J450" s="402"/>
      <c r="K450" s="402"/>
      <c r="L450" s="402"/>
      <c r="M450" s="402"/>
      <c r="N450" s="402"/>
      <c r="O450" s="402"/>
      <c r="P450" s="402"/>
      <c r="Q450" s="402"/>
      <c r="R450" s="402"/>
      <c r="S450" s="402"/>
      <c r="T450" s="402"/>
      <c r="U450" s="402"/>
      <c r="V450" s="402"/>
      <c r="W450" s="402"/>
      <c r="X450" s="402"/>
      <c r="Y450" s="402"/>
      <c r="Z450" s="402"/>
      <c r="AA450" s="405"/>
      <c r="AB450" s="405"/>
      <c r="AC450" s="405"/>
      <c r="AD450" s="405"/>
      <c r="AE450" s="405"/>
      <c r="AF450" s="405"/>
      <c r="AG450" s="405"/>
    </row>
    <row r="451" ht="14.25" customHeight="1">
      <c r="A451" s="406">
        <v>45519.0</v>
      </c>
      <c r="B451" s="349" t="s">
        <v>2551</v>
      </c>
      <c r="C451" s="349" t="s">
        <v>2871</v>
      </c>
      <c r="D451" s="349" t="s">
        <v>54</v>
      </c>
      <c r="E451" s="349" t="s">
        <v>2832</v>
      </c>
      <c r="F451" s="413">
        <v>85879.0</v>
      </c>
      <c r="G451" s="403"/>
      <c r="H451" s="349" t="s">
        <v>2872</v>
      </c>
      <c r="I451" s="404" t="str">
        <f t="shared" si="9"/>
        <v>NOT PAID</v>
      </c>
      <c r="J451" s="402"/>
      <c r="K451" s="402"/>
      <c r="L451" s="402"/>
      <c r="M451" s="402"/>
      <c r="N451" s="402"/>
      <c r="O451" s="402"/>
      <c r="P451" s="402"/>
      <c r="Q451" s="402"/>
      <c r="R451" s="402"/>
      <c r="S451" s="402"/>
      <c r="T451" s="402"/>
      <c r="U451" s="402"/>
      <c r="V451" s="402"/>
      <c r="W451" s="402"/>
      <c r="X451" s="402"/>
      <c r="Y451" s="402"/>
      <c r="Z451" s="405"/>
      <c r="AA451" s="405"/>
      <c r="AB451" s="405"/>
      <c r="AC451" s="405"/>
      <c r="AD451" s="405"/>
    </row>
    <row r="452" ht="14.25" customHeight="1">
      <c r="A452" s="406">
        <v>45519.0</v>
      </c>
      <c r="B452" s="349" t="s">
        <v>2873</v>
      </c>
      <c r="C452" s="349" t="s">
        <v>2874</v>
      </c>
      <c r="D452" s="349" t="s">
        <v>54</v>
      </c>
      <c r="E452" s="349" t="s">
        <v>2832</v>
      </c>
      <c r="F452" s="691">
        <v>178304.0</v>
      </c>
      <c r="G452" s="403"/>
      <c r="H452" s="349" t="s">
        <v>2875</v>
      </c>
      <c r="I452" s="404" t="str">
        <f t="shared" si="9"/>
        <v>NOT PAID</v>
      </c>
      <c r="J452" s="402"/>
      <c r="K452" s="402"/>
      <c r="L452" s="402"/>
      <c r="M452" s="402"/>
      <c r="N452" s="402"/>
      <c r="O452" s="402"/>
      <c r="P452" s="402"/>
      <c r="Q452" s="402"/>
      <c r="R452" s="402"/>
      <c r="S452" s="402"/>
      <c r="T452" s="402"/>
      <c r="U452" s="402"/>
      <c r="V452" s="402"/>
      <c r="W452" s="402"/>
      <c r="X452" s="402"/>
      <c r="Y452" s="402"/>
      <c r="Z452" s="405"/>
      <c r="AA452" s="405"/>
      <c r="AB452" s="405"/>
      <c r="AC452" s="405"/>
      <c r="AD452" s="405"/>
    </row>
    <row r="453" ht="14.25" customHeight="1">
      <c r="A453" s="406">
        <v>45519.0</v>
      </c>
      <c r="B453" s="417" t="s">
        <v>2455</v>
      </c>
      <c r="C453" s="417" t="s">
        <v>2456</v>
      </c>
      <c r="D453" s="417" t="s">
        <v>54</v>
      </c>
      <c r="E453" s="417" t="s">
        <v>2442</v>
      </c>
      <c r="F453" s="73">
        <v>20000.0</v>
      </c>
      <c r="G453" s="403"/>
      <c r="H453" s="349" t="s">
        <v>2876</v>
      </c>
      <c r="I453" s="404" t="str">
        <f t="shared" si="9"/>
        <v>NOT PAID</v>
      </c>
      <c r="J453" s="402"/>
      <c r="K453" s="402"/>
      <c r="L453" s="402"/>
      <c r="M453" s="402"/>
      <c r="N453" s="402"/>
      <c r="O453" s="402"/>
      <c r="P453" s="402"/>
      <c r="Q453" s="402"/>
      <c r="R453" s="402"/>
      <c r="S453" s="402"/>
      <c r="T453" s="402"/>
      <c r="U453" s="402"/>
      <c r="V453" s="402"/>
      <c r="W453" s="402"/>
      <c r="X453" s="402"/>
      <c r="Y453" s="402"/>
      <c r="Z453" s="402"/>
      <c r="AA453" s="405"/>
      <c r="AB453" s="405"/>
      <c r="AC453" s="405"/>
      <c r="AD453" s="405"/>
      <c r="AE453" s="405"/>
      <c r="AF453" s="405"/>
      <c r="AG453" s="405"/>
    </row>
    <row r="454" ht="14.25" customHeight="1">
      <c r="A454" s="406">
        <v>45519.0</v>
      </c>
      <c r="B454" s="417" t="s">
        <v>2820</v>
      </c>
      <c r="C454" s="417" t="s">
        <v>2821</v>
      </c>
      <c r="D454" s="417" t="s">
        <v>54</v>
      </c>
      <c r="E454" s="417" t="s">
        <v>2442</v>
      </c>
      <c r="F454" s="69">
        <v>31872.0</v>
      </c>
      <c r="G454" s="403"/>
      <c r="H454" s="349" t="s">
        <v>2877</v>
      </c>
      <c r="I454" s="404" t="str">
        <f t="shared" si="9"/>
        <v>NOT PAID</v>
      </c>
      <c r="J454" s="402"/>
      <c r="K454" s="402"/>
      <c r="L454" s="402"/>
      <c r="M454" s="402"/>
      <c r="N454" s="402"/>
      <c r="O454" s="402"/>
      <c r="P454" s="402"/>
      <c r="Q454" s="402"/>
      <c r="R454" s="402"/>
      <c r="S454" s="402"/>
      <c r="T454" s="402"/>
      <c r="U454" s="402"/>
      <c r="V454" s="402"/>
      <c r="W454" s="402"/>
      <c r="X454" s="402"/>
      <c r="Y454" s="402"/>
      <c r="Z454" s="402"/>
      <c r="AA454" s="405"/>
      <c r="AB454" s="405"/>
      <c r="AC454" s="405"/>
      <c r="AD454" s="405"/>
      <c r="AE454" s="405"/>
      <c r="AF454" s="405"/>
      <c r="AG454" s="405"/>
    </row>
    <row r="455" ht="14.25" customHeight="1">
      <c r="A455" s="406">
        <v>45519.0</v>
      </c>
      <c r="B455" s="417" t="s">
        <v>2512</v>
      </c>
      <c r="C455" s="417" t="s">
        <v>2513</v>
      </c>
      <c r="D455" s="417" t="s">
        <v>54</v>
      </c>
      <c r="E455" s="417" t="s">
        <v>2442</v>
      </c>
      <c r="F455" s="69">
        <v>40636.0</v>
      </c>
      <c r="G455" s="403"/>
      <c r="H455" s="349" t="s">
        <v>2878</v>
      </c>
      <c r="I455" s="404" t="str">
        <f t="shared" si="9"/>
        <v>NOT PAID</v>
      </c>
      <c r="J455" s="402"/>
      <c r="K455" s="402"/>
      <c r="L455" s="402"/>
      <c r="M455" s="402"/>
      <c r="N455" s="402"/>
      <c r="O455" s="402"/>
      <c r="P455" s="402"/>
      <c r="Q455" s="402"/>
      <c r="R455" s="402"/>
      <c r="S455" s="402"/>
      <c r="T455" s="402"/>
      <c r="U455" s="402"/>
      <c r="V455" s="402"/>
      <c r="W455" s="402"/>
      <c r="X455" s="402"/>
      <c r="Y455" s="402"/>
      <c r="Z455" s="402"/>
      <c r="AA455" s="405"/>
      <c r="AB455" s="405"/>
      <c r="AC455" s="405"/>
      <c r="AD455" s="405"/>
      <c r="AE455" s="405"/>
      <c r="AF455" s="405"/>
      <c r="AG455" s="405"/>
    </row>
    <row r="456" ht="14.25" customHeight="1">
      <c r="A456" s="406">
        <v>45519.0</v>
      </c>
      <c r="B456" s="417" t="s">
        <v>2729</v>
      </c>
      <c r="C456" s="417" t="s">
        <v>2799</v>
      </c>
      <c r="D456" s="417" t="s">
        <v>54</v>
      </c>
      <c r="E456" s="417" t="s">
        <v>2442</v>
      </c>
      <c r="F456" s="69">
        <v>20402.67</v>
      </c>
      <c r="G456" s="403"/>
      <c r="H456" s="349" t="s">
        <v>2879</v>
      </c>
      <c r="I456" s="404" t="str">
        <f t="shared" si="9"/>
        <v>NOT PAID</v>
      </c>
      <c r="J456" s="402"/>
      <c r="K456" s="402"/>
      <c r="L456" s="402"/>
      <c r="M456" s="402"/>
      <c r="N456" s="402"/>
      <c r="O456" s="402"/>
      <c r="P456" s="402"/>
      <c r="Q456" s="402"/>
      <c r="R456" s="402"/>
      <c r="S456" s="402"/>
      <c r="T456" s="402"/>
      <c r="U456" s="402"/>
      <c r="V456" s="402"/>
      <c r="W456" s="402"/>
      <c r="X456" s="402"/>
      <c r="Y456" s="402"/>
      <c r="Z456" s="402"/>
      <c r="AA456" s="405"/>
      <c r="AB456" s="405"/>
      <c r="AC456" s="405"/>
      <c r="AD456" s="405"/>
      <c r="AE456" s="405"/>
      <c r="AF456" s="405"/>
      <c r="AG456" s="405"/>
    </row>
    <row r="457" ht="14.25" customHeight="1">
      <c r="A457" s="406">
        <v>45519.0</v>
      </c>
      <c r="B457" s="417" t="s">
        <v>2565</v>
      </c>
      <c r="C457" s="417" t="s">
        <v>2566</v>
      </c>
      <c r="D457" s="417" t="s">
        <v>54</v>
      </c>
      <c r="E457" s="417" t="s">
        <v>2442</v>
      </c>
      <c r="F457" s="69">
        <v>20000.0</v>
      </c>
      <c r="G457" s="403"/>
      <c r="H457" s="349" t="s">
        <v>2880</v>
      </c>
      <c r="I457" s="404" t="str">
        <f t="shared" si="9"/>
        <v>NOT PAID</v>
      </c>
      <c r="J457" s="402"/>
      <c r="K457" s="402"/>
      <c r="L457" s="402"/>
      <c r="M457" s="402"/>
      <c r="N457" s="402"/>
      <c r="O457" s="402"/>
      <c r="P457" s="402"/>
      <c r="Q457" s="402"/>
      <c r="R457" s="402"/>
      <c r="S457" s="402"/>
      <c r="T457" s="402"/>
      <c r="U457" s="402"/>
      <c r="V457" s="402"/>
      <c r="W457" s="402"/>
      <c r="X457" s="402"/>
      <c r="Y457" s="402"/>
      <c r="Z457" s="402"/>
      <c r="AA457" s="405"/>
      <c r="AB457" s="405"/>
      <c r="AC457" s="405"/>
      <c r="AD457" s="405"/>
      <c r="AE457" s="405"/>
      <c r="AF457" s="405"/>
      <c r="AG457" s="405"/>
    </row>
    <row r="458" ht="14.25" customHeight="1">
      <c r="A458" s="406">
        <v>45519.0</v>
      </c>
      <c r="B458" s="417" t="s">
        <v>2479</v>
      </c>
      <c r="C458" s="417" t="s">
        <v>2679</v>
      </c>
      <c r="D458" s="417" t="s">
        <v>54</v>
      </c>
      <c r="E458" s="344" t="s">
        <v>2442</v>
      </c>
      <c r="F458" s="77">
        <v>10000.0</v>
      </c>
      <c r="G458" s="413">
        <v>4000.0</v>
      </c>
      <c r="H458" s="349" t="s">
        <v>1039</v>
      </c>
      <c r="I458" s="404" t="str">
        <f t="shared" si="9"/>
        <v>PARTIALLY PAID</v>
      </c>
      <c r="J458" s="402"/>
      <c r="K458" s="402"/>
      <c r="L458" s="402"/>
      <c r="M458" s="402"/>
      <c r="N458" s="402"/>
      <c r="O458" s="402"/>
      <c r="P458" s="402"/>
      <c r="Q458" s="402"/>
      <c r="R458" s="402"/>
      <c r="S458" s="402"/>
      <c r="T458" s="402"/>
      <c r="U458" s="402"/>
      <c r="V458" s="402"/>
      <c r="W458" s="402"/>
      <c r="X458" s="402"/>
      <c r="Y458" s="402"/>
      <c r="Z458" s="402"/>
      <c r="AA458" s="405"/>
      <c r="AB458" s="405"/>
      <c r="AC458" s="405"/>
      <c r="AD458" s="405"/>
      <c r="AE458" s="405"/>
      <c r="AF458" s="405"/>
      <c r="AG458" s="405"/>
    </row>
    <row r="459" ht="14.25" customHeight="1">
      <c r="A459" s="406">
        <v>45519.0</v>
      </c>
      <c r="B459" s="419" t="s">
        <v>2739</v>
      </c>
      <c r="C459" s="419" t="s">
        <v>2740</v>
      </c>
      <c r="D459" s="417" t="s">
        <v>54</v>
      </c>
      <c r="E459" s="344" t="s">
        <v>2442</v>
      </c>
      <c r="F459" s="69">
        <v>24987.0</v>
      </c>
      <c r="G459" s="413">
        <v>2500.0</v>
      </c>
      <c r="H459" s="349" t="s">
        <v>2881</v>
      </c>
      <c r="I459" s="404" t="str">
        <f t="shared" si="9"/>
        <v>PARTIALLY PAID</v>
      </c>
      <c r="J459" s="402"/>
      <c r="K459" s="402"/>
      <c r="L459" s="402"/>
      <c r="M459" s="402"/>
      <c r="N459" s="402"/>
      <c r="O459" s="402"/>
      <c r="P459" s="402"/>
      <c r="Q459" s="402"/>
      <c r="R459" s="402"/>
      <c r="S459" s="402"/>
      <c r="T459" s="402"/>
      <c r="U459" s="402"/>
      <c r="V459" s="402"/>
      <c r="W459" s="402"/>
      <c r="X459" s="402"/>
      <c r="Y459" s="402"/>
      <c r="Z459" s="402"/>
      <c r="AA459" s="405"/>
      <c r="AB459" s="405"/>
      <c r="AC459" s="405"/>
      <c r="AD459" s="405"/>
      <c r="AE459" s="405"/>
      <c r="AF459" s="405"/>
      <c r="AG459" s="405"/>
    </row>
    <row r="460" ht="14.25" customHeight="1">
      <c r="A460" s="406">
        <v>45519.0</v>
      </c>
      <c r="B460" s="417" t="s">
        <v>2771</v>
      </c>
      <c r="C460" s="417" t="s">
        <v>2772</v>
      </c>
      <c r="D460" s="417" t="s">
        <v>54</v>
      </c>
      <c r="E460" s="418" t="s">
        <v>2442</v>
      </c>
      <c r="F460" s="69">
        <v>50995.0</v>
      </c>
      <c r="G460" s="403"/>
      <c r="H460" s="487" t="s">
        <v>2882</v>
      </c>
      <c r="I460" s="404" t="str">
        <f t="shared" si="9"/>
        <v>NOT PAID</v>
      </c>
      <c r="J460" s="402"/>
      <c r="K460" s="402"/>
      <c r="L460" s="402"/>
      <c r="M460" s="402"/>
      <c r="N460" s="402"/>
      <c r="O460" s="402"/>
      <c r="P460" s="402"/>
      <c r="Q460" s="402"/>
      <c r="R460" s="402"/>
      <c r="S460" s="402"/>
      <c r="T460" s="402"/>
      <c r="U460" s="402"/>
      <c r="V460" s="402"/>
      <c r="W460" s="402"/>
      <c r="X460" s="402"/>
      <c r="Y460" s="402"/>
      <c r="Z460" s="402"/>
      <c r="AA460" s="405"/>
      <c r="AB460" s="405"/>
      <c r="AC460" s="405"/>
      <c r="AD460" s="405"/>
      <c r="AE460" s="405"/>
      <c r="AF460" s="405"/>
      <c r="AG460" s="405"/>
    </row>
    <row r="461" ht="14.25" customHeight="1">
      <c r="A461" s="406">
        <v>45519.0</v>
      </c>
      <c r="B461" s="417" t="s">
        <v>2547</v>
      </c>
      <c r="C461" s="417" t="s">
        <v>2607</v>
      </c>
      <c r="D461" s="417" t="s">
        <v>54</v>
      </c>
      <c r="E461" s="344" t="s">
        <v>2442</v>
      </c>
      <c r="F461" s="69">
        <v>25800.0</v>
      </c>
      <c r="G461" s="403"/>
      <c r="H461" s="349" t="s">
        <v>2883</v>
      </c>
      <c r="I461" s="404" t="str">
        <f t="shared" si="9"/>
        <v>NOT PAID</v>
      </c>
      <c r="J461" s="402"/>
      <c r="K461" s="402"/>
      <c r="L461" s="402"/>
      <c r="M461" s="402"/>
      <c r="N461" s="402"/>
      <c r="O461" s="402"/>
      <c r="P461" s="402"/>
      <c r="Q461" s="402"/>
      <c r="R461" s="402"/>
      <c r="S461" s="402"/>
      <c r="T461" s="402"/>
      <c r="U461" s="402"/>
      <c r="V461" s="402"/>
      <c r="W461" s="402"/>
      <c r="X461" s="402"/>
      <c r="Y461" s="402"/>
      <c r="Z461" s="402"/>
      <c r="AA461" s="405"/>
      <c r="AB461" s="405"/>
      <c r="AC461" s="405"/>
      <c r="AD461" s="405"/>
      <c r="AE461" s="405"/>
      <c r="AF461" s="405"/>
      <c r="AG461" s="405"/>
    </row>
    <row r="462" ht="14.25" customHeight="1">
      <c r="A462" s="406">
        <v>45519.0</v>
      </c>
      <c r="B462" s="417" t="s">
        <v>2847</v>
      </c>
      <c r="C462" s="417" t="s">
        <v>2848</v>
      </c>
      <c r="D462" s="417" t="s">
        <v>54</v>
      </c>
      <c r="E462" s="344" t="s">
        <v>2442</v>
      </c>
      <c r="F462" s="69">
        <v>16733.0</v>
      </c>
      <c r="G462" s="403"/>
      <c r="H462" s="349" t="s">
        <v>2884</v>
      </c>
      <c r="I462" s="404" t="str">
        <f t="shared" si="9"/>
        <v>NOT PAID</v>
      </c>
      <c r="J462" s="402"/>
      <c r="K462" s="402"/>
      <c r="L462" s="402"/>
      <c r="M462" s="402"/>
      <c r="N462" s="402"/>
      <c r="O462" s="402"/>
      <c r="P462" s="402"/>
      <c r="Q462" s="402"/>
      <c r="R462" s="402"/>
      <c r="S462" s="402"/>
      <c r="T462" s="402"/>
      <c r="U462" s="402"/>
      <c r="V462" s="402"/>
      <c r="W462" s="402"/>
      <c r="X462" s="402"/>
      <c r="Y462" s="402"/>
      <c r="Z462" s="402"/>
      <c r="AA462" s="405"/>
      <c r="AB462" s="405"/>
      <c r="AC462" s="405"/>
      <c r="AD462" s="405"/>
      <c r="AE462" s="405"/>
      <c r="AF462" s="405"/>
      <c r="AG462" s="405"/>
    </row>
    <row r="463" ht="14.25" customHeight="1">
      <c r="A463" s="406">
        <v>45519.0</v>
      </c>
      <c r="B463" s="417" t="s">
        <v>2720</v>
      </c>
      <c r="C463" s="417" t="s">
        <v>2721</v>
      </c>
      <c r="D463" s="417" t="s">
        <v>54</v>
      </c>
      <c r="E463" s="344" t="s">
        <v>2442</v>
      </c>
      <c r="F463" s="69">
        <v>16255.0</v>
      </c>
      <c r="G463" s="403"/>
      <c r="H463" s="349" t="s">
        <v>2824</v>
      </c>
      <c r="I463" s="404" t="str">
        <f t="shared" si="9"/>
        <v>NOT PAID</v>
      </c>
      <c r="J463" s="402"/>
      <c r="K463" s="402"/>
      <c r="L463" s="402"/>
      <c r="M463" s="402"/>
      <c r="N463" s="402"/>
      <c r="O463" s="402"/>
      <c r="P463" s="402"/>
      <c r="Q463" s="402"/>
      <c r="R463" s="402"/>
      <c r="S463" s="402"/>
      <c r="T463" s="402"/>
      <c r="U463" s="402"/>
      <c r="V463" s="402"/>
      <c r="W463" s="402"/>
      <c r="X463" s="402"/>
      <c r="Y463" s="402"/>
      <c r="Z463" s="402"/>
      <c r="AA463" s="405"/>
      <c r="AB463" s="405"/>
      <c r="AC463" s="405"/>
      <c r="AD463" s="405"/>
      <c r="AE463" s="405"/>
      <c r="AF463" s="405"/>
      <c r="AG463" s="405"/>
    </row>
    <row r="464" ht="14.25" customHeight="1">
      <c r="A464" s="406">
        <v>45519.0</v>
      </c>
      <c r="B464" s="349" t="s">
        <v>2885</v>
      </c>
      <c r="C464" s="349" t="s">
        <v>2886</v>
      </c>
      <c r="D464" s="349" t="s">
        <v>2887</v>
      </c>
      <c r="E464" s="344" t="s">
        <v>2442</v>
      </c>
      <c r="F464" s="662">
        <v>160000.0</v>
      </c>
      <c r="G464" s="403"/>
      <c r="H464" s="349" t="s">
        <v>2888</v>
      </c>
      <c r="I464" s="404" t="str">
        <f t="shared" si="9"/>
        <v>NOT PAID</v>
      </c>
      <c r="J464" s="402"/>
      <c r="K464" s="402"/>
      <c r="L464" s="402"/>
      <c r="M464" s="402"/>
      <c r="N464" s="402"/>
      <c r="O464" s="402"/>
      <c r="P464" s="402"/>
      <c r="Q464" s="402"/>
      <c r="R464" s="402"/>
      <c r="S464" s="402"/>
      <c r="T464" s="402"/>
      <c r="U464" s="402"/>
      <c r="V464" s="402"/>
      <c r="W464" s="402"/>
      <c r="X464" s="402"/>
      <c r="Y464" s="402"/>
      <c r="Z464" s="402"/>
      <c r="AA464" s="405"/>
      <c r="AB464" s="405"/>
      <c r="AC464" s="405"/>
      <c r="AD464" s="405"/>
      <c r="AE464" s="405"/>
      <c r="AF464" s="405"/>
      <c r="AG464" s="405"/>
    </row>
    <row r="465" ht="14.25" customHeight="1">
      <c r="A465" s="406"/>
      <c r="B465" s="402"/>
      <c r="C465" s="402"/>
      <c r="D465" s="402"/>
      <c r="E465" s="402"/>
      <c r="F465" s="664"/>
      <c r="G465" s="403"/>
      <c r="H465" s="402"/>
      <c r="I465" s="404" t="str">
        <f t="shared" si="9"/>
        <v>FULLY PAID</v>
      </c>
      <c r="J465" s="402"/>
      <c r="K465" s="402"/>
      <c r="L465" s="402"/>
      <c r="M465" s="402"/>
      <c r="N465" s="402"/>
      <c r="O465" s="402"/>
      <c r="P465" s="402"/>
      <c r="Q465" s="402"/>
      <c r="R465" s="402"/>
      <c r="S465" s="402"/>
      <c r="T465" s="402"/>
      <c r="U465" s="402"/>
      <c r="V465" s="402"/>
      <c r="W465" s="402"/>
      <c r="X465" s="402"/>
      <c r="Y465" s="402"/>
      <c r="Z465" s="402"/>
      <c r="AA465" s="405"/>
      <c r="AB465" s="405"/>
      <c r="AC465" s="405"/>
      <c r="AD465" s="405"/>
      <c r="AE465" s="405"/>
      <c r="AF465" s="405"/>
      <c r="AG465" s="405"/>
    </row>
    <row r="466" ht="14.25" customHeight="1">
      <c r="A466" s="402"/>
      <c r="B466" s="402"/>
      <c r="C466" s="402"/>
      <c r="D466" s="402"/>
      <c r="E466" s="402"/>
      <c r="F466" s="664"/>
      <c r="G466" s="403"/>
      <c r="H466" s="402"/>
      <c r="I466" s="404" t="str">
        <f t="shared" si="9"/>
        <v>FULLY PAID</v>
      </c>
      <c r="J466" s="402"/>
      <c r="K466" s="402"/>
      <c r="L466" s="402"/>
      <c r="M466" s="402"/>
      <c r="N466" s="402"/>
      <c r="O466" s="402"/>
      <c r="P466" s="402"/>
      <c r="Q466" s="402"/>
      <c r="R466" s="402"/>
      <c r="S466" s="402"/>
      <c r="T466" s="402"/>
      <c r="U466" s="402"/>
      <c r="V466" s="402"/>
      <c r="W466" s="402"/>
      <c r="X466" s="402"/>
      <c r="Y466" s="402"/>
      <c r="Z466" s="402"/>
      <c r="AA466" s="405"/>
      <c r="AB466" s="405"/>
      <c r="AC466" s="405"/>
      <c r="AD466" s="405"/>
      <c r="AE466" s="405"/>
      <c r="AF466" s="405"/>
      <c r="AG466" s="405"/>
    </row>
    <row r="467" ht="14.25" customHeight="1">
      <c r="A467" s="402"/>
      <c r="B467" s="664"/>
      <c r="C467" s="692"/>
      <c r="D467" s="402"/>
      <c r="E467" s="402"/>
      <c r="F467" s="402"/>
      <c r="G467" s="403"/>
      <c r="H467" s="402"/>
      <c r="I467" s="404" t="str">
        <f t="shared" si="9"/>
        <v>FULLY PAID</v>
      </c>
      <c r="J467" s="402"/>
      <c r="K467" s="402"/>
      <c r="L467" s="402"/>
      <c r="M467" s="402"/>
      <c r="N467" s="402"/>
      <c r="O467" s="402"/>
      <c r="P467" s="402"/>
      <c r="Q467" s="402"/>
      <c r="R467" s="402"/>
      <c r="S467" s="402"/>
      <c r="T467" s="402"/>
      <c r="U467" s="402"/>
      <c r="V467" s="402"/>
      <c r="W467" s="405"/>
      <c r="X467" s="405"/>
      <c r="Y467" s="405"/>
      <c r="Z467" s="405"/>
      <c r="AA467" s="405"/>
    </row>
    <row r="468" ht="14.25" customHeight="1">
      <c r="A468" s="584" t="s">
        <v>2130</v>
      </c>
      <c r="B468" s="584" t="s">
        <v>39</v>
      </c>
      <c r="C468" s="584" t="s">
        <v>48</v>
      </c>
      <c r="D468" s="584" t="s">
        <v>49</v>
      </c>
      <c r="E468" s="584" t="s">
        <v>50</v>
      </c>
      <c r="F468" s="658" t="s">
        <v>2</v>
      </c>
      <c r="G468" s="586" t="s">
        <v>44</v>
      </c>
      <c r="H468" s="584" t="s">
        <v>45</v>
      </c>
      <c r="I468" s="404" t="str">
        <f t="shared" si="9"/>
        <v>FULLY PAID</v>
      </c>
      <c r="J468" s="402"/>
      <c r="K468" s="402"/>
      <c r="L468" s="402"/>
      <c r="M468" s="402"/>
      <c r="N468" s="402"/>
      <c r="O468" s="402"/>
      <c r="P468" s="402"/>
      <c r="Q468" s="402"/>
      <c r="R468" s="402"/>
      <c r="S468" s="402"/>
      <c r="T468" s="402"/>
      <c r="U468" s="402"/>
      <c r="V468" s="402"/>
      <c r="W468" s="405"/>
      <c r="X468" s="405"/>
      <c r="Y468" s="405"/>
      <c r="Z468" s="405"/>
      <c r="AA468" s="405"/>
    </row>
    <row r="469" ht="14.25" customHeight="1">
      <c r="A469" s="406">
        <v>45520.0</v>
      </c>
      <c r="B469" s="417" t="s">
        <v>2820</v>
      </c>
      <c r="C469" s="417" t="s">
        <v>2821</v>
      </c>
      <c r="D469" s="417" t="s">
        <v>54</v>
      </c>
      <c r="E469" s="417" t="s">
        <v>2442</v>
      </c>
      <c r="F469" s="69">
        <v>31872.0</v>
      </c>
      <c r="G469" s="403"/>
      <c r="H469" s="349" t="s">
        <v>2889</v>
      </c>
      <c r="I469" s="404" t="str">
        <f t="shared" si="9"/>
        <v>NOT PAID</v>
      </c>
      <c r="J469" s="402"/>
      <c r="K469" s="402"/>
      <c r="L469" s="402"/>
      <c r="M469" s="402"/>
      <c r="N469" s="402"/>
      <c r="O469" s="402"/>
      <c r="P469" s="402"/>
      <c r="Q469" s="402"/>
      <c r="R469" s="402"/>
      <c r="S469" s="402"/>
      <c r="T469" s="402"/>
      <c r="U469" s="402"/>
      <c r="V469" s="402"/>
      <c r="W469" s="405"/>
      <c r="X469" s="405"/>
      <c r="Y469" s="405"/>
      <c r="Z469" s="405"/>
      <c r="AA469" s="405"/>
    </row>
    <row r="470" ht="14.25" customHeight="1">
      <c r="A470" s="406">
        <v>45520.0</v>
      </c>
      <c r="B470" s="417" t="s">
        <v>2455</v>
      </c>
      <c r="C470" s="417" t="s">
        <v>2456</v>
      </c>
      <c r="D470" s="417" t="s">
        <v>54</v>
      </c>
      <c r="E470" s="417" t="s">
        <v>2442</v>
      </c>
      <c r="F470" s="73">
        <v>20000.0</v>
      </c>
      <c r="G470" s="403"/>
      <c r="H470" s="349" t="s">
        <v>2890</v>
      </c>
      <c r="I470" s="404" t="str">
        <f t="shared" si="9"/>
        <v>NOT PAID</v>
      </c>
      <c r="J470" s="402"/>
      <c r="K470" s="402"/>
      <c r="L470" s="402"/>
      <c r="M470" s="402"/>
      <c r="N470" s="402"/>
      <c r="O470" s="402"/>
      <c r="P470" s="402"/>
      <c r="Q470" s="402"/>
      <c r="R470" s="402"/>
      <c r="S470" s="402"/>
      <c r="T470" s="402"/>
      <c r="U470" s="402"/>
      <c r="V470" s="402"/>
      <c r="W470" s="405"/>
      <c r="X470" s="405"/>
      <c r="Y470" s="405"/>
      <c r="Z470" s="405"/>
      <c r="AA470" s="405"/>
    </row>
    <row r="471" ht="14.25" customHeight="1">
      <c r="A471" s="406">
        <v>45520.0</v>
      </c>
      <c r="B471" s="419" t="s">
        <v>2569</v>
      </c>
      <c r="C471" s="419" t="s">
        <v>2849</v>
      </c>
      <c r="D471" s="417" t="s">
        <v>54</v>
      </c>
      <c r="E471" s="344" t="s">
        <v>2442</v>
      </c>
      <c r="F471" s="69">
        <v>16255.0</v>
      </c>
      <c r="G471" s="413">
        <v>8810.0</v>
      </c>
      <c r="H471" s="349" t="s">
        <v>710</v>
      </c>
      <c r="I471" s="404" t="str">
        <f t="shared" si="9"/>
        <v>PARTIALLY PAID</v>
      </c>
      <c r="J471" s="402"/>
      <c r="K471" s="402"/>
      <c r="L471" s="402"/>
      <c r="M471" s="402"/>
      <c r="N471" s="402"/>
      <c r="O471" s="402"/>
      <c r="P471" s="402"/>
      <c r="Q471" s="402"/>
      <c r="R471" s="402"/>
      <c r="S471" s="402"/>
      <c r="T471" s="402"/>
      <c r="U471" s="402"/>
      <c r="V471" s="402"/>
      <c r="W471" s="405"/>
      <c r="X471" s="405"/>
      <c r="Y471" s="405"/>
      <c r="Z471" s="405"/>
      <c r="AA471" s="405"/>
    </row>
    <row r="472" ht="14.25" customHeight="1">
      <c r="A472" s="406">
        <v>45520.0</v>
      </c>
      <c r="B472" s="419" t="s">
        <v>2547</v>
      </c>
      <c r="C472" s="417" t="s">
        <v>2607</v>
      </c>
      <c r="D472" s="417" t="s">
        <v>54</v>
      </c>
      <c r="E472" s="344" t="s">
        <v>2442</v>
      </c>
      <c r="F472" s="69">
        <v>25800.0</v>
      </c>
      <c r="G472" s="403"/>
      <c r="H472" s="349" t="s">
        <v>2891</v>
      </c>
      <c r="I472" s="404" t="str">
        <f t="shared" si="9"/>
        <v>NOT PAID</v>
      </c>
      <c r="J472" s="402"/>
      <c r="K472" s="402"/>
      <c r="L472" s="402"/>
      <c r="M472" s="402"/>
      <c r="N472" s="402"/>
      <c r="O472" s="402"/>
      <c r="P472" s="402"/>
      <c r="Q472" s="402"/>
      <c r="R472" s="402"/>
      <c r="S472" s="402"/>
      <c r="T472" s="402"/>
      <c r="U472" s="402"/>
      <c r="V472" s="402"/>
      <c r="W472" s="405"/>
      <c r="X472" s="405"/>
      <c r="Y472" s="405"/>
      <c r="Z472" s="405"/>
      <c r="AA472" s="405"/>
    </row>
    <row r="473" ht="14.25" customHeight="1">
      <c r="A473" s="406">
        <v>45520.0</v>
      </c>
      <c r="B473" s="417" t="s">
        <v>2847</v>
      </c>
      <c r="C473" s="417" t="s">
        <v>2848</v>
      </c>
      <c r="D473" s="417" t="s">
        <v>54</v>
      </c>
      <c r="E473" s="344" t="s">
        <v>2442</v>
      </c>
      <c r="F473" s="69">
        <v>16733.0</v>
      </c>
      <c r="G473" s="403"/>
      <c r="H473" s="349" t="s">
        <v>2892</v>
      </c>
      <c r="I473" s="404" t="str">
        <f t="shared" si="9"/>
        <v>NOT PAID</v>
      </c>
      <c r="J473" s="402"/>
      <c r="K473" s="402"/>
      <c r="L473" s="402"/>
      <c r="M473" s="402"/>
      <c r="N473" s="402"/>
      <c r="O473" s="402"/>
      <c r="P473" s="402"/>
      <c r="Q473" s="402"/>
      <c r="R473" s="402"/>
      <c r="S473" s="402"/>
      <c r="T473" s="402"/>
      <c r="U473" s="402"/>
      <c r="V473" s="402"/>
      <c r="W473" s="402"/>
      <c r="X473" s="402"/>
      <c r="Y473" s="402"/>
      <c r="Z473" s="402"/>
      <c r="AA473" s="405"/>
      <c r="AB473" s="405"/>
      <c r="AC473" s="405"/>
      <c r="AD473" s="405"/>
      <c r="AE473" s="405"/>
      <c r="AF473" s="405"/>
      <c r="AG473" s="405"/>
    </row>
    <row r="474" ht="14.25" customHeight="1">
      <c r="A474" s="406">
        <v>45520.0</v>
      </c>
      <c r="B474" s="349" t="s">
        <v>2490</v>
      </c>
      <c r="C474" s="349" t="s">
        <v>2893</v>
      </c>
      <c r="D474" s="417" t="s">
        <v>54</v>
      </c>
      <c r="E474" s="344" t="s">
        <v>2442</v>
      </c>
      <c r="F474" s="662">
        <v>47807.0</v>
      </c>
      <c r="G474" s="413">
        <v>14000.0</v>
      </c>
      <c r="H474" s="349" t="s">
        <v>2894</v>
      </c>
      <c r="I474" s="404" t="str">
        <f t="shared" si="9"/>
        <v>PARTIALLY PAID</v>
      </c>
      <c r="J474" s="402"/>
      <c r="K474" s="402"/>
      <c r="L474" s="402"/>
      <c r="M474" s="402"/>
      <c r="N474" s="402"/>
      <c r="O474" s="402"/>
      <c r="P474" s="402"/>
      <c r="Q474" s="402"/>
      <c r="R474" s="402"/>
      <c r="S474" s="402"/>
      <c r="T474" s="402"/>
      <c r="U474" s="402"/>
      <c r="V474" s="402"/>
      <c r="W474" s="402"/>
      <c r="X474" s="402"/>
      <c r="Y474" s="402"/>
      <c r="Z474" s="402"/>
      <c r="AA474" s="405"/>
      <c r="AB474" s="405"/>
      <c r="AC474" s="405"/>
      <c r="AD474" s="405"/>
      <c r="AE474" s="405"/>
      <c r="AF474" s="405"/>
      <c r="AG474" s="405"/>
    </row>
    <row r="475" ht="14.25" customHeight="1">
      <c r="A475" s="406">
        <v>45520.0</v>
      </c>
      <c r="B475" s="349" t="s">
        <v>2885</v>
      </c>
      <c r="C475" s="349" t="s">
        <v>2886</v>
      </c>
      <c r="D475" s="349" t="s">
        <v>2887</v>
      </c>
      <c r="E475" s="344" t="s">
        <v>2442</v>
      </c>
      <c r="F475" s="662">
        <v>2160000.0</v>
      </c>
      <c r="G475" s="693">
        <v>1373000.0</v>
      </c>
      <c r="H475" s="349" t="s">
        <v>2895</v>
      </c>
      <c r="I475" s="404" t="str">
        <f t="shared" si="9"/>
        <v>PARTIALLY PAID</v>
      </c>
      <c r="J475" s="402"/>
      <c r="K475" s="402"/>
      <c r="L475" s="402"/>
      <c r="M475" s="402"/>
      <c r="N475" s="402"/>
      <c r="O475" s="402"/>
      <c r="P475" s="402"/>
      <c r="Q475" s="402"/>
      <c r="R475" s="402"/>
      <c r="S475" s="402"/>
      <c r="T475" s="402"/>
      <c r="U475" s="402"/>
      <c r="V475" s="402"/>
      <c r="W475" s="402"/>
      <c r="X475" s="402"/>
      <c r="Y475" s="402"/>
      <c r="Z475" s="402"/>
      <c r="AA475" s="405"/>
      <c r="AB475" s="405"/>
      <c r="AC475" s="405"/>
      <c r="AD475" s="405"/>
      <c r="AE475" s="405"/>
      <c r="AF475" s="405"/>
      <c r="AG475" s="405"/>
    </row>
    <row r="476" ht="14.25" customHeight="1">
      <c r="A476" s="406">
        <v>45520.0</v>
      </c>
      <c r="B476" s="417" t="s">
        <v>2565</v>
      </c>
      <c r="C476" s="417" t="s">
        <v>2566</v>
      </c>
      <c r="D476" s="417" t="s">
        <v>54</v>
      </c>
      <c r="E476" s="417" t="s">
        <v>2442</v>
      </c>
      <c r="F476" s="69">
        <v>20000.0</v>
      </c>
      <c r="G476" s="403"/>
      <c r="H476" s="349" t="s">
        <v>2896</v>
      </c>
      <c r="I476" s="404" t="str">
        <f t="shared" si="9"/>
        <v>NOT PAID</v>
      </c>
      <c r="J476" s="402"/>
      <c r="K476" s="402"/>
      <c r="L476" s="402"/>
      <c r="M476" s="402"/>
      <c r="N476" s="402"/>
      <c r="O476" s="402"/>
      <c r="P476" s="402"/>
      <c r="Q476" s="402"/>
      <c r="R476" s="402"/>
      <c r="S476" s="402"/>
      <c r="T476" s="402"/>
      <c r="U476" s="402"/>
      <c r="V476" s="402"/>
      <c r="W476" s="402"/>
      <c r="X476" s="402"/>
      <c r="Y476" s="402"/>
      <c r="Z476" s="402"/>
      <c r="AA476" s="405"/>
      <c r="AB476" s="405"/>
      <c r="AC476" s="405"/>
      <c r="AD476" s="405"/>
      <c r="AE476" s="405"/>
      <c r="AF476" s="405"/>
      <c r="AG476" s="405"/>
    </row>
    <row r="477" ht="14.25" customHeight="1">
      <c r="A477" s="406">
        <v>45520.0</v>
      </c>
      <c r="B477" s="417" t="s">
        <v>2729</v>
      </c>
      <c r="C477" s="417" t="s">
        <v>2799</v>
      </c>
      <c r="D477" s="417" t="s">
        <v>54</v>
      </c>
      <c r="E477" s="417" t="s">
        <v>2442</v>
      </c>
      <c r="F477" s="69">
        <v>20402.67</v>
      </c>
      <c r="G477" s="403"/>
      <c r="H477" s="349" t="s">
        <v>2897</v>
      </c>
      <c r="I477" s="404" t="str">
        <f t="shared" si="9"/>
        <v>NOT PAID</v>
      </c>
      <c r="J477" s="402"/>
      <c r="K477" s="402"/>
      <c r="L477" s="402"/>
      <c r="M477" s="402"/>
      <c r="N477" s="402"/>
      <c r="O477" s="402"/>
      <c r="P477" s="402"/>
      <c r="Q477" s="402"/>
      <c r="R477" s="402"/>
      <c r="S477" s="402"/>
      <c r="T477" s="402"/>
      <c r="U477" s="402"/>
      <c r="V477" s="402"/>
      <c r="W477" s="402"/>
      <c r="X477" s="402"/>
      <c r="Y477" s="402"/>
      <c r="Z477" s="402"/>
      <c r="AA477" s="405"/>
      <c r="AB477" s="405"/>
      <c r="AC477" s="405"/>
      <c r="AD477" s="405"/>
      <c r="AE477" s="405"/>
      <c r="AF477" s="405"/>
      <c r="AG477" s="405"/>
    </row>
    <row r="478" ht="14.25" customHeight="1">
      <c r="A478" s="406">
        <v>45520.0</v>
      </c>
      <c r="B478" s="349" t="s">
        <v>2764</v>
      </c>
      <c r="C478" s="349" t="s">
        <v>2856</v>
      </c>
      <c r="D478" s="349" t="s">
        <v>54</v>
      </c>
      <c r="E478" s="349" t="s">
        <v>2832</v>
      </c>
      <c r="F478" s="559">
        <v>34851.0</v>
      </c>
      <c r="G478" s="403"/>
      <c r="H478" s="349" t="s">
        <v>2898</v>
      </c>
      <c r="I478" s="404" t="str">
        <f t="shared" si="9"/>
        <v>NOT PAID</v>
      </c>
      <c r="J478" s="402"/>
      <c r="K478" s="402"/>
      <c r="L478" s="402"/>
      <c r="M478" s="402"/>
      <c r="N478" s="402"/>
      <c r="O478" s="402"/>
      <c r="P478" s="402"/>
      <c r="Q478" s="402"/>
      <c r="R478" s="402"/>
      <c r="S478" s="402"/>
      <c r="T478" s="402"/>
      <c r="U478" s="402"/>
      <c r="V478" s="402"/>
      <c r="W478" s="402"/>
      <c r="X478" s="402"/>
      <c r="Y478" s="402"/>
      <c r="Z478" s="402"/>
      <c r="AA478" s="405"/>
      <c r="AB478" s="405"/>
      <c r="AC478" s="405"/>
      <c r="AD478" s="405"/>
      <c r="AE478" s="405"/>
      <c r="AF478" s="405"/>
      <c r="AG478" s="405"/>
    </row>
    <row r="479" ht="14.25" customHeight="1">
      <c r="A479" s="406">
        <v>45520.0</v>
      </c>
      <c r="B479" s="349" t="s">
        <v>2863</v>
      </c>
      <c r="C479" s="349" t="s">
        <v>2864</v>
      </c>
      <c r="D479" s="349" t="s">
        <v>54</v>
      </c>
      <c r="E479" s="349" t="s">
        <v>2832</v>
      </c>
      <c r="F479" s="559">
        <v>35833.0</v>
      </c>
      <c r="G479" s="403"/>
      <c r="H479" s="349" t="s">
        <v>2899</v>
      </c>
      <c r="I479" s="404" t="str">
        <f t="shared" si="9"/>
        <v>NOT PAID</v>
      </c>
      <c r="J479" s="402"/>
      <c r="K479" s="402"/>
      <c r="L479" s="402"/>
      <c r="M479" s="402"/>
      <c r="N479" s="402"/>
      <c r="O479" s="402"/>
      <c r="P479" s="402"/>
      <c r="Q479" s="402"/>
      <c r="R479" s="402"/>
      <c r="S479" s="402"/>
      <c r="T479" s="402"/>
      <c r="U479" s="402"/>
      <c r="V479" s="402"/>
      <c r="W479" s="402"/>
      <c r="X479" s="402"/>
      <c r="Y479" s="402"/>
      <c r="Z479" s="402"/>
      <c r="AA479" s="405"/>
      <c r="AB479" s="405"/>
      <c r="AC479" s="405"/>
      <c r="AD479" s="405"/>
      <c r="AE479" s="405"/>
      <c r="AF479" s="405"/>
      <c r="AG479" s="405"/>
    </row>
    <row r="480" ht="14.25" customHeight="1">
      <c r="A480" s="406">
        <v>45520.0</v>
      </c>
      <c r="B480" s="349" t="s">
        <v>2493</v>
      </c>
      <c r="C480" s="349" t="s">
        <v>2735</v>
      </c>
      <c r="D480" s="349" t="s">
        <v>54</v>
      </c>
      <c r="E480" s="349" t="s">
        <v>2832</v>
      </c>
      <c r="F480" s="662">
        <v>50000.0</v>
      </c>
      <c r="G480" s="403"/>
      <c r="H480" s="349" t="s">
        <v>2900</v>
      </c>
      <c r="I480" s="404" t="str">
        <f t="shared" si="9"/>
        <v>NOT PAID</v>
      </c>
      <c r="J480" s="402"/>
      <c r="K480" s="402"/>
      <c r="L480" s="402"/>
      <c r="M480" s="402"/>
      <c r="N480" s="402"/>
      <c r="O480" s="402"/>
      <c r="P480" s="402"/>
      <c r="Q480" s="402"/>
      <c r="R480" s="402"/>
      <c r="S480" s="402"/>
      <c r="T480" s="402"/>
      <c r="U480" s="402"/>
      <c r="V480" s="402"/>
      <c r="W480" s="402"/>
      <c r="X480" s="402"/>
      <c r="Y480" s="402"/>
      <c r="Z480" s="402"/>
      <c r="AA480" s="405"/>
      <c r="AB480" s="405"/>
      <c r="AC480" s="405"/>
      <c r="AD480" s="405"/>
      <c r="AE480" s="405"/>
      <c r="AF480" s="405"/>
      <c r="AG480" s="405"/>
    </row>
    <row r="481" ht="14.25" customHeight="1">
      <c r="A481" s="406">
        <v>45520.0</v>
      </c>
      <c r="B481" s="349" t="s">
        <v>2873</v>
      </c>
      <c r="C481" s="349" t="s">
        <v>2874</v>
      </c>
      <c r="D481" s="349" t="s">
        <v>54</v>
      </c>
      <c r="E481" s="349" t="s">
        <v>2832</v>
      </c>
      <c r="F481" s="694">
        <v>178304.0</v>
      </c>
      <c r="G481" s="403"/>
      <c r="H481" s="349" t="s">
        <v>2901</v>
      </c>
      <c r="I481" s="404" t="str">
        <f t="shared" si="9"/>
        <v>NOT PAID</v>
      </c>
      <c r="J481" s="402"/>
      <c r="K481" s="402"/>
      <c r="L481" s="402"/>
      <c r="M481" s="402"/>
      <c r="N481" s="402"/>
      <c r="O481" s="402"/>
      <c r="P481" s="402"/>
      <c r="Q481" s="402"/>
      <c r="R481" s="402"/>
      <c r="S481" s="402"/>
      <c r="T481" s="402"/>
      <c r="U481" s="402"/>
      <c r="V481" s="402"/>
      <c r="W481" s="402"/>
      <c r="X481" s="402"/>
      <c r="Y481" s="402"/>
      <c r="Z481" s="402"/>
      <c r="AA481" s="405"/>
      <c r="AB481" s="405"/>
      <c r="AC481" s="405"/>
      <c r="AD481" s="405"/>
      <c r="AE481" s="405"/>
      <c r="AF481" s="405"/>
      <c r="AG481" s="405"/>
    </row>
    <row r="482" ht="14.25" customHeight="1">
      <c r="A482" s="406">
        <v>45520.0</v>
      </c>
      <c r="B482" s="349" t="s">
        <v>2643</v>
      </c>
      <c r="C482" s="349" t="s">
        <v>2902</v>
      </c>
      <c r="D482" s="349" t="s">
        <v>54</v>
      </c>
      <c r="E482" s="349" t="s">
        <v>2832</v>
      </c>
      <c r="F482" s="662">
        <v>8032.0</v>
      </c>
      <c r="G482" s="403"/>
      <c r="H482" s="349" t="s">
        <v>2899</v>
      </c>
      <c r="I482" s="404" t="str">
        <f t="shared" si="9"/>
        <v>NOT PAID</v>
      </c>
      <c r="J482" s="402"/>
      <c r="K482" s="402"/>
      <c r="L482" s="402"/>
      <c r="M482" s="402"/>
      <c r="N482" s="402"/>
      <c r="O482" s="402"/>
      <c r="P482" s="402"/>
      <c r="Q482" s="402"/>
      <c r="R482" s="402"/>
      <c r="S482" s="402"/>
      <c r="T482" s="402"/>
      <c r="U482" s="402"/>
      <c r="V482" s="402"/>
      <c r="W482" s="402"/>
      <c r="X482" s="402"/>
      <c r="Y482" s="402"/>
      <c r="Z482" s="402"/>
      <c r="AA482" s="405"/>
      <c r="AB482" s="405"/>
      <c r="AC482" s="405"/>
      <c r="AD482" s="405"/>
      <c r="AE482" s="405"/>
      <c r="AF482" s="405"/>
      <c r="AG482" s="405"/>
    </row>
    <row r="483" ht="14.25" customHeight="1">
      <c r="A483" s="406">
        <v>45520.0</v>
      </c>
      <c r="B483" s="349" t="s">
        <v>2677</v>
      </c>
      <c r="C483" s="349" t="s">
        <v>2753</v>
      </c>
      <c r="D483" s="349" t="s">
        <v>54</v>
      </c>
      <c r="E483" s="349" t="s">
        <v>2832</v>
      </c>
      <c r="F483" s="662">
        <v>25391.0</v>
      </c>
      <c r="G483" s="403"/>
      <c r="H483" s="349" t="s">
        <v>2903</v>
      </c>
      <c r="I483" s="404" t="str">
        <f t="shared" si="9"/>
        <v>NOT PAID</v>
      </c>
      <c r="J483" s="402"/>
      <c r="K483" s="402"/>
      <c r="L483" s="402"/>
      <c r="M483" s="402"/>
      <c r="N483" s="402"/>
      <c r="O483" s="402"/>
      <c r="P483" s="402"/>
      <c r="Q483" s="402"/>
      <c r="R483" s="402"/>
      <c r="S483" s="402"/>
      <c r="T483" s="402"/>
      <c r="U483" s="402"/>
      <c r="V483" s="402"/>
      <c r="W483" s="402"/>
      <c r="X483" s="402"/>
      <c r="Y483" s="402"/>
      <c r="Z483" s="402"/>
      <c r="AA483" s="405"/>
      <c r="AB483" s="405"/>
      <c r="AC483" s="405"/>
      <c r="AD483" s="405"/>
      <c r="AE483" s="405"/>
      <c r="AF483" s="405"/>
      <c r="AG483" s="405"/>
    </row>
    <row r="484" ht="14.25" customHeight="1">
      <c r="B484" s="402"/>
      <c r="C484" s="402"/>
      <c r="D484" s="402"/>
      <c r="E484" s="402"/>
      <c r="F484" s="664"/>
      <c r="G484" s="403"/>
      <c r="H484" s="402"/>
      <c r="I484" s="404" t="str">
        <f t="shared" si="9"/>
        <v>FULLY PAID</v>
      </c>
      <c r="J484" s="402"/>
      <c r="K484" s="402"/>
      <c r="L484" s="402"/>
      <c r="M484" s="402"/>
      <c r="N484" s="402"/>
      <c r="O484" s="402"/>
      <c r="P484" s="402"/>
      <c r="Q484" s="402"/>
      <c r="R484" s="402"/>
      <c r="S484" s="402"/>
      <c r="T484" s="402"/>
      <c r="U484" s="402"/>
      <c r="V484" s="402"/>
      <c r="W484" s="402"/>
      <c r="X484" s="402"/>
      <c r="Y484" s="402"/>
      <c r="Z484" s="402"/>
      <c r="AA484" s="405"/>
      <c r="AB484" s="405"/>
      <c r="AC484" s="405"/>
      <c r="AD484" s="405"/>
      <c r="AE484" s="405"/>
      <c r="AF484" s="405"/>
      <c r="AG484" s="405"/>
    </row>
    <row r="485" ht="14.25" customHeight="1">
      <c r="A485" s="402"/>
      <c r="B485" s="402"/>
      <c r="C485" s="402"/>
      <c r="D485" s="402"/>
      <c r="E485" s="402"/>
      <c r="F485" s="664"/>
      <c r="G485" s="403"/>
      <c r="H485" s="402"/>
      <c r="I485" s="404" t="str">
        <f t="shared" si="9"/>
        <v>FULLY PAID</v>
      </c>
      <c r="J485" s="402"/>
      <c r="K485" s="402"/>
      <c r="L485" s="402"/>
      <c r="M485" s="402"/>
      <c r="N485" s="402"/>
      <c r="O485" s="402"/>
      <c r="P485" s="402"/>
      <c r="Q485" s="402"/>
      <c r="R485" s="402"/>
      <c r="S485" s="402"/>
      <c r="T485" s="402"/>
      <c r="U485" s="402"/>
      <c r="V485" s="402"/>
      <c r="W485" s="402"/>
      <c r="X485" s="402"/>
      <c r="Y485" s="402"/>
      <c r="Z485" s="402"/>
      <c r="AA485" s="405"/>
      <c r="AB485" s="405"/>
      <c r="AC485" s="405"/>
      <c r="AD485" s="405"/>
      <c r="AE485" s="405"/>
      <c r="AF485" s="405"/>
      <c r="AG485" s="405"/>
    </row>
    <row r="486" ht="14.25" customHeight="1">
      <c r="A486" s="402"/>
      <c r="B486" s="402"/>
      <c r="C486" s="402"/>
      <c r="D486" s="402"/>
      <c r="E486" s="402"/>
      <c r="F486" s="664"/>
      <c r="G486" s="403"/>
      <c r="H486" s="402"/>
      <c r="I486" s="404" t="str">
        <f t="shared" si="9"/>
        <v>FULLY PAID</v>
      </c>
      <c r="J486" s="402"/>
      <c r="K486" s="402"/>
      <c r="L486" s="402"/>
      <c r="M486" s="402"/>
      <c r="N486" s="402"/>
      <c r="O486" s="402"/>
      <c r="P486" s="402"/>
      <c r="Q486" s="402"/>
      <c r="R486" s="402"/>
      <c r="S486" s="402"/>
      <c r="T486" s="402"/>
      <c r="U486" s="402"/>
      <c r="V486" s="402"/>
      <c r="W486" s="402"/>
      <c r="X486" s="402"/>
      <c r="Y486" s="402"/>
      <c r="Z486" s="402"/>
      <c r="AA486" s="405"/>
      <c r="AB486" s="405"/>
      <c r="AC486" s="405"/>
      <c r="AD486" s="405"/>
      <c r="AE486" s="405"/>
      <c r="AF486" s="405"/>
      <c r="AG486" s="405"/>
    </row>
    <row r="487" ht="14.25" customHeight="1">
      <c r="A487" s="584" t="s">
        <v>2130</v>
      </c>
      <c r="B487" s="584" t="s">
        <v>39</v>
      </c>
      <c r="C487" s="584" t="s">
        <v>48</v>
      </c>
      <c r="D487" s="584" t="s">
        <v>49</v>
      </c>
      <c r="E487" s="584" t="s">
        <v>50</v>
      </c>
      <c r="F487" s="658" t="s">
        <v>2</v>
      </c>
      <c r="G487" s="586" t="s">
        <v>44</v>
      </c>
      <c r="H487" s="584" t="s">
        <v>45</v>
      </c>
      <c r="I487" s="404" t="str">
        <f t="shared" si="9"/>
        <v>FULLY PAID</v>
      </c>
      <c r="J487" s="402"/>
      <c r="K487" s="402"/>
      <c r="L487" s="402"/>
      <c r="M487" s="402"/>
      <c r="N487" s="402"/>
      <c r="O487" s="402"/>
      <c r="P487" s="402"/>
      <c r="Q487" s="402"/>
      <c r="R487" s="402"/>
      <c r="S487" s="402"/>
      <c r="T487" s="402"/>
      <c r="U487" s="402"/>
      <c r="V487" s="402"/>
      <c r="W487" s="402"/>
      <c r="X487" s="402"/>
      <c r="Y487" s="402"/>
      <c r="Z487" s="402"/>
      <c r="AA487" s="405"/>
      <c r="AB487" s="405"/>
      <c r="AC487" s="405"/>
      <c r="AD487" s="405"/>
      <c r="AE487" s="405"/>
      <c r="AF487" s="405"/>
      <c r="AG487" s="405"/>
    </row>
    <row r="488" ht="14.25" customHeight="1">
      <c r="A488" s="406">
        <v>45521.0</v>
      </c>
      <c r="B488" s="417" t="s">
        <v>2820</v>
      </c>
      <c r="C488" s="417" t="s">
        <v>2821</v>
      </c>
      <c r="D488" s="417" t="s">
        <v>54</v>
      </c>
      <c r="E488" s="417" t="s">
        <v>2442</v>
      </c>
      <c r="F488" s="69">
        <v>31872.0</v>
      </c>
      <c r="G488" s="403"/>
      <c r="H488" s="349" t="s">
        <v>2889</v>
      </c>
      <c r="I488" s="404" t="str">
        <f t="shared" si="9"/>
        <v>NOT PAID</v>
      </c>
      <c r="J488" s="402"/>
      <c r="K488" s="402"/>
      <c r="L488" s="402"/>
      <c r="M488" s="402"/>
      <c r="N488" s="402"/>
      <c r="O488" s="402"/>
      <c r="P488" s="402"/>
      <c r="Q488" s="402"/>
      <c r="R488" s="402"/>
      <c r="S488" s="402"/>
      <c r="T488" s="402"/>
      <c r="U488" s="402"/>
      <c r="V488" s="402"/>
      <c r="W488" s="402"/>
      <c r="X488" s="402"/>
      <c r="Y488" s="402"/>
      <c r="Z488" s="402"/>
      <c r="AA488" s="405"/>
      <c r="AB488" s="405"/>
      <c r="AC488" s="405"/>
      <c r="AD488" s="405"/>
      <c r="AE488" s="405"/>
      <c r="AF488" s="405"/>
      <c r="AG488" s="405"/>
    </row>
    <row r="489" ht="14.25" customHeight="1">
      <c r="A489" s="406">
        <v>45521.0</v>
      </c>
      <c r="B489" s="417" t="s">
        <v>2455</v>
      </c>
      <c r="C489" s="417" t="s">
        <v>2456</v>
      </c>
      <c r="D489" s="417" t="s">
        <v>54</v>
      </c>
      <c r="E489" s="417" t="s">
        <v>2442</v>
      </c>
      <c r="F489" s="69">
        <v>20000.0</v>
      </c>
      <c r="G489" s="403"/>
      <c r="H489" s="349" t="s">
        <v>2904</v>
      </c>
      <c r="I489" s="404" t="str">
        <f t="shared" si="9"/>
        <v>NOT PAID</v>
      </c>
      <c r="J489" s="402"/>
      <c r="K489" s="402"/>
      <c r="L489" s="402"/>
      <c r="M489" s="402"/>
      <c r="N489" s="402"/>
      <c r="O489" s="402"/>
      <c r="P489" s="402"/>
      <c r="Q489" s="402"/>
      <c r="R489" s="402"/>
      <c r="S489" s="402"/>
      <c r="T489" s="402"/>
      <c r="U489" s="402"/>
      <c r="V489" s="402"/>
      <c r="W489" s="402"/>
      <c r="X489" s="402"/>
      <c r="Y489" s="402"/>
      <c r="Z489" s="402"/>
      <c r="AA489" s="405"/>
      <c r="AB489" s="405"/>
      <c r="AC489" s="405"/>
      <c r="AD489" s="405"/>
      <c r="AE489" s="405"/>
      <c r="AF489" s="405"/>
      <c r="AG489" s="405"/>
    </row>
    <row r="490" ht="14.25" customHeight="1">
      <c r="A490" s="406">
        <v>45521.0</v>
      </c>
      <c r="B490" s="417" t="s">
        <v>2547</v>
      </c>
      <c r="C490" s="417" t="s">
        <v>2607</v>
      </c>
      <c r="D490" s="417" t="s">
        <v>54</v>
      </c>
      <c r="E490" s="344" t="s">
        <v>2442</v>
      </c>
      <c r="F490" s="69">
        <v>25800.0</v>
      </c>
      <c r="G490" s="403"/>
      <c r="H490" s="349" t="s">
        <v>2682</v>
      </c>
      <c r="I490" s="404" t="str">
        <f t="shared" si="9"/>
        <v>NOT PAID</v>
      </c>
      <c r="J490" s="402"/>
      <c r="K490" s="402"/>
      <c r="L490" s="402"/>
      <c r="M490" s="402"/>
      <c r="N490" s="402"/>
      <c r="O490" s="402"/>
      <c r="P490" s="402"/>
      <c r="Q490" s="402"/>
      <c r="R490" s="402"/>
      <c r="S490" s="402"/>
      <c r="T490" s="402"/>
      <c r="U490" s="402"/>
      <c r="V490" s="402"/>
      <c r="W490" s="402"/>
      <c r="X490" s="402"/>
      <c r="Y490" s="402"/>
      <c r="Z490" s="402"/>
      <c r="AA490" s="405"/>
      <c r="AB490" s="405"/>
      <c r="AC490" s="405"/>
      <c r="AD490" s="405"/>
      <c r="AE490" s="405"/>
      <c r="AF490" s="405"/>
      <c r="AG490" s="405"/>
    </row>
    <row r="491" ht="14.25" customHeight="1">
      <c r="A491" s="406">
        <v>45521.0</v>
      </c>
      <c r="B491" s="417" t="s">
        <v>2847</v>
      </c>
      <c r="C491" s="417" t="s">
        <v>2848</v>
      </c>
      <c r="D491" s="417" t="s">
        <v>54</v>
      </c>
      <c r="E491" s="344" t="s">
        <v>2442</v>
      </c>
      <c r="F491" s="69">
        <v>16733.0</v>
      </c>
      <c r="G491" s="403"/>
      <c r="H491" s="349" t="s">
        <v>2892</v>
      </c>
      <c r="I491" s="404" t="str">
        <f t="shared" si="9"/>
        <v>NOT PAID</v>
      </c>
      <c r="J491" s="402"/>
      <c r="K491" s="402"/>
      <c r="L491" s="402"/>
      <c r="M491" s="402"/>
      <c r="N491" s="402"/>
      <c r="O491" s="402"/>
      <c r="P491" s="402"/>
      <c r="Q491" s="402"/>
      <c r="R491" s="402"/>
      <c r="S491" s="402"/>
      <c r="T491" s="402"/>
      <c r="U491" s="402"/>
      <c r="V491" s="402"/>
      <c r="W491" s="402"/>
      <c r="X491" s="402"/>
      <c r="Y491" s="402"/>
      <c r="Z491" s="402"/>
      <c r="AA491" s="405"/>
      <c r="AB491" s="405"/>
      <c r="AC491" s="405"/>
      <c r="AD491" s="405"/>
      <c r="AE491" s="405"/>
      <c r="AF491" s="405"/>
      <c r="AG491" s="405"/>
    </row>
    <row r="492" ht="14.25" customHeight="1">
      <c r="A492" s="406">
        <v>45521.0</v>
      </c>
      <c r="B492" s="417" t="s">
        <v>2565</v>
      </c>
      <c r="C492" s="417" t="s">
        <v>2566</v>
      </c>
      <c r="D492" s="417" t="s">
        <v>54</v>
      </c>
      <c r="E492" s="417" t="s">
        <v>2442</v>
      </c>
      <c r="F492" s="30">
        <v>160617.0</v>
      </c>
      <c r="G492" s="403"/>
      <c r="H492" s="349" t="s">
        <v>2905</v>
      </c>
      <c r="I492" s="404" t="str">
        <f t="shared" si="9"/>
        <v>NOT PAID</v>
      </c>
      <c r="J492" s="402"/>
      <c r="K492" s="402"/>
      <c r="L492" s="402"/>
      <c r="M492" s="402"/>
      <c r="N492" s="402"/>
      <c r="O492" s="402"/>
      <c r="P492" s="402"/>
      <c r="Q492" s="402"/>
      <c r="R492" s="402"/>
      <c r="S492" s="402"/>
      <c r="T492" s="402"/>
      <c r="U492" s="402"/>
      <c r="V492" s="402"/>
      <c r="W492" s="402"/>
      <c r="X492" s="402"/>
      <c r="Y492" s="402"/>
      <c r="Z492" s="402"/>
      <c r="AA492" s="405"/>
      <c r="AB492" s="405"/>
      <c r="AC492" s="405"/>
      <c r="AD492" s="405"/>
      <c r="AE492" s="405"/>
      <c r="AF492" s="405"/>
      <c r="AG492" s="405"/>
    </row>
    <row r="493" ht="14.25" customHeight="1">
      <c r="A493" s="406">
        <v>45521.0</v>
      </c>
      <c r="B493" s="417" t="s">
        <v>2729</v>
      </c>
      <c r="C493" s="417" t="s">
        <v>2799</v>
      </c>
      <c r="D493" s="417" t="s">
        <v>54</v>
      </c>
      <c r="E493" s="417" t="s">
        <v>2442</v>
      </c>
      <c r="F493" s="69">
        <v>20402.67</v>
      </c>
      <c r="G493" s="403"/>
      <c r="H493" s="349" t="s">
        <v>2682</v>
      </c>
      <c r="I493" s="404" t="str">
        <f t="shared" si="9"/>
        <v>NOT PAID</v>
      </c>
      <c r="J493" s="402"/>
      <c r="K493" s="402"/>
      <c r="L493" s="402"/>
      <c r="M493" s="402"/>
      <c r="N493" s="402"/>
      <c r="O493" s="402"/>
      <c r="P493" s="402"/>
      <c r="Q493" s="402"/>
      <c r="R493" s="402"/>
      <c r="S493" s="402"/>
      <c r="T493" s="402"/>
      <c r="U493" s="402"/>
      <c r="V493" s="402"/>
      <c r="W493" s="402"/>
      <c r="X493" s="402"/>
      <c r="Y493" s="402"/>
      <c r="Z493" s="402"/>
      <c r="AA493" s="405"/>
      <c r="AB493" s="405"/>
      <c r="AC493" s="405"/>
      <c r="AD493" s="405"/>
      <c r="AE493" s="405"/>
      <c r="AF493" s="405"/>
      <c r="AG493" s="405"/>
    </row>
    <row r="494" ht="14.25" customHeight="1">
      <c r="A494" s="406">
        <v>45521.0</v>
      </c>
      <c r="B494" s="349" t="s">
        <v>2885</v>
      </c>
      <c r="C494" s="349" t="s">
        <v>2886</v>
      </c>
      <c r="D494" s="349" t="s">
        <v>2887</v>
      </c>
      <c r="E494" s="344" t="s">
        <v>2442</v>
      </c>
      <c r="F494" s="662">
        <v>500000.0</v>
      </c>
      <c r="G494" s="403"/>
      <c r="H494" s="349" t="s">
        <v>2682</v>
      </c>
      <c r="I494" s="404" t="str">
        <f t="shared" si="9"/>
        <v>NOT PAID</v>
      </c>
      <c r="J494" s="402"/>
      <c r="K494" s="402"/>
      <c r="L494" s="402"/>
      <c r="M494" s="402"/>
      <c r="N494" s="402"/>
      <c r="O494" s="402"/>
      <c r="P494" s="402"/>
      <c r="Q494" s="402"/>
      <c r="R494" s="402"/>
      <c r="S494" s="402"/>
      <c r="T494" s="402"/>
      <c r="U494" s="402"/>
      <c r="V494" s="402"/>
      <c r="W494" s="402"/>
      <c r="X494" s="402"/>
      <c r="Y494" s="402"/>
      <c r="Z494" s="402"/>
      <c r="AA494" s="405"/>
      <c r="AB494" s="405"/>
      <c r="AC494" s="405"/>
      <c r="AD494" s="405"/>
      <c r="AE494" s="405"/>
      <c r="AF494" s="405"/>
      <c r="AG494" s="405"/>
    </row>
    <row r="495" ht="14.25" customHeight="1">
      <c r="A495" s="406">
        <v>45521.0</v>
      </c>
      <c r="B495" s="349" t="s">
        <v>2873</v>
      </c>
      <c r="C495" s="349" t="s">
        <v>2874</v>
      </c>
      <c r="D495" s="349" t="s">
        <v>54</v>
      </c>
      <c r="E495" s="349" t="s">
        <v>2832</v>
      </c>
      <c r="F495" s="662">
        <v>100000.0</v>
      </c>
      <c r="G495" s="403"/>
      <c r="H495" s="349" t="s">
        <v>2906</v>
      </c>
      <c r="I495" s="404" t="str">
        <f t="shared" si="9"/>
        <v>NOT PAID</v>
      </c>
      <c r="J495" s="402"/>
      <c r="K495" s="402"/>
      <c r="L495" s="402"/>
      <c r="M495" s="402"/>
      <c r="N495" s="402"/>
      <c r="O495" s="402"/>
      <c r="P495" s="402"/>
      <c r="Q495" s="402"/>
      <c r="R495" s="402"/>
      <c r="S495" s="402"/>
      <c r="T495" s="402"/>
      <c r="U495" s="402"/>
      <c r="V495" s="402"/>
      <c r="W495" s="402"/>
      <c r="X495" s="402"/>
      <c r="Y495" s="402"/>
      <c r="Z495" s="402"/>
      <c r="AA495" s="405"/>
      <c r="AB495" s="405"/>
      <c r="AC495" s="405"/>
      <c r="AD495" s="405"/>
      <c r="AE495" s="405"/>
      <c r="AF495" s="405"/>
      <c r="AG495" s="405"/>
    </row>
    <row r="496" ht="14.25" customHeight="1">
      <c r="A496" s="406">
        <v>45521.0</v>
      </c>
      <c r="B496" s="349" t="s">
        <v>2643</v>
      </c>
      <c r="C496" s="349" t="s">
        <v>2902</v>
      </c>
      <c r="D496" s="349" t="s">
        <v>54</v>
      </c>
      <c r="E496" s="349" t="s">
        <v>2832</v>
      </c>
      <c r="F496" s="662">
        <v>4032.0</v>
      </c>
      <c r="G496" s="403"/>
      <c r="H496" s="349" t="s">
        <v>2907</v>
      </c>
      <c r="I496" s="404" t="str">
        <f t="shared" si="9"/>
        <v>NOT PAID</v>
      </c>
      <c r="J496" s="402"/>
      <c r="K496" s="402"/>
      <c r="L496" s="402"/>
      <c r="M496" s="402"/>
      <c r="N496" s="402"/>
      <c r="O496" s="402"/>
      <c r="P496" s="402"/>
      <c r="Q496" s="402"/>
      <c r="R496" s="402"/>
      <c r="S496" s="402"/>
      <c r="T496" s="402"/>
      <c r="U496" s="402"/>
      <c r="V496" s="402"/>
      <c r="W496" s="402"/>
      <c r="X496" s="402"/>
      <c r="Y496" s="402"/>
      <c r="Z496" s="402"/>
      <c r="AA496" s="405"/>
      <c r="AB496" s="405"/>
      <c r="AC496" s="405"/>
      <c r="AD496" s="405"/>
      <c r="AE496" s="405"/>
      <c r="AF496" s="405"/>
      <c r="AG496" s="405"/>
    </row>
    <row r="497" ht="14.25" customHeight="1">
      <c r="A497" s="406">
        <v>45521.0</v>
      </c>
      <c r="B497" s="349" t="s">
        <v>2863</v>
      </c>
      <c r="C497" s="349" t="s">
        <v>2864</v>
      </c>
      <c r="D497" s="349" t="s">
        <v>54</v>
      </c>
      <c r="E497" s="349" t="s">
        <v>2832</v>
      </c>
      <c r="F497" s="559">
        <v>35833.0</v>
      </c>
      <c r="G497" s="403"/>
      <c r="H497" s="349" t="s">
        <v>2908</v>
      </c>
      <c r="I497" s="404" t="str">
        <f t="shared" si="9"/>
        <v>NOT PAID</v>
      </c>
      <c r="J497" s="402"/>
      <c r="K497" s="402"/>
      <c r="L497" s="402"/>
      <c r="M497" s="402"/>
      <c r="N497" s="402"/>
      <c r="O497" s="402"/>
      <c r="P497" s="402"/>
      <c r="Q497" s="402"/>
      <c r="R497" s="402"/>
      <c r="S497" s="402"/>
      <c r="T497" s="402"/>
      <c r="U497" s="402"/>
      <c r="V497" s="402"/>
      <c r="W497" s="402"/>
      <c r="X497" s="402"/>
      <c r="Y497" s="402"/>
      <c r="Z497" s="402"/>
      <c r="AA497" s="405"/>
      <c r="AB497" s="405"/>
      <c r="AC497" s="405"/>
      <c r="AD497" s="405"/>
      <c r="AE497" s="405"/>
      <c r="AF497" s="405"/>
      <c r="AG497" s="405"/>
    </row>
    <row r="498" ht="14.25" customHeight="1">
      <c r="A498" s="406">
        <v>45521.0</v>
      </c>
      <c r="B498" s="349" t="s">
        <v>2774</v>
      </c>
      <c r="C498" s="349" t="s">
        <v>2909</v>
      </c>
      <c r="D498" s="349" t="s">
        <v>59</v>
      </c>
      <c r="E498" s="349" t="s">
        <v>2832</v>
      </c>
      <c r="F498" s="662">
        <v>50000.0</v>
      </c>
      <c r="G498" s="413">
        <v>50000.0</v>
      </c>
      <c r="H498" s="349" t="s">
        <v>2910</v>
      </c>
      <c r="I498" s="404" t="str">
        <f t="shared" si="9"/>
        <v>FULLY PAID</v>
      </c>
      <c r="J498" s="402"/>
      <c r="K498" s="402"/>
      <c r="L498" s="402"/>
      <c r="M498" s="402"/>
      <c r="N498" s="402"/>
      <c r="O498" s="402"/>
      <c r="P498" s="402"/>
      <c r="Q498" s="402"/>
      <c r="R498" s="402"/>
      <c r="S498" s="402"/>
      <c r="T498" s="402"/>
      <c r="U498" s="402"/>
      <c r="V498" s="402"/>
      <c r="W498" s="402"/>
      <c r="X498" s="402"/>
      <c r="Y498" s="402"/>
      <c r="Z498" s="402"/>
      <c r="AA498" s="405"/>
      <c r="AB498" s="405"/>
      <c r="AC498" s="405"/>
      <c r="AD498" s="405"/>
      <c r="AE498" s="405"/>
      <c r="AF498" s="405"/>
      <c r="AG498" s="405"/>
    </row>
    <row r="499" ht="14.25" customHeight="1">
      <c r="B499" s="402"/>
      <c r="C499" s="402"/>
      <c r="D499" s="402"/>
      <c r="E499" s="402"/>
      <c r="F499" s="664"/>
      <c r="G499" s="403"/>
      <c r="H499" s="402"/>
      <c r="I499" s="404" t="str">
        <f t="shared" si="9"/>
        <v>FULLY PAID</v>
      </c>
      <c r="J499" s="402"/>
      <c r="K499" s="402"/>
      <c r="L499" s="402"/>
      <c r="M499" s="402"/>
      <c r="N499" s="402"/>
      <c r="O499" s="402"/>
      <c r="P499" s="402"/>
      <c r="Q499" s="402"/>
      <c r="R499" s="402"/>
      <c r="S499" s="402"/>
      <c r="T499" s="402"/>
      <c r="U499" s="402"/>
      <c r="V499" s="402"/>
      <c r="W499" s="402"/>
      <c r="X499" s="402"/>
      <c r="Y499" s="402"/>
      <c r="Z499" s="402"/>
      <c r="AA499" s="405"/>
      <c r="AB499" s="405"/>
      <c r="AC499" s="405"/>
      <c r="AD499" s="405"/>
      <c r="AE499" s="405"/>
      <c r="AF499" s="405"/>
      <c r="AG499" s="405"/>
    </row>
    <row r="500" ht="14.25" customHeight="1">
      <c r="A500" s="402"/>
      <c r="B500" s="402"/>
      <c r="C500" s="402"/>
      <c r="D500" s="402"/>
      <c r="E500" s="402"/>
      <c r="F500" s="664"/>
      <c r="G500" s="403"/>
      <c r="H500" s="402"/>
      <c r="I500" s="404" t="str">
        <f t="shared" si="9"/>
        <v>FULLY PAID</v>
      </c>
      <c r="J500" s="402"/>
      <c r="K500" s="402"/>
      <c r="L500" s="402"/>
      <c r="M500" s="402"/>
      <c r="N500" s="402"/>
      <c r="O500" s="402"/>
      <c r="P500" s="402"/>
      <c r="Q500" s="402"/>
      <c r="R500" s="402"/>
      <c r="S500" s="402"/>
      <c r="T500" s="402"/>
      <c r="U500" s="402"/>
      <c r="V500" s="402"/>
      <c r="W500" s="402"/>
      <c r="X500" s="402"/>
      <c r="Y500" s="402"/>
      <c r="Z500" s="402"/>
      <c r="AA500" s="405"/>
      <c r="AB500" s="405"/>
      <c r="AC500" s="405"/>
      <c r="AD500" s="405"/>
      <c r="AE500" s="405"/>
      <c r="AF500" s="405"/>
      <c r="AG500" s="405"/>
    </row>
    <row r="501" ht="14.25" customHeight="1">
      <c r="A501" s="402"/>
      <c r="B501" s="402"/>
      <c r="C501" s="402"/>
      <c r="D501" s="402"/>
      <c r="E501" s="402"/>
      <c r="F501" s="664"/>
      <c r="G501" s="403"/>
      <c r="H501" s="402"/>
      <c r="I501" s="404" t="str">
        <f t="shared" si="9"/>
        <v>FULLY PAID</v>
      </c>
      <c r="J501" s="402"/>
      <c r="K501" s="402"/>
      <c r="L501" s="402"/>
      <c r="M501" s="402"/>
      <c r="N501" s="402"/>
      <c r="O501" s="402"/>
      <c r="P501" s="402"/>
      <c r="Q501" s="402"/>
      <c r="R501" s="402"/>
      <c r="S501" s="402"/>
      <c r="T501" s="402"/>
      <c r="U501" s="402"/>
      <c r="V501" s="402"/>
      <c r="W501" s="402"/>
      <c r="X501" s="402"/>
      <c r="Y501" s="402"/>
      <c r="Z501" s="402"/>
      <c r="AA501" s="405"/>
      <c r="AB501" s="405"/>
      <c r="AC501" s="405"/>
      <c r="AD501" s="405"/>
      <c r="AE501" s="405"/>
      <c r="AF501" s="405"/>
      <c r="AG501" s="405"/>
    </row>
    <row r="502" ht="14.25" customHeight="1">
      <c r="A502" s="584" t="s">
        <v>2130</v>
      </c>
      <c r="B502" s="584" t="s">
        <v>39</v>
      </c>
      <c r="C502" s="584" t="s">
        <v>48</v>
      </c>
      <c r="D502" s="584" t="s">
        <v>49</v>
      </c>
      <c r="E502" s="584" t="s">
        <v>50</v>
      </c>
      <c r="F502" s="658" t="s">
        <v>2</v>
      </c>
      <c r="G502" s="586" t="s">
        <v>44</v>
      </c>
      <c r="H502" s="584" t="s">
        <v>45</v>
      </c>
      <c r="I502" s="404" t="str">
        <f t="shared" si="9"/>
        <v>FULLY PAID</v>
      </c>
      <c r="J502" s="584"/>
      <c r="K502" s="584"/>
      <c r="L502" s="584"/>
      <c r="M502" s="584"/>
      <c r="N502" s="584"/>
      <c r="O502" s="584"/>
      <c r="P502" s="584"/>
      <c r="Q502" s="584"/>
      <c r="R502" s="584"/>
      <c r="S502" s="584"/>
      <c r="T502" s="584"/>
      <c r="U502" s="584"/>
      <c r="V502" s="584"/>
      <c r="W502" s="584"/>
      <c r="X502" s="584"/>
      <c r="Y502" s="584"/>
      <c r="Z502" s="584"/>
      <c r="AA502" s="659"/>
      <c r="AB502" s="659"/>
      <c r="AC502" s="659"/>
      <c r="AD502" s="659"/>
      <c r="AE502" s="659"/>
      <c r="AF502" s="659"/>
      <c r="AG502" s="659"/>
    </row>
    <row r="503" ht="14.25" customHeight="1">
      <c r="A503" s="406">
        <v>45523.0</v>
      </c>
      <c r="B503" s="349" t="s">
        <v>2911</v>
      </c>
      <c r="C503" s="349" t="s">
        <v>2912</v>
      </c>
      <c r="D503" s="349" t="s">
        <v>54</v>
      </c>
      <c r="E503" s="344" t="s">
        <v>2442</v>
      </c>
      <c r="F503" s="413">
        <v>29880.0</v>
      </c>
      <c r="G503" s="403"/>
      <c r="H503" s="349" t="s">
        <v>2913</v>
      </c>
      <c r="I503" s="404" t="str">
        <f t="shared" si="9"/>
        <v>NOT PAID</v>
      </c>
      <c r="J503" s="402"/>
      <c r="K503" s="402"/>
      <c r="L503" s="402"/>
      <c r="M503" s="402"/>
      <c r="N503" s="402"/>
      <c r="O503" s="402"/>
      <c r="P503" s="402"/>
      <c r="Q503" s="402"/>
      <c r="R503" s="402"/>
      <c r="S503" s="402"/>
      <c r="T503" s="402"/>
      <c r="U503" s="402"/>
      <c r="V503" s="402"/>
      <c r="W503" s="402"/>
      <c r="X503" s="402"/>
      <c r="Y503" s="402"/>
      <c r="Z503" s="402"/>
      <c r="AA503" s="405"/>
      <c r="AB503" s="405"/>
      <c r="AC503" s="405"/>
      <c r="AD503" s="405"/>
      <c r="AE503" s="405"/>
      <c r="AF503" s="405"/>
      <c r="AG503" s="405"/>
    </row>
    <row r="504" ht="14.25" customHeight="1">
      <c r="A504" s="406">
        <v>45523.0</v>
      </c>
      <c r="B504" s="349" t="s">
        <v>2914</v>
      </c>
      <c r="C504" s="349" t="s">
        <v>2544</v>
      </c>
      <c r="D504" s="349" t="s">
        <v>75</v>
      </c>
      <c r="E504" s="344" t="s">
        <v>2442</v>
      </c>
      <c r="F504" s="413">
        <v>69000.0</v>
      </c>
      <c r="G504" s="403"/>
      <c r="H504" s="349" t="s">
        <v>2913</v>
      </c>
      <c r="I504" s="404" t="str">
        <f t="shared" si="9"/>
        <v>NOT PAID</v>
      </c>
      <c r="J504" s="402"/>
      <c r="K504" s="402"/>
      <c r="L504" s="402"/>
      <c r="M504" s="402"/>
      <c r="N504" s="402"/>
      <c r="O504" s="402"/>
      <c r="P504" s="402"/>
      <c r="Q504" s="402"/>
      <c r="R504" s="402"/>
      <c r="S504" s="402"/>
      <c r="T504" s="402"/>
      <c r="U504" s="402"/>
      <c r="V504" s="402"/>
      <c r="W504" s="402"/>
      <c r="X504" s="402"/>
      <c r="Y504" s="402"/>
      <c r="Z504" s="402"/>
      <c r="AA504" s="405"/>
      <c r="AB504" s="405"/>
      <c r="AC504" s="405"/>
      <c r="AD504" s="405"/>
      <c r="AE504" s="405"/>
      <c r="AF504" s="405"/>
      <c r="AG504" s="405"/>
    </row>
    <row r="505" ht="14.25" customHeight="1">
      <c r="A505" s="406">
        <v>45523.0</v>
      </c>
      <c r="B505" s="349" t="s">
        <v>2915</v>
      </c>
      <c r="C505" s="349" t="s">
        <v>2916</v>
      </c>
      <c r="D505" s="349" t="s">
        <v>346</v>
      </c>
      <c r="E505" s="344" t="s">
        <v>2442</v>
      </c>
      <c r="F505" s="413">
        <v>7757.0</v>
      </c>
      <c r="G505" s="403"/>
      <c r="H505" s="349" t="s">
        <v>2913</v>
      </c>
      <c r="I505" s="404" t="str">
        <f t="shared" si="9"/>
        <v>NOT PAID</v>
      </c>
      <c r="J505" s="402"/>
      <c r="K505" s="402"/>
      <c r="L505" s="402"/>
      <c r="M505" s="402"/>
      <c r="N505" s="402"/>
      <c r="O505" s="402"/>
      <c r="P505" s="402"/>
      <c r="Q505" s="402"/>
      <c r="R505" s="402"/>
      <c r="S505" s="402"/>
      <c r="T505" s="402"/>
      <c r="U505" s="402"/>
      <c r="V505" s="402"/>
      <c r="W505" s="402"/>
      <c r="X505" s="402"/>
      <c r="Y505" s="402"/>
      <c r="Z505" s="402"/>
      <c r="AA505" s="405"/>
      <c r="AB505" s="405"/>
      <c r="AC505" s="405"/>
      <c r="AD505" s="405"/>
      <c r="AE505" s="405"/>
      <c r="AF505" s="405"/>
      <c r="AG505" s="405"/>
    </row>
    <row r="506" ht="14.25" customHeight="1">
      <c r="A506" s="406">
        <v>45523.0</v>
      </c>
      <c r="B506" s="349" t="s">
        <v>2917</v>
      </c>
      <c r="C506" s="349" t="s">
        <v>2918</v>
      </c>
      <c r="D506" s="349" t="s">
        <v>54</v>
      </c>
      <c r="E506" s="344" t="s">
        <v>2442</v>
      </c>
      <c r="F506" s="413">
        <v>14333.0</v>
      </c>
      <c r="G506" s="413">
        <v>14000.0</v>
      </c>
      <c r="H506" s="349" t="s">
        <v>2913</v>
      </c>
      <c r="I506" s="404" t="str">
        <f t="shared" si="9"/>
        <v>PARTIALLY PAID</v>
      </c>
      <c r="J506" s="402"/>
      <c r="K506" s="402"/>
      <c r="L506" s="402"/>
      <c r="M506" s="402"/>
      <c r="N506" s="402"/>
      <c r="O506" s="402"/>
      <c r="P506" s="402"/>
      <c r="Q506" s="402"/>
      <c r="R506" s="402"/>
      <c r="S506" s="402"/>
      <c r="T506" s="402"/>
      <c r="U506" s="402"/>
      <c r="V506" s="402"/>
      <c r="W506" s="402"/>
      <c r="X506" s="402"/>
      <c r="Y506" s="402"/>
      <c r="Z506" s="402"/>
      <c r="AA506" s="405"/>
      <c r="AB506" s="405"/>
      <c r="AC506" s="405"/>
      <c r="AD506" s="405"/>
      <c r="AE506" s="405"/>
      <c r="AF506" s="405"/>
      <c r="AG506" s="405"/>
    </row>
    <row r="507" ht="14.25" customHeight="1">
      <c r="A507" s="406">
        <v>45523.0</v>
      </c>
      <c r="B507" s="349" t="s">
        <v>2873</v>
      </c>
      <c r="C507" s="349" t="s">
        <v>2874</v>
      </c>
      <c r="D507" s="349" t="s">
        <v>54</v>
      </c>
      <c r="E507" s="349" t="s">
        <v>2832</v>
      </c>
      <c r="F507" s="662">
        <v>100000.0</v>
      </c>
      <c r="G507" s="403"/>
      <c r="H507" s="349" t="s">
        <v>2919</v>
      </c>
      <c r="I507" s="404" t="str">
        <f t="shared" si="9"/>
        <v>NOT PAID</v>
      </c>
      <c r="J507" s="402"/>
      <c r="K507" s="402"/>
      <c r="L507" s="402"/>
      <c r="M507" s="402"/>
      <c r="N507" s="402"/>
      <c r="O507" s="402"/>
      <c r="P507" s="402"/>
      <c r="Q507" s="402"/>
      <c r="R507" s="402"/>
      <c r="S507" s="402"/>
      <c r="T507" s="402"/>
      <c r="U507" s="402"/>
      <c r="V507" s="402"/>
      <c r="W507" s="402"/>
      <c r="X507" s="402"/>
      <c r="Y507" s="402"/>
      <c r="Z507" s="402"/>
      <c r="AA507" s="405"/>
      <c r="AB507" s="405"/>
      <c r="AC507" s="405"/>
      <c r="AD507" s="405"/>
      <c r="AE507" s="405"/>
      <c r="AF507" s="405"/>
      <c r="AG507" s="405"/>
    </row>
    <row r="508" ht="14.25" customHeight="1">
      <c r="A508" s="406">
        <v>45523.0</v>
      </c>
      <c r="B508" s="349" t="s">
        <v>2643</v>
      </c>
      <c r="C508" s="349" t="s">
        <v>2902</v>
      </c>
      <c r="D508" s="349" t="s">
        <v>54</v>
      </c>
      <c r="E508" s="349" t="s">
        <v>2832</v>
      </c>
      <c r="F508" s="662">
        <v>4032.0</v>
      </c>
      <c r="G508" s="403"/>
      <c r="H508" s="349" t="s">
        <v>2920</v>
      </c>
      <c r="I508" s="404" t="str">
        <f t="shared" si="9"/>
        <v>NOT PAID</v>
      </c>
      <c r="J508" s="402"/>
      <c r="K508" s="402"/>
      <c r="L508" s="402"/>
      <c r="M508" s="402"/>
      <c r="N508" s="402"/>
      <c r="O508" s="402"/>
      <c r="P508" s="402"/>
      <c r="Q508" s="402"/>
      <c r="R508" s="402"/>
      <c r="S508" s="402"/>
      <c r="T508" s="402"/>
      <c r="U508" s="402"/>
      <c r="V508" s="402"/>
      <c r="W508" s="402"/>
      <c r="X508" s="402"/>
      <c r="Y508" s="402"/>
      <c r="Z508" s="402"/>
      <c r="AA508" s="405"/>
      <c r="AB508" s="405"/>
      <c r="AC508" s="405"/>
      <c r="AD508" s="405"/>
      <c r="AE508" s="405"/>
      <c r="AF508" s="405"/>
      <c r="AG508" s="405"/>
    </row>
    <row r="509" ht="14.25" customHeight="1">
      <c r="A509" s="406">
        <v>45523.0</v>
      </c>
      <c r="B509" s="349" t="s">
        <v>2774</v>
      </c>
      <c r="C509" s="349" t="s">
        <v>2909</v>
      </c>
      <c r="D509" s="349" t="s">
        <v>59</v>
      </c>
      <c r="E509" s="349" t="s">
        <v>2832</v>
      </c>
      <c r="F509" s="662">
        <v>50000.0</v>
      </c>
      <c r="G509" s="403"/>
      <c r="H509" s="349" t="s">
        <v>2921</v>
      </c>
      <c r="I509" s="404" t="str">
        <f t="shared" si="9"/>
        <v>NOT PAID</v>
      </c>
      <c r="J509" s="402"/>
      <c r="K509" s="402"/>
      <c r="L509" s="402"/>
      <c r="M509" s="402"/>
      <c r="N509" s="402"/>
      <c r="O509" s="402"/>
      <c r="P509" s="402"/>
      <c r="Q509" s="402"/>
      <c r="R509" s="402"/>
      <c r="S509" s="402"/>
      <c r="T509" s="402"/>
      <c r="U509" s="402"/>
      <c r="V509" s="402"/>
      <c r="W509" s="402"/>
      <c r="X509" s="402"/>
      <c r="Y509" s="402"/>
      <c r="Z509" s="402"/>
      <c r="AA509" s="405"/>
      <c r="AB509" s="405"/>
      <c r="AC509" s="405"/>
      <c r="AD509" s="405"/>
      <c r="AE509" s="405"/>
      <c r="AF509" s="405"/>
      <c r="AG509" s="405"/>
    </row>
    <row r="510" ht="14.25" customHeight="1">
      <c r="A510" s="406">
        <v>45523.0</v>
      </c>
      <c r="B510" s="349" t="s">
        <v>2697</v>
      </c>
      <c r="C510" s="349" t="s">
        <v>2756</v>
      </c>
      <c r="D510" s="349" t="s">
        <v>54</v>
      </c>
      <c r="E510" s="349" t="s">
        <v>2832</v>
      </c>
      <c r="F510" s="559">
        <v>70191.0</v>
      </c>
      <c r="G510" s="403"/>
      <c r="H510" s="349" t="s">
        <v>2922</v>
      </c>
      <c r="I510" s="404" t="str">
        <f t="shared" si="9"/>
        <v>NOT PAID</v>
      </c>
      <c r="J510" s="402"/>
      <c r="K510" s="402"/>
      <c r="L510" s="402"/>
      <c r="M510" s="402"/>
      <c r="N510" s="402"/>
      <c r="O510" s="402"/>
      <c r="P510" s="402"/>
      <c r="Q510" s="402"/>
      <c r="R510" s="402"/>
      <c r="S510" s="402"/>
      <c r="T510" s="402"/>
      <c r="U510" s="402"/>
      <c r="V510" s="402"/>
      <c r="W510" s="402"/>
      <c r="X510" s="402"/>
      <c r="Y510" s="402"/>
      <c r="Z510" s="402"/>
      <c r="AA510" s="405"/>
      <c r="AB510" s="405"/>
      <c r="AC510" s="405"/>
      <c r="AD510" s="405"/>
      <c r="AE510" s="405"/>
      <c r="AF510" s="405"/>
      <c r="AG510" s="405"/>
    </row>
    <row r="511" ht="14.25" customHeight="1">
      <c r="A511" s="406">
        <v>45523.0</v>
      </c>
      <c r="B511" s="349" t="s">
        <v>2686</v>
      </c>
      <c r="C511" s="349" t="s">
        <v>2758</v>
      </c>
      <c r="D511" s="349" t="s">
        <v>54</v>
      </c>
      <c r="E511" s="349" t="s">
        <v>2832</v>
      </c>
      <c r="F511" s="662">
        <v>17917.0</v>
      </c>
      <c r="G511" s="413">
        <v>18000.0</v>
      </c>
      <c r="H511" s="349" t="s">
        <v>2923</v>
      </c>
      <c r="I511" s="404" t="str">
        <f t="shared" si="9"/>
        <v>FULLY PAID</v>
      </c>
      <c r="J511" s="402"/>
      <c r="K511" s="402"/>
      <c r="L511" s="402"/>
      <c r="M511" s="402"/>
      <c r="N511" s="402"/>
      <c r="O511" s="402"/>
      <c r="P511" s="402"/>
      <c r="Q511" s="402"/>
      <c r="R511" s="402"/>
      <c r="S511" s="402"/>
      <c r="T511" s="402"/>
      <c r="U511" s="402"/>
      <c r="V511" s="402"/>
      <c r="W511" s="402"/>
      <c r="X511" s="402"/>
      <c r="Y511" s="402"/>
      <c r="Z511" s="402"/>
      <c r="AA511" s="405"/>
      <c r="AB511" s="405"/>
      <c r="AC511" s="405"/>
      <c r="AD511" s="405"/>
      <c r="AE511" s="405"/>
      <c r="AF511" s="405"/>
      <c r="AG511" s="405"/>
    </row>
    <row r="512" ht="14.25" customHeight="1">
      <c r="A512" s="406">
        <v>45523.0</v>
      </c>
      <c r="B512" s="417" t="s">
        <v>2455</v>
      </c>
      <c r="C512" s="417" t="s">
        <v>2456</v>
      </c>
      <c r="D512" s="417" t="s">
        <v>54</v>
      </c>
      <c r="E512" s="417" t="s">
        <v>2442</v>
      </c>
      <c r="F512" s="69">
        <v>20000.0</v>
      </c>
      <c r="G512" s="413">
        <v>10000.0</v>
      </c>
      <c r="H512" s="349" t="s">
        <v>2924</v>
      </c>
      <c r="I512" s="404" t="str">
        <f t="shared" si="9"/>
        <v>PARTIALLY PAID</v>
      </c>
      <c r="J512" s="402"/>
      <c r="K512" s="402"/>
      <c r="L512" s="402"/>
      <c r="M512" s="402"/>
      <c r="N512" s="402"/>
      <c r="O512" s="402"/>
      <c r="P512" s="402"/>
      <c r="Q512" s="402"/>
      <c r="R512" s="402"/>
      <c r="S512" s="402"/>
      <c r="T512" s="402"/>
      <c r="U512" s="402"/>
      <c r="V512" s="402"/>
      <c r="W512" s="402"/>
      <c r="X512" s="402"/>
      <c r="Y512" s="402"/>
      <c r="Z512" s="402"/>
      <c r="AA512" s="405"/>
      <c r="AB512" s="405"/>
      <c r="AC512" s="405"/>
      <c r="AD512" s="405"/>
      <c r="AE512" s="405"/>
      <c r="AF512" s="405"/>
      <c r="AG512" s="405"/>
    </row>
    <row r="513" ht="14.25" customHeight="1">
      <c r="A513" s="406">
        <v>45523.0</v>
      </c>
      <c r="B513" s="417" t="s">
        <v>2547</v>
      </c>
      <c r="C513" s="417" t="s">
        <v>2607</v>
      </c>
      <c r="D513" s="417" t="s">
        <v>54</v>
      </c>
      <c r="E513" s="344" t="s">
        <v>2442</v>
      </c>
      <c r="F513" s="69">
        <v>25800.0</v>
      </c>
      <c r="G513" s="413">
        <v>5000.0</v>
      </c>
      <c r="H513" s="349" t="s">
        <v>2925</v>
      </c>
      <c r="I513" s="404" t="str">
        <f t="shared" si="9"/>
        <v>PARTIALLY PAID</v>
      </c>
      <c r="J513" s="402"/>
      <c r="K513" s="402"/>
      <c r="L513" s="402"/>
      <c r="M513" s="402"/>
      <c r="N513" s="402"/>
      <c r="O513" s="402"/>
      <c r="P513" s="402"/>
      <c r="Q513" s="402"/>
      <c r="R513" s="402"/>
      <c r="S513" s="402"/>
      <c r="T513" s="402"/>
      <c r="U513" s="402"/>
      <c r="V513" s="402"/>
      <c r="W513" s="402"/>
      <c r="X513" s="402"/>
      <c r="Y513" s="402"/>
      <c r="Z513" s="402"/>
      <c r="AA513" s="405"/>
      <c r="AB513" s="405"/>
      <c r="AC513" s="405"/>
      <c r="AD513" s="405"/>
      <c r="AE513" s="405"/>
      <c r="AF513" s="405"/>
      <c r="AG513" s="405"/>
    </row>
    <row r="514" ht="14.25" customHeight="1">
      <c r="A514" s="406">
        <v>45523.0</v>
      </c>
      <c r="B514" s="349" t="s">
        <v>2863</v>
      </c>
      <c r="C514" s="349" t="s">
        <v>2864</v>
      </c>
      <c r="D514" s="349" t="s">
        <v>54</v>
      </c>
      <c r="E514" s="349" t="s">
        <v>2832</v>
      </c>
      <c r="F514" s="559">
        <v>35833.0</v>
      </c>
      <c r="G514" s="403"/>
      <c r="H514" s="349" t="s">
        <v>2926</v>
      </c>
      <c r="I514" s="404" t="str">
        <f t="shared" si="9"/>
        <v>NOT PAID</v>
      </c>
      <c r="J514" s="402"/>
      <c r="K514" s="402"/>
      <c r="L514" s="402"/>
      <c r="M514" s="402"/>
      <c r="N514" s="402"/>
      <c r="O514" s="402"/>
      <c r="P514" s="402"/>
      <c r="Q514" s="402"/>
      <c r="R514" s="402"/>
      <c r="S514" s="402"/>
      <c r="T514" s="402"/>
      <c r="U514" s="402"/>
      <c r="V514" s="402"/>
      <c r="W514" s="402"/>
      <c r="X514" s="402"/>
      <c r="Y514" s="402"/>
      <c r="Z514" s="402"/>
      <c r="AA514" s="405"/>
      <c r="AB514" s="405"/>
      <c r="AC514" s="405"/>
      <c r="AD514" s="405"/>
      <c r="AE514" s="405"/>
      <c r="AF514" s="405"/>
      <c r="AG514" s="405"/>
    </row>
    <row r="515" ht="14.25" customHeight="1">
      <c r="A515" s="406">
        <v>45523.0</v>
      </c>
      <c r="B515" s="512" t="s">
        <v>2927</v>
      </c>
      <c r="C515" s="512" t="s">
        <v>2928</v>
      </c>
      <c r="D515" s="349" t="s">
        <v>54</v>
      </c>
      <c r="E515" s="349" t="s">
        <v>2832</v>
      </c>
      <c r="F515" s="662">
        <v>190400.0</v>
      </c>
      <c r="G515" s="403"/>
      <c r="H515" s="349" t="s">
        <v>2929</v>
      </c>
      <c r="I515" s="404" t="str">
        <f t="shared" si="9"/>
        <v>NOT PAID</v>
      </c>
      <c r="J515" s="402"/>
      <c r="K515" s="402"/>
      <c r="L515" s="402"/>
      <c r="M515" s="402"/>
      <c r="N515" s="402"/>
      <c r="O515" s="402"/>
      <c r="P515" s="402"/>
      <c r="Q515" s="402"/>
      <c r="R515" s="402"/>
      <c r="S515" s="402"/>
      <c r="T515" s="402"/>
      <c r="U515" s="402"/>
      <c r="V515" s="402"/>
      <c r="W515" s="402"/>
      <c r="X515" s="402"/>
      <c r="Y515" s="402"/>
      <c r="Z515" s="402"/>
      <c r="AA515" s="405"/>
      <c r="AB515" s="405"/>
      <c r="AC515" s="405"/>
      <c r="AD515" s="405"/>
      <c r="AE515" s="405"/>
      <c r="AF515" s="405"/>
      <c r="AG515" s="405"/>
    </row>
    <row r="516" ht="14.25" customHeight="1">
      <c r="A516" s="406">
        <v>45523.0</v>
      </c>
      <c r="B516" s="417" t="s">
        <v>2565</v>
      </c>
      <c r="C516" s="417" t="s">
        <v>2566</v>
      </c>
      <c r="D516" s="417" t="s">
        <v>54</v>
      </c>
      <c r="E516" s="417" t="s">
        <v>2442</v>
      </c>
      <c r="F516" s="30">
        <v>160617.0</v>
      </c>
      <c r="G516" s="403"/>
      <c r="H516" s="349" t="s">
        <v>2930</v>
      </c>
      <c r="I516" s="404" t="str">
        <f t="shared" si="9"/>
        <v>NOT PAID</v>
      </c>
      <c r="J516" s="402"/>
      <c r="K516" s="402"/>
      <c r="L516" s="402"/>
      <c r="M516" s="402"/>
      <c r="N516" s="402"/>
      <c r="O516" s="402"/>
      <c r="P516" s="402"/>
      <c r="Q516" s="402"/>
      <c r="R516" s="402"/>
      <c r="S516" s="402"/>
      <c r="T516" s="402"/>
      <c r="U516" s="402"/>
      <c r="V516" s="402"/>
      <c r="W516" s="402"/>
      <c r="X516" s="402"/>
      <c r="Y516" s="402"/>
      <c r="Z516" s="402"/>
      <c r="AA516" s="405"/>
      <c r="AB516" s="405"/>
      <c r="AC516" s="405"/>
      <c r="AD516" s="405"/>
      <c r="AE516" s="405"/>
      <c r="AF516" s="405"/>
      <c r="AG516" s="405"/>
    </row>
    <row r="517" ht="14.25" customHeight="1">
      <c r="A517" s="406">
        <v>45523.0</v>
      </c>
      <c r="B517" s="349" t="s">
        <v>2885</v>
      </c>
      <c r="C517" s="349" t="s">
        <v>2931</v>
      </c>
      <c r="D517" s="417" t="s">
        <v>54</v>
      </c>
      <c r="E517" s="417" t="s">
        <v>2442</v>
      </c>
      <c r="F517" s="662">
        <v>200000.0</v>
      </c>
      <c r="G517" s="413">
        <v>259000.0</v>
      </c>
      <c r="H517" s="349" t="s">
        <v>710</v>
      </c>
      <c r="I517" s="404" t="str">
        <f t="shared" si="9"/>
        <v>FULLY PAID</v>
      </c>
      <c r="J517" s="402"/>
      <c r="K517" s="402"/>
      <c r="L517" s="402"/>
      <c r="M517" s="402"/>
      <c r="N517" s="402"/>
      <c r="O517" s="402"/>
      <c r="P517" s="402"/>
      <c r="Q517" s="402"/>
      <c r="R517" s="402"/>
      <c r="S517" s="402"/>
      <c r="T517" s="402"/>
      <c r="U517" s="402"/>
      <c r="V517" s="402"/>
      <c r="W517" s="402"/>
      <c r="X517" s="402"/>
      <c r="Y517" s="402"/>
      <c r="Z517" s="402"/>
      <c r="AA517" s="405"/>
      <c r="AB517" s="405"/>
      <c r="AC517" s="405"/>
      <c r="AD517" s="405"/>
      <c r="AE517" s="405"/>
      <c r="AF517" s="405"/>
      <c r="AG517" s="405"/>
    </row>
    <row r="518" ht="14.25" customHeight="1">
      <c r="A518" s="406">
        <v>45523.0</v>
      </c>
      <c r="B518" s="349" t="s">
        <v>2720</v>
      </c>
      <c r="C518" s="349" t="s">
        <v>2721</v>
      </c>
      <c r="D518" s="417" t="s">
        <v>54</v>
      </c>
      <c r="E518" s="417" t="s">
        <v>2442</v>
      </c>
      <c r="F518" s="662">
        <v>5000.0</v>
      </c>
      <c r="G518" s="413">
        <v>5000.0</v>
      </c>
      <c r="H518" s="349" t="s">
        <v>710</v>
      </c>
      <c r="I518" s="404" t="str">
        <f t="shared" si="9"/>
        <v>FULLY PAID</v>
      </c>
      <c r="J518" s="402"/>
      <c r="K518" s="402"/>
      <c r="L518" s="402"/>
      <c r="M518" s="402"/>
      <c r="N518" s="402"/>
      <c r="O518" s="402"/>
      <c r="P518" s="402"/>
      <c r="Q518" s="402"/>
      <c r="R518" s="402"/>
      <c r="S518" s="402"/>
      <c r="T518" s="402"/>
      <c r="U518" s="402"/>
      <c r="V518" s="402"/>
      <c r="W518" s="402"/>
      <c r="X518" s="402"/>
      <c r="Y518" s="402"/>
      <c r="Z518" s="402"/>
      <c r="AA518" s="405"/>
      <c r="AB518" s="405"/>
      <c r="AC518" s="405"/>
      <c r="AD518" s="405"/>
      <c r="AE518" s="405"/>
      <c r="AF518" s="405"/>
      <c r="AG518" s="405"/>
    </row>
    <row r="519" ht="14.25" customHeight="1">
      <c r="A519" s="402"/>
      <c r="B519" s="402"/>
      <c r="C519" s="402"/>
      <c r="D519" s="402"/>
      <c r="E519" s="402"/>
      <c r="F519" s="664"/>
      <c r="G519" s="403"/>
      <c r="H519" s="349" t="s">
        <v>0</v>
      </c>
      <c r="I519" s="404" t="str">
        <f t="shared" si="9"/>
        <v>FULLY PAID</v>
      </c>
      <c r="J519" s="402"/>
      <c r="K519" s="402"/>
      <c r="L519" s="402"/>
      <c r="M519" s="402"/>
      <c r="N519" s="402"/>
      <c r="O519" s="402"/>
      <c r="P519" s="402"/>
      <c r="Q519" s="402"/>
      <c r="R519" s="402"/>
      <c r="S519" s="402"/>
      <c r="T519" s="402"/>
      <c r="U519" s="402"/>
      <c r="V519" s="402"/>
      <c r="W519" s="402"/>
      <c r="X519" s="402"/>
      <c r="Y519" s="402"/>
      <c r="Z519" s="402"/>
      <c r="AA519" s="405"/>
      <c r="AB519" s="405"/>
      <c r="AC519" s="405"/>
      <c r="AD519" s="405"/>
      <c r="AE519" s="405"/>
      <c r="AF519" s="405"/>
      <c r="AG519" s="405"/>
    </row>
    <row r="520" ht="14.25" customHeight="1">
      <c r="A520" s="402"/>
      <c r="B520" s="402"/>
      <c r="C520" s="402"/>
      <c r="D520" s="402"/>
      <c r="E520" s="402"/>
      <c r="F520" s="664"/>
      <c r="G520" s="403"/>
      <c r="H520" s="402"/>
      <c r="I520" s="404" t="str">
        <f t="shared" si="9"/>
        <v>FULLY PAID</v>
      </c>
      <c r="J520" s="402"/>
      <c r="K520" s="402"/>
      <c r="L520" s="402"/>
      <c r="M520" s="402"/>
      <c r="N520" s="402"/>
      <c r="O520" s="402"/>
      <c r="P520" s="402"/>
      <c r="Q520" s="402"/>
      <c r="R520" s="402"/>
      <c r="S520" s="402"/>
      <c r="T520" s="402"/>
      <c r="U520" s="402"/>
      <c r="V520" s="402"/>
      <c r="W520" s="402"/>
      <c r="X520" s="402"/>
      <c r="Y520" s="402"/>
      <c r="Z520" s="402"/>
      <c r="AA520" s="405"/>
      <c r="AB520" s="405"/>
      <c r="AC520" s="405"/>
      <c r="AD520" s="405"/>
      <c r="AE520" s="405"/>
      <c r="AF520" s="405"/>
      <c r="AG520" s="405"/>
    </row>
    <row r="521" ht="14.25" customHeight="1">
      <c r="A521" s="402"/>
      <c r="B521" s="402"/>
      <c r="C521" s="402"/>
      <c r="D521" s="402"/>
      <c r="E521" s="402"/>
      <c r="F521" s="664"/>
      <c r="G521" s="403"/>
      <c r="H521" s="402"/>
      <c r="I521" s="404" t="str">
        <f t="shared" si="9"/>
        <v>FULLY PAID</v>
      </c>
      <c r="J521" s="402"/>
      <c r="K521" s="402"/>
      <c r="L521" s="402"/>
      <c r="M521" s="402"/>
      <c r="N521" s="402"/>
      <c r="O521" s="402"/>
      <c r="P521" s="402"/>
      <c r="Q521" s="402"/>
      <c r="R521" s="402"/>
      <c r="S521" s="402"/>
      <c r="T521" s="402"/>
      <c r="U521" s="402"/>
      <c r="V521" s="402"/>
      <c r="W521" s="402"/>
      <c r="X521" s="402"/>
      <c r="Y521" s="402"/>
      <c r="Z521" s="402"/>
      <c r="AA521" s="405"/>
      <c r="AB521" s="405"/>
      <c r="AC521" s="405"/>
      <c r="AD521" s="405"/>
      <c r="AE521" s="405"/>
      <c r="AF521" s="405"/>
      <c r="AG521" s="405"/>
    </row>
    <row r="522" ht="14.25" customHeight="1">
      <c r="A522" s="584" t="s">
        <v>2130</v>
      </c>
      <c r="B522" s="584" t="s">
        <v>39</v>
      </c>
      <c r="C522" s="584" t="s">
        <v>48</v>
      </c>
      <c r="D522" s="584" t="s">
        <v>49</v>
      </c>
      <c r="E522" s="584" t="s">
        <v>50</v>
      </c>
      <c r="F522" s="658" t="s">
        <v>2</v>
      </c>
      <c r="G522" s="586" t="s">
        <v>44</v>
      </c>
      <c r="H522" s="584" t="s">
        <v>45</v>
      </c>
      <c r="I522" s="404" t="str">
        <f t="shared" si="9"/>
        <v>FULLY PAID</v>
      </c>
      <c r="J522" s="402"/>
      <c r="K522" s="402"/>
      <c r="L522" s="402"/>
      <c r="M522" s="402"/>
      <c r="N522" s="402"/>
      <c r="O522" s="402"/>
      <c r="P522" s="402"/>
      <c r="Q522" s="402"/>
      <c r="R522" s="402"/>
      <c r="S522" s="402"/>
      <c r="T522" s="402"/>
      <c r="U522" s="402"/>
      <c r="V522" s="402"/>
      <c r="W522" s="402"/>
      <c r="X522" s="402"/>
      <c r="Y522" s="402"/>
      <c r="Z522" s="402"/>
      <c r="AA522" s="405"/>
      <c r="AB522" s="405"/>
      <c r="AC522" s="405"/>
      <c r="AD522" s="405"/>
      <c r="AE522" s="405"/>
      <c r="AF522" s="405"/>
      <c r="AG522" s="405"/>
    </row>
    <row r="523" ht="14.25" customHeight="1">
      <c r="A523" s="406">
        <v>45524.0</v>
      </c>
      <c r="B523" s="402" t="s">
        <v>2565</v>
      </c>
      <c r="C523" s="402" t="s">
        <v>2566</v>
      </c>
      <c r="D523" s="402" t="s">
        <v>54</v>
      </c>
      <c r="E523" s="402" t="s">
        <v>2442</v>
      </c>
      <c r="F523" s="559">
        <v>160617.0</v>
      </c>
      <c r="G523" s="403"/>
      <c r="H523" s="349" t="s">
        <v>2932</v>
      </c>
      <c r="I523" s="404" t="str">
        <f t="shared" si="9"/>
        <v>NOT PAID</v>
      </c>
      <c r="J523" s="402"/>
      <c r="K523" s="402"/>
      <c r="L523" s="402"/>
      <c r="M523" s="402"/>
      <c r="N523" s="402"/>
      <c r="O523" s="402"/>
      <c r="P523" s="402"/>
      <c r="Q523" s="402"/>
      <c r="R523" s="402"/>
      <c r="S523" s="402"/>
      <c r="T523" s="402"/>
      <c r="U523" s="402"/>
      <c r="V523" s="402"/>
      <c r="W523" s="402"/>
      <c r="X523" s="402"/>
      <c r="Y523" s="402"/>
      <c r="Z523" s="402"/>
      <c r="AA523" s="405"/>
      <c r="AB523" s="405"/>
      <c r="AC523" s="405"/>
      <c r="AD523" s="405"/>
      <c r="AE523" s="405"/>
      <c r="AF523" s="405"/>
      <c r="AG523" s="405"/>
    </row>
    <row r="524" ht="14.25" customHeight="1">
      <c r="A524" s="406">
        <v>45524.0</v>
      </c>
      <c r="B524" s="349" t="s">
        <v>2567</v>
      </c>
      <c r="C524" s="349" t="s">
        <v>2933</v>
      </c>
      <c r="D524" s="402" t="s">
        <v>54</v>
      </c>
      <c r="E524" s="402" t="s">
        <v>2442</v>
      </c>
      <c r="F524" s="662">
        <v>5000.0</v>
      </c>
      <c r="G524" s="413">
        <v>4000.0</v>
      </c>
      <c r="H524" s="402"/>
      <c r="I524" s="404" t="str">
        <f t="shared" si="9"/>
        <v>PARTIALLY PAID</v>
      </c>
      <c r="J524" s="402"/>
      <c r="K524" s="402"/>
      <c r="L524" s="402"/>
      <c r="M524" s="402"/>
      <c r="N524" s="402"/>
      <c r="O524" s="402"/>
      <c r="P524" s="402"/>
      <c r="Q524" s="402"/>
      <c r="R524" s="402"/>
      <c r="S524" s="402"/>
      <c r="T524" s="402"/>
      <c r="U524" s="402"/>
      <c r="V524" s="402"/>
      <c r="W524" s="402"/>
      <c r="X524" s="402"/>
      <c r="Y524" s="402"/>
      <c r="Z524" s="402"/>
      <c r="AA524" s="405"/>
      <c r="AB524" s="405"/>
      <c r="AC524" s="405"/>
      <c r="AD524" s="405"/>
      <c r="AE524" s="405"/>
      <c r="AF524" s="405"/>
      <c r="AG524" s="405"/>
    </row>
    <row r="525" ht="14.25" customHeight="1">
      <c r="A525" s="406">
        <v>45524.0</v>
      </c>
      <c r="B525" s="349" t="s">
        <v>2610</v>
      </c>
      <c r="C525" s="349" t="s">
        <v>2611</v>
      </c>
      <c r="D525" s="402" t="s">
        <v>54</v>
      </c>
      <c r="E525" s="402" t="s">
        <v>2442</v>
      </c>
      <c r="F525" s="662">
        <v>60917.0</v>
      </c>
      <c r="G525" s="559">
        <v>60917.0</v>
      </c>
      <c r="H525" s="349" t="s">
        <v>2111</v>
      </c>
      <c r="I525" s="404" t="str">
        <f t="shared" si="9"/>
        <v>FULLY PAID</v>
      </c>
      <c r="J525" s="402"/>
      <c r="K525" s="402"/>
      <c r="L525" s="402"/>
      <c r="M525" s="402"/>
      <c r="N525" s="402"/>
      <c r="O525" s="402"/>
      <c r="P525" s="402"/>
      <c r="Q525" s="402"/>
      <c r="R525" s="402"/>
      <c r="S525" s="402"/>
      <c r="T525" s="402"/>
      <c r="U525" s="402"/>
      <c r="V525" s="402"/>
      <c r="W525" s="402"/>
      <c r="X525" s="402"/>
      <c r="Y525" s="402"/>
      <c r="Z525" s="402"/>
      <c r="AA525" s="405"/>
      <c r="AB525" s="405"/>
      <c r="AC525" s="405"/>
      <c r="AD525" s="405"/>
      <c r="AE525" s="405"/>
      <c r="AF525" s="405"/>
      <c r="AG525" s="405"/>
    </row>
    <row r="526" ht="14.25" customHeight="1">
      <c r="A526" s="406">
        <v>45524.0</v>
      </c>
      <c r="B526" s="349" t="s">
        <v>2453</v>
      </c>
      <c r="C526" s="349" t="s">
        <v>2454</v>
      </c>
      <c r="D526" s="349" t="s">
        <v>346</v>
      </c>
      <c r="E526" s="402" t="s">
        <v>2442</v>
      </c>
      <c r="F526" s="662">
        <v>5160.0</v>
      </c>
      <c r="G526" s="413"/>
      <c r="H526" s="349" t="s">
        <v>2913</v>
      </c>
      <c r="I526" s="695">
        <v>45555.0</v>
      </c>
      <c r="J526" s="406"/>
      <c r="K526" s="349"/>
      <c r="L526" s="413"/>
      <c r="M526" s="349"/>
      <c r="N526" s="413"/>
      <c r="O526" s="402"/>
      <c r="P526" s="402"/>
      <c r="Q526" s="402"/>
      <c r="R526" s="402"/>
      <c r="S526" s="402"/>
      <c r="T526" s="402"/>
      <c r="U526" s="402"/>
      <c r="V526" s="402"/>
      <c r="W526" s="402"/>
      <c r="X526" s="402"/>
      <c r="Y526" s="402"/>
      <c r="Z526" s="402"/>
      <c r="AA526" s="405"/>
      <c r="AB526" s="405"/>
      <c r="AC526" s="405"/>
      <c r="AD526" s="405"/>
      <c r="AE526" s="405"/>
      <c r="AF526" s="405"/>
      <c r="AG526" s="405"/>
    </row>
    <row r="527" ht="14.25" customHeight="1">
      <c r="A527" s="406">
        <v>45524.0</v>
      </c>
      <c r="B527" s="349" t="s">
        <v>2873</v>
      </c>
      <c r="C527" s="349" t="s">
        <v>2874</v>
      </c>
      <c r="D527" s="349" t="s">
        <v>54</v>
      </c>
      <c r="E527" s="349" t="s">
        <v>2832</v>
      </c>
      <c r="F527" s="662">
        <v>100000.0</v>
      </c>
      <c r="G527" s="403"/>
      <c r="H527" s="349" t="s">
        <v>2934</v>
      </c>
      <c r="I527" s="404" t="str">
        <f t="shared" ref="I527:I532" si="10">IF(G527&gt;=F527,"FULLY PAID",IF(G527=0,"NOT PAID","PARTIALLY PAID"))</f>
        <v>NOT PAID</v>
      </c>
      <c r="J527" s="402"/>
      <c r="K527" s="402"/>
      <c r="L527" s="402"/>
      <c r="M527" s="402"/>
      <c r="N527" s="402"/>
      <c r="O527" s="402"/>
      <c r="P527" s="402"/>
      <c r="Q527" s="402"/>
      <c r="R527" s="402"/>
      <c r="S527" s="402"/>
      <c r="T527" s="402"/>
      <c r="U527" s="402"/>
      <c r="V527" s="402"/>
      <c r="W527" s="402"/>
      <c r="X527" s="402"/>
      <c r="Y527" s="402"/>
      <c r="Z527" s="402"/>
      <c r="AA527" s="405"/>
      <c r="AB527" s="405"/>
      <c r="AC527" s="405"/>
      <c r="AD527" s="405"/>
      <c r="AE527" s="405"/>
      <c r="AF527" s="405"/>
      <c r="AG527" s="405"/>
    </row>
    <row r="528" ht="14.25" customHeight="1">
      <c r="A528" s="406">
        <v>45524.0</v>
      </c>
      <c r="B528" s="349" t="s">
        <v>2863</v>
      </c>
      <c r="C528" s="349" t="s">
        <v>2864</v>
      </c>
      <c r="D528" s="349" t="s">
        <v>54</v>
      </c>
      <c r="E528" s="349" t="s">
        <v>2832</v>
      </c>
      <c r="F528" s="559">
        <v>41581.0</v>
      </c>
      <c r="G528" s="403"/>
      <c r="H528" s="349" t="s">
        <v>2935</v>
      </c>
      <c r="I528" s="404" t="str">
        <f t="shared" si="10"/>
        <v>NOT PAID</v>
      </c>
      <c r="J528" s="402"/>
      <c r="K528" s="402"/>
      <c r="L528" s="402"/>
      <c r="M528" s="402"/>
      <c r="N528" s="402"/>
      <c r="O528" s="402"/>
      <c r="P528" s="402"/>
      <c r="Q528" s="402"/>
      <c r="R528" s="402"/>
      <c r="S528" s="402"/>
      <c r="T528" s="402"/>
      <c r="U528" s="402"/>
      <c r="V528" s="402"/>
      <c r="W528" s="402"/>
      <c r="X528" s="402"/>
      <c r="Y528" s="402"/>
      <c r="Z528" s="402"/>
      <c r="AA528" s="405"/>
      <c r="AB528" s="405"/>
      <c r="AC528" s="405"/>
      <c r="AD528" s="405"/>
      <c r="AE528" s="405"/>
      <c r="AF528" s="405"/>
      <c r="AG528" s="405"/>
    </row>
    <row r="529" ht="14.25" customHeight="1">
      <c r="A529" s="406">
        <v>45524.0</v>
      </c>
      <c r="B529" s="349" t="s">
        <v>2697</v>
      </c>
      <c r="C529" s="349" t="s">
        <v>2756</v>
      </c>
      <c r="D529" s="349" t="s">
        <v>54</v>
      </c>
      <c r="E529" s="349" t="s">
        <v>2832</v>
      </c>
      <c r="F529" s="559">
        <v>70191.0</v>
      </c>
      <c r="G529" s="403"/>
      <c r="H529" s="349" t="s">
        <v>2936</v>
      </c>
      <c r="I529" s="404" t="str">
        <f t="shared" si="10"/>
        <v>NOT PAID</v>
      </c>
      <c r="J529" s="402"/>
      <c r="K529" s="402"/>
      <c r="L529" s="402"/>
      <c r="M529" s="402"/>
      <c r="N529" s="402"/>
      <c r="O529" s="402"/>
      <c r="P529" s="402"/>
      <c r="Q529" s="402"/>
      <c r="R529" s="402"/>
      <c r="S529" s="402"/>
      <c r="T529" s="402"/>
      <c r="U529" s="402"/>
      <c r="V529" s="402"/>
      <c r="W529" s="402"/>
      <c r="X529" s="402"/>
      <c r="Y529" s="402"/>
      <c r="Z529" s="402"/>
      <c r="AA529" s="405"/>
      <c r="AB529" s="405"/>
      <c r="AC529" s="405"/>
      <c r="AD529" s="405"/>
      <c r="AE529" s="405"/>
      <c r="AF529" s="405"/>
      <c r="AG529" s="405"/>
    </row>
    <row r="530" ht="14.25" customHeight="1">
      <c r="A530" s="406">
        <v>45524.0</v>
      </c>
      <c r="B530" s="349" t="s">
        <v>2643</v>
      </c>
      <c r="C530" s="349" t="s">
        <v>2902</v>
      </c>
      <c r="D530" s="349" t="s">
        <v>54</v>
      </c>
      <c r="E530" s="349" t="s">
        <v>2832</v>
      </c>
      <c r="F530" s="662">
        <v>4032.0</v>
      </c>
      <c r="G530" s="403"/>
      <c r="H530" s="349" t="s">
        <v>2937</v>
      </c>
      <c r="I530" s="404" t="str">
        <f t="shared" si="10"/>
        <v>NOT PAID</v>
      </c>
      <c r="J530" s="402"/>
      <c r="K530" s="402"/>
      <c r="L530" s="402"/>
      <c r="M530" s="402"/>
      <c r="N530" s="402"/>
      <c r="O530" s="402"/>
      <c r="P530" s="402"/>
      <c r="Q530" s="402"/>
      <c r="R530" s="402"/>
      <c r="S530" s="402"/>
      <c r="T530" s="402"/>
      <c r="U530" s="402"/>
      <c r="V530" s="402"/>
      <c r="W530" s="402"/>
      <c r="X530" s="402"/>
      <c r="Y530" s="402"/>
      <c r="Z530" s="402"/>
      <c r="AA530" s="405"/>
      <c r="AB530" s="405"/>
      <c r="AC530" s="405"/>
      <c r="AD530" s="405"/>
      <c r="AE530" s="405"/>
      <c r="AF530" s="405"/>
      <c r="AG530" s="405"/>
    </row>
    <row r="531" ht="14.25" customHeight="1">
      <c r="A531" s="406">
        <v>45524.0</v>
      </c>
      <c r="B531" s="349" t="s">
        <v>2493</v>
      </c>
      <c r="C531" s="349" t="s">
        <v>2735</v>
      </c>
      <c r="D531" s="349" t="s">
        <v>54</v>
      </c>
      <c r="E531" s="349" t="s">
        <v>2832</v>
      </c>
      <c r="F531" s="662">
        <v>100000.0</v>
      </c>
      <c r="G531" s="403"/>
      <c r="H531" s="349" t="s">
        <v>2938</v>
      </c>
      <c r="I531" s="404" t="str">
        <f t="shared" si="10"/>
        <v>NOT PAID</v>
      </c>
      <c r="J531" s="402"/>
      <c r="K531" s="402"/>
      <c r="L531" s="402"/>
      <c r="M531" s="402"/>
      <c r="N531" s="402"/>
      <c r="O531" s="402"/>
      <c r="P531" s="402"/>
      <c r="Q531" s="402"/>
      <c r="R531" s="402"/>
      <c r="S531" s="402"/>
      <c r="T531" s="402"/>
      <c r="U531" s="402"/>
      <c r="V531" s="402"/>
      <c r="W531" s="402"/>
      <c r="X531" s="402"/>
      <c r="Y531" s="402"/>
      <c r="Z531" s="402"/>
      <c r="AA531" s="405"/>
      <c r="AB531" s="405"/>
      <c r="AC531" s="405"/>
      <c r="AD531" s="405"/>
      <c r="AE531" s="405"/>
      <c r="AF531" s="405"/>
      <c r="AG531" s="405"/>
    </row>
    <row r="532" ht="14.25" customHeight="1">
      <c r="A532" s="406">
        <v>45524.0</v>
      </c>
      <c r="B532" s="349" t="s">
        <v>2764</v>
      </c>
      <c r="C532" s="349" t="s">
        <v>2856</v>
      </c>
      <c r="D532" s="349" t="s">
        <v>54</v>
      </c>
      <c r="E532" s="349" t="s">
        <v>2832</v>
      </c>
      <c r="F532" s="559">
        <v>34851.0</v>
      </c>
      <c r="G532" s="403"/>
      <c r="H532" s="349" t="s">
        <v>2939</v>
      </c>
      <c r="I532" s="404" t="str">
        <f t="shared" si="10"/>
        <v>NOT PAID</v>
      </c>
      <c r="J532" s="402"/>
      <c r="K532" s="402"/>
      <c r="L532" s="402"/>
      <c r="M532" s="402"/>
      <c r="N532" s="402"/>
      <c r="O532" s="402"/>
      <c r="P532" s="402"/>
      <c r="Q532" s="402"/>
      <c r="R532" s="402"/>
      <c r="S532" s="402"/>
      <c r="T532" s="402"/>
      <c r="U532" s="402"/>
      <c r="V532" s="402"/>
      <c r="W532" s="402"/>
      <c r="X532" s="402"/>
      <c r="Y532" s="402"/>
      <c r="Z532" s="402"/>
      <c r="AA532" s="405"/>
      <c r="AB532" s="405"/>
      <c r="AC532" s="405"/>
      <c r="AD532" s="405"/>
      <c r="AE532" s="405"/>
      <c r="AF532" s="405"/>
      <c r="AG532" s="405"/>
    </row>
    <row r="533" ht="14.25" customHeight="1">
      <c r="A533" s="406">
        <v>45524.0</v>
      </c>
      <c r="B533" s="349" t="s">
        <v>2940</v>
      </c>
      <c r="C533" s="349" t="s">
        <v>2941</v>
      </c>
      <c r="D533" s="349" t="s">
        <v>54</v>
      </c>
      <c r="E533" s="402" t="s">
        <v>2442</v>
      </c>
      <c r="F533" s="662">
        <v>28333.0</v>
      </c>
      <c r="G533" s="559">
        <v>28333.0</v>
      </c>
      <c r="H533" s="406"/>
      <c r="I533" s="695"/>
      <c r="J533" s="406"/>
      <c r="K533" s="349"/>
      <c r="L533" s="413"/>
      <c r="M533" s="402"/>
      <c r="N533" s="402"/>
      <c r="O533" s="402"/>
      <c r="P533" s="402"/>
      <c r="Q533" s="402"/>
      <c r="R533" s="402"/>
      <c r="S533" s="402"/>
      <c r="T533" s="402"/>
      <c r="U533" s="402"/>
      <c r="V533" s="402"/>
      <c r="W533" s="402"/>
      <c r="X533" s="402"/>
      <c r="Y533" s="402"/>
      <c r="Z533" s="402"/>
      <c r="AA533" s="405"/>
      <c r="AB533" s="405"/>
      <c r="AC533" s="405"/>
      <c r="AD533" s="405"/>
      <c r="AE533" s="405"/>
      <c r="AF533" s="405"/>
      <c r="AG533" s="405"/>
    </row>
    <row r="534" ht="14.25" customHeight="1">
      <c r="A534" s="406">
        <v>45524.0</v>
      </c>
      <c r="B534" s="349" t="s">
        <v>2942</v>
      </c>
      <c r="C534" s="349" t="s">
        <v>2943</v>
      </c>
      <c r="D534" s="349" t="s">
        <v>75</v>
      </c>
      <c r="E534" s="402" t="s">
        <v>2442</v>
      </c>
      <c r="F534" s="413">
        <v>54625.0</v>
      </c>
      <c r="G534" s="413"/>
      <c r="H534" s="413" t="s">
        <v>2944</v>
      </c>
      <c r="I534" s="402"/>
      <c r="J534" s="402"/>
      <c r="K534" s="402"/>
      <c r="L534" s="402"/>
      <c r="M534" s="402"/>
      <c r="N534" s="402"/>
      <c r="O534" s="402"/>
      <c r="P534" s="402"/>
      <c r="Q534" s="402"/>
      <c r="R534" s="402"/>
      <c r="S534" s="402"/>
      <c r="T534" s="402"/>
      <c r="U534" s="405"/>
      <c r="V534" s="405"/>
      <c r="W534" s="405"/>
      <c r="X534" s="405"/>
      <c r="Y534" s="405"/>
    </row>
    <row r="535" ht="14.25" customHeight="1">
      <c r="A535" s="406">
        <v>45524.0</v>
      </c>
      <c r="B535" s="349" t="s">
        <v>2547</v>
      </c>
      <c r="C535" s="349" t="s">
        <v>2607</v>
      </c>
      <c r="D535" s="349" t="s">
        <v>54</v>
      </c>
      <c r="E535" s="402" t="s">
        <v>2442</v>
      </c>
      <c r="F535" s="662">
        <v>10000.0</v>
      </c>
      <c r="G535" s="403"/>
      <c r="H535" s="349" t="s">
        <v>2945</v>
      </c>
      <c r="I535" s="404" t="str">
        <f t="shared" ref="I535:I538" si="11">IF(G535&gt;=F535,"FULLY PAID",IF(G535=0,"NOT PAID","PARTIALLY PAID"))</f>
        <v>NOT PAID</v>
      </c>
      <c r="J535" s="402"/>
      <c r="K535" s="402"/>
      <c r="L535" s="402"/>
      <c r="M535" s="402"/>
      <c r="N535" s="402"/>
      <c r="O535" s="402"/>
      <c r="P535" s="402"/>
      <c r="Q535" s="402"/>
      <c r="R535" s="402"/>
      <c r="S535" s="402"/>
      <c r="T535" s="402"/>
      <c r="U535" s="402"/>
      <c r="V535" s="402"/>
      <c r="W535" s="402"/>
      <c r="X535" s="402"/>
      <c r="Y535" s="402"/>
      <c r="Z535" s="402"/>
      <c r="AA535" s="405"/>
      <c r="AB535" s="405"/>
      <c r="AC535" s="405"/>
      <c r="AD535" s="405"/>
      <c r="AE535" s="405"/>
      <c r="AF535" s="405"/>
      <c r="AG535" s="405"/>
    </row>
    <row r="536" ht="14.25" customHeight="1">
      <c r="A536" s="406">
        <v>45524.0</v>
      </c>
      <c r="B536" s="349" t="s">
        <v>2590</v>
      </c>
      <c r="C536" s="349" t="s">
        <v>2591</v>
      </c>
      <c r="D536" s="349" t="s">
        <v>54</v>
      </c>
      <c r="E536" s="402" t="s">
        <v>2442</v>
      </c>
      <c r="F536" s="662">
        <v>3000.0</v>
      </c>
      <c r="G536" s="403"/>
      <c r="H536" s="349" t="s">
        <v>2946</v>
      </c>
      <c r="I536" s="404" t="str">
        <f t="shared" si="11"/>
        <v>NOT PAID</v>
      </c>
      <c r="J536" s="402"/>
      <c r="K536" s="402"/>
      <c r="L536" s="402"/>
      <c r="M536" s="402"/>
      <c r="N536" s="402"/>
      <c r="O536" s="402"/>
      <c r="P536" s="402"/>
      <c r="Q536" s="402"/>
      <c r="R536" s="402"/>
      <c r="S536" s="402"/>
      <c r="T536" s="402"/>
      <c r="U536" s="402"/>
      <c r="V536" s="402"/>
      <c r="W536" s="402"/>
      <c r="X536" s="402"/>
      <c r="Y536" s="402"/>
      <c r="Z536" s="402"/>
      <c r="AA536" s="405"/>
      <c r="AB536" s="405"/>
      <c r="AC536" s="405"/>
      <c r="AD536" s="405"/>
      <c r="AE536" s="405"/>
      <c r="AF536" s="405"/>
      <c r="AG536" s="405"/>
    </row>
    <row r="537" ht="14.25" customHeight="1">
      <c r="A537" s="406">
        <v>45524.0</v>
      </c>
      <c r="B537" s="417" t="s">
        <v>2820</v>
      </c>
      <c r="C537" s="417" t="s">
        <v>2821</v>
      </c>
      <c r="D537" s="417" t="s">
        <v>54</v>
      </c>
      <c r="E537" s="417" t="s">
        <v>2442</v>
      </c>
      <c r="F537" s="69">
        <v>31872.0</v>
      </c>
      <c r="G537" s="403"/>
      <c r="H537" s="349" t="s">
        <v>2947</v>
      </c>
      <c r="I537" s="404" t="str">
        <f t="shared" si="11"/>
        <v>NOT PAID</v>
      </c>
      <c r="J537" s="402"/>
      <c r="K537" s="402"/>
      <c r="L537" s="402"/>
      <c r="M537" s="402"/>
      <c r="N537" s="402"/>
      <c r="O537" s="402"/>
      <c r="P537" s="402"/>
      <c r="Q537" s="402"/>
      <c r="R537" s="402"/>
      <c r="S537" s="402"/>
      <c r="T537" s="402"/>
      <c r="U537" s="402"/>
      <c r="V537" s="402"/>
      <c r="W537" s="402"/>
      <c r="X537" s="402"/>
      <c r="Y537" s="402"/>
      <c r="Z537" s="402"/>
      <c r="AA537" s="405"/>
      <c r="AB537" s="405"/>
      <c r="AC537" s="405"/>
      <c r="AD537" s="405"/>
      <c r="AE537" s="405"/>
      <c r="AF537" s="405"/>
      <c r="AG537" s="405"/>
    </row>
    <row r="538" ht="14.25" customHeight="1">
      <c r="A538" s="406">
        <v>45524.0</v>
      </c>
      <c r="B538" s="417" t="s">
        <v>2455</v>
      </c>
      <c r="C538" s="417" t="s">
        <v>2456</v>
      </c>
      <c r="D538" s="417" t="s">
        <v>54</v>
      </c>
      <c r="E538" s="417" t="s">
        <v>2442</v>
      </c>
      <c r="F538" s="69">
        <v>20000.0</v>
      </c>
      <c r="G538" s="403"/>
      <c r="H538" s="349" t="s">
        <v>2945</v>
      </c>
      <c r="I538" s="404" t="str">
        <f t="shared" si="11"/>
        <v>NOT PAID</v>
      </c>
      <c r="J538" s="402"/>
      <c r="K538" s="402"/>
      <c r="L538" s="402"/>
      <c r="M538" s="402"/>
      <c r="N538" s="402"/>
      <c r="O538" s="402"/>
      <c r="P538" s="402"/>
      <c r="Q538" s="402"/>
      <c r="R538" s="402"/>
      <c r="S538" s="402"/>
      <c r="T538" s="402"/>
      <c r="U538" s="402"/>
      <c r="V538" s="402"/>
      <c r="W538" s="402"/>
      <c r="X538" s="402"/>
      <c r="Y538" s="402"/>
      <c r="Z538" s="402"/>
      <c r="AA538" s="405"/>
      <c r="AB538" s="405"/>
      <c r="AC538" s="405"/>
      <c r="AD538" s="405"/>
      <c r="AE538" s="405"/>
      <c r="AF538" s="405"/>
      <c r="AG538" s="405"/>
    </row>
    <row r="539" ht="14.25" customHeight="1">
      <c r="A539" s="406">
        <v>45524.0</v>
      </c>
      <c r="B539" s="349" t="s">
        <v>2551</v>
      </c>
      <c r="C539" s="349" t="s">
        <v>2948</v>
      </c>
      <c r="D539" s="417" t="s">
        <v>54</v>
      </c>
      <c r="E539" s="349" t="s">
        <v>2832</v>
      </c>
      <c r="F539" s="559">
        <v>30000.0</v>
      </c>
      <c r="G539" s="413">
        <v>10000.0</v>
      </c>
      <c r="H539" s="349" t="s">
        <v>2949</v>
      </c>
      <c r="I539" s="404" t="s">
        <v>9</v>
      </c>
      <c r="J539" s="402"/>
      <c r="K539" s="402"/>
      <c r="L539" s="402"/>
      <c r="M539" s="402"/>
      <c r="N539" s="402"/>
      <c r="O539" s="402"/>
      <c r="P539" s="402"/>
      <c r="Q539" s="402"/>
      <c r="R539" s="402"/>
      <c r="S539" s="402"/>
      <c r="T539" s="402"/>
      <c r="U539" s="402"/>
      <c r="V539" s="402"/>
      <c r="W539" s="402"/>
      <c r="X539" s="402"/>
      <c r="Y539" s="402"/>
      <c r="Z539" s="402"/>
      <c r="AA539" s="405"/>
      <c r="AB539" s="405"/>
      <c r="AC539" s="405"/>
      <c r="AD539" s="405"/>
      <c r="AE539" s="405"/>
      <c r="AF539" s="405"/>
      <c r="AG539" s="405"/>
    </row>
    <row r="540" ht="14.25" customHeight="1">
      <c r="A540" s="406">
        <v>45524.0</v>
      </c>
      <c r="B540" s="349" t="s">
        <v>2677</v>
      </c>
      <c r="C540" s="349" t="s">
        <v>2753</v>
      </c>
      <c r="D540" s="349" t="s">
        <v>54</v>
      </c>
      <c r="E540" s="349" t="s">
        <v>2832</v>
      </c>
      <c r="F540" s="662">
        <v>25391.0</v>
      </c>
      <c r="G540" s="403"/>
      <c r="H540" s="349" t="s">
        <v>2950</v>
      </c>
      <c r="I540" s="404" t="str">
        <f t="shared" ref="I540:I544" si="12">IF(G540&gt;=F540,"FULLY PAID",IF(G540=0,"NOT PAID","PARTIALLY PAID"))</f>
        <v>NOT PAID</v>
      </c>
      <c r="J540" s="402"/>
      <c r="K540" s="402"/>
      <c r="L540" s="402"/>
      <c r="M540" s="402"/>
      <c r="N540" s="402"/>
      <c r="O540" s="402"/>
      <c r="P540" s="402"/>
      <c r="Q540" s="402"/>
      <c r="R540" s="402"/>
      <c r="S540" s="402"/>
      <c r="T540" s="402"/>
      <c r="U540" s="402"/>
      <c r="V540" s="402"/>
      <c r="W540" s="402"/>
      <c r="X540" s="402"/>
      <c r="Y540" s="402"/>
      <c r="Z540" s="402"/>
      <c r="AA540" s="405"/>
      <c r="AB540" s="405"/>
      <c r="AC540" s="405"/>
      <c r="AD540" s="405"/>
      <c r="AE540" s="405"/>
      <c r="AF540" s="405"/>
      <c r="AG540" s="405"/>
    </row>
    <row r="541" ht="14.25" customHeight="1">
      <c r="A541" s="406"/>
      <c r="B541" s="402"/>
      <c r="C541" s="402"/>
      <c r="D541" s="402"/>
      <c r="E541" s="402"/>
      <c r="F541" s="664"/>
      <c r="G541" s="403"/>
      <c r="H541" s="402"/>
      <c r="I541" s="404" t="str">
        <f t="shared" si="12"/>
        <v>FULLY PAID</v>
      </c>
      <c r="J541" s="402"/>
      <c r="K541" s="402"/>
      <c r="L541" s="402"/>
      <c r="M541" s="402"/>
      <c r="N541" s="402"/>
      <c r="O541" s="402"/>
      <c r="P541" s="402"/>
      <c r="Q541" s="402"/>
      <c r="R541" s="402"/>
      <c r="S541" s="402"/>
      <c r="T541" s="402"/>
      <c r="U541" s="402"/>
      <c r="V541" s="402"/>
      <c r="W541" s="402"/>
      <c r="X541" s="402"/>
      <c r="Y541" s="402"/>
      <c r="Z541" s="402"/>
      <c r="AA541" s="405"/>
      <c r="AB541" s="405"/>
      <c r="AC541" s="405"/>
      <c r="AD541" s="405"/>
      <c r="AE541" s="405"/>
      <c r="AF541" s="405"/>
      <c r="AG541" s="405"/>
    </row>
    <row r="542" ht="14.25" customHeight="1">
      <c r="A542" s="402"/>
      <c r="B542" s="402"/>
      <c r="C542" s="402"/>
      <c r="D542" s="402"/>
      <c r="E542" s="402"/>
      <c r="F542" s="664"/>
      <c r="G542" s="403"/>
      <c r="H542" s="402"/>
      <c r="I542" s="404" t="str">
        <f t="shared" si="12"/>
        <v>FULLY PAID</v>
      </c>
      <c r="J542" s="402"/>
      <c r="K542" s="402"/>
      <c r="L542" s="402"/>
      <c r="M542" s="402"/>
      <c r="N542" s="402"/>
      <c r="O542" s="402"/>
      <c r="P542" s="402"/>
      <c r="Q542" s="402"/>
      <c r="R542" s="402"/>
      <c r="S542" s="402"/>
      <c r="T542" s="402"/>
      <c r="U542" s="402"/>
      <c r="V542" s="402"/>
      <c r="W542" s="402"/>
      <c r="X542" s="402"/>
      <c r="Y542" s="402"/>
      <c r="Z542" s="402"/>
      <c r="AA542" s="405"/>
      <c r="AB542" s="405"/>
      <c r="AC542" s="405"/>
      <c r="AD542" s="405"/>
      <c r="AE542" s="405"/>
      <c r="AF542" s="405"/>
      <c r="AG542" s="405"/>
    </row>
    <row r="543" ht="14.25" customHeight="1">
      <c r="A543" s="402"/>
      <c r="B543" s="402"/>
      <c r="C543" s="402"/>
      <c r="D543" s="402"/>
      <c r="E543" s="402"/>
      <c r="F543" s="664"/>
      <c r="G543" s="403"/>
      <c r="H543" s="402"/>
      <c r="I543" s="404" t="str">
        <f t="shared" si="12"/>
        <v>FULLY PAID</v>
      </c>
      <c r="J543" s="402"/>
      <c r="K543" s="402"/>
      <c r="L543" s="402"/>
      <c r="M543" s="402"/>
      <c r="N543" s="402"/>
      <c r="O543" s="402"/>
      <c r="P543" s="402"/>
      <c r="Q543" s="402"/>
      <c r="R543" s="402"/>
      <c r="S543" s="402"/>
      <c r="T543" s="402"/>
      <c r="U543" s="402"/>
      <c r="V543" s="402"/>
      <c r="W543" s="402"/>
      <c r="X543" s="402"/>
      <c r="Y543" s="402"/>
      <c r="Z543" s="402"/>
      <c r="AA543" s="405"/>
      <c r="AB543" s="405"/>
      <c r="AC543" s="405"/>
      <c r="AD543" s="405"/>
      <c r="AE543" s="405"/>
      <c r="AF543" s="405"/>
      <c r="AG543" s="405"/>
    </row>
    <row r="544" ht="14.25" customHeight="1">
      <c r="A544" s="402"/>
      <c r="B544" s="402"/>
      <c r="C544" s="402"/>
      <c r="D544" s="402"/>
      <c r="E544" s="402"/>
      <c r="F544" s="664"/>
      <c r="G544" s="403"/>
      <c r="H544" s="402"/>
      <c r="I544" s="404" t="str">
        <f t="shared" si="12"/>
        <v>FULLY PAID</v>
      </c>
      <c r="J544" s="402"/>
      <c r="K544" s="402"/>
      <c r="L544" s="402"/>
      <c r="M544" s="402"/>
      <c r="N544" s="402"/>
      <c r="O544" s="402"/>
      <c r="P544" s="402"/>
      <c r="Q544" s="402"/>
      <c r="R544" s="402"/>
      <c r="S544" s="402"/>
      <c r="T544" s="402"/>
      <c r="U544" s="402"/>
      <c r="V544" s="402"/>
      <c r="W544" s="402"/>
      <c r="X544" s="402"/>
      <c r="Y544" s="402"/>
      <c r="Z544" s="402"/>
      <c r="AA544" s="405"/>
      <c r="AB544" s="405"/>
      <c r="AC544" s="405"/>
      <c r="AD544" s="405"/>
      <c r="AE544" s="405"/>
      <c r="AF544" s="405"/>
      <c r="AG544" s="405"/>
    </row>
    <row r="545" ht="14.25" customHeight="1">
      <c r="A545" s="406">
        <v>45525.0</v>
      </c>
      <c r="B545" s="349" t="s">
        <v>2951</v>
      </c>
      <c r="C545" s="349" t="s">
        <v>2449</v>
      </c>
      <c r="D545" s="349" t="s">
        <v>75</v>
      </c>
      <c r="E545" s="402" t="s">
        <v>2442</v>
      </c>
      <c r="F545" s="413">
        <v>345000.0</v>
      </c>
      <c r="G545" s="413">
        <v>345000.0</v>
      </c>
      <c r="H545" s="349" t="s">
        <v>267</v>
      </c>
      <c r="I545" s="695"/>
      <c r="J545" s="406"/>
      <c r="K545" s="349"/>
      <c r="L545" s="413"/>
      <c r="M545" s="349"/>
      <c r="N545" s="413"/>
      <c r="O545" s="402"/>
      <c r="P545" s="402"/>
      <c r="Q545" s="402"/>
      <c r="R545" s="402"/>
      <c r="S545" s="402"/>
      <c r="T545" s="402"/>
      <c r="U545" s="402"/>
      <c r="V545" s="402"/>
      <c r="W545" s="402"/>
      <c r="X545" s="402"/>
      <c r="Y545" s="402"/>
      <c r="Z545" s="402"/>
      <c r="AA545" s="405"/>
      <c r="AB545" s="405"/>
      <c r="AC545" s="405"/>
      <c r="AD545" s="405"/>
      <c r="AE545" s="405"/>
      <c r="AF545" s="405"/>
      <c r="AG545" s="405"/>
    </row>
    <row r="546" ht="14.25" customHeight="1">
      <c r="A546" s="406">
        <v>45525.0</v>
      </c>
      <c r="B546" s="349" t="s">
        <v>2451</v>
      </c>
      <c r="C546" s="349" t="s">
        <v>2452</v>
      </c>
      <c r="D546" s="417" t="s">
        <v>54</v>
      </c>
      <c r="E546" s="402" t="s">
        <v>2442</v>
      </c>
      <c r="F546" s="413">
        <v>31075.0</v>
      </c>
      <c r="G546" s="413"/>
      <c r="H546" s="349" t="s">
        <v>2913</v>
      </c>
      <c r="I546" s="695"/>
      <c r="J546" s="406"/>
      <c r="K546" s="349"/>
      <c r="L546" s="413"/>
      <c r="M546" s="349"/>
      <c r="N546" s="413"/>
      <c r="O546" s="402"/>
      <c r="P546" s="402"/>
      <c r="Q546" s="402"/>
      <c r="R546" s="402"/>
      <c r="S546" s="402"/>
      <c r="T546" s="402"/>
      <c r="U546" s="402"/>
      <c r="V546" s="402"/>
      <c r="W546" s="402"/>
      <c r="X546" s="402"/>
      <c r="Y546" s="402"/>
      <c r="Z546" s="402"/>
      <c r="AA546" s="405"/>
      <c r="AB546" s="405"/>
      <c r="AC546" s="405"/>
      <c r="AD546" s="405"/>
      <c r="AE546" s="405"/>
      <c r="AF546" s="405"/>
      <c r="AG546" s="405"/>
    </row>
    <row r="547" ht="14.25" customHeight="1">
      <c r="A547" s="406">
        <v>45525.0</v>
      </c>
      <c r="B547" s="349" t="s">
        <v>2485</v>
      </c>
      <c r="C547" s="349" t="s">
        <v>2486</v>
      </c>
      <c r="D547" s="417" t="s">
        <v>54</v>
      </c>
      <c r="E547" s="402" t="s">
        <v>2442</v>
      </c>
      <c r="F547" s="559">
        <v>27434.0</v>
      </c>
      <c r="G547" s="413"/>
      <c r="H547" s="349" t="s">
        <v>2913</v>
      </c>
      <c r="I547" s="695"/>
      <c r="J547" s="406"/>
      <c r="K547" s="349"/>
      <c r="L547" s="349"/>
      <c r="M547" s="413"/>
      <c r="N547" s="413"/>
      <c r="O547" s="402"/>
      <c r="P547" s="402"/>
      <c r="Q547" s="402"/>
      <c r="R547" s="402"/>
      <c r="S547" s="402"/>
      <c r="T547" s="402"/>
      <c r="U547" s="402"/>
      <c r="V547" s="402"/>
      <c r="W547" s="402"/>
      <c r="X547" s="402"/>
      <c r="Y547" s="402"/>
      <c r="Z547" s="402"/>
      <c r="AA547" s="405"/>
      <c r="AB547" s="405"/>
      <c r="AC547" s="405"/>
      <c r="AD547" s="405"/>
      <c r="AE547" s="405"/>
      <c r="AF547" s="405"/>
      <c r="AG547" s="405"/>
    </row>
    <row r="548" ht="14.25" customHeight="1">
      <c r="A548" s="406">
        <v>45525.0</v>
      </c>
      <c r="B548" s="417" t="s">
        <v>2820</v>
      </c>
      <c r="C548" s="417" t="s">
        <v>2821</v>
      </c>
      <c r="D548" s="417" t="s">
        <v>54</v>
      </c>
      <c r="E548" s="417" t="s">
        <v>2442</v>
      </c>
      <c r="F548" s="69">
        <v>31872.0</v>
      </c>
      <c r="G548" s="413">
        <v>42105.0</v>
      </c>
      <c r="H548" s="349" t="s">
        <v>267</v>
      </c>
      <c r="I548" s="404" t="str">
        <f t="shared" ref="I548:I552" si="13">IF(G548&gt;=F548,"FULLY PAID",IF(G548=0,"NOT PAID","PARTIALLY PAID"))</f>
        <v>FULLY PAID</v>
      </c>
      <c r="J548" s="402"/>
      <c r="K548" s="402"/>
      <c r="L548" s="402"/>
      <c r="M548" s="402"/>
      <c r="N548" s="402"/>
      <c r="O548" s="402"/>
      <c r="P548" s="402"/>
      <c r="Q548" s="402"/>
      <c r="R548" s="402"/>
      <c r="S548" s="402"/>
      <c r="T548" s="402"/>
      <c r="U548" s="402"/>
      <c r="V548" s="402"/>
      <c r="W548" s="402"/>
      <c r="X548" s="402"/>
      <c r="Y548" s="402"/>
      <c r="Z548" s="402"/>
      <c r="AA548" s="405"/>
      <c r="AB548" s="405"/>
      <c r="AC548" s="405"/>
      <c r="AD548" s="405"/>
      <c r="AE548" s="405"/>
      <c r="AF548" s="405"/>
      <c r="AG548" s="405"/>
    </row>
    <row r="549" ht="14.25" customHeight="1">
      <c r="A549" s="406">
        <v>45525.0</v>
      </c>
      <c r="B549" s="417" t="s">
        <v>2455</v>
      </c>
      <c r="C549" s="417" t="s">
        <v>2456</v>
      </c>
      <c r="D549" s="417" t="s">
        <v>54</v>
      </c>
      <c r="E549" s="417" t="s">
        <v>2442</v>
      </c>
      <c r="F549" s="69">
        <v>20000.0</v>
      </c>
      <c r="G549" s="403"/>
      <c r="H549" s="349" t="s">
        <v>2952</v>
      </c>
      <c r="I549" s="404" t="str">
        <f t="shared" si="13"/>
        <v>NOT PAID</v>
      </c>
      <c r="J549" s="402"/>
      <c r="K549" s="402"/>
      <c r="L549" s="402"/>
      <c r="M549" s="402"/>
      <c r="N549" s="402"/>
      <c r="O549" s="402"/>
      <c r="P549" s="402"/>
      <c r="Q549" s="402"/>
      <c r="R549" s="402"/>
      <c r="S549" s="402"/>
      <c r="T549" s="402"/>
      <c r="U549" s="402"/>
      <c r="V549" s="402"/>
      <c r="W549" s="402"/>
      <c r="X549" s="402"/>
      <c r="Y549" s="402"/>
      <c r="Z549" s="402"/>
      <c r="AA549" s="405"/>
      <c r="AB549" s="405"/>
      <c r="AC549" s="405"/>
      <c r="AD549" s="405"/>
      <c r="AE549" s="405"/>
      <c r="AF549" s="405"/>
      <c r="AG549" s="405"/>
    </row>
    <row r="550" ht="14.25" customHeight="1">
      <c r="A550" s="406">
        <v>45525.0</v>
      </c>
      <c r="B550" s="552" t="s">
        <v>2914</v>
      </c>
      <c r="C550" s="349" t="s">
        <v>2544</v>
      </c>
      <c r="D550" s="349" t="s">
        <v>75</v>
      </c>
      <c r="E550" s="417" t="s">
        <v>2442</v>
      </c>
      <c r="F550" s="413">
        <v>69000.0</v>
      </c>
      <c r="G550" s="403"/>
      <c r="H550" s="349" t="s">
        <v>2953</v>
      </c>
      <c r="I550" s="404" t="str">
        <f t="shared" si="13"/>
        <v>NOT PAID</v>
      </c>
      <c r="J550" s="402"/>
      <c r="K550" s="402"/>
      <c r="L550" s="402"/>
      <c r="M550" s="402"/>
      <c r="N550" s="402"/>
      <c r="O550" s="402"/>
      <c r="P550" s="402"/>
      <c r="Q550" s="402"/>
      <c r="R550" s="402"/>
      <c r="S550" s="402"/>
      <c r="T550" s="402"/>
      <c r="U550" s="402"/>
      <c r="V550" s="402"/>
      <c r="W550" s="402"/>
      <c r="X550" s="402"/>
      <c r="Y550" s="402"/>
      <c r="Z550" s="402"/>
      <c r="AA550" s="405"/>
      <c r="AB550" s="405"/>
      <c r="AC550" s="405"/>
      <c r="AD550" s="405"/>
      <c r="AE550" s="405"/>
      <c r="AF550" s="405"/>
      <c r="AG550" s="405"/>
    </row>
    <row r="551" ht="14.25" customHeight="1">
      <c r="A551" s="406">
        <v>45525.0</v>
      </c>
      <c r="B551" s="349" t="s">
        <v>2954</v>
      </c>
      <c r="C551" s="349" t="s">
        <v>2537</v>
      </c>
      <c r="D551" s="417" t="s">
        <v>54</v>
      </c>
      <c r="E551" s="417" t="s">
        <v>2442</v>
      </c>
      <c r="F551" s="662">
        <v>25513.0</v>
      </c>
      <c r="G551" s="559">
        <v>25513.0</v>
      </c>
      <c r="H551" s="349" t="s">
        <v>267</v>
      </c>
      <c r="I551" s="404" t="str">
        <f t="shared" si="13"/>
        <v>FULLY PAID</v>
      </c>
      <c r="J551" s="402"/>
      <c r="K551" s="402"/>
      <c r="L551" s="402"/>
      <c r="M551" s="402"/>
      <c r="N551" s="402"/>
      <c r="O551" s="402"/>
      <c r="P551" s="402"/>
      <c r="Q551" s="402"/>
      <c r="R551" s="402"/>
      <c r="S551" s="402"/>
      <c r="T551" s="402"/>
      <c r="U551" s="402"/>
      <c r="V551" s="402"/>
      <c r="W551" s="402"/>
      <c r="X551" s="402"/>
      <c r="Y551" s="402"/>
      <c r="Z551" s="402"/>
      <c r="AA551" s="405"/>
      <c r="AB551" s="405"/>
      <c r="AC551" s="405"/>
      <c r="AD551" s="405"/>
      <c r="AE551" s="405"/>
      <c r="AF551" s="405"/>
      <c r="AG551" s="405"/>
    </row>
    <row r="552" ht="14.25" customHeight="1">
      <c r="A552" s="406">
        <v>45525.0</v>
      </c>
      <c r="B552" s="349" t="s">
        <v>2508</v>
      </c>
      <c r="C552" s="349" t="s">
        <v>2509</v>
      </c>
      <c r="D552" s="417" t="s">
        <v>54</v>
      </c>
      <c r="E552" s="417" t="s">
        <v>2442</v>
      </c>
      <c r="F552" s="662">
        <v>48000.0</v>
      </c>
      <c r="G552" s="403"/>
      <c r="H552" s="349" t="s">
        <v>2955</v>
      </c>
      <c r="I552" s="404" t="str">
        <f t="shared" si="13"/>
        <v>NOT PAID</v>
      </c>
      <c r="J552" s="402"/>
      <c r="K552" s="402"/>
      <c r="L552" s="402"/>
      <c r="M552" s="402"/>
      <c r="N552" s="402"/>
      <c r="O552" s="402"/>
      <c r="P552" s="402"/>
      <c r="Q552" s="402"/>
      <c r="R552" s="402"/>
      <c r="S552" s="402"/>
      <c r="T552" s="402"/>
      <c r="U552" s="402"/>
      <c r="V552" s="402"/>
      <c r="W552" s="402"/>
      <c r="X552" s="402"/>
      <c r="Y552" s="402"/>
      <c r="Z552" s="402"/>
      <c r="AA552" s="405"/>
      <c r="AB552" s="405"/>
      <c r="AC552" s="405"/>
      <c r="AD552" s="405"/>
      <c r="AE552" s="405"/>
      <c r="AF552" s="405"/>
      <c r="AG552" s="405"/>
    </row>
    <row r="553" ht="14.25" customHeight="1">
      <c r="A553" s="406">
        <v>45525.0</v>
      </c>
      <c r="B553" s="349" t="s">
        <v>2709</v>
      </c>
      <c r="C553" s="349" t="s">
        <v>2497</v>
      </c>
      <c r="D553" s="417" t="s">
        <v>54</v>
      </c>
      <c r="E553" s="417" t="s">
        <v>2442</v>
      </c>
      <c r="F553" s="662">
        <v>50000.0</v>
      </c>
      <c r="G553" s="403"/>
      <c r="H553" s="349" t="s">
        <v>2956</v>
      </c>
      <c r="I553" s="402"/>
      <c r="J553" s="402"/>
      <c r="K553" s="402"/>
      <c r="L553" s="402"/>
      <c r="M553" s="402"/>
      <c r="N553" s="402"/>
      <c r="O553" s="402"/>
      <c r="P553" s="402"/>
      <c r="Q553" s="402"/>
      <c r="R553" s="402"/>
      <c r="S553" s="402"/>
      <c r="T553" s="402"/>
      <c r="U553" s="402"/>
      <c r="V553" s="402"/>
      <c r="W553" s="402"/>
      <c r="X553" s="402"/>
      <c r="Y553" s="402"/>
      <c r="Z553" s="402"/>
      <c r="AA553" s="405"/>
      <c r="AB553" s="405"/>
      <c r="AC553" s="405"/>
      <c r="AD553" s="405"/>
      <c r="AE553" s="405"/>
      <c r="AF553" s="405"/>
      <c r="AG553" s="405"/>
    </row>
    <row r="554" ht="14.25" customHeight="1">
      <c r="A554" s="406">
        <v>45525.0</v>
      </c>
      <c r="B554" s="349" t="s">
        <v>2847</v>
      </c>
      <c r="C554" s="349" t="s">
        <v>2848</v>
      </c>
      <c r="D554" s="417" t="s">
        <v>54</v>
      </c>
      <c r="E554" s="417" t="s">
        <v>2442</v>
      </c>
      <c r="F554" s="662">
        <v>10000.0</v>
      </c>
      <c r="G554" s="403"/>
      <c r="H554" s="349" t="s">
        <v>2957</v>
      </c>
      <c r="I554" s="402"/>
      <c r="J554" s="402"/>
      <c r="K554" s="402"/>
      <c r="L554" s="402"/>
      <c r="M554" s="402"/>
      <c r="N554" s="402"/>
      <c r="O554" s="402"/>
      <c r="P554" s="402"/>
      <c r="Q554" s="402"/>
      <c r="R554" s="402"/>
      <c r="S554" s="402"/>
      <c r="T554" s="402"/>
      <c r="U554" s="402"/>
      <c r="V554" s="402"/>
      <c r="W554" s="402"/>
      <c r="X554" s="402"/>
      <c r="Y554" s="402"/>
      <c r="Z554" s="402"/>
      <c r="AA554" s="405"/>
      <c r="AB554" s="405"/>
      <c r="AC554" s="405"/>
      <c r="AD554" s="405"/>
      <c r="AE554" s="405"/>
      <c r="AF554" s="405"/>
      <c r="AG554" s="405"/>
    </row>
    <row r="555" ht="14.25" customHeight="1">
      <c r="A555" s="406">
        <v>45525.0</v>
      </c>
      <c r="B555" s="349" t="s">
        <v>2547</v>
      </c>
      <c r="C555" s="349" t="s">
        <v>2607</v>
      </c>
      <c r="D555" s="417" t="s">
        <v>54</v>
      </c>
      <c r="E555" s="417" t="s">
        <v>2442</v>
      </c>
      <c r="F555" s="662">
        <v>10000.0</v>
      </c>
      <c r="G555" s="413">
        <v>8000.0</v>
      </c>
      <c r="H555" s="65" t="s">
        <v>710</v>
      </c>
      <c r="I555" s="402"/>
      <c r="J555" s="402"/>
      <c r="K555" s="402"/>
      <c r="L555" s="402"/>
      <c r="M555" s="402"/>
      <c r="N555" s="402"/>
      <c r="O555" s="402"/>
      <c r="P555" s="402"/>
      <c r="Q555" s="402"/>
      <c r="R555" s="402"/>
      <c r="S555" s="402"/>
      <c r="T555" s="402"/>
      <c r="U555" s="402"/>
      <c r="V555" s="402"/>
      <c r="W555" s="402"/>
      <c r="X555" s="402"/>
      <c r="Y555" s="402"/>
      <c r="Z555" s="402"/>
      <c r="AA555" s="405"/>
      <c r="AB555" s="405"/>
      <c r="AC555" s="405"/>
      <c r="AD555" s="405"/>
      <c r="AE555" s="405"/>
      <c r="AF555" s="405"/>
      <c r="AG555" s="405"/>
    </row>
    <row r="556" ht="14.25" customHeight="1">
      <c r="A556" s="406">
        <v>45525.0</v>
      </c>
      <c r="B556" s="349" t="s">
        <v>2764</v>
      </c>
      <c r="C556" s="349" t="s">
        <v>2856</v>
      </c>
      <c r="D556" s="349" t="s">
        <v>54</v>
      </c>
      <c r="E556" s="696" t="s">
        <v>2469</v>
      </c>
      <c r="F556" s="559">
        <v>34851.0</v>
      </c>
      <c r="G556" s="403"/>
      <c r="H556" s="349" t="s">
        <v>2958</v>
      </c>
      <c r="I556" s="402"/>
      <c r="J556" s="402"/>
      <c r="K556" s="402"/>
      <c r="L556" s="402"/>
      <c r="M556" s="402"/>
      <c r="N556" s="402"/>
      <c r="O556" s="402"/>
      <c r="P556" s="402"/>
      <c r="Q556" s="402"/>
      <c r="R556" s="402"/>
      <c r="S556" s="402"/>
      <c r="T556" s="402"/>
      <c r="U556" s="402"/>
      <c r="V556" s="402"/>
      <c r="W556" s="402"/>
      <c r="X556" s="402"/>
      <c r="Y556" s="402"/>
      <c r="Z556" s="402"/>
      <c r="AA556" s="405"/>
      <c r="AB556" s="405"/>
      <c r="AC556" s="405"/>
      <c r="AD556" s="405"/>
      <c r="AE556" s="405"/>
      <c r="AF556" s="405"/>
      <c r="AG556" s="405"/>
    </row>
    <row r="557" ht="14.25" customHeight="1">
      <c r="A557" s="406">
        <v>45525.0</v>
      </c>
      <c r="B557" s="349" t="s">
        <v>2863</v>
      </c>
      <c r="C557" s="349" t="s">
        <v>2864</v>
      </c>
      <c r="D557" s="349" t="s">
        <v>54</v>
      </c>
      <c r="E557" s="696" t="s">
        <v>2469</v>
      </c>
      <c r="F557" s="559">
        <v>41581.0</v>
      </c>
      <c r="G557" s="413">
        <v>41581.0</v>
      </c>
      <c r="H557" s="349" t="s">
        <v>2959</v>
      </c>
      <c r="I557" s="402"/>
      <c r="J557" s="402"/>
      <c r="K557" s="402"/>
      <c r="L557" s="402"/>
      <c r="M557" s="402"/>
      <c r="N557" s="402"/>
      <c r="O557" s="402"/>
      <c r="P557" s="402"/>
      <c r="Q557" s="402"/>
      <c r="R557" s="402"/>
      <c r="S557" s="402"/>
      <c r="T557" s="402"/>
      <c r="U557" s="402"/>
      <c r="V557" s="402"/>
      <c r="W557" s="402"/>
      <c r="X557" s="402"/>
      <c r="Y557" s="402"/>
      <c r="Z557" s="402"/>
      <c r="AA557" s="405"/>
      <c r="AB557" s="405"/>
      <c r="AC557" s="405"/>
      <c r="AD557" s="405"/>
      <c r="AE557" s="405"/>
      <c r="AF557" s="405"/>
      <c r="AG557" s="405"/>
    </row>
    <row r="558" ht="14.25" customHeight="1">
      <c r="A558" s="406">
        <v>45525.0</v>
      </c>
      <c r="B558" s="349" t="s">
        <v>2643</v>
      </c>
      <c r="C558" s="349" t="s">
        <v>2902</v>
      </c>
      <c r="D558" s="349" t="s">
        <v>54</v>
      </c>
      <c r="E558" s="696" t="s">
        <v>2469</v>
      </c>
      <c r="F558" s="662">
        <v>4032.0</v>
      </c>
      <c r="G558" s="403"/>
      <c r="H558" s="349" t="s">
        <v>2960</v>
      </c>
      <c r="I558" s="402"/>
      <c r="J558" s="402"/>
      <c r="K558" s="402"/>
      <c r="L558" s="402"/>
      <c r="M558" s="402"/>
      <c r="N558" s="402"/>
      <c r="O558" s="402"/>
      <c r="P558" s="402"/>
      <c r="Q558" s="402"/>
      <c r="R558" s="402"/>
      <c r="S558" s="402"/>
      <c r="T558" s="402"/>
      <c r="U558" s="402"/>
      <c r="V558" s="402"/>
      <c r="W558" s="402"/>
      <c r="X558" s="402"/>
      <c r="Y558" s="402"/>
      <c r="Z558" s="402"/>
      <c r="AA558" s="405"/>
      <c r="AB558" s="405"/>
      <c r="AC558" s="405"/>
      <c r="AD558" s="405"/>
      <c r="AE558" s="405"/>
      <c r="AF558" s="405"/>
      <c r="AG558" s="405"/>
    </row>
    <row r="559" ht="14.25" customHeight="1">
      <c r="A559" s="406">
        <v>45525.0</v>
      </c>
      <c r="B559" s="349" t="s">
        <v>2551</v>
      </c>
      <c r="C559" s="349" t="s">
        <v>2948</v>
      </c>
      <c r="D559" s="402" t="s">
        <v>54</v>
      </c>
      <c r="E559" s="696" t="s">
        <v>2469</v>
      </c>
      <c r="F559" s="559">
        <v>20000.0</v>
      </c>
      <c r="G559" s="403"/>
      <c r="H559" s="349" t="s">
        <v>2961</v>
      </c>
      <c r="I559" s="402"/>
      <c r="J559" s="402"/>
      <c r="K559" s="402"/>
      <c r="L559" s="402"/>
      <c r="M559" s="402"/>
      <c r="N559" s="402"/>
      <c r="O559" s="402"/>
      <c r="P559" s="402"/>
      <c r="Q559" s="402"/>
      <c r="R559" s="402"/>
      <c r="S559" s="402"/>
      <c r="T559" s="402"/>
      <c r="U559" s="402"/>
      <c r="V559" s="402"/>
      <c r="W559" s="402"/>
      <c r="X559" s="402"/>
      <c r="Y559" s="402"/>
      <c r="Z559" s="402"/>
      <c r="AA559" s="405"/>
      <c r="AB559" s="405"/>
      <c r="AC559" s="405"/>
      <c r="AD559" s="405"/>
      <c r="AE559" s="405"/>
      <c r="AF559" s="405"/>
      <c r="AG559" s="405"/>
    </row>
    <row r="560" ht="14.25" customHeight="1">
      <c r="A560" s="697">
        <v>45525.0</v>
      </c>
      <c r="B560" s="393" t="s">
        <v>2873</v>
      </c>
      <c r="C560" s="698" t="s">
        <v>2874</v>
      </c>
      <c r="D560" s="698" t="s">
        <v>54</v>
      </c>
      <c r="E560" s="698" t="s">
        <v>2469</v>
      </c>
      <c r="F560" s="699">
        <v>178304.0</v>
      </c>
      <c r="G560" s="475"/>
      <c r="H560" s="395" t="s">
        <v>2962</v>
      </c>
      <c r="I560" s="402"/>
      <c r="J560" s="402"/>
      <c r="K560" s="402"/>
      <c r="L560" s="402"/>
      <c r="M560" s="402"/>
      <c r="N560" s="402"/>
      <c r="O560" s="402"/>
      <c r="P560" s="402"/>
      <c r="Q560" s="402"/>
      <c r="R560" s="402"/>
      <c r="S560" s="402"/>
      <c r="T560" s="402"/>
      <c r="U560" s="402"/>
      <c r="V560" s="402"/>
      <c r="W560" s="402"/>
      <c r="X560" s="402"/>
      <c r="Y560" s="402"/>
      <c r="Z560" s="402"/>
      <c r="AA560" s="405"/>
      <c r="AB560" s="405"/>
      <c r="AC560" s="405"/>
      <c r="AD560" s="405"/>
      <c r="AE560" s="405"/>
      <c r="AF560" s="405"/>
      <c r="AG560" s="405"/>
    </row>
    <row r="561" ht="14.25" customHeight="1">
      <c r="A561" s="697">
        <v>45525.0</v>
      </c>
      <c r="B561" s="393" t="s">
        <v>2697</v>
      </c>
      <c r="C561" s="698" t="s">
        <v>2756</v>
      </c>
      <c r="D561" s="698" t="s">
        <v>54</v>
      </c>
      <c r="E561" s="698" t="s">
        <v>2469</v>
      </c>
      <c r="F561" s="699">
        <v>71466.79</v>
      </c>
      <c r="G561" s="475"/>
      <c r="H561" s="395" t="s">
        <v>2963</v>
      </c>
      <c r="I561" s="402"/>
      <c r="J561" s="402"/>
      <c r="K561" s="402"/>
      <c r="L561" s="402"/>
      <c r="M561" s="402"/>
      <c r="N561" s="402"/>
      <c r="O561" s="402"/>
      <c r="P561" s="402"/>
      <c r="Q561" s="402"/>
      <c r="R561" s="402"/>
      <c r="S561" s="402"/>
      <c r="T561" s="402"/>
      <c r="U561" s="402"/>
      <c r="V561" s="402"/>
      <c r="W561" s="402"/>
      <c r="X561" s="402"/>
      <c r="Y561" s="402"/>
      <c r="Z561" s="402"/>
      <c r="AA561" s="405"/>
      <c r="AB561" s="405"/>
      <c r="AC561" s="405"/>
      <c r="AD561" s="405"/>
      <c r="AE561" s="405"/>
      <c r="AF561" s="405"/>
      <c r="AG561" s="405"/>
    </row>
    <row r="562" ht="14.25" customHeight="1">
      <c r="A562" s="697">
        <v>45525.0</v>
      </c>
      <c r="B562" s="471" t="s">
        <v>2493</v>
      </c>
      <c r="C562" s="471" t="s">
        <v>2964</v>
      </c>
      <c r="D562" s="698" t="s">
        <v>54</v>
      </c>
      <c r="E562" s="471" t="s">
        <v>2469</v>
      </c>
      <c r="F562" s="600">
        <v>100000.0</v>
      </c>
      <c r="G562" s="475"/>
      <c r="H562" s="395" t="s">
        <v>2965</v>
      </c>
      <c r="I562" s="402"/>
      <c r="J562" s="402"/>
      <c r="K562" s="402"/>
      <c r="L562" s="402"/>
      <c r="M562" s="402"/>
      <c r="N562" s="402"/>
      <c r="O562" s="402"/>
      <c r="P562" s="402"/>
      <c r="Q562" s="402"/>
      <c r="R562" s="402"/>
      <c r="S562" s="402"/>
      <c r="T562" s="402"/>
      <c r="U562" s="402"/>
      <c r="V562" s="402"/>
      <c r="W562" s="402"/>
      <c r="X562" s="402"/>
      <c r="Y562" s="402"/>
      <c r="Z562" s="402"/>
      <c r="AA562" s="405"/>
      <c r="AB562" s="405"/>
      <c r="AC562" s="405"/>
      <c r="AD562" s="405"/>
      <c r="AE562" s="405"/>
      <c r="AF562" s="405"/>
      <c r="AG562" s="405"/>
    </row>
    <row r="563" ht="14.25" customHeight="1">
      <c r="B563" s="402"/>
      <c r="C563" s="402"/>
      <c r="D563" s="402"/>
      <c r="E563" s="402"/>
      <c r="F563" s="664"/>
      <c r="G563" s="403"/>
      <c r="H563" s="402"/>
      <c r="I563" s="402"/>
      <c r="J563" s="402"/>
      <c r="K563" s="402"/>
      <c r="L563" s="402"/>
      <c r="M563" s="402"/>
      <c r="N563" s="402"/>
      <c r="O563" s="402"/>
      <c r="P563" s="402"/>
      <c r="Q563" s="402"/>
      <c r="R563" s="402"/>
      <c r="S563" s="402"/>
      <c r="T563" s="402"/>
      <c r="U563" s="402"/>
      <c r="V563" s="402"/>
      <c r="W563" s="402"/>
      <c r="X563" s="402"/>
      <c r="Y563" s="402"/>
      <c r="Z563" s="402"/>
      <c r="AA563" s="405"/>
      <c r="AB563" s="405"/>
      <c r="AC563" s="405"/>
      <c r="AD563" s="405"/>
      <c r="AE563" s="405"/>
      <c r="AF563" s="405"/>
      <c r="AG563" s="405"/>
    </row>
    <row r="564" ht="14.25" customHeight="1">
      <c r="A564" s="406"/>
      <c r="B564" s="402"/>
      <c r="C564" s="402"/>
      <c r="D564" s="402"/>
      <c r="E564" s="402"/>
      <c r="F564" s="664"/>
      <c r="G564" s="403"/>
      <c r="H564" s="402"/>
      <c r="I564" s="402"/>
      <c r="J564" s="402"/>
      <c r="K564" s="402"/>
      <c r="L564" s="402"/>
      <c r="M564" s="402"/>
      <c r="N564" s="402"/>
      <c r="O564" s="402"/>
      <c r="P564" s="402"/>
      <c r="Q564" s="402"/>
      <c r="R564" s="402"/>
      <c r="S564" s="402"/>
      <c r="T564" s="402"/>
      <c r="U564" s="402"/>
      <c r="V564" s="402"/>
      <c r="W564" s="402"/>
      <c r="X564" s="402"/>
      <c r="Y564" s="402"/>
      <c r="Z564" s="402"/>
      <c r="AA564" s="405"/>
      <c r="AB564" s="405"/>
      <c r="AC564" s="405"/>
      <c r="AD564" s="405"/>
      <c r="AE564" s="405"/>
      <c r="AF564" s="405"/>
      <c r="AG564" s="405"/>
    </row>
    <row r="565" ht="14.25" customHeight="1">
      <c r="A565" s="406"/>
      <c r="B565" s="402"/>
      <c r="C565" s="402"/>
      <c r="D565" s="402"/>
      <c r="E565" s="402"/>
      <c r="F565" s="664"/>
      <c r="G565" s="403"/>
      <c r="H565" s="402"/>
      <c r="I565" s="402"/>
      <c r="J565" s="402"/>
      <c r="K565" s="402"/>
      <c r="L565" s="402"/>
      <c r="M565" s="402"/>
      <c r="N565" s="402"/>
      <c r="O565" s="402"/>
      <c r="P565" s="402"/>
      <c r="Q565" s="402"/>
      <c r="R565" s="402"/>
      <c r="S565" s="402"/>
      <c r="T565" s="402"/>
      <c r="U565" s="402"/>
      <c r="V565" s="402"/>
      <c r="W565" s="402"/>
      <c r="X565" s="402"/>
      <c r="Y565" s="402"/>
      <c r="Z565" s="402"/>
      <c r="AA565" s="405"/>
      <c r="AB565" s="405"/>
      <c r="AC565" s="405"/>
      <c r="AD565" s="405"/>
      <c r="AE565" s="405"/>
      <c r="AF565" s="405"/>
      <c r="AG565" s="405"/>
    </row>
    <row r="566" ht="14.25" customHeight="1">
      <c r="A566" s="402"/>
      <c r="B566" s="402"/>
      <c r="C566" s="402"/>
      <c r="D566" s="402"/>
      <c r="E566" s="402"/>
      <c r="F566" s="664"/>
      <c r="G566" s="403"/>
      <c r="H566" s="402"/>
      <c r="I566" s="402"/>
      <c r="J566" s="402"/>
      <c r="K566" s="402"/>
      <c r="L566" s="402"/>
      <c r="M566" s="402"/>
      <c r="N566" s="402"/>
      <c r="O566" s="402"/>
      <c r="P566" s="402"/>
      <c r="Q566" s="402"/>
      <c r="R566" s="402"/>
      <c r="S566" s="402"/>
      <c r="T566" s="402"/>
      <c r="U566" s="402"/>
      <c r="V566" s="402"/>
      <c r="W566" s="402"/>
      <c r="X566" s="402"/>
      <c r="Y566" s="402"/>
      <c r="Z566" s="402"/>
      <c r="AA566" s="405"/>
      <c r="AB566" s="405"/>
      <c r="AC566" s="405"/>
      <c r="AD566" s="405"/>
      <c r="AE566" s="405"/>
      <c r="AF566" s="405"/>
      <c r="AG566" s="405"/>
    </row>
    <row r="567" ht="14.25" customHeight="1">
      <c r="A567" s="584" t="s">
        <v>2130</v>
      </c>
      <c r="B567" s="584" t="s">
        <v>39</v>
      </c>
      <c r="C567" s="584" t="s">
        <v>48</v>
      </c>
      <c r="D567" s="584" t="s">
        <v>49</v>
      </c>
      <c r="E567" s="584" t="s">
        <v>50</v>
      </c>
      <c r="F567" s="658" t="s">
        <v>2</v>
      </c>
      <c r="G567" s="586" t="s">
        <v>44</v>
      </c>
      <c r="H567" s="584" t="s">
        <v>45</v>
      </c>
      <c r="I567" s="402"/>
      <c r="J567" s="402"/>
      <c r="K567" s="402"/>
      <c r="L567" s="402"/>
      <c r="M567" s="402"/>
      <c r="N567" s="402"/>
      <c r="O567" s="402"/>
      <c r="P567" s="402"/>
      <c r="Q567" s="402"/>
      <c r="R567" s="402"/>
      <c r="S567" s="402"/>
      <c r="T567" s="402"/>
      <c r="U567" s="402"/>
      <c r="V567" s="402"/>
      <c r="W567" s="402"/>
      <c r="X567" s="402"/>
      <c r="Y567" s="402"/>
      <c r="Z567" s="402"/>
      <c r="AA567" s="405"/>
      <c r="AB567" s="405"/>
      <c r="AC567" s="405"/>
      <c r="AD567" s="405"/>
      <c r="AE567" s="405"/>
      <c r="AF567" s="405"/>
      <c r="AG567" s="405"/>
    </row>
    <row r="568" ht="14.25" customHeight="1">
      <c r="A568" s="697">
        <v>45526.0</v>
      </c>
      <c r="B568" s="471" t="s">
        <v>0</v>
      </c>
      <c r="C568" s="413" t="s">
        <v>2444</v>
      </c>
      <c r="D568" s="471" t="s">
        <v>54</v>
      </c>
      <c r="E568" s="417" t="s">
        <v>2442</v>
      </c>
      <c r="F568" s="413">
        <v>20717.0</v>
      </c>
      <c r="G568" s="470"/>
      <c r="H568" s="349" t="s">
        <v>2913</v>
      </c>
      <c r="I568" s="700"/>
      <c r="J568" s="701"/>
      <c r="K568" s="349"/>
      <c r="L568" s="349"/>
      <c r="M568" s="413"/>
      <c r="N568" s="413">
        <v>20717.0</v>
      </c>
      <c r="O568" s="402"/>
      <c r="P568" s="402"/>
      <c r="Q568" s="402"/>
      <c r="R568" s="402"/>
      <c r="S568" s="402"/>
      <c r="T568" s="402"/>
      <c r="U568" s="402"/>
      <c r="V568" s="402"/>
      <c r="W568" s="402"/>
      <c r="X568" s="402"/>
      <c r="Y568" s="402"/>
      <c r="Z568" s="402"/>
      <c r="AA568" s="405"/>
      <c r="AB568" s="405"/>
      <c r="AC568" s="405"/>
      <c r="AD568" s="405"/>
      <c r="AE568" s="405"/>
      <c r="AF568" s="405"/>
      <c r="AG568" s="405"/>
    </row>
    <row r="569" ht="14.25" customHeight="1">
      <c r="A569" s="697">
        <v>45526.0</v>
      </c>
      <c r="B569" s="349" t="s">
        <v>2966</v>
      </c>
      <c r="C569" s="349" t="s">
        <v>2967</v>
      </c>
      <c r="D569" s="349" t="s">
        <v>54</v>
      </c>
      <c r="E569" s="417" t="s">
        <v>2442</v>
      </c>
      <c r="F569" s="413">
        <v>31000.0</v>
      </c>
      <c r="G569" s="413"/>
      <c r="H569" s="349" t="s">
        <v>2913</v>
      </c>
      <c r="I569" s="406"/>
      <c r="J569" s="402"/>
      <c r="K569" s="349"/>
      <c r="L569" s="413"/>
      <c r="M569" s="349"/>
      <c r="N569" s="413">
        <v>51000.0</v>
      </c>
      <c r="O569" s="402"/>
      <c r="P569" s="402"/>
      <c r="Q569" s="402"/>
      <c r="R569" s="402"/>
      <c r="S569" s="402"/>
      <c r="T569" s="402"/>
      <c r="U569" s="402"/>
      <c r="V569" s="402"/>
      <c r="W569" s="402"/>
      <c r="X569" s="402"/>
      <c r="Y569" s="402"/>
      <c r="Z569" s="402"/>
      <c r="AA569" s="405"/>
      <c r="AB569" s="405"/>
      <c r="AC569" s="405"/>
      <c r="AD569" s="405"/>
      <c r="AE569" s="405"/>
      <c r="AF569" s="405"/>
      <c r="AG569" s="405"/>
    </row>
    <row r="570" ht="14.25" customHeight="1">
      <c r="A570" s="697">
        <v>45526.0</v>
      </c>
      <c r="B570" s="349" t="s">
        <v>2729</v>
      </c>
      <c r="C570" s="349" t="s">
        <v>2730</v>
      </c>
      <c r="D570" s="349" t="s">
        <v>54</v>
      </c>
      <c r="E570" s="417" t="s">
        <v>2442</v>
      </c>
      <c r="F570" s="662">
        <v>10000.0</v>
      </c>
      <c r="G570" s="413">
        <v>10000.0</v>
      </c>
      <c r="H570" s="402"/>
      <c r="I570" s="402"/>
      <c r="J570" s="402"/>
      <c r="K570" s="402"/>
      <c r="L570" s="402"/>
      <c r="M570" s="402"/>
      <c r="N570" s="402"/>
      <c r="O570" s="402"/>
      <c r="P570" s="402"/>
      <c r="Q570" s="402"/>
      <c r="R570" s="402"/>
      <c r="S570" s="402"/>
      <c r="T570" s="402"/>
      <c r="U570" s="402"/>
      <c r="V570" s="402"/>
      <c r="W570" s="402"/>
      <c r="X570" s="402"/>
      <c r="Y570" s="402"/>
      <c r="Z570" s="402"/>
      <c r="AA570" s="405"/>
      <c r="AB570" s="405"/>
      <c r="AC570" s="405"/>
      <c r="AD570" s="405"/>
      <c r="AE570" s="405"/>
      <c r="AF570" s="405"/>
      <c r="AG570" s="405"/>
    </row>
    <row r="571" ht="14.25" customHeight="1">
      <c r="A571" s="697">
        <v>45526.0</v>
      </c>
      <c r="B571" s="349" t="s">
        <v>2508</v>
      </c>
      <c r="C571" s="349" t="s">
        <v>2509</v>
      </c>
      <c r="D571" s="417" t="s">
        <v>54</v>
      </c>
      <c r="E571" s="417" t="s">
        <v>2442</v>
      </c>
      <c r="F571" s="662">
        <v>48000.0</v>
      </c>
      <c r="G571" s="403"/>
      <c r="H571" s="349" t="s">
        <v>2968</v>
      </c>
      <c r="I571" s="402"/>
      <c r="J571" s="402"/>
      <c r="K571" s="402"/>
      <c r="L571" s="402"/>
      <c r="M571" s="402"/>
      <c r="N571" s="402"/>
      <c r="O571" s="402"/>
      <c r="P571" s="402"/>
      <c r="Q571" s="402"/>
      <c r="R571" s="402"/>
      <c r="S571" s="402"/>
      <c r="T571" s="402"/>
      <c r="U571" s="402"/>
      <c r="V571" s="402"/>
      <c r="W571" s="402"/>
      <c r="X571" s="402"/>
      <c r="Y571" s="402"/>
      <c r="Z571" s="402"/>
      <c r="AA571" s="405"/>
      <c r="AB571" s="405"/>
      <c r="AC571" s="405"/>
      <c r="AD571" s="405"/>
      <c r="AE571" s="405"/>
      <c r="AF571" s="405"/>
      <c r="AG571" s="405"/>
    </row>
    <row r="572" ht="14.25" customHeight="1">
      <c r="A572" s="697">
        <v>45526.0</v>
      </c>
      <c r="B572" s="349" t="s">
        <v>2709</v>
      </c>
      <c r="C572" s="349" t="s">
        <v>2497</v>
      </c>
      <c r="D572" s="417" t="s">
        <v>54</v>
      </c>
      <c r="E572" s="417" t="s">
        <v>2442</v>
      </c>
      <c r="F572" s="662">
        <v>50000.0</v>
      </c>
      <c r="G572" s="403"/>
      <c r="H572" s="349" t="s">
        <v>2969</v>
      </c>
      <c r="I572" s="402"/>
      <c r="J572" s="402"/>
      <c r="K572" s="402"/>
      <c r="L572" s="402"/>
      <c r="M572" s="402"/>
      <c r="N572" s="402"/>
      <c r="O572" s="402"/>
      <c r="P572" s="402"/>
      <c r="Q572" s="402"/>
      <c r="R572" s="402"/>
      <c r="S572" s="402"/>
      <c r="T572" s="402"/>
      <c r="U572" s="402"/>
      <c r="V572" s="402"/>
      <c r="W572" s="402"/>
      <c r="X572" s="402"/>
      <c r="Y572" s="402"/>
      <c r="Z572" s="402"/>
      <c r="AA572" s="405"/>
      <c r="AB572" s="405"/>
      <c r="AC572" s="405"/>
      <c r="AD572" s="405"/>
      <c r="AE572" s="405"/>
      <c r="AF572" s="405"/>
      <c r="AG572" s="405"/>
    </row>
    <row r="573" ht="14.25" customHeight="1">
      <c r="A573" s="697">
        <v>45526.0</v>
      </c>
      <c r="B573" s="349" t="s">
        <v>2847</v>
      </c>
      <c r="C573" s="349" t="s">
        <v>2848</v>
      </c>
      <c r="D573" s="417" t="s">
        <v>54</v>
      </c>
      <c r="E573" s="417" t="s">
        <v>2442</v>
      </c>
      <c r="F573" s="662">
        <v>10000.0</v>
      </c>
      <c r="G573" s="403"/>
      <c r="H573" s="349" t="s">
        <v>2970</v>
      </c>
      <c r="I573" s="402"/>
      <c r="J573" s="402"/>
      <c r="K573" s="402"/>
      <c r="L573" s="402"/>
      <c r="M573" s="402"/>
      <c r="N573" s="402"/>
      <c r="O573" s="402"/>
      <c r="P573" s="402"/>
      <c r="Q573" s="402"/>
      <c r="R573" s="402"/>
      <c r="S573" s="402"/>
      <c r="T573" s="402"/>
      <c r="U573" s="402"/>
      <c r="V573" s="402"/>
      <c r="W573" s="402"/>
      <c r="X573" s="402"/>
      <c r="Y573" s="402"/>
      <c r="Z573" s="402"/>
      <c r="AA573" s="405"/>
      <c r="AB573" s="405"/>
      <c r="AC573" s="405"/>
      <c r="AD573" s="405"/>
      <c r="AE573" s="405"/>
      <c r="AF573" s="405"/>
      <c r="AG573" s="405"/>
    </row>
    <row r="574" ht="14.25" customHeight="1">
      <c r="A574" s="697">
        <v>45526.0</v>
      </c>
      <c r="B574" s="349" t="s">
        <v>2619</v>
      </c>
      <c r="C574" s="349" t="s">
        <v>2837</v>
      </c>
      <c r="D574" s="402" t="s">
        <v>54</v>
      </c>
      <c r="E574" s="349" t="s">
        <v>2832</v>
      </c>
      <c r="F574" s="662">
        <v>161463.0</v>
      </c>
      <c r="G574" s="403"/>
      <c r="H574" s="349" t="s">
        <v>2971</v>
      </c>
      <c r="I574" s="402"/>
      <c r="J574" s="402"/>
      <c r="K574" s="402"/>
      <c r="L574" s="402"/>
      <c r="M574" s="402"/>
      <c r="N574" s="402"/>
      <c r="O574" s="402"/>
      <c r="P574" s="402"/>
      <c r="Q574" s="402"/>
      <c r="R574" s="402"/>
      <c r="S574" s="402"/>
      <c r="T574" s="402"/>
      <c r="U574" s="402"/>
      <c r="V574" s="402"/>
      <c r="W574" s="402"/>
      <c r="X574" s="402"/>
      <c r="Y574" s="402"/>
      <c r="Z574" s="402"/>
      <c r="AA574" s="405"/>
      <c r="AB574" s="405"/>
      <c r="AC574" s="405"/>
      <c r="AD574" s="405"/>
      <c r="AE574" s="405"/>
      <c r="AF574" s="405"/>
      <c r="AG574" s="405"/>
    </row>
    <row r="575" ht="14.25" customHeight="1">
      <c r="A575" s="697">
        <v>45526.0</v>
      </c>
      <c r="B575" s="349" t="s">
        <v>2446</v>
      </c>
      <c r="C575" s="349" t="s">
        <v>2972</v>
      </c>
      <c r="D575" s="402" t="s">
        <v>54</v>
      </c>
      <c r="E575" s="349" t="s">
        <v>2832</v>
      </c>
      <c r="F575" s="662">
        <v>243325.0</v>
      </c>
      <c r="G575" s="559">
        <v>243325.0</v>
      </c>
      <c r="H575" s="349" t="s">
        <v>185</v>
      </c>
      <c r="I575" s="402"/>
      <c r="J575" s="402"/>
      <c r="K575" s="402"/>
      <c r="L575" s="402"/>
      <c r="M575" s="402"/>
      <c r="N575" s="402"/>
      <c r="O575" s="402"/>
      <c r="P575" s="402"/>
      <c r="Q575" s="402"/>
      <c r="R575" s="402"/>
      <c r="S575" s="402"/>
      <c r="T575" s="402"/>
      <c r="U575" s="402"/>
      <c r="V575" s="402"/>
      <c r="W575" s="402"/>
      <c r="X575" s="402"/>
      <c r="Y575" s="402"/>
      <c r="Z575" s="402"/>
      <c r="AA575" s="405"/>
      <c r="AB575" s="405"/>
      <c r="AC575" s="405"/>
      <c r="AD575" s="405"/>
      <c r="AE575" s="405"/>
      <c r="AF575" s="405"/>
      <c r="AG575" s="405"/>
    </row>
    <row r="576" ht="14.25" customHeight="1">
      <c r="A576" s="697">
        <v>45526.0</v>
      </c>
      <c r="B576" s="349" t="s">
        <v>2451</v>
      </c>
      <c r="C576" s="349" t="s">
        <v>2452</v>
      </c>
      <c r="D576" s="402" t="s">
        <v>54</v>
      </c>
      <c r="E576" s="349" t="s">
        <v>2832</v>
      </c>
      <c r="F576" s="662">
        <v>34851.0</v>
      </c>
      <c r="G576" s="413">
        <v>25000.0</v>
      </c>
      <c r="H576" s="349" t="s">
        <v>2973</v>
      </c>
      <c r="I576" s="402"/>
      <c r="J576" s="402"/>
      <c r="K576" s="402"/>
      <c r="L576" s="402"/>
      <c r="M576" s="402"/>
      <c r="N576" s="402"/>
      <c r="O576" s="402"/>
      <c r="P576" s="402"/>
      <c r="Q576" s="402"/>
      <c r="R576" s="402"/>
      <c r="S576" s="402"/>
      <c r="T576" s="402"/>
      <c r="U576" s="402"/>
      <c r="V576" s="402"/>
      <c r="W576" s="402"/>
      <c r="X576" s="402"/>
      <c r="Y576" s="402"/>
      <c r="Z576" s="402"/>
      <c r="AA576" s="405"/>
      <c r="AB576" s="405"/>
      <c r="AC576" s="405"/>
      <c r="AD576" s="405"/>
      <c r="AE576" s="405"/>
      <c r="AF576" s="405"/>
      <c r="AG576" s="405"/>
    </row>
    <row r="577" ht="14.25" customHeight="1">
      <c r="A577" s="697">
        <v>45526.0</v>
      </c>
      <c r="B577" s="349" t="s">
        <v>2974</v>
      </c>
      <c r="C577" s="349" t="s">
        <v>2975</v>
      </c>
      <c r="D577" s="402" t="s">
        <v>54</v>
      </c>
      <c r="E577" s="349" t="s">
        <v>2832</v>
      </c>
      <c r="F577" s="662">
        <v>71466.79</v>
      </c>
      <c r="G577" s="413">
        <v>94452.0</v>
      </c>
      <c r="H577" s="349" t="s">
        <v>941</v>
      </c>
      <c r="I577" s="402"/>
      <c r="J577" s="402"/>
      <c r="K577" s="402"/>
      <c r="L577" s="402"/>
      <c r="M577" s="402"/>
      <c r="N577" s="402"/>
      <c r="O577" s="402"/>
      <c r="P577" s="402"/>
      <c r="Q577" s="402"/>
      <c r="R577" s="402"/>
      <c r="S577" s="402"/>
      <c r="T577" s="402"/>
      <c r="U577" s="402"/>
      <c r="V577" s="402"/>
      <c r="W577" s="402"/>
      <c r="X577" s="402"/>
      <c r="Y577" s="402"/>
      <c r="Z577" s="402"/>
      <c r="AA577" s="405"/>
      <c r="AB577" s="405"/>
      <c r="AC577" s="405"/>
      <c r="AD577" s="405"/>
      <c r="AE577" s="405"/>
      <c r="AF577" s="405"/>
      <c r="AG577" s="405"/>
    </row>
    <row r="578" ht="14.25" customHeight="1">
      <c r="B578" s="402"/>
      <c r="C578" s="402"/>
      <c r="D578" s="402"/>
      <c r="E578" s="402"/>
      <c r="F578" s="664"/>
      <c r="G578" s="403"/>
      <c r="H578" s="402"/>
      <c r="I578" s="402"/>
      <c r="J578" s="402"/>
      <c r="K578" s="402"/>
      <c r="L578" s="402"/>
      <c r="M578" s="402"/>
      <c r="N578" s="402"/>
      <c r="O578" s="402"/>
      <c r="P578" s="402"/>
      <c r="Q578" s="402"/>
      <c r="R578" s="402"/>
      <c r="S578" s="402"/>
      <c r="T578" s="402"/>
      <c r="U578" s="402"/>
      <c r="V578" s="402"/>
      <c r="W578" s="402"/>
      <c r="X578" s="402"/>
      <c r="Y578" s="402"/>
      <c r="Z578" s="402"/>
      <c r="AA578" s="405"/>
      <c r="AB578" s="405"/>
      <c r="AC578" s="405"/>
      <c r="AD578" s="405"/>
      <c r="AE578" s="405"/>
      <c r="AF578" s="405"/>
      <c r="AG578" s="405"/>
    </row>
    <row r="579" ht="14.25" customHeight="1">
      <c r="A579" s="697"/>
      <c r="B579" s="402"/>
      <c r="C579" s="402"/>
      <c r="D579" s="402"/>
      <c r="E579" s="402"/>
      <c r="F579" s="664"/>
      <c r="G579" s="403"/>
      <c r="H579" s="402"/>
      <c r="I579" s="402"/>
      <c r="J579" s="402"/>
      <c r="K579" s="402"/>
      <c r="L579" s="402"/>
      <c r="M579" s="402"/>
      <c r="N579" s="402"/>
      <c r="O579" s="402"/>
      <c r="P579" s="402"/>
      <c r="Q579" s="402"/>
      <c r="R579" s="402"/>
      <c r="S579" s="402"/>
      <c r="T579" s="402"/>
      <c r="U579" s="402"/>
      <c r="V579" s="402"/>
      <c r="W579" s="402"/>
      <c r="X579" s="402"/>
      <c r="Y579" s="402"/>
      <c r="Z579" s="402"/>
      <c r="AA579" s="405"/>
      <c r="AB579" s="405"/>
      <c r="AC579" s="405"/>
      <c r="AD579" s="405"/>
      <c r="AE579" s="405"/>
      <c r="AF579" s="405"/>
      <c r="AG579" s="405"/>
    </row>
    <row r="580" ht="14.25" customHeight="1">
      <c r="A580" s="697"/>
      <c r="B580" s="402"/>
      <c r="C580" s="402"/>
      <c r="D580" s="402"/>
      <c r="E580" s="402"/>
      <c r="F580" s="664"/>
      <c r="G580" s="403"/>
      <c r="H580" s="402"/>
      <c r="I580" s="402"/>
      <c r="J580" s="402"/>
      <c r="K580" s="402"/>
      <c r="L580" s="402"/>
      <c r="M580" s="402"/>
      <c r="N580" s="402"/>
      <c r="O580" s="402"/>
      <c r="P580" s="402"/>
      <c r="Q580" s="402"/>
      <c r="R580" s="402"/>
      <c r="S580" s="402"/>
      <c r="T580" s="402"/>
      <c r="U580" s="402"/>
      <c r="V580" s="402"/>
      <c r="W580" s="402"/>
      <c r="X580" s="402"/>
      <c r="Y580" s="402"/>
      <c r="Z580" s="402"/>
      <c r="AA580" s="405"/>
      <c r="AB580" s="405"/>
      <c r="AC580" s="405"/>
      <c r="AD580" s="405"/>
      <c r="AE580" s="405"/>
      <c r="AF580" s="405"/>
      <c r="AG580" s="405"/>
    </row>
    <row r="581" ht="14.25" customHeight="1">
      <c r="A581" s="584" t="s">
        <v>2130</v>
      </c>
      <c r="B581" s="584" t="s">
        <v>39</v>
      </c>
      <c r="C581" s="584" t="s">
        <v>48</v>
      </c>
      <c r="D581" s="584" t="s">
        <v>49</v>
      </c>
      <c r="E581" s="584" t="s">
        <v>50</v>
      </c>
      <c r="F581" s="658" t="s">
        <v>2</v>
      </c>
      <c r="G581" s="586" t="s">
        <v>44</v>
      </c>
      <c r="H581" s="584" t="s">
        <v>45</v>
      </c>
      <c r="I581" s="402"/>
      <c r="J581" s="402"/>
      <c r="K581" s="402"/>
      <c r="L581" s="402"/>
      <c r="M581" s="402"/>
      <c r="N581" s="402"/>
      <c r="O581" s="402"/>
      <c r="P581" s="402"/>
      <c r="Q581" s="402"/>
      <c r="R581" s="402"/>
      <c r="S581" s="402"/>
      <c r="T581" s="402"/>
      <c r="U581" s="402"/>
      <c r="V581" s="402"/>
      <c r="W581" s="402"/>
      <c r="X581" s="402"/>
      <c r="Y581" s="402"/>
      <c r="Z581" s="402"/>
      <c r="AA581" s="405"/>
      <c r="AB581" s="405"/>
      <c r="AC581" s="405"/>
      <c r="AD581" s="405"/>
      <c r="AE581" s="405"/>
      <c r="AF581" s="405"/>
      <c r="AG581" s="405"/>
    </row>
    <row r="582" ht="14.25" customHeight="1">
      <c r="A582" s="697">
        <v>45527.0</v>
      </c>
      <c r="B582" s="402" t="s">
        <v>2443</v>
      </c>
      <c r="C582" s="403" t="s">
        <v>2444</v>
      </c>
      <c r="D582" s="402" t="s">
        <v>54</v>
      </c>
      <c r="E582" s="402" t="s">
        <v>2442</v>
      </c>
      <c r="F582" s="587">
        <v>20717.0</v>
      </c>
      <c r="G582" s="403"/>
      <c r="H582" s="517" t="s">
        <v>2976</v>
      </c>
      <c r="I582" s="402"/>
      <c r="J582" s="402"/>
      <c r="K582" s="402"/>
      <c r="L582" s="402"/>
      <c r="M582" s="402"/>
      <c r="N582" s="402"/>
      <c r="O582" s="402"/>
      <c r="P582" s="402"/>
      <c r="Q582" s="402"/>
      <c r="R582" s="402"/>
      <c r="S582" s="402"/>
      <c r="T582" s="402"/>
      <c r="U582" s="402"/>
      <c r="V582" s="402"/>
      <c r="W582" s="402"/>
      <c r="X582" s="402"/>
      <c r="Y582" s="402"/>
      <c r="Z582" s="402"/>
      <c r="AA582" s="405"/>
      <c r="AB582" s="405"/>
      <c r="AC582" s="405"/>
      <c r="AD582" s="405"/>
      <c r="AE582" s="405"/>
      <c r="AF582" s="405"/>
      <c r="AG582" s="405"/>
    </row>
    <row r="583" ht="14.25" customHeight="1">
      <c r="A583" s="697">
        <v>45527.0</v>
      </c>
      <c r="B583" s="402" t="s">
        <v>2966</v>
      </c>
      <c r="C583" s="402" t="s">
        <v>2967</v>
      </c>
      <c r="D583" s="402" t="s">
        <v>54</v>
      </c>
      <c r="E583" s="402" t="s">
        <v>2442</v>
      </c>
      <c r="F583" s="587">
        <v>31000.0</v>
      </c>
      <c r="G583" s="413">
        <v>32550.0</v>
      </c>
      <c r="H583" s="402"/>
      <c r="I583" s="402"/>
      <c r="J583" s="402"/>
      <c r="K583" s="402"/>
      <c r="L583" s="402"/>
      <c r="M583" s="402"/>
      <c r="N583" s="402"/>
      <c r="O583" s="402"/>
      <c r="P583" s="402"/>
      <c r="Q583" s="402"/>
      <c r="R583" s="402"/>
      <c r="S583" s="402"/>
      <c r="T583" s="402"/>
      <c r="U583" s="402"/>
      <c r="V583" s="402"/>
      <c r="W583" s="402"/>
      <c r="X583" s="402"/>
      <c r="Y583" s="402"/>
      <c r="Z583" s="402"/>
      <c r="AA583" s="405"/>
      <c r="AB583" s="405"/>
      <c r="AC583" s="405"/>
      <c r="AD583" s="405"/>
      <c r="AE583" s="405"/>
      <c r="AF583" s="405"/>
      <c r="AG583" s="405"/>
    </row>
    <row r="584" ht="14.25" customHeight="1">
      <c r="A584" s="697">
        <v>45527.0</v>
      </c>
      <c r="B584" s="349" t="s">
        <v>2479</v>
      </c>
      <c r="C584" s="349" t="s">
        <v>2480</v>
      </c>
      <c r="D584" s="349" t="s">
        <v>54</v>
      </c>
      <c r="E584" s="402" t="s">
        <v>2442</v>
      </c>
      <c r="F584" s="413">
        <v>33248.0</v>
      </c>
      <c r="G584" s="403"/>
      <c r="H584" s="349" t="s">
        <v>2977</v>
      </c>
      <c r="I584" s="402"/>
      <c r="J584" s="402"/>
      <c r="K584" s="402"/>
      <c r="L584" s="402"/>
      <c r="M584" s="402"/>
      <c r="N584" s="402"/>
      <c r="O584" s="402"/>
      <c r="P584" s="402"/>
      <c r="Q584" s="402"/>
      <c r="R584" s="402"/>
      <c r="S584" s="402"/>
      <c r="T584" s="402"/>
      <c r="U584" s="402"/>
      <c r="V584" s="402"/>
      <c r="W584" s="402"/>
      <c r="X584" s="402"/>
      <c r="Y584" s="402"/>
      <c r="Z584" s="402"/>
      <c r="AA584" s="405"/>
      <c r="AB584" s="405"/>
      <c r="AC584" s="405"/>
      <c r="AD584" s="405"/>
      <c r="AE584" s="405"/>
      <c r="AF584" s="405"/>
      <c r="AG584" s="405"/>
    </row>
    <row r="585" ht="14.25" customHeight="1">
      <c r="A585" s="697">
        <v>45527.0</v>
      </c>
      <c r="B585" s="349" t="s">
        <v>2482</v>
      </c>
      <c r="C585" s="349" t="s">
        <v>2483</v>
      </c>
      <c r="D585" s="349" t="s">
        <v>54</v>
      </c>
      <c r="E585" s="402" t="s">
        <v>2442</v>
      </c>
      <c r="F585" s="413">
        <v>31012.0</v>
      </c>
      <c r="G585" s="403"/>
      <c r="H585" s="349" t="s">
        <v>2913</v>
      </c>
      <c r="I585" s="402"/>
      <c r="J585" s="402"/>
      <c r="K585" s="402"/>
      <c r="L585" s="402"/>
      <c r="M585" s="402"/>
      <c r="N585" s="402"/>
      <c r="O585" s="402"/>
      <c r="P585" s="402"/>
      <c r="Q585" s="402"/>
      <c r="R585" s="402"/>
      <c r="S585" s="402"/>
      <c r="T585" s="402"/>
      <c r="U585" s="402"/>
      <c r="V585" s="402"/>
      <c r="W585" s="402"/>
      <c r="X585" s="402"/>
      <c r="Y585" s="402"/>
      <c r="Z585" s="402"/>
      <c r="AA585" s="405"/>
      <c r="AB585" s="405"/>
      <c r="AC585" s="405"/>
      <c r="AD585" s="405"/>
      <c r="AE585" s="405"/>
      <c r="AF585" s="405"/>
      <c r="AG585" s="405"/>
    </row>
    <row r="586" ht="14.25" customHeight="1">
      <c r="A586" s="697">
        <v>45527.0</v>
      </c>
      <c r="B586" s="349" t="s">
        <v>2978</v>
      </c>
      <c r="C586" s="349" t="s">
        <v>2979</v>
      </c>
      <c r="D586" s="349" t="s">
        <v>54</v>
      </c>
      <c r="E586" s="402" t="s">
        <v>2442</v>
      </c>
      <c r="F586" s="413">
        <v>35783.0</v>
      </c>
      <c r="G586" s="403"/>
      <c r="H586" s="349" t="s">
        <v>2913</v>
      </c>
      <c r="I586" s="402"/>
      <c r="J586" s="402"/>
      <c r="K586" s="402"/>
      <c r="L586" s="402"/>
      <c r="M586" s="402"/>
      <c r="N586" s="402"/>
      <c r="O586" s="402"/>
      <c r="P586" s="402"/>
      <c r="Q586" s="402"/>
      <c r="R586" s="402"/>
      <c r="S586" s="402"/>
      <c r="T586" s="402"/>
      <c r="U586" s="402"/>
      <c r="V586" s="402"/>
      <c r="W586" s="402"/>
      <c r="X586" s="402"/>
      <c r="Y586" s="402"/>
      <c r="Z586" s="402"/>
      <c r="AA586" s="405"/>
      <c r="AB586" s="405"/>
      <c r="AC586" s="405"/>
      <c r="AD586" s="405"/>
      <c r="AE586" s="405"/>
      <c r="AF586" s="405"/>
      <c r="AG586" s="405"/>
    </row>
    <row r="587" ht="14.25" customHeight="1">
      <c r="A587" s="697">
        <v>45527.0</v>
      </c>
      <c r="B587" s="349" t="s">
        <v>2980</v>
      </c>
      <c r="C587" s="349" t="s">
        <v>2981</v>
      </c>
      <c r="D587" s="349" t="s">
        <v>54</v>
      </c>
      <c r="E587" s="402" t="s">
        <v>2442</v>
      </c>
      <c r="F587" s="413">
        <v>22667.0</v>
      </c>
      <c r="G587" s="403"/>
      <c r="H587" s="349" t="s">
        <v>2913</v>
      </c>
      <c r="I587" s="402"/>
      <c r="J587" s="402"/>
      <c r="K587" s="402"/>
      <c r="L587" s="402"/>
      <c r="M587" s="402"/>
      <c r="N587" s="402"/>
      <c r="O587" s="402"/>
      <c r="P587" s="402"/>
      <c r="Q587" s="402"/>
      <c r="R587" s="402"/>
      <c r="S587" s="402"/>
      <c r="T587" s="402"/>
      <c r="U587" s="402"/>
      <c r="V587" s="402"/>
      <c r="W587" s="402"/>
      <c r="X587" s="402"/>
      <c r="Y587" s="402"/>
      <c r="Z587" s="402"/>
      <c r="AA587" s="405"/>
      <c r="AB587" s="405"/>
      <c r="AC587" s="405"/>
      <c r="AD587" s="405"/>
      <c r="AE587" s="405"/>
      <c r="AF587" s="405"/>
      <c r="AG587" s="405"/>
    </row>
    <row r="588" ht="14.25" customHeight="1">
      <c r="A588" s="697">
        <v>45527.0</v>
      </c>
      <c r="B588" s="349" t="s">
        <v>2619</v>
      </c>
      <c r="C588" s="349" t="s">
        <v>2837</v>
      </c>
      <c r="D588" s="349" t="s">
        <v>54</v>
      </c>
      <c r="E588" s="349" t="s">
        <v>2832</v>
      </c>
      <c r="F588" s="413">
        <v>161463.0</v>
      </c>
      <c r="G588" s="403"/>
      <c r="H588" s="690" t="s">
        <v>2982</v>
      </c>
      <c r="I588" s="403"/>
      <c r="J588" s="402"/>
      <c r="K588" s="402"/>
      <c r="L588" s="402"/>
      <c r="M588" s="402"/>
      <c r="N588" s="402"/>
      <c r="O588" s="402"/>
      <c r="P588" s="402"/>
      <c r="Q588" s="402"/>
      <c r="R588" s="402"/>
      <c r="S588" s="402"/>
      <c r="T588" s="402"/>
      <c r="U588" s="402"/>
      <c r="V588" s="402"/>
      <c r="W588" s="402"/>
      <c r="X588" s="402"/>
      <c r="Y588" s="402"/>
      <c r="Z588" s="402"/>
      <c r="AA588" s="402"/>
      <c r="AB588" s="402"/>
      <c r="AC588" s="405"/>
      <c r="AD588" s="405"/>
      <c r="AE588" s="405"/>
      <c r="AF588" s="405"/>
      <c r="AG588" s="405"/>
    </row>
    <row r="589" ht="14.25" customHeight="1">
      <c r="A589" s="697">
        <v>45527.0</v>
      </c>
      <c r="B589" s="349" t="s">
        <v>2764</v>
      </c>
      <c r="C589" s="349" t="s">
        <v>2856</v>
      </c>
      <c r="D589" s="349" t="s">
        <v>54</v>
      </c>
      <c r="E589" s="349" t="s">
        <v>2832</v>
      </c>
      <c r="F589" s="413">
        <v>34851.0</v>
      </c>
      <c r="G589" s="403"/>
      <c r="H589" s="690" t="s">
        <v>2983</v>
      </c>
      <c r="I589" s="403"/>
      <c r="J589" s="402"/>
      <c r="K589" s="402"/>
      <c r="L589" s="402"/>
      <c r="M589" s="402"/>
      <c r="N589" s="402"/>
      <c r="O589" s="402"/>
      <c r="P589" s="402"/>
      <c r="Q589" s="402"/>
      <c r="R589" s="402"/>
      <c r="S589" s="402"/>
      <c r="T589" s="402"/>
      <c r="U589" s="402"/>
      <c r="V589" s="402"/>
      <c r="W589" s="402"/>
      <c r="X589" s="402"/>
      <c r="Y589" s="402"/>
      <c r="Z589" s="402"/>
      <c r="AA589" s="402"/>
      <c r="AB589" s="402"/>
      <c r="AC589" s="405"/>
      <c r="AD589" s="405"/>
      <c r="AE589" s="405"/>
      <c r="AF589" s="405"/>
      <c r="AG589" s="405"/>
    </row>
    <row r="590" ht="14.25" customHeight="1">
      <c r="A590" s="697">
        <v>45527.0</v>
      </c>
      <c r="B590" s="349" t="s">
        <v>2697</v>
      </c>
      <c r="C590" s="349" t="s">
        <v>2756</v>
      </c>
      <c r="D590" s="349" t="s">
        <v>54</v>
      </c>
      <c r="E590" s="349" t="s">
        <v>2832</v>
      </c>
      <c r="F590" s="413">
        <v>71466.79</v>
      </c>
      <c r="G590" s="403"/>
      <c r="H590" s="690" t="s">
        <v>2984</v>
      </c>
      <c r="I590" s="403"/>
      <c r="J590" s="402"/>
      <c r="K590" s="402"/>
      <c r="L590" s="402"/>
      <c r="M590" s="402"/>
      <c r="N590" s="402"/>
      <c r="O590" s="402"/>
      <c r="P590" s="402"/>
      <c r="Q590" s="402"/>
      <c r="R590" s="402"/>
      <c r="S590" s="402"/>
      <c r="T590" s="402"/>
      <c r="U590" s="402"/>
      <c r="V590" s="402"/>
      <c r="W590" s="402"/>
      <c r="X590" s="402"/>
      <c r="Y590" s="402"/>
      <c r="Z590" s="402"/>
      <c r="AA590" s="402"/>
      <c r="AB590" s="402"/>
      <c r="AC590" s="405"/>
      <c r="AD590" s="405"/>
      <c r="AE590" s="405"/>
      <c r="AF590" s="405"/>
      <c r="AG590" s="405"/>
    </row>
    <row r="591" ht="14.25" customHeight="1">
      <c r="A591" s="697">
        <v>45527.0</v>
      </c>
      <c r="B591" s="349" t="s">
        <v>2914</v>
      </c>
      <c r="C591" s="349" t="s">
        <v>2544</v>
      </c>
      <c r="D591" s="349" t="s">
        <v>75</v>
      </c>
      <c r="E591" s="402" t="s">
        <v>2442</v>
      </c>
      <c r="F591" s="349">
        <v>69000.0</v>
      </c>
      <c r="G591" s="587"/>
      <c r="H591" s="413" t="s">
        <v>2985</v>
      </c>
      <c r="I591" s="402"/>
      <c r="J591" s="402"/>
      <c r="K591" s="402"/>
      <c r="L591" s="402"/>
      <c r="M591" s="402"/>
      <c r="N591" s="402"/>
      <c r="O591" s="402"/>
      <c r="P591" s="402"/>
      <c r="Q591" s="402"/>
      <c r="R591" s="402"/>
      <c r="S591" s="402"/>
      <c r="T591" s="402"/>
      <c r="U591" s="402"/>
      <c r="V591" s="402"/>
      <c r="W591" s="402"/>
      <c r="X591" s="402"/>
      <c r="Y591" s="402"/>
      <c r="Z591" s="402"/>
      <c r="AA591" s="402"/>
      <c r="AB591" s="405"/>
      <c r="AC591" s="405"/>
      <c r="AD591" s="405"/>
      <c r="AE591" s="405"/>
      <c r="AF591" s="405"/>
      <c r="AG591" s="405"/>
    </row>
    <row r="592" ht="14.25" customHeight="1">
      <c r="A592" s="697">
        <v>45527.0</v>
      </c>
      <c r="B592" s="349" t="s">
        <v>2547</v>
      </c>
      <c r="C592" s="349" t="s">
        <v>2986</v>
      </c>
      <c r="D592" s="349" t="s">
        <v>54</v>
      </c>
      <c r="E592" s="402" t="s">
        <v>2442</v>
      </c>
      <c r="F592" s="662">
        <v>10000.0</v>
      </c>
      <c r="G592" s="403"/>
      <c r="H592" s="349" t="s">
        <v>2987</v>
      </c>
      <c r="I592" s="402"/>
      <c r="J592" s="402"/>
      <c r="K592" s="402"/>
      <c r="L592" s="402"/>
      <c r="M592" s="402"/>
      <c r="N592" s="402"/>
      <c r="O592" s="402"/>
      <c r="P592" s="402"/>
      <c r="Q592" s="402"/>
      <c r="R592" s="402"/>
      <c r="S592" s="402"/>
      <c r="T592" s="402"/>
      <c r="U592" s="402"/>
      <c r="V592" s="402"/>
      <c r="W592" s="402"/>
      <c r="X592" s="402"/>
      <c r="Y592" s="402"/>
      <c r="Z592" s="402"/>
      <c r="AA592" s="405"/>
      <c r="AB592" s="405"/>
      <c r="AC592" s="405"/>
      <c r="AD592" s="405"/>
      <c r="AE592" s="405"/>
      <c r="AF592" s="405"/>
      <c r="AG592" s="405"/>
    </row>
    <row r="593" ht="14.25" customHeight="1">
      <c r="A593" s="697">
        <v>45527.0</v>
      </c>
      <c r="B593" s="349" t="s">
        <v>2847</v>
      </c>
      <c r="C593" s="349" t="s">
        <v>2848</v>
      </c>
      <c r="D593" s="417" t="s">
        <v>54</v>
      </c>
      <c r="E593" s="417" t="s">
        <v>2442</v>
      </c>
      <c r="F593" s="662">
        <v>10000.0</v>
      </c>
      <c r="G593" s="403"/>
      <c r="H593" s="349" t="s">
        <v>2957</v>
      </c>
      <c r="I593" s="402"/>
      <c r="J593" s="402"/>
      <c r="K593" s="402"/>
      <c r="L593" s="402"/>
      <c r="M593" s="402"/>
      <c r="N593" s="402"/>
      <c r="O593" s="402"/>
      <c r="P593" s="402"/>
      <c r="Q593" s="402"/>
      <c r="R593" s="402"/>
      <c r="S593" s="402"/>
      <c r="T593" s="402"/>
      <c r="U593" s="402"/>
      <c r="V593" s="402"/>
      <c r="W593" s="402"/>
      <c r="X593" s="402"/>
      <c r="Y593" s="402"/>
      <c r="Z593" s="402"/>
      <c r="AA593" s="405"/>
      <c r="AB593" s="405"/>
      <c r="AC593" s="405"/>
      <c r="AD593" s="405"/>
      <c r="AE593" s="405"/>
      <c r="AF593" s="405"/>
      <c r="AG593" s="405"/>
    </row>
    <row r="594" ht="14.25" customHeight="1">
      <c r="A594" s="697">
        <v>45527.0</v>
      </c>
      <c r="B594" s="349">
        <v>200.0</v>
      </c>
      <c r="C594" s="349" t="s">
        <v>2509</v>
      </c>
      <c r="D594" s="417" t="s">
        <v>54</v>
      </c>
      <c r="E594" s="417" t="s">
        <v>2442</v>
      </c>
      <c r="F594" s="662">
        <v>20000.0</v>
      </c>
      <c r="G594" s="403"/>
      <c r="H594" s="349" t="s">
        <v>2968</v>
      </c>
      <c r="I594" s="402"/>
      <c r="J594" s="402"/>
      <c r="K594" s="402"/>
      <c r="L594" s="402"/>
      <c r="M594" s="402"/>
      <c r="N594" s="402"/>
      <c r="O594" s="402"/>
      <c r="P594" s="402"/>
      <c r="Q594" s="402"/>
      <c r="R594" s="402"/>
      <c r="S594" s="402"/>
      <c r="T594" s="402"/>
      <c r="U594" s="402"/>
      <c r="V594" s="402"/>
      <c r="W594" s="402"/>
      <c r="X594" s="402"/>
      <c r="Y594" s="402"/>
      <c r="Z594" s="402"/>
      <c r="AA594" s="405"/>
      <c r="AB594" s="405"/>
      <c r="AC594" s="405"/>
      <c r="AD594" s="405"/>
      <c r="AE594" s="405"/>
      <c r="AF594" s="405"/>
      <c r="AG594" s="405"/>
    </row>
    <row r="595" ht="14.25" customHeight="1">
      <c r="A595" s="697">
        <v>45527.0</v>
      </c>
      <c r="B595" s="402"/>
      <c r="C595" s="349"/>
      <c r="D595" s="402"/>
      <c r="E595" s="402"/>
      <c r="F595" s="662"/>
      <c r="G595" s="403"/>
      <c r="H595" s="402"/>
      <c r="I595" s="402"/>
      <c r="J595" s="402"/>
      <c r="K595" s="402"/>
      <c r="L595" s="402"/>
      <c r="M595" s="402"/>
      <c r="N595" s="402"/>
      <c r="O595" s="402"/>
      <c r="P595" s="402"/>
      <c r="Q595" s="402"/>
      <c r="R595" s="402"/>
      <c r="S595" s="402"/>
      <c r="T595" s="402"/>
      <c r="U595" s="402"/>
      <c r="V595" s="402"/>
      <c r="W595" s="402"/>
      <c r="X595" s="402"/>
      <c r="Y595" s="402"/>
      <c r="Z595" s="402"/>
      <c r="AA595" s="405"/>
      <c r="AB595" s="405"/>
      <c r="AC595" s="405"/>
      <c r="AD595" s="405"/>
      <c r="AE595" s="405"/>
      <c r="AF595" s="405"/>
      <c r="AG595" s="405"/>
    </row>
    <row r="596" ht="14.25" customHeight="1">
      <c r="A596" s="697"/>
      <c r="G596" s="672"/>
      <c r="M596" s="402"/>
      <c r="N596" s="402"/>
      <c r="O596" s="402"/>
      <c r="P596" s="402"/>
      <c r="Q596" s="402"/>
      <c r="R596" s="402"/>
      <c r="S596" s="402"/>
      <c r="T596" s="402"/>
      <c r="U596" s="402"/>
      <c r="V596" s="402"/>
      <c r="W596" s="402"/>
      <c r="X596" s="402"/>
      <c r="Y596" s="402"/>
      <c r="Z596" s="402"/>
      <c r="AA596" s="405"/>
      <c r="AB596" s="405"/>
      <c r="AC596" s="405"/>
      <c r="AD596" s="405"/>
      <c r="AE596" s="405"/>
      <c r="AF596" s="405"/>
      <c r="AG596" s="405"/>
    </row>
    <row r="597" ht="14.25" customHeight="1">
      <c r="A597" s="584" t="s">
        <v>2130</v>
      </c>
      <c r="B597" s="584" t="s">
        <v>39</v>
      </c>
      <c r="C597" s="584" t="s">
        <v>48</v>
      </c>
      <c r="D597" s="584" t="s">
        <v>49</v>
      </c>
      <c r="E597" s="584" t="s">
        <v>50</v>
      </c>
      <c r="F597" s="658" t="s">
        <v>2</v>
      </c>
      <c r="G597" s="586" t="s">
        <v>44</v>
      </c>
      <c r="H597" s="584" t="s">
        <v>45</v>
      </c>
      <c r="M597" s="402"/>
      <c r="N597" s="402"/>
      <c r="O597" s="402"/>
      <c r="P597" s="402"/>
      <c r="Q597" s="402"/>
      <c r="R597" s="402"/>
      <c r="S597" s="402"/>
      <c r="T597" s="402"/>
      <c r="U597" s="402"/>
      <c r="V597" s="402"/>
      <c r="W597" s="402"/>
      <c r="X597" s="402"/>
      <c r="Y597" s="402"/>
      <c r="Z597" s="402"/>
      <c r="AA597" s="405"/>
      <c r="AB597" s="405"/>
      <c r="AC597" s="405"/>
      <c r="AD597" s="405"/>
      <c r="AE597" s="405"/>
      <c r="AF597" s="405"/>
      <c r="AG597" s="405"/>
    </row>
    <row r="598" ht="14.25" customHeight="1">
      <c r="A598" s="697">
        <v>45528.0</v>
      </c>
      <c r="B598" s="623" t="s">
        <v>2501</v>
      </c>
      <c r="C598" s="623" t="s">
        <v>2502</v>
      </c>
      <c r="D598" s="349" t="s">
        <v>54</v>
      </c>
      <c r="E598" s="402" t="s">
        <v>2442</v>
      </c>
      <c r="F598" s="702"/>
      <c r="G598" s="673"/>
      <c r="H598" s="703"/>
      <c r="I598" s="703">
        <v>45620.0</v>
      </c>
      <c r="J598" s="703">
        <v>45498.0</v>
      </c>
      <c r="K598" s="624">
        <v>18.0</v>
      </c>
      <c r="L598" s="673">
        <v>10961.22</v>
      </c>
      <c r="M598" s="402"/>
      <c r="N598" s="402"/>
      <c r="O598" s="402"/>
      <c r="P598" s="402"/>
      <c r="Q598" s="402"/>
      <c r="R598" s="402"/>
      <c r="S598" s="402"/>
      <c r="T598" s="402"/>
      <c r="U598" s="402"/>
      <c r="V598" s="402"/>
      <c r="W598" s="402"/>
      <c r="X598" s="402"/>
      <c r="Y598" s="402"/>
      <c r="Z598" s="402"/>
      <c r="AA598" s="405"/>
      <c r="AB598" s="405"/>
      <c r="AC598" s="405"/>
      <c r="AD598" s="405"/>
      <c r="AE598" s="405"/>
      <c r="AF598" s="405"/>
      <c r="AG598" s="405"/>
    </row>
    <row r="599" ht="14.25" customHeight="1">
      <c r="A599" s="697">
        <v>45528.0</v>
      </c>
      <c r="B599" s="402" t="s">
        <v>2443</v>
      </c>
      <c r="C599" s="403" t="s">
        <v>2444</v>
      </c>
      <c r="D599" s="402" t="s">
        <v>54</v>
      </c>
      <c r="E599" s="402" t="s">
        <v>2442</v>
      </c>
      <c r="F599" s="587">
        <v>20717.0</v>
      </c>
      <c r="G599" s="403"/>
      <c r="H599" s="517" t="s">
        <v>2988</v>
      </c>
      <c r="I599" s="402"/>
      <c r="J599" s="402"/>
      <c r="K599" s="402"/>
      <c r="L599" s="402"/>
      <c r="M599" s="402"/>
      <c r="N599" s="402"/>
      <c r="O599" s="402"/>
      <c r="P599" s="402"/>
      <c r="Q599" s="402"/>
      <c r="R599" s="402"/>
      <c r="S599" s="402"/>
      <c r="T599" s="402"/>
      <c r="U599" s="402"/>
      <c r="V599" s="402"/>
      <c r="W599" s="402"/>
      <c r="X599" s="402"/>
      <c r="Y599" s="402"/>
      <c r="Z599" s="402"/>
      <c r="AA599" s="405"/>
      <c r="AB599" s="405"/>
      <c r="AC599" s="405"/>
      <c r="AD599" s="405"/>
      <c r="AE599" s="405"/>
      <c r="AF599" s="405"/>
      <c r="AG599" s="405"/>
    </row>
    <row r="600" ht="14.25" customHeight="1">
      <c r="A600" s="697">
        <v>45528.0</v>
      </c>
      <c r="B600" s="417" t="s">
        <v>2914</v>
      </c>
      <c r="C600" s="417" t="s">
        <v>2544</v>
      </c>
      <c r="D600" s="417" t="s">
        <v>75</v>
      </c>
      <c r="E600" s="417" t="s">
        <v>2442</v>
      </c>
      <c r="F600" s="44">
        <v>69000.0</v>
      </c>
      <c r="G600" s="403"/>
      <c r="H600" s="413" t="s">
        <v>2985</v>
      </c>
      <c r="I600" s="402"/>
      <c r="J600" s="402"/>
      <c r="K600" s="402"/>
      <c r="L600" s="402"/>
      <c r="M600" s="402"/>
      <c r="N600" s="402"/>
      <c r="O600" s="402"/>
      <c r="P600" s="402"/>
      <c r="Q600" s="402"/>
      <c r="R600" s="402"/>
      <c r="S600" s="402"/>
      <c r="T600" s="402"/>
      <c r="U600" s="402"/>
      <c r="V600" s="402"/>
      <c r="W600" s="402"/>
      <c r="X600" s="402"/>
      <c r="Y600" s="402"/>
      <c r="Z600" s="402"/>
      <c r="AA600" s="405"/>
      <c r="AB600" s="405"/>
      <c r="AC600" s="405"/>
      <c r="AD600" s="405"/>
      <c r="AE600" s="405"/>
      <c r="AF600" s="405"/>
      <c r="AG600" s="405"/>
    </row>
    <row r="601" ht="14.25" customHeight="1">
      <c r="A601" s="697">
        <v>45528.0</v>
      </c>
      <c r="B601" s="349" t="s">
        <v>2980</v>
      </c>
      <c r="C601" s="349" t="s">
        <v>2981</v>
      </c>
      <c r="D601" s="349" t="s">
        <v>54</v>
      </c>
      <c r="E601" s="402" t="s">
        <v>2442</v>
      </c>
      <c r="F601" s="413">
        <v>22667.0</v>
      </c>
      <c r="G601" s="403"/>
      <c r="H601" s="349" t="s">
        <v>710</v>
      </c>
      <c r="I601" s="402"/>
      <c r="J601" s="402"/>
      <c r="K601" s="402"/>
      <c r="L601" s="402"/>
      <c r="M601" s="402"/>
      <c r="N601" s="402"/>
      <c r="O601" s="402"/>
      <c r="P601" s="402"/>
      <c r="Q601" s="402"/>
      <c r="R601" s="402"/>
      <c r="S601" s="402"/>
      <c r="T601" s="402"/>
      <c r="U601" s="402"/>
      <c r="V601" s="402"/>
      <c r="W601" s="402"/>
      <c r="X601" s="402"/>
      <c r="Y601" s="402"/>
      <c r="Z601" s="402"/>
      <c r="AA601" s="405"/>
      <c r="AB601" s="405"/>
      <c r="AC601" s="405"/>
      <c r="AD601" s="405"/>
      <c r="AE601" s="405"/>
      <c r="AF601" s="405"/>
      <c r="AG601" s="405"/>
    </row>
    <row r="602" ht="14.25" customHeight="1">
      <c r="A602" s="697">
        <v>45528.0</v>
      </c>
      <c r="B602" s="417" t="s">
        <v>2847</v>
      </c>
      <c r="C602" s="417" t="s">
        <v>2848</v>
      </c>
      <c r="D602" s="417" t="s">
        <v>54</v>
      </c>
      <c r="E602" s="417" t="s">
        <v>2442</v>
      </c>
      <c r="F602" s="44">
        <v>10000.0</v>
      </c>
      <c r="G602" s="403"/>
      <c r="H602" s="349" t="s">
        <v>2989</v>
      </c>
      <c r="I602" s="402"/>
      <c r="J602" s="402"/>
      <c r="K602" s="402"/>
      <c r="L602" s="402"/>
      <c r="M602" s="402"/>
      <c r="N602" s="402"/>
      <c r="O602" s="402"/>
      <c r="P602" s="402"/>
      <c r="Q602" s="402"/>
      <c r="R602" s="402"/>
      <c r="S602" s="402"/>
      <c r="T602" s="402"/>
      <c r="U602" s="402"/>
      <c r="V602" s="402"/>
      <c r="W602" s="402"/>
      <c r="X602" s="402"/>
      <c r="Y602" s="402"/>
      <c r="Z602" s="402"/>
      <c r="AA602" s="405"/>
      <c r="AB602" s="405"/>
      <c r="AC602" s="405"/>
      <c r="AD602" s="405"/>
      <c r="AE602" s="405"/>
      <c r="AF602" s="405"/>
      <c r="AG602" s="405"/>
    </row>
    <row r="603" ht="14.25" customHeight="1">
      <c r="A603" s="697">
        <v>45528.0</v>
      </c>
      <c r="B603" s="704" t="s">
        <v>2508</v>
      </c>
      <c r="C603" s="417" t="s">
        <v>2509</v>
      </c>
      <c r="D603" s="417" t="s">
        <v>54</v>
      </c>
      <c r="E603" s="417" t="s">
        <v>2442</v>
      </c>
      <c r="F603" s="44">
        <v>20000.0</v>
      </c>
      <c r="G603" s="403"/>
      <c r="H603" s="349" t="s">
        <v>2968</v>
      </c>
      <c r="I603" s="402"/>
      <c r="J603" s="402"/>
      <c r="K603" s="402"/>
      <c r="L603" s="402"/>
      <c r="M603" s="402"/>
      <c r="N603" s="402"/>
      <c r="O603" s="402"/>
      <c r="P603" s="402"/>
      <c r="Q603" s="402"/>
      <c r="R603" s="402"/>
      <c r="S603" s="402"/>
      <c r="T603" s="402"/>
      <c r="U603" s="402"/>
      <c r="V603" s="402"/>
      <c r="W603" s="402"/>
      <c r="X603" s="402"/>
      <c r="Y603" s="402"/>
      <c r="Z603" s="402"/>
      <c r="AA603" s="405"/>
      <c r="AB603" s="405"/>
      <c r="AC603" s="405"/>
      <c r="AD603" s="405"/>
      <c r="AE603" s="405"/>
      <c r="AF603" s="405"/>
      <c r="AG603" s="405"/>
    </row>
    <row r="604" ht="14.25" customHeight="1">
      <c r="A604" s="697">
        <v>45528.0</v>
      </c>
      <c r="B604" s="419" t="s">
        <v>2455</v>
      </c>
      <c r="C604" s="417" t="s">
        <v>2456</v>
      </c>
      <c r="D604" s="417" t="s">
        <v>54</v>
      </c>
      <c r="E604" s="417" t="s">
        <v>2442</v>
      </c>
      <c r="F604" s="69">
        <v>20000.0</v>
      </c>
      <c r="G604" s="403"/>
      <c r="H604" s="349" t="s">
        <v>2990</v>
      </c>
      <c r="I604" s="402"/>
      <c r="J604" s="402"/>
      <c r="K604" s="402"/>
      <c r="L604" s="402"/>
      <c r="M604" s="402"/>
      <c r="N604" s="402"/>
      <c r="O604" s="402"/>
      <c r="P604" s="402"/>
      <c r="Q604" s="402"/>
      <c r="R604" s="402"/>
      <c r="S604" s="402"/>
      <c r="T604" s="402"/>
      <c r="U604" s="402"/>
      <c r="V604" s="402"/>
      <c r="W604" s="402"/>
      <c r="X604" s="402"/>
      <c r="Y604" s="402"/>
      <c r="Z604" s="402"/>
      <c r="AA604" s="405"/>
      <c r="AB604" s="405"/>
      <c r="AC604" s="405"/>
      <c r="AD604" s="405"/>
      <c r="AE604" s="405"/>
      <c r="AF604" s="405"/>
      <c r="AG604" s="405"/>
    </row>
    <row r="605" ht="14.25" customHeight="1">
      <c r="A605" s="697">
        <v>45528.0</v>
      </c>
      <c r="B605" s="349" t="s">
        <v>2479</v>
      </c>
      <c r="C605" s="349" t="s">
        <v>2480</v>
      </c>
      <c r="D605" s="349" t="s">
        <v>54</v>
      </c>
      <c r="E605" s="402" t="s">
        <v>2442</v>
      </c>
      <c r="F605" s="413">
        <v>33248.0</v>
      </c>
      <c r="G605" s="403"/>
      <c r="H605" s="349" t="s">
        <v>2977</v>
      </c>
      <c r="I605" s="402"/>
      <c r="J605" s="402"/>
      <c r="K605" s="402"/>
      <c r="L605" s="402"/>
      <c r="M605" s="402"/>
      <c r="N605" s="402"/>
      <c r="O605" s="402"/>
      <c r="P605" s="402"/>
      <c r="Q605" s="402"/>
      <c r="R605" s="402"/>
      <c r="S605" s="402"/>
      <c r="T605" s="402"/>
      <c r="U605" s="402"/>
      <c r="V605" s="402"/>
      <c r="W605" s="402"/>
      <c r="X605" s="402"/>
      <c r="Y605" s="402"/>
      <c r="Z605" s="402"/>
      <c r="AA605" s="405"/>
      <c r="AB605" s="405"/>
      <c r="AC605" s="405"/>
      <c r="AD605" s="405"/>
      <c r="AE605" s="405"/>
      <c r="AF605" s="405"/>
      <c r="AG605" s="405"/>
    </row>
    <row r="606" ht="14.25" customHeight="1">
      <c r="A606" s="697">
        <v>45528.0</v>
      </c>
      <c r="B606" s="402" t="s">
        <v>2619</v>
      </c>
      <c r="C606" s="402" t="s">
        <v>2837</v>
      </c>
      <c r="D606" s="402" t="s">
        <v>54</v>
      </c>
      <c r="E606" s="402" t="s">
        <v>2832</v>
      </c>
      <c r="F606" s="587">
        <v>161463.0</v>
      </c>
      <c r="G606" s="403"/>
      <c r="H606" s="690">
        <v>10.0</v>
      </c>
      <c r="I606" s="402"/>
      <c r="J606" s="402"/>
      <c r="K606" s="402"/>
      <c r="L606" s="402"/>
      <c r="M606" s="402"/>
      <c r="N606" s="402"/>
      <c r="O606" s="402"/>
      <c r="P606" s="402"/>
      <c r="Q606" s="402"/>
      <c r="R606" s="402"/>
      <c r="S606" s="402"/>
      <c r="T606" s="402"/>
      <c r="U606" s="402"/>
      <c r="V606" s="402"/>
      <c r="W606" s="402"/>
      <c r="X606" s="402"/>
      <c r="Y606" s="402"/>
      <c r="Z606" s="402"/>
      <c r="AA606" s="405"/>
      <c r="AB606" s="405"/>
      <c r="AC606" s="405"/>
      <c r="AD606" s="405"/>
      <c r="AE606" s="405"/>
      <c r="AF606" s="405"/>
      <c r="AG606" s="405"/>
    </row>
    <row r="607" ht="14.25" customHeight="1">
      <c r="A607" s="697">
        <v>45528.0</v>
      </c>
      <c r="B607" s="402" t="s">
        <v>2764</v>
      </c>
      <c r="C607" s="402" t="s">
        <v>2856</v>
      </c>
      <c r="D607" s="402" t="s">
        <v>54</v>
      </c>
      <c r="E607" s="402" t="s">
        <v>2832</v>
      </c>
      <c r="F607" s="587">
        <v>34851.0</v>
      </c>
      <c r="G607" s="403"/>
      <c r="H607" s="690" t="s">
        <v>2983</v>
      </c>
      <c r="I607" s="402"/>
      <c r="J607" s="402"/>
      <c r="K607" s="402"/>
      <c r="L607" s="402"/>
      <c r="M607" s="402"/>
      <c r="N607" s="402"/>
      <c r="O607" s="402"/>
      <c r="P607" s="402"/>
      <c r="Q607" s="402"/>
      <c r="R607" s="402"/>
      <c r="S607" s="402"/>
      <c r="T607" s="402"/>
      <c r="U607" s="402"/>
      <c r="V607" s="402"/>
      <c r="W607" s="402"/>
      <c r="X607" s="402"/>
      <c r="Y607" s="402"/>
      <c r="Z607" s="402"/>
      <c r="AA607" s="405"/>
      <c r="AB607" s="405"/>
      <c r="AC607" s="405"/>
      <c r="AD607" s="405"/>
      <c r="AE607" s="405"/>
      <c r="AF607" s="405"/>
      <c r="AG607" s="405"/>
    </row>
    <row r="608" ht="14.25" customHeight="1">
      <c r="A608" s="697">
        <v>45528.0</v>
      </c>
      <c r="B608" s="402" t="s">
        <v>2697</v>
      </c>
      <c r="C608" s="402" t="s">
        <v>2756</v>
      </c>
      <c r="D608" s="402" t="s">
        <v>54</v>
      </c>
      <c r="E608" s="402" t="s">
        <v>2832</v>
      </c>
      <c r="F608" s="587">
        <v>71466.79</v>
      </c>
      <c r="G608" s="403"/>
      <c r="H608" s="690" t="s">
        <v>2984</v>
      </c>
      <c r="I608" s="402"/>
      <c r="J608" s="402"/>
      <c r="K608" s="402"/>
      <c r="L608" s="402"/>
      <c r="M608" s="402"/>
      <c r="N608" s="402"/>
      <c r="O608" s="402"/>
      <c r="P608" s="402"/>
      <c r="Q608" s="402"/>
      <c r="R608" s="402"/>
      <c r="S608" s="402"/>
      <c r="T608" s="402"/>
      <c r="U608" s="402"/>
      <c r="V608" s="402"/>
      <c r="W608" s="402"/>
      <c r="X608" s="402"/>
      <c r="Y608" s="402"/>
      <c r="Z608" s="402"/>
      <c r="AA608" s="405"/>
      <c r="AB608" s="405"/>
      <c r="AC608" s="405"/>
      <c r="AD608" s="405"/>
      <c r="AE608" s="405"/>
      <c r="AF608" s="405"/>
      <c r="AG608" s="405"/>
    </row>
    <row r="609" ht="14.25" customHeight="1">
      <c r="A609" s="697"/>
      <c r="B609" s="402"/>
      <c r="C609" s="402"/>
      <c r="D609" s="402"/>
      <c r="E609" s="402"/>
      <c r="F609" s="664"/>
      <c r="G609" s="403"/>
      <c r="H609" s="402"/>
      <c r="I609" s="402"/>
      <c r="J609" s="402"/>
      <c r="K609" s="402"/>
      <c r="L609" s="402"/>
      <c r="M609" s="402"/>
      <c r="N609" s="402"/>
      <c r="O609" s="402"/>
      <c r="P609" s="402"/>
      <c r="Q609" s="402"/>
      <c r="R609" s="402"/>
      <c r="S609" s="402"/>
      <c r="T609" s="402"/>
      <c r="U609" s="402"/>
      <c r="V609" s="402"/>
      <c r="W609" s="402"/>
      <c r="X609" s="402"/>
      <c r="Y609" s="402"/>
      <c r="Z609" s="402"/>
      <c r="AA609" s="405"/>
      <c r="AB609" s="405"/>
      <c r="AC609" s="405"/>
      <c r="AD609" s="405"/>
      <c r="AE609" s="405"/>
      <c r="AF609" s="405"/>
      <c r="AG609" s="405"/>
    </row>
    <row r="610" ht="14.25" customHeight="1">
      <c r="A610" s="697"/>
      <c r="B610" s="402"/>
      <c r="C610" s="402"/>
      <c r="D610" s="402"/>
      <c r="E610" s="402"/>
      <c r="F610" s="664"/>
      <c r="G610" s="403"/>
      <c r="H610" s="402"/>
      <c r="I610" s="402"/>
      <c r="J610" s="402"/>
      <c r="K610" s="402"/>
      <c r="L610" s="402"/>
      <c r="M610" s="402"/>
      <c r="N610" s="402"/>
      <c r="O610" s="402"/>
      <c r="P610" s="402"/>
      <c r="Q610" s="402"/>
      <c r="R610" s="402"/>
      <c r="S610" s="402"/>
      <c r="T610" s="402"/>
      <c r="U610" s="402"/>
      <c r="V610" s="402"/>
      <c r="W610" s="402"/>
      <c r="X610" s="402"/>
      <c r="Y610" s="402"/>
      <c r="Z610" s="402"/>
      <c r="AA610" s="405"/>
      <c r="AB610" s="405"/>
      <c r="AC610" s="405"/>
      <c r="AD610" s="405"/>
      <c r="AE610" s="405"/>
      <c r="AF610" s="405"/>
      <c r="AG610" s="405"/>
    </row>
    <row r="611" ht="14.25" customHeight="1">
      <c r="A611" s="705" t="s">
        <v>2130</v>
      </c>
      <c r="B611" s="706" t="s">
        <v>39</v>
      </c>
      <c r="C611" s="706" t="s">
        <v>48</v>
      </c>
      <c r="D611" s="706" t="s">
        <v>49</v>
      </c>
      <c r="E611" s="706" t="s">
        <v>50</v>
      </c>
      <c r="F611" s="707" t="s">
        <v>2</v>
      </c>
      <c r="G611" s="708" t="s">
        <v>44</v>
      </c>
      <c r="H611" s="706" t="s">
        <v>45</v>
      </c>
      <c r="I611" s="402"/>
      <c r="J611" s="402"/>
      <c r="K611" s="402"/>
      <c r="L611" s="402"/>
      <c r="M611" s="402"/>
      <c r="N611" s="402"/>
      <c r="O611" s="402"/>
      <c r="P611" s="402"/>
      <c r="Q611" s="402"/>
      <c r="R611" s="402"/>
      <c r="S611" s="402"/>
      <c r="T611" s="402"/>
      <c r="U611" s="402"/>
      <c r="V611" s="402"/>
      <c r="W611" s="402"/>
      <c r="X611" s="402"/>
      <c r="Y611" s="402"/>
      <c r="Z611" s="402"/>
      <c r="AA611" s="405"/>
      <c r="AB611" s="405"/>
      <c r="AC611" s="405"/>
      <c r="AD611" s="405"/>
      <c r="AE611" s="405"/>
      <c r="AF611" s="405"/>
      <c r="AG611" s="405"/>
    </row>
    <row r="612" ht="14.25" customHeight="1">
      <c r="A612" s="697">
        <v>45530.0</v>
      </c>
      <c r="B612" s="349" t="s">
        <v>2520</v>
      </c>
      <c r="C612" s="349" t="s">
        <v>2521</v>
      </c>
      <c r="D612" s="349" t="s">
        <v>54</v>
      </c>
      <c r="E612" s="402" t="s">
        <v>2442</v>
      </c>
      <c r="F612" s="413">
        <v>20557.0</v>
      </c>
      <c r="G612" s="413"/>
      <c r="H612" s="517" t="s">
        <v>2991</v>
      </c>
      <c r="I612" s="406"/>
      <c r="J612" s="406"/>
      <c r="K612" s="349"/>
      <c r="L612" s="413"/>
      <c r="M612" s="349"/>
      <c r="N612" s="413"/>
      <c r="O612" s="402"/>
      <c r="P612" s="402"/>
      <c r="Q612" s="402"/>
      <c r="R612" s="402"/>
      <c r="S612" s="402"/>
      <c r="T612" s="402"/>
      <c r="U612" s="402"/>
      <c r="V612" s="402"/>
      <c r="W612" s="402"/>
      <c r="X612" s="402"/>
      <c r="Y612" s="402"/>
      <c r="Z612" s="402"/>
      <c r="AA612" s="405"/>
      <c r="AB612" s="405"/>
      <c r="AC612" s="405"/>
      <c r="AD612" s="405"/>
      <c r="AE612" s="405"/>
      <c r="AF612" s="405"/>
      <c r="AG612" s="405"/>
    </row>
    <row r="613" ht="14.25" customHeight="1">
      <c r="A613" s="697">
        <v>45530.0</v>
      </c>
      <c r="B613" s="349" t="s">
        <v>2522</v>
      </c>
      <c r="C613" s="349" t="s">
        <v>2523</v>
      </c>
      <c r="D613" s="349" t="s">
        <v>54</v>
      </c>
      <c r="E613" s="402" t="s">
        <v>2442</v>
      </c>
      <c r="F613" s="413">
        <v>33398.0</v>
      </c>
      <c r="G613" s="413">
        <v>33398.0</v>
      </c>
      <c r="H613" s="349" t="s">
        <v>401</v>
      </c>
      <c r="I613" s="406"/>
      <c r="J613" s="406"/>
      <c r="K613" s="349"/>
      <c r="L613" s="413"/>
      <c r="M613" s="349"/>
      <c r="N613" s="413"/>
      <c r="O613" s="402"/>
      <c r="P613" s="402"/>
      <c r="Q613" s="402"/>
      <c r="R613" s="402"/>
      <c r="S613" s="402"/>
      <c r="T613" s="402"/>
      <c r="U613" s="402"/>
      <c r="V613" s="402"/>
      <c r="W613" s="402"/>
      <c r="X613" s="402"/>
      <c r="Y613" s="402"/>
      <c r="Z613" s="402"/>
      <c r="AA613" s="405"/>
      <c r="AB613" s="405"/>
      <c r="AC613" s="405"/>
      <c r="AD613" s="405"/>
      <c r="AE613" s="405"/>
      <c r="AF613" s="405"/>
      <c r="AG613" s="405"/>
    </row>
    <row r="614" ht="14.25" customHeight="1">
      <c r="A614" s="697">
        <v>45530.0</v>
      </c>
      <c r="B614" s="349" t="s">
        <v>2526</v>
      </c>
      <c r="C614" s="349" t="s">
        <v>2527</v>
      </c>
      <c r="D614" s="349" t="s">
        <v>54</v>
      </c>
      <c r="E614" s="402" t="s">
        <v>2442</v>
      </c>
      <c r="F614" s="413">
        <v>576108.0</v>
      </c>
      <c r="G614" s="413">
        <v>576108.0</v>
      </c>
      <c r="H614" s="349" t="s">
        <v>2111</v>
      </c>
      <c r="I614" s="406"/>
      <c r="J614" s="406"/>
      <c r="K614" s="349"/>
      <c r="L614" s="413"/>
      <c r="M614" s="349"/>
      <c r="N614" s="413"/>
      <c r="O614" s="402"/>
      <c r="P614" s="402"/>
      <c r="Q614" s="402"/>
      <c r="R614" s="402"/>
      <c r="S614" s="402"/>
      <c r="T614" s="402"/>
      <c r="U614" s="402"/>
      <c r="V614" s="402"/>
      <c r="W614" s="402"/>
      <c r="X614" s="402"/>
      <c r="Y614" s="402"/>
      <c r="Z614" s="402"/>
      <c r="AA614" s="405"/>
      <c r="AB614" s="405"/>
      <c r="AC614" s="405"/>
      <c r="AD614" s="405"/>
      <c r="AE614" s="405"/>
      <c r="AF614" s="405"/>
      <c r="AG614" s="405"/>
    </row>
    <row r="615" ht="14.25" customHeight="1">
      <c r="A615" s="697">
        <v>45530.0</v>
      </c>
      <c r="B615" s="349" t="s">
        <v>2528</v>
      </c>
      <c r="C615" s="349" t="s">
        <v>2529</v>
      </c>
      <c r="D615" s="349" t="s">
        <v>346</v>
      </c>
      <c r="E615" s="402" t="s">
        <v>2442</v>
      </c>
      <c r="F615" s="413">
        <v>5470.0</v>
      </c>
      <c r="G615" s="413"/>
      <c r="H615" s="349" t="s">
        <v>2913</v>
      </c>
      <c r="I615" s="406"/>
      <c r="J615" s="406"/>
      <c r="K615" s="349"/>
      <c r="L615" s="413"/>
      <c r="M615" s="349"/>
      <c r="N615" s="413"/>
      <c r="O615" s="402"/>
      <c r="P615" s="402"/>
      <c r="Q615" s="402"/>
      <c r="R615" s="402"/>
      <c r="S615" s="402"/>
      <c r="T615" s="402"/>
      <c r="U615" s="402"/>
      <c r="V615" s="402"/>
      <c r="W615" s="402"/>
      <c r="X615" s="402"/>
      <c r="Y615" s="402"/>
      <c r="Z615" s="402"/>
      <c r="AA615" s="405"/>
      <c r="AB615" s="405"/>
      <c r="AC615" s="405"/>
      <c r="AD615" s="405"/>
      <c r="AE615" s="405"/>
      <c r="AF615" s="405"/>
      <c r="AG615" s="405"/>
    </row>
    <row r="616" ht="14.25" customHeight="1">
      <c r="A616" s="697">
        <v>45530.0</v>
      </c>
      <c r="B616" s="349" t="s">
        <v>2992</v>
      </c>
      <c r="C616" s="349" t="s">
        <v>2993</v>
      </c>
      <c r="D616" s="349" t="s">
        <v>54</v>
      </c>
      <c r="E616" s="402" t="s">
        <v>2442</v>
      </c>
      <c r="F616" s="413">
        <v>31393.0</v>
      </c>
      <c r="G616" s="413"/>
      <c r="H616" s="349" t="s">
        <v>2994</v>
      </c>
      <c r="I616" s="406"/>
      <c r="J616" s="402"/>
      <c r="K616" s="349"/>
      <c r="L616" s="413"/>
      <c r="M616" s="349"/>
      <c r="N616" s="413"/>
      <c r="O616" s="402"/>
      <c r="P616" s="402"/>
      <c r="Q616" s="402"/>
      <c r="R616" s="402"/>
      <c r="S616" s="402"/>
      <c r="T616" s="402"/>
      <c r="U616" s="402"/>
      <c r="V616" s="402"/>
      <c r="W616" s="402"/>
      <c r="X616" s="402"/>
      <c r="Y616" s="402"/>
      <c r="Z616" s="402"/>
      <c r="AA616" s="405"/>
      <c r="AB616" s="405"/>
      <c r="AC616" s="405"/>
      <c r="AD616" s="405"/>
      <c r="AE616" s="405"/>
      <c r="AF616" s="405"/>
      <c r="AG616" s="405"/>
    </row>
    <row r="617" ht="14.25" customHeight="1">
      <c r="A617" s="697">
        <v>45530.0</v>
      </c>
      <c r="B617" s="349" t="s">
        <v>2508</v>
      </c>
      <c r="C617" s="349" t="s">
        <v>2509</v>
      </c>
      <c r="D617" s="349" t="s">
        <v>54</v>
      </c>
      <c r="E617" s="402" t="s">
        <v>2442</v>
      </c>
      <c r="F617" s="413">
        <v>21500.0</v>
      </c>
      <c r="G617" s="413">
        <v>12000.0</v>
      </c>
      <c r="H617" s="349" t="s">
        <v>2995</v>
      </c>
      <c r="I617" s="406"/>
      <c r="J617" s="402"/>
      <c r="K617" s="349"/>
      <c r="L617" s="413"/>
      <c r="M617" s="349"/>
      <c r="N617" s="413"/>
      <c r="O617" s="402"/>
      <c r="P617" s="402"/>
      <c r="Q617" s="402"/>
      <c r="R617" s="402"/>
      <c r="S617" s="402"/>
      <c r="T617" s="402"/>
      <c r="U617" s="402"/>
      <c r="V617" s="402"/>
      <c r="W617" s="402"/>
      <c r="X617" s="402"/>
      <c r="Y617" s="402"/>
      <c r="Z617" s="402"/>
      <c r="AA617" s="405"/>
      <c r="AB617" s="405"/>
      <c r="AC617" s="405"/>
      <c r="AD617" s="405"/>
      <c r="AE617" s="405"/>
      <c r="AF617" s="405"/>
      <c r="AG617" s="405"/>
    </row>
    <row r="618" ht="14.25" customHeight="1">
      <c r="A618" s="697">
        <v>45530.0</v>
      </c>
      <c r="B618" s="349" t="s">
        <v>2479</v>
      </c>
      <c r="C618" s="349" t="s">
        <v>2480</v>
      </c>
      <c r="D618" s="349" t="s">
        <v>54</v>
      </c>
      <c r="E618" s="402" t="s">
        <v>2442</v>
      </c>
      <c r="F618" s="413">
        <v>10000.0</v>
      </c>
      <c r="G618" s="413">
        <v>5500.0</v>
      </c>
      <c r="H618" s="349" t="s">
        <v>2996</v>
      </c>
      <c r="I618" s="402"/>
      <c r="J618" s="402"/>
      <c r="K618" s="402"/>
      <c r="L618" s="402"/>
      <c r="M618" s="402"/>
      <c r="N618" s="402"/>
      <c r="O618" s="402"/>
      <c r="P618" s="402"/>
      <c r="Q618" s="402"/>
      <c r="R618" s="402"/>
      <c r="S618" s="402"/>
      <c r="T618" s="402"/>
      <c r="U618" s="402"/>
      <c r="V618" s="402"/>
      <c r="W618" s="402"/>
      <c r="X618" s="402"/>
      <c r="Y618" s="402"/>
      <c r="Z618" s="402"/>
      <c r="AA618" s="405"/>
      <c r="AB618" s="405"/>
      <c r="AC618" s="405"/>
      <c r="AD618" s="405"/>
      <c r="AE618" s="405"/>
      <c r="AF618" s="405"/>
      <c r="AG618" s="405"/>
    </row>
    <row r="619" ht="14.25" customHeight="1">
      <c r="A619" s="697">
        <v>45530.0</v>
      </c>
      <c r="B619" s="349" t="s">
        <v>2471</v>
      </c>
      <c r="C619" s="349" t="s">
        <v>2472</v>
      </c>
      <c r="D619" s="349" t="s">
        <v>54</v>
      </c>
      <c r="E619" s="402" t="s">
        <v>2832</v>
      </c>
      <c r="F619" s="662">
        <v>357831.0</v>
      </c>
      <c r="G619" s="559">
        <v>357831.0</v>
      </c>
      <c r="H619" s="349" t="s">
        <v>2111</v>
      </c>
      <c r="I619" s="402"/>
      <c r="J619" s="402"/>
      <c r="K619" s="402"/>
      <c r="L619" s="402"/>
      <c r="M619" s="402"/>
      <c r="N619" s="402"/>
      <c r="O619" s="402"/>
      <c r="P619" s="402"/>
      <c r="Q619" s="402"/>
      <c r="R619" s="402"/>
      <c r="S619" s="402"/>
      <c r="T619" s="402"/>
      <c r="U619" s="402"/>
      <c r="V619" s="402"/>
      <c r="W619" s="402"/>
      <c r="X619" s="402"/>
      <c r="Y619" s="402"/>
      <c r="Z619" s="402"/>
      <c r="AA619" s="405"/>
      <c r="AB619" s="405"/>
      <c r="AC619" s="405"/>
      <c r="AD619" s="405"/>
      <c r="AE619" s="405"/>
      <c r="AF619" s="405"/>
      <c r="AG619" s="405"/>
    </row>
    <row r="620" ht="14.25" customHeight="1">
      <c r="A620" s="697">
        <v>45530.0</v>
      </c>
      <c r="B620" s="349" t="s">
        <v>2493</v>
      </c>
      <c r="C620" s="349" t="s">
        <v>2735</v>
      </c>
      <c r="D620" s="349" t="s">
        <v>54</v>
      </c>
      <c r="E620" s="349" t="s">
        <v>2832</v>
      </c>
      <c r="F620" s="662">
        <v>50000.0</v>
      </c>
      <c r="G620" s="403"/>
      <c r="H620" s="349" t="s">
        <v>2997</v>
      </c>
      <c r="I620" s="402"/>
      <c r="J620" s="402"/>
      <c r="K620" s="402"/>
      <c r="L620" s="402"/>
      <c r="M620" s="402"/>
      <c r="N620" s="402"/>
      <c r="O620" s="402"/>
      <c r="P620" s="402"/>
      <c r="Q620" s="402"/>
      <c r="R620" s="402"/>
      <c r="S620" s="402"/>
      <c r="T620" s="402"/>
      <c r="U620" s="402"/>
      <c r="V620" s="402"/>
      <c r="W620" s="402"/>
      <c r="X620" s="402"/>
      <c r="Y620" s="402"/>
      <c r="Z620" s="402"/>
      <c r="AA620" s="405"/>
      <c r="AB620" s="405"/>
      <c r="AC620" s="405"/>
      <c r="AD620" s="405"/>
      <c r="AE620" s="405"/>
      <c r="AF620" s="405"/>
      <c r="AG620" s="405"/>
    </row>
    <row r="621" ht="14.25" customHeight="1">
      <c r="A621" s="697">
        <v>45530.0</v>
      </c>
      <c r="B621" s="402" t="s">
        <v>2764</v>
      </c>
      <c r="C621" s="402" t="s">
        <v>2856</v>
      </c>
      <c r="D621" s="402" t="s">
        <v>54</v>
      </c>
      <c r="E621" s="402" t="s">
        <v>2832</v>
      </c>
      <c r="F621" s="587">
        <v>34851.0</v>
      </c>
      <c r="G621" s="403"/>
      <c r="H621" s="349" t="s">
        <v>2998</v>
      </c>
      <c r="I621" s="402"/>
      <c r="J621" s="402"/>
      <c r="K621" s="402"/>
      <c r="L621" s="402"/>
      <c r="M621" s="402"/>
      <c r="N621" s="402"/>
      <c r="O621" s="402"/>
      <c r="P621" s="402"/>
      <c r="Q621" s="402"/>
      <c r="R621" s="402"/>
      <c r="S621" s="402"/>
      <c r="T621" s="402"/>
      <c r="U621" s="402"/>
      <c r="V621" s="402"/>
      <c r="W621" s="402"/>
      <c r="X621" s="402"/>
      <c r="Y621" s="402"/>
      <c r="Z621" s="402"/>
      <c r="AA621" s="405"/>
      <c r="AB621" s="405"/>
      <c r="AC621" s="405"/>
      <c r="AD621" s="405"/>
      <c r="AE621" s="405"/>
      <c r="AF621" s="405"/>
      <c r="AG621" s="405"/>
    </row>
    <row r="622" ht="14.25" customHeight="1">
      <c r="A622" s="406">
        <v>45530.0</v>
      </c>
      <c r="B622" s="455" t="s">
        <v>2999</v>
      </c>
      <c r="C622" s="709" t="s">
        <v>2591</v>
      </c>
      <c r="D622" s="709" t="s">
        <v>54</v>
      </c>
      <c r="E622" s="709" t="s">
        <v>2661</v>
      </c>
      <c r="F622" s="587">
        <v>71466.79</v>
      </c>
      <c r="G622" s="413">
        <v>80500.0</v>
      </c>
      <c r="H622" s="349" t="s">
        <v>401</v>
      </c>
      <c r="I622" s="402"/>
      <c r="J622" s="402"/>
      <c r="K622" s="402"/>
      <c r="L622" s="402"/>
      <c r="M622" s="402"/>
      <c r="N622" s="402"/>
      <c r="O622" s="402"/>
      <c r="P622" s="402"/>
      <c r="Q622" s="402"/>
      <c r="R622" s="402"/>
      <c r="S622" s="402"/>
      <c r="T622" s="402"/>
      <c r="U622" s="402"/>
      <c r="V622" s="402"/>
      <c r="W622" s="402"/>
      <c r="X622" s="402"/>
      <c r="Y622" s="402"/>
      <c r="Z622" s="402"/>
      <c r="AA622" s="405"/>
      <c r="AB622" s="405"/>
      <c r="AC622" s="405"/>
      <c r="AD622" s="405"/>
      <c r="AE622" s="405"/>
      <c r="AF622" s="405"/>
      <c r="AG622" s="405"/>
    </row>
    <row r="623" ht="14.25" customHeight="1">
      <c r="A623" s="406">
        <v>45530.0</v>
      </c>
      <c r="B623" s="349" t="s">
        <v>2524</v>
      </c>
      <c r="C623" s="349" t="s">
        <v>3000</v>
      </c>
      <c r="D623" s="402" t="s">
        <v>54</v>
      </c>
      <c r="E623" s="402" t="s">
        <v>2832</v>
      </c>
      <c r="F623" s="413">
        <v>107500.0</v>
      </c>
      <c r="G623" s="413">
        <v>107500.0</v>
      </c>
      <c r="H623" s="349" t="s">
        <v>2111</v>
      </c>
      <c r="I623" s="402"/>
      <c r="J623" s="402"/>
      <c r="K623" s="402"/>
      <c r="L623" s="402"/>
      <c r="M623" s="402"/>
      <c r="N623" s="402"/>
      <c r="O623" s="402"/>
      <c r="P623" s="402"/>
      <c r="Q623" s="402"/>
      <c r="R623" s="402"/>
      <c r="S623" s="402"/>
      <c r="T623" s="402"/>
      <c r="U623" s="402"/>
      <c r="V623" s="402"/>
      <c r="W623" s="402"/>
      <c r="X623" s="402"/>
      <c r="Y623" s="402"/>
      <c r="Z623" s="405"/>
      <c r="AA623" s="405"/>
      <c r="AB623" s="405"/>
      <c r="AC623" s="405"/>
      <c r="AD623" s="405"/>
      <c r="AE623" s="405"/>
      <c r="AF623" s="405"/>
    </row>
    <row r="624" ht="14.25" customHeight="1">
      <c r="A624" s="406">
        <v>45530.0</v>
      </c>
      <c r="B624" s="349" t="s">
        <v>2873</v>
      </c>
      <c r="C624" s="349" t="s">
        <v>2874</v>
      </c>
      <c r="D624" s="349" t="s">
        <v>54</v>
      </c>
      <c r="E624" s="349" t="s">
        <v>2832</v>
      </c>
      <c r="F624" s="662">
        <v>100000.0</v>
      </c>
      <c r="G624" s="403"/>
      <c r="H624" s="413" t="s">
        <v>3001</v>
      </c>
      <c r="I624" s="402"/>
      <c r="J624" s="402"/>
      <c r="K624" s="402"/>
      <c r="L624" s="402"/>
      <c r="M624" s="402"/>
      <c r="N624" s="402"/>
      <c r="O624" s="402"/>
      <c r="P624" s="402"/>
      <c r="Q624" s="402"/>
      <c r="R624" s="402"/>
      <c r="S624" s="402"/>
      <c r="T624" s="402"/>
      <c r="U624" s="402"/>
      <c r="V624" s="402"/>
      <c r="W624" s="402"/>
      <c r="X624" s="402"/>
      <c r="Y624" s="402"/>
      <c r="Z624" s="402"/>
      <c r="AA624" s="405"/>
      <c r="AB624" s="405"/>
      <c r="AC624" s="405"/>
      <c r="AD624" s="405"/>
      <c r="AE624" s="405"/>
      <c r="AF624" s="405"/>
      <c r="AG624" s="405"/>
    </row>
    <row r="625" ht="14.25" customHeight="1">
      <c r="A625" s="406">
        <v>45530.0</v>
      </c>
      <c r="B625" s="349" t="s">
        <v>2512</v>
      </c>
      <c r="C625" s="349" t="s">
        <v>3002</v>
      </c>
      <c r="D625" s="349" t="s">
        <v>54</v>
      </c>
      <c r="E625" s="349" t="s">
        <v>2442</v>
      </c>
      <c r="F625" s="662">
        <v>6000.0</v>
      </c>
      <c r="G625" s="413">
        <v>6173.0</v>
      </c>
      <c r="H625" s="349" t="s">
        <v>3003</v>
      </c>
      <c r="I625" s="402"/>
      <c r="J625" s="402"/>
      <c r="K625" s="402"/>
      <c r="L625" s="402"/>
      <c r="M625" s="402"/>
      <c r="N625" s="402"/>
      <c r="O625" s="402"/>
      <c r="P625" s="402"/>
      <c r="Q625" s="402"/>
      <c r="R625" s="402"/>
      <c r="S625" s="402"/>
      <c r="T625" s="402"/>
      <c r="U625" s="402"/>
      <c r="V625" s="402"/>
      <c r="W625" s="402"/>
      <c r="X625" s="402"/>
      <c r="Y625" s="402"/>
      <c r="Z625" s="402"/>
      <c r="AA625" s="405"/>
      <c r="AB625" s="405"/>
      <c r="AC625" s="405"/>
      <c r="AD625" s="405"/>
      <c r="AE625" s="405"/>
      <c r="AF625" s="405"/>
      <c r="AG625" s="405"/>
    </row>
    <row r="626" ht="14.25" customHeight="1">
      <c r="A626" s="406"/>
      <c r="B626" s="402"/>
      <c r="C626" s="402"/>
      <c r="D626" s="402"/>
      <c r="E626" s="402"/>
      <c r="F626" s="664"/>
      <c r="G626" s="403"/>
      <c r="H626" s="402"/>
      <c r="I626" s="402"/>
      <c r="J626" s="402"/>
      <c r="K626" s="402"/>
      <c r="L626" s="402"/>
      <c r="M626" s="402"/>
      <c r="N626" s="402"/>
      <c r="O626" s="402"/>
      <c r="P626" s="402"/>
      <c r="Q626" s="402"/>
      <c r="R626" s="402"/>
      <c r="S626" s="402"/>
      <c r="T626" s="402"/>
      <c r="U626" s="402"/>
      <c r="V626" s="402"/>
      <c r="W626" s="402"/>
      <c r="X626" s="402"/>
      <c r="Y626" s="402"/>
      <c r="Z626" s="402"/>
      <c r="AA626" s="405"/>
      <c r="AB626" s="405"/>
      <c r="AC626" s="405"/>
      <c r="AD626" s="405"/>
      <c r="AE626" s="405"/>
      <c r="AF626" s="405"/>
      <c r="AG626" s="405"/>
    </row>
    <row r="627" ht="14.25" customHeight="1">
      <c r="A627" s="402"/>
      <c r="B627" s="402"/>
      <c r="C627" s="402"/>
      <c r="D627" s="402"/>
      <c r="E627" s="402"/>
      <c r="F627" s="664"/>
      <c r="G627" s="403"/>
      <c r="H627" s="402"/>
      <c r="I627" s="402"/>
      <c r="J627" s="402"/>
      <c r="K627" s="402"/>
      <c r="L627" s="402"/>
      <c r="M627" s="402"/>
      <c r="N627" s="402"/>
      <c r="O627" s="402"/>
      <c r="P627" s="402"/>
      <c r="Q627" s="402"/>
      <c r="R627" s="402"/>
      <c r="S627" s="402"/>
      <c r="T627" s="402"/>
      <c r="U627" s="402"/>
      <c r="V627" s="402"/>
      <c r="W627" s="402"/>
      <c r="X627" s="402"/>
      <c r="Y627" s="402"/>
      <c r="Z627" s="402"/>
      <c r="AA627" s="405"/>
      <c r="AB627" s="405"/>
      <c r="AC627" s="405"/>
      <c r="AD627" s="405"/>
      <c r="AE627" s="405"/>
      <c r="AF627" s="405"/>
      <c r="AG627" s="405"/>
    </row>
    <row r="628" ht="14.25" customHeight="1">
      <c r="A628" s="402"/>
      <c r="B628" s="402"/>
      <c r="C628" s="402"/>
      <c r="D628" s="402"/>
      <c r="E628" s="402"/>
      <c r="F628" s="664"/>
      <c r="G628" s="403"/>
      <c r="H628" s="402"/>
      <c r="I628" s="402"/>
      <c r="J628" s="402"/>
      <c r="K628" s="402"/>
      <c r="L628" s="402"/>
      <c r="M628" s="402"/>
      <c r="N628" s="402"/>
      <c r="O628" s="402"/>
      <c r="P628" s="402"/>
      <c r="Q628" s="402"/>
      <c r="R628" s="402"/>
      <c r="S628" s="402"/>
      <c r="T628" s="402"/>
      <c r="U628" s="402"/>
      <c r="V628" s="402"/>
      <c r="W628" s="402"/>
      <c r="X628" s="402"/>
      <c r="Y628" s="402"/>
      <c r="Z628" s="402"/>
      <c r="AA628" s="405"/>
      <c r="AB628" s="405"/>
      <c r="AC628" s="405"/>
      <c r="AD628" s="405"/>
      <c r="AE628" s="405"/>
      <c r="AF628" s="405"/>
      <c r="AG628" s="405"/>
    </row>
    <row r="629" ht="14.25" customHeight="1">
      <c r="A629" s="705" t="s">
        <v>2130</v>
      </c>
      <c r="B629" s="706" t="s">
        <v>39</v>
      </c>
      <c r="C629" s="706" t="s">
        <v>48</v>
      </c>
      <c r="D629" s="706" t="s">
        <v>49</v>
      </c>
      <c r="E629" s="706" t="s">
        <v>50</v>
      </c>
      <c r="F629" s="707" t="s">
        <v>2</v>
      </c>
      <c r="G629" s="708" t="s">
        <v>44</v>
      </c>
      <c r="H629" s="706" t="s">
        <v>45</v>
      </c>
      <c r="I629" s="402"/>
      <c r="J629" s="402"/>
      <c r="K629" s="402"/>
      <c r="L629" s="402"/>
      <c r="M629" s="402"/>
      <c r="N629" s="402"/>
      <c r="O629" s="402"/>
      <c r="P629" s="402"/>
      <c r="Q629" s="402"/>
      <c r="R629" s="402"/>
      <c r="S629" s="402"/>
      <c r="T629" s="402"/>
      <c r="U629" s="402"/>
      <c r="V629" s="402"/>
      <c r="W629" s="402"/>
      <c r="X629" s="402"/>
      <c r="Y629" s="402"/>
      <c r="Z629" s="402"/>
      <c r="AA629" s="405"/>
      <c r="AB629" s="405"/>
      <c r="AC629" s="405"/>
      <c r="AD629" s="405"/>
      <c r="AE629" s="405"/>
      <c r="AF629" s="405"/>
      <c r="AG629" s="405"/>
    </row>
    <row r="630" ht="14.25" customHeight="1">
      <c r="A630" s="406">
        <v>45531.0</v>
      </c>
      <c r="B630" s="349" t="s">
        <v>3004</v>
      </c>
      <c r="C630" s="349" t="s">
        <v>3005</v>
      </c>
      <c r="D630" s="402" t="s">
        <v>54</v>
      </c>
      <c r="E630" s="402" t="s">
        <v>2832</v>
      </c>
      <c r="F630" s="662">
        <v>2004560.0</v>
      </c>
      <c r="G630" s="662">
        <v>2004560.0</v>
      </c>
      <c r="H630" s="349" t="s">
        <v>268</v>
      </c>
      <c r="I630" s="402"/>
      <c r="J630" s="402"/>
      <c r="K630" s="402"/>
      <c r="L630" s="402"/>
      <c r="M630" s="402"/>
      <c r="N630" s="402"/>
      <c r="O630" s="402"/>
      <c r="P630" s="402"/>
      <c r="Q630" s="402"/>
      <c r="R630" s="402"/>
      <c r="S630" s="402"/>
      <c r="T630" s="402"/>
      <c r="U630" s="402"/>
      <c r="V630" s="402"/>
      <c r="W630" s="402"/>
      <c r="X630" s="402"/>
      <c r="Y630" s="402"/>
      <c r="Z630" s="402"/>
      <c r="AA630" s="405"/>
      <c r="AB630" s="405"/>
      <c r="AC630" s="405"/>
      <c r="AD630" s="405"/>
      <c r="AE630" s="405"/>
      <c r="AF630" s="405"/>
      <c r="AG630" s="405"/>
    </row>
    <row r="631" ht="14.25" customHeight="1">
      <c r="A631" s="406">
        <v>45531.0</v>
      </c>
      <c r="B631" s="349" t="s">
        <v>3006</v>
      </c>
      <c r="C631" s="349" t="s">
        <v>2819</v>
      </c>
      <c r="D631" s="349" t="s">
        <v>75</v>
      </c>
      <c r="E631" s="402" t="s">
        <v>2442</v>
      </c>
      <c r="F631" s="662">
        <v>57500.0</v>
      </c>
      <c r="G631" s="662">
        <v>57500.0</v>
      </c>
      <c r="H631" s="349" t="s">
        <v>401</v>
      </c>
      <c r="I631" s="402"/>
      <c r="J631" s="402"/>
      <c r="K631" s="402"/>
      <c r="L631" s="402"/>
      <c r="M631" s="402"/>
      <c r="N631" s="402"/>
      <c r="O631" s="402"/>
      <c r="P631" s="402"/>
      <c r="Q631" s="402"/>
      <c r="R631" s="402"/>
      <c r="S631" s="402"/>
      <c r="T631" s="402"/>
      <c r="U631" s="402"/>
      <c r="V631" s="402"/>
      <c r="W631" s="402"/>
      <c r="X631" s="402"/>
      <c r="Y631" s="402"/>
      <c r="Z631" s="402"/>
      <c r="AA631" s="405"/>
      <c r="AB631" s="405"/>
      <c r="AC631" s="405"/>
      <c r="AD631" s="405"/>
      <c r="AE631" s="405"/>
      <c r="AF631" s="405"/>
      <c r="AG631" s="405"/>
    </row>
    <row r="632" ht="14.25" customHeight="1">
      <c r="A632" s="406">
        <v>45531.0</v>
      </c>
      <c r="B632" s="710" t="s">
        <v>3007</v>
      </c>
      <c r="C632" s="349" t="s">
        <v>2837</v>
      </c>
      <c r="D632" s="402"/>
      <c r="E632" s="402" t="s">
        <v>2832</v>
      </c>
      <c r="F632" s="711">
        <v>172917.0</v>
      </c>
      <c r="G632" s="403"/>
      <c r="H632" s="349" t="s">
        <v>3008</v>
      </c>
      <c r="I632" s="402"/>
      <c r="J632" s="402"/>
      <c r="K632" s="402"/>
      <c r="L632" s="402"/>
      <c r="M632" s="402"/>
      <c r="N632" s="402"/>
      <c r="O632" s="402"/>
      <c r="P632" s="402"/>
      <c r="Q632" s="402"/>
      <c r="R632" s="402"/>
      <c r="S632" s="402"/>
      <c r="T632" s="402"/>
      <c r="U632" s="402"/>
      <c r="V632" s="402"/>
      <c r="W632" s="402"/>
      <c r="X632" s="402"/>
      <c r="Y632" s="402"/>
      <c r="Z632" s="402"/>
      <c r="AA632" s="405"/>
      <c r="AB632" s="405"/>
      <c r="AC632" s="405"/>
      <c r="AD632" s="405"/>
      <c r="AE632" s="405"/>
      <c r="AF632" s="405"/>
      <c r="AG632" s="405"/>
    </row>
    <row r="633" ht="14.25" customHeight="1">
      <c r="A633" s="406">
        <v>45531.0</v>
      </c>
      <c r="B633" s="349" t="s">
        <v>2520</v>
      </c>
      <c r="C633" s="349" t="s">
        <v>2521</v>
      </c>
      <c r="D633" s="349" t="s">
        <v>54</v>
      </c>
      <c r="E633" s="402" t="s">
        <v>2442</v>
      </c>
      <c r="F633" s="413">
        <v>20557.0</v>
      </c>
      <c r="G633" s="413">
        <v>23000.0</v>
      </c>
      <c r="H633" s="349" t="s">
        <v>3009</v>
      </c>
      <c r="I633" s="402"/>
      <c r="J633" s="402"/>
      <c r="K633" s="402"/>
      <c r="L633" s="402"/>
      <c r="M633" s="402"/>
      <c r="N633" s="402"/>
      <c r="O633" s="402"/>
      <c r="P633" s="402"/>
      <c r="Q633" s="402"/>
      <c r="R633" s="402"/>
      <c r="S633" s="402"/>
      <c r="T633" s="402"/>
      <c r="U633" s="402"/>
      <c r="V633" s="402"/>
      <c r="W633" s="402"/>
      <c r="X633" s="402"/>
      <c r="Y633" s="402"/>
      <c r="Z633" s="402"/>
      <c r="AA633" s="405"/>
      <c r="AB633" s="405"/>
      <c r="AC633" s="405"/>
      <c r="AD633" s="405"/>
      <c r="AE633" s="405"/>
      <c r="AF633" s="405"/>
      <c r="AG633" s="405"/>
    </row>
    <row r="634" ht="14.25" customHeight="1">
      <c r="A634" s="406">
        <v>45531.0</v>
      </c>
      <c r="B634" s="552" t="s">
        <v>3010</v>
      </c>
      <c r="C634" s="349" t="s">
        <v>2529</v>
      </c>
      <c r="D634" s="349" t="s">
        <v>346</v>
      </c>
      <c r="E634" s="402" t="s">
        <v>2442</v>
      </c>
      <c r="F634" s="413">
        <v>5470.0</v>
      </c>
      <c r="G634" s="403"/>
      <c r="H634" s="349" t="s">
        <v>3011</v>
      </c>
      <c r="I634" s="402"/>
      <c r="J634" s="402"/>
      <c r="K634" s="402"/>
      <c r="L634" s="402"/>
      <c r="M634" s="402"/>
      <c r="N634" s="402"/>
      <c r="O634" s="402"/>
      <c r="P634" s="402"/>
      <c r="Q634" s="402"/>
      <c r="R634" s="402"/>
      <c r="S634" s="402"/>
      <c r="T634" s="402"/>
      <c r="U634" s="402"/>
      <c r="V634" s="402"/>
      <c r="W634" s="402"/>
      <c r="X634" s="402"/>
      <c r="Y634" s="402"/>
      <c r="Z634" s="402"/>
      <c r="AA634" s="405"/>
      <c r="AB634" s="405"/>
      <c r="AC634" s="405"/>
      <c r="AD634" s="405"/>
      <c r="AE634" s="405"/>
      <c r="AF634" s="405"/>
      <c r="AG634" s="405"/>
    </row>
    <row r="635" ht="14.25" customHeight="1">
      <c r="A635" s="406">
        <v>45531.0</v>
      </c>
      <c r="B635" s="419" t="s">
        <v>2914</v>
      </c>
      <c r="C635" s="419" t="s">
        <v>2544</v>
      </c>
      <c r="D635" s="417" t="s">
        <v>54</v>
      </c>
      <c r="E635" s="417" t="s">
        <v>2442</v>
      </c>
      <c r="F635" s="711">
        <v>72450.0</v>
      </c>
      <c r="G635" s="403"/>
      <c r="H635" s="349" t="s">
        <v>3012</v>
      </c>
      <c r="I635" s="402"/>
      <c r="J635" s="402"/>
      <c r="K635" s="402"/>
      <c r="L635" s="402"/>
      <c r="M635" s="402"/>
      <c r="N635" s="402"/>
      <c r="O635" s="402"/>
      <c r="P635" s="402"/>
      <c r="Q635" s="402"/>
      <c r="R635" s="402"/>
      <c r="S635" s="402"/>
      <c r="T635" s="402"/>
      <c r="U635" s="402"/>
      <c r="V635" s="402"/>
      <c r="W635" s="402"/>
      <c r="X635" s="402"/>
      <c r="Y635" s="402"/>
      <c r="Z635" s="402"/>
      <c r="AA635" s="405"/>
      <c r="AB635" s="405"/>
      <c r="AC635" s="405"/>
      <c r="AD635" s="405"/>
      <c r="AE635" s="405"/>
      <c r="AF635" s="405"/>
      <c r="AG635" s="405"/>
    </row>
    <row r="636" ht="14.25" customHeight="1">
      <c r="A636" s="406">
        <v>45531.0</v>
      </c>
      <c r="B636" s="349" t="s">
        <v>3013</v>
      </c>
      <c r="C636" s="349" t="s">
        <v>3014</v>
      </c>
      <c r="D636" s="349" t="s">
        <v>54</v>
      </c>
      <c r="E636" s="402" t="s">
        <v>2442</v>
      </c>
      <c r="F636" s="413">
        <v>31393.0</v>
      </c>
      <c r="G636" s="413">
        <v>58412.0</v>
      </c>
      <c r="H636" s="349" t="s">
        <v>401</v>
      </c>
      <c r="I636" s="402"/>
      <c r="J636" s="402"/>
      <c r="K636" s="402"/>
      <c r="L636" s="402"/>
      <c r="M636" s="402"/>
      <c r="N636" s="402"/>
      <c r="O636" s="402"/>
      <c r="P636" s="402"/>
      <c r="Q636" s="402"/>
      <c r="R636" s="402"/>
      <c r="S636" s="402"/>
      <c r="T636" s="402"/>
      <c r="U636" s="402"/>
      <c r="V636" s="402"/>
      <c r="W636" s="402"/>
      <c r="X636" s="402"/>
      <c r="Y636" s="402"/>
      <c r="Z636" s="402"/>
      <c r="AA636" s="405"/>
      <c r="AB636" s="405"/>
      <c r="AC636" s="405"/>
      <c r="AD636" s="405"/>
      <c r="AE636" s="405"/>
      <c r="AF636" s="405"/>
      <c r="AG636" s="405"/>
    </row>
    <row r="637" ht="14.25" customHeight="1">
      <c r="A637" s="406">
        <v>45531.0</v>
      </c>
      <c r="B637" s="419" t="s">
        <v>2455</v>
      </c>
      <c r="C637" s="417" t="s">
        <v>2456</v>
      </c>
      <c r="D637" s="417" t="s">
        <v>54</v>
      </c>
      <c r="E637" s="417" t="s">
        <v>2442</v>
      </c>
      <c r="F637" s="69">
        <v>20000.0</v>
      </c>
      <c r="G637" s="403"/>
      <c r="H637" s="349" t="s">
        <v>3015</v>
      </c>
      <c r="I637" s="402"/>
      <c r="J637" s="402"/>
      <c r="K637" s="402"/>
      <c r="L637" s="402"/>
      <c r="M637" s="402"/>
      <c r="N637" s="402"/>
      <c r="O637" s="402"/>
      <c r="P637" s="402"/>
      <c r="Q637" s="402"/>
      <c r="R637" s="402"/>
      <c r="S637" s="402"/>
      <c r="T637" s="402"/>
      <c r="U637" s="402"/>
      <c r="V637" s="402"/>
      <c r="W637" s="402"/>
      <c r="X637" s="402"/>
      <c r="Y637" s="402"/>
      <c r="Z637" s="402"/>
      <c r="AA637" s="405"/>
      <c r="AB637" s="405"/>
      <c r="AC637" s="405"/>
      <c r="AD637" s="405"/>
      <c r="AE637" s="405"/>
      <c r="AF637" s="405"/>
      <c r="AG637" s="405"/>
    </row>
    <row r="638" ht="14.25" customHeight="1">
      <c r="A638" s="406">
        <v>45531.0</v>
      </c>
      <c r="B638" s="349" t="s">
        <v>2739</v>
      </c>
      <c r="C638" s="349" t="s">
        <v>2740</v>
      </c>
      <c r="D638" s="417" t="s">
        <v>54</v>
      </c>
      <c r="E638" s="417" t="s">
        <v>2442</v>
      </c>
      <c r="F638" s="662">
        <v>2000.0</v>
      </c>
      <c r="G638" s="413">
        <v>2000.0</v>
      </c>
      <c r="H638" s="402"/>
      <c r="I638" s="402"/>
      <c r="J638" s="402"/>
      <c r="K638" s="402"/>
      <c r="L638" s="402"/>
      <c r="M638" s="402"/>
      <c r="N638" s="402"/>
      <c r="O638" s="402"/>
      <c r="P638" s="402"/>
      <c r="Q638" s="402"/>
      <c r="R638" s="402"/>
      <c r="S638" s="402"/>
      <c r="T638" s="402"/>
      <c r="U638" s="402"/>
      <c r="V638" s="402"/>
      <c r="W638" s="402"/>
      <c r="X638" s="402"/>
      <c r="Y638" s="402"/>
      <c r="Z638" s="402"/>
      <c r="AA638" s="405"/>
      <c r="AB638" s="405"/>
      <c r="AC638" s="405"/>
      <c r="AD638" s="405"/>
      <c r="AE638" s="405"/>
      <c r="AF638" s="405"/>
      <c r="AG638" s="405"/>
    </row>
    <row r="639" ht="14.25" customHeight="1">
      <c r="A639" s="406">
        <v>45531.0</v>
      </c>
      <c r="B639" s="349" t="s">
        <v>2533</v>
      </c>
      <c r="C639" s="349" t="s">
        <v>2534</v>
      </c>
      <c r="D639" s="417" t="s">
        <v>54</v>
      </c>
      <c r="E639" s="417" t="s">
        <v>2442</v>
      </c>
      <c r="F639" s="662">
        <v>36675.0</v>
      </c>
      <c r="G639" s="403"/>
      <c r="H639" s="349" t="s">
        <v>3016</v>
      </c>
      <c r="I639" s="402"/>
      <c r="J639" s="402"/>
      <c r="K639" s="402"/>
      <c r="L639" s="402"/>
      <c r="M639" s="402"/>
      <c r="N639" s="402"/>
      <c r="O639" s="402"/>
      <c r="P639" s="402"/>
      <c r="Q639" s="402"/>
      <c r="R639" s="402"/>
      <c r="S639" s="402"/>
      <c r="T639" s="402"/>
      <c r="U639" s="402"/>
      <c r="V639" s="402"/>
      <c r="W639" s="402"/>
      <c r="X639" s="402"/>
      <c r="Y639" s="402"/>
      <c r="Z639" s="402"/>
      <c r="AA639" s="405"/>
      <c r="AB639" s="405"/>
      <c r="AC639" s="405"/>
      <c r="AD639" s="405"/>
      <c r="AE639" s="405"/>
      <c r="AF639" s="405"/>
      <c r="AG639" s="405"/>
    </row>
    <row r="640" ht="14.25" customHeight="1">
      <c r="A640" s="406">
        <v>45531.0</v>
      </c>
      <c r="B640" s="402"/>
      <c r="C640" s="349" t="s">
        <v>3017</v>
      </c>
      <c r="D640" s="349" t="s">
        <v>54</v>
      </c>
      <c r="E640" s="417" t="s">
        <v>2442</v>
      </c>
      <c r="F640" s="662">
        <v>4600.0</v>
      </c>
      <c r="G640" s="662">
        <v>4600.0</v>
      </c>
      <c r="H640" s="349" t="s">
        <v>710</v>
      </c>
      <c r="I640" s="402"/>
      <c r="J640" s="402"/>
      <c r="K640" s="402"/>
      <c r="L640" s="402"/>
      <c r="M640" s="402"/>
      <c r="N640" s="402"/>
      <c r="O640" s="402"/>
      <c r="P640" s="402"/>
      <c r="Q640" s="402"/>
      <c r="R640" s="402"/>
      <c r="S640" s="402"/>
      <c r="T640" s="402"/>
      <c r="U640" s="402"/>
      <c r="V640" s="402"/>
      <c r="W640" s="402"/>
      <c r="X640" s="402"/>
      <c r="Y640" s="402"/>
      <c r="Z640" s="402"/>
      <c r="AA640" s="405"/>
      <c r="AB640" s="405"/>
      <c r="AC640" s="405"/>
      <c r="AD640" s="405"/>
      <c r="AE640" s="405"/>
      <c r="AF640" s="405"/>
      <c r="AG640" s="405"/>
    </row>
    <row r="641" ht="14.25" customHeight="1">
      <c r="A641" s="406">
        <v>45531.0</v>
      </c>
      <c r="B641" s="349" t="s">
        <v>2978</v>
      </c>
      <c r="C641" s="349" t="s">
        <v>2979</v>
      </c>
      <c r="D641" s="349" t="s">
        <v>54</v>
      </c>
      <c r="E641" s="417" t="s">
        <v>2442</v>
      </c>
      <c r="F641" s="662">
        <v>15720.0</v>
      </c>
      <c r="G641" s="403"/>
      <c r="H641" s="349" t="s">
        <v>3018</v>
      </c>
      <c r="I641" s="402"/>
      <c r="J641" s="402"/>
      <c r="K641" s="402"/>
      <c r="L641" s="402"/>
      <c r="M641" s="402"/>
      <c r="N641" s="402"/>
      <c r="O641" s="402"/>
      <c r="P641" s="402"/>
      <c r="Q641" s="402"/>
      <c r="R641" s="402"/>
      <c r="S641" s="402"/>
      <c r="T641" s="402"/>
      <c r="U641" s="402"/>
      <c r="V641" s="402"/>
      <c r="W641" s="402"/>
      <c r="X641" s="402"/>
      <c r="Y641" s="402"/>
      <c r="Z641" s="402"/>
      <c r="AA641" s="405"/>
      <c r="AB641" s="405"/>
      <c r="AC641" s="405"/>
      <c r="AD641" s="405"/>
      <c r="AE641" s="405"/>
      <c r="AF641" s="405"/>
      <c r="AG641" s="405"/>
    </row>
    <row r="642" ht="14.25" customHeight="1">
      <c r="A642" s="406">
        <v>45531.0</v>
      </c>
      <c r="B642" s="349" t="s">
        <v>2966</v>
      </c>
      <c r="C642" s="349" t="s">
        <v>2967</v>
      </c>
      <c r="D642" s="349" t="s">
        <v>54</v>
      </c>
      <c r="E642" s="417" t="s">
        <v>2442</v>
      </c>
      <c r="F642" s="711">
        <v>32550.0</v>
      </c>
      <c r="G642" s="403"/>
      <c r="H642" s="349" t="s">
        <v>3019</v>
      </c>
      <c r="I642" s="402"/>
      <c r="J642" s="402"/>
      <c r="K642" s="402"/>
      <c r="L642" s="402"/>
      <c r="M642" s="402"/>
      <c r="N642" s="402"/>
      <c r="O642" s="402"/>
      <c r="P642" s="402"/>
      <c r="Q642" s="402"/>
      <c r="R642" s="402"/>
      <c r="S642" s="402"/>
      <c r="T642" s="402"/>
      <c r="U642" s="402"/>
      <c r="V642" s="402"/>
      <c r="W642" s="402"/>
      <c r="X642" s="402"/>
      <c r="Y642" s="402"/>
      <c r="Z642" s="402"/>
      <c r="AA642" s="405"/>
      <c r="AB642" s="405"/>
      <c r="AC642" s="405"/>
      <c r="AD642" s="405"/>
      <c r="AE642" s="405"/>
      <c r="AF642" s="405"/>
      <c r="AG642" s="405"/>
    </row>
    <row r="643" ht="14.25" customHeight="1">
      <c r="A643" s="406"/>
      <c r="B643" s="402"/>
      <c r="C643" s="402"/>
      <c r="D643" s="402"/>
      <c r="E643" s="424" t="s">
        <v>3020</v>
      </c>
      <c r="F643" s="658">
        <f>SUM(F630:F642)</f>
        <v>2476392</v>
      </c>
      <c r="G643" s="712">
        <v>2150072.0</v>
      </c>
      <c r="H643" s="402"/>
      <c r="I643" s="402"/>
      <c r="J643" s="402"/>
      <c r="K643" s="402"/>
      <c r="L643" s="402"/>
      <c r="M643" s="402"/>
      <c r="N643" s="402"/>
      <c r="O643" s="402"/>
      <c r="P643" s="402"/>
      <c r="Q643" s="402"/>
      <c r="R643" s="402"/>
      <c r="S643" s="402"/>
      <c r="T643" s="402"/>
      <c r="U643" s="402"/>
      <c r="V643" s="402"/>
      <c r="W643" s="402"/>
      <c r="X643" s="402"/>
      <c r="Y643" s="402"/>
      <c r="Z643" s="402"/>
      <c r="AA643" s="405"/>
      <c r="AB643" s="405"/>
      <c r="AC643" s="405"/>
      <c r="AD643" s="405"/>
      <c r="AE643" s="405"/>
      <c r="AF643" s="405"/>
      <c r="AG643" s="405"/>
    </row>
    <row r="644" ht="14.25" customHeight="1">
      <c r="A644" s="406"/>
      <c r="B644" s="402"/>
      <c r="C644" s="402"/>
      <c r="D644" s="402"/>
      <c r="E644" s="402"/>
      <c r="F644" s="664"/>
      <c r="G644" s="403"/>
      <c r="H644" s="402"/>
      <c r="I644" s="402"/>
      <c r="J644" s="402"/>
      <c r="K644" s="402"/>
      <c r="L644" s="402"/>
      <c r="M644" s="402"/>
      <c r="N644" s="402"/>
      <c r="O644" s="402"/>
      <c r="P644" s="402"/>
      <c r="Q644" s="402"/>
      <c r="R644" s="402"/>
      <c r="S644" s="402"/>
      <c r="T644" s="402"/>
      <c r="U644" s="402"/>
      <c r="V644" s="402"/>
      <c r="W644" s="402"/>
      <c r="X644" s="402"/>
      <c r="Y644" s="402"/>
      <c r="Z644" s="402"/>
      <c r="AA644" s="405"/>
      <c r="AB644" s="405"/>
      <c r="AC644" s="405"/>
      <c r="AD644" s="405"/>
      <c r="AE644" s="405"/>
      <c r="AF644" s="405"/>
      <c r="AG644" s="405"/>
    </row>
    <row r="645" ht="14.25" customHeight="1">
      <c r="A645" s="402"/>
      <c r="B645" s="402"/>
      <c r="C645" s="402"/>
      <c r="D645" s="402"/>
      <c r="E645" s="402"/>
      <c r="F645" s="664"/>
      <c r="G645" s="403"/>
      <c r="H645" s="402"/>
      <c r="I645" s="402"/>
      <c r="J645" s="402"/>
      <c r="K645" s="402"/>
      <c r="L645" s="402"/>
      <c r="M645" s="402"/>
      <c r="N645" s="402"/>
      <c r="O645" s="402"/>
      <c r="P645" s="402"/>
      <c r="Q645" s="402"/>
      <c r="R645" s="402"/>
      <c r="S645" s="402"/>
      <c r="T645" s="402"/>
      <c r="U645" s="402"/>
      <c r="V645" s="402"/>
      <c r="W645" s="402"/>
      <c r="X645" s="402"/>
      <c r="Y645" s="402"/>
      <c r="Z645" s="402"/>
      <c r="AA645" s="405"/>
      <c r="AB645" s="405"/>
      <c r="AC645" s="405"/>
      <c r="AD645" s="405"/>
      <c r="AE645" s="405"/>
      <c r="AF645" s="405"/>
      <c r="AG645" s="405"/>
    </row>
    <row r="646" ht="14.25" customHeight="1">
      <c r="A646" s="402"/>
      <c r="B646" s="402"/>
      <c r="C646" s="402"/>
      <c r="D646" s="402"/>
      <c r="E646" s="402"/>
      <c r="F646" s="664"/>
      <c r="G646" s="403"/>
      <c r="H646" s="402"/>
      <c r="I646" s="402"/>
      <c r="J646" s="402"/>
      <c r="K646" s="402"/>
      <c r="L646" s="402"/>
      <c r="M646" s="402"/>
      <c r="N646" s="402"/>
      <c r="O646" s="402"/>
      <c r="P646" s="402"/>
      <c r="Q646" s="402"/>
      <c r="R646" s="402"/>
      <c r="S646" s="402"/>
      <c r="T646" s="402"/>
      <c r="U646" s="402"/>
      <c r="V646" s="402"/>
      <c r="W646" s="402"/>
      <c r="X646" s="402"/>
      <c r="Y646" s="402"/>
      <c r="Z646" s="402"/>
      <c r="AA646" s="405"/>
      <c r="AB646" s="405"/>
      <c r="AC646" s="405"/>
      <c r="AD646" s="405"/>
      <c r="AE646" s="405"/>
      <c r="AF646" s="405"/>
      <c r="AG646" s="405"/>
    </row>
    <row r="647" ht="14.25" customHeight="1">
      <c r="A647" s="402"/>
      <c r="B647" s="402"/>
      <c r="C647" s="402"/>
      <c r="D647" s="402"/>
      <c r="E647" s="402"/>
      <c r="F647" s="664"/>
      <c r="G647" s="403"/>
      <c r="H647" s="402"/>
      <c r="I647" s="402"/>
      <c r="J647" s="402"/>
      <c r="K647" s="402"/>
      <c r="L647" s="402"/>
      <c r="M647" s="402"/>
      <c r="N647" s="402"/>
      <c r="O647" s="402"/>
      <c r="P647" s="402"/>
      <c r="Q647" s="402"/>
      <c r="R647" s="402"/>
      <c r="S647" s="402"/>
      <c r="T647" s="402"/>
      <c r="U647" s="402"/>
      <c r="V647" s="402"/>
      <c r="W647" s="402"/>
      <c r="X647" s="402"/>
      <c r="Y647" s="402"/>
      <c r="Z647" s="402"/>
      <c r="AA647" s="405"/>
      <c r="AB647" s="405"/>
      <c r="AC647" s="405"/>
      <c r="AD647" s="405"/>
      <c r="AE647" s="405"/>
      <c r="AF647" s="405"/>
      <c r="AG647" s="405"/>
    </row>
    <row r="648" ht="14.25" customHeight="1">
      <c r="A648" s="705" t="s">
        <v>2130</v>
      </c>
      <c r="B648" s="706" t="s">
        <v>39</v>
      </c>
      <c r="C648" s="706" t="s">
        <v>48</v>
      </c>
      <c r="D648" s="706" t="s">
        <v>49</v>
      </c>
      <c r="E648" s="706" t="s">
        <v>50</v>
      </c>
      <c r="F648" s="707" t="s">
        <v>2</v>
      </c>
      <c r="G648" s="708" t="s">
        <v>44</v>
      </c>
      <c r="H648" s="706" t="s">
        <v>45</v>
      </c>
      <c r="I648" s="402"/>
      <c r="J648" s="402"/>
      <c r="K648" s="402"/>
      <c r="L648" s="402"/>
      <c r="M648" s="402"/>
      <c r="N648" s="402"/>
      <c r="O648" s="402"/>
      <c r="P648" s="402"/>
      <c r="Q648" s="402"/>
      <c r="R648" s="402"/>
      <c r="S648" s="402"/>
      <c r="T648" s="402"/>
      <c r="U648" s="402"/>
      <c r="V648" s="402"/>
      <c r="W648" s="402"/>
      <c r="X648" s="402"/>
      <c r="Y648" s="402"/>
      <c r="Z648" s="402"/>
      <c r="AA648" s="405"/>
      <c r="AB648" s="405"/>
      <c r="AC648" s="405"/>
      <c r="AD648" s="405"/>
      <c r="AE648" s="405"/>
      <c r="AF648" s="405"/>
      <c r="AG648" s="405"/>
    </row>
    <row r="649" ht="14.25" customHeight="1">
      <c r="A649" s="406">
        <v>45532.0</v>
      </c>
      <c r="B649" s="349" t="s">
        <v>2533</v>
      </c>
      <c r="C649" s="349" t="s">
        <v>2534</v>
      </c>
      <c r="D649" s="417" t="s">
        <v>54</v>
      </c>
      <c r="E649" s="417" t="s">
        <v>2442</v>
      </c>
      <c r="F649" s="662">
        <v>36675.0</v>
      </c>
      <c r="G649" s="403"/>
      <c r="H649" s="349" t="s">
        <v>3021</v>
      </c>
      <c r="I649" s="402"/>
      <c r="J649" s="402"/>
      <c r="K649" s="402"/>
      <c r="L649" s="402"/>
      <c r="M649" s="402"/>
      <c r="N649" s="402"/>
      <c r="O649" s="402"/>
      <c r="P649" s="402"/>
      <c r="Q649" s="402"/>
      <c r="R649" s="402"/>
      <c r="S649" s="402"/>
      <c r="T649" s="402"/>
      <c r="U649" s="402"/>
      <c r="V649" s="402"/>
      <c r="W649" s="402"/>
      <c r="X649" s="402"/>
      <c r="Y649" s="402"/>
      <c r="Z649" s="402"/>
      <c r="AA649" s="405"/>
      <c r="AB649" s="405"/>
      <c r="AC649" s="405"/>
      <c r="AD649" s="405"/>
      <c r="AE649" s="405"/>
      <c r="AF649" s="405"/>
      <c r="AG649" s="405"/>
    </row>
    <row r="650" ht="14.25" customHeight="1">
      <c r="A650" s="406">
        <v>45532.0</v>
      </c>
      <c r="B650" s="349" t="s">
        <v>2579</v>
      </c>
      <c r="C650" s="349" t="s">
        <v>2580</v>
      </c>
      <c r="D650" s="349" t="s">
        <v>54</v>
      </c>
      <c r="E650" s="417" t="s">
        <v>2442</v>
      </c>
      <c r="F650" s="413">
        <v>28445.0</v>
      </c>
      <c r="G650" s="406"/>
      <c r="H650" s="349" t="s">
        <v>3022</v>
      </c>
      <c r="I650" s="406"/>
      <c r="J650" s="406"/>
      <c r="K650" s="349"/>
      <c r="L650" s="349"/>
      <c r="M650" s="413"/>
      <c r="N650" s="413"/>
      <c r="O650" s="402"/>
      <c r="P650" s="402"/>
      <c r="Q650" s="402"/>
      <c r="R650" s="402"/>
      <c r="S650" s="402"/>
      <c r="T650" s="402"/>
      <c r="U650" s="402"/>
      <c r="V650" s="402"/>
      <c r="W650" s="402"/>
      <c r="X650" s="402"/>
      <c r="Y650" s="402"/>
      <c r="Z650" s="402"/>
      <c r="AA650" s="405"/>
      <c r="AB650" s="405"/>
      <c r="AC650" s="405"/>
      <c r="AD650" s="405"/>
      <c r="AE650" s="405"/>
      <c r="AF650" s="405"/>
      <c r="AG650" s="405"/>
    </row>
    <row r="651" ht="14.25" customHeight="1">
      <c r="A651" s="406">
        <v>45532.0</v>
      </c>
      <c r="B651" s="349" t="s">
        <v>2974</v>
      </c>
      <c r="C651" s="349" t="s">
        <v>3023</v>
      </c>
      <c r="D651" s="349" t="s">
        <v>54</v>
      </c>
      <c r="E651" s="417" t="s">
        <v>2442</v>
      </c>
      <c r="F651" s="413">
        <v>48375.0</v>
      </c>
      <c r="G651" s="406"/>
      <c r="H651" s="349" t="s">
        <v>2913</v>
      </c>
      <c r="I651" s="406"/>
      <c r="J651" s="406"/>
      <c r="K651" s="349"/>
      <c r="L651" s="349"/>
      <c r="M651" s="413"/>
      <c r="N651" s="413"/>
      <c r="O651" s="402"/>
      <c r="P651" s="402"/>
      <c r="Q651" s="402"/>
      <c r="R651" s="402"/>
      <c r="S651" s="402"/>
      <c r="T651" s="402"/>
      <c r="U651" s="402"/>
      <c r="V651" s="402"/>
      <c r="W651" s="402"/>
      <c r="X651" s="402"/>
      <c r="Y651" s="402"/>
      <c r="Z651" s="402"/>
      <c r="AA651" s="405"/>
      <c r="AB651" s="405"/>
      <c r="AC651" s="405"/>
      <c r="AD651" s="405"/>
      <c r="AE651" s="405"/>
      <c r="AF651" s="405"/>
      <c r="AG651" s="405"/>
    </row>
    <row r="652" ht="14.25" customHeight="1">
      <c r="A652" s="406">
        <v>45532.0</v>
      </c>
      <c r="B652" s="349" t="s">
        <v>3024</v>
      </c>
      <c r="C652" s="349" t="s">
        <v>3025</v>
      </c>
      <c r="D652" s="349" t="s">
        <v>54</v>
      </c>
      <c r="E652" s="402" t="s">
        <v>2832</v>
      </c>
      <c r="F652" s="413">
        <v>27888.0</v>
      </c>
      <c r="G652" s="406"/>
      <c r="H652" s="349" t="s">
        <v>3026</v>
      </c>
      <c r="I652" s="406"/>
      <c r="J652" s="406"/>
      <c r="K652" s="349"/>
      <c r="L652" s="349"/>
      <c r="M652" s="413"/>
      <c r="N652" s="413"/>
      <c r="O652" s="402"/>
      <c r="P652" s="402"/>
      <c r="Q652" s="402"/>
      <c r="R652" s="402"/>
      <c r="S652" s="402"/>
      <c r="T652" s="402"/>
      <c r="U652" s="402"/>
      <c r="V652" s="402"/>
      <c r="W652" s="402"/>
      <c r="X652" s="402"/>
      <c r="Y652" s="402"/>
      <c r="Z652" s="402"/>
      <c r="AA652" s="405"/>
      <c r="AB652" s="405"/>
      <c r="AC652" s="405"/>
      <c r="AD652" s="405"/>
      <c r="AE652" s="405"/>
      <c r="AF652" s="405"/>
      <c r="AG652" s="405"/>
    </row>
    <row r="653" ht="14.25" customHeight="1">
      <c r="A653" s="406">
        <v>45532.0</v>
      </c>
      <c r="B653" s="349" t="s">
        <v>2610</v>
      </c>
      <c r="C653" s="349" t="s">
        <v>2611</v>
      </c>
      <c r="D653" s="349" t="s">
        <v>54</v>
      </c>
      <c r="E653" s="402" t="s">
        <v>2832</v>
      </c>
      <c r="F653" s="711">
        <v>75533.0</v>
      </c>
      <c r="G653" s="413">
        <v>60917.0</v>
      </c>
      <c r="H653" s="349" t="s">
        <v>3027</v>
      </c>
      <c r="I653" s="402"/>
      <c r="J653" s="402"/>
      <c r="K653" s="402"/>
      <c r="L653" s="402"/>
      <c r="M653" s="402"/>
      <c r="N653" s="402"/>
      <c r="O653" s="402"/>
      <c r="P653" s="402"/>
      <c r="Q653" s="402"/>
      <c r="R653" s="402"/>
      <c r="S653" s="402"/>
      <c r="T653" s="402"/>
      <c r="U653" s="402"/>
      <c r="V653" s="402"/>
      <c r="W653" s="402"/>
      <c r="X653" s="402"/>
      <c r="Y653" s="402"/>
      <c r="Z653" s="402"/>
      <c r="AA653" s="405"/>
      <c r="AB653" s="405"/>
      <c r="AC653" s="405"/>
      <c r="AD653" s="405"/>
      <c r="AE653" s="405"/>
      <c r="AF653" s="405"/>
      <c r="AG653" s="405"/>
    </row>
    <row r="654" ht="14.25" customHeight="1">
      <c r="A654" s="406">
        <v>45532.0</v>
      </c>
      <c r="B654" s="349" t="s">
        <v>2520</v>
      </c>
      <c r="C654" s="349" t="s">
        <v>2521</v>
      </c>
      <c r="D654" s="349" t="s">
        <v>54</v>
      </c>
      <c r="E654" s="402" t="s">
        <v>2442</v>
      </c>
      <c r="F654" s="413">
        <v>20557.0</v>
      </c>
      <c r="G654" s="403"/>
      <c r="H654" s="349" t="s">
        <v>3028</v>
      </c>
      <c r="I654" s="402"/>
      <c r="J654" s="402"/>
      <c r="K654" s="402"/>
      <c r="L654" s="402"/>
      <c r="M654" s="402"/>
      <c r="N654" s="402"/>
      <c r="O654" s="402"/>
      <c r="P654" s="402"/>
      <c r="Q654" s="402"/>
      <c r="R654" s="402"/>
      <c r="S654" s="402"/>
      <c r="T654" s="402"/>
      <c r="U654" s="402"/>
      <c r="V654" s="402"/>
      <c r="W654" s="402"/>
      <c r="X654" s="402"/>
      <c r="Y654" s="402"/>
      <c r="Z654" s="402"/>
      <c r="AA654" s="405"/>
      <c r="AB654" s="405"/>
      <c r="AC654" s="405"/>
      <c r="AD654" s="405"/>
      <c r="AE654" s="405"/>
      <c r="AF654" s="405"/>
      <c r="AG654" s="405"/>
    </row>
    <row r="655" ht="14.25" customHeight="1">
      <c r="A655" s="406">
        <v>45532.0</v>
      </c>
      <c r="B655" s="349" t="s">
        <v>2479</v>
      </c>
      <c r="C655" s="349" t="s">
        <v>2480</v>
      </c>
      <c r="D655" s="349" t="s">
        <v>54</v>
      </c>
      <c r="E655" s="402" t="s">
        <v>2442</v>
      </c>
      <c r="F655" s="413">
        <v>33248.0</v>
      </c>
      <c r="G655" s="413">
        <v>5000.0</v>
      </c>
      <c r="H655" s="349" t="s">
        <v>3029</v>
      </c>
      <c r="I655" s="402"/>
      <c r="J655" s="402"/>
      <c r="K655" s="402"/>
      <c r="L655" s="402"/>
      <c r="M655" s="402"/>
      <c r="N655" s="402"/>
      <c r="O655" s="402"/>
      <c r="P655" s="402"/>
      <c r="Q655" s="402"/>
      <c r="R655" s="402"/>
      <c r="S655" s="402"/>
      <c r="T655" s="402"/>
      <c r="U655" s="402"/>
      <c r="V655" s="402"/>
      <c r="W655" s="402"/>
      <c r="X655" s="402"/>
      <c r="Y655" s="402"/>
      <c r="Z655" s="402"/>
      <c r="AA655" s="405"/>
      <c r="AB655" s="405"/>
      <c r="AC655" s="405"/>
      <c r="AD655" s="405"/>
      <c r="AE655" s="405"/>
      <c r="AF655" s="405"/>
      <c r="AG655" s="405"/>
    </row>
    <row r="656" ht="14.25" customHeight="1">
      <c r="A656" s="406">
        <v>45532.0</v>
      </c>
      <c r="B656" s="419" t="s">
        <v>2914</v>
      </c>
      <c r="C656" s="419" t="s">
        <v>2544</v>
      </c>
      <c r="D656" s="417" t="s">
        <v>54</v>
      </c>
      <c r="E656" s="417" t="s">
        <v>2442</v>
      </c>
      <c r="F656" s="711">
        <v>72450.0</v>
      </c>
      <c r="G656" s="413">
        <v>80000.0</v>
      </c>
      <c r="H656" s="402"/>
      <c r="I656" s="402"/>
      <c r="J656" s="402"/>
      <c r="K656" s="402"/>
      <c r="L656" s="402"/>
      <c r="M656" s="402"/>
      <c r="N656" s="402"/>
      <c r="O656" s="402"/>
      <c r="P656" s="402"/>
      <c r="Q656" s="402"/>
      <c r="R656" s="402"/>
      <c r="S656" s="402"/>
      <c r="T656" s="402"/>
      <c r="U656" s="402"/>
      <c r="V656" s="402"/>
      <c r="W656" s="402"/>
      <c r="X656" s="402"/>
      <c r="Y656" s="402"/>
      <c r="Z656" s="402"/>
      <c r="AA656" s="405"/>
      <c r="AB656" s="405"/>
      <c r="AC656" s="405"/>
      <c r="AD656" s="405"/>
      <c r="AE656" s="405"/>
      <c r="AF656" s="405"/>
      <c r="AG656" s="405"/>
    </row>
    <row r="657" ht="14.25" customHeight="1">
      <c r="A657" s="406">
        <v>45532.0</v>
      </c>
      <c r="B657" s="349" t="s">
        <v>2482</v>
      </c>
      <c r="C657" s="349" t="s">
        <v>2483</v>
      </c>
      <c r="D657" s="349" t="s">
        <v>54</v>
      </c>
      <c r="E657" s="402" t="s">
        <v>2442</v>
      </c>
      <c r="F657" s="413">
        <v>10000.0</v>
      </c>
      <c r="G657" s="403"/>
      <c r="H657" s="349" t="s">
        <v>3030</v>
      </c>
      <c r="I657" s="402"/>
      <c r="J657" s="402"/>
      <c r="K657" s="402"/>
      <c r="L657" s="402"/>
      <c r="M657" s="402"/>
      <c r="N657" s="402"/>
      <c r="O657" s="402"/>
      <c r="P657" s="402"/>
      <c r="Q657" s="402"/>
      <c r="R657" s="402"/>
      <c r="S657" s="402"/>
      <c r="T657" s="402"/>
      <c r="U657" s="402"/>
      <c r="V657" s="402"/>
      <c r="W657" s="402"/>
      <c r="X657" s="402"/>
      <c r="Y657" s="402"/>
      <c r="Z657" s="402"/>
      <c r="AA657" s="405"/>
      <c r="AB657" s="405"/>
      <c r="AC657" s="405"/>
      <c r="AD657" s="405"/>
      <c r="AE657" s="405"/>
      <c r="AF657" s="405"/>
      <c r="AG657" s="405"/>
    </row>
    <row r="658" ht="14.25" customHeight="1">
      <c r="A658" s="406">
        <v>45532.0</v>
      </c>
      <c r="B658" s="349" t="s">
        <v>2619</v>
      </c>
      <c r="C658" s="349" t="s">
        <v>2837</v>
      </c>
      <c r="D658" s="349" t="s">
        <v>54</v>
      </c>
      <c r="E658" s="402" t="s">
        <v>2832</v>
      </c>
      <c r="F658" s="662">
        <v>172917.0</v>
      </c>
      <c r="G658" s="403"/>
      <c r="H658" s="349" t="s">
        <v>3031</v>
      </c>
      <c r="I658" s="402"/>
      <c r="J658" s="402"/>
      <c r="K658" s="402"/>
      <c r="L658" s="402"/>
      <c r="M658" s="402"/>
      <c r="N658" s="402"/>
      <c r="O658" s="402"/>
      <c r="P658" s="402"/>
      <c r="Q658" s="402"/>
      <c r="R658" s="402"/>
      <c r="S658" s="402"/>
      <c r="T658" s="402"/>
      <c r="U658" s="402"/>
      <c r="V658" s="402"/>
      <c r="W658" s="402"/>
      <c r="X658" s="402"/>
      <c r="Y658" s="402"/>
      <c r="Z658" s="402"/>
      <c r="AA658" s="405"/>
      <c r="AB658" s="405"/>
      <c r="AC658" s="405"/>
      <c r="AD658" s="405"/>
      <c r="AE658" s="405"/>
      <c r="AF658" s="405"/>
      <c r="AG658" s="405"/>
    </row>
    <row r="659" ht="14.25" customHeight="1">
      <c r="A659" s="406">
        <v>45532.0</v>
      </c>
      <c r="B659" s="349" t="s">
        <v>2493</v>
      </c>
      <c r="C659" s="349" t="s">
        <v>2735</v>
      </c>
      <c r="D659" s="349" t="s">
        <v>54</v>
      </c>
      <c r="E659" s="402" t="s">
        <v>2832</v>
      </c>
      <c r="F659" s="662">
        <v>100000.0</v>
      </c>
      <c r="G659" s="413">
        <v>89000.0</v>
      </c>
      <c r="H659" s="349" t="s">
        <v>3032</v>
      </c>
      <c r="I659" s="402"/>
      <c r="J659" s="402"/>
      <c r="K659" s="402"/>
      <c r="L659" s="402"/>
      <c r="M659" s="402"/>
      <c r="N659" s="402"/>
      <c r="O659" s="402"/>
      <c r="P659" s="402"/>
      <c r="Q659" s="402"/>
      <c r="R659" s="402"/>
      <c r="S659" s="402"/>
      <c r="T659" s="402"/>
      <c r="U659" s="402"/>
      <c r="V659" s="402"/>
      <c r="W659" s="402"/>
      <c r="X659" s="402"/>
      <c r="Y659" s="402"/>
      <c r="Z659" s="402"/>
      <c r="AA659" s="405"/>
      <c r="AB659" s="405"/>
      <c r="AC659" s="405"/>
      <c r="AD659" s="405"/>
      <c r="AE659" s="405"/>
      <c r="AF659" s="405"/>
      <c r="AG659" s="405"/>
    </row>
    <row r="660" ht="14.25" customHeight="1">
      <c r="A660" s="406">
        <v>45532.0</v>
      </c>
      <c r="B660" s="349" t="s">
        <v>2739</v>
      </c>
      <c r="C660" s="349" t="s">
        <v>2740</v>
      </c>
      <c r="D660" s="349" t="s">
        <v>54</v>
      </c>
      <c r="E660" s="402" t="s">
        <v>2442</v>
      </c>
      <c r="F660" s="662">
        <v>2000.0</v>
      </c>
      <c r="G660" s="413">
        <v>2000.0</v>
      </c>
      <c r="H660" s="349" t="s">
        <v>3033</v>
      </c>
      <c r="I660" s="402"/>
      <c r="J660" s="402"/>
      <c r="K660" s="402"/>
      <c r="L660" s="402"/>
      <c r="M660" s="402"/>
      <c r="N660" s="402"/>
      <c r="O660" s="402"/>
      <c r="P660" s="402"/>
      <c r="Q660" s="402"/>
      <c r="R660" s="402"/>
      <c r="S660" s="402"/>
      <c r="T660" s="402"/>
      <c r="U660" s="402"/>
      <c r="V660" s="402"/>
      <c r="W660" s="402"/>
      <c r="X660" s="402"/>
      <c r="Y660" s="402"/>
      <c r="Z660" s="402"/>
      <c r="AA660" s="405"/>
      <c r="AB660" s="405"/>
      <c r="AC660" s="405"/>
      <c r="AD660" s="405"/>
      <c r="AE660" s="405"/>
      <c r="AF660" s="405"/>
      <c r="AG660" s="405"/>
    </row>
    <row r="661" ht="14.25" customHeight="1">
      <c r="A661" s="406">
        <v>45532.0</v>
      </c>
      <c r="B661" s="456" t="s">
        <v>2764</v>
      </c>
      <c r="C661" s="395" t="s">
        <v>2856</v>
      </c>
      <c r="D661" s="395" t="s">
        <v>54</v>
      </c>
      <c r="E661" s="395" t="s">
        <v>2832</v>
      </c>
      <c r="F661" s="666">
        <v>34851.0</v>
      </c>
      <c r="G661" s="475"/>
      <c r="H661" s="395" t="s">
        <v>3034</v>
      </c>
      <c r="I661" s="402"/>
      <c r="J661" s="402"/>
      <c r="K661" s="402"/>
      <c r="L661" s="402"/>
      <c r="M661" s="402"/>
      <c r="N661" s="402"/>
      <c r="O661" s="402"/>
      <c r="P661" s="402"/>
      <c r="Q661" s="402"/>
      <c r="R661" s="402"/>
      <c r="S661" s="402"/>
      <c r="T661" s="402"/>
      <c r="U661" s="402"/>
      <c r="V661" s="402"/>
      <c r="W661" s="402"/>
      <c r="X661" s="402"/>
      <c r="Y661" s="402"/>
      <c r="Z661" s="402"/>
      <c r="AA661" s="405"/>
      <c r="AB661" s="405"/>
      <c r="AC661" s="405"/>
      <c r="AD661" s="405"/>
      <c r="AE661" s="405"/>
      <c r="AF661" s="405"/>
      <c r="AG661" s="405"/>
    </row>
    <row r="662" ht="14.25" customHeight="1">
      <c r="B662" s="402"/>
      <c r="C662" s="402"/>
      <c r="D662" s="402"/>
      <c r="E662" s="424" t="s">
        <v>3020</v>
      </c>
      <c r="F662" s="658">
        <f t="shared" ref="F662:G662" si="14">SUM(F649:F661)</f>
        <v>662939</v>
      </c>
      <c r="G662" s="586">
        <f t="shared" si="14"/>
        <v>236917</v>
      </c>
      <c r="H662" s="402"/>
      <c r="I662" s="402"/>
      <c r="J662" s="402"/>
      <c r="K662" s="402"/>
      <c r="L662" s="402"/>
      <c r="M662" s="402"/>
      <c r="N662" s="402"/>
      <c r="O662" s="402"/>
      <c r="P662" s="402"/>
      <c r="Q662" s="402"/>
      <c r="R662" s="402"/>
      <c r="S662" s="402"/>
      <c r="T662" s="402"/>
      <c r="U662" s="402"/>
      <c r="V662" s="402"/>
      <c r="W662" s="402"/>
      <c r="X662" s="402"/>
      <c r="Y662" s="402"/>
      <c r="Z662" s="402"/>
      <c r="AA662" s="405"/>
      <c r="AB662" s="405"/>
      <c r="AC662" s="405"/>
      <c r="AD662" s="405"/>
      <c r="AE662" s="405"/>
      <c r="AF662" s="405"/>
      <c r="AG662" s="405"/>
    </row>
    <row r="663" ht="14.25" customHeight="1">
      <c r="A663" s="402"/>
      <c r="B663" s="402"/>
      <c r="C663" s="402"/>
      <c r="D663" s="402"/>
      <c r="E663" s="402"/>
      <c r="F663" s="664"/>
      <c r="H663" s="402"/>
      <c r="I663" s="402"/>
      <c r="J663" s="402"/>
      <c r="K663" s="402"/>
      <c r="L663" s="402"/>
      <c r="M663" s="402"/>
      <c r="N663" s="402"/>
      <c r="O663" s="402"/>
      <c r="P663" s="402"/>
      <c r="Q663" s="402"/>
      <c r="R663" s="402"/>
      <c r="S663" s="402"/>
      <c r="T663" s="402"/>
      <c r="U663" s="402"/>
      <c r="V663" s="402"/>
      <c r="W663" s="402"/>
      <c r="X663" s="402"/>
      <c r="Y663" s="402"/>
      <c r="Z663" s="402"/>
      <c r="AA663" s="405"/>
      <c r="AB663" s="405"/>
      <c r="AC663" s="405"/>
      <c r="AD663" s="405"/>
      <c r="AE663" s="405"/>
      <c r="AF663" s="405"/>
      <c r="AG663" s="405"/>
    </row>
    <row r="664" ht="14.25" customHeight="1">
      <c r="A664" s="402"/>
      <c r="B664" s="713"/>
      <c r="C664" s="199"/>
      <c r="D664" s="199"/>
      <c r="E664" s="714"/>
      <c r="F664" s="715"/>
      <c r="G664" s="716"/>
      <c r="H664" s="717"/>
      <c r="I664" s="200"/>
      <c r="J664" s="714"/>
      <c r="K664" s="200"/>
      <c r="L664" s="402"/>
      <c r="M664" s="402"/>
      <c r="N664" s="402"/>
      <c r="O664" s="402"/>
      <c r="P664" s="402"/>
      <c r="Q664" s="402"/>
      <c r="R664" s="402"/>
      <c r="S664" s="402"/>
      <c r="T664" s="402"/>
      <c r="U664" s="402"/>
      <c r="V664" s="402"/>
      <c r="W664" s="402"/>
      <c r="X664" s="402"/>
      <c r="Y664" s="402"/>
      <c r="Z664" s="402"/>
      <c r="AA664" s="405"/>
      <c r="AB664" s="405"/>
      <c r="AC664" s="405"/>
      <c r="AD664" s="405"/>
      <c r="AE664" s="405"/>
      <c r="AF664" s="405"/>
      <c r="AG664" s="405"/>
    </row>
    <row r="665" ht="14.25" customHeight="1">
      <c r="A665" s="705" t="s">
        <v>2130</v>
      </c>
      <c r="B665" s="706" t="s">
        <v>39</v>
      </c>
      <c r="C665" s="706" t="s">
        <v>48</v>
      </c>
      <c r="D665" s="706" t="s">
        <v>49</v>
      </c>
      <c r="E665" s="706" t="s">
        <v>50</v>
      </c>
      <c r="F665" s="707" t="s">
        <v>2</v>
      </c>
      <c r="G665" s="708" t="s">
        <v>44</v>
      </c>
      <c r="H665" s="706" t="s">
        <v>45</v>
      </c>
      <c r="I665" s="200"/>
      <c r="J665" s="714"/>
      <c r="K665" s="200"/>
      <c r="L665" s="402"/>
      <c r="M665" s="402"/>
      <c r="N665" s="402"/>
      <c r="O665" s="402"/>
      <c r="P665" s="402"/>
      <c r="Q665" s="402"/>
      <c r="R665" s="402"/>
      <c r="S665" s="402"/>
      <c r="T665" s="402"/>
      <c r="U665" s="402"/>
      <c r="V665" s="402"/>
      <c r="W665" s="402"/>
      <c r="X665" s="402"/>
      <c r="Y665" s="402"/>
      <c r="Z665" s="402"/>
      <c r="AA665" s="405"/>
      <c r="AB665" s="405"/>
      <c r="AC665" s="405"/>
      <c r="AD665" s="405"/>
      <c r="AE665" s="405"/>
      <c r="AF665" s="405"/>
      <c r="AG665" s="405"/>
    </row>
    <row r="666" ht="14.25" customHeight="1">
      <c r="A666" s="406">
        <v>45533.0</v>
      </c>
      <c r="B666" s="349" t="s">
        <v>2512</v>
      </c>
      <c r="C666" s="349" t="s">
        <v>2513</v>
      </c>
      <c r="D666" s="349" t="s">
        <v>54</v>
      </c>
      <c r="E666" s="417" t="s">
        <v>2442</v>
      </c>
      <c r="F666" s="413">
        <v>40636.0</v>
      </c>
      <c r="G666" s="406"/>
      <c r="H666" s="349" t="s">
        <v>2913</v>
      </c>
      <c r="I666" s="406"/>
      <c r="J666" s="406"/>
      <c r="K666" s="349"/>
      <c r="L666" s="413"/>
      <c r="M666" s="349"/>
      <c r="N666" s="413"/>
      <c r="O666" s="402"/>
      <c r="P666" s="402"/>
      <c r="Q666" s="402"/>
      <c r="R666" s="402"/>
      <c r="S666" s="402"/>
      <c r="T666" s="402"/>
      <c r="U666" s="402"/>
      <c r="V666" s="402"/>
      <c r="W666" s="402"/>
      <c r="X666" s="402"/>
      <c r="Y666" s="402"/>
      <c r="Z666" s="402"/>
      <c r="AA666" s="405"/>
      <c r="AB666" s="405"/>
      <c r="AC666" s="405"/>
      <c r="AD666" s="405"/>
      <c r="AE666" s="405"/>
      <c r="AF666" s="405"/>
      <c r="AG666" s="405"/>
    </row>
    <row r="667" ht="14.25" customHeight="1">
      <c r="A667" s="406">
        <v>45533.0</v>
      </c>
      <c r="B667" s="349" t="s">
        <v>2563</v>
      </c>
      <c r="C667" s="349" t="s">
        <v>2564</v>
      </c>
      <c r="D667" s="349" t="s">
        <v>54</v>
      </c>
      <c r="E667" s="417" t="s">
        <v>2442</v>
      </c>
      <c r="F667" s="413">
        <v>14507.0</v>
      </c>
      <c r="G667" s="406"/>
      <c r="H667" s="349" t="s">
        <v>2913</v>
      </c>
      <c r="I667" s="406"/>
      <c r="J667" s="406"/>
      <c r="K667" s="349"/>
      <c r="L667" s="413"/>
      <c r="M667" s="349"/>
      <c r="N667" s="413"/>
      <c r="O667" s="402"/>
      <c r="P667" s="402"/>
      <c r="Q667" s="402"/>
      <c r="R667" s="402"/>
      <c r="S667" s="402"/>
      <c r="T667" s="402"/>
      <c r="U667" s="402"/>
      <c r="V667" s="402"/>
      <c r="W667" s="402"/>
      <c r="X667" s="402"/>
      <c r="Y667" s="402"/>
      <c r="Z667" s="402"/>
      <c r="AA667" s="405"/>
      <c r="AB667" s="405"/>
      <c r="AC667" s="405"/>
      <c r="AD667" s="405"/>
      <c r="AE667" s="405"/>
      <c r="AF667" s="405"/>
      <c r="AG667" s="405"/>
    </row>
    <row r="668" ht="14.25" customHeight="1">
      <c r="A668" s="406">
        <v>45533.0</v>
      </c>
      <c r="B668" s="349" t="s">
        <v>2565</v>
      </c>
      <c r="C668" s="349" t="s">
        <v>2566</v>
      </c>
      <c r="D668" s="417" t="s">
        <v>54</v>
      </c>
      <c r="E668" s="417" t="s">
        <v>2442</v>
      </c>
      <c r="F668" s="413">
        <v>131205.0</v>
      </c>
      <c r="G668" s="406"/>
      <c r="H668" s="349" t="s">
        <v>2913</v>
      </c>
      <c r="I668" s="406"/>
      <c r="J668" s="406"/>
      <c r="K668" s="349"/>
      <c r="L668" s="413"/>
      <c r="M668" s="349"/>
      <c r="N668" s="413"/>
      <c r="O668" s="402"/>
      <c r="P668" s="402"/>
      <c r="Q668" s="402"/>
      <c r="R668" s="402"/>
      <c r="S668" s="402"/>
      <c r="T668" s="402"/>
      <c r="U668" s="402"/>
      <c r="V668" s="402"/>
      <c r="W668" s="402"/>
      <c r="X668" s="402"/>
      <c r="Y668" s="402"/>
      <c r="Z668" s="402"/>
      <c r="AA668" s="405"/>
      <c r="AB668" s="405"/>
      <c r="AC668" s="405"/>
      <c r="AD668" s="405"/>
      <c r="AE668" s="405"/>
      <c r="AF668" s="405"/>
      <c r="AG668" s="405"/>
    </row>
    <row r="669" ht="14.25" customHeight="1">
      <c r="A669" s="406">
        <v>45533.0</v>
      </c>
      <c r="B669" s="349" t="s">
        <v>2567</v>
      </c>
      <c r="C669" s="349" t="s">
        <v>2568</v>
      </c>
      <c r="D669" s="349" t="s">
        <v>54</v>
      </c>
      <c r="E669" s="417" t="s">
        <v>2442</v>
      </c>
      <c r="F669" s="413">
        <v>22310.0</v>
      </c>
      <c r="G669" s="406"/>
      <c r="H669" s="349" t="s">
        <v>2913</v>
      </c>
      <c r="I669" s="406"/>
      <c r="J669" s="406"/>
      <c r="K669" s="349"/>
      <c r="L669" s="413"/>
      <c r="M669" s="349"/>
      <c r="N669" s="413"/>
      <c r="O669" s="402"/>
      <c r="P669" s="402"/>
      <c r="Q669" s="402"/>
      <c r="R669" s="402"/>
      <c r="S669" s="402"/>
      <c r="T669" s="402"/>
      <c r="U669" s="402"/>
      <c r="V669" s="402"/>
      <c r="W669" s="402"/>
      <c r="X669" s="402"/>
      <c r="Y669" s="402"/>
      <c r="Z669" s="402"/>
      <c r="AA669" s="405"/>
      <c r="AB669" s="405"/>
      <c r="AC669" s="405"/>
      <c r="AD669" s="405"/>
      <c r="AE669" s="405"/>
      <c r="AF669" s="405"/>
      <c r="AG669" s="405"/>
    </row>
    <row r="670" ht="14.25" customHeight="1">
      <c r="A670" s="406">
        <v>45533.0</v>
      </c>
      <c r="B670" s="349" t="s">
        <v>2569</v>
      </c>
      <c r="C670" s="349" t="s">
        <v>2570</v>
      </c>
      <c r="D670" s="349" t="s">
        <v>54</v>
      </c>
      <c r="E670" s="417" t="s">
        <v>2442</v>
      </c>
      <c r="F670" s="413">
        <v>27888.0</v>
      </c>
      <c r="G670" s="406"/>
      <c r="H670" s="349" t="s">
        <v>2913</v>
      </c>
      <c r="I670" s="406"/>
      <c r="J670" s="406"/>
      <c r="K670" s="349"/>
      <c r="L670" s="413"/>
      <c r="M670" s="349"/>
      <c r="N670" s="413"/>
      <c r="O670" s="402"/>
      <c r="P670" s="402"/>
      <c r="Q670" s="402"/>
      <c r="R670" s="402"/>
      <c r="S670" s="402"/>
      <c r="T670" s="402"/>
      <c r="U670" s="402"/>
      <c r="V670" s="402"/>
      <c r="W670" s="402"/>
      <c r="X670" s="402"/>
      <c r="Y670" s="402"/>
      <c r="Z670" s="402"/>
      <c r="AA670" s="405"/>
      <c r="AB670" s="405"/>
      <c r="AC670" s="405"/>
      <c r="AD670" s="405"/>
      <c r="AE670" s="405"/>
      <c r="AF670" s="405"/>
      <c r="AG670" s="405"/>
    </row>
    <row r="671" ht="14.25" customHeight="1">
      <c r="A671" s="406">
        <v>45533.0</v>
      </c>
      <c r="B671" s="349" t="s">
        <v>2571</v>
      </c>
      <c r="C671" s="349" t="s">
        <v>2572</v>
      </c>
      <c r="D671" s="349" t="s">
        <v>54</v>
      </c>
      <c r="E671" s="417" t="s">
        <v>2442</v>
      </c>
      <c r="F671" s="413">
        <v>17892.0</v>
      </c>
      <c r="G671" s="406"/>
      <c r="H671" s="349" t="s">
        <v>2913</v>
      </c>
      <c r="I671" s="406"/>
      <c r="J671" s="406"/>
      <c r="K671" s="349"/>
      <c r="L671" s="413"/>
      <c r="M671" s="349"/>
      <c r="N671" s="413"/>
      <c r="O671" s="402"/>
      <c r="P671" s="402"/>
      <c r="Q671" s="402"/>
      <c r="R671" s="402"/>
      <c r="S671" s="402"/>
      <c r="T671" s="402"/>
      <c r="U671" s="402"/>
      <c r="V671" s="402"/>
      <c r="W671" s="402"/>
      <c r="X671" s="402"/>
      <c r="Y671" s="402"/>
      <c r="Z671" s="402"/>
      <c r="AA671" s="405"/>
      <c r="AB671" s="405"/>
      <c r="AC671" s="405"/>
      <c r="AD671" s="405"/>
      <c r="AE671" s="405"/>
      <c r="AF671" s="405"/>
      <c r="AG671" s="405"/>
    </row>
    <row r="672" ht="14.25" customHeight="1">
      <c r="A672" s="406">
        <v>45533.0</v>
      </c>
      <c r="B672" s="349" t="s">
        <v>2575</v>
      </c>
      <c r="C672" s="349" t="s">
        <v>2576</v>
      </c>
      <c r="D672" s="395" t="s">
        <v>54</v>
      </c>
      <c r="E672" s="417" t="s">
        <v>2442</v>
      </c>
      <c r="F672" s="413">
        <v>129000.0</v>
      </c>
      <c r="G672" s="413">
        <v>129000.0</v>
      </c>
      <c r="H672" s="349" t="s">
        <v>710</v>
      </c>
      <c r="I672" s="406"/>
      <c r="J672" s="406"/>
      <c r="K672" s="349"/>
      <c r="L672" s="413"/>
      <c r="M672" s="349"/>
      <c r="N672" s="413"/>
      <c r="O672" s="402"/>
      <c r="P672" s="402"/>
      <c r="Q672" s="402"/>
      <c r="R672" s="402"/>
      <c r="S672" s="402"/>
      <c r="T672" s="402"/>
      <c r="U672" s="402"/>
      <c r="V672" s="402"/>
      <c r="W672" s="402"/>
      <c r="X672" s="402"/>
      <c r="Y672" s="402"/>
      <c r="Z672" s="402"/>
      <c r="AA672" s="405"/>
      <c r="AB672" s="405"/>
      <c r="AC672" s="405"/>
      <c r="AD672" s="405"/>
      <c r="AE672" s="405"/>
      <c r="AF672" s="405"/>
      <c r="AG672" s="405"/>
    </row>
    <row r="673" ht="14.25" customHeight="1">
      <c r="A673" s="406">
        <v>45533.0</v>
      </c>
      <c r="B673" s="349" t="s">
        <v>2619</v>
      </c>
      <c r="C673" s="349" t="s">
        <v>2837</v>
      </c>
      <c r="D673" s="349" t="s">
        <v>54</v>
      </c>
      <c r="E673" s="402" t="s">
        <v>2832</v>
      </c>
      <c r="F673" s="662">
        <v>172917.0</v>
      </c>
      <c r="G673" s="662">
        <v>172917.0</v>
      </c>
      <c r="H673" s="349" t="s">
        <v>3035</v>
      </c>
      <c r="I673" s="402"/>
      <c r="J673" s="402"/>
      <c r="K673" s="402"/>
      <c r="L673" s="402"/>
      <c r="M673" s="402"/>
      <c r="N673" s="402"/>
      <c r="O673" s="402"/>
      <c r="P673" s="402"/>
      <c r="Q673" s="402"/>
      <c r="R673" s="402"/>
      <c r="S673" s="402"/>
      <c r="T673" s="402"/>
      <c r="U673" s="402"/>
      <c r="V673" s="402"/>
      <c r="W673" s="402"/>
      <c r="X673" s="402"/>
      <c r="Y673" s="402"/>
      <c r="Z673" s="402"/>
      <c r="AA673" s="405"/>
      <c r="AB673" s="405"/>
      <c r="AC673" s="405"/>
      <c r="AD673" s="405"/>
      <c r="AE673" s="405"/>
      <c r="AF673" s="405"/>
      <c r="AG673" s="405"/>
    </row>
    <row r="674" ht="14.25" customHeight="1">
      <c r="A674" s="406">
        <v>45533.0</v>
      </c>
      <c r="B674" s="349" t="s">
        <v>3024</v>
      </c>
      <c r="C674" s="349" t="s">
        <v>3025</v>
      </c>
      <c r="D674" s="349" t="s">
        <v>54</v>
      </c>
      <c r="E674" s="402" t="s">
        <v>2832</v>
      </c>
      <c r="F674" s="559">
        <v>27888.0</v>
      </c>
      <c r="G674" s="403"/>
      <c r="H674" s="349" t="s">
        <v>3036</v>
      </c>
      <c r="I674" s="402"/>
      <c r="J674" s="402"/>
      <c r="K674" s="402"/>
      <c r="L674" s="402"/>
      <c r="M674" s="402"/>
      <c r="N674" s="402"/>
      <c r="O674" s="402"/>
      <c r="P674" s="402"/>
      <c r="Q674" s="402"/>
      <c r="R674" s="402"/>
      <c r="S674" s="402"/>
      <c r="T674" s="402"/>
      <c r="U674" s="402"/>
      <c r="V674" s="402"/>
      <c r="W674" s="402"/>
      <c r="X674" s="402"/>
      <c r="Y674" s="402"/>
      <c r="Z674" s="402"/>
      <c r="AA674" s="405"/>
      <c r="AB674" s="405"/>
      <c r="AC674" s="405"/>
      <c r="AD674" s="405"/>
      <c r="AE674" s="405"/>
      <c r="AF674" s="405"/>
      <c r="AG674" s="405"/>
    </row>
    <row r="675" ht="14.25" customHeight="1">
      <c r="A675" s="406">
        <v>45533.0</v>
      </c>
      <c r="B675" s="349" t="s">
        <v>2533</v>
      </c>
      <c r="C675" s="349" t="s">
        <v>2534</v>
      </c>
      <c r="D675" s="402" t="s">
        <v>54</v>
      </c>
      <c r="E675" s="402" t="s">
        <v>2442</v>
      </c>
      <c r="F675" s="662">
        <v>36675.0</v>
      </c>
      <c r="G675" s="403"/>
      <c r="H675" s="349" t="s">
        <v>3037</v>
      </c>
      <c r="I675" s="402"/>
      <c r="J675" s="402"/>
      <c r="K675" s="402"/>
      <c r="L675" s="402"/>
      <c r="M675" s="402"/>
      <c r="N675" s="402"/>
      <c r="O675" s="402"/>
      <c r="P675" s="402"/>
      <c r="Q675" s="402"/>
      <c r="R675" s="402"/>
      <c r="S675" s="402"/>
      <c r="T675" s="402"/>
      <c r="U675" s="402"/>
      <c r="V675" s="402"/>
      <c r="W675" s="402"/>
      <c r="X675" s="402"/>
      <c r="Y675" s="402"/>
      <c r="Z675" s="402"/>
      <c r="AA675" s="405"/>
      <c r="AB675" s="405"/>
      <c r="AC675" s="405"/>
      <c r="AD675" s="405"/>
      <c r="AE675" s="405"/>
      <c r="AF675" s="405"/>
      <c r="AG675" s="405"/>
    </row>
    <row r="676" ht="14.25" customHeight="1">
      <c r="A676" s="406">
        <v>45533.0</v>
      </c>
      <c r="B676" s="349" t="s">
        <v>2610</v>
      </c>
      <c r="C676" s="349" t="s">
        <v>2611</v>
      </c>
      <c r="D676" s="349" t="s">
        <v>54</v>
      </c>
      <c r="E676" s="402" t="s">
        <v>2832</v>
      </c>
      <c r="F676" s="662">
        <v>15000.0</v>
      </c>
      <c r="G676" s="403"/>
      <c r="H676" s="349" t="s">
        <v>3038</v>
      </c>
      <c r="I676" s="402"/>
      <c r="J676" s="402"/>
      <c r="K676" s="402"/>
      <c r="L676" s="402"/>
      <c r="M676" s="402"/>
      <c r="N676" s="402"/>
      <c r="O676" s="402"/>
      <c r="P676" s="402"/>
      <c r="Q676" s="402"/>
      <c r="R676" s="402"/>
      <c r="S676" s="402"/>
      <c r="T676" s="402"/>
      <c r="U676" s="402"/>
      <c r="V676" s="402"/>
      <c r="W676" s="402"/>
      <c r="X676" s="402"/>
      <c r="Y676" s="402"/>
      <c r="Z676" s="402"/>
      <c r="AA676" s="405"/>
      <c r="AB676" s="405"/>
      <c r="AC676" s="405"/>
      <c r="AD676" s="405"/>
      <c r="AE676" s="405"/>
      <c r="AF676" s="405"/>
      <c r="AG676" s="405"/>
    </row>
    <row r="677" ht="14.25" customHeight="1">
      <c r="A677" s="406">
        <v>45533.0</v>
      </c>
      <c r="B677" s="402"/>
      <c r="C677" s="419" t="s">
        <v>2544</v>
      </c>
      <c r="D677" s="417" t="s">
        <v>54</v>
      </c>
      <c r="E677" s="417" t="s">
        <v>2442</v>
      </c>
      <c r="F677" s="662">
        <v>45664.0</v>
      </c>
      <c r="G677" s="403"/>
      <c r="H677" s="349" t="s">
        <v>3039</v>
      </c>
      <c r="I677" s="402"/>
      <c r="J677" s="402"/>
      <c r="K677" s="402"/>
      <c r="L677" s="402"/>
      <c r="M677" s="402"/>
      <c r="N677" s="402"/>
      <c r="O677" s="402"/>
      <c r="P677" s="402"/>
      <c r="Q677" s="402"/>
      <c r="R677" s="402"/>
      <c r="S677" s="402"/>
      <c r="T677" s="402"/>
      <c r="U677" s="402"/>
      <c r="V677" s="402"/>
      <c r="W677" s="402"/>
      <c r="X677" s="402"/>
      <c r="Y677" s="402"/>
      <c r="Z677" s="402"/>
      <c r="AA677" s="405"/>
      <c r="AB677" s="405"/>
      <c r="AC677" s="405"/>
      <c r="AD677" s="405"/>
      <c r="AE677" s="405"/>
      <c r="AF677" s="405"/>
      <c r="AG677" s="405"/>
    </row>
    <row r="678" ht="14.25" customHeight="1">
      <c r="A678" s="406">
        <v>45533.0</v>
      </c>
      <c r="B678" s="349" t="s">
        <v>3040</v>
      </c>
      <c r="C678" s="349" t="s">
        <v>3041</v>
      </c>
      <c r="D678" s="349" t="s">
        <v>54</v>
      </c>
      <c r="E678" s="402" t="s">
        <v>2442</v>
      </c>
      <c r="F678" s="662">
        <v>10000.0</v>
      </c>
      <c r="G678" s="413">
        <v>23575.0</v>
      </c>
      <c r="H678" s="349" t="s">
        <v>710</v>
      </c>
      <c r="I678" s="402"/>
      <c r="J678" s="402"/>
      <c r="K678" s="402"/>
      <c r="L678" s="402"/>
      <c r="M678" s="402"/>
      <c r="N678" s="402"/>
      <c r="O678" s="402"/>
      <c r="P678" s="402"/>
      <c r="Q678" s="402"/>
      <c r="R678" s="402"/>
      <c r="S678" s="402"/>
      <c r="T678" s="402"/>
      <c r="U678" s="402"/>
      <c r="V678" s="402"/>
      <c r="W678" s="402"/>
      <c r="X678" s="402"/>
      <c r="Y678" s="402"/>
      <c r="Z678" s="402"/>
      <c r="AA678" s="405"/>
      <c r="AB678" s="405"/>
      <c r="AC678" s="405"/>
      <c r="AD678" s="405"/>
      <c r="AE678" s="405"/>
      <c r="AF678" s="405"/>
      <c r="AG678" s="405"/>
    </row>
    <row r="679" ht="14.25" customHeight="1">
      <c r="A679" s="406">
        <v>45533.0</v>
      </c>
      <c r="B679" s="504"/>
      <c r="C679" s="349" t="s">
        <v>2483</v>
      </c>
      <c r="D679" s="349" t="s">
        <v>54</v>
      </c>
      <c r="E679" s="402" t="s">
        <v>2442</v>
      </c>
      <c r="F679" s="413">
        <v>10000.0</v>
      </c>
      <c r="G679" s="403"/>
      <c r="H679" s="349" t="s">
        <v>3042</v>
      </c>
      <c r="I679" s="402"/>
      <c r="J679" s="402"/>
      <c r="K679" s="402"/>
      <c r="L679" s="402"/>
      <c r="M679" s="402"/>
      <c r="N679" s="402"/>
      <c r="O679" s="402"/>
      <c r="P679" s="402"/>
      <c r="Q679" s="402"/>
      <c r="R679" s="402"/>
      <c r="S679" s="402"/>
      <c r="T679" s="402"/>
      <c r="U679" s="402"/>
      <c r="V679" s="402"/>
      <c r="W679" s="402"/>
      <c r="X679" s="402"/>
      <c r="Y679" s="402"/>
      <c r="Z679" s="402"/>
      <c r="AA679" s="405"/>
      <c r="AB679" s="405"/>
      <c r="AC679" s="405"/>
      <c r="AD679" s="405"/>
      <c r="AE679" s="405"/>
      <c r="AF679" s="405"/>
      <c r="AG679" s="405"/>
    </row>
    <row r="680" ht="14.25" customHeight="1">
      <c r="A680" s="406">
        <v>45533.0</v>
      </c>
      <c r="B680" s="349" t="s">
        <v>3043</v>
      </c>
      <c r="C680" s="349" t="s">
        <v>3044</v>
      </c>
      <c r="D680" s="349" t="s">
        <v>3045</v>
      </c>
      <c r="E680" s="349" t="s">
        <v>2832</v>
      </c>
      <c r="F680" s="662">
        <v>356000.0</v>
      </c>
      <c r="G680" s="662">
        <v>356000.0</v>
      </c>
      <c r="H680" s="349" t="s">
        <v>3035</v>
      </c>
      <c r="I680" s="402"/>
      <c r="J680" s="402"/>
      <c r="K680" s="402"/>
      <c r="L680" s="402"/>
      <c r="M680" s="402"/>
      <c r="N680" s="402"/>
      <c r="O680" s="402"/>
      <c r="P680" s="402"/>
      <c r="Q680" s="402"/>
      <c r="R680" s="402"/>
      <c r="S680" s="402"/>
      <c r="T680" s="402"/>
      <c r="U680" s="402"/>
      <c r="V680" s="402"/>
      <c r="W680" s="402"/>
      <c r="X680" s="402"/>
      <c r="Y680" s="402"/>
      <c r="Z680" s="402"/>
      <c r="AA680" s="405"/>
      <c r="AB680" s="405"/>
      <c r="AC680" s="405"/>
      <c r="AD680" s="405"/>
      <c r="AE680" s="405"/>
      <c r="AF680" s="405"/>
      <c r="AG680" s="405"/>
    </row>
    <row r="681" ht="14.25" customHeight="1">
      <c r="A681" s="406">
        <v>45533.0</v>
      </c>
      <c r="B681" s="402"/>
      <c r="C681" s="349" t="s">
        <v>3046</v>
      </c>
      <c r="D681" s="349" t="s">
        <v>54</v>
      </c>
      <c r="E681" s="402" t="s">
        <v>2442</v>
      </c>
      <c r="F681" s="662">
        <v>20000.0</v>
      </c>
      <c r="G681" s="413">
        <v>2500.0</v>
      </c>
      <c r="H681" s="349" t="s">
        <v>2913</v>
      </c>
      <c r="I681" s="402"/>
      <c r="J681" s="402"/>
      <c r="K681" s="402"/>
      <c r="L681" s="402"/>
      <c r="M681" s="402"/>
      <c r="N681" s="402"/>
      <c r="O681" s="402"/>
      <c r="P681" s="402"/>
      <c r="Q681" s="402"/>
      <c r="R681" s="402"/>
      <c r="S681" s="402"/>
      <c r="T681" s="402"/>
      <c r="U681" s="402"/>
      <c r="V681" s="402"/>
      <c r="W681" s="402"/>
      <c r="X681" s="402"/>
      <c r="Y681" s="402"/>
      <c r="Z681" s="402"/>
      <c r="AA681" s="405"/>
      <c r="AB681" s="405"/>
      <c r="AC681" s="405"/>
      <c r="AD681" s="405"/>
      <c r="AE681" s="405"/>
      <c r="AF681" s="405"/>
      <c r="AG681" s="405"/>
    </row>
    <row r="682" ht="14.25" customHeight="1">
      <c r="A682" s="406">
        <v>45533.0</v>
      </c>
      <c r="B682" s="349" t="s">
        <v>2767</v>
      </c>
      <c r="C682" s="349" t="s">
        <v>2768</v>
      </c>
      <c r="D682" s="349" t="s">
        <v>54</v>
      </c>
      <c r="E682" s="402" t="s">
        <v>2442</v>
      </c>
      <c r="F682" s="662">
        <v>15000.0</v>
      </c>
      <c r="G682" s="662">
        <v>15000.0</v>
      </c>
      <c r="H682" s="349" t="s">
        <v>710</v>
      </c>
      <c r="I682" s="402"/>
      <c r="J682" s="402"/>
      <c r="K682" s="402"/>
      <c r="L682" s="402"/>
      <c r="M682" s="402"/>
      <c r="N682" s="402"/>
      <c r="O682" s="402"/>
      <c r="P682" s="402"/>
      <c r="Q682" s="402"/>
      <c r="R682" s="402"/>
      <c r="S682" s="402"/>
      <c r="T682" s="402"/>
      <c r="U682" s="402"/>
      <c r="V682" s="402"/>
      <c r="W682" s="402"/>
      <c r="X682" s="402"/>
      <c r="Y682" s="402"/>
      <c r="Z682" s="402"/>
      <c r="AA682" s="405"/>
      <c r="AB682" s="405"/>
      <c r="AC682" s="405"/>
      <c r="AD682" s="405"/>
      <c r="AE682" s="405"/>
      <c r="AF682" s="405"/>
      <c r="AG682" s="405"/>
    </row>
    <row r="683" ht="14.25" customHeight="1">
      <c r="A683" s="402"/>
      <c r="B683" s="402"/>
      <c r="C683" s="402"/>
      <c r="D683" s="402"/>
      <c r="E683" s="424" t="s">
        <v>23</v>
      </c>
      <c r="F683" s="658">
        <f>SUM(F666:F682)</f>
        <v>1092582</v>
      </c>
      <c r="G683" s="586">
        <f>SUM(G670:G682)</f>
        <v>698992</v>
      </c>
      <c r="H683" s="402"/>
      <c r="I683" s="402"/>
      <c r="J683" s="402"/>
      <c r="K683" s="402"/>
      <c r="L683" s="402"/>
      <c r="M683" s="402"/>
      <c r="N683" s="402"/>
      <c r="O683" s="402"/>
      <c r="P683" s="402"/>
      <c r="Q683" s="402"/>
      <c r="R683" s="402"/>
      <c r="S683" s="402"/>
      <c r="T683" s="402"/>
      <c r="U683" s="402"/>
      <c r="V683" s="402"/>
      <c r="W683" s="402"/>
      <c r="X683" s="402"/>
      <c r="Y683" s="402"/>
      <c r="Z683" s="402"/>
      <c r="AA683" s="405"/>
      <c r="AB683" s="405"/>
      <c r="AC683" s="405"/>
      <c r="AD683" s="405"/>
      <c r="AE683" s="405"/>
      <c r="AF683" s="405"/>
      <c r="AG683" s="405"/>
    </row>
    <row r="684" ht="14.25" customHeight="1">
      <c r="A684" s="402"/>
      <c r="B684" s="402"/>
      <c r="C684" s="402"/>
      <c r="D684" s="402"/>
      <c r="E684" s="402"/>
      <c r="F684" s="664"/>
      <c r="G684" s="403"/>
      <c r="H684" s="402"/>
      <c r="I684" s="402"/>
      <c r="J684" s="402"/>
      <c r="K684" s="402"/>
      <c r="L684" s="402"/>
      <c r="M684" s="402"/>
      <c r="N684" s="402"/>
      <c r="O684" s="402"/>
      <c r="P684" s="402"/>
      <c r="Q684" s="402"/>
      <c r="R684" s="402"/>
      <c r="S684" s="402"/>
      <c r="T684" s="402"/>
      <c r="U684" s="402"/>
      <c r="V684" s="402"/>
      <c r="W684" s="402"/>
      <c r="X684" s="402"/>
      <c r="Y684" s="402"/>
      <c r="Z684" s="402"/>
      <c r="AA684" s="405"/>
      <c r="AB684" s="405"/>
      <c r="AC684" s="405"/>
      <c r="AD684" s="405"/>
      <c r="AE684" s="405"/>
      <c r="AF684" s="405"/>
      <c r="AG684" s="405"/>
    </row>
    <row r="685" ht="14.25" customHeight="1">
      <c r="A685" s="705" t="s">
        <v>2130</v>
      </c>
      <c r="B685" s="706" t="s">
        <v>39</v>
      </c>
      <c r="C685" s="706" t="s">
        <v>48</v>
      </c>
      <c r="D685" s="706" t="s">
        <v>49</v>
      </c>
      <c r="E685" s="706" t="s">
        <v>50</v>
      </c>
      <c r="F685" s="707" t="s">
        <v>2</v>
      </c>
      <c r="G685" s="708" t="s">
        <v>44</v>
      </c>
      <c r="H685" s="706" t="s">
        <v>45</v>
      </c>
      <c r="I685" s="200"/>
      <c r="J685" s="714"/>
      <c r="K685" s="200"/>
      <c r="L685" s="402"/>
      <c r="M685" s="402"/>
      <c r="N685" s="402"/>
      <c r="O685" s="402"/>
      <c r="P685" s="402"/>
      <c r="Q685" s="402"/>
      <c r="R685" s="402"/>
      <c r="S685" s="402"/>
      <c r="T685" s="402"/>
      <c r="U685" s="402"/>
      <c r="V685" s="402"/>
      <c r="W685" s="402"/>
      <c r="X685" s="402"/>
      <c r="Y685" s="402"/>
      <c r="Z685" s="402"/>
      <c r="AA685" s="405"/>
      <c r="AB685" s="405"/>
      <c r="AC685" s="405"/>
      <c r="AD685" s="405"/>
      <c r="AE685" s="405"/>
      <c r="AF685" s="405"/>
      <c r="AG685" s="405"/>
    </row>
    <row r="686" ht="14.25" customHeight="1">
      <c r="A686" s="406">
        <v>45534.0</v>
      </c>
      <c r="B686" s="349" t="s">
        <v>2563</v>
      </c>
      <c r="C686" s="349" t="s">
        <v>2564</v>
      </c>
      <c r="D686" s="349" t="s">
        <v>54</v>
      </c>
      <c r="E686" s="349" t="s">
        <v>2832</v>
      </c>
      <c r="F686" s="559">
        <v>45691.0</v>
      </c>
      <c r="G686" s="403"/>
      <c r="H686" s="349" t="s">
        <v>3047</v>
      </c>
      <c r="I686" s="402"/>
      <c r="J686" s="402"/>
      <c r="K686" s="402"/>
      <c r="L686" s="402"/>
      <c r="M686" s="402"/>
      <c r="N686" s="402"/>
      <c r="O686" s="402"/>
      <c r="P686" s="402"/>
      <c r="Q686" s="402"/>
      <c r="R686" s="402"/>
      <c r="S686" s="402"/>
      <c r="T686" s="402"/>
      <c r="U686" s="402"/>
      <c r="V686" s="402"/>
      <c r="W686" s="402"/>
      <c r="X686" s="402"/>
      <c r="Y686" s="402"/>
      <c r="Z686" s="402"/>
      <c r="AA686" s="405"/>
      <c r="AB686" s="405"/>
      <c r="AC686" s="405"/>
      <c r="AD686" s="405"/>
      <c r="AE686" s="405"/>
      <c r="AF686" s="405"/>
      <c r="AG686" s="405"/>
    </row>
    <row r="687" ht="14.25" customHeight="1">
      <c r="A687" s="406">
        <v>45534.0</v>
      </c>
      <c r="B687" s="349" t="s">
        <v>3024</v>
      </c>
      <c r="C687" s="349" t="s">
        <v>3025</v>
      </c>
      <c r="D687" s="349" t="s">
        <v>54</v>
      </c>
      <c r="E687" s="402" t="s">
        <v>2832</v>
      </c>
      <c r="F687" s="559">
        <v>27888.0</v>
      </c>
      <c r="H687" s="349" t="s">
        <v>3048</v>
      </c>
      <c r="I687" s="402"/>
      <c r="J687" s="402"/>
      <c r="K687" s="402"/>
      <c r="L687" s="402"/>
      <c r="M687" s="402"/>
      <c r="N687" s="402"/>
      <c r="O687" s="402"/>
      <c r="P687" s="402"/>
      <c r="Q687" s="402"/>
      <c r="R687" s="402"/>
      <c r="S687" s="402"/>
      <c r="T687" s="402"/>
      <c r="U687" s="402"/>
      <c r="V687" s="402"/>
      <c r="W687" s="402"/>
      <c r="X687" s="402"/>
      <c r="Y687" s="402"/>
      <c r="Z687" s="402"/>
      <c r="AA687" s="405"/>
      <c r="AB687" s="405"/>
      <c r="AC687" s="405"/>
      <c r="AD687" s="405"/>
      <c r="AE687" s="405"/>
      <c r="AF687" s="405"/>
      <c r="AG687" s="405"/>
    </row>
    <row r="688" ht="14.25" customHeight="1">
      <c r="A688" s="406">
        <v>45534.0</v>
      </c>
      <c r="B688" s="349" t="s">
        <v>2533</v>
      </c>
      <c r="C688" s="349" t="s">
        <v>2534</v>
      </c>
      <c r="D688" s="402" t="s">
        <v>54</v>
      </c>
      <c r="E688" s="402" t="s">
        <v>2832</v>
      </c>
      <c r="F688" s="662">
        <v>36675.0</v>
      </c>
      <c r="G688" s="403"/>
      <c r="H688" s="349" t="s">
        <v>3049</v>
      </c>
      <c r="I688" s="402"/>
      <c r="J688" s="402"/>
      <c r="K688" s="402"/>
      <c r="L688" s="402"/>
      <c r="M688" s="402"/>
      <c r="N688" s="402"/>
      <c r="O688" s="402"/>
      <c r="P688" s="402"/>
      <c r="Q688" s="402"/>
      <c r="R688" s="402"/>
      <c r="S688" s="402"/>
      <c r="T688" s="402"/>
      <c r="U688" s="402"/>
      <c r="V688" s="402"/>
      <c r="W688" s="402"/>
      <c r="X688" s="402"/>
      <c r="Y688" s="402"/>
      <c r="Z688" s="402"/>
      <c r="AA688" s="405"/>
      <c r="AB688" s="405"/>
      <c r="AC688" s="405"/>
      <c r="AD688" s="405"/>
      <c r="AE688" s="405"/>
      <c r="AF688" s="405"/>
      <c r="AG688" s="405"/>
    </row>
    <row r="689" ht="14.25" customHeight="1">
      <c r="A689" s="406">
        <v>45534.0</v>
      </c>
      <c r="B689" s="349" t="s">
        <v>2595</v>
      </c>
      <c r="C689" s="349" t="s">
        <v>3050</v>
      </c>
      <c r="D689" s="402" t="s">
        <v>54</v>
      </c>
      <c r="E689" s="402" t="s">
        <v>2832</v>
      </c>
      <c r="F689" s="662">
        <v>83017.0</v>
      </c>
      <c r="G689" s="662">
        <v>83017.0</v>
      </c>
      <c r="H689" s="349" t="s">
        <v>155</v>
      </c>
      <c r="I689" s="402"/>
      <c r="J689" s="402"/>
      <c r="K689" s="402"/>
      <c r="L689" s="402"/>
      <c r="M689" s="402"/>
      <c r="N689" s="402"/>
      <c r="O689" s="402"/>
      <c r="P689" s="402"/>
      <c r="Q689" s="402"/>
      <c r="R689" s="402"/>
      <c r="S689" s="402"/>
      <c r="T689" s="402"/>
      <c r="U689" s="402"/>
      <c r="V689" s="402"/>
      <c r="W689" s="402"/>
      <c r="X689" s="402"/>
      <c r="Y689" s="402"/>
      <c r="Z689" s="402"/>
      <c r="AA689" s="405"/>
      <c r="AB689" s="405"/>
      <c r="AC689" s="405"/>
      <c r="AD689" s="405"/>
      <c r="AE689" s="405"/>
      <c r="AF689" s="405"/>
      <c r="AG689" s="405"/>
    </row>
    <row r="690" ht="14.25" customHeight="1">
      <c r="A690" s="406">
        <v>45534.0</v>
      </c>
      <c r="B690" s="349" t="s">
        <v>3051</v>
      </c>
      <c r="C690" s="349" t="s">
        <v>3052</v>
      </c>
      <c r="D690" s="349" t="s">
        <v>54</v>
      </c>
      <c r="E690" s="402" t="s">
        <v>2832</v>
      </c>
      <c r="F690" s="662">
        <v>45400.0</v>
      </c>
      <c r="G690" s="662">
        <v>45400.0</v>
      </c>
      <c r="H690" s="349" t="s">
        <v>56</v>
      </c>
      <c r="I690" s="402"/>
      <c r="J690" s="402"/>
      <c r="K690" s="402"/>
      <c r="L690" s="402"/>
      <c r="M690" s="402"/>
      <c r="N690" s="402"/>
      <c r="O690" s="402"/>
      <c r="P690" s="402"/>
      <c r="Q690" s="402"/>
      <c r="R690" s="402"/>
      <c r="S690" s="402"/>
      <c r="T690" s="402"/>
      <c r="U690" s="402"/>
      <c r="V690" s="402"/>
      <c r="W690" s="402"/>
      <c r="X690" s="402"/>
      <c r="Y690" s="402"/>
      <c r="Z690" s="402"/>
      <c r="AA690" s="405"/>
      <c r="AB690" s="405"/>
      <c r="AC690" s="405"/>
      <c r="AD690" s="405"/>
      <c r="AE690" s="405"/>
      <c r="AF690" s="405"/>
      <c r="AG690" s="405"/>
    </row>
    <row r="691" ht="14.25" customHeight="1">
      <c r="A691" s="406">
        <v>45534.0</v>
      </c>
      <c r="B691" s="349" t="s">
        <v>2569</v>
      </c>
      <c r="C691" s="349" t="s">
        <v>2570</v>
      </c>
      <c r="D691" s="349" t="s">
        <v>54</v>
      </c>
      <c r="E691" s="417" t="s">
        <v>2442</v>
      </c>
      <c r="F691" s="413">
        <v>27888.0</v>
      </c>
      <c r="G691" s="403"/>
      <c r="H691" s="349" t="s">
        <v>3053</v>
      </c>
      <c r="I691" s="402"/>
      <c r="J691" s="402"/>
      <c r="K691" s="402"/>
      <c r="L691" s="402"/>
      <c r="M691" s="402"/>
      <c r="N691" s="402"/>
      <c r="O691" s="402"/>
      <c r="P691" s="402"/>
      <c r="Q691" s="402"/>
      <c r="R691" s="402"/>
      <c r="S691" s="402"/>
      <c r="T691" s="402"/>
      <c r="U691" s="402"/>
      <c r="V691" s="402"/>
      <c r="W691" s="402"/>
      <c r="X691" s="402"/>
      <c r="Y691" s="402"/>
      <c r="Z691" s="402"/>
      <c r="AA691" s="405"/>
      <c r="AB691" s="405"/>
      <c r="AC691" s="405"/>
      <c r="AD691" s="405"/>
      <c r="AE691" s="405"/>
      <c r="AF691" s="405"/>
      <c r="AG691" s="405"/>
    </row>
    <row r="692" ht="14.25" customHeight="1">
      <c r="A692" s="406">
        <v>45534.0</v>
      </c>
      <c r="B692" s="349" t="s">
        <v>2610</v>
      </c>
      <c r="C692" s="349" t="s">
        <v>2611</v>
      </c>
      <c r="D692" s="349" t="s">
        <v>54</v>
      </c>
      <c r="E692" s="402" t="s">
        <v>2832</v>
      </c>
      <c r="F692" s="662">
        <v>15000.0</v>
      </c>
      <c r="G692" s="403"/>
      <c r="H692" s="349" t="s">
        <v>3054</v>
      </c>
      <c r="I692" s="402"/>
      <c r="J692" s="402"/>
      <c r="K692" s="402"/>
      <c r="L692" s="402"/>
      <c r="M692" s="402"/>
      <c r="N692" s="402"/>
      <c r="O692" s="402"/>
      <c r="P692" s="402"/>
      <c r="Q692" s="402"/>
      <c r="R692" s="402"/>
      <c r="S692" s="402"/>
      <c r="T692" s="402"/>
      <c r="U692" s="402"/>
      <c r="V692" s="402"/>
      <c r="W692" s="402"/>
      <c r="X692" s="402"/>
      <c r="Y692" s="402"/>
      <c r="Z692" s="402"/>
      <c r="AA692" s="405"/>
      <c r="AB692" s="405"/>
      <c r="AC692" s="405"/>
      <c r="AD692" s="405"/>
      <c r="AE692" s="405"/>
      <c r="AF692" s="405"/>
      <c r="AG692" s="405"/>
    </row>
    <row r="693" ht="14.25" customHeight="1">
      <c r="A693" s="406">
        <v>45534.0</v>
      </c>
      <c r="B693" s="349" t="s">
        <v>2565</v>
      </c>
      <c r="C693" s="349" t="s">
        <v>3055</v>
      </c>
      <c r="D693" s="349" t="s">
        <v>54</v>
      </c>
      <c r="E693" s="402" t="s">
        <v>2442</v>
      </c>
      <c r="F693" s="413">
        <v>131205.0</v>
      </c>
      <c r="G693" s="403"/>
      <c r="H693" s="349" t="s">
        <v>3056</v>
      </c>
      <c r="I693" s="402"/>
      <c r="J693" s="402"/>
      <c r="K693" s="402"/>
      <c r="L693" s="402"/>
      <c r="M693" s="402"/>
      <c r="N693" s="402"/>
      <c r="O693" s="402"/>
      <c r="P693" s="402"/>
      <c r="Q693" s="402"/>
      <c r="R693" s="402"/>
      <c r="S693" s="402"/>
      <c r="T693" s="402"/>
      <c r="U693" s="402"/>
      <c r="V693" s="402"/>
      <c r="W693" s="402"/>
      <c r="X693" s="402"/>
      <c r="Y693" s="402"/>
      <c r="Z693" s="402"/>
      <c r="AA693" s="405"/>
      <c r="AB693" s="405"/>
      <c r="AC693" s="405"/>
      <c r="AD693" s="405"/>
      <c r="AE693" s="405"/>
      <c r="AF693" s="405"/>
      <c r="AG693" s="405"/>
    </row>
    <row r="694" ht="14.25" customHeight="1">
      <c r="A694" s="406">
        <v>45534.0</v>
      </c>
      <c r="B694" s="349" t="s">
        <v>2590</v>
      </c>
      <c r="C694" s="349" t="s">
        <v>2591</v>
      </c>
      <c r="D694" s="349" t="s">
        <v>54</v>
      </c>
      <c r="E694" s="402" t="s">
        <v>2442</v>
      </c>
      <c r="F694" s="413">
        <v>23904.0</v>
      </c>
      <c r="G694" s="413">
        <v>23904.0</v>
      </c>
      <c r="H694" s="349" t="s">
        <v>56</v>
      </c>
      <c r="I694" s="402"/>
      <c r="J694" s="402"/>
      <c r="K694" s="402"/>
      <c r="L694" s="402"/>
      <c r="M694" s="402"/>
      <c r="N694" s="402"/>
      <c r="O694" s="402"/>
      <c r="P694" s="402"/>
      <c r="Q694" s="402"/>
      <c r="R694" s="402"/>
      <c r="S694" s="402"/>
      <c r="T694" s="402"/>
      <c r="U694" s="402"/>
      <c r="V694" s="402"/>
      <c r="W694" s="402"/>
      <c r="X694" s="402"/>
      <c r="Y694" s="402"/>
      <c r="Z694" s="402"/>
      <c r="AA694" s="405"/>
      <c r="AB694" s="405"/>
      <c r="AC694" s="405"/>
      <c r="AD694" s="405"/>
      <c r="AE694" s="405"/>
      <c r="AF694" s="405"/>
      <c r="AG694" s="405"/>
    </row>
    <row r="695" ht="14.25" customHeight="1">
      <c r="A695" s="406">
        <v>45534.0</v>
      </c>
      <c r="B695" s="349" t="s">
        <v>2510</v>
      </c>
      <c r="C695" s="349" t="s">
        <v>2593</v>
      </c>
      <c r="D695" s="349" t="s">
        <v>54</v>
      </c>
      <c r="E695" s="402" t="s">
        <v>2442</v>
      </c>
      <c r="F695" s="413">
        <v>26522.0</v>
      </c>
      <c r="G695" s="403"/>
      <c r="H695" s="349" t="s">
        <v>2913</v>
      </c>
      <c r="I695" s="402"/>
      <c r="J695" s="402"/>
      <c r="K695" s="402"/>
      <c r="L695" s="402"/>
      <c r="M695" s="402"/>
      <c r="N695" s="402"/>
      <c r="O695" s="402"/>
      <c r="P695" s="402"/>
      <c r="Q695" s="402"/>
      <c r="R695" s="402"/>
      <c r="S695" s="402"/>
      <c r="T695" s="402"/>
      <c r="U695" s="402"/>
      <c r="V695" s="402"/>
      <c r="W695" s="402"/>
      <c r="X695" s="402"/>
      <c r="Y695" s="402"/>
      <c r="Z695" s="402"/>
      <c r="AA695" s="405"/>
      <c r="AB695" s="405"/>
      <c r="AC695" s="405"/>
      <c r="AD695" s="405"/>
      <c r="AE695" s="405"/>
      <c r="AF695" s="405"/>
      <c r="AG695" s="405"/>
    </row>
    <row r="696" ht="14.25" customHeight="1">
      <c r="A696" s="406">
        <v>45534.0</v>
      </c>
      <c r="B696" s="349" t="s">
        <v>2598</v>
      </c>
      <c r="C696" s="349" t="s">
        <v>2599</v>
      </c>
      <c r="D696" s="349" t="s">
        <v>54</v>
      </c>
      <c r="E696" s="402" t="s">
        <v>2442</v>
      </c>
      <c r="F696" s="413">
        <v>178916.0</v>
      </c>
      <c r="G696" s="413">
        <v>178916.0</v>
      </c>
      <c r="H696" s="349" t="s">
        <v>155</v>
      </c>
      <c r="I696" s="402"/>
      <c r="J696" s="402"/>
      <c r="K696" s="402"/>
      <c r="L696" s="402"/>
      <c r="M696" s="402"/>
      <c r="N696" s="402"/>
      <c r="O696" s="402"/>
      <c r="P696" s="402"/>
      <c r="Q696" s="402"/>
      <c r="R696" s="402"/>
      <c r="S696" s="402"/>
      <c r="T696" s="402"/>
      <c r="U696" s="402"/>
      <c r="V696" s="402"/>
      <c r="W696" s="402"/>
      <c r="X696" s="402"/>
      <c r="Y696" s="402"/>
      <c r="Z696" s="402"/>
      <c r="AA696" s="405"/>
      <c r="AB696" s="405"/>
      <c r="AC696" s="405"/>
      <c r="AD696" s="405"/>
      <c r="AE696" s="405"/>
      <c r="AF696" s="405"/>
      <c r="AG696" s="405"/>
    </row>
    <row r="697" ht="14.25" customHeight="1">
      <c r="A697" s="406">
        <v>45534.0</v>
      </c>
      <c r="B697" s="349" t="s">
        <v>2571</v>
      </c>
      <c r="C697" s="349" t="s">
        <v>2572</v>
      </c>
      <c r="D697" s="349" t="s">
        <v>54</v>
      </c>
      <c r="E697" s="402" t="s">
        <v>2442</v>
      </c>
      <c r="F697" s="662">
        <v>10000.0</v>
      </c>
      <c r="G697" s="403"/>
      <c r="H697" s="402"/>
      <c r="I697" s="402"/>
      <c r="J697" s="402"/>
      <c r="K697" s="402"/>
      <c r="L697" s="402"/>
      <c r="M697" s="402"/>
      <c r="N697" s="402"/>
      <c r="O697" s="402"/>
      <c r="P697" s="402"/>
      <c r="Q697" s="402"/>
      <c r="R697" s="402"/>
      <c r="S697" s="402"/>
      <c r="T697" s="402"/>
      <c r="U697" s="402"/>
      <c r="V697" s="402"/>
      <c r="W697" s="402"/>
      <c r="X697" s="402"/>
      <c r="Y697" s="402"/>
      <c r="Z697" s="402"/>
      <c r="AA697" s="405"/>
      <c r="AB697" s="405"/>
      <c r="AC697" s="405"/>
      <c r="AD697" s="405"/>
      <c r="AE697" s="405"/>
      <c r="AF697" s="405"/>
      <c r="AG697" s="405"/>
    </row>
    <row r="698" ht="14.25" customHeight="1">
      <c r="A698" s="406">
        <v>45534.0</v>
      </c>
      <c r="B698" s="402"/>
      <c r="C698" s="402"/>
      <c r="D698" s="402"/>
      <c r="E698" s="424" t="s">
        <v>3020</v>
      </c>
      <c r="F698" s="718">
        <f>SUM(F686:F697)</f>
        <v>652106</v>
      </c>
      <c r="G698" s="719">
        <f>SUM(G687:G697)</f>
        <v>331237</v>
      </c>
      <c r="H698" s="402"/>
      <c r="I698" s="402"/>
      <c r="J698" s="402"/>
      <c r="K698" s="402"/>
      <c r="L698" s="402"/>
      <c r="M698" s="402"/>
      <c r="N698" s="402"/>
      <c r="O698" s="402"/>
      <c r="P698" s="402"/>
      <c r="Q698" s="402"/>
      <c r="R698" s="402"/>
      <c r="S698" s="402"/>
      <c r="T698" s="402"/>
      <c r="U698" s="402"/>
      <c r="V698" s="402"/>
      <c r="W698" s="402"/>
      <c r="X698" s="402"/>
      <c r="Y698" s="402"/>
      <c r="Z698" s="402"/>
      <c r="AA698" s="405"/>
      <c r="AB698" s="405"/>
      <c r="AC698" s="405"/>
      <c r="AD698" s="405"/>
      <c r="AE698" s="405"/>
      <c r="AF698" s="405"/>
      <c r="AG698" s="405"/>
    </row>
    <row r="699" ht="14.25" customHeight="1">
      <c r="A699" s="406">
        <v>45535.0</v>
      </c>
      <c r="B699" s="402"/>
      <c r="C699" s="402"/>
      <c r="D699" s="402"/>
      <c r="E699" s="402"/>
      <c r="F699" s="664"/>
      <c r="G699" s="403"/>
      <c r="H699" s="402"/>
      <c r="I699" s="402"/>
      <c r="J699" s="402"/>
      <c r="K699" s="402"/>
      <c r="L699" s="402"/>
      <c r="M699" s="402"/>
      <c r="N699" s="402"/>
      <c r="O699" s="402"/>
      <c r="P699" s="402"/>
      <c r="Q699" s="402"/>
      <c r="R699" s="402"/>
      <c r="S699" s="402"/>
      <c r="T699" s="402"/>
      <c r="U699" s="402"/>
      <c r="V699" s="402"/>
      <c r="W699" s="402"/>
      <c r="X699" s="402"/>
      <c r="Y699" s="402"/>
      <c r="Z699" s="402"/>
      <c r="AA699" s="405"/>
      <c r="AB699" s="405"/>
      <c r="AC699" s="405"/>
      <c r="AD699" s="405"/>
      <c r="AE699" s="405"/>
      <c r="AF699" s="405"/>
      <c r="AG699" s="405"/>
    </row>
    <row r="700" ht="14.25" customHeight="1">
      <c r="A700" s="402"/>
      <c r="B700" s="402"/>
      <c r="C700" s="402"/>
      <c r="D700" s="402"/>
      <c r="E700" s="402"/>
      <c r="F700" s="664"/>
      <c r="G700" s="403"/>
      <c r="H700" s="402"/>
      <c r="I700" s="402"/>
      <c r="J700" s="402"/>
      <c r="K700" s="402"/>
      <c r="L700" s="402"/>
      <c r="M700" s="402"/>
      <c r="N700" s="402"/>
      <c r="O700" s="402"/>
      <c r="P700" s="402"/>
      <c r="Q700" s="402"/>
      <c r="R700" s="402"/>
      <c r="S700" s="402"/>
      <c r="T700" s="402"/>
      <c r="U700" s="402"/>
      <c r="V700" s="402"/>
      <c r="W700" s="402"/>
      <c r="X700" s="402"/>
      <c r="Y700" s="402"/>
      <c r="Z700" s="402"/>
      <c r="AA700" s="405"/>
      <c r="AB700" s="405"/>
      <c r="AC700" s="405"/>
      <c r="AD700" s="405"/>
      <c r="AE700" s="405"/>
      <c r="AF700" s="405"/>
      <c r="AG700" s="405"/>
    </row>
    <row r="701" ht="14.25" customHeight="1">
      <c r="A701" s="402"/>
      <c r="B701" s="402"/>
      <c r="C701" s="402"/>
      <c r="D701" s="402"/>
      <c r="E701" s="402"/>
      <c r="F701" s="664"/>
      <c r="G701" s="403"/>
      <c r="H701" s="402"/>
      <c r="I701" s="402"/>
      <c r="J701" s="402"/>
      <c r="K701" s="402"/>
      <c r="L701" s="402"/>
      <c r="M701" s="402"/>
      <c r="N701" s="402"/>
      <c r="O701" s="402"/>
      <c r="P701" s="402"/>
      <c r="Q701" s="402"/>
      <c r="R701" s="402"/>
      <c r="S701" s="402"/>
      <c r="T701" s="402"/>
      <c r="U701" s="402"/>
      <c r="V701" s="402"/>
      <c r="W701" s="402"/>
      <c r="X701" s="402"/>
      <c r="Y701" s="402"/>
      <c r="Z701" s="402"/>
      <c r="AA701" s="405"/>
      <c r="AB701" s="405"/>
      <c r="AC701" s="405"/>
      <c r="AD701" s="405"/>
      <c r="AE701" s="405"/>
      <c r="AF701" s="405"/>
      <c r="AG701" s="405"/>
    </row>
    <row r="702" ht="14.25" customHeight="1">
      <c r="A702" s="402"/>
      <c r="B702" s="402"/>
      <c r="C702" s="402"/>
      <c r="D702" s="402"/>
      <c r="E702" s="402"/>
      <c r="F702" s="664"/>
      <c r="G702" s="403"/>
      <c r="H702" s="402"/>
      <c r="I702" s="402"/>
      <c r="J702" s="402"/>
      <c r="K702" s="402"/>
      <c r="L702" s="402"/>
      <c r="M702" s="402"/>
      <c r="N702" s="402"/>
      <c r="O702" s="402"/>
      <c r="P702" s="402"/>
      <c r="Q702" s="402"/>
      <c r="R702" s="402"/>
      <c r="S702" s="402"/>
      <c r="T702" s="402"/>
      <c r="U702" s="402"/>
      <c r="V702" s="402"/>
      <c r="W702" s="402"/>
      <c r="X702" s="402"/>
      <c r="Y702" s="402"/>
      <c r="Z702" s="402"/>
      <c r="AA702" s="405"/>
      <c r="AB702" s="405"/>
      <c r="AC702" s="405"/>
      <c r="AD702" s="405"/>
      <c r="AE702" s="405"/>
      <c r="AF702" s="405"/>
      <c r="AG702" s="405"/>
    </row>
    <row r="703" ht="14.25" customHeight="1">
      <c r="A703" s="402"/>
      <c r="B703" s="402"/>
      <c r="C703" s="402"/>
      <c r="D703" s="402"/>
      <c r="E703" s="402"/>
      <c r="F703" s="664"/>
      <c r="G703" s="403"/>
      <c r="H703" s="402"/>
      <c r="I703" s="402"/>
      <c r="J703" s="402"/>
      <c r="K703" s="402"/>
      <c r="L703" s="402"/>
      <c r="M703" s="402"/>
      <c r="N703" s="402"/>
      <c r="O703" s="402"/>
      <c r="P703" s="402"/>
      <c r="Q703" s="402"/>
      <c r="R703" s="402"/>
      <c r="S703" s="402"/>
      <c r="T703" s="402"/>
      <c r="U703" s="402"/>
      <c r="V703" s="402"/>
      <c r="W703" s="402"/>
      <c r="X703" s="402"/>
      <c r="Y703" s="402"/>
      <c r="Z703" s="402"/>
      <c r="AA703" s="405"/>
      <c r="AB703" s="405"/>
      <c r="AC703" s="405"/>
      <c r="AD703" s="405"/>
      <c r="AE703" s="405"/>
      <c r="AF703" s="405"/>
      <c r="AG703" s="405"/>
    </row>
    <row r="704" ht="14.25" customHeight="1">
      <c r="A704" s="402"/>
      <c r="B704" s="402"/>
      <c r="C704" s="402"/>
      <c r="D704" s="402"/>
      <c r="E704" s="402"/>
      <c r="F704" s="664"/>
      <c r="G704" s="403"/>
      <c r="H704" s="402"/>
      <c r="I704" s="402"/>
      <c r="J704" s="402"/>
      <c r="K704" s="402"/>
      <c r="L704" s="402"/>
      <c r="M704" s="402"/>
      <c r="N704" s="402"/>
      <c r="O704" s="402"/>
      <c r="P704" s="402"/>
      <c r="Q704" s="402"/>
      <c r="R704" s="402"/>
      <c r="S704" s="402"/>
      <c r="T704" s="402"/>
      <c r="U704" s="402"/>
      <c r="V704" s="402"/>
      <c r="W704" s="402"/>
      <c r="X704" s="402"/>
      <c r="Y704" s="402"/>
      <c r="Z704" s="402"/>
      <c r="AA704" s="405"/>
      <c r="AB704" s="405"/>
      <c r="AC704" s="405"/>
      <c r="AD704" s="405"/>
      <c r="AE704" s="405"/>
      <c r="AF704" s="405"/>
      <c r="AG704" s="405"/>
    </row>
    <row r="705" ht="14.25" customHeight="1">
      <c r="A705" s="705" t="s">
        <v>2130</v>
      </c>
      <c r="B705" s="706" t="s">
        <v>39</v>
      </c>
      <c r="C705" s="706" t="s">
        <v>48</v>
      </c>
      <c r="D705" s="706" t="s">
        <v>49</v>
      </c>
      <c r="E705" s="706" t="s">
        <v>50</v>
      </c>
      <c r="F705" s="707" t="s">
        <v>2</v>
      </c>
      <c r="G705" s="708" t="s">
        <v>44</v>
      </c>
      <c r="H705" s="706" t="s">
        <v>45</v>
      </c>
      <c r="I705" s="200"/>
      <c r="J705" s="714"/>
      <c r="K705" s="200"/>
      <c r="L705" s="402"/>
      <c r="M705" s="402"/>
      <c r="N705" s="402"/>
      <c r="O705" s="402"/>
      <c r="P705" s="402"/>
      <c r="Q705" s="402"/>
      <c r="R705" s="402"/>
      <c r="S705" s="402"/>
      <c r="T705" s="402"/>
      <c r="U705" s="402"/>
      <c r="V705" s="402"/>
      <c r="W705" s="402"/>
      <c r="X705" s="402"/>
      <c r="Y705" s="402"/>
      <c r="Z705" s="402"/>
      <c r="AA705" s="405"/>
      <c r="AB705" s="405"/>
      <c r="AC705" s="405"/>
      <c r="AD705" s="405"/>
      <c r="AE705" s="405"/>
      <c r="AF705" s="405"/>
      <c r="AG705" s="405"/>
    </row>
    <row r="706" ht="14.25" customHeight="1">
      <c r="A706" s="406">
        <v>45535.0</v>
      </c>
      <c r="B706" s="349" t="s">
        <v>3057</v>
      </c>
      <c r="C706" s="349" t="s">
        <v>2519</v>
      </c>
      <c r="D706" s="349" t="s">
        <v>54</v>
      </c>
      <c r="E706" s="413"/>
      <c r="F706" s="413">
        <v>144127.0</v>
      </c>
      <c r="G706" s="403"/>
      <c r="H706" s="349" t="s">
        <v>3058</v>
      </c>
      <c r="I706" s="402"/>
      <c r="J706" s="402"/>
      <c r="K706" s="402"/>
      <c r="L706" s="402"/>
      <c r="M706" s="402"/>
      <c r="N706" s="402"/>
      <c r="O706" s="402"/>
      <c r="P706" s="402"/>
      <c r="Q706" s="402"/>
      <c r="R706" s="402"/>
      <c r="S706" s="402"/>
      <c r="T706" s="402"/>
      <c r="U706" s="402"/>
      <c r="V706" s="402"/>
      <c r="W706" s="402"/>
      <c r="X706" s="402"/>
      <c r="Y706" s="402"/>
      <c r="Z706" s="402"/>
      <c r="AA706" s="405"/>
      <c r="AB706" s="405"/>
      <c r="AC706" s="405"/>
      <c r="AD706" s="405"/>
      <c r="AE706" s="405"/>
      <c r="AF706" s="405"/>
      <c r="AG706" s="405"/>
    </row>
    <row r="707" ht="14.25" customHeight="1">
      <c r="A707" s="406">
        <v>45535.0</v>
      </c>
      <c r="B707" s="513" t="s">
        <v>2451</v>
      </c>
      <c r="C707" s="349" t="s">
        <v>3059</v>
      </c>
      <c r="D707" s="349" t="s">
        <v>54</v>
      </c>
      <c r="E707" s="402"/>
      <c r="F707" s="662">
        <v>3897.0</v>
      </c>
      <c r="G707" s="403"/>
      <c r="H707" s="349" t="s">
        <v>710</v>
      </c>
      <c r="I707" s="402"/>
      <c r="J707" s="402"/>
      <c r="K707" s="402"/>
      <c r="L707" s="402"/>
      <c r="M707" s="402"/>
      <c r="N707" s="402"/>
      <c r="O707" s="402"/>
      <c r="P707" s="402"/>
      <c r="Q707" s="402"/>
      <c r="R707" s="402"/>
      <c r="S707" s="402"/>
      <c r="T707" s="402"/>
      <c r="U707" s="402"/>
      <c r="V707" s="402"/>
      <c r="W707" s="402"/>
      <c r="X707" s="402"/>
      <c r="Y707" s="402"/>
      <c r="Z707" s="402"/>
      <c r="AA707" s="405"/>
      <c r="AB707" s="405"/>
      <c r="AC707" s="405"/>
      <c r="AD707" s="405"/>
      <c r="AE707" s="405"/>
      <c r="AF707" s="405"/>
      <c r="AG707" s="405"/>
    </row>
    <row r="708" ht="14.25" customHeight="1">
      <c r="A708" s="406">
        <v>45535.0</v>
      </c>
      <c r="B708" s="513" t="s">
        <v>2674</v>
      </c>
      <c r="C708" s="349" t="s">
        <v>3060</v>
      </c>
      <c r="D708" s="349" t="s">
        <v>54</v>
      </c>
      <c r="E708" s="402"/>
      <c r="F708" s="662">
        <v>10481.0</v>
      </c>
      <c r="G708" s="413">
        <v>10481.0</v>
      </c>
      <c r="H708" s="349" t="s">
        <v>267</v>
      </c>
      <c r="I708" s="402"/>
      <c r="J708" s="402"/>
      <c r="K708" s="402"/>
      <c r="L708" s="402"/>
      <c r="M708" s="402"/>
      <c r="N708" s="402"/>
      <c r="O708" s="402"/>
      <c r="P708" s="402"/>
      <c r="Q708" s="402"/>
      <c r="R708" s="402"/>
      <c r="S708" s="402"/>
      <c r="T708" s="402"/>
      <c r="U708" s="402"/>
      <c r="V708" s="402"/>
      <c r="W708" s="402"/>
      <c r="X708" s="402"/>
      <c r="Y708" s="402"/>
      <c r="Z708" s="402"/>
      <c r="AA708" s="405"/>
      <c r="AB708" s="405"/>
      <c r="AC708" s="405"/>
      <c r="AD708" s="405"/>
      <c r="AE708" s="405"/>
      <c r="AF708" s="405"/>
      <c r="AG708" s="405"/>
    </row>
    <row r="709" ht="14.25" customHeight="1">
      <c r="A709" s="406">
        <v>45535.0</v>
      </c>
      <c r="B709" s="720" t="s">
        <v>2510</v>
      </c>
      <c r="C709" s="720" t="s">
        <v>2593</v>
      </c>
      <c r="D709" s="721" t="s">
        <v>54</v>
      </c>
      <c r="E709" s="402"/>
      <c r="F709" s="662">
        <v>2000.0</v>
      </c>
      <c r="G709" s="403"/>
      <c r="H709" s="349" t="s">
        <v>710</v>
      </c>
      <c r="I709" s="402"/>
      <c r="J709" s="402"/>
      <c r="K709" s="402"/>
      <c r="L709" s="402"/>
      <c r="M709" s="402"/>
      <c r="N709" s="402"/>
      <c r="O709" s="402"/>
      <c r="P709" s="402"/>
      <c r="Q709" s="402"/>
      <c r="R709" s="402"/>
      <c r="S709" s="402"/>
      <c r="T709" s="402"/>
      <c r="U709" s="402"/>
      <c r="V709" s="402"/>
      <c r="W709" s="402"/>
      <c r="X709" s="402"/>
      <c r="Y709" s="402"/>
      <c r="Z709" s="402"/>
      <c r="AA709" s="405"/>
      <c r="AB709" s="405"/>
      <c r="AC709" s="405"/>
      <c r="AD709" s="405"/>
      <c r="AE709" s="405"/>
      <c r="AF709" s="405"/>
      <c r="AG709" s="405"/>
    </row>
    <row r="710" ht="14.25" customHeight="1">
      <c r="A710" s="406">
        <v>45535.0</v>
      </c>
      <c r="B710" s="722" t="s">
        <v>2709</v>
      </c>
      <c r="C710" s="722" t="s">
        <v>3061</v>
      </c>
      <c r="D710" s="723" t="s">
        <v>54</v>
      </c>
      <c r="F710" s="724">
        <v>60235.0</v>
      </c>
      <c r="G710" s="413">
        <v>63000.0</v>
      </c>
      <c r="H710" s="349" t="s">
        <v>267</v>
      </c>
      <c r="I710" s="402"/>
      <c r="J710" s="402"/>
      <c r="K710" s="402"/>
      <c r="L710" s="402"/>
      <c r="M710" s="402"/>
      <c r="N710" s="402"/>
      <c r="O710" s="402"/>
      <c r="P710" s="402"/>
      <c r="Q710" s="402"/>
      <c r="R710" s="402"/>
      <c r="S710" s="402"/>
      <c r="T710" s="402"/>
      <c r="U710" s="402"/>
      <c r="V710" s="402"/>
      <c r="W710" s="402"/>
      <c r="X710" s="402"/>
      <c r="Y710" s="402"/>
      <c r="Z710" s="402"/>
      <c r="AA710" s="405"/>
      <c r="AB710" s="405"/>
      <c r="AC710" s="405"/>
      <c r="AD710" s="405"/>
      <c r="AE710" s="405"/>
      <c r="AF710" s="405"/>
      <c r="AG710" s="405"/>
    </row>
    <row r="711" ht="14.25" customHeight="1">
      <c r="A711" s="406">
        <v>45535.0</v>
      </c>
      <c r="B711" s="349" t="s">
        <v>2455</v>
      </c>
      <c r="C711" s="349" t="s">
        <v>2574</v>
      </c>
      <c r="D711" s="349" t="s">
        <v>54</v>
      </c>
      <c r="E711" s="402"/>
      <c r="F711" s="711">
        <v>60325.0</v>
      </c>
      <c r="G711" s="403"/>
      <c r="H711" s="349" t="s">
        <v>3062</v>
      </c>
      <c r="I711" s="402"/>
      <c r="J711" s="402"/>
      <c r="K711" s="402"/>
      <c r="L711" s="402"/>
      <c r="M711" s="402"/>
      <c r="N711" s="402"/>
      <c r="O711" s="402"/>
      <c r="P711" s="402"/>
      <c r="Q711" s="402"/>
      <c r="R711" s="402"/>
      <c r="S711" s="402"/>
      <c r="T711" s="402"/>
      <c r="U711" s="402"/>
      <c r="V711" s="402"/>
      <c r="W711" s="402"/>
      <c r="X711" s="402"/>
      <c r="Y711" s="402"/>
      <c r="Z711" s="402"/>
      <c r="AA711" s="405"/>
      <c r="AB711" s="405"/>
      <c r="AC711" s="405"/>
      <c r="AD711" s="405"/>
      <c r="AE711" s="405"/>
      <c r="AF711" s="405"/>
      <c r="AG711" s="405"/>
    </row>
    <row r="712" ht="14.25" customHeight="1">
      <c r="A712" s="406">
        <v>45535.0</v>
      </c>
      <c r="B712" s="349" t="s">
        <v>2565</v>
      </c>
      <c r="C712" s="349" t="s">
        <v>3063</v>
      </c>
      <c r="D712" s="349" t="s">
        <v>54</v>
      </c>
      <c r="E712" s="402"/>
      <c r="F712" s="662">
        <v>323874.6</v>
      </c>
      <c r="G712" s="403"/>
      <c r="H712" s="349" t="s">
        <v>3062</v>
      </c>
      <c r="I712" s="402"/>
      <c r="J712" s="402"/>
      <c r="K712" s="402"/>
      <c r="L712" s="402"/>
      <c r="M712" s="402"/>
      <c r="N712" s="402"/>
      <c r="O712" s="402"/>
      <c r="P712" s="402"/>
      <c r="Q712" s="402"/>
      <c r="R712" s="402"/>
      <c r="S712" s="402"/>
      <c r="T712" s="402"/>
      <c r="U712" s="402"/>
      <c r="V712" s="402"/>
      <c r="W712" s="402"/>
      <c r="X712" s="402"/>
      <c r="Y712" s="402"/>
      <c r="Z712" s="402"/>
      <c r="AA712" s="405"/>
      <c r="AB712" s="405"/>
      <c r="AC712" s="405"/>
      <c r="AD712" s="405"/>
      <c r="AE712" s="405"/>
      <c r="AF712" s="405"/>
      <c r="AG712" s="405"/>
    </row>
    <row r="713" ht="14.25" customHeight="1">
      <c r="A713" s="406"/>
      <c r="B713" s="402"/>
      <c r="C713" s="402"/>
      <c r="D713" s="402"/>
      <c r="E713" s="402"/>
      <c r="F713" s="664"/>
      <c r="G713" s="403"/>
      <c r="H713" s="402"/>
      <c r="I713" s="402"/>
      <c r="J713" s="402"/>
      <c r="K713" s="402"/>
      <c r="L713" s="402"/>
      <c r="M713" s="402"/>
      <c r="N713" s="402"/>
      <c r="O713" s="402"/>
      <c r="P713" s="402"/>
      <c r="Q713" s="402"/>
      <c r="R713" s="402"/>
      <c r="S713" s="402"/>
      <c r="T713" s="402"/>
      <c r="U713" s="402"/>
      <c r="V713" s="402"/>
      <c r="W713" s="402"/>
      <c r="X713" s="402"/>
      <c r="Y713" s="402"/>
      <c r="Z713" s="402"/>
      <c r="AA713" s="405"/>
      <c r="AB713" s="405"/>
      <c r="AC713" s="405"/>
      <c r="AD713" s="405"/>
      <c r="AE713" s="405"/>
      <c r="AF713" s="405"/>
      <c r="AG713" s="405"/>
    </row>
    <row r="714" ht="14.25" customHeight="1">
      <c r="A714" s="406"/>
      <c r="B714" s="402"/>
      <c r="C714" s="402"/>
      <c r="D714" s="402"/>
      <c r="E714" s="402"/>
      <c r="F714" s="664"/>
      <c r="G714" s="403"/>
      <c r="H714" s="402"/>
      <c r="I714" s="402"/>
      <c r="J714" s="402"/>
      <c r="K714" s="402"/>
      <c r="L714" s="402"/>
      <c r="M714" s="402"/>
      <c r="N714" s="402"/>
      <c r="O714" s="402"/>
      <c r="P714" s="402"/>
      <c r="Q714" s="402"/>
      <c r="R714" s="402"/>
      <c r="S714" s="402"/>
      <c r="T714" s="402"/>
      <c r="U714" s="402"/>
      <c r="V714" s="402"/>
      <c r="W714" s="402"/>
      <c r="X714" s="402"/>
      <c r="Y714" s="402"/>
      <c r="Z714" s="402"/>
      <c r="AA714" s="405"/>
      <c r="AB714" s="405"/>
      <c r="AC714" s="405"/>
      <c r="AD714" s="405"/>
      <c r="AE714" s="405"/>
      <c r="AF714" s="405"/>
      <c r="AG714" s="405"/>
    </row>
    <row r="715" ht="14.25" customHeight="1">
      <c r="A715" s="705" t="s">
        <v>2130</v>
      </c>
      <c r="B715" s="706" t="s">
        <v>39</v>
      </c>
      <c r="C715" s="706" t="s">
        <v>48</v>
      </c>
      <c r="D715" s="706" t="s">
        <v>49</v>
      </c>
      <c r="E715" s="706" t="s">
        <v>50</v>
      </c>
      <c r="F715" s="707" t="s">
        <v>2</v>
      </c>
      <c r="G715" s="708" t="s">
        <v>44</v>
      </c>
      <c r="H715" s="706" t="s">
        <v>45</v>
      </c>
      <c r="I715" s="200"/>
      <c r="J715" s="714"/>
      <c r="K715" s="200"/>
      <c r="L715" s="402"/>
      <c r="M715" s="402"/>
      <c r="N715" s="402"/>
      <c r="O715" s="402"/>
      <c r="P715" s="402"/>
      <c r="Q715" s="402"/>
      <c r="R715" s="402"/>
      <c r="S715" s="402"/>
      <c r="T715" s="402"/>
      <c r="U715" s="402"/>
      <c r="V715" s="402"/>
      <c r="W715" s="402"/>
      <c r="X715" s="402"/>
      <c r="Y715" s="402"/>
      <c r="Z715" s="402"/>
      <c r="AA715" s="405"/>
      <c r="AB715" s="405"/>
      <c r="AC715" s="405"/>
      <c r="AD715" s="405"/>
      <c r="AE715" s="405"/>
      <c r="AF715" s="405"/>
      <c r="AG715" s="405"/>
    </row>
    <row r="716" ht="14.25" customHeight="1">
      <c r="A716" s="406">
        <v>45537.0</v>
      </c>
      <c r="B716" s="349" t="s">
        <v>2530</v>
      </c>
      <c r="C716" s="349" t="s">
        <v>2647</v>
      </c>
      <c r="D716" s="349" t="s">
        <v>54</v>
      </c>
      <c r="E716" s="725" t="s">
        <v>2442</v>
      </c>
      <c r="F716" s="413">
        <v>21673.0</v>
      </c>
      <c r="G716" s="403"/>
      <c r="H716" s="349" t="s">
        <v>3064</v>
      </c>
      <c r="I716" s="402"/>
      <c r="J716" s="402"/>
      <c r="K716" s="402"/>
      <c r="L716" s="402"/>
      <c r="M716" s="402"/>
      <c r="N716" s="402"/>
      <c r="O716" s="402"/>
      <c r="P716" s="402"/>
      <c r="Q716" s="402"/>
      <c r="R716" s="402"/>
      <c r="S716" s="402"/>
      <c r="T716" s="402"/>
      <c r="U716" s="402"/>
      <c r="V716" s="402"/>
      <c r="W716" s="402"/>
      <c r="X716" s="402"/>
      <c r="Y716" s="402"/>
      <c r="Z716" s="402"/>
      <c r="AA716" s="405"/>
      <c r="AB716" s="405"/>
      <c r="AC716" s="405"/>
      <c r="AD716" s="405"/>
      <c r="AE716" s="405"/>
      <c r="AF716" s="405"/>
      <c r="AG716" s="405"/>
    </row>
    <row r="717" ht="14.25" customHeight="1">
      <c r="A717" s="406">
        <v>45537.0</v>
      </c>
      <c r="B717" s="349" t="s">
        <v>3057</v>
      </c>
      <c r="C717" s="349" t="s">
        <v>2519</v>
      </c>
      <c r="D717" s="349" t="s">
        <v>54</v>
      </c>
      <c r="E717" s="725" t="s">
        <v>2442</v>
      </c>
      <c r="F717" s="413">
        <v>144127.0</v>
      </c>
      <c r="G717" s="403"/>
      <c r="H717" s="349" t="s">
        <v>3065</v>
      </c>
      <c r="I717" s="402"/>
      <c r="J717" s="402"/>
      <c r="K717" s="402"/>
      <c r="L717" s="402"/>
      <c r="M717" s="402"/>
      <c r="N717" s="402"/>
      <c r="O717" s="402"/>
      <c r="P717" s="402"/>
      <c r="Q717" s="402"/>
      <c r="R717" s="402"/>
      <c r="S717" s="402"/>
      <c r="T717" s="402"/>
      <c r="U717" s="402"/>
      <c r="V717" s="402"/>
      <c r="W717" s="402"/>
      <c r="X717" s="402"/>
      <c r="Y717" s="402"/>
      <c r="Z717" s="402"/>
      <c r="AA717" s="405"/>
      <c r="AB717" s="405"/>
      <c r="AC717" s="405"/>
      <c r="AD717" s="405"/>
      <c r="AE717" s="405"/>
      <c r="AF717" s="405"/>
      <c r="AG717" s="405"/>
    </row>
    <row r="718" ht="14.25" customHeight="1">
      <c r="A718" s="406">
        <v>45537.0</v>
      </c>
      <c r="B718" s="349" t="s">
        <v>2619</v>
      </c>
      <c r="C718" s="349" t="s">
        <v>2620</v>
      </c>
      <c r="D718" s="349" t="s">
        <v>54</v>
      </c>
      <c r="E718" s="725" t="s">
        <v>2832</v>
      </c>
      <c r="F718" s="413">
        <v>115136.0</v>
      </c>
      <c r="G718" s="413">
        <v>115136.0</v>
      </c>
      <c r="H718" s="349" t="s">
        <v>155</v>
      </c>
      <c r="I718" s="402"/>
      <c r="J718" s="402"/>
      <c r="K718" s="402"/>
      <c r="L718" s="402"/>
      <c r="M718" s="402"/>
      <c r="N718" s="402"/>
      <c r="O718" s="402"/>
      <c r="P718" s="402"/>
      <c r="Q718" s="402"/>
      <c r="R718" s="402"/>
      <c r="S718" s="402"/>
      <c r="T718" s="402"/>
      <c r="U718" s="402"/>
      <c r="V718" s="402"/>
      <c r="W718" s="402"/>
      <c r="X718" s="402"/>
      <c r="Y718" s="402"/>
      <c r="Z718" s="402"/>
      <c r="AA718" s="405"/>
      <c r="AB718" s="405"/>
      <c r="AC718" s="405"/>
      <c r="AD718" s="405"/>
      <c r="AE718" s="405"/>
      <c r="AF718" s="405"/>
      <c r="AG718" s="405"/>
    </row>
    <row r="719" ht="14.25" customHeight="1">
      <c r="A719" s="406">
        <v>45537.0</v>
      </c>
      <c r="B719" s="513" t="s">
        <v>2505</v>
      </c>
      <c r="C719" s="513" t="s">
        <v>2737</v>
      </c>
      <c r="D719" s="349" t="s">
        <v>54</v>
      </c>
      <c r="E719" s="725" t="s">
        <v>2832</v>
      </c>
      <c r="F719" s="413">
        <v>54400.0</v>
      </c>
      <c r="G719" s="413">
        <v>52034.0</v>
      </c>
      <c r="H719" s="349" t="s">
        <v>3035</v>
      </c>
      <c r="I719" s="402"/>
      <c r="J719" s="402"/>
      <c r="K719" s="402"/>
      <c r="L719" s="402"/>
      <c r="M719" s="402"/>
      <c r="N719" s="402"/>
      <c r="O719" s="402"/>
      <c r="P719" s="402"/>
      <c r="Q719" s="402"/>
      <c r="R719" s="402"/>
      <c r="S719" s="402"/>
      <c r="T719" s="402"/>
      <c r="U719" s="402"/>
      <c r="V719" s="402"/>
      <c r="W719" s="402"/>
      <c r="X719" s="402"/>
      <c r="Y719" s="402"/>
      <c r="Z719" s="402"/>
      <c r="AA719" s="405"/>
      <c r="AB719" s="405"/>
      <c r="AC719" s="405"/>
      <c r="AD719" s="405"/>
      <c r="AE719" s="405"/>
      <c r="AF719" s="405"/>
      <c r="AG719" s="405"/>
    </row>
    <row r="720" ht="14.25" customHeight="1">
      <c r="A720" s="406">
        <v>45537.0</v>
      </c>
      <c r="B720" s="349" t="s">
        <v>2643</v>
      </c>
      <c r="C720" s="349" t="s">
        <v>2644</v>
      </c>
      <c r="D720" s="349" t="s">
        <v>54</v>
      </c>
      <c r="E720" s="725" t="s">
        <v>2832</v>
      </c>
      <c r="F720" s="413">
        <v>23585.0</v>
      </c>
      <c r="G720" s="403"/>
      <c r="H720" s="349" t="s">
        <v>56</v>
      </c>
      <c r="I720" s="402"/>
      <c r="J720" s="402"/>
      <c r="K720" s="402"/>
      <c r="L720" s="402"/>
      <c r="M720" s="402"/>
      <c r="N720" s="402"/>
      <c r="O720" s="402"/>
      <c r="P720" s="402"/>
      <c r="Q720" s="402"/>
      <c r="R720" s="402"/>
      <c r="S720" s="402"/>
      <c r="T720" s="402"/>
      <c r="U720" s="402"/>
      <c r="V720" s="402"/>
      <c r="W720" s="402"/>
      <c r="X720" s="402"/>
      <c r="Y720" s="402"/>
      <c r="Z720" s="402"/>
      <c r="AA720" s="405"/>
      <c r="AB720" s="405"/>
      <c r="AC720" s="405"/>
      <c r="AD720" s="405"/>
      <c r="AE720" s="405"/>
      <c r="AF720" s="405"/>
      <c r="AG720" s="405"/>
    </row>
    <row r="721" ht="14.25" customHeight="1">
      <c r="A721" s="406">
        <v>45537.0</v>
      </c>
      <c r="B721" s="349" t="s">
        <v>2543</v>
      </c>
      <c r="C721" s="349" t="s">
        <v>3066</v>
      </c>
      <c r="D721" s="349" t="s">
        <v>54</v>
      </c>
      <c r="E721" s="725" t="s">
        <v>2832</v>
      </c>
      <c r="F721" s="662">
        <v>44000.0</v>
      </c>
      <c r="G721" s="403"/>
      <c r="H721" s="349" t="s">
        <v>3067</v>
      </c>
      <c r="I721" s="402"/>
      <c r="J721" s="402"/>
      <c r="K721" s="402"/>
      <c r="L721" s="402"/>
      <c r="M721" s="402"/>
      <c r="N721" s="402"/>
      <c r="O721" s="402"/>
      <c r="P721" s="402"/>
      <c r="Q721" s="402"/>
      <c r="R721" s="402"/>
      <c r="S721" s="402"/>
      <c r="T721" s="402"/>
      <c r="U721" s="402"/>
      <c r="V721" s="402"/>
      <c r="W721" s="402"/>
      <c r="X721" s="402"/>
      <c r="Y721" s="402"/>
      <c r="Z721" s="402"/>
      <c r="AA721" s="405"/>
      <c r="AB721" s="405"/>
      <c r="AC721" s="405"/>
      <c r="AD721" s="405"/>
      <c r="AE721" s="405"/>
      <c r="AF721" s="405"/>
      <c r="AG721" s="405"/>
    </row>
    <row r="722" ht="14.25" customHeight="1">
      <c r="A722" s="406">
        <v>45537.0</v>
      </c>
      <c r="B722" s="349" t="s">
        <v>2512</v>
      </c>
      <c r="C722" s="349" t="s">
        <v>2513</v>
      </c>
      <c r="D722" s="349" t="s">
        <v>54</v>
      </c>
      <c r="E722" s="725" t="s">
        <v>2442</v>
      </c>
      <c r="F722" s="413">
        <v>40636.0</v>
      </c>
      <c r="G722" s="403"/>
      <c r="H722" s="349" t="s">
        <v>3068</v>
      </c>
      <c r="I722" s="402"/>
      <c r="J722" s="402"/>
      <c r="K722" s="402"/>
      <c r="L722" s="402"/>
      <c r="M722" s="402"/>
      <c r="N722" s="402"/>
      <c r="O722" s="402"/>
      <c r="P722" s="402"/>
      <c r="Q722" s="402"/>
      <c r="R722" s="402"/>
      <c r="S722" s="402"/>
      <c r="T722" s="402"/>
      <c r="U722" s="402"/>
      <c r="V722" s="402"/>
      <c r="W722" s="402"/>
      <c r="X722" s="402"/>
      <c r="Y722" s="402"/>
      <c r="Z722" s="402"/>
      <c r="AA722" s="405"/>
      <c r="AB722" s="405"/>
      <c r="AC722" s="405"/>
      <c r="AD722" s="405"/>
      <c r="AE722" s="405"/>
      <c r="AF722" s="405"/>
      <c r="AG722" s="405"/>
    </row>
    <row r="723" ht="14.25" customHeight="1">
      <c r="A723" s="406">
        <v>45537.0</v>
      </c>
      <c r="B723" s="349" t="s">
        <v>2563</v>
      </c>
      <c r="C723" s="349" t="s">
        <v>2564</v>
      </c>
      <c r="D723" s="349" t="s">
        <v>54</v>
      </c>
      <c r="E723" s="725" t="s">
        <v>2832</v>
      </c>
      <c r="F723" s="413">
        <v>14507.0</v>
      </c>
      <c r="G723" s="413">
        <v>4000.0</v>
      </c>
      <c r="H723" s="402"/>
      <c r="I723" s="402"/>
      <c r="J723" s="402"/>
      <c r="K723" s="402"/>
      <c r="L723" s="402"/>
      <c r="M723" s="402"/>
      <c r="N723" s="402"/>
      <c r="O723" s="402"/>
      <c r="P723" s="402"/>
      <c r="Q723" s="402"/>
      <c r="R723" s="402"/>
      <c r="S723" s="402"/>
      <c r="T723" s="402"/>
      <c r="U723" s="402"/>
      <c r="V723" s="402"/>
      <c r="W723" s="402"/>
      <c r="X723" s="402"/>
      <c r="Y723" s="402"/>
      <c r="Z723" s="402"/>
      <c r="AA723" s="405"/>
      <c r="AB723" s="405"/>
      <c r="AC723" s="405"/>
      <c r="AD723" s="405"/>
      <c r="AE723" s="405"/>
      <c r="AF723" s="405"/>
      <c r="AG723" s="405"/>
    </row>
    <row r="724" ht="14.25" customHeight="1">
      <c r="A724" s="406">
        <v>45537.0</v>
      </c>
      <c r="B724" s="349" t="s">
        <v>2567</v>
      </c>
      <c r="C724" s="349" t="s">
        <v>2568</v>
      </c>
      <c r="D724" s="349" t="s">
        <v>54</v>
      </c>
      <c r="E724" s="725" t="s">
        <v>2442</v>
      </c>
      <c r="F724" s="413">
        <v>22310.0</v>
      </c>
      <c r="G724" s="403"/>
      <c r="H724" s="349" t="s">
        <v>3069</v>
      </c>
      <c r="I724" s="402"/>
      <c r="J724" s="402"/>
      <c r="K724" s="402"/>
      <c r="L724" s="402"/>
      <c r="M724" s="402"/>
      <c r="N724" s="402"/>
      <c r="O724" s="402"/>
      <c r="P724" s="402"/>
      <c r="Q724" s="402"/>
      <c r="R724" s="402"/>
      <c r="S724" s="402"/>
      <c r="T724" s="402"/>
      <c r="U724" s="402"/>
      <c r="V724" s="402"/>
      <c r="W724" s="402"/>
      <c r="X724" s="402"/>
      <c r="Y724" s="402"/>
      <c r="Z724" s="402"/>
      <c r="AA724" s="405"/>
      <c r="AB724" s="405"/>
      <c r="AC724" s="405"/>
      <c r="AD724" s="405"/>
      <c r="AE724" s="405"/>
      <c r="AF724" s="405"/>
      <c r="AG724" s="405"/>
    </row>
    <row r="725" ht="14.25" customHeight="1">
      <c r="A725" s="406">
        <v>45537.0</v>
      </c>
      <c r="B725" s="349" t="s">
        <v>2569</v>
      </c>
      <c r="C725" s="349" t="s">
        <v>2570</v>
      </c>
      <c r="D725" s="349" t="s">
        <v>54</v>
      </c>
      <c r="E725" s="725" t="s">
        <v>2442</v>
      </c>
      <c r="F725" s="413">
        <v>27888.0</v>
      </c>
      <c r="G725" s="413">
        <v>31000.0</v>
      </c>
      <c r="H725" s="349" t="s">
        <v>56</v>
      </c>
      <c r="I725" s="402"/>
      <c r="J725" s="402"/>
      <c r="K725" s="402"/>
      <c r="L725" s="402"/>
      <c r="M725" s="402"/>
      <c r="N725" s="402"/>
      <c r="O725" s="402"/>
      <c r="P725" s="402"/>
      <c r="Q725" s="402"/>
      <c r="R725" s="402"/>
      <c r="S725" s="402"/>
      <c r="T725" s="402"/>
      <c r="U725" s="402"/>
      <c r="V725" s="402"/>
      <c r="W725" s="402"/>
      <c r="X725" s="402"/>
      <c r="Y725" s="402"/>
      <c r="Z725" s="402"/>
      <c r="AA725" s="405"/>
      <c r="AB725" s="405"/>
      <c r="AC725" s="405"/>
      <c r="AD725" s="405"/>
      <c r="AE725" s="405"/>
      <c r="AF725" s="405"/>
      <c r="AG725" s="405"/>
    </row>
    <row r="726" ht="14.25" customHeight="1">
      <c r="A726" s="406">
        <v>45537.0</v>
      </c>
      <c r="B726" s="349" t="s">
        <v>2571</v>
      </c>
      <c r="C726" s="349" t="s">
        <v>2572</v>
      </c>
      <c r="D726" s="349" t="s">
        <v>54</v>
      </c>
      <c r="E726" s="725" t="s">
        <v>2442</v>
      </c>
      <c r="F726" s="413">
        <v>17892.0</v>
      </c>
      <c r="G726" s="403"/>
      <c r="H726" s="349" t="s">
        <v>3070</v>
      </c>
      <c r="I726" s="402"/>
      <c r="J726" s="402"/>
      <c r="K726" s="402"/>
      <c r="L726" s="402"/>
      <c r="M726" s="402"/>
      <c r="N726" s="402"/>
      <c r="O726" s="402"/>
      <c r="P726" s="402"/>
      <c r="Q726" s="402"/>
      <c r="R726" s="402"/>
      <c r="S726" s="402"/>
      <c r="T726" s="402"/>
      <c r="U726" s="402"/>
      <c r="V726" s="402"/>
      <c r="W726" s="402"/>
      <c r="X726" s="402"/>
      <c r="Y726" s="402"/>
      <c r="Z726" s="402"/>
      <c r="AA726" s="405"/>
      <c r="AB726" s="405"/>
      <c r="AC726" s="405"/>
      <c r="AD726" s="405"/>
      <c r="AE726" s="405"/>
      <c r="AF726" s="405"/>
      <c r="AG726" s="405"/>
    </row>
    <row r="727" ht="14.25" customHeight="1">
      <c r="A727" s="406">
        <v>45537.0</v>
      </c>
      <c r="B727" s="349" t="s">
        <v>2533</v>
      </c>
      <c r="C727" s="349" t="s">
        <v>3071</v>
      </c>
      <c r="D727" s="349" t="s">
        <v>54</v>
      </c>
      <c r="E727" s="725" t="s">
        <v>2832</v>
      </c>
      <c r="F727" s="686">
        <v>36675.0</v>
      </c>
      <c r="G727" s="402"/>
      <c r="H727" s="349" t="s">
        <v>3072</v>
      </c>
      <c r="I727" s="402"/>
      <c r="J727" s="402"/>
      <c r="K727" s="402"/>
      <c r="L727" s="402"/>
      <c r="M727" s="402"/>
      <c r="N727" s="402"/>
      <c r="O727" s="402"/>
      <c r="P727" s="402"/>
      <c r="Q727" s="402"/>
      <c r="R727" s="402"/>
      <c r="S727" s="402"/>
      <c r="T727" s="402"/>
      <c r="U727" s="402"/>
      <c r="V727" s="402"/>
      <c r="W727" s="402"/>
      <c r="X727" s="402"/>
      <c r="Y727" s="402"/>
      <c r="Z727" s="405"/>
      <c r="AA727" s="405"/>
      <c r="AB727" s="405"/>
      <c r="AC727" s="405"/>
      <c r="AD727" s="405"/>
      <c r="AE727" s="405"/>
      <c r="AF727" s="405"/>
    </row>
    <row r="728" ht="14.25" customHeight="1">
      <c r="A728" s="406">
        <v>45537.0</v>
      </c>
      <c r="B728" s="349" t="s">
        <v>2992</v>
      </c>
      <c r="C728" s="349" t="s">
        <v>2993</v>
      </c>
      <c r="D728" s="349" t="s">
        <v>54</v>
      </c>
      <c r="E728" s="725" t="s">
        <v>2442</v>
      </c>
      <c r="F728" s="413">
        <v>31393.0</v>
      </c>
      <c r="G728" s="403"/>
      <c r="H728" s="349" t="s">
        <v>3073</v>
      </c>
      <c r="I728" s="402"/>
      <c r="J728" s="402"/>
      <c r="K728" s="402"/>
      <c r="L728" s="402"/>
      <c r="M728" s="402"/>
      <c r="N728" s="402"/>
      <c r="O728" s="402"/>
      <c r="P728" s="402"/>
      <c r="Q728" s="402"/>
      <c r="R728" s="402"/>
      <c r="S728" s="402"/>
      <c r="T728" s="402"/>
      <c r="U728" s="402"/>
      <c r="V728" s="402"/>
      <c r="W728" s="402"/>
      <c r="X728" s="402"/>
      <c r="Y728" s="402"/>
      <c r="Z728" s="402"/>
      <c r="AA728" s="405"/>
      <c r="AB728" s="405"/>
      <c r="AC728" s="405"/>
      <c r="AD728" s="405"/>
      <c r="AE728" s="405"/>
      <c r="AF728" s="405"/>
      <c r="AG728" s="405"/>
    </row>
    <row r="729" ht="14.25" customHeight="1">
      <c r="A729" s="697">
        <v>45537.0</v>
      </c>
      <c r="B729" s="467" t="s">
        <v>3024</v>
      </c>
      <c r="C729" s="468" t="s">
        <v>3025</v>
      </c>
      <c r="D729" s="468" t="s">
        <v>54</v>
      </c>
      <c r="E729" s="726" t="s">
        <v>2832</v>
      </c>
      <c r="F729" s="727">
        <v>27888.0</v>
      </c>
      <c r="G729" s="470"/>
      <c r="H729" s="471" t="s">
        <v>3074</v>
      </c>
      <c r="I729" s="402"/>
      <c r="J729" s="402"/>
      <c r="K729" s="402"/>
      <c r="L729" s="402"/>
      <c r="M729" s="402"/>
      <c r="N729" s="402"/>
      <c r="O729" s="402"/>
      <c r="P729" s="402"/>
      <c r="Q729" s="402"/>
      <c r="R729" s="402"/>
      <c r="S729" s="402"/>
      <c r="T729" s="402"/>
      <c r="U729" s="402"/>
      <c r="V729" s="402"/>
      <c r="W729" s="402"/>
      <c r="X729" s="402"/>
      <c r="Y729" s="402"/>
      <c r="Z729" s="402"/>
      <c r="AA729" s="405"/>
      <c r="AB729" s="405"/>
      <c r="AC729" s="405"/>
      <c r="AD729" s="405"/>
      <c r="AE729" s="405"/>
      <c r="AF729" s="405"/>
      <c r="AG729" s="405"/>
    </row>
    <row r="730" ht="14.25" customHeight="1">
      <c r="B730" s="402"/>
      <c r="C730" s="402"/>
      <c r="D730" s="402"/>
      <c r="E730" s="728" t="s">
        <v>3020</v>
      </c>
      <c r="F730" s="658">
        <f>SUM(F716:F729)</f>
        <v>622110</v>
      </c>
      <c r="G730" s="586">
        <f>SUM(G718:G726)</f>
        <v>202170</v>
      </c>
      <c r="H730" s="395"/>
      <c r="I730" s="402"/>
      <c r="J730" s="402"/>
      <c r="K730" s="402"/>
      <c r="L730" s="402"/>
      <c r="M730" s="402"/>
      <c r="N730" s="402"/>
      <c r="O730" s="402"/>
      <c r="P730" s="402"/>
      <c r="Q730" s="402"/>
      <c r="R730" s="402"/>
      <c r="S730" s="402"/>
      <c r="T730" s="402"/>
      <c r="U730" s="402"/>
      <c r="V730" s="402"/>
      <c r="W730" s="402"/>
      <c r="X730" s="402"/>
      <c r="Y730" s="402"/>
      <c r="Z730" s="402"/>
      <c r="AA730" s="405"/>
      <c r="AB730" s="405"/>
      <c r="AC730" s="405"/>
      <c r="AD730" s="405"/>
      <c r="AE730" s="405"/>
      <c r="AF730" s="405"/>
      <c r="AG730" s="405"/>
    </row>
    <row r="731" ht="14.25" customHeight="1">
      <c r="B731" s="402"/>
      <c r="C731" s="402"/>
      <c r="D731" s="402"/>
      <c r="E731" s="725"/>
      <c r="F731" s="664"/>
      <c r="G731" s="403"/>
      <c r="H731" s="395"/>
      <c r="I731" s="402"/>
      <c r="J731" s="402"/>
      <c r="K731" s="402"/>
      <c r="L731" s="402"/>
      <c r="M731" s="402"/>
      <c r="N731" s="402"/>
      <c r="O731" s="402"/>
      <c r="P731" s="402"/>
      <c r="Q731" s="402"/>
      <c r="R731" s="402"/>
      <c r="S731" s="402"/>
      <c r="T731" s="402"/>
      <c r="U731" s="402"/>
      <c r="V731" s="402"/>
      <c r="W731" s="402"/>
      <c r="X731" s="402"/>
      <c r="Y731" s="402"/>
      <c r="Z731" s="402"/>
      <c r="AA731" s="405"/>
      <c r="AB731" s="405"/>
      <c r="AC731" s="405"/>
      <c r="AD731" s="405"/>
      <c r="AE731" s="405"/>
      <c r="AF731" s="405"/>
      <c r="AG731" s="405"/>
    </row>
    <row r="732" ht="14.25" customHeight="1">
      <c r="B732" s="402"/>
      <c r="C732" s="402"/>
      <c r="D732" s="402"/>
      <c r="E732" s="402"/>
      <c r="F732" s="664"/>
      <c r="G732" s="403"/>
      <c r="H732" s="402"/>
      <c r="I732" s="402"/>
      <c r="J732" s="402"/>
      <c r="K732" s="402"/>
      <c r="L732" s="402"/>
      <c r="M732" s="402"/>
      <c r="N732" s="402"/>
      <c r="O732" s="402"/>
      <c r="P732" s="402"/>
      <c r="Q732" s="402"/>
      <c r="R732" s="402"/>
      <c r="S732" s="402"/>
      <c r="T732" s="402"/>
      <c r="U732" s="402"/>
      <c r="V732" s="402"/>
      <c r="W732" s="402"/>
      <c r="X732" s="402"/>
      <c r="Y732" s="402"/>
      <c r="Z732" s="402"/>
      <c r="AA732" s="405"/>
      <c r="AB732" s="405"/>
      <c r="AC732" s="405"/>
      <c r="AD732" s="405"/>
      <c r="AE732" s="405"/>
      <c r="AF732" s="405"/>
      <c r="AG732" s="405"/>
    </row>
    <row r="733" ht="14.25" customHeight="1">
      <c r="B733" s="402"/>
      <c r="C733" s="402"/>
      <c r="D733" s="402"/>
      <c r="E733" s="402"/>
      <c r="F733" s="664"/>
      <c r="G733" s="403"/>
      <c r="H733" s="402"/>
      <c r="I733" s="402"/>
      <c r="J733" s="402"/>
      <c r="K733" s="402"/>
      <c r="L733" s="402"/>
      <c r="M733" s="402"/>
      <c r="N733" s="402"/>
      <c r="O733" s="402"/>
      <c r="P733" s="402"/>
      <c r="Q733" s="402"/>
      <c r="R733" s="402"/>
      <c r="S733" s="402"/>
      <c r="T733" s="402"/>
      <c r="U733" s="402"/>
      <c r="V733" s="402"/>
      <c r="W733" s="402"/>
      <c r="X733" s="402"/>
      <c r="Y733" s="402"/>
      <c r="Z733" s="402"/>
      <c r="AA733" s="405"/>
      <c r="AB733" s="405"/>
      <c r="AC733" s="405"/>
      <c r="AD733" s="405"/>
      <c r="AE733" s="405"/>
      <c r="AF733" s="405"/>
      <c r="AG733" s="405"/>
    </row>
    <row r="734" ht="14.25" customHeight="1">
      <c r="B734" s="402"/>
      <c r="C734" s="402"/>
      <c r="D734" s="402"/>
      <c r="E734" s="402"/>
      <c r="F734" s="664"/>
      <c r="G734" s="403"/>
      <c r="H734" s="402"/>
      <c r="I734" s="402"/>
      <c r="J734" s="402"/>
      <c r="K734" s="402"/>
      <c r="L734" s="402"/>
      <c r="M734" s="402"/>
      <c r="N734" s="402"/>
      <c r="O734" s="402"/>
      <c r="P734" s="402"/>
      <c r="Q734" s="402"/>
      <c r="R734" s="402"/>
      <c r="S734" s="402"/>
      <c r="T734" s="402"/>
      <c r="U734" s="402"/>
      <c r="V734" s="402"/>
      <c r="W734" s="402"/>
      <c r="X734" s="402"/>
      <c r="Y734" s="402"/>
      <c r="Z734" s="402"/>
      <c r="AA734" s="405"/>
      <c r="AB734" s="405"/>
      <c r="AC734" s="405"/>
      <c r="AD734" s="405"/>
      <c r="AE734" s="405"/>
      <c r="AF734" s="405"/>
      <c r="AG734" s="405"/>
    </row>
    <row r="735" ht="14.25" customHeight="1">
      <c r="G735" s="403"/>
      <c r="H735" s="402"/>
      <c r="I735" s="402"/>
      <c r="J735" s="402"/>
      <c r="K735" s="402"/>
      <c r="L735" s="402"/>
      <c r="M735" s="402"/>
      <c r="N735" s="402"/>
      <c r="O735" s="402"/>
      <c r="P735" s="402"/>
      <c r="Q735" s="402"/>
      <c r="R735" s="402"/>
      <c r="S735" s="402"/>
      <c r="T735" s="402"/>
      <c r="U735" s="402"/>
      <c r="V735" s="402"/>
      <c r="W735" s="402"/>
      <c r="X735" s="402"/>
      <c r="Y735" s="402"/>
      <c r="Z735" s="402"/>
      <c r="AA735" s="405"/>
      <c r="AB735" s="405"/>
      <c r="AC735" s="405"/>
      <c r="AD735" s="405"/>
      <c r="AE735" s="405"/>
      <c r="AF735" s="405"/>
      <c r="AG735" s="405"/>
    </row>
    <row r="736" ht="14.25" customHeight="1">
      <c r="H736" s="402"/>
      <c r="I736" s="402"/>
      <c r="J736" s="402"/>
      <c r="K736" s="402"/>
      <c r="L736" s="402"/>
      <c r="M736" s="402"/>
      <c r="N736" s="402"/>
      <c r="O736" s="402"/>
      <c r="P736" s="402"/>
      <c r="Q736" s="402"/>
      <c r="R736" s="402"/>
      <c r="S736" s="402"/>
      <c r="T736" s="402"/>
      <c r="U736" s="402"/>
      <c r="V736" s="402"/>
      <c r="W736" s="402"/>
      <c r="X736" s="402"/>
      <c r="Y736" s="402"/>
      <c r="Z736" s="402"/>
      <c r="AA736" s="405"/>
      <c r="AB736" s="405"/>
      <c r="AC736" s="405"/>
      <c r="AD736" s="405"/>
      <c r="AE736" s="405"/>
      <c r="AF736" s="405"/>
      <c r="AG736" s="405"/>
    </row>
    <row r="737" ht="14.25" customHeight="1">
      <c r="H737" s="402"/>
      <c r="I737" s="402"/>
      <c r="J737" s="402"/>
      <c r="K737" s="402"/>
      <c r="L737" s="402"/>
      <c r="M737" s="402"/>
      <c r="N737" s="402"/>
      <c r="O737" s="402"/>
      <c r="P737" s="402"/>
      <c r="Q737" s="402"/>
      <c r="R737" s="402"/>
      <c r="S737" s="402"/>
      <c r="T737" s="402"/>
      <c r="U737" s="402"/>
      <c r="V737" s="402"/>
      <c r="W737" s="402"/>
      <c r="X737" s="402"/>
      <c r="Y737" s="402"/>
      <c r="Z737" s="402"/>
      <c r="AA737" s="405"/>
      <c r="AB737" s="405"/>
      <c r="AC737" s="405"/>
      <c r="AD737" s="405"/>
      <c r="AE737" s="405"/>
      <c r="AF737" s="405"/>
      <c r="AG737" s="405"/>
    </row>
  </sheetData>
  <mergeCells count="1">
    <mergeCell ref="F664:G664"/>
  </mergeCells>
  <hyperlinks>
    <hyperlink r:id="rId1" ref="H582"/>
    <hyperlink r:id="rId2" ref="H599"/>
    <hyperlink r:id="rId3" ref="H612"/>
  </hyperlinks>
  <printOptions/>
  <pageMargins bottom="0.75" footer="0.0" header="0.0" left="0.7" right="0.7" top="0.75"/>
  <pageSetup orientation="landscape"/>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71"/>
    <col customWidth="1" min="2" max="2" width="22.29"/>
    <col customWidth="1" min="3" max="3" width="34.14"/>
    <col customWidth="1" min="4" max="4" width="16.0"/>
    <col customWidth="1" min="5" max="5" width="20.0"/>
    <col customWidth="1" min="6" max="6" width="21.14"/>
    <col customWidth="1" min="7" max="7" width="28.57"/>
    <col customWidth="1" min="8" max="8" width="59.71"/>
    <col customWidth="1" min="9" max="9" width="14.57"/>
    <col customWidth="1" min="10" max="26" width="8.71"/>
  </cols>
  <sheetData>
    <row r="1" ht="14.25" customHeight="1">
      <c r="A1" s="402"/>
      <c r="B1" s="402"/>
      <c r="C1" s="402"/>
      <c r="D1" s="402"/>
      <c r="E1" s="402"/>
      <c r="F1" s="403"/>
      <c r="G1" s="403"/>
      <c r="H1" s="402"/>
      <c r="I1" s="404" t="str">
        <f t="shared" ref="I1:I20" si="1">IF(G1&gt;=F1,"FULLY PAID",IF(G1=0,"NOT PAID","PARTIALLY PAID"))</f>
        <v>FULLY PAID</v>
      </c>
      <c r="J1" s="402"/>
      <c r="K1" s="402"/>
      <c r="L1" s="402"/>
      <c r="M1" s="402"/>
      <c r="N1" s="402"/>
      <c r="O1" s="402"/>
      <c r="P1" s="402"/>
      <c r="Q1" s="402"/>
      <c r="R1" s="402"/>
      <c r="S1" s="402"/>
      <c r="T1" s="402"/>
      <c r="U1" s="402"/>
      <c r="V1" s="402"/>
      <c r="W1" s="402"/>
      <c r="X1" s="402"/>
      <c r="Y1" s="402"/>
      <c r="Z1" s="402"/>
    </row>
    <row r="2" ht="14.25" customHeight="1">
      <c r="A2" s="729" t="s">
        <v>47</v>
      </c>
      <c r="B2" s="730" t="s">
        <v>39</v>
      </c>
      <c r="C2" s="730" t="s">
        <v>3075</v>
      </c>
      <c r="D2" s="730" t="s">
        <v>49</v>
      </c>
      <c r="E2" s="730" t="s">
        <v>50</v>
      </c>
      <c r="F2" s="731" t="s">
        <v>2</v>
      </c>
      <c r="G2" s="731" t="s">
        <v>4</v>
      </c>
      <c r="H2" s="730" t="s">
        <v>45</v>
      </c>
      <c r="I2" s="404" t="str">
        <f t="shared" si="1"/>
        <v>FULLY PAID</v>
      </c>
      <c r="J2" s="402"/>
      <c r="K2" s="402"/>
      <c r="L2" s="402"/>
      <c r="M2" s="402"/>
      <c r="N2" s="402"/>
      <c r="O2" s="402"/>
      <c r="P2" s="402"/>
      <c r="Q2" s="402"/>
      <c r="R2" s="402"/>
      <c r="S2" s="402"/>
      <c r="T2" s="402"/>
      <c r="U2" s="402"/>
      <c r="V2" s="402"/>
      <c r="W2" s="402"/>
      <c r="X2" s="402"/>
      <c r="Y2" s="402"/>
      <c r="Z2" s="402"/>
    </row>
    <row r="3" ht="14.25" customHeight="1">
      <c r="A3" s="406">
        <v>45495.0</v>
      </c>
      <c r="B3" s="522" t="s">
        <v>3076</v>
      </c>
      <c r="C3" s="522" t="s">
        <v>3077</v>
      </c>
      <c r="D3" s="522" t="s">
        <v>54</v>
      </c>
      <c r="E3" s="522" t="s">
        <v>3078</v>
      </c>
      <c r="F3" s="567">
        <v>8400.0</v>
      </c>
      <c r="G3" s="413">
        <v>7500.0</v>
      </c>
      <c r="H3" s="732" t="s">
        <v>3079</v>
      </c>
      <c r="I3" s="404" t="str">
        <f t="shared" si="1"/>
        <v>PARTIALLY PAID</v>
      </c>
      <c r="J3" s="402"/>
      <c r="K3" s="402"/>
      <c r="L3" s="402"/>
      <c r="M3" s="402"/>
      <c r="N3" s="402"/>
      <c r="O3" s="402"/>
      <c r="P3" s="402"/>
      <c r="Q3" s="402"/>
      <c r="R3" s="402"/>
      <c r="S3" s="402"/>
      <c r="T3" s="402"/>
      <c r="U3" s="402"/>
      <c r="V3" s="402"/>
      <c r="W3" s="402"/>
      <c r="X3" s="402"/>
      <c r="Y3" s="402"/>
      <c r="Z3" s="402"/>
    </row>
    <row r="4" ht="14.25" customHeight="1">
      <c r="A4" s="406">
        <v>45495.0</v>
      </c>
      <c r="B4" s="522" t="s">
        <v>3080</v>
      </c>
      <c r="C4" s="522" t="s">
        <v>3081</v>
      </c>
      <c r="D4" s="522" t="s">
        <v>54</v>
      </c>
      <c r="E4" s="522" t="s">
        <v>3078</v>
      </c>
      <c r="F4" s="567">
        <v>66000.0</v>
      </c>
      <c r="G4" s="413">
        <v>104500.0</v>
      </c>
      <c r="H4" s="349" t="s">
        <v>3082</v>
      </c>
      <c r="I4" s="404" t="str">
        <f t="shared" si="1"/>
        <v>FULLY PAID</v>
      </c>
      <c r="J4" s="402"/>
      <c r="K4" s="402"/>
      <c r="L4" s="402"/>
      <c r="M4" s="402"/>
      <c r="N4" s="402"/>
      <c r="O4" s="402"/>
      <c r="P4" s="402"/>
      <c r="Q4" s="402"/>
      <c r="R4" s="402"/>
      <c r="S4" s="402"/>
      <c r="T4" s="402"/>
      <c r="U4" s="402"/>
      <c r="V4" s="402"/>
      <c r="W4" s="402"/>
      <c r="X4" s="402"/>
      <c r="Y4" s="402"/>
      <c r="Z4" s="402"/>
    </row>
    <row r="5" ht="14.25" customHeight="1">
      <c r="A5" s="406">
        <v>45495.0</v>
      </c>
      <c r="B5" s="522" t="s">
        <v>3083</v>
      </c>
      <c r="C5" s="522" t="s">
        <v>3084</v>
      </c>
      <c r="D5" s="522" t="s">
        <v>54</v>
      </c>
      <c r="E5" s="522" t="s">
        <v>3085</v>
      </c>
      <c r="F5" s="567">
        <v>2860.0</v>
      </c>
      <c r="G5" s="413">
        <v>0.0</v>
      </c>
      <c r="H5" s="732" t="s">
        <v>3086</v>
      </c>
      <c r="I5" s="404" t="str">
        <f t="shared" si="1"/>
        <v>NOT PAID</v>
      </c>
      <c r="J5" s="402"/>
      <c r="K5" s="402"/>
      <c r="L5" s="402"/>
      <c r="M5" s="402"/>
      <c r="N5" s="402"/>
      <c r="O5" s="402"/>
      <c r="P5" s="402"/>
      <c r="Q5" s="402"/>
      <c r="R5" s="402"/>
      <c r="S5" s="402"/>
      <c r="T5" s="402"/>
      <c r="U5" s="402"/>
      <c r="V5" s="402"/>
      <c r="W5" s="402"/>
      <c r="X5" s="402"/>
      <c r="Y5" s="402"/>
      <c r="Z5" s="402"/>
    </row>
    <row r="6" ht="14.25" customHeight="1">
      <c r="A6" s="406">
        <v>45495.0</v>
      </c>
      <c r="B6" s="522" t="s">
        <v>3087</v>
      </c>
      <c r="C6" s="522" t="s">
        <v>3088</v>
      </c>
      <c r="D6" s="522" t="s">
        <v>54</v>
      </c>
      <c r="E6" s="522" t="s">
        <v>3089</v>
      </c>
      <c r="F6" s="567">
        <v>24500.0</v>
      </c>
      <c r="G6" s="413">
        <v>5000.0</v>
      </c>
      <c r="H6" s="349" t="s">
        <v>3090</v>
      </c>
      <c r="I6" s="404" t="str">
        <f t="shared" si="1"/>
        <v>PARTIALLY PAID</v>
      </c>
      <c r="J6" s="402"/>
      <c r="K6" s="402"/>
      <c r="L6" s="402"/>
      <c r="M6" s="402"/>
      <c r="N6" s="402"/>
      <c r="O6" s="402"/>
      <c r="P6" s="402"/>
      <c r="Q6" s="402"/>
      <c r="R6" s="402"/>
      <c r="S6" s="402"/>
      <c r="T6" s="402"/>
      <c r="U6" s="402"/>
      <c r="V6" s="402"/>
      <c r="W6" s="402"/>
      <c r="X6" s="402"/>
      <c r="Y6" s="402"/>
      <c r="Z6" s="402"/>
    </row>
    <row r="7" ht="14.25" customHeight="1">
      <c r="A7" s="406">
        <v>45495.0</v>
      </c>
      <c r="B7" s="522" t="s">
        <v>3091</v>
      </c>
      <c r="C7" s="522" t="s">
        <v>3092</v>
      </c>
      <c r="D7" s="522" t="s">
        <v>54</v>
      </c>
      <c r="E7" s="522" t="s">
        <v>3093</v>
      </c>
      <c r="F7" s="567">
        <v>3510.0</v>
      </c>
      <c r="G7" s="413">
        <v>3510.0</v>
      </c>
      <c r="H7" s="349" t="s">
        <v>710</v>
      </c>
      <c r="I7" s="404" t="str">
        <f t="shared" si="1"/>
        <v>FULLY PAID</v>
      </c>
      <c r="J7" s="402"/>
      <c r="K7" s="402"/>
      <c r="L7" s="402"/>
      <c r="M7" s="402"/>
      <c r="N7" s="402"/>
      <c r="O7" s="402"/>
      <c r="P7" s="402"/>
      <c r="Q7" s="402"/>
      <c r="R7" s="402"/>
      <c r="S7" s="402"/>
      <c r="T7" s="402"/>
      <c r="U7" s="402"/>
      <c r="V7" s="402"/>
      <c r="W7" s="402"/>
      <c r="X7" s="402"/>
      <c r="Y7" s="402"/>
      <c r="Z7" s="402"/>
    </row>
    <row r="8" ht="14.25" customHeight="1">
      <c r="A8" s="406">
        <v>45495.0</v>
      </c>
      <c r="B8" s="522" t="s">
        <v>3094</v>
      </c>
      <c r="C8" s="522" t="s">
        <v>3095</v>
      </c>
      <c r="D8" s="522" t="s">
        <v>54</v>
      </c>
      <c r="E8" s="522" t="s">
        <v>3078</v>
      </c>
      <c r="F8" s="567">
        <v>850.0</v>
      </c>
      <c r="G8" s="413">
        <v>0.0</v>
      </c>
      <c r="H8" s="732" t="s">
        <v>3096</v>
      </c>
      <c r="I8" s="404" t="str">
        <f t="shared" si="1"/>
        <v>NOT PAID</v>
      </c>
      <c r="J8" s="402"/>
      <c r="K8" s="402"/>
      <c r="L8" s="402"/>
      <c r="M8" s="402"/>
      <c r="N8" s="402"/>
      <c r="O8" s="402"/>
      <c r="P8" s="402"/>
      <c r="Q8" s="402"/>
      <c r="R8" s="402"/>
      <c r="S8" s="402"/>
      <c r="T8" s="402"/>
      <c r="U8" s="402"/>
      <c r="V8" s="402"/>
      <c r="W8" s="402"/>
      <c r="X8" s="402"/>
      <c r="Y8" s="402"/>
      <c r="Z8" s="402"/>
    </row>
    <row r="9" ht="14.25" customHeight="1">
      <c r="A9" s="406">
        <v>45495.0</v>
      </c>
      <c r="B9" s="522" t="s">
        <v>652</v>
      </c>
      <c r="C9" s="522" t="s">
        <v>3097</v>
      </c>
      <c r="D9" s="522" t="s">
        <v>2010</v>
      </c>
      <c r="E9" s="522" t="s">
        <v>3093</v>
      </c>
      <c r="F9" s="567">
        <v>125850.0</v>
      </c>
      <c r="G9" s="413">
        <v>0.0</v>
      </c>
      <c r="H9" s="732" t="s">
        <v>3098</v>
      </c>
      <c r="I9" s="404" t="str">
        <f t="shared" si="1"/>
        <v>NOT PAID</v>
      </c>
      <c r="J9" s="402"/>
      <c r="K9" s="402"/>
      <c r="L9" s="402"/>
      <c r="M9" s="402"/>
      <c r="N9" s="402"/>
      <c r="O9" s="402"/>
      <c r="P9" s="402"/>
      <c r="Q9" s="402"/>
      <c r="R9" s="402"/>
      <c r="S9" s="402"/>
      <c r="T9" s="402"/>
      <c r="U9" s="402"/>
      <c r="V9" s="402"/>
      <c r="W9" s="402"/>
      <c r="X9" s="402"/>
      <c r="Y9" s="402"/>
      <c r="Z9" s="402"/>
    </row>
    <row r="10" ht="14.25" customHeight="1">
      <c r="A10" s="406">
        <v>45495.0</v>
      </c>
      <c r="B10" s="522" t="s">
        <v>3099</v>
      </c>
      <c r="C10" s="522" t="s">
        <v>3100</v>
      </c>
      <c r="D10" s="522" t="s">
        <v>54</v>
      </c>
      <c r="E10" s="522" t="s">
        <v>3101</v>
      </c>
      <c r="F10" s="567">
        <v>116800.0</v>
      </c>
      <c r="G10" s="413">
        <v>0.0</v>
      </c>
      <c r="H10" s="732" t="s">
        <v>2320</v>
      </c>
      <c r="I10" s="404" t="str">
        <f t="shared" si="1"/>
        <v>NOT PAID</v>
      </c>
      <c r="J10" s="402"/>
      <c r="K10" s="402"/>
      <c r="L10" s="402"/>
      <c r="M10" s="402"/>
      <c r="N10" s="402"/>
      <c r="O10" s="402"/>
      <c r="P10" s="402"/>
      <c r="Q10" s="402"/>
      <c r="R10" s="402"/>
      <c r="S10" s="402"/>
      <c r="T10" s="402"/>
      <c r="U10" s="402"/>
      <c r="V10" s="402"/>
      <c r="W10" s="402"/>
      <c r="X10" s="402"/>
      <c r="Y10" s="402"/>
      <c r="Z10" s="402"/>
    </row>
    <row r="11" ht="14.25" customHeight="1">
      <c r="A11" s="406">
        <v>45495.0</v>
      </c>
      <c r="B11" s="349" t="s">
        <v>3102</v>
      </c>
      <c r="C11" s="349" t="s">
        <v>3103</v>
      </c>
      <c r="D11" s="349" t="s">
        <v>54</v>
      </c>
      <c r="E11" s="522" t="s">
        <v>3101</v>
      </c>
      <c r="F11" s="413">
        <v>20000.0</v>
      </c>
      <c r="G11" s="413">
        <v>20000.0</v>
      </c>
      <c r="H11" s="349" t="s">
        <v>3104</v>
      </c>
      <c r="I11" s="404" t="str">
        <f t="shared" si="1"/>
        <v>FULLY PAID</v>
      </c>
      <c r="J11" s="402"/>
      <c r="K11" s="402"/>
      <c r="L11" s="402"/>
      <c r="M11" s="402"/>
      <c r="N11" s="402"/>
      <c r="O11" s="402"/>
      <c r="P11" s="402"/>
      <c r="Q11" s="402"/>
      <c r="R11" s="402"/>
      <c r="S11" s="402"/>
      <c r="T11" s="402"/>
      <c r="U11" s="402"/>
      <c r="V11" s="402"/>
      <c r="W11" s="402"/>
      <c r="X11" s="402"/>
      <c r="Y11" s="402"/>
      <c r="Z11" s="402"/>
    </row>
    <row r="12" ht="14.25" customHeight="1">
      <c r="A12" s="406">
        <v>45495.0</v>
      </c>
      <c r="B12" s="349" t="s">
        <v>3105</v>
      </c>
      <c r="C12" s="349" t="s">
        <v>3106</v>
      </c>
      <c r="D12" s="349" t="s">
        <v>54</v>
      </c>
      <c r="E12" s="349" t="s">
        <v>3078</v>
      </c>
      <c r="F12" s="413">
        <v>4200.0</v>
      </c>
      <c r="G12" s="413">
        <v>4200.0</v>
      </c>
      <c r="H12" s="349" t="s">
        <v>3104</v>
      </c>
      <c r="I12" s="404" t="str">
        <f t="shared" si="1"/>
        <v>FULLY PAID</v>
      </c>
      <c r="J12" s="402"/>
      <c r="K12" s="402"/>
      <c r="L12" s="402"/>
      <c r="M12" s="402"/>
      <c r="N12" s="402"/>
      <c r="O12" s="402"/>
      <c r="P12" s="402"/>
      <c r="Q12" s="402"/>
      <c r="R12" s="402"/>
      <c r="S12" s="402"/>
      <c r="T12" s="402"/>
      <c r="U12" s="402"/>
      <c r="V12" s="402"/>
      <c r="W12" s="402"/>
      <c r="X12" s="402"/>
      <c r="Y12" s="402"/>
      <c r="Z12" s="402"/>
    </row>
    <row r="13" ht="14.25" customHeight="1">
      <c r="A13" s="406">
        <v>45495.0</v>
      </c>
      <c r="B13" s="349" t="s">
        <v>3107</v>
      </c>
      <c r="C13" s="349" t="s">
        <v>3108</v>
      </c>
      <c r="D13" s="349" t="s">
        <v>54</v>
      </c>
      <c r="E13" s="349" t="s">
        <v>3101</v>
      </c>
      <c r="F13" s="413">
        <v>10900.0</v>
      </c>
      <c r="G13" s="413">
        <v>0.0</v>
      </c>
      <c r="H13" s="732" t="s">
        <v>3096</v>
      </c>
      <c r="I13" s="404" t="str">
        <f t="shared" si="1"/>
        <v>NOT PAID</v>
      </c>
      <c r="J13" s="402"/>
      <c r="K13" s="402"/>
      <c r="L13" s="402"/>
      <c r="M13" s="402"/>
      <c r="N13" s="402"/>
      <c r="O13" s="402"/>
      <c r="P13" s="402"/>
      <c r="Q13" s="402"/>
      <c r="R13" s="402"/>
      <c r="S13" s="402"/>
      <c r="T13" s="402"/>
      <c r="U13" s="402"/>
      <c r="V13" s="402"/>
      <c r="W13" s="402"/>
      <c r="X13" s="402"/>
      <c r="Y13" s="402"/>
      <c r="Z13" s="402"/>
    </row>
    <row r="14" ht="14.25" customHeight="1">
      <c r="A14" s="406">
        <v>45495.0</v>
      </c>
      <c r="B14" s="522" t="s">
        <v>3109</v>
      </c>
      <c r="C14" s="522" t="s">
        <v>3110</v>
      </c>
      <c r="D14" s="522" t="s">
        <v>54</v>
      </c>
      <c r="E14" s="522" t="s">
        <v>3101</v>
      </c>
      <c r="F14" s="733">
        <v>6400.0</v>
      </c>
      <c r="G14" s="413">
        <v>6400.0</v>
      </c>
      <c r="H14" s="349" t="s">
        <v>710</v>
      </c>
      <c r="I14" s="404" t="str">
        <f t="shared" si="1"/>
        <v>FULLY PAID</v>
      </c>
      <c r="J14" s="402"/>
      <c r="K14" s="402"/>
      <c r="L14" s="402"/>
      <c r="M14" s="402"/>
      <c r="N14" s="402"/>
      <c r="O14" s="402"/>
      <c r="P14" s="402"/>
      <c r="Q14" s="402"/>
      <c r="R14" s="402"/>
      <c r="S14" s="402"/>
      <c r="T14" s="402"/>
      <c r="U14" s="402"/>
      <c r="V14" s="402"/>
      <c r="W14" s="402"/>
      <c r="X14" s="402"/>
      <c r="Y14" s="402"/>
      <c r="Z14" s="402"/>
    </row>
    <row r="15" ht="14.25" customHeight="1">
      <c r="A15" s="406">
        <v>45495.0</v>
      </c>
      <c r="B15" s="522" t="s">
        <v>3111</v>
      </c>
      <c r="C15" s="522" t="s">
        <v>3112</v>
      </c>
      <c r="D15" s="522" t="s">
        <v>54</v>
      </c>
      <c r="E15" s="522" t="s">
        <v>3078</v>
      </c>
      <c r="F15" s="567">
        <v>750.0</v>
      </c>
      <c r="G15" s="413">
        <v>750.0</v>
      </c>
      <c r="H15" s="349" t="s">
        <v>710</v>
      </c>
      <c r="I15" s="404" t="str">
        <f t="shared" si="1"/>
        <v>FULLY PAID</v>
      </c>
      <c r="J15" s="402"/>
      <c r="K15" s="402"/>
      <c r="L15" s="402"/>
      <c r="M15" s="402"/>
      <c r="N15" s="402"/>
      <c r="O15" s="402"/>
      <c r="P15" s="402"/>
      <c r="Q15" s="402"/>
      <c r="R15" s="402"/>
      <c r="S15" s="402"/>
      <c r="T15" s="402"/>
      <c r="U15" s="402"/>
      <c r="V15" s="402"/>
      <c r="W15" s="402"/>
      <c r="X15" s="402"/>
      <c r="Y15" s="402"/>
      <c r="Z15" s="402"/>
    </row>
    <row r="16" ht="14.25" customHeight="1">
      <c r="A16" s="406">
        <v>45495.0</v>
      </c>
      <c r="B16" s="522" t="s">
        <v>3113</v>
      </c>
      <c r="C16" s="522" t="s">
        <v>3114</v>
      </c>
      <c r="D16" s="522" t="s">
        <v>54</v>
      </c>
      <c r="E16" s="522" t="s">
        <v>3115</v>
      </c>
      <c r="F16" s="567">
        <v>261000.0</v>
      </c>
      <c r="G16" s="413">
        <v>261255.0</v>
      </c>
      <c r="H16" s="349" t="s">
        <v>1462</v>
      </c>
      <c r="I16" s="404" t="str">
        <f t="shared" si="1"/>
        <v>FULLY PAID</v>
      </c>
      <c r="J16" s="402"/>
      <c r="K16" s="402"/>
      <c r="L16" s="402"/>
      <c r="M16" s="402"/>
      <c r="N16" s="402"/>
      <c r="O16" s="402"/>
      <c r="P16" s="402"/>
      <c r="Q16" s="402"/>
      <c r="R16" s="402"/>
      <c r="S16" s="402"/>
      <c r="T16" s="402"/>
      <c r="U16" s="402"/>
      <c r="V16" s="402"/>
      <c r="W16" s="402"/>
      <c r="X16" s="402"/>
      <c r="Y16" s="402"/>
      <c r="Z16" s="402"/>
    </row>
    <row r="17" ht="14.25" customHeight="1">
      <c r="A17" s="406">
        <v>45495.0</v>
      </c>
      <c r="B17" s="522" t="s">
        <v>3116</v>
      </c>
      <c r="C17" s="522" t="s">
        <v>3117</v>
      </c>
      <c r="D17" s="522" t="s">
        <v>75</v>
      </c>
      <c r="E17" s="522" t="s">
        <v>3115</v>
      </c>
      <c r="F17" s="567">
        <v>69000.0</v>
      </c>
      <c r="G17" s="413">
        <v>69000.0</v>
      </c>
      <c r="H17" s="349" t="s">
        <v>710</v>
      </c>
      <c r="I17" s="404" t="str">
        <f t="shared" si="1"/>
        <v>FULLY PAID</v>
      </c>
      <c r="J17" s="402"/>
      <c r="K17" s="402"/>
      <c r="L17" s="402"/>
      <c r="M17" s="402"/>
      <c r="N17" s="402"/>
      <c r="O17" s="402"/>
      <c r="P17" s="402"/>
      <c r="Q17" s="402"/>
      <c r="R17" s="402"/>
      <c r="S17" s="402"/>
      <c r="T17" s="402"/>
      <c r="U17" s="402"/>
      <c r="V17" s="402"/>
      <c r="W17" s="402"/>
      <c r="X17" s="402"/>
      <c r="Y17" s="402"/>
      <c r="Z17" s="402"/>
    </row>
    <row r="18" ht="14.25" customHeight="1">
      <c r="A18" s="406">
        <v>45495.0</v>
      </c>
      <c r="B18" s="349" t="s">
        <v>3118</v>
      </c>
      <c r="C18" s="349" t="s">
        <v>3119</v>
      </c>
      <c r="D18" s="349" t="s">
        <v>54</v>
      </c>
      <c r="E18" s="522" t="s">
        <v>3115</v>
      </c>
      <c r="F18" s="413">
        <v>20000.0</v>
      </c>
      <c r="G18" s="413">
        <v>20000.0</v>
      </c>
      <c r="H18" s="349" t="s">
        <v>267</v>
      </c>
      <c r="I18" s="404" t="str">
        <f t="shared" si="1"/>
        <v>FULLY PAID</v>
      </c>
      <c r="J18" s="402"/>
      <c r="K18" s="402"/>
      <c r="L18" s="402"/>
      <c r="M18" s="402"/>
      <c r="N18" s="402"/>
      <c r="O18" s="402"/>
      <c r="P18" s="402"/>
      <c r="Q18" s="402"/>
      <c r="R18" s="402"/>
      <c r="S18" s="402"/>
      <c r="T18" s="402"/>
      <c r="U18" s="402"/>
      <c r="V18" s="402"/>
      <c r="W18" s="402"/>
      <c r="X18" s="402"/>
      <c r="Y18" s="402"/>
      <c r="Z18" s="402"/>
    </row>
    <row r="19" ht="14.25" customHeight="1">
      <c r="A19" s="406">
        <v>45495.0</v>
      </c>
      <c r="B19" s="349" t="s">
        <v>3120</v>
      </c>
      <c r="C19" s="349" t="s">
        <v>3121</v>
      </c>
      <c r="D19" s="349" t="s">
        <v>54</v>
      </c>
      <c r="E19" s="349" t="s">
        <v>3078</v>
      </c>
      <c r="F19" s="413">
        <v>18920.0</v>
      </c>
      <c r="G19" s="413">
        <v>18920.0</v>
      </c>
      <c r="H19" s="349" t="s">
        <v>710</v>
      </c>
      <c r="I19" s="404" t="str">
        <f t="shared" si="1"/>
        <v>FULLY PAID</v>
      </c>
      <c r="J19" s="402"/>
      <c r="K19" s="402"/>
      <c r="L19" s="402"/>
      <c r="M19" s="402"/>
      <c r="N19" s="402"/>
      <c r="O19" s="402"/>
      <c r="P19" s="402"/>
      <c r="Q19" s="402"/>
      <c r="R19" s="402"/>
      <c r="S19" s="402"/>
      <c r="T19" s="402"/>
      <c r="U19" s="402"/>
      <c r="V19" s="402"/>
      <c r="W19" s="402"/>
      <c r="X19" s="402"/>
      <c r="Y19" s="402"/>
      <c r="Z19" s="402"/>
    </row>
    <row r="20" ht="14.25" customHeight="1">
      <c r="A20" s="406">
        <v>45495.0</v>
      </c>
      <c r="B20" s="349" t="s">
        <v>3122</v>
      </c>
      <c r="C20" s="349" t="s">
        <v>3123</v>
      </c>
      <c r="D20" s="349" t="s">
        <v>75</v>
      </c>
      <c r="E20" s="522" t="s">
        <v>3115</v>
      </c>
      <c r="F20" s="413">
        <v>74700.0</v>
      </c>
      <c r="G20" s="413">
        <v>74700.0</v>
      </c>
      <c r="H20" s="349" t="s">
        <v>710</v>
      </c>
      <c r="I20" s="404" t="str">
        <f t="shared" si="1"/>
        <v>FULLY PAID</v>
      </c>
      <c r="J20" s="402"/>
      <c r="K20" s="402"/>
      <c r="L20" s="402"/>
      <c r="M20" s="402"/>
      <c r="N20" s="402"/>
      <c r="O20" s="402"/>
      <c r="P20" s="402"/>
      <c r="Q20" s="402"/>
      <c r="R20" s="402"/>
      <c r="S20" s="402"/>
      <c r="T20" s="402"/>
      <c r="U20" s="402"/>
      <c r="V20" s="402"/>
      <c r="W20" s="402"/>
      <c r="X20" s="402"/>
      <c r="Y20" s="402"/>
      <c r="Z20" s="402"/>
    </row>
    <row r="21" ht="14.25" customHeight="1">
      <c r="A21" s="402"/>
      <c r="B21" s="402"/>
      <c r="C21" s="402"/>
      <c r="D21" s="402"/>
      <c r="E21" s="402"/>
      <c r="F21" s="403"/>
      <c r="G21" s="403"/>
      <c r="H21" s="402"/>
      <c r="I21" s="404"/>
      <c r="J21" s="402"/>
      <c r="K21" s="402"/>
      <c r="L21" s="402"/>
      <c r="M21" s="402"/>
      <c r="N21" s="402"/>
      <c r="O21" s="402"/>
      <c r="P21" s="402"/>
      <c r="Q21" s="402"/>
      <c r="R21" s="402"/>
      <c r="S21" s="402"/>
      <c r="T21" s="402"/>
      <c r="U21" s="402"/>
      <c r="V21" s="402"/>
      <c r="W21" s="402"/>
      <c r="X21" s="402"/>
      <c r="Y21" s="402"/>
      <c r="Z21" s="402"/>
    </row>
    <row r="22" ht="14.25" customHeight="1">
      <c r="A22" s="402"/>
      <c r="B22" s="402"/>
      <c r="C22" s="402"/>
      <c r="D22" s="402"/>
      <c r="E22" s="402"/>
      <c r="F22" s="403"/>
      <c r="G22" s="403"/>
      <c r="H22" s="402"/>
      <c r="I22" s="404"/>
      <c r="J22" s="402"/>
      <c r="K22" s="402"/>
      <c r="L22" s="402"/>
      <c r="M22" s="402"/>
      <c r="N22" s="402"/>
      <c r="O22" s="402"/>
      <c r="P22" s="402"/>
      <c r="Q22" s="402"/>
      <c r="R22" s="402"/>
      <c r="S22" s="402"/>
      <c r="T22" s="402"/>
      <c r="U22" s="402"/>
      <c r="V22" s="402"/>
      <c r="W22" s="402"/>
      <c r="X22" s="402"/>
      <c r="Y22" s="402"/>
      <c r="Z22" s="402"/>
    </row>
    <row r="23" ht="14.25" customHeight="1">
      <c r="A23" s="729" t="s">
        <v>47</v>
      </c>
      <c r="B23" s="730" t="s">
        <v>39</v>
      </c>
      <c r="C23" s="730" t="s">
        <v>3075</v>
      </c>
      <c r="D23" s="730" t="s">
        <v>49</v>
      </c>
      <c r="E23" s="730" t="s">
        <v>50</v>
      </c>
      <c r="F23" s="731" t="s">
        <v>2</v>
      </c>
      <c r="G23" s="731" t="s">
        <v>4</v>
      </c>
      <c r="H23" s="730" t="s">
        <v>45</v>
      </c>
      <c r="I23" s="404"/>
      <c r="J23" s="402"/>
      <c r="K23" s="402"/>
      <c r="L23" s="402"/>
      <c r="M23" s="402"/>
      <c r="N23" s="402"/>
      <c r="O23" s="402"/>
      <c r="P23" s="402"/>
      <c r="Q23" s="402"/>
      <c r="R23" s="402"/>
      <c r="S23" s="402"/>
      <c r="T23" s="402"/>
      <c r="U23" s="402"/>
      <c r="V23" s="402"/>
      <c r="W23" s="402"/>
      <c r="X23" s="402"/>
      <c r="Y23" s="402"/>
      <c r="Z23" s="402"/>
    </row>
    <row r="24" ht="14.25" customHeight="1">
      <c r="A24" s="406">
        <v>45496.0</v>
      </c>
      <c r="B24" s="522" t="s">
        <v>3076</v>
      </c>
      <c r="C24" s="522" t="s">
        <v>3077</v>
      </c>
      <c r="D24" s="522" t="s">
        <v>54</v>
      </c>
      <c r="E24" s="522" t="s">
        <v>3078</v>
      </c>
      <c r="F24" s="567">
        <v>1000.0</v>
      </c>
      <c r="G24" s="413"/>
      <c r="H24" s="349" t="s">
        <v>3124</v>
      </c>
      <c r="I24" s="404" t="str">
        <f t="shared" ref="I24:I45" si="2">IF(G24&gt;=F24,"FULLY PAID",IF(G24=0,"NOT PAID","PARTIALLY PAID"))</f>
        <v>NOT PAID</v>
      </c>
      <c r="J24" s="402"/>
      <c r="K24" s="402"/>
      <c r="L24" s="402"/>
      <c r="M24" s="402"/>
      <c r="N24" s="402"/>
      <c r="O24" s="402"/>
      <c r="P24" s="402"/>
      <c r="Q24" s="402"/>
      <c r="R24" s="402"/>
      <c r="S24" s="402"/>
      <c r="T24" s="402"/>
      <c r="U24" s="402"/>
      <c r="V24" s="402"/>
      <c r="W24" s="402"/>
      <c r="X24" s="402"/>
      <c r="Y24" s="402"/>
      <c r="Z24" s="402"/>
    </row>
    <row r="25" ht="14.25" customHeight="1">
      <c r="A25" s="406">
        <v>45496.0</v>
      </c>
      <c r="B25" s="522" t="s">
        <v>3080</v>
      </c>
      <c r="C25" s="522" t="s">
        <v>3081</v>
      </c>
      <c r="D25" s="522" t="s">
        <v>54</v>
      </c>
      <c r="E25" s="522" t="s">
        <v>3078</v>
      </c>
      <c r="F25" s="567">
        <v>66000.0</v>
      </c>
      <c r="G25" s="413"/>
      <c r="H25" s="349" t="s">
        <v>3124</v>
      </c>
      <c r="I25" s="404" t="str">
        <f t="shared" si="2"/>
        <v>NOT PAID</v>
      </c>
      <c r="J25" s="402"/>
      <c r="K25" s="402"/>
      <c r="L25" s="402"/>
      <c r="M25" s="402"/>
      <c r="N25" s="402"/>
      <c r="O25" s="402"/>
      <c r="P25" s="402"/>
      <c r="Q25" s="402"/>
      <c r="R25" s="402"/>
      <c r="S25" s="402"/>
      <c r="T25" s="402"/>
      <c r="U25" s="402"/>
      <c r="V25" s="402"/>
      <c r="W25" s="402"/>
      <c r="X25" s="402"/>
      <c r="Y25" s="402"/>
      <c r="Z25" s="402"/>
    </row>
    <row r="26" ht="14.25" customHeight="1">
      <c r="A26" s="406">
        <v>45496.0</v>
      </c>
      <c r="B26" s="522" t="s">
        <v>3083</v>
      </c>
      <c r="C26" s="522" t="s">
        <v>3084</v>
      </c>
      <c r="D26" s="522" t="s">
        <v>54</v>
      </c>
      <c r="E26" s="522" t="s">
        <v>3085</v>
      </c>
      <c r="F26" s="567">
        <v>2860.0</v>
      </c>
      <c r="G26" s="413"/>
      <c r="H26" s="349" t="s">
        <v>3124</v>
      </c>
      <c r="I26" s="404" t="str">
        <f t="shared" si="2"/>
        <v>NOT PAID</v>
      </c>
      <c r="J26" s="402"/>
      <c r="K26" s="402"/>
      <c r="L26" s="402"/>
      <c r="M26" s="402"/>
      <c r="N26" s="402"/>
      <c r="O26" s="402"/>
      <c r="P26" s="402"/>
      <c r="Q26" s="402"/>
      <c r="R26" s="402"/>
      <c r="S26" s="402"/>
      <c r="T26" s="402"/>
      <c r="U26" s="402"/>
      <c r="V26" s="402"/>
      <c r="W26" s="402"/>
      <c r="X26" s="402"/>
      <c r="Y26" s="402"/>
      <c r="Z26" s="402"/>
    </row>
    <row r="27" ht="14.25" customHeight="1">
      <c r="A27" s="406">
        <v>45496.0</v>
      </c>
      <c r="B27" s="522" t="s">
        <v>3087</v>
      </c>
      <c r="C27" s="522" t="s">
        <v>3088</v>
      </c>
      <c r="D27" s="522" t="s">
        <v>54</v>
      </c>
      <c r="E27" s="522" t="s">
        <v>3089</v>
      </c>
      <c r="F27" s="567">
        <v>20000.0</v>
      </c>
      <c r="G27" s="413"/>
      <c r="H27" s="349" t="s">
        <v>3124</v>
      </c>
      <c r="I27" s="404" t="str">
        <f t="shared" si="2"/>
        <v>NOT PAID</v>
      </c>
      <c r="J27" s="402"/>
      <c r="K27" s="402"/>
      <c r="L27" s="402"/>
      <c r="M27" s="402"/>
      <c r="N27" s="402"/>
      <c r="O27" s="402"/>
      <c r="P27" s="402"/>
      <c r="Q27" s="402"/>
      <c r="R27" s="402"/>
      <c r="S27" s="402"/>
      <c r="T27" s="402"/>
      <c r="U27" s="402"/>
      <c r="V27" s="402"/>
      <c r="W27" s="402"/>
      <c r="X27" s="402"/>
      <c r="Y27" s="402"/>
      <c r="Z27" s="402"/>
    </row>
    <row r="28" ht="14.25" customHeight="1">
      <c r="A28" s="406">
        <v>45496.0</v>
      </c>
      <c r="B28" s="522" t="s">
        <v>3091</v>
      </c>
      <c r="C28" s="522" t="s">
        <v>3092</v>
      </c>
      <c r="D28" s="522" t="s">
        <v>54</v>
      </c>
      <c r="E28" s="522" t="s">
        <v>3093</v>
      </c>
      <c r="F28" s="567">
        <v>3510.0</v>
      </c>
      <c r="G28" s="413"/>
      <c r="H28" s="349" t="s">
        <v>3124</v>
      </c>
      <c r="I28" s="404" t="str">
        <f t="shared" si="2"/>
        <v>NOT PAID</v>
      </c>
      <c r="J28" s="402"/>
      <c r="K28" s="402"/>
      <c r="L28" s="402"/>
      <c r="M28" s="402"/>
      <c r="N28" s="402"/>
      <c r="O28" s="402"/>
      <c r="P28" s="402"/>
      <c r="Q28" s="402"/>
      <c r="R28" s="402"/>
      <c r="S28" s="402"/>
      <c r="T28" s="402"/>
      <c r="U28" s="402"/>
      <c r="V28" s="402"/>
      <c r="W28" s="402"/>
      <c r="X28" s="402"/>
      <c r="Y28" s="402"/>
      <c r="Z28" s="402"/>
    </row>
    <row r="29" ht="14.25" customHeight="1">
      <c r="A29" s="406">
        <v>45496.0</v>
      </c>
      <c r="B29" s="522" t="s">
        <v>3094</v>
      </c>
      <c r="C29" s="522" t="s">
        <v>3095</v>
      </c>
      <c r="D29" s="522" t="s">
        <v>54</v>
      </c>
      <c r="E29" s="522" t="s">
        <v>3078</v>
      </c>
      <c r="F29" s="567">
        <v>850.0</v>
      </c>
      <c r="G29" s="413"/>
      <c r="H29" s="349" t="s">
        <v>3124</v>
      </c>
      <c r="I29" s="404" t="str">
        <f t="shared" si="2"/>
        <v>NOT PAID</v>
      </c>
      <c r="J29" s="402"/>
      <c r="K29" s="402"/>
      <c r="L29" s="402"/>
      <c r="M29" s="402"/>
      <c r="N29" s="402"/>
      <c r="O29" s="402"/>
      <c r="P29" s="402"/>
      <c r="Q29" s="402"/>
      <c r="R29" s="402"/>
      <c r="S29" s="402"/>
      <c r="T29" s="402"/>
      <c r="U29" s="402"/>
      <c r="V29" s="402"/>
      <c r="W29" s="402"/>
      <c r="X29" s="402"/>
      <c r="Y29" s="402"/>
      <c r="Z29" s="402"/>
    </row>
    <row r="30" ht="14.25" customHeight="1">
      <c r="A30" s="406">
        <v>45496.0</v>
      </c>
      <c r="B30" s="522" t="s">
        <v>652</v>
      </c>
      <c r="C30" s="522" t="s">
        <v>3097</v>
      </c>
      <c r="D30" s="522" t="s">
        <v>2010</v>
      </c>
      <c r="E30" s="522" t="s">
        <v>3093</v>
      </c>
      <c r="F30" s="567">
        <v>125850.0</v>
      </c>
      <c r="G30" s="413"/>
      <c r="H30" s="349" t="s">
        <v>3124</v>
      </c>
      <c r="I30" s="404" t="str">
        <f t="shared" si="2"/>
        <v>NOT PAID</v>
      </c>
      <c r="J30" s="402"/>
      <c r="K30" s="402"/>
      <c r="L30" s="402"/>
      <c r="M30" s="402"/>
      <c r="N30" s="402"/>
      <c r="O30" s="402"/>
      <c r="P30" s="402"/>
      <c r="Q30" s="402"/>
      <c r="R30" s="402"/>
      <c r="S30" s="402"/>
      <c r="T30" s="402"/>
      <c r="U30" s="402"/>
      <c r="V30" s="402"/>
      <c r="W30" s="402"/>
      <c r="X30" s="402"/>
      <c r="Y30" s="402"/>
      <c r="Z30" s="402"/>
    </row>
    <row r="31" ht="14.25" customHeight="1">
      <c r="A31" s="406">
        <v>45496.0</v>
      </c>
      <c r="B31" s="522" t="s">
        <v>3099</v>
      </c>
      <c r="C31" s="522" t="s">
        <v>3100</v>
      </c>
      <c r="D31" s="522" t="s">
        <v>54</v>
      </c>
      <c r="E31" s="522" t="s">
        <v>3101</v>
      </c>
      <c r="F31" s="567">
        <v>116800.0</v>
      </c>
      <c r="G31" s="413"/>
      <c r="H31" s="349" t="s">
        <v>3124</v>
      </c>
      <c r="I31" s="404" t="str">
        <f t="shared" si="2"/>
        <v>NOT PAID</v>
      </c>
      <c r="J31" s="402"/>
      <c r="K31" s="402"/>
      <c r="L31" s="402"/>
      <c r="M31" s="402"/>
      <c r="N31" s="402"/>
      <c r="O31" s="402"/>
      <c r="P31" s="402"/>
      <c r="Q31" s="402"/>
      <c r="R31" s="402"/>
      <c r="S31" s="402"/>
      <c r="T31" s="402"/>
      <c r="U31" s="402"/>
      <c r="V31" s="402"/>
      <c r="W31" s="402"/>
      <c r="X31" s="402"/>
      <c r="Y31" s="402"/>
      <c r="Z31" s="402"/>
    </row>
    <row r="32" ht="14.25" customHeight="1">
      <c r="A32" s="406">
        <v>45496.0</v>
      </c>
      <c r="B32" s="349" t="s">
        <v>3102</v>
      </c>
      <c r="C32" s="349" t="s">
        <v>3103</v>
      </c>
      <c r="D32" s="349" t="s">
        <v>54</v>
      </c>
      <c r="E32" s="522" t="s">
        <v>3101</v>
      </c>
      <c r="F32" s="413">
        <v>20000.0</v>
      </c>
      <c r="G32" s="413"/>
      <c r="H32" s="349" t="s">
        <v>3124</v>
      </c>
      <c r="I32" s="404" t="str">
        <f t="shared" si="2"/>
        <v>NOT PAID</v>
      </c>
      <c r="J32" s="402"/>
      <c r="K32" s="402"/>
      <c r="L32" s="402"/>
      <c r="M32" s="402"/>
      <c r="N32" s="402"/>
      <c r="O32" s="402"/>
      <c r="P32" s="402"/>
      <c r="Q32" s="402"/>
      <c r="R32" s="402"/>
      <c r="S32" s="402"/>
      <c r="T32" s="402"/>
      <c r="U32" s="402"/>
      <c r="V32" s="402"/>
      <c r="W32" s="402"/>
      <c r="X32" s="402"/>
      <c r="Y32" s="402"/>
      <c r="Z32" s="402"/>
    </row>
    <row r="33" ht="14.25" customHeight="1">
      <c r="A33" s="406">
        <v>45496.0</v>
      </c>
      <c r="B33" s="349" t="s">
        <v>3105</v>
      </c>
      <c r="C33" s="349" t="s">
        <v>3106</v>
      </c>
      <c r="D33" s="349" t="s">
        <v>54</v>
      </c>
      <c r="E33" s="349" t="s">
        <v>3078</v>
      </c>
      <c r="F33" s="413">
        <v>4200.0</v>
      </c>
      <c r="G33" s="413">
        <v>4200.0</v>
      </c>
      <c r="H33" s="349" t="s">
        <v>772</v>
      </c>
      <c r="I33" s="404" t="str">
        <f t="shared" si="2"/>
        <v>FULLY PAID</v>
      </c>
      <c r="J33" s="402"/>
      <c r="K33" s="402"/>
      <c r="L33" s="402"/>
      <c r="M33" s="402"/>
      <c r="N33" s="402"/>
      <c r="O33" s="402"/>
      <c r="P33" s="402"/>
      <c r="Q33" s="402"/>
      <c r="R33" s="402"/>
      <c r="S33" s="402"/>
      <c r="T33" s="402"/>
      <c r="U33" s="402"/>
      <c r="V33" s="402"/>
      <c r="W33" s="402"/>
      <c r="X33" s="402"/>
      <c r="Y33" s="402"/>
      <c r="Z33" s="402"/>
    </row>
    <row r="34" ht="14.25" customHeight="1">
      <c r="A34" s="406">
        <v>45496.0</v>
      </c>
      <c r="B34" s="349" t="s">
        <v>3107</v>
      </c>
      <c r="C34" s="349" t="s">
        <v>3108</v>
      </c>
      <c r="D34" s="349" t="s">
        <v>54</v>
      </c>
      <c r="E34" s="349" t="s">
        <v>3101</v>
      </c>
      <c r="F34" s="413">
        <v>10900.0</v>
      </c>
      <c r="G34" s="413"/>
      <c r="H34" s="349" t="s">
        <v>3124</v>
      </c>
      <c r="I34" s="404" t="str">
        <f t="shared" si="2"/>
        <v>NOT PAID</v>
      </c>
      <c r="J34" s="402"/>
      <c r="K34" s="402"/>
      <c r="L34" s="402"/>
      <c r="M34" s="402"/>
      <c r="N34" s="402"/>
      <c r="O34" s="402"/>
      <c r="P34" s="402"/>
      <c r="Q34" s="402"/>
      <c r="R34" s="402"/>
      <c r="S34" s="402"/>
      <c r="T34" s="402"/>
      <c r="U34" s="402"/>
      <c r="V34" s="402"/>
      <c r="W34" s="402"/>
      <c r="X34" s="402"/>
      <c r="Y34" s="402"/>
      <c r="Z34" s="402"/>
    </row>
    <row r="35" ht="14.25" customHeight="1">
      <c r="A35" s="406">
        <v>45496.0</v>
      </c>
      <c r="B35" s="522" t="s">
        <v>3109</v>
      </c>
      <c r="C35" s="522" t="s">
        <v>3110</v>
      </c>
      <c r="D35" s="522" t="s">
        <v>54</v>
      </c>
      <c r="E35" s="522" t="s">
        <v>3101</v>
      </c>
      <c r="F35" s="733">
        <v>6400.0</v>
      </c>
      <c r="G35" s="413"/>
      <c r="H35" s="349" t="s">
        <v>3124</v>
      </c>
      <c r="I35" s="404" t="str">
        <f t="shared" si="2"/>
        <v>NOT PAID</v>
      </c>
      <c r="J35" s="402"/>
      <c r="K35" s="402"/>
      <c r="L35" s="402"/>
      <c r="M35" s="402"/>
      <c r="N35" s="402"/>
      <c r="O35" s="402"/>
      <c r="P35" s="402"/>
      <c r="Q35" s="402"/>
      <c r="R35" s="402"/>
      <c r="S35" s="402"/>
      <c r="T35" s="402"/>
      <c r="U35" s="402"/>
      <c r="V35" s="402"/>
      <c r="W35" s="402"/>
      <c r="X35" s="402"/>
      <c r="Y35" s="402"/>
      <c r="Z35" s="402"/>
    </row>
    <row r="36" ht="14.25" customHeight="1">
      <c r="A36" s="406">
        <v>45496.0</v>
      </c>
      <c r="B36" s="522" t="s">
        <v>3111</v>
      </c>
      <c r="C36" s="522" t="s">
        <v>3112</v>
      </c>
      <c r="D36" s="522" t="s">
        <v>54</v>
      </c>
      <c r="E36" s="522" t="s">
        <v>3078</v>
      </c>
      <c r="F36" s="567">
        <v>750.0</v>
      </c>
      <c r="G36" s="413"/>
      <c r="H36" s="349" t="s">
        <v>3124</v>
      </c>
      <c r="I36" s="404" t="str">
        <f t="shared" si="2"/>
        <v>NOT PAID</v>
      </c>
      <c r="J36" s="402"/>
      <c r="K36" s="402"/>
      <c r="L36" s="402"/>
      <c r="M36" s="402"/>
      <c r="N36" s="402"/>
      <c r="O36" s="402"/>
      <c r="P36" s="402"/>
      <c r="Q36" s="402"/>
      <c r="R36" s="402"/>
      <c r="S36" s="402"/>
      <c r="T36" s="402"/>
      <c r="U36" s="402"/>
      <c r="V36" s="402"/>
      <c r="W36" s="402"/>
      <c r="X36" s="402"/>
      <c r="Y36" s="402"/>
      <c r="Z36" s="402"/>
    </row>
    <row r="37" ht="14.25" customHeight="1">
      <c r="A37" s="406">
        <v>45496.0</v>
      </c>
      <c r="B37" s="349" t="s">
        <v>3125</v>
      </c>
      <c r="C37" s="349" t="s">
        <v>3121</v>
      </c>
      <c r="D37" s="349" t="s">
        <v>467</v>
      </c>
      <c r="E37" s="522" t="s">
        <v>3078</v>
      </c>
      <c r="F37" s="413">
        <v>4200.0</v>
      </c>
      <c r="G37" s="413">
        <v>4200.0</v>
      </c>
      <c r="H37" s="349" t="s">
        <v>267</v>
      </c>
      <c r="I37" s="404" t="str">
        <f t="shared" si="2"/>
        <v>FULLY PAID</v>
      </c>
      <c r="J37" s="402"/>
      <c r="K37" s="402"/>
      <c r="L37" s="402"/>
      <c r="M37" s="402"/>
      <c r="N37" s="402"/>
      <c r="O37" s="402"/>
      <c r="P37" s="402"/>
      <c r="Q37" s="402"/>
      <c r="R37" s="402"/>
      <c r="S37" s="402"/>
      <c r="T37" s="402"/>
      <c r="U37" s="402"/>
      <c r="V37" s="402"/>
      <c r="W37" s="402"/>
      <c r="X37" s="402"/>
      <c r="Y37" s="402"/>
      <c r="Z37" s="402"/>
    </row>
    <row r="38" ht="14.25" customHeight="1">
      <c r="A38" s="406">
        <v>45496.0</v>
      </c>
      <c r="B38" s="349" t="s">
        <v>3116</v>
      </c>
      <c r="C38" s="349" t="s">
        <v>3117</v>
      </c>
      <c r="D38" s="349" t="s">
        <v>75</v>
      </c>
      <c r="E38" s="349" t="s">
        <v>3115</v>
      </c>
      <c r="F38" s="413">
        <v>69000.0</v>
      </c>
      <c r="G38" s="413">
        <v>35000.0</v>
      </c>
      <c r="H38" s="349" t="s">
        <v>3124</v>
      </c>
      <c r="I38" s="404" t="str">
        <f t="shared" si="2"/>
        <v>PARTIALLY PAID</v>
      </c>
      <c r="J38" s="402"/>
      <c r="K38" s="402"/>
      <c r="L38" s="402"/>
      <c r="M38" s="402"/>
      <c r="N38" s="402"/>
      <c r="O38" s="402"/>
      <c r="P38" s="402"/>
      <c r="Q38" s="402"/>
      <c r="R38" s="402"/>
      <c r="S38" s="402"/>
      <c r="T38" s="402"/>
      <c r="U38" s="402"/>
      <c r="V38" s="402"/>
      <c r="W38" s="402"/>
      <c r="X38" s="402"/>
      <c r="Y38" s="402"/>
      <c r="Z38" s="402"/>
    </row>
    <row r="39" ht="14.25" customHeight="1">
      <c r="A39" s="406">
        <v>45496.0</v>
      </c>
      <c r="B39" s="349" t="s">
        <v>3126</v>
      </c>
      <c r="C39" s="349" t="s">
        <v>3127</v>
      </c>
      <c r="D39" s="349" t="s">
        <v>54</v>
      </c>
      <c r="E39" s="349" t="s">
        <v>3115</v>
      </c>
      <c r="F39" s="413">
        <v>35833.0</v>
      </c>
      <c r="G39" s="413">
        <v>35833.0</v>
      </c>
      <c r="H39" s="349" t="s">
        <v>267</v>
      </c>
      <c r="I39" s="404" t="str">
        <f t="shared" si="2"/>
        <v>FULLY PAID</v>
      </c>
      <c r="J39" s="402"/>
      <c r="K39" s="402"/>
      <c r="L39" s="402"/>
      <c r="M39" s="402"/>
      <c r="N39" s="402"/>
      <c r="O39" s="402"/>
      <c r="P39" s="402"/>
      <c r="Q39" s="402"/>
      <c r="R39" s="402"/>
      <c r="S39" s="402"/>
      <c r="T39" s="402"/>
      <c r="U39" s="402"/>
      <c r="V39" s="402"/>
      <c r="W39" s="402"/>
      <c r="X39" s="402"/>
      <c r="Y39" s="402"/>
      <c r="Z39" s="402"/>
    </row>
    <row r="40" ht="14.25" customHeight="1">
      <c r="A40" s="406">
        <v>45496.0</v>
      </c>
      <c r="B40" s="349" t="s">
        <v>3120</v>
      </c>
      <c r="C40" s="349" t="s">
        <v>3121</v>
      </c>
      <c r="D40" s="349" t="s">
        <v>54</v>
      </c>
      <c r="E40" s="522" t="s">
        <v>3078</v>
      </c>
      <c r="F40" s="413">
        <v>18920.0</v>
      </c>
      <c r="G40" s="413">
        <v>18950.0</v>
      </c>
      <c r="H40" s="349" t="s">
        <v>267</v>
      </c>
      <c r="I40" s="404" t="str">
        <f t="shared" si="2"/>
        <v>FULLY PAID</v>
      </c>
      <c r="J40" s="402"/>
      <c r="K40" s="402"/>
      <c r="L40" s="402"/>
      <c r="M40" s="402"/>
      <c r="N40" s="402"/>
      <c r="O40" s="402"/>
      <c r="P40" s="402"/>
      <c r="Q40" s="402"/>
      <c r="R40" s="402"/>
      <c r="S40" s="402"/>
      <c r="T40" s="402"/>
      <c r="U40" s="402"/>
      <c r="V40" s="402"/>
      <c r="W40" s="402"/>
      <c r="X40" s="402"/>
      <c r="Y40" s="402"/>
      <c r="Z40" s="402"/>
    </row>
    <row r="41" ht="14.25" customHeight="1">
      <c r="A41" s="406">
        <v>45496.0</v>
      </c>
      <c r="B41" s="349" t="s">
        <v>3122</v>
      </c>
      <c r="C41" s="349" t="s">
        <v>3123</v>
      </c>
      <c r="D41" s="349" t="s">
        <v>75</v>
      </c>
      <c r="E41" s="349" t="s">
        <v>3115</v>
      </c>
      <c r="F41" s="413">
        <v>74700.0</v>
      </c>
      <c r="G41" s="413"/>
      <c r="H41" s="349" t="s">
        <v>3124</v>
      </c>
      <c r="I41" s="404" t="str">
        <f t="shared" si="2"/>
        <v>NOT PAID</v>
      </c>
      <c r="J41" s="402"/>
      <c r="K41" s="402"/>
      <c r="L41" s="402"/>
      <c r="M41" s="402"/>
      <c r="N41" s="402"/>
      <c r="O41" s="402"/>
      <c r="P41" s="402"/>
      <c r="Q41" s="402"/>
      <c r="R41" s="402"/>
      <c r="S41" s="402"/>
      <c r="T41" s="402"/>
      <c r="U41" s="402"/>
      <c r="V41" s="402"/>
      <c r="W41" s="402"/>
      <c r="X41" s="402"/>
      <c r="Y41" s="402"/>
      <c r="Z41" s="402"/>
    </row>
    <row r="42" ht="14.25" customHeight="1">
      <c r="A42" s="406">
        <v>45496.0</v>
      </c>
      <c r="B42" s="349" t="s">
        <v>3128</v>
      </c>
      <c r="C42" s="349" t="s">
        <v>3129</v>
      </c>
      <c r="D42" s="349" t="s">
        <v>54</v>
      </c>
      <c r="E42" s="349" t="s">
        <v>3115</v>
      </c>
      <c r="F42" s="413">
        <v>25800.0</v>
      </c>
      <c r="G42" s="403"/>
      <c r="H42" s="349" t="s">
        <v>3124</v>
      </c>
      <c r="I42" s="404" t="str">
        <f t="shared" si="2"/>
        <v>NOT PAID</v>
      </c>
      <c r="J42" s="402"/>
      <c r="K42" s="402"/>
      <c r="L42" s="402"/>
      <c r="M42" s="402"/>
      <c r="N42" s="402"/>
      <c r="O42" s="402"/>
      <c r="P42" s="402"/>
      <c r="Q42" s="402"/>
      <c r="R42" s="402"/>
      <c r="S42" s="402"/>
      <c r="T42" s="402"/>
      <c r="U42" s="402"/>
      <c r="V42" s="402"/>
      <c r="W42" s="402"/>
      <c r="X42" s="402"/>
      <c r="Y42" s="402"/>
      <c r="Z42" s="402"/>
    </row>
    <row r="43" ht="14.25" customHeight="1">
      <c r="A43" s="406">
        <v>45496.0</v>
      </c>
      <c r="B43" s="417" t="s">
        <v>3130</v>
      </c>
      <c r="C43" s="408" t="s">
        <v>3131</v>
      </c>
      <c r="D43" s="349" t="s">
        <v>75</v>
      </c>
      <c r="E43" s="349" t="s">
        <v>3078</v>
      </c>
      <c r="F43" s="567">
        <v>180086.84</v>
      </c>
      <c r="G43" s="403"/>
      <c r="H43" s="349" t="s">
        <v>3124</v>
      </c>
      <c r="I43" s="404" t="str">
        <f t="shared" si="2"/>
        <v>NOT PAID</v>
      </c>
      <c r="J43" s="402"/>
      <c r="K43" s="402"/>
      <c r="L43" s="402"/>
      <c r="M43" s="402"/>
      <c r="N43" s="402"/>
      <c r="O43" s="402"/>
      <c r="P43" s="402"/>
      <c r="Q43" s="402"/>
      <c r="R43" s="402"/>
      <c r="S43" s="402"/>
      <c r="T43" s="402"/>
      <c r="U43" s="402"/>
      <c r="V43" s="402"/>
      <c r="W43" s="402"/>
      <c r="X43" s="402"/>
      <c r="Y43" s="402"/>
      <c r="Z43" s="402"/>
    </row>
    <row r="44" ht="14.25" customHeight="1">
      <c r="A44" s="406">
        <v>45496.0</v>
      </c>
      <c r="B44" s="417" t="s">
        <v>3132</v>
      </c>
      <c r="C44" s="418" t="s">
        <v>3133</v>
      </c>
      <c r="D44" s="522" t="s">
        <v>75</v>
      </c>
      <c r="E44" s="522" t="s">
        <v>3101</v>
      </c>
      <c r="F44" s="567">
        <v>151240.26</v>
      </c>
      <c r="G44" s="403"/>
      <c r="H44" s="349" t="s">
        <v>3124</v>
      </c>
      <c r="I44" s="404" t="str">
        <f t="shared" si="2"/>
        <v>NOT PAID</v>
      </c>
      <c r="J44" s="402"/>
      <c r="K44" s="402"/>
      <c r="L44" s="402"/>
      <c r="M44" s="402"/>
      <c r="N44" s="402"/>
      <c r="O44" s="402"/>
      <c r="P44" s="402"/>
      <c r="Q44" s="402"/>
      <c r="R44" s="402"/>
      <c r="S44" s="402"/>
      <c r="T44" s="402"/>
      <c r="U44" s="402"/>
      <c r="V44" s="402"/>
      <c r="W44" s="402"/>
      <c r="X44" s="402"/>
      <c r="Y44" s="402"/>
      <c r="Z44" s="402"/>
    </row>
    <row r="45" ht="14.25" customHeight="1">
      <c r="A45" s="406">
        <v>45496.0</v>
      </c>
      <c r="B45" s="732" t="s">
        <v>3134</v>
      </c>
      <c r="C45" s="734" t="s">
        <v>3135</v>
      </c>
      <c r="D45" s="349" t="s">
        <v>54</v>
      </c>
      <c r="E45" s="349" t="s">
        <v>3078</v>
      </c>
      <c r="F45" s="413">
        <v>12000.0</v>
      </c>
      <c r="G45" s="403"/>
      <c r="H45" s="349" t="s">
        <v>3124</v>
      </c>
      <c r="I45" s="404" t="str">
        <f t="shared" si="2"/>
        <v>NOT PAID</v>
      </c>
      <c r="J45" s="402"/>
      <c r="K45" s="402"/>
      <c r="L45" s="402"/>
      <c r="M45" s="402"/>
      <c r="N45" s="402"/>
      <c r="O45" s="402"/>
      <c r="P45" s="402"/>
      <c r="Q45" s="402"/>
      <c r="R45" s="402"/>
      <c r="S45" s="402"/>
      <c r="T45" s="402"/>
      <c r="U45" s="402"/>
      <c r="V45" s="402"/>
      <c r="W45" s="402"/>
      <c r="X45" s="402"/>
      <c r="Y45" s="402"/>
      <c r="Z45" s="402"/>
    </row>
    <row r="46" ht="14.25" customHeight="1">
      <c r="A46" s="402"/>
      <c r="B46" s="402"/>
      <c r="C46" s="402"/>
      <c r="D46" s="402"/>
      <c r="E46" s="402"/>
      <c r="F46" s="403"/>
      <c r="G46" s="403"/>
      <c r="H46" s="402"/>
      <c r="I46" s="404"/>
      <c r="J46" s="402"/>
      <c r="K46" s="402"/>
      <c r="L46" s="402"/>
      <c r="M46" s="402"/>
      <c r="N46" s="402"/>
      <c r="O46" s="402"/>
      <c r="P46" s="402"/>
      <c r="Q46" s="402"/>
      <c r="R46" s="402"/>
      <c r="S46" s="402"/>
      <c r="T46" s="402"/>
      <c r="U46" s="402"/>
      <c r="V46" s="402"/>
      <c r="W46" s="402"/>
      <c r="X46" s="402"/>
      <c r="Y46" s="402"/>
      <c r="Z46" s="402"/>
    </row>
    <row r="47" ht="14.25" customHeight="1">
      <c r="A47" s="729" t="s">
        <v>47</v>
      </c>
      <c r="B47" s="730" t="s">
        <v>39</v>
      </c>
      <c r="C47" s="730" t="s">
        <v>3075</v>
      </c>
      <c r="D47" s="730" t="s">
        <v>49</v>
      </c>
      <c r="E47" s="730" t="s">
        <v>50</v>
      </c>
      <c r="F47" s="731" t="s">
        <v>2</v>
      </c>
      <c r="G47" s="731" t="s">
        <v>4</v>
      </c>
      <c r="H47" s="730" t="s">
        <v>45</v>
      </c>
      <c r="I47" s="404"/>
      <c r="J47" s="402"/>
      <c r="K47" s="402"/>
      <c r="L47" s="402"/>
      <c r="M47" s="402"/>
      <c r="N47" s="402"/>
      <c r="O47" s="402"/>
      <c r="P47" s="402"/>
      <c r="Q47" s="402"/>
      <c r="R47" s="402"/>
      <c r="S47" s="402"/>
      <c r="T47" s="402"/>
      <c r="U47" s="402"/>
      <c r="V47" s="402"/>
      <c r="W47" s="402"/>
      <c r="X47" s="402"/>
      <c r="Y47" s="402"/>
      <c r="Z47" s="402"/>
    </row>
    <row r="48" ht="14.25" customHeight="1">
      <c r="A48" s="406">
        <v>45497.0</v>
      </c>
      <c r="B48" s="522" t="s">
        <v>3076</v>
      </c>
      <c r="C48" s="522" t="s">
        <v>3077</v>
      </c>
      <c r="D48" s="522" t="s">
        <v>54</v>
      </c>
      <c r="E48" s="522" t="s">
        <v>3078</v>
      </c>
      <c r="F48" s="567">
        <v>1000.0</v>
      </c>
      <c r="G48" s="413">
        <v>0.0</v>
      </c>
      <c r="H48" s="349" t="s">
        <v>3124</v>
      </c>
      <c r="I48" s="404" t="str">
        <f t="shared" ref="I48:I68" si="3">IF(G48&gt;=F48,"FULLY PAID",IF(G48=0,"NOT PAID","PARTIALLY PAID"))</f>
        <v>NOT PAID</v>
      </c>
      <c r="J48" s="402"/>
      <c r="K48" s="402"/>
      <c r="L48" s="402"/>
      <c r="M48" s="402"/>
      <c r="N48" s="402"/>
      <c r="O48" s="402"/>
      <c r="P48" s="402"/>
      <c r="Q48" s="402"/>
      <c r="R48" s="402"/>
      <c r="S48" s="402"/>
      <c r="T48" s="402"/>
      <c r="U48" s="402"/>
      <c r="V48" s="402"/>
      <c r="W48" s="402"/>
      <c r="X48" s="402"/>
      <c r="Y48" s="402"/>
      <c r="Z48" s="402"/>
    </row>
    <row r="49" ht="14.25" customHeight="1">
      <c r="A49" s="406">
        <v>45497.0</v>
      </c>
      <c r="B49" s="522" t="s">
        <v>3083</v>
      </c>
      <c r="C49" s="522" t="s">
        <v>3084</v>
      </c>
      <c r="D49" s="522" t="s">
        <v>54</v>
      </c>
      <c r="E49" s="522" t="s">
        <v>3085</v>
      </c>
      <c r="F49" s="567">
        <v>2860.0</v>
      </c>
      <c r="G49" s="413">
        <v>0.0</v>
      </c>
      <c r="H49" s="349" t="s">
        <v>3124</v>
      </c>
      <c r="I49" s="404" t="str">
        <f t="shared" si="3"/>
        <v>NOT PAID</v>
      </c>
      <c r="J49" s="402"/>
      <c r="K49" s="402"/>
      <c r="L49" s="402"/>
      <c r="M49" s="402"/>
      <c r="N49" s="402"/>
      <c r="O49" s="402"/>
      <c r="P49" s="402"/>
      <c r="Q49" s="402"/>
      <c r="R49" s="402"/>
      <c r="S49" s="402"/>
      <c r="T49" s="402"/>
      <c r="U49" s="402"/>
      <c r="V49" s="402"/>
      <c r="W49" s="402"/>
      <c r="X49" s="402"/>
      <c r="Y49" s="402"/>
      <c r="Z49" s="402"/>
    </row>
    <row r="50" ht="14.25" customHeight="1">
      <c r="A50" s="406">
        <v>45497.0</v>
      </c>
      <c r="B50" s="522" t="s">
        <v>3087</v>
      </c>
      <c r="C50" s="522" t="s">
        <v>3088</v>
      </c>
      <c r="D50" s="522" t="s">
        <v>54</v>
      </c>
      <c r="E50" s="522" t="s">
        <v>3089</v>
      </c>
      <c r="F50" s="567">
        <v>20000.0</v>
      </c>
      <c r="G50" s="413">
        <v>0.0</v>
      </c>
      <c r="H50" s="349" t="s">
        <v>3124</v>
      </c>
      <c r="I50" s="404" t="str">
        <f t="shared" si="3"/>
        <v>NOT PAID</v>
      </c>
      <c r="J50" s="402"/>
      <c r="K50" s="402"/>
      <c r="L50" s="402"/>
      <c r="M50" s="402"/>
      <c r="N50" s="402"/>
      <c r="O50" s="402"/>
      <c r="P50" s="402"/>
      <c r="Q50" s="402"/>
      <c r="R50" s="402"/>
      <c r="S50" s="402"/>
      <c r="T50" s="402"/>
      <c r="U50" s="402"/>
      <c r="V50" s="402"/>
      <c r="W50" s="402"/>
      <c r="X50" s="402"/>
      <c r="Y50" s="402"/>
      <c r="Z50" s="402"/>
    </row>
    <row r="51" ht="14.25" customHeight="1">
      <c r="A51" s="406">
        <v>45497.0</v>
      </c>
      <c r="B51" s="522" t="s">
        <v>3091</v>
      </c>
      <c r="C51" s="522" t="s">
        <v>3092</v>
      </c>
      <c r="D51" s="522" t="s">
        <v>54</v>
      </c>
      <c r="E51" s="522" t="s">
        <v>3093</v>
      </c>
      <c r="F51" s="567">
        <v>3510.0</v>
      </c>
      <c r="G51" s="413">
        <v>0.0</v>
      </c>
      <c r="H51" s="349" t="s">
        <v>3124</v>
      </c>
      <c r="I51" s="404" t="str">
        <f t="shared" si="3"/>
        <v>NOT PAID</v>
      </c>
      <c r="J51" s="402"/>
      <c r="K51" s="402"/>
      <c r="L51" s="402"/>
      <c r="M51" s="402"/>
      <c r="N51" s="402"/>
      <c r="O51" s="402"/>
      <c r="P51" s="402"/>
      <c r="Q51" s="402"/>
      <c r="R51" s="402"/>
      <c r="S51" s="402"/>
      <c r="T51" s="402"/>
      <c r="U51" s="402"/>
      <c r="V51" s="402"/>
      <c r="W51" s="402"/>
      <c r="X51" s="402"/>
      <c r="Y51" s="402"/>
      <c r="Z51" s="402"/>
    </row>
    <row r="52" ht="14.25" customHeight="1">
      <c r="A52" s="406">
        <v>45497.0</v>
      </c>
      <c r="B52" s="522" t="s">
        <v>3094</v>
      </c>
      <c r="C52" s="522" t="s">
        <v>3095</v>
      </c>
      <c r="D52" s="522" t="s">
        <v>54</v>
      </c>
      <c r="E52" s="522" t="s">
        <v>3078</v>
      </c>
      <c r="F52" s="567">
        <v>850.0</v>
      </c>
      <c r="G52" s="413">
        <v>0.0</v>
      </c>
      <c r="H52" s="349" t="s">
        <v>3124</v>
      </c>
      <c r="I52" s="404" t="str">
        <f t="shared" si="3"/>
        <v>NOT PAID</v>
      </c>
      <c r="J52" s="402"/>
      <c r="K52" s="402"/>
      <c r="L52" s="402"/>
      <c r="M52" s="402"/>
      <c r="N52" s="402"/>
      <c r="O52" s="402"/>
      <c r="P52" s="402"/>
      <c r="Q52" s="402"/>
      <c r="R52" s="402"/>
      <c r="S52" s="402"/>
      <c r="T52" s="402"/>
      <c r="U52" s="402"/>
      <c r="V52" s="402"/>
      <c r="W52" s="402"/>
      <c r="X52" s="402"/>
      <c r="Y52" s="402"/>
      <c r="Z52" s="402"/>
    </row>
    <row r="53" ht="14.25" customHeight="1">
      <c r="A53" s="406">
        <v>45497.0</v>
      </c>
      <c r="B53" s="522" t="s">
        <v>652</v>
      </c>
      <c r="C53" s="522" t="s">
        <v>3097</v>
      </c>
      <c r="D53" s="522" t="s">
        <v>2010</v>
      </c>
      <c r="E53" s="522" t="s">
        <v>3093</v>
      </c>
      <c r="F53" s="567">
        <v>125850.0</v>
      </c>
      <c r="G53" s="413">
        <v>0.0</v>
      </c>
      <c r="H53" s="349" t="s">
        <v>3124</v>
      </c>
      <c r="I53" s="404" t="str">
        <f t="shared" si="3"/>
        <v>NOT PAID</v>
      </c>
      <c r="J53" s="402"/>
      <c r="K53" s="402"/>
      <c r="L53" s="402"/>
      <c r="M53" s="402"/>
      <c r="N53" s="402"/>
      <c r="O53" s="402"/>
      <c r="P53" s="402"/>
      <c r="Q53" s="402"/>
      <c r="R53" s="402"/>
      <c r="S53" s="402"/>
      <c r="T53" s="402"/>
      <c r="U53" s="402"/>
      <c r="V53" s="402"/>
      <c r="W53" s="402"/>
      <c r="X53" s="402"/>
      <c r="Y53" s="402"/>
      <c r="Z53" s="402"/>
    </row>
    <row r="54" ht="14.25" customHeight="1">
      <c r="A54" s="406">
        <v>45497.0</v>
      </c>
      <c r="B54" s="522" t="s">
        <v>3099</v>
      </c>
      <c r="C54" s="522" t="s">
        <v>3100</v>
      </c>
      <c r="D54" s="522" t="s">
        <v>54</v>
      </c>
      <c r="E54" s="522" t="s">
        <v>3101</v>
      </c>
      <c r="F54" s="567">
        <v>120625.0</v>
      </c>
      <c r="G54" s="413">
        <v>0.0</v>
      </c>
      <c r="H54" s="349" t="s">
        <v>3124</v>
      </c>
      <c r="I54" s="404" t="str">
        <f t="shared" si="3"/>
        <v>NOT PAID</v>
      </c>
      <c r="J54" s="402"/>
      <c r="K54" s="402"/>
      <c r="L54" s="402"/>
      <c r="M54" s="402"/>
      <c r="N54" s="402"/>
      <c r="O54" s="402"/>
      <c r="P54" s="402"/>
      <c r="Q54" s="402"/>
      <c r="R54" s="402"/>
      <c r="S54" s="402"/>
      <c r="T54" s="402"/>
      <c r="U54" s="402"/>
      <c r="V54" s="402"/>
      <c r="W54" s="402"/>
      <c r="X54" s="402"/>
      <c r="Y54" s="402"/>
      <c r="Z54" s="402"/>
    </row>
    <row r="55" ht="14.25" customHeight="1">
      <c r="A55" s="406">
        <v>45497.0</v>
      </c>
      <c r="B55" s="349" t="s">
        <v>3102</v>
      </c>
      <c r="C55" s="349" t="s">
        <v>3103</v>
      </c>
      <c r="D55" s="349" t="s">
        <v>54</v>
      </c>
      <c r="E55" s="522" t="s">
        <v>3101</v>
      </c>
      <c r="F55" s="413">
        <v>20000.0</v>
      </c>
      <c r="G55" s="413">
        <v>0.0</v>
      </c>
      <c r="H55" s="349" t="s">
        <v>3124</v>
      </c>
      <c r="I55" s="404" t="str">
        <f t="shared" si="3"/>
        <v>NOT PAID</v>
      </c>
      <c r="J55" s="402"/>
      <c r="K55" s="402"/>
      <c r="L55" s="402"/>
      <c r="M55" s="402"/>
      <c r="N55" s="402"/>
      <c r="O55" s="402"/>
      <c r="P55" s="402"/>
      <c r="Q55" s="402"/>
      <c r="R55" s="402"/>
      <c r="S55" s="402"/>
      <c r="T55" s="402"/>
      <c r="U55" s="402"/>
      <c r="V55" s="402"/>
      <c r="W55" s="402"/>
      <c r="X55" s="402"/>
      <c r="Y55" s="402"/>
      <c r="Z55" s="402"/>
    </row>
    <row r="56" ht="14.25" customHeight="1">
      <c r="A56" s="406">
        <v>45497.0</v>
      </c>
      <c r="B56" s="349" t="s">
        <v>3107</v>
      </c>
      <c r="C56" s="349" t="s">
        <v>3108</v>
      </c>
      <c r="D56" s="349" t="s">
        <v>54</v>
      </c>
      <c r="E56" s="349" t="s">
        <v>3101</v>
      </c>
      <c r="F56" s="413">
        <v>10900.0</v>
      </c>
      <c r="G56" s="413">
        <v>0.0</v>
      </c>
      <c r="H56" s="349" t="s">
        <v>3124</v>
      </c>
      <c r="I56" s="404" t="str">
        <f t="shared" si="3"/>
        <v>NOT PAID</v>
      </c>
      <c r="J56" s="402"/>
      <c r="K56" s="402"/>
      <c r="L56" s="402"/>
      <c r="M56" s="402"/>
      <c r="N56" s="402"/>
      <c r="O56" s="402"/>
      <c r="P56" s="402"/>
      <c r="Q56" s="402"/>
      <c r="R56" s="402"/>
      <c r="S56" s="402"/>
      <c r="T56" s="402"/>
      <c r="U56" s="402"/>
      <c r="V56" s="402"/>
      <c r="W56" s="402"/>
      <c r="X56" s="402"/>
      <c r="Y56" s="402"/>
      <c r="Z56" s="402"/>
    </row>
    <row r="57" ht="14.25" customHeight="1">
      <c r="A57" s="406">
        <v>45497.0</v>
      </c>
      <c r="B57" s="522" t="s">
        <v>3109</v>
      </c>
      <c r="C57" s="522" t="s">
        <v>3110</v>
      </c>
      <c r="D57" s="522" t="s">
        <v>54</v>
      </c>
      <c r="E57" s="522" t="s">
        <v>3101</v>
      </c>
      <c r="F57" s="733">
        <v>6400.0</v>
      </c>
      <c r="G57" s="413">
        <v>0.0</v>
      </c>
      <c r="H57" s="349" t="s">
        <v>3124</v>
      </c>
      <c r="I57" s="404" t="str">
        <f t="shared" si="3"/>
        <v>NOT PAID</v>
      </c>
      <c r="J57" s="402"/>
      <c r="K57" s="402"/>
      <c r="L57" s="402"/>
      <c r="M57" s="402"/>
      <c r="N57" s="402"/>
      <c r="O57" s="402"/>
      <c r="P57" s="402"/>
      <c r="Q57" s="402"/>
      <c r="R57" s="402"/>
      <c r="S57" s="402"/>
      <c r="T57" s="402"/>
      <c r="U57" s="402"/>
      <c r="V57" s="402"/>
      <c r="W57" s="402"/>
      <c r="X57" s="402"/>
      <c r="Y57" s="402"/>
      <c r="Z57" s="402"/>
    </row>
    <row r="58" ht="14.25" customHeight="1">
      <c r="A58" s="406">
        <v>45497.0</v>
      </c>
      <c r="B58" s="522" t="s">
        <v>3111</v>
      </c>
      <c r="C58" s="522" t="s">
        <v>3112</v>
      </c>
      <c r="D58" s="522" t="s">
        <v>54</v>
      </c>
      <c r="E58" s="522" t="s">
        <v>3078</v>
      </c>
      <c r="F58" s="567">
        <v>750.0</v>
      </c>
      <c r="G58" s="413">
        <v>0.0</v>
      </c>
      <c r="H58" s="349" t="s">
        <v>3124</v>
      </c>
      <c r="I58" s="404" t="str">
        <f t="shared" si="3"/>
        <v>NOT PAID</v>
      </c>
      <c r="J58" s="402"/>
      <c r="K58" s="402"/>
      <c r="L58" s="402"/>
      <c r="M58" s="402"/>
      <c r="N58" s="402"/>
      <c r="O58" s="402"/>
      <c r="P58" s="402"/>
      <c r="Q58" s="402"/>
      <c r="R58" s="402"/>
      <c r="S58" s="402"/>
      <c r="T58" s="402"/>
      <c r="U58" s="402"/>
      <c r="V58" s="402"/>
      <c r="W58" s="402"/>
      <c r="X58" s="402"/>
      <c r="Y58" s="402"/>
      <c r="Z58" s="402"/>
    </row>
    <row r="59" ht="14.25" customHeight="1">
      <c r="A59" s="406">
        <v>45497.0</v>
      </c>
      <c r="B59" s="349" t="s">
        <v>3116</v>
      </c>
      <c r="C59" s="349" t="s">
        <v>3117</v>
      </c>
      <c r="D59" s="349" t="s">
        <v>75</v>
      </c>
      <c r="E59" s="349" t="s">
        <v>3115</v>
      </c>
      <c r="F59" s="413">
        <v>38450.0</v>
      </c>
      <c r="G59" s="413">
        <v>0.0</v>
      </c>
      <c r="H59" s="349" t="s">
        <v>3124</v>
      </c>
      <c r="I59" s="404" t="str">
        <f t="shared" si="3"/>
        <v>NOT PAID</v>
      </c>
      <c r="J59" s="402"/>
      <c r="K59" s="402"/>
      <c r="L59" s="402"/>
      <c r="M59" s="402"/>
      <c r="N59" s="402"/>
      <c r="O59" s="402"/>
      <c r="P59" s="402"/>
      <c r="Q59" s="402"/>
      <c r="R59" s="402"/>
      <c r="S59" s="402"/>
      <c r="T59" s="402"/>
      <c r="U59" s="402"/>
      <c r="V59" s="402"/>
      <c r="W59" s="402"/>
      <c r="X59" s="402"/>
      <c r="Y59" s="402"/>
      <c r="Z59" s="402"/>
    </row>
    <row r="60" ht="14.25" customHeight="1">
      <c r="A60" s="406">
        <v>45497.0</v>
      </c>
      <c r="B60" s="349" t="s">
        <v>3122</v>
      </c>
      <c r="C60" s="349" t="s">
        <v>3123</v>
      </c>
      <c r="D60" s="349" t="s">
        <v>75</v>
      </c>
      <c r="E60" s="349" t="s">
        <v>3115</v>
      </c>
      <c r="F60" s="413">
        <v>74700.0</v>
      </c>
      <c r="G60" s="413">
        <v>0.0</v>
      </c>
      <c r="H60" s="349" t="s">
        <v>3124</v>
      </c>
      <c r="I60" s="404" t="str">
        <f t="shared" si="3"/>
        <v>NOT PAID</v>
      </c>
      <c r="J60" s="402"/>
      <c r="K60" s="402"/>
      <c r="L60" s="402"/>
      <c r="M60" s="402"/>
      <c r="N60" s="402"/>
      <c r="O60" s="402"/>
      <c r="P60" s="402"/>
      <c r="Q60" s="402"/>
      <c r="R60" s="402"/>
      <c r="S60" s="402"/>
      <c r="T60" s="402"/>
      <c r="U60" s="402"/>
      <c r="V60" s="402"/>
      <c r="W60" s="402"/>
      <c r="X60" s="402"/>
      <c r="Y60" s="402"/>
      <c r="Z60" s="402"/>
    </row>
    <row r="61" ht="14.25" customHeight="1">
      <c r="A61" s="406">
        <v>45497.0</v>
      </c>
      <c r="B61" s="349" t="s">
        <v>3120</v>
      </c>
      <c r="C61" s="349" t="s">
        <v>3121</v>
      </c>
      <c r="D61" s="349" t="s">
        <v>54</v>
      </c>
      <c r="E61" s="522" t="s">
        <v>3078</v>
      </c>
      <c r="F61" s="413">
        <v>950.0</v>
      </c>
      <c r="G61" s="413">
        <v>0.0</v>
      </c>
      <c r="H61" s="349" t="s">
        <v>3124</v>
      </c>
      <c r="I61" s="404" t="str">
        <f t="shared" si="3"/>
        <v>NOT PAID</v>
      </c>
      <c r="J61" s="402"/>
      <c r="K61" s="402"/>
      <c r="L61" s="402"/>
      <c r="M61" s="402"/>
      <c r="N61" s="402"/>
      <c r="O61" s="402"/>
      <c r="P61" s="402"/>
      <c r="Q61" s="402"/>
      <c r="R61" s="402"/>
      <c r="S61" s="402"/>
      <c r="T61" s="402"/>
      <c r="U61" s="402"/>
      <c r="V61" s="402"/>
      <c r="W61" s="402"/>
      <c r="X61" s="402"/>
      <c r="Y61" s="402"/>
      <c r="Z61" s="402"/>
    </row>
    <row r="62" ht="14.25" customHeight="1">
      <c r="A62" s="406">
        <v>45497.0</v>
      </c>
      <c r="B62" s="732" t="s">
        <v>3134</v>
      </c>
      <c r="C62" s="734" t="s">
        <v>3135</v>
      </c>
      <c r="D62" s="349" t="s">
        <v>54</v>
      </c>
      <c r="E62" s="349" t="s">
        <v>3078</v>
      </c>
      <c r="F62" s="413">
        <v>12000.0</v>
      </c>
      <c r="G62" s="413">
        <v>10000.0</v>
      </c>
      <c r="H62" s="349" t="s">
        <v>267</v>
      </c>
      <c r="I62" s="404" t="str">
        <f t="shared" si="3"/>
        <v>PARTIALLY PAID</v>
      </c>
      <c r="J62" s="402"/>
      <c r="K62" s="402"/>
      <c r="L62" s="402"/>
      <c r="M62" s="402"/>
      <c r="N62" s="402"/>
      <c r="O62" s="402"/>
      <c r="P62" s="402"/>
      <c r="Q62" s="402"/>
      <c r="R62" s="402"/>
      <c r="S62" s="402"/>
      <c r="T62" s="402"/>
      <c r="U62" s="402"/>
      <c r="V62" s="402"/>
      <c r="W62" s="402"/>
      <c r="X62" s="402"/>
      <c r="Y62" s="402"/>
      <c r="Z62" s="402"/>
    </row>
    <row r="63" ht="14.25" customHeight="1">
      <c r="A63" s="406">
        <v>45497.0</v>
      </c>
      <c r="B63" s="349" t="s">
        <v>3136</v>
      </c>
      <c r="C63" s="349" t="s">
        <v>3137</v>
      </c>
      <c r="D63" s="349" t="s">
        <v>54</v>
      </c>
      <c r="E63" s="349" t="s">
        <v>3078</v>
      </c>
      <c r="F63" s="413">
        <v>88771.0</v>
      </c>
      <c r="G63" s="413">
        <v>88773.0</v>
      </c>
      <c r="H63" s="349" t="s">
        <v>267</v>
      </c>
      <c r="I63" s="404" t="str">
        <f t="shared" si="3"/>
        <v>FULLY PAID</v>
      </c>
      <c r="J63" s="402"/>
      <c r="K63" s="402"/>
      <c r="L63" s="402"/>
      <c r="M63" s="402"/>
      <c r="N63" s="402"/>
      <c r="O63" s="402"/>
      <c r="P63" s="402"/>
      <c r="Q63" s="402"/>
      <c r="R63" s="402"/>
      <c r="S63" s="402"/>
      <c r="T63" s="402"/>
      <c r="U63" s="402"/>
      <c r="V63" s="402"/>
      <c r="W63" s="402"/>
      <c r="X63" s="402"/>
      <c r="Y63" s="402"/>
      <c r="Z63" s="402"/>
    </row>
    <row r="64" ht="14.25" customHeight="1">
      <c r="A64" s="406">
        <v>45497.0</v>
      </c>
      <c r="B64" s="349" t="s">
        <v>3130</v>
      </c>
      <c r="C64" s="349" t="s">
        <v>3131</v>
      </c>
      <c r="D64" s="349" t="s">
        <v>75</v>
      </c>
      <c r="E64" s="349" t="s">
        <v>3078</v>
      </c>
      <c r="F64" s="413">
        <v>180086.84</v>
      </c>
      <c r="G64" s="413">
        <v>0.0</v>
      </c>
      <c r="H64" s="349" t="s">
        <v>3138</v>
      </c>
      <c r="I64" s="404" t="str">
        <f t="shared" si="3"/>
        <v>NOT PAID</v>
      </c>
      <c r="J64" s="402"/>
      <c r="K64" s="402"/>
      <c r="L64" s="402"/>
      <c r="M64" s="402"/>
      <c r="N64" s="402"/>
      <c r="O64" s="402"/>
      <c r="P64" s="402"/>
      <c r="Q64" s="402"/>
      <c r="R64" s="402"/>
      <c r="S64" s="402"/>
      <c r="T64" s="402"/>
      <c r="U64" s="402"/>
      <c r="V64" s="402"/>
      <c r="W64" s="402"/>
      <c r="X64" s="402"/>
      <c r="Y64" s="402"/>
      <c r="Z64" s="402"/>
    </row>
    <row r="65" ht="14.25" customHeight="1">
      <c r="A65" s="406">
        <v>45497.0</v>
      </c>
      <c r="B65" s="349" t="s">
        <v>3132</v>
      </c>
      <c r="C65" s="349" t="s">
        <v>3133</v>
      </c>
      <c r="D65" s="349" t="s">
        <v>75</v>
      </c>
      <c r="E65" s="349" t="s">
        <v>3101</v>
      </c>
      <c r="F65" s="413">
        <v>151240.26</v>
      </c>
      <c r="G65" s="413">
        <v>0.0</v>
      </c>
      <c r="H65" s="349" t="s">
        <v>3138</v>
      </c>
      <c r="I65" s="404" t="str">
        <f t="shared" si="3"/>
        <v>NOT PAID</v>
      </c>
      <c r="J65" s="402"/>
      <c r="K65" s="402"/>
      <c r="L65" s="402"/>
      <c r="M65" s="402"/>
      <c r="N65" s="402"/>
      <c r="O65" s="402"/>
      <c r="P65" s="402"/>
      <c r="Q65" s="402"/>
      <c r="R65" s="402"/>
      <c r="S65" s="402"/>
      <c r="T65" s="402"/>
      <c r="U65" s="402"/>
      <c r="V65" s="402"/>
      <c r="W65" s="402"/>
      <c r="X65" s="402"/>
      <c r="Y65" s="402"/>
      <c r="Z65" s="402"/>
    </row>
    <row r="66" ht="14.25" customHeight="1">
      <c r="A66" s="406">
        <v>45497.0</v>
      </c>
      <c r="B66" s="349" t="s">
        <v>3139</v>
      </c>
      <c r="C66" s="349" t="s">
        <v>3140</v>
      </c>
      <c r="D66" s="349" t="s">
        <v>54</v>
      </c>
      <c r="E66" s="349" t="s">
        <v>3115</v>
      </c>
      <c r="F66" s="413">
        <v>117885.9</v>
      </c>
      <c r="G66" s="413">
        <v>0.0</v>
      </c>
      <c r="H66" s="349" t="s">
        <v>3141</v>
      </c>
      <c r="I66" s="404" t="str">
        <f t="shared" si="3"/>
        <v>NOT PAID</v>
      </c>
      <c r="J66" s="402"/>
      <c r="K66" s="402"/>
      <c r="L66" s="402"/>
      <c r="M66" s="402"/>
      <c r="N66" s="402"/>
      <c r="O66" s="402"/>
      <c r="P66" s="402"/>
      <c r="Q66" s="402"/>
      <c r="R66" s="402"/>
      <c r="S66" s="402"/>
      <c r="T66" s="402"/>
      <c r="U66" s="402"/>
      <c r="V66" s="402"/>
      <c r="W66" s="402"/>
      <c r="X66" s="402"/>
      <c r="Y66" s="402"/>
      <c r="Z66" s="402"/>
    </row>
    <row r="67" ht="14.25" customHeight="1">
      <c r="A67" s="406">
        <v>45497.0</v>
      </c>
      <c r="B67" s="349" t="s">
        <v>3142</v>
      </c>
      <c r="C67" s="349" t="s">
        <v>3143</v>
      </c>
      <c r="D67" s="349" t="s">
        <v>54</v>
      </c>
      <c r="E67" s="522" t="s">
        <v>3115</v>
      </c>
      <c r="F67" s="413">
        <v>60262.74</v>
      </c>
      <c r="G67" s="413">
        <v>0.0</v>
      </c>
      <c r="H67" s="349" t="s">
        <v>3141</v>
      </c>
      <c r="I67" s="404" t="str">
        <f t="shared" si="3"/>
        <v>NOT PAID</v>
      </c>
      <c r="J67" s="402"/>
      <c r="K67" s="402"/>
      <c r="L67" s="402"/>
      <c r="M67" s="402"/>
      <c r="N67" s="402"/>
      <c r="O67" s="402"/>
      <c r="P67" s="402"/>
      <c r="Q67" s="402"/>
      <c r="R67" s="402"/>
      <c r="S67" s="402"/>
      <c r="T67" s="402"/>
      <c r="U67" s="402"/>
      <c r="V67" s="402"/>
      <c r="W67" s="402"/>
      <c r="X67" s="402"/>
      <c r="Y67" s="402"/>
      <c r="Z67" s="402"/>
    </row>
    <row r="68" ht="14.25" customHeight="1">
      <c r="A68" s="406">
        <v>45497.0</v>
      </c>
      <c r="B68" s="732" t="s">
        <v>813</v>
      </c>
      <c r="C68" s="734" t="s">
        <v>3144</v>
      </c>
      <c r="D68" s="349" t="s">
        <v>75</v>
      </c>
      <c r="E68" s="349" t="s">
        <v>3101</v>
      </c>
      <c r="F68" s="413">
        <v>647266.2</v>
      </c>
      <c r="G68" s="413">
        <v>0.0</v>
      </c>
      <c r="H68" s="349" t="s">
        <v>3141</v>
      </c>
      <c r="I68" s="404" t="str">
        <f t="shared" si="3"/>
        <v>NOT PAID</v>
      </c>
      <c r="J68" s="402"/>
      <c r="K68" s="402"/>
      <c r="L68" s="402"/>
      <c r="M68" s="402"/>
      <c r="N68" s="402"/>
      <c r="O68" s="402"/>
      <c r="P68" s="402"/>
      <c r="Q68" s="402"/>
      <c r="R68" s="402"/>
      <c r="S68" s="402"/>
      <c r="T68" s="402"/>
      <c r="U68" s="402"/>
      <c r="V68" s="402"/>
      <c r="W68" s="402"/>
      <c r="X68" s="402"/>
      <c r="Y68" s="402"/>
      <c r="Z68" s="402"/>
    </row>
    <row r="69" ht="14.25" customHeight="1">
      <c r="A69" s="402"/>
      <c r="B69" s="402"/>
      <c r="C69" s="402"/>
      <c r="D69" s="402"/>
      <c r="E69" s="402"/>
      <c r="F69" s="403"/>
      <c r="G69" s="403"/>
      <c r="H69" s="402"/>
      <c r="I69" s="404"/>
      <c r="J69" s="402"/>
      <c r="K69" s="402"/>
      <c r="L69" s="402"/>
      <c r="M69" s="402"/>
      <c r="N69" s="402"/>
      <c r="O69" s="402"/>
      <c r="P69" s="402"/>
      <c r="Q69" s="402"/>
      <c r="R69" s="402"/>
      <c r="S69" s="402"/>
      <c r="T69" s="402"/>
      <c r="U69" s="402"/>
      <c r="V69" s="402"/>
      <c r="W69" s="402"/>
      <c r="X69" s="402"/>
      <c r="Y69" s="402"/>
      <c r="Z69" s="402"/>
    </row>
    <row r="70" ht="14.25" customHeight="1">
      <c r="A70" s="402"/>
      <c r="B70" s="402"/>
      <c r="C70" s="402"/>
      <c r="D70" s="402"/>
      <c r="E70" s="402"/>
      <c r="F70" s="403"/>
      <c r="G70" s="403"/>
      <c r="H70" s="402"/>
      <c r="I70" s="404"/>
      <c r="J70" s="402"/>
      <c r="K70" s="402"/>
      <c r="L70" s="402"/>
      <c r="M70" s="402"/>
      <c r="N70" s="402"/>
      <c r="O70" s="402"/>
      <c r="P70" s="402"/>
      <c r="Q70" s="402"/>
      <c r="R70" s="402"/>
      <c r="S70" s="402"/>
      <c r="T70" s="402"/>
      <c r="U70" s="402"/>
      <c r="V70" s="402"/>
      <c r="W70" s="402"/>
      <c r="X70" s="402"/>
      <c r="Y70" s="402"/>
      <c r="Z70" s="402"/>
    </row>
    <row r="71" ht="14.25" customHeight="1">
      <c r="A71" s="402"/>
      <c r="B71" s="402"/>
      <c r="C71" s="402"/>
      <c r="D71" s="402"/>
      <c r="E71" s="402"/>
      <c r="F71" s="403"/>
      <c r="G71" s="403"/>
      <c r="H71" s="402"/>
      <c r="I71" s="404"/>
      <c r="J71" s="402"/>
      <c r="K71" s="402"/>
      <c r="L71" s="402"/>
      <c r="M71" s="402"/>
      <c r="N71" s="402"/>
      <c r="O71" s="402"/>
      <c r="P71" s="402"/>
      <c r="Q71" s="402"/>
      <c r="R71" s="402"/>
      <c r="S71" s="402"/>
      <c r="T71" s="402"/>
      <c r="U71" s="402"/>
      <c r="V71" s="402"/>
      <c r="W71" s="402"/>
      <c r="X71" s="402"/>
      <c r="Y71" s="402"/>
      <c r="Z71" s="402"/>
    </row>
    <row r="72" ht="14.25" customHeight="1">
      <c r="A72" s="729" t="s">
        <v>47</v>
      </c>
      <c r="B72" s="730" t="s">
        <v>39</v>
      </c>
      <c r="C72" s="730" t="s">
        <v>3075</v>
      </c>
      <c r="D72" s="730" t="s">
        <v>49</v>
      </c>
      <c r="E72" s="730" t="s">
        <v>50</v>
      </c>
      <c r="F72" s="731" t="s">
        <v>2</v>
      </c>
      <c r="G72" s="731" t="s">
        <v>4</v>
      </c>
      <c r="H72" s="730" t="s">
        <v>45</v>
      </c>
      <c r="I72" s="404"/>
      <c r="J72" s="402"/>
      <c r="K72" s="402"/>
      <c r="L72" s="402"/>
      <c r="M72" s="402"/>
      <c r="N72" s="402"/>
      <c r="O72" s="402"/>
      <c r="P72" s="402"/>
      <c r="Q72" s="402"/>
      <c r="R72" s="402"/>
      <c r="S72" s="402"/>
      <c r="T72" s="402"/>
      <c r="U72" s="402"/>
      <c r="V72" s="402"/>
      <c r="W72" s="402"/>
      <c r="X72" s="402"/>
      <c r="Y72" s="402"/>
      <c r="Z72" s="402"/>
    </row>
    <row r="73" ht="14.25" customHeight="1">
      <c r="A73" s="406">
        <v>45498.0</v>
      </c>
      <c r="B73" s="522" t="s">
        <v>3083</v>
      </c>
      <c r="C73" s="522" t="s">
        <v>3084</v>
      </c>
      <c r="D73" s="522" t="s">
        <v>54</v>
      </c>
      <c r="E73" s="522" t="s">
        <v>3085</v>
      </c>
      <c r="F73" s="567">
        <v>2860.0</v>
      </c>
      <c r="G73" s="413">
        <v>0.0</v>
      </c>
      <c r="H73" s="732" t="s">
        <v>3086</v>
      </c>
      <c r="I73" s="404" t="str">
        <f t="shared" ref="I73:I111" si="4">IF(G73&gt;=F73,"FULLY PAID",IF(G73=0,"NOT PAID","PARTIALLY PAID"))</f>
        <v>NOT PAID</v>
      </c>
      <c r="J73" s="402"/>
      <c r="K73" s="402"/>
      <c r="L73" s="402"/>
      <c r="M73" s="402"/>
      <c r="N73" s="402"/>
      <c r="O73" s="402"/>
      <c r="P73" s="402"/>
      <c r="Q73" s="402"/>
      <c r="R73" s="402"/>
      <c r="S73" s="402"/>
      <c r="T73" s="402"/>
      <c r="U73" s="402"/>
      <c r="V73" s="402"/>
      <c r="W73" s="402"/>
      <c r="X73" s="402"/>
      <c r="Y73" s="402"/>
      <c r="Z73" s="402"/>
    </row>
    <row r="74" ht="14.25" customHeight="1">
      <c r="A74" s="406">
        <v>45498.0</v>
      </c>
      <c r="B74" s="522" t="s">
        <v>3087</v>
      </c>
      <c r="C74" s="522" t="s">
        <v>3088</v>
      </c>
      <c r="D74" s="522" t="s">
        <v>54</v>
      </c>
      <c r="E74" s="522" t="s">
        <v>3089</v>
      </c>
      <c r="F74" s="567">
        <v>20000.0</v>
      </c>
      <c r="G74" s="413">
        <v>0.0</v>
      </c>
      <c r="H74" s="732" t="s">
        <v>3145</v>
      </c>
      <c r="I74" s="404" t="str">
        <f t="shared" si="4"/>
        <v>NOT PAID</v>
      </c>
      <c r="J74" s="402"/>
      <c r="K74" s="402"/>
      <c r="L74" s="402"/>
      <c r="M74" s="402"/>
      <c r="N74" s="402"/>
      <c r="O74" s="402"/>
      <c r="P74" s="402"/>
      <c r="Q74" s="402"/>
      <c r="R74" s="402"/>
      <c r="S74" s="402"/>
      <c r="T74" s="402"/>
      <c r="U74" s="402"/>
      <c r="V74" s="402"/>
      <c r="W74" s="402"/>
      <c r="X74" s="402"/>
      <c r="Y74" s="402"/>
      <c r="Z74" s="402"/>
    </row>
    <row r="75" ht="14.25" customHeight="1">
      <c r="A75" s="406">
        <v>45498.0</v>
      </c>
      <c r="B75" s="522" t="s">
        <v>3091</v>
      </c>
      <c r="C75" s="522" t="s">
        <v>3092</v>
      </c>
      <c r="D75" s="522" t="s">
        <v>54</v>
      </c>
      <c r="E75" s="522" t="s">
        <v>3093</v>
      </c>
      <c r="F75" s="567">
        <v>3510.0</v>
      </c>
      <c r="G75" s="413">
        <v>3510.0</v>
      </c>
      <c r="H75" s="349" t="s">
        <v>710</v>
      </c>
      <c r="I75" s="404" t="str">
        <f t="shared" si="4"/>
        <v>FULLY PAID</v>
      </c>
      <c r="J75" s="402"/>
      <c r="K75" s="402"/>
      <c r="L75" s="402"/>
      <c r="M75" s="402"/>
      <c r="N75" s="402"/>
      <c r="O75" s="402"/>
      <c r="P75" s="402"/>
      <c r="Q75" s="402"/>
      <c r="R75" s="402"/>
      <c r="S75" s="402"/>
      <c r="T75" s="402"/>
      <c r="U75" s="402"/>
      <c r="V75" s="402"/>
      <c r="W75" s="402"/>
      <c r="X75" s="402"/>
      <c r="Y75" s="402"/>
      <c r="Z75" s="402"/>
    </row>
    <row r="76" ht="14.25" customHeight="1">
      <c r="A76" s="406">
        <v>45498.0</v>
      </c>
      <c r="B76" s="522" t="s">
        <v>3094</v>
      </c>
      <c r="C76" s="522" t="s">
        <v>3095</v>
      </c>
      <c r="D76" s="522" t="s">
        <v>54</v>
      </c>
      <c r="E76" s="522" t="s">
        <v>3078</v>
      </c>
      <c r="F76" s="567">
        <v>850.0</v>
      </c>
      <c r="G76" s="413">
        <v>0.0</v>
      </c>
      <c r="H76" s="732" t="s">
        <v>3096</v>
      </c>
      <c r="I76" s="404" t="str">
        <f t="shared" si="4"/>
        <v>NOT PAID</v>
      </c>
      <c r="J76" s="402"/>
      <c r="K76" s="402"/>
      <c r="L76" s="402"/>
      <c r="M76" s="402"/>
      <c r="N76" s="402"/>
      <c r="O76" s="402"/>
      <c r="P76" s="402"/>
      <c r="Q76" s="402"/>
      <c r="R76" s="402"/>
      <c r="S76" s="402"/>
      <c r="T76" s="402"/>
      <c r="U76" s="402"/>
      <c r="V76" s="402"/>
      <c r="W76" s="402"/>
      <c r="X76" s="402"/>
      <c r="Y76" s="402"/>
      <c r="Z76" s="402"/>
    </row>
    <row r="77" ht="14.25" customHeight="1">
      <c r="A77" s="406">
        <v>45498.0</v>
      </c>
      <c r="B77" s="522" t="s">
        <v>652</v>
      </c>
      <c r="C77" s="522" t="s">
        <v>3097</v>
      </c>
      <c r="D77" s="522" t="s">
        <v>2010</v>
      </c>
      <c r="E77" s="522" t="s">
        <v>3093</v>
      </c>
      <c r="F77" s="567">
        <v>126850.0</v>
      </c>
      <c r="G77" s="413">
        <v>0.0</v>
      </c>
      <c r="H77" s="732" t="s">
        <v>3098</v>
      </c>
      <c r="I77" s="404" t="str">
        <f t="shared" si="4"/>
        <v>NOT PAID</v>
      </c>
      <c r="J77" s="402"/>
      <c r="K77" s="402"/>
      <c r="L77" s="402"/>
      <c r="M77" s="402"/>
      <c r="N77" s="402"/>
      <c r="O77" s="402"/>
      <c r="P77" s="402"/>
      <c r="Q77" s="402"/>
      <c r="R77" s="402"/>
      <c r="S77" s="402"/>
      <c r="T77" s="402"/>
      <c r="U77" s="402"/>
      <c r="V77" s="402"/>
      <c r="W77" s="402"/>
      <c r="X77" s="402"/>
      <c r="Y77" s="402"/>
      <c r="Z77" s="402"/>
    </row>
    <row r="78" ht="14.25" customHeight="1">
      <c r="A78" s="406">
        <v>45498.0</v>
      </c>
      <c r="B78" s="522" t="s">
        <v>3099</v>
      </c>
      <c r="C78" s="522" t="s">
        <v>3100</v>
      </c>
      <c r="D78" s="522" t="s">
        <v>54</v>
      </c>
      <c r="E78" s="522" t="s">
        <v>3101</v>
      </c>
      <c r="F78" s="567">
        <v>120625.0</v>
      </c>
      <c r="G78" s="413">
        <v>0.0</v>
      </c>
      <c r="H78" s="732" t="s">
        <v>2320</v>
      </c>
      <c r="I78" s="404" t="str">
        <f t="shared" si="4"/>
        <v>NOT PAID</v>
      </c>
      <c r="J78" s="402"/>
      <c r="K78" s="402"/>
      <c r="L78" s="402"/>
      <c r="M78" s="402"/>
      <c r="N78" s="402"/>
      <c r="O78" s="402"/>
      <c r="P78" s="402"/>
      <c r="Q78" s="402"/>
      <c r="R78" s="402"/>
      <c r="S78" s="402"/>
      <c r="T78" s="402"/>
      <c r="U78" s="402"/>
      <c r="V78" s="402"/>
      <c r="W78" s="402"/>
      <c r="X78" s="402"/>
      <c r="Y78" s="402"/>
      <c r="Z78" s="402"/>
    </row>
    <row r="79" ht="14.25" customHeight="1">
      <c r="A79" s="406">
        <v>45498.0</v>
      </c>
      <c r="B79" s="349" t="s">
        <v>3102</v>
      </c>
      <c r="C79" s="349" t="s">
        <v>3103</v>
      </c>
      <c r="D79" s="349" t="s">
        <v>54</v>
      </c>
      <c r="E79" s="522" t="s">
        <v>3101</v>
      </c>
      <c r="F79" s="413">
        <v>21000.0</v>
      </c>
      <c r="G79" s="413">
        <v>20000.0</v>
      </c>
      <c r="H79" s="349" t="s">
        <v>3104</v>
      </c>
      <c r="I79" s="404" t="str">
        <f t="shared" si="4"/>
        <v>PARTIALLY PAID</v>
      </c>
      <c r="J79" s="402"/>
      <c r="K79" s="402"/>
      <c r="L79" s="402"/>
      <c r="M79" s="402"/>
      <c r="N79" s="402"/>
      <c r="O79" s="402"/>
      <c r="P79" s="402"/>
      <c r="Q79" s="402"/>
      <c r="R79" s="402"/>
      <c r="S79" s="402"/>
      <c r="T79" s="402"/>
      <c r="U79" s="402"/>
      <c r="V79" s="402"/>
      <c r="W79" s="402"/>
      <c r="X79" s="402"/>
      <c r="Y79" s="402"/>
      <c r="Z79" s="402"/>
    </row>
    <row r="80" ht="14.25" customHeight="1">
      <c r="A80" s="406">
        <v>45498.0</v>
      </c>
      <c r="B80" s="349" t="s">
        <v>3107</v>
      </c>
      <c r="C80" s="349" t="s">
        <v>3108</v>
      </c>
      <c r="D80" s="349" t="s">
        <v>54</v>
      </c>
      <c r="E80" s="349" t="s">
        <v>3101</v>
      </c>
      <c r="F80" s="413">
        <v>11900.0</v>
      </c>
      <c r="G80" s="413">
        <v>0.0</v>
      </c>
      <c r="H80" s="732" t="s">
        <v>3096</v>
      </c>
      <c r="I80" s="404" t="str">
        <f t="shared" si="4"/>
        <v>NOT PAID</v>
      </c>
      <c r="J80" s="402"/>
      <c r="K80" s="402"/>
      <c r="L80" s="402"/>
      <c r="M80" s="402"/>
      <c r="N80" s="402"/>
      <c r="O80" s="402"/>
      <c r="P80" s="402"/>
      <c r="Q80" s="402"/>
      <c r="R80" s="402"/>
      <c r="S80" s="402"/>
      <c r="T80" s="402"/>
      <c r="U80" s="402"/>
      <c r="V80" s="402"/>
      <c r="W80" s="402"/>
      <c r="X80" s="402"/>
      <c r="Y80" s="402"/>
      <c r="Z80" s="402"/>
    </row>
    <row r="81" ht="14.25" customHeight="1">
      <c r="A81" s="406">
        <v>45498.0</v>
      </c>
      <c r="B81" s="522" t="s">
        <v>3109</v>
      </c>
      <c r="C81" s="522" t="s">
        <v>3110</v>
      </c>
      <c r="D81" s="522" t="s">
        <v>54</v>
      </c>
      <c r="E81" s="522" t="s">
        <v>3101</v>
      </c>
      <c r="F81" s="733">
        <v>6400.0</v>
      </c>
      <c r="G81" s="413">
        <v>6400.0</v>
      </c>
      <c r="H81" s="349" t="s">
        <v>710</v>
      </c>
      <c r="I81" s="404" t="str">
        <f t="shared" si="4"/>
        <v>FULLY PAID</v>
      </c>
      <c r="J81" s="402"/>
      <c r="K81" s="402"/>
      <c r="L81" s="402"/>
      <c r="M81" s="402"/>
      <c r="N81" s="402"/>
      <c r="O81" s="402"/>
      <c r="P81" s="402"/>
      <c r="Q81" s="402"/>
      <c r="R81" s="402"/>
      <c r="S81" s="402"/>
      <c r="T81" s="402"/>
      <c r="U81" s="402"/>
      <c r="V81" s="402"/>
      <c r="W81" s="402"/>
      <c r="X81" s="402"/>
      <c r="Y81" s="402"/>
      <c r="Z81" s="402"/>
    </row>
    <row r="82" ht="14.25" customHeight="1">
      <c r="A82" s="406">
        <v>45498.0</v>
      </c>
      <c r="B82" s="522" t="s">
        <v>3111</v>
      </c>
      <c r="C82" s="522" t="s">
        <v>3112</v>
      </c>
      <c r="D82" s="522" t="s">
        <v>54</v>
      </c>
      <c r="E82" s="522" t="s">
        <v>3078</v>
      </c>
      <c r="F82" s="567">
        <v>750.0</v>
      </c>
      <c r="G82" s="413">
        <v>750.0</v>
      </c>
      <c r="H82" s="349" t="s">
        <v>710</v>
      </c>
      <c r="I82" s="404" t="str">
        <f t="shared" si="4"/>
        <v>FULLY PAID</v>
      </c>
      <c r="J82" s="402"/>
      <c r="K82" s="402"/>
      <c r="L82" s="402"/>
      <c r="M82" s="402"/>
      <c r="N82" s="402"/>
      <c r="O82" s="402"/>
      <c r="P82" s="402"/>
      <c r="Q82" s="402"/>
      <c r="R82" s="402"/>
      <c r="S82" s="402"/>
      <c r="T82" s="402"/>
      <c r="U82" s="402"/>
      <c r="V82" s="402"/>
      <c r="W82" s="402"/>
      <c r="X82" s="402"/>
      <c r="Y82" s="402"/>
      <c r="Z82" s="402"/>
    </row>
    <row r="83" ht="14.25" customHeight="1">
      <c r="A83" s="406">
        <v>45498.0</v>
      </c>
      <c r="B83" s="349" t="s">
        <v>3116</v>
      </c>
      <c r="C83" s="349" t="s">
        <v>3117</v>
      </c>
      <c r="D83" s="349" t="s">
        <v>75</v>
      </c>
      <c r="E83" s="349" t="s">
        <v>3146</v>
      </c>
      <c r="F83" s="413">
        <v>39450.0</v>
      </c>
      <c r="G83" s="413">
        <v>39450.0</v>
      </c>
      <c r="H83" s="349" t="s">
        <v>710</v>
      </c>
      <c r="I83" s="404" t="str">
        <f t="shared" si="4"/>
        <v>FULLY PAID</v>
      </c>
      <c r="J83" s="402"/>
      <c r="K83" s="402"/>
      <c r="L83" s="402"/>
      <c r="M83" s="402"/>
      <c r="N83" s="402"/>
      <c r="O83" s="402"/>
      <c r="P83" s="402"/>
      <c r="Q83" s="402"/>
      <c r="R83" s="402"/>
      <c r="S83" s="402"/>
      <c r="T83" s="402"/>
      <c r="U83" s="402"/>
      <c r="V83" s="402"/>
      <c r="W83" s="402"/>
      <c r="X83" s="402"/>
      <c r="Y83" s="402"/>
      <c r="Z83" s="402"/>
    </row>
    <row r="84" ht="14.25" customHeight="1">
      <c r="A84" s="406">
        <v>45498.0</v>
      </c>
      <c r="B84" s="349" t="s">
        <v>3122</v>
      </c>
      <c r="C84" s="349" t="s">
        <v>3123</v>
      </c>
      <c r="D84" s="349" t="s">
        <v>75</v>
      </c>
      <c r="E84" s="349" t="s">
        <v>3115</v>
      </c>
      <c r="F84" s="413">
        <v>80000.0</v>
      </c>
      <c r="G84" s="413">
        <v>75000.0</v>
      </c>
      <c r="H84" s="349" t="s">
        <v>710</v>
      </c>
      <c r="I84" s="404" t="str">
        <f t="shared" si="4"/>
        <v>PARTIALLY PAID</v>
      </c>
      <c r="J84" s="402"/>
      <c r="K84" s="402"/>
      <c r="L84" s="402"/>
      <c r="M84" s="402"/>
      <c r="N84" s="402"/>
      <c r="O84" s="402"/>
      <c r="P84" s="402"/>
      <c r="Q84" s="402"/>
      <c r="R84" s="402"/>
      <c r="S84" s="402"/>
      <c r="T84" s="402"/>
      <c r="U84" s="402"/>
      <c r="V84" s="402"/>
      <c r="W84" s="402"/>
      <c r="X84" s="402"/>
      <c r="Y84" s="402"/>
      <c r="Z84" s="402"/>
    </row>
    <row r="85" ht="14.25" customHeight="1">
      <c r="A85" s="406">
        <v>45498.0</v>
      </c>
      <c r="B85" s="349" t="s">
        <v>3120</v>
      </c>
      <c r="C85" s="349" t="s">
        <v>3121</v>
      </c>
      <c r="D85" s="349" t="s">
        <v>54</v>
      </c>
      <c r="E85" s="522" t="s">
        <v>3078</v>
      </c>
      <c r="F85" s="413">
        <v>950.0</v>
      </c>
      <c r="G85" s="413">
        <v>950.0</v>
      </c>
      <c r="H85" s="349" t="s">
        <v>710</v>
      </c>
      <c r="I85" s="404" t="str">
        <f t="shared" si="4"/>
        <v>FULLY PAID</v>
      </c>
      <c r="J85" s="402"/>
      <c r="K85" s="402"/>
      <c r="L85" s="402"/>
      <c r="M85" s="402"/>
      <c r="N85" s="402"/>
      <c r="O85" s="402"/>
      <c r="P85" s="402"/>
      <c r="Q85" s="402"/>
      <c r="R85" s="402"/>
      <c r="S85" s="402"/>
      <c r="T85" s="402"/>
      <c r="U85" s="402"/>
      <c r="V85" s="402"/>
      <c r="W85" s="402"/>
      <c r="X85" s="402"/>
      <c r="Y85" s="402"/>
      <c r="Z85" s="402"/>
    </row>
    <row r="86" ht="14.25" customHeight="1">
      <c r="A86" s="406">
        <v>45498.0</v>
      </c>
      <c r="B86" s="349" t="s">
        <v>3134</v>
      </c>
      <c r="C86" s="349" t="s">
        <v>3135</v>
      </c>
      <c r="D86" s="349" t="s">
        <v>54</v>
      </c>
      <c r="E86" s="349" t="s">
        <v>3078</v>
      </c>
      <c r="F86" s="413">
        <v>1780.0</v>
      </c>
      <c r="G86" s="413">
        <v>1800.0</v>
      </c>
      <c r="H86" s="349" t="s">
        <v>710</v>
      </c>
      <c r="I86" s="404" t="str">
        <f t="shared" si="4"/>
        <v>FULLY PAID</v>
      </c>
      <c r="J86" s="402"/>
      <c r="K86" s="402"/>
      <c r="L86" s="402"/>
      <c r="M86" s="402"/>
      <c r="N86" s="402"/>
      <c r="O86" s="402"/>
      <c r="P86" s="402"/>
      <c r="Q86" s="402"/>
      <c r="R86" s="402"/>
      <c r="S86" s="402"/>
      <c r="T86" s="402"/>
      <c r="U86" s="402"/>
      <c r="V86" s="402"/>
      <c r="W86" s="402"/>
      <c r="X86" s="402"/>
      <c r="Y86" s="402"/>
      <c r="Z86" s="402"/>
    </row>
    <row r="87" ht="14.25" customHeight="1">
      <c r="A87" s="406">
        <v>45498.0</v>
      </c>
      <c r="B87" s="349" t="s">
        <v>3076</v>
      </c>
      <c r="C87" s="349" t="s">
        <v>3077</v>
      </c>
      <c r="D87" s="349" t="s">
        <v>54</v>
      </c>
      <c r="E87" s="522" t="s">
        <v>3078</v>
      </c>
      <c r="F87" s="413">
        <v>29250.0</v>
      </c>
      <c r="G87" s="413">
        <v>0.0</v>
      </c>
      <c r="H87" s="732" t="s">
        <v>3079</v>
      </c>
      <c r="I87" s="404" t="str">
        <f t="shared" si="4"/>
        <v>NOT PAID</v>
      </c>
      <c r="J87" s="402"/>
      <c r="K87" s="402"/>
      <c r="L87" s="402"/>
      <c r="M87" s="402"/>
      <c r="N87" s="402"/>
      <c r="O87" s="402"/>
      <c r="P87" s="402"/>
      <c r="Q87" s="402"/>
      <c r="R87" s="402"/>
      <c r="S87" s="402"/>
      <c r="T87" s="402"/>
      <c r="U87" s="402"/>
      <c r="V87" s="402"/>
      <c r="W87" s="402"/>
      <c r="X87" s="402"/>
      <c r="Y87" s="402"/>
      <c r="Z87" s="402"/>
    </row>
    <row r="88" ht="14.25" customHeight="1">
      <c r="A88" s="406">
        <v>45498.0</v>
      </c>
      <c r="B88" s="349" t="s">
        <v>3147</v>
      </c>
      <c r="C88" s="349" t="s">
        <v>3148</v>
      </c>
      <c r="D88" s="349" t="s">
        <v>54</v>
      </c>
      <c r="E88" s="522" t="s">
        <v>3093</v>
      </c>
      <c r="F88" s="413">
        <v>287965.0</v>
      </c>
      <c r="G88" s="413">
        <v>233000.0</v>
      </c>
      <c r="H88" s="349" t="s">
        <v>710</v>
      </c>
      <c r="I88" s="404" t="str">
        <f t="shared" si="4"/>
        <v>PARTIALLY PAID</v>
      </c>
      <c r="J88" s="402"/>
      <c r="K88" s="402"/>
      <c r="L88" s="402"/>
      <c r="M88" s="402"/>
      <c r="N88" s="402"/>
      <c r="O88" s="402"/>
      <c r="P88" s="402"/>
      <c r="Q88" s="402"/>
      <c r="R88" s="402"/>
      <c r="S88" s="402"/>
      <c r="T88" s="402"/>
      <c r="U88" s="402"/>
      <c r="V88" s="402"/>
      <c r="W88" s="402"/>
      <c r="X88" s="402"/>
      <c r="Y88" s="402"/>
      <c r="Z88" s="402"/>
    </row>
    <row r="89" ht="14.25" customHeight="1">
      <c r="A89" s="406">
        <v>45498.0</v>
      </c>
      <c r="B89" s="349" t="s">
        <v>3142</v>
      </c>
      <c r="C89" s="349" t="s">
        <v>3143</v>
      </c>
      <c r="D89" s="349" t="s">
        <v>54</v>
      </c>
      <c r="E89" s="522" t="s">
        <v>797</v>
      </c>
      <c r="F89" s="413">
        <v>60262.74</v>
      </c>
      <c r="G89" s="413">
        <v>0.0</v>
      </c>
      <c r="H89" s="349" t="s">
        <v>3141</v>
      </c>
      <c r="I89" s="404" t="str">
        <f t="shared" si="4"/>
        <v>NOT PAID</v>
      </c>
      <c r="J89" s="402"/>
      <c r="K89" s="402"/>
      <c r="L89" s="402"/>
      <c r="M89" s="402"/>
      <c r="N89" s="402"/>
      <c r="O89" s="402"/>
      <c r="P89" s="402"/>
      <c r="Q89" s="402"/>
      <c r="R89" s="402"/>
      <c r="S89" s="402"/>
      <c r="T89" s="402"/>
      <c r="U89" s="402"/>
      <c r="V89" s="402"/>
      <c r="W89" s="402"/>
      <c r="X89" s="402"/>
      <c r="Y89" s="402"/>
      <c r="Z89" s="402"/>
    </row>
    <row r="90" ht="14.25" customHeight="1">
      <c r="A90" s="406">
        <v>45498.0</v>
      </c>
      <c r="B90" s="349" t="s">
        <v>3139</v>
      </c>
      <c r="C90" s="349" t="s">
        <v>3140</v>
      </c>
      <c r="D90" s="349" t="s">
        <v>54</v>
      </c>
      <c r="E90" s="349" t="s">
        <v>797</v>
      </c>
      <c r="F90" s="413">
        <v>117885.9</v>
      </c>
      <c r="G90" s="413">
        <v>0.0</v>
      </c>
      <c r="H90" s="349" t="s">
        <v>3141</v>
      </c>
      <c r="I90" s="404" t="str">
        <f t="shared" si="4"/>
        <v>NOT PAID</v>
      </c>
      <c r="J90" s="402"/>
      <c r="K90" s="402"/>
      <c r="L90" s="402"/>
      <c r="M90" s="402"/>
      <c r="N90" s="402"/>
      <c r="O90" s="402"/>
      <c r="P90" s="402"/>
      <c r="Q90" s="402"/>
      <c r="R90" s="402"/>
      <c r="S90" s="402"/>
      <c r="T90" s="402"/>
      <c r="U90" s="402"/>
      <c r="V90" s="402"/>
      <c r="W90" s="402"/>
      <c r="X90" s="402"/>
      <c r="Y90" s="402"/>
      <c r="Z90" s="402"/>
    </row>
    <row r="91" ht="14.25" customHeight="1">
      <c r="A91" s="406">
        <v>45498.0</v>
      </c>
      <c r="B91" s="349" t="s">
        <v>813</v>
      </c>
      <c r="C91" s="349" t="s">
        <v>3144</v>
      </c>
      <c r="D91" s="349" t="s">
        <v>75</v>
      </c>
      <c r="E91" s="522" t="s">
        <v>797</v>
      </c>
      <c r="F91" s="413">
        <v>647266.2</v>
      </c>
      <c r="G91" s="413">
        <v>0.0</v>
      </c>
      <c r="H91" s="349" t="s">
        <v>3141</v>
      </c>
      <c r="I91" s="404" t="str">
        <f t="shared" si="4"/>
        <v>NOT PAID</v>
      </c>
      <c r="J91" s="402"/>
      <c r="K91" s="402"/>
      <c r="L91" s="402"/>
      <c r="M91" s="402"/>
      <c r="N91" s="402"/>
      <c r="O91" s="402"/>
      <c r="P91" s="402"/>
      <c r="Q91" s="402"/>
      <c r="R91" s="402"/>
      <c r="S91" s="402"/>
      <c r="T91" s="402"/>
      <c r="U91" s="402"/>
      <c r="V91" s="402"/>
      <c r="W91" s="402"/>
      <c r="X91" s="402"/>
      <c r="Y91" s="402"/>
      <c r="Z91" s="402"/>
    </row>
    <row r="92" ht="14.25" customHeight="1">
      <c r="A92" s="406">
        <v>45498.0</v>
      </c>
      <c r="B92" s="349" t="s">
        <v>3149</v>
      </c>
      <c r="C92" s="349" t="s">
        <v>3150</v>
      </c>
      <c r="D92" s="349" t="s">
        <v>54</v>
      </c>
      <c r="E92" s="522" t="s">
        <v>797</v>
      </c>
      <c r="F92" s="413">
        <v>320142.89</v>
      </c>
      <c r="G92" s="413">
        <v>0.0</v>
      </c>
      <c r="H92" s="349" t="s">
        <v>3141</v>
      </c>
      <c r="I92" s="404" t="str">
        <f t="shared" si="4"/>
        <v>NOT PAID</v>
      </c>
      <c r="J92" s="402"/>
      <c r="K92" s="402"/>
      <c r="L92" s="402"/>
      <c r="M92" s="402"/>
      <c r="N92" s="402"/>
      <c r="O92" s="402"/>
      <c r="P92" s="402"/>
      <c r="Q92" s="402"/>
      <c r="R92" s="402"/>
      <c r="S92" s="402"/>
      <c r="T92" s="402"/>
      <c r="U92" s="402"/>
      <c r="V92" s="402"/>
      <c r="W92" s="402"/>
      <c r="X92" s="402"/>
      <c r="Y92" s="402"/>
      <c r="Z92" s="402"/>
    </row>
    <row r="93" ht="14.25" customHeight="1">
      <c r="A93" s="402"/>
      <c r="B93" s="402"/>
      <c r="C93" s="402"/>
      <c r="D93" s="402"/>
      <c r="E93" s="402"/>
      <c r="F93" s="403"/>
      <c r="G93" s="403"/>
      <c r="H93" s="402"/>
      <c r="I93" s="404" t="str">
        <f t="shared" si="4"/>
        <v>FULLY PAID</v>
      </c>
      <c r="J93" s="402"/>
      <c r="K93" s="402"/>
      <c r="L93" s="402"/>
      <c r="M93" s="402"/>
      <c r="N93" s="402"/>
      <c r="O93" s="402"/>
      <c r="P93" s="402"/>
      <c r="Q93" s="402"/>
      <c r="R93" s="402"/>
      <c r="S93" s="402"/>
      <c r="T93" s="402"/>
      <c r="U93" s="402"/>
      <c r="V93" s="402"/>
      <c r="W93" s="402"/>
      <c r="X93" s="402"/>
      <c r="Y93" s="402"/>
      <c r="Z93" s="402"/>
    </row>
    <row r="94" ht="14.25" customHeight="1">
      <c r="A94" s="402"/>
      <c r="B94" s="402"/>
      <c r="C94" s="402"/>
      <c r="D94" s="402"/>
      <c r="E94" s="402"/>
      <c r="F94" s="403"/>
      <c r="G94" s="403"/>
      <c r="H94" s="402"/>
      <c r="I94" s="404" t="str">
        <f t="shared" si="4"/>
        <v>FULLY PAID</v>
      </c>
      <c r="J94" s="402"/>
      <c r="K94" s="402"/>
      <c r="L94" s="402"/>
      <c r="M94" s="402"/>
      <c r="N94" s="402"/>
      <c r="O94" s="402"/>
      <c r="P94" s="402"/>
      <c r="Q94" s="402"/>
      <c r="R94" s="402"/>
      <c r="S94" s="402"/>
      <c r="T94" s="402"/>
      <c r="U94" s="402"/>
      <c r="V94" s="402"/>
      <c r="W94" s="402"/>
      <c r="X94" s="402"/>
      <c r="Y94" s="402"/>
      <c r="Z94" s="402"/>
    </row>
    <row r="95" ht="14.25" customHeight="1">
      <c r="A95" s="729" t="s">
        <v>47</v>
      </c>
      <c r="B95" s="730" t="s">
        <v>39</v>
      </c>
      <c r="C95" s="730" t="s">
        <v>3075</v>
      </c>
      <c r="D95" s="730" t="s">
        <v>49</v>
      </c>
      <c r="E95" s="730" t="s">
        <v>50</v>
      </c>
      <c r="F95" s="731" t="s">
        <v>2</v>
      </c>
      <c r="G95" s="731" t="s">
        <v>4</v>
      </c>
      <c r="H95" s="730" t="s">
        <v>45</v>
      </c>
      <c r="I95" s="404" t="str">
        <f t="shared" si="4"/>
        <v>FULLY PAID</v>
      </c>
      <c r="J95" s="402"/>
      <c r="K95" s="402"/>
      <c r="L95" s="402"/>
      <c r="M95" s="402"/>
      <c r="N95" s="402"/>
      <c r="O95" s="402"/>
      <c r="P95" s="402"/>
      <c r="Q95" s="402"/>
      <c r="R95" s="402"/>
      <c r="S95" s="402"/>
      <c r="T95" s="402"/>
      <c r="U95" s="402"/>
      <c r="V95" s="402"/>
      <c r="W95" s="402"/>
      <c r="X95" s="402"/>
      <c r="Y95" s="402"/>
      <c r="Z95" s="402"/>
    </row>
    <row r="96" ht="14.25" customHeight="1">
      <c r="A96" s="406">
        <v>45499.0</v>
      </c>
      <c r="B96" s="522" t="s">
        <v>3083</v>
      </c>
      <c r="C96" s="522" t="s">
        <v>3084</v>
      </c>
      <c r="D96" s="522" t="s">
        <v>54</v>
      </c>
      <c r="E96" s="522" t="s">
        <v>3085</v>
      </c>
      <c r="F96" s="567">
        <v>2860.0</v>
      </c>
      <c r="G96" s="413">
        <v>3000.0</v>
      </c>
      <c r="H96" s="349" t="s">
        <v>267</v>
      </c>
      <c r="I96" s="404" t="str">
        <f t="shared" si="4"/>
        <v>FULLY PAID</v>
      </c>
      <c r="J96" s="402"/>
      <c r="K96" s="402"/>
      <c r="L96" s="402"/>
      <c r="M96" s="402"/>
      <c r="N96" s="402"/>
      <c r="O96" s="402"/>
      <c r="P96" s="402"/>
      <c r="Q96" s="402"/>
      <c r="R96" s="402"/>
      <c r="S96" s="402"/>
      <c r="T96" s="402"/>
      <c r="U96" s="402"/>
      <c r="V96" s="402"/>
      <c r="W96" s="402"/>
      <c r="X96" s="402"/>
      <c r="Y96" s="402"/>
      <c r="Z96" s="402"/>
    </row>
    <row r="97" ht="14.25" customHeight="1">
      <c r="A97" s="406">
        <v>45499.0</v>
      </c>
      <c r="B97" s="522" t="s">
        <v>3087</v>
      </c>
      <c r="C97" s="522" t="s">
        <v>3088</v>
      </c>
      <c r="D97" s="522" t="s">
        <v>54</v>
      </c>
      <c r="E97" s="522" t="s">
        <v>3089</v>
      </c>
      <c r="F97" s="567">
        <v>20000.0</v>
      </c>
      <c r="G97" s="413">
        <v>0.0</v>
      </c>
      <c r="H97" s="349" t="s">
        <v>3124</v>
      </c>
      <c r="I97" s="404" t="str">
        <f t="shared" si="4"/>
        <v>NOT PAID</v>
      </c>
      <c r="J97" s="402"/>
      <c r="K97" s="402"/>
      <c r="L97" s="402"/>
      <c r="M97" s="402"/>
      <c r="N97" s="402"/>
      <c r="O97" s="402"/>
      <c r="P97" s="402"/>
      <c r="Q97" s="402"/>
      <c r="R97" s="402"/>
      <c r="S97" s="402"/>
      <c r="T97" s="402"/>
      <c r="U97" s="402"/>
      <c r="V97" s="402"/>
      <c r="W97" s="402"/>
      <c r="X97" s="402"/>
      <c r="Y97" s="402"/>
      <c r="Z97" s="402"/>
    </row>
    <row r="98" ht="14.25" customHeight="1">
      <c r="A98" s="406">
        <v>45499.0</v>
      </c>
      <c r="B98" s="522" t="s">
        <v>3091</v>
      </c>
      <c r="C98" s="522" t="s">
        <v>3092</v>
      </c>
      <c r="D98" s="522" t="s">
        <v>54</v>
      </c>
      <c r="E98" s="522" t="s">
        <v>3093</v>
      </c>
      <c r="F98" s="567">
        <v>3510.0</v>
      </c>
      <c r="G98" s="413">
        <v>0.0</v>
      </c>
      <c r="H98" s="349" t="s">
        <v>3124</v>
      </c>
      <c r="I98" s="404" t="str">
        <f t="shared" si="4"/>
        <v>NOT PAID</v>
      </c>
      <c r="J98" s="402"/>
      <c r="K98" s="402"/>
      <c r="L98" s="402"/>
      <c r="M98" s="402"/>
      <c r="N98" s="402"/>
      <c r="O98" s="402"/>
      <c r="P98" s="402"/>
      <c r="Q98" s="402"/>
      <c r="R98" s="402"/>
      <c r="S98" s="402"/>
      <c r="T98" s="402"/>
      <c r="U98" s="402"/>
      <c r="V98" s="402"/>
      <c r="W98" s="402"/>
      <c r="X98" s="402"/>
      <c r="Y98" s="402"/>
      <c r="Z98" s="402"/>
    </row>
    <row r="99" ht="14.25" customHeight="1">
      <c r="A99" s="406">
        <v>45499.0</v>
      </c>
      <c r="B99" s="522" t="s">
        <v>3094</v>
      </c>
      <c r="C99" s="522" t="s">
        <v>3095</v>
      </c>
      <c r="D99" s="522" t="s">
        <v>54</v>
      </c>
      <c r="E99" s="522" t="s">
        <v>3078</v>
      </c>
      <c r="F99" s="567">
        <v>14768.0</v>
      </c>
      <c r="G99" s="413">
        <v>0.0</v>
      </c>
      <c r="H99" s="349" t="s">
        <v>3124</v>
      </c>
      <c r="I99" s="404" t="str">
        <f t="shared" si="4"/>
        <v>NOT PAID</v>
      </c>
      <c r="J99" s="402"/>
      <c r="K99" s="402"/>
      <c r="L99" s="402"/>
      <c r="M99" s="402"/>
      <c r="N99" s="402"/>
      <c r="O99" s="402"/>
      <c r="P99" s="402"/>
      <c r="Q99" s="402"/>
      <c r="R99" s="402"/>
      <c r="S99" s="402"/>
      <c r="T99" s="402"/>
      <c r="U99" s="402"/>
      <c r="V99" s="402"/>
      <c r="W99" s="402"/>
      <c r="X99" s="402"/>
      <c r="Y99" s="402"/>
      <c r="Z99" s="402"/>
    </row>
    <row r="100" ht="14.25" customHeight="1">
      <c r="A100" s="406">
        <v>45499.0</v>
      </c>
      <c r="B100" s="522" t="s">
        <v>652</v>
      </c>
      <c r="C100" s="522" t="s">
        <v>3097</v>
      </c>
      <c r="D100" s="522" t="s">
        <v>2010</v>
      </c>
      <c r="E100" s="522" t="s">
        <v>3093</v>
      </c>
      <c r="F100" s="567">
        <v>126850.0</v>
      </c>
      <c r="G100" s="413">
        <v>0.0</v>
      </c>
      <c r="H100" s="349" t="s">
        <v>3151</v>
      </c>
      <c r="I100" s="404" t="str">
        <f t="shared" si="4"/>
        <v>NOT PAID</v>
      </c>
      <c r="J100" s="402"/>
      <c r="K100" s="402"/>
      <c r="L100" s="402"/>
      <c r="M100" s="402"/>
      <c r="N100" s="402"/>
      <c r="O100" s="402"/>
      <c r="P100" s="402"/>
      <c r="Q100" s="402"/>
      <c r="R100" s="402"/>
      <c r="S100" s="402"/>
      <c r="T100" s="402"/>
      <c r="U100" s="402"/>
      <c r="V100" s="402"/>
      <c r="W100" s="402"/>
      <c r="X100" s="402"/>
      <c r="Y100" s="402"/>
      <c r="Z100" s="402"/>
    </row>
    <row r="101" ht="14.25" customHeight="1">
      <c r="A101" s="406">
        <v>45499.0</v>
      </c>
      <c r="B101" s="522" t="s">
        <v>3099</v>
      </c>
      <c r="C101" s="522" t="s">
        <v>3100</v>
      </c>
      <c r="D101" s="522" t="s">
        <v>54</v>
      </c>
      <c r="E101" s="522" t="s">
        <v>3101</v>
      </c>
      <c r="F101" s="567">
        <v>120625.0</v>
      </c>
      <c r="G101" s="413">
        <v>0.0</v>
      </c>
      <c r="H101" s="349" t="s">
        <v>3124</v>
      </c>
      <c r="I101" s="404" t="str">
        <f t="shared" si="4"/>
        <v>NOT PAID</v>
      </c>
      <c r="J101" s="402"/>
      <c r="K101" s="402"/>
      <c r="L101" s="402"/>
      <c r="M101" s="402"/>
      <c r="N101" s="402"/>
      <c r="O101" s="402"/>
      <c r="P101" s="402"/>
      <c r="Q101" s="402"/>
      <c r="R101" s="402"/>
      <c r="S101" s="402"/>
      <c r="T101" s="402"/>
      <c r="U101" s="402"/>
      <c r="V101" s="402"/>
      <c r="W101" s="402"/>
      <c r="X101" s="402"/>
      <c r="Y101" s="402"/>
      <c r="Z101" s="402"/>
    </row>
    <row r="102" ht="14.25" customHeight="1">
      <c r="A102" s="406">
        <v>45499.0</v>
      </c>
      <c r="B102" s="349" t="s">
        <v>3102</v>
      </c>
      <c r="C102" s="349" t="s">
        <v>3103</v>
      </c>
      <c r="D102" s="349" t="s">
        <v>54</v>
      </c>
      <c r="E102" s="522" t="s">
        <v>3101</v>
      </c>
      <c r="F102" s="413">
        <v>21000.0</v>
      </c>
      <c r="G102" s="413">
        <v>0.0</v>
      </c>
      <c r="H102" s="349" t="s">
        <v>3124</v>
      </c>
      <c r="I102" s="404" t="str">
        <f t="shared" si="4"/>
        <v>NOT PAID</v>
      </c>
      <c r="J102" s="402"/>
      <c r="K102" s="402"/>
      <c r="L102" s="402"/>
      <c r="M102" s="402"/>
      <c r="N102" s="402"/>
      <c r="O102" s="402"/>
      <c r="P102" s="402"/>
      <c r="Q102" s="402"/>
      <c r="R102" s="402"/>
      <c r="S102" s="402"/>
      <c r="T102" s="402"/>
      <c r="U102" s="402"/>
      <c r="V102" s="402"/>
      <c r="W102" s="402"/>
      <c r="X102" s="402"/>
      <c r="Y102" s="402"/>
      <c r="Z102" s="402"/>
    </row>
    <row r="103" ht="14.25" customHeight="1">
      <c r="A103" s="406">
        <v>45499.0</v>
      </c>
      <c r="B103" s="349" t="s">
        <v>3107</v>
      </c>
      <c r="C103" s="349" t="s">
        <v>3108</v>
      </c>
      <c r="D103" s="349" t="s">
        <v>54</v>
      </c>
      <c r="E103" s="349" t="s">
        <v>3101</v>
      </c>
      <c r="F103" s="413">
        <v>11900.0</v>
      </c>
      <c r="G103" s="413">
        <v>0.0</v>
      </c>
      <c r="H103" s="349" t="s">
        <v>3124</v>
      </c>
      <c r="I103" s="404" t="str">
        <f t="shared" si="4"/>
        <v>NOT PAID</v>
      </c>
      <c r="J103" s="402"/>
      <c r="K103" s="402"/>
      <c r="L103" s="402"/>
      <c r="M103" s="402"/>
      <c r="N103" s="402"/>
      <c r="O103" s="402"/>
      <c r="P103" s="402"/>
      <c r="Q103" s="402"/>
      <c r="R103" s="402"/>
      <c r="S103" s="402"/>
      <c r="T103" s="402"/>
      <c r="U103" s="402"/>
      <c r="V103" s="402"/>
      <c r="W103" s="402"/>
      <c r="X103" s="402"/>
      <c r="Y103" s="402"/>
      <c r="Z103" s="402"/>
    </row>
    <row r="104" ht="14.25" customHeight="1">
      <c r="A104" s="406">
        <v>45499.0</v>
      </c>
      <c r="B104" s="522" t="s">
        <v>3109</v>
      </c>
      <c r="C104" s="522" t="s">
        <v>3110</v>
      </c>
      <c r="D104" s="522" t="s">
        <v>54</v>
      </c>
      <c r="E104" s="522" t="s">
        <v>3101</v>
      </c>
      <c r="F104" s="733">
        <v>6400.0</v>
      </c>
      <c r="G104" s="413">
        <v>0.0</v>
      </c>
      <c r="H104" s="349" t="s">
        <v>3124</v>
      </c>
      <c r="I104" s="404" t="str">
        <f t="shared" si="4"/>
        <v>NOT PAID</v>
      </c>
      <c r="J104" s="402"/>
      <c r="K104" s="402"/>
      <c r="L104" s="402"/>
      <c r="M104" s="402"/>
      <c r="N104" s="402"/>
      <c r="O104" s="402"/>
      <c r="P104" s="402"/>
      <c r="Q104" s="402"/>
      <c r="R104" s="402"/>
      <c r="S104" s="402"/>
      <c r="T104" s="402"/>
      <c r="U104" s="402"/>
      <c r="V104" s="402"/>
      <c r="W104" s="402"/>
      <c r="X104" s="402"/>
      <c r="Y104" s="402"/>
      <c r="Z104" s="402"/>
    </row>
    <row r="105" ht="14.25" customHeight="1">
      <c r="A105" s="406">
        <v>45499.0</v>
      </c>
      <c r="B105" s="522" t="s">
        <v>3111</v>
      </c>
      <c r="C105" s="522" t="s">
        <v>3112</v>
      </c>
      <c r="D105" s="522" t="s">
        <v>54</v>
      </c>
      <c r="E105" s="522" t="s">
        <v>3078</v>
      </c>
      <c r="F105" s="567">
        <v>750.0</v>
      </c>
      <c r="G105" s="413">
        <v>0.0</v>
      </c>
      <c r="H105" s="349" t="s">
        <v>3124</v>
      </c>
      <c r="I105" s="404" t="str">
        <f t="shared" si="4"/>
        <v>NOT PAID</v>
      </c>
      <c r="J105" s="402"/>
      <c r="K105" s="402"/>
      <c r="L105" s="402"/>
      <c r="M105" s="402"/>
      <c r="N105" s="402"/>
      <c r="O105" s="402"/>
      <c r="P105" s="402"/>
      <c r="Q105" s="402"/>
      <c r="R105" s="402"/>
      <c r="S105" s="402"/>
      <c r="T105" s="402"/>
      <c r="U105" s="402"/>
      <c r="V105" s="402"/>
      <c r="W105" s="402"/>
      <c r="X105" s="402"/>
      <c r="Y105" s="402"/>
      <c r="Z105" s="402"/>
    </row>
    <row r="106" ht="14.25" customHeight="1">
      <c r="A106" s="406">
        <v>45499.0</v>
      </c>
      <c r="B106" s="349" t="s">
        <v>3116</v>
      </c>
      <c r="C106" s="349" t="s">
        <v>3117</v>
      </c>
      <c r="D106" s="349" t="s">
        <v>75</v>
      </c>
      <c r="E106" s="349" t="s">
        <v>3115</v>
      </c>
      <c r="F106" s="413">
        <v>13500.0</v>
      </c>
      <c r="G106" s="413">
        <v>13500.0</v>
      </c>
      <c r="H106" s="349" t="s">
        <v>267</v>
      </c>
      <c r="I106" s="404" t="str">
        <f t="shared" si="4"/>
        <v>FULLY PAID</v>
      </c>
      <c r="J106" s="402"/>
      <c r="K106" s="402"/>
      <c r="L106" s="402"/>
      <c r="M106" s="402"/>
      <c r="N106" s="402"/>
      <c r="O106" s="402"/>
      <c r="P106" s="402"/>
      <c r="Q106" s="402"/>
      <c r="R106" s="402"/>
      <c r="S106" s="402"/>
      <c r="T106" s="402"/>
      <c r="U106" s="402"/>
      <c r="V106" s="402"/>
      <c r="W106" s="402"/>
      <c r="X106" s="402"/>
      <c r="Y106" s="402"/>
      <c r="Z106" s="402"/>
    </row>
    <row r="107" ht="14.25" customHeight="1">
      <c r="A107" s="406">
        <v>45499.0</v>
      </c>
      <c r="B107" s="349" t="s">
        <v>3122</v>
      </c>
      <c r="C107" s="349" t="s">
        <v>3123</v>
      </c>
      <c r="D107" s="349" t="s">
        <v>75</v>
      </c>
      <c r="E107" s="349" t="s">
        <v>3115</v>
      </c>
      <c r="F107" s="413">
        <v>4200.0</v>
      </c>
      <c r="G107" s="413">
        <v>0.0</v>
      </c>
      <c r="H107" s="349" t="s">
        <v>3124</v>
      </c>
      <c r="I107" s="404" t="str">
        <f t="shared" si="4"/>
        <v>NOT PAID</v>
      </c>
      <c r="J107" s="402"/>
      <c r="K107" s="402"/>
      <c r="L107" s="402"/>
      <c r="M107" s="402"/>
      <c r="N107" s="402"/>
      <c r="O107" s="402"/>
      <c r="P107" s="402"/>
      <c r="Q107" s="402"/>
      <c r="R107" s="402"/>
      <c r="S107" s="402"/>
      <c r="T107" s="402"/>
      <c r="U107" s="402"/>
      <c r="V107" s="402"/>
      <c r="W107" s="402"/>
      <c r="X107" s="402"/>
      <c r="Y107" s="402"/>
      <c r="Z107" s="402"/>
    </row>
    <row r="108" ht="14.25" customHeight="1">
      <c r="A108" s="406">
        <v>45499.0</v>
      </c>
      <c r="B108" s="349" t="s">
        <v>3076</v>
      </c>
      <c r="C108" s="349" t="s">
        <v>3077</v>
      </c>
      <c r="D108" s="349" t="s">
        <v>54</v>
      </c>
      <c r="E108" s="522" t="s">
        <v>3078</v>
      </c>
      <c r="F108" s="413">
        <v>29250.0</v>
      </c>
      <c r="G108" s="413">
        <v>0.0</v>
      </c>
      <c r="H108" s="349" t="s">
        <v>3124</v>
      </c>
      <c r="I108" s="404" t="str">
        <f t="shared" si="4"/>
        <v>NOT PAID</v>
      </c>
      <c r="J108" s="402"/>
      <c r="K108" s="402"/>
      <c r="L108" s="402"/>
      <c r="M108" s="402"/>
      <c r="N108" s="402"/>
      <c r="O108" s="402"/>
      <c r="P108" s="402"/>
      <c r="Q108" s="402"/>
      <c r="R108" s="402"/>
      <c r="S108" s="402"/>
      <c r="T108" s="402"/>
      <c r="U108" s="402"/>
      <c r="V108" s="402"/>
      <c r="W108" s="402"/>
      <c r="X108" s="402"/>
      <c r="Y108" s="402"/>
      <c r="Z108" s="402"/>
    </row>
    <row r="109" ht="14.25" customHeight="1">
      <c r="A109" s="406">
        <v>45499.0</v>
      </c>
      <c r="B109" s="349" t="s">
        <v>3142</v>
      </c>
      <c r="C109" s="349" t="s">
        <v>3143</v>
      </c>
      <c r="D109" s="349" t="s">
        <v>54</v>
      </c>
      <c r="E109" s="522" t="s">
        <v>797</v>
      </c>
      <c r="F109" s="413">
        <v>60262.74</v>
      </c>
      <c r="G109" s="413">
        <v>0.0</v>
      </c>
      <c r="H109" s="349" t="s">
        <v>3152</v>
      </c>
      <c r="I109" s="404" t="str">
        <f t="shared" si="4"/>
        <v>NOT PAID</v>
      </c>
      <c r="J109" s="402"/>
      <c r="K109" s="402"/>
      <c r="L109" s="402"/>
      <c r="M109" s="402"/>
      <c r="N109" s="402"/>
      <c r="O109" s="402"/>
      <c r="P109" s="402"/>
      <c r="Q109" s="402"/>
      <c r="R109" s="402"/>
      <c r="S109" s="402"/>
      <c r="T109" s="402"/>
      <c r="U109" s="402"/>
      <c r="V109" s="402"/>
      <c r="W109" s="402"/>
      <c r="X109" s="402"/>
      <c r="Y109" s="402"/>
      <c r="Z109" s="402"/>
    </row>
    <row r="110" ht="14.25" customHeight="1">
      <c r="A110" s="406">
        <v>45499.0</v>
      </c>
      <c r="B110" s="349" t="s">
        <v>3139</v>
      </c>
      <c r="C110" s="349" t="s">
        <v>3140</v>
      </c>
      <c r="D110" s="349" t="s">
        <v>54</v>
      </c>
      <c r="E110" s="349" t="s">
        <v>797</v>
      </c>
      <c r="F110" s="413">
        <v>117885.9</v>
      </c>
      <c r="G110" s="413">
        <v>0.0</v>
      </c>
      <c r="H110" s="349" t="s">
        <v>3153</v>
      </c>
      <c r="I110" s="404" t="str">
        <f t="shared" si="4"/>
        <v>NOT PAID</v>
      </c>
      <c r="J110" s="402"/>
      <c r="K110" s="402"/>
      <c r="L110" s="402"/>
      <c r="M110" s="402"/>
      <c r="N110" s="402"/>
      <c r="O110" s="402"/>
      <c r="P110" s="402"/>
      <c r="Q110" s="402"/>
      <c r="R110" s="402"/>
      <c r="S110" s="402"/>
      <c r="T110" s="402"/>
      <c r="U110" s="402"/>
      <c r="V110" s="402"/>
      <c r="W110" s="402"/>
      <c r="X110" s="402"/>
      <c r="Y110" s="402"/>
      <c r="Z110" s="402"/>
    </row>
    <row r="111" ht="14.25" customHeight="1">
      <c r="A111" s="406">
        <v>45499.0</v>
      </c>
      <c r="B111" s="349" t="s">
        <v>3149</v>
      </c>
      <c r="C111" s="349" t="s">
        <v>3150</v>
      </c>
      <c r="D111" s="349" t="s">
        <v>54</v>
      </c>
      <c r="E111" s="522" t="s">
        <v>797</v>
      </c>
      <c r="F111" s="413">
        <v>320142.89</v>
      </c>
      <c r="G111" s="413">
        <v>0.0</v>
      </c>
      <c r="H111" s="349" t="s">
        <v>3153</v>
      </c>
      <c r="I111" s="404" t="str">
        <f t="shared" si="4"/>
        <v>NOT PAID</v>
      </c>
      <c r="J111" s="402"/>
      <c r="K111" s="402"/>
      <c r="L111" s="402"/>
      <c r="M111" s="402"/>
      <c r="N111" s="402"/>
      <c r="O111" s="402"/>
      <c r="P111" s="402"/>
      <c r="Q111" s="402"/>
      <c r="R111" s="402"/>
      <c r="S111" s="402"/>
      <c r="T111" s="402"/>
      <c r="U111" s="402"/>
      <c r="V111" s="402"/>
      <c r="W111" s="402"/>
      <c r="X111" s="402"/>
      <c r="Y111" s="402"/>
      <c r="Z111" s="402"/>
    </row>
    <row r="112" ht="14.25" customHeight="1">
      <c r="A112" s="402"/>
      <c r="B112" s="402"/>
      <c r="C112" s="402"/>
      <c r="D112" s="402"/>
      <c r="E112" s="402"/>
      <c r="F112" s="403"/>
      <c r="G112" s="403"/>
      <c r="H112" s="402"/>
      <c r="I112" s="404"/>
      <c r="J112" s="402"/>
      <c r="K112" s="402"/>
      <c r="L112" s="402"/>
      <c r="M112" s="402"/>
      <c r="N112" s="402"/>
      <c r="O112" s="402"/>
      <c r="P112" s="402"/>
      <c r="Q112" s="402"/>
      <c r="R112" s="402"/>
      <c r="S112" s="402"/>
      <c r="T112" s="402"/>
      <c r="U112" s="402"/>
      <c r="V112" s="402"/>
      <c r="W112" s="402"/>
      <c r="X112" s="402"/>
      <c r="Y112" s="402"/>
      <c r="Z112" s="402"/>
    </row>
    <row r="113" ht="14.25" customHeight="1">
      <c r="A113" s="729" t="s">
        <v>47</v>
      </c>
      <c r="B113" s="730" t="s">
        <v>39</v>
      </c>
      <c r="C113" s="730" t="s">
        <v>3075</v>
      </c>
      <c r="D113" s="730" t="s">
        <v>49</v>
      </c>
      <c r="E113" s="730" t="s">
        <v>50</v>
      </c>
      <c r="F113" s="731" t="s">
        <v>2</v>
      </c>
      <c r="G113" s="731" t="s">
        <v>4</v>
      </c>
      <c r="H113" s="730" t="s">
        <v>45</v>
      </c>
      <c r="I113" s="404"/>
      <c r="J113" s="402"/>
      <c r="K113" s="402"/>
      <c r="L113" s="402"/>
      <c r="M113" s="402"/>
      <c r="N113" s="402"/>
      <c r="O113" s="402"/>
      <c r="P113" s="402"/>
      <c r="Q113" s="402"/>
      <c r="R113" s="402"/>
      <c r="S113" s="402"/>
      <c r="T113" s="402"/>
      <c r="U113" s="402"/>
      <c r="V113" s="402"/>
      <c r="W113" s="402"/>
      <c r="X113" s="402"/>
      <c r="Y113" s="402"/>
      <c r="Z113" s="402"/>
    </row>
    <row r="114" ht="14.25" customHeight="1">
      <c r="A114" s="406">
        <v>45500.0</v>
      </c>
      <c r="B114" s="522" t="s">
        <v>3087</v>
      </c>
      <c r="C114" s="522" t="s">
        <v>3088</v>
      </c>
      <c r="D114" s="522" t="s">
        <v>54</v>
      </c>
      <c r="E114" s="522" t="s">
        <v>3089</v>
      </c>
      <c r="F114" s="567">
        <v>20000.0</v>
      </c>
      <c r="G114" s="413"/>
      <c r="H114" s="349" t="s">
        <v>3079</v>
      </c>
      <c r="I114" s="404" t="str">
        <f t="shared" ref="I114:I547" si="5">IF(G114&gt;=F114,"FULLY PAID",IF(G114=0,"NOT PAID","PARTIALLY PAID"))</f>
        <v>NOT PAID</v>
      </c>
      <c r="J114" s="402"/>
      <c r="K114" s="402"/>
      <c r="L114" s="402"/>
      <c r="M114" s="402"/>
      <c r="N114" s="402"/>
      <c r="O114" s="402"/>
      <c r="P114" s="402"/>
      <c r="Q114" s="402"/>
      <c r="R114" s="402"/>
      <c r="S114" s="402"/>
      <c r="T114" s="402"/>
      <c r="U114" s="402"/>
      <c r="V114" s="402"/>
      <c r="W114" s="402"/>
      <c r="X114" s="402"/>
      <c r="Y114" s="402"/>
      <c r="Z114" s="402"/>
    </row>
    <row r="115" ht="14.25" customHeight="1">
      <c r="A115" s="406">
        <v>45500.0</v>
      </c>
      <c r="B115" s="522" t="s">
        <v>3094</v>
      </c>
      <c r="C115" s="522" t="s">
        <v>3095</v>
      </c>
      <c r="D115" s="522" t="s">
        <v>54</v>
      </c>
      <c r="E115" s="522" t="s">
        <v>3078</v>
      </c>
      <c r="F115" s="567">
        <v>14768.0</v>
      </c>
      <c r="G115" s="413"/>
      <c r="H115" s="349" t="s">
        <v>3154</v>
      </c>
      <c r="I115" s="404" t="str">
        <f t="shared" si="5"/>
        <v>NOT PAID</v>
      </c>
      <c r="J115" s="402"/>
      <c r="K115" s="402"/>
      <c r="L115" s="402"/>
      <c r="M115" s="402"/>
      <c r="N115" s="402"/>
      <c r="O115" s="402"/>
      <c r="P115" s="402"/>
      <c r="Q115" s="402"/>
      <c r="R115" s="402"/>
      <c r="S115" s="402"/>
      <c r="T115" s="402"/>
      <c r="U115" s="402"/>
      <c r="V115" s="402"/>
      <c r="W115" s="402"/>
      <c r="X115" s="402"/>
      <c r="Y115" s="402"/>
      <c r="Z115" s="402"/>
    </row>
    <row r="116" ht="14.25" customHeight="1">
      <c r="A116" s="406">
        <v>45500.0</v>
      </c>
      <c r="B116" s="522" t="s">
        <v>652</v>
      </c>
      <c r="C116" s="522" t="s">
        <v>3097</v>
      </c>
      <c r="D116" s="522" t="s">
        <v>2010</v>
      </c>
      <c r="E116" s="522" t="s">
        <v>3093</v>
      </c>
      <c r="F116" s="567">
        <v>126850.0</v>
      </c>
      <c r="G116" s="413"/>
      <c r="H116" s="349" t="s">
        <v>3155</v>
      </c>
      <c r="I116" s="404" t="str">
        <f t="shared" si="5"/>
        <v>NOT PAID</v>
      </c>
      <c r="J116" s="402"/>
      <c r="K116" s="402"/>
      <c r="L116" s="402"/>
      <c r="M116" s="402"/>
      <c r="N116" s="402"/>
      <c r="O116" s="402"/>
      <c r="P116" s="402"/>
      <c r="Q116" s="402"/>
      <c r="R116" s="402"/>
      <c r="S116" s="402"/>
      <c r="T116" s="402"/>
      <c r="U116" s="402"/>
      <c r="V116" s="402"/>
      <c r="W116" s="402"/>
      <c r="X116" s="402"/>
      <c r="Y116" s="402"/>
      <c r="Z116" s="402"/>
    </row>
    <row r="117" ht="14.25" customHeight="1">
      <c r="A117" s="406">
        <v>45500.0</v>
      </c>
      <c r="B117" s="522" t="s">
        <v>3099</v>
      </c>
      <c r="C117" s="522" t="s">
        <v>3100</v>
      </c>
      <c r="D117" s="522" t="s">
        <v>54</v>
      </c>
      <c r="E117" s="522" t="s">
        <v>3101</v>
      </c>
      <c r="F117" s="567">
        <v>120625.0</v>
      </c>
      <c r="G117" s="413"/>
      <c r="H117" s="349" t="s">
        <v>3156</v>
      </c>
      <c r="I117" s="404" t="str">
        <f t="shared" si="5"/>
        <v>NOT PAID</v>
      </c>
      <c r="J117" s="402"/>
      <c r="K117" s="402"/>
      <c r="L117" s="402"/>
      <c r="M117" s="402"/>
      <c r="N117" s="402"/>
      <c r="O117" s="402"/>
      <c r="P117" s="402"/>
      <c r="Q117" s="402"/>
      <c r="R117" s="402"/>
      <c r="S117" s="402"/>
      <c r="T117" s="402"/>
      <c r="U117" s="402"/>
      <c r="V117" s="402"/>
      <c r="W117" s="402"/>
      <c r="X117" s="402"/>
      <c r="Y117" s="402"/>
      <c r="Z117" s="402"/>
    </row>
    <row r="118" ht="14.25" customHeight="1">
      <c r="A118" s="406">
        <v>45500.0</v>
      </c>
      <c r="B118" s="349" t="s">
        <v>3102</v>
      </c>
      <c r="C118" s="349" t="s">
        <v>3103</v>
      </c>
      <c r="D118" s="349" t="s">
        <v>54</v>
      </c>
      <c r="E118" s="522" t="s">
        <v>3101</v>
      </c>
      <c r="F118" s="413">
        <v>21000.0</v>
      </c>
      <c r="G118" s="413"/>
      <c r="H118" s="349" t="s">
        <v>3157</v>
      </c>
      <c r="I118" s="404" t="str">
        <f t="shared" si="5"/>
        <v>NOT PAID</v>
      </c>
      <c r="J118" s="402"/>
      <c r="K118" s="402"/>
      <c r="L118" s="402"/>
      <c r="M118" s="402"/>
      <c r="N118" s="402"/>
      <c r="O118" s="402"/>
      <c r="P118" s="402"/>
      <c r="Q118" s="402"/>
      <c r="R118" s="402"/>
      <c r="S118" s="402"/>
      <c r="T118" s="402"/>
      <c r="U118" s="402"/>
      <c r="V118" s="402"/>
      <c r="W118" s="402"/>
      <c r="X118" s="402"/>
      <c r="Y118" s="402"/>
      <c r="Z118" s="402"/>
    </row>
    <row r="119" ht="14.25" customHeight="1">
      <c r="A119" s="406">
        <v>45500.0</v>
      </c>
      <c r="B119" s="349" t="s">
        <v>3107</v>
      </c>
      <c r="C119" s="349" t="s">
        <v>3108</v>
      </c>
      <c r="D119" s="349" t="s">
        <v>54</v>
      </c>
      <c r="E119" s="349" t="s">
        <v>3101</v>
      </c>
      <c r="F119" s="413">
        <v>11900.0</v>
      </c>
      <c r="G119" s="413"/>
      <c r="H119" s="735" t="s">
        <v>3158</v>
      </c>
      <c r="I119" s="404" t="str">
        <f t="shared" si="5"/>
        <v>NOT PAID</v>
      </c>
      <c r="J119" s="402"/>
      <c r="K119" s="402"/>
      <c r="L119" s="402"/>
      <c r="M119" s="402"/>
      <c r="N119" s="402"/>
      <c r="O119" s="402"/>
      <c r="P119" s="402"/>
      <c r="Q119" s="402"/>
      <c r="R119" s="402"/>
      <c r="S119" s="402"/>
      <c r="T119" s="402"/>
      <c r="U119" s="402"/>
      <c r="V119" s="402"/>
      <c r="W119" s="402"/>
      <c r="X119" s="402"/>
      <c r="Y119" s="402"/>
      <c r="Z119" s="402"/>
    </row>
    <row r="120" ht="14.25" customHeight="1">
      <c r="A120" s="406">
        <v>45500.0</v>
      </c>
      <c r="B120" s="522" t="s">
        <v>3109</v>
      </c>
      <c r="C120" s="522" t="s">
        <v>3110</v>
      </c>
      <c r="D120" s="522" t="s">
        <v>54</v>
      </c>
      <c r="E120" s="522" t="s">
        <v>3101</v>
      </c>
      <c r="F120" s="733">
        <v>6400.0</v>
      </c>
      <c r="G120" s="413"/>
      <c r="H120" s="735" t="s">
        <v>3159</v>
      </c>
      <c r="I120" s="404" t="str">
        <f t="shared" si="5"/>
        <v>NOT PAID</v>
      </c>
      <c r="J120" s="402"/>
      <c r="K120" s="402"/>
      <c r="L120" s="402"/>
      <c r="M120" s="402"/>
      <c r="N120" s="402"/>
      <c r="O120" s="402"/>
      <c r="P120" s="402"/>
      <c r="Q120" s="402"/>
      <c r="R120" s="402"/>
      <c r="S120" s="402"/>
      <c r="T120" s="402"/>
      <c r="U120" s="402"/>
      <c r="V120" s="402"/>
      <c r="W120" s="402"/>
      <c r="X120" s="402"/>
      <c r="Y120" s="402"/>
      <c r="Z120" s="402"/>
    </row>
    <row r="121" ht="14.25" customHeight="1">
      <c r="A121" s="406">
        <v>45500.0</v>
      </c>
      <c r="B121" s="522" t="s">
        <v>3111</v>
      </c>
      <c r="C121" s="522" t="s">
        <v>3112</v>
      </c>
      <c r="D121" s="522" t="s">
        <v>54</v>
      </c>
      <c r="E121" s="522" t="s">
        <v>3078</v>
      </c>
      <c r="F121" s="567">
        <v>750.0</v>
      </c>
      <c r="G121" s="413"/>
      <c r="H121" s="735" t="s">
        <v>3079</v>
      </c>
      <c r="I121" s="404" t="str">
        <f t="shared" si="5"/>
        <v>NOT PAID</v>
      </c>
      <c r="J121" s="402"/>
      <c r="K121" s="402"/>
      <c r="L121" s="402"/>
      <c r="M121" s="402"/>
      <c r="N121" s="402"/>
      <c r="O121" s="402"/>
      <c r="P121" s="402"/>
      <c r="Q121" s="402"/>
      <c r="R121" s="402"/>
      <c r="S121" s="402"/>
      <c r="T121" s="402"/>
      <c r="U121" s="402"/>
      <c r="V121" s="402"/>
      <c r="W121" s="402"/>
      <c r="X121" s="402"/>
      <c r="Y121" s="402"/>
      <c r="Z121" s="402"/>
    </row>
    <row r="122" ht="14.25" customHeight="1">
      <c r="A122" s="406">
        <v>45500.0</v>
      </c>
      <c r="B122" s="349" t="s">
        <v>3122</v>
      </c>
      <c r="C122" s="349" t="s">
        <v>3123</v>
      </c>
      <c r="D122" s="349" t="s">
        <v>75</v>
      </c>
      <c r="E122" s="349" t="s">
        <v>3115</v>
      </c>
      <c r="F122" s="413">
        <v>4200.0</v>
      </c>
      <c r="G122" s="413"/>
      <c r="H122" s="732" t="s">
        <v>3160</v>
      </c>
      <c r="I122" s="404" t="str">
        <f t="shared" si="5"/>
        <v>NOT PAID</v>
      </c>
      <c r="J122" s="402"/>
      <c r="K122" s="402"/>
      <c r="L122" s="402"/>
      <c r="M122" s="402"/>
      <c r="N122" s="402"/>
      <c r="O122" s="402"/>
      <c r="P122" s="402"/>
      <c r="Q122" s="402"/>
      <c r="R122" s="402"/>
      <c r="S122" s="402"/>
      <c r="T122" s="402"/>
      <c r="U122" s="402"/>
      <c r="V122" s="402"/>
      <c r="W122" s="402"/>
      <c r="X122" s="402"/>
      <c r="Y122" s="402"/>
      <c r="Z122" s="402"/>
    </row>
    <row r="123" ht="14.25" customHeight="1">
      <c r="A123" s="406">
        <v>45500.0</v>
      </c>
      <c r="B123" s="349" t="s">
        <v>3076</v>
      </c>
      <c r="C123" s="349" t="s">
        <v>3077</v>
      </c>
      <c r="D123" s="349" t="s">
        <v>54</v>
      </c>
      <c r="E123" s="522" t="s">
        <v>3078</v>
      </c>
      <c r="F123" s="413">
        <v>29250.0</v>
      </c>
      <c r="G123" s="413"/>
      <c r="H123" s="349" t="s">
        <v>3161</v>
      </c>
      <c r="I123" s="404" t="str">
        <f t="shared" si="5"/>
        <v>NOT PAID</v>
      </c>
      <c r="J123" s="402"/>
      <c r="K123" s="402"/>
      <c r="L123" s="402"/>
      <c r="M123" s="402"/>
      <c r="N123" s="402"/>
      <c r="O123" s="402"/>
      <c r="P123" s="402"/>
      <c r="Q123" s="402"/>
      <c r="R123" s="402"/>
      <c r="S123" s="402"/>
      <c r="T123" s="402"/>
      <c r="U123" s="402"/>
      <c r="V123" s="402"/>
      <c r="W123" s="402"/>
      <c r="X123" s="402"/>
      <c r="Y123" s="402"/>
      <c r="Z123" s="402"/>
    </row>
    <row r="124" ht="14.25" customHeight="1">
      <c r="A124" s="406">
        <v>45500.0</v>
      </c>
      <c r="B124" s="349" t="s">
        <v>3142</v>
      </c>
      <c r="C124" s="349" t="s">
        <v>3143</v>
      </c>
      <c r="D124" s="349" t="s">
        <v>54</v>
      </c>
      <c r="E124" s="522" t="s">
        <v>797</v>
      </c>
      <c r="F124" s="413">
        <v>60262.74</v>
      </c>
      <c r="G124" s="413"/>
      <c r="H124" s="349" t="s">
        <v>3152</v>
      </c>
      <c r="I124" s="404" t="str">
        <f t="shared" si="5"/>
        <v>NOT PAID</v>
      </c>
      <c r="J124" s="402"/>
      <c r="K124" s="402"/>
      <c r="L124" s="402"/>
      <c r="M124" s="402"/>
      <c r="N124" s="402"/>
      <c r="O124" s="402"/>
      <c r="P124" s="402"/>
      <c r="Q124" s="402"/>
      <c r="R124" s="402"/>
      <c r="S124" s="402"/>
      <c r="T124" s="402"/>
      <c r="U124" s="402"/>
      <c r="V124" s="402"/>
      <c r="W124" s="402"/>
      <c r="X124" s="402"/>
      <c r="Y124" s="402"/>
      <c r="Z124" s="402"/>
    </row>
    <row r="125" ht="14.25" customHeight="1">
      <c r="A125" s="406">
        <v>45500.0</v>
      </c>
      <c r="B125" s="349" t="s">
        <v>3139</v>
      </c>
      <c r="C125" s="349" t="s">
        <v>3140</v>
      </c>
      <c r="D125" s="349" t="s">
        <v>54</v>
      </c>
      <c r="E125" s="349" t="s">
        <v>797</v>
      </c>
      <c r="F125" s="413">
        <v>117885.9</v>
      </c>
      <c r="G125" s="413"/>
      <c r="H125" s="349" t="s">
        <v>3153</v>
      </c>
      <c r="I125" s="404" t="str">
        <f t="shared" si="5"/>
        <v>NOT PAID</v>
      </c>
      <c r="J125" s="402"/>
      <c r="K125" s="402"/>
      <c r="L125" s="402"/>
      <c r="M125" s="402"/>
      <c r="N125" s="402"/>
      <c r="O125" s="402"/>
      <c r="P125" s="402"/>
      <c r="Q125" s="402"/>
      <c r="R125" s="402"/>
      <c r="S125" s="402"/>
      <c r="T125" s="402"/>
      <c r="U125" s="402"/>
      <c r="V125" s="402"/>
      <c r="W125" s="402"/>
      <c r="X125" s="402"/>
      <c r="Y125" s="402"/>
      <c r="Z125" s="402"/>
    </row>
    <row r="126" ht="14.25" customHeight="1">
      <c r="A126" s="406">
        <v>45500.0</v>
      </c>
      <c r="B126" s="349" t="s">
        <v>3149</v>
      </c>
      <c r="C126" s="349" t="s">
        <v>3150</v>
      </c>
      <c r="D126" s="349" t="s">
        <v>54</v>
      </c>
      <c r="E126" s="522" t="s">
        <v>797</v>
      </c>
      <c r="F126" s="413">
        <v>320142.89</v>
      </c>
      <c r="G126" s="413"/>
      <c r="H126" s="349" t="s">
        <v>3153</v>
      </c>
      <c r="I126" s="404" t="str">
        <f t="shared" si="5"/>
        <v>NOT PAID</v>
      </c>
      <c r="J126" s="402"/>
      <c r="K126" s="402"/>
      <c r="L126" s="402"/>
      <c r="M126" s="402"/>
      <c r="N126" s="402"/>
      <c r="O126" s="402"/>
      <c r="P126" s="402"/>
      <c r="Q126" s="402"/>
      <c r="R126" s="402"/>
      <c r="S126" s="402"/>
      <c r="T126" s="402"/>
      <c r="U126" s="402"/>
      <c r="V126" s="402"/>
      <c r="W126" s="402"/>
      <c r="X126" s="402"/>
      <c r="Y126" s="402"/>
      <c r="Z126" s="402"/>
    </row>
    <row r="127" ht="14.25" customHeight="1">
      <c r="A127" s="402"/>
      <c r="B127" s="402"/>
      <c r="C127" s="402"/>
      <c r="D127" s="402"/>
      <c r="E127" s="402"/>
      <c r="F127" s="403"/>
      <c r="G127" s="403"/>
      <c r="H127" s="349"/>
      <c r="I127" s="404" t="str">
        <f t="shared" si="5"/>
        <v>FULLY PAID</v>
      </c>
      <c r="J127" s="402"/>
      <c r="K127" s="402"/>
      <c r="L127" s="402"/>
      <c r="M127" s="402"/>
      <c r="N127" s="402"/>
      <c r="O127" s="402"/>
      <c r="P127" s="402"/>
      <c r="Q127" s="402"/>
      <c r="R127" s="402"/>
      <c r="S127" s="402"/>
      <c r="T127" s="402"/>
      <c r="U127" s="402"/>
      <c r="V127" s="402"/>
      <c r="W127" s="402"/>
      <c r="X127" s="402"/>
      <c r="Y127" s="402"/>
      <c r="Z127" s="402"/>
    </row>
    <row r="128" ht="14.25" customHeight="1">
      <c r="A128" s="729" t="s">
        <v>47</v>
      </c>
      <c r="B128" s="730" t="s">
        <v>39</v>
      </c>
      <c r="C128" s="730" t="s">
        <v>3075</v>
      </c>
      <c r="D128" s="730" t="s">
        <v>49</v>
      </c>
      <c r="E128" s="730" t="s">
        <v>50</v>
      </c>
      <c r="F128" s="731" t="s">
        <v>2</v>
      </c>
      <c r="G128" s="731" t="s">
        <v>4</v>
      </c>
      <c r="H128" s="349" t="s">
        <v>710</v>
      </c>
      <c r="I128" s="404" t="str">
        <f t="shared" si="5"/>
        <v>FULLY PAID</v>
      </c>
      <c r="J128" s="402"/>
      <c r="K128" s="402"/>
      <c r="L128" s="402"/>
      <c r="M128" s="402"/>
      <c r="N128" s="402"/>
      <c r="O128" s="402"/>
      <c r="P128" s="402"/>
      <c r="Q128" s="402"/>
      <c r="R128" s="402"/>
      <c r="S128" s="402"/>
      <c r="T128" s="402"/>
      <c r="U128" s="402"/>
      <c r="V128" s="402"/>
      <c r="W128" s="402"/>
      <c r="X128" s="402"/>
      <c r="Y128" s="402"/>
      <c r="Z128" s="402"/>
    </row>
    <row r="129" ht="14.25" customHeight="1">
      <c r="A129" s="406">
        <v>45502.0</v>
      </c>
      <c r="B129" s="522" t="s">
        <v>3087</v>
      </c>
      <c r="C129" s="522" t="s">
        <v>3088</v>
      </c>
      <c r="D129" s="522" t="s">
        <v>54</v>
      </c>
      <c r="E129" s="522" t="s">
        <v>3089</v>
      </c>
      <c r="F129" s="567">
        <v>21800.0</v>
      </c>
      <c r="G129" s="413">
        <v>0.0</v>
      </c>
      <c r="H129" s="349" t="s">
        <v>3079</v>
      </c>
      <c r="I129" s="404" t="str">
        <f t="shared" si="5"/>
        <v>NOT PAID</v>
      </c>
      <c r="J129" s="402"/>
      <c r="K129" s="402"/>
      <c r="L129" s="402"/>
      <c r="M129" s="402"/>
      <c r="N129" s="402"/>
      <c r="O129" s="402"/>
      <c r="P129" s="402"/>
      <c r="Q129" s="402"/>
      <c r="R129" s="402"/>
      <c r="S129" s="402"/>
      <c r="T129" s="402"/>
      <c r="U129" s="402"/>
      <c r="V129" s="402"/>
      <c r="W129" s="402"/>
      <c r="X129" s="402"/>
      <c r="Y129" s="402"/>
      <c r="Z129" s="402"/>
    </row>
    <row r="130" ht="14.25" customHeight="1">
      <c r="A130" s="406">
        <v>45502.0</v>
      </c>
      <c r="B130" s="522" t="s">
        <v>3094</v>
      </c>
      <c r="C130" s="522" t="s">
        <v>3095</v>
      </c>
      <c r="D130" s="522" t="s">
        <v>54</v>
      </c>
      <c r="E130" s="522" t="s">
        <v>3078</v>
      </c>
      <c r="F130" s="567">
        <v>18300.0</v>
      </c>
      <c r="G130" s="413">
        <v>0.0</v>
      </c>
      <c r="H130" s="349" t="s">
        <v>3079</v>
      </c>
      <c r="I130" s="404" t="str">
        <f t="shared" si="5"/>
        <v>NOT PAID</v>
      </c>
      <c r="J130" s="402"/>
      <c r="K130" s="402"/>
      <c r="L130" s="402"/>
      <c r="M130" s="402"/>
      <c r="N130" s="402"/>
      <c r="O130" s="402"/>
      <c r="P130" s="402"/>
      <c r="Q130" s="402"/>
      <c r="R130" s="402"/>
      <c r="S130" s="402"/>
      <c r="T130" s="402"/>
      <c r="U130" s="402"/>
      <c r="V130" s="402"/>
      <c r="W130" s="402"/>
      <c r="X130" s="402"/>
      <c r="Y130" s="402"/>
      <c r="Z130" s="402"/>
    </row>
    <row r="131" ht="14.25" customHeight="1">
      <c r="A131" s="406">
        <v>45502.0</v>
      </c>
      <c r="B131" s="522" t="s">
        <v>652</v>
      </c>
      <c r="C131" s="522" t="s">
        <v>3097</v>
      </c>
      <c r="D131" s="522" t="s">
        <v>2010</v>
      </c>
      <c r="E131" s="522" t="s">
        <v>3093</v>
      </c>
      <c r="F131" s="567">
        <v>132104.0</v>
      </c>
      <c r="G131" s="413">
        <v>0.0</v>
      </c>
      <c r="H131" s="349" t="s">
        <v>3079</v>
      </c>
      <c r="I131" s="404" t="str">
        <f t="shared" si="5"/>
        <v>NOT PAID</v>
      </c>
      <c r="J131" s="402"/>
      <c r="K131" s="402"/>
      <c r="L131" s="402"/>
      <c r="M131" s="402"/>
      <c r="N131" s="402"/>
      <c r="O131" s="402"/>
      <c r="P131" s="402"/>
      <c r="Q131" s="402"/>
      <c r="R131" s="402"/>
      <c r="S131" s="402"/>
      <c r="T131" s="402"/>
      <c r="U131" s="402"/>
      <c r="V131" s="402"/>
      <c r="W131" s="402"/>
      <c r="X131" s="402"/>
      <c r="Y131" s="402"/>
      <c r="Z131" s="402"/>
    </row>
    <row r="132" ht="14.25" customHeight="1">
      <c r="A132" s="406">
        <v>45502.0</v>
      </c>
      <c r="B132" s="522" t="s">
        <v>3099</v>
      </c>
      <c r="C132" s="522" t="s">
        <v>3100</v>
      </c>
      <c r="D132" s="522" t="s">
        <v>54</v>
      </c>
      <c r="E132" s="522" t="s">
        <v>3101</v>
      </c>
      <c r="F132" s="567">
        <v>124650.0</v>
      </c>
      <c r="G132" s="413">
        <v>0.0</v>
      </c>
      <c r="H132" s="732" t="s">
        <v>2320</v>
      </c>
      <c r="I132" s="404" t="str">
        <f t="shared" si="5"/>
        <v>NOT PAID</v>
      </c>
      <c r="J132" s="402"/>
      <c r="K132" s="402"/>
      <c r="L132" s="402"/>
      <c r="M132" s="402"/>
      <c r="N132" s="402"/>
      <c r="O132" s="402"/>
      <c r="P132" s="402"/>
      <c r="Q132" s="402"/>
      <c r="R132" s="402"/>
      <c r="S132" s="402"/>
      <c r="T132" s="402"/>
      <c r="U132" s="402"/>
      <c r="V132" s="402"/>
      <c r="W132" s="402"/>
      <c r="X132" s="402"/>
      <c r="Y132" s="402"/>
      <c r="Z132" s="402"/>
    </row>
    <row r="133" ht="14.25" customHeight="1">
      <c r="A133" s="406">
        <v>45502.0</v>
      </c>
      <c r="B133" s="349" t="s">
        <v>3102</v>
      </c>
      <c r="C133" s="349" t="s">
        <v>3103</v>
      </c>
      <c r="D133" s="349" t="s">
        <v>54</v>
      </c>
      <c r="E133" s="522" t="s">
        <v>3101</v>
      </c>
      <c r="F133" s="413">
        <v>21000.0</v>
      </c>
      <c r="G133" s="413">
        <v>21000.0</v>
      </c>
      <c r="H133" s="349" t="s">
        <v>710</v>
      </c>
      <c r="I133" s="404" t="str">
        <f t="shared" si="5"/>
        <v>FULLY PAID</v>
      </c>
      <c r="J133" s="402"/>
      <c r="K133" s="402"/>
      <c r="L133" s="402"/>
      <c r="M133" s="402"/>
      <c r="N133" s="402"/>
      <c r="O133" s="402"/>
      <c r="P133" s="402"/>
      <c r="Q133" s="402"/>
      <c r="R133" s="402"/>
      <c r="S133" s="402"/>
      <c r="T133" s="402"/>
      <c r="U133" s="402"/>
      <c r="V133" s="402"/>
      <c r="W133" s="402"/>
      <c r="X133" s="402"/>
      <c r="Y133" s="402"/>
      <c r="Z133" s="402"/>
    </row>
    <row r="134" ht="14.25" customHeight="1">
      <c r="A134" s="406">
        <v>45502.0</v>
      </c>
      <c r="B134" s="349" t="s">
        <v>3107</v>
      </c>
      <c r="C134" s="349" t="s">
        <v>3108</v>
      </c>
      <c r="D134" s="349" t="s">
        <v>54</v>
      </c>
      <c r="E134" s="349" t="s">
        <v>3101</v>
      </c>
      <c r="F134" s="413">
        <v>14050.0</v>
      </c>
      <c r="G134" s="413">
        <v>5000.0</v>
      </c>
      <c r="H134" s="349" t="s">
        <v>3162</v>
      </c>
      <c r="I134" s="404" t="str">
        <f t="shared" si="5"/>
        <v>PARTIALLY PAID</v>
      </c>
      <c r="J134" s="402"/>
      <c r="K134" s="402"/>
      <c r="L134" s="402"/>
      <c r="M134" s="402"/>
      <c r="N134" s="402"/>
      <c r="O134" s="402"/>
      <c r="P134" s="402"/>
      <c r="Q134" s="402"/>
      <c r="R134" s="402"/>
      <c r="S134" s="402"/>
      <c r="T134" s="402"/>
      <c r="U134" s="402"/>
      <c r="V134" s="402"/>
      <c r="W134" s="402"/>
      <c r="X134" s="402"/>
      <c r="Y134" s="402"/>
      <c r="Z134" s="402"/>
    </row>
    <row r="135" ht="14.25" customHeight="1">
      <c r="A135" s="406">
        <v>45502.0</v>
      </c>
      <c r="B135" s="522" t="s">
        <v>3109</v>
      </c>
      <c r="C135" s="522" t="s">
        <v>3110</v>
      </c>
      <c r="D135" s="522" t="s">
        <v>54</v>
      </c>
      <c r="E135" s="522" t="s">
        <v>3101</v>
      </c>
      <c r="F135" s="733">
        <v>6400.0</v>
      </c>
      <c r="G135" s="413">
        <v>6400.0</v>
      </c>
      <c r="H135" s="349" t="s">
        <v>267</v>
      </c>
      <c r="I135" s="404" t="str">
        <f t="shared" si="5"/>
        <v>FULLY PAID</v>
      </c>
      <c r="J135" s="402"/>
      <c r="K135" s="402"/>
      <c r="L135" s="402"/>
      <c r="M135" s="402"/>
      <c r="N135" s="402"/>
      <c r="O135" s="402"/>
      <c r="P135" s="402"/>
      <c r="Q135" s="402"/>
      <c r="R135" s="402"/>
      <c r="S135" s="402"/>
      <c r="T135" s="402"/>
      <c r="U135" s="402"/>
      <c r="V135" s="402"/>
      <c r="W135" s="402"/>
      <c r="X135" s="402"/>
      <c r="Y135" s="402"/>
      <c r="Z135" s="402"/>
    </row>
    <row r="136" ht="14.25" customHeight="1">
      <c r="A136" s="406">
        <v>45502.0</v>
      </c>
      <c r="B136" s="522" t="s">
        <v>3111</v>
      </c>
      <c r="C136" s="522" t="s">
        <v>3112</v>
      </c>
      <c r="D136" s="522" t="s">
        <v>54</v>
      </c>
      <c r="E136" s="522" t="s">
        <v>3078</v>
      </c>
      <c r="F136" s="567">
        <v>750.0</v>
      </c>
      <c r="G136" s="413">
        <v>750.0</v>
      </c>
      <c r="H136" s="349" t="s">
        <v>710</v>
      </c>
      <c r="I136" s="404" t="str">
        <f t="shared" si="5"/>
        <v>FULLY PAID</v>
      </c>
      <c r="J136" s="402"/>
      <c r="K136" s="402"/>
      <c r="L136" s="402"/>
      <c r="M136" s="402"/>
      <c r="N136" s="402"/>
      <c r="O136" s="402"/>
      <c r="P136" s="402"/>
      <c r="Q136" s="402"/>
      <c r="R136" s="402"/>
      <c r="S136" s="402"/>
      <c r="T136" s="402"/>
      <c r="U136" s="402"/>
      <c r="V136" s="402"/>
      <c r="W136" s="402"/>
      <c r="X136" s="402"/>
      <c r="Y136" s="402"/>
      <c r="Z136" s="402"/>
    </row>
    <row r="137" ht="14.25" customHeight="1">
      <c r="A137" s="406">
        <v>45502.0</v>
      </c>
      <c r="B137" s="349" t="s">
        <v>3122</v>
      </c>
      <c r="C137" s="349" t="s">
        <v>3123</v>
      </c>
      <c r="D137" s="349" t="s">
        <v>75</v>
      </c>
      <c r="E137" s="349" t="s">
        <v>3115</v>
      </c>
      <c r="F137" s="413">
        <v>4350.0</v>
      </c>
      <c r="G137" s="413">
        <v>0.0</v>
      </c>
      <c r="H137" s="349" t="s">
        <v>3163</v>
      </c>
      <c r="I137" s="404" t="str">
        <f t="shared" si="5"/>
        <v>NOT PAID</v>
      </c>
      <c r="J137" s="402"/>
      <c r="K137" s="402"/>
      <c r="L137" s="402"/>
      <c r="M137" s="402"/>
      <c r="N137" s="402"/>
      <c r="O137" s="402"/>
      <c r="P137" s="402"/>
      <c r="Q137" s="402"/>
      <c r="R137" s="402"/>
      <c r="S137" s="402"/>
      <c r="T137" s="402"/>
      <c r="U137" s="402"/>
      <c r="V137" s="402"/>
      <c r="W137" s="402"/>
      <c r="X137" s="402"/>
      <c r="Y137" s="402"/>
      <c r="Z137" s="402"/>
    </row>
    <row r="138" ht="14.25" customHeight="1">
      <c r="A138" s="406">
        <v>45502.0</v>
      </c>
      <c r="B138" s="349" t="s">
        <v>3076</v>
      </c>
      <c r="C138" s="349" t="s">
        <v>3077</v>
      </c>
      <c r="D138" s="349" t="s">
        <v>54</v>
      </c>
      <c r="E138" s="522" t="s">
        <v>3078</v>
      </c>
      <c r="F138" s="413">
        <v>41300.0</v>
      </c>
      <c r="G138" s="413">
        <v>0.0</v>
      </c>
      <c r="H138" s="349" t="s">
        <v>3164</v>
      </c>
      <c r="I138" s="404" t="str">
        <f t="shared" si="5"/>
        <v>NOT PAID</v>
      </c>
      <c r="J138" s="402"/>
      <c r="K138" s="402"/>
      <c r="L138" s="402"/>
      <c r="M138" s="402"/>
      <c r="N138" s="402"/>
      <c r="O138" s="402"/>
      <c r="P138" s="402"/>
      <c r="Q138" s="402"/>
      <c r="R138" s="402"/>
      <c r="S138" s="402"/>
      <c r="T138" s="402"/>
      <c r="U138" s="402"/>
      <c r="V138" s="402"/>
      <c r="W138" s="402"/>
      <c r="X138" s="402"/>
      <c r="Y138" s="402"/>
      <c r="Z138" s="402"/>
    </row>
    <row r="139" ht="14.25" customHeight="1">
      <c r="A139" s="406">
        <v>45502.0</v>
      </c>
      <c r="B139" s="349" t="s">
        <v>3142</v>
      </c>
      <c r="C139" s="349" t="s">
        <v>3143</v>
      </c>
      <c r="D139" s="349" t="s">
        <v>54</v>
      </c>
      <c r="E139" s="522" t="s">
        <v>797</v>
      </c>
      <c r="F139" s="413">
        <v>60262.74</v>
      </c>
      <c r="G139" s="413">
        <v>0.0</v>
      </c>
      <c r="H139" s="349" t="s">
        <v>3165</v>
      </c>
      <c r="I139" s="404" t="str">
        <f t="shared" si="5"/>
        <v>NOT PAID</v>
      </c>
      <c r="J139" s="402"/>
      <c r="K139" s="402"/>
      <c r="L139" s="402"/>
      <c r="M139" s="402"/>
      <c r="N139" s="402"/>
      <c r="O139" s="402"/>
      <c r="P139" s="402"/>
      <c r="Q139" s="402"/>
      <c r="R139" s="402"/>
      <c r="S139" s="402"/>
      <c r="T139" s="402"/>
      <c r="U139" s="402"/>
      <c r="V139" s="402"/>
      <c r="W139" s="402"/>
      <c r="X139" s="402"/>
      <c r="Y139" s="402"/>
      <c r="Z139" s="402"/>
    </row>
    <row r="140" ht="14.25" customHeight="1">
      <c r="A140" s="406">
        <v>45502.0</v>
      </c>
      <c r="B140" s="349" t="s">
        <v>3139</v>
      </c>
      <c r="C140" s="349" t="s">
        <v>3140</v>
      </c>
      <c r="D140" s="349" t="s">
        <v>54</v>
      </c>
      <c r="E140" s="349" t="s">
        <v>797</v>
      </c>
      <c r="F140" s="413">
        <v>117885.9</v>
      </c>
      <c r="G140" s="413">
        <v>0.0</v>
      </c>
      <c r="H140" s="349" t="s">
        <v>3166</v>
      </c>
      <c r="I140" s="404" t="str">
        <f t="shared" si="5"/>
        <v>NOT PAID</v>
      </c>
      <c r="J140" s="402"/>
      <c r="K140" s="402"/>
      <c r="L140" s="402"/>
      <c r="M140" s="402"/>
      <c r="N140" s="402"/>
      <c r="O140" s="402"/>
      <c r="P140" s="402"/>
      <c r="Q140" s="402"/>
      <c r="R140" s="402"/>
      <c r="S140" s="402"/>
      <c r="T140" s="402"/>
      <c r="U140" s="402"/>
      <c r="V140" s="402"/>
      <c r="W140" s="402"/>
      <c r="X140" s="402"/>
      <c r="Y140" s="402"/>
      <c r="Z140" s="402"/>
    </row>
    <row r="141" ht="14.25" customHeight="1">
      <c r="A141" s="406">
        <v>45502.0</v>
      </c>
      <c r="B141" s="349" t="s">
        <v>3149</v>
      </c>
      <c r="C141" s="349" t="s">
        <v>3150</v>
      </c>
      <c r="D141" s="349" t="s">
        <v>54</v>
      </c>
      <c r="E141" s="522" t="s">
        <v>797</v>
      </c>
      <c r="F141" s="413">
        <v>320142.89</v>
      </c>
      <c r="G141" s="413">
        <v>0.0</v>
      </c>
      <c r="H141" s="349" t="s">
        <v>3166</v>
      </c>
      <c r="I141" s="404" t="str">
        <f t="shared" si="5"/>
        <v>NOT PAID</v>
      </c>
      <c r="J141" s="402"/>
      <c r="K141" s="402"/>
      <c r="L141" s="402"/>
      <c r="M141" s="402"/>
      <c r="N141" s="402"/>
      <c r="O141" s="402"/>
      <c r="P141" s="402"/>
      <c r="Q141" s="402"/>
      <c r="R141" s="402"/>
      <c r="S141" s="402"/>
      <c r="T141" s="402"/>
      <c r="U141" s="402"/>
      <c r="V141" s="402"/>
      <c r="W141" s="402"/>
      <c r="X141" s="402"/>
      <c r="Y141" s="402"/>
      <c r="Z141" s="402"/>
    </row>
    <row r="142" ht="14.25" customHeight="1">
      <c r="A142" s="406">
        <v>45502.0</v>
      </c>
      <c r="B142" s="349" t="s">
        <v>3167</v>
      </c>
      <c r="C142" s="349" t="s">
        <v>3168</v>
      </c>
      <c r="D142" s="349" t="s">
        <v>75</v>
      </c>
      <c r="E142" s="522" t="s">
        <v>3078</v>
      </c>
      <c r="F142" s="413">
        <v>195500.0</v>
      </c>
      <c r="G142" s="413">
        <v>195600.0</v>
      </c>
      <c r="H142" s="349" t="s">
        <v>267</v>
      </c>
      <c r="I142" s="404" t="str">
        <f t="shared" si="5"/>
        <v>FULLY PAID</v>
      </c>
      <c r="J142" s="402"/>
      <c r="K142" s="402"/>
      <c r="L142" s="402"/>
      <c r="M142" s="402"/>
      <c r="N142" s="402"/>
      <c r="O142" s="402"/>
      <c r="P142" s="402"/>
      <c r="Q142" s="402"/>
      <c r="R142" s="402"/>
      <c r="S142" s="402"/>
      <c r="T142" s="402"/>
      <c r="U142" s="402"/>
      <c r="V142" s="402"/>
      <c r="W142" s="402"/>
      <c r="X142" s="402"/>
      <c r="Y142" s="402"/>
      <c r="Z142" s="402"/>
    </row>
    <row r="143" ht="14.25" customHeight="1">
      <c r="A143" s="406">
        <v>45502.0</v>
      </c>
      <c r="B143" s="349" t="s">
        <v>3169</v>
      </c>
      <c r="C143" s="349" t="s">
        <v>3170</v>
      </c>
      <c r="D143" s="349" t="s">
        <v>54</v>
      </c>
      <c r="E143" s="522" t="s">
        <v>3115</v>
      </c>
      <c r="F143" s="413">
        <v>34812.0</v>
      </c>
      <c r="G143" s="413">
        <v>40000.0</v>
      </c>
      <c r="H143" s="349" t="s">
        <v>267</v>
      </c>
      <c r="I143" s="404" t="str">
        <f t="shared" si="5"/>
        <v>FULLY PAID</v>
      </c>
      <c r="J143" s="402"/>
      <c r="K143" s="402"/>
      <c r="L143" s="402"/>
      <c r="M143" s="402"/>
      <c r="N143" s="402"/>
      <c r="O143" s="402"/>
      <c r="P143" s="402"/>
      <c r="Q143" s="402"/>
      <c r="R143" s="402"/>
      <c r="S143" s="402"/>
      <c r="T143" s="402"/>
      <c r="U143" s="402"/>
      <c r="V143" s="402"/>
      <c r="W143" s="402"/>
      <c r="X143" s="402"/>
      <c r="Y143" s="402"/>
      <c r="Z143" s="402"/>
    </row>
    <row r="144" ht="14.25" customHeight="1">
      <c r="A144" s="406">
        <v>45502.0</v>
      </c>
      <c r="B144" s="349" t="s">
        <v>3171</v>
      </c>
      <c r="C144" s="349" t="s">
        <v>3172</v>
      </c>
      <c r="D144" s="349" t="s">
        <v>54</v>
      </c>
      <c r="E144" s="522" t="s">
        <v>3115</v>
      </c>
      <c r="F144" s="413">
        <v>20019.0</v>
      </c>
      <c r="G144" s="413">
        <v>0.0</v>
      </c>
      <c r="H144" s="349" t="s">
        <v>3163</v>
      </c>
      <c r="I144" s="404" t="str">
        <f t="shared" si="5"/>
        <v>NOT PAID</v>
      </c>
      <c r="J144" s="402"/>
      <c r="K144" s="402"/>
      <c r="L144" s="402"/>
      <c r="M144" s="402"/>
      <c r="N144" s="402"/>
      <c r="O144" s="402"/>
      <c r="P144" s="402"/>
      <c r="Q144" s="402"/>
      <c r="R144" s="402"/>
      <c r="S144" s="402"/>
      <c r="T144" s="402"/>
      <c r="U144" s="402"/>
      <c r="V144" s="402"/>
      <c r="W144" s="402"/>
      <c r="X144" s="402"/>
      <c r="Y144" s="402"/>
      <c r="Z144" s="402"/>
    </row>
    <row r="145" ht="14.25" customHeight="1">
      <c r="A145" s="406">
        <v>45502.0</v>
      </c>
      <c r="B145" s="349" t="s">
        <v>3173</v>
      </c>
      <c r="C145" s="349" t="s">
        <v>3174</v>
      </c>
      <c r="D145" s="349" t="s">
        <v>54</v>
      </c>
      <c r="E145" s="522" t="s">
        <v>3101</v>
      </c>
      <c r="F145" s="413">
        <v>18275.0</v>
      </c>
      <c r="G145" s="413">
        <v>0.0</v>
      </c>
      <c r="H145" s="349" t="s">
        <v>3163</v>
      </c>
      <c r="I145" s="404" t="str">
        <f t="shared" si="5"/>
        <v>NOT PAID</v>
      </c>
      <c r="J145" s="402"/>
      <c r="K145" s="402"/>
      <c r="L145" s="402"/>
      <c r="M145" s="402"/>
      <c r="N145" s="402"/>
      <c r="O145" s="402"/>
      <c r="P145" s="402"/>
      <c r="Q145" s="402"/>
      <c r="R145" s="402"/>
      <c r="S145" s="402"/>
      <c r="T145" s="402"/>
      <c r="U145" s="402"/>
      <c r="V145" s="402"/>
      <c r="W145" s="402"/>
      <c r="X145" s="402"/>
      <c r="Y145" s="402"/>
      <c r="Z145" s="402"/>
    </row>
    <row r="146" ht="14.25" customHeight="1">
      <c r="A146" s="406">
        <v>45502.0</v>
      </c>
      <c r="B146" s="349" t="s">
        <v>3175</v>
      </c>
      <c r="C146" s="349" t="s">
        <v>3121</v>
      </c>
      <c r="D146" s="349" t="s">
        <v>75</v>
      </c>
      <c r="E146" s="349" t="s">
        <v>3078</v>
      </c>
      <c r="F146" s="413">
        <v>38000.0</v>
      </c>
      <c r="G146" s="413">
        <v>38000.0</v>
      </c>
      <c r="H146" s="349" t="s">
        <v>267</v>
      </c>
      <c r="I146" s="404" t="str">
        <f t="shared" si="5"/>
        <v>FULLY PAID</v>
      </c>
      <c r="J146" s="402"/>
      <c r="K146" s="402"/>
      <c r="L146" s="402"/>
      <c r="M146" s="402"/>
      <c r="N146" s="402"/>
      <c r="O146" s="402"/>
      <c r="P146" s="402"/>
      <c r="Q146" s="402"/>
      <c r="R146" s="402"/>
      <c r="S146" s="402"/>
      <c r="T146" s="402"/>
      <c r="U146" s="402"/>
      <c r="V146" s="402"/>
      <c r="W146" s="402"/>
      <c r="X146" s="402"/>
      <c r="Y146" s="402"/>
      <c r="Z146" s="402"/>
    </row>
    <row r="147" ht="14.25" customHeight="1">
      <c r="A147" s="402"/>
      <c r="B147" s="402"/>
      <c r="C147" s="402"/>
      <c r="D147" s="402"/>
      <c r="E147" s="402"/>
      <c r="F147" s="403"/>
      <c r="G147" s="403"/>
      <c r="H147" s="402"/>
      <c r="I147" s="404" t="str">
        <f t="shared" si="5"/>
        <v>FULLY PAID</v>
      </c>
      <c r="J147" s="402"/>
      <c r="K147" s="402"/>
      <c r="L147" s="402"/>
      <c r="M147" s="402"/>
      <c r="N147" s="402"/>
      <c r="O147" s="402"/>
      <c r="P147" s="402"/>
      <c r="Q147" s="402"/>
      <c r="R147" s="402"/>
      <c r="S147" s="402"/>
      <c r="T147" s="402"/>
      <c r="U147" s="402"/>
      <c r="V147" s="402"/>
      <c r="W147" s="402"/>
      <c r="X147" s="402"/>
      <c r="Y147" s="402"/>
      <c r="Z147" s="402"/>
    </row>
    <row r="148" ht="14.25" customHeight="1">
      <c r="A148" s="402"/>
      <c r="B148" s="402"/>
      <c r="C148" s="402"/>
      <c r="D148" s="402"/>
      <c r="E148" s="402"/>
      <c r="F148" s="403"/>
      <c r="G148" s="403"/>
      <c r="H148" s="402"/>
      <c r="I148" s="404" t="str">
        <f t="shared" si="5"/>
        <v>FULLY PAID</v>
      </c>
      <c r="J148" s="402"/>
      <c r="K148" s="402"/>
      <c r="L148" s="402"/>
      <c r="M148" s="402"/>
      <c r="N148" s="402"/>
      <c r="O148" s="402"/>
      <c r="P148" s="402"/>
      <c r="Q148" s="402"/>
      <c r="R148" s="402"/>
      <c r="S148" s="402"/>
      <c r="T148" s="402"/>
      <c r="U148" s="402"/>
      <c r="V148" s="402"/>
      <c r="W148" s="402"/>
      <c r="X148" s="402"/>
      <c r="Y148" s="402"/>
      <c r="Z148" s="402"/>
    </row>
    <row r="149" ht="14.25" customHeight="1">
      <c r="A149" s="729" t="s">
        <v>47</v>
      </c>
      <c r="B149" s="730" t="s">
        <v>39</v>
      </c>
      <c r="C149" s="730" t="s">
        <v>3075</v>
      </c>
      <c r="D149" s="730" t="s">
        <v>49</v>
      </c>
      <c r="E149" s="730" t="s">
        <v>50</v>
      </c>
      <c r="F149" s="731" t="s">
        <v>2</v>
      </c>
      <c r="G149" s="731" t="s">
        <v>4</v>
      </c>
      <c r="H149" s="730" t="s">
        <v>45</v>
      </c>
      <c r="I149" s="404" t="str">
        <f t="shared" si="5"/>
        <v>FULLY PAID</v>
      </c>
      <c r="J149" s="402"/>
      <c r="K149" s="402"/>
      <c r="L149" s="402"/>
      <c r="M149" s="402"/>
      <c r="N149" s="402"/>
      <c r="O149" s="402"/>
      <c r="P149" s="402"/>
      <c r="Q149" s="402"/>
      <c r="R149" s="402"/>
      <c r="S149" s="402"/>
      <c r="T149" s="402"/>
      <c r="U149" s="402"/>
      <c r="V149" s="402"/>
      <c r="W149" s="402"/>
      <c r="X149" s="402"/>
      <c r="Y149" s="402"/>
      <c r="Z149" s="402"/>
    </row>
    <row r="150" ht="14.25" customHeight="1">
      <c r="A150" s="406">
        <v>45503.0</v>
      </c>
      <c r="B150" s="522" t="s">
        <v>3087</v>
      </c>
      <c r="C150" s="522" t="s">
        <v>3088</v>
      </c>
      <c r="D150" s="522" t="s">
        <v>54</v>
      </c>
      <c r="E150" s="522" t="s">
        <v>3089</v>
      </c>
      <c r="F150" s="567">
        <v>21800.0</v>
      </c>
      <c r="G150" s="413">
        <v>0.0</v>
      </c>
      <c r="H150" s="349" t="s">
        <v>3079</v>
      </c>
      <c r="I150" s="404" t="str">
        <f t="shared" si="5"/>
        <v>NOT PAID</v>
      </c>
      <c r="J150" s="402"/>
      <c r="K150" s="402"/>
      <c r="L150" s="402"/>
      <c r="M150" s="402"/>
      <c r="N150" s="402"/>
      <c r="O150" s="402"/>
      <c r="P150" s="402"/>
      <c r="Q150" s="402"/>
      <c r="R150" s="402"/>
      <c r="S150" s="402"/>
      <c r="T150" s="402"/>
      <c r="U150" s="402"/>
      <c r="V150" s="402"/>
      <c r="W150" s="402"/>
      <c r="X150" s="402"/>
      <c r="Y150" s="402"/>
      <c r="Z150" s="402"/>
    </row>
    <row r="151" ht="14.25" customHeight="1">
      <c r="A151" s="406">
        <v>45503.0</v>
      </c>
      <c r="B151" s="522" t="s">
        <v>3094</v>
      </c>
      <c r="C151" s="522" t="s">
        <v>3095</v>
      </c>
      <c r="D151" s="522" t="s">
        <v>54</v>
      </c>
      <c r="E151" s="522" t="s">
        <v>3078</v>
      </c>
      <c r="F151" s="567">
        <v>18300.0</v>
      </c>
      <c r="G151" s="413">
        <v>0.0</v>
      </c>
      <c r="H151" s="349" t="s">
        <v>3154</v>
      </c>
      <c r="I151" s="404" t="str">
        <f t="shared" si="5"/>
        <v>NOT PAID</v>
      </c>
      <c r="J151" s="402"/>
      <c r="K151" s="402"/>
      <c r="L151" s="402"/>
      <c r="M151" s="402"/>
      <c r="N151" s="402"/>
      <c r="O151" s="402"/>
      <c r="P151" s="402"/>
      <c r="Q151" s="402"/>
      <c r="R151" s="402"/>
      <c r="S151" s="402"/>
      <c r="T151" s="402"/>
      <c r="U151" s="402"/>
      <c r="V151" s="402"/>
      <c r="W151" s="402"/>
      <c r="X151" s="402"/>
      <c r="Y151" s="402"/>
      <c r="Z151" s="402"/>
    </row>
    <row r="152" ht="14.25" customHeight="1">
      <c r="A152" s="406">
        <v>45503.0</v>
      </c>
      <c r="B152" s="522" t="s">
        <v>652</v>
      </c>
      <c r="C152" s="522" t="s">
        <v>3097</v>
      </c>
      <c r="D152" s="522" t="s">
        <v>2010</v>
      </c>
      <c r="E152" s="522" t="s">
        <v>3093</v>
      </c>
      <c r="F152" s="567">
        <v>132104.0</v>
      </c>
      <c r="G152" s="413">
        <v>0.0</v>
      </c>
      <c r="H152" s="349" t="s">
        <v>3155</v>
      </c>
      <c r="I152" s="404" t="str">
        <f t="shared" si="5"/>
        <v>NOT PAID</v>
      </c>
      <c r="J152" s="402"/>
      <c r="K152" s="402"/>
      <c r="L152" s="402"/>
      <c r="M152" s="402"/>
      <c r="N152" s="402"/>
      <c r="O152" s="402"/>
      <c r="P152" s="402"/>
      <c r="Q152" s="402"/>
      <c r="R152" s="402"/>
      <c r="S152" s="402"/>
      <c r="T152" s="402"/>
      <c r="U152" s="402"/>
      <c r="V152" s="402"/>
      <c r="W152" s="402"/>
      <c r="X152" s="402"/>
      <c r="Y152" s="402"/>
      <c r="Z152" s="402"/>
    </row>
    <row r="153" ht="14.25" customHeight="1">
      <c r="A153" s="406">
        <v>45503.0</v>
      </c>
      <c r="B153" s="522" t="s">
        <v>3099</v>
      </c>
      <c r="C153" s="522" t="s">
        <v>3100</v>
      </c>
      <c r="D153" s="522" t="s">
        <v>54</v>
      </c>
      <c r="E153" s="522" t="s">
        <v>3101</v>
      </c>
      <c r="F153" s="567">
        <v>124650.0</v>
      </c>
      <c r="G153" s="413">
        <v>0.0</v>
      </c>
      <c r="H153" s="349" t="s">
        <v>3156</v>
      </c>
      <c r="I153" s="404" t="str">
        <f t="shared" si="5"/>
        <v>NOT PAID</v>
      </c>
      <c r="J153" s="402"/>
      <c r="K153" s="402"/>
      <c r="L153" s="402"/>
      <c r="M153" s="402"/>
      <c r="N153" s="402"/>
      <c r="O153" s="402"/>
      <c r="P153" s="402"/>
      <c r="Q153" s="402"/>
      <c r="R153" s="402"/>
      <c r="S153" s="402"/>
      <c r="T153" s="402"/>
      <c r="U153" s="402"/>
      <c r="V153" s="402"/>
      <c r="W153" s="402"/>
      <c r="X153" s="402"/>
      <c r="Y153" s="402"/>
      <c r="Z153" s="402"/>
    </row>
    <row r="154" ht="14.25" customHeight="1">
      <c r="A154" s="406">
        <v>45503.0</v>
      </c>
      <c r="B154" s="349" t="s">
        <v>3102</v>
      </c>
      <c r="C154" s="349" t="s">
        <v>3103</v>
      </c>
      <c r="D154" s="349" t="s">
        <v>54</v>
      </c>
      <c r="E154" s="522" t="s">
        <v>3101</v>
      </c>
      <c r="F154" s="413">
        <v>21000.0</v>
      </c>
      <c r="G154" s="413">
        <v>0.0</v>
      </c>
      <c r="H154" s="349" t="s">
        <v>3157</v>
      </c>
      <c r="I154" s="404" t="str">
        <f t="shared" si="5"/>
        <v>NOT PAID</v>
      </c>
      <c r="J154" s="402"/>
      <c r="K154" s="402"/>
      <c r="L154" s="402"/>
      <c r="M154" s="402"/>
      <c r="N154" s="402"/>
      <c r="O154" s="402"/>
      <c r="P154" s="402"/>
      <c r="Q154" s="402"/>
      <c r="R154" s="402"/>
      <c r="S154" s="402"/>
      <c r="T154" s="402"/>
      <c r="U154" s="402"/>
      <c r="V154" s="402"/>
      <c r="W154" s="402"/>
      <c r="X154" s="402"/>
      <c r="Y154" s="402"/>
      <c r="Z154" s="402"/>
    </row>
    <row r="155" ht="14.25" customHeight="1">
      <c r="A155" s="406">
        <v>45503.0</v>
      </c>
      <c r="B155" s="349" t="s">
        <v>3107</v>
      </c>
      <c r="C155" s="349" t="s">
        <v>3108</v>
      </c>
      <c r="D155" s="349" t="s">
        <v>54</v>
      </c>
      <c r="E155" s="349" t="s">
        <v>3101</v>
      </c>
      <c r="F155" s="413">
        <v>9100.0</v>
      </c>
      <c r="G155" s="413">
        <v>0.0</v>
      </c>
      <c r="H155" s="735" t="s">
        <v>3158</v>
      </c>
      <c r="I155" s="404" t="str">
        <f t="shared" si="5"/>
        <v>NOT PAID</v>
      </c>
      <c r="J155" s="402"/>
      <c r="K155" s="402"/>
      <c r="L155" s="402"/>
      <c r="M155" s="402"/>
      <c r="N155" s="402"/>
      <c r="O155" s="402"/>
      <c r="P155" s="402"/>
      <c r="Q155" s="402"/>
      <c r="R155" s="402"/>
      <c r="S155" s="402"/>
      <c r="T155" s="402"/>
      <c r="U155" s="402"/>
      <c r="V155" s="402"/>
      <c r="W155" s="402"/>
      <c r="X155" s="402"/>
      <c r="Y155" s="402"/>
      <c r="Z155" s="402"/>
    </row>
    <row r="156" ht="14.25" customHeight="1">
      <c r="A156" s="406">
        <v>45503.0</v>
      </c>
      <c r="B156" s="522" t="s">
        <v>3134</v>
      </c>
      <c r="C156" s="522" t="s">
        <v>3176</v>
      </c>
      <c r="D156" s="349" t="s">
        <v>54</v>
      </c>
      <c r="E156" s="522" t="s">
        <v>3078</v>
      </c>
      <c r="F156" s="733">
        <v>86000.0</v>
      </c>
      <c r="G156" s="413">
        <v>0.0</v>
      </c>
      <c r="H156" s="735" t="s">
        <v>3159</v>
      </c>
      <c r="I156" s="404" t="str">
        <f t="shared" si="5"/>
        <v>NOT PAID</v>
      </c>
      <c r="J156" s="402"/>
      <c r="K156" s="402"/>
      <c r="L156" s="402"/>
      <c r="M156" s="402"/>
      <c r="N156" s="402"/>
      <c r="O156" s="402"/>
      <c r="P156" s="402"/>
      <c r="Q156" s="402"/>
      <c r="R156" s="402"/>
      <c r="S156" s="402"/>
      <c r="T156" s="402"/>
      <c r="U156" s="402"/>
      <c r="V156" s="402"/>
      <c r="W156" s="402"/>
      <c r="X156" s="402"/>
      <c r="Y156" s="402"/>
      <c r="Z156" s="402"/>
    </row>
    <row r="157" ht="14.25" customHeight="1">
      <c r="A157" s="406">
        <v>45503.0</v>
      </c>
      <c r="B157" s="522" t="s">
        <v>3111</v>
      </c>
      <c r="C157" s="522" t="s">
        <v>3112</v>
      </c>
      <c r="D157" s="349" t="s">
        <v>54</v>
      </c>
      <c r="E157" s="522" t="s">
        <v>3078</v>
      </c>
      <c r="F157" s="567">
        <v>750.0</v>
      </c>
      <c r="G157" s="413">
        <v>0.0</v>
      </c>
      <c r="H157" s="735" t="s">
        <v>3079</v>
      </c>
      <c r="I157" s="404" t="str">
        <f t="shared" si="5"/>
        <v>NOT PAID</v>
      </c>
      <c r="J157" s="402"/>
      <c r="K157" s="402"/>
      <c r="L157" s="402"/>
      <c r="M157" s="402"/>
      <c r="N157" s="402"/>
      <c r="O157" s="402"/>
      <c r="P157" s="402"/>
      <c r="Q157" s="402"/>
      <c r="R157" s="402"/>
      <c r="S157" s="402"/>
      <c r="T157" s="402"/>
      <c r="U157" s="402"/>
      <c r="V157" s="402"/>
      <c r="W157" s="402"/>
      <c r="X157" s="402"/>
      <c r="Y157" s="402"/>
      <c r="Z157" s="402"/>
    </row>
    <row r="158" ht="14.25" customHeight="1">
      <c r="A158" s="406">
        <v>45503.0</v>
      </c>
      <c r="B158" s="349" t="s">
        <v>3122</v>
      </c>
      <c r="C158" s="349" t="s">
        <v>3123</v>
      </c>
      <c r="D158" s="349" t="s">
        <v>75</v>
      </c>
      <c r="E158" s="349" t="s">
        <v>3115</v>
      </c>
      <c r="F158" s="413">
        <v>4350.0</v>
      </c>
      <c r="G158" s="413">
        <v>4500.0</v>
      </c>
      <c r="H158" s="732" t="s">
        <v>3160</v>
      </c>
      <c r="I158" s="404" t="str">
        <f t="shared" si="5"/>
        <v>FULLY PAID</v>
      </c>
      <c r="J158" s="402"/>
      <c r="K158" s="402"/>
      <c r="L158" s="402"/>
      <c r="M158" s="402"/>
      <c r="N158" s="402"/>
      <c r="O158" s="402"/>
      <c r="P158" s="402"/>
      <c r="Q158" s="402"/>
      <c r="R158" s="402"/>
      <c r="S158" s="402"/>
      <c r="T158" s="402"/>
      <c r="U158" s="402"/>
      <c r="V158" s="402"/>
      <c r="W158" s="402"/>
      <c r="X158" s="402"/>
      <c r="Y158" s="402"/>
      <c r="Z158" s="402"/>
    </row>
    <row r="159" ht="14.25" customHeight="1">
      <c r="A159" s="406">
        <v>45503.0</v>
      </c>
      <c r="B159" s="349" t="s">
        <v>3076</v>
      </c>
      <c r="C159" s="349" t="s">
        <v>3077</v>
      </c>
      <c r="D159" s="349" t="s">
        <v>54</v>
      </c>
      <c r="E159" s="522" t="s">
        <v>3078</v>
      </c>
      <c r="F159" s="413">
        <v>41300.0</v>
      </c>
      <c r="G159" s="413">
        <v>5000.0</v>
      </c>
      <c r="H159" s="349" t="s">
        <v>3161</v>
      </c>
      <c r="I159" s="404" t="str">
        <f t="shared" si="5"/>
        <v>PARTIALLY PAID</v>
      </c>
      <c r="J159" s="402"/>
      <c r="K159" s="402"/>
      <c r="L159" s="402"/>
      <c r="M159" s="402"/>
      <c r="N159" s="402"/>
      <c r="O159" s="402"/>
      <c r="P159" s="402"/>
      <c r="Q159" s="402"/>
      <c r="R159" s="402"/>
      <c r="S159" s="402"/>
      <c r="T159" s="402"/>
      <c r="U159" s="402"/>
      <c r="V159" s="402"/>
      <c r="W159" s="402"/>
      <c r="X159" s="402"/>
      <c r="Y159" s="402"/>
      <c r="Z159" s="402"/>
    </row>
    <row r="160" ht="14.25" customHeight="1">
      <c r="A160" s="406">
        <v>45503.0</v>
      </c>
      <c r="B160" s="349" t="s">
        <v>3142</v>
      </c>
      <c r="C160" s="349" t="s">
        <v>3143</v>
      </c>
      <c r="D160" s="349" t="s">
        <v>54</v>
      </c>
      <c r="E160" s="522" t="s">
        <v>797</v>
      </c>
      <c r="F160" s="413">
        <v>60262.74</v>
      </c>
      <c r="G160" s="413">
        <v>0.0</v>
      </c>
      <c r="H160" s="349" t="s">
        <v>3152</v>
      </c>
      <c r="I160" s="404" t="str">
        <f t="shared" si="5"/>
        <v>NOT PAID</v>
      </c>
      <c r="J160" s="402"/>
      <c r="K160" s="402"/>
      <c r="L160" s="402"/>
      <c r="M160" s="402"/>
      <c r="N160" s="402"/>
      <c r="O160" s="402"/>
      <c r="P160" s="402"/>
      <c r="Q160" s="402"/>
      <c r="R160" s="402"/>
      <c r="S160" s="402"/>
      <c r="T160" s="402"/>
      <c r="U160" s="402"/>
      <c r="V160" s="402"/>
      <c r="W160" s="402"/>
      <c r="X160" s="402"/>
      <c r="Y160" s="402"/>
      <c r="Z160" s="402"/>
    </row>
    <row r="161" ht="14.25" customHeight="1">
      <c r="A161" s="406">
        <v>45503.0</v>
      </c>
      <c r="B161" s="349" t="s">
        <v>3139</v>
      </c>
      <c r="C161" s="349" t="s">
        <v>3140</v>
      </c>
      <c r="D161" s="349" t="s">
        <v>54</v>
      </c>
      <c r="E161" s="349" t="s">
        <v>797</v>
      </c>
      <c r="F161" s="413">
        <v>117885.9</v>
      </c>
      <c r="G161" s="413">
        <v>0.0</v>
      </c>
      <c r="H161" s="349" t="s">
        <v>3153</v>
      </c>
      <c r="I161" s="404" t="str">
        <f t="shared" si="5"/>
        <v>NOT PAID</v>
      </c>
      <c r="J161" s="402"/>
      <c r="K161" s="402"/>
      <c r="L161" s="402"/>
      <c r="M161" s="402"/>
      <c r="N161" s="402"/>
      <c r="O161" s="402"/>
      <c r="P161" s="402"/>
      <c r="Q161" s="402"/>
      <c r="R161" s="402"/>
      <c r="S161" s="402"/>
      <c r="T161" s="402"/>
      <c r="U161" s="402"/>
      <c r="V161" s="402"/>
      <c r="W161" s="402"/>
      <c r="X161" s="402"/>
      <c r="Y161" s="402"/>
      <c r="Z161" s="402"/>
    </row>
    <row r="162" ht="14.25" customHeight="1">
      <c r="A162" s="406">
        <v>45503.0</v>
      </c>
      <c r="B162" s="349" t="s">
        <v>3149</v>
      </c>
      <c r="C162" s="349" t="s">
        <v>3150</v>
      </c>
      <c r="D162" s="349" t="s">
        <v>54</v>
      </c>
      <c r="E162" s="522" t="s">
        <v>797</v>
      </c>
      <c r="F162" s="413">
        <v>320142.89</v>
      </c>
      <c r="G162" s="413">
        <v>0.0</v>
      </c>
      <c r="H162" s="349" t="s">
        <v>3153</v>
      </c>
      <c r="I162" s="404" t="str">
        <f t="shared" si="5"/>
        <v>NOT PAID</v>
      </c>
      <c r="J162" s="402"/>
      <c r="K162" s="402"/>
      <c r="L162" s="402"/>
      <c r="M162" s="402"/>
      <c r="N162" s="402"/>
      <c r="O162" s="402"/>
      <c r="P162" s="402"/>
      <c r="Q162" s="402"/>
      <c r="R162" s="402"/>
      <c r="S162" s="402"/>
      <c r="T162" s="402"/>
      <c r="U162" s="402"/>
      <c r="V162" s="402"/>
      <c r="W162" s="402"/>
      <c r="X162" s="402"/>
      <c r="Y162" s="402"/>
      <c r="Z162" s="402"/>
    </row>
    <row r="163" ht="14.25" customHeight="1">
      <c r="A163" s="406">
        <v>45503.0</v>
      </c>
      <c r="B163" s="349" t="s">
        <v>3177</v>
      </c>
      <c r="C163" s="349" t="s">
        <v>3178</v>
      </c>
      <c r="D163" s="349" t="s">
        <v>54</v>
      </c>
      <c r="E163" s="349" t="s">
        <v>3101</v>
      </c>
      <c r="F163" s="413">
        <v>15050.0</v>
      </c>
      <c r="G163" s="413">
        <v>15050.0</v>
      </c>
      <c r="H163" s="349" t="s">
        <v>3079</v>
      </c>
      <c r="I163" s="404" t="str">
        <f t="shared" si="5"/>
        <v>FULLY PAID</v>
      </c>
      <c r="J163" s="402"/>
      <c r="K163" s="402"/>
      <c r="L163" s="402"/>
      <c r="M163" s="402"/>
      <c r="N163" s="402"/>
      <c r="O163" s="402"/>
      <c r="P163" s="402"/>
      <c r="Q163" s="402"/>
      <c r="R163" s="402"/>
      <c r="S163" s="402"/>
      <c r="T163" s="402"/>
      <c r="U163" s="402"/>
      <c r="V163" s="402"/>
      <c r="W163" s="402"/>
      <c r="X163" s="402"/>
      <c r="Y163" s="402"/>
      <c r="Z163" s="402"/>
    </row>
    <row r="164" ht="14.25" customHeight="1">
      <c r="A164" s="406">
        <v>45503.0</v>
      </c>
      <c r="B164" s="349" t="s">
        <v>3171</v>
      </c>
      <c r="C164" s="349" t="s">
        <v>3172</v>
      </c>
      <c r="D164" s="349" t="s">
        <v>54</v>
      </c>
      <c r="E164" s="522" t="s">
        <v>3115</v>
      </c>
      <c r="F164" s="413">
        <v>20019.0</v>
      </c>
      <c r="G164" s="413">
        <v>0.0</v>
      </c>
      <c r="H164" s="349" t="s">
        <v>710</v>
      </c>
      <c r="I164" s="404" t="str">
        <f t="shared" si="5"/>
        <v>NOT PAID</v>
      </c>
      <c r="J164" s="402"/>
      <c r="K164" s="402"/>
      <c r="L164" s="402"/>
      <c r="M164" s="402"/>
      <c r="N164" s="402"/>
      <c r="O164" s="402"/>
      <c r="P164" s="402"/>
      <c r="Q164" s="402"/>
      <c r="R164" s="402"/>
      <c r="S164" s="402"/>
      <c r="T164" s="402"/>
      <c r="U164" s="402"/>
      <c r="V164" s="402"/>
      <c r="W164" s="402"/>
      <c r="X164" s="402"/>
      <c r="Y164" s="402"/>
      <c r="Z164" s="402"/>
    </row>
    <row r="165" ht="14.25" customHeight="1">
      <c r="A165" s="406">
        <v>45503.0</v>
      </c>
      <c r="B165" s="349" t="s">
        <v>3173</v>
      </c>
      <c r="C165" s="349" t="s">
        <v>3174</v>
      </c>
      <c r="D165" s="349" t="s">
        <v>54</v>
      </c>
      <c r="E165" s="522" t="s">
        <v>3101</v>
      </c>
      <c r="F165" s="413">
        <v>18275.0</v>
      </c>
      <c r="G165" s="413">
        <v>0.0</v>
      </c>
      <c r="H165" s="349" t="s">
        <v>3179</v>
      </c>
      <c r="I165" s="404" t="str">
        <f t="shared" si="5"/>
        <v>NOT PAID</v>
      </c>
      <c r="J165" s="402"/>
      <c r="K165" s="402"/>
      <c r="L165" s="402"/>
      <c r="M165" s="402"/>
      <c r="N165" s="402"/>
      <c r="O165" s="402"/>
      <c r="P165" s="402"/>
      <c r="Q165" s="402"/>
      <c r="R165" s="402"/>
      <c r="S165" s="402"/>
      <c r="T165" s="402"/>
      <c r="U165" s="402"/>
      <c r="V165" s="402"/>
      <c r="W165" s="402"/>
      <c r="X165" s="402"/>
      <c r="Y165" s="402"/>
      <c r="Z165" s="402"/>
    </row>
    <row r="166" ht="14.25" customHeight="1">
      <c r="A166" s="406">
        <v>45503.0</v>
      </c>
      <c r="B166" s="349" t="s">
        <v>3180</v>
      </c>
      <c r="C166" s="349" t="s">
        <v>3117</v>
      </c>
      <c r="D166" s="349" t="s">
        <v>54</v>
      </c>
      <c r="E166" s="349" t="s">
        <v>3101</v>
      </c>
      <c r="F166" s="413">
        <v>18633.0</v>
      </c>
      <c r="G166" s="413">
        <v>0.0</v>
      </c>
      <c r="H166" s="349" t="s">
        <v>3181</v>
      </c>
      <c r="I166" s="404" t="str">
        <f t="shared" si="5"/>
        <v>NOT PAID</v>
      </c>
      <c r="J166" s="402"/>
      <c r="K166" s="402"/>
      <c r="L166" s="402"/>
      <c r="M166" s="402"/>
      <c r="N166" s="402"/>
      <c r="O166" s="402"/>
      <c r="P166" s="402"/>
      <c r="Q166" s="402"/>
      <c r="R166" s="402"/>
      <c r="S166" s="402"/>
      <c r="T166" s="402"/>
      <c r="U166" s="402"/>
      <c r="V166" s="402"/>
      <c r="W166" s="402"/>
      <c r="X166" s="402"/>
      <c r="Y166" s="402"/>
      <c r="Z166" s="402"/>
    </row>
    <row r="167" ht="14.25" customHeight="1">
      <c r="A167" s="406">
        <v>45503.0</v>
      </c>
      <c r="B167" s="349" t="s">
        <v>3182</v>
      </c>
      <c r="C167" s="349" t="s">
        <v>3117</v>
      </c>
      <c r="D167" s="349" t="s">
        <v>467</v>
      </c>
      <c r="E167" s="349" t="s">
        <v>3101</v>
      </c>
      <c r="F167" s="413">
        <v>6600.0</v>
      </c>
      <c r="G167" s="413">
        <v>0.0</v>
      </c>
      <c r="H167" s="349" t="s">
        <v>3183</v>
      </c>
      <c r="I167" s="404" t="str">
        <f t="shared" si="5"/>
        <v>NOT PAID</v>
      </c>
      <c r="J167" s="402"/>
      <c r="K167" s="402"/>
      <c r="L167" s="402"/>
      <c r="M167" s="402"/>
      <c r="N167" s="402"/>
      <c r="O167" s="402"/>
      <c r="P167" s="402"/>
      <c r="Q167" s="402"/>
      <c r="R167" s="402"/>
      <c r="S167" s="402"/>
      <c r="T167" s="402"/>
      <c r="U167" s="402"/>
      <c r="V167" s="402"/>
      <c r="W167" s="402"/>
      <c r="X167" s="402"/>
      <c r="Y167" s="402"/>
      <c r="Z167" s="402"/>
    </row>
    <row r="168" ht="14.25" customHeight="1">
      <c r="A168" s="406">
        <v>45503.0</v>
      </c>
      <c r="B168" s="349" t="s">
        <v>3184</v>
      </c>
      <c r="C168" s="349" t="s">
        <v>3185</v>
      </c>
      <c r="D168" s="349" t="s">
        <v>54</v>
      </c>
      <c r="E168" s="522" t="s">
        <v>3093</v>
      </c>
      <c r="F168" s="413">
        <v>23650.0</v>
      </c>
      <c r="G168" s="413">
        <v>23650.0</v>
      </c>
      <c r="H168" s="349" t="s">
        <v>267</v>
      </c>
      <c r="I168" s="404" t="str">
        <f t="shared" si="5"/>
        <v>FULLY PAID</v>
      </c>
      <c r="J168" s="402"/>
      <c r="K168" s="402"/>
      <c r="L168" s="402"/>
      <c r="M168" s="402"/>
      <c r="N168" s="402"/>
      <c r="O168" s="402"/>
      <c r="P168" s="402"/>
      <c r="Q168" s="402"/>
      <c r="R168" s="402"/>
      <c r="S168" s="402"/>
      <c r="T168" s="402"/>
      <c r="U168" s="402"/>
      <c r="V168" s="402"/>
      <c r="W168" s="402"/>
      <c r="X168" s="402"/>
      <c r="Y168" s="402"/>
      <c r="Z168" s="402"/>
    </row>
    <row r="169" ht="14.25" customHeight="1">
      <c r="A169" s="406">
        <v>45503.0</v>
      </c>
      <c r="B169" s="349" t="s">
        <v>3147</v>
      </c>
      <c r="C169" s="349" t="s">
        <v>3186</v>
      </c>
      <c r="D169" s="349" t="s">
        <v>54</v>
      </c>
      <c r="E169" s="522" t="s">
        <v>3093</v>
      </c>
      <c r="F169" s="413">
        <v>20000.0</v>
      </c>
      <c r="G169" s="413">
        <v>20000.0</v>
      </c>
      <c r="H169" s="349" t="s">
        <v>267</v>
      </c>
      <c r="I169" s="404" t="str">
        <f t="shared" si="5"/>
        <v>FULLY PAID</v>
      </c>
      <c r="J169" s="402"/>
      <c r="K169" s="402"/>
      <c r="L169" s="402"/>
      <c r="M169" s="402"/>
      <c r="N169" s="402"/>
      <c r="O169" s="402"/>
      <c r="P169" s="402"/>
      <c r="Q169" s="402"/>
      <c r="R169" s="402"/>
      <c r="S169" s="402"/>
      <c r="T169" s="402"/>
      <c r="U169" s="402"/>
      <c r="V169" s="402"/>
      <c r="W169" s="402"/>
      <c r="X169" s="402"/>
      <c r="Y169" s="402"/>
      <c r="Z169" s="402"/>
    </row>
    <row r="170" ht="14.25" customHeight="1">
      <c r="A170" s="402"/>
      <c r="B170" s="402"/>
      <c r="C170" s="402"/>
      <c r="D170" s="402"/>
      <c r="E170" s="402"/>
      <c r="F170" s="403"/>
      <c r="G170" s="403"/>
      <c r="H170" s="402"/>
      <c r="I170" s="404" t="str">
        <f t="shared" si="5"/>
        <v>FULLY PAID</v>
      </c>
      <c r="J170" s="402"/>
      <c r="K170" s="402"/>
      <c r="L170" s="402"/>
      <c r="M170" s="402"/>
      <c r="N170" s="402"/>
      <c r="O170" s="402"/>
      <c r="P170" s="402"/>
      <c r="Q170" s="402"/>
      <c r="R170" s="402"/>
      <c r="S170" s="402"/>
      <c r="T170" s="402"/>
      <c r="U170" s="402"/>
      <c r="V170" s="402"/>
      <c r="W170" s="402"/>
      <c r="X170" s="402"/>
      <c r="Y170" s="402"/>
      <c r="Z170" s="402"/>
    </row>
    <row r="171" ht="14.25" customHeight="1">
      <c r="A171" s="402"/>
      <c r="B171" s="402"/>
      <c r="C171" s="402"/>
      <c r="D171" s="402"/>
      <c r="E171" s="402"/>
      <c r="F171" s="403"/>
      <c r="G171" s="403"/>
      <c r="H171" s="402"/>
      <c r="I171" s="404" t="str">
        <f t="shared" si="5"/>
        <v>FULLY PAID</v>
      </c>
      <c r="J171" s="402"/>
      <c r="K171" s="402"/>
      <c r="L171" s="402"/>
      <c r="M171" s="402"/>
      <c r="N171" s="402"/>
      <c r="O171" s="402"/>
      <c r="P171" s="402"/>
      <c r="Q171" s="402"/>
      <c r="R171" s="402"/>
      <c r="S171" s="402"/>
      <c r="T171" s="402"/>
      <c r="U171" s="402"/>
      <c r="V171" s="402"/>
      <c r="W171" s="402"/>
      <c r="X171" s="402"/>
      <c r="Y171" s="402"/>
      <c r="Z171" s="402"/>
    </row>
    <row r="172" ht="14.25" customHeight="1">
      <c r="A172" s="729" t="s">
        <v>47</v>
      </c>
      <c r="B172" s="730" t="s">
        <v>39</v>
      </c>
      <c r="C172" s="730" t="s">
        <v>3075</v>
      </c>
      <c r="D172" s="730" t="s">
        <v>49</v>
      </c>
      <c r="E172" s="730" t="s">
        <v>50</v>
      </c>
      <c r="F172" s="731" t="s">
        <v>2</v>
      </c>
      <c r="G172" s="731" t="s">
        <v>4</v>
      </c>
      <c r="H172" s="730" t="s">
        <v>45</v>
      </c>
      <c r="I172" s="736" t="str">
        <f t="shared" si="5"/>
        <v>FULLY PAID</v>
      </c>
      <c r="J172" s="402"/>
      <c r="K172" s="402"/>
      <c r="L172" s="402"/>
      <c r="M172" s="402"/>
      <c r="N172" s="402"/>
      <c r="O172" s="402"/>
      <c r="P172" s="402"/>
      <c r="Q172" s="402"/>
      <c r="R172" s="402"/>
      <c r="S172" s="402"/>
      <c r="T172" s="402"/>
      <c r="U172" s="402"/>
      <c r="V172" s="402"/>
      <c r="W172" s="402"/>
      <c r="X172" s="402"/>
      <c r="Y172" s="402"/>
      <c r="Z172" s="402"/>
    </row>
    <row r="173" ht="14.25" customHeight="1">
      <c r="A173" s="406">
        <v>45504.0</v>
      </c>
      <c r="B173" s="522" t="s">
        <v>3087</v>
      </c>
      <c r="C173" s="522" t="s">
        <v>3088</v>
      </c>
      <c r="D173" s="522" t="s">
        <v>54</v>
      </c>
      <c r="E173" s="522" t="s">
        <v>3089</v>
      </c>
      <c r="F173" s="567">
        <v>21800.0</v>
      </c>
      <c r="G173" s="413">
        <v>0.0</v>
      </c>
      <c r="H173" s="349" t="s">
        <v>3079</v>
      </c>
      <c r="I173" s="736" t="str">
        <f t="shared" si="5"/>
        <v>NOT PAID</v>
      </c>
      <c r="J173" s="402"/>
      <c r="K173" s="402"/>
      <c r="L173" s="402"/>
      <c r="M173" s="402"/>
      <c r="N173" s="402"/>
      <c r="O173" s="402"/>
      <c r="P173" s="402"/>
      <c r="Q173" s="402"/>
      <c r="R173" s="402"/>
      <c r="S173" s="402"/>
      <c r="T173" s="402"/>
      <c r="U173" s="402"/>
      <c r="V173" s="402"/>
      <c r="W173" s="402"/>
      <c r="X173" s="402"/>
      <c r="Y173" s="402"/>
      <c r="Z173" s="402"/>
    </row>
    <row r="174" ht="14.25" customHeight="1">
      <c r="A174" s="406">
        <v>45504.0</v>
      </c>
      <c r="B174" s="522" t="s">
        <v>3094</v>
      </c>
      <c r="C174" s="522" t="s">
        <v>3095</v>
      </c>
      <c r="D174" s="522" t="s">
        <v>54</v>
      </c>
      <c r="E174" s="522" t="s">
        <v>3078</v>
      </c>
      <c r="F174" s="567">
        <v>18300.0</v>
      </c>
      <c r="G174" s="413">
        <v>0.0</v>
      </c>
      <c r="H174" s="349" t="s">
        <v>3154</v>
      </c>
      <c r="I174" s="736" t="str">
        <f t="shared" si="5"/>
        <v>NOT PAID</v>
      </c>
      <c r="J174" s="402"/>
      <c r="K174" s="402"/>
      <c r="L174" s="402"/>
      <c r="M174" s="402"/>
      <c r="N174" s="402"/>
      <c r="O174" s="402"/>
      <c r="P174" s="402"/>
      <c r="Q174" s="402"/>
      <c r="R174" s="402"/>
      <c r="S174" s="402"/>
      <c r="T174" s="402"/>
      <c r="U174" s="402"/>
      <c r="V174" s="402"/>
      <c r="W174" s="402"/>
      <c r="X174" s="402"/>
      <c r="Y174" s="402"/>
      <c r="Z174" s="402"/>
    </row>
    <row r="175" ht="14.25" customHeight="1">
      <c r="A175" s="406">
        <v>45504.0</v>
      </c>
      <c r="B175" s="522" t="s">
        <v>652</v>
      </c>
      <c r="C175" s="522" t="s">
        <v>3097</v>
      </c>
      <c r="D175" s="522" t="s">
        <v>2010</v>
      </c>
      <c r="E175" s="522" t="s">
        <v>3093</v>
      </c>
      <c r="F175" s="567">
        <v>132104.0</v>
      </c>
      <c r="G175" s="413">
        <v>0.0</v>
      </c>
      <c r="H175" s="349" t="s">
        <v>3155</v>
      </c>
      <c r="I175" s="736" t="str">
        <f t="shared" si="5"/>
        <v>NOT PAID</v>
      </c>
      <c r="J175" s="402"/>
      <c r="K175" s="402"/>
      <c r="L175" s="402"/>
      <c r="M175" s="402"/>
      <c r="N175" s="402"/>
      <c r="O175" s="402"/>
      <c r="P175" s="402"/>
      <c r="Q175" s="402"/>
      <c r="R175" s="402"/>
      <c r="S175" s="402"/>
      <c r="T175" s="402"/>
      <c r="U175" s="402"/>
      <c r="V175" s="402"/>
      <c r="W175" s="402"/>
      <c r="X175" s="402"/>
      <c r="Y175" s="402"/>
      <c r="Z175" s="402"/>
    </row>
    <row r="176" ht="14.25" customHeight="1">
      <c r="A176" s="406">
        <v>45504.0</v>
      </c>
      <c r="B176" s="522" t="s">
        <v>3099</v>
      </c>
      <c r="C176" s="522" t="s">
        <v>3100</v>
      </c>
      <c r="D176" s="522" t="s">
        <v>54</v>
      </c>
      <c r="E176" s="522" t="s">
        <v>3101</v>
      </c>
      <c r="F176" s="567">
        <v>124650.0</v>
      </c>
      <c r="G176" s="413">
        <v>0.0</v>
      </c>
      <c r="H176" s="349" t="s">
        <v>3156</v>
      </c>
      <c r="I176" s="736" t="str">
        <f t="shared" si="5"/>
        <v>NOT PAID</v>
      </c>
      <c r="J176" s="402"/>
      <c r="K176" s="402"/>
      <c r="L176" s="402"/>
      <c r="M176" s="402"/>
      <c r="N176" s="402"/>
      <c r="O176" s="402"/>
      <c r="P176" s="402"/>
      <c r="Q176" s="402"/>
      <c r="R176" s="402"/>
      <c r="S176" s="402"/>
      <c r="T176" s="402"/>
      <c r="U176" s="402"/>
      <c r="V176" s="402"/>
      <c r="W176" s="402"/>
      <c r="X176" s="402"/>
      <c r="Y176" s="402"/>
      <c r="Z176" s="402"/>
    </row>
    <row r="177" ht="14.25" customHeight="1">
      <c r="A177" s="406">
        <v>45504.0</v>
      </c>
      <c r="B177" s="349" t="s">
        <v>3102</v>
      </c>
      <c r="C177" s="349" t="s">
        <v>3103</v>
      </c>
      <c r="D177" s="349" t="s">
        <v>54</v>
      </c>
      <c r="E177" s="522" t="s">
        <v>3101</v>
      </c>
      <c r="F177" s="413">
        <v>21000.0</v>
      </c>
      <c r="G177" s="413">
        <v>0.0</v>
      </c>
      <c r="H177" s="349" t="s">
        <v>3157</v>
      </c>
      <c r="I177" s="736" t="str">
        <f t="shared" si="5"/>
        <v>NOT PAID</v>
      </c>
      <c r="J177" s="402"/>
      <c r="K177" s="402"/>
      <c r="L177" s="402"/>
      <c r="M177" s="402"/>
      <c r="N177" s="402"/>
      <c r="O177" s="402"/>
      <c r="P177" s="402"/>
      <c r="Q177" s="402"/>
      <c r="R177" s="402"/>
      <c r="S177" s="402"/>
      <c r="T177" s="402"/>
      <c r="U177" s="402"/>
      <c r="V177" s="402"/>
      <c r="W177" s="402"/>
      <c r="X177" s="402"/>
      <c r="Y177" s="402"/>
      <c r="Z177" s="402"/>
    </row>
    <row r="178" ht="14.25" customHeight="1">
      <c r="A178" s="406">
        <v>45504.0</v>
      </c>
      <c r="B178" s="349" t="s">
        <v>3107</v>
      </c>
      <c r="C178" s="349" t="s">
        <v>3108</v>
      </c>
      <c r="D178" s="349" t="s">
        <v>54</v>
      </c>
      <c r="E178" s="349" t="s">
        <v>3101</v>
      </c>
      <c r="F178" s="413">
        <v>9100.0</v>
      </c>
      <c r="G178" s="413">
        <v>0.0</v>
      </c>
      <c r="H178" s="735" t="s">
        <v>3158</v>
      </c>
      <c r="I178" s="736" t="str">
        <f t="shared" si="5"/>
        <v>NOT PAID</v>
      </c>
      <c r="J178" s="402"/>
      <c r="K178" s="402"/>
      <c r="L178" s="402"/>
      <c r="M178" s="402"/>
      <c r="N178" s="402"/>
      <c r="O178" s="402"/>
      <c r="P178" s="402"/>
      <c r="Q178" s="402"/>
      <c r="R178" s="402"/>
      <c r="S178" s="402"/>
      <c r="T178" s="402"/>
      <c r="U178" s="402"/>
      <c r="V178" s="402"/>
      <c r="W178" s="402"/>
      <c r="X178" s="402"/>
      <c r="Y178" s="402"/>
      <c r="Z178" s="402"/>
    </row>
    <row r="179" ht="14.25" customHeight="1">
      <c r="A179" s="406">
        <v>45504.0</v>
      </c>
      <c r="B179" s="522" t="s">
        <v>3134</v>
      </c>
      <c r="C179" s="522" t="s">
        <v>3176</v>
      </c>
      <c r="D179" s="349" t="s">
        <v>54</v>
      </c>
      <c r="E179" s="522" t="s">
        <v>3078</v>
      </c>
      <c r="F179" s="733">
        <v>90300.0</v>
      </c>
      <c r="G179" s="413">
        <v>0.0</v>
      </c>
      <c r="H179" s="735" t="s">
        <v>3159</v>
      </c>
      <c r="I179" s="736" t="str">
        <f t="shared" si="5"/>
        <v>NOT PAID</v>
      </c>
      <c r="J179" s="402"/>
      <c r="K179" s="402"/>
      <c r="L179" s="402"/>
      <c r="M179" s="402"/>
      <c r="N179" s="402"/>
      <c r="O179" s="402"/>
      <c r="P179" s="402"/>
      <c r="Q179" s="402"/>
      <c r="R179" s="402"/>
      <c r="S179" s="402"/>
      <c r="T179" s="402"/>
      <c r="U179" s="402"/>
      <c r="V179" s="402"/>
      <c r="W179" s="402"/>
      <c r="X179" s="402"/>
      <c r="Y179" s="402"/>
      <c r="Z179" s="402"/>
    </row>
    <row r="180" ht="14.25" customHeight="1">
      <c r="A180" s="406">
        <v>45504.0</v>
      </c>
      <c r="B180" s="522" t="s">
        <v>3111</v>
      </c>
      <c r="C180" s="522" t="s">
        <v>3112</v>
      </c>
      <c r="D180" s="349" t="s">
        <v>54</v>
      </c>
      <c r="E180" s="522" t="s">
        <v>3078</v>
      </c>
      <c r="F180" s="567">
        <v>750.0</v>
      </c>
      <c r="G180" s="413">
        <v>0.0</v>
      </c>
      <c r="H180" s="735" t="s">
        <v>3079</v>
      </c>
      <c r="I180" s="736" t="str">
        <f t="shared" si="5"/>
        <v>NOT PAID</v>
      </c>
      <c r="J180" s="402"/>
      <c r="K180" s="402"/>
      <c r="L180" s="402"/>
      <c r="M180" s="402"/>
      <c r="N180" s="402"/>
      <c r="O180" s="402"/>
      <c r="P180" s="402"/>
      <c r="Q180" s="402"/>
      <c r="R180" s="402"/>
      <c r="S180" s="402"/>
      <c r="T180" s="402"/>
      <c r="U180" s="402"/>
      <c r="V180" s="402"/>
      <c r="W180" s="402"/>
      <c r="X180" s="402"/>
      <c r="Y180" s="402"/>
      <c r="Z180" s="402"/>
    </row>
    <row r="181">
      <c r="A181" s="406">
        <v>45504.0</v>
      </c>
      <c r="B181" s="349" t="s">
        <v>3187</v>
      </c>
      <c r="C181" s="349" t="s">
        <v>3188</v>
      </c>
      <c r="D181" s="349" t="s">
        <v>3189</v>
      </c>
      <c r="E181" s="349" t="s">
        <v>3101</v>
      </c>
      <c r="F181" s="413">
        <v>172500.0</v>
      </c>
      <c r="G181" s="413">
        <v>0.0</v>
      </c>
      <c r="H181" s="732" t="s">
        <v>3160</v>
      </c>
      <c r="I181" s="736" t="str">
        <f t="shared" si="5"/>
        <v>NOT PAID</v>
      </c>
    </row>
    <row r="182" ht="14.25" customHeight="1">
      <c r="A182" s="406">
        <v>45504.0</v>
      </c>
      <c r="B182" s="349" t="s">
        <v>3076</v>
      </c>
      <c r="C182" s="349" t="s">
        <v>3077</v>
      </c>
      <c r="D182" s="349" t="s">
        <v>54</v>
      </c>
      <c r="E182" s="522" t="s">
        <v>3078</v>
      </c>
      <c r="F182" s="413">
        <v>36300.0</v>
      </c>
      <c r="G182" s="413">
        <v>0.0</v>
      </c>
      <c r="H182" s="349" t="s">
        <v>3161</v>
      </c>
      <c r="I182" s="736" t="str">
        <f t="shared" si="5"/>
        <v>NOT PAID</v>
      </c>
      <c r="J182" s="402"/>
      <c r="K182" s="402"/>
      <c r="L182" s="402"/>
      <c r="M182" s="402"/>
      <c r="N182" s="402"/>
      <c r="O182" s="402"/>
      <c r="P182" s="402"/>
      <c r="Q182" s="402"/>
      <c r="R182" s="402"/>
      <c r="S182" s="402"/>
      <c r="T182" s="402"/>
      <c r="U182" s="402"/>
      <c r="V182" s="402"/>
      <c r="W182" s="402"/>
      <c r="X182" s="402"/>
      <c r="Y182" s="402"/>
      <c r="Z182" s="402"/>
    </row>
    <row r="183" ht="14.25" customHeight="1">
      <c r="A183" s="406">
        <v>45504.0</v>
      </c>
      <c r="B183" s="349" t="s">
        <v>3142</v>
      </c>
      <c r="C183" s="349" t="s">
        <v>3143</v>
      </c>
      <c r="D183" s="349" t="s">
        <v>54</v>
      </c>
      <c r="E183" s="522" t="s">
        <v>797</v>
      </c>
      <c r="F183" s="413">
        <v>85615.88</v>
      </c>
      <c r="G183" s="413">
        <v>0.0</v>
      </c>
      <c r="H183" s="349" t="s">
        <v>3152</v>
      </c>
      <c r="I183" s="736" t="str">
        <f t="shared" si="5"/>
        <v>NOT PAID</v>
      </c>
      <c r="J183" s="402"/>
      <c r="K183" s="402"/>
      <c r="L183" s="402"/>
      <c r="M183" s="402"/>
      <c r="N183" s="402"/>
      <c r="O183" s="402"/>
      <c r="P183" s="402"/>
      <c r="Q183" s="402"/>
      <c r="R183" s="402"/>
      <c r="S183" s="402"/>
      <c r="T183" s="402"/>
      <c r="U183" s="402"/>
      <c r="V183" s="402"/>
      <c r="W183" s="402"/>
      <c r="X183" s="402"/>
      <c r="Y183" s="402"/>
      <c r="Z183" s="402"/>
    </row>
    <row r="184" ht="14.25" customHeight="1">
      <c r="A184" s="406">
        <v>45504.0</v>
      </c>
      <c r="B184" s="349" t="s">
        <v>3139</v>
      </c>
      <c r="C184" s="349" t="s">
        <v>3140</v>
      </c>
      <c r="D184" s="349" t="s">
        <v>54</v>
      </c>
      <c r="E184" s="349" t="s">
        <v>797</v>
      </c>
      <c r="F184" s="413">
        <v>143780.2</v>
      </c>
      <c r="G184" s="413">
        <v>0.0</v>
      </c>
      <c r="H184" s="349" t="s">
        <v>3153</v>
      </c>
      <c r="I184" s="736" t="str">
        <f t="shared" si="5"/>
        <v>NOT PAID</v>
      </c>
      <c r="J184" s="402"/>
      <c r="K184" s="402"/>
      <c r="L184" s="402"/>
      <c r="M184" s="402"/>
      <c r="N184" s="402"/>
      <c r="O184" s="402"/>
      <c r="P184" s="402"/>
      <c r="Q184" s="402"/>
      <c r="R184" s="402"/>
      <c r="S184" s="402"/>
      <c r="T184" s="402"/>
      <c r="U184" s="402"/>
      <c r="V184" s="402"/>
      <c r="W184" s="402"/>
      <c r="X184" s="402"/>
      <c r="Y184" s="402"/>
      <c r="Z184" s="402"/>
    </row>
    <row r="185" ht="14.25" customHeight="1">
      <c r="A185" s="406">
        <v>45504.0</v>
      </c>
      <c r="B185" s="349" t="s">
        <v>3149</v>
      </c>
      <c r="C185" s="349" t="s">
        <v>3150</v>
      </c>
      <c r="D185" s="349" t="s">
        <v>54</v>
      </c>
      <c r="E185" s="522" t="s">
        <v>797</v>
      </c>
      <c r="F185" s="413">
        <v>380848.53</v>
      </c>
      <c r="G185" s="413">
        <v>0.0</v>
      </c>
      <c r="H185" s="349" t="s">
        <v>3153</v>
      </c>
      <c r="I185" s="736" t="str">
        <f t="shared" si="5"/>
        <v>NOT PAID</v>
      </c>
      <c r="J185" s="402"/>
      <c r="K185" s="402"/>
      <c r="L185" s="402"/>
      <c r="M185" s="402"/>
      <c r="N185" s="402"/>
      <c r="O185" s="402"/>
      <c r="P185" s="402"/>
      <c r="Q185" s="402"/>
      <c r="R185" s="402"/>
      <c r="S185" s="402"/>
      <c r="T185" s="402"/>
      <c r="U185" s="402"/>
      <c r="V185" s="402"/>
      <c r="W185" s="402"/>
      <c r="X185" s="402"/>
      <c r="Y185" s="402"/>
      <c r="Z185" s="402"/>
    </row>
    <row r="186" ht="14.25" customHeight="1">
      <c r="A186" s="406">
        <v>45504.0</v>
      </c>
      <c r="B186" s="349" t="s">
        <v>3171</v>
      </c>
      <c r="C186" s="349" t="s">
        <v>3172</v>
      </c>
      <c r="D186" s="349" t="s">
        <v>54</v>
      </c>
      <c r="E186" s="522" t="s">
        <v>3115</v>
      </c>
      <c r="F186" s="413">
        <v>21020.0</v>
      </c>
      <c r="G186" s="413">
        <v>21200.0</v>
      </c>
      <c r="H186" s="349" t="s">
        <v>3079</v>
      </c>
      <c r="I186" s="736" t="str">
        <f t="shared" si="5"/>
        <v>FULLY PAID</v>
      </c>
      <c r="J186" s="402"/>
      <c r="K186" s="402"/>
      <c r="L186" s="402"/>
      <c r="M186" s="402"/>
      <c r="N186" s="402"/>
      <c r="O186" s="402"/>
      <c r="P186" s="402"/>
      <c r="Q186" s="402"/>
      <c r="R186" s="402"/>
      <c r="S186" s="402"/>
      <c r="T186" s="402"/>
      <c r="U186" s="402"/>
      <c r="V186" s="402"/>
      <c r="W186" s="402"/>
      <c r="X186" s="402"/>
      <c r="Y186" s="402"/>
      <c r="Z186" s="402"/>
    </row>
    <row r="187" ht="14.25" customHeight="1">
      <c r="A187" s="406">
        <v>45504.0</v>
      </c>
      <c r="B187" s="349" t="s">
        <v>3173</v>
      </c>
      <c r="C187" s="349" t="s">
        <v>3174</v>
      </c>
      <c r="D187" s="349" t="s">
        <v>54</v>
      </c>
      <c r="E187" s="522" t="s">
        <v>3101</v>
      </c>
      <c r="F187" s="413">
        <v>19200.0</v>
      </c>
      <c r="G187" s="413">
        <v>0.0</v>
      </c>
      <c r="H187" s="349" t="s">
        <v>710</v>
      </c>
      <c r="I187" s="736" t="str">
        <f t="shared" si="5"/>
        <v>NOT PAID</v>
      </c>
      <c r="J187" s="402"/>
      <c r="K187" s="402"/>
      <c r="L187" s="402"/>
      <c r="M187" s="402"/>
      <c r="N187" s="402"/>
      <c r="O187" s="402"/>
      <c r="P187" s="402"/>
      <c r="Q187" s="402"/>
      <c r="R187" s="402"/>
      <c r="S187" s="402"/>
      <c r="T187" s="402"/>
      <c r="U187" s="402"/>
      <c r="V187" s="402"/>
      <c r="W187" s="402"/>
      <c r="X187" s="402"/>
      <c r="Y187" s="402"/>
      <c r="Z187" s="402"/>
    </row>
    <row r="188" ht="14.25" customHeight="1">
      <c r="A188" s="406">
        <v>45504.0</v>
      </c>
      <c r="B188" s="349" t="s">
        <v>3180</v>
      </c>
      <c r="C188" s="349" t="s">
        <v>3117</v>
      </c>
      <c r="D188" s="349" t="s">
        <v>54</v>
      </c>
      <c r="E188" s="349" t="s">
        <v>3101</v>
      </c>
      <c r="F188" s="413">
        <v>19600.0</v>
      </c>
      <c r="G188" s="413">
        <v>0.0</v>
      </c>
      <c r="H188" s="349" t="s">
        <v>3179</v>
      </c>
      <c r="I188" s="736" t="str">
        <f t="shared" si="5"/>
        <v>NOT PAID</v>
      </c>
      <c r="J188" s="402"/>
      <c r="K188" s="402"/>
      <c r="L188" s="402"/>
      <c r="M188" s="402"/>
      <c r="N188" s="402"/>
      <c r="O188" s="402"/>
      <c r="P188" s="402"/>
      <c r="Q188" s="402"/>
      <c r="R188" s="402"/>
      <c r="S188" s="402"/>
      <c r="T188" s="402"/>
      <c r="U188" s="402"/>
      <c r="V188" s="402"/>
      <c r="W188" s="402"/>
      <c r="X188" s="402"/>
      <c r="Y188" s="402"/>
      <c r="Z188" s="402"/>
    </row>
    <row r="189" ht="14.25" customHeight="1">
      <c r="A189" s="406">
        <v>45504.0</v>
      </c>
      <c r="B189" s="349" t="s">
        <v>3182</v>
      </c>
      <c r="C189" s="349" t="s">
        <v>3117</v>
      </c>
      <c r="D189" s="349" t="s">
        <v>467</v>
      </c>
      <c r="E189" s="349" t="s">
        <v>3101</v>
      </c>
      <c r="F189" s="413">
        <v>6600.0</v>
      </c>
      <c r="G189" s="413">
        <v>0.0</v>
      </c>
      <c r="H189" s="349" t="s">
        <v>3181</v>
      </c>
      <c r="I189" s="736" t="str">
        <f t="shared" si="5"/>
        <v>NOT PAID</v>
      </c>
      <c r="J189" s="402"/>
      <c r="K189" s="402"/>
      <c r="L189" s="402"/>
      <c r="M189" s="402"/>
      <c r="N189" s="402"/>
      <c r="O189" s="402"/>
      <c r="P189" s="402"/>
      <c r="Q189" s="402"/>
      <c r="R189" s="402"/>
      <c r="S189" s="402"/>
      <c r="T189" s="402"/>
      <c r="U189" s="402"/>
      <c r="V189" s="402"/>
      <c r="W189" s="402"/>
      <c r="X189" s="402"/>
      <c r="Y189" s="402"/>
      <c r="Z189" s="402"/>
    </row>
    <row r="190" ht="14.25" customHeight="1">
      <c r="A190" s="406">
        <v>45504.0</v>
      </c>
      <c r="B190" s="522" t="s">
        <v>3080</v>
      </c>
      <c r="C190" s="349" t="s">
        <v>3190</v>
      </c>
      <c r="D190" s="349" t="s">
        <v>54</v>
      </c>
      <c r="E190" s="522" t="s">
        <v>3115</v>
      </c>
      <c r="F190" s="413">
        <v>52000.0</v>
      </c>
      <c r="G190" s="413">
        <v>52001.0</v>
      </c>
      <c r="H190" s="349" t="s">
        <v>3183</v>
      </c>
      <c r="I190" s="736" t="str">
        <f t="shared" si="5"/>
        <v>FULLY PAID</v>
      </c>
      <c r="J190" s="402"/>
      <c r="K190" s="402"/>
      <c r="L190" s="402"/>
      <c r="M190" s="402"/>
      <c r="N190" s="402"/>
      <c r="O190" s="402"/>
      <c r="P190" s="402"/>
      <c r="Q190" s="402"/>
      <c r="R190" s="402"/>
      <c r="S190" s="402"/>
      <c r="T190" s="402"/>
      <c r="U190" s="402"/>
      <c r="V190" s="402"/>
      <c r="W190" s="402"/>
      <c r="X190" s="402"/>
      <c r="Y190" s="402"/>
      <c r="Z190" s="402"/>
    </row>
    <row r="191" ht="14.25" customHeight="1">
      <c r="A191" s="406"/>
      <c r="B191" s="349"/>
      <c r="C191" s="349"/>
      <c r="D191" s="349"/>
      <c r="E191" s="522"/>
      <c r="F191" s="413"/>
      <c r="G191" s="413"/>
      <c r="H191" s="402"/>
      <c r="I191" s="736" t="str">
        <f t="shared" si="5"/>
        <v>FULLY PAID</v>
      </c>
      <c r="J191" s="402"/>
      <c r="K191" s="402"/>
      <c r="L191" s="402"/>
      <c r="M191" s="402"/>
      <c r="N191" s="402"/>
      <c r="O191" s="402"/>
      <c r="P191" s="402"/>
      <c r="Q191" s="402"/>
      <c r="R191" s="402"/>
      <c r="S191" s="402"/>
      <c r="T191" s="402"/>
      <c r="U191" s="402"/>
      <c r="V191" s="402"/>
      <c r="W191" s="402"/>
      <c r="X191" s="402"/>
      <c r="Y191" s="402"/>
      <c r="Z191" s="402"/>
    </row>
    <row r="192" ht="14.25" customHeight="1">
      <c r="A192" s="729" t="s">
        <v>47</v>
      </c>
      <c r="B192" s="730" t="s">
        <v>39</v>
      </c>
      <c r="C192" s="730" t="s">
        <v>3075</v>
      </c>
      <c r="D192" s="730" t="s">
        <v>49</v>
      </c>
      <c r="E192" s="730" t="s">
        <v>50</v>
      </c>
      <c r="F192" s="731" t="s">
        <v>2</v>
      </c>
      <c r="G192" s="731" t="s">
        <v>4</v>
      </c>
      <c r="H192" s="730" t="s">
        <v>45</v>
      </c>
      <c r="I192" s="736" t="str">
        <f t="shared" si="5"/>
        <v>FULLY PAID</v>
      </c>
      <c r="J192" s="402"/>
      <c r="K192" s="402"/>
      <c r="L192" s="402"/>
      <c r="M192" s="402"/>
      <c r="N192" s="402"/>
      <c r="O192" s="402"/>
      <c r="P192" s="402"/>
      <c r="Q192" s="402"/>
      <c r="R192" s="402"/>
      <c r="S192" s="402"/>
      <c r="T192" s="402"/>
      <c r="U192" s="402"/>
      <c r="V192" s="402"/>
      <c r="W192" s="402"/>
      <c r="X192" s="402"/>
      <c r="Y192" s="402"/>
      <c r="Z192" s="402"/>
    </row>
    <row r="193" ht="14.25" customHeight="1">
      <c r="A193" s="406">
        <v>45505.0</v>
      </c>
      <c r="B193" s="522" t="s">
        <v>3087</v>
      </c>
      <c r="C193" s="522" t="s">
        <v>3088</v>
      </c>
      <c r="D193" s="522" t="s">
        <v>54</v>
      </c>
      <c r="E193" s="522" t="s">
        <v>3089</v>
      </c>
      <c r="F193" s="567">
        <v>21800.0</v>
      </c>
      <c r="G193" s="413">
        <v>0.0</v>
      </c>
      <c r="H193" s="349" t="s">
        <v>3079</v>
      </c>
      <c r="I193" s="736" t="str">
        <f t="shared" si="5"/>
        <v>NOT PAID</v>
      </c>
      <c r="J193" s="402"/>
      <c r="K193" s="402"/>
      <c r="L193" s="402"/>
      <c r="M193" s="402"/>
      <c r="N193" s="402"/>
      <c r="O193" s="402"/>
      <c r="P193" s="402"/>
      <c r="Q193" s="402"/>
      <c r="R193" s="402"/>
      <c r="S193" s="402"/>
      <c r="T193" s="402"/>
      <c r="U193" s="402"/>
      <c r="V193" s="402"/>
      <c r="W193" s="402"/>
      <c r="X193" s="402"/>
      <c r="Y193" s="402"/>
      <c r="Z193" s="402"/>
    </row>
    <row r="194" ht="14.25" customHeight="1">
      <c r="A194" s="406">
        <v>45505.0</v>
      </c>
      <c r="B194" s="522" t="s">
        <v>3094</v>
      </c>
      <c r="C194" s="522" t="s">
        <v>3095</v>
      </c>
      <c r="D194" s="522" t="s">
        <v>54</v>
      </c>
      <c r="E194" s="522" t="s">
        <v>3078</v>
      </c>
      <c r="F194" s="567">
        <v>18300.0</v>
      </c>
      <c r="G194" s="413">
        <v>9000.0</v>
      </c>
      <c r="H194" s="349" t="s">
        <v>3154</v>
      </c>
      <c r="I194" s="736" t="str">
        <f t="shared" si="5"/>
        <v>PARTIALLY PAID</v>
      </c>
      <c r="J194" s="402"/>
      <c r="K194" s="402"/>
      <c r="L194" s="402"/>
      <c r="M194" s="402"/>
      <c r="N194" s="402"/>
      <c r="O194" s="402"/>
      <c r="P194" s="402"/>
      <c r="Q194" s="402"/>
      <c r="R194" s="402"/>
      <c r="S194" s="402"/>
      <c r="T194" s="402"/>
      <c r="U194" s="402"/>
      <c r="V194" s="402"/>
      <c r="W194" s="402"/>
      <c r="X194" s="402"/>
      <c r="Y194" s="402"/>
      <c r="Z194" s="402"/>
    </row>
    <row r="195" ht="14.25" customHeight="1">
      <c r="A195" s="406">
        <v>45505.0</v>
      </c>
      <c r="B195" s="522" t="s">
        <v>652</v>
      </c>
      <c r="C195" s="522" t="s">
        <v>3097</v>
      </c>
      <c r="D195" s="522" t="s">
        <v>2010</v>
      </c>
      <c r="E195" s="522" t="s">
        <v>3093</v>
      </c>
      <c r="F195" s="567">
        <v>132104.0</v>
      </c>
      <c r="G195" s="413">
        <v>0.0</v>
      </c>
      <c r="H195" s="349" t="s">
        <v>3155</v>
      </c>
      <c r="I195" s="736" t="str">
        <f t="shared" si="5"/>
        <v>NOT PAID</v>
      </c>
      <c r="J195" s="402"/>
      <c r="K195" s="402"/>
      <c r="L195" s="402"/>
      <c r="M195" s="402"/>
      <c r="N195" s="402"/>
      <c r="O195" s="402"/>
      <c r="P195" s="402"/>
      <c r="Q195" s="402"/>
      <c r="R195" s="402"/>
      <c r="S195" s="402"/>
      <c r="T195" s="402"/>
      <c r="U195" s="402"/>
      <c r="V195" s="402"/>
      <c r="W195" s="402"/>
      <c r="X195" s="402"/>
      <c r="Y195" s="402"/>
      <c r="Z195" s="402"/>
    </row>
    <row r="196" ht="14.25" customHeight="1">
      <c r="A196" s="406">
        <v>45505.0</v>
      </c>
      <c r="B196" s="522" t="s">
        <v>3099</v>
      </c>
      <c r="C196" s="522" t="s">
        <v>3100</v>
      </c>
      <c r="D196" s="522" t="s">
        <v>54</v>
      </c>
      <c r="E196" s="522" t="s">
        <v>3101</v>
      </c>
      <c r="F196" s="567">
        <v>124650.0</v>
      </c>
      <c r="G196" s="413">
        <v>0.0</v>
      </c>
      <c r="H196" s="349" t="s">
        <v>3156</v>
      </c>
      <c r="I196" s="736" t="str">
        <f t="shared" si="5"/>
        <v>NOT PAID</v>
      </c>
      <c r="J196" s="402"/>
      <c r="K196" s="402"/>
      <c r="L196" s="402"/>
      <c r="M196" s="402"/>
      <c r="N196" s="402"/>
      <c r="O196" s="402"/>
      <c r="P196" s="402"/>
      <c r="Q196" s="402"/>
      <c r="R196" s="402"/>
      <c r="S196" s="402"/>
      <c r="T196" s="402"/>
      <c r="U196" s="402"/>
      <c r="V196" s="402"/>
      <c r="W196" s="402"/>
      <c r="X196" s="402"/>
      <c r="Y196" s="402"/>
      <c r="Z196" s="402"/>
    </row>
    <row r="197" ht="14.25" customHeight="1">
      <c r="A197" s="406">
        <v>45505.0</v>
      </c>
      <c r="B197" s="349" t="s">
        <v>3102</v>
      </c>
      <c r="C197" s="349" t="s">
        <v>3103</v>
      </c>
      <c r="D197" s="349" t="s">
        <v>54</v>
      </c>
      <c r="E197" s="522" t="s">
        <v>3101</v>
      </c>
      <c r="F197" s="413">
        <v>21000.0</v>
      </c>
      <c r="G197" s="413">
        <v>0.0</v>
      </c>
      <c r="H197" s="349" t="s">
        <v>3157</v>
      </c>
      <c r="I197" s="736" t="str">
        <f t="shared" si="5"/>
        <v>NOT PAID</v>
      </c>
      <c r="J197" s="402"/>
      <c r="K197" s="402"/>
      <c r="L197" s="402"/>
      <c r="M197" s="402"/>
      <c r="N197" s="402"/>
      <c r="O197" s="402"/>
      <c r="P197" s="402"/>
      <c r="Q197" s="402"/>
      <c r="R197" s="402"/>
      <c r="S197" s="402"/>
      <c r="T197" s="402"/>
      <c r="U197" s="402"/>
      <c r="V197" s="402"/>
      <c r="W197" s="402"/>
      <c r="X197" s="402"/>
      <c r="Y197" s="402"/>
      <c r="Z197" s="402"/>
    </row>
    <row r="198" ht="14.25" customHeight="1">
      <c r="A198" s="406">
        <v>45505.0</v>
      </c>
      <c r="B198" s="349" t="s">
        <v>3107</v>
      </c>
      <c r="C198" s="349" t="s">
        <v>3108</v>
      </c>
      <c r="D198" s="349" t="s">
        <v>54</v>
      </c>
      <c r="E198" s="349" t="s">
        <v>3101</v>
      </c>
      <c r="F198" s="413">
        <v>9100.0</v>
      </c>
      <c r="G198" s="413">
        <v>0.0</v>
      </c>
      <c r="H198" s="735" t="s">
        <v>3158</v>
      </c>
      <c r="I198" s="736" t="str">
        <f t="shared" si="5"/>
        <v>NOT PAID</v>
      </c>
      <c r="J198" s="402"/>
      <c r="K198" s="402"/>
      <c r="L198" s="402"/>
      <c r="M198" s="402"/>
      <c r="N198" s="402"/>
      <c r="O198" s="402"/>
      <c r="P198" s="402"/>
      <c r="Q198" s="402"/>
      <c r="R198" s="402"/>
      <c r="S198" s="402"/>
      <c r="T198" s="402"/>
      <c r="U198" s="402"/>
      <c r="V198" s="402"/>
      <c r="W198" s="402"/>
      <c r="X198" s="402"/>
      <c r="Y198" s="402"/>
      <c r="Z198" s="402"/>
    </row>
    <row r="199" ht="14.25" customHeight="1">
      <c r="A199" s="406">
        <v>45505.0</v>
      </c>
      <c r="B199" s="522" t="s">
        <v>3134</v>
      </c>
      <c r="C199" s="522" t="s">
        <v>3176</v>
      </c>
      <c r="D199" s="349" t="s">
        <v>54</v>
      </c>
      <c r="E199" s="522" t="s">
        <v>3078</v>
      </c>
      <c r="F199" s="733">
        <v>95000.0</v>
      </c>
      <c r="G199" s="413">
        <v>0.0</v>
      </c>
      <c r="H199" s="735" t="s">
        <v>3159</v>
      </c>
      <c r="I199" s="736" t="str">
        <f t="shared" si="5"/>
        <v>NOT PAID</v>
      </c>
      <c r="J199" s="402"/>
      <c r="K199" s="402"/>
      <c r="L199" s="402"/>
      <c r="M199" s="402"/>
      <c r="N199" s="402"/>
      <c r="O199" s="402"/>
      <c r="P199" s="402"/>
      <c r="Q199" s="402"/>
      <c r="R199" s="402"/>
      <c r="S199" s="402"/>
      <c r="T199" s="402"/>
      <c r="U199" s="402"/>
      <c r="V199" s="402"/>
      <c r="W199" s="402"/>
      <c r="X199" s="402"/>
      <c r="Y199" s="402"/>
      <c r="Z199" s="402"/>
    </row>
    <row r="200" ht="14.25" customHeight="1">
      <c r="A200" s="406">
        <v>45505.0</v>
      </c>
      <c r="B200" s="522" t="s">
        <v>3111</v>
      </c>
      <c r="C200" s="522" t="s">
        <v>3112</v>
      </c>
      <c r="D200" s="349" t="s">
        <v>54</v>
      </c>
      <c r="E200" s="522" t="s">
        <v>3078</v>
      </c>
      <c r="F200" s="567">
        <v>750.0</v>
      </c>
      <c r="G200" s="413">
        <v>0.0</v>
      </c>
      <c r="H200" s="735" t="s">
        <v>3079</v>
      </c>
      <c r="I200" s="736" t="str">
        <f t="shared" si="5"/>
        <v>NOT PAID</v>
      </c>
      <c r="J200" s="402"/>
      <c r="K200" s="402"/>
      <c r="L200" s="402"/>
      <c r="M200" s="402"/>
      <c r="N200" s="402"/>
      <c r="O200" s="402"/>
      <c r="P200" s="402"/>
      <c r="Q200" s="402"/>
      <c r="R200" s="402"/>
      <c r="S200" s="402"/>
      <c r="T200" s="402"/>
      <c r="U200" s="402"/>
      <c r="V200" s="402"/>
      <c r="W200" s="402"/>
      <c r="X200" s="402"/>
      <c r="Y200" s="402"/>
      <c r="Z200" s="402"/>
    </row>
    <row r="201" ht="14.25" customHeight="1">
      <c r="A201" s="406">
        <v>45505.0</v>
      </c>
      <c r="B201" s="349" t="s">
        <v>3187</v>
      </c>
      <c r="C201" s="349" t="s">
        <v>3188</v>
      </c>
      <c r="D201" s="349" t="s">
        <v>3189</v>
      </c>
      <c r="E201" s="349" t="s">
        <v>3101</v>
      </c>
      <c r="F201" s="413">
        <v>172500.0</v>
      </c>
      <c r="G201" s="413">
        <v>0.0</v>
      </c>
      <c r="H201" s="732" t="s">
        <v>3160</v>
      </c>
      <c r="I201" s="736" t="str">
        <f t="shared" si="5"/>
        <v>NOT PAID</v>
      </c>
      <c r="J201" s="402"/>
      <c r="K201" s="402"/>
      <c r="L201" s="402"/>
      <c r="M201" s="402"/>
      <c r="N201" s="402"/>
      <c r="O201" s="402"/>
      <c r="P201" s="402"/>
      <c r="Q201" s="402"/>
      <c r="R201" s="402"/>
      <c r="S201" s="402"/>
      <c r="T201" s="402"/>
      <c r="U201" s="402"/>
      <c r="V201" s="402"/>
      <c r="W201" s="402"/>
      <c r="X201" s="402"/>
      <c r="Y201" s="402"/>
      <c r="Z201" s="402"/>
    </row>
    <row r="202" ht="14.25" customHeight="1">
      <c r="A202" s="406">
        <v>45505.0</v>
      </c>
      <c r="B202" s="349" t="s">
        <v>3076</v>
      </c>
      <c r="C202" s="349" t="s">
        <v>3077</v>
      </c>
      <c r="D202" s="349" t="s">
        <v>54</v>
      </c>
      <c r="E202" s="522" t="s">
        <v>3078</v>
      </c>
      <c r="F202" s="413">
        <v>36300.0</v>
      </c>
      <c r="G202" s="413">
        <v>29900.0</v>
      </c>
      <c r="H202" s="349" t="s">
        <v>3161</v>
      </c>
      <c r="I202" s="736" t="str">
        <f t="shared" si="5"/>
        <v>PARTIALLY PAID</v>
      </c>
      <c r="J202" s="402"/>
      <c r="K202" s="402"/>
      <c r="L202" s="402"/>
      <c r="M202" s="402"/>
      <c r="N202" s="402"/>
      <c r="O202" s="402"/>
      <c r="P202" s="402"/>
      <c r="Q202" s="402"/>
      <c r="R202" s="402"/>
      <c r="S202" s="402"/>
      <c r="T202" s="402"/>
      <c r="U202" s="402"/>
      <c r="V202" s="402"/>
      <c r="W202" s="402"/>
      <c r="X202" s="402"/>
      <c r="Y202" s="402"/>
      <c r="Z202" s="402"/>
    </row>
    <row r="203" ht="14.25" customHeight="1">
      <c r="A203" s="406">
        <v>45505.0</v>
      </c>
      <c r="B203" s="349" t="s">
        <v>3142</v>
      </c>
      <c r="C203" s="349" t="s">
        <v>3143</v>
      </c>
      <c r="D203" s="349" t="s">
        <v>54</v>
      </c>
      <c r="E203" s="522" t="s">
        <v>797</v>
      </c>
      <c r="F203" s="413">
        <v>85615.88</v>
      </c>
      <c r="G203" s="413">
        <v>0.0</v>
      </c>
      <c r="H203" s="349" t="s">
        <v>3152</v>
      </c>
      <c r="I203" s="736" t="str">
        <f t="shared" si="5"/>
        <v>NOT PAID</v>
      </c>
      <c r="J203" s="402"/>
      <c r="K203" s="402"/>
      <c r="L203" s="402"/>
      <c r="M203" s="402"/>
      <c r="N203" s="402"/>
      <c r="O203" s="402"/>
      <c r="P203" s="402"/>
      <c r="Q203" s="402"/>
      <c r="R203" s="402"/>
      <c r="S203" s="402"/>
      <c r="T203" s="402"/>
      <c r="U203" s="402"/>
      <c r="V203" s="402"/>
      <c r="W203" s="402"/>
      <c r="X203" s="402"/>
      <c r="Y203" s="402"/>
      <c r="Z203" s="402"/>
    </row>
    <row r="204" ht="14.25" customHeight="1">
      <c r="A204" s="406">
        <v>45505.0</v>
      </c>
      <c r="B204" s="349" t="s">
        <v>3139</v>
      </c>
      <c r="C204" s="349" t="s">
        <v>3140</v>
      </c>
      <c r="D204" s="349" t="s">
        <v>54</v>
      </c>
      <c r="E204" s="349" t="s">
        <v>797</v>
      </c>
      <c r="F204" s="413">
        <v>143780.2</v>
      </c>
      <c r="G204" s="413">
        <v>0.0</v>
      </c>
      <c r="H204" s="349" t="s">
        <v>3153</v>
      </c>
      <c r="I204" s="736" t="str">
        <f t="shared" si="5"/>
        <v>NOT PAID</v>
      </c>
      <c r="J204" s="402"/>
      <c r="K204" s="402"/>
      <c r="L204" s="402"/>
      <c r="M204" s="402"/>
      <c r="N204" s="402"/>
      <c r="O204" s="402"/>
      <c r="P204" s="402"/>
      <c r="Q204" s="402"/>
      <c r="R204" s="402"/>
      <c r="S204" s="402"/>
      <c r="T204" s="402"/>
      <c r="U204" s="402"/>
      <c r="V204" s="402"/>
      <c r="W204" s="402"/>
      <c r="X204" s="402"/>
      <c r="Y204" s="402"/>
      <c r="Z204" s="402"/>
    </row>
    <row r="205" ht="14.25" customHeight="1">
      <c r="A205" s="406">
        <v>45505.0</v>
      </c>
      <c r="B205" s="349" t="s">
        <v>3149</v>
      </c>
      <c r="C205" s="349" t="s">
        <v>3150</v>
      </c>
      <c r="D205" s="349" t="s">
        <v>54</v>
      </c>
      <c r="E205" s="522" t="s">
        <v>797</v>
      </c>
      <c r="F205" s="413">
        <v>150000.0</v>
      </c>
      <c r="G205" s="413">
        <v>0.0</v>
      </c>
      <c r="H205" s="349" t="s">
        <v>3153</v>
      </c>
      <c r="I205" s="736" t="str">
        <f t="shared" si="5"/>
        <v>NOT PAID</v>
      </c>
      <c r="J205" s="402"/>
      <c r="K205" s="402"/>
      <c r="L205" s="402"/>
      <c r="M205" s="402"/>
      <c r="N205" s="402"/>
      <c r="O205" s="402"/>
      <c r="P205" s="402"/>
      <c r="Q205" s="402"/>
      <c r="R205" s="402"/>
      <c r="S205" s="402"/>
      <c r="T205" s="402"/>
      <c r="U205" s="402"/>
      <c r="V205" s="402"/>
      <c r="W205" s="402"/>
      <c r="X205" s="402"/>
      <c r="Y205" s="402"/>
      <c r="Z205" s="402"/>
    </row>
    <row r="206" ht="14.25" customHeight="1">
      <c r="A206" s="406">
        <v>45505.0</v>
      </c>
      <c r="B206" s="349" t="s">
        <v>3173</v>
      </c>
      <c r="C206" s="349" t="s">
        <v>3174</v>
      </c>
      <c r="D206" s="349" t="s">
        <v>54</v>
      </c>
      <c r="E206" s="522" t="s">
        <v>3101</v>
      </c>
      <c r="F206" s="413">
        <v>19200.0</v>
      </c>
      <c r="G206" s="413">
        <v>0.0</v>
      </c>
      <c r="H206" s="349" t="s">
        <v>3079</v>
      </c>
      <c r="I206" s="736" t="str">
        <f t="shared" si="5"/>
        <v>NOT PAID</v>
      </c>
      <c r="J206" s="402"/>
      <c r="K206" s="402"/>
      <c r="L206" s="402"/>
      <c r="M206" s="402"/>
      <c r="N206" s="402"/>
      <c r="O206" s="402"/>
      <c r="P206" s="402"/>
      <c r="Q206" s="402"/>
      <c r="R206" s="402"/>
      <c r="S206" s="402"/>
      <c r="T206" s="402"/>
      <c r="U206" s="402"/>
      <c r="V206" s="402"/>
      <c r="W206" s="402"/>
      <c r="X206" s="402"/>
      <c r="Y206" s="402"/>
      <c r="Z206" s="402"/>
    </row>
    <row r="207" ht="14.25" customHeight="1">
      <c r="A207" s="406">
        <v>45505.0</v>
      </c>
      <c r="B207" s="349" t="s">
        <v>3180</v>
      </c>
      <c r="C207" s="349" t="s">
        <v>3117</v>
      </c>
      <c r="D207" s="349" t="s">
        <v>54</v>
      </c>
      <c r="E207" s="349" t="s">
        <v>3101</v>
      </c>
      <c r="F207" s="413">
        <v>19600.0</v>
      </c>
      <c r="G207" s="413">
        <v>19000.0</v>
      </c>
      <c r="H207" s="349" t="s">
        <v>710</v>
      </c>
      <c r="I207" s="736" t="str">
        <f t="shared" si="5"/>
        <v>PARTIALLY PAID</v>
      </c>
      <c r="J207" s="402"/>
      <c r="K207" s="402"/>
      <c r="L207" s="402"/>
      <c r="M207" s="402"/>
      <c r="N207" s="402"/>
      <c r="O207" s="402"/>
      <c r="P207" s="402"/>
      <c r="Q207" s="402"/>
      <c r="R207" s="402"/>
      <c r="S207" s="402"/>
      <c r="T207" s="402"/>
      <c r="U207" s="402"/>
      <c r="V207" s="402"/>
      <c r="W207" s="402"/>
      <c r="X207" s="402"/>
      <c r="Y207" s="402"/>
      <c r="Z207" s="402"/>
    </row>
    <row r="208" ht="14.25" customHeight="1">
      <c r="A208" s="406">
        <v>45505.0</v>
      </c>
      <c r="B208" s="349" t="s">
        <v>3182</v>
      </c>
      <c r="C208" s="349" t="s">
        <v>3117</v>
      </c>
      <c r="D208" s="349" t="s">
        <v>467</v>
      </c>
      <c r="E208" s="522" t="s">
        <v>3101</v>
      </c>
      <c r="F208" s="413">
        <v>6600.0</v>
      </c>
      <c r="G208" s="413">
        <v>0.0</v>
      </c>
      <c r="H208" s="349" t="s">
        <v>3179</v>
      </c>
      <c r="I208" s="736" t="str">
        <f t="shared" si="5"/>
        <v>NOT PAID</v>
      </c>
      <c r="J208" s="402"/>
      <c r="K208" s="402"/>
      <c r="L208" s="402"/>
      <c r="M208" s="402"/>
      <c r="N208" s="402"/>
      <c r="O208" s="402"/>
      <c r="P208" s="402"/>
      <c r="Q208" s="402"/>
      <c r="R208" s="402"/>
      <c r="S208" s="402"/>
      <c r="T208" s="402"/>
      <c r="U208" s="402"/>
      <c r="V208" s="402"/>
      <c r="W208" s="402"/>
      <c r="X208" s="402"/>
      <c r="Y208" s="402"/>
      <c r="Z208" s="402"/>
    </row>
    <row r="209" ht="14.25" customHeight="1">
      <c r="A209" s="406">
        <v>45505.0</v>
      </c>
      <c r="B209" s="349" t="s">
        <v>3191</v>
      </c>
      <c r="C209" s="349" t="s">
        <v>3192</v>
      </c>
      <c r="D209" s="349" t="s">
        <v>54</v>
      </c>
      <c r="E209" s="349" t="s">
        <v>3101</v>
      </c>
      <c r="F209" s="413">
        <v>67340.0</v>
      </c>
      <c r="G209" s="413">
        <v>0.0</v>
      </c>
      <c r="H209" s="349" t="s">
        <v>3181</v>
      </c>
      <c r="I209" s="736" t="str">
        <f t="shared" si="5"/>
        <v>NOT PAID</v>
      </c>
      <c r="J209" s="402"/>
      <c r="K209" s="402"/>
      <c r="L209" s="402"/>
      <c r="M209" s="402"/>
      <c r="N209" s="402"/>
      <c r="O209" s="402"/>
      <c r="P209" s="402"/>
      <c r="Q209" s="402"/>
      <c r="R209" s="402"/>
      <c r="S209" s="402"/>
      <c r="T209" s="402"/>
      <c r="U209" s="402"/>
      <c r="V209" s="402"/>
      <c r="W209" s="402"/>
      <c r="X209" s="402"/>
      <c r="Y209" s="402"/>
      <c r="Z209" s="402"/>
    </row>
    <row r="210" ht="14.25" customHeight="1">
      <c r="A210" s="406">
        <v>45505.0</v>
      </c>
      <c r="B210" s="522" t="s">
        <v>3080</v>
      </c>
      <c r="C210" s="349" t="s">
        <v>3190</v>
      </c>
      <c r="D210" s="349" t="s">
        <v>54</v>
      </c>
      <c r="E210" s="522" t="s">
        <v>3115</v>
      </c>
      <c r="F210" s="413">
        <v>98400.0</v>
      </c>
      <c r="G210" s="413">
        <v>0.0</v>
      </c>
      <c r="H210" s="349" t="s">
        <v>3183</v>
      </c>
      <c r="I210" s="736" t="str">
        <f t="shared" si="5"/>
        <v>NOT PAID</v>
      </c>
      <c r="J210" s="402"/>
      <c r="K210" s="402"/>
      <c r="L210" s="402"/>
      <c r="M210" s="402"/>
      <c r="N210" s="402"/>
      <c r="O210" s="402"/>
      <c r="P210" s="402"/>
      <c r="Q210" s="402"/>
      <c r="R210" s="402"/>
      <c r="S210" s="402"/>
      <c r="T210" s="402"/>
      <c r="U210" s="402"/>
      <c r="V210" s="402"/>
      <c r="W210" s="402"/>
      <c r="X210" s="402"/>
      <c r="Y210" s="402"/>
      <c r="Z210" s="402"/>
    </row>
    <row r="211" ht="14.25" customHeight="1">
      <c r="A211" s="737">
        <v>45505.0</v>
      </c>
      <c r="B211" s="349" t="s">
        <v>3193</v>
      </c>
      <c r="C211" s="349" t="s">
        <v>3194</v>
      </c>
      <c r="D211" s="349" t="s">
        <v>3189</v>
      </c>
      <c r="E211" s="349" t="s">
        <v>3078</v>
      </c>
      <c r="F211" s="413">
        <v>248776.0</v>
      </c>
      <c r="G211" s="413">
        <v>0.0</v>
      </c>
      <c r="H211" s="349" t="s">
        <v>3195</v>
      </c>
      <c r="I211" s="736" t="str">
        <f t="shared" si="5"/>
        <v>NOT PAID</v>
      </c>
      <c r="J211" s="402"/>
      <c r="K211" s="402"/>
      <c r="L211" s="402"/>
      <c r="M211" s="402"/>
      <c r="N211" s="402"/>
      <c r="O211" s="402"/>
      <c r="P211" s="402"/>
      <c r="Q211" s="402"/>
      <c r="R211" s="402"/>
      <c r="S211" s="402"/>
      <c r="T211" s="402"/>
      <c r="U211" s="402"/>
      <c r="V211" s="402"/>
      <c r="W211" s="402"/>
      <c r="X211" s="402"/>
      <c r="Y211" s="402"/>
      <c r="Z211" s="402"/>
    </row>
    <row r="212" ht="14.25" customHeight="1">
      <c r="A212" s="406">
        <v>45505.0</v>
      </c>
      <c r="B212" s="349" t="s">
        <v>3196</v>
      </c>
      <c r="C212" s="349" t="s">
        <v>3197</v>
      </c>
      <c r="D212" s="349" t="s">
        <v>3189</v>
      </c>
      <c r="E212" s="349" t="s">
        <v>3101</v>
      </c>
      <c r="F212" s="413">
        <v>100000.0</v>
      </c>
      <c r="G212" s="413">
        <v>100000.0</v>
      </c>
      <c r="H212" s="349" t="s">
        <v>710</v>
      </c>
      <c r="I212" s="736" t="str">
        <f t="shared" si="5"/>
        <v>FULLY PAID</v>
      </c>
      <c r="J212" s="402"/>
      <c r="K212" s="402"/>
      <c r="L212" s="402"/>
      <c r="M212" s="402"/>
      <c r="N212" s="402"/>
      <c r="O212" s="402"/>
      <c r="P212" s="402"/>
      <c r="Q212" s="402"/>
      <c r="R212" s="402"/>
      <c r="S212" s="402"/>
      <c r="T212" s="402"/>
      <c r="U212" s="402"/>
      <c r="V212" s="402"/>
      <c r="W212" s="402"/>
      <c r="X212" s="402"/>
      <c r="Y212" s="402"/>
      <c r="Z212" s="402"/>
    </row>
    <row r="213" ht="14.25" customHeight="1">
      <c r="A213" s="402"/>
      <c r="B213" s="402"/>
      <c r="C213" s="402"/>
      <c r="D213" s="402"/>
      <c r="E213" s="402"/>
      <c r="F213" s="403"/>
      <c r="G213" s="403"/>
      <c r="H213" s="402"/>
      <c r="I213" s="736" t="str">
        <f t="shared" si="5"/>
        <v>FULLY PAID</v>
      </c>
      <c r="J213" s="402"/>
      <c r="K213" s="402"/>
      <c r="L213" s="402"/>
      <c r="M213" s="402"/>
      <c r="N213" s="402"/>
      <c r="O213" s="402"/>
      <c r="P213" s="402"/>
      <c r="Q213" s="402"/>
      <c r="R213" s="402"/>
      <c r="S213" s="402"/>
      <c r="T213" s="402"/>
      <c r="U213" s="402"/>
      <c r="V213" s="402"/>
      <c r="W213" s="402"/>
      <c r="X213" s="402"/>
      <c r="Y213" s="402"/>
      <c r="Z213" s="402"/>
    </row>
    <row r="214" ht="14.25" customHeight="1">
      <c r="A214" s="402"/>
      <c r="B214" s="402"/>
      <c r="C214" s="402"/>
      <c r="D214" s="402"/>
      <c r="E214" s="402"/>
      <c r="F214" s="403"/>
      <c r="G214" s="403"/>
      <c r="H214" s="402"/>
      <c r="I214" s="736" t="str">
        <f t="shared" si="5"/>
        <v>FULLY PAID</v>
      </c>
      <c r="J214" s="402"/>
      <c r="K214" s="402"/>
      <c r="L214" s="402"/>
      <c r="M214" s="402"/>
      <c r="N214" s="402"/>
      <c r="O214" s="402"/>
      <c r="P214" s="402"/>
      <c r="Q214" s="402"/>
      <c r="R214" s="402"/>
      <c r="S214" s="402"/>
      <c r="T214" s="402"/>
      <c r="U214" s="402"/>
      <c r="V214" s="402"/>
      <c r="W214" s="402"/>
      <c r="X214" s="402"/>
      <c r="Y214" s="402"/>
      <c r="Z214" s="402"/>
    </row>
    <row r="215" ht="14.25" customHeight="1">
      <c r="A215" s="729" t="s">
        <v>47</v>
      </c>
      <c r="B215" s="730" t="s">
        <v>39</v>
      </c>
      <c r="C215" s="730" t="s">
        <v>3075</v>
      </c>
      <c r="D215" s="730" t="s">
        <v>49</v>
      </c>
      <c r="E215" s="730" t="s">
        <v>50</v>
      </c>
      <c r="F215" s="731" t="s">
        <v>2</v>
      </c>
      <c r="G215" s="731" t="s">
        <v>4</v>
      </c>
      <c r="H215" s="730" t="s">
        <v>45</v>
      </c>
      <c r="I215" s="736" t="str">
        <f t="shared" si="5"/>
        <v>FULLY PAID</v>
      </c>
      <c r="J215" s="402"/>
      <c r="K215" s="402"/>
      <c r="L215" s="402"/>
      <c r="M215" s="402"/>
      <c r="N215" s="402"/>
      <c r="O215" s="402"/>
      <c r="P215" s="402"/>
      <c r="Q215" s="402"/>
      <c r="R215" s="402"/>
      <c r="S215" s="402"/>
      <c r="T215" s="402"/>
      <c r="U215" s="402"/>
      <c r="V215" s="402"/>
      <c r="W215" s="402"/>
      <c r="X215" s="402"/>
      <c r="Y215" s="402"/>
      <c r="Z215" s="402"/>
    </row>
    <row r="216" ht="14.25" customHeight="1">
      <c r="A216" s="406">
        <v>45506.0</v>
      </c>
      <c r="B216" s="522" t="s">
        <v>3087</v>
      </c>
      <c r="C216" s="522" t="s">
        <v>3088</v>
      </c>
      <c r="D216" s="522" t="s">
        <v>54</v>
      </c>
      <c r="E216" s="522" t="s">
        <v>797</v>
      </c>
      <c r="F216" s="567">
        <v>21800.0</v>
      </c>
      <c r="G216" s="413">
        <v>0.0</v>
      </c>
      <c r="H216" s="349" t="s">
        <v>3198</v>
      </c>
      <c r="I216" s="736" t="str">
        <f t="shared" si="5"/>
        <v>NOT PAID</v>
      </c>
      <c r="J216" s="402"/>
      <c r="K216" s="402"/>
      <c r="L216" s="402"/>
      <c r="M216" s="402"/>
      <c r="N216" s="402"/>
      <c r="O216" s="402"/>
      <c r="P216" s="402"/>
      <c r="Q216" s="402"/>
      <c r="R216" s="402"/>
      <c r="S216" s="402"/>
      <c r="T216" s="402"/>
      <c r="U216" s="402"/>
      <c r="V216" s="402"/>
      <c r="W216" s="402"/>
      <c r="X216" s="402"/>
      <c r="Y216" s="402"/>
      <c r="Z216" s="402"/>
    </row>
    <row r="217" ht="14.25" customHeight="1">
      <c r="A217" s="406">
        <v>45506.0</v>
      </c>
      <c r="B217" s="522" t="s">
        <v>3094</v>
      </c>
      <c r="C217" s="522" t="s">
        <v>3095</v>
      </c>
      <c r="D217" s="522" t="s">
        <v>54</v>
      </c>
      <c r="E217" s="522" t="s">
        <v>3078</v>
      </c>
      <c r="F217" s="567">
        <v>9300.0</v>
      </c>
      <c r="G217" s="413">
        <v>0.0</v>
      </c>
      <c r="H217" s="349" t="s">
        <v>3079</v>
      </c>
      <c r="I217" s="736" t="str">
        <f t="shared" si="5"/>
        <v>NOT PAID</v>
      </c>
      <c r="J217" s="402"/>
      <c r="K217" s="402"/>
      <c r="L217" s="402"/>
      <c r="M217" s="402"/>
      <c r="N217" s="402"/>
      <c r="O217" s="402"/>
      <c r="P217" s="402"/>
      <c r="Q217" s="402"/>
      <c r="R217" s="402"/>
      <c r="S217" s="402"/>
      <c r="T217" s="402"/>
      <c r="U217" s="402"/>
      <c r="V217" s="402"/>
      <c r="W217" s="402"/>
      <c r="X217" s="402"/>
      <c r="Y217" s="402"/>
      <c r="Z217" s="402"/>
    </row>
    <row r="218" ht="14.25" customHeight="1">
      <c r="A218" s="406">
        <v>45506.0</v>
      </c>
      <c r="B218" s="522" t="s">
        <v>652</v>
      </c>
      <c r="C218" s="522" t="s">
        <v>3097</v>
      </c>
      <c r="D218" s="522" t="s">
        <v>2010</v>
      </c>
      <c r="E218" s="522" t="s">
        <v>3093</v>
      </c>
      <c r="F218" s="567">
        <v>138800.0</v>
      </c>
      <c r="G218" s="413">
        <v>0.0</v>
      </c>
      <c r="H218" s="349" t="s">
        <v>3155</v>
      </c>
      <c r="I218" s="736" t="str">
        <f t="shared" si="5"/>
        <v>NOT PAID</v>
      </c>
      <c r="J218" s="402"/>
      <c r="K218" s="402"/>
      <c r="L218" s="402"/>
      <c r="M218" s="402"/>
      <c r="N218" s="402"/>
      <c r="O218" s="402"/>
      <c r="P218" s="402"/>
      <c r="Q218" s="402"/>
      <c r="R218" s="402"/>
      <c r="S218" s="402"/>
      <c r="T218" s="402"/>
      <c r="U218" s="402"/>
      <c r="V218" s="402"/>
      <c r="W218" s="402"/>
      <c r="X218" s="402"/>
      <c r="Y218" s="402"/>
      <c r="Z218" s="402"/>
    </row>
    <row r="219" ht="14.25" customHeight="1">
      <c r="A219" s="406">
        <v>45506.0</v>
      </c>
      <c r="B219" s="522" t="s">
        <v>3099</v>
      </c>
      <c r="C219" s="522" t="s">
        <v>3100</v>
      </c>
      <c r="D219" s="522" t="s">
        <v>54</v>
      </c>
      <c r="E219" s="522" t="s">
        <v>3101</v>
      </c>
      <c r="F219" s="567">
        <v>124650.0</v>
      </c>
      <c r="G219" s="413">
        <v>0.0</v>
      </c>
      <c r="H219" s="349" t="s">
        <v>3156</v>
      </c>
      <c r="I219" s="736" t="str">
        <f t="shared" si="5"/>
        <v>NOT PAID</v>
      </c>
      <c r="J219" s="402"/>
      <c r="K219" s="402"/>
      <c r="L219" s="402"/>
      <c r="M219" s="402"/>
      <c r="N219" s="402"/>
      <c r="O219" s="402"/>
      <c r="P219" s="402"/>
      <c r="Q219" s="402"/>
      <c r="R219" s="402"/>
      <c r="S219" s="402"/>
      <c r="T219" s="402"/>
      <c r="U219" s="402"/>
      <c r="V219" s="402"/>
      <c r="W219" s="402"/>
      <c r="X219" s="402"/>
      <c r="Y219" s="402"/>
      <c r="Z219" s="402"/>
    </row>
    <row r="220" ht="14.25" customHeight="1">
      <c r="A220" s="406">
        <v>45506.0</v>
      </c>
      <c r="B220" s="349" t="s">
        <v>3102</v>
      </c>
      <c r="C220" s="349" t="s">
        <v>3103</v>
      </c>
      <c r="D220" s="349" t="s">
        <v>54</v>
      </c>
      <c r="E220" s="522" t="s">
        <v>3101</v>
      </c>
      <c r="F220" s="413">
        <v>21000.0</v>
      </c>
      <c r="G220" s="413">
        <v>25000.0</v>
      </c>
      <c r="H220" s="349" t="s">
        <v>267</v>
      </c>
      <c r="I220" s="736" t="str">
        <f t="shared" si="5"/>
        <v>FULLY PAID</v>
      </c>
      <c r="J220" s="402"/>
      <c r="K220" s="402"/>
      <c r="L220" s="402"/>
      <c r="M220" s="402"/>
      <c r="N220" s="402"/>
      <c r="O220" s="402"/>
      <c r="P220" s="402"/>
      <c r="Q220" s="402"/>
      <c r="R220" s="402"/>
      <c r="S220" s="402"/>
      <c r="T220" s="402"/>
      <c r="U220" s="402"/>
      <c r="V220" s="402"/>
      <c r="W220" s="402"/>
      <c r="X220" s="402"/>
      <c r="Y220" s="402"/>
      <c r="Z220" s="402"/>
    </row>
    <row r="221" ht="14.25" customHeight="1">
      <c r="A221" s="406">
        <v>45506.0</v>
      </c>
      <c r="B221" s="349" t="s">
        <v>3107</v>
      </c>
      <c r="C221" s="349" t="s">
        <v>3108</v>
      </c>
      <c r="D221" s="349" t="s">
        <v>54</v>
      </c>
      <c r="E221" s="349" t="s">
        <v>3101</v>
      </c>
      <c r="F221" s="413">
        <v>9100.0</v>
      </c>
      <c r="G221" s="413">
        <v>0.0</v>
      </c>
      <c r="H221" s="349" t="s">
        <v>3079</v>
      </c>
      <c r="I221" s="736" t="str">
        <f t="shared" si="5"/>
        <v>NOT PAID</v>
      </c>
      <c r="J221" s="402"/>
      <c r="K221" s="402"/>
      <c r="L221" s="402"/>
      <c r="M221" s="402"/>
      <c r="N221" s="402"/>
      <c r="O221" s="402"/>
      <c r="P221" s="402"/>
      <c r="Q221" s="402"/>
      <c r="R221" s="402"/>
      <c r="S221" s="402"/>
      <c r="T221" s="402"/>
      <c r="U221" s="402"/>
      <c r="V221" s="402"/>
      <c r="W221" s="402"/>
      <c r="X221" s="402"/>
      <c r="Y221" s="402"/>
      <c r="Z221" s="402"/>
    </row>
    <row r="222" ht="14.25" customHeight="1">
      <c r="A222" s="406">
        <v>45506.0</v>
      </c>
      <c r="B222" s="522" t="s">
        <v>3134</v>
      </c>
      <c r="C222" s="522" t="s">
        <v>3176</v>
      </c>
      <c r="D222" s="349" t="s">
        <v>54</v>
      </c>
      <c r="E222" s="522" t="s">
        <v>3078</v>
      </c>
      <c r="F222" s="733">
        <v>95300.0</v>
      </c>
      <c r="G222" s="413">
        <v>0.0</v>
      </c>
      <c r="H222" s="735" t="s">
        <v>3199</v>
      </c>
      <c r="I222" s="736" t="str">
        <f t="shared" si="5"/>
        <v>NOT PAID</v>
      </c>
      <c r="J222" s="402"/>
      <c r="K222" s="402"/>
      <c r="L222" s="402"/>
      <c r="M222" s="402"/>
      <c r="N222" s="402"/>
      <c r="O222" s="402"/>
      <c r="P222" s="402"/>
      <c r="Q222" s="402"/>
      <c r="R222" s="402"/>
      <c r="S222" s="402"/>
      <c r="T222" s="402"/>
      <c r="U222" s="402"/>
      <c r="V222" s="402"/>
      <c r="W222" s="402"/>
      <c r="X222" s="402"/>
      <c r="Y222" s="402"/>
      <c r="Z222" s="402"/>
    </row>
    <row r="223" ht="14.25" customHeight="1">
      <c r="A223" s="406">
        <v>45506.0</v>
      </c>
      <c r="B223" s="522" t="s">
        <v>3111</v>
      </c>
      <c r="C223" s="522" t="s">
        <v>3112</v>
      </c>
      <c r="D223" s="349" t="s">
        <v>54</v>
      </c>
      <c r="E223" s="522" t="s">
        <v>3078</v>
      </c>
      <c r="F223" s="567">
        <v>750.0</v>
      </c>
      <c r="G223" s="413">
        <v>0.0</v>
      </c>
      <c r="H223" s="349" t="s">
        <v>3079</v>
      </c>
      <c r="I223" s="736" t="str">
        <f t="shared" si="5"/>
        <v>NOT PAID</v>
      </c>
      <c r="J223" s="402"/>
      <c r="K223" s="402"/>
      <c r="L223" s="402"/>
      <c r="M223" s="402"/>
      <c r="N223" s="402"/>
      <c r="O223" s="402"/>
      <c r="P223" s="402"/>
      <c r="Q223" s="402"/>
      <c r="R223" s="402"/>
      <c r="S223" s="402"/>
      <c r="T223" s="402"/>
      <c r="U223" s="402"/>
      <c r="V223" s="402"/>
      <c r="W223" s="402"/>
      <c r="X223" s="402"/>
      <c r="Y223" s="402"/>
      <c r="Z223" s="402"/>
    </row>
    <row r="224" ht="14.25" customHeight="1">
      <c r="A224" s="406">
        <v>45506.0</v>
      </c>
      <c r="B224" s="349" t="s">
        <v>3187</v>
      </c>
      <c r="C224" s="349" t="s">
        <v>3188</v>
      </c>
      <c r="D224" s="349" t="s">
        <v>3189</v>
      </c>
      <c r="E224" s="349" t="s">
        <v>3101</v>
      </c>
      <c r="F224" s="413">
        <v>172500.0</v>
      </c>
      <c r="G224" s="413">
        <v>172500.0</v>
      </c>
      <c r="H224" s="732" t="s">
        <v>267</v>
      </c>
      <c r="I224" s="736" t="str">
        <f t="shared" si="5"/>
        <v>FULLY PAID</v>
      </c>
      <c r="J224" s="402"/>
      <c r="K224" s="402"/>
      <c r="L224" s="402"/>
      <c r="M224" s="402"/>
      <c r="N224" s="402"/>
      <c r="O224" s="402"/>
      <c r="P224" s="402"/>
      <c r="Q224" s="402"/>
      <c r="R224" s="402"/>
      <c r="S224" s="402"/>
      <c r="T224" s="402"/>
      <c r="U224" s="402"/>
      <c r="V224" s="402"/>
      <c r="W224" s="402"/>
      <c r="X224" s="402"/>
      <c r="Y224" s="402"/>
      <c r="Z224" s="402"/>
    </row>
    <row r="225" ht="14.25" customHeight="1">
      <c r="A225" s="406">
        <v>45506.0</v>
      </c>
      <c r="B225" s="349" t="s">
        <v>3076</v>
      </c>
      <c r="C225" s="349" t="s">
        <v>3077</v>
      </c>
      <c r="D225" s="349" t="s">
        <v>54</v>
      </c>
      <c r="E225" s="522" t="s">
        <v>3078</v>
      </c>
      <c r="F225" s="413">
        <v>6400.0</v>
      </c>
      <c r="G225" s="413">
        <v>0.0</v>
      </c>
      <c r="H225" s="349" t="s">
        <v>3079</v>
      </c>
      <c r="I225" s="736" t="str">
        <f t="shared" si="5"/>
        <v>NOT PAID</v>
      </c>
      <c r="J225" s="402"/>
      <c r="K225" s="402"/>
      <c r="L225" s="402"/>
      <c r="M225" s="402"/>
      <c r="N225" s="402"/>
      <c r="O225" s="402"/>
      <c r="P225" s="402"/>
      <c r="Q225" s="402"/>
      <c r="R225" s="402"/>
      <c r="S225" s="402"/>
      <c r="T225" s="402"/>
      <c r="U225" s="402"/>
      <c r="V225" s="402"/>
      <c r="W225" s="402"/>
      <c r="X225" s="402"/>
      <c r="Y225" s="402"/>
      <c r="Z225" s="402"/>
    </row>
    <row r="226" ht="14.25" customHeight="1">
      <c r="A226" s="406">
        <v>45506.0</v>
      </c>
      <c r="B226" s="349" t="s">
        <v>3142</v>
      </c>
      <c r="C226" s="349" t="s">
        <v>3143</v>
      </c>
      <c r="D226" s="349" t="s">
        <v>54</v>
      </c>
      <c r="E226" s="522" t="s">
        <v>797</v>
      </c>
      <c r="F226" s="413">
        <v>85615.88</v>
      </c>
      <c r="G226" s="413">
        <v>0.0</v>
      </c>
      <c r="H226" s="349" t="s">
        <v>3152</v>
      </c>
      <c r="I226" s="736" t="str">
        <f t="shared" si="5"/>
        <v>NOT PAID</v>
      </c>
      <c r="J226" s="402"/>
      <c r="K226" s="402"/>
      <c r="L226" s="402"/>
      <c r="M226" s="402"/>
      <c r="N226" s="402"/>
      <c r="O226" s="402"/>
      <c r="P226" s="402"/>
      <c r="Q226" s="402"/>
      <c r="R226" s="402"/>
      <c r="S226" s="402"/>
      <c r="T226" s="402"/>
      <c r="U226" s="402"/>
      <c r="V226" s="402"/>
      <c r="W226" s="402"/>
      <c r="X226" s="402"/>
      <c r="Y226" s="402"/>
      <c r="Z226" s="402"/>
    </row>
    <row r="227" ht="14.25" customHeight="1">
      <c r="A227" s="406">
        <v>45506.0</v>
      </c>
      <c r="B227" s="349" t="s">
        <v>3139</v>
      </c>
      <c r="C227" s="349" t="s">
        <v>3140</v>
      </c>
      <c r="D227" s="349" t="s">
        <v>54</v>
      </c>
      <c r="E227" s="349" t="s">
        <v>797</v>
      </c>
      <c r="F227" s="413">
        <v>143780.2</v>
      </c>
      <c r="G227" s="413">
        <v>0.0</v>
      </c>
      <c r="H227" s="349" t="s">
        <v>3153</v>
      </c>
      <c r="I227" s="736" t="str">
        <f t="shared" si="5"/>
        <v>NOT PAID</v>
      </c>
      <c r="J227" s="402"/>
      <c r="K227" s="402"/>
      <c r="L227" s="402"/>
      <c r="M227" s="402"/>
      <c r="N227" s="402"/>
      <c r="O227" s="402"/>
      <c r="P227" s="402"/>
      <c r="Q227" s="402"/>
      <c r="R227" s="402"/>
      <c r="S227" s="402"/>
      <c r="T227" s="402"/>
      <c r="U227" s="402"/>
      <c r="V227" s="402"/>
      <c r="W227" s="402"/>
      <c r="X227" s="402"/>
      <c r="Y227" s="402"/>
      <c r="Z227" s="402"/>
    </row>
    <row r="228" ht="14.25" customHeight="1">
      <c r="A228" s="406">
        <v>45506.0</v>
      </c>
      <c r="B228" s="349" t="s">
        <v>3149</v>
      </c>
      <c r="C228" s="349" t="s">
        <v>3150</v>
      </c>
      <c r="D228" s="349" t="s">
        <v>54</v>
      </c>
      <c r="E228" s="522" t="s">
        <v>797</v>
      </c>
      <c r="F228" s="413">
        <v>150000.0</v>
      </c>
      <c r="G228" s="413">
        <v>0.0</v>
      </c>
      <c r="H228" s="349" t="s">
        <v>3153</v>
      </c>
      <c r="I228" s="736" t="str">
        <f t="shared" si="5"/>
        <v>NOT PAID</v>
      </c>
      <c r="J228" s="402"/>
      <c r="K228" s="402"/>
      <c r="L228" s="402"/>
      <c r="M228" s="402"/>
      <c r="N228" s="402"/>
      <c r="O228" s="402"/>
      <c r="P228" s="402"/>
      <c r="Q228" s="402"/>
      <c r="R228" s="402"/>
      <c r="S228" s="402"/>
      <c r="T228" s="402"/>
      <c r="U228" s="402"/>
      <c r="V228" s="402"/>
      <c r="W228" s="402"/>
      <c r="X228" s="402"/>
      <c r="Y228" s="402"/>
      <c r="Z228" s="402"/>
    </row>
    <row r="229" ht="14.25" customHeight="1">
      <c r="A229" s="406">
        <v>45506.0</v>
      </c>
      <c r="B229" s="349" t="s">
        <v>3173</v>
      </c>
      <c r="C229" s="349" t="s">
        <v>3174</v>
      </c>
      <c r="D229" s="349" t="s">
        <v>54</v>
      </c>
      <c r="E229" s="522" t="s">
        <v>3101</v>
      </c>
      <c r="F229" s="413">
        <v>24200.0</v>
      </c>
      <c r="G229" s="413">
        <v>0.0</v>
      </c>
      <c r="H229" s="349" t="s">
        <v>3079</v>
      </c>
      <c r="I229" s="736" t="str">
        <f t="shared" si="5"/>
        <v>NOT PAID</v>
      </c>
      <c r="J229" s="402"/>
      <c r="K229" s="402"/>
      <c r="L229" s="402"/>
      <c r="M229" s="402"/>
      <c r="N229" s="402"/>
      <c r="O229" s="402"/>
      <c r="P229" s="402"/>
      <c r="Q229" s="402"/>
      <c r="R229" s="402"/>
      <c r="S229" s="402"/>
      <c r="T229" s="402"/>
      <c r="U229" s="402"/>
      <c r="V229" s="402"/>
      <c r="W229" s="402"/>
      <c r="X229" s="402"/>
      <c r="Y229" s="402"/>
      <c r="Z229" s="402"/>
    </row>
    <row r="230" ht="14.25" customHeight="1">
      <c r="A230" s="406">
        <v>45506.0</v>
      </c>
      <c r="B230" s="349" t="s">
        <v>3182</v>
      </c>
      <c r="C230" s="349" t="s">
        <v>3117</v>
      </c>
      <c r="D230" s="349" t="s">
        <v>467</v>
      </c>
      <c r="E230" s="522" t="s">
        <v>3101</v>
      </c>
      <c r="F230" s="413">
        <v>7831.0</v>
      </c>
      <c r="G230" s="413">
        <v>0.0</v>
      </c>
      <c r="H230" s="349" t="s">
        <v>3079</v>
      </c>
      <c r="I230" s="736" t="str">
        <f t="shared" si="5"/>
        <v>NOT PAID</v>
      </c>
      <c r="J230" s="402"/>
      <c r="K230" s="402"/>
      <c r="L230" s="402"/>
      <c r="M230" s="402"/>
      <c r="N230" s="402"/>
      <c r="O230" s="402"/>
      <c r="P230" s="402"/>
      <c r="Q230" s="402"/>
      <c r="R230" s="402"/>
      <c r="S230" s="402"/>
      <c r="T230" s="402"/>
      <c r="U230" s="402"/>
      <c r="V230" s="402"/>
      <c r="W230" s="402"/>
      <c r="X230" s="402"/>
      <c r="Y230" s="402"/>
      <c r="Z230" s="402"/>
    </row>
    <row r="231" ht="14.25" customHeight="1">
      <c r="A231" s="406">
        <v>45506.0</v>
      </c>
      <c r="B231" s="349" t="s">
        <v>3191</v>
      </c>
      <c r="C231" s="349" t="s">
        <v>3192</v>
      </c>
      <c r="D231" s="349" t="s">
        <v>54</v>
      </c>
      <c r="E231" s="349" t="s">
        <v>3101</v>
      </c>
      <c r="F231" s="413">
        <v>67340.0</v>
      </c>
      <c r="G231" s="413">
        <v>0.0</v>
      </c>
      <c r="H231" s="349" t="s">
        <v>3079</v>
      </c>
      <c r="I231" s="736" t="str">
        <f t="shared" si="5"/>
        <v>NOT PAID</v>
      </c>
      <c r="J231" s="402"/>
      <c r="K231" s="402"/>
      <c r="L231" s="402"/>
      <c r="M231" s="402"/>
      <c r="N231" s="402"/>
      <c r="O231" s="402"/>
      <c r="P231" s="402"/>
      <c r="Q231" s="402"/>
      <c r="R231" s="402"/>
      <c r="S231" s="402"/>
      <c r="T231" s="402"/>
      <c r="U231" s="402"/>
      <c r="V231" s="402"/>
      <c r="W231" s="402"/>
      <c r="X231" s="402"/>
      <c r="Y231" s="402"/>
      <c r="Z231" s="402"/>
    </row>
    <row r="232" ht="14.25" customHeight="1">
      <c r="A232" s="406">
        <v>45506.0</v>
      </c>
      <c r="B232" s="522" t="s">
        <v>3080</v>
      </c>
      <c r="C232" s="349" t="s">
        <v>3190</v>
      </c>
      <c r="D232" s="349" t="s">
        <v>54</v>
      </c>
      <c r="E232" s="522" t="s">
        <v>3115</v>
      </c>
      <c r="F232" s="413">
        <v>98400.0</v>
      </c>
      <c r="G232" s="413">
        <v>0.0</v>
      </c>
      <c r="H232" s="349" t="s">
        <v>3079</v>
      </c>
      <c r="I232" s="736" t="str">
        <f t="shared" si="5"/>
        <v>NOT PAID</v>
      </c>
      <c r="J232" s="402"/>
      <c r="K232" s="402"/>
      <c r="L232" s="402"/>
      <c r="M232" s="402"/>
      <c r="N232" s="402"/>
      <c r="O232" s="402"/>
      <c r="P232" s="402"/>
      <c r="Q232" s="402"/>
      <c r="R232" s="402"/>
      <c r="S232" s="402"/>
      <c r="T232" s="402"/>
      <c r="U232" s="402"/>
      <c r="V232" s="402"/>
      <c r="W232" s="402"/>
      <c r="X232" s="402"/>
      <c r="Y232" s="402"/>
      <c r="Z232" s="402"/>
    </row>
    <row r="233" ht="14.25" customHeight="1">
      <c r="A233" s="406">
        <v>45506.0</v>
      </c>
      <c r="B233" s="349" t="s">
        <v>3193</v>
      </c>
      <c r="C233" s="349" t="s">
        <v>3194</v>
      </c>
      <c r="D233" s="349" t="s">
        <v>3189</v>
      </c>
      <c r="E233" s="349" t="s">
        <v>3078</v>
      </c>
      <c r="F233" s="413">
        <v>248776.0</v>
      </c>
      <c r="G233" s="413">
        <v>0.0</v>
      </c>
      <c r="H233" s="349" t="s">
        <v>3200</v>
      </c>
      <c r="I233" s="736" t="str">
        <f t="shared" si="5"/>
        <v>NOT PAID</v>
      </c>
      <c r="J233" s="402"/>
      <c r="K233" s="402"/>
      <c r="L233" s="402"/>
      <c r="M233" s="402"/>
      <c r="N233" s="402"/>
      <c r="O233" s="402"/>
      <c r="P233" s="402"/>
      <c r="Q233" s="402"/>
      <c r="R233" s="402"/>
      <c r="S233" s="402"/>
      <c r="T233" s="402"/>
      <c r="U233" s="402"/>
      <c r="V233" s="402"/>
      <c r="W233" s="402"/>
      <c r="X233" s="402"/>
      <c r="Y233" s="402"/>
      <c r="Z233" s="402"/>
    </row>
    <row r="234" ht="14.25" customHeight="1">
      <c r="A234" s="406">
        <v>45506.0</v>
      </c>
      <c r="B234" s="349" t="s">
        <v>3201</v>
      </c>
      <c r="C234" s="349" t="s">
        <v>3202</v>
      </c>
      <c r="D234" s="349" t="s">
        <v>3189</v>
      </c>
      <c r="E234" s="349" t="s">
        <v>3115</v>
      </c>
      <c r="F234" s="413">
        <v>34500.0</v>
      </c>
      <c r="G234" s="413">
        <v>34500.0</v>
      </c>
      <c r="H234" s="349" t="s">
        <v>267</v>
      </c>
      <c r="I234" s="736" t="str">
        <f t="shared" si="5"/>
        <v>FULLY PAID</v>
      </c>
      <c r="J234" s="402"/>
      <c r="K234" s="402"/>
      <c r="L234" s="402"/>
      <c r="M234" s="402"/>
      <c r="N234" s="402"/>
      <c r="O234" s="402"/>
      <c r="P234" s="402"/>
      <c r="Q234" s="402"/>
      <c r="R234" s="402"/>
      <c r="S234" s="402"/>
      <c r="T234" s="402"/>
      <c r="U234" s="402"/>
      <c r="V234" s="402"/>
      <c r="W234" s="402"/>
      <c r="X234" s="402"/>
      <c r="Y234" s="402"/>
      <c r="Z234" s="402"/>
    </row>
    <row r="235" ht="14.25" customHeight="1">
      <c r="A235" s="402"/>
      <c r="B235" s="402"/>
      <c r="C235" s="402"/>
      <c r="D235" s="402"/>
      <c r="E235" s="402"/>
      <c r="F235" s="403"/>
      <c r="G235" s="403"/>
      <c r="H235" s="402"/>
      <c r="I235" s="736" t="str">
        <f t="shared" si="5"/>
        <v>FULLY PAID</v>
      </c>
      <c r="J235" s="402"/>
      <c r="K235" s="402"/>
      <c r="L235" s="402"/>
      <c r="M235" s="402"/>
      <c r="N235" s="402"/>
      <c r="O235" s="402"/>
      <c r="P235" s="402"/>
      <c r="Q235" s="402"/>
      <c r="R235" s="402"/>
      <c r="S235" s="402"/>
      <c r="T235" s="402"/>
      <c r="U235" s="402"/>
      <c r="V235" s="402"/>
      <c r="W235" s="402"/>
      <c r="X235" s="402"/>
      <c r="Y235" s="402"/>
      <c r="Z235" s="402"/>
    </row>
    <row r="236" ht="14.25" customHeight="1">
      <c r="A236" s="402"/>
      <c r="B236" s="402"/>
      <c r="C236" s="402"/>
      <c r="D236" s="402"/>
      <c r="E236" s="402"/>
      <c r="F236" s="403"/>
      <c r="G236" s="403"/>
      <c r="H236" s="402"/>
      <c r="I236" s="736" t="str">
        <f t="shared" si="5"/>
        <v>FULLY PAID</v>
      </c>
      <c r="J236" s="402"/>
      <c r="K236" s="402"/>
      <c r="L236" s="402"/>
      <c r="M236" s="402"/>
      <c r="N236" s="402"/>
      <c r="O236" s="402"/>
      <c r="P236" s="402"/>
      <c r="Q236" s="402"/>
      <c r="R236" s="402"/>
      <c r="S236" s="402"/>
      <c r="T236" s="402"/>
      <c r="U236" s="402"/>
      <c r="V236" s="402"/>
      <c r="W236" s="402"/>
      <c r="X236" s="402"/>
      <c r="Y236" s="402"/>
      <c r="Z236" s="402"/>
    </row>
    <row r="237" ht="14.25" customHeight="1">
      <c r="A237" s="729" t="s">
        <v>47</v>
      </c>
      <c r="B237" s="730" t="s">
        <v>39</v>
      </c>
      <c r="C237" s="730" t="s">
        <v>3075</v>
      </c>
      <c r="D237" s="730" t="s">
        <v>49</v>
      </c>
      <c r="E237" s="730" t="s">
        <v>50</v>
      </c>
      <c r="F237" s="731" t="s">
        <v>2</v>
      </c>
      <c r="G237" s="731" t="s">
        <v>4</v>
      </c>
      <c r="H237" s="730" t="s">
        <v>45</v>
      </c>
      <c r="I237" s="736" t="str">
        <f t="shared" si="5"/>
        <v>FULLY PAID</v>
      </c>
      <c r="J237" s="402"/>
      <c r="K237" s="402"/>
      <c r="L237" s="402"/>
      <c r="M237" s="402"/>
      <c r="N237" s="402"/>
      <c r="O237" s="402"/>
      <c r="P237" s="402"/>
      <c r="Q237" s="402"/>
      <c r="R237" s="402"/>
      <c r="S237" s="402"/>
      <c r="T237" s="402"/>
      <c r="U237" s="402"/>
      <c r="V237" s="402"/>
      <c r="W237" s="402"/>
      <c r="X237" s="402"/>
      <c r="Y237" s="402"/>
      <c r="Z237" s="402"/>
    </row>
    <row r="238" ht="14.25" customHeight="1">
      <c r="A238" s="406">
        <v>45507.0</v>
      </c>
      <c r="B238" s="522" t="s">
        <v>3087</v>
      </c>
      <c r="C238" s="522" t="s">
        <v>3088</v>
      </c>
      <c r="D238" s="522" t="s">
        <v>54</v>
      </c>
      <c r="E238" s="522" t="s">
        <v>797</v>
      </c>
      <c r="F238" s="567">
        <v>21800.0</v>
      </c>
      <c r="G238" s="413">
        <v>0.0</v>
      </c>
      <c r="H238" s="349" t="s">
        <v>3198</v>
      </c>
      <c r="I238" s="736" t="str">
        <f t="shared" si="5"/>
        <v>NOT PAID</v>
      </c>
      <c r="J238" s="402"/>
      <c r="K238" s="402"/>
      <c r="L238" s="402"/>
      <c r="M238" s="402"/>
      <c r="N238" s="402"/>
      <c r="O238" s="402"/>
      <c r="P238" s="402"/>
      <c r="Q238" s="402"/>
      <c r="R238" s="402"/>
      <c r="S238" s="402"/>
      <c r="T238" s="402"/>
      <c r="U238" s="402"/>
      <c r="V238" s="402"/>
      <c r="W238" s="402"/>
      <c r="X238" s="402"/>
      <c r="Y238" s="402"/>
      <c r="Z238" s="402"/>
    </row>
    <row r="239" ht="14.25" customHeight="1">
      <c r="A239" s="406">
        <v>45507.0</v>
      </c>
      <c r="B239" s="522" t="s">
        <v>3094</v>
      </c>
      <c r="C239" s="522" t="s">
        <v>3095</v>
      </c>
      <c r="D239" s="522" t="s">
        <v>54</v>
      </c>
      <c r="E239" s="522" t="s">
        <v>3078</v>
      </c>
      <c r="F239" s="567">
        <v>9300.0</v>
      </c>
      <c r="G239" s="413">
        <v>0.0</v>
      </c>
      <c r="H239" s="349" t="s">
        <v>3079</v>
      </c>
      <c r="I239" s="736" t="str">
        <f t="shared" si="5"/>
        <v>NOT PAID</v>
      </c>
      <c r="J239" s="402"/>
      <c r="K239" s="402"/>
      <c r="L239" s="402"/>
      <c r="M239" s="402"/>
      <c r="N239" s="402"/>
      <c r="O239" s="402"/>
      <c r="P239" s="402"/>
      <c r="Q239" s="402"/>
      <c r="R239" s="402"/>
      <c r="S239" s="402"/>
      <c r="T239" s="402"/>
      <c r="U239" s="402"/>
      <c r="V239" s="402"/>
      <c r="W239" s="402"/>
      <c r="X239" s="402"/>
      <c r="Y239" s="402"/>
      <c r="Z239" s="402"/>
    </row>
    <row r="240" ht="14.25" customHeight="1">
      <c r="A240" s="406">
        <v>45507.0</v>
      </c>
      <c r="B240" s="522" t="s">
        <v>652</v>
      </c>
      <c r="C240" s="522" t="s">
        <v>3097</v>
      </c>
      <c r="D240" s="522" t="s">
        <v>2010</v>
      </c>
      <c r="E240" s="522" t="s">
        <v>3093</v>
      </c>
      <c r="F240" s="567">
        <v>138800.0</v>
      </c>
      <c r="G240" s="413">
        <v>0.0</v>
      </c>
      <c r="H240" s="349" t="s">
        <v>3155</v>
      </c>
      <c r="I240" s="736" t="str">
        <f t="shared" si="5"/>
        <v>NOT PAID</v>
      </c>
      <c r="J240" s="402"/>
      <c r="K240" s="402"/>
      <c r="L240" s="402"/>
      <c r="M240" s="402"/>
      <c r="N240" s="402"/>
      <c r="O240" s="402"/>
      <c r="P240" s="402"/>
      <c r="Q240" s="402"/>
      <c r="R240" s="402"/>
      <c r="S240" s="402"/>
      <c r="T240" s="402"/>
      <c r="U240" s="402"/>
      <c r="V240" s="402"/>
      <c r="W240" s="402"/>
      <c r="X240" s="402"/>
      <c r="Y240" s="402"/>
      <c r="Z240" s="402"/>
    </row>
    <row r="241" ht="14.25" customHeight="1">
      <c r="A241" s="406">
        <v>45507.0</v>
      </c>
      <c r="B241" s="522" t="s">
        <v>3099</v>
      </c>
      <c r="C241" s="522" t="s">
        <v>3100</v>
      </c>
      <c r="D241" s="522" t="s">
        <v>54</v>
      </c>
      <c r="E241" s="522" t="s">
        <v>3101</v>
      </c>
      <c r="F241" s="567">
        <v>124650.0</v>
      </c>
      <c r="G241" s="413">
        <v>0.0</v>
      </c>
      <c r="H241" s="349" t="s">
        <v>3156</v>
      </c>
      <c r="I241" s="736" t="str">
        <f t="shared" si="5"/>
        <v>NOT PAID</v>
      </c>
      <c r="J241" s="402"/>
      <c r="K241" s="402"/>
      <c r="L241" s="402"/>
      <c r="M241" s="402"/>
      <c r="N241" s="402"/>
      <c r="O241" s="402"/>
      <c r="P241" s="402"/>
      <c r="Q241" s="402"/>
      <c r="R241" s="402"/>
      <c r="S241" s="402"/>
      <c r="T241" s="402"/>
      <c r="U241" s="402"/>
      <c r="V241" s="402"/>
      <c r="W241" s="402"/>
      <c r="X241" s="402"/>
      <c r="Y241" s="402"/>
      <c r="Z241" s="402"/>
    </row>
    <row r="242" ht="14.25" customHeight="1">
      <c r="A242" s="406">
        <v>45507.0</v>
      </c>
      <c r="B242" s="349" t="s">
        <v>3107</v>
      </c>
      <c r="C242" s="349" t="s">
        <v>3108</v>
      </c>
      <c r="D242" s="349" t="s">
        <v>54</v>
      </c>
      <c r="E242" s="349" t="s">
        <v>3101</v>
      </c>
      <c r="F242" s="413">
        <v>9100.0</v>
      </c>
      <c r="G242" s="413">
        <v>0.0</v>
      </c>
      <c r="H242" s="349" t="s">
        <v>3079</v>
      </c>
      <c r="I242" s="736" t="str">
        <f t="shared" si="5"/>
        <v>NOT PAID</v>
      </c>
      <c r="J242" s="402"/>
      <c r="K242" s="402"/>
      <c r="L242" s="402"/>
      <c r="M242" s="402"/>
      <c r="N242" s="402"/>
      <c r="O242" s="402"/>
      <c r="P242" s="402"/>
      <c r="Q242" s="402"/>
      <c r="R242" s="402"/>
      <c r="S242" s="402"/>
      <c r="T242" s="402"/>
      <c r="U242" s="402"/>
      <c r="V242" s="402"/>
      <c r="W242" s="402"/>
      <c r="X242" s="402"/>
      <c r="Y242" s="402"/>
      <c r="Z242" s="402"/>
    </row>
    <row r="243" ht="14.25" customHeight="1">
      <c r="A243" s="406">
        <v>45507.0</v>
      </c>
      <c r="B243" s="522" t="s">
        <v>3134</v>
      </c>
      <c r="C243" s="522" t="s">
        <v>3176</v>
      </c>
      <c r="D243" s="349" t="s">
        <v>54</v>
      </c>
      <c r="E243" s="522" t="s">
        <v>3078</v>
      </c>
      <c r="F243" s="733">
        <v>95300.0</v>
      </c>
      <c r="G243" s="413">
        <v>0.0</v>
      </c>
      <c r="H243" s="349" t="s">
        <v>3079</v>
      </c>
      <c r="I243" s="736" t="str">
        <f t="shared" si="5"/>
        <v>NOT PAID</v>
      </c>
      <c r="J243" s="402"/>
      <c r="K243" s="402"/>
      <c r="L243" s="402"/>
      <c r="M243" s="402"/>
      <c r="N243" s="402"/>
      <c r="O243" s="402"/>
      <c r="P243" s="402"/>
      <c r="Q243" s="402"/>
      <c r="R243" s="402"/>
      <c r="S243" s="402"/>
      <c r="T243" s="402"/>
      <c r="U243" s="402"/>
      <c r="V243" s="402"/>
      <c r="W243" s="402"/>
      <c r="X243" s="402"/>
      <c r="Y243" s="402"/>
      <c r="Z243" s="402"/>
    </row>
    <row r="244" ht="14.25" customHeight="1">
      <c r="A244" s="406">
        <v>45507.0</v>
      </c>
      <c r="B244" s="522" t="s">
        <v>3111</v>
      </c>
      <c r="C244" s="522" t="s">
        <v>3112</v>
      </c>
      <c r="D244" s="349" t="s">
        <v>54</v>
      </c>
      <c r="E244" s="522" t="s">
        <v>3078</v>
      </c>
      <c r="F244" s="567">
        <v>750.0</v>
      </c>
      <c r="G244" s="413">
        <v>0.0</v>
      </c>
      <c r="H244" s="349" t="s">
        <v>3079</v>
      </c>
      <c r="I244" s="736" t="str">
        <f t="shared" si="5"/>
        <v>NOT PAID</v>
      </c>
      <c r="J244" s="402"/>
      <c r="K244" s="402"/>
      <c r="L244" s="402"/>
      <c r="M244" s="402"/>
      <c r="N244" s="402"/>
      <c r="O244" s="402"/>
      <c r="P244" s="402"/>
      <c r="Q244" s="402"/>
      <c r="R244" s="402"/>
      <c r="S244" s="402"/>
      <c r="T244" s="402"/>
      <c r="U244" s="402"/>
      <c r="V244" s="402"/>
      <c r="W244" s="402"/>
      <c r="X244" s="402"/>
      <c r="Y244" s="402"/>
      <c r="Z244" s="402"/>
    </row>
    <row r="245" ht="14.25" customHeight="1">
      <c r="A245" s="406">
        <v>45507.0</v>
      </c>
      <c r="B245" s="349" t="s">
        <v>3076</v>
      </c>
      <c r="C245" s="349" t="s">
        <v>3077</v>
      </c>
      <c r="D245" s="349" t="s">
        <v>54</v>
      </c>
      <c r="E245" s="522" t="s">
        <v>3078</v>
      </c>
      <c r="F245" s="413">
        <v>5600.0</v>
      </c>
      <c r="G245" s="413">
        <v>0.0</v>
      </c>
      <c r="H245" s="349" t="s">
        <v>3079</v>
      </c>
      <c r="I245" s="736" t="str">
        <f t="shared" si="5"/>
        <v>NOT PAID</v>
      </c>
      <c r="J245" s="402"/>
      <c r="K245" s="402"/>
      <c r="L245" s="402"/>
      <c r="M245" s="402"/>
      <c r="N245" s="402"/>
      <c r="O245" s="402"/>
      <c r="P245" s="402"/>
      <c r="Q245" s="402"/>
      <c r="R245" s="402"/>
      <c r="S245" s="402"/>
      <c r="T245" s="402"/>
      <c r="U245" s="402"/>
      <c r="V245" s="402"/>
      <c r="W245" s="402"/>
      <c r="X245" s="402"/>
      <c r="Y245" s="402"/>
      <c r="Z245" s="402"/>
    </row>
    <row r="246" ht="14.25" customHeight="1">
      <c r="A246" s="406">
        <v>45507.0</v>
      </c>
      <c r="B246" s="349" t="s">
        <v>3142</v>
      </c>
      <c r="C246" s="349" t="s">
        <v>3143</v>
      </c>
      <c r="D246" s="349" t="s">
        <v>54</v>
      </c>
      <c r="E246" s="522" t="s">
        <v>797</v>
      </c>
      <c r="F246" s="413">
        <v>85615.88</v>
      </c>
      <c r="G246" s="413">
        <v>0.0</v>
      </c>
      <c r="H246" s="349" t="s">
        <v>3079</v>
      </c>
      <c r="I246" s="736" t="str">
        <f t="shared" si="5"/>
        <v>NOT PAID</v>
      </c>
      <c r="J246" s="402"/>
      <c r="K246" s="402"/>
      <c r="L246" s="402"/>
      <c r="M246" s="402"/>
      <c r="N246" s="402"/>
      <c r="O246" s="402"/>
      <c r="P246" s="402"/>
      <c r="Q246" s="402"/>
      <c r="R246" s="402"/>
      <c r="S246" s="402"/>
      <c r="T246" s="402"/>
      <c r="U246" s="402"/>
      <c r="V246" s="402"/>
      <c r="W246" s="402"/>
      <c r="X246" s="402"/>
      <c r="Y246" s="402"/>
      <c r="Z246" s="402"/>
    </row>
    <row r="247" ht="14.25" customHeight="1">
      <c r="A247" s="406">
        <v>45507.0</v>
      </c>
      <c r="B247" s="349" t="s">
        <v>3139</v>
      </c>
      <c r="C247" s="349" t="s">
        <v>3140</v>
      </c>
      <c r="D247" s="349" t="s">
        <v>54</v>
      </c>
      <c r="E247" s="349" t="s">
        <v>797</v>
      </c>
      <c r="F247" s="413">
        <v>143780.2</v>
      </c>
      <c r="G247" s="413">
        <v>0.0</v>
      </c>
      <c r="H247" s="349" t="s">
        <v>3079</v>
      </c>
      <c r="I247" s="736" t="str">
        <f t="shared" si="5"/>
        <v>NOT PAID</v>
      </c>
      <c r="J247" s="402"/>
      <c r="K247" s="402"/>
      <c r="L247" s="402"/>
      <c r="M247" s="402"/>
      <c r="N247" s="402"/>
      <c r="O247" s="402"/>
      <c r="P247" s="402"/>
      <c r="Q247" s="402"/>
      <c r="R247" s="402"/>
      <c r="S247" s="402"/>
      <c r="T247" s="402"/>
      <c r="U247" s="402"/>
      <c r="V247" s="402"/>
      <c r="W247" s="402"/>
      <c r="X247" s="402"/>
      <c r="Y247" s="402"/>
      <c r="Z247" s="402"/>
    </row>
    <row r="248" ht="14.25" customHeight="1">
      <c r="A248" s="406">
        <v>45507.0</v>
      </c>
      <c r="B248" s="349" t="s">
        <v>3149</v>
      </c>
      <c r="C248" s="349" t="s">
        <v>3150</v>
      </c>
      <c r="D248" s="349" t="s">
        <v>54</v>
      </c>
      <c r="E248" s="522" t="s">
        <v>797</v>
      </c>
      <c r="F248" s="413">
        <v>150000.0</v>
      </c>
      <c r="G248" s="413">
        <v>0.0</v>
      </c>
      <c r="H248" s="349" t="s">
        <v>3079</v>
      </c>
      <c r="I248" s="736" t="str">
        <f t="shared" si="5"/>
        <v>NOT PAID</v>
      </c>
      <c r="J248" s="402"/>
      <c r="K248" s="402"/>
      <c r="L248" s="402"/>
      <c r="M248" s="402"/>
      <c r="N248" s="402"/>
      <c r="O248" s="402"/>
      <c r="P248" s="402"/>
      <c r="Q248" s="402"/>
      <c r="R248" s="402"/>
      <c r="S248" s="402"/>
      <c r="T248" s="402"/>
      <c r="U248" s="402"/>
      <c r="V248" s="402"/>
      <c r="W248" s="402"/>
      <c r="X248" s="402"/>
      <c r="Y248" s="402"/>
      <c r="Z248" s="402"/>
    </row>
    <row r="249" ht="14.25" customHeight="1">
      <c r="A249" s="406">
        <v>45507.0</v>
      </c>
      <c r="B249" s="349" t="s">
        <v>3173</v>
      </c>
      <c r="C249" s="349" t="s">
        <v>3174</v>
      </c>
      <c r="D249" s="349" t="s">
        <v>54</v>
      </c>
      <c r="E249" s="522" t="s">
        <v>3101</v>
      </c>
      <c r="F249" s="413">
        <v>24200.0</v>
      </c>
      <c r="G249" s="413">
        <v>0.0</v>
      </c>
      <c r="H249" s="349" t="s">
        <v>3079</v>
      </c>
      <c r="I249" s="736" t="str">
        <f t="shared" si="5"/>
        <v>NOT PAID</v>
      </c>
      <c r="J249" s="402"/>
      <c r="K249" s="402"/>
      <c r="L249" s="402"/>
      <c r="M249" s="402"/>
      <c r="N249" s="402"/>
      <c r="O249" s="402"/>
      <c r="P249" s="402"/>
      <c r="Q249" s="402"/>
      <c r="R249" s="402"/>
      <c r="S249" s="402"/>
      <c r="T249" s="402"/>
      <c r="U249" s="402"/>
      <c r="V249" s="402"/>
      <c r="W249" s="402"/>
      <c r="X249" s="402"/>
      <c r="Y249" s="402"/>
      <c r="Z249" s="402"/>
    </row>
    <row r="250" ht="14.25" customHeight="1">
      <c r="A250" s="406">
        <v>45507.0</v>
      </c>
      <c r="B250" s="349" t="s">
        <v>3182</v>
      </c>
      <c r="C250" s="349" t="s">
        <v>3117</v>
      </c>
      <c r="D250" s="349" t="s">
        <v>467</v>
      </c>
      <c r="E250" s="522" t="s">
        <v>3101</v>
      </c>
      <c r="F250" s="413">
        <v>7831.0</v>
      </c>
      <c r="G250" s="413">
        <v>0.0</v>
      </c>
      <c r="H250" s="349" t="s">
        <v>3079</v>
      </c>
      <c r="I250" s="736" t="str">
        <f t="shared" si="5"/>
        <v>NOT PAID</v>
      </c>
      <c r="J250" s="402"/>
      <c r="K250" s="402"/>
      <c r="L250" s="402"/>
      <c r="M250" s="402"/>
      <c r="N250" s="402"/>
      <c r="O250" s="402"/>
      <c r="P250" s="402"/>
      <c r="Q250" s="402"/>
      <c r="R250" s="402"/>
      <c r="S250" s="402"/>
      <c r="T250" s="402"/>
      <c r="U250" s="402"/>
      <c r="V250" s="402"/>
      <c r="W250" s="402"/>
      <c r="X250" s="402"/>
      <c r="Y250" s="402"/>
      <c r="Z250" s="402"/>
    </row>
    <row r="251" ht="14.25" customHeight="1">
      <c r="A251" s="406">
        <v>45507.0</v>
      </c>
      <c r="B251" s="349" t="s">
        <v>3191</v>
      </c>
      <c r="C251" s="349" t="s">
        <v>3192</v>
      </c>
      <c r="D251" s="349" t="s">
        <v>54</v>
      </c>
      <c r="E251" s="349" t="s">
        <v>3101</v>
      </c>
      <c r="F251" s="413">
        <v>67340.0</v>
      </c>
      <c r="G251" s="413">
        <v>0.0</v>
      </c>
      <c r="H251" s="349" t="s">
        <v>3079</v>
      </c>
      <c r="I251" s="736" t="str">
        <f t="shared" si="5"/>
        <v>NOT PAID</v>
      </c>
      <c r="J251" s="402"/>
      <c r="K251" s="402"/>
      <c r="L251" s="402"/>
      <c r="M251" s="402"/>
      <c r="N251" s="402"/>
      <c r="O251" s="402"/>
      <c r="P251" s="402"/>
      <c r="Q251" s="402"/>
      <c r="R251" s="402"/>
      <c r="S251" s="402"/>
      <c r="T251" s="402"/>
      <c r="U251" s="402"/>
      <c r="V251" s="402"/>
      <c r="W251" s="402"/>
      <c r="X251" s="402"/>
      <c r="Y251" s="402"/>
      <c r="Z251" s="402"/>
    </row>
    <row r="252" ht="14.25" customHeight="1">
      <c r="A252" s="406">
        <v>45507.0</v>
      </c>
      <c r="B252" s="522" t="s">
        <v>3080</v>
      </c>
      <c r="C252" s="349" t="s">
        <v>3190</v>
      </c>
      <c r="D252" s="349" t="s">
        <v>54</v>
      </c>
      <c r="E252" s="522" t="s">
        <v>3115</v>
      </c>
      <c r="F252" s="413">
        <v>98400.0</v>
      </c>
      <c r="G252" s="413">
        <v>0.0</v>
      </c>
      <c r="H252" s="349" t="s">
        <v>3079</v>
      </c>
      <c r="I252" s="736" t="str">
        <f t="shared" si="5"/>
        <v>NOT PAID</v>
      </c>
      <c r="J252" s="402"/>
      <c r="K252" s="402"/>
      <c r="L252" s="402"/>
      <c r="M252" s="402"/>
      <c r="N252" s="402"/>
      <c r="O252" s="402"/>
      <c r="P252" s="402"/>
      <c r="Q252" s="402"/>
      <c r="R252" s="402"/>
      <c r="S252" s="402"/>
      <c r="T252" s="402"/>
      <c r="U252" s="402"/>
      <c r="V252" s="402"/>
      <c r="W252" s="402"/>
      <c r="X252" s="402"/>
      <c r="Y252" s="402"/>
      <c r="Z252" s="402"/>
    </row>
    <row r="253" ht="14.25" customHeight="1">
      <c r="A253" s="406">
        <v>45507.0</v>
      </c>
      <c r="B253" s="349" t="s">
        <v>3193</v>
      </c>
      <c r="C253" s="349" t="s">
        <v>3194</v>
      </c>
      <c r="D253" s="349" t="s">
        <v>3189</v>
      </c>
      <c r="E253" s="349" t="s">
        <v>3078</v>
      </c>
      <c r="F253" s="413">
        <v>248776.0</v>
      </c>
      <c r="G253" s="413">
        <v>0.0</v>
      </c>
      <c r="H253" s="349" t="s">
        <v>3079</v>
      </c>
      <c r="I253" s="736" t="str">
        <f t="shared" si="5"/>
        <v>NOT PAID</v>
      </c>
      <c r="J253" s="402"/>
      <c r="K253" s="402"/>
      <c r="L253" s="402"/>
      <c r="M253" s="402"/>
      <c r="N253" s="402"/>
      <c r="O253" s="402"/>
      <c r="P253" s="402"/>
      <c r="Q253" s="402"/>
      <c r="R253" s="402"/>
      <c r="S253" s="402"/>
      <c r="T253" s="402"/>
      <c r="U253" s="402"/>
      <c r="V253" s="402"/>
      <c r="W253" s="402"/>
      <c r="X253" s="402"/>
      <c r="Y253" s="402"/>
      <c r="Z253" s="402"/>
    </row>
    <row r="254" ht="14.25" customHeight="1">
      <c r="A254" s="406">
        <v>45507.0</v>
      </c>
      <c r="B254" s="349" t="s">
        <v>3203</v>
      </c>
      <c r="C254" s="349" t="s">
        <v>3204</v>
      </c>
      <c r="D254" s="349" t="s">
        <v>3189</v>
      </c>
      <c r="E254" s="349" t="s">
        <v>3078</v>
      </c>
      <c r="F254" s="413">
        <v>100000.0</v>
      </c>
      <c r="G254" s="413">
        <v>0.0</v>
      </c>
      <c r="H254" s="349" t="s">
        <v>3079</v>
      </c>
      <c r="I254" s="736" t="str">
        <f t="shared" si="5"/>
        <v>NOT PAID</v>
      </c>
      <c r="J254" s="402"/>
      <c r="K254" s="402"/>
      <c r="L254" s="402"/>
      <c r="M254" s="402"/>
      <c r="N254" s="402"/>
      <c r="O254" s="402"/>
      <c r="P254" s="402"/>
      <c r="Q254" s="402"/>
      <c r="R254" s="402"/>
      <c r="S254" s="402"/>
      <c r="T254" s="402"/>
      <c r="U254" s="402"/>
      <c r="V254" s="402"/>
      <c r="W254" s="402"/>
      <c r="X254" s="402"/>
      <c r="Y254" s="402"/>
      <c r="Z254" s="402"/>
    </row>
    <row r="255" ht="14.25" customHeight="1">
      <c r="A255" s="406">
        <v>45507.0</v>
      </c>
      <c r="B255" s="349" t="s">
        <v>3205</v>
      </c>
      <c r="C255" s="349" t="s">
        <v>3206</v>
      </c>
      <c r="D255" s="349" t="s">
        <v>3189</v>
      </c>
      <c r="E255" s="349" t="s">
        <v>3101</v>
      </c>
      <c r="F255" s="413">
        <v>126500.0</v>
      </c>
      <c r="G255" s="413">
        <v>126500.0</v>
      </c>
      <c r="H255" s="349" t="s">
        <v>3207</v>
      </c>
      <c r="I255" s="736" t="str">
        <f t="shared" si="5"/>
        <v>FULLY PAID</v>
      </c>
      <c r="J255" s="402"/>
      <c r="K255" s="402"/>
      <c r="L255" s="402"/>
      <c r="M255" s="402"/>
      <c r="N255" s="402"/>
      <c r="O255" s="402"/>
      <c r="P255" s="402"/>
      <c r="Q255" s="402"/>
      <c r="R255" s="402"/>
      <c r="S255" s="402"/>
      <c r="T255" s="402"/>
      <c r="U255" s="402"/>
      <c r="V255" s="402"/>
      <c r="W255" s="402"/>
      <c r="X255" s="402"/>
      <c r="Y255" s="402"/>
      <c r="Z255" s="402"/>
    </row>
    <row r="256" ht="14.25" customHeight="1">
      <c r="A256" s="406">
        <v>45507.0</v>
      </c>
      <c r="B256" s="349" t="s">
        <v>3208</v>
      </c>
      <c r="C256" s="349" t="s">
        <v>3209</v>
      </c>
      <c r="D256" s="349" t="s">
        <v>54</v>
      </c>
      <c r="E256" s="349" t="s">
        <v>3101</v>
      </c>
      <c r="F256" s="413">
        <v>37517.0</v>
      </c>
      <c r="G256" s="413">
        <v>0.0</v>
      </c>
      <c r="H256" s="349" t="s">
        <v>3079</v>
      </c>
      <c r="I256" s="736" t="str">
        <f t="shared" si="5"/>
        <v>NOT PAID</v>
      </c>
      <c r="J256" s="402"/>
      <c r="K256" s="402"/>
      <c r="L256" s="402"/>
      <c r="M256" s="402"/>
      <c r="N256" s="402"/>
      <c r="O256" s="402"/>
      <c r="P256" s="402"/>
      <c r="Q256" s="402"/>
      <c r="R256" s="402"/>
      <c r="S256" s="402"/>
      <c r="T256" s="402"/>
      <c r="U256" s="402"/>
      <c r="V256" s="402"/>
      <c r="W256" s="402"/>
      <c r="X256" s="402"/>
      <c r="Y256" s="402"/>
      <c r="Z256" s="402"/>
    </row>
    <row r="257" ht="14.25" customHeight="1">
      <c r="A257" s="402"/>
      <c r="B257" s="402"/>
      <c r="C257" s="402"/>
      <c r="D257" s="402"/>
      <c r="E257" s="402"/>
      <c r="F257" s="403"/>
      <c r="G257" s="403"/>
      <c r="H257" s="402"/>
      <c r="I257" s="736" t="str">
        <f t="shared" si="5"/>
        <v>FULLY PAID</v>
      </c>
      <c r="J257" s="402"/>
      <c r="K257" s="402"/>
      <c r="L257" s="402"/>
      <c r="M257" s="402"/>
      <c r="N257" s="402"/>
      <c r="O257" s="402"/>
      <c r="P257" s="402"/>
      <c r="Q257" s="402"/>
      <c r="R257" s="402"/>
      <c r="S257" s="402"/>
      <c r="T257" s="402"/>
      <c r="U257" s="402"/>
      <c r="V257" s="402"/>
      <c r="W257" s="402"/>
      <c r="X257" s="402"/>
      <c r="Y257" s="402"/>
      <c r="Z257" s="402"/>
    </row>
    <row r="258" ht="14.25" customHeight="1">
      <c r="A258" s="402"/>
      <c r="B258" s="402"/>
      <c r="C258" s="402"/>
      <c r="D258" s="402"/>
      <c r="E258" s="402"/>
      <c r="F258" s="403"/>
      <c r="G258" s="403"/>
      <c r="H258" s="402"/>
      <c r="I258" s="736" t="str">
        <f t="shared" si="5"/>
        <v>FULLY PAID</v>
      </c>
      <c r="J258" s="402"/>
      <c r="K258" s="402"/>
      <c r="L258" s="402"/>
      <c r="M258" s="402"/>
      <c r="N258" s="402"/>
      <c r="O258" s="402"/>
      <c r="P258" s="402"/>
      <c r="Q258" s="402"/>
      <c r="R258" s="402"/>
      <c r="S258" s="402"/>
      <c r="T258" s="402"/>
      <c r="U258" s="402"/>
      <c r="V258" s="402"/>
      <c r="W258" s="402"/>
      <c r="X258" s="402"/>
      <c r="Y258" s="402"/>
      <c r="Z258" s="402"/>
    </row>
    <row r="259" ht="14.25" customHeight="1">
      <c r="A259" s="729" t="s">
        <v>47</v>
      </c>
      <c r="B259" s="730" t="s">
        <v>39</v>
      </c>
      <c r="C259" s="730" t="s">
        <v>3075</v>
      </c>
      <c r="D259" s="730" t="s">
        <v>49</v>
      </c>
      <c r="E259" s="730" t="s">
        <v>50</v>
      </c>
      <c r="F259" s="731" t="s">
        <v>2</v>
      </c>
      <c r="G259" s="731" t="s">
        <v>4</v>
      </c>
      <c r="H259" s="730" t="s">
        <v>45</v>
      </c>
      <c r="I259" s="736" t="str">
        <f t="shared" si="5"/>
        <v>FULLY PAID</v>
      </c>
      <c r="J259" s="402"/>
      <c r="K259" s="402"/>
      <c r="L259" s="402"/>
      <c r="M259" s="402"/>
      <c r="N259" s="402"/>
      <c r="O259" s="402"/>
      <c r="P259" s="402"/>
      <c r="Q259" s="402"/>
      <c r="R259" s="402"/>
      <c r="S259" s="402"/>
      <c r="T259" s="402"/>
      <c r="U259" s="402"/>
      <c r="V259" s="402"/>
      <c r="W259" s="402"/>
      <c r="X259" s="402"/>
      <c r="Y259" s="402"/>
      <c r="Z259" s="402"/>
    </row>
    <row r="260" ht="14.25" customHeight="1">
      <c r="A260" s="406">
        <v>45509.0</v>
      </c>
      <c r="B260" s="522" t="s">
        <v>3087</v>
      </c>
      <c r="C260" s="522" t="s">
        <v>3088</v>
      </c>
      <c r="D260" s="522" t="s">
        <v>54</v>
      </c>
      <c r="E260" s="522" t="s">
        <v>797</v>
      </c>
      <c r="F260" s="567">
        <v>16700.0</v>
      </c>
      <c r="G260" s="413">
        <v>5000.0</v>
      </c>
      <c r="H260" s="732" t="s">
        <v>3145</v>
      </c>
      <c r="I260" s="736" t="str">
        <f t="shared" si="5"/>
        <v>PARTIALLY PAID</v>
      </c>
      <c r="J260" s="402"/>
      <c r="K260" s="402"/>
      <c r="L260" s="402"/>
      <c r="M260" s="402"/>
      <c r="N260" s="402"/>
      <c r="O260" s="402"/>
      <c r="P260" s="402"/>
      <c r="Q260" s="402"/>
      <c r="R260" s="402"/>
      <c r="S260" s="402"/>
      <c r="T260" s="402"/>
      <c r="U260" s="402"/>
      <c r="V260" s="402"/>
      <c r="W260" s="402"/>
      <c r="X260" s="402"/>
      <c r="Y260" s="402"/>
      <c r="Z260" s="402"/>
    </row>
    <row r="261" ht="14.25" customHeight="1">
      <c r="A261" s="406">
        <v>45509.0</v>
      </c>
      <c r="B261" s="522" t="s">
        <v>3094</v>
      </c>
      <c r="C261" s="522" t="s">
        <v>3095</v>
      </c>
      <c r="D261" s="522" t="s">
        <v>54</v>
      </c>
      <c r="E261" s="522" t="s">
        <v>3078</v>
      </c>
      <c r="F261" s="567">
        <v>9300.0</v>
      </c>
      <c r="G261" s="413">
        <v>0.0</v>
      </c>
      <c r="H261" s="732" t="s">
        <v>3096</v>
      </c>
      <c r="I261" s="736" t="str">
        <f t="shared" si="5"/>
        <v>NOT PAID</v>
      </c>
      <c r="J261" s="402"/>
      <c r="K261" s="402"/>
      <c r="L261" s="402"/>
      <c r="M261" s="402"/>
      <c r="N261" s="402"/>
      <c r="O261" s="402"/>
      <c r="P261" s="402"/>
      <c r="Q261" s="402"/>
      <c r="R261" s="402"/>
      <c r="S261" s="402"/>
      <c r="T261" s="402"/>
      <c r="U261" s="402"/>
      <c r="V261" s="402"/>
      <c r="W261" s="402"/>
      <c r="X261" s="402"/>
      <c r="Y261" s="402"/>
      <c r="Z261" s="402"/>
    </row>
    <row r="262" ht="14.25" customHeight="1">
      <c r="A262" s="406">
        <v>45509.0</v>
      </c>
      <c r="B262" s="522" t="s">
        <v>652</v>
      </c>
      <c r="C262" s="522" t="s">
        <v>3097</v>
      </c>
      <c r="D262" s="522" t="s">
        <v>2010</v>
      </c>
      <c r="E262" s="522" t="s">
        <v>3093</v>
      </c>
      <c r="F262" s="567">
        <v>138800.0</v>
      </c>
      <c r="G262" s="413">
        <v>0.0</v>
      </c>
      <c r="H262" s="732" t="s">
        <v>3098</v>
      </c>
      <c r="I262" s="736" t="str">
        <f t="shared" si="5"/>
        <v>NOT PAID</v>
      </c>
      <c r="J262" s="402"/>
      <c r="K262" s="402"/>
      <c r="L262" s="402"/>
      <c r="M262" s="402"/>
      <c r="N262" s="402"/>
      <c r="O262" s="402"/>
      <c r="P262" s="402"/>
      <c r="Q262" s="402"/>
      <c r="R262" s="402"/>
      <c r="S262" s="402"/>
      <c r="T262" s="402"/>
      <c r="U262" s="402"/>
      <c r="V262" s="402"/>
      <c r="W262" s="402"/>
      <c r="X262" s="402"/>
      <c r="Y262" s="402"/>
      <c r="Z262" s="402"/>
    </row>
    <row r="263" ht="14.25" customHeight="1">
      <c r="A263" s="406">
        <v>45509.0</v>
      </c>
      <c r="B263" s="522" t="s">
        <v>3099</v>
      </c>
      <c r="C263" s="522" t="s">
        <v>3100</v>
      </c>
      <c r="D263" s="522" t="s">
        <v>54</v>
      </c>
      <c r="E263" s="522" t="s">
        <v>3101</v>
      </c>
      <c r="F263" s="567">
        <v>124650.0</v>
      </c>
      <c r="G263" s="413">
        <v>25000.0</v>
      </c>
      <c r="H263" s="349" t="s">
        <v>3210</v>
      </c>
      <c r="I263" s="736" t="str">
        <f t="shared" si="5"/>
        <v>PARTIALLY PAID</v>
      </c>
      <c r="J263" s="402"/>
      <c r="K263" s="402"/>
      <c r="L263" s="402"/>
      <c r="M263" s="402"/>
      <c r="N263" s="402"/>
      <c r="O263" s="402"/>
      <c r="P263" s="402"/>
      <c r="Q263" s="402"/>
      <c r="R263" s="402"/>
      <c r="S263" s="402"/>
      <c r="T263" s="402"/>
      <c r="U263" s="402"/>
      <c r="V263" s="402"/>
      <c r="W263" s="402"/>
      <c r="X263" s="402"/>
      <c r="Y263" s="402"/>
      <c r="Z263" s="402"/>
    </row>
    <row r="264" ht="14.25" customHeight="1">
      <c r="A264" s="406">
        <v>45509.0</v>
      </c>
      <c r="B264" s="349" t="s">
        <v>3107</v>
      </c>
      <c r="C264" s="349" t="s">
        <v>3108</v>
      </c>
      <c r="D264" s="349" t="s">
        <v>54</v>
      </c>
      <c r="E264" s="349" t="s">
        <v>3101</v>
      </c>
      <c r="F264" s="413">
        <v>9100.0</v>
      </c>
      <c r="G264" s="413">
        <v>0.0</v>
      </c>
      <c r="H264" s="349" t="s">
        <v>3211</v>
      </c>
      <c r="I264" s="736" t="str">
        <f t="shared" si="5"/>
        <v>NOT PAID</v>
      </c>
      <c r="J264" s="402"/>
      <c r="K264" s="402"/>
      <c r="L264" s="402"/>
      <c r="M264" s="402"/>
      <c r="N264" s="402"/>
      <c r="O264" s="402"/>
      <c r="P264" s="402"/>
      <c r="Q264" s="402"/>
      <c r="R264" s="402"/>
      <c r="S264" s="402"/>
      <c r="T264" s="402"/>
      <c r="U264" s="402"/>
      <c r="V264" s="402"/>
      <c r="W264" s="402"/>
      <c r="X264" s="402"/>
      <c r="Y264" s="402"/>
      <c r="Z264" s="402"/>
    </row>
    <row r="265" ht="14.25" customHeight="1">
      <c r="A265" s="406">
        <v>45509.0</v>
      </c>
      <c r="B265" s="522" t="s">
        <v>3134</v>
      </c>
      <c r="C265" s="522" t="s">
        <v>3176</v>
      </c>
      <c r="D265" s="349" t="s">
        <v>54</v>
      </c>
      <c r="E265" s="522" t="s">
        <v>3078</v>
      </c>
      <c r="F265" s="733">
        <v>95300.0</v>
      </c>
      <c r="G265" s="413">
        <v>15000.0</v>
      </c>
      <c r="H265" s="349" t="s">
        <v>3212</v>
      </c>
      <c r="I265" s="736" t="str">
        <f t="shared" si="5"/>
        <v>PARTIALLY PAID</v>
      </c>
      <c r="J265" s="402"/>
      <c r="K265" s="402"/>
      <c r="L265" s="402"/>
      <c r="M265" s="402"/>
      <c r="N265" s="402"/>
      <c r="O265" s="402"/>
      <c r="P265" s="402"/>
      <c r="Q265" s="402"/>
      <c r="R265" s="402"/>
      <c r="S265" s="402"/>
      <c r="T265" s="402"/>
      <c r="U265" s="402"/>
      <c r="V265" s="402"/>
      <c r="W265" s="402"/>
      <c r="X265" s="402"/>
      <c r="Y265" s="402"/>
      <c r="Z265" s="402"/>
    </row>
    <row r="266" ht="14.25" customHeight="1">
      <c r="A266" s="406">
        <v>45509.0</v>
      </c>
      <c r="B266" s="522" t="s">
        <v>3111</v>
      </c>
      <c r="C266" s="522" t="s">
        <v>3112</v>
      </c>
      <c r="D266" s="349" t="s">
        <v>54</v>
      </c>
      <c r="E266" s="522" t="s">
        <v>3078</v>
      </c>
      <c r="F266" s="567">
        <v>750.0</v>
      </c>
      <c r="G266" s="413">
        <v>0.0</v>
      </c>
      <c r="H266" s="349" t="s">
        <v>3213</v>
      </c>
      <c r="I266" s="736" t="str">
        <f t="shared" si="5"/>
        <v>NOT PAID</v>
      </c>
      <c r="J266" s="402"/>
      <c r="K266" s="402"/>
      <c r="L266" s="402"/>
      <c r="M266" s="402"/>
      <c r="N266" s="402"/>
      <c r="O266" s="402"/>
      <c r="P266" s="402"/>
      <c r="Q266" s="402"/>
      <c r="R266" s="402"/>
      <c r="S266" s="402"/>
      <c r="T266" s="402"/>
      <c r="U266" s="402"/>
      <c r="V266" s="402"/>
      <c r="W266" s="402"/>
      <c r="X266" s="402"/>
      <c r="Y266" s="402"/>
      <c r="Z266" s="402"/>
    </row>
    <row r="267" ht="14.25" customHeight="1">
      <c r="A267" s="406">
        <v>45509.0</v>
      </c>
      <c r="B267" s="349" t="s">
        <v>3076</v>
      </c>
      <c r="C267" s="349" t="s">
        <v>3077</v>
      </c>
      <c r="D267" s="349" t="s">
        <v>54</v>
      </c>
      <c r="E267" s="522" t="s">
        <v>3078</v>
      </c>
      <c r="F267" s="413">
        <v>5600.0</v>
      </c>
      <c r="G267" s="413">
        <v>0.0</v>
      </c>
      <c r="H267" s="349" t="s">
        <v>3214</v>
      </c>
      <c r="I267" s="736" t="str">
        <f t="shared" si="5"/>
        <v>NOT PAID</v>
      </c>
      <c r="J267" s="402"/>
      <c r="K267" s="402"/>
      <c r="L267" s="402"/>
      <c r="M267" s="402"/>
      <c r="N267" s="402"/>
      <c r="O267" s="402"/>
      <c r="P267" s="402"/>
      <c r="Q267" s="402"/>
      <c r="R267" s="402"/>
      <c r="S267" s="402"/>
      <c r="T267" s="402"/>
      <c r="U267" s="402"/>
      <c r="V267" s="402"/>
      <c r="W267" s="402"/>
      <c r="X267" s="402"/>
      <c r="Y267" s="402"/>
      <c r="Z267" s="402"/>
    </row>
    <row r="268" ht="14.25" customHeight="1">
      <c r="A268" s="406">
        <v>45509.0</v>
      </c>
      <c r="B268" s="349" t="s">
        <v>3173</v>
      </c>
      <c r="C268" s="349" t="s">
        <v>3174</v>
      </c>
      <c r="D268" s="349" t="s">
        <v>54</v>
      </c>
      <c r="E268" s="522" t="s">
        <v>3101</v>
      </c>
      <c r="F268" s="413">
        <v>24200.0</v>
      </c>
      <c r="G268" s="413">
        <v>0.0</v>
      </c>
      <c r="H268" s="349" t="s">
        <v>3215</v>
      </c>
      <c r="I268" s="736" t="str">
        <f t="shared" si="5"/>
        <v>NOT PAID</v>
      </c>
      <c r="J268" s="402"/>
      <c r="K268" s="402"/>
      <c r="L268" s="402"/>
      <c r="M268" s="402"/>
      <c r="N268" s="402"/>
      <c r="O268" s="402"/>
      <c r="P268" s="402"/>
      <c r="Q268" s="402"/>
      <c r="R268" s="402"/>
      <c r="S268" s="402"/>
      <c r="T268" s="402"/>
      <c r="U268" s="402"/>
      <c r="V268" s="402"/>
      <c r="W268" s="402"/>
      <c r="X268" s="402"/>
      <c r="Y268" s="402"/>
      <c r="Z268" s="402"/>
    </row>
    <row r="269" ht="14.25" customHeight="1">
      <c r="A269" s="406">
        <v>45509.0</v>
      </c>
      <c r="B269" s="349" t="s">
        <v>3182</v>
      </c>
      <c r="C269" s="349" t="s">
        <v>3117</v>
      </c>
      <c r="D269" s="349" t="s">
        <v>467</v>
      </c>
      <c r="E269" s="522" t="s">
        <v>3101</v>
      </c>
      <c r="F269" s="413">
        <v>7831.0</v>
      </c>
      <c r="G269" s="413">
        <v>0.0</v>
      </c>
      <c r="H269" s="349" t="s">
        <v>3216</v>
      </c>
      <c r="I269" s="736" t="str">
        <f t="shared" si="5"/>
        <v>NOT PAID</v>
      </c>
      <c r="J269" s="402"/>
      <c r="K269" s="402"/>
      <c r="L269" s="402"/>
      <c r="M269" s="402"/>
      <c r="N269" s="402"/>
      <c r="O269" s="402"/>
      <c r="P269" s="402"/>
      <c r="Q269" s="402"/>
      <c r="R269" s="402"/>
      <c r="S269" s="402"/>
      <c r="T269" s="402"/>
      <c r="U269" s="402"/>
      <c r="V269" s="402"/>
      <c r="W269" s="402"/>
      <c r="X269" s="402"/>
      <c r="Y269" s="402"/>
      <c r="Z269" s="402"/>
    </row>
    <row r="270" ht="14.25" customHeight="1">
      <c r="A270" s="406">
        <v>45509.0</v>
      </c>
      <c r="B270" s="349" t="s">
        <v>3191</v>
      </c>
      <c r="C270" s="349" t="s">
        <v>3192</v>
      </c>
      <c r="D270" s="349" t="s">
        <v>54</v>
      </c>
      <c r="E270" s="349" t="s">
        <v>3101</v>
      </c>
      <c r="F270" s="413">
        <v>67340.0</v>
      </c>
      <c r="G270" s="413">
        <v>0.0</v>
      </c>
      <c r="H270" s="349" t="s">
        <v>3211</v>
      </c>
      <c r="I270" s="736" t="str">
        <f t="shared" si="5"/>
        <v>NOT PAID</v>
      </c>
      <c r="J270" s="402"/>
      <c r="K270" s="402"/>
      <c r="L270" s="402"/>
      <c r="M270" s="402"/>
      <c r="N270" s="402"/>
      <c r="O270" s="402"/>
      <c r="P270" s="402"/>
      <c r="Q270" s="402"/>
      <c r="R270" s="402"/>
      <c r="S270" s="402"/>
      <c r="T270" s="402"/>
      <c r="U270" s="402"/>
      <c r="V270" s="402"/>
      <c r="W270" s="402"/>
      <c r="X270" s="402"/>
      <c r="Y270" s="402"/>
      <c r="Z270" s="402"/>
    </row>
    <row r="271" ht="14.25" customHeight="1">
      <c r="A271" s="406">
        <v>45509.0</v>
      </c>
      <c r="B271" s="522" t="s">
        <v>3080</v>
      </c>
      <c r="C271" s="349" t="s">
        <v>3190</v>
      </c>
      <c r="D271" s="349" t="s">
        <v>54</v>
      </c>
      <c r="E271" s="522" t="s">
        <v>3115</v>
      </c>
      <c r="F271" s="413">
        <v>98400.0</v>
      </c>
      <c r="G271" s="413">
        <v>0.0</v>
      </c>
      <c r="H271" s="349" t="s">
        <v>3217</v>
      </c>
      <c r="I271" s="736" t="str">
        <f t="shared" si="5"/>
        <v>NOT PAID</v>
      </c>
      <c r="J271" s="402"/>
      <c r="K271" s="402"/>
      <c r="L271" s="402"/>
      <c r="M271" s="402"/>
      <c r="N271" s="402"/>
      <c r="O271" s="402"/>
      <c r="P271" s="402"/>
      <c r="Q271" s="402"/>
      <c r="R271" s="402"/>
      <c r="S271" s="402"/>
      <c r="T271" s="402"/>
      <c r="U271" s="402"/>
      <c r="V271" s="402"/>
      <c r="W271" s="402"/>
      <c r="X271" s="402"/>
      <c r="Y271" s="402"/>
      <c r="Z271" s="402"/>
    </row>
    <row r="272" ht="14.25" customHeight="1">
      <c r="A272" s="406">
        <v>45509.0</v>
      </c>
      <c r="B272" s="349" t="s">
        <v>3193</v>
      </c>
      <c r="C272" s="349" t="s">
        <v>3194</v>
      </c>
      <c r="D272" s="349" t="s">
        <v>3189</v>
      </c>
      <c r="E272" s="349" t="s">
        <v>3078</v>
      </c>
      <c r="F272" s="413">
        <v>148776.0</v>
      </c>
      <c r="G272" s="413">
        <v>0.0</v>
      </c>
      <c r="H272" s="349" t="s">
        <v>3218</v>
      </c>
      <c r="I272" s="736" t="str">
        <f t="shared" si="5"/>
        <v>NOT PAID</v>
      </c>
      <c r="J272" s="402"/>
      <c r="K272" s="402"/>
      <c r="L272" s="402"/>
      <c r="M272" s="402"/>
      <c r="N272" s="402"/>
      <c r="O272" s="402"/>
      <c r="P272" s="402"/>
      <c r="Q272" s="402"/>
      <c r="R272" s="402"/>
      <c r="S272" s="402"/>
      <c r="T272" s="402"/>
      <c r="U272" s="402"/>
      <c r="V272" s="402"/>
      <c r="W272" s="402"/>
      <c r="X272" s="402"/>
      <c r="Y272" s="402"/>
      <c r="Z272" s="402"/>
    </row>
    <row r="273" ht="14.25" customHeight="1">
      <c r="A273" s="406">
        <v>45509.0</v>
      </c>
      <c r="B273" s="349" t="s">
        <v>3203</v>
      </c>
      <c r="C273" s="349" t="s">
        <v>3204</v>
      </c>
      <c r="D273" s="349" t="s">
        <v>3189</v>
      </c>
      <c r="E273" s="522" t="s">
        <v>3078</v>
      </c>
      <c r="F273" s="413">
        <v>35000.0</v>
      </c>
      <c r="G273" s="413">
        <v>30000.0</v>
      </c>
      <c r="H273" s="349" t="s">
        <v>710</v>
      </c>
      <c r="I273" s="736" t="str">
        <f t="shared" si="5"/>
        <v>PARTIALLY PAID</v>
      </c>
      <c r="J273" s="402"/>
      <c r="K273" s="402"/>
      <c r="L273" s="402"/>
      <c r="M273" s="402"/>
      <c r="N273" s="402"/>
      <c r="O273" s="402"/>
      <c r="P273" s="402"/>
      <c r="Q273" s="402"/>
      <c r="R273" s="402"/>
      <c r="S273" s="402"/>
      <c r="T273" s="402"/>
      <c r="U273" s="402"/>
      <c r="V273" s="402"/>
      <c r="W273" s="402"/>
      <c r="X273" s="402"/>
      <c r="Y273" s="402"/>
      <c r="Z273" s="402"/>
    </row>
    <row r="274" ht="14.25" customHeight="1">
      <c r="A274" s="406">
        <v>45509.0</v>
      </c>
      <c r="B274" s="349" t="s">
        <v>3219</v>
      </c>
      <c r="C274" s="349" t="s">
        <v>3220</v>
      </c>
      <c r="D274" s="349" t="s">
        <v>54</v>
      </c>
      <c r="E274" s="522" t="s">
        <v>3115</v>
      </c>
      <c r="F274" s="413">
        <v>29240.0</v>
      </c>
      <c r="G274" s="413">
        <v>0.0</v>
      </c>
      <c r="H274" s="349" t="s">
        <v>3221</v>
      </c>
      <c r="I274" s="736" t="str">
        <f t="shared" si="5"/>
        <v>NOT PAID</v>
      </c>
      <c r="J274" s="402"/>
      <c r="K274" s="402"/>
      <c r="L274" s="402"/>
      <c r="M274" s="402"/>
      <c r="N274" s="402"/>
      <c r="O274" s="402"/>
      <c r="P274" s="402"/>
      <c r="Q274" s="402"/>
      <c r="R274" s="402"/>
      <c r="S274" s="402"/>
      <c r="T274" s="402"/>
      <c r="U274" s="402"/>
      <c r="V274" s="402"/>
      <c r="W274" s="402"/>
      <c r="X274" s="402"/>
      <c r="Y274" s="402"/>
      <c r="Z274" s="402"/>
    </row>
    <row r="275" ht="14.25" customHeight="1">
      <c r="A275" s="406">
        <v>45509.0</v>
      </c>
      <c r="B275" s="349" t="s">
        <v>3208</v>
      </c>
      <c r="C275" s="349" t="s">
        <v>3209</v>
      </c>
      <c r="D275" s="349" t="s">
        <v>54</v>
      </c>
      <c r="E275" s="522" t="s">
        <v>3101</v>
      </c>
      <c r="F275" s="413">
        <v>39392.85</v>
      </c>
      <c r="G275" s="413">
        <v>25000.0</v>
      </c>
      <c r="H275" s="349" t="s">
        <v>3222</v>
      </c>
      <c r="I275" s="736" t="str">
        <f t="shared" si="5"/>
        <v>PARTIALLY PAID</v>
      </c>
      <c r="J275" s="402"/>
      <c r="K275" s="402"/>
      <c r="L275" s="402"/>
      <c r="M275" s="402"/>
      <c r="N275" s="402"/>
      <c r="O275" s="402"/>
      <c r="P275" s="402"/>
      <c r="Q275" s="402"/>
      <c r="R275" s="402"/>
      <c r="S275" s="402"/>
      <c r="T275" s="402"/>
      <c r="U275" s="402"/>
      <c r="V275" s="402"/>
      <c r="W275" s="402"/>
      <c r="X275" s="402"/>
      <c r="Y275" s="402"/>
      <c r="Z275" s="402"/>
    </row>
    <row r="276" ht="14.25" customHeight="1">
      <c r="A276" s="406">
        <v>45509.0</v>
      </c>
      <c r="B276" s="349" t="s">
        <v>3083</v>
      </c>
      <c r="C276" s="349" t="s">
        <v>3084</v>
      </c>
      <c r="D276" s="349" t="s">
        <v>54</v>
      </c>
      <c r="E276" s="349" t="s">
        <v>3101</v>
      </c>
      <c r="F276" s="413">
        <v>33944.0</v>
      </c>
      <c r="G276" s="413">
        <v>0.0</v>
      </c>
      <c r="H276" s="349" t="s">
        <v>3223</v>
      </c>
      <c r="I276" s="736" t="str">
        <f t="shared" si="5"/>
        <v>NOT PAID</v>
      </c>
      <c r="J276" s="402"/>
      <c r="K276" s="402"/>
      <c r="L276" s="402"/>
      <c r="M276" s="402"/>
      <c r="N276" s="402"/>
      <c r="O276" s="402"/>
      <c r="P276" s="402"/>
      <c r="Q276" s="402"/>
      <c r="R276" s="402"/>
      <c r="S276" s="402"/>
      <c r="T276" s="402"/>
      <c r="U276" s="402"/>
      <c r="V276" s="402"/>
      <c r="W276" s="402"/>
      <c r="X276" s="402"/>
      <c r="Y276" s="402"/>
      <c r="Z276" s="402"/>
    </row>
    <row r="277" ht="14.25" customHeight="1">
      <c r="A277" s="406">
        <v>45509.0</v>
      </c>
      <c r="B277" s="349" t="s">
        <v>3224</v>
      </c>
      <c r="C277" s="349" t="s">
        <v>3225</v>
      </c>
      <c r="D277" s="349" t="s">
        <v>54</v>
      </c>
      <c r="E277" s="522" t="s">
        <v>3101</v>
      </c>
      <c r="F277" s="413">
        <v>24382.0</v>
      </c>
      <c r="G277" s="413">
        <v>24382.0</v>
      </c>
      <c r="H277" s="349" t="s">
        <v>267</v>
      </c>
      <c r="I277" s="736" t="str">
        <f t="shared" si="5"/>
        <v>FULLY PAID</v>
      </c>
      <c r="J277" s="402"/>
      <c r="K277" s="402"/>
      <c r="L277" s="402"/>
      <c r="M277" s="402"/>
      <c r="N277" s="402"/>
      <c r="O277" s="402"/>
      <c r="P277" s="402"/>
      <c r="Q277" s="402"/>
      <c r="R277" s="402"/>
      <c r="S277" s="402"/>
      <c r="T277" s="402"/>
      <c r="U277" s="402"/>
      <c r="V277" s="402"/>
      <c r="W277" s="402"/>
      <c r="X277" s="402"/>
      <c r="Y277" s="402"/>
      <c r="Z277" s="402"/>
    </row>
    <row r="278" ht="14.25" customHeight="1">
      <c r="A278" s="406">
        <v>45509.0</v>
      </c>
      <c r="B278" s="349" t="s">
        <v>3226</v>
      </c>
      <c r="C278" s="349" t="s">
        <v>3227</v>
      </c>
      <c r="D278" s="349" t="s">
        <v>54</v>
      </c>
      <c r="E278" s="522" t="s">
        <v>3078</v>
      </c>
      <c r="F278" s="413">
        <v>32450.0</v>
      </c>
      <c r="G278" s="413">
        <v>25000.0</v>
      </c>
      <c r="H278" s="349" t="s">
        <v>710</v>
      </c>
      <c r="I278" s="736" t="str">
        <f t="shared" si="5"/>
        <v>PARTIALLY PAID</v>
      </c>
      <c r="J278" s="402"/>
      <c r="K278" s="402"/>
      <c r="L278" s="402"/>
      <c r="M278" s="402"/>
      <c r="N278" s="402"/>
      <c r="O278" s="402"/>
      <c r="P278" s="402"/>
      <c r="Q278" s="402"/>
      <c r="R278" s="402"/>
      <c r="S278" s="402"/>
      <c r="T278" s="402"/>
      <c r="U278" s="402"/>
      <c r="V278" s="402"/>
      <c r="W278" s="402"/>
      <c r="X278" s="402"/>
      <c r="Y278" s="402"/>
      <c r="Z278" s="402"/>
    </row>
    <row r="279" ht="14.25" customHeight="1">
      <c r="A279" s="406">
        <v>45509.0</v>
      </c>
      <c r="B279" s="349" t="s">
        <v>3228</v>
      </c>
      <c r="C279" s="349" t="s">
        <v>3229</v>
      </c>
      <c r="D279" s="349" t="s">
        <v>3189</v>
      </c>
      <c r="E279" s="349" t="s">
        <v>3101</v>
      </c>
      <c r="F279" s="413">
        <v>57500.0</v>
      </c>
      <c r="G279" s="413">
        <v>0.0</v>
      </c>
      <c r="H279" s="349" t="s">
        <v>3230</v>
      </c>
      <c r="I279" s="736" t="str">
        <f t="shared" si="5"/>
        <v>NOT PAID</v>
      </c>
      <c r="J279" s="402"/>
      <c r="K279" s="402"/>
      <c r="L279" s="402"/>
      <c r="M279" s="402"/>
      <c r="N279" s="402"/>
      <c r="O279" s="402"/>
      <c r="P279" s="402"/>
      <c r="Q279" s="402"/>
      <c r="R279" s="402"/>
      <c r="S279" s="402"/>
      <c r="T279" s="402"/>
      <c r="U279" s="402"/>
      <c r="V279" s="402"/>
      <c r="W279" s="402"/>
      <c r="X279" s="402"/>
      <c r="Y279" s="402"/>
      <c r="Z279" s="402"/>
    </row>
    <row r="280" ht="14.25" customHeight="1">
      <c r="A280" s="406">
        <v>45509.0</v>
      </c>
      <c r="B280" s="349" t="s">
        <v>3175</v>
      </c>
      <c r="C280" s="349" t="s">
        <v>3121</v>
      </c>
      <c r="D280" s="349" t="s">
        <v>3189</v>
      </c>
      <c r="E280" s="522" t="s">
        <v>3078</v>
      </c>
      <c r="F280" s="413">
        <v>81000.0</v>
      </c>
      <c r="G280" s="413">
        <v>81500.0</v>
      </c>
      <c r="H280" s="349" t="s">
        <v>710</v>
      </c>
      <c r="I280" s="736" t="str">
        <f t="shared" si="5"/>
        <v>FULLY PAID</v>
      </c>
      <c r="J280" s="402"/>
      <c r="K280" s="402"/>
      <c r="L280" s="402"/>
      <c r="M280" s="402"/>
      <c r="N280" s="402"/>
      <c r="O280" s="402"/>
      <c r="P280" s="402"/>
      <c r="Q280" s="402"/>
      <c r="R280" s="402"/>
      <c r="S280" s="402"/>
      <c r="T280" s="402"/>
      <c r="U280" s="402"/>
      <c r="V280" s="402"/>
      <c r="W280" s="402"/>
      <c r="X280" s="402"/>
      <c r="Y280" s="402"/>
      <c r="Z280" s="402"/>
    </row>
    <row r="281" ht="14.25" customHeight="1">
      <c r="A281" s="406">
        <v>45509.0</v>
      </c>
      <c r="B281" s="349" t="s">
        <v>3231</v>
      </c>
      <c r="C281" s="349" t="s">
        <v>3232</v>
      </c>
      <c r="D281" s="349" t="s">
        <v>3189</v>
      </c>
      <c r="E281" s="522" t="s">
        <v>3115</v>
      </c>
      <c r="F281" s="413">
        <v>172500.0</v>
      </c>
      <c r="G281" s="413">
        <v>74000.0</v>
      </c>
      <c r="H281" s="349" t="s">
        <v>3211</v>
      </c>
      <c r="I281" s="736" t="str">
        <f t="shared" si="5"/>
        <v>PARTIALLY PAID</v>
      </c>
      <c r="J281" s="402"/>
      <c r="K281" s="402"/>
      <c r="L281" s="402"/>
      <c r="M281" s="402"/>
      <c r="N281" s="402"/>
      <c r="O281" s="402"/>
      <c r="P281" s="402"/>
      <c r="Q281" s="402"/>
      <c r="R281" s="402"/>
      <c r="S281" s="402"/>
      <c r="T281" s="402"/>
      <c r="U281" s="402"/>
      <c r="V281" s="402"/>
      <c r="W281" s="402"/>
      <c r="X281" s="402"/>
      <c r="Y281" s="402"/>
      <c r="Z281" s="402"/>
    </row>
    <row r="282" ht="14.25" customHeight="1">
      <c r="A282" s="406">
        <v>45509.0</v>
      </c>
      <c r="B282" s="406" t="s">
        <v>3233</v>
      </c>
      <c r="C282" s="349" t="s">
        <v>3234</v>
      </c>
      <c r="D282" s="349" t="s">
        <v>54</v>
      </c>
      <c r="E282" s="349" t="s">
        <v>3115</v>
      </c>
      <c r="F282" s="738">
        <v>25741.0</v>
      </c>
      <c r="G282" s="413">
        <v>0.0</v>
      </c>
      <c r="H282" s="349" t="s">
        <v>3211</v>
      </c>
      <c r="I282" s="736" t="str">
        <f t="shared" si="5"/>
        <v>NOT PAID</v>
      </c>
      <c r="J282" s="402"/>
      <c r="K282" s="402"/>
      <c r="L282" s="402"/>
      <c r="M282" s="402"/>
      <c r="N282" s="402"/>
      <c r="O282" s="402"/>
      <c r="P282" s="402"/>
      <c r="Q282" s="402"/>
      <c r="R282" s="402"/>
      <c r="S282" s="402"/>
      <c r="T282" s="402"/>
      <c r="U282" s="402"/>
      <c r="V282" s="402"/>
      <c r="W282" s="402"/>
      <c r="X282" s="402"/>
      <c r="Y282" s="402"/>
      <c r="Z282" s="402"/>
    </row>
    <row r="283" ht="14.25" customHeight="1">
      <c r="A283" s="406">
        <v>45509.0</v>
      </c>
      <c r="B283" s="406" t="s">
        <v>3235</v>
      </c>
      <c r="C283" s="349" t="s">
        <v>3236</v>
      </c>
      <c r="D283" s="349" t="s">
        <v>3189</v>
      </c>
      <c r="E283" s="349" t="s">
        <v>3101</v>
      </c>
      <c r="F283" s="738">
        <v>230000.0</v>
      </c>
      <c r="G283" s="413">
        <v>0.0</v>
      </c>
      <c r="H283" s="349" t="s">
        <v>3211</v>
      </c>
      <c r="I283" s="736" t="str">
        <f t="shared" si="5"/>
        <v>NOT PAID</v>
      </c>
      <c r="J283" s="402"/>
      <c r="K283" s="402"/>
      <c r="L283" s="402"/>
      <c r="M283" s="402"/>
      <c r="N283" s="402"/>
      <c r="O283" s="402"/>
      <c r="P283" s="402"/>
      <c r="Q283" s="402"/>
      <c r="R283" s="402"/>
      <c r="S283" s="402"/>
      <c r="T283" s="402"/>
      <c r="U283" s="402"/>
      <c r="V283" s="402"/>
      <c r="W283" s="402"/>
      <c r="X283" s="402"/>
      <c r="Y283" s="402"/>
      <c r="Z283" s="402"/>
    </row>
    <row r="284" ht="14.25" customHeight="1">
      <c r="A284" s="406">
        <v>45509.0</v>
      </c>
      <c r="B284" s="406" t="s">
        <v>3237</v>
      </c>
      <c r="C284" s="349" t="s">
        <v>3238</v>
      </c>
      <c r="D284" s="349" t="s">
        <v>3189</v>
      </c>
      <c r="E284" s="349" t="s">
        <v>3078</v>
      </c>
      <c r="F284" s="413">
        <v>115000.0</v>
      </c>
      <c r="G284" s="413">
        <v>115000.0</v>
      </c>
      <c r="H284" s="349" t="s">
        <v>1238</v>
      </c>
      <c r="I284" s="736" t="str">
        <f t="shared" si="5"/>
        <v>FULLY PAID</v>
      </c>
      <c r="J284" s="402"/>
      <c r="K284" s="402"/>
      <c r="L284" s="402"/>
      <c r="M284" s="402"/>
      <c r="N284" s="402"/>
      <c r="O284" s="402"/>
      <c r="P284" s="402"/>
      <c r="Q284" s="402"/>
      <c r="R284" s="402"/>
      <c r="S284" s="402"/>
      <c r="T284" s="402"/>
      <c r="U284" s="402"/>
      <c r="V284" s="402"/>
      <c r="W284" s="402"/>
      <c r="X284" s="402"/>
      <c r="Y284" s="402"/>
      <c r="Z284" s="402"/>
    </row>
    <row r="285" ht="14.25" customHeight="1">
      <c r="A285" s="406">
        <v>45509.0</v>
      </c>
      <c r="B285" s="349" t="s">
        <v>3139</v>
      </c>
      <c r="C285" s="349" t="s">
        <v>3140</v>
      </c>
      <c r="D285" s="349" t="s">
        <v>54</v>
      </c>
      <c r="E285" s="349" t="s">
        <v>797</v>
      </c>
      <c r="F285" s="413">
        <v>143780.2</v>
      </c>
      <c r="G285" s="413">
        <v>0.0</v>
      </c>
      <c r="H285" s="349" t="s">
        <v>3239</v>
      </c>
      <c r="I285" s="736" t="str">
        <f t="shared" si="5"/>
        <v>NOT PAID</v>
      </c>
      <c r="J285" s="402"/>
      <c r="K285" s="402"/>
      <c r="L285" s="402"/>
      <c r="M285" s="402"/>
      <c r="N285" s="402"/>
      <c r="O285" s="402"/>
      <c r="P285" s="402"/>
      <c r="Q285" s="402"/>
      <c r="R285" s="402"/>
      <c r="S285" s="402"/>
      <c r="T285" s="402"/>
      <c r="U285" s="402"/>
      <c r="V285" s="402"/>
      <c r="W285" s="402"/>
      <c r="X285" s="402"/>
      <c r="Y285" s="402"/>
      <c r="Z285" s="402"/>
    </row>
    <row r="286" ht="14.25" customHeight="1">
      <c r="A286" s="406">
        <v>45509.0</v>
      </c>
      <c r="B286" s="349" t="s">
        <v>3149</v>
      </c>
      <c r="C286" s="349" t="s">
        <v>3150</v>
      </c>
      <c r="D286" s="349" t="s">
        <v>54</v>
      </c>
      <c r="E286" s="522" t="s">
        <v>797</v>
      </c>
      <c r="F286" s="413">
        <v>150000.0</v>
      </c>
      <c r="G286" s="413">
        <v>0.0</v>
      </c>
      <c r="H286" s="349" t="s">
        <v>3239</v>
      </c>
      <c r="I286" s="736" t="str">
        <f t="shared" si="5"/>
        <v>NOT PAID</v>
      </c>
      <c r="J286" s="402"/>
      <c r="K286" s="402"/>
      <c r="L286" s="402"/>
      <c r="M286" s="402"/>
      <c r="N286" s="402"/>
      <c r="O286" s="402"/>
      <c r="P286" s="402"/>
      <c r="Q286" s="402"/>
      <c r="R286" s="402"/>
      <c r="S286" s="402"/>
      <c r="T286" s="402"/>
      <c r="U286" s="402"/>
      <c r="V286" s="402"/>
      <c r="W286" s="402"/>
      <c r="X286" s="402"/>
      <c r="Y286" s="402"/>
      <c r="Z286" s="402"/>
    </row>
    <row r="287" ht="14.25" customHeight="1">
      <c r="A287" s="402"/>
      <c r="B287" s="522"/>
      <c r="C287" s="522"/>
      <c r="D287" s="522"/>
      <c r="E287" s="522"/>
      <c r="F287" s="567"/>
      <c r="G287" s="403"/>
      <c r="H287" s="402"/>
      <c r="I287" s="736" t="str">
        <f t="shared" si="5"/>
        <v>FULLY PAID</v>
      </c>
      <c r="J287" s="402"/>
      <c r="K287" s="402"/>
      <c r="L287" s="402"/>
      <c r="M287" s="402"/>
      <c r="N287" s="402"/>
      <c r="O287" s="402"/>
      <c r="P287" s="402"/>
      <c r="Q287" s="402"/>
      <c r="R287" s="402"/>
      <c r="S287" s="402"/>
      <c r="T287" s="402"/>
      <c r="U287" s="402"/>
      <c r="V287" s="402"/>
      <c r="W287" s="402"/>
      <c r="X287" s="402"/>
      <c r="Y287" s="402"/>
      <c r="Z287" s="402"/>
    </row>
    <row r="288" ht="14.25" customHeight="1">
      <c r="A288" s="402"/>
      <c r="B288" s="522"/>
      <c r="C288" s="522"/>
      <c r="D288" s="522"/>
      <c r="E288" s="522"/>
      <c r="F288" s="567"/>
      <c r="G288" s="403"/>
      <c r="H288" s="402"/>
      <c r="I288" s="736" t="str">
        <f t="shared" si="5"/>
        <v>FULLY PAID</v>
      </c>
      <c r="J288" s="402"/>
      <c r="K288" s="402"/>
      <c r="L288" s="402"/>
      <c r="M288" s="402"/>
      <c r="N288" s="402"/>
      <c r="O288" s="402"/>
      <c r="P288" s="402"/>
      <c r="Q288" s="402"/>
      <c r="R288" s="402"/>
      <c r="S288" s="402"/>
      <c r="T288" s="402"/>
      <c r="U288" s="402"/>
      <c r="V288" s="402"/>
      <c r="W288" s="402"/>
      <c r="X288" s="402"/>
      <c r="Y288" s="402"/>
      <c r="Z288" s="402"/>
    </row>
    <row r="289" ht="14.25" customHeight="1">
      <c r="A289" s="729" t="s">
        <v>47</v>
      </c>
      <c r="B289" s="730" t="s">
        <v>39</v>
      </c>
      <c r="C289" s="730" t="s">
        <v>3075</v>
      </c>
      <c r="D289" s="730" t="s">
        <v>49</v>
      </c>
      <c r="E289" s="730" t="s">
        <v>50</v>
      </c>
      <c r="F289" s="731" t="s">
        <v>2</v>
      </c>
      <c r="G289" s="731" t="s">
        <v>4</v>
      </c>
      <c r="H289" s="730" t="s">
        <v>45</v>
      </c>
      <c r="I289" s="736" t="str">
        <f t="shared" si="5"/>
        <v>FULLY PAID</v>
      </c>
      <c r="J289" s="402"/>
      <c r="K289" s="402"/>
      <c r="L289" s="402"/>
      <c r="M289" s="402"/>
      <c r="N289" s="402"/>
      <c r="O289" s="402"/>
      <c r="P289" s="402"/>
      <c r="Q289" s="402"/>
      <c r="R289" s="402"/>
      <c r="S289" s="402"/>
      <c r="T289" s="402"/>
      <c r="U289" s="402"/>
      <c r="V289" s="402"/>
      <c r="W289" s="402"/>
      <c r="X289" s="402"/>
      <c r="Y289" s="402"/>
      <c r="Z289" s="402"/>
    </row>
    <row r="290" ht="14.25" customHeight="1">
      <c r="A290" s="406">
        <v>45510.0</v>
      </c>
      <c r="B290" s="522" t="s">
        <v>3087</v>
      </c>
      <c r="C290" s="522" t="s">
        <v>3088</v>
      </c>
      <c r="D290" s="522" t="s">
        <v>54</v>
      </c>
      <c r="E290" s="522" t="s">
        <v>797</v>
      </c>
      <c r="F290" s="567">
        <v>17800.0</v>
      </c>
      <c r="G290" s="413">
        <v>0.0</v>
      </c>
      <c r="H290" s="732" t="s">
        <v>3145</v>
      </c>
      <c r="I290" s="736" t="str">
        <f t="shared" si="5"/>
        <v>NOT PAID</v>
      </c>
      <c r="J290" s="402"/>
      <c r="K290" s="402"/>
      <c r="L290" s="402"/>
      <c r="M290" s="402"/>
      <c r="N290" s="402"/>
      <c r="O290" s="402"/>
      <c r="P290" s="402"/>
      <c r="Q290" s="402"/>
      <c r="R290" s="402"/>
      <c r="S290" s="402"/>
      <c r="T290" s="402"/>
      <c r="U290" s="402"/>
      <c r="V290" s="402"/>
      <c r="W290" s="402"/>
      <c r="X290" s="402"/>
      <c r="Y290" s="402"/>
      <c r="Z290" s="402"/>
    </row>
    <row r="291" ht="14.25" customHeight="1">
      <c r="A291" s="406">
        <v>45510.0</v>
      </c>
      <c r="B291" s="522" t="s">
        <v>3094</v>
      </c>
      <c r="C291" s="522" t="s">
        <v>3095</v>
      </c>
      <c r="D291" s="522" t="s">
        <v>54</v>
      </c>
      <c r="E291" s="522" t="s">
        <v>3078</v>
      </c>
      <c r="F291" s="567">
        <v>9300.0</v>
      </c>
      <c r="G291" s="413">
        <v>0.0</v>
      </c>
      <c r="H291" s="349" t="s">
        <v>3240</v>
      </c>
      <c r="I291" s="736" t="str">
        <f t="shared" si="5"/>
        <v>NOT PAID</v>
      </c>
      <c r="J291" s="402"/>
      <c r="K291" s="402"/>
      <c r="L291" s="402"/>
      <c r="M291" s="402"/>
      <c r="N291" s="402"/>
      <c r="O291" s="402"/>
      <c r="P291" s="402"/>
      <c r="Q291" s="402"/>
      <c r="R291" s="402"/>
      <c r="S291" s="402"/>
      <c r="T291" s="402"/>
      <c r="U291" s="402"/>
      <c r="V291" s="402"/>
      <c r="W291" s="402"/>
      <c r="X291" s="402"/>
      <c r="Y291" s="402"/>
      <c r="Z291" s="402"/>
    </row>
    <row r="292" ht="14.25" customHeight="1">
      <c r="A292" s="406">
        <v>45510.0</v>
      </c>
      <c r="B292" s="522" t="s">
        <v>652</v>
      </c>
      <c r="C292" s="522" t="s">
        <v>3097</v>
      </c>
      <c r="D292" s="522" t="s">
        <v>2010</v>
      </c>
      <c r="E292" s="522" t="s">
        <v>3093</v>
      </c>
      <c r="F292" s="567">
        <v>138800.0</v>
      </c>
      <c r="G292" s="413">
        <v>0.0</v>
      </c>
      <c r="H292" s="732" t="s">
        <v>3098</v>
      </c>
      <c r="I292" s="736" t="str">
        <f t="shared" si="5"/>
        <v>NOT PAID</v>
      </c>
      <c r="J292" s="402"/>
      <c r="K292" s="402"/>
      <c r="L292" s="402"/>
      <c r="M292" s="402"/>
      <c r="N292" s="402"/>
      <c r="O292" s="402"/>
      <c r="P292" s="402"/>
      <c r="Q292" s="402"/>
      <c r="R292" s="402"/>
      <c r="S292" s="402"/>
      <c r="T292" s="402"/>
      <c r="U292" s="402"/>
      <c r="V292" s="402"/>
      <c r="W292" s="402"/>
      <c r="X292" s="402"/>
      <c r="Y292" s="402"/>
      <c r="Z292" s="402"/>
    </row>
    <row r="293" ht="14.25" customHeight="1">
      <c r="A293" s="406">
        <v>45510.0</v>
      </c>
      <c r="B293" s="522" t="s">
        <v>3099</v>
      </c>
      <c r="C293" s="522" t="s">
        <v>3100</v>
      </c>
      <c r="D293" s="522" t="s">
        <v>54</v>
      </c>
      <c r="E293" s="522" t="s">
        <v>3101</v>
      </c>
      <c r="F293" s="567">
        <v>103900.0</v>
      </c>
      <c r="G293" s="413">
        <v>0.0</v>
      </c>
      <c r="H293" s="349" t="s">
        <v>3211</v>
      </c>
      <c r="I293" s="736" t="str">
        <f t="shared" si="5"/>
        <v>NOT PAID</v>
      </c>
      <c r="J293" s="402"/>
      <c r="K293" s="402"/>
      <c r="L293" s="402"/>
      <c r="M293" s="402"/>
      <c r="N293" s="402"/>
      <c r="O293" s="402"/>
      <c r="P293" s="402"/>
      <c r="Q293" s="402"/>
      <c r="R293" s="402"/>
      <c r="S293" s="402"/>
      <c r="T293" s="402"/>
      <c r="U293" s="402"/>
      <c r="V293" s="402"/>
      <c r="W293" s="402"/>
      <c r="X293" s="402"/>
      <c r="Y293" s="402"/>
      <c r="Z293" s="402"/>
    </row>
    <row r="294" ht="14.25" customHeight="1">
      <c r="A294" s="406">
        <v>45510.0</v>
      </c>
      <c r="B294" s="349" t="s">
        <v>3107</v>
      </c>
      <c r="C294" s="349" t="s">
        <v>3108</v>
      </c>
      <c r="D294" s="349" t="s">
        <v>54</v>
      </c>
      <c r="E294" s="349" t="s">
        <v>3101</v>
      </c>
      <c r="F294" s="413">
        <v>9500.0</v>
      </c>
      <c r="G294" s="413">
        <v>0.0</v>
      </c>
      <c r="H294" s="349" t="s">
        <v>3241</v>
      </c>
      <c r="I294" s="736" t="str">
        <f t="shared" si="5"/>
        <v>NOT PAID</v>
      </c>
      <c r="J294" s="402"/>
      <c r="K294" s="402"/>
      <c r="L294" s="402"/>
      <c r="M294" s="402"/>
      <c r="N294" s="402"/>
      <c r="O294" s="402"/>
      <c r="P294" s="402"/>
      <c r="Q294" s="402"/>
      <c r="R294" s="402"/>
      <c r="S294" s="402"/>
      <c r="T294" s="402"/>
      <c r="U294" s="402"/>
      <c r="V294" s="402"/>
      <c r="W294" s="402"/>
      <c r="X294" s="402"/>
      <c r="Y294" s="402"/>
      <c r="Z294" s="402"/>
    </row>
    <row r="295" ht="14.25" customHeight="1">
      <c r="A295" s="406">
        <v>45510.0</v>
      </c>
      <c r="B295" s="522" t="s">
        <v>3134</v>
      </c>
      <c r="C295" s="522" t="s">
        <v>3176</v>
      </c>
      <c r="D295" s="349" t="s">
        <v>54</v>
      </c>
      <c r="E295" s="522" t="s">
        <v>3078</v>
      </c>
      <c r="F295" s="733">
        <v>80300.0</v>
      </c>
      <c r="G295" s="413">
        <v>0.0</v>
      </c>
      <c r="H295" s="349" t="s">
        <v>3242</v>
      </c>
      <c r="I295" s="736" t="str">
        <f t="shared" si="5"/>
        <v>NOT PAID</v>
      </c>
      <c r="J295" s="402"/>
      <c r="K295" s="402"/>
      <c r="L295" s="402"/>
      <c r="M295" s="402"/>
      <c r="N295" s="402"/>
      <c r="O295" s="402"/>
      <c r="P295" s="402"/>
      <c r="Q295" s="402"/>
      <c r="R295" s="402"/>
      <c r="S295" s="402"/>
      <c r="T295" s="402"/>
      <c r="U295" s="402"/>
      <c r="V295" s="402"/>
      <c r="W295" s="402"/>
      <c r="X295" s="402"/>
      <c r="Y295" s="402"/>
      <c r="Z295" s="402"/>
    </row>
    <row r="296" ht="14.25" customHeight="1">
      <c r="A296" s="406">
        <v>45510.0</v>
      </c>
      <c r="B296" s="522" t="s">
        <v>3111</v>
      </c>
      <c r="C296" s="522" t="s">
        <v>3112</v>
      </c>
      <c r="D296" s="349" t="s">
        <v>54</v>
      </c>
      <c r="E296" s="522" t="s">
        <v>3078</v>
      </c>
      <c r="F296" s="567">
        <v>750.0</v>
      </c>
      <c r="G296" s="413">
        <v>0.0</v>
      </c>
      <c r="H296" s="349" t="s">
        <v>3243</v>
      </c>
      <c r="I296" s="736" t="str">
        <f t="shared" si="5"/>
        <v>NOT PAID</v>
      </c>
      <c r="J296" s="402"/>
      <c r="K296" s="402"/>
      <c r="L296" s="402"/>
      <c r="M296" s="402"/>
      <c r="N296" s="402"/>
      <c r="O296" s="402"/>
      <c r="P296" s="402"/>
      <c r="Q296" s="402"/>
      <c r="R296" s="402"/>
      <c r="S296" s="402"/>
      <c r="T296" s="402"/>
      <c r="U296" s="402"/>
      <c r="V296" s="402"/>
      <c r="W296" s="402"/>
      <c r="X296" s="402"/>
      <c r="Y296" s="402"/>
      <c r="Z296" s="402"/>
    </row>
    <row r="297" ht="14.25" customHeight="1">
      <c r="A297" s="406">
        <v>45510.0</v>
      </c>
      <c r="B297" s="349" t="s">
        <v>3076</v>
      </c>
      <c r="C297" s="349" t="s">
        <v>3077</v>
      </c>
      <c r="D297" s="349" t="s">
        <v>54</v>
      </c>
      <c r="E297" s="522" t="s">
        <v>3078</v>
      </c>
      <c r="F297" s="413">
        <v>5600.0</v>
      </c>
      <c r="G297" s="413">
        <v>0.0</v>
      </c>
      <c r="H297" s="349" t="s">
        <v>3213</v>
      </c>
      <c r="I297" s="736" t="str">
        <f t="shared" si="5"/>
        <v>NOT PAID</v>
      </c>
      <c r="J297" s="402"/>
      <c r="K297" s="402"/>
      <c r="L297" s="402"/>
      <c r="M297" s="402"/>
      <c r="N297" s="402"/>
      <c r="O297" s="402"/>
      <c r="P297" s="402"/>
      <c r="Q297" s="402"/>
      <c r="R297" s="402"/>
      <c r="S297" s="402"/>
      <c r="T297" s="402"/>
      <c r="U297" s="402"/>
      <c r="V297" s="402"/>
      <c r="W297" s="402"/>
      <c r="X297" s="402"/>
      <c r="Y297" s="402"/>
      <c r="Z297" s="402"/>
    </row>
    <row r="298" ht="14.25" customHeight="1">
      <c r="A298" s="406">
        <v>45510.0</v>
      </c>
      <c r="B298" s="349" t="s">
        <v>3173</v>
      </c>
      <c r="C298" s="349" t="s">
        <v>3174</v>
      </c>
      <c r="D298" s="349" t="s">
        <v>54</v>
      </c>
      <c r="E298" s="522" t="s">
        <v>3101</v>
      </c>
      <c r="F298" s="413">
        <v>25400.0</v>
      </c>
      <c r="G298" s="413">
        <v>0.0</v>
      </c>
      <c r="H298" s="349" t="s">
        <v>3211</v>
      </c>
      <c r="I298" s="736" t="str">
        <f t="shared" si="5"/>
        <v>NOT PAID</v>
      </c>
      <c r="J298" s="402"/>
      <c r="K298" s="402"/>
      <c r="L298" s="402"/>
      <c r="M298" s="402"/>
      <c r="N298" s="402"/>
      <c r="O298" s="402"/>
      <c r="P298" s="402"/>
      <c r="Q298" s="402"/>
      <c r="R298" s="402"/>
      <c r="S298" s="402"/>
      <c r="T298" s="402"/>
      <c r="U298" s="402"/>
      <c r="V298" s="402"/>
      <c r="W298" s="402"/>
      <c r="X298" s="402"/>
      <c r="Y298" s="402"/>
      <c r="Z298" s="402"/>
    </row>
    <row r="299" ht="14.25" customHeight="1">
      <c r="A299" s="406">
        <v>45510.0</v>
      </c>
      <c r="B299" s="349" t="s">
        <v>3182</v>
      </c>
      <c r="C299" s="349" t="s">
        <v>3117</v>
      </c>
      <c r="D299" s="349" t="s">
        <v>467</v>
      </c>
      <c r="E299" s="522" t="s">
        <v>3101</v>
      </c>
      <c r="F299" s="413">
        <v>7831.0</v>
      </c>
      <c r="G299" s="413">
        <v>0.0</v>
      </c>
      <c r="H299" s="349" t="s">
        <v>3244</v>
      </c>
      <c r="I299" s="736" t="str">
        <f t="shared" si="5"/>
        <v>NOT PAID</v>
      </c>
      <c r="J299" s="402"/>
      <c r="K299" s="402"/>
      <c r="L299" s="402"/>
      <c r="M299" s="402"/>
      <c r="N299" s="402"/>
      <c r="O299" s="402"/>
      <c r="P299" s="402"/>
      <c r="Q299" s="402"/>
      <c r="R299" s="402"/>
      <c r="S299" s="402"/>
      <c r="T299" s="402"/>
      <c r="U299" s="402"/>
      <c r="V299" s="402"/>
      <c r="W299" s="402"/>
      <c r="X299" s="402"/>
      <c r="Y299" s="402"/>
      <c r="Z299" s="402"/>
    </row>
    <row r="300" ht="14.25" customHeight="1">
      <c r="A300" s="406">
        <v>45510.0</v>
      </c>
      <c r="B300" s="349" t="s">
        <v>3191</v>
      </c>
      <c r="C300" s="349" t="s">
        <v>3192</v>
      </c>
      <c r="D300" s="349" t="s">
        <v>54</v>
      </c>
      <c r="E300" s="349" t="s">
        <v>3101</v>
      </c>
      <c r="F300" s="413">
        <v>67340.0</v>
      </c>
      <c r="G300" s="413">
        <v>0.0</v>
      </c>
      <c r="H300" s="349" t="s">
        <v>3245</v>
      </c>
      <c r="I300" s="736" t="str">
        <f t="shared" si="5"/>
        <v>NOT PAID</v>
      </c>
      <c r="J300" s="402"/>
      <c r="K300" s="402"/>
      <c r="L300" s="402"/>
      <c r="M300" s="402"/>
      <c r="N300" s="402"/>
      <c r="O300" s="402"/>
      <c r="P300" s="402"/>
      <c r="Q300" s="402"/>
      <c r="R300" s="402"/>
      <c r="S300" s="402"/>
      <c r="T300" s="402"/>
      <c r="U300" s="402"/>
      <c r="V300" s="402"/>
      <c r="W300" s="402"/>
      <c r="X300" s="402"/>
      <c r="Y300" s="402"/>
      <c r="Z300" s="402"/>
    </row>
    <row r="301" ht="14.25" customHeight="1">
      <c r="A301" s="406">
        <v>45510.0</v>
      </c>
      <c r="B301" s="522" t="s">
        <v>3080</v>
      </c>
      <c r="C301" s="349" t="s">
        <v>3190</v>
      </c>
      <c r="D301" s="349" t="s">
        <v>54</v>
      </c>
      <c r="E301" s="522" t="s">
        <v>3115</v>
      </c>
      <c r="F301" s="413">
        <v>98400.0</v>
      </c>
      <c r="G301" s="413">
        <v>0.0</v>
      </c>
      <c r="H301" s="349" t="s">
        <v>3211</v>
      </c>
      <c r="I301" s="736" t="str">
        <f t="shared" si="5"/>
        <v>NOT PAID</v>
      </c>
      <c r="J301" s="402"/>
      <c r="K301" s="402"/>
      <c r="L301" s="402"/>
      <c r="M301" s="402"/>
      <c r="N301" s="402"/>
      <c r="O301" s="402"/>
      <c r="P301" s="402"/>
      <c r="Q301" s="402"/>
      <c r="R301" s="402"/>
      <c r="S301" s="402"/>
      <c r="T301" s="402"/>
      <c r="U301" s="402"/>
      <c r="V301" s="402"/>
      <c r="W301" s="402"/>
      <c r="X301" s="402"/>
      <c r="Y301" s="402"/>
      <c r="Z301" s="402"/>
    </row>
    <row r="302" ht="14.25" customHeight="1">
      <c r="A302" s="406">
        <v>45510.0</v>
      </c>
      <c r="B302" s="349" t="s">
        <v>3193</v>
      </c>
      <c r="C302" s="349" t="s">
        <v>3194</v>
      </c>
      <c r="D302" s="349" t="s">
        <v>3189</v>
      </c>
      <c r="E302" s="349" t="s">
        <v>3078</v>
      </c>
      <c r="F302" s="413">
        <v>248776.0</v>
      </c>
      <c r="G302" s="413">
        <v>0.0</v>
      </c>
      <c r="H302" s="349" t="s">
        <v>3246</v>
      </c>
      <c r="I302" s="736" t="str">
        <f t="shared" si="5"/>
        <v>NOT PAID</v>
      </c>
      <c r="J302" s="402"/>
      <c r="K302" s="402"/>
      <c r="L302" s="402"/>
      <c r="M302" s="402"/>
      <c r="N302" s="402"/>
      <c r="O302" s="402"/>
      <c r="P302" s="402"/>
      <c r="Q302" s="402"/>
      <c r="R302" s="402"/>
      <c r="S302" s="402"/>
      <c r="T302" s="402"/>
      <c r="U302" s="402"/>
      <c r="V302" s="402"/>
      <c r="W302" s="402"/>
      <c r="X302" s="402"/>
      <c r="Y302" s="402"/>
      <c r="Z302" s="402"/>
    </row>
    <row r="303" ht="14.25" customHeight="1">
      <c r="A303" s="406">
        <v>45510.0</v>
      </c>
      <c r="B303" s="349" t="s">
        <v>3203</v>
      </c>
      <c r="C303" s="349" t="s">
        <v>3204</v>
      </c>
      <c r="D303" s="349" t="s">
        <v>3189</v>
      </c>
      <c r="E303" s="522" t="s">
        <v>3078</v>
      </c>
      <c r="F303" s="413">
        <v>5000.0</v>
      </c>
      <c r="G303" s="413">
        <v>5000.0</v>
      </c>
      <c r="H303" s="349" t="s">
        <v>1238</v>
      </c>
      <c r="I303" s="736" t="str">
        <f t="shared" si="5"/>
        <v>FULLY PAID</v>
      </c>
      <c r="J303" s="402"/>
      <c r="K303" s="402"/>
      <c r="L303" s="402"/>
      <c r="M303" s="402"/>
      <c r="N303" s="402"/>
      <c r="O303" s="402"/>
      <c r="P303" s="402"/>
      <c r="Q303" s="402"/>
      <c r="R303" s="402"/>
      <c r="S303" s="402"/>
      <c r="T303" s="402"/>
      <c r="U303" s="402"/>
      <c r="V303" s="402"/>
      <c r="W303" s="402"/>
      <c r="X303" s="402"/>
      <c r="Y303" s="402"/>
      <c r="Z303" s="402"/>
    </row>
    <row r="304" ht="14.25" customHeight="1">
      <c r="A304" s="406">
        <v>45510.0</v>
      </c>
      <c r="B304" s="349" t="s">
        <v>3208</v>
      </c>
      <c r="C304" s="349" t="s">
        <v>3209</v>
      </c>
      <c r="D304" s="349" t="s">
        <v>54</v>
      </c>
      <c r="E304" s="522" t="s">
        <v>3101</v>
      </c>
      <c r="F304" s="413">
        <v>14400.0</v>
      </c>
      <c r="G304" s="413">
        <v>0.0</v>
      </c>
      <c r="H304" s="349" t="s">
        <v>3247</v>
      </c>
      <c r="I304" s="736" t="str">
        <f t="shared" si="5"/>
        <v>NOT PAID</v>
      </c>
      <c r="J304" s="402"/>
      <c r="K304" s="402"/>
      <c r="L304" s="402"/>
      <c r="M304" s="402"/>
      <c r="N304" s="402"/>
      <c r="O304" s="402"/>
      <c r="P304" s="402"/>
      <c r="Q304" s="402"/>
      <c r="R304" s="402"/>
      <c r="S304" s="402"/>
      <c r="T304" s="402"/>
      <c r="U304" s="402"/>
      <c r="V304" s="402"/>
      <c r="W304" s="402"/>
      <c r="X304" s="402"/>
      <c r="Y304" s="402"/>
      <c r="Z304" s="402"/>
    </row>
    <row r="305" ht="14.25" customHeight="1">
      <c r="A305" s="406">
        <v>45510.0</v>
      </c>
      <c r="B305" s="349" t="s">
        <v>3083</v>
      </c>
      <c r="C305" s="349" t="s">
        <v>3084</v>
      </c>
      <c r="D305" s="349" t="s">
        <v>54</v>
      </c>
      <c r="E305" s="349" t="s">
        <v>3101</v>
      </c>
      <c r="F305" s="413">
        <v>35450.0</v>
      </c>
      <c r="G305" s="413">
        <v>0.0</v>
      </c>
      <c r="H305" s="349" t="s">
        <v>3248</v>
      </c>
      <c r="I305" s="736" t="str">
        <f t="shared" si="5"/>
        <v>NOT PAID</v>
      </c>
      <c r="J305" s="402"/>
      <c r="K305" s="402"/>
      <c r="L305" s="402"/>
      <c r="M305" s="402"/>
      <c r="N305" s="402"/>
      <c r="O305" s="402"/>
      <c r="P305" s="402"/>
      <c r="Q305" s="402"/>
      <c r="R305" s="402"/>
      <c r="S305" s="402"/>
      <c r="T305" s="402"/>
      <c r="U305" s="402"/>
      <c r="V305" s="402"/>
      <c r="W305" s="402"/>
      <c r="X305" s="402"/>
      <c r="Y305" s="402"/>
      <c r="Z305" s="402"/>
    </row>
    <row r="306" ht="14.25" customHeight="1">
      <c r="A306" s="406">
        <v>45510.0</v>
      </c>
      <c r="B306" s="349" t="s">
        <v>3249</v>
      </c>
      <c r="C306" s="349" t="s">
        <v>3106</v>
      </c>
      <c r="D306" s="349" t="s">
        <v>3189</v>
      </c>
      <c r="E306" s="522" t="s">
        <v>3078</v>
      </c>
      <c r="F306" s="413">
        <v>1050.0</v>
      </c>
      <c r="G306" s="413">
        <v>1050.0</v>
      </c>
      <c r="H306" s="349" t="s">
        <v>710</v>
      </c>
      <c r="I306" s="736" t="str">
        <f t="shared" si="5"/>
        <v>FULLY PAID</v>
      </c>
      <c r="J306" s="402"/>
      <c r="K306" s="402"/>
      <c r="L306" s="402"/>
      <c r="M306" s="402"/>
      <c r="N306" s="402"/>
      <c r="O306" s="402"/>
      <c r="P306" s="402"/>
      <c r="Q306" s="402"/>
      <c r="R306" s="402"/>
      <c r="S306" s="402"/>
      <c r="T306" s="402"/>
      <c r="U306" s="402"/>
      <c r="V306" s="402"/>
      <c r="W306" s="402"/>
      <c r="X306" s="402"/>
      <c r="Y306" s="402"/>
      <c r="Z306" s="402"/>
    </row>
    <row r="307" ht="14.25" customHeight="1">
      <c r="A307" s="406">
        <v>45510.0</v>
      </c>
      <c r="B307" s="349" t="s">
        <v>3228</v>
      </c>
      <c r="C307" s="349" t="s">
        <v>3229</v>
      </c>
      <c r="D307" s="349" t="s">
        <v>3189</v>
      </c>
      <c r="E307" s="349" t="s">
        <v>3101</v>
      </c>
      <c r="F307" s="413">
        <v>57500.0</v>
      </c>
      <c r="G307" s="413">
        <v>0.0</v>
      </c>
      <c r="H307" s="349" t="s">
        <v>3250</v>
      </c>
      <c r="I307" s="736" t="str">
        <f t="shared" si="5"/>
        <v>NOT PAID</v>
      </c>
      <c r="J307" s="402"/>
      <c r="K307" s="402"/>
      <c r="L307" s="402"/>
      <c r="M307" s="402"/>
      <c r="N307" s="402"/>
      <c r="O307" s="402"/>
      <c r="P307" s="402"/>
      <c r="Q307" s="402"/>
      <c r="R307" s="402"/>
      <c r="S307" s="402"/>
      <c r="T307" s="402"/>
      <c r="U307" s="402"/>
      <c r="V307" s="402"/>
      <c r="W307" s="402"/>
      <c r="X307" s="402"/>
      <c r="Y307" s="402"/>
      <c r="Z307" s="402"/>
    </row>
    <row r="308" ht="14.25" customHeight="1">
      <c r="A308" s="406">
        <v>45510.0</v>
      </c>
      <c r="B308" s="349" t="s">
        <v>3231</v>
      </c>
      <c r="C308" s="349" t="s">
        <v>3232</v>
      </c>
      <c r="D308" s="349" t="s">
        <v>3189</v>
      </c>
      <c r="E308" s="522" t="s">
        <v>3115</v>
      </c>
      <c r="F308" s="413">
        <v>98500.0</v>
      </c>
      <c r="G308" s="413">
        <v>98500.0</v>
      </c>
      <c r="H308" s="349" t="s">
        <v>1238</v>
      </c>
      <c r="I308" s="736" t="str">
        <f t="shared" si="5"/>
        <v>FULLY PAID</v>
      </c>
      <c r="J308" s="402"/>
      <c r="K308" s="402"/>
      <c r="L308" s="402"/>
      <c r="M308" s="402"/>
      <c r="N308" s="402"/>
      <c r="O308" s="402"/>
      <c r="P308" s="402"/>
      <c r="Q308" s="402"/>
      <c r="R308" s="402"/>
      <c r="S308" s="402"/>
      <c r="T308" s="402"/>
      <c r="U308" s="402"/>
      <c r="V308" s="402"/>
      <c r="W308" s="402"/>
      <c r="X308" s="402"/>
      <c r="Y308" s="402"/>
      <c r="Z308" s="402"/>
    </row>
    <row r="309" ht="14.25" customHeight="1">
      <c r="A309" s="406">
        <v>45510.0</v>
      </c>
      <c r="B309" s="406" t="s">
        <v>3233</v>
      </c>
      <c r="C309" s="349" t="s">
        <v>3234</v>
      </c>
      <c r="D309" s="349" t="s">
        <v>54</v>
      </c>
      <c r="E309" s="349" t="s">
        <v>3251</v>
      </c>
      <c r="F309" s="738">
        <v>28000.0</v>
      </c>
      <c r="G309" s="413">
        <v>0.0</v>
      </c>
      <c r="H309" s="349" t="s">
        <v>3252</v>
      </c>
      <c r="I309" s="736" t="str">
        <f t="shared" si="5"/>
        <v>NOT PAID</v>
      </c>
      <c r="J309" s="402"/>
      <c r="K309" s="402"/>
      <c r="L309" s="402"/>
      <c r="M309" s="402"/>
      <c r="N309" s="402"/>
      <c r="O309" s="402"/>
      <c r="P309" s="402"/>
      <c r="Q309" s="402"/>
      <c r="R309" s="402"/>
      <c r="S309" s="402"/>
      <c r="T309" s="402"/>
      <c r="U309" s="402"/>
      <c r="V309" s="402"/>
      <c r="W309" s="402"/>
      <c r="X309" s="402"/>
      <c r="Y309" s="402"/>
      <c r="Z309" s="402"/>
    </row>
    <row r="310" ht="14.25" customHeight="1">
      <c r="A310" s="406">
        <v>45510.0</v>
      </c>
      <c r="B310" s="406" t="s">
        <v>3235</v>
      </c>
      <c r="C310" s="349" t="s">
        <v>3236</v>
      </c>
      <c r="D310" s="349" t="s">
        <v>3189</v>
      </c>
      <c r="E310" s="349" t="s">
        <v>3101</v>
      </c>
      <c r="F310" s="738">
        <v>241500.0</v>
      </c>
      <c r="G310" s="413">
        <v>0.0</v>
      </c>
      <c r="H310" s="349" t="s">
        <v>3253</v>
      </c>
      <c r="I310" s="736" t="str">
        <f t="shared" si="5"/>
        <v>NOT PAID</v>
      </c>
      <c r="J310" s="402"/>
      <c r="K310" s="402"/>
      <c r="L310" s="402"/>
      <c r="M310" s="402"/>
      <c r="N310" s="402"/>
      <c r="O310" s="402"/>
      <c r="P310" s="402"/>
      <c r="Q310" s="402"/>
      <c r="R310" s="402"/>
      <c r="S310" s="402"/>
      <c r="T310" s="402"/>
      <c r="U310" s="402"/>
      <c r="V310" s="402"/>
      <c r="W310" s="402"/>
      <c r="X310" s="402"/>
      <c r="Y310" s="402"/>
      <c r="Z310" s="402"/>
    </row>
    <row r="311" ht="14.25" customHeight="1">
      <c r="A311" s="406">
        <v>45510.0</v>
      </c>
      <c r="B311" s="349" t="s">
        <v>3139</v>
      </c>
      <c r="C311" s="349" t="s">
        <v>3140</v>
      </c>
      <c r="D311" s="349" t="s">
        <v>54</v>
      </c>
      <c r="E311" s="349" t="s">
        <v>797</v>
      </c>
      <c r="F311" s="413">
        <v>143780.2</v>
      </c>
      <c r="G311" s="413">
        <v>0.0</v>
      </c>
      <c r="H311" s="349" t="s">
        <v>3239</v>
      </c>
      <c r="I311" s="736" t="str">
        <f t="shared" si="5"/>
        <v>NOT PAID</v>
      </c>
      <c r="J311" s="402"/>
      <c r="K311" s="402"/>
      <c r="L311" s="402"/>
      <c r="M311" s="402"/>
      <c r="N311" s="402"/>
      <c r="O311" s="402"/>
      <c r="P311" s="402"/>
      <c r="Q311" s="402"/>
      <c r="R311" s="402"/>
      <c r="S311" s="402"/>
      <c r="T311" s="402"/>
      <c r="U311" s="402"/>
      <c r="V311" s="402"/>
      <c r="W311" s="402"/>
      <c r="X311" s="402"/>
      <c r="Y311" s="402"/>
      <c r="Z311" s="402"/>
    </row>
    <row r="312" ht="14.25" customHeight="1">
      <c r="A312" s="406">
        <v>45510.0</v>
      </c>
      <c r="B312" s="349" t="s">
        <v>3149</v>
      </c>
      <c r="C312" s="349" t="s">
        <v>3150</v>
      </c>
      <c r="D312" s="349" t="s">
        <v>54</v>
      </c>
      <c r="E312" s="522" t="s">
        <v>797</v>
      </c>
      <c r="F312" s="413">
        <v>150000.0</v>
      </c>
      <c r="G312" s="413">
        <v>0.0</v>
      </c>
      <c r="H312" s="349" t="s">
        <v>3239</v>
      </c>
      <c r="I312" s="736" t="str">
        <f t="shared" si="5"/>
        <v>NOT PAID</v>
      </c>
      <c r="J312" s="402"/>
      <c r="K312" s="402"/>
      <c r="L312" s="402"/>
      <c r="M312" s="402"/>
      <c r="N312" s="402"/>
      <c r="O312" s="402"/>
      <c r="P312" s="402"/>
      <c r="Q312" s="402"/>
      <c r="R312" s="402"/>
      <c r="S312" s="402"/>
      <c r="T312" s="402"/>
      <c r="U312" s="402"/>
      <c r="V312" s="402"/>
      <c r="W312" s="402"/>
      <c r="X312" s="402"/>
      <c r="Y312" s="402"/>
      <c r="Z312" s="402"/>
    </row>
    <row r="313" ht="14.25" customHeight="1">
      <c r="A313" s="402"/>
      <c r="B313" s="402"/>
      <c r="C313" s="402"/>
      <c r="D313" s="402"/>
      <c r="E313" s="402"/>
      <c r="F313" s="403"/>
      <c r="G313" s="403"/>
      <c r="H313" s="402"/>
      <c r="I313" s="736" t="str">
        <f t="shared" si="5"/>
        <v>FULLY PAID</v>
      </c>
      <c r="J313" s="402"/>
      <c r="K313" s="402"/>
      <c r="L313" s="402"/>
      <c r="M313" s="402"/>
      <c r="N313" s="402"/>
      <c r="O313" s="402"/>
      <c r="P313" s="402"/>
      <c r="Q313" s="402"/>
      <c r="R313" s="402"/>
      <c r="S313" s="402"/>
      <c r="T313" s="402"/>
      <c r="U313" s="402"/>
      <c r="V313" s="402"/>
      <c r="W313" s="402"/>
      <c r="X313" s="402"/>
      <c r="Y313" s="402"/>
      <c r="Z313" s="402"/>
    </row>
    <row r="314" ht="14.25" customHeight="1">
      <c r="A314" s="402"/>
      <c r="B314" s="402"/>
      <c r="C314" s="402"/>
      <c r="D314" s="402"/>
      <c r="E314" s="402"/>
      <c r="F314" s="403"/>
      <c r="G314" s="403"/>
      <c r="H314" s="402"/>
      <c r="I314" s="736" t="str">
        <f t="shared" si="5"/>
        <v>FULLY PAID</v>
      </c>
      <c r="J314" s="402"/>
      <c r="K314" s="402"/>
      <c r="L314" s="402"/>
      <c r="M314" s="402"/>
      <c r="N314" s="402"/>
      <c r="O314" s="402"/>
      <c r="P314" s="402"/>
      <c r="Q314" s="402"/>
      <c r="R314" s="402"/>
      <c r="S314" s="402"/>
      <c r="T314" s="402"/>
      <c r="U314" s="402"/>
      <c r="V314" s="402"/>
      <c r="W314" s="402"/>
      <c r="X314" s="402"/>
      <c r="Y314" s="402"/>
      <c r="Z314" s="402"/>
    </row>
    <row r="315" ht="14.25" customHeight="1">
      <c r="A315" s="729" t="s">
        <v>47</v>
      </c>
      <c r="B315" s="730" t="s">
        <v>39</v>
      </c>
      <c r="C315" s="730" t="s">
        <v>3075</v>
      </c>
      <c r="D315" s="730" t="s">
        <v>49</v>
      </c>
      <c r="E315" s="730" t="s">
        <v>50</v>
      </c>
      <c r="F315" s="731" t="s">
        <v>2</v>
      </c>
      <c r="G315" s="731" t="s">
        <v>4</v>
      </c>
      <c r="H315" s="730" t="s">
        <v>45</v>
      </c>
      <c r="I315" s="736" t="str">
        <f t="shared" si="5"/>
        <v>FULLY PAID</v>
      </c>
      <c r="J315" s="402"/>
      <c r="K315" s="402"/>
      <c r="L315" s="402"/>
      <c r="M315" s="402"/>
      <c r="N315" s="402"/>
      <c r="O315" s="402"/>
      <c r="P315" s="402"/>
      <c r="Q315" s="402"/>
      <c r="R315" s="402"/>
      <c r="S315" s="402"/>
      <c r="T315" s="402"/>
      <c r="U315" s="402"/>
      <c r="V315" s="402"/>
      <c r="W315" s="402"/>
      <c r="X315" s="402"/>
      <c r="Y315" s="402"/>
      <c r="Z315" s="402"/>
    </row>
    <row r="316" ht="14.25" customHeight="1">
      <c r="A316" s="406">
        <v>45511.0</v>
      </c>
      <c r="B316" s="522" t="s">
        <v>3087</v>
      </c>
      <c r="C316" s="522" t="s">
        <v>3088</v>
      </c>
      <c r="D316" s="522" t="s">
        <v>54</v>
      </c>
      <c r="E316" s="522" t="s">
        <v>797</v>
      </c>
      <c r="F316" s="567">
        <v>32500.0</v>
      </c>
      <c r="G316" s="413">
        <v>0.0</v>
      </c>
      <c r="H316" s="349" t="s">
        <v>3254</v>
      </c>
      <c r="I316" s="736" t="str">
        <f t="shared" si="5"/>
        <v>NOT PAID</v>
      </c>
      <c r="J316" s="402"/>
      <c r="K316" s="402"/>
      <c r="L316" s="402"/>
      <c r="M316" s="402"/>
      <c r="N316" s="402"/>
      <c r="O316" s="402"/>
      <c r="P316" s="402"/>
      <c r="Q316" s="402"/>
      <c r="R316" s="402"/>
      <c r="S316" s="402"/>
      <c r="T316" s="402"/>
      <c r="U316" s="402"/>
      <c r="V316" s="402"/>
      <c r="W316" s="402"/>
      <c r="X316" s="402"/>
      <c r="Y316" s="402"/>
      <c r="Z316" s="402"/>
    </row>
    <row r="317" ht="14.25" customHeight="1">
      <c r="A317" s="406">
        <v>45511.0</v>
      </c>
      <c r="B317" s="522" t="s">
        <v>3094</v>
      </c>
      <c r="C317" s="522" t="s">
        <v>3095</v>
      </c>
      <c r="D317" s="522" t="s">
        <v>54</v>
      </c>
      <c r="E317" s="522" t="s">
        <v>3078</v>
      </c>
      <c r="F317" s="567">
        <v>9300.0</v>
      </c>
      <c r="G317" s="413">
        <v>0.0</v>
      </c>
      <c r="H317" s="349" t="s">
        <v>3255</v>
      </c>
      <c r="I317" s="736" t="str">
        <f t="shared" si="5"/>
        <v>NOT PAID</v>
      </c>
      <c r="J317" s="402"/>
      <c r="K317" s="402"/>
      <c r="L317" s="402"/>
      <c r="M317" s="402"/>
      <c r="N317" s="402"/>
      <c r="O317" s="402"/>
      <c r="P317" s="402"/>
      <c r="Q317" s="402"/>
      <c r="R317" s="402"/>
      <c r="S317" s="402"/>
      <c r="T317" s="402"/>
      <c r="U317" s="402"/>
      <c r="V317" s="402"/>
      <c r="W317" s="402"/>
      <c r="X317" s="402"/>
      <c r="Y317" s="402"/>
      <c r="Z317" s="402"/>
    </row>
    <row r="318" ht="14.25" customHeight="1">
      <c r="A318" s="406">
        <v>45511.0</v>
      </c>
      <c r="B318" s="522" t="s">
        <v>652</v>
      </c>
      <c r="C318" s="522" t="s">
        <v>3097</v>
      </c>
      <c r="D318" s="522" t="s">
        <v>2010</v>
      </c>
      <c r="E318" s="522" t="s">
        <v>3093</v>
      </c>
      <c r="F318" s="567">
        <v>138800.0</v>
      </c>
      <c r="G318" s="413">
        <v>0.0</v>
      </c>
      <c r="H318" s="349" t="s">
        <v>3256</v>
      </c>
      <c r="I318" s="736" t="str">
        <f t="shared" si="5"/>
        <v>NOT PAID</v>
      </c>
      <c r="J318" s="402"/>
      <c r="K318" s="402"/>
      <c r="L318" s="402"/>
      <c r="M318" s="402"/>
      <c r="N318" s="402"/>
      <c r="O318" s="402"/>
      <c r="P318" s="402"/>
      <c r="Q318" s="402"/>
      <c r="R318" s="402"/>
      <c r="S318" s="402"/>
      <c r="T318" s="402"/>
      <c r="U318" s="402"/>
      <c r="V318" s="402"/>
      <c r="W318" s="402"/>
      <c r="X318" s="402"/>
      <c r="Y318" s="402"/>
      <c r="Z318" s="402"/>
    </row>
    <row r="319" ht="14.25" customHeight="1">
      <c r="A319" s="406">
        <v>45511.0</v>
      </c>
      <c r="B319" s="522" t="s">
        <v>3099</v>
      </c>
      <c r="C319" s="522" t="s">
        <v>3100</v>
      </c>
      <c r="D319" s="522" t="s">
        <v>54</v>
      </c>
      <c r="E319" s="522" t="s">
        <v>3101</v>
      </c>
      <c r="F319" s="567">
        <v>103900.0</v>
      </c>
      <c r="G319" s="413">
        <v>0.0</v>
      </c>
      <c r="H319" s="349" t="s">
        <v>3257</v>
      </c>
      <c r="I319" s="736" t="str">
        <f t="shared" si="5"/>
        <v>NOT PAID</v>
      </c>
      <c r="J319" s="402"/>
      <c r="K319" s="402"/>
      <c r="L319" s="402"/>
      <c r="M319" s="402"/>
      <c r="N319" s="402"/>
      <c r="O319" s="402"/>
      <c r="P319" s="402"/>
      <c r="Q319" s="402"/>
      <c r="R319" s="402"/>
      <c r="S319" s="402"/>
      <c r="T319" s="402"/>
      <c r="U319" s="402"/>
      <c r="V319" s="402"/>
      <c r="W319" s="402"/>
      <c r="X319" s="402"/>
      <c r="Y319" s="402"/>
      <c r="Z319" s="402"/>
    </row>
    <row r="320" ht="14.25" customHeight="1">
      <c r="A320" s="406">
        <v>45511.0</v>
      </c>
      <c r="B320" s="349" t="s">
        <v>3107</v>
      </c>
      <c r="C320" s="349" t="s">
        <v>3108</v>
      </c>
      <c r="D320" s="349" t="s">
        <v>54</v>
      </c>
      <c r="E320" s="349" t="s">
        <v>3101</v>
      </c>
      <c r="F320" s="413">
        <v>9500.0</v>
      </c>
      <c r="G320" s="413">
        <v>0.0</v>
      </c>
      <c r="H320" s="732" t="s">
        <v>3096</v>
      </c>
      <c r="I320" s="736" t="str">
        <f t="shared" si="5"/>
        <v>NOT PAID</v>
      </c>
      <c r="J320" s="402"/>
      <c r="K320" s="402"/>
      <c r="L320" s="402"/>
      <c r="M320" s="402"/>
      <c r="N320" s="402"/>
      <c r="O320" s="402"/>
      <c r="P320" s="402"/>
      <c r="Q320" s="402"/>
      <c r="R320" s="402"/>
      <c r="S320" s="402"/>
      <c r="T320" s="402"/>
      <c r="U320" s="402"/>
      <c r="V320" s="402"/>
      <c r="W320" s="402"/>
      <c r="X320" s="402"/>
      <c r="Y320" s="402"/>
      <c r="Z320" s="402"/>
    </row>
    <row r="321" ht="14.25" customHeight="1">
      <c r="A321" s="406">
        <v>45511.0</v>
      </c>
      <c r="B321" s="522" t="s">
        <v>3134</v>
      </c>
      <c r="C321" s="522" t="s">
        <v>3176</v>
      </c>
      <c r="D321" s="349" t="s">
        <v>54</v>
      </c>
      <c r="E321" s="522" t="s">
        <v>3078</v>
      </c>
      <c r="F321" s="733">
        <v>80300.0</v>
      </c>
      <c r="G321" s="413">
        <v>0.0</v>
      </c>
      <c r="H321" s="349" t="s">
        <v>3258</v>
      </c>
      <c r="I321" s="736" t="str">
        <f t="shared" si="5"/>
        <v>NOT PAID</v>
      </c>
      <c r="J321" s="402"/>
      <c r="K321" s="402"/>
      <c r="L321" s="402"/>
      <c r="M321" s="402"/>
      <c r="N321" s="402"/>
      <c r="O321" s="402"/>
      <c r="P321" s="402"/>
      <c r="Q321" s="402"/>
      <c r="R321" s="402"/>
      <c r="S321" s="402"/>
      <c r="T321" s="402"/>
      <c r="U321" s="402"/>
      <c r="V321" s="402"/>
      <c r="W321" s="402"/>
      <c r="X321" s="402"/>
      <c r="Y321" s="402"/>
      <c r="Z321" s="402"/>
    </row>
    <row r="322" ht="14.25" customHeight="1">
      <c r="A322" s="406">
        <v>45511.0</v>
      </c>
      <c r="B322" s="522" t="s">
        <v>3111</v>
      </c>
      <c r="C322" s="522" t="s">
        <v>3112</v>
      </c>
      <c r="D322" s="349" t="s">
        <v>54</v>
      </c>
      <c r="E322" s="522" t="s">
        <v>3078</v>
      </c>
      <c r="F322" s="567">
        <v>750.0</v>
      </c>
      <c r="G322" s="413">
        <v>0.0</v>
      </c>
      <c r="H322" s="349" t="s">
        <v>3259</v>
      </c>
      <c r="I322" s="736" t="str">
        <f t="shared" si="5"/>
        <v>NOT PAID</v>
      </c>
      <c r="J322" s="402"/>
      <c r="K322" s="402"/>
      <c r="L322" s="402"/>
      <c r="M322" s="402"/>
      <c r="N322" s="402"/>
      <c r="O322" s="402"/>
      <c r="P322" s="402"/>
      <c r="Q322" s="402"/>
      <c r="R322" s="402"/>
      <c r="S322" s="402"/>
      <c r="T322" s="402"/>
      <c r="U322" s="402"/>
      <c r="V322" s="402"/>
      <c r="W322" s="402"/>
      <c r="X322" s="402"/>
      <c r="Y322" s="402"/>
      <c r="Z322" s="402"/>
    </row>
    <row r="323" ht="14.25" customHeight="1">
      <c r="A323" s="406">
        <v>45511.0</v>
      </c>
      <c r="B323" s="349" t="s">
        <v>3076</v>
      </c>
      <c r="C323" s="349" t="s">
        <v>3077</v>
      </c>
      <c r="D323" s="349" t="s">
        <v>54</v>
      </c>
      <c r="E323" s="522" t="s">
        <v>3078</v>
      </c>
      <c r="F323" s="413">
        <v>5600.0</v>
      </c>
      <c r="G323" s="413">
        <v>0.0</v>
      </c>
      <c r="H323" s="349" t="s">
        <v>3260</v>
      </c>
      <c r="I323" s="736" t="str">
        <f t="shared" si="5"/>
        <v>NOT PAID</v>
      </c>
      <c r="J323" s="402"/>
      <c r="K323" s="402"/>
      <c r="L323" s="402"/>
      <c r="M323" s="402"/>
      <c r="N323" s="402"/>
      <c r="O323" s="402"/>
      <c r="P323" s="402"/>
      <c r="Q323" s="402"/>
      <c r="R323" s="402"/>
      <c r="S323" s="402"/>
      <c r="T323" s="402"/>
      <c r="U323" s="402"/>
      <c r="V323" s="402"/>
      <c r="W323" s="402"/>
      <c r="X323" s="402"/>
      <c r="Y323" s="402"/>
      <c r="Z323" s="402"/>
    </row>
    <row r="324" ht="14.25" customHeight="1">
      <c r="A324" s="406">
        <v>45511.0</v>
      </c>
      <c r="B324" s="349" t="s">
        <v>3173</v>
      </c>
      <c r="C324" s="349" t="s">
        <v>3174</v>
      </c>
      <c r="D324" s="349" t="s">
        <v>54</v>
      </c>
      <c r="E324" s="522" t="s">
        <v>3101</v>
      </c>
      <c r="F324" s="413">
        <v>25400.0</v>
      </c>
      <c r="G324" s="413">
        <v>0.0</v>
      </c>
      <c r="H324" s="732" t="s">
        <v>3261</v>
      </c>
      <c r="I324" s="736" t="str">
        <f t="shared" si="5"/>
        <v>NOT PAID</v>
      </c>
      <c r="J324" s="402"/>
      <c r="K324" s="402"/>
      <c r="L324" s="402"/>
      <c r="M324" s="402"/>
      <c r="N324" s="402"/>
      <c r="O324" s="402"/>
      <c r="P324" s="402"/>
      <c r="Q324" s="402"/>
      <c r="R324" s="402"/>
      <c r="S324" s="402"/>
      <c r="T324" s="402"/>
      <c r="U324" s="402"/>
      <c r="V324" s="402"/>
      <c r="W324" s="402"/>
      <c r="X324" s="402"/>
      <c r="Y324" s="402"/>
      <c r="Z324" s="402"/>
    </row>
    <row r="325" ht="14.25" customHeight="1">
      <c r="A325" s="406">
        <v>45511.0</v>
      </c>
      <c r="B325" s="349" t="s">
        <v>3182</v>
      </c>
      <c r="C325" s="349" t="s">
        <v>3117</v>
      </c>
      <c r="D325" s="349" t="s">
        <v>467</v>
      </c>
      <c r="E325" s="522" t="s">
        <v>3101</v>
      </c>
      <c r="F325" s="413">
        <v>7831.0</v>
      </c>
      <c r="G325" s="413">
        <v>0.0</v>
      </c>
      <c r="H325" s="349" t="s">
        <v>3256</v>
      </c>
      <c r="I325" s="736" t="str">
        <f t="shared" si="5"/>
        <v>NOT PAID</v>
      </c>
      <c r="J325" s="402"/>
      <c r="K325" s="402"/>
      <c r="L325" s="402"/>
      <c r="M325" s="402"/>
      <c r="N325" s="402"/>
      <c r="O325" s="402"/>
      <c r="P325" s="402"/>
      <c r="Q325" s="402"/>
      <c r="R325" s="402"/>
      <c r="S325" s="402"/>
      <c r="T325" s="402"/>
      <c r="U325" s="402"/>
      <c r="V325" s="402"/>
      <c r="W325" s="402"/>
      <c r="X325" s="402"/>
      <c r="Y325" s="402"/>
      <c r="Z325" s="402"/>
    </row>
    <row r="326" ht="14.25" customHeight="1">
      <c r="A326" s="406">
        <v>45511.0</v>
      </c>
      <c r="B326" s="349" t="s">
        <v>3191</v>
      </c>
      <c r="C326" s="349" t="s">
        <v>3192</v>
      </c>
      <c r="D326" s="349" t="s">
        <v>54</v>
      </c>
      <c r="E326" s="349" t="s">
        <v>3101</v>
      </c>
      <c r="F326" s="413">
        <v>67340.0</v>
      </c>
      <c r="G326" s="413">
        <v>10000.0</v>
      </c>
      <c r="H326" s="349" t="s">
        <v>3262</v>
      </c>
      <c r="I326" s="736" t="str">
        <f t="shared" si="5"/>
        <v>PARTIALLY PAID</v>
      </c>
      <c r="J326" s="402"/>
      <c r="K326" s="402"/>
      <c r="L326" s="402"/>
      <c r="M326" s="402"/>
      <c r="N326" s="402"/>
      <c r="O326" s="402"/>
      <c r="P326" s="402"/>
      <c r="Q326" s="402"/>
      <c r="R326" s="402"/>
      <c r="S326" s="402"/>
      <c r="T326" s="402"/>
      <c r="U326" s="402"/>
      <c r="V326" s="402"/>
      <c r="W326" s="402"/>
      <c r="X326" s="402"/>
      <c r="Y326" s="402"/>
      <c r="Z326" s="402"/>
    </row>
    <row r="327" ht="14.25" customHeight="1">
      <c r="A327" s="406">
        <v>45511.0</v>
      </c>
      <c r="B327" s="522" t="s">
        <v>3263</v>
      </c>
      <c r="C327" s="349" t="s">
        <v>3264</v>
      </c>
      <c r="D327" s="349" t="s">
        <v>54</v>
      </c>
      <c r="E327" s="522" t="s">
        <v>3078</v>
      </c>
      <c r="F327" s="413">
        <v>15700.0</v>
      </c>
      <c r="G327" s="413">
        <v>14047.0</v>
      </c>
      <c r="H327" s="349" t="s">
        <v>3265</v>
      </c>
      <c r="I327" s="736" t="str">
        <f t="shared" si="5"/>
        <v>PARTIALLY PAID</v>
      </c>
      <c r="J327" s="402"/>
      <c r="K327" s="402"/>
      <c r="L327" s="402"/>
      <c r="M327" s="402"/>
      <c r="N327" s="402"/>
      <c r="O327" s="402"/>
      <c r="P327" s="402"/>
      <c r="Q327" s="402"/>
      <c r="R327" s="402"/>
      <c r="S327" s="402"/>
      <c r="T327" s="402"/>
      <c r="U327" s="402"/>
      <c r="V327" s="402"/>
      <c r="W327" s="402"/>
      <c r="X327" s="402"/>
      <c r="Y327" s="402"/>
      <c r="Z327" s="402"/>
    </row>
    <row r="328" ht="14.25" customHeight="1">
      <c r="A328" s="406">
        <v>45511.0</v>
      </c>
      <c r="B328" s="349" t="s">
        <v>3193</v>
      </c>
      <c r="C328" s="349" t="s">
        <v>3194</v>
      </c>
      <c r="D328" s="349" t="s">
        <v>3189</v>
      </c>
      <c r="E328" s="349" t="s">
        <v>3078</v>
      </c>
      <c r="F328" s="413">
        <v>248776.0</v>
      </c>
      <c r="G328" s="413">
        <v>0.0</v>
      </c>
      <c r="H328" s="349" t="s">
        <v>3266</v>
      </c>
      <c r="I328" s="736" t="str">
        <f t="shared" si="5"/>
        <v>NOT PAID</v>
      </c>
      <c r="J328" s="402"/>
      <c r="K328" s="402"/>
      <c r="L328" s="402"/>
      <c r="M328" s="402"/>
      <c r="N328" s="402"/>
      <c r="O328" s="402"/>
      <c r="P328" s="402"/>
      <c r="Q328" s="402"/>
      <c r="R328" s="402"/>
      <c r="S328" s="402"/>
      <c r="T328" s="402"/>
      <c r="U328" s="402"/>
      <c r="V328" s="402"/>
      <c r="W328" s="402"/>
      <c r="X328" s="402"/>
      <c r="Y328" s="402"/>
      <c r="Z328" s="402"/>
    </row>
    <row r="329" ht="14.25" customHeight="1">
      <c r="A329" s="406">
        <v>45511.0</v>
      </c>
      <c r="B329" s="349" t="s">
        <v>3267</v>
      </c>
      <c r="C329" s="349" t="s">
        <v>3268</v>
      </c>
      <c r="D329" s="349" t="s">
        <v>54</v>
      </c>
      <c r="E329" s="522" t="s">
        <v>3078</v>
      </c>
      <c r="F329" s="413">
        <v>25000.0</v>
      </c>
      <c r="G329" s="413">
        <v>25000.0</v>
      </c>
      <c r="H329" s="349" t="s">
        <v>772</v>
      </c>
      <c r="I329" s="736" t="str">
        <f t="shared" si="5"/>
        <v>FULLY PAID</v>
      </c>
      <c r="J329" s="402"/>
      <c r="K329" s="402"/>
      <c r="L329" s="402"/>
      <c r="M329" s="402"/>
      <c r="N329" s="402"/>
      <c r="O329" s="402"/>
      <c r="P329" s="402"/>
      <c r="Q329" s="402"/>
      <c r="R329" s="402"/>
      <c r="S329" s="402"/>
      <c r="T329" s="402"/>
      <c r="U329" s="402"/>
      <c r="V329" s="402"/>
      <c r="W329" s="402"/>
      <c r="X329" s="402"/>
      <c r="Y329" s="402"/>
      <c r="Z329" s="402"/>
    </row>
    <row r="330" ht="14.25" customHeight="1">
      <c r="A330" s="406">
        <v>45511.0</v>
      </c>
      <c r="B330" s="349" t="s">
        <v>3208</v>
      </c>
      <c r="C330" s="349" t="s">
        <v>3209</v>
      </c>
      <c r="D330" s="349" t="s">
        <v>54</v>
      </c>
      <c r="E330" s="522" t="s">
        <v>3101</v>
      </c>
      <c r="F330" s="413">
        <v>14400.0</v>
      </c>
      <c r="G330" s="413">
        <v>7000.0</v>
      </c>
      <c r="H330" s="349" t="s">
        <v>3269</v>
      </c>
      <c r="I330" s="736" t="str">
        <f t="shared" si="5"/>
        <v>PARTIALLY PAID</v>
      </c>
      <c r="J330" s="402"/>
      <c r="K330" s="402"/>
      <c r="L330" s="402"/>
      <c r="M330" s="402"/>
      <c r="N330" s="402"/>
      <c r="O330" s="402"/>
      <c r="P330" s="402"/>
      <c r="Q330" s="402"/>
      <c r="R330" s="402"/>
      <c r="S330" s="402"/>
      <c r="T330" s="402"/>
      <c r="U330" s="402"/>
      <c r="V330" s="402"/>
      <c r="W330" s="402"/>
      <c r="X330" s="402"/>
      <c r="Y330" s="402"/>
      <c r="Z330" s="402"/>
    </row>
    <row r="331" ht="14.25" customHeight="1">
      <c r="A331" s="406">
        <v>45511.0</v>
      </c>
      <c r="B331" s="349" t="s">
        <v>3083</v>
      </c>
      <c r="C331" s="349" t="s">
        <v>3084</v>
      </c>
      <c r="D331" s="349" t="s">
        <v>54</v>
      </c>
      <c r="E331" s="349" t="s">
        <v>3101</v>
      </c>
      <c r="F331" s="413">
        <v>35450.0</v>
      </c>
      <c r="G331" s="413">
        <v>20000.0</v>
      </c>
      <c r="H331" s="349" t="s">
        <v>3262</v>
      </c>
      <c r="I331" s="736" t="str">
        <f t="shared" si="5"/>
        <v>PARTIALLY PAID</v>
      </c>
      <c r="J331" s="402"/>
      <c r="K331" s="402"/>
      <c r="L331" s="402"/>
      <c r="M331" s="402"/>
      <c r="N331" s="402"/>
      <c r="O331" s="402"/>
      <c r="P331" s="402"/>
      <c r="Q331" s="402"/>
      <c r="R331" s="402"/>
      <c r="S331" s="402"/>
      <c r="T331" s="402"/>
      <c r="U331" s="402"/>
      <c r="V331" s="402"/>
      <c r="W331" s="402"/>
      <c r="X331" s="402"/>
      <c r="Y331" s="402"/>
      <c r="Z331" s="402"/>
    </row>
    <row r="332" ht="14.25" customHeight="1">
      <c r="A332" s="406">
        <v>45511.0</v>
      </c>
      <c r="B332" s="349" t="s">
        <v>3228</v>
      </c>
      <c r="C332" s="349" t="s">
        <v>3229</v>
      </c>
      <c r="D332" s="349" t="s">
        <v>3189</v>
      </c>
      <c r="E332" s="349" t="s">
        <v>3101</v>
      </c>
      <c r="F332" s="413">
        <v>57500.0</v>
      </c>
      <c r="G332" s="413">
        <v>2000.0</v>
      </c>
      <c r="H332" s="349" t="s">
        <v>3270</v>
      </c>
      <c r="I332" s="736" t="str">
        <f t="shared" si="5"/>
        <v>PARTIALLY PAID</v>
      </c>
      <c r="J332" s="402"/>
      <c r="K332" s="402"/>
      <c r="L332" s="402"/>
      <c r="M332" s="402"/>
      <c r="N332" s="402"/>
      <c r="O332" s="402"/>
      <c r="P332" s="402"/>
      <c r="Q332" s="402"/>
      <c r="R332" s="402"/>
      <c r="S332" s="402"/>
      <c r="T332" s="402"/>
      <c r="U332" s="402"/>
      <c r="V332" s="402"/>
      <c r="W332" s="402"/>
      <c r="X332" s="402"/>
      <c r="Y332" s="402"/>
      <c r="Z332" s="402"/>
    </row>
    <row r="333" ht="14.25" customHeight="1">
      <c r="A333" s="406">
        <v>45511.0</v>
      </c>
      <c r="B333" s="349" t="s">
        <v>3271</v>
      </c>
      <c r="C333" s="349" t="s">
        <v>3202</v>
      </c>
      <c r="D333" s="349" t="s">
        <v>54</v>
      </c>
      <c r="E333" s="522" t="s">
        <v>3251</v>
      </c>
      <c r="F333" s="413">
        <v>37840.0</v>
      </c>
      <c r="G333" s="413">
        <v>25000.0</v>
      </c>
      <c r="H333" s="349" t="s">
        <v>3272</v>
      </c>
      <c r="I333" s="736" t="str">
        <f t="shared" si="5"/>
        <v>PARTIALLY PAID</v>
      </c>
      <c r="J333" s="402"/>
      <c r="K333" s="402"/>
      <c r="L333" s="402"/>
      <c r="M333" s="402"/>
      <c r="N333" s="402"/>
      <c r="O333" s="402"/>
      <c r="P333" s="402"/>
      <c r="Q333" s="402"/>
      <c r="R333" s="402"/>
      <c r="S333" s="402"/>
      <c r="T333" s="402"/>
      <c r="U333" s="402"/>
      <c r="V333" s="402"/>
      <c r="W333" s="402"/>
      <c r="X333" s="402"/>
      <c r="Y333" s="402"/>
      <c r="Z333" s="402"/>
    </row>
    <row r="334" ht="14.25" customHeight="1">
      <c r="A334" s="406">
        <v>45511.0</v>
      </c>
      <c r="B334" s="406" t="s">
        <v>3233</v>
      </c>
      <c r="C334" s="349" t="s">
        <v>3234</v>
      </c>
      <c r="D334" s="349" t="s">
        <v>54</v>
      </c>
      <c r="E334" s="349" t="s">
        <v>3251</v>
      </c>
      <c r="F334" s="738">
        <v>28000.0</v>
      </c>
      <c r="G334" s="413">
        <v>0.0</v>
      </c>
      <c r="H334" s="349" t="s">
        <v>3256</v>
      </c>
      <c r="I334" s="736" t="str">
        <f t="shared" si="5"/>
        <v>NOT PAID</v>
      </c>
      <c r="J334" s="402"/>
      <c r="K334" s="402"/>
      <c r="L334" s="402"/>
      <c r="M334" s="402"/>
      <c r="N334" s="402"/>
      <c r="O334" s="402"/>
      <c r="P334" s="402"/>
      <c r="Q334" s="402"/>
      <c r="R334" s="402"/>
      <c r="S334" s="402"/>
      <c r="T334" s="402"/>
      <c r="U334" s="402"/>
      <c r="V334" s="402"/>
      <c r="W334" s="402"/>
      <c r="X334" s="402"/>
      <c r="Y334" s="402"/>
      <c r="Z334" s="402"/>
    </row>
    <row r="335" ht="14.25" customHeight="1">
      <c r="A335" s="406">
        <v>45511.0</v>
      </c>
      <c r="B335" s="406" t="s">
        <v>3235</v>
      </c>
      <c r="C335" s="349" t="s">
        <v>3236</v>
      </c>
      <c r="D335" s="349" t="s">
        <v>3189</v>
      </c>
      <c r="E335" s="349" t="s">
        <v>3101</v>
      </c>
      <c r="F335" s="738">
        <v>241500.0</v>
      </c>
      <c r="G335" s="413">
        <v>0.0</v>
      </c>
      <c r="H335" s="732" t="s">
        <v>3273</v>
      </c>
      <c r="I335" s="736" t="str">
        <f t="shared" si="5"/>
        <v>NOT PAID</v>
      </c>
      <c r="J335" s="402"/>
      <c r="K335" s="402"/>
      <c r="L335" s="402"/>
      <c r="M335" s="402"/>
      <c r="N335" s="402"/>
      <c r="O335" s="402"/>
      <c r="P335" s="402"/>
      <c r="Q335" s="402"/>
      <c r="R335" s="402"/>
      <c r="S335" s="402"/>
      <c r="T335" s="402"/>
      <c r="U335" s="402"/>
      <c r="V335" s="402"/>
      <c r="W335" s="402"/>
      <c r="X335" s="402"/>
      <c r="Y335" s="402"/>
      <c r="Z335" s="402"/>
    </row>
    <row r="336" ht="14.25" customHeight="1">
      <c r="A336" s="406">
        <v>45511.0</v>
      </c>
      <c r="B336" s="349" t="s">
        <v>3139</v>
      </c>
      <c r="C336" s="349" t="s">
        <v>3140</v>
      </c>
      <c r="D336" s="349" t="s">
        <v>54</v>
      </c>
      <c r="E336" s="349" t="s">
        <v>797</v>
      </c>
      <c r="F336" s="413">
        <v>143780.2</v>
      </c>
      <c r="G336" s="413">
        <v>0.0</v>
      </c>
      <c r="H336" s="349" t="s">
        <v>3239</v>
      </c>
      <c r="I336" s="736" t="str">
        <f t="shared" si="5"/>
        <v>NOT PAID</v>
      </c>
      <c r="J336" s="402"/>
      <c r="K336" s="402"/>
      <c r="L336" s="402"/>
      <c r="M336" s="402"/>
      <c r="N336" s="402"/>
      <c r="O336" s="402"/>
      <c r="P336" s="402"/>
      <c r="Q336" s="402"/>
      <c r="R336" s="402"/>
      <c r="S336" s="402"/>
      <c r="T336" s="402"/>
      <c r="U336" s="402"/>
      <c r="V336" s="402"/>
      <c r="W336" s="402"/>
      <c r="X336" s="402"/>
      <c r="Y336" s="402"/>
      <c r="Z336" s="402"/>
    </row>
    <row r="337" ht="14.25" customHeight="1">
      <c r="A337" s="406">
        <v>45511.0</v>
      </c>
      <c r="B337" s="349" t="s">
        <v>3149</v>
      </c>
      <c r="C337" s="349" t="s">
        <v>3150</v>
      </c>
      <c r="D337" s="349" t="s">
        <v>54</v>
      </c>
      <c r="E337" s="522" t="s">
        <v>797</v>
      </c>
      <c r="F337" s="413">
        <v>150000.0</v>
      </c>
      <c r="G337" s="413">
        <v>0.0</v>
      </c>
      <c r="H337" s="349" t="s">
        <v>3239</v>
      </c>
      <c r="I337" s="736" t="str">
        <f t="shared" si="5"/>
        <v>NOT PAID</v>
      </c>
      <c r="J337" s="402"/>
      <c r="K337" s="402"/>
      <c r="L337" s="402"/>
      <c r="M337" s="402"/>
      <c r="N337" s="402"/>
      <c r="O337" s="402"/>
      <c r="P337" s="402"/>
      <c r="Q337" s="402"/>
      <c r="R337" s="402"/>
      <c r="S337" s="402"/>
      <c r="T337" s="402"/>
      <c r="U337" s="402"/>
      <c r="V337" s="402"/>
      <c r="W337" s="402"/>
      <c r="X337" s="402"/>
      <c r="Y337" s="402"/>
      <c r="Z337" s="402"/>
    </row>
    <row r="338" ht="14.25" customHeight="1">
      <c r="A338" s="402"/>
      <c r="B338" s="402"/>
      <c r="C338" s="402"/>
      <c r="D338" s="402"/>
      <c r="E338" s="402"/>
      <c r="F338" s="403"/>
      <c r="G338" s="403"/>
      <c r="H338" s="402"/>
      <c r="I338" s="736" t="str">
        <f t="shared" si="5"/>
        <v>FULLY PAID</v>
      </c>
      <c r="J338" s="402"/>
      <c r="K338" s="402"/>
      <c r="L338" s="402"/>
      <c r="M338" s="402"/>
      <c r="N338" s="402"/>
      <c r="O338" s="402"/>
      <c r="P338" s="402"/>
      <c r="Q338" s="402"/>
      <c r="R338" s="402"/>
      <c r="S338" s="402"/>
      <c r="T338" s="402"/>
      <c r="U338" s="402"/>
      <c r="V338" s="402"/>
      <c r="W338" s="402"/>
      <c r="X338" s="402"/>
      <c r="Y338" s="402"/>
      <c r="Z338" s="402"/>
    </row>
    <row r="339" ht="14.25" customHeight="1">
      <c r="A339" s="402"/>
      <c r="B339" s="402"/>
      <c r="C339" s="402"/>
      <c r="D339" s="402"/>
      <c r="E339" s="402"/>
      <c r="F339" s="403"/>
      <c r="G339" s="403"/>
      <c r="H339" s="402"/>
      <c r="I339" s="736" t="str">
        <f t="shared" si="5"/>
        <v>FULLY PAID</v>
      </c>
      <c r="J339" s="402"/>
      <c r="K339" s="402"/>
      <c r="L339" s="402"/>
      <c r="M339" s="402"/>
      <c r="N339" s="402"/>
      <c r="O339" s="402"/>
      <c r="P339" s="402"/>
      <c r="Q339" s="402"/>
      <c r="R339" s="402"/>
      <c r="S339" s="402"/>
      <c r="T339" s="402"/>
      <c r="U339" s="402"/>
      <c r="V339" s="402"/>
      <c r="W339" s="402"/>
      <c r="X339" s="402"/>
      <c r="Y339" s="402"/>
      <c r="Z339" s="402"/>
    </row>
    <row r="340" ht="14.25" customHeight="1">
      <c r="A340" s="729" t="s">
        <v>47</v>
      </c>
      <c r="B340" s="730" t="s">
        <v>39</v>
      </c>
      <c r="C340" s="730" t="s">
        <v>3075</v>
      </c>
      <c r="D340" s="730" t="s">
        <v>49</v>
      </c>
      <c r="E340" s="730" t="s">
        <v>50</v>
      </c>
      <c r="F340" s="731" t="s">
        <v>2</v>
      </c>
      <c r="G340" s="731" t="s">
        <v>4</v>
      </c>
      <c r="H340" s="730" t="s">
        <v>45</v>
      </c>
      <c r="I340" s="736" t="str">
        <f t="shared" si="5"/>
        <v>FULLY PAID</v>
      </c>
      <c r="J340" s="402"/>
      <c r="K340" s="402"/>
      <c r="L340" s="402"/>
      <c r="M340" s="402"/>
      <c r="N340" s="402"/>
      <c r="O340" s="402"/>
      <c r="P340" s="402"/>
      <c r="Q340" s="402"/>
      <c r="R340" s="402"/>
      <c r="S340" s="402"/>
      <c r="T340" s="402"/>
      <c r="U340" s="402"/>
      <c r="V340" s="402"/>
      <c r="W340" s="402"/>
      <c r="X340" s="402"/>
      <c r="Y340" s="402"/>
      <c r="Z340" s="402"/>
    </row>
    <row r="341" ht="14.25" customHeight="1">
      <c r="A341" s="406">
        <v>45512.0</v>
      </c>
      <c r="B341" s="522" t="s">
        <v>3087</v>
      </c>
      <c r="C341" s="522" t="s">
        <v>3088</v>
      </c>
      <c r="D341" s="522" t="s">
        <v>54</v>
      </c>
      <c r="E341" s="522" t="s">
        <v>797</v>
      </c>
      <c r="F341" s="567">
        <v>37500.0</v>
      </c>
      <c r="G341" s="413">
        <v>11000.0</v>
      </c>
      <c r="H341" s="732" t="s">
        <v>3145</v>
      </c>
      <c r="I341" s="736" t="str">
        <f t="shared" si="5"/>
        <v>PARTIALLY PAID</v>
      </c>
      <c r="J341" s="402"/>
      <c r="K341" s="402"/>
      <c r="L341" s="402"/>
      <c r="M341" s="402"/>
      <c r="N341" s="402"/>
      <c r="O341" s="402"/>
      <c r="P341" s="402"/>
      <c r="Q341" s="402"/>
      <c r="R341" s="402"/>
      <c r="S341" s="402"/>
      <c r="T341" s="402"/>
      <c r="U341" s="402"/>
      <c r="V341" s="402"/>
      <c r="W341" s="402"/>
      <c r="X341" s="402"/>
      <c r="Y341" s="402"/>
      <c r="Z341" s="402"/>
    </row>
    <row r="342" ht="14.25" customHeight="1">
      <c r="A342" s="406">
        <v>45512.0</v>
      </c>
      <c r="B342" s="522" t="s">
        <v>3094</v>
      </c>
      <c r="C342" s="522" t="s">
        <v>3095</v>
      </c>
      <c r="D342" s="522" t="s">
        <v>54</v>
      </c>
      <c r="E342" s="522" t="s">
        <v>3078</v>
      </c>
      <c r="F342" s="567">
        <v>9300.0</v>
      </c>
      <c r="G342" s="413">
        <v>0.0</v>
      </c>
      <c r="H342" s="349" t="s">
        <v>3256</v>
      </c>
      <c r="I342" s="736" t="str">
        <f t="shared" si="5"/>
        <v>NOT PAID</v>
      </c>
      <c r="J342" s="402"/>
      <c r="K342" s="402"/>
      <c r="L342" s="402"/>
      <c r="M342" s="402"/>
      <c r="N342" s="402"/>
      <c r="O342" s="402"/>
      <c r="P342" s="402"/>
      <c r="Q342" s="402"/>
      <c r="R342" s="402"/>
      <c r="S342" s="402"/>
      <c r="T342" s="402"/>
      <c r="U342" s="402"/>
      <c r="V342" s="402"/>
      <c r="W342" s="402"/>
      <c r="X342" s="402"/>
      <c r="Y342" s="402"/>
      <c r="Z342" s="402"/>
    </row>
    <row r="343" ht="14.25" customHeight="1">
      <c r="A343" s="406">
        <v>45512.0</v>
      </c>
      <c r="B343" s="522" t="s">
        <v>652</v>
      </c>
      <c r="C343" s="522" t="s">
        <v>3097</v>
      </c>
      <c r="D343" s="522" t="s">
        <v>2010</v>
      </c>
      <c r="E343" s="522" t="s">
        <v>3093</v>
      </c>
      <c r="F343" s="567">
        <v>145645.0</v>
      </c>
      <c r="G343" s="413">
        <v>0.0</v>
      </c>
      <c r="H343" s="349" t="s">
        <v>3256</v>
      </c>
      <c r="I343" s="736" t="str">
        <f t="shared" si="5"/>
        <v>NOT PAID</v>
      </c>
      <c r="J343" s="402"/>
      <c r="K343" s="402"/>
      <c r="L343" s="402"/>
      <c r="M343" s="402"/>
      <c r="N343" s="402"/>
      <c r="O343" s="402"/>
      <c r="P343" s="402"/>
      <c r="Q343" s="402"/>
      <c r="R343" s="402"/>
      <c r="S343" s="402"/>
      <c r="T343" s="402"/>
      <c r="U343" s="402"/>
      <c r="V343" s="402"/>
      <c r="W343" s="402"/>
      <c r="X343" s="402"/>
      <c r="Y343" s="402"/>
      <c r="Z343" s="402"/>
    </row>
    <row r="344" ht="14.25" customHeight="1">
      <c r="A344" s="406">
        <v>45512.0</v>
      </c>
      <c r="B344" s="522" t="s">
        <v>3099</v>
      </c>
      <c r="C344" s="522" t="s">
        <v>3100</v>
      </c>
      <c r="D344" s="522" t="s">
        <v>54</v>
      </c>
      <c r="E344" s="522" t="s">
        <v>3101</v>
      </c>
      <c r="F344" s="567">
        <v>103900.0</v>
      </c>
      <c r="G344" s="413">
        <v>0.0</v>
      </c>
      <c r="H344" s="349" t="s">
        <v>3274</v>
      </c>
      <c r="I344" s="736" t="str">
        <f t="shared" si="5"/>
        <v>NOT PAID</v>
      </c>
      <c r="J344" s="402"/>
      <c r="K344" s="402"/>
      <c r="L344" s="402"/>
      <c r="M344" s="402"/>
      <c r="N344" s="402"/>
      <c r="O344" s="402"/>
      <c r="P344" s="402"/>
      <c r="Q344" s="402"/>
      <c r="R344" s="402"/>
      <c r="S344" s="402"/>
      <c r="T344" s="402"/>
      <c r="U344" s="402"/>
      <c r="V344" s="402"/>
      <c r="W344" s="402"/>
      <c r="X344" s="402"/>
      <c r="Y344" s="402"/>
      <c r="Z344" s="402"/>
    </row>
    <row r="345" ht="14.25" customHeight="1">
      <c r="A345" s="406">
        <v>45512.0</v>
      </c>
      <c r="B345" s="349" t="s">
        <v>3107</v>
      </c>
      <c r="C345" s="349" t="s">
        <v>3108</v>
      </c>
      <c r="D345" s="349" t="s">
        <v>54</v>
      </c>
      <c r="E345" s="349" t="s">
        <v>3101</v>
      </c>
      <c r="F345" s="413">
        <v>9500.0</v>
      </c>
      <c r="G345" s="413">
        <v>0.0</v>
      </c>
      <c r="H345" s="349" t="s">
        <v>3274</v>
      </c>
      <c r="I345" s="736" t="str">
        <f t="shared" si="5"/>
        <v>NOT PAID</v>
      </c>
      <c r="J345" s="402"/>
      <c r="K345" s="402"/>
      <c r="L345" s="402"/>
      <c r="M345" s="402"/>
      <c r="N345" s="402"/>
      <c r="O345" s="402"/>
      <c r="P345" s="402"/>
      <c r="Q345" s="402"/>
      <c r="R345" s="402"/>
      <c r="S345" s="402"/>
      <c r="T345" s="402"/>
      <c r="U345" s="402"/>
      <c r="V345" s="402"/>
      <c r="W345" s="402"/>
      <c r="X345" s="402"/>
      <c r="Y345" s="402"/>
      <c r="Z345" s="402"/>
    </row>
    <row r="346" ht="14.25" customHeight="1">
      <c r="A346" s="406">
        <v>45512.0</v>
      </c>
      <c r="B346" s="522" t="s">
        <v>3134</v>
      </c>
      <c r="C346" s="522" t="s">
        <v>3176</v>
      </c>
      <c r="D346" s="349" t="s">
        <v>54</v>
      </c>
      <c r="E346" s="522" t="s">
        <v>3078</v>
      </c>
      <c r="F346" s="733">
        <v>80300.0</v>
      </c>
      <c r="G346" s="413">
        <v>0.0</v>
      </c>
      <c r="H346" s="732" t="s">
        <v>3261</v>
      </c>
      <c r="I346" s="736" t="str">
        <f t="shared" si="5"/>
        <v>NOT PAID</v>
      </c>
      <c r="J346" s="402"/>
      <c r="K346" s="402"/>
      <c r="L346" s="402"/>
      <c r="M346" s="402"/>
      <c r="N346" s="402"/>
      <c r="O346" s="402"/>
      <c r="P346" s="402"/>
      <c r="Q346" s="402"/>
      <c r="R346" s="402"/>
      <c r="S346" s="402"/>
      <c r="T346" s="402"/>
      <c r="U346" s="402"/>
      <c r="V346" s="402"/>
      <c r="W346" s="402"/>
      <c r="X346" s="402"/>
      <c r="Y346" s="402"/>
      <c r="Z346" s="402"/>
    </row>
    <row r="347" ht="14.25" customHeight="1">
      <c r="A347" s="406">
        <v>45512.0</v>
      </c>
      <c r="B347" s="522" t="s">
        <v>3111</v>
      </c>
      <c r="C347" s="522" t="s">
        <v>3112</v>
      </c>
      <c r="D347" s="349" t="s">
        <v>54</v>
      </c>
      <c r="E347" s="522" t="s">
        <v>3078</v>
      </c>
      <c r="F347" s="567">
        <v>750.0</v>
      </c>
      <c r="G347" s="413">
        <v>0.0</v>
      </c>
      <c r="H347" s="349" t="s">
        <v>3275</v>
      </c>
      <c r="I347" s="736" t="str">
        <f t="shared" si="5"/>
        <v>NOT PAID</v>
      </c>
      <c r="J347" s="402"/>
      <c r="K347" s="402"/>
      <c r="L347" s="402"/>
      <c r="M347" s="402"/>
      <c r="N347" s="402"/>
      <c r="O347" s="402"/>
      <c r="P347" s="402"/>
      <c r="Q347" s="402"/>
      <c r="R347" s="402"/>
      <c r="S347" s="402"/>
      <c r="T347" s="402"/>
      <c r="U347" s="402"/>
      <c r="V347" s="402"/>
      <c r="W347" s="402"/>
      <c r="X347" s="402"/>
      <c r="Y347" s="402"/>
      <c r="Z347" s="402"/>
    </row>
    <row r="348" ht="14.25" customHeight="1">
      <c r="A348" s="406">
        <v>45512.0</v>
      </c>
      <c r="B348" s="349" t="s">
        <v>3076</v>
      </c>
      <c r="C348" s="349" t="s">
        <v>3077</v>
      </c>
      <c r="D348" s="349" t="s">
        <v>54</v>
      </c>
      <c r="E348" s="522" t="s">
        <v>3078</v>
      </c>
      <c r="F348" s="413">
        <v>5600.0</v>
      </c>
      <c r="G348" s="413">
        <v>0.0</v>
      </c>
      <c r="H348" s="349" t="s">
        <v>3256</v>
      </c>
      <c r="I348" s="736" t="str">
        <f t="shared" si="5"/>
        <v>NOT PAID</v>
      </c>
      <c r="J348" s="402"/>
      <c r="K348" s="402"/>
      <c r="L348" s="402"/>
      <c r="M348" s="402"/>
      <c r="N348" s="402"/>
      <c r="O348" s="402"/>
      <c r="P348" s="402"/>
      <c r="Q348" s="402"/>
      <c r="R348" s="402"/>
      <c r="S348" s="402"/>
      <c r="T348" s="402"/>
      <c r="U348" s="402"/>
      <c r="V348" s="402"/>
      <c r="W348" s="402"/>
      <c r="X348" s="402"/>
      <c r="Y348" s="402"/>
      <c r="Z348" s="402"/>
    </row>
    <row r="349" ht="14.25" customHeight="1">
      <c r="A349" s="406">
        <v>45512.0</v>
      </c>
      <c r="B349" s="349" t="s">
        <v>3173</v>
      </c>
      <c r="C349" s="349" t="s">
        <v>3174</v>
      </c>
      <c r="D349" s="349" t="s">
        <v>54</v>
      </c>
      <c r="E349" s="522" t="s">
        <v>3101</v>
      </c>
      <c r="F349" s="413">
        <v>25400.0</v>
      </c>
      <c r="G349" s="413">
        <v>0.0</v>
      </c>
      <c r="H349" s="349" t="s">
        <v>3276</v>
      </c>
      <c r="I349" s="736" t="str">
        <f t="shared" si="5"/>
        <v>NOT PAID</v>
      </c>
      <c r="J349" s="402"/>
      <c r="K349" s="402"/>
      <c r="L349" s="402"/>
      <c r="M349" s="402"/>
      <c r="N349" s="402"/>
      <c r="O349" s="402"/>
      <c r="P349" s="402"/>
      <c r="Q349" s="402"/>
      <c r="R349" s="402"/>
      <c r="S349" s="402"/>
      <c r="T349" s="402"/>
      <c r="U349" s="402"/>
      <c r="V349" s="402"/>
      <c r="W349" s="402"/>
      <c r="X349" s="402"/>
      <c r="Y349" s="402"/>
      <c r="Z349" s="402"/>
    </row>
    <row r="350" ht="14.25" customHeight="1">
      <c r="A350" s="406">
        <v>45512.0</v>
      </c>
      <c r="B350" s="349" t="s">
        <v>3182</v>
      </c>
      <c r="C350" s="349" t="s">
        <v>3117</v>
      </c>
      <c r="D350" s="349" t="s">
        <v>467</v>
      </c>
      <c r="E350" s="522" t="s">
        <v>3101</v>
      </c>
      <c r="F350" s="413">
        <v>7831.0</v>
      </c>
      <c r="G350" s="413">
        <v>0.0</v>
      </c>
      <c r="H350" s="349" t="s">
        <v>3276</v>
      </c>
      <c r="I350" s="736" t="str">
        <f t="shared" si="5"/>
        <v>NOT PAID</v>
      </c>
      <c r="J350" s="402"/>
      <c r="K350" s="402"/>
      <c r="L350" s="402"/>
      <c r="M350" s="402"/>
      <c r="N350" s="402"/>
      <c r="O350" s="402"/>
      <c r="P350" s="402"/>
      <c r="Q350" s="402"/>
      <c r="R350" s="402"/>
      <c r="S350" s="402"/>
      <c r="T350" s="402"/>
      <c r="U350" s="402"/>
      <c r="V350" s="402"/>
      <c r="W350" s="402"/>
      <c r="X350" s="402"/>
      <c r="Y350" s="402"/>
      <c r="Z350" s="402"/>
    </row>
    <row r="351" ht="14.25" customHeight="1">
      <c r="A351" s="406">
        <v>45512.0</v>
      </c>
      <c r="B351" s="349" t="s">
        <v>3191</v>
      </c>
      <c r="C351" s="349" t="s">
        <v>3192</v>
      </c>
      <c r="D351" s="349" t="s">
        <v>54</v>
      </c>
      <c r="E351" s="349" t="s">
        <v>3101</v>
      </c>
      <c r="F351" s="413">
        <v>57340.0</v>
      </c>
      <c r="G351" s="413">
        <v>0.0</v>
      </c>
      <c r="H351" s="349" t="s">
        <v>3276</v>
      </c>
      <c r="I351" s="736" t="str">
        <f t="shared" si="5"/>
        <v>NOT PAID</v>
      </c>
      <c r="J351" s="402"/>
      <c r="K351" s="402"/>
      <c r="L351" s="402"/>
      <c r="M351" s="402"/>
      <c r="N351" s="402"/>
      <c r="O351" s="402"/>
      <c r="P351" s="402"/>
      <c r="Q351" s="402"/>
      <c r="R351" s="402"/>
      <c r="S351" s="402"/>
      <c r="T351" s="402"/>
      <c r="U351" s="402"/>
      <c r="V351" s="402"/>
      <c r="W351" s="402"/>
      <c r="X351" s="402"/>
      <c r="Y351" s="402"/>
      <c r="Z351" s="402"/>
    </row>
    <row r="352" ht="14.25" customHeight="1">
      <c r="A352" s="406">
        <v>45512.0</v>
      </c>
      <c r="B352" s="522" t="s">
        <v>3263</v>
      </c>
      <c r="C352" s="349" t="s">
        <v>3264</v>
      </c>
      <c r="D352" s="349" t="s">
        <v>54</v>
      </c>
      <c r="E352" s="522" t="s">
        <v>3078</v>
      </c>
      <c r="F352" s="413">
        <v>1700.0</v>
      </c>
      <c r="G352" s="413">
        <v>0.0</v>
      </c>
      <c r="H352" s="349" t="s">
        <v>3256</v>
      </c>
      <c r="I352" s="736" t="str">
        <f t="shared" si="5"/>
        <v>NOT PAID</v>
      </c>
      <c r="J352" s="402"/>
      <c r="K352" s="402"/>
      <c r="L352" s="402"/>
      <c r="M352" s="402"/>
      <c r="N352" s="402"/>
      <c r="O352" s="402"/>
      <c r="P352" s="402"/>
      <c r="Q352" s="402"/>
      <c r="R352" s="402"/>
      <c r="S352" s="402"/>
      <c r="T352" s="402"/>
      <c r="U352" s="402"/>
      <c r="V352" s="402"/>
      <c r="W352" s="402"/>
      <c r="X352" s="402"/>
      <c r="Y352" s="402"/>
      <c r="Z352" s="402"/>
    </row>
    <row r="353" ht="14.25" customHeight="1">
      <c r="A353" s="406">
        <v>45512.0</v>
      </c>
      <c r="B353" s="349" t="s">
        <v>3193</v>
      </c>
      <c r="C353" s="349" t="s">
        <v>3194</v>
      </c>
      <c r="D353" s="349" t="s">
        <v>3189</v>
      </c>
      <c r="E353" s="349" t="s">
        <v>3078</v>
      </c>
      <c r="F353" s="413">
        <v>248776.0</v>
      </c>
      <c r="G353" s="413">
        <v>0.0</v>
      </c>
      <c r="H353" s="349" t="s">
        <v>3277</v>
      </c>
      <c r="I353" s="736" t="str">
        <f t="shared" si="5"/>
        <v>NOT PAID</v>
      </c>
      <c r="J353" s="402"/>
      <c r="K353" s="402"/>
      <c r="L353" s="402"/>
      <c r="M353" s="402"/>
      <c r="N353" s="402"/>
      <c r="O353" s="402"/>
      <c r="P353" s="402"/>
      <c r="Q353" s="402"/>
      <c r="R353" s="402"/>
      <c r="S353" s="402"/>
      <c r="T353" s="402"/>
      <c r="U353" s="402"/>
      <c r="V353" s="402"/>
      <c r="W353" s="402"/>
      <c r="X353" s="402"/>
      <c r="Y353" s="402"/>
      <c r="Z353" s="402"/>
    </row>
    <row r="354" ht="14.25" customHeight="1">
      <c r="A354" s="406">
        <v>45512.0</v>
      </c>
      <c r="B354" s="349" t="s">
        <v>3278</v>
      </c>
      <c r="C354" s="349" t="s">
        <v>3232</v>
      </c>
      <c r="D354" s="349" t="s">
        <v>54</v>
      </c>
      <c r="E354" s="522" t="s">
        <v>3251</v>
      </c>
      <c r="F354" s="413">
        <v>150766.33</v>
      </c>
      <c r="G354" s="413">
        <v>0.0</v>
      </c>
      <c r="H354" s="349" t="s">
        <v>3256</v>
      </c>
      <c r="I354" s="736" t="str">
        <f t="shared" si="5"/>
        <v>NOT PAID</v>
      </c>
      <c r="J354" s="402"/>
      <c r="K354" s="402"/>
      <c r="L354" s="402"/>
      <c r="M354" s="402"/>
      <c r="N354" s="402"/>
      <c r="O354" s="402"/>
      <c r="P354" s="402"/>
      <c r="Q354" s="402"/>
      <c r="R354" s="402"/>
      <c r="S354" s="402"/>
      <c r="T354" s="402"/>
      <c r="U354" s="402"/>
      <c r="V354" s="402"/>
      <c r="W354" s="402"/>
      <c r="X354" s="402"/>
      <c r="Y354" s="402"/>
      <c r="Z354" s="402"/>
    </row>
    <row r="355" ht="14.25" customHeight="1">
      <c r="A355" s="406">
        <v>45512.0</v>
      </c>
      <c r="B355" s="349" t="s">
        <v>3208</v>
      </c>
      <c r="C355" s="349" t="s">
        <v>3209</v>
      </c>
      <c r="D355" s="349" t="s">
        <v>54</v>
      </c>
      <c r="E355" s="522" t="s">
        <v>3101</v>
      </c>
      <c r="F355" s="413">
        <v>7400.0</v>
      </c>
      <c r="G355" s="413">
        <v>0.0</v>
      </c>
      <c r="H355" s="349" t="s">
        <v>3279</v>
      </c>
      <c r="I355" s="736" t="str">
        <f t="shared" si="5"/>
        <v>NOT PAID</v>
      </c>
      <c r="J355" s="402"/>
      <c r="K355" s="402"/>
      <c r="L355" s="402"/>
      <c r="M355" s="402"/>
      <c r="N355" s="402"/>
      <c r="O355" s="402"/>
      <c r="P355" s="402"/>
      <c r="Q355" s="402"/>
      <c r="R355" s="402"/>
      <c r="S355" s="402"/>
      <c r="T355" s="402"/>
      <c r="U355" s="402"/>
      <c r="V355" s="402"/>
      <c r="W355" s="402"/>
      <c r="X355" s="402"/>
      <c r="Y355" s="402"/>
      <c r="Z355" s="402"/>
    </row>
    <row r="356" ht="14.25" customHeight="1">
      <c r="A356" s="406">
        <v>45512.0</v>
      </c>
      <c r="B356" s="349" t="s">
        <v>3083</v>
      </c>
      <c r="C356" s="349" t="s">
        <v>3084</v>
      </c>
      <c r="D356" s="349" t="s">
        <v>54</v>
      </c>
      <c r="E356" s="349" t="s">
        <v>3101</v>
      </c>
      <c r="F356" s="413">
        <v>15450.0</v>
      </c>
      <c r="G356" s="413">
        <v>0.0</v>
      </c>
      <c r="H356" s="349" t="s">
        <v>3280</v>
      </c>
      <c r="I356" s="736" t="str">
        <f t="shared" si="5"/>
        <v>NOT PAID</v>
      </c>
      <c r="J356" s="402"/>
      <c r="K356" s="402"/>
      <c r="L356" s="402"/>
      <c r="M356" s="402"/>
      <c r="N356" s="402"/>
      <c r="O356" s="402"/>
      <c r="P356" s="402"/>
      <c r="Q356" s="402"/>
      <c r="R356" s="402"/>
      <c r="S356" s="402"/>
      <c r="T356" s="402"/>
      <c r="U356" s="402"/>
      <c r="V356" s="402"/>
      <c r="W356" s="402"/>
      <c r="X356" s="402"/>
      <c r="Y356" s="402"/>
      <c r="Z356" s="402"/>
    </row>
    <row r="357" ht="14.25" customHeight="1">
      <c r="A357" s="406">
        <v>45512.0</v>
      </c>
      <c r="B357" s="349" t="s">
        <v>3228</v>
      </c>
      <c r="C357" s="349" t="s">
        <v>3229</v>
      </c>
      <c r="D357" s="349" t="s">
        <v>3189</v>
      </c>
      <c r="E357" s="349" t="s">
        <v>3101</v>
      </c>
      <c r="F357" s="413">
        <v>59400.0</v>
      </c>
      <c r="G357" s="413">
        <v>2000.0</v>
      </c>
      <c r="H357" s="349" t="s">
        <v>3281</v>
      </c>
      <c r="I357" s="736" t="str">
        <f t="shared" si="5"/>
        <v>PARTIALLY PAID</v>
      </c>
      <c r="J357" s="402"/>
      <c r="K357" s="402"/>
      <c r="L357" s="402"/>
      <c r="M357" s="402"/>
      <c r="N357" s="402"/>
      <c r="O357" s="402"/>
      <c r="P357" s="402"/>
      <c r="Q357" s="402"/>
      <c r="R357" s="402"/>
      <c r="S357" s="402"/>
      <c r="T357" s="402"/>
      <c r="U357" s="402"/>
      <c r="V357" s="402"/>
      <c r="W357" s="402"/>
      <c r="X357" s="402"/>
      <c r="Y357" s="402"/>
      <c r="Z357" s="402"/>
    </row>
    <row r="358" ht="14.25" customHeight="1">
      <c r="A358" s="406">
        <v>45512.0</v>
      </c>
      <c r="B358" s="349" t="s">
        <v>3271</v>
      </c>
      <c r="C358" s="349" t="s">
        <v>3202</v>
      </c>
      <c r="D358" s="349" t="s">
        <v>54</v>
      </c>
      <c r="E358" s="522" t="s">
        <v>3251</v>
      </c>
      <c r="F358" s="413">
        <v>13500.0</v>
      </c>
      <c r="G358" s="413">
        <v>5000.0</v>
      </c>
      <c r="H358" s="349" t="s">
        <v>710</v>
      </c>
      <c r="I358" s="736" t="str">
        <f t="shared" si="5"/>
        <v>PARTIALLY PAID</v>
      </c>
      <c r="J358" s="402"/>
      <c r="K358" s="402"/>
      <c r="L358" s="402"/>
      <c r="M358" s="402"/>
      <c r="N358" s="402"/>
      <c r="O358" s="402"/>
      <c r="P358" s="402"/>
      <c r="Q358" s="402"/>
      <c r="R358" s="402"/>
      <c r="S358" s="402"/>
      <c r="T358" s="402"/>
      <c r="U358" s="402"/>
      <c r="V358" s="402"/>
      <c r="W358" s="402"/>
      <c r="X358" s="402"/>
      <c r="Y358" s="402"/>
      <c r="Z358" s="402"/>
    </row>
    <row r="359" ht="14.25" customHeight="1">
      <c r="A359" s="406">
        <v>45512.0</v>
      </c>
      <c r="B359" s="406" t="s">
        <v>3233</v>
      </c>
      <c r="C359" s="349" t="s">
        <v>3234</v>
      </c>
      <c r="D359" s="349" t="s">
        <v>54</v>
      </c>
      <c r="E359" s="349" t="s">
        <v>3251</v>
      </c>
      <c r="F359" s="738">
        <v>29000.0</v>
      </c>
      <c r="G359" s="413">
        <v>0.0</v>
      </c>
      <c r="H359" s="349" t="s">
        <v>3256</v>
      </c>
      <c r="I359" s="736" t="str">
        <f t="shared" si="5"/>
        <v>NOT PAID</v>
      </c>
      <c r="J359" s="402"/>
      <c r="K359" s="402"/>
      <c r="L359" s="402"/>
      <c r="M359" s="402"/>
      <c r="N359" s="402"/>
      <c r="O359" s="402"/>
      <c r="P359" s="402"/>
      <c r="Q359" s="402"/>
      <c r="R359" s="402"/>
      <c r="S359" s="402"/>
      <c r="T359" s="402"/>
      <c r="U359" s="402"/>
      <c r="V359" s="402"/>
      <c r="W359" s="402"/>
      <c r="X359" s="402"/>
      <c r="Y359" s="402"/>
      <c r="Z359" s="402"/>
    </row>
    <row r="360" ht="14.25" customHeight="1">
      <c r="A360" s="406">
        <v>45512.0</v>
      </c>
      <c r="B360" s="406" t="s">
        <v>3235</v>
      </c>
      <c r="C360" s="349" t="s">
        <v>3236</v>
      </c>
      <c r="D360" s="349" t="s">
        <v>3189</v>
      </c>
      <c r="E360" s="349" t="s">
        <v>3101</v>
      </c>
      <c r="F360" s="738">
        <v>242500.0</v>
      </c>
      <c r="G360" s="413">
        <v>0.0</v>
      </c>
      <c r="H360" s="349" t="s">
        <v>3256</v>
      </c>
      <c r="I360" s="736" t="str">
        <f t="shared" si="5"/>
        <v>NOT PAID</v>
      </c>
      <c r="J360" s="402"/>
      <c r="K360" s="402"/>
      <c r="L360" s="402"/>
      <c r="M360" s="402"/>
      <c r="N360" s="402"/>
      <c r="O360" s="402"/>
      <c r="P360" s="402"/>
      <c r="Q360" s="402"/>
      <c r="R360" s="402"/>
      <c r="S360" s="402"/>
      <c r="T360" s="402"/>
      <c r="U360" s="402"/>
      <c r="V360" s="402"/>
      <c r="W360" s="402"/>
      <c r="X360" s="402"/>
      <c r="Y360" s="402"/>
      <c r="Z360" s="402"/>
    </row>
    <row r="361" ht="14.25" customHeight="1">
      <c r="A361" s="406">
        <v>45512.0</v>
      </c>
      <c r="B361" s="349" t="s">
        <v>3139</v>
      </c>
      <c r="C361" s="349" t="s">
        <v>3140</v>
      </c>
      <c r="D361" s="349" t="s">
        <v>54</v>
      </c>
      <c r="E361" s="349" t="s">
        <v>797</v>
      </c>
      <c r="F361" s="413">
        <v>143780.2</v>
      </c>
      <c r="G361" s="413">
        <v>0.0</v>
      </c>
      <c r="H361" s="349" t="s">
        <v>3282</v>
      </c>
      <c r="I361" s="736" t="str">
        <f t="shared" si="5"/>
        <v>NOT PAID</v>
      </c>
      <c r="J361" s="402"/>
      <c r="K361" s="402"/>
      <c r="L361" s="402"/>
      <c r="M361" s="402"/>
      <c r="N361" s="402"/>
      <c r="O361" s="402"/>
      <c r="P361" s="402"/>
      <c r="Q361" s="402"/>
      <c r="R361" s="402"/>
      <c r="S361" s="402"/>
      <c r="T361" s="402"/>
      <c r="U361" s="402"/>
      <c r="V361" s="402"/>
      <c r="W361" s="402"/>
      <c r="X361" s="402"/>
      <c r="Y361" s="402"/>
      <c r="Z361" s="402"/>
    </row>
    <row r="362" ht="14.25" customHeight="1">
      <c r="A362" s="406">
        <v>45512.0</v>
      </c>
      <c r="B362" s="349" t="s">
        <v>3149</v>
      </c>
      <c r="C362" s="349" t="s">
        <v>3150</v>
      </c>
      <c r="D362" s="349" t="s">
        <v>54</v>
      </c>
      <c r="E362" s="522" t="s">
        <v>797</v>
      </c>
      <c r="F362" s="413">
        <v>150000.0</v>
      </c>
      <c r="G362" s="413">
        <v>0.0</v>
      </c>
      <c r="H362" s="349" t="s">
        <v>3283</v>
      </c>
      <c r="I362" s="736" t="str">
        <f t="shared" si="5"/>
        <v>NOT PAID</v>
      </c>
      <c r="J362" s="402"/>
      <c r="K362" s="402"/>
      <c r="L362" s="402"/>
      <c r="M362" s="402"/>
      <c r="N362" s="402"/>
      <c r="O362" s="402"/>
      <c r="P362" s="402"/>
      <c r="Q362" s="402"/>
      <c r="R362" s="402"/>
      <c r="S362" s="402"/>
      <c r="T362" s="402"/>
      <c r="U362" s="402"/>
      <c r="V362" s="402"/>
      <c r="W362" s="402"/>
      <c r="X362" s="402"/>
      <c r="Y362" s="402"/>
      <c r="Z362" s="402"/>
    </row>
    <row r="363" ht="14.25" customHeight="1">
      <c r="A363" s="406">
        <v>45512.0</v>
      </c>
      <c r="B363" s="349" t="s">
        <v>3284</v>
      </c>
      <c r="C363" s="349" t="s">
        <v>3285</v>
      </c>
      <c r="D363" s="349" t="s">
        <v>3189</v>
      </c>
      <c r="E363" s="349" t="s">
        <v>3101</v>
      </c>
      <c r="F363" s="413">
        <v>34500.0</v>
      </c>
      <c r="G363" s="413">
        <v>0.0</v>
      </c>
      <c r="H363" s="349" t="s">
        <v>3256</v>
      </c>
      <c r="I363" s="736" t="str">
        <f t="shared" si="5"/>
        <v>NOT PAID</v>
      </c>
      <c r="J363" s="402"/>
      <c r="K363" s="402"/>
      <c r="L363" s="402"/>
      <c r="M363" s="402"/>
      <c r="N363" s="402"/>
      <c r="O363" s="402"/>
      <c r="P363" s="402"/>
      <c r="Q363" s="402"/>
      <c r="R363" s="402"/>
      <c r="S363" s="402"/>
      <c r="T363" s="402"/>
      <c r="U363" s="402"/>
      <c r="V363" s="402"/>
      <c r="W363" s="402"/>
      <c r="X363" s="402"/>
      <c r="Y363" s="402"/>
      <c r="Z363" s="402"/>
    </row>
    <row r="364" ht="14.25" customHeight="1">
      <c r="A364" s="406">
        <v>45512.0</v>
      </c>
      <c r="B364" s="349" t="s">
        <v>3267</v>
      </c>
      <c r="C364" s="349" t="s">
        <v>3268</v>
      </c>
      <c r="D364" s="349" t="s">
        <v>54</v>
      </c>
      <c r="E364" s="522" t="s">
        <v>3078</v>
      </c>
      <c r="F364" s="413">
        <v>5100.0</v>
      </c>
      <c r="G364" s="413">
        <v>5100.0</v>
      </c>
      <c r="H364" s="349" t="s">
        <v>710</v>
      </c>
      <c r="I364" s="736" t="str">
        <f t="shared" si="5"/>
        <v>FULLY PAID</v>
      </c>
      <c r="J364" s="402"/>
      <c r="K364" s="402"/>
      <c r="L364" s="402"/>
      <c r="M364" s="402"/>
      <c r="N364" s="402"/>
      <c r="O364" s="402"/>
      <c r="P364" s="402"/>
      <c r="Q364" s="402"/>
      <c r="R364" s="402"/>
      <c r="S364" s="402"/>
      <c r="T364" s="402"/>
      <c r="U364" s="402"/>
      <c r="V364" s="402"/>
      <c r="W364" s="402"/>
      <c r="X364" s="402"/>
      <c r="Y364" s="402"/>
      <c r="Z364" s="402"/>
    </row>
    <row r="365" ht="14.25" customHeight="1">
      <c r="A365" s="406">
        <v>45512.0</v>
      </c>
      <c r="B365" s="349" t="s">
        <v>3237</v>
      </c>
      <c r="C365" s="349" t="s">
        <v>3238</v>
      </c>
      <c r="D365" s="349" t="s">
        <v>3189</v>
      </c>
      <c r="E365" s="522" t="s">
        <v>3078</v>
      </c>
      <c r="F365" s="413">
        <v>5800.0</v>
      </c>
      <c r="G365" s="413">
        <v>5800.0</v>
      </c>
      <c r="H365" s="349" t="s">
        <v>710</v>
      </c>
      <c r="I365" s="736" t="str">
        <f t="shared" si="5"/>
        <v>FULLY PAID</v>
      </c>
      <c r="J365" s="402"/>
      <c r="K365" s="402"/>
      <c r="L365" s="402"/>
      <c r="M365" s="402"/>
      <c r="N365" s="402"/>
      <c r="O365" s="402"/>
      <c r="P365" s="402"/>
      <c r="Q365" s="402"/>
      <c r="R365" s="402"/>
      <c r="S365" s="402"/>
      <c r="T365" s="402"/>
      <c r="U365" s="402"/>
      <c r="V365" s="402"/>
      <c r="W365" s="402"/>
      <c r="X365" s="402"/>
      <c r="Y365" s="402"/>
      <c r="Z365" s="402"/>
    </row>
    <row r="366" ht="14.25" customHeight="1">
      <c r="A366" s="402"/>
      <c r="B366" s="402"/>
      <c r="C366" s="402"/>
      <c r="D366" s="402"/>
      <c r="E366" s="402"/>
      <c r="F366" s="403"/>
      <c r="G366" s="403"/>
      <c r="H366" s="402"/>
      <c r="I366" s="736" t="str">
        <f t="shared" si="5"/>
        <v>FULLY PAID</v>
      </c>
      <c r="J366" s="402"/>
      <c r="K366" s="402"/>
      <c r="L366" s="402"/>
      <c r="M366" s="402"/>
      <c r="N366" s="402"/>
      <c r="O366" s="402"/>
      <c r="P366" s="402"/>
      <c r="Q366" s="402"/>
      <c r="R366" s="402"/>
      <c r="S366" s="402"/>
      <c r="T366" s="402"/>
      <c r="U366" s="402"/>
      <c r="V366" s="402"/>
      <c r="W366" s="402"/>
      <c r="X366" s="402"/>
      <c r="Y366" s="402"/>
      <c r="Z366" s="402"/>
    </row>
    <row r="367" ht="14.25" customHeight="1">
      <c r="A367" s="402"/>
      <c r="B367" s="402"/>
      <c r="C367" s="402"/>
      <c r="D367" s="402"/>
      <c r="E367" s="402"/>
      <c r="F367" s="403"/>
      <c r="G367" s="403"/>
      <c r="H367" s="402"/>
      <c r="I367" s="736" t="str">
        <f t="shared" si="5"/>
        <v>FULLY PAID</v>
      </c>
      <c r="J367" s="402"/>
      <c r="K367" s="402"/>
      <c r="L367" s="402"/>
      <c r="M367" s="402"/>
      <c r="N367" s="402"/>
      <c r="O367" s="402"/>
      <c r="P367" s="402"/>
      <c r="Q367" s="402"/>
      <c r="R367" s="402"/>
      <c r="S367" s="402"/>
      <c r="T367" s="402"/>
      <c r="U367" s="402"/>
      <c r="V367" s="402"/>
      <c r="W367" s="402"/>
      <c r="X367" s="402"/>
      <c r="Y367" s="402"/>
      <c r="Z367" s="402"/>
    </row>
    <row r="368" ht="14.25" customHeight="1">
      <c r="A368" s="729" t="s">
        <v>0</v>
      </c>
      <c r="B368" s="730" t="s">
        <v>39</v>
      </c>
      <c r="C368" s="730" t="s">
        <v>3075</v>
      </c>
      <c r="D368" s="730" t="s">
        <v>49</v>
      </c>
      <c r="E368" s="730" t="s">
        <v>50</v>
      </c>
      <c r="F368" s="731" t="s">
        <v>2</v>
      </c>
      <c r="G368" s="731" t="s">
        <v>4</v>
      </c>
      <c r="H368" s="730" t="s">
        <v>45</v>
      </c>
      <c r="I368" s="736" t="str">
        <f t="shared" si="5"/>
        <v>FULLY PAID</v>
      </c>
      <c r="J368" s="402"/>
      <c r="K368" s="402"/>
      <c r="L368" s="402"/>
      <c r="M368" s="402"/>
      <c r="N368" s="402"/>
      <c r="O368" s="402"/>
      <c r="P368" s="402"/>
      <c r="Q368" s="402"/>
      <c r="R368" s="402"/>
      <c r="S368" s="402"/>
      <c r="T368" s="402"/>
      <c r="U368" s="402"/>
      <c r="V368" s="402"/>
      <c r="W368" s="402"/>
      <c r="X368" s="402"/>
      <c r="Y368" s="402"/>
      <c r="Z368" s="402"/>
    </row>
    <row r="369" ht="14.25" customHeight="1">
      <c r="A369" s="406">
        <v>45513.0</v>
      </c>
      <c r="B369" s="522" t="s">
        <v>3087</v>
      </c>
      <c r="C369" s="522" t="s">
        <v>3088</v>
      </c>
      <c r="D369" s="522" t="s">
        <v>54</v>
      </c>
      <c r="E369" s="522" t="s">
        <v>797</v>
      </c>
      <c r="F369" s="567">
        <v>26500.0</v>
      </c>
      <c r="G369" s="413">
        <v>0.0</v>
      </c>
      <c r="H369" s="732" t="s">
        <v>3145</v>
      </c>
      <c r="I369" s="736" t="str">
        <f t="shared" si="5"/>
        <v>NOT PAID</v>
      </c>
      <c r="J369" s="402"/>
      <c r="K369" s="402"/>
      <c r="L369" s="402"/>
      <c r="M369" s="402"/>
      <c r="N369" s="402"/>
      <c r="O369" s="402"/>
      <c r="P369" s="402"/>
      <c r="Q369" s="402"/>
      <c r="R369" s="402"/>
      <c r="S369" s="402"/>
      <c r="T369" s="402"/>
      <c r="U369" s="402"/>
      <c r="V369" s="402"/>
      <c r="W369" s="402"/>
      <c r="X369" s="402"/>
      <c r="Y369" s="402"/>
      <c r="Z369" s="402"/>
    </row>
    <row r="370" ht="14.25" customHeight="1">
      <c r="A370" s="406">
        <v>45513.0</v>
      </c>
      <c r="B370" s="522" t="s">
        <v>3094</v>
      </c>
      <c r="C370" s="522" t="s">
        <v>3095</v>
      </c>
      <c r="D370" s="522" t="s">
        <v>54</v>
      </c>
      <c r="E370" s="522" t="s">
        <v>3078</v>
      </c>
      <c r="F370" s="567">
        <v>9300.0</v>
      </c>
      <c r="G370" s="413">
        <v>0.0</v>
      </c>
      <c r="H370" s="349" t="s">
        <v>3256</v>
      </c>
      <c r="I370" s="736" t="str">
        <f t="shared" si="5"/>
        <v>NOT PAID</v>
      </c>
      <c r="J370" s="402"/>
      <c r="K370" s="402"/>
      <c r="L370" s="402"/>
      <c r="M370" s="402"/>
      <c r="N370" s="402"/>
      <c r="O370" s="402"/>
      <c r="P370" s="402"/>
      <c r="Q370" s="402"/>
      <c r="R370" s="402"/>
      <c r="S370" s="402"/>
      <c r="T370" s="402"/>
      <c r="U370" s="402"/>
      <c r="V370" s="402"/>
      <c r="W370" s="402"/>
      <c r="X370" s="402"/>
      <c r="Y370" s="402"/>
      <c r="Z370" s="402"/>
    </row>
    <row r="371" ht="14.25" customHeight="1">
      <c r="A371" s="406">
        <v>45513.0</v>
      </c>
      <c r="B371" s="522" t="s">
        <v>652</v>
      </c>
      <c r="C371" s="522" t="s">
        <v>3097</v>
      </c>
      <c r="D371" s="522" t="s">
        <v>2010</v>
      </c>
      <c r="E371" s="522" t="s">
        <v>3093</v>
      </c>
      <c r="F371" s="567">
        <v>145645.0</v>
      </c>
      <c r="G371" s="413">
        <v>0.0</v>
      </c>
      <c r="H371" s="349" t="s">
        <v>3211</v>
      </c>
      <c r="I371" s="736" t="str">
        <f t="shared" si="5"/>
        <v>NOT PAID</v>
      </c>
      <c r="J371" s="402"/>
      <c r="K371" s="402"/>
      <c r="L371" s="402"/>
      <c r="M371" s="402"/>
      <c r="N371" s="402"/>
      <c r="O371" s="402"/>
      <c r="P371" s="402"/>
      <c r="Q371" s="402"/>
      <c r="R371" s="402"/>
      <c r="S371" s="402"/>
      <c r="T371" s="402"/>
      <c r="U371" s="402"/>
      <c r="V371" s="402"/>
      <c r="W371" s="402"/>
      <c r="X371" s="402"/>
      <c r="Y371" s="402"/>
      <c r="Z371" s="402"/>
    </row>
    <row r="372" ht="14.25" customHeight="1">
      <c r="A372" s="406">
        <v>45513.0</v>
      </c>
      <c r="B372" s="522" t="s">
        <v>3099</v>
      </c>
      <c r="C372" s="522" t="s">
        <v>3100</v>
      </c>
      <c r="D372" s="522" t="s">
        <v>54</v>
      </c>
      <c r="E372" s="522" t="s">
        <v>3101</v>
      </c>
      <c r="F372" s="567">
        <v>103900.0</v>
      </c>
      <c r="G372" s="413">
        <v>0.0</v>
      </c>
      <c r="H372" s="732" t="s">
        <v>2320</v>
      </c>
      <c r="I372" s="736" t="str">
        <f t="shared" si="5"/>
        <v>NOT PAID</v>
      </c>
      <c r="J372" s="402"/>
      <c r="K372" s="402"/>
      <c r="L372" s="402"/>
      <c r="M372" s="402"/>
      <c r="N372" s="402"/>
      <c r="O372" s="402"/>
      <c r="P372" s="402"/>
      <c r="Q372" s="402"/>
      <c r="R372" s="402"/>
      <c r="S372" s="402"/>
      <c r="T372" s="402"/>
      <c r="U372" s="402"/>
      <c r="V372" s="402"/>
      <c r="W372" s="402"/>
      <c r="X372" s="402"/>
      <c r="Y372" s="402"/>
      <c r="Z372" s="402"/>
    </row>
    <row r="373" ht="14.25" customHeight="1">
      <c r="A373" s="406">
        <v>45513.0</v>
      </c>
      <c r="B373" s="349" t="s">
        <v>3107</v>
      </c>
      <c r="C373" s="349" t="s">
        <v>3108</v>
      </c>
      <c r="D373" s="349" t="s">
        <v>54</v>
      </c>
      <c r="E373" s="349" t="s">
        <v>3101</v>
      </c>
      <c r="F373" s="413">
        <v>9500.0</v>
      </c>
      <c r="G373" s="413">
        <v>0.0</v>
      </c>
      <c r="H373" s="732" t="s">
        <v>3096</v>
      </c>
      <c r="I373" s="736" t="str">
        <f t="shared" si="5"/>
        <v>NOT PAID</v>
      </c>
      <c r="J373" s="402"/>
      <c r="K373" s="402"/>
      <c r="L373" s="402"/>
      <c r="M373" s="402"/>
      <c r="N373" s="402"/>
      <c r="O373" s="402"/>
      <c r="P373" s="402"/>
      <c r="Q373" s="402"/>
      <c r="R373" s="402"/>
      <c r="S373" s="402"/>
      <c r="T373" s="402"/>
      <c r="U373" s="402"/>
      <c r="V373" s="402"/>
      <c r="W373" s="402"/>
      <c r="X373" s="402"/>
      <c r="Y373" s="402"/>
      <c r="Z373" s="402"/>
    </row>
    <row r="374" ht="14.25" customHeight="1">
      <c r="A374" s="406">
        <v>45513.0</v>
      </c>
      <c r="B374" s="522" t="s">
        <v>3134</v>
      </c>
      <c r="C374" s="522" t="s">
        <v>3176</v>
      </c>
      <c r="D374" s="349" t="s">
        <v>54</v>
      </c>
      <c r="E374" s="522" t="s">
        <v>3078</v>
      </c>
      <c r="F374" s="733">
        <v>80300.0</v>
      </c>
      <c r="G374" s="413">
        <v>0.0</v>
      </c>
      <c r="H374" s="732" t="s">
        <v>3261</v>
      </c>
      <c r="I374" s="736" t="str">
        <f t="shared" si="5"/>
        <v>NOT PAID</v>
      </c>
      <c r="J374" s="402"/>
      <c r="K374" s="402"/>
      <c r="L374" s="402"/>
      <c r="M374" s="402"/>
      <c r="N374" s="402"/>
      <c r="O374" s="402"/>
      <c r="P374" s="402"/>
      <c r="Q374" s="402"/>
      <c r="R374" s="402"/>
      <c r="S374" s="402"/>
      <c r="T374" s="402"/>
      <c r="U374" s="402"/>
      <c r="V374" s="402"/>
      <c r="W374" s="402"/>
      <c r="X374" s="402"/>
      <c r="Y374" s="402"/>
      <c r="Z374" s="402"/>
    </row>
    <row r="375" ht="14.25" customHeight="1">
      <c r="A375" s="406">
        <v>45513.0</v>
      </c>
      <c r="B375" s="522" t="s">
        <v>3111</v>
      </c>
      <c r="C375" s="522" t="s">
        <v>3112</v>
      </c>
      <c r="D375" s="349" t="s">
        <v>54</v>
      </c>
      <c r="E375" s="522" t="s">
        <v>3078</v>
      </c>
      <c r="F375" s="567">
        <v>750.0</v>
      </c>
      <c r="G375" s="413">
        <v>800.0</v>
      </c>
      <c r="H375" s="349" t="s">
        <v>710</v>
      </c>
      <c r="I375" s="736" t="str">
        <f t="shared" si="5"/>
        <v>FULLY PAID</v>
      </c>
      <c r="J375" s="402"/>
      <c r="K375" s="402"/>
      <c r="L375" s="402"/>
      <c r="M375" s="402"/>
      <c r="N375" s="402"/>
      <c r="O375" s="402"/>
      <c r="P375" s="402"/>
      <c r="Q375" s="402"/>
      <c r="R375" s="402"/>
      <c r="S375" s="402"/>
      <c r="T375" s="402"/>
      <c r="U375" s="402"/>
      <c r="V375" s="402"/>
      <c r="W375" s="402"/>
      <c r="X375" s="402"/>
      <c r="Y375" s="402"/>
      <c r="Z375" s="402"/>
    </row>
    <row r="376" ht="14.25" customHeight="1">
      <c r="A376" s="406">
        <v>45513.0</v>
      </c>
      <c r="B376" s="349" t="s">
        <v>3076</v>
      </c>
      <c r="C376" s="349" t="s">
        <v>3077</v>
      </c>
      <c r="D376" s="349" t="s">
        <v>54</v>
      </c>
      <c r="E376" s="522" t="s">
        <v>3078</v>
      </c>
      <c r="F376" s="413">
        <v>5600.0</v>
      </c>
      <c r="G376" s="413">
        <v>0.0</v>
      </c>
      <c r="H376" s="732" t="s">
        <v>3079</v>
      </c>
      <c r="I376" s="736" t="str">
        <f t="shared" si="5"/>
        <v>NOT PAID</v>
      </c>
      <c r="J376" s="402"/>
      <c r="K376" s="402"/>
      <c r="L376" s="402"/>
      <c r="M376" s="402"/>
      <c r="N376" s="402"/>
      <c r="O376" s="402"/>
      <c r="P376" s="402"/>
      <c r="Q376" s="402"/>
      <c r="R376" s="402"/>
      <c r="S376" s="402"/>
      <c r="T376" s="402"/>
      <c r="U376" s="402"/>
      <c r="V376" s="402"/>
      <c r="W376" s="402"/>
      <c r="X376" s="402"/>
      <c r="Y376" s="402"/>
      <c r="Z376" s="402"/>
    </row>
    <row r="377" ht="14.25" customHeight="1">
      <c r="A377" s="406">
        <v>45513.0</v>
      </c>
      <c r="B377" s="349" t="s">
        <v>3173</v>
      </c>
      <c r="C377" s="349" t="s">
        <v>3174</v>
      </c>
      <c r="D377" s="349" t="s">
        <v>54</v>
      </c>
      <c r="E377" s="522" t="s">
        <v>3101</v>
      </c>
      <c r="F377" s="413">
        <v>25400.0</v>
      </c>
      <c r="G377" s="413">
        <v>0.0</v>
      </c>
      <c r="H377" s="732" t="s">
        <v>3261</v>
      </c>
      <c r="I377" s="736" t="str">
        <f t="shared" si="5"/>
        <v>NOT PAID</v>
      </c>
      <c r="J377" s="402"/>
      <c r="K377" s="402"/>
      <c r="L377" s="402"/>
      <c r="M377" s="402"/>
      <c r="N377" s="402"/>
      <c r="O377" s="402"/>
      <c r="P377" s="402"/>
      <c r="Q377" s="402"/>
      <c r="R377" s="402"/>
      <c r="S377" s="402"/>
      <c r="T377" s="402"/>
      <c r="U377" s="402"/>
      <c r="V377" s="402"/>
      <c r="W377" s="402"/>
      <c r="X377" s="402"/>
      <c r="Y377" s="402"/>
      <c r="Z377" s="402"/>
    </row>
    <row r="378" ht="14.25" customHeight="1">
      <c r="A378" s="406">
        <v>45513.0</v>
      </c>
      <c r="B378" s="349" t="s">
        <v>3182</v>
      </c>
      <c r="C378" s="349" t="s">
        <v>3117</v>
      </c>
      <c r="D378" s="349" t="s">
        <v>467</v>
      </c>
      <c r="E378" s="522" t="s">
        <v>3101</v>
      </c>
      <c r="F378" s="413">
        <v>1200.0</v>
      </c>
      <c r="G378" s="413">
        <v>0.0</v>
      </c>
      <c r="H378" s="349" t="s">
        <v>3211</v>
      </c>
      <c r="I378" s="736" t="str">
        <f t="shared" si="5"/>
        <v>NOT PAID</v>
      </c>
      <c r="J378" s="402"/>
      <c r="K378" s="402"/>
      <c r="L378" s="402"/>
      <c r="M378" s="402"/>
      <c r="N378" s="402"/>
      <c r="O378" s="402"/>
      <c r="P378" s="402"/>
      <c r="Q378" s="402"/>
      <c r="R378" s="402"/>
      <c r="S378" s="402"/>
      <c r="T378" s="402"/>
      <c r="U378" s="402"/>
      <c r="V378" s="402"/>
      <c r="W378" s="402"/>
      <c r="X378" s="402"/>
      <c r="Y378" s="402"/>
      <c r="Z378" s="402"/>
    </row>
    <row r="379" ht="14.25" customHeight="1">
      <c r="A379" s="406">
        <v>45513.0</v>
      </c>
      <c r="B379" s="349" t="s">
        <v>3191</v>
      </c>
      <c r="C379" s="349" t="s">
        <v>3192</v>
      </c>
      <c r="D379" s="349" t="s">
        <v>54</v>
      </c>
      <c r="E379" s="349" t="s">
        <v>3101</v>
      </c>
      <c r="F379" s="413">
        <v>57340.0</v>
      </c>
      <c r="G379" s="413">
        <v>0.0</v>
      </c>
      <c r="H379" s="732" t="s">
        <v>3286</v>
      </c>
      <c r="I379" s="736" t="str">
        <f t="shared" si="5"/>
        <v>NOT PAID</v>
      </c>
      <c r="J379" s="402"/>
      <c r="K379" s="402"/>
      <c r="L379" s="402"/>
      <c r="M379" s="402"/>
      <c r="N379" s="402"/>
      <c r="O379" s="402"/>
      <c r="P379" s="402"/>
      <c r="Q379" s="402"/>
      <c r="R379" s="402"/>
      <c r="S379" s="402"/>
      <c r="T379" s="402"/>
      <c r="U379" s="402"/>
      <c r="V379" s="402"/>
      <c r="W379" s="402"/>
      <c r="X379" s="402"/>
      <c r="Y379" s="402"/>
      <c r="Z379" s="402"/>
    </row>
    <row r="380" ht="14.25" customHeight="1">
      <c r="A380" s="406">
        <v>45513.0</v>
      </c>
      <c r="B380" s="522" t="s">
        <v>3263</v>
      </c>
      <c r="C380" s="349" t="s">
        <v>3264</v>
      </c>
      <c r="D380" s="349" t="s">
        <v>54</v>
      </c>
      <c r="E380" s="522" t="s">
        <v>3078</v>
      </c>
      <c r="F380" s="413">
        <v>1700.0</v>
      </c>
      <c r="G380" s="413">
        <v>0.0</v>
      </c>
      <c r="H380" s="732" t="s">
        <v>3079</v>
      </c>
      <c r="I380" s="736" t="str">
        <f t="shared" si="5"/>
        <v>NOT PAID</v>
      </c>
      <c r="J380" s="402"/>
      <c r="K380" s="402"/>
      <c r="L380" s="402"/>
      <c r="M380" s="402"/>
      <c r="N380" s="402"/>
      <c r="O380" s="402"/>
      <c r="P380" s="402"/>
      <c r="Q380" s="402"/>
      <c r="R380" s="402"/>
      <c r="S380" s="402"/>
      <c r="T380" s="402"/>
      <c r="U380" s="402"/>
      <c r="V380" s="402"/>
      <c r="W380" s="402"/>
      <c r="X380" s="402"/>
      <c r="Y380" s="402"/>
      <c r="Z380" s="402"/>
    </row>
    <row r="381" ht="14.25" customHeight="1">
      <c r="A381" s="406">
        <v>45513.0</v>
      </c>
      <c r="B381" s="349" t="s">
        <v>3193</v>
      </c>
      <c r="C381" s="349" t="s">
        <v>3194</v>
      </c>
      <c r="D381" s="349" t="s">
        <v>3189</v>
      </c>
      <c r="E381" s="349" t="s">
        <v>3078</v>
      </c>
      <c r="F381" s="413">
        <v>248776.0</v>
      </c>
      <c r="G381" s="413">
        <v>0.0</v>
      </c>
      <c r="H381" s="349" t="s">
        <v>3277</v>
      </c>
      <c r="I381" s="736" t="str">
        <f t="shared" si="5"/>
        <v>NOT PAID</v>
      </c>
      <c r="J381" s="402"/>
      <c r="K381" s="402"/>
      <c r="L381" s="402"/>
      <c r="M381" s="402"/>
      <c r="N381" s="402"/>
      <c r="O381" s="402"/>
      <c r="P381" s="402"/>
      <c r="Q381" s="402"/>
      <c r="R381" s="402"/>
      <c r="S381" s="402"/>
      <c r="T381" s="402"/>
      <c r="U381" s="402"/>
      <c r="V381" s="402"/>
      <c r="W381" s="402"/>
      <c r="X381" s="402"/>
      <c r="Y381" s="402"/>
      <c r="Z381" s="402"/>
    </row>
    <row r="382" ht="14.25" customHeight="1">
      <c r="A382" s="406">
        <v>45513.0</v>
      </c>
      <c r="B382" s="349" t="s">
        <v>3278</v>
      </c>
      <c r="C382" s="349" t="s">
        <v>3232</v>
      </c>
      <c r="D382" s="349" t="s">
        <v>54</v>
      </c>
      <c r="E382" s="522" t="s">
        <v>3251</v>
      </c>
      <c r="F382" s="413">
        <v>83600.0</v>
      </c>
      <c r="G382" s="413">
        <v>0.0</v>
      </c>
      <c r="H382" s="349" t="s">
        <v>3211</v>
      </c>
      <c r="I382" s="736" t="str">
        <f t="shared" si="5"/>
        <v>NOT PAID</v>
      </c>
      <c r="J382" s="402"/>
      <c r="K382" s="402"/>
      <c r="L382" s="402"/>
      <c r="M382" s="402"/>
      <c r="N382" s="402"/>
      <c r="O382" s="402"/>
      <c r="P382" s="402"/>
      <c r="Q382" s="402"/>
      <c r="R382" s="402"/>
      <c r="S382" s="402"/>
      <c r="T382" s="402"/>
      <c r="U382" s="402"/>
      <c r="V382" s="402"/>
      <c r="W382" s="402"/>
      <c r="X382" s="402"/>
      <c r="Y382" s="402"/>
      <c r="Z382" s="402"/>
    </row>
    <row r="383" ht="14.25" customHeight="1">
      <c r="A383" s="406">
        <v>45513.0</v>
      </c>
      <c r="B383" s="349" t="s">
        <v>3208</v>
      </c>
      <c r="C383" s="349" t="s">
        <v>3209</v>
      </c>
      <c r="D383" s="349" t="s">
        <v>54</v>
      </c>
      <c r="E383" s="522" t="s">
        <v>3101</v>
      </c>
      <c r="F383" s="413">
        <v>7400.0</v>
      </c>
      <c r="G383" s="413">
        <v>0.0</v>
      </c>
      <c r="H383" s="732" t="s">
        <v>3079</v>
      </c>
      <c r="I383" s="736" t="str">
        <f t="shared" si="5"/>
        <v>NOT PAID</v>
      </c>
      <c r="J383" s="402"/>
      <c r="K383" s="402"/>
      <c r="L383" s="402"/>
      <c r="M383" s="402"/>
      <c r="N383" s="402"/>
      <c r="O383" s="402"/>
      <c r="P383" s="402"/>
      <c r="Q383" s="402"/>
      <c r="R383" s="402"/>
      <c r="S383" s="402"/>
      <c r="T383" s="402"/>
      <c r="U383" s="402"/>
      <c r="V383" s="402"/>
      <c r="W383" s="402"/>
      <c r="X383" s="402"/>
      <c r="Y383" s="402"/>
      <c r="Z383" s="402"/>
    </row>
    <row r="384" ht="14.25" customHeight="1">
      <c r="A384" s="406">
        <v>45513.0</v>
      </c>
      <c r="B384" s="349" t="s">
        <v>3083</v>
      </c>
      <c r="C384" s="349" t="s">
        <v>3084</v>
      </c>
      <c r="D384" s="349" t="s">
        <v>54</v>
      </c>
      <c r="E384" s="349" t="s">
        <v>3101</v>
      </c>
      <c r="F384" s="413">
        <v>15450.0</v>
      </c>
      <c r="G384" s="413">
        <v>0.0</v>
      </c>
      <c r="H384" s="732" t="s">
        <v>3086</v>
      </c>
      <c r="I384" s="736" t="str">
        <f t="shared" si="5"/>
        <v>NOT PAID</v>
      </c>
      <c r="J384" s="402"/>
      <c r="K384" s="402"/>
      <c r="L384" s="402"/>
      <c r="M384" s="402"/>
      <c r="N384" s="402"/>
      <c r="O384" s="402"/>
      <c r="P384" s="402"/>
      <c r="Q384" s="402"/>
      <c r="R384" s="402"/>
      <c r="S384" s="402"/>
      <c r="T384" s="402"/>
      <c r="U384" s="402"/>
      <c r="V384" s="402"/>
      <c r="W384" s="402"/>
      <c r="X384" s="402"/>
      <c r="Y384" s="402"/>
      <c r="Z384" s="402"/>
    </row>
    <row r="385" ht="14.25" customHeight="1">
      <c r="A385" s="406">
        <v>45513.0</v>
      </c>
      <c r="B385" s="349" t="s">
        <v>3228</v>
      </c>
      <c r="C385" s="349" t="s">
        <v>3229</v>
      </c>
      <c r="D385" s="349" t="s">
        <v>3189</v>
      </c>
      <c r="E385" s="349" t="s">
        <v>3101</v>
      </c>
      <c r="F385" s="413">
        <v>57400.0</v>
      </c>
      <c r="G385" s="413">
        <v>0.0</v>
      </c>
      <c r="H385" s="732" t="s">
        <v>3286</v>
      </c>
      <c r="I385" s="736" t="str">
        <f t="shared" si="5"/>
        <v>NOT PAID</v>
      </c>
      <c r="J385" s="402"/>
      <c r="K385" s="402"/>
      <c r="L385" s="402"/>
      <c r="M385" s="402"/>
      <c r="N385" s="402"/>
      <c r="O385" s="402"/>
      <c r="P385" s="402"/>
      <c r="Q385" s="402"/>
      <c r="R385" s="402"/>
      <c r="S385" s="402"/>
      <c r="T385" s="402"/>
      <c r="U385" s="402"/>
      <c r="V385" s="402"/>
      <c r="W385" s="402"/>
      <c r="X385" s="402"/>
      <c r="Y385" s="402"/>
      <c r="Z385" s="402"/>
    </row>
    <row r="386" ht="14.25" customHeight="1">
      <c r="A386" s="406">
        <v>45513.0</v>
      </c>
      <c r="B386" s="349" t="s">
        <v>3271</v>
      </c>
      <c r="C386" s="349" t="s">
        <v>3202</v>
      </c>
      <c r="D386" s="349" t="s">
        <v>54</v>
      </c>
      <c r="E386" s="522" t="s">
        <v>3251</v>
      </c>
      <c r="F386" s="413">
        <v>8500.0</v>
      </c>
      <c r="G386" s="413">
        <v>0.0</v>
      </c>
      <c r="H386" s="732" t="s">
        <v>3079</v>
      </c>
      <c r="I386" s="736" t="str">
        <f t="shared" si="5"/>
        <v>NOT PAID</v>
      </c>
      <c r="J386" s="402"/>
      <c r="K386" s="402"/>
      <c r="L386" s="402"/>
      <c r="M386" s="402"/>
      <c r="N386" s="402"/>
      <c r="O386" s="402"/>
      <c r="P386" s="402"/>
      <c r="Q386" s="402"/>
      <c r="R386" s="402"/>
      <c r="S386" s="402"/>
      <c r="T386" s="402"/>
      <c r="U386" s="402"/>
      <c r="V386" s="402"/>
      <c r="W386" s="402"/>
      <c r="X386" s="402"/>
      <c r="Y386" s="402"/>
      <c r="Z386" s="402"/>
    </row>
    <row r="387" ht="14.25" customHeight="1">
      <c r="A387" s="406">
        <v>45513.0</v>
      </c>
      <c r="B387" s="406" t="s">
        <v>3233</v>
      </c>
      <c r="C387" s="349" t="s">
        <v>3234</v>
      </c>
      <c r="D387" s="349" t="s">
        <v>54</v>
      </c>
      <c r="E387" s="349" t="s">
        <v>3251</v>
      </c>
      <c r="F387" s="738">
        <v>29000.0</v>
      </c>
      <c r="G387" s="413">
        <v>0.0</v>
      </c>
      <c r="H387" s="349" t="s">
        <v>3211</v>
      </c>
      <c r="I387" s="736" t="str">
        <f t="shared" si="5"/>
        <v>NOT PAID</v>
      </c>
      <c r="J387" s="402"/>
      <c r="K387" s="402"/>
      <c r="L387" s="402"/>
      <c r="M387" s="402"/>
      <c r="N387" s="402"/>
      <c r="O387" s="402"/>
      <c r="P387" s="402"/>
      <c r="Q387" s="402"/>
      <c r="R387" s="402"/>
      <c r="S387" s="402"/>
      <c r="T387" s="402"/>
      <c r="U387" s="402"/>
      <c r="V387" s="402"/>
      <c r="W387" s="402"/>
      <c r="X387" s="402"/>
      <c r="Y387" s="402"/>
      <c r="Z387" s="402"/>
    </row>
    <row r="388" ht="14.25" customHeight="1">
      <c r="A388" s="406">
        <v>45513.0</v>
      </c>
      <c r="B388" s="406" t="s">
        <v>3235</v>
      </c>
      <c r="C388" s="349" t="s">
        <v>3236</v>
      </c>
      <c r="D388" s="349" t="s">
        <v>3189</v>
      </c>
      <c r="E388" s="349" t="s">
        <v>3101</v>
      </c>
      <c r="F388" s="738">
        <v>242500.0</v>
      </c>
      <c r="G388" s="413">
        <v>0.0</v>
      </c>
      <c r="H388" s="349" t="s">
        <v>3287</v>
      </c>
      <c r="I388" s="736" t="str">
        <f t="shared" si="5"/>
        <v>NOT PAID</v>
      </c>
      <c r="J388" s="402"/>
      <c r="K388" s="402"/>
      <c r="L388" s="402"/>
      <c r="M388" s="402"/>
      <c r="N388" s="402"/>
      <c r="O388" s="402"/>
      <c r="P388" s="402"/>
      <c r="Q388" s="402"/>
      <c r="R388" s="402"/>
      <c r="S388" s="402"/>
      <c r="T388" s="402"/>
      <c r="U388" s="402"/>
      <c r="V388" s="402"/>
      <c r="W388" s="402"/>
      <c r="X388" s="402"/>
      <c r="Y388" s="402"/>
      <c r="Z388" s="402"/>
    </row>
    <row r="389" ht="14.25" customHeight="1">
      <c r="A389" s="406">
        <v>45513.0</v>
      </c>
      <c r="B389" s="349" t="s">
        <v>3139</v>
      </c>
      <c r="C389" s="349" t="s">
        <v>3140</v>
      </c>
      <c r="D389" s="349" t="s">
        <v>54</v>
      </c>
      <c r="E389" s="349" t="s">
        <v>797</v>
      </c>
      <c r="F389" s="413">
        <v>143780.2</v>
      </c>
      <c r="G389" s="413">
        <v>0.0</v>
      </c>
      <c r="H389" s="349" t="s">
        <v>3282</v>
      </c>
      <c r="I389" s="736" t="str">
        <f t="shared" si="5"/>
        <v>NOT PAID</v>
      </c>
      <c r="J389" s="402"/>
      <c r="K389" s="402"/>
      <c r="L389" s="402"/>
      <c r="M389" s="402"/>
      <c r="N389" s="402"/>
      <c r="O389" s="402"/>
      <c r="P389" s="402"/>
      <c r="Q389" s="402"/>
      <c r="R389" s="402"/>
      <c r="S389" s="402"/>
      <c r="T389" s="402"/>
      <c r="U389" s="402"/>
      <c r="V389" s="402"/>
      <c r="W389" s="402"/>
      <c r="X389" s="402"/>
      <c r="Y389" s="402"/>
      <c r="Z389" s="402"/>
    </row>
    <row r="390" ht="14.25" customHeight="1">
      <c r="A390" s="406">
        <v>45513.0</v>
      </c>
      <c r="B390" s="349" t="s">
        <v>3149</v>
      </c>
      <c r="C390" s="349" t="s">
        <v>3150</v>
      </c>
      <c r="D390" s="349" t="s">
        <v>54</v>
      </c>
      <c r="E390" s="522" t="s">
        <v>797</v>
      </c>
      <c r="F390" s="413">
        <v>150000.0</v>
      </c>
      <c r="G390" s="413">
        <v>0.0</v>
      </c>
      <c r="H390" s="349" t="s">
        <v>3283</v>
      </c>
      <c r="I390" s="736" t="str">
        <f t="shared" si="5"/>
        <v>NOT PAID</v>
      </c>
      <c r="J390" s="402"/>
      <c r="K390" s="402"/>
      <c r="L390" s="402"/>
      <c r="M390" s="402"/>
      <c r="N390" s="402"/>
      <c r="O390" s="402"/>
      <c r="P390" s="402"/>
      <c r="Q390" s="402"/>
      <c r="R390" s="402"/>
      <c r="S390" s="402"/>
      <c r="T390" s="402"/>
      <c r="U390" s="402"/>
      <c r="V390" s="402"/>
      <c r="W390" s="402"/>
      <c r="X390" s="402"/>
      <c r="Y390" s="402"/>
      <c r="Z390" s="402"/>
    </row>
    <row r="391" ht="14.25" customHeight="1">
      <c r="A391" s="406">
        <v>45513.0</v>
      </c>
      <c r="B391" s="349" t="s">
        <v>3284</v>
      </c>
      <c r="C391" s="349" t="s">
        <v>3285</v>
      </c>
      <c r="D391" s="349" t="s">
        <v>3189</v>
      </c>
      <c r="E391" s="349" t="s">
        <v>3101</v>
      </c>
      <c r="F391" s="413">
        <v>740.0</v>
      </c>
      <c r="G391" s="413">
        <v>0.0</v>
      </c>
      <c r="H391" s="349" t="s">
        <v>3288</v>
      </c>
      <c r="I391" s="736" t="str">
        <f t="shared" si="5"/>
        <v>NOT PAID</v>
      </c>
      <c r="J391" s="402"/>
      <c r="K391" s="402"/>
      <c r="L391" s="402"/>
      <c r="M391" s="402"/>
      <c r="N391" s="402"/>
      <c r="O391" s="402"/>
      <c r="P391" s="402"/>
      <c r="Q391" s="402"/>
      <c r="R391" s="402"/>
      <c r="S391" s="402"/>
      <c r="T391" s="402"/>
      <c r="U391" s="402"/>
      <c r="V391" s="402"/>
      <c r="W391" s="402"/>
      <c r="X391" s="402"/>
      <c r="Y391" s="402"/>
      <c r="Z391" s="402"/>
    </row>
    <row r="392" ht="14.25" customHeight="1">
      <c r="A392" s="406">
        <v>45513.0</v>
      </c>
      <c r="B392" s="349" t="s">
        <v>3289</v>
      </c>
      <c r="C392" s="349" t="s">
        <v>3236</v>
      </c>
      <c r="D392" s="349" t="s">
        <v>54</v>
      </c>
      <c r="E392" s="522" t="s">
        <v>3115</v>
      </c>
      <c r="F392" s="413">
        <v>43129.0</v>
      </c>
      <c r="G392" s="413">
        <v>0.0</v>
      </c>
      <c r="H392" s="349" t="s">
        <v>3287</v>
      </c>
      <c r="I392" s="736" t="str">
        <f t="shared" si="5"/>
        <v>NOT PAID</v>
      </c>
      <c r="J392" s="402"/>
      <c r="K392" s="402"/>
      <c r="L392" s="402"/>
      <c r="M392" s="402"/>
      <c r="N392" s="402"/>
      <c r="O392" s="402"/>
      <c r="P392" s="402"/>
      <c r="Q392" s="402"/>
      <c r="R392" s="402"/>
      <c r="S392" s="402"/>
      <c r="T392" s="402"/>
      <c r="U392" s="402"/>
      <c r="V392" s="402"/>
      <c r="W392" s="402"/>
      <c r="X392" s="402"/>
      <c r="Y392" s="402"/>
      <c r="Z392" s="402"/>
    </row>
    <row r="393" ht="14.25" customHeight="1">
      <c r="A393" s="406">
        <v>45513.0</v>
      </c>
      <c r="B393" s="349" t="s">
        <v>3290</v>
      </c>
      <c r="C393" s="349" t="s">
        <v>3291</v>
      </c>
      <c r="D393" s="349" t="s">
        <v>54</v>
      </c>
      <c r="E393" s="349" t="s">
        <v>3101</v>
      </c>
      <c r="F393" s="413">
        <v>13760.0</v>
      </c>
      <c r="G393" s="413">
        <v>12000.0</v>
      </c>
      <c r="H393" s="349" t="s">
        <v>3262</v>
      </c>
      <c r="I393" s="736" t="str">
        <f t="shared" si="5"/>
        <v>PARTIALLY PAID</v>
      </c>
      <c r="J393" s="402"/>
      <c r="K393" s="402"/>
      <c r="L393" s="402"/>
      <c r="M393" s="402"/>
      <c r="N393" s="402"/>
      <c r="O393" s="402"/>
      <c r="P393" s="402"/>
      <c r="Q393" s="402"/>
      <c r="R393" s="402"/>
      <c r="S393" s="402"/>
      <c r="T393" s="402"/>
      <c r="U393" s="402"/>
      <c r="V393" s="402"/>
      <c r="W393" s="402"/>
      <c r="X393" s="402"/>
      <c r="Y393" s="402"/>
      <c r="Z393" s="402"/>
    </row>
    <row r="394" ht="14.25" customHeight="1">
      <c r="A394" s="402"/>
      <c r="B394" s="402"/>
      <c r="C394" s="402"/>
      <c r="D394" s="402"/>
      <c r="E394" s="402"/>
      <c r="F394" s="403"/>
      <c r="G394" s="403"/>
      <c r="H394" s="402"/>
      <c r="I394" s="736" t="str">
        <f t="shared" si="5"/>
        <v>FULLY PAID</v>
      </c>
      <c r="J394" s="402"/>
      <c r="K394" s="402"/>
      <c r="L394" s="402"/>
      <c r="M394" s="402"/>
      <c r="N394" s="402"/>
      <c r="O394" s="402"/>
      <c r="P394" s="402"/>
      <c r="Q394" s="402"/>
      <c r="R394" s="402"/>
      <c r="S394" s="402"/>
      <c r="T394" s="402"/>
      <c r="U394" s="402"/>
      <c r="V394" s="402"/>
      <c r="W394" s="402"/>
      <c r="X394" s="402"/>
      <c r="Y394" s="402"/>
      <c r="Z394" s="402"/>
    </row>
    <row r="395" ht="14.25" customHeight="1">
      <c r="A395" s="402"/>
      <c r="B395" s="402"/>
      <c r="C395" s="402"/>
      <c r="D395" s="402"/>
      <c r="E395" s="402"/>
      <c r="F395" s="403"/>
      <c r="G395" s="403"/>
      <c r="H395" s="402"/>
      <c r="I395" s="736" t="str">
        <f t="shared" si="5"/>
        <v>FULLY PAID</v>
      </c>
      <c r="J395" s="402"/>
      <c r="K395" s="402"/>
      <c r="L395" s="402"/>
      <c r="M395" s="402"/>
      <c r="N395" s="402"/>
      <c r="O395" s="402"/>
      <c r="P395" s="402"/>
      <c r="Q395" s="402"/>
      <c r="R395" s="402"/>
      <c r="S395" s="402"/>
      <c r="T395" s="402"/>
      <c r="U395" s="402"/>
      <c r="V395" s="402"/>
      <c r="W395" s="402"/>
      <c r="X395" s="402"/>
      <c r="Y395" s="402"/>
      <c r="Z395" s="402"/>
    </row>
    <row r="396" ht="14.25" customHeight="1">
      <c r="A396" s="729" t="s">
        <v>0</v>
      </c>
      <c r="B396" s="730" t="s">
        <v>39</v>
      </c>
      <c r="C396" s="730" t="s">
        <v>3075</v>
      </c>
      <c r="D396" s="730" t="s">
        <v>49</v>
      </c>
      <c r="E396" s="730" t="s">
        <v>50</v>
      </c>
      <c r="F396" s="731" t="s">
        <v>2</v>
      </c>
      <c r="G396" s="731" t="s">
        <v>4</v>
      </c>
      <c r="H396" s="730" t="s">
        <v>45</v>
      </c>
      <c r="I396" s="736" t="str">
        <f t="shared" si="5"/>
        <v>FULLY PAID</v>
      </c>
      <c r="J396" s="402"/>
      <c r="K396" s="402"/>
      <c r="L396" s="402"/>
      <c r="M396" s="402"/>
      <c r="N396" s="402"/>
      <c r="O396" s="402"/>
      <c r="P396" s="402"/>
      <c r="Q396" s="402"/>
      <c r="R396" s="402"/>
      <c r="S396" s="402"/>
      <c r="T396" s="402"/>
      <c r="U396" s="402"/>
      <c r="V396" s="402"/>
      <c r="W396" s="402"/>
      <c r="X396" s="402"/>
      <c r="Y396" s="402"/>
      <c r="Z396" s="402"/>
    </row>
    <row r="397" ht="14.25" customHeight="1">
      <c r="A397" s="406">
        <v>45516.0</v>
      </c>
      <c r="B397" s="522" t="s">
        <v>3087</v>
      </c>
      <c r="C397" s="522" t="s">
        <v>3088</v>
      </c>
      <c r="D397" s="522" t="s">
        <v>54</v>
      </c>
      <c r="E397" s="522" t="s">
        <v>797</v>
      </c>
      <c r="F397" s="567">
        <v>26500.0</v>
      </c>
      <c r="G397" s="413">
        <v>3000.0</v>
      </c>
      <c r="H397" s="349" t="s">
        <v>3292</v>
      </c>
      <c r="I397" s="736" t="str">
        <f t="shared" si="5"/>
        <v>PARTIALLY PAID</v>
      </c>
      <c r="J397" s="402"/>
      <c r="K397" s="402"/>
      <c r="L397" s="402"/>
      <c r="M397" s="402"/>
      <c r="N397" s="402"/>
      <c r="O397" s="402"/>
      <c r="P397" s="402"/>
      <c r="Q397" s="402"/>
      <c r="R397" s="402"/>
      <c r="S397" s="402"/>
      <c r="T397" s="402"/>
      <c r="U397" s="402"/>
      <c r="V397" s="402"/>
      <c r="W397" s="402"/>
      <c r="X397" s="402"/>
      <c r="Y397" s="402"/>
      <c r="Z397" s="402"/>
    </row>
    <row r="398" ht="14.25" customHeight="1">
      <c r="A398" s="406">
        <v>45516.0</v>
      </c>
      <c r="B398" s="522" t="s">
        <v>3094</v>
      </c>
      <c r="C398" s="522" t="s">
        <v>3095</v>
      </c>
      <c r="D398" s="522" t="s">
        <v>54</v>
      </c>
      <c r="E398" s="522" t="s">
        <v>3078</v>
      </c>
      <c r="F398" s="567">
        <v>9300.0</v>
      </c>
      <c r="G398" s="413">
        <v>0.0</v>
      </c>
      <c r="H398" s="349" t="s">
        <v>3256</v>
      </c>
      <c r="I398" s="736" t="str">
        <f t="shared" si="5"/>
        <v>NOT PAID</v>
      </c>
      <c r="J398" s="402"/>
      <c r="K398" s="402"/>
      <c r="L398" s="402"/>
      <c r="M398" s="402"/>
      <c r="N398" s="402"/>
      <c r="O398" s="402"/>
      <c r="P398" s="402"/>
      <c r="Q398" s="402"/>
      <c r="R398" s="402"/>
      <c r="S398" s="402"/>
      <c r="T398" s="402"/>
      <c r="U398" s="402"/>
      <c r="V398" s="402"/>
      <c r="W398" s="402"/>
      <c r="X398" s="402"/>
      <c r="Y398" s="402"/>
      <c r="Z398" s="402"/>
    </row>
    <row r="399" ht="14.25" customHeight="1">
      <c r="A399" s="406">
        <v>45516.0</v>
      </c>
      <c r="B399" s="522" t="s">
        <v>652</v>
      </c>
      <c r="C399" s="522" t="s">
        <v>3097</v>
      </c>
      <c r="D399" s="522" t="s">
        <v>2010</v>
      </c>
      <c r="E399" s="522" t="s">
        <v>3093</v>
      </c>
      <c r="F399" s="567">
        <v>145645.0</v>
      </c>
      <c r="G399" s="413">
        <v>0.0</v>
      </c>
      <c r="H399" s="349" t="s">
        <v>3293</v>
      </c>
      <c r="I399" s="736" t="str">
        <f t="shared" si="5"/>
        <v>NOT PAID</v>
      </c>
      <c r="J399" s="402"/>
      <c r="K399" s="402"/>
      <c r="L399" s="402"/>
      <c r="M399" s="402"/>
      <c r="N399" s="402"/>
      <c r="O399" s="402"/>
      <c r="P399" s="402"/>
      <c r="Q399" s="402"/>
      <c r="R399" s="402"/>
      <c r="S399" s="402"/>
      <c r="T399" s="402"/>
      <c r="U399" s="402"/>
      <c r="V399" s="402"/>
      <c r="W399" s="402"/>
      <c r="X399" s="402"/>
      <c r="Y399" s="402"/>
      <c r="Z399" s="402"/>
    </row>
    <row r="400" ht="14.25" customHeight="1">
      <c r="A400" s="406">
        <v>45516.0</v>
      </c>
      <c r="B400" s="522" t="s">
        <v>3099</v>
      </c>
      <c r="C400" s="522" t="s">
        <v>3100</v>
      </c>
      <c r="D400" s="522" t="s">
        <v>54</v>
      </c>
      <c r="E400" s="522" t="s">
        <v>3101</v>
      </c>
      <c r="F400" s="567">
        <v>103900.0</v>
      </c>
      <c r="G400" s="413">
        <v>0.0</v>
      </c>
      <c r="H400" s="732" t="s">
        <v>2320</v>
      </c>
      <c r="I400" s="736" t="str">
        <f t="shared" si="5"/>
        <v>NOT PAID</v>
      </c>
      <c r="J400" s="402"/>
      <c r="K400" s="402"/>
      <c r="L400" s="402"/>
      <c r="M400" s="402"/>
      <c r="N400" s="402"/>
      <c r="O400" s="402"/>
      <c r="P400" s="402"/>
      <c r="Q400" s="402"/>
      <c r="R400" s="402"/>
      <c r="S400" s="402"/>
      <c r="T400" s="402"/>
      <c r="U400" s="402"/>
      <c r="V400" s="402"/>
      <c r="W400" s="402"/>
      <c r="X400" s="402"/>
      <c r="Y400" s="402"/>
      <c r="Z400" s="402"/>
    </row>
    <row r="401" ht="14.25" customHeight="1">
      <c r="A401" s="406">
        <v>45516.0</v>
      </c>
      <c r="B401" s="349" t="s">
        <v>3107</v>
      </c>
      <c r="C401" s="349" t="s">
        <v>3108</v>
      </c>
      <c r="D401" s="349" t="s">
        <v>54</v>
      </c>
      <c r="E401" s="349" t="s">
        <v>3101</v>
      </c>
      <c r="F401" s="413">
        <v>9500.0</v>
      </c>
      <c r="G401" s="413">
        <v>0.0</v>
      </c>
      <c r="H401" s="349" t="s">
        <v>3294</v>
      </c>
      <c r="I401" s="736" t="str">
        <f t="shared" si="5"/>
        <v>NOT PAID</v>
      </c>
      <c r="J401" s="402"/>
      <c r="K401" s="402"/>
      <c r="L401" s="402"/>
      <c r="M401" s="402"/>
      <c r="N401" s="402"/>
      <c r="O401" s="402"/>
      <c r="P401" s="402"/>
      <c r="Q401" s="402"/>
      <c r="R401" s="402"/>
      <c r="S401" s="402"/>
      <c r="T401" s="402"/>
      <c r="U401" s="402"/>
      <c r="V401" s="402"/>
      <c r="W401" s="402"/>
      <c r="X401" s="402"/>
      <c r="Y401" s="402"/>
      <c r="Z401" s="402"/>
    </row>
    <row r="402" ht="14.25" customHeight="1">
      <c r="A402" s="406">
        <v>45516.0</v>
      </c>
      <c r="B402" s="522" t="s">
        <v>3134</v>
      </c>
      <c r="C402" s="522" t="s">
        <v>3176</v>
      </c>
      <c r="D402" s="349" t="s">
        <v>54</v>
      </c>
      <c r="E402" s="522" t="s">
        <v>3078</v>
      </c>
      <c r="F402" s="733">
        <v>80300.0</v>
      </c>
      <c r="G402" s="413">
        <v>0.0</v>
      </c>
      <c r="H402" s="349" t="s">
        <v>3295</v>
      </c>
      <c r="I402" s="736" t="str">
        <f t="shared" si="5"/>
        <v>NOT PAID</v>
      </c>
      <c r="J402" s="402"/>
      <c r="K402" s="402"/>
      <c r="L402" s="402"/>
      <c r="M402" s="402"/>
      <c r="N402" s="402"/>
      <c r="O402" s="402"/>
      <c r="P402" s="402"/>
      <c r="Q402" s="402"/>
      <c r="R402" s="402"/>
      <c r="S402" s="402"/>
      <c r="T402" s="402"/>
      <c r="U402" s="402"/>
      <c r="V402" s="402"/>
      <c r="W402" s="402"/>
      <c r="X402" s="402"/>
      <c r="Y402" s="402"/>
      <c r="Z402" s="402"/>
    </row>
    <row r="403" ht="14.25" customHeight="1">
      <c r="A403" s="406">
        <v>45516.0</v>
      </c>
      <c r="B403" s="349" t="s">
        <v>3076</v>
      </c>
      <c r="C403" s="349" t="s">
        <v>3077</v>
      </c>
      <c r="D403" s="349" t="s">
        <v>54</v>
      </c>
      <c r="E403" s="522" t="s">
        <v>3078</v>
      </c>
      <c r="F403" s="413">
        <v>5600.0</v>
      </c>
      <c r="G403" s="413">
        <v>0.0</v>
      </c>
      <c r="H403" s="349" t="s">
        <v>3296</v>
      </c>
      <c r="I403" s="736" t="str">
        <f t="shared" si="5"/>
        <v>NOT PAID</v>
      </c>
      <c r="J403" s="402"/>
      <c r="K403" s="402"/>
      <c r="L403" s="402"/>
      <c r="M403" s="402"/>
      <c r="N403" s="402"/>
      <c r="O403" s="402"/>
      <c r="P403" s="402"/>
      <c r="Q403" s="402"/>
      <c r="R403" s="402"/>
      <c r="S403" s="402"/>
      <c r="T403" s="402"/>
      <c r="U403" s="402"/>
      <c r="V403" s="402"/>
      <c r="W403" s="402"/>
      <c r="X403" s="402"/>
      <c r="Y403" s="402"/>
      <c r="Z403" s="402"/>
    </row>
    <row r="404" ht="14.25" customHeight="1">
      <c r="A404" s="406">
        <v>45516.0</v>
      </c>
      <c r="B404" s="349" t="s">
        <v>3173</v>
      </c>
      <c r="C404" s="349" t="s">
        <v>3174</v>
      </c>
      <c r="D404" s="349" t="s">
        <v>54</v>
      </c>
      <c r="E404" s="522" t="s">
        <v>3101</v>
      </c>
      <c r="F404" s="413">
        <v>25400.0</v>
      </c>
      <c r="G404" s="413">
        <v>0.0</v>
      </c>
      <c r="H404" s="349" t="s">
        <v>3297</v>
      </c>
      <c r="I404" s="736" t="str">
        <f t="shared" si="5"/>
        <v>NOT PAID</v>
      </c>
      <c r="J404" s="402"/>
      <c r="K404" s="402"/>
      <c r="L404" s="402"/>
      <c r="M404" s="402"/>
      <c r="N404" s="402"/>
      <c r="O404" s="402"/>
      <c r="P404" s="402"/>
      <c r="Q404" s="402"/>
      <c r="R404" s="402"/>
      <c r="S404" s="402"/>
      <c r="T404" s="402"/>
      <c r="U404" s="402"/>
      <c r="V404" s="402"/>
      <c r="W404" s="402"/>
      <c r="X404" s="402"/>
      <c r="Y404" s="402"/>
      <c r="Z404" s="402"/>
    </row>
    <row r="405" ht="14.25" customHeight="1">
      <c r="A405" s="406">
        <v>45516.0</v>
      </c>
      <c r="B405" s="349" t="s">
        <v>3191</v>
      </c>
      <c r="C405" s="349" t="s">
        <v>3192</v>
      </c>
      <c r="D405" s="349" t="s">
        <v>54</v>
      </c>
      <c r="E405" s="349" t="s">
        <v>3101</v>
      </c>
      <c r="F405" s="413">
        <v>57340.0</v>
      </c>
      <c r="G405" s="413">
        <v>15000.0</v>
      </c>
      <c r="H405" s="349" t="s">
        <v>3298</v>
      </c>
      <c r="I405" s="736" t="str">
        <f t="shared" si="5"/>
        <v>PARTIALLY PAID</v>
      </c>
      <c r="J405" s="402"/>
      <c r="K405" s="402"/>
      <c r="L405" s="402"/>
      <c r="M405" s="402"/>
      <c r="N405" s="402"/>
      <c r="O405" s="402"/>
      <c r="P405" s="402"/>
      <c r="Q405" s="402"/>
      <c r="R405" s="402"/>
      <c r="S405" s="402"/>
      <c r="T405" s="402"/>
      <c r="U405" s="402"/>
      <c r="V405" s="402"/>
      <c r="W405" s="402"/>
      <c r="X405" s="402"/>
      <c r="Y405" s="402"/>
      <c r="Z405" s="402"/>
    </row>
    <row r="406" ht="14.25" customHeight="1">
      <c r="A406" s="406">
        <v>45516.0</v>
      </c>
      <c r="B406" s="522" t="s">
        <v>3263</v>
      </c>
      <c r="C406" s="349" t="s">
        <v>3264</v>
      </c>
      <c r="D406" s="349" t="s">
        <v>54</v>
      </c>
      <c r="E406" s="522" t="s">
        <v>3078</v>
      </c>
      <c r="F406" s="413">
        <v>1700.0</v>
      </c>
      <c r="G406" s="413">
        <v>0.0</v>
      </c>
      <c r="H406" s="349" t="s">
        <v>3299</v>
      </c>
      <c r="I406" s="736" t="str">
        <f t="shared" si="5"/>
        <v>NOT PAID</v>
      </c>
      <c r="J406" s="402"/>
      <c r="K406" s="402"/>
      <c r="L406" s="402"/>
      <c r="M406" s="402"/>
      <c r="N406" s="402"/>
      <c r="O406" s="402"/>
      <c r="P406" s="402"/>
      <c r="Q406" s="402"/>
      <c r="R406" s="402"/>
      <c r="S406" s="402"/>
      <c r="T406" s="402"/>
      <c r="U406" s="402"/>
      <c r="V406" s="402"/>
      <c r="W406" s="402"/>
      <c r="X406" s="402"/>
      <c r="Y406" s="402"/>
      <c r="Z406" s="402"/>
    </row>
    <row r="407" ht="14.25" customHeight="1">
      <c r="A407" s="406">
        <v>45516.0</v>
      </c>
      <c r="B407" s="349" t="s">
        <v>3193</v>
      </c>
      <c r="C407" s="349" t="s">
        <v>3194</v>
      </c>
      <c r="D407" s="349" t="s">
        <v>3189</v>
      </c>
      <c r="E407" s="349" t="s">
        <v>3078</v>
      </c>
      <c r="F407" s="413">
        <v>248776.0</v>
      </c>
      <c r="G407" s="413">
        <v>0.0</v>
      </c>
      <c r="H407" s="349" t="s">
        <v>3277</v>
      </c>
      <c r="I407" s="736" t="str">
        <f t="shared" si="5"/>
        <v>NOT PAID</v>
      </c>
      <c r="J407" s="402"/>
      <c r="K407" s="402"/>
      <c r="L407" s="402"/>
      <c r="M407" s="402"/>
      <c r="N407" s="402"/>
      <c r="O407" s="402"/>
      <c r="P407" s="402"/>
      <c r="Q407" s="402"/>
      <c r="R407" s="402"/>
      <c r="S407" s="402"/>
      <c r="T407" s="402"/>
      <c r="U407" s="402"/>
      <c r="V407" s="402"/>
      <c r="W407" s="402"/>
      <c r="X407" s="402"/>
      <c r="Y407" s="402"/>
      <c r="Z407" s="402"/>
    </row>
    <row r="408" ht="14.25" customHeight="1">
      <c r="A408" s="406">
        <v>45516.0</v>
      </c>
      <c r="B408" s="349" t="s">
        <v>3278</v>
      </c>
      <c r="C408" s="349" t="s">
        <v>3232</v>
      </c>
      <c r="D408" s="349" t="s">
        <v>54</v>
      </c>
      <c r="E408" s="522" t="s">
        <v>3251</v>
      </c>
      <c r="F408" s="413">
        <v>83600.0</v>
      </c>
      <c r="G408" s="413">
        <v>0.0</v>
      </c>
      <c r="H408" s="517" t="s">
        <v>3300</v>
      </c>
      <c r="I408" s="736" t="str">
        <f t="shared" si="5"/>
        <v>NOT PAID</v>
      </c>
      <c r="J408" s="402"/>
      <c r="K408" s="402"/>
      <c r="L408" s="402"/>
      <c r="M408" s="402"/>
      <c r="N408" s="402"/>
      <c r="O408" s="402"/>
      <c r="P408" s="402"/>
      <c r="Q408" s="402"/>
      <c r="R408" s="402"/>
      <c r="S408" s="402"/>
      <c r="T408" s="402"/>
      <c r="U408" s="402"/>
      <c r="V408" s="402"/>
      <c r="W408" s="402"/>
      <c r="X408" s="402"/>
      <c r="Y408" s="402"/>
      <c r="Z408" s="402"/>
    </row>
    <row r="409" ht="14.25" customHeight="1">
      <c r="A409" s="406">
        <v>45516.0</v>
      </c>
      <c r="B409" s="349" t="s">
        <v>3208</v>
      </c>
      <c r="C409" s="349" t="s">
        <v>3209</v>
      </c>
      <c r="D409" s="349" t="s">
        <v>54</v>
      </c>
      <c r="E409" s="522" t="s">
        <v>3101</v>
      </c>
      <c r="F409" s="413">
        <v>7400.0</v>
      </c>
      <c r="G409" s="413">
        <v>0.0</v>
      </c>
      <c r="H409" s="349" t="s">
        <v>3301</v>
      </c>
      <c r="I409" s="736" t="str">
        <f t="shared" si="5"/>
        <v>NOT PAID</v>
      </c>
      <c r="J409" s="402"/>
      <c r="K409" s="402"/>
      <c r="L409" s="402"/>
      <c r="M409" s="402"/>
      <c r="N409" s="402"/>
      <c r="O409" s="402"/>
      <c r="P409" s="402"/>
      <c r="Q409" s="402"/>
      <c r="R409" s="402"/>
      <c r="S409" s="402"/>
      <c r="T409" s="402"/>
      <c r="U409" s="402"/>
      <c r="V409" s="402"/>
      <c r="W409" s="402"/>
      <c r="X409" s="402"/>
      <c r="Y409" s="402"/>
      <c r="Z409" s="402"/>
    </row>
    <row r="410" ht="14.25" customHeight="1">
      <c r="A410" s="406">
        <v>45516.0</v>
      </c>
      <c r="B410" s="349" t="s">
        <v>3083</v>
      </c>
      <c r="C410" s="349" t="s">
        <v>3084</v>
      </c>
      <c r="D410" s="349" t="s">
        <v>54</v>
      </c>
      <c r="E410" s="349" t="s">
        <v>3101</v>
      </c>
      <c r="F410" s="413">
        <v>12500.0</v>
      </c>
      <c r="G410" s="413">
        <v>10000.0</v>
      </c>
      <c r="H410" s="349" t="s">
        <v>3262</v>
      </c>
      <c r="I410" s="736" t="str">
        <f t="shared" si="5"/>
        <v>PARTIALLY PAID</v>
      </c>
      <c r="J410" s="402"/>
      <c r="K410" s="402"/>
      <c r="L410" s="402"/>
      <c r="M410" s="402"/>
      <c r="N410" s="402"/>
      <c r="O410" s="402"/>
      <c r="P410" s="402"/>
      <c r="Q410" s="402"/>
      <c r="R410" s="402"/>
      <c r="S410" s="402"/>
      <c r="T410" s="402"/>
      <c r="U410" s="402"/>
      <c r="V410" s="402"/>
      <c r="W410" s="402"/>
      <c r="X410" s="402"/>
      <c r="Y410" s="402"/>
      <c r="Z410" s="402"/>
    </row>
    <row r="411" ht="14.25" customHeight="1">
      <c r="A411" s="406">
        <v>45516.0</v>
      </c>
      <c r="B411" s="349" t="s">
        <v>3228</v>
      </c>
      <c r="C411" s="349" t="s">
        <v>3229</v>
      </c>
      <c r="D411" s="349" t="s">
        <v>3189</v>
      </c>
      <c r="E411" s="349" t="s">
        <v>3101</v>
      </c>
      <c r="F411" s="413">
        <v>57400.0</v>
      </c>
      <c r="G411" s="413">
        <v>2000.0</v>
      </c>
      <c r="H411" s="349" t="s">
        <v>3262</v>
      </c>
      <c r="I411" s="736" t="str">
        <f t="shared" si="5"/>
        <v>PARTIALLY PAID</v>
      </c>
      <c r="J411" s="402"/>
      <c r="K411" s="402"/>
      <c r="L411" s="402"/>
      <c r="M411" s="402"/>
      <c r="N411" s="402"/>
      <c r="O411" s="402"/>
      <c r="P411" s="402"/>
      <c r="Q411" s="402"/>
      <c r="R411" s="402"/>
      <c r="S411" s="402"/>
      <c r="T411" s="402"/>
      <c r="U411" s="402"/>
      <c r="V411" s="402"/>
      <c r="W411" s="402"/>
      <c r="X411" s="402"/>
      <c r="Y411" s="402"/>
      <c r="Z411" s="402"/>
    </row>
    <row r="412" ht="14.25" customHeight="1">
      <c r="A412" s="406">
        <v>45516.0</v>
      </c>
      <c r="B412" s="349" t="s">
        <v>3271</v>
      </c>
      <c r="C412" s="349" t="s">
        <v>3202</v>
      </c>
      <c r="D412" s="349" t="s">
        <v>54</v>
      </c>
      <c r="E412" s="522" t="s">
        <v>3251</v>
      </c>
      <c r="F412" s="413">
        <v>8500.0</v>
      </c>
      <c r="G412" s="413">
        <v>2000.0</v>
      </c>
      <c r="H412" s="349" t="s">
        <v>3302</v>
      </c>
      <c r="I412" s="736" t="str">
        <f t="shared" si="5"/>
        <v>PARTIALLY PAID</v>
      </c>
      <c r="J412" s="402"/>
      <c r="K412" s="402"/>
      <c r="L412" s="402"/>
      <c r="M412" s="402"/>
      <c r="N412" s="402"/>
      <c r="O412" s="402"/>
      <c r="P412" s="402"/>
      <c r="Q412" s="402"/>
      <c r="R412" s="402"/>
      <c r="S412" s="402"/>
      <c r="T412" s="402"/>
      <c r="U412" s="402"/>
      <c r="V412" s="402"/>
      <c r="W412" s="402"/>
      <c r="X412" s="402"/>
      <c r="Y412" s="402"/>
      <c r="Z412" s="402"/>
    </row>
    <row r="413" ht="14.25" customHeight="1">
      <c r="A413" s="406">
        <v>45516.0</v>
      </c>
      <c r="B413" s="406" t="s">
        <v>3233</v>
      </c>
      <c r="C413" s="349" t="s">
        <v>3234</v>
      </c>
      <c r="D413" s="349" t="s">
        <v>54</v>
      </c>
      <c r="E413" s="349" t="s">
        <v>3251</v>
      </c>
      <c r="F413" s="738">
        <v>29000.0</v>
      </c>
      <c r="G413" s="413">
        <v>0.0</v>
      </c>
      <c r="H413" s="349" t="s">
        <v>3303</v>
      </c>
      <c r="I413" s="736" t="str">
        <f t="shared" si="5"/>
        <v>NOT PAID</v>
      </c>
      <c r="J413" s="402"/>
      <c r="K413" s="402"/>
      <c r="L413" s="402"/>
      <c r="M413" s="402"/>
      <c r="N413" s="402"/>
      <c r="O413" s="402"/>
      <c r="P413" s="402"/>
      <c r="Q413" s="402"/>
      <c r="R413" s="402"/>
      <c r="S413" s="402"/>
      <c r="T413" s="402"/>
      <c r="U413" s="402"/>
      <c r="V413" s="402"/>
      <c r="W413" s="402"/>
      <c r="X413" s="402"/>
      <c r="Y413" s="402"/>
      <c r="Z413" s="402"/>
    </row>
    <row r="414" ht="14.25" customHeight="1">
      <c r="A414" s="406">
        <v>45516.0</v>
      </c>
      <c r="B414" s="406" t="s">
        <v>3235</v>
      </c>
      <c r="C414" s="349" t="s">
        <v>3236</v>
      </c>
      <c r="D414" s="349" t="s">
        <v>3189</v>
      </c>
      <c r="E414" s="349" t="s">
        <v>3101</v>
      </c>
      <c r="F414" s="738">
        <v>242500.0</v>
      </c>
      <c r="G414" s="413">
        <v>0.0</v>
      </c>
      <c r="H414" s="349" t="s">
        <v>3304</v>
      </c>
      <c r="I414" s="736" t="str">
        <f t="shared" si="5"/>
        <v>NOT PAID</v>
      </c>
      <c r="J414" s="402"/>
      <c r="K414" s="402"/>
      <c r="L414" s="402"/>
      <c r="M414" s="402"/>
      <c r="N414" s="402"/>
      <c r="O414" s="402"/>
      <c r="P414" s="402"/>
      <c r="Q414" s="402"/>
      <c r="R414" s="402"/>
      <c r="S414" s="402"/>
      <c r="T414" s="402"/>
      <c r="U414" s="402"/>
      <c r="V414" s="402"/>
      <c r="W414" s="402"/>
      <c r="X414" s="402"/>
      <c r="Y414" s="402"/>
      <c r="Z414" s="402"/>
    </row>
    <row r="415" ht="14.25" customHeight="1">
      <c r="A415" s="406">
        <v>45516.0</v>
      </c>
      <c r="B415" s="349" t="s">
        <v>3139</v>
      </c>
      <c r="C415" s="349" t="s">
        <v>3140</v>
      </c>
      <c r="D415" s="349" t="s">
        <v>54</v>
      </c>
      <c r="E415" s="349" t="s">
        <v>797</v>
      </c>
      <c r="F415" s="413">
        <v>143780.2</v>
      </c>
      <c r="G415" s="413">
        <v>0.0</v>
      </c>
      <c r="H415" s="349" t="s">
        <v>3282</v>
      </c>
      <c r="I415" s="736" t="str">
        <f t="shared" si="5"/>
        <v>NOT PAID</v>
      </c>
      <c r="J415" s="402"/>
      <c r="K415" s="402"/>
      <c r="L415" s="402"/>
      <c r="M415" s="402"/>
      <c r="N415" s="402"/>
      <c r="O415" s="402"/>
      <c r="P415" s="402"/>
      <c r="Q415" s="402"/>
      <c r="R415" s="402"/>
      <c r="S415" s="402"/>
      <c r="T415" s="402"/>
      <c r="U415" s="402"/>
      <c r="V415" s="402"/>
      <c r="W415" s="402"/>
      <c r="X415" s="402"/>
      <c r="Y415" s="402"/>
      <c r="Z415" s="402"/>
    </row>
    <row r="416" ht="14.25" customHeight="1">
      <c r="A416" s="406">
        <v>45516.0</v>
      </c>
      <c r="B416" s="349" t="s">
        <v>3149</v>
      </c>
      <c r="C416" s="349" t="s">
        <v>3150</v>
      </c>
      <c r="D416" s="349" t="s">
        <v>54</v>
      </c>
      <c r="E416" s="522" t="s">
        <v>797</v>
      </c>
      <c r="F416" s="413">
        <v>150000.0</v>
      </c>
      <c r="G416" s="413">
        <v>0.0</v>
      </c>
      <c r="H416" s="349" t="s">
        <v>3283</v>
      </c>
      <c r="I416" s="736" t="str">
        <f t="shared" si="5"/>
        <v>NOT PAID</v>
      </c>
      <c r="J416" s="402"/>
      <c r="K416" s="402"/>
      <c r="L416" s="402"/>
      <c r="M416" s="402"/>
      <c r="N416" s="402"/>
      <c r="O416" s="402"/>
      <c r="P416" s="402"/>
      <c r="Q416" s="402"/>
      <c r="R416" s="402"/>
      <c r="S416" s="402"/>
      <c r="T416" s="402"/>
      <c r="U416" s="402"/>
      <c r="V416" s="402"/>
      <c r="W416" s="402"/>
      <c r="X416" s="402"/>
      <c r="Y416" s="402"/>
      <c r="Z416" s="402"/>
    </row>
    <row r="417" ht="14.25" customHeight="1">
      <c r="A417" s="406">
        <v>45516.0</v>
      </c>
      <c r="B417" s="349" t="s">
        <v>3284</v>
      </c>
      <c r="C417" s="349" t="s">
        <v>3285</v>
      </c>
      <c r="D417" s="349" t="s">
        <v>3189</v>
      </c>
      <c r="E417" s="349" t="s">
        <v>3101</v>
      </c>
      <c r="F417" s="413">
        <v>740.0</v>
      </c>
      <c r="G417" s="413">
        <v>0.0</v>
      </c>
      <c r="H417" s="349" t="s">
        <v>3288</v>
      </c>
      <c r="I417" s="736" t="str">
        <f t="shared" si="5"/>
        <v>NOT PAID</v>
      </c>
      <c r="J417" s="402"/>
      <c r="K417" s="402"/>
      <c r="L417" s="402"/>
      <c r="M417" s="402"/>
      <c r="N417" s="402"/>
      <c r="O417" s="402"/>
      <c r="P417" s="402"/>
      <c r="Q417" s="402"/>
      <c r="R417" s="402"/>
      <c r="S417" s="402"/>
      <c r="T417" s="402"/>
      <c r="U417" s="402"/>
      <c r="V417" s="402"/>
      <c r="W417" s="402"/>
      <c r="X417" s="402"/>
      <c r="Y417" s="402"/>
      <c r="Z417" s="402"/>
    </row>
    <row r="418" ht="14.25" customHeight="1">
      <c r="A418" s="406">
        <v>45516.0</v>
      </c>
      <c r="B418" s="349" t="s">
        <v>3289</v>
      </c>
      <c r="C418" s="349" t="s">
        <v>3236</v>
      </c>
      <c r="D418" s="349" t="s">
        <v>54</v>
      </c>
      <c r="E418" s="522" t="s">
        <v>3115</v>
      </c>
      <c r="F418" s="413">
        <v>43129.0</v>
      </c>
      <c r="G418" s="413">
        <v>0.0</v>
      </c>
      <c r="H418" s="739" t="s">
        <v>3305</v>
      </c>
      <c r="I418" s="736" t="str">
        <f t="shared" si="5"/>
        <v>NOT PAID</v>
      </c>
      <c r="J418" s="402"/>
      <c r="K418" s="402"/>
      <c r="L418" s="402"/>
      <c r="M418" s="402"/>
      <c r="N418" s="402"/>
      <c r="O418" s="402"/>
      <c r="P418" s="402"/>
      <c r="Q418" s="402"/>
      <c r="R418" s="402"/>
      <c r="S418" s="402"/>
      <c r="T418" s="402"/>
      <c r="U418" s="402"/>
      <c r="V418" s="402"/>
      <c r="W418" s="402"/>
      <c r="X418" s="402"/>
      <c r="Y418" s="402"/>
      <c r="Z418" s="402"/>
    </row>
    <row r="419" ht="14.25" customHeight="1">
      <c r="A419" s="406">
        <v>45516.0</v>
      </c>
      <c r="B419" s="349" t="s">
        <v>3290</v>
      </c>
      <c r="C419" s="349" t="s">
        <v>3291</v>
      </c>
      <c r="D419" s="349" t="s">
        <v>54</v>
      </c>
      <c r="E419" s="349" t="s">
        <v>3101</v>
      </c>
      <c r="F419" s="413">
        <v>1800.0</v>
      </c>
      <c r="G419" s="413">
        <v>0.0</v>
      </c>
      <c r="H419" s="349" t="s">
        <v>3306</v>
      </c>
      <c r="I419" s="736" t="str">
        <f t="shared" si="5"/>
        <v>NOT PAID</v>
      </c>
      <c r="J419" s="402"/>
      <c r="K419" s="402"/>
      <c r="L419" s="402"/>
      <c r="M419" s="402"/>
      <c r="N419" s="402"/>
      <c r="O419" s="402"/>
      <c r="P419" s="402"/>
      <c r="Q419" s="402"/>
      <c r="R419" s="402"/>
      <c r="S419" s="402"/>
      <c r="T419" s="402"/>
      <c r="U419" s="402"/>
      <c r="V419" s="402"/>
      <c r="W419" s="402"/>
      <c r="X419" s="402"/>
      <c r="Y419" s="402"/>
      <c r="Z419" s="402"/>
    </row>
    <row r="420" ht="14.25" customHeight="1">
      <c r="A420" s="406">
        <v>45516.0</v>
      </c>
      <c r="B420" s="349" t="s">
        <v>3307</v>
      </c>
      <c r="C420" s="349" t="s">
        <v>3206</v>
      </c>
      <c r="D420" s="349" t="s">
        <v>54</v>
      </c>
      <c r="E420" s="349" t="s">
        <v>3078</v>
      </c>
      <c r="F420" s="413">
        <v>46089.0</v>
      </c>
      <c r="G420" s="413">
        <v>46089.0</v>
      </c>
      <c r="H420" s="349" t="s">
        <v>772</v>
      </c>
      <c r="I420" s="736" t="str">
        <f t="shared" si="5"/>
        <v>FULLY PAID</v>
      </c>
      <c r="J420" s="402"/>
      <c r="K420" s="402"/>
      <c r="L420" s="402"/>
      <c r="M420" s="402"/>
      <c r="N420" s="402"/>
      <c r="O420" s="402"/>
      <c r="P420" s="402"/>
      <c r="Q420" s="402"/>
      <c r="R420" s="402"/>
      <c r="S420" s="402"/>
      <c r="T420" s="402"/>
      <c r="U420" s="402"/>
      <c r="V420" s="402"/>
      <c r="W420" s="402"/>
      <c r="X420" s="402"/>
      <c r="Y420" s="402"/>
      <c r="Z420" s="402"/>
    </row>
    <row r="421" ht="14.25" customHeight="1">
      <c r="A421" s="406">
        <v>45516.0</v>
      </c>
      <c r="B421" s="349" t="s">
        <v>3196</v>
      </c>
      <c r="C421" s="349" t="s">
        <v>3197</v>
      </c>
      <c r="D421" s="349" t="s">
        <v>3189</v>
      </c>
      <c r="E421" s="522" t="s">
        <v>3101</v>
      </c>
      <c r="F421" s="413">
        <v>75000.0</v>
      </c>
      <c r="G421" s="413">
        <v>75000.0</v>
      </c>
      <c r="H421" s="349" t="s">
        <v>899</v>
      </c>
      <c r="I421" s="736" t="str">
        <f t="shared" si="5"/>
        <v>FULLY PAID</v>
      </c>
      <c r="J421" s="402"/>
      <c r="K421" s="402"/>
      <c r="L421" s="402"/>
      <c r="M421" s="402"/>
      <c r="N421" s="402"/>
      <c r="O421" s="402"/>
      <c r="P421" s="402"/>
      <c r="Q421" s="402"/>
      <c r="R421" s="402"/>
      <c r="S421" s="402"/>
      <c r="T421" s="402"/>
      <c r="U421" s="402"/>
      <c r="V421" s="402"/>
      <c r="W421" s="402"/>
      <c r="X421" s="402"/>
      <c r="Y421" s="402"/>
      <c r="Z421" s="402"/>
    </row>
    <row r="422" ht="14.25" customHeight="1">
      <c r="A422" s="402"/>
      <c r="B422" s="402"/>
      <c r="C422" s="402"/>
      <c r="D422" s="402"/>
      <c r="E422" s="402"/>
      <c r="F422" s="403"/>
      <c r="G422" s="403"/>
      <c r="H422" s="402"/>
      <c r="I422" s="736" t="str">
        <f t="shared" si="5"/>
        <v>FULLY PAID</v>
      </c>
      <c r="J422" s="402"/>
      <c r="K422" s="402"/>
      <c r="L422" s="402"/>
      <c r="M422" s="402"/>
      <c r="N422" s="402"/>
      <c r="O422" s="402"/>
      <c r="P422" s="402"/>
      <c r="Q422" s="402"/>
      <c r="R422" s="402"/>
      <c r="S422" s="402"/>
      <c r="T422" s="402"/>
      <c r="U422" s="402"/>
      <c r="V422" s="402"/>
      <c r="W422" s="402"/>
      <c r="X422" s="402"/>
      <c r="Y422" s="402"/>
      <c r="Z422" s="402"/>
    </row>
    <row r="423" ht="14.25" customHeight="1">
      <c r="A423" s="402"/>
      <c r="B423" s="402"/>
      <c r="C423" s="402"/>
      <c r="D423" s="402"/>
      <c r="E423" s="402"/>
      <c r="F423" s="403"/>
      <c r="G423" s="403"/>
      <c r="H423" s="402"/>
      <c r="I423" s="736" t="str">
        <f t="shared" si="5"/>
        <v>FULLY PAID</v>
      </c>
      <c r="J423" s="402"/>
      <c r="K423" s="402"/>
      <c r="L423" s="402"/>
      <c r="M423" s="402"/>
      <c r="N423" s="402"/>
      <c r="O423" s="402"/>
      <c r="P423" s="402"/>
      <c r="Q423" s="402"/>
      <c r="R423" s="402"/>
      <c r="S423" s="402"/>
      <c r="T423" s="402"/>
      <c r="U423" s="402"/>
      <c r="V423" s="402"/>
      <c r="W423" s="402"/>
      <c r="X423" s="402"/>
      <c r="Y423" s="402"/>
      <c r="Z423" s="402"/>
    </row>
    <row r="424" ht="14.25" customHeight="1">
      <c r="A424" s="730" t="s">
        <v>39</v>
      </c>
      <c r="B424" s="730" t="s">
        <v>3075</v>
      </c>
      <c r="C424" s="730" t="s">
        <v>49</v>
      </c>
      <c r="D424" s="730" t="s">
        <v>50</v>
      </c>
      <c r="E424" s="731" t="s">
        <v>2</v>
      </c>
      <c r="F424" s="731" t="s">
        <v>2</v>
      </c>
      <c r="G424" s="731" t="s">
        <v>4</v>
      </c>
      <c r="H424" s="730" t="s">
        <v>45</v>
      </c>
      <c r="I424" s="736" t="str">
        <f t="shared" si="5"/>
        <v>FULLY PAID</v>
      </c>
      <c r="J424" s="402"/>
      <c r="K424" s="402"/>
      <c r="L424" s="402"/>
      <c r="M424" s="402"/>
      <c r="N424" s="402"/>
      <c r="O424" s="402"/>
      <c r="P424" s="402"/>
      <c r="Q424" s="402"/>
      <c r="R424" s="402"/>
      <c r="S424" s="402"/>
      <c r="T424" s="402"/>
      <c r="U424" s="402"/>
      <c r="V424" s="402"/>
      <c r="W424" s="402"/>
      <c r="X424" s="402"/>
      <c r="Y424" s="402"/>
      <c r="Z424" s="402"/>
    </row>
    <row r="425" ht="14.25" customHeight="1">
      <c r="A425" s="406">
        <v>45517.0</v>
      </c>
      <c r="B425" s="522" t="s">
        <v>3087</v>
      </c>
      <c r="C425" s="522" t="s">
        <v>3088</v>
      </c>
      <c r="D425" s="522" t="s">
        <v>54</v>
      </c>
      <c r="E425" s="522" t="s">
        <v>3308</v>
      </c>
      <c r="F425" s="567">
        <v>23500.0</v>
      </c>
      <c r="G425" s="413">
        <v>0.0</v>
      </c>
      <c r="H425" s="349" t="s">
        <v>3309</v>
      </c>
      <c r="I425" s="736" t="str">
        <f t="shared" si="5"/>
        <v>NOT PAID</v>
      </c>
      <c r="J425" s="402"/>
      <c r="K425" s="402"/>
      <c r="L425" s="402"/>
      <c r="M425" s="402"/>
      <c r="N425" s="402"/>
      <c r="O425" s="402"/>
      <c r="P425" s="402"/>
      <c r="Q425" s="402"/>
      <c r="R425" s="402"/>
      <c r="S425" s="402"/>
      <c r="T425" s="402"/>
      <c r="U425" s="402"/>
      <c r="V425" s="402"/>
      <c r="W425" s="402"/>
      <c r="X425" s="402"/>
      <c r="Y425" s="402"/>
      <c r="Z425" s="402"/>
    </row>
    <row r="426" ht="14.25" customHeight="1">
      <c r="A426" s="406">
        <v>45517.0</v>
      </c>
      <c r="B426" s="522" t="s">
        <v>3094</v>
      </c>
      <c r="C426" s="522" t="s">
        <v>3095</v>
      </c>
      <c r="D426" s="522" t="s">
        <v>54</v>
      </c>
      <c r="E426" s="522" t="s">
        <v>3078</v>
      </c>
      <c r="F426" s="567">
        <v>9300.0</v>
      </c>
      <c r="G426" s="413">
        <v>0.0</v>
      </c>
      <c r="H426" s="349" t="s">
        <v>3310</v>
      </c>
      <c r="I426" s="736" t="str">
        <f t="shared" si="5"/>
        <v>NOT PAID</v>
      </c>
      <c r="J426" s="402"/>
      <c r="K426" s="402"/>
      <c r="L426" s="402"/>
      <c r="M426" s="402"/>
      <c r="N426" s="402"/>
      <c r="O426" s="402"/>
      <c r="P426" s="402"/>
      <c r="Q426" s="402"/>
      <c r="R426" s="402"/>
      <c r="S426" s="402"/>
      <c r="T426" s="402"/>
      <c r="U426" s="402"/>
      <c r="V426" s="402"/>
      <c r="W426" s="402"/>
      <c r="X426" s="402"/>
      <c r="Y426" s="402"/>
      <c r="Z426" s="402"/>
    </row>
    <row r="427" ht="14.25" customHeight="1">
      <c r="A427" s="406">
        <v>45517.0</v>
      </c>
      <c r="B427" s="522" t="s">
        <v>652</v>
      </c>
      <c r="C427" s="522" t="s">
        <v>3097</v>
      </c>
      <c r="D427" s="522" t="s">
        <v>2010</v>
      </c>
      <c r="E427" s="522" t="s">
        <v>3308</v>
      </c>
      <c r="F427" s="567">
        <v>145645.0</v>
      </c>
      <c r="G427" s="413">
        <v>0.0</v>
      </c>
      <c r="H427" s="349" t="s">
        <v>3311</v>
      </c>
      <c r="I427" s="736" t="str">
        <f t="shared" si="5"/>
        <v>NOT PAID</v>
      </c>
      <c r="J427" s="402"/>
      <c r="K427" s="402"/>
      <c r="L427" s="402"/>
      <c r="M427" s="402"/>
      <c r="N427" s="402"/>
      <c r="O427" s="402"/>
      <c r="P427" s="402"/>
      <c r="Q427" s="402"/>
      <c r="R427" s="402"/>
      <c r="S427" s="402"/>
      <c r="T427" s="402"/>
      <c r="U427" s="402"/>
      <c r="V427" s="402"/>
      <c r="W427" s="402"/>
      <c r="X427" s="402"/>
      <c r="Y427" s="402"/>
      <c r="Z427" s="402"/>
    </row>
    <row r="428" ht="14.25" customHeight="1">
      <c r="A428" s="406">
        <v>45517.0</v>
      </c>
      <c r="B428" s="522" t="s">
        <v>3099</v>
      </c>
      <c r="C428" s="522" t="s">
        <v>3100</v>
      </c>
      <c r="D428" s="522" t="s">
        <v>54</v>
      </c>
      <c r="E428" s="522" t="s">
        <v>3308</v>
      </c>
      <c r="F428" s="567">
        <v>103900.0</v>
      </c>
      <c r="G428" s="413">
        <v>0.0</v>
      </c>
      <c r="H428" s="349" t="s">
        <v>3312</v>
      </c>
      <c r="I428" s="736" t="str">
        <f t="shared" si="5"/>
        <v>NOT PAID</v>
      </c>
      <c r="J428" s="402"/>
      <c r="K428" s="402"/>
      <c r="L428" s="402"/>
      <c r="M428" s="402"/>
      <c r="N428" s="402"/>
      <c r="O428" s="402"/>
      <c r="P428" s="402"/>
      <c r="Q428" s="402"/>
      <c r="R428" s="402"/>
      <c r="S428" s="402"/>
      <c r="T428" s="402"/>
      <c r="U428" s="402"/>
      <c r="V428" s="402"/>
      <c r="W428" s="402"/>
      <c r="X428" s="402"/>
      <c r="Y428" s="402"/>
      <c r="Z428" s="402"/>
    </row>
    <row r="429" ht="14.25" customHeight="1">
      <c r="A429" s="406">
        <v>45517.0</v>
      </c>
      <c r="B429" s="349" t="s">
        <v>3107</v>
      </c>
      <c r="C429" s="349" t="s">
        <v>3108</v>
      </c>
      <c r="D429" s="349" t="s">
        <v>54</v>
      </c>
      <c r="E429" s="349" t="s">
        <v>3101</v>
      </c>
      <c r="F429" s="413">
        <v>9500.0</v>
      </c>
      <c r="G429" s="413">
        <v>0.0</v>
      </c>
      <c r="H429" s="349" t="s">
        <v>3313</v>
      </c>
      <c r="I429" s="736" t="str">
        <f t="shared" si="5"/>
        <v>NOT PAID</v>
      </c>
      <c r="J429" s="402"/>
      <c r="K429" s="402"/>
      <c r="L429" s="402"/>
      <c r="M429" s="402"/>
      <c r="N429" s="402"/>
      <c r="O429" s="402"/>
      <c r="P429" s="402"/>
      <c r="Q429" s="402"/>
      <c r="R429" s="402"/>
      <c r="S429" s="402"/>
      <c r="T429" s="402"/>
      <c r="U429" s="402"/>
      <c r="V429" s="402"/>
      <c r="W429" s="402"/>
      <c r="X429" s="402"/>
      <c r="Y429" s="402"/>
      <c r="Z429" s="402"/>
    </row>
    <row r="430" ht="14.25" customHeight="1">
      <c r="A430" s="406">
        <v>45517.0</v>
      </c>
      <c r="B430" s="522" t="s">
        <v>3134</v>
      </c>
      <c r="C430" s="522" t="s">
        <v>3176</v>
      </c>
      <c r="D430" s="349" t="s">
        <v>54</v>
      </c>
      <c r="E430" s="522" t="s">
        <v>3078</v>
      </c>
      <c r="F430" s="733">
        <v>80300.0</v>
      </c>
      <c r="G430" s="413">
        <v>0.0</v>
      </c>
      <c r="H430" s="349" t="s">
        <v>3314</v>
      </c>
      <c r="I430" s="736" t="str">
        <f t="shared" si="5"/>
        <v>NOT PAID</v>
      </c>
      <c r="J430" s="402"/>
      <c r="K430" s="402"/>
      <c r="L430" s="402"/>
      <c r="M430" s="402"/>
      <c r="N430" s="402"/>
      <c r="O430" s="402"/>
      <c r="P430" s="402"/>
      <c r="Q430" s="402"/>
      <c r="R430" s="402"/>
      <c r="S430" s="402"/>
      <c r="T430" s="402"/>
      <c r="U430" s="402"/>
      <c r="V430" s="402"/>
      <c r="W430" s="402"/>
      <c r="X430" s="402"/>
      <c r="Y430" s="402"/>
      <c r="Z430" s="402"/>
    </row>
    <row r="431" ht="14.25" customHeight="1">
      <c r="A431" s="406">
        <v>45517.0</v>
      </c>
      <c r="B431" s="349" t="s">
        <v>3076</v>
      </c>
      <c r="C431" s="349" t="s">
        <v>3077</v>
      </c>
      <c r="D431" s="349" t="s">
        <v>54</v>
      </c>
      <c r="E431" s="522" t="s">
        <v>3078</v>
      </c>
      <c r="F431" s="413">
        <v>5600.0</v>
      </c>
      <c r="G431" s="413">
        <v>0.0</v>
      </c>
      <c r="H431" s="349" t="s">
        <v>3315</v>
      </c>
      <c r="I431" s="736" t="str">
        <f t="shared" si="5"/>
        <v>NOT PAID</v>
      </c>
      <c r="J431" s="402"/>
      <c r="K431" s="402"/>
      <c r="L431" s="402"/>
      <c r="M431" s="402"/>
      <c r="N431" s="402"/>
      <c r="O431" s="402"/>
      <c r="P431" s="402"/>
      <c r="Q431" s="402"/>
      <c r="R431" s="402"/>
      <c r="S431" s="402"/>
      <c r="T431" s="402"/>
      <c r="U431" s="402"/>
      <c r="V431" s="402"/>
      <c r="W431" s="402"/>
      <c r="X431" s="402"/>
      <c r="Y431" s="402"/>
      <c r="Z431" s="402"/>
    </row>
    <row r="432" ht="14.25" customHeight="1">
      <c r="A432" s="406">
        <v>45517.0</v>
      </c>
      <c r="B432" s="349" t="s">
        <v>3173</v>
      </c>
      <c r="C432" s="349" t="s">
        <v>3174</v>
      </c>
      <c r="D432" s="349" t="s">
        <v>54</v>
      </c>
      <c r="E432" s="522" t="s">
        <v>3101</v>
      </c>
      <c r="F432" s="413">
        <v>25400.0</v>
      </c>
      <c r="G432" s="413">
        <v>0.0</v>
      </c>
      <c r="H432" s="349" t="s">
        <v>3316</v>
      </c>
      <c r="I432" s="736" t="str">
        <f t="shared" si="5"/>
        <v>NOT PAID</v>
      </c>
      <c r="J432" s="402"/>
      <c r="K432" s="402"/>
      <c r="L432" s="402"/>
      <c r="M432" s="402"/>
      <c r="N432" s="402"/>
      <c r="O432" s="402"/>
      <c r="P432" s="402"/>
      <c r="Q432" s="402"/>
      <c r="R432" s="402"/>
      <c r="S432" s="402"/>
      <c r="T432" s="402"/>
      <c r="U432" s="402"/>
      <c r="V432" s="402"/>
      <c r="W432" s="402"/>
      <c r="X432" s="402"/>
      <c r="Y432" s="402"/>
      <c r="Z432" s="402"/>
    </row>
    <row r="433" ht="14.25" customHeight="1">
      <c r="A433" s="406">
        <v>45517.0</v>
      </c>
      <c r="B433" s="349" t="s">
        <v>3191</v>
      </c>
      <c r="C433" s="349" t="s">
        <v>3192</v>
      </c>
      <c r="D433" s="349" t="s">
        <v>54</v>
      </c>
      <c r="E433" s="349" t="s">
        <v>3101</v>
      </c>
      <c r="F433" s="413">
        <v>42340.0</v>
      </c>
      <c r="G433" s="413">
        <v>0.0</v>
      </c>
      <c r="H433" s="349" t="s">
        <v>3317</v>
      </c>
      <c r="I433" s="736" t="str">
        <f t="shared" si="5"/>
        <v>NOT PAID</v>
      </c>
      <c r="J433" s="402"/>
      <c r="K433" s="402"/>
      <c r="L433" s="402"/>
      <c r="M433" s="402"/>
      <c r="N433" s="402"/>
      <c r="O433" s="402"/>
      <c r="P433" s="402"/>
      <c r="Q433" s="402"/>
      <c r="R433" s="402"/>
      <c r="S433" s="402"/>
      <c r="T433" s="402"/>
      <c r="U433" s="402"/>
      <c r="V433" s="402"/>
      <c r="W433" s="402"/>
      <c r="X433" s="402"/>
      <c r="Y433" s="402"/>
      <c r="Z433" s="402"/>
    </row>
    <row r="434" ht="14.25" customHeight="1">
      <c r="A434" s="406">
        <v>45517.0</v>
      </c>
      <c r="B434" s="522" t="s">
        <v>3263</v>
      </c>
      <c r="C434" s="349" t="s">
        <v>3264</v>
      </c>
      <c r="D434" s="349" t="s">
        <v>54</v>
      </c>
      <c r="E434" s="522" t="s">
        <v>3078</v>
      </c>
      <c r="F434" s="413">
        <v>1700.0</v>
      </c>
      <c r="G434" s="413">
        <v>0.0</v>
      </c>
      <c r="H434" s="349" t="s">
        <v>3318</v>
      </c>
      <c r="I434" s="736" t="str">
        <f t="shared" si="5"/>
        <v>NOT PAID</v>
      </c>
      <c r="J434" s="402"/>
      <c r="K434" s="402"/>
      <c r="L434" s="402"/>
      <c r="M434" s="402"/>
      <c r="N434" s="402"/>
      <c r="O434" s="402"/>
      <c r="P434" s="402"/>
      <c r="Q434" s="402"/>
      <c r="R434" s="402"/>
      <c r="S434" s="402"/>
      <c r="T434" s="402"/>
      <c r="U434" s="402"/>
      <c r="V434" s="402"/>
      <c r="W434" s="402"/>
      <c r="X434" s="402"/>
      <c r="Y434" s="402"/>
      <c r="Z434" s="402"/>
    </row>
    <row r="435" ht="14.25" customHeight="1">
      <c r="A435" s="406">
        <v>45517.0</v>
      </c>
      <c r="B435" s="349" t="s">
        <v>3193</v>
      </c>
      <c r="C435" s="349" t="s">
        <v>3194</v>
      </c>
      <c r="D435" s="349" t="s">
        <v>3189</v>
      </c>
      <c r="E435" s="349" t="s">
        <v>3078</v>
      </c>
      <c r="F435" s="413">
        <v>148776.0</v>
      </c>
      <c r="G435" s="413">
        <v>0.0</v>
      </c>
      <c r="H435" s="349" t="s">
        <v>3319</v>
      </c>
      <c r="I435" s="736" t="str">
        <f t="shared" si="5"/>
        <v>NOT PAID</v>
      </c>
      <c r="J435" s="402"/>
      <c r="K435" s="402"/>
      <c r="L435" s="402"/>
      <c r="M435" s="402"/>
      <c r="N435" s="402"/>
      <c r="O435" s="402"/>
      <c r="P435" s="402"/>
      <c r="Q435" s="402"/>
      <c r="R435" s="402"/>
      <c r="S435" s="402"/>
      <c r="T435" s="402"/>
      <c r="U435" s="402"/>
      <c r="V435" s="402"/>
      <c r="W435" s="402"/>
      <c r="X435" s="402"/>
      <c r="Y435" s="402"/>
      <c r="Z435" s="402"/>
    </row>
    <row r="436" ht="14.25" customHeight="1">
      <c r="A436" s="406">
        <v>45517.0</v>
      </c>
      <c r="B436" s="349" t="s">
        <v>3278</v>
      </c>
      <c r="C436" s="349" t="s">
        <v>3232</v>
      </c>
      <c r="D436" s="349" t="s">
        <v>54</v>
      </c>
      <c r="E436" s="522" t="s">
        <v>3308</v>
      </c>
      <c r="F436" s="413">
        <v>83600.0</v>
      </c>
      <c r="G436" s="413">
        <v>35000.0</v>
      </c>
      <c r="H436" s="349" t="s">
        <v>3320</v>
      </c>
      <c r="I436" s="736" t="str">
        <f t="shared" si="5"/>
        <v>PARTIALLY PAID</v>
      </c>
      <c r="J436" s="402"/>
      <c r="K436" s="402"/>
      <c r="L436" s="402"/>
      <c r="M436" s="402"/>
      <c r="N436" s="402"/>
      <c r="O436" s="402"/>
      <c r="P436" s="402"/>
      <c r="Q436" s="402"/>
      <c r="R436" s="402"/>
      <c r="S436" s="402"/>
      <c r="T436" s="402"/>
      <c r="U436" s="402"/>
      <c r="V436" s="402"/>
      <c r="W436" s="402"/>
      <c r="X436" s="402"/>
      <c r="Y436" s="402"/>
      <c r="Z436" s="402"/>
    </row>
    <row r="437" ht="14.25" customHeight="1">
      <c r="A437" s="406">
        <v>45517.0</v>
      </c>
      <c r="B437" s="349" t="s">
        <v>3208</v>
      </c>
      <c r="C437" s="349" t="s">
        <v>3209</v>
      </c>
      <c r="D437" s="349" t="s">
        <v>54</v>
      </c>
      <c r="E437" s="522" t="s">
        <v>3101</v>
      </c>
      <c r="F437" s="413">
        <v>7400.0</v>
      </c>
      <c r="G437" s="413">
        <v>7500.0</v>
      </c>
      <c r="H437" s="349" t="s">
        <v>710</v>
      </c>
      <c r="I437" s="736" t="str">
        <f t="shared" si="5"/>
        <v>FULLY PAID</v>
      </c>
      <c r="J437" s="402"/>
      <c r="K437" s="402"/>
      <c r="L437" s="402"/>
      <c r="M437" s="402"/>
      <c r="N437" s="402"/>
      <c r="O437" s="402"/>
      <c r="P437" s="402"/>
      <c r="Q437" s="402"/>
      <c r="R437" s="402"/>
      <c r="S437" s="402"/>
      <c r="T437" s="402"/>
      <c r="U437" s="402"/>
      <c r="V437" s="402"/>
      <c r="W437" s="402"/>
      <c r="X437" s="402"/>
      <c r="Y437" s="402"/>
      <c r="Z437" s="402"/>
    </row>
    <row r="438" ht="14.25" customHeight="1">
      <c r="A438" s="406">
        <v>45517.0</v>
      </c>
      <c r="B438" s="349" t="s">
        <v>3083</v>
      </c>
      <c r="C438" s="349" t="s">
        <v>3084</v>
      </c>
      <c r="D438" s="349" t="s">
        <v>54</v>
      </c>
      <c r="E438" s="349" t="s">
        <v>3101</v>
      </c>
      <c r="F438" s="413">
        <v>2500.0</v>
      </c>
      <c r="G438" s="413">
        <v>0.0</v>
      </c>
      <c r="H438" s="349" t="s">
        <v>2184</v>
      </c>
      <c r="I438" s="736" t="str">
        <f t="shared" si="5"/>
        <v>NOT PAID</v>
      </c>
      <c r="J438" s="402"/>
      <c r="K438" s="402"/>
      <c r="L438" s="402"/>
      <c r="M438" s="402"/>
      <c r="N438" s="402"/>
      <c r="O438" s="402"/>
      <c r="P438" s="402"/>
      <c r="Q438" s="402"/>
      <c r="R438" s="402"/>
      <c r="S438" s="402"/>
      <c r="T438" s="402"/>
      <c r="U438" s="402"/>
      <c r="V438" s="402"/>
      <c r="W438" s="402"/>
      <c r="X438" s="402"/>
      <c r="Y438" s="402"/>
      <c r="Z438" s="402"/>
    </row>
    <row r="439" ht="14.25" customHeight="1">
      <c r="A439" s="406">
        <v>45517.0</v>
      </c>
      <c r="B439" s="349" t="s">
        <v>3228</v>
      </c>
      <c r="C439" s="349" t="s">
        <v>3229</v>
      </c>
      <c r="D439" s="349" t="s">
        <v>3189</v>
      </c>
      <c r="E439" s="349" t="s">
        <v>3101</v>
      </c>
      <c r="F439" s="413">
        <v>57400.0</v>
      </c>
      <c r="G439" s="413">
        <v>0.0</v>
      </c>
      <c r="H439" s="349" t="s">
        <v>3321</v>
      </c>
      <c r="I439" s="736" t="str">
        <f t="shared" si="5"/>
        <v>NOT PAID</v>
      </c>
      <c r="J439" s="402"/>
      <c r="K439" s="402"/>
      <c r="L439" s="402"/>
      <c r="M439" s="402"/>
      <c r="N439" s="402"/>
      <c r="O439" s="402"/>
      <c r="P439" s="402"/>
      <c r="Q439" s="402"/>
      <c r="R439" s="402"/>
      <c r="S439" s="402"/>
      <c r="T439" s="402"/>
      <c r="U439" s="402"/>
      <c r="V439" s="402"/>
      <c r="W439" s="402"/>
      <c r="X439" s="402"/>
      <c r="Y439" s="402"/>
      <c r="Z439" s="402"/>
    </row>
    <row r="440" ht="14.25" customHeight="1">
      <c r="A440" s="406">
        <v>45517.0</v>
      </c>
      <c r="B440" s="349" t="s">
        <v>3271</v>
      </c>
      <c r="C440" s="349" t="s">
        <v>3202</v>
      </c>
      <c r="D440" s="349" t="s">
        <v>54</v>
      </c>
      <c r="E440" s="522" t="s">
        <v>3308</v>
      </c>
      <c r="F440" s="413">
        <v>3050.0</v>
      </c>
      <c r="G440" s="413">
        <v>0.0</v>
      </c>
      <c r="H440" s="349" t="s">
        <v>3309</v>
      </c>
      <c r="I440" s="736" t="str">
        <f t="shared" si="5"/>
        <v>NOT PAID</v>
      </c>
      <c r="J440" s="402"/>
      <c r="K440" s="402"/>
      <c r="L440" s="402"/>
      <c r="M440" s="402"/>
      <c r="N440" s="402"/>
      <c r="O440" s="402"/>
      <c r="P440" s="402"/>
      <c r="Q440" s="402"/>
      <c r="R440" s="402"/>
      <c r="S440" s="402"/>
      <c r="T440" s="402"/>
      <c r="U440" s="402"/>
      <c r="V440" s="402"/>
      <c r="W440" s="402"/>
      <c r="X440" s="402"/>
      <c r="Y440" s="402"/>
      <c r="Z440" s="402"/>
    </row>
    <row r="441" ht="14.25" customHeight="1">
      <c r="A441" s="406">
        <v>45517.0</v>
      </c>
      <c r="B441" s="406" t="s">
        <v>3233</v>
      </c>
      <c r="C441" s="349" t="s">
        <v>3234</v>
      </c>
      <c r="D441" s="349" t="s">
        <v>54</v>
      </c>
      <c r="E441" s="522" t="s">
        <v>3308</v>
      </c>
      <c r="F441" s="738">
        <v>3000.0</v>
      </c>
      <c r="G441" s="413">
        <v>0.0</v>
      </c>
      <c r="H441" s="349" t="s">
        <v>3309</v>
      </c>
      <c r="I441" s="736" t="str">
        <f t="shared" si="5"/>
        <v>NOT PAID</v>
      </c>
      <c r="J441" s="402"/>
      <c r="K441" s="402"/>
      <c r="L441" s="402"/>
      <c r="M441" s="402"/>
      <c r="N441" s="402"/>
      <c r="O441" s="402"/>
      <c r="P441" s="402"/>
      <c r="Q441" s="402"/>
      <c r="R441" s="402"/>
      <c r="S441" s="402"/>
      <c r="T441" s="402"/>
      <c r="U441" s="402"/>
      <c r="V441" s="402"/>
      <c r="W441" s="402"/>
      <c r="X441" s="402"/>
      <c r="Y441" s="402"/>
      <c r="Z441" s="402"/>
    </row>
    <row r="442" ht="14.25" customHeight="1">
      <c r="A442" s="406">
        <v>45517.0</v>
      </c>
      <c r="B442" s="406" t="s">
        <v>3235</v>
      </c>
      <c r="C442" s="349" t="s">
        <v>3236</v>
      </c>
      <c r="D442" s="349" t="s">
        <v>3189</v>
      </c>
      <c r="E442" s="349" t="s">
        <v>3101</v>
      </c>
      <c r="F442" s="738">
        <v>242500.0</v>
      </c>
      <c r="G442" s="413">
        <v>0.0</v>
      </c>
      <c r="H442" s="349" t="s">
        <v>3322</v>
      </c>
      <c r="I442" s="736" t="str">
        <f t="shared" si="5"/>
        <v>NOT PAID</v>
      </c>
      <c r="J442" s="402"/>
      <c r="K442" s="402"/>
      <c r="L442" s="402"/>
      <c r="M442" s="402"/>
      <c r="N442" s="402"/>
      <c r="O442" s="402"/>
      <c r="P442" s="402"/>
      <c r="Q442" s="402"/>
      <c r="R442" s="402"/>
      <c r="S442" s="402"/>
      <c r="T442" s="402"/>
      <c r="U442" s="402"/>
      <c r="V442" s="402"/>
      <c r="W442" s="402"/>
      <c r="X442" s="402"/>
      <c r="Y442" s="402"/>
      <c r="Z442" s="402"/>
    </row>
    <row r="443" ht="14.25" customHeight="1">
      <c r="A443" s="406">
        <v>45517.0</v>
      </c>
      <c r="B443" s="349" t="s">
        <v>3139</v>
      </c>
      <c r="C443" s="349" t="s">
        <v>3140</v>
      </c>
      <c r="D443" s="349" t="s">
        <v>54</v>
      </c>
      <c r="E443" s="522" t="s">
        <v>3308</v>
      </c>
      <c r="F443" s="413">
        <v>143780.2</v>
      </c>
      <c r="G443" s="413">
        <v>0.0</v>
      </c>
      <c r="H443" s="349" t="s">
        <v>3323</v>
      </c>
      <c r="I443" s="736" t="str">
        <f t="shared" si="5"/>
        <v>NOT PAID</v>
      </c>
      <c r="J443" s="402"/>
      <c r="K443" s="402"/>
      <c r="L443" s="402"/>
      <c r="M443" s="402"/>
      <c r="N443" s="402"/>
      <c r="O443" s="402"/>
      <c r="P443" s="402"/>
      <c r="Q443" s="402"/>
      <c r="R443" s="402"/>
      <c r="S443" s="402"/>
      <c r="T443" s="402"/>
      <c r="U443" s="402"/>
      <c r="V443" s="402"/>
      <c r="W443" s="402"/>
      <c r="X443" s="402"/>
      <c r="Y443" s="402"/>
      <c r="Z443" s="402"/>
    </row>
    <row r="444" ht="14.25" customHeight="1">
      <c r="A444" s="406">
        <v>45517.0</v>
      </c>
      <c r="B444" s="349" t="s">
        <v>3149</v>
      </c>
      <c r="C444" s="349" t="s">
        <v>3150</v>
      </c>
      <c r="D444" s="349" t="s">
        <v>54</v>
      </c>
      <c r="E444" s="522" t="s">
        <v>3308</v>
      </c>
      <c r="F444" s="413">
        <v>110000.0</v>
      </c>
      <c r="G444" s="413">
        <v>0.0</v>
      </c>
      <c r="H444" s="349" t="s">
        <v>3324</v>
      </c>
      <c r="I444" s="736" t="str">
        <f t="shared" si="5"/>
        <v>NOT PAID</v>
      </c>
      <c r="J444" s="402"/>
      <c r="K444" s="402"/>
      <c r="L444" s="402"/>
      <c r="M444" s="402"/>
      <c r="N444" s="402"/>
      <c r="O444" s="402"/>
      <c r="P444" s="402"/>
      <c r="Q444" s="402"/>
      <c r="R444" s="402"/>
      <c r="S444" s="402"/>
      <c r="T444" s="402"/>
      <c r="U444" s="402"/>
      <c r="V444" s="402"/>
      <c r="W444" s="402"/>
      <c r="X444" s="402"/>
      <c r="Y444" s="402"/>
      <c r="Z444" s="402"/>
    </row>
    <row r="445" ht="14.25" customHeight="1">
      <c r="A445" s="406">
        <v>45517.0</v>
      </c>
      <c r="B445" s="349" t="s">
        <v>3284</v>
      </c>
      <c r="C445" s="349" t="s">
        <v>3285</v>
      </c>
      <c r="D445" s="349" t="s">
        <v>3189</v>
      </c>
      <c r="E445" s="522" t="s">
        <v>3101</v>
      </c>
      <c r="F445" s="413">
        <v>740.0</v>
      </c>
      <c r="G445" s="413">
        <v>0.0</v>
      </c>
      <c r="H445" s="349" t="s">
        <v>3325</v>
      </c>
      <c r="I445" s="736" t="str">
        <f t="shared" si="5"/>
        <v>NOT PAID</v>
      </c>
      <c r="J445" s="402"/>
      <c r="K445" s="402"/>
      <c r="L445" s="402"/>
      <c r="M445" s="402"/>
      <c r="N445" s="402"/>
      <c r="O445" s="402"/>
      <c r="P445" s="402"/>
      <c r="Q445" s="402"/>
      <c r="R445" s="402"/>
      <c r="S445" s="402"/>
      <c r="T445" s="402"/>
      <c r="U445" s="402"/>
      <c r="V445" s="402"/>
      <c r="W445" s="402"/>
      <c r="X445" s="402"/>
      <c r="Y445" s="402"/>
      <c r="Z445" s="402"/>
    </row>
    <row r="446" ht="14.25" customHeight="1">
      <c r="A446" s="406">
        <v>45517.0</v>
      </c>
      <c r="B446" s="349" t="s">
        <v>3289</v>
      </c>
      <c r="C446" s="349" t="s">
        <v>3236</v>
      </c>
      <c r="D446" s="349" t="s">
        <v>54</v>
      </c>
      <c r="E446" s="349" t="s">
        <v>3115</v>
      </c>
      <c r="F446" s="413">
        <v>43129.0</v>
      </c>
      <c r="G446" s="413">
        <v>0.0</v>
      </c>
      <c r="H446" s="349" t="s">
        <v>3287</v>
      </c>
      <c r="I446" s="736" t="str">
        <f t="shared" si="5"/>
        <v>NOT PAID</v>
      </c>
      <c r="J446" s="402"/>
      <c r="K446" s="402"/>
      <c r="L446" s="402"/>
      <c r="M446" s="402"/>
      <c r="N446" s="402"/>
      <c r="O446" s="402"/>
      <c r="P446" s="402"/>
      <c r="Q446" s="402"/>
      <c r="R446" s="402"/>
      <c r="S446" s="402"/>
      <c r="T446" s="402"/>
      <c r="U446" s="402"/>
      <c r="V446" s="402"/>
      <c r="W446" s="402"/>
      <c r="X446" s="402"/>
      <c r="Y446" s="402"/>
      <c r="Z446" s="402"/>
    </row>
    <row r="447" ht="14.25" customHeight="1">
      <c r="A447" s="406">
        <v>45517.0</v>
      </c>
      <c r="B447" s="349" t="s">
        <v>3290</v>
      </c>
      <c r="C447" s="349" t="s">
        <v>3291</v>
      </c>
      <c r="D447" s="349" t="s">
        <v>54</v>
      </c>
      <c r="E447" s="349" t="s">
        <v>3101</v>
      </c>
      <c r="F447" s="413">
        <v>4000.0</v>
      </c>
      <c r="G447" s="413">
        <v>0.0</v>
      </c>
      <c r="H447" s="349" t="s">
        <v>3326</v>
      </c>
      <c r="I447" s="736" t="str">
        <f t="shared" si="5"/>
        <v>NOT PAID</v>
      </c>
      <c r="J447" s="402"/>
      <c r="K447" s="402"/>
      <c r="L447" s="402"/>
      <c r="M447" s="402"/>
      <c r="N447" s="402"/>
      <c r="O447" s="402"/>
      <c r="P447" s="402"/>
      <c r="Q447" s="402"/>
      <c r="R447" s="402"/>
      <c r="S447" s="402"/>
      <c r="T447" s="402"/>
      <c r="U447" s="402"/>
      <c r="V447" s="402"/>
      <c r="W447" s="402"/>
      <c r="X447" s="402"/>
      <c r="Y447" s="402"/>
      <c r="Z447" s="402"/>
    </row>
    <row r="448" ht="14.25" customHeight="1">
      <c r="A448" s="406">
        <v>45517.0</v>
      </c>
      <c r="B448" s="349" t="s">
        <v>3327</v>
      </c>
      <c r="C448" s="349" t="s">
        <v>3328</v>
      </c>
      <c r="D448" s="349" t="s">
        <v>54</v>
      </c>
      <c r="E448" s="522" t="s">
        <v>3101</v>
      </c>
      <c r="F448" s="413">
        <v>222499.06</v>
      </c>
      <c r="G448" s="413">
        <v>0.0</v>
      </c>
      <c r="H448" s="349" t="s">
        <v>3329</v>
      </c>
      <c r="I448" s="736" t="str">
        <f t="shared" si="5"/>
        <v>NOT PAID</v>
      </c>
      <c r="J448" s="402"/>
      <c r="K448" s="402"/>
      <c r="L448" s="402"/>
      <c r="M448" s="402"/>
      <c r="N448" s="402"/>
      <c r="O448" s="402"/>
      <c r="P448" s="402"/>
      <c r="Q448" s="402"/>
      <c r="R448" s="402"/>
      <c r="S448" s="402"/>
      <c r="T448" s="402"/>
      <c r="U448" s="402"/>
      <c r="V448" s="402"/>
      <c r="W448" s="402"/>
      <c r="X448" s="402"/>
      <c r="Y448" s="402"/>
      <c r="Z448" s="402"/>
    </row>
    <row r="449" ht="14.25" customHeight="1">
      <c r="A449" s="406">
        <v>45517.0</v>
      </c>
      <c r="B449" s="349" t="s">
        <v>3330</v>
      </c>
      <c r="C449" s="349" t="s">
        <v>3331</v>
      </c>
      <c r="D449" s="349" t="s">
        <v>54</v>
      </c>
      <c r="E449" s="349" t="s">
        <v>3078</v>
      </c>
      <c r="F449" s="413">
        <v>329836.45</v>
      </c>
      <c r="G449" s="413">
        <v>0.0</v>
      </c>
      <c r="H449" s="349" t="s">
        <v>3332</v>
      </c>
      <c r="I449" s="736" t="str">
        <f t="shared" si="5"/>
        <v>NOT PAID</v>
      </c>
      <c r="J449" s="402"/>
      <c r="K449" s="402"/>
      <c r="L449" s="402"/>
      <c r="M449" s="402"/>
      <c r="N449" s="402"/>
      <c r="O449" s="402"/>
      <c r="P449" s="402"/>
      <c r="Q449" s="402"/>
      <c r="R449" s="402"/>
      <c r="S449" s="402"/>
      <c r="T449" s="402"/>
      <c r="U449" s="402"/>
      <c r="V449" s="402"/>
      <c r="W449" s="402"/>
      <c r="X449" s="402"/>
      <c r="Y449" s="402"/>
      <c r="Z449" s="402"/>
    </row>
    <row r="450" ht="14.25" customHeight="1">
      <c r="A450" s="406">
        <v>45517.0</v>
      </c>
      <c r="B450" s="349" t="s">
        <v>3333</v>
      </c>
      <c r="C450" s="349" t="s">
        <v>3334</v>
      </c>
      <c r="D450" s="349" t="s">
        <v>54</v>
      </c>
      <c r="E450" s="349" t="s">
        <v>3115</v>
      </c>
      <c r="F450" s="413">
        <v>157174.72</v>
      </c>
      <c r="G450" s="413">
        <v>0.0</v>
      </c>
      <c r="H450" s="349" t="s">
        <v>3335</v>
      </c>
      <c r="I450" s="736" t="str">
        <f t="shared" si="5"/>
        <v>NOT PAID</v>
      </c>
      <c r="J450" s="402"/>
      <c r="K450" s="402"/>
      <c r="L450" s="402"/>
      <c r="M450" s="402"/>
      <c r="N450" s="402"/>
      <c r="O450" s="402"/>
      <c r="P450" s="402"/>
      <c r="Q450" s="402"/>
      <c r="R450" s="402"/>
      <c r="S450" s="402"/>
      <c r="T450" s="402"/>
      <c r="U450" s="402"/>
      <c r="V450" s="402"/>
      <c r="W450" s="402"/>
      <c r="X450" s="402"/>
      <c r="Y450" s="402"/>
      <c r="Z450" s="402"/>
    </row>
    <row r="451" ht="14.25" customHeight="1">
      <c r="A451" s="406">
        <v>45517.0</v>
      </c>
      <c r="B451" s="349" t="s">
        <v>3142</v>
      </c>
      <c r="C451" s="349" t="s">
        <v>3336</v>
      </c>
      <c r="D451" s="349" t="s">
        <v>54</v>
      </c>
      <c r="E451" s="522" t="s">
        <v>3078</v>
      </c>
      <c r="F451" s="413">
        <v>94391.5</v>
      </c>
      <c r="G451" s="413">
        <v>0.0</v>
      </c>
      <c r="H451" s="349" t="s">
        <v>3335</v>
      </c>
      <c r="I451" s="736" t="str">
        <f t="shared" si="5"/>
        <v>NOT PAID</v>
      </c>
      <c r="J451" s="402"/>
      <c r="K451" s="402"/>
      <c r="L451" s="402"/>
      <c r="M451" s="402"/>
      <c r="N451" s="402"/>
      <c r="O451" s="402"/>
      <c r="P451" s="402"/>
      <c r="Q451" s="402"/>
      <c r="R451" s="402"/>
      <c r="S451" s="402"/>
      <c r="T451" s="402"/>
      <c r="U451" s="402"/>
      <c r="V451" s="402"/>
      <c r="W451" s="402"/>
      <c r="X451" s="402"/>
      <c r="Y451" s="402"/>
      <c r="Z451" s="402"/>
    </row>
    <row r="452" ht="14.25" customHeight="1">
      <c r="A452" s="406">
        <v>45517.0</v>
      </c>
      <c r="B452" s="349" t="s">
        <v>3337</v>
      </c>
      <c r="C452" s="349" t="s">
        <v>3338</v>
      </c>
      <c r="D452" s="349" t="s">
        <v>3189</v>
      </c>
      <c r="E452" s="349" t="s">
        <v>3101</v>
      </c>
      <c r="F452" s="413">
        <v>57500.0</v>
      </c>
      <c r="G452" s="413">
        <v>57500.0</v>
      </c>
      <c r="H452" s="349" t="s">
        <v>710</v>
      </c>
      <c r="I452" s="736" t="str">
        <f t="shared" si="5"/>
        <v>FULLY PAID</v>
      </c>
      <c r="J452" s="402"/>
      <c r="K452" s="402"/>
      <c r="L452" s="402"/>
      <c r="M452" s="402"/>
      <c r="N452" s="402"/>
      <c r="O452" s="402"/>
      <c r="P452" s="402"/>
      <c r="Q452" s="402"/>
      <c r="R452" s="402"/>
      <c r="S452" s="402"/>
      <c r="T452" s="402"/>
      <c r="U452" s="402"/>
      <c r="V452" s="402"/>
      <c r="W452" s="402"/>
      <c r="X452" s="402"/>
      <c r="Y452" s="402"/>
      <c r="Z452" s="402"/>
    </row>
    <row r="453" ht="14.25" customHeight="1">
      <c r="A453" s="406">
        <v>45517.0</v>
      </c>
      <c r="B453" s="349" t="s">
        <v>3339</v>
      </c>
      <c r="C453" s="349" t="s">
        <v>3340</v>
      </c>
      <c r="D453" s="349" t="s">
        <v>54</v>
      </c>
      <c r="E453" s="349" t="s">
        <v>3101</v>
      </c>
      <c r="F453" s="413">
        <v>147333.0</v>
      </c>
      <c r="G453" s="413">
        <v>148000.0</v>
      </c>
      <c r="H453" s="349" t="s">
        <v>710</v>
      </c>
      <c r="I453" s="736" t="str">
        <f t="shared" si="5"/>
        <v>FULLY PAID</v>
      </c>
      <c r="J453" s="402"/>
      <c r="K453" s="402"/>
      <c r="L453" s="402"/>
      <c r="M453" s="402"/>
      <c r="N453" s="402"/>
      <c r="O453" s="402"/>
      <c r="P453" s="402"/>
      <c r="Q453" s="402"/>
      <c r="R453" s="402"/>
      <c r="S453" s="402"/>
      <c r="T453" s="402"/>
      <c r="U453" s="402"/>
      <c r="V453" s="402"/>
      <c r="W453" s="402"/>
      <c r="X453" s="402"/>
      <c r="Y453" s="402"/>
      <c r="Z453" s="402"/>
    </row>
    <row r="454" ht="14.25" customHeight="1">
      <c r="A454" s="406">
        <v>45517.0</v>
      </c>
      <c r="B454" s="349" t="s">
        <v>3341</v>
      </c>
      <c r="C454" s="349" t="s">
        <v>3209</v>
      </c>
      <c r="D454" s="349" t="s">
        <v>467</v>
      </c>
      <c r="E454" s="522" t="s">
        <v>3101</v>
      </c>
      <c r="F454" s="413">
        <v>5640.0</v>
      </c>
      <c r="G454" s="413">
        <v>0.0</v>
      </c>
      <c r="H454" s="349" t="s">
        <v>3326</v>
      </c>
      <c r="I454" s="736" t="str">
        <f t="shared" si="5"/>
        <v>NOT PAID</v>
      </c>
      <c r="J454" s="402"/>
      <c r="K454" s="402"/>
      <c r="L454" s="402"/>
      <c r="M454" s="402"/>
      <c r="N454" s="402"/>
      <c r="O454" s="402"/>
      <c r="P454" s="402"/>
      <c r="Q454" s="402"/>
      <c r="R454" s="402"/>
      <c r="S454" s="402"/>
      <c r="T454" s="402"/>
      <c r="U454" s="402"/>
      <c r="V454" s="402"/>
      <c r="W454" s="402"/>
      <c r="X454" s="402"/>
      <c r="Y454" s="402"/>
      <c r="Z454" s="402"/>
    </row>
    <row r="455" ht="14.25" customHeight="1">
      <c r="A455" s="402"/>
      <c r="B455" s="402"/>
      <c r="C455" s="402"/>
      <c r="D455" s="402"/>
      <c r="E455" s="402"/>
      <c r="F455" s="403"/>
      <c r="G455" s="403"/>
      <c r="H455" s="402"/>
      <c r="I455" s="736" t="str">
        <f t="shared" si="5"/>
        <v>FULLY PAID</v>
      </c>
      <c r="J455" s="402"/>
      <c r="K455" s="402"/>
      <c r="L455" s="402"/>
      <c r="M455" s="402"/>
      <c r="N455" s="402"/>
      <c r="O455" s="402"/>
      <c r="P455" s="402"/>
      <c r="Q455" s="402"/>
      <c r="R455" s="402"/>
      <c r="S455" s="402"/>
      <c r="T455" s="402"/>
      <c r="U455" s="402"/>
      <c r="V455" s="402"/>
      <c r="W455" s="402"/>
      <c r="X455" s="402"/>
      <c r="Y455" s="402"/>
      <c r="Z455" s="402"/>
    </row>
    <row r="456" ht="14.25" customHeight="1">
      <c r="A456" s="730" t="s">
        <v>39</v>
      </c>
      <c r="B456" s="730" t="s">
        <v>3075</v>
      </c>
      <c r="C456" s="730" t="s">
        <v>49</v>
      </c>
      <c r="D456" s="730" t="s">
        <v>50</v>
      </c>
      <c r="E456" s="731" t="s">
        <v>2</v>
      </c>
      <c r="F456" s="731" t="s">
        <v>2</v>
      </c>
      <c r="G456" s="731" t="s">
        <v>4</v>
      </c>
      <c r="H456" s="730" t="s">
        <v>45</v>
      </c>
      <c r="I456" s="736" t="str">
        <f t="shared" si="5"/>
        <v>FULLY PAID</v>
      </c>
      <c r="J456" s="402"/>
      <c r="K456" s="402"/>
      <c r="L456" s="402"/>
      <c r="M456" s="402"/>
      <c r="N456" s="402"/>
      <c r="O456" s="402"/>
      <c r="P456" s="402"/>
      <c r="Q456" s="402"/>
      <c r="R456" s="402"/>
      <c r="S456" s="402"/>
      <c r="T456" s="402"/>
      <c r="U456" s="402"/>
      <c r="V456" s="402"/>
      <c r="W456" s="402"/>
      <c r="X456" s="402"/>
      <c r="Y456" s="402"/>
      <c r="Z456" s="402"/>
    </row>
    <row r="457" ht="14.25" customHeight="1">
      <c r="A457" s="406">
        <v>45518.0</v>
      </c>
      <c r="B457" s="522" t="s">
        <v>3087</v>
      </c>
      <c r="C457" s="522" t="s">
        <v>3088</v>
      </c>
      <c r="D457" s="522" t="s">
        <v>54</v>
      </c>
      <c r="E457" s="522" t="s">
        <v>3308</v>
      </c>
      <c r="F457" s="567" t="s">
        <v>3342</v>
      </c>
      <c r="G457" s="413">
        <v>5000.0</v>
      </c>
      <c r="H457" s="349" t="s">
        <v>3320</v>
      </c>
      <c r="I457" s="736" t="str">
        <f t="shared" si="5"/>
        <v>PARTIALLY PAID</v>
      </c>
      <c r="J457" s="402"/>
      <c r="K457" s="402"/>
      <c r="L457" s="402"/>
      <c r="M457" s="402"/>
      <c r="N457" s="402"/>
      <c r="O457" s="402"/>
      <c r="P457" s="402"/>
      <c r="Q457" s="402"/>
      <c r="R457" s="402"/>
      <c r="S457" s="402"/>
      <c r="T457" s="402"/>
      <c r="U457" s="402"/>
      <c r="V457" s="402"/>
      <c r="W457" s="402"/>
      <c r="X457" s="402"/>
      <c r="Y457" s="402"/>
      <c r="Z457" s="402"/>
    </row>
    <row r="458" ht="14.25" customHeight="1">
      <c r="A458" s="406">
        <v>45518.0</v>
      </c>
      <c r="B458" s="522" t="s">
        <v>3094</v>
      </c>
      <c r="C458" s="522" t="s">
        <v>3095</v>
      </c>
      <c r="D458" s="522" t="s">
        <v>54</v>
      </c>
      <c r="E458" s="522" t="s">
        <v>3078</v>
      </c>
      <c r="F458" s="567">
        <v>9300.0</v>
      </c>
      <c r="G458" s="413">
        <v>0.0</v>
      </c>
      <c r="H458" s="349"/>
      <c r="I458" s="736" t="str">
        <f t="shared" si="5"/>
        <v>NOT PAID</v>
      </c>
      <c r="J458" s="402"/>
      <c r="K458" s="402"/>
      <c r="L458" s="402"/>
      <c r="M458" s="402"/>
      <c r="N458" s="402"/>
      <c r="O458" s="402"/>
      <c r="P458" s="402"/>
      <c r="Q458" s="402"/>
      <c r="R458" s="402"/>
      <c r="S458" s="402"/>
      <c r="T458" s="402"/>
      <c r="U458" s="402"/>
      <c r="V458" s="402"/>
      <c r="W458" s="402"/>
      <c r="X458" s="402"/>
      <c r="Y458" s="402"/>
      <c r="Z458" s="402"/>
    </row>
    <row r="459" ht="14.25" customHeight="1">
      <c r="A459" s="406">
        <v>45518.0</v>
      </c>
      <c r="B459" s="522" t="s">
        <v>652</v>
      </c>
      <c r="C459" s="522" t="s">
        <v>3097</v>
      </c>
      <c r="D459" s="522" t="s">
        <v>2010</v>
      </c>
      <c r="E459" s="522" t="s">
        <v>3308</v>
      </c>
      <c r="F459" s="567">
        <v>145645.0</v>
      </c>
      <c r="G459" s="413">
        <v>35000.0</v>
      </c>
      <c r="H459" s="349" t="s">
        <v>3320</v>
      </c>
      <c r="I459" s="736" t="str">
        <f t="shared" si="5"/>
        <v>PARTIALLY PAID</v>
      </c>
      <c r="J459" s="402"/>
      <c r="K459" s="402"/>
      <c r="L459" s="402"/>
      <c r="M459" s="402"/>
      <c r="N459" s="402"/>
      <c r="O459" s="402"/>
      <c r="P459" s="402"/>
      <c r="Q459" s="402"/>
      <c r="R459" s="402"/>
      <c r="S459" s="402"/>
      <c r="T459" s="402"/>
      <c r="U459" s="402"/>
      <c r="V459" s="402"/>
      <c r="W459" s="402"/>
      <c r="X459" s="402"/>
      <c r="Y459" s="402"/>
      <c r="Z459" s="402"/>
    </row>
    <row r="460" ht="14.25" customHeight="1">
      <c r="A460" s="406">
        <v>45518.0</v>
      </c>
      <c r="B460" s="522" t="s">
        <v>3099</v>
      </c>
      <c r="C460" s="522" t="s">
        <v>3100</v>
      </c>
      <c r="D460" s="522" t="s">
        <v>54</v>
      </c>
      <c r="E460" s="522" t="s">
        <v>3308</v>
      </c>
      <c r="F460" s="567">
        <v>103900.0</v>
      </c>
      <c r="G460" s="413">
        <v>0.0</v>
      </c>
      <c r="H460" s="349" t="s">
        <v>3343</v>
      </c>
      <c r="I460" s="736" t="str">
        <f t="shared" si="5"/>
        <v>NOT PAID</v>
      </c>
      <c r="J460" s="402"/>
      <c r="K460" s="402"/>
      <c r="L460" s="402"/>
      <c r="M460" s="402"/>
      <c r="N460" s="402"/>
      <c r="O460" s="402"/>
      <c r="P460" s="402"/>
      <c r="Q460" s="402"/>
      <c r="R460" s="402"/>
      <c r="S460" s="402"/>
      <c r="T460" s="402"/>
      <c r="U460" s="402"/>
      <c r="V460" s="402"/>
      <c r="W460" s="402"/>
      <c r="X460" s="402"/>
      <c r="Y460" s="402"/>
      <c r="Z460" s="402"/>
    </row>
    <row r="461" ht="14.25" customHeight="1">
      <c r="A461" s="406">
        <v>45518.0</v>
      </c>
      <c r="B461" s="349" t="s">
        <v>3107</v>
      </c>
      <c r="C461" s="349" t="s">
        <v>3108</v>
      </c>
      <c r="D461" s="349" t="s">
        <v>54</v>
      </c>
      <c r="E461" s="349" t="s">
        <v>3101</v>
      </c>
      <c r="F461" s="413">
        <v>9500.0</v>
      </c>
      <c r="G461" s="413">
        <v>0.0</v>
      </c>
      <c r="H461" s="349" t="s">
        <v>3344</v>
      </c>
      <c r="I461" s="736" t="str">
        <f t="shared" si="5"/>
        <v>NOT PAID</v>
      </c>
      <c r="J461" s="402"/>
      <c r="K461" s="402"/>
      <c r="L461" s="402"/>
      <c r="M461" s="402"/>
      <c r="N461" s="402"/>
      <c r="O461" s="402"/>
      <c r="P461" s="402"/>
      <c r="Q461" s="402"/>
      <c r="R461" s="402"/>
      <c r="S461" s="402"/>
      <c r="T461" s="402"/>
      <c r="U461" s="402"/>
      <c r="V461" s="402"/>
      <c r="W461" s="402"/>
      <c r="X461" s="402"/>
      <c r="Y461" s="402"/>
      <c r="Z461" s="402"/>
    </row>
    <row r="462" ht="14.25" customHeight="1">
      <c r="A462" s="406">
        <v>45518.0</v>
      </c>
      <c r="B462" s="522" t="s">
        <v>3134</v>
      </c>
      <c r="C462" s="522" t="s">
        <v>3176</v>
      </c>
      <c r="D462" s="349" t="s">
        <v>54</v>
      </c>
      <c r="E462" s="522" t="s">
        <v>3078</v>
      </c>
      <c r="F462" s="733">
        <v>80300.0</v>
      </c>
      <c r="G462" s="413">
        <v>0.0</v>
      </c>
      <c r="H462" s="349" t="s">
        <v>3345</v>
      </c>
      <c r="I462" s="736" t="str">
        <f t="shared" si="5"/>
        <v>NOT PAID</v>
      </c>
      <c r="J462" s="402"/>
      <c r="K462" s="402"/>
      <c r="L462" s="402"/>
      <c r="M462" s="402"/>
      <c r="N462" s="402"/>
      <c r="O462" s="402"/>
      <c r="P462" s="402"/>
      <c r="Q462" s="402"/>
      <c r="R462" s="402"/>
      <c r="S462" s="402"/>
      <c r="T462" s="402"/>
      <c r="U462" s="402"/>
      <c r="V462" s="402"/>
      <c r="W462" s="402"/>
      <c r="X462" s="402"/>
      <c r="Y462" s="402"/>
      <c r="Z462" s="402"/>
    </row>
    <row r="463" ht="14.25" customHeight="1">
      <c r="A463" s="406">
        <v>45518.0</v>
      </c>
      <c r="B463" s="349" t="s">
        <v>3076</v>
      </c>
      <c r="C463" s="349" t="s">
        <v>3077</v>
      </c>
      <c r="D463" s="349" t="s">
        <v>54</v>
      </c>
      <c r="E463" s="522" t="s">
        <v>3078</v>
      </c>
      <c r="F463" s="413">
        <v>5600.0</v>
      </c>
      <c r="G463" s="413">
        <v>0.0</v>
      </c>
      <c r="H463" s="349" t="s">
        <v>3346</v>
      </c>
      <c r="I463" s="736" t="str">
        <f t="shared" si="5"/>
        <v>NOT PAID</v>
      </c>
      <c r="J463" s="402"/>
      <c r="K463" s="402"/>
      <c r="L463" s="402"/>
      <c r="M463" s="402"/>
      <c r="N463" s="402"/>
      <c r="O463" s="402"/>
      <c r="P463" s="402"/>
      <c r="Q463" s="402"/>
      <c r="R463" s="402"/>
      <c r="S463" s="402"/>
      <c r="T463" s="402"/>
      <c r="U463" s="402"/>
      <c r="V463" s="402"/>
      <c r="W463" s="402"/>
      <c r="X463" s="402"/>
      <c r="Y463" s="402"/>
      <c r="Z463" s="402"/>
    </row>
    <row r="464" ht="14.25" customHeight="1">
      <c r="A464" s="406">
        <v>45518.0</v>
      </c>
      <c r="B464" s="349" t="s">
        <v>3173</v>
      </c>
      <c r="C464" s="349" t="s">
        <v>3174</v>
      </c>
      <c r="D464" s="349" t="s">
        <v>54</v>
      </c>
      <c r="E464" s="522" t="s">
        <v>3101</v>
      </c>
      <c r="F464" s="413">
        <v>25400.0</v>
      </c>
      <c r="G464" s="413">
        <v>0.0</v>
      </c>
      <c r="H464" s="349" t="s">
        <v>3347</v>
      </c>
      <c r="I464" s="736" t="str">
        <f t="shared" si="5"/>
        <v>NOT PAID</v>
      </c>
      <c r="J464" s="402"/>
      <c r="K464" s="402"/>
      <c r="L464" s="402"/>
      <c r="M464" s="402"/>
      <c r="N464" s="402"/>
      <c r="O464" s="402"/>
      <c r="P464" s="402"/>
      <c r="Q464" s="402"/>
      <c r="R464" s="402"/>
      <c r="S464" s="402"/>
      <c r="T464" s="402"/>
      <c r="U464" s="402"/>
      <c r="V464" s="402"/>
      <c r="W464" s="402"/>
      <c r="X464" s="402"/>
      <c r="Y464" s="402"/>
      <c r="Z464" s="402"/>
    </row>
    <row r="465" ht="14.25" customHeight="1">
      <c r="A465" s="406">
        <v>45518.0</v>
      </c>
      <c r="B465" s="349" t="s">
        <v>3191</v>
      </c>
      <c r="C465" s="349" t="s">
        <v>3192</v>
      </c>
      <c r="D465" s="349" t="s">
        <v>54</v>
      </c>
      <c r="E465" s="349" t="s">
        <v>3101</v>
      </c>
      <c r="F465" s="413">
        <v>42340.0</v>
      </c>
      <c r="G465" s="413">
        <v>68000.0</v>
      </c>
      <c r="H465" s="349" t="s">
        <v>267</v>
      </c>
      <c r="I465" s="736" t="str">
        <f t="shared" si="5"/>
        <v>FULLY PAID</v>
      </c>
      <c r="J465" s="402"/>
      <c r="K465" s="402"/>
      <c r="L465" s="402"/>
      <c r="M465" s="402"/>
      <c r="N465" s="402"/>
      <c r="O465" s="402"/>
      <c r="P465" s="402"/>
      <c r="Q465" s="402"/>
      <c r="R465" s="402"/>
      <c r="S465" s="402"/>
      <c r="T465" s="402"/>
      <c r="U465" s="402"/>
      <c r="V465" s="402"/>
      <c r="W465" s="402"/>
      <c r="X465" s="402"/>
      <c r="Y465" s="402"/>
      <c r="Z465" s="402"/>
    </row>
    <row r="466" ht="14.25" customHeight="1">
      <c r="A466" s="406">
        <v>45518.0</v>
      </c>
      <c r="B466" s="522" t="s">
        <v>3263</v>
      </c>
      <c r="C466" s="349" t="s">
        <v>3264</v>
      </c>
      <c r="D466" s="349" t="s">
        <v>54</v>
      </c>
      <c r="E466" s="522" t="s">
        <v>3078</v>
      </c>
      <c r="F466" s="413">
        <v>1700.0</v>
      </c>
      <c r="G466" s="413">
        <v>0.0</v>
      </c>
      <c r="H466" s="349" t="s">
        <v>3348</v>
      </c>
      <c r="I466" s="736" t="str">
        <f t="shared" si="5"/>
        <v>NOT PAID</v>
      </c>
      <c r="J466" s="402"/>
      <c r="K466" s="402"/>
      <c r="L466" s="402"/>
      <c r="M466" s="402"/>
      <c r="N466" s="402"/>
      <c r="O466" s="402"/>
      <c r="P466" s="402"/>
      <c r="Q466" s="402"/>
      <c r="R466" s="402"/>
      <c r="S466" s="402"/>
      <c r="T466" s="402"/>
      <c r="U466" s="402"/>
      <c r="V466" s="402"/>
      <c r="W466" s="402"/>
      <c r="X466" s="402"/>
      <c r="Y466" s="402"/>
      <c r="Z466" s="402"/>
    </row>
    <row r="467" ht="14.25" customHeight="1">
      <c r="A467" s="406">
        <v>45518.0</v>
      </c>
      <c r="B467" s="349" t="s">
        <v>3193</v>
      </c>
      <c r="C467" s="349" t="s">
        <v>3194</v>
      </c>
      <c r="D467" s="349" t="s">
        <v>3189</v>
      </c>
      <c r="E467" s="349" t="s">
        <v>3078</v>
      </c>
      <c r="F467" s="413">
        <v>148776.0</v>
      </c>
      <c r="G467" s="413">
        <v>0.0</v>
      </c>
      <c r="H467" s="349" t="s">
        <v>3349</v>
      </c>
      <c r="I467" s="736" t="str">
        <f t="shared" si="5"/>
        <v>NOT PAID</v>
      </c>
      <c r="J467" s="402"/>
      <c r="K467" s="402"/>
      <c r="L467" s="402"/>
      <c r="M467" s="402"/>
      <c r="N467" s="402"/>
      <c r="O467" s="402"/>
      <c r="P467" s="402"/>
      <c r="Q467" s="402"/>
      <c r="R467" s="402"/>
      <c r="S467" s="402"/>
      <c r="T467" s="402"/>
      <c r="U467" s="402"/>
      <c r="V467" s="402"/>
      <c r="W467" s="402"/>
      <c r="X467" s="402"/>
      <c r="Y467" s="402"/>
      <c r="Z467" s="402"/>
    </row>
    <row r="468" ht="14.25" customHeight="1">
      <c r="A468" s="406">
        <v>45518.0</v>
      </c>
      <c r="B468" s="349" t="s">
        <v>3278</v>
      </c>
      <c r="C468" s="349" t="s">
        <v>3232</v>
      </c>
      <c r="D468" s="349" t="s">
        <v>54</v>
      </c>
      <c r="E468" s="522" t="s">
        <v>3308</v>
      </c>
      <c r="F468" s="413">
        <v>48600.0</v>
      </c>
      <c r="G468" s="413">
        <v>0.0</v>
      </c>
      <c r="H468" s="349"/>
      <c r="I468" s="736" t="str">
        <f t="shared" si="5"/>
        <v>NOT PAID</v>
      </c>
      <c r="J468" s="402"/>
      <c r="K468" s="402"/>
      <c r="L468" s="402"/>
      <c r="M468" s="402"/>
      <c r="N468" s="402"/>
      <c r="O468" s="402"/>
      <c r="P468" s="402"/>
      <c r="Q468" s="402"/>
      <c r="R468" s="402"/>
      <c r="S468" s="402"/>
      <c r="T468" s="402"/>
      <c r="U468" s="402"/>
      <c r="V468" s="402"/>
      <c r="W468" s="402"/>
      <c r="X468" s="402"/>
      <c r="Y468" s="402"/>
      <c r="Z468" s="402"/>
    </row>
    <row r="469" ht="14.25" customHeight="1">
      <c r="A469" s="406">
        <v>45518.0</v>
      </c>
      <c r="B469" s="349" t="s">
        <v>3208</v>
      </c>
      <c r="C469" s="349" t="s">
        <v>3209</v>
      </c>
      <c r="D469" s="349" t="s">
        <v>54</v>
      </c>
      <c r="E469" s="522" t="s">
        <v>3101</v>
      </c>
      <c r="F469" s="413">
        <v>2000.0</v>
      </c>
      <c r="G469" s="413">
        <v>0.0</v>
      </c>
      <c r="H469" s="349" t="s">
        <v>3350</v>
      </c>
      <c r="I469" s="736" t="str">
        <f t="shared" si="5"/>
        <v>NOT PAID</v>
      </c>
      <c r="J469" s="402"/>
      <c r="K469" s="402"/>
      <c r="L469" s="402"/>
      <c r="M469" s="402"/>
      <c r="N469" s="402"/>
      <c r="O469" s="402"/>
      <c r="P469" s="402"/>
      <c r="Q469" s="402"/>
      <c r="R469" s="402"/>
      <c r="S469" s="402"/>
      <c r="T469" s="402"/>
      <c r="U469" s="402"/>
      <c r="V469" s="402"/>
      <c r="W469" s="402"/>
      <c r="X469" s="402"/>
      <c r="Y469" s="402"/>
      <c r="Z469" s="402"/>
    </row>
    <row r="470" ht="14.25" customHeight="1">
      <c r="A470" s="406">
        <v>45518.0</v>
      </c>
      <c r="B470" s="349" t="s">
        <v>3083</v>
      </c>
      <c r="C470" s="349" t="s">
        <v>3084</v>
      </c>
      <c r="D470" s="349" t="s">
        <v>54</v>
      </c>
      <c r="E470" s="349" t="s">
        <v>3101</v>
      </c>
      <c r="F470" s="413">
        <v>2500.0</v>
      </c>
      <c r="G470" s="413">
        <v>0.0</v>
      </c>
      <c r="H470" s="349" t="s">
        <v>267</v>
      </c>
      <c r="I470" s="736" t="str">
        <f t="shared" si="5"/>
        <v>NOT PAID</v>
      </c>
      <c r="J470" s="402"/>
      <c r="K470" s="402"/>
      <c r="L470" s="402"/>
      <c r="M470" s="402"/>
      <c r="N470" s="402"/>
      <c r="O470" s="402"/>
      <c r="P470" s="402"/>
      <c r="Q470" s="402"/>
      <c r="R470" s="402"/>
      <c r="S470" s="402"/>
      <c r="T470" s="402"/>
      <c r="U470" s="402"/>
      <c r="V470" s="402"/>
      <c r="W470" s="402"/>
      <c r="X470" s="402"/>
      <c r="Y470" s="402"/>
      <c r="Z470" s="402"/>
    </row>
    <row r="471" ht="14.25" customHeight="1">
      <c r="A471" s="406">
        <v>45518.0</v>
      </c>
      <c r="B471" s="349" t="s">
        <v>3228</v>
      </c>
      <c r="C471" s="349" t="s">
        <v>3229</v>
      </c>
      <c r="D471" s="349" t="s">
        <v>3189</v>
      </c>
      <c r="E471" s="349" t="s">
        <v>3101</v>
      </c>
      <c r="F471" s="413">
        <v>57400.0</v>
      </c>
      <c r="G471" s="413">
        <v>0.0</v>
      </c>
      <c r="H471" s="349" t="s">
        <v>3351</v>
      </c>
      <c r="I471" s="736" t="str">
        <f t="shared" si="5"/>
        <v>NOT PAID</v>
      </c>
      <c r="J471" s="402"/>
      <c r="K471" s="402"/>
      <c r="L471" s="402"/>
      <c r="M471" s="402"/>
      <c r="N471" s="402"/>
      <c r="O471" s="402"/>
      <c r="P471" s="402"/>
      <c r="Q471" s="402"/>
      <c r="R471" s="402"/>
      <c r="S471" s="402"/>
      <c r="T471" s="402"/>
      <c r="U471" s="402"/>
      <c r="V471" s="402"/>
      <c r="W471" s="402"/>
      <c r="X471" s="402"/>
      <c r="Y471" s="402"/>
      <c r="Z471" s="402"/>
    </row>
    <row r="472" ht="14.25" customHeight="1">
      <c r="A472" s="406">
        <v>45518.0</v>
      </c>
      <c r="B472" s="349" t="s">
        <v>3271</v>
      </c>
      <c r="C472" s="349" t="s">
        <v>3202</v>
      </c>
      <c r="D472" s="349" t="s">
        <v>54</v>
      </c>
      <c r="E472" s="522" t="s">
        <v>3308</v>
      </c>
      <c r="F472" s="413">
        <v>3050.0</v>
      </c>
      <c r="G472" s="413">
        <v>3100.0</v>
      </c>
      <c r="H472" s="349" t="s">
        <v>267</v>
      </c>
      <c r="I472" s="736" t="str">
        <f t="shared" si="5"/>
        <v>FULLY PAID</v>
      </c>
      <c r="J472" s="402"/>
      <c r="K472" s="402"/>
      <c r="L472" s="402"/>
      <c r="M472" s="402"/>
      <c r="N472" s="402"/>
      <c r="O472" s="402"/>
      <c r="P472" s="402"/>
      <c r="Q472" s="402"/>
      <c r="R472" s="402"/>
      <c r="S472" s="402"/>
      <c r="T472" s="402"/>
      <c r="U472" s="402"/>
      <c r="V472" s="402"/>
      <c r="W472" s="402"/>
      <c r="X472" s="402"/>
      <c r="Y472" s="402"/>
      <c r="Z472" s="402"/>
    </row>
    <row r="473" ht="14.25" customHeight="1">
      <c r="A473" s="406">
        <v>45518.0</v>
      </c>
      <c r="B473" s="406" t="s">
        <v>3233</v>
      </c>
      <c r="C473" s="349" t="s">
        <v>3234</v>
      </c>
      <c r="D473" s="349" t="s">
        <v>54</v>
      </c>
      <c r="E473" s="522" t="s">
        <v>3308</v>
      </c>
      <c r="F473" s="738">
        <v>3000.0</v>
      </c>
      <c r="G473" s="413">
        <v>0.0</v>
      </c>
      <c r="H473" s="349" t="s">
        <v>3351</v>
      </c>
      <c r="I473" s="736" t="str">
        <f t="shared" si="5"/>
        <v>NOT PAID</v>
      </c>
      <c r="J473" s="402"/>
      <c r="K473" s="402"/>
      <c r="L473" s="402"/>
      <c r="M473" s="402"/>
      <c r="N473" s="402"/>
      <c r="O473" s="402"/>
      <c r="P473" s="402"/>
      <c r="Q473" s="402"/>
      <c r="R473" s="402"/>
      <c r="S473" s="402"/>
      <c r="T473" s="402"/>
      <c r="U473" s="402"/>
      <c r="V473" s="402"/>
      <c r="W473" s="402"/>
      <c r="X473" s="402"/>
      <c r="Y473" s="402"/>
      <c r="Z473" s="402"/>
    </row>
    <row r="474" ht="14.25" customHeight="1">
      <c r="A474" s="406">
        <v>45518.0</v>
      </c>
      <c r="B474" s="406" t="s">
        <v>3235</v>
      </c>
      <c r="C474" s="349" t="s">
        <v>3236</v>
      </c>
      <c r="D474" s="349" t="s">
        <v>3189</v>
      </c>
      <c r="E474" s="349" t="s">
        <v>3101</v>
      </c>
      <c r="F474" s="738">
        <v>242500.0</v>
      </c>
      <c r="G474" s="413">
        <v>0.0</v>
      </c>
      <c r="H474" s="349" t="s">
        <v>3352</v>
      </c>
      <c r="I474" s="736" t="str">
        <f t="shared" si="5"/>
        <v>NOT PAID</v>
      </c>
      <c r="J474" s="402"/>
      <c r="K474" s="402"/>
      <c r="L474" s="402"/>
      <c r="M474" s="402"/>
      <c r="N474" s="402"/>
      <c r="O474" s="402"/>
      <c r="P474" s="402"/>
      <c r="Q474" s="402"/>
      <c r="R474" s="402"/>
      <c r="S474" s="402"/>
      <c r="T474" s="402"/>
      <c r="U474" s="402"/>
      <c r="V474" s="402"/>
      <c r="W474" s="402"/>
      <c r="X474" s="402"/>
      <c r="Y474" s="402"/>
      <c r="Z474" s="402"/>
    </row>
    <row r="475" ht="14.25" customHeight="1">
      <c r="A475" s="406">
        <v>45518.0</v>
      </c>
      <c r="B475" s="349" t="s">
        <v>3139</v>
      </c>
      <c r="C475" s="349" t="s">
        <v>3140</v>
      </c>
      <c r="D475" s="349" t="s">
        <v>54</v>
      </c>
      <c r="E475" s="522" t="s">
        <v>3308</v>
      </c>
      <c r="F475" s="413">
        <v>143780.2</v>
      </c>
      <c r="G475" s="413">
        <v>0.0</v>
      </c>
      <c r="H475" s="349" t="s">
        <v>3326</v>
      </c>
      <c r="I475" s="736" t="str">
        <f t="shared" si="5"/>
        <v>NOT PAID</v>
      </c>
      <c r="J475" s="402"/>
      <c r="K475" s="402"/>
      <c r="L475" s="402"/>
      <c r="M475" s="402"/>
      <c r="N475" s="402"/>
      <c r="O475" s="402"/>
      <c r="P475" s="402"/>
      <c r="Q475" s="402"/>
      <c r="R475" s="402"/>
      <c r="S475" s="402"/>
      <c r="T475" s="402"/>
      <c r="U475" s="402"/>
      <c r="V475" s="402"/>
      <c r="W475" s="402"/>
      <c r="X475" s="402"/>
      <c r="Y475" s="402"/>
      <c r="Z475" s="402"/>
    </row>
    <row r="476" ht="14.25" customHeight="1">
      <c r="A476" s="406">
        <v>45518.0</v>
      </c>
      <c r="B476" s="349" t="s">
        <v>3149</v>
      </c>
      <c r="C476" s="349" t="s">
        <v>3150</v>
      </c>
      <c r="D476" s="349" t="s">
        <v>54</v>
      </c>
      <c r="E476" s="522" t="s">
        <v>3308</v>
      </c>
      <c r="F476" s="413">
        <v>110000.0</v>
      </c>
      <c r="G476" s="413">
        <v>0.0</v>
      </c>
      <c r="H476" s="349" t="s">
        <v>3353</v>
      </c>
      <c r="I476" s="736" t="str">
        <f t="shared" si="5"/>
        <v>NOT PAID</v>
      </c>
      <c r="J476" s="402"/>
      <c r="K476" s="402"/>
      <c r="L476" s="402"/>
      <c r="M476" s="402"/>
      <c r="N476" s="402"/>
      <c r="O476" s="402"/>
      <c r="P476" s="402"/>
      <c r="Q476" s="402"/>
      <c r="R476" s="402"/>
      <c r="S476" s="402"/>
      <c r="T476" s="402"/>
      <c r="U476" s="402"/>
      <c r="V476" s="402"/>
      <c r="W476" s="402"/>
      <c r="X476" s="402"/>
      <c r="Y476" s="402"/>
      <c r="Z476" s="402"/>
    </row>
    <row r="477" ht="14.25" customHeight="1">
      <c r="A477" s="406">
        <v>45518.0</v>
      </c>
      <c r="B477" s="349" t="s">
        <v>3284</v>
      </c>
      <c r="C477" s="349" t="s">
        <v>3285</v>
      </c>
      <c r="D477" s="349" t="s">
        <v>3189</v>
      </c>
      <c r="E477" s="522" t="s">
        <v>3101</v>
      </c>
      <c r="F477" s="413">
        <v>740.0</v>
      </c>
      <c r="G477" s="413">
        <v>0.0</v>
      </c>
      <c r="H477" s="349" t="s">
        <v>3294</v>
      </c>
      <c r="I477" s="736" t="str">
        <f t="shared" si="5"/>
        <v>NOT PAID</v>
      </c>
      <c r="J477" s="402"/>
      <c r="K477" s="402"/>
      <c r="L477" s="402"/>
      <c r="M477" s="402"/>
      <c r="N477" s="402"/>
      <c r="O477" s="402"/>
      <c r="P477" s="402"/>
      <c r="Q477" s="402"/>
      <c r="R477" s="402"/>
      <c r="S477" s="402"/>
      <c r="T477" s="402"/>
      <c r="U477" s="402"/>
      <c r="V477" s="402"/>
      <c r="W477" s="402"/>
      <c r="X477" s="402"/>
      <c r="Y477" s="402"/>
      <c r="Z477" s="402"/>
    </row>
    <row r="478" ht="14.25" customHeight="1">
      <c r="A478" s="406">
        <v>45518.0</v>
      </c>
      <c r="B478" s="349" t="s">
        <v>3289</v>
      </c>
      <c r="C478" s="349" t="s">
        <v>3236</v>
      </c>
      <c r="D478" s="349" t="s">
        <v>54</v>
      </c>
      <c r="E478" s="349" t="s">
        <v>3115</v>
      </c>
      <c r="F478" s="413">
        <v>43129.0</v>
      </c>
      <c r="G478" s="413">
        <v>0.0</v>
      </c>
      <c r="H478" s="349" t="s">
        <v>3351</v>
      </c>
      <c r="I478" s="736" t="str">
        <f t="shared" si="5"/>
        <v>NOT PAID</v>
      </c>
      <c r="J478" s="402"/>
      <c r="K478" s="402"/>
      <c r="L478" s="402"/>
      <c r="M478" s="402"/>
      <c r="N478" s="402"/>
      <c r="O478" s="402"/>
      <c r="P478" s="402"/>
      <c r="Q478" s="402"/>
      <c r="R478" s="402"/>
      <c r="S478" s="402"/>
      <c r="T478" s="402"/>
      <c r="U478" s="402"/>
      <c r="V478" s="402"/>
      <c r="W478" s="402"/>
      <c r="X478" s="402"/>
      <c r="Y478" s="402"/>
      <c r="Z478" s="402"/>
    </row>
    <row r="479" ht="14.25" customHeight="1">
      <c r="A479" s="406">
        <v>45518.0</v>
      </c>
      <c r="B479" s="349" t="s">
        <v>3290</v>
      </c>
      <c r="C479" s="349" t="s">
        <v>3291</v>
      </c>
      <c r="D479" s="349" t="s">
        <v>54</v>
      </c>
      <c r="E479" s="349" t="s">
        <v>3101</v>
      </c>
      <c r="F479" s="413">
        <v>4000.0</v>
      </c>
      <c r="G479" s="413">
        <v>0.0</v>
      </c>
      <c r="H479" s="349" t="s">
        <v>3351</v>
      </c>
      <c r="I479" s="736" t="str">
        <f t="shared" si="5"/>
        <v>NOT PAID</v>
      </c>
      <c r="J479" s="402"/>
      <c r="K479" s="402"/>
      <c r="L479" s="402"/>
      <c r="M479" s="402"/>
      <c r="N479" s="402"/>
      <c r="O479" s="402"/>
      <c r="P479" s="402"/>
      <c r="Q479" s="402"/>
      <c r="R479" s="402"/>
      <c r="S479" s="402"/>
      <c r="T479" s="402"/>
      <c r="U479" s="402"/>
      <c r="V479" s="402"/>
      <c r="W479" s="402"/>
      <c r="X479" s="402"/>
      <c r="Y479" s="402"/>
      <c r="Z479" s="402"/>
    </row>
    <row r="480" ht="14.25" customHeight="1">
      <c r="A480" s="406">
        <v>45518.0</v>
      </c>
      <c r="B480" s="349" t="s">
        <v>3330</v>
      </c>
      <c r="C480" s="349" t="s">
        <v>3331</v>
      </c>
      <c r="D480" s="349" t="s">
        <v>54</v>
      </c>
      <c r="E480" s="349" t="s">
        <v>3078</v>
      </c>
      <c r="F480" s="413">
        <v>329836.45</v>
      </c>
      <c r="G480" s="413">
        <v>0.0</v>
      </c>
      <c r="H480" s="349" t="s">
        <v>3354</v>
      </c>
      <c r="I480" s="736" t="str">
        <f t="shared" si="5"/>
        <v>NOT PAID</v>
      </c>
      <c r="J480" s="402"/>
      <c r="K480" s="402"/>
      <c r="L480" s="402"/>
      <c r="M480" s="402"/>
      <c r="N480" s="402"/>
      <c r="O480" s="402"/>
      <c r="P480" s="402"/>
      <c r="Q480" s="402"/>
      <c r="R480" s="402"/>
      <c r="S480" s="402"/>
      <c r="T480" s="402"/>
      <c r="U480" s="402"/>
      <c r="V480" s="402"/>
      <c r="W480" s="402"/>
      <c r="X480" s="402"/>
      <c r="Y480" s="402"/>
      <c r="Z480" s="402"/>
    </row>
    <row r="481" ht="14.25" customHeight="1">
      <c r="A481" s="406">
        <v>45518.0</v>
      </c>
      <c r="B481" s="349" t="s">
        <v>3333</v>
      </c>
      <c r="C481" s="349" t="s">
        <v>3334</v>
      </c>
      <c r="D481" s="349" t="s">
        <v>54</v>
      </c>
      <c r="E481" s="349" t="s">
        <v>3115</v>
      </c>
      <c r="F481" s="413">
        <v>157174.72</v>
      </c>
      <c r="G481" s="413">
        <v>0.0</v>
      </c>
      <c r="H481" s="349" t="s">
        <v>3353</v>
      </c>
      <c r="I481" s="736" t="str">
        <f t="shared" si="5"/>
        <v>NOT PAID</v>
      </c>
      <c r="J481" s="402"/>
      <c r="K481" s="402"/>
      <c r="L481" s="402"/>
      <c r="M481" s="402"/>
      <c r="N481" s="402"/>
      <c r="O481" s="402"/>
      <c r="P481" s="402"/>
      <c r="Q481" s="402"/>
      <c r="R481" s="402"/>
      <c r="S481" s="402"/>
      <c r="T481" s="402"/>
      <c r="U481" s="402"/>
      <c r="V481" s="402"/>
      <c r="W481" s="402"/>
      <c r="X481" s="402"/>
      <c r="Y481" s="402"/>
      <c r="Z481" s="402"/>
    </row>
    <row r="482" ht="14.25" customHeight="1">
      <c r="A482" s="406">
        <v>45518.0</v>
      </c>
      <c r="B482" s="349" t="s">
        <v>3142</v>
      </c>
      <c r="C482" s="349" t="s">
        <v>3336</v>
      </c>
      <c r="D482" s="349" t="s">
        <v>54</v>
      </c>
      <c r="E482" s="522" t="s">
        <v>3078</v>
      </c>
      <c r="F482" s="413">
        <v>94391.5</v>
      </c>
      <c r="G482" s="413">
        <v>0.0</v>
      </c>
      <c r="H482" s="349" t="s">
        <v>3355</v>
      </c>
      <c r="I482" s="736" t="str">
        <f t="shared" si="5"/>
        <v>NOT PAID</v>
      </c>
      <c r="J482" s="402"/>
      <c r="K482" s="402"/>
      <c r="L482" s="402"/>
      <c r="M482" s="402"/>
      <c r="N482" s="402"/>
      <c r="O482" s="402"/>
      <c r="P482" s="402"/>
      <c r="Q482" s="402"/>
      <c r="R482" s="402"/>
      <c r="S482" s="402"/>
      <c r="T482" s="402"/>
      <c r="U482" s="402"/>
      <c r="V482" s="402"/>
      <c r="W482" s="402"/>
      <c r="X482" s="402"/>
      <c r="Y482" s="402"/>
      <c r="Z482" s="402"/>
    </row>
    <row r="483" ht="14.25" customHeight="1">
      <c r="A483" s="406">
        <v>45518.0</v>
      </c>
      <c r="B483" s="349" t="s">
        <v>3341</v>
      </c>
      <c r="C483" s="349" t="s">
        <v>3209</v>
      </c>
      <c r="D483" s="349" t="s">
        <v>467</v>
      </c>
      <c r="E483" s="522" t="s">
        <v>3101</v>
      </c>
      <c r="F483" s="413">
        <v>5640.0</v>
      </c>
      <c r="G483" s="413">
        <v>0.0</v>
      </c>
      <c r="H483" s="349" t="s">
        <v>3356</v>
      </c>
      <c r="I483" s="736" t="str">
        <f t="shared" si="5"/>
        <v>NOT PAID</v>
      </c>
      <c r="J483" s="402"/>
      <c r="K483" s="402"/>
      <c r="L483" s="402"/>
      <c r="M483" s="402"/>
      <c r="N483" s="402"/>
      <c r="O483" s="402"/>
      <c r="P483" s="402"/>
      <c r="Q483" s="402"/>
      <c r="R483" s="402"/>
      <c r="S483" s="402"/>
      <c r="T483" s="402"/>
      <c r="U483" s="402"/>
      <c r="V483" s="402"/>
      <c r="W483" s="402"/>
      <c r="X483" s="402"/>
      <c r="Y483" s="402"/>
      <c r="Z483" s="402"/>
    </row>
    <row r="484" ht="14.25" customHeight="1">
      <c r="A484" s="406">
        <v>45518.0</v>
      </c>
      <c r="B484" s="349" t="s">
        <v>3357</v>
      </c>
      <c r="C484" s="349" t="s">
        <v>3338</v>
      </c>
      <c r="D484" s="349" t="s">
        <v>54</v>
      </c>
      <c r="E484" s="349" t="s">
        <v>3101</v>
      </c>
      <c r="F484" s="413">
        <v>43000.0</v>
      </c>
      <c r="G484" s="413">
        <v>0.0</v>
      </c>
      <c r="H484" s="349" t="s">
        <v>3358</v>
      </c>
      <c r="I484" s="736" t="str">
        <f t="shared" si="5"/>
        <v>NOT PAID</v>
      </c>
      <c r="J484" s="402"/>
      <c r="K484" s="402"/>
      <c r="L484" s="402"/>
      <c r="M484" s="402"/>
      <c r="N484" s="402"/>
      <c r="O484" s="402"/>
      <c r="P484" s="402"/>
      <c r="Q484" s="402"/>
      <c r="R484" s="402"/>
      <c r="S484" s="402"/>
      <c r="T484" s="402"/>
      <c r="U484" s="402"/>
      <c r="V484" s="402"/>
      <c r="W484" s="402"/>
      <c r="X484" s="402"/>
      <c r="Y484" s="402"/>
      <c r="Z484" s="402"/>
    </row>
    <row r="485" ht="14.25" customHeight="1">
      <c r="A485" s="402"/>
      <c r="B485" s="402"/>
      <c r="C485" s="402"/>
      <c r="D485" s="402"/>
      <c r="E485" s="402"/>
      <c r="F485" s="403"/>
      <c r="G485" s="403"/>
      <c r="H485" s="402"/>
      <c r="I485" s="736" t="str">
        <f t="shared" si="5"/>
        <v>FULLY PAID</v>
      </c>
      <c r="J485" s="402"/>
      <c r="K485" s="402"/>
      <c r="L485" s="402"/>
      <c r="M485" s="402"/>
      <c r="N485" s="402"/>
      <c r="O485" s="402"/>
      <c r="P485" s="402"/>
      <c r="Q485" s="402"/>
      <c r="R485" s="402"/>
      <c r="S485" s="402"/>
      <c r="T485" s="402"/>
      <c r="U485" s="402"/>
      <c r="V485" s="402"/>
      <c r="W485" s="402"/>
      <c r="X485" s="402"/>
      <c r="Y485" s="402"/>
      <c r="Z485" s="402"/>
    </row>
    <row r="486" ht="14.25" customHeight="1">
      <c r="A486" s="730" t="s">
        <v>39</v>
      </c>
      <c r="B486" s="730" t="s">
        <v>3075</v>
      </c>
      <c r="C486" s="730" t="s">
        <v>49</v>
      </c>
      <c r="D486" s="730" t="s">
        <v>50</v>
      </c>
      <c r="E486" s="731" t="s">
        <v>2</v>
      </c>
      <c r="F486" s="731" t="s">
        <v>2</v>
      </c>
      <c r="G486" s="731" t="s">
        <v>4</v>
      </c>
      <c r="H486" s="730" t="s">
        <v>45</v>
      </c>
      <c r="I486" s="736" t="str">
        <f t="shared" si="5"/>
        <v>FULLY PAID</v>
      </c>
      <c r="J486" s="402"/>
      <c r="K486" s="402"/>
      <c r="L486" s="402"/>
      <c r="M486" s="402"/>
      <c r="N486" s="402"/>
      <c r="O486" s="402"/>
      <c r="P486" s="402"/>
      <c r="Q486" s="402"/>
      <c r="R486" s="402"/>
      <c r="S486" s="402"/>
      <c r="T486" s="402"/>
      <c r="U486" s="402"/>
      <c r="V486" s="402"/>
      <c r="W486" s="402"/>
      <c r="X486" s="402"/>
      <c r="Y486" s="402"/>
      <c r="Z486" s="402"/>
    </row>
    <row r="487" ht="14.25" customHeight="1">
      <c r="A487" s="406">
        <v>45519.0</v>
      </c>
      <c r="B487" s="522" t="s">
        <v>3087</v>
      </c>
      <c r="C487" s="522" t="s">
        <v>3088</v>
      </c>
      <c r="D487" s="522" t="s">
        <v>54</v>
      </c>
      <c r="E487" s="522" t="s">
        <v>3308</v>
      </c>
      <c r="F487" s="567">
        <v>19000.0</v>
      </c>
      <c r="G487" s="413">
        <v>1500.0</v>
      </c>
      <c r="H487" s="732" t="s">
        <v>3359</v>
      </c>
      <c r="I487" s="736" t="str">
        <f t="shared" si="5"/>
        <v>PARTIALLY PAID</v>
      </c>
      <c r="J487" s="402"/>
      <c r="K487" s="402"/>
      <c r="L487" s="402"/>
      <c r="M487" s="402"/>
      <c r="N487" s="402"/>
      <c r="O487" s="402"/>
      <c r="P487" s="402"/>
      <c r="Q487" s="402"/>
      <c r="R487" s="402"/>
      <c r="S487" s="402"/>
      <c r="T487" s="402"/>
      <c r="U487" s="402"/>
      <c r="V487" s="402"/>
      <c r="W487" s="402"/>
      <c r="X487" s="402"/>
      <c r="Y487" s="402"/>
      <c r="Z487" s="402"/>
    </row>
    <row r="488" ht="14.25" customHeight="1">
      <c r="A488" s="406">
        <v>45519.0</v>
      </c>
      <c r="B488" s="522" t="s">
        <v>3094</v>
      </c>
      <c r="C488" s="522" t="s">
        <v>3095</v>
      </c>
      <c r="D488" s="522" t="s">
        <v>54</v>
      </c>
      <c r="E488" s="522" t="s">
        <v>3078</v>
      </c>
      <c r="F488" s="567">
        <v>9300.0</v>
      </c>
      <c r="G488" s="413">
        <v>0.0</v>
      </c>
      <c r="H488" s="349" t="s">
        <v>3360</v>
      </c>
      <c r="I488" s="736" t="str">
        <f t="shared" si="5"/>
        <v>NOT PAID</v>
      </c>
      <c r="J488" s="402"/>
      <c r="K488" s="402"/>
      <c r="L488" s="402"/>
      <c r="M488" s="402"/>
      <c r="N488" s="402"/>
      <c r="O488" s="402"/>
      <c r="P488" s="402"/>
      <c r="Q488" s="402"/>
      <c r="R488" s="402"/>
      <c r="S488" s="402"/>
      <c r="T488" s="402"/>
      <c r="U488" s="402"/>
      <c r="V488" s="402"/>
      <c r="W488" s="402"/>
      <c r="X488" s="402"/>
      <c r="Y488" s="402"/>
      <c r="Z488" s="402"/>
    </row>
    <row r="489" ht="14.25" customHeight="1">
      <c r="A489" s="406">
        <v>45519.0</v>
      </c>
      <c r="B489" s="522" t="s">
        <v>652</v>
      </c>
      <c r="C489" s="522" t="s">
        <v>3097</v>
      </c>
      <c r="D489" s="522" t="s">
        <v>2010</v>
      </c>
      <c r="E489" s="522" t="s">
        <v>3308</v>
      </c>
      <c r="F489" s="567">
        <v>116200.0</v>
      </c>
      <c r="G489" s="413">
        <v>0.0</v>
      </c>
      <c r="H489" s="732" t="s">
        <v>3361</v>
      </c>
      <c r="I489" s="736" t="str">
        <f t="shared" si="5"/>
        <v>NOT PAID</v>
      </c>
      <c r="J489" s="402"/>
      <c r="K489" s="402"/>
      <c r="L489" s="402"/>
      <c r="M489" s="402"/>
      <c r="N489" s="402"/>
      <c r="O489" s="402"/>
      <c r="P489" s="402"/>
      <c r="Q489" s="402"/>
      <c r="R489" s="402"/>
      <c r="S489" s="402"/>
      <c r="T489" s="402"/>
      <c r="U489" s="402"/>
      <c r="V489" s="402"/>
      <c r="W489" s="402"/>
      <c r="X489" s="402"/>
      <c r="Y489" s="402"/>
      <c r="Z489" s="402"/>
    </row>
    <row r="490" ht="14.25" customHeight="1">
      <c r="A490" s="406">
        <v>45519.0</v>
      </c>
      <c r="B490" s="522" t="s">
        <v>3099</v>
      </c>
      <c r="C490" s="522" t="s">
        <v>3100</v>
      </c>
      <c r="D490" s="522" t="s">
        <v>54</v>
      </c>
      <c r="E490" s="522" t="s">
        <v>3308</v>
      </c>
      <c r="F490" s="567">
        <v>103900.0</v>
      </c>
      <c r="G490" s="413">
        <v>124000.0</v>
      </c>
      <c r="H490" s="349" t="s">
        <v>710</v>
      </c>
      <c r="I490" s="736" t="str">
        <f t="shared" si="5"/>
        <v>FULLY PAID</v>
      </c>
      <c r="J490" s="402"/>
      <c r="K490" s="402"/>
      <c r="L490" s="402"/>
      <c r="M490" s="402"/>
      <c r="N490" s="402"/>
      <c r="O490" s="402"/>
      <c r="P490" s="402"/>
      <c r="Q490" s="402"/>
      <c r="R490" s="402"/>
      <c r="S490" s="402"/>
      <c r="T490" s="402"/>
      <c r="U490" s="402"/>
      <c r="V490" s="402"/>
      <c r="W490" s="402"/>
      <c r="X490" s="402"/>
      <c r="Y490" s="402"/>
      <c r="Z490" s="402"/>
    </row>
    <row r="491" ht="14.25" customHeight="1">
      <c r="A491" s="406">
        <v>45519.0</v>
      </c>
      <c r="B491" s="349" t="s">
        <v>3107</v>
      </c>
      <c r="C491" s="349" t="s">
        <v>3108</v>
      </c>
      <c r="D491" s="349" t="s">
        <v>54</v>
      </c>
      <c r="E491" s="349" t="s">
        <v>3101</v>
      </c>
      <c r="F491" s="413">
        <v>9500.0</v>
      </c>
      <c r="G491" s="413">
        <v>0.0</v>
      </c>
      <c r="H491" s="349" t="s">
        <v>3362</v>
      </c>
      <c r="I491" s="736" t="str">
        <f t="shared" si="5"/>
        <v>NOT PAID</v>
      </c>
      <c r="J491" s="402"/>
      <c r="K491" s="402"/>
      <c r="L491" s="402"/>
      <c r="M491" s="402"/>
      <c r="N491" s="402"/>
      <c r="O491" s="402"/>
      <c r="P491" s="402"/>
      <c r="Q491" s="402"/>
      <c r="R491" s="402"/>
      <c r="S491" s="402"/>
      <c r="T491" s="402"/>
      <c r="U491" s="402"/>
      <c r="V491" s="402"/>
      <c r="W491" s="402"/>
      <c r="X491" s="402"/>
      <c r="Y491" s="402"/>
      <c r="Z491" s="402"/>
    </row>
    <row r="492" ht="14.25" customHeight="1">
      <c r="A492" s="406">
        <v>45519.0</v>
      </c>
      <c r="B492" s="522" t="s">
        <v>3134</v>
      </c>
      <c r="C492" s="522" t="s">
        <v>3176</v>
      </c>
      <c r="D492" s="349" t="s">
        <v>54</v>
      </c>
      <c r="E492" s="522" t="s">
        <v>3078</v>
      </c>
      <c r="F492" s="733">
        <v>80300.0</v>
      </c>
      <c r="G492" s="413">
        <v>0.0</v>
      </c>
      <c r="H492" s="732" t="s">
        <v>3261</v>
      </c>
      <c r="I492" s="736" t="str">
        <f t="shared" si="5"/>
        <v>NOT PAID</v>
      </c>
      <c r="J492" s="402"/>
      <c r="K492" s="402"/>
      <c r="L492" s="402"/>
      <c r="M492" s="402"/>
      <c r="N492" s="402"/>
      <c r="O492" s="402"/>
      <c r="P492" s="402"/>
      <c r="Q492" s="402"/>
      <c r="R492" s="402"/>
      <c r="S492" s="402"/>
      <c r="T492" s="402"/>
      <c r="U492" s="402"/>
      <c r="V492" s="402"/>
      <c r="W492" s="402"/>
      <c r="X492" s="402"/>
      <c r="Y492" s="402"/>
      <c r="Z492" s="402"/>
    </row>
    <row r="493" ht="14.25" customHeight="1">
      <c r="A493" s="406">
        <v>45519.0</v>
      </c>
      <c r="B493" s="349" t="s">
        <v>3076</v>
      </c>
      <c r="C493" s="349" t="s">
        <v>3077</v>
      </c>
      <c r="D493" s="349" t="s">
        <v>54</v>
      </c>
      <c r="E493" s="522" t="s">
        <v>3078</v>
      </c>
      <c r="F493" s="413">
        <v>5600.0</v>
      </c>
      <c r="G493" s="413">
        <v>0.0</v>
      </c>
      <c r="H493" s="349" t="s">
        <v>3363</v>
      </c>
      <c r="I493" s="736" t="str">
        <f t="shared" si="5"/>
        <v>NOT PAID</v>
      </c>
      <c r="J493" s="402"/>
      <c r="K493" s="402"/>
      <c r="L493" s="402"/>
      <c r="M493" s="402"/>
      <c r="N493" s="402"/>
      <c r="O493" s="402"/>
      <c r="P493" s="402"/>
      <c r="Q493" s="402"/>
      <c r="R493" s="402"/>
      <c r="S493" s="402"/>
      <c r="T493" s="402"/>
      <c r="U493" s="402"/>
      <c r="V493" s="402"/>
      <c r="W493" s="402"/>
      <c r="X493" s="402"/>
      <c r="Y493" s="402"/>
      <c r="Z493" s="402"/>
    </row>
    <row r="494" ht="14.25" customHeight="1">
      <c r="A494" s="406">
        <v>45519.0</v>
      </c>
      <c r="B494" s="349" t="s">
        <v>3173</v>
      </c>
      <c r="C494" s="349" t="s">
        <v>3174</v>
      </c>
      <c r="D494" s="349" t="s">
        <v>54</v>
      </c>
      <c r="E494" s="522" t="s">
        <v>3101</v>
      </c>
      <c r="F494" s="413">
        <v>25400.0</v>
      </c>
      <c r="G494" s="413">
        <v>0.0</v>
      </c>
      <c r="H494" s="349" t="s">
        <v>3364</v>
      </c>
      <c r="I494" s="736" t="str">
        <f t="shared" si="5"/>
        <v>NOT PAID</v>
      </c>
      <c r="J494" s="402"/>
      <c r="K494" s="402"/>
      <c r="L494" s="402"/>
      <c r="M494" s="402"/>
      <c r="N494" s="402"/>
      <c r="O494" s="402"/>
      <c r="P494" s="402"/>
      <c r="Q494" s="402"/>
      <c r="R494" s="402"/>
      <c r="S494" s="402"/>
      <c r="T494" s="402"/>
      <c r="U494" s="402"/>
      <c r="V494" s="402"/>
      <c r="W494" s="402"/>
      <c r="X494" s="402"/>
      <c r="Y494" s="402"/>
      <c r="Z494" s="402"/>
    </row>
    <row r="495" ht="14.25" customHeight="1">
      <c r="A495" s="406">
        <v>45519.0</v>
      </c>
      <c r="B495" s="522" t="s">
        <v>3263</v>
      </c>
      <c r="C495" s="349" t="s">
        <v>3264</v>
      </c>
      <c r="D495" s="349" t="s">
        <v>54</v>
      </c>
      <c r="E495" s="522" t="s">
        <v>3078</v>
      </c>
      <c r="F495" s="413">
        <v>1700.0</v>
      </c>
      <c r="G495" s="413">
        <v>0.0</v>
      </c>
      <c r="H495" s="732" t="s">
        <v>3365</v>
      </c>
      <c r="I495" s="736" t="str">
        <f t="shared" si="5"/>
        <v>NOT PAID</v>
      </c>
      <c r="J495" s="402"/>
      <c r="K495" s="402"/>
      <c r="L495" s="402"/>
      <c r="M495" s="402"/>
      <c r="N495" s="402"/>
      <c r="O495" s="402"/>
      <c r="P495" s="402"/>
      <c r="Q495" s="402"/>
      <c r="R495" s="402"/>
      <c r="S495" s="402"/>
      <c r="T495" s="402"/>
      <c r="U495" s="402"/>
      <c r="V495" s="402"/>
      <c r="W495" s="402"/>
      <c r="X495" s="402"/>
      <c r="Y495" s="402"/>
      <c r="Z495" s="402"/>
    </row>
    <row r="496" ht="14.25" customHeight="1">
      <c r="A496" s="406">
        <v>45519.0</v>
      </c>
      <c r="B496" s="349" t="s">
        <v>3193</v>
      </c>
      <c r="C496" s="349" t="s">
        <v>3194</v>
      </c>
      <c r="D496" s="349" t="s">
        <v>3189</v>
      </c>
      <c r="E496" s="349" t="s">
        <v>3078</v>
      </c>
      <c r="F496" s="413">
        <v>148776.0</v>
      </c>
      <c r="G496" s="413">
        <v>0.0</v>
      </c>
      <c r="H496" s="349" t="s">
        <v>3349</v>
      </c>
      <c r="I496" s="736" t="str">
        <f t="shared" si="5"/>
        <v>NOT PAID</v>
      </c>
      <c r="J496" s="402"/>
      <c r="K496" s="402"/>
      <c r="L496" s="402"/>
      <c r="M496" s="402"/>
      <c r="N496" s="402"/>
      <c r="O496" s="402"/>
      <c r="P496" s="402"/>
      <c r="Q496" s="402"/>
      <c r="R496" s="402"/>
      <c r="S496" s="402"/>
      <c r="T496" s="402"/>
      <c r="U496" s="402"/>
      <c r="V496" s="402"/>
      <c r="W496" s="402"/>
      <c r="X496" s="402"/>
      <c r="Y496" s="402"/>
      <c r="Z496" s="402"/>
    </row>
    <row r="497" ht="14.25" customHeight="1">
      <c r="A497" s="406">
        <v>45519.0</v>
      </c>
      <c r="B497" s="349" t="s">
        <v>3278</v>
      </c>
      <c r="C497" s="349" t="s">
        <v>3232</v>
      </c>
      <c r="D497" s="349" t="s">
        <v>54</v>
      </c>
      <c r="E497" s="522" t="s">
        <v>3308</v>
      </c>
      <c r="F497" s="413">
        <v>48600.0</v>
      </c>
      <c r="G497" s="413">
        <v>0.0</v>
      </c>
      <c r="H497" s="732" t="s">
        <v>3366</v>
      </c>
      <c r="I497" s="736" t="str">
        <f t="shared" si="5"/>
        <v>NOT PAID</v>
      </c>
      <c r="J497" s="402"/>
      <c r="K497" s="402"/>
      <c r="L497" s="402"/>
      <c r="M497" s="402"/>
      <c r="N497" s="402"/>
      <c r="O497" s="402"/>
      <c r="P497" s="402"/>
      <c r="Q497" s="402"/>
      <c r="R497" s="402"/>
      <c r="S497" s="402"/>
      <c r="T497" s="402"/>
      <c r="U497" s="402"/>
      <c r="V497" s="402"/>
      <c r="W497" s="402"/>
      <c r="X497" s="402"/>
      <c r="Y497" s="402"/>
      <c r="Z497" s="402"/>
    </row>
    <row r="498" ht="14.25" customHeight="1">
      <c r="A498" s="406">
        <v>45519.0</v>
      </c>
      <c r="B498" s="349" t="s">
        <v>3208</v>
      </c>
      <c r="C498" s="349" t="s">
        <v>3209</v>
      </c>
      <c r="D498" s="349" t="s">
        <v>54</v>
      </c>
      <c r="E498" s="522" t="s">
        <v>3101</v>
      </c>
      <c r="F498" s="413">
        <v>2000.0</v>
      </c>
      <c r="G498" s="413">
        <v>0.0</v>
      </c>
      <c r="H498" s="349" t="s">
        <v>3367</v>
      </c>
      <c r="I498" s="736" t="str">
        <f t="shared" si="5"/>
        <v>NOT PAID</v>
      </c>
      <c r="J498" s="402"/>
      <c r="K498" s="402"/>
      <c r="L498" s="402"/>
      <c r="M498" s="402"/>
      <c r="N498" s="402"/>
      <c r="O498" s="402"/>
      <c r="P498" s="402"/>
      <c r="Q498" s="402"/>
      <c r="R498" s="402"/>
      <c r="S498" s="402"/>
      <c r="T498" s="402"/>
      <c r="U498" s="402"/>
      <c r="V498" s="402"/>
      <c r="W498" s="402"/>
      <c r="X498" s="402"/>
      <c r="Y498" s="402"/>
      <c r="Z498" s="402"/>
    </row>
    <row r="499" ht="14.25" customHeight="1">
      <c r="A499" s="406">
        <v>45519.0</v>
      </c>
      <c r="B499" s="349" t="s">
        <v>3083</v>
      </c>
      <c r="C499" s="349" t="s">
        <v>3084</v>
      </c>
      <c r="D499" s="349" t="s">
        <v>54</v>
      </c>
      <c r="E499" s="349" t="s">
        <v>3101</v>
      </c>
      <c r="F499" s="413">
        <v>2500.0</v>
      </c>
      <c r="G499" s="413">
        <v>0.0</v>
      </c>
      <c r="H499" s="349" t="s">
        <v>3368</v>
      </c>
      <c r="I499" s="736" t="str">
        <f t="shared" si="5"/>
        <v>NOT PAID</v>
      </c>
      <c r="J499" s="402"/>
      <c r="K499" s="402"/>
      <c r="L499" s="402"/>
      <c r="M499" s="402"/>
      <c r="N499" s="402"/>
      <c r="O499" s="402"/>
      <c r="P499" s="402"/>
      <c r="Q499" s="402"/>
      <c r="R499" s="402"/>
      <c r="S499" s="402"/>
      <c r="T499" s="402"/>
      <c r="U499" s="402"/>
      <c r="V499" s="402"/>
      <c r="W499" s="402"/>
      <c r="X499" s="402"/>
      <c r="Y499" s="402"/>
      <c r="Z499" s="402"/>
    </row>
    <row r="500" ht="14.25" customHeight="1">
      <c r="A500" s="406">
        <v>45519.0</v>
      </c>
      <c r="B500" s="349" t="s">
        <v>3228</v>
      </c>
      <c r="C500" s="349" t="s">
        <v>3229</v>
      </c>
      <c r="D500" s="349" t="s">
        <v>3189</v>
      </c>
      <c r="E500" s="349" t="s">
        <v>3101</v>
      </c>
      <c r="F500" s="413">
        <v>56200.0</v>
      </c>
      <c r="G500" s="413">
        <v>0.0</v>
      </c>
      <c r="H500" s="349" t="s">
        <v>3368</v>
      </c>
      <c r="I500" s="736" t="str">
        <f t="shared" si="5"/>
        <v>NOT PAID</v>
      </c>
      <c r="J500" s="402"/>
      <c r="K500" s="402"/>
      <c r="L500" s="402"/>
      <c r="M500" s="402"/>
      <c r="N500" s="402"/>
      <c r="O500" s="402"/>
      <c r="P500" s="402"/>
      <c r="Q500" s="402"/>
      <c r="R500" s="402"/>
      <c r="S500" s="402"/>
      <c r="T500" s="402"/>
      <c r="U500" s="402"/>
      <c r="V500" s="402"/>
      <c r="W500" s="402"/>
      <c r="X500" s="402"/>
      <c r="Y500" s="402"/>
      <c r="Z500" s="402"/>
    </row>
    <row r="501" ht="14.25" customHeight="1">
      <c r="A501" s="406">
        <v>45519.0</v>
      </c>
      <c r="B501" s="406" t="s">
        <v>3233</v>
      </c>
      <c r="C501" s="349" t="s">
        <v>3234</v>
      </c>
      <c r="D501" s="349" t="s">
        <v>54</v>
      </c>
      <c r="E501" s="522" t="s">
        <v>3308</v>
      </c>
      <c r="F501" s="738">
        <v>3000.0</v>
      </c>
      <c r="G501" s="413">
        <v>0.0</v>
      </c>
      <c r="H501" s="732" t="s">
        <v>3286</v>
      </c>
      <c r="I501" s="736" t="str">
        <f t="shared" si="5"/>
        <v>NOT PAID</v>
      </c>
      <c r="J501" s="402"/>
      <c r="K501" s="402"/>
      <c r="L501" s="402"/>
      <c r="M501" s="402"/>
      <c r="N501" s="402"/>
      <c r="O501" s="402"/>
      <c r="P501" s="402"/>
      <c r="Q501" s="402"/>
      <c r="R501" s="402"/>
      <c r="S501" s="402"/>
      <c r="T501" s="402"/>
      <c r="U501" s="402"/>
      <c r="V501" s="402"/>
      <c r="W501" s="402"/>
      <c r="X501" s="402"/>
      <c r="Y501" s="402"/>
      <c r="Z501" s="402"/>
    </row>
    <row r="502" ht="14.25" customHeight="1">
      <c r="A502" s="406">
        <v>45519.0</v>
      </c>
      <c r="B502" s="406" t="s">
        <v>3235</v>
      </c>
      <c r="C502" s="349" t="s">
        <v>3236</v>
      </c>
      <c r="D502" s="349" t="s">
        <v>3189</v>
      </c>
      <c r="E502" s="349" t="s">
        <v>3101</v>
      </c>
      <c r="F502" s="738">
        <v>242500.0</v>
      </c>
      <c r="G502" s="413">
        <v>0.0</v>
      </c>
      <c r="H502" s="349" t="s">
        <v>3368</v>
      </c>
      <c r="I502" s="736" t="str">
        <f t="shared" si="5"/>
        <v>NOT PAID</v>
      </c>
      <c r="J502" s="402"/>
      <c r="K502" s="402"/>
      <c r="L502" s="402"/>
      <c r="M502" s="402"/>
      <c r="N502" s="402"/>
      <c r="O502" s="402"/>
      <c r="P502" s="402"/>
      <c r="Q502" s="402"/>
      <c r="R502" s="402"/>
      <c r="S502" s="402"/>
      <c r="T502" s="402"/>
      <c r="U502" s="402"/>
      <c r="V502" s="402"/>
      <c r="W502" s="402"/>
      <c r="X502" s="402"/>
      <c r="Y502" s="402"/>
      <c r="Z502" s="402"/>
    </row>
    <row r="503" ht="14.25" customHeight="1">
      <c r="A503" s="406">
        <v>45519.0</v>
      </c>
      <c r="B503" s="349" t="s">
        <v>3284</v>
      </c>
      <c r="C503" s="349" t="s">
        <v>3285</v>
      </c>
      <c r="D503" s="349" t="s">
        <v>3189</v>
      </c>
      <c r="E503" s="522" t="s">
        <v>3101</v>
      </c>
      <c r="F503" s="413">
        <v>740.0</v>
      </c>
      <c r="G503" s="413">
        <v>0.0</v>
      </c>
      <c r="H503" s="349" t="s">
        <v>2311</v>
      </c>
      <c r="I503" s="736" t="str">
        <f t="shared" si="5"/>
        <v>NOT PAID</v>
      </c>
      <c r="J503" s="402"/>
      <c r="K503" s="402"/>
      <c r="L503" s="402"/>
      <c r="M503" s="402"/>
      <c r="N503" s="402"/>
      <c r="O503" s="402"/>
      <c r="P503" s="402"/>
      <c r="Q503" s="402"/>
      <c r="R503" s="402"/>
      <c r="S503" s="402"/>
      <c r="T503" s="402"/>
      <c r="U503" s="402"/>
      <c r="V503" s="402"/>
      <c r="W503" s="402"/>
      <c r="X503" s="402"/>
      <c r="Y503" s="402"/>
      <c r="Z503" s="402"/>
    </row>
    <row r="504" ht="14.25" customHeight="1">
      <c r="A504" s="406">
        <v>45519.0</v>
      </c>
      <c r="B504" s="349" t="s">
        <v>3289</v>
      </c>
      <c r="C504" s="349" t="s">
        <v>3236</v>
      </c>
      <c r="D504" s="349" t="s">
        <v>54</v>
      </c>
      <c r="E504" s="349" t="s">
        <v>3115</v>
      </c>
      <c r="F504" s="413">
        <v>43129.0</v>
      </c>
      <c r="G504" s="413">
        <v>0.0</v>
      </c>
      <c r="H504" s="732" t="s">
        <v>3273</v>
      </c>
      <c r="I504" s="736" t="str">
        <f t="shared" si="5"/>
        <v>NOT PAID</v>
      </c>
      <c r="J504" s="402"/>
      <c r="K504" s="402"/>
      <c r="L504" s="402"/>
      <c r="M504" s="402"/>
      <c r="N504" s="402"/>
      <c r="O504" s="402"/>
      <c r="P504" s="402"/>
      <c r="Q504" s="402"/>
      <c r="R504" s="402"/>
      <c r="S504" s="402"/>
      <c r="T504" s="402"/>
      <c r="U504" s="402"/>
      <c r="V504" s="402"/>
      <c r="W504" s="402"/>
      <c r="X504" s="402"/>
      <c r="Y504" s="402"/>
      <c r="Z504" s="402"/>
    </row>
    <row r="505" ht="14.25" customHeight="1">
      <c r="A505" s="406">
        <v>45519.0</v>
      </c>
      <c r="B505" s="349" t="s">
        <v>3290</v>
      </c>
      <c r="C505" s="349" t="s">
        <v>3291</v>
      </c>
      <c r="D505" s="349" t="s">
        <v>54</v>
      </c>
      <c r="E505" s="349" t="s">
        <v>3101</v>
      </c>
      <c r="F505" s="413">
        <v>4000.0</v>
      </c>
      <c r="G505" s="413">
        <v>0.0</v>
      </c>
      <c r="H505" s="349" t="s">
        <v>3369</v>
      </c>
      <c r="I505" s="736" t="str">
        <f t="shared" si="5"/>
        <v>NOT PAID</v>
      </c>
      <c r="J505" s="402"/>
      <c r="K505" s="402"/>
      <c r="L505" s="402"/>
      <c r="M505" s="402"/>
      <c r="N505" s="402"/>
      <c r="O505" s="402"/>
      <c r="P505" s="402"/>
      <c r="Q505" s="402"/>
      <c r="R505" s="402"/>
      <c r="S505" s="402"/>
      <c r="T505" s="402"/>
      <c r="U505" s="402"/>
      <c r="V505" s="402"/>
      <c r="W505" s="402"/>
      <c r="X505" s="402"/>
      <c r="Y505" s="402"/>
      <c r="Z505" s="402"/>
    </row>
    <row r="506" ht="14.25" customHeight="1">
      <c r="A506" s="406">
        <v>45519.0</v>
      </c>
      <c r="B506" s="349" t="s">
        <v>3330</v>
      </c>
      <c r="C506" s="349" t="s">
        <v>3331</v>
      </c>
      <c r="D506" s="349" t="s">
        <v>54</v>
      </c>
      <c r="E506" s="349" t="s">
        <v>3078</v>
      </c>
      <c r="F506" s="413">
        <v>329836.45</v>
      </c>
      <c r="G506" s="413">
        <v>0.0</v>
      </c>
      <c r="H506" s="349" t="s">
        <v>3354</v>
      </c>
      <c r="I506" s="736" t="str">
        <f t="shared" si="5"/>
        <v>NOT PAID</v>
      </c>
      <c r="J506" s="402"/>
      <c r="K506" s="402"/>
      <c r="L506" s="402"/>
      <c r="M506" s="402"/>
      <c r="N506" s="402"/>
      <c r="O506" s="402"/>
      <c r="P506" s="402"/>
      <c r="Q506" s="402"/>
      <c r="R506" s="402"/>
      <c r="S506" s="402"/>
      <c r="T506" s="402"/>
      <c r="U506" s="402"/>
      <c r="V506" s="402"/>
      <c r="W506" s="402"/>
      <c r="X506" s="402"/>
      <c r="Y506" s="402"/>
      <c r="Z506" s="402"/>
    </row>
    <row r="507" ht="14.25" customHeight="1">
      <c r="A507" s="406">
        <v>45519.0</v>
      </c>
      <c r="B507" s="349" t="s">
        <v>3142</v>
      </c>
      <c r="C507" s="349" t="s">
        <v>3336</v>
      </c>
      <c r="D507" s="349" t="s">
        <v>54</v>
      </c>
      <c r="E507" s="522" t="s">
        <v>3078</v>
      </c>
      <c r="F507" s="413">
        <v>94391.5</v>
      </c>
      <c r="G507" s="413">
        <v>0.0</v>
      </c>
      <c r="H507" s="349" t="s">
        <v>3355</v>
      </c>
      <c r="I507" s="736" t="str">
        <f t="shared" si="5"/>
        <v>NOT PAID</v>
      </c>
      <c r="J507" s="402"/>
      <c r="K507" s="402"/>
      <c r="L507" s="402"/>
      <c r="M507" s="402"/>
      <c r="N507" s="402"/>
      <c r="O507" s="402"/>
      <c r="P507" s="402"/>
      <c r="Q507" s="402"/>
      <c r="R507" s="402"/>
      <c r="S507" s="402"/>
      <c r="T507" s="402"/>
      <c r="U507" s="402"/>
      <c r="V507" s="402"/>
      <c r="W507" s="402"/>
      <c r="X507" s="402"/>
      <c r="Y507" s="402"/>
      <c r="Z507" s="402"/>
    </row>
    <row r="508" ht="14.25" customHeight="1">
      <c r="A508" s="406">
        <v>45519.0</v>
      </c>
      <c r="B508" s="349" t="s">
        <v>3341</v>
      </c>
      <c r="C508" s="349" t="s">
        <v>3209</v>
      </c>
      <c r="D508" s="349" t="s">
        <v>467</v>
      </c>
      <c r="E508" s="522" t="s">
        <v>3101</v>
      </c>
      <c r="F508" s="413">
        <v>5640.0</v>
      </c>
      <c r="G508" s="413">
        <v>0.0</v>
      </c>
      <c r="H508" s="349" t="s">
        <v>3344</v>
      </c>
      <c r="I508" s="736" t="str">
        <f t="shared" si="5"/>
        <v>NOT PAID</v>
      </c>
      <c r="J508" s="402"/>
      <c r="K508" s="402"/>
      <c r="L508" s="402"/>
      <c r="M508" s="402"/>
      <c r="N508" s="402"/>
      <c r="O508" s="402"/>
      <c r="P508" s="402"/>
      <c r="Q508" s="402"/>
      <c r="R508" s="402"/>
      <c r="S508" s="402"/>
      <c r="T508" s="402"/>
      <c r="U508" s="402"/>
      <c r="V508" s="402"/>
      <c r="W508" s="402"/>
      <c r="X508" s="402"/>
      <c r="Y508" s="402"/>
      <c r="Z508" s="402"/>
    </row>
    <row r="509" ht="14.25" customHeight="1">
      <c r="A509" s="406">
        <v>45519.0</v>
      </c>
      <c r="B509" s="349" t="s">
        <v>3357</v>
      </c>
      <c r="C509" s="349" t="s">
        <v>3338</v>
      </c>
      <c r="D509" s="349" t="s">
        <v>54</v>
      </c>
      <c r="E509" s="349" t="s">
        <v>3101</v>
      </c>
      <c r="F509" s="413">
        <v>43000.0</v>
      </c>
      <c r="G509" s="413">
        <v>0.0</v>
      </c>
      <c r="H509" s="349" t="s">
        <v>3370</v>
      </c>
      <c r="I509" s="736" t="str">
        <f t="shared" si="5"/>
        <v>NOT PAID</v>
      </c>
      <c r="J509" s="402"/>
      <c r="K509" s="402"/>
      <c r="L509" s="402"/>
      <c r="M509" s="402"/>
      <c r="N509" s="402"/>
      <c r="O509" s="402"/>
      <c r="P509" s="402"/>
      <c r="Q509" s="402"/>
      <c r="R509" s="402"/>
      <c r="S509" s="402"/>
      <c r="T509" s="402"/>
      <c r="U509" s="402"/>
      <c r="V509" s="402"/>
      <c r="W509" s="402"/>
      <c r="X509" s="402"/>
      <c r="Y509" s="402"/>
      <c r="Z509" s="402"/>
    </row>
    <row r="510" ht="14.25" customHeight="1">
      <c r="A510" s="406">
        <v>45519.0</v>
      </c>
      <c r="B510" s="349" t="s">
        <v>3371</v>
      </c>
      <c r="C510" s="349" t="s">
        <v>3291</v>
      </c>
      <c r="D510" s="349" t="s">
        <v>3189</v>
      </c>
      <c r="E510" s="349" t="s">
        <v>3101</v>
      </c>
      <c r="F510" s="413">
        <v>94300.0</v>
      </c>
      <c r="G510" s="413">
        <v>10000.0</v>
      </c>
      <c r="H510" s="349" t="s">
        <v>3262</v>
      </c>
      <c r="I510" s="736" t="str">
        <f t="shared" si="5"/>
        <v>PARTIALLY PAID</v>
      </c>
      <c r="J510" s="402"/>
      <c r="K510" s="402"/>
      <c r="L510" s="402"/>
      <c r="M510" s="402"/>
      <c r="N510" s="402"/>
      <c r="O510" s="402"/>
      <c r="P510" s="402"/>
      <c r="Q510" s="402"/>
      <c r="R510" s="402"/>
      <c r="S510" s="402"/>
      <c r="T510" s="402"/>
      <c r="U510" s="402"/>
      <c r="V510" s="402"/>
      <c r="W510" s="402"/>
      <c r="X510" s="402"/>
      <c r="Y510" s="402"/>
      <c r="Z510" s="402"/>
    </row>
    <row r="511" ht="14.25" customHeight="1">
      <c r="A511" s="406">
        <v>45519.0</v>
      </c>
      <c r="B511" s="349" t="s">
        <v>3372</v>
      </c>
      <c r="C511" s="349" t="s">
        <v>3168</v>
      </c>
      <c r="D511" s="349" t="s">
        <v>54</v>
      </c>
      <c r="E511" s="349" t="s">
        <v>3101</v>
      </c>
      <c r="F511" s="413">
        <v>33110.0</v>
      </c>
      <c r="G511" s="413">
        <v>33120.0</v>
      </c>
      <c r="H511" s="349" t="s">
        <v>710</v>
      </c>
      <c r="I511" s="736" t="str">
        <f t="shared" si="5"/>
        <v>FULLY PAID</v>
      </c>
      <c r="J511" s="402"/>
      <c r="K511" s="402"/>
      <c r="L511" s="402"/>
      <c r="M511" s="402"/>
      <c r="N511" s="402"/>
      <c r="O511" s="402"/>
      <c r="P511" s="402"/>
      <c r="Q511" s="402"/>
      <c r="R511" s="402"/>
      <c r="S511" s="402"/>
      <c r="T511" s="402"/>
      <c r="U511" s="402"/>
      <c r="V511" s="402"/>
      <c r="W511" s="402"/>
      <c r="X511" s="402"/>
      <c r="Y511" s="402"/>
      <c r="Z511" s="402"/>
    </row>
    <row r="512" ht="14.25" customHeight="1">
      <c r="A512" s="402"/>
      <c r="B512" s="402"/>
      <c r="C512" s="402"/>
      <c r="D512" s="402"/>
      <c r="E512" s="402"/>
      <c r="F512" s="403"/>
      <c r="G512" s="403"/>
      <c r="H512" s="402"/>
      <c r="I512" s="736" t="str">
        <f t="shared" si="5"/>
        <v>FULLY PAID</v>
      </c>
      <c r="J512" s="402"/>
      <c r="K512" s="402"/>
      <c r="L512" s="402"/>
      <c r="M512" s="402"/>
      <c r="N512" s="402"/>
      <c r="O512" s="402"/>
      <c r="P512" s="402"/>
      <c r="Q512" s="402"/>
      <c r="R512" s="402"/>
      <c r="S512" s="402"/>
      <c r="T512" s="402"/>
      <c r="U512" s="402"/>
      <c r="V512" s="402"/>
      <c r="W512" s="402"/>
      <c r="X512" s="402"/>
      <c r="Y512" s="402"/>
      <c r="Z512" s="402"/>
    </row>
    <row r="513" ht="14.25" customHeight="1">
      <c r="A513" s="730" t="s">
        <v>39</v>
      </c>
      <c r="B513" s="730" t="s">
        <v>3075</v>
      </c>
      <c r="C513" s="730" t="s">
        <v>49</v>
      </c>
      <c r="D513" s="730" t="s">
        <v>50</v>
      </c>
      <c r="E513" s="731" t="s">
        <v>2</v>
      </c>
      <c r="F513" s="731" t="s">
        <v>2</v>
      </c>
      <c r="G513" s="731" t="s">
        <v>4</v>
      </c>
      <c r="H513" s="730" t="s">
        <v>45</v>
      </c>
      <c r="I513" s="736" t="str">
        <f t="shared" si="5"/>
        <v>FULLY PAID</v>
      </c>
      <c r="J513" s="402"/>
      <c r="K513" s="402"/>
      <c r="L513" s="402"/>
      <c r="M513" s="402"/>
      <c r="N513" s="402"/>
      <c r="O513" s="402"/>
      <c r="P513" s="402"/>
      <c r="Q513" s="402"/>
      <c r="R513" s="402"/>
      <c r="S513" s="402"/>
      <c r="T513" s="402"/>
      <c r="U513" s="402"/>
      <c r="V513" s="402"/>
      <c r="W513" s="402"/>
      <c r="X513" s="402"/>
      <c r="Y513" s="402"/>
      <c r="Z513" s="402"/>
    </row>
    <row r="514" ht="14.25" customHeight="1">
      <c r="A514" s="406">
        <v>45520.0</v>
      </c>
      <c r="B514" s="522" t="s">
        <v>3087</v>
      </c>
      <c r="C514" s="522" t="s">
        <v>3088</v>
      </c>
      <c r="D514" s="522" t="s">
        <v>54</v>
      </c>
      <c r="E514" s="522" t="s">
        <v>3308</v>
      </c>
      <c r="F514" s="567">
        <v>17300.0</v>
      </c>
      <c r="G514" s="413">
        <v>0.0</v>
      </c>
      <c r="H514" s="732"/>
      <c r="I514" s="736" t="str">
        <f t="shared" si="5"/>
        <v>NOT PAID</v>
      </c>
      <c r="J514" s="402"/>
      <c r="K514" s="402"/>
      <c r="L514" s="402"/>
      <c r="M514" s="402"/>
      <c r="N514" s="402"/>
      <c r="O514" s="402"/>
      <c r="P514" s="402"/>
      <c r="Q514" s="402"/>
      <c r="R514" s="402"/>
      <c r="S514" s="402"/>
      <c r="T514" s="402"/>
      <c r="U514" s="402"/>
      <c r="V514" s="402"/>
      <c r="W514" s="402"/>
      <c r="X514" s="402"/>
      <c r="Y514" s="402"/>
      <c r="Z514" s="402"/>
    </row>
    <row r="515" ht="14.25" customHeight="1">
      <c r="A515" s="406">
        <v>45520.0</v>
      </c>
      <c r="B515" s="522" t="s">
        <v>3094</v>
      </c>
      <c r="C515" s="522" t="s">
        <v>3095</v>
      </c>
      <c r="D515" s="522" t="s">
        <v>54</v>
      </c>
      <c r="E515" s="522" t="s">
        <v>3078</v>
      </c>
      <c r="F515" s="567">
        <v>9300.0</v>
      </c>
      <c r="G515" s="413">
        <v>25000.0</v>
      </c>
      <c r="H515" s="349" t="s">
        <v>1238</v>
      </c>
      <c r="I515" s="736" t="str">
        <f t="shared" si="5"/>
        <v>FULLY PAID</v>
      </c>
      <c r="J515" s="402"/>
      <c r="K515" s="402"/>
      <c r="L515" s="402"/>
      <c r="M515" s="402"/>
      <c r="N515" s="402"/>
      <c r="O515" s="402"/>
      <c r="P515" s="402"/>
      <c r="Q515" s="402"/>
      <c r="R515" s="402"/>
      <c r="S515" s="402"/>
      <c r="T515" s="402"/>
      <c r="U515" s="402"/>
      <c r="V515" s="402"/>
      <c r="W515" s="402"/>
      <c r="X515" s="402"/>
      <c r="Y515" s="402"/>
      <c r="Z515" s="402"/>
    </row>
    <row r="516" ht="14.25" customHeight="1">
      <c r="A516" s="406">
        <v>45520.0</v>
      </c>
      <c r="B516" s="522" t="s">
        <v>652</v>
      </c>
      <c r="C516" s="522" t="s">
        <v>3097</v>
      </c>
      <c r="D516" s="522" t="s">
        <v>2010</v>
      </c>
      <c r="E516" s="522" t="s">
        <v>3308</v>
      </c>
      <c r="F516" s="567">
        <v>116200.0</v>
      </c>
      <c r="G516" s="413">
        <v>0.0</v>
      </c>
      <c r="H516" s="732"/>
      <c r="I516" s="736" t="str">
        <f t="shared" si="5"/>
        <v>NOT PAID</v>
      </c>
      <c r="J516" s="402"/>
      <c r="K516" s="402"/>
      <c r="L516" s="402"/>
      <c r="M516" s="402"/>
      <c r="N516" s="402"/>
      <c r="O516" s="402"/>
      <c r="P516" s="402"/>
      <c r="Q516" s="402"/>
      <c r="R516" s="402"/>
      <c r="S516" s="402"/>
      <c r="T516" s="402"/>
      <c r="U516" s="402"/>
      <c r="V516" s="402"/>
      <c r="W516" s="402"/>
      <c r="X516" s="402"/>
      <c r="Y516" s="402"/>
      <c r="Z516" s="402"/>
    </row>
    <row r="517" ht="14.25" customHeight="1">
      <c r="A517" s="406">
        <v>45520.0</v>
      </c>
      <c r="B517" s="522" t="s">
        <v>3099</v>
      </c>
      <c r="C517" s="522" t="s">
        <v>3100</v>
      </c>
      <c r="D517" s="522" t="s">
        <v>54</v>
      </c>
      <c r="E517" s="522" t="s">
        <v>3308</v>
      </c>
      <c r="F517" s="567">
        <v>112200.0</v>
      </c>
      <c r="G517" s="413">
        <v>0.0</v>
      </c>
      <c r="H517" s="349"/>
      <c r="I517" s="736" t="str">
        <f t="shared" si="5"/>
        <v>NOT PAID</v>
      </c>
      <c r="J517" s="402"/>
      <c r="K517" s="402"/>
      <c r="L517" s="402"/>
      <c r="M517" s="402"/>
      <c r="N517" s="402"/>
      <c r="O517" s="402"/>
      <c r="P517" s="402"/>
      <c r="Q517" s="402"/>
      <c r="R517" s="402"/>
      <c r="S517" s="402"/>
      <c r="T517" s="402"/>
      <c r="U517" s="402"/>
      <c r="V517" s="402"/>
      <c r="W517" s="402"/>
      <c r="X517" s="402"/>
      <c r="Y517" s="402"/>
      <c r="Z517" s="402"/>
    </row>
    <row r="518" ht="14.25" customHeight="1">
      <c r="A518" s="406">
        <v>45520.0</v>
      </c>
      <c r="B518" s="349" t="s">
        <v>3107</v>
      </c>
      <c r="C518" s="349" t="s">
        <v>3108</v>
      </c>
      <c r="D518" s="349" t="s">
        <v>54</v>
      </c>
      <c r="E518" s="349" t="s">
        <v>3101</v>
      </c>
      <c r="F518" s="413">
        <v>9500.0</v>
      </c>
      <c r="G518" s="413">
        <v>0.0</v>
      </c>
      <c r="H518" s="349"/>
      <c r="I518" s="736" t="str">
        <f t="shared" si="5"/>
        <v>NOT PAID</v>
      </c>
      <c r="J518" s="402"/>
      <c r="K518" s="402"/>
      <c r="L518" s="402"/>
      <c r="M518" s="402"/>
      <c r="N518" s="402"/>
      <c r="O518" s="402"/>
      <c r="P518" s="402"/>
      <c r="Q518" s="402"/>
      <c r="R518" s="402"/>
      <c r="S518" s="402"/>
      <c r="T518" s="402"/>
      <c r="U518" s="402"/>
      <c r="V518" s="402"/>
      <c r="W518" s="402"/>
      <c r="X518" s="402"/>
      <c r="Y518" s="402"/>
      <c r="Z518" s="402"/>
    </row>
    <row r="519" ht="14.25" customHeight="1">
      <c r="A519" s="406">
        <v>45520.0</v>
      </c>
      <c r="B519" s="522" t="s">
        <v>3134</v>
      </c>
      <c r="C519" s="522" t="s">
        <v>3176</v>
      </c>
      <c r="D519" s="349" t="s">
        <v>54</v>
      </c>
      <c r="E519" s="522" t="s">
        <v>3078</v>
      </c>
      <c r="F519" s="733">
        <v>80300.0</v>
      </c>
      <c r="G519" s="413">
        <v>0.0</v>
      </c>
      <c r="H519" s="732" t="s">
        <v>3373</v>
      </c>
      <c r="I519" s="736" t="str">
        <f t="shared" si="5"/>
        <v>NOT PAID</v>
      </c>
      <c r="J519" s="402"/>
      <c r="K519" s="402"/>
      <c r="L519" s="402"/>
      <c r="M519" s="402"/>
      <c r="N519" s="402"/>
      <c r="O519" s="402"/>
      <c r="P519" s="402"/>
      <c r="Q519" s="402"/>
      <c r="R519" s="402"/>
      <c r="S519" s="402"/>
      <c r="T519" s="402"/>
      <c r="U519" s="402"/>
      <c r="V519" s="402"/>
      <c r="W519" s="402"/>
      <c r="X519" s="402"/>
      <c r="Y519" s="402"/>
      <c r="Z519" s="402"/>
    </row>
    <row r="520" ht="14.25" customHeight="1">
      <c r="A520" s="406">
        <v>45520.0</v>
      </c>
      <c r="B520" s="349" t="s">
        <v>3076</v>
      </c>
      <c r="C520" s="349" t="s">
        <v>3077</v>
      </c>
      <c r="D520" s="349" t="s">
        <v>54</v>
      </c>
      <c r="E520" s="522" t="s">
        <v>3078</v>
      </c>
      <c r="F520" s="413">
        <v>2150.0</v>
      </c>
      <c r="G520" s="413">
        <v>0.0</v>
      </c>
      <c r="H520" s="349" t="s">
        <v>3374</v>
      </c>
      <c r="I520" s="736" t="str">
        <f t="shared" si="5"/>
        <v>NOT PAID</v>
      </c>
      <c r="J520" s="402"/>
      <c r="K520" s="402"/>
      <c r="L520" s="402"/>
      <c r="M520" s="402"/>
      <c r="N520" s="402"/>
      <c r="O520" s="402"/>
      <c r="P520" s="402"/>
      <c r="Q520" s="402"/>
      <c r="R520" s="402"/>
      <c r="S520" s="402"/>
      <c r="T520" s="402"/>
      <c r="U520" s="402"/>
      <c r="V520" s="402"/>
      <c r="W520" s="402"/>
      <c r="X520" s="402"/>
      <c r="Y520" s="402"/>
      <c r="Z520" s="402"/>
    </row>
    <row r="521" ht="14.25" customHeight="1">
      <c r="A521" s="406">
        <v>45520.0</v>
      </c>
      <c r="B521" s="349" t="s">
        <v>3173</v>
      </c>
      <c r="C521" s="349" t="s">
        <v>3174</v>
      </c>
      <c r="D521" s="349" t="s">
        <v>54</v>
      </c>
      <c r="E521" s="522" t="s">
        <v>3101</v>
      </c>
      <c r="F521" s="413">
        <v>25400.0</v>
      </c>
      <c r="G521" s="413">
        <v>0.0</v>
      </c>
      <c r="H521" s="349"/>
      <c r="I521" s="736" t="str">
        <f t="shared" si="5"/>
        <v>NOT PAID</v>
      </c>
      <c r="J521" s="402"/>
      <c r="K521" s="402"/>
      <c r="L521" s="402"/>
      <c r="M521" s="402"/>
      <c r="N521" s="402"/>
      <c r="O521" s="402"/>
      <c r="P521" s="402"/>
      <c r="Q521" s="402"/>
      <c r="R521" s="402"/>
      <c r="S521" s="402"/>
      <c r="T521" s="402"/>
      <c r="U521" s="402"/>
      <c r="V521" s="402"/>
      <c r="W521" s="402"/>
      <c r="X521" s="402"/>
      <c r="Y521" s="402"/>
      <c r="Z521" s="402"/>
    </row>
    <row r="522" ht="14.25" customHeight="1">
      <c r="A522" s="406">
        <v>45520.0</v>
      </c>
      <c r="B522" s="522" t="s">
        <v>3263</v>
      </c>
      <c r="C522" s="349" t="s">
        <v>3264</v>
      </c>
      <c r="D522" s="349" t="s">
        <v>54</v>
      </c>
      <c r="E522" s="522" t="s">
        <v>3078</v>
      </c>
      <c r="F522" s="413">
        <v>1700.0</v>
      </c>
      <c r="G522" s="413">
        <v>0.0</v>
      </c>
      <c r="H522" s="732" t="s">
        <v>3375</v>
      </c>
      <c r="I522" s="736" t="str">
        <f t="shared" si="5"/>
        <v>NOT PAID</v>
      </c>
      <c r="J522" s="402"/>
      <c r="K522" s="402"/>
      <c r="L522" s="402"/>
      <c r="M522" s="402"/>
      <c r="N522" s="402"/>
      <c r="O522" s="402"/>
      <c r="P522" s="402"/>
      <c r="Q522" s="402"/>
      <c r="R522" s="402"/>
      <c r="S522" s="402"/>
      <c r="T522" s="402"/>
      <c r="U522" s="402"/>
      <c r="V522" s="402"/>
      <c r="W522" s="402"/>
      <c r="X522" s="402"/>
      <c r="Y522" s="402"/>
      <c r="Z522" s="402"/>
    </row>
    <row r="523" ht="14.25" customHeight="1">
      <c r="A523" s="406">
        <v>45520.0</v>
      </c>
      <c r="B523" s="349" t="s">
        <v>3193</v>
      </c>
      <c r="C523" s="349" t="s">
        <v>3194</v>
      </c>
      <c r="D523" s="349" t="s">
        <v>3189</v>
      </c>
      <c r="E523" s="349" t="s">
        <v>3078</v>
      </c>
      <c r="F523" s="413">
        <v>148776.0</v>
      </c>
      <c r="G523" s="413">
        <v>0.0</v>
      </c>
      <c r="H523" s="349" t="s">
        <v>3376</v>
      </c>
      <c r="I523" s="736" t="str">
        <f t="shared" si="5"/>
        <v>NOT PAID</v>
      </c>
      <c r="J523" s="402"/>
      <c r="K523" s="402"/>
      <c r="L523" s="402"/>
      <c r="M523" s="402"/>
      <c r="N523" s="402"/>
      <c r="O523" s="402"/>
      <c r="P523" s="402"/>
      <c r="Q523" s="402"/>
      <c r="R523" s="402"/>
      <c r="S523" s="402"/>
      <c r="T523" s="402"/>
      <c r="U523" s="402"/>
      <c r="V523" s="402"/>
      <c r="W523" s="402"/>
      <c r="X523" s="402"/>
      <c r="Y523" s="402"/>
      <c r="Z523" s="402"/>
    </row>
    <row r="524" ht="14.25" customHeight="1">
      <c r="A524" s="406">
        <v>45520.0</v>
      </c>
      <c r="B524" s="349" t="s">
        <v>3278</v>
      </c>
      <c r="C524" s="349" t="s">
        <v>3232</v>
      </c>
      <c r="D524" s="349" t="s">
        <v>54</v>
      </c>
      <c r="E524" s="522" t="s">
        <v>3308</v>
      </c>
      <c r="F524" s="413">
        <v>48600.0</v>
      </c>
      <c r="G524" s="413">
        <v>15000.0</v>
      </c>
      <c r="H524" s="732"/>
      <c r="I524" s="736" t="str">
        <f t="shared" si="5"/>
        <v>PARTIALLY PAID</v>
      </c>
      <c r="J524" s="402"/>
      <c r="K524" s="402"/>
      <c r="L524" s="402"/>
      <c r="M524" s="402"/>
      <c r="N524" s="402"/>
      <c r="O524" s="402"/>
      <c r="P524" s="402"/>
      <c r="Q524" s="402"/>
      <c r="R524" s="402"/>
      <c r="S524" s="402"/>
      <c r="T524" s="402"/>
      <c r="U524" s="402"/>
      <c r="V524" s="402"/>
      <c r="W524" s="402"/>
      <c r="X524" s="402"/>
      <c r="Y524" s="402"/>
      <c r="Z524" s="402"/>
    </row>
    <row r="525" ht="14.25" customHeight="1">
      <c r="A525" s="406">
        <v>45520.0</v>
      </c>
      <c r="B525" s="349" t="s">
        <v>3208</v>
      </c>
      <c r="C525" s="349" t="s">
        <v>3209</v>
      </c>
      <c r="D525" s="349" t="s">
        <v>54</v>
      </c>
      <c r="E525" s="522" t="s">
        <v>3101</v>
      </c>
      <c r="F525" s="413">
        <v>2000.0</v>
      </c>
      <c r="G525" s="413">
        <v>0.0</v>
      </c>
      <c r="H525" s="349"/>
      <c r="I525" s="736" t="str">
        <f t="shared" si="5"/>
        <v>NOT PAID</v>
      </c>
      <c r="J525" s="402"/>
      <c r="K525" s="402"/>
      <c r="L525" s="402"/>
      <c r="M525" s="402"/>
      <c r="N525" s="402"/>
      <c r="O525" s="402"/>
      <c r="P525" s="402"/>
      <c r="Q525" s="402"/>
      <c r="R525" s="402"/>
      <c r="S525" s="402"/>
      <c r="T525" s="402"/>
      <c r="U525" s="402"/>
      <c r="V525" s="402"/>
      <c r="W525" s="402"/>
      <c r="X525" s="402"/>
      <c r="Y525" s="402"/>
      <c r="Z525" s="402"/>
    </row>
    <row r="526" ht="14.25" customHeight="1">
      <c r="A526" s="406">
        <v>45520.0</v>
      </c>
      <c r="B526" s="349" t="s">
        <v>3083</v>
      </c>
      <c r="C526" s="349" t="s">
        <v>3084</v>
      </c>
      <c r="D526" s="349" t="s">
        <v>54</v>
      </c>
      <c r="E526" s="349" t="s">
        <v>3101</v>
      </c>
      <c r="F526" s="413">
        <v>2500.0</v>
      </c>
      <c r="G526" s="413">
        <v>0.0</v>
      </c>
      <c r="H526" s="349"/>
      <c r="I526" s="736" t="str">
        <f t="shared" si="5"/>
        <v>NOT PAID</v>
      </c>
      <c r="J526" s="402"/>
      <c r="K526" s="402"/>
      <c r="L526" s="402"/>
      <c r="M526" s="402"/>
      <c r="N526" s="402"/>
      <c r="O526" s="402"/>
      <c r="P526" s="402"/>
      <c r="Q526" s="402"/>
      <c r="R526" s="402"/>
      <c r="S526" s="402"/>
      <c r="T526" s="402"/>
      <c r="U526" s="402"/>
      <c r="V526" s="402"/>
      <c r="W526" s="402"/>
      <c r="X526" s="402"/>
      <c r="Y526" s="402"/>
      <c r="Z526" s="402"/>
    </row>
    <row r="527" ht="14.25" customHeight="1">
      <c r="A527" s="406">
        <v>45520.0</v>
      </c>
      <c r="B527" s="349" t="s">
        <v>3228</v>
      </c>
      <c r="C527" s="349" t="s">
        <v>3229</v>
      </c>
      <c r="D527" s="349" t="s">
        <v>3189</v>
      </c>
      <c r="E527" s="349" t="s">
        <v>3101</v>
      </c>
      <c r="F527" s="413">
        <v>54150.0</v>
      </c>
      <c r="G527" s="413">
        <v>0.0</v>
      </c>
      <c r="H527" s="349"/>
      <c r="I527" s="736" t="str">
        <f t="shared" si="5"/>
        <v>NOT PAID</v>
      </c>
      <c r="J527" s="402"/>
      <c r="K527" s="402"/>
      <c r="L527" s="402"/>
      <c r="M527" s="402"/>
      <c r="N527" s="402"/>
      <c r="O527" s="402"/>
      <c r="P527" s="402"/>
      <c r="Q527" s="402"/>
      <c r="R527" s="402"/>
      <c r="S527" s="402"/>
      <c r="T527" s="402"/>
      <c r="U527" s="402"/>
      <c r="V527" s="402"/>
      <c r="W527" s="402"/>
      <c r="X527" s="402"/>
      <c r="Y527" s="402"/>
      <c r="Z527" s="402"/>
    </row>
    <row r="528" ht="14.25" customHeight="1">
      <c r="A528" s="406">
        <v>45520.0</v>
      </c>
      <c r="B528" s="406" t="s">
        <v>3233</v>
      </c>
      <c r="C528" s="349" t="s">
        <v>3234</v>
      </c>
      <c r="D528" s="349" t="s">
        <v>54</v>
      </c>
      <c r="E528" s="522" t="s">
        <v>3308</v>
      </c>
      <c r="F528" s="738">
        <v>3000.0</v>
      </c>
      <c r="G528" s="413">
        <v>0.0</v>
      </c>
      <c r="H528" s="732"/>
      <c r="I528" s="736" t="str">
        <f t="shared" si="5"/>
        <v>NOT PAID</v>
      </c>
      <c r="J528" s="402"/>
      <c r="K528" s="402"/>
      <c r="L528" s="402"/>
      <c r="M528" s="402"/>
      <c r="N528" s="402"/>
      <c r="O528" s="402"/>
      <c r="P528" s="402"/>
      <c r="Q528" s="402"/>
      <c r="R528" s="402"/>
      <c r="S528" s="402"/>
      <c r="T528" s="402"/>
      <c r="U528" s="402"/>
      <c r="V528" s="402"/>
      <c r="W528" s="402"/>
      <c r="X528" s="402"/>
      <c r="Y528" s="402"/>
      <c r="Z528" s="402"/>
    </row>
    <row r="529" ht="14.25" customHeight="1">
      <c r="A529" s="406">
        <v>45520.0</v>
      </c>
      <c r="B529" s="406" t="s">
        <v>3235</v>
      </c>
      <c r="C529" s="349" t="s">
        <v>3236</v>
      </c>
      <c r="D529" s="349" t="s">
        <v>3189</v>
      </c>
      <c r="E529" s="349" t="s">
        <v>3101</v>
      </c>
      <c r="F529" s="738">
        <v>242500.0</v>
      </c>
      <c r="G529" s="413">
        <v>0.0</v>
      </c>
      <c r="H529" s="349"/>
      <c r="I529" s="736" t="str">
        <f t="shared" si="5"/>
        <v>NOT PAID</v>
      </c>
      <c r="J529" s="402"/>
      <c r="K529" s="402"/>
      <c r="L529" s="402"/>
      <c r="M529" s="402"/>
      <c r="N529" s="402"/>
      <c r="O529" s="402"/>
      <c r="P529" s="402"/>
      <c r="Q529" s="402"/>
      <c r="R529" s="402"/>
      <c r="S529" s="402"/>
      <c r="T529" s="402"/>
      <c r="U529" s="402"/>
      <c r="V529" s="402"/>
      <c r="W529" s="402"/>
      <c r="X529" s="402"/>
      <c r="Y529" s="402"/>
      <c r="Z529" s="402"/>
    </row>
    <row r="530" ht="14.25" customHeight="1">
      <c r="A530" s="406">
        <v>45520.0</v>
      </c>
      <c r="B530" s="349" t="s">
        <v>3284</v>
      </c>
      <c r="C530" s="349" t="s">
        <v>3285</v>
      </c>
      <c r="D530" s="349" t="s">
        <v>3189</v>
      </c>
      <c r="E530" s="522" t="s">
        <v>3101</v>
      </c>
      <c r="F530" s="413">
        <v>740.0</v>
      </c>
      <c r="G530" s="413">
        <v>750.0</v>
      </c>
      <c r="H530" s="349"/>
      <c r="I530" s="736" t="str">
        <f t="shared" si="5"/>
        <v>FULLY PAID</v>
      </c>
      <c r="J530" s="402"/>
      <c r="K530" s="402"/>
      <c r="L530" s="402"/>
      <c r="M530" s="402"/>
      <c r="N530" s="402"/>
      <c r="O530" s="402"/>
      <c r="P530" s="402"/>
      <c r="Q530" s="402"/>
      <c r="R530" s="402"/>
      <c r="S530" s="402"/>
      <c r="T530" s="402"/>
      <c r="U530" s="402"/>
      <c r="V530" s="402"/>
      <c r="W530" s="402"/>
      <c r="X530" s="402"/>
      <c r="Y530" s="402"/>
      <c r="Z530" s="402"/>
    </row>
    <row r="531" ht="14.25" customHeight="1">
      <c r="A531" s="406">
        <v>45520.0</v>
      </c>
      <c r="B531" s="349" t="s">
        <v>3289</v>
      </c>
      <c r="C531" s="349" t="s">
        <v>3236</v>
      </c>
      <c r="D531" s="349" t="s">
        <v>54</v>
      </c>
      <c r="E531" s="349" t="s">
        <v>3115</v>
      </c>
      <c r="F531" s="413">
        <v>43129.0</v>
      </c>
      <c r="G531" s="413">
        <v>0.0</v>
      </c>
      <c r="H531" s="732"/>
      <c r="I531" s="736" t="str">
        <f t="shared" si="5"/>
        <v>NOT PAID</v>
      </c>
      <c r="J531" s="402"/>
      <c r="K531" s="402"/>
      <c r="L531" s="402"/>
      <c r="M531" s="402"/>
      <c r="N531" s="402"/>
      <c r="O531" s="402"/>
      <c r="P531" s="402"/>
      <c r="Q531" s="402"/>
      <c r="R531" s="402"/>
      <c r="S531" s="402"/>
      <c r="T531" s="402"/>
      <c r="U531" s="402"/>
      <c r="V531" s="402"/>
      <c r="W531" s="402"/>
      <c r="X531" s="402"/>
      <c r="Y531" s="402"/>
      <c r="Z531" s="402"/>
    </row>
    <row r="532" ht="14.25" customHeight="1">
      <c r="A532" s="406">
        <v>45520.0</v>
      </c>
      <c r="B532" s="349" t="s">
        <v>3290</v>
      </c>
      <c r="C532" s="349" t="s">
        <v>3291</v>
      </c>
      <c r="D532" s="349" t="s">
        <v>54</v>
      </c>
      <c r="E532" s="349" t="s">
        <v>3101</v>
      </c>
      <c r="F532" s="413">
        <v>4000.0</v>
      </c>
      <c r="G532" s="413">
        <v>0.0</v>
      </c>
      <c r="H532" s="349"/>
      <c r="I532" s="736" t="str">
        <f t="shared" si="5"/>
        <v>NOT PAID</v>
      </c>
      <c r="J532" s="402"/>
      <c r="K532" s="402"/>
      <c r="L532" s="402"/>
      <c r="M532" s="402"/>
      <c r="N532" s="402"/>
      <c r="O532" s="402"/>
      <c r="P532" s="402"/>
      <c r="Q532" s="402"/>
      <c r="R532" s="402"/>
      <c r="S532" s="402"/>
      <c r="T532" s="402"/>
      <c r="U532" s="402"/>
      <c r="V532" s="402"/>
      <c r="W532" s="402"/>
      <c r="X532" s="402"/>
      <c r="Y532" s="402"/>
      <c r="Z532" s="402"/>
    </row>
    <row r="533" ht="14.25" customHeight="1">
      <c r="A533" s="406">
        <v>45520.0</v>
      </c>
      <c r="B533" s="349" t="s">
        <v>3330</v>
      </c>
      <c r="C533" s="349" t="s">
        <v>3331</v>
      </c>
      <c r="D533" s="349" t="s">
        <v>54</v>
      </c>
      <c r="E533" s="349" t="s">
        <v>3078</v>
      </c>
      <c r="F533" s="413">
        <v>329836.45</v>
      </c>
      <c r="G533" s="413">
        <v>0.0</v>
      </c>
      <c r="H533" s="349" t="s">
        <v>3377</v>
      </c>
      <c r="I533" s="736" t="str">
        <f t="shared" si="5"/>
        <v>NOT PAID</v>
      </c>
      <c r="J533" s="402"/>
      <c r="K533" s="402"/>
      <c r="L533" s="402"/>
      <c r="M533" s="402"/>
      <c r="N533" s="402"/>
      <c r="O533" s="402"/>
      <c r="P533" s="402"/>
      <c r="Q533" s="402"/>
      <c r="R533" s="402"/>
      <c r="S533" s="402"/>
      <c r="T533" s="402"/>
      <c r="U533" s="402"/>
      <c r="V533" s="402"/>
      <c r="W533" s="402"/>
      <c r="X533" s="402"/>
      <c r="Y533" s="402"/>
      <c r="Z533" s="402"/>
    </row>
    <row r="534" ht="14.25" customHeight="1">
      <c r="A534" s="406">
        <v>45520.0</v>
      </c>
      <c r="B534" s="349" t="s">
        <v>3142</v>
      </c>
      <c r="C534" s="349" t="s">
        <v>3336</v>
      </c>
      <c r="D534" s="349" t="s">
        <v>54</v>
      </c>
      <c r="E534" s="522" t="s">
        <v>3078</v>
      </c>
      <c r="F534" s="413">
        <v>94391.5</v>
      </c>
      <c r="G534" s="413">
        <v>0.0</v>
      </c>
      <c r="H534" s="349" t="s">
        <v>3377</v>
      </c>
      <c r="I534" s="736" t="str">
        <f t="shared" si="5"/>
        <v>NOT PAID</v>
      </c>
      <c r="J534" s="402"/>
      <c r="K534" s="402"/>
      <c r="L534" s="402"/>
      <c r="M534" s="402"/>
      <c r="N534" s="402"/>
      <c r="O534" s="402"/>
      <c r="P534" s="402"/>
      <c r="Q534" s="402"/>
      <c r="R534" s="402"/>
      <c r="S534" s="402"/>
      <c r="T534" s="402"/>
      <c r="U534" s="402"/>
      <c r="V534" s="402"/>
      <c r="W534" s="402"/>
      <c r="X534" s="402"/>
      <c r="Y534" s="402"/>
      <c r="Z534" s="402"/>
    </row>
    <row r="535" ht="14.25" customHeight="1">
      <c r="A535" s="406">
        <v>45520.0</v>
      </c>
      <c r="B535" s="349" t="s">
        <v>3341</v>
      </c>
      <c r="C535" s="349" t="s">
        <v>3209</v>
      </c>
      <c r="D535" s="349" t="s">
        <v>467</v>
      </c>
      <c r="E535" s="522" t="s">
        <v>3101</v>
      </c>
      <c r="F535" s="413">
        <v>5640.0</v>
      </c>
      <c r="G535" s="413">
        <v>0.0</v>
      </c>
      <c r="H535" s="349"/>
      <c r="I535" s="736" t="str">
        <f t="shared" si="5"/>
        <v>NOT PAID</v>
      </c>
      <c r="J535" s="402"/>
      <c r="K535" s="402"/>
      <c r="L535" s="402"/>
      <c r="M535" s="402"/>
      <c r="N535" s="402"/>
      <c r="O535" s="402"/>
      <c r="P535" s="402"/>
      <c r="Q535" s="402"/>
      <c r="R535" s="402"/>
      <c r="S535" s="402"/>
      <c r="T535" s="402"/>
      <c r="U535" s="402"/>
      <c r="V535" s="402"/>
      <c r="W535" s="402"/>
      <c r="X535" s="402"/>
      <c r="Y535" s="402"/>
      <c r="Z535" s="402"/>
    </row>
    <row r="536" ht="14.25" customHeight="1">
      <c r="A536" s="406">
        <v>45520.0</v>
      </c>
      <c r="B536" s="349" t="s">
        <v>3357</v>
      </c>
      <c r="C536" s="349" t="s">
        <v>3338</v>
      </c>
      <c r="D536" s="349" t="s">
        <v>54</v>
      </c>
      <c r="E536" s="349" t="s">
        <v>3101</v>
      </c>
      <c r="F536" s="413">
        <v>41650.0</v>
      </c>
      <c r="G536" s="413">
        <v>4500.0</v>
      </c>
      <c r="H536" s="349"/>
      <c r="I536" s="736" t="str">
        <f t="shared" si="5"/>
        <v>PARTIALLY PAID</v>
      </c>
      <c r="J536" s="402"/>
      <c r="K536" s="402"/>
      <c r="L536" s="402"/>
      <c r="M536" s="402"/>
      <c r="N536" s="402"/>
      <c r="O536" s="402"/>
      <c r="P536" s="402"/>
      <c r="Q536" s="402"/>
      <c r="R536" s="402"/>
      <c r="S536" s="402"/>
      <c r="T536" s="402"/>
      <c r="U536" s="402"/>
      <c r="V536" s="402"/>
      <c r="W536" s="402"/>
      <c r="X536" s="402"/>
      <c r="Y536" s="402"/>
      <c r="Z536" s="402"/>
    </row>
    <row r="537" ht="14.25" customHeight="1">
      <c r="A537" s="406">
        <v>45520.0</v>
      </c>
      <c r="B537" s="349" t="s">
        <v>3371</v>
      </c>
      <c r="C537" s="349" t="s">
        <v>3291</v>
      </c>
      <c r="D537" s="349" t="s">
        <v>3189</v>
      </c>
      <c r="E537" s="349" t="s">
        <v>3101</v>
      </c>
      <c r="F537" s="413">
        <v>85300.0</v>
      </c>
      <c r="G537" s="413">
        <v>0.0</v>
      </c>
      <c r="H537" s="349"/>
      <c r="I537" s="736" t="str">
        <f t="shared" si="5"/>
        <v>NOT PAID</v>
      </c>
      <c r="J537" s="402"/>
      <c r="K537" s="402"/>
      <c r="L537" s="402"/>
      <c r="M537" s="402"/>
      <c r="N537" s="402"/>
      <c r="O537" s="402"/>
      <c r="P537" s="402"/>
      <c r="Q537" s="402"/>
      <c r="R537" s="402"/>
      <c r="S537" s="402"/>
      <c r="T537" s="402"/>
      <c r="U537" s="402"/>
      <c r="V537" s="402"/>
      <c r="W537" s="402"/>
      <c r="X537" s="402"/>
      <c r="Y537" s="402"/>
      <c r="Z537" s="402"/>
    </row>
    <row r="538" ht="14.25" customHeight="1">
      <c r="A538" s="406">
        <v>45520.0</v>
      </c>
      <c r="B538" s="349" t="s">
        <v>3105</v>
      </c>
      <c r="C538" s="349" t="s">
        <v>3106</v>
      </c>
      <c r="D538" s="349" t="s">
        <v>54</v>
      </c>
      <c r="E538" s="522" t="s">
        <v>3078</v>
      </c>
      <c r="F538" s="413">
        <v>24250.0</v>
      </c>
      <c r="G538" s="413">
        <v>23965.0</v>
      </c>
      <c r="H538" s="349"/>
      <c r="I538" s="736" t="str">
        <f t="shared" si="5"/>
        <v>PARTIALLY PAID</v>
      </c>
      <c r="J538" s="402"/>
      <c r="K538" s="402"/>
      <c r="L538" s="402"/>
      <c r="M538" s="402"/>
      <c r="N538" s="402"/>
      <c r="O538" s="402"/>
      <c r="P538" s="402"/>
      <c r="Q538" s="402"/>
      <c r="R538" s="402"/>
      <c r="S538" s="402"/>
      <c r="T538" s="402"/>
      <c r="U538" s="402"/>
      <c r="V538" s="402"/>
      <c r="W538" s="402"/>
      <c r="X538" s="402"/>
      <c r="Y538" s="402"/>
      <c r="Z538" s="402"/>
    </row>
    <row r="539" ht="14.25" customHeight="1">
      <c r="A539" s="406">
        <v>45520.0</v>
      </c>
      <c r="B539" s="349" t="s">
        <v>3378</v>
      </c>
      <c r="C539" s="349" t="s">
        <v>3106</v>
      </c>
      <c r="D539" s="349" t="s">
        <v>467</v>
      </c>
      <c r="E539" s="349" t="s">
        <v>3078</v>
      </c>
      <c r="F539" s="413">
        <v>5400.0</v>
      </c>
      <c r="G539" s="413">
        <v>5400.0</v>
      </c>
      <c r="H539" s="402"/>
      <c r="I539" s="736" t="str">
        <f t="shared" si="5"/>
        <v>FULLY PAID</v>
      </c>
      <c r="J539" s="402"/>
      <c r="K539" s="402"/>
      <c r="L539" s="402"/>
      <c r="M539" s="402"/>
      <c r="N539" s="402"/>
      <c r="O539" s="402"/>
      <c r="P539" s="402"/>
      <c r="Q539" s="402"/>
      <c r="R539" s="402"/>
      <c r="S539" s="402"/>
      <c r="T539" s="402"/>
      <c r="U539" s="402"/>
      <c r="V539" s="402"/>
      <c r="W539" s="402"/>
      <c r="X539" s="402"/>
      <c r="Y539" s="402"/>
      <c r="Z539" s="402"/>
    </row>
    <row r="540" ht="14.25" customHeight="1">
      <c r="A540" s="402"/>
      <c r="B540" s="402"/>
      <c r="C540" s="402"/>
      <c r="D540" s="402"/>
      <c r="E540" s="402"/>
      <c r="F540" s="403"/>
      <c r="G540" s="403"/>
      <c r="H540" s="402"/>
      <c r="I540" s="736" t="str">
        <f t="shared" si="5"/>
        <v>FULLY PAID</v>
      </c>
      <c r="J540" s="402"/>
      <c r="K540" s="402"/>
      <c r="L540" s="402"/>
      <c r="M540" s="402"/>
      <c r="N540" s="402"/>
      <c r="O540" s="402"/>
      <c r="P540" s="402"/>
      <c r="Q540" s="402"/>
      <c r="R540" s="402"/>
      <c r="S540" s="402"/>
      <c r="T540" s="402"/>
      <c r="U540" s="402"/>
      <c r="V540" s="402"/>
      <c r="W540" s="402"/>
      <c r="X540" s="402"/>
      <c r="Y540" s="402"/>
      <c r="Z540" s="402"/>
    </row>
    <row r="541" ht="14.25" customHeight="1">
      <c r="A541" s="730" t="s">
        <v>39</v>
      </c>
      <c r="B541" s="730" t="s">
        <v>3075</v>
      </c>
      <c r="C541" s="730" t="s">
        <v>49</v>
      </c>
      <c r="D541" s="730" t="s">
        <v>50</v>
      </c>
      <c r="E541" s="731" t="s">
        <v>2</v>
      </c>
      <c r="F541" s="731" t="s">
        <v>2</v>
      </c>
      <c r="G541" s="731" t="s">
        <v>4</v>
      </c>
      <c r="H541" s="730" t="s">
        <v>45</v>
      </c>
      <c r="I541" s="736" t="str">
        <f t="shared" si="5"/>
        <v>FULLY PAID</v>
      </c>
      <c r="J541" s="402"/>
      <c r="K541" s="402"/>
      <c r="L541" s="402"/>
      <c r="M541" s="402"/>
      <c r="N541" s="402"/>
      <c r="O541" s="402"/>
      <c r="P541" s="402"/>
      <c r="Q541" s="402"/>
      <c r="R541" s="402"/>
      <c r="S541" s="402"/>
      <c r="T541" s="402"/>
      <c r="U541" s="402"/>
      <c r="V541" s="402"/>
      <c r="W541" s="402"/>
      <c r="X541" s="402"/>
      <c r="Y541" s="402"/>
      <c r="Z541" s="402"/>
    </row>
    <row r="542" ht="14.25" customHeight="1">
      <c r="A542" s="406">
        <v>45521.0</v>
      </c>
      <c r="B542" s="522" t="s">
        <v>3087</v>
      </c>
      <c r="C542" s="522" t="s">
        <v>3088</v>
      </c>
      <c r="D542" s="522" t="s">
        <v>54</v>
      </c>
      <c r="E542" s="522" t="s">
        <v>3308</v>
      </c>
      <c r="F542" s="567">
        <v>17300.0</v>
      </c>
      <c r="G542" s="413">
        <v>0.0</v>
      </c>
      <c r="H542" s="732"/>
      <c r="I542" s="736" t="str">
        <f t="shared" si="5"/>
        <v>NOT PAID</v>
      </c>
      <c r="J542" s="402"/>
      <c r="K542" s="402"/>
      <c r="L542" s="402"/>
      <c r="M542" s="402"/>
      <c r="N542" s="402"/>
      <c r="O542" s="402"/>
      <c r="P542" s="402"/>
      <c r="Q542" s="402"/>
      <c r="R542" s="402"/>
      <c r="S542" s="402"/>
      <c r="T542" s="402"/>
      <c r="U542" s="402"/>
      <c r="V542" s="402"/>
      <c r="W542" s="402"/>
      <c r="X542" s="402"/>
      <c r="Y542" s="402"/>
      <c r="Z542" s="402"/>
    </row>
    <row r="543" ht="14.25" customHeight="1">
      <c r="A543" s="406">
        <v>45521.0</v>
      </c>
      <c r="B543" s="522" t="s">
        <v>652</v>
      </c>
      <c r="C543" s="522" t="s">
        <v>3097</v>
      </c>
      <c r="D543" s="522" t="s">
        <v>2010</v>
      </c>
      <c r="E543" s="522" t="s">
        <v>3308</v>
      </c>
      <c r="F543" s="567">
        <v>116200.0</v>
      </c>
      <c r="G543" s="413">
        <v>0.0</v>
      </c>
      <c r="H543" s="732" t="s">
        <v>3379</v>
      </c>
      <c r="I543" s="736" t="str">
        <f t="shared" si="5"/>
        <v>NOT PAID</v>
      </c>
      <c r="J543" s="402"/>
      <c r="K543" s="402"/>
      <c r="L543" s="402"/>
      <c r="M543" s="402"/>
      <c r="N543" s="402"/>
      <c r="O543" s="402"/>
      <c r="P543" s="402"/>
      <c r="Q543" s="402"/>
      <c r="R543" s="402"/>
      <c r="S543" s="402"/>
      <c r="T543" s="402"/>
      <c r="U543" s="402"/>
      <c r="V543" s="402"/>
      <c r="W543" s="402"/>
      <c r="X543" s="402"/>
      <c r="Y543" s="402"/>
      <c r="Z543" s="402"/>
    </row>
    <row r="544" ht="14.25" customHeight="1">
      <c r="A544" s="406">
        <v>45521.0</v>
      </c>
      <c r="B544" s="522" t="s">
        <v>3099</v>
      </c>
      <c r="C544" s="522" t="s">
        <v>3100</v>
      </c>
      <c r="D544" s="522" t="s">
        <v>54</v>
      </c>
      <c r="E544" s="522" t="s">
        <v>3308</v>
      </c>
      <c r="F544" s="567">
        <v>112200.0</v>
      </c>
      <c r="G544" s="413">
        <v>0.0</v>
      </c>
      <c r="H544" s="349" t="s">
        <v>3380</v>
      </c>
      <c r="I544" s="736" t="str">
        <f t="shared" si="5"/>
        <v>NOT PAID</v>
      </c>
      <c r="J544" s="402"/>
      <c r="K544" s="402"/>
      <c r="L544" s="402"/>
      <c r="M544" s="402"/>
      <c r="N544" s="402"/>
      <c r="O544" s="402"/>
      <c r="P544" s="402"/>
      <c r="Q544" s="402"/>
      <c r="R544" s="402"/>
      <c r="S544" s="402"/>
      <c r="T544" s="402"/>
      <c r="U544" s="402"/>
      <c r="V544" s="402"/>
      <c r="W544" s="402"/>
      <c r="X544" s="402"/>
      <c r="Y544" s="402"/>
      <c r="Z544" s="402"/>
    </row>
    <row r="545" ht="14.25" customHeight="1">
      <c r="A545" s="406">
        <v>45521.0</v>
      </c>
      <c r="B545" s="349" t="s">
        <v>3107</v>
      </c>
      <c r="C545" s="349" t="s">
        <v>3108</v>
      </c>
      <c r="D545" s="349" t="s">
        <v>54</v>
      </c>
      <c r="E545" s="349" t="s">
        <v>3101</v>
      </c>
      <c r="F545" s="413">
        <v>9500.0</v>
      </c>
      <c r="G545" s="413">
        <v>0.0</v>
      </c>
      <c r="H545" s="349" t="s">
        <v>3381</v>
      </c>
      <c r="I545" s="736" t="str">
        <f t="shared" si="5"/>
        <v>NOT PAID</v>
      </c>
      <c r="J545" s="402"/>
      <c r="K545" s="402"/>
      <c r="L545" s="402"/>
      <c r="M545" s="402"/>
      <c r="N545" s="402"/>
      <c r="O545" s="402"/>
      <c r="P545" s="402"/>
      <c r="Q545" s="402"/>
      <c r="R545" s="402"/>
      <c r="S545" s="402"/>
      <c r="T545" s="402"/>
      <c r="U545" s="402"/>
      <c r="V545" s="402"/>
      <c r="W545" s="402"/>
      <c r="X545" s="402"/>
      <c r="Y545" s="402"/>
      <c r="Z545" s="402"/>
    </row>
    <row r="546" ht="14.25" customHeight="1">
      <c r="A546" s="406">
        <v>45521.0</v>
      </c>
      <c r="B546" s="522" t="s">
        <v>3134</v>
      </c>
      <c r="C546" s="522" t="s">
        <v>3176</v>
      </c>
      <c r="D546" s="349" t="s">
        <v>54</v>
      </c>
      <c r="E546" s="522" t="s">
        <v>3078</v>
      </c>
      <c r="F546" s="733">
        <v>80300.0</v>
      </c>
      <c r="G546" s="413">
        <v>0.0</v>
      </c>
      <c r="H546" s="732" t="s">
        <v>3382</v>
      </c>
      <c r="I546" s="736" t="str">
        <f t="shared" si="5"/>
        <v>NOT PAID</v>
      </c>
      <c r="J546" s="402"/>
      <c r="K546" s="402"/>
      <c r="L546" s="402"/>
      <c r="M546" s="402"/>
      <c r="N546" s="402"/>
      <c r="O546" s="402"/>
      <c r="P546" s="402"/>
      <c r="Q546" s="402"/>
      <c r="R546" s="402"/>
      <c r="S546" s="402"/>
      <c r="T546" s="402"/>
      <c r="U546" s="402"/>
      <c r="V546" s="402"/>
      <c r="W546" s="402"/>
      <c r="X546" s="402"/>
      <c r="Y546" s="402"/>
      <c r="Z546" s="402"/>
    </row>
    <row r="547" ht="14.25" customHeight="1">
      <c r="A547" s="406">
        <v>45521.0</v>
      </c>
      <c r="B547" s="349" t="s">
        <v>3076</v>
      </c>
      <c r="C547" s="349" t="s">
        <v>3077</v>
      </c>
      <c r="D547" s="349" t="s">
        <v>54</v>
      </c>
      <c r="E547" s="522" t="s">
        <v>3078</v>
      </c>
      <c r="F547" s="413">
        <v>2150.0</v>
      </c>
      <c r="G547" s="413">
        <v>0.0</v>
      </c>
      <c r="H547" s="349" t="s">
        <v>3383</v>
      </c>
      <c r="I547" s="736" t="str">
        <f t="shared" si="5"/>
        <v>NOT PAID</v>
      </c>
      <c r="J547" s="402"/>
      <c r="K547" s="402"/>
      <c r="L547" s="402"/>
      <c r="M547" s="402"/>
      <c r="N547" s="402"/>
      <c r="O547" s="402"/>
      <c r="P547" s="402"/>
      <c r="Q547" s="402"/>
      <c r="R547" s="402"/>
      <c r="S547" s="402"/>
      <c r="T547" s="402"/>
      <c r="U547" s="402"/>
      <c r="V547" s="402"/>
      <c r="W547" s="402"/>
      <c r="X547" s="402"/>
      <c r="Y547" s="402"/>
      <c r="Z547" s="402"/>
    </row>
    <row r="548" ht="14.25" customHeight="1">
      <c r="A548" s="406">
        <v>45521.0</v>
      </c>
      <c r="B548" s="349" t="s">
        <v>3384</v>
      </c>
      <c r="C548" s="349" t="s">
        <v>3204</v>
      </c>
      <c r="D548" s="349" t="s">
        <v>54</v>
      </c>
      <c r="E548" s="349" t="s">
        <v>3101</v>
      </c>
      <c r="F548" s="413">
        <v>35833.0</v>
      </c>
      <c r="G548" s="413">
        <v>35833.0</v>
      </c>
      <c r="H548" s="349" t="s">
        <v>710</v>
      </c>
      <c r="I548" s="736"/>
      <c r="J548" s="402"/>
      <c r="K548" s="402"/>
      <c r="L548" s="402"/>
      <c r="M548" s="402"/>
      <c r="N548" s="402"/>
      <c r="O548" s="402"/>
      <c r="P548" s="402"/>
      <c r="Q548" s="402"/>
      <c r="R548" s="402"/>
      <c r="S548" s="402"/>
      <c r="T548" s="402"/>
      <c r="U548" s="402"/>
      <c r="V548" s="402"/>
      <c r="W548" s="402"/>
      <c r="X548" s="402"/>
      <c r="Y548" s="402"/>
      <c r="Z548" s="402"/>
    </row>
    <row r="549" ht="14.25" customHeight="1">
      <c r="A549" s="406">
        <v>45521.0</v>
      </c>
      <c r="B549" s="349" t="s">
        <v>3173</v>
      </c>
      <c r="C549" s="349" t="s">
        <v>3174</v>
      </c>
      <c r="D549" s="349" t="s">
        <v>54</v>
      </c>
      <c r="E549" s="522" t="s">
        <v>3101</v>
      </c>
      <c r="F549" s="413">
        <v>25400.0</v>
      </c>
      <c r="G549" s="413">
        <v>0.0</v>
      </c>
      <c r="H549" s="349" t="s">
        <v>3381</v>
      </c>
      <c r="I549" s="736" t="str">
        <f t="shared" ref="I549:I622" si="6">IF(G549&gt;=F549,"FULLY PAID",IF(G549=0,"NOT PAID","PARTIALLY PAID"))</f>
        <v>NOT PAID</v>
      </c>
      <c r="J549" s="402"/>
      <c r="K549" s="402"/>
      <c r="L549" s="402"/>
      <c r="M549" s="402"/>
      <c r="N549" s="402"/>
      <c r="O549" s="402"/>
      <c r="P549" s="402"/>
      <c r="Q549" s="402"/>
      <c r="R549" s="402"/>
      <c r="S549" s="402"/>
      <c r="T549" s="402"/>
      <c r="U549" s="402"/>
      <c r="V549" s="402"/>
      <c r="W549" s="402"/>
      <c r="X549" s="402"/>
      <c r="Y549" s="402"/>
      <c r="Z549" s="402"/>
    </row>
    <row r="550" ht="14.25" customHeight="1">
      <c r="A550" s="406">
        <v>45521.0</v>
      </c>
      <c r="B550" s="349" t="s">
        <v>3193</v>
      </c>
      <c r="C550" s="349" t="s">
        <v>3194</v>
      </c>
      <c r="D550" s="349" t="s">
        <v>3189</v>
      </c>
      <c r="E550" s="349" t="s">
        <v>3078</v>
      </c>
      <c r="F550" s="413">
        <v>112943.0</v>
      </c>
      <c r="G550" s="413">
        <v>0.0</v>
      </c>
      <c r="H550" s="349" t="s">
        <v>3385</v>
      </c>
      <c r="I550" s="736" t="str">
        <f t="shared" si="6"/>
        <v>NOT PAID</v>
      </c>
      <c r="J550" s="402"/>
      <c r="K550" s="402"/>
      <c r="L550" s="402"/>
      <c r="M550" s="402"/>
      <c r="N550" s="402"/>
      <c r="O550" s="402"/>
      <c r="P550" s="402"/>
      <c r="Q550" s="402"/>
      <c r="R550" s="402"/>
      <c r="S550" s="402"/>
      <c r="T550" s="402"/>
      <c r="U550" s="402"/>
      <c r="V550" s="402"/>
      <c r="W550" s="402"/>
      <c r="X550" s="402"/>
      <c r="Y550" s="402"/>
      <c r="Z550" s="402"/>
    </row>
    <row r="551" ht="14.25" customHeight="1">
      <c r="A551" s="406">
        <v>45521.0</v>
      </c>
      <c r="B551" s="349" t="s">
        <v>3278</v>
      </c>
      <c r="C551" s="349" t="s">
        <v>3232</v>
      </c>
      <c r="D551" s="349" t="s">
        <v>54</v>
      </c>
      <c r="E551" s="522" t="s">
        <v>3308</v>
      </c>
      <c r="F551" s="413">
        <v>33600.0</v>
      </c>
      <c r="G551" s="413">
        <v>0.0</v>
      </c>
      <c r="H551" s="732" t="s">
        <v>3256</v>
      </c>
      <c r="I551" s="736" t="str">
        <f t="shared" si="6"/>
        <v>NOT PAID</v>
      </c>
      <c r="J551" s="402"/>
      <c r="K551" s="402"/>
      <c r="L551" s="402"/>
      <c r="M551" s="402"/>
      <c r="N551" s="402"/>
      <c r="O551" s="402"/>
      <c r="P551" s="402"/>
      <c r="Q551" s="402"/>
      <c r="R551" s="402"/>
      <c r="S551" s="402"/>
      <c r="T551" s="402"/>
      <c r="U551" s="402"/>
      <c r="V551" s="402"/>
      <c r="W551" s="402"/>
      <c r="X551" s="402"/>
      <c r="Y551" s="402"/>
      <c r="Z551" s="402"/>
    </row>
    <row r="552" ht="14.25" customHeight="1">
      <c r="A552" s="406">
        <v>45521.0</v>
      </c>
      <c r="B552" s="349" t="s">
        <v>3208</v>
      </c>
      <c r="C552" s="349" t="s">
        <v>3209</v>
      </c>
      <c r="D552" s="349" t="s">
        <v>54</v>
      </c>
      <c r="E552" s="522" t="s">
        <v>3101</v>
      </c>
      <c r="F552" s="413">
        <v>2000.0</v>
      </c>
      <c r="G552" s="413">
        <v>0.0</v>
      </c>
      <c r="H552" s="349" t="s">
        <v>3386</v>
      </c>
      <c r="I552" s="736" t="str">
        <f t="shared" si="6"/>
        <v>NOT PAID</v>
      </c>
      <c r="J552" s="402"/>
      <c r="K552" s="402"/>
      <c r="L552" s="402"/>
      <c r="M552" s="402"/>
      <c r="N552" s="402"/>
      <c r="O552" s="402"/>
      <c r="P552" s="402"/>
      <c r="Q552" s="402"/>
      <c r="R552" s="402"/>
      <c r="S552" s="402"/>
      <c r="T552" s="402"/>
      <c r="U552" s="402"/>
      <c r="V552" s="402"/>
      <c r="W552" s="402"/>
      <c r="X552" s="402"/>
      <c r="Y552" s="402"/>
      <c r="Z552" s="402"/>
    </row>
    <row r="553" ht="14.25" customHeight="1">
      <c r="A553" s="406">
        <v>45521.0</v>
      </c>
      <c r="B553" s="349" t="s">
        <v>3083</v>
      </c>
      <c r="C553" s="349" t="s">
        <v>3084</v>
      </c>
      <c r="D553" s="349" t="s">
        <v>54</v>
      </c>
      <c r="E553" s="349" t="s">
        <v>3101</v>
      </c>
      <c r="F553" s="413">
        <v>2500.0</v>
      </c>
      <c r="G553" s="413">
        <v>0.0</v>
      </c>
      <c r="H553" s="349" t="s">
        <v>3387</v>
      </c>
      <c r="I553" s="736" t="str">
        <f t="shared" si="6"/>
        <v>NOT PAID</v>
      </c>
      <c r="J553" s="402"/>
      <c r="K553" s="402"/>
      <c r="L553" s="402"/>
      <c r="M553" s="402"/>
      <c r="N553" s="402"/>
      <c r="O553" s="402"/>
      <c r="P553" s="402"/>
      <c r="Q553" s="402"/>
      <c r="R553" s="402"/>
      <c r="S553" s="402"/>
      <c r="T553" s="402"/>
      <c r="U553" s="402"/>
      <c r="V553" s="402"/>
      <c r="W553" s="402"/>
      <c r="X553" s="402"/>
      <c r="Y553" s="402"/>
      <c r="Z553" s="402"/>
    </row>
    <row r="554" ht="14.25" customHeight="1">
      <c r="A554" s="406">
        <v>45521.0</v>
      </c>
      <c r="B554" s="349" t="s">
        <v>3228</v>
      </c>
      <c r="C554" s="349" t="s">
        <v>3229</v>
      </c>
      <c r="D554" s="349" t="s">
        <v>3189</v>
      </c>
      <c r="E554" s="349" t="s">
        <v>3101</v>
      </c>
      <c r="F554" s="413">
        <v>54150.0</v>
      </c>
      <c r="G554" s="413">
        <v>0.0</v>
      </c>
      <c r="H554" s="349" t="s">
        <v>3388</v>
      </c>
      <c r="I554" s="736" t="str">
        <f t="shared" si="6"/>
        <v>NOT PAID</v>
      </c>
      <c r="J554" s="402"/>
      <c r="K554" s="402"/>
      <c r="L554" s="402"/>
      <c r="M554" s="402"/>
      <c r="N554" s="402"/>
      <c r="O554" s="402"/>
      <c r="P554" s="402"/>
      <c r="Q554" s="402"/>
      <c r="R554" s="402"/>
      <c r="S554" s="402"/>
      <c r="T554" s="402"/>
      <c r="U554" s="402"/>
      <c r="V554" s="402"/>
      <c r="W554" s="402"/>
      <c r="X554" s="402"/>
      <c r="Y554" s="402"/>
      <c r="Z554" s="402"/>
    </row>
    <row r="555" ht="14.25" customHeight="1">
      <c r="A555" s="406">
        <v>45521.0</v>
      </c>
      <c r="B555" s="406" t="s">
        <v>3233</v>
      </c>
      <c r="C555" s="349" t="s">
        <v>3234</v>
      </c>
      <c r="D555" s="349" t="s">
        <v>54</v>
      </c>
      <c r="E555" s="522" t="s">
        <v>3308</v>
      </c>
      <c r="F555" s="738">
        <v>3000.0</v>
      </c>
      <c r="G555" s="413">
        <v>0.0</v>
      </c>
      <c r="H555" s="732" t="s">
        <v>3389</v>
      </c>
      <c r="I555" s="736" t="str">
        <f t="shared" si="6"/>
        <v>NOT PAID</v>
      </c>
      <c r="J555" s="402"/>
      <c r="K555" s="402"/>
      <c r="L555" s="402"/>
      <c r="M555" s="402"/>
      <c r="N555" s="402"/>
      <c r="O555" s="402"/>
      <c r="P555" s="402"/>
      <c r="Q555" s="402"/>
      <c r="R555" s="402"/>
      <c r="S555" s="402"/>
      <c r="T555" s="402"/>
      <c r="U555" s="402"/>
      <c r="V555" s="402"/>
      <c r="W555" s="402"/>
      <c r="X555" s="402"/>
      <c r="Y555" s="402"/>
      <c r="Z555" s="402"/>
    </row>
    <row r="556" ht="14.25" customHeight="1">
      <c r="A556" s="406">
        <v>45521.0</v>
      </c>
      <c r="B556" s="406" t="s">
        <v>3235</v>
      </c>
      <c r="C556" s="349" t="s">
        <v>3236</v>
      </c>
      <c r="D556" s="349" t="s">
        <v>3189</v>
      </c>
      <c r="E556" s="349" t="s">
        <v>3101</v>
      </c>
      <c r="F556" s="738">
        <v>242500.0</v>
      </c>
      <c r="G556" s="413">
        <v>0.0</v>
      </c>
      <c r="H556" s="349" t="s">
        <v>3390</v>
      </c>
      <c r="I556" s="736" t="str">
        <f t="shared" si="6"/>
        <v>NOT PAID</v>
      </c>
      <c r="J556" s="402"/>
      <c r="K556" s="402"/>
      <c r="L556" s="402"/>
      <c r="M556" s="402"/>
      <c r="N556" s="402"/>
      <c r="O556" s="402"/>
      <c r="P556" s="402"/>
      <c r="Q556" s="402"/>
      <c r="R556" s="402"/>
      <c r="S556" s="402"/>
      <c r="T556" s="402"/>
      <c r="U556" s="402"/>
      <c r="V556" s="402"/>
      <c r="W556" s="402"/>
      <c r="X556" s="402"/>
      <c r="Y556" s="402"/>
      <c r="Z556" s="402"/>
    </row>
    <row r="557" ht="14.25" customHeight="1">
      <c r="A557" s="406">
        <v>45521.0</v>
      </c>
      <c r="B557" s="349" t="s">
        <v>3284</v>
      </c>
      <c r="C557" s="349" t="s">
        <v>3285</v>
      </c>
      <c r="D557" s="349" t="s">
        <v>3189</v>
      </c>
      <c r="E557" s="522" t="s">
        <v>3101</v>
      </c>
      <c r="F557" s="413">
        <v>66.0</v>
      </c>
      <c r="G557" s="413">
        <v>31030.0</v>
      </c>
      <c r="H557" s="349" t="s">
        <v>267</v>
      </c>
      <c r="I557" s="736" t="str">
        <f t="shared" si="6"/>
        <v>FULLY PAID</v>
      </c>
      <c r="J557" s="402"/>
      <c r="K557" s="402"/>
      <c r="L557" s="402"/>
      <c r="M557" s="402"/>
      <c r="N557" s="402"/>
      <c r="O557" s="402"/>
      <c r="P557" s="402"/>
      <c r="Q557" s="402"/>
      <c r="R557" s="402"/>
      <c r="S557" s="402"/>
      <c r="T557" s="402"/>
      <c r="U557" s="402"/>
      <c r="V557" s="402"/>
      <c r="W557" s="402"/>
      <c r="X557" s="402"/>
      <c r="Y557" s="402"/>
      <c r="Z557" s="402"/>
    </row>
    <row r="558" ht="14.25" customHeight="1">
      <c r="A558" s="406">
        <v>45521.0</v>
      </c>
      <c r="B558" s="349" t="s">
        <v>3289</v>
      </c>
      <c r="C558" s="349" t="s">
        <v>3236</v>
      </c>
      <c r="D558" s="349" t="s">
        <v>54</v>
      </c>
      <c r="E558" s="349" t="s">
        <v>3115</v>
      </c>
      <c r="F558" s="413">
        <v>43129.0</v>
      </c>
      <c r="G558" s="413">
        <v>0.0</v>
      </c>
      <c r="H558" s="732" t="s">
        <v>3391</v>
      </c>
      <c r="I558" s="736" t="str">
        <f t="shared" si="6"/>
        <v>NOT PAID</v>
      </c>
      <c r="J558" s="402"/>
      <c r="K558" s="402"/>
      <c r="L558" s="402"/>
      <c r="M558" s="402"/>
      <c r="N558" s="402"/>
      <c r="O558" s="402"/>
      <c r="P558" s="402"/>
      <c r="Q558" s="402"/>
      <c r="R558" s="402"/>
      <c r="S558" s="402"/>
      <c r="T558" s="402"/>
      <c r="U558" s="402"/>
      <c r="V558" s="402"/>
      <c r="W558" s="402"/>
      <c r="X558" s="402"/>
      <c r="Y558" s="402"/>
      <c r="Z558" s="402"/>
    </row>
    <row r="559" ht="14.25" customHeight="1">
      <c r="A559" s="406">
        <v>45521.0</v>
      </c>
      <c r="B559" s="349" t="s">
        <v>3290</v>
      </c>
      <c r="C559" s="349" t="s">
        <v>3291</v>
      </c>
      <c r="D559" s="349" t="s">
        <v>54</v>
      </c>
      <c r="E559" s="349" t="s">
        <v>3101</v>
      </c>
      <c r="F559" s="413">
        <v>4000.0</v>
      </c>
      <c r="G559" s="413">
        <v>0.0</v>
      </c>
      <c r="H559" s="349" t="s">
        <v>3392</v>
      </c>
      <c r="I559" s="736" t="str">
        <f t="shared" si="6"/>
        <v>NOT PAID</v>
      </c>
      <c r="J559" s="402"/>
      <c r="K559" s="402"/>
      <c r="L559" s="402"/>
      <c r="M559" s="402"/>
      <c r="N559" s="402"/>
      <c r="O559" s="402"/>
      <c r="P559" s="402"/>
      <c r="Q559" s="402"/>
      <c r="R559" s="402"/>
      <c r="S559" s="402"/>
      <c r="T559" s="402"/>
      <c r="U559" s="402"/>
      <c r="V559" s="402"/>
      <c r="W559" s="402"/>
      <c r="X559" s="402"/>
      <c r="Y559" s="402"/>
      <c r="Z559" s="402"/>
    </row>
    <row r="560" ht="14.25" customHeight="1">
      <c r="A560" s="406">
        <v>45521.0</v>
      </c>
      <c r="B560" s="349" t="s">
        <v>3341</v>
      </c>
      <c r="C560" s="349" t="s">
        <v>3209</v>
      </c>
      <c r="D560" s="349" t="s">
        <v>467</v>
      </c>
      <c r="E560" s="522" t="s">
        <v>3101</v>
      </c>
      <c r="F560" s="413">
        <v>5640.0</v>
      </c>
      <c r="G560" s="413">
        <v>0.0</v>
      </c>
      <c r="H560" s="349" t="s">
        <v>2184</v>
      </c>
      <c r="I560" s="736" t="str">
        <f t="shared" si="6"/>
        <v>NOT PAID</v>
      </c>
      <c r="J560" s="402"/>
      <c r="K560" s="402"/>
      <c r="L560" s="402"/>
      <c r="M560" s="402"/>
      <c r="N560" s="402"/>
      <c r="O560" s="402"/>
      <c r="P560" s="402"/>
      <c r="Q560" s="402"/>
      <c r="R560" s="402"/>
      <c r="S560" s="402"/>
      <c r="T560" s="402"/>
      <c r="U560" s="402"/>
      <c r="V560" s="402"/>
      <c r="W560" s="402"/>
      <c r="X560" s="402"/>
      <c r="Y560" s="402"/>
      <c r="Z560" s="402"/>
    </row>
    <row r="561" ht="14.25" customHeight="1">
      <c r="A561" s="406">
        <v>45521.0</v>
      </c>
      <c r="B561" s="349" t="s">
        <v>3357</v>
      </c>
      <c r="C561" s="349" t="s">
        <v>3338</v>
      </c>
      <c r="D561" s="349" t="s">
        <v>54</v>
      </c>
      <c r="E561" s="349" t="s">
        <v>3101</v>
      </c>
      <c r="F561" s="413">
        <v>41400.0</v>
      </c>
      <c r="G561" s="413">
        <v>0.0</v>
      </c>
      <c r="H561" s="349" t="s">
        <v>3393</v>
      </c>
      <c r="I561" s="736" t="str">
        <f t="shared" si="6"/>
        <v>NOT PAID</v>
      </c>
      <c r="J561" s="402"/>
      <c r="K561" s="402"/>
      <c r="L561" s="402"/>
      <c r="M561" s="402"/>
      <c r="N561" s="402"/>
      <c r="O561" s="402"/>
      <c r="P561" s="402"/>
      <c r="Q561" s="402"/>
      <c r="R561" s="402"/>
      <c r="S561" s="402"/>
      <c r="T561" s="402"/>
      <c r="U561" s="402"/>
      <c r="V561" s="402"/>
      <c r="W561" s="402"/>
      <c r="X561" s="402"/>
      <c r="Y561" s="402"/>
      <c r="Z561" s="402"/>
    </row>
    <row r="562" ht="14.25" customHeight="1">
      <c r="A562" s="406">
        <v>45521.0</v>
      </c>
      <c r="B562" s="349" t="s">
        <v>3371</v>
      </c>
      <c r="C562" s="349" t="s">
        <v>3291</v>
      </c>
      <c r="D562" s="349" t="s">
        <v>3189</v>
      </c>
      <c r="E562" s="349" t="s">
        <v>3101</v>
      </c>
      <c r="F562" s="413">
        <v>85300.0</v>
      </c>
      <c r="G562" s="413">
        <v>0.0</v>
      </c>
      <c r="H562" s="349" t="s">
        <v>3393</v>
      </c>
      <c r="I562" s="736" t="str">
        <f t="shared" si="6"/>
        <v>NOT PAID</v>
      </c>
      <c r="J562" s="402"/>
      <c r="K562" s="402"/>
      <c r="L562" s="402"/>
      <c r="M562" s="402"/>
      <c r="N562" s="402"/>
      <c r="O562" s="402"/>
      <c r="P562" s="402"/>
      <c r="Q562" s="402"/>
      <c r="R562" s="402"/>
      <c r="S562" s="402"/>
      <c r="T562" s="402"/>
      <c r="U562" s="402"/>
      <c r="V562" s="402"/>
      <c r="W562" s="402"/>
      <c r="X562" s="402"/>
      <c r="Y562" s="402"/>
      <c r="Z562" s="402"/>
    </row>
    <row r="563" ht="14.25" customHeight="1">
      <c r="A563" s="406">
        <v>45521.0</v>
      </c>
      <c r="B563" s="349" t="s">
        <v>3394</v>
      </c>
      <c r="C563" s="349" t="s">
        <v>3395</v>
      </c>
      <c r="D563" s="349" t="s">
        <v>54</v>
      </c>
      <c r="E563" s="522" t="s">
        <v>3396</v>
      </c>
      <c r="F563" s="413">
        <v>500000.0</v>
      </c>
      <c r="G563" s="413">
        <v>0.0</v>
      </c>
      <c r="H563" s="349" t="s">
        <v>3397</v>
      </c>
      <c r="I563" s="736" t="str">
        <f t="shared" si="6"/>
        <v>NOT PAID</v>
      </c>
      <c r="J563" s="402"/>
      <c r="K563" s="402"/>
      <c r="L563" s="402"/>
      <c r="M563" s="402"/>
      <c r="N563" s="402"/>
      <c r="O563" s="402"/>
      <c r="P563" s="402"/>
      <c r="Q563" s="402"/>
      <c r="R563" s="402"/>
      <c r="S563" s="402"/>
      <c r="T563" s="402"/>
      <c r="U563" s="402"/>
      <c r="V563" s="402"/>
      <c r="W563" s="402"/>
      <c r="X563" s="402"/>
      <c r="Y563" s="402"/>
      <c r="Z563" s="402"/>
    </row>
    <row r="564" ht="14.25" customHeight="1">
      <c r="A564" s="406"/>
      <c r="B564" s="349"/>
      <c r="C564" s="349" t="s">
        <v>3398</v>
      </c>
      <c r="D564" s="349"/>
      <c r="E564" s="349"/>
      <c r="F564" s="413">
        <v>60800.0</v>
      </c>
      <c r="G564" s="413">
        <v>60800.0</v>
      </c>
      <c r="H564" s="349" t="s">
        <v>56</v>
      </c>
      <c r="I564" s="736" t="str">
        <f t="shared" si="6"/>
        <v>FULLY PAID</v>
      </c>
      <c r="J564" s="402"/>
      <c r="K564" s="402"/>
      <c r="L564" s="402"/>
      <c r="M564" s="402"/>
      <c r="N564" s="402"/>
      <c r="O564" s="402"/>
      <c r="P564" s="402"/>
      <c r="Q564" s="402"/>
      <c r="R564" s="402"/>
      <c r="S564" s="402"/>
      <c r="T564" s="402"/>
      <c r="U564" s="402"/>
      <c r="V564" s="402"/>
      <c r="W564" s="402"/>
      <c r="X564" s="402"/>
      <c r="Y564" s="402"/>
      <c r="Z564" s="402"/>
    </row>
    <row r="565" ht="14.25" customHeight="1">
      <c r="A565" s="402"/>
      <c r="B565" s="402"/>
      <c r="C565" s="402"/>
      <c r="D565" s="402"/>
      <c r="E565" s="402"/>
      <c r="F565" s="403"/>
      <c r="G565" s="403"/>
      <c r="H565" s="402"/>
      <c r="I565" s="736" t="str">
        <f t="shared" si="6"/>
        <v>FULLY PAID</v>
      </c>
      <c r="J565" s="402"/>
      <c r="K565" s="402"/>
      <c r="L565" s="402"/>
      <c r="M565" s="402"/>
      <c r="N565" s="402"/>
      <c r="O565" s="402"/>
      <c r="P565" s="402"/>
      <c r="Q565" s="402"/>
      <c r="R565" s="402"/>
      <c r="S565" s="402"/>
      <c r="T565" s="402"/>
      <c r="U565" s="402"/>
      <c r="V565" s="402"/>
      <c r="W565" s="402"/>
      <c r="X565" s="402"/>
      <c r="Y565" s="402"/>
      <c r="Z565" s="402"/>
    </row>
    <row r="566" ht="14.25" customHeight="1">
      <c r="A566" s="730" t="s">
        <v>39</v>
      </c>
      <c r="B566" s="730" t="s">
        <v>3075</v>
      </c>
      <c r="C566" s="730" t="s">
        <v>49</v>
      </c>
      <c r="D566" s="730" t="s">
        <v>50</v>
      </c>
      <c r="E566" s="731" t="s">
        <v>2</v>
      </c>
      <c r="F566" s="731" t="s">
        <v>2</v>
      </c>
      <c r="G566" s="731" t="s">
        <v>4</v>
      </c>
      <c r="H566" s="730" t="s">
        <v>45</v>
      </c>
      <c r="I566" s="736" t="str">
        <f t="shared" si="6"/>
        <v>FULLY PAID</v>
      </c>
      <c r="J566" s="402"/>
      <c r="K566" s="402"/>
      <c r="L566" s="402"/>
      <c r="M566" s="402"/>
      <c r="N566" s="402"/>
      <c r="O566" s="402"/>
      <c r="P566" s="402"/>
      <c r="Q566" s="402"/>
      <c r="R566" s="402"/>
      <c r="S566" s="402"/>
      <c r="T566" s="402"/>
      <c r="U566" s="402"/>
      <c r="V566" s="402"/>
      <c r="W566" s="402"/>
      <c r="X566" s="402"/>
      <c r="Y566" s="402"/>
      <c r="Z566" s="402"/>
    </row>
    <row r="567" ht="14.25" customHeight="1">
      <c r="A567" s="406">
        <v>45523.0</v>
      </c>
      <c r="B567" s="522" t="s">
        <v>3087</v>
      </c>
      <c r="C567" s="522" t="s">
        <v>3088</v>
      </c>
      <c r="D567" s="522" t="s">
        <v>54</v>
      </c>
      <c r="E567" s="522" t="s">
        <v>3308</v>
      </c>
      <c r="F567" s="567">
        <v>17300.0</v>
      </c>
      <c r="G567" s="413">
        <v>3000.0</v>
      </c>
      <c r="H567" s="732" t="s">
        <v>3079</v>
      </c>
      <c r="I567" s="736" t="str">
        <f t="shared" si="6"/>
        <v>PARTIALLY PAID</v>
      </c>
      <c r="J567" s="402"/>
      <c r="K567" s="402"/>
      <c r="L567" s="402"/>
      <c r="M567" s="402"/>
      <c r="N567" s="402"/>
      <c r="O567" s="402"/>
      <c r="P567" s="402"/>
      <c r="Q567" s="402"/>
      <c r="R567" s="402"/>
      <c r="S567" s="402"/>
      <c r="T567" s="402"/>
      <c r="U567" s="402"/>
      <c r="V567" s="402"/>
      <c r="W567" s="402"/>
      <c r="X567" s="402"/>
      <c r="Y567" s="402"/>
      <c r="Z567" s="402"/>
    </row>
    <row r="568" ht="14.25" customHeight="1">
      <c r="A568" s="406">
        <v>45523.0</v>
      </c>
      <c r="B568" s="522" t="s">
        <v>652</v>
      </c>
      <c r="C568" s="522" t="s">
        <v>3097</v>
      </c>
      <c r="D568" s="522" t="s">
        <v>2010</v>
      </c>
      <c r="E568" s="522" t="s">
        <v>3308</v>
      </c>
      <c r="F568" s="567">
        <v>116200.0</v>
      </c>
      <c r="G568" s="413">
        <v>50000.0</v>
      </c>
      <c r="H568" s="732" t="s">
        <v>3399</v>
      </c>
      <c r="I568" s="736" t="str">
        <f t="shared" si="6"/>
        <v>PARTIALLY PAID</v>
      </c>
      <c r="J568" s="402"/>
      <c r="K568" s="402"/>
      <c r="L568" s="402"/>
      <c r="M568" s="402"/>
      <c r="N568" s="402"/>
      <c r="O568" s="402"/>
      <c r="P568" s="402"/>
      <c r="Q568" s="402"/>
      <c r="R568" s="402"/>
      <c r="S568" s="402"/>
      <c r="T568" s="402"/>
      <c r="U568" s="402"/>
      <c r="V568" s="402"/>
      <c r="W568" s="402"/>
      <c r="X568" s="402"/>
      <c r="Y568" s="402"/>
      <c r="Z568" s="402"/>
    </row>
    <row r="569" ht="14.25" customHeight="1">
      <c r="A569" s="406">
        <v>45523.0</v>
      </c>
      <c r="B569" s="522" t="s">
        <v>3099</v>
      </c>
      <c r="C569" s="522" t="s">
        <v>3100</v>
      </c>
      <c r="D569" s="522" t="s">
        <v>54</v>
      </c>
      <c r="E569" s="522" t="s">
        <v>3308</v>
      </c>
      <c r="F569" s="567">
        <v>112200.0</v>
      </c>
      <c r="G569" s="413">
        <v>0.0</v>
      </c>
      <c r="H569" s="732" t="s">
        <v>3400</v>
      </c>
      <c r="I569" s="736" t="str">
        <f t="shared" si="6"/>
        <v>NOT PAID</v>
      </c>
      <c r="J569" s="402"/>
      <c r="K569" s="402"/>
      <c r="L569" s="402"/>
      <c r="M569" s="402"/>
      <c r="N569" s="402"/>
      <c r="O569" s="402"/>
      <c r="P569" s="402"/>
      <c r="Q569" s="402"/>
      <c r="R569" s="402"/>
      <c r="S569" s="402"/>
      <c r="T569" s="402"/>
      <c r="U569" s="402"/>
      <c r="V569" s="402"/>
      <c r="W569" s="402"/>
      <c r="X569" s="402"/>
      <c r="Y569" s="402"/>
      <c r="Z569" s="402"/>
    </row>
    <row r="570" ht="14.25" customHeight="1">
      <c r="A570" s="406">
        <v>45523.0</v>
      </c>
      <c r="B570" s="522" t="s">
        <v>3134</v>
      </c>
      <c r="C570" s="522" t="s">
        <v>3176</v>
      </c>
      <c r="D570" s="349" t="s">
        <v>54</v>
      </c>
      <c r="E570" s="522" t="s">
        <v>3078</v>
      </c>
      <c r="F570" s="733">
        <v>80300.0</v>
      </c>
      <c r="G570" s="413">
        <v>0.0</v>
      </c>
      <c r="H570" s="732" t="s">
        <v>3401</v>
      </c>
      <c r="I570" s="736" t="str">
        <f t="shared" si="6"/>
        <v>NOT PAID</v>
      </c>
      <c r="J570" s="402"/>
      <c r="K570" s="402"/>
      <c r="L570" s="402"/>
      <c r="M570" s="402"/>
      <c r="N570" s="402"/>
      <c r="O570" s="402"/>
      <c r="P570" s="402"/>
      <c r="Q570" s="402"/>
      <c r="R570" s="402"/>
      <c r="S570" s="402"/>
      <c r="T570" s="402"/>
      <c r="U570" s="402"/>
      <c r="V570" s="402"/>
      <c r="W570" s="402"/>
      <c r="X570" s="402"/>
      <c r="Y570" s="402"/>
      <c r="Z570" s="402"/>
    </row>
    <row r="571" ht="14.25" customHeight="1">
      <c r="A571" s="406">
        <v>45523.0</v>
      </c>
      <c r="B571" s="349" t="s">
        <v>3076</v>
      </c>
      <c r="C571" s="349" t="s">
        <v>3077</v>
      </c>
      <c r="D571" s="349" t="s">
        <v>54</v>
      </c>
      <c r="E571" s="522" t="s">
        <v>3078</v>
      </c>
      <c r="F571" s="413">
        <v>2150.0</v>
      </c>
      <c r="G571" s="413">
        <v>0.0</v>
      </c>
      <c r="H571" s="349"/>
      <c r="I571" s="736" t="str">
        <f t="shared" si="6"/>
        <v>NOT PAID</v>
      </c>
      <c r="J571" s="402"/>
      <c r="K571" s="402"/>
      <c r="L571" s="402"/>
      <c r="M571" s="402"/>
      <c r="N571" s="402"/>
      <c r="O571" s="402"/>
      <c r="P571" s="402"/>
      <c r="Q571" s="402"/>
      <c r="R571" s="402"/>
      <c r="S571" s="402"/>
      <c r="T571" s="402"/>
      <c r="U571" s="402"/>
      <c r="V571" s="402"/>
      <c r="W571" s="402"/>
      <c r="X571" s="402"/>
      <c r="Y571" s="402"/>
      <c r="Z571" s="402"/>
    </row>
    <row r="572" ht="14.25" customHeight="1">
      <c r="A572" s="406">
        <v>45523.0</v>
      </c>
      <c r="B572" s="349" t="s">
        <v>3173</v>
      </c>
      <c r="C572" s="349" t="s">
        <v>3174</v>
      </c>
      <c r="D572" s="349" t="s">
        <v>54</v>
      </c>
      <c r="E572" s="522" t="s">
        <v>3101</v>
      </c>
      <c r="F572" s="413">
        <v>25400.0</v>
      </c>
      <c r="G572" s="413">
        <v>0.0</v>
      </c>
      <c r="H572" s="349" t="s">
        <v>3368</v>
      </c>
      <c r="I572" s="736" t="str">
        <f t="shared" si="6"/>
        <v>NOT PAID</v>
      </c>
      <c r="J572" s="402"/>
      <c r="K572" s="402"/>
      <c r="L572" s="402"/>
      <c r="M572" s="402"/>
      <c r="N572" s="402"/>
      <c r="O572" s="402"/>
      <c r="P572" s="402"/>
      <c r="Q572" s="402"/>
      <c r="R572" s="402"/>
      <c r="S572" s="402"/>
      <c r="T572" s="402"/>
      <c r="U572" s="402"/>
      <c r="V572" s="402"/>
      <c r="W572" s="402"/>
      <c r="X572" s="402"/>
      <c r="Y572" s="402"/>
      <c r="Z572" s="402"/>
    </row>
    <row r="573" ht="14.25" customHeight="1">
      <c r="A573" s="406">
        <v>45523.0</v>
      </c>
      <c r="B573" s="349" t="s">
        <v>3193</v>
      </c>
      <c r="C573" s="349" t="s">
        <v>3194</v>
      </c>
      <c r="D573" s="349" t="s">
        <v>3189</v>
      </c>
      <c r="E573" s="349" t="s">
        <v>3078</v>
      </c>
      <c r="F573" s="413">
        <v>112943.0</v>
      </c>
      <c r="G573" s="413">
        <v>0.0</v>
      </c>
      <c r="H573" s="349" t="s">
        <v>3402</v>
      </c>
      <c r="I573" s="736" t="str">
        <f t="shared" si="6"/>
        <v>NOT PAID</v>
      </c>
      <c r="J573" s="402"/>
      <c r="K573" s="402"/>
      <c r="L573" s="402"/>
      <c r="M573" s="402"/>
      <c r="N573" s="402"/>
      <c r="O573" s="402"/>
      <c r="P573" s="402"/>
      <c r="Q573" s="402"/>
      <c r="R573" s="402"/>
      <c r="S573" s="402"/>
      <c r="T573" s="402"/>
      <c r="U573" s="402"/>
      <c r="V573" s="402"/>
      <c r="W573" s="402"/>
      <c r="X573" s="402"/>
      <c r="Y573" s="402"/>
      <c r="Z573" s="402"/>
    </row>
    <row r="574" ht="14.25" customHeight="1">
      <c r="A574" s="406">
        <v>45523.0</v>
      </c>
      <c r="B574" s="349" t="s">
        <v>3278</v>
      </c>
      <c r="C574" s="349" t="s">
        <v>3232</v>
      </c>
      <c r="D574" s="349" t="s">
        <v>54</v>
      </c>
      <c r="E574" s="522" t="s">
        <v>3308</v>
      </c>
      <c r="F574" s="413">
        <v>33600.0</v>
      </c>
      <c r="G574" s="413">
        <v>0.0</v>
      </c>
      <c r="H574" s="732" t="s">
        <v>3366</v>
      </c>
      <c r="I574" s="736" t="str">
        <f t="shared" si="6"/>
        <v>NOT PAID</v>
      </c>
      <c r="J574" s="402"/>
      <c r="K574" s="402"/>
      <c r="L574" s="402"/>
      <c r="M574" s="402"/>
      <c r="N574" s="402"/>
      <c r="O574" s="402"/>
      <c r="P574" s="402"/>
      <c r="Q574" s="402"/>
      <c r="R574" s="402"/>
      <c r="S574" s="402"/>
      <c r="T574" s="402"/>
      <c r="U574" s="402"/>
      <c r="V574" s="402"/>
      <c r="W574" s="402"/>
      <c r="X574" s="402"/>
      <c r="Y574" s="402"/>
      <c r="Z574" s="402"/>
    </row>
    <row r="575" ht="14.25" customHeight="1">
      <c r="A575" s="406">
        <v>45523.0</v>
      </c>
      <c r="B575" s="349" t="s">
        <v>3208</v>
      </c>
      <c r="C575" s="349" t="s">
        <v>3209</v>
      </c>
      <c r="D575" s="349" t="s">
        <v>54</v>
      </c>
      <c r="E575" s="522" t="s">
        <v>3101</v>
      </c>
      <c r="F575" s="413">
        <v>2000.0</v>
      </c>
      <c r="G575" s="413">
        <v>0.0</v>
      </c>
      <c r="H575" s="349" t="s">
        <v>3403</v>
      </c>
      <c r="I575" s="736" t="str">
        <f t="shared" si="6"/>
        <v>NOT PAID</v>
      </c>
      <c r="J575" s="402"/>
      <c r="K575" s="402"/>
      <c r="L575" s="402"/>
      <c r="M575" s="402"/>
      <c r="N575" s="402"/>
      <c r="O575" s="402"/>
      <c r="P575" s="402"/>
      <c r="Q575" s="402"/>
      <c r="R575" s="402"/>
      <c r="S575" s="402"/>
      <c r="T575" s="402"/>
      <c r="U575" s="402"/>
      <c r="V575" s="402"/>
      <c r="W575" s="402"/>
      <c r="X575" s="402"/>
      <c r="Y575" s="402"/>
      <c r="Z575" s="402"/>
    </row>
    <row r="576" ht="14.25" customHeight="1">
      <c r="A576" s="406">
        <v>45523.0</v>
      </c>
      <c r="B576" s="349" t="s">
        <v>3083</v>
      </c>
      <c r="C576" s="349" t="s">
        <v>3084</v>
      </c>
      <c r="D576" s="349" t="s">
        <v>54</v>
      </c>
      <c r="E576" s="349" t="s">
        <v>3101</v>
      </c>
      <c r="F576" s="413">
        <v>2500.0</v>
      </c>
      <c r="G576" s="413">
        <v>0.0</v>
      </c>
      <c r="H576" s="349" t="s">
        <v>3362</v>
      </c>
      <c r="I576" s="736" t="str">
        <f t="shared" si="6"/>
        <v>NOT PAID</v>
      </c>
      <c r="J576" s="402"/>
      <c r="K576" s="402"/>
      <c r="L576" s="402"/>
      <c r="M576" s="402"/>
      <c r="N576" s="402"/>
      <c r="O576" s="402"/>
      <c r="P576" s="402"/>
      <c r="Q576" s="402"/>
      <c r="R576" s="402"/>
      <c r="S576" s="402"/>
      <c r="T576" s="402"/>
      <c r="U576" s="402"/>
      <c r="V576" s="402"/>
      <c r="W576" s="402"/>
      <c r="X576" s="402"/>
      <c r="Y576" s="402"/>
      <c r="Z576" s="402"/>
    </row>
    <row r="577" ht="14.25" customHeight="1">
      <c r="A577" s="406">
        <v>45523.0</v>
      </c>
      <c r="B577" s="349" t="s">
        <v>3228</v>
      </c>
      <c r="C577" s="349" t="s">
        <v>3229</v>
      </c>
      <c r="D577" s="349" t="s">
        <v>3189</v>
      </c>
      <c r="E577" s="349" t="s">
        <v>3101</v>
      </c>
      <c r="F577" s="413">
        <v>50145.0</v>
      </c>
      <c r="G577" s="413">
        <v>50145.0</v>
      </c>
      <c r="H577" s="349" t="s">
        <v>772</v>
      </c>
      <c r="I577" s="736" t="str">
        <f t="shared" si="6"/>
        <v>FULLY PAID</v>
      </c>
      <c r="J577" s="402"/>
      <c r="K577" s="402"/>
      <c r="L577" s="402"/>
      <c r="M577" s="402"/>
      <c r="N577" s="402"/>
      <c r="O577" s="402"/>
      <c r="P577" s="402"/>
      <c r="Q577" s="402"/>
      <c r="R577" s="402"/>
      <c r="S577" s="402"/>
      <c r="T577" s="402"/>
      <c r="U577" s="402"/>
      <c r="V577" s="402"/>
      <c r="W577" s="402"/>
      <c r="X577" s="402"/>
      <c r="Y577" s="402"/>
      <c r="Z577" s="402"/>
    </row>
    <row r="578" ht="14.25" customHeight="1">
      <c r="A578" s="406">
        <v>45523.0</v>
      </c>
      <c r="B578" s="406" t="s">
        <v>3233</v>
      </c>
      <c r="C578" s="349" t="s">
        <v>3234</v>
      </c>
      <c r="D578" s="349" t="s">
        <v>54</v>
      </c>
      <c r="E578" s="522" t="s">
        <v>3308</v>
      </c>
      <c r="F578" s="738">
        <v>3000.0</v>
      </c>
      <c r="G578" s="413">
        <v>3000.0</v>
      </c>
      <c r="H578" s="732" t="s">
        <v>56</v>
      </c>
      <c r="I578" s="736" t="str">
        <f t="shared" si="6"/>
        <v>FULLY PAID</v>
      </c>
      <c r="J578" s="402"/>
      <c r="K578" s="402"/>
      <c r="L578" s="402"/>
      <c r="M578" s="402"/>
      <c r="N578" s="402"/>
      <c r="O578" s="402"/>
      <c r="P578" s="402"/>
      <c r="Q578" s="402"/>
      <c r="R578" s="402"/>
      <c r="S578" s="402"/>
      <c r="T578" s="402"/>
      <c r="U578" s="402"/>
      <c r="V578" s="402"/>
      <c r="W578" s="402"/>
      <c r="X578" s="402"/>
      <c r="Y578" s="402"/>
      <c r="Z578" s="402"/>
    </row>
    <row r="579" ht="14.25" customHeight="1">
      <c r="A579" s="406">
        <v>45523.0</v>
      </c>
      <c r="B579" s="406" t="s">
        <v>3235</v>
      </c>
      <c r="C579" s="349" t="s">
        <v>3236</v>
      </c>
      <c r="D579" s="349" t="s">
        <v>3189</v>
      </c>
      <c r="E579" s="349" t="s">
        <v>3101</v>
      </c>
      <c r="F579" s="738">
        <v>242500.0</v>
      </c>
      <c r="G579" s="413">
        <v>0.0</v>
      </c>
      <c r="H579" s="732" t="s">
        <v>3404</v>
      </c>
      <c r="I579" s="736" t="str">
        <f t="shared" si="6"/>
        <v>NOT PAID</v>
      </c>
      <c r="J579" s="402"/>
      <c r="K579" s="402"/>
      <c r="L579" s="402"/>
      <c r="M579" s="402"/>
      <c r="N579" s="402"/>
      <c r="O579" s="402"/>
      <c r="P579" s="402"/>
      <c r="Q579" s="402"/>
      <c r="R579" s="402"/>
      <c r="S579" s="402"/>
      <c r="T579" s="402"/>
      <c r="U579" s="402"/>
      <c r="V579" s="402"/>
      <c r="W579" s="402"/>
      <c r="X579" s="402"/>
      <c r="Y579" s="402"/>
      <c r="Z579" s="402"/>
    </row>
    <row r="580" ht="14.25" customHeight="1">
      <c r="A580" s="406">
        <v>45523.0</v>
      </c>
      <c r="B580" s="349" t="s">
        <v>3289</v>
      </c>
      <c r="C580" s="349" t="s">
        <v>3236</v>
      </c>
      <c r="D580" s="349" t="s">
        <v>54</v>
      </c>
      <c r="E580" s="349" t="s">
        <v>3115</v>
      </c>
      <c r="F580" s="413">
        <v>43129.0</v>
      </c>
      <c r="G580" s="413">
        <v>0.0</v>
      </c>
      <c r="H580" s="732"/>
      <c r="I580" s="736" t="str">
        <f t="shared" si="6"/>
        <v>NOT PAID</v>
      </c>
      <c r="J580" s="402"/>
      <c r="K580" s="402"/>
      <c r="L580" s="402"/>
      <c r="M580" s="402"/>
      <c r="N580" s="402"/>
      <c r="O580" s="402"/>
      <c r="P580" s="402"/>
      <c r="Q580" s="402"/>
      <c r="R580" s="402"/>
      <c r="S580" s="402"/>
      <c r="T580" s="402"/>
      <c r="U580" s="402"/>
      <c r="V580" s="402"/>
      <c r="W580" s="402"/>
      <c r="X580" s="402"/>
      <c r="Y580" s="402"/>
      <c r="Z580" s="402"/>
    </row>
    <row r="581" ht="14.25" customHeight="1">
      <c r="A581" s="406">
        <v>45523.0</v>
      </c>
      <c r="B581" s="349" t="s">
        <v>3290</v>
      </c>
      <c r="C581" s="349" t="s">
        <v>3291</v>
      </c>
      <c r="D581" s="349" t="s">
        <v>54</v>
      </c>
      <c r="E581" s="349" t="s">
        <v>3101</v>
      </c>
      <c r="F581" s="413">
        <v>4000.0</v>
      </c>
      <c r="G581" s="413">
        <v>0.0</v>
      </c>
      <c r="H581" s="349" t="s">
        <v>2184</v>
      </c>
      <c r="I581" s="736" t="str">
        <f t="shared" si="6"/>
        <v>NOT PAID</v>
      </c>
      <c r="J581" s="402"/>
      <c r="K581" s="402"/>
      <c r="L581" s="402"/>
      <c r="M581" s="402"/>
      <c r="N581" s="402"/>
      <c r="O581" s="402"/>
      <c r="P581" s="402"/>
      <c r="Q581" s="402"/>
      <c r="R581" s="402"/>
      <c r="S581" s="402"/>
      <c r="T581" s="402"/>
      <c r="U581" s="402"/>
      <c r="V581" s="402"/>
      <c r="W581" s="402"/>
      <c r="X581" s="402"/>
      <c r="Y581" s="402"/>
      <c r="Z581" s="402"/>
    </row>
    <row r="582" ht="14.25" customHeight="1">
      <c r="A582" s="406">
        <v>45523.0</v>
      </c>
      <c r="B582" s="349" t="s">
        <v>3341</v>
      </c>
      <c r="C582" s="349" t="s">
        <v>3209</v>
      </c>
      <c r="D582" s="349" t="s">
        <v>467</v>
      </c>
      <c r="E582" s="522" t="s">
        <v>3101</v>
      </c>
      <c r="F582" s="413">
        <v>5640.0</v>
      </c>
      <c r="G582" s="413">
        <v>0.0</v>
      </c>
      <c r="H582" s="349" t="s">
        <v>2184</v>
      </c>
      <c r="I582" s="736" t="str">
        <f t="shared" si="6"/>
        <v>NOT PAID</v>
      </c>
      <c r="J582" s="402"/>
      <c r="K582" s="402"/>
      <c r="L582" s="402"/>
      <c r="M582" s="402"/>
      <c r="N582" s="402"/>
      <c r="O582" s="402"/>
      <c r="P582" s="402"/>
      <c r="Q582" s="402"/>
      <c r="R582" s="402"/>
      <c r="S582" s="402"/>
      <c r="T582" s="402"/>
      <c r="U582" s="402"/>
      <c r="V582" s="402"/>
      <c r="W582" s="402"/>
      <c r="X582" s="402"/>
      <c r="Y582" s="402"/>
      <c r="Z582" s="402"/>
    </row>
    <row r="583" ht="14.25" customHeight="1">
      <c r="A583" s="406">
        <v>45523.0</v>
      </c>
      <c r="B583" s="349" t="s">
        <v>3357</v>
      </c>
      <c r="C583" s="349" t="s">
        <v>3338</v>
      </c>
      <c r="D583" s="349" t="s">
        <v>54</v>
      </c>
      <c r="E583" s="349" t="s">
        <v>3101</v>
      </c>
      <c r="F583" s="413">
        <v>41400.0</v>
      </c>
      <c r="G583" s="413">
        <v>0.0</v>
      </c>
      <c r="H583" s="349" t="s">
        <v>379</v>
      </c>
      <c r="I583" s="736" t="str">
        <f t="shared" si="6"/>
        <v>NOT PAID</v>
      </c>
      <c r="J583" s="402"/>
      <c r="K583" s="402"/>
      <c r="L583" s="402"/>
      <c r="M583" s="402"/>
      <c r="N583" s="402"/>
      <c r="O583" s="402"/>
      <c r="P583" s="402"/>
      <c r="Q583" s="402"/>
      <c r="R583" s="402"/>
      <c r="S583" s="402"/>
      <c r="T583" s="402"/>
      <c r="U583" s="402"/>
      <c r="V583" s="402"/>
      <c r="W583" s="402"/>
      <c r="X583" s="402"/>
      <c r="Y583" s="402"/>
      <c r="Z583" s="402"/>
    </row>
    <row r="584" ht="14.25" customHeight="1">
      <c r="A584" s="406">
        <v>45523.0</v>
      </c>
      <c r="B584" s="349" t="s">
        <v>3371</v>
      </c>
      <c r="C584" s="349" t="s">
        <v>3291</v>
      </c>
      <c r="D584" s="349" t="s">
        <v>3189</v>
      </c>
      <c r="E584" s="349" t="s">
        <v>3101</v>
      </c>
      <c r="F584" s="413">
        <v>85300.0</v>
      </c>
      <c r="G584" s="413">
        <v>0.0</v>
      </c>
      <c r="H584" s="349" t="s">
        <v>3405</v>
      </c>
      <c r="I584" s="736" t="str">
        <f t="shared" si="6"/>
        <v>NOT PAID</v>
      </c>
      <c r="J584" s="402"/>
      <c r="K584" s="402"/>
      <c r="L584" s="402"/>
      <c r="M584" s="402"/>
      <c r="N584" s="402"/>
      <c r="O584" s="402"/>
      <c r="P584" s="402"/>
      <c r="Q584" s="402"/>
      <c r="R584" s="402"/>
      <c r="S584" s="402"/>
      <c r="T584" s="402"/>
      <c r="U584" s="402"/>
      <c r="V584" s="402"/>
      <c r="W584" s="402"/>
      <c r="X584" s="402"/>
      <c r="Y584" s="402"/>
      <c r="Z584" s="402"/>
    </row>
    <row r="585" ht="14.25" customHeight="1">
      <c r="A585" s="406">
        <v>45523.0</v>
      </c>
      <c r="B585" s="349" t="s">
        <v>3406</v>
      </c>
      <c r="C585" s="349" t="s">
        <v>3234</v>
      </c>
      <c r="D585" s="349" t="s">
        <v>3189</v>
      </c>
      <c r="E585" s="349" t="s">
        <v>3115</v>
      </c>
      <c r="F585" s="413">
        <v>37950.0</v>
      </c>
      <c r="G585" s="413">
        <v>37950.0</v>
      </c>
      <c r="H585" s="349" t="s">
        <v>710</v>
      </c>
      <c r="I585" s="736" t="str">
        <f t="shared" si="6"/>
        <v>FULLY PAID</v>
      </c>
      <c r="J585" s="402"/>
      <c r="K585" s="402"/>
      <c r="L585" s="402"/>
      <c r="M585" s="402"/>
      <c r="N585" s="402"/>
      <c r="O585" s="402"/>
      <c r="P585" s="402"/>
      <c r="Q585" s="402"/>
      <c r="R585" s="402"/>
      <c r="S585" s="402"/>
      <c r="T585" s="402"/>
      <c r="U585" s="402"/>
      <c r="V585" s="402"/>
      <c r="W585" s="402"/>
      <c r="X585" s="402"/>
      <c r="Y585" s="402"/>
      <c r="Z585" s="402"/>
    </row>
    <row r="586" ht="14.25" customHeight="1">
      <c r="A586" s="406">
        <v>45523.0</v>
      </c>
      <c r="B586" s="349" t="s">
        <v>3407</v>
      </c>
      <c r="C586" s="349" t="s">
        <v>3408</v>
      </c>
      <c r="D586" s="349" t="s">
        <v>54</v>
      </c>
      <c r="E586" s="349" t="s">
        <v>3078</v>
      </c>
      <c r="F586" s="413">
        <v>280000.0</v>
      </c>
      <c r="G586" s="413">
        <v>280000.0</v>
      </c>
      <c r="H586" s="349" t="s">
        <v>267</v>
      </c>
      <c r="I586" s="736" t="str">
        <f t="shared" si="6"/>
        <v>FULLY PAID</v>
      </c>
      <c r="J586" s="402"/>
      <c r="K586" s="402"/>
      <c r="L586" s="402"/>
      <c r="M586" s="402"/>
      <c r="N586" s="402"/>
      <c r="O586" s="402"/>
      <c r="P586" s="402"/>
      <c r="Q586" s="402"/>
      <c r="R586" s="402"/>
      <c r="S586" s="402"/>
      <c r="T586" s="402"/>
      <c r="U586" s="402"/>
      <c r="V586" s="402"/>
      <c r="W586" s="402"/>
      <c r="X586" s="402"/>
      <c r="Y586" s="402"/>
      <c r="Z586" s="402"/>
    </row>
    <row r="587" ht="14.25" customHeight="1">
      <c r="A587" s="406">
        <v>45523.0</v>
      </c>
      <c r="B587" s="349" t="s">
        <v>3409</v>
      </c>
      <c r="C587" s="349" t="s">
        <v>3410</v>
      </c>
      <c r="D587" s="349" t="s">
        <v>54</v>
      </c>
      <c r="E587" s="349" t="s">
        <v>3101</v>
      </c>
      <c r="F587" s="413">
        <v>91805.0</v>
      </c>
      <c r="G587" s="413">
        <v>0.0</v>
      </c>
      <c r="H587" s="349" t="s">
        <v>3362</v>
      </c>
      <c r="I587" s="736" t="str">
        <f t="shared" si="6"/>
        <v>NOT PAID</v>
      </c>
      <c r="J587" s="402"/>
      <c r="K587" s="402"/>
      <c r="L587" s="402"/>
      <c r="M587" s="402"/>
      <c r="N587" s="402"/>
      <c r="O587" s="402"/>
      <c r="P587" s="402"/>
      <c r="Q587" s="402"/>
      <c r="R587" s="402"/>
      <c r="S587" s="402"/>
      <c r="T587" s="402"/>
      <c r="U587" s="402"/>
      <c r="V587" s="402"/>
      <c r="W587" s="402"/>
      <c r="X587" s="402"/>
      <c r="Y587" s="402"/>
      <c r="Z587" s="402"/>
    </row>
    <row r="588" ht="14.25" customHeight="1">
      <c r="A588" s="406">
        <v>45523.0</v>
      </c>
      <c r="B588" s="349" t="s">
        <v>3111</v>
      </c>
      <c r="C588" s="349" t="s">
        <v>3112</v>
      </c>
      <c r="D588" s="349" t="s">
        <v>54</v>
      </c>
      <c r="E588" s="349" t="s">
        <v>3078</v>
      </c>
      <c r="F588" s="413">
        <v>19708.0</v>
      </c>
      <c r="G588" s="413">
        <v>0.0</v>
      </c>
      <c r="H588" s="402"/>
      <c r="I588" s="736" t="str">
        <f t="shared" si="6"/>
        <v>NOT PAID</v>
      </c>
      <c r="J588" s="402"/>
      <c r="K588" s="402"/>
      <c r="L588" s="402"/>
      <c r="M588" s="402"/>
      <c r="N588" s="402"/>
      <c r="O588" s="402"/>
      <c r="P588" s="402"/>
      <c r="Q588" s="402"/>
      <c r="R588" s="402"/>
      <c r="S588" s="402"/>
      <c r="T588" s="402"/>
      <c r="U588" s="402"/>
      <c r="V588" s="402"/>
      <c r="W588" s="402"/>
      <c r="X588" s="402"/>
      <c r="Y588" s="402"/>
      <c r="Z588" s="402"/>
    </row>
    <row r="589" ht="14.25" customHeight="1">
      <c r="A589" s="406">
        <v>45523.0</v>
      </c>
      <c r="B589" s="349" t="s">
        <v>3107</v>
      </c>
      <c r="C589" s="349" t="s">
        <v>3108</v>
      </c>
      <c r="D589" s="349" t="s">
        <v>54</v>
      </c>
      <c r="E589" s="349" t="s">
        <v>3101</v>
      </c>
      <c r="F589" s="413">
        <v>55100.0</v>
      </c>
      <c r="G589" s="413">
        <v>0.0</v>
      </c>
      <c r="H589" s="349" t="s">
        <v>3368</v>
      </c>
      <c r="I589" s="736" t="str">
        <f t="shared" si="6"/>
        <v>NOT PAID</v>
      </c>
      <c r="J589" s="402"/>
      <c r="K589" s="402"/>
      <c r="L589" s="402"/>
      <c r="M589" s="402"/>
      <c r="N589" s="402"/>
      <c r="O589" s="402"/>
      <c r="P589" s="402"/>
      <c r="Q589" s="402"/>
      <c r="R589" s="402"/>
      <c r="S589" s="402"/>
      <c r="T589" s="402"/>
      <c r="U589" s="402"/>
      <c r="V589" s="402"/>
      <c r="W589" s="402"/>
      <c r="X589" s="402"/>
      <c r="Y589" s="402"/>
      <c r="Z589" s="402"/>
    </row>
    <row r="590" ht="14.25" customHeight="1">
      <c r="A590" s="406">
        <v>45523.0</v>
      </c>
      <c r="B590" s="349" t="s">
        <v>3102</v>
      </c>
      <c r="C590" s="349" t="s">
        <v>3103</v>
      </c>
      <c r="D590" s="349" t="s">
        <v>54</v>
      </c>
      <c r="E590" s="349" t="s">
        <v>3101</v>
      </c>
      <c r="F590" s="413">
        <v>13200.0</v>
      </c>
      <c r="G590" s="413">
        <v>9000.0</v>
      </c>
      <c r="H590" s="349" t="s">
        <v>3411</v>
      </c>
      <c r="I590" s="736" t="str">
        <f t="shared" si="6"/>
        <v>PARTIALLY PAID</v>
      </c>
      <c r="J590" s="402"/>
      <c r="K590" s="402"/>
      <c r="L590" s="402"/>
      <c r="M590" s="402"/>
      <c r="N590" s="402"/>
      <c r="O590" s="402"/>
      <c r="P590" s="402"/>
      <c r="Q590" s="402"/>
      <c r="R590" s="402"/>
      <c r="S590" s="402"/>
      <c r="T590" s="402"/>
      <c r="U590" s="402"/>
      <c r="V590" s="402"/>
      <c r="W590" s="402"/>
      <c r="X590" s="402"/>
      <c r="Y590" s="402"/>
      <c r="Z590" s="402"/>
    </row>
    <row r="591" ht="14.25" customHeight="1">
      <c r="A591" s="406">
        <v>45523.0</v>
      </c>
      <c r="B591" s="349" t="s">
        <v>3412</v>
      </c>
      <c r="C591" s="349" t="s">
        <v>3238</v>
      </c>
      <c r="D591" s="349" t="s">
        <v>54</v>
      </c>
      <c r="E591" s="349" t="s">
        <v>3078</v>
      </c>
      <c r="F591" s="413">
        <v>19000.0</v>
      </c>
      <c r="G591" s="413">
        <v>0.0</v>
      </c>
      <c r="H591" s="402"/>
      <c r="I591" s="736" t="str">
        <f t="shared" si="6"/>
        <v>NOT PAID</v>
      </c>
      <c r="J591" s="402"/>
      <c r="K591" s="402"/>
      <c r="L591" s="402"/>
      <c r="M591" s="402"/>
      <c r="N591" s="402"/>
      <c r="O591" s="402"/>
      <c r="P591" s="402"/>
      <c r="Q591" s="402"/>
      <c r="R591" s="402"/>
      <c r="S591" s="402"/>
      <c r="T591" s="402"/>
      <c r="U591" s="402"/>
      <c r="V591" s="402"/>
      <c r="W591" s="402"/>
      <c r="X591" s="402"/>
      <c r="Y591" s="402"/>
      <c r="Z591" s="402"/>
    </row>
    <row r="592" ht="14.25" customHeight="1">
      <c r="A592" s="406">
        <v>45523.0</v>
      </c>
      <c r="B592" s="349" t="s">
        <v>3413</v>
      </c>
      <c r="C592" s="349" t="s">
        <v>3414</v>
      </c>
      <c r="D592" s="349" t="s">
        <v>54</v>
      </c>
      <c r="E592" s="349" t="s">
        <v>3101</v>
      </c>
      <c r="F592" s="413">
        <v>19000.0</v>
      </c>
      <c r="G592" s="413">
        <v>19000.0</v>
      </c>
      <c r="H592" s="349" t="s">
        <v>3415</v>
      </c>
      <c r="I592" s="736" t="str">
        <f t="shared" si="6"/>
        <v>FULLY PAID</v>
      </c>
      <c r="J592" s="402"/>
      <c r="K592" s="402"/>
      <c r="L592" s="402"/>
      <c r="M592" s="402"/>
      <c r="N592" s="402"/>
      <c r="O592" s="402"/>
      <c r="P592" s="402"/>
      <c r="Q592" s="402"/>
      <c r="R592" s="402"/>
      <c r="S592" s="402"/>
      <c r="T592" s="402"/>
      <c r="U592" s="402"/>
      <c r="V592" s="402"/>
      <c r="W592" s="402"/>
      <c r="X592" s="402"/>
      <c r="Y592" s="402"/>
      <c r="Z592" s="402"/>
    </row>
    <row r="593" ht="14.25" customHeight="1">
      <c r="A593" s="406">
        <v>45523.0</v>
      </c>
      <c r="B593" s="349" t="s">
        <v>3416</v>
      </c>
      <c r="C593" s="349" t="s">
        <v>3417</v>
      </c>
      <c r="D593" s="349" t="s">
        <v>54</v>
      </c>
      <c r="E593" s="349" t="s">
        <v>3078</v>
      </c>
      <c r="F593" s="413">
        <v>136352.6</v>
      </c>
      <c r="G593" s="413">
        <v>0.0</v>
      </c>
      <c r="H593" s="402"/>
      <c r="I593" s="736" t="str">
        <f t="shared" si="6"/>
        <v>NOT PAID</v>
      </c>
      <c r="J593" s="402"/>
      <c r="K593" s="402"/>
      <c r="L593" s="402"/>
      <c r="M593" s="402"/>
      <c r="N593" s="402"/>
      <c r="O593" s="402"/>
      <c r="P593" s="402"/>
      <c r="Q593" s="402"/>
      <c r="R593" s="402"/>
      <c r="S593" s="402"/>
      <c r="T593" s="402"/>
      <c r="U593" s="402"/>
      <c r="V593" s="402"/>
      <c r="W593" s="402"/>
      <c r="X593" s="402"/>
      <c r="Y593" s="402"/>
      <c r="Z593" s="402"/>
    </row>
    <row r="594" ht="14.25" customHeight="1">
      <c r="A594" s="406">
        <v>45523.0</v>
      </c>
      <c r="B594" s="349" t="s">
        <v>3418</v>
      </c>
      <c r="C594" s="349" t="s">
        <v>3417</v>
      </c>
      <c r="D594" s="349" t="s">
        <v>467</v>
      </c>
      <c r="E594" s="349" t="s">
        <v>3078</v>
      </c>
      <c r="F594" s="413">
        <v>15834.08</v>
      </c>
      <c r="G594" s="413">
        <v>0.0</v>
      </c>
      <c r="H594" s="402"/>
      <c r="I594" s="736" t="str">
        <f t="shared" si="6"/>
        <v>NOT PAID</v>
      </c>
      <c r="J594" s="402"/>
      <c r="K594" s="402"/>
      <c r="L594" s="402"/>
      <c r="M594" s="402"/>
      <c r="N594" s="402"/>
      <c r="O594" s="402"/>
      <c r="P594" s="402"/>
      <c r="Q594" s="402"/>
      <c r="R594" s="402"/>
      <c r="S594" s="402"/>
      <c r="T594" s="402"/>
      <c r="U594" s="402"/>
      <c r="V594" s="402"/>
      <c r="W594" s="402"/>
      <c r="X594" s="402"/>
      <c r="Y594" s="402"/>
      <c r="Z594" s="402"/>
    </row>
    <row r="595" ht="14.25" customHeight="1">
      <c r="A595" s="406">
        <v>45523.0</v>
      </c>
      <c r="B595" s="349" t="s">
        <v>3419</v>
      </c>
      <c r="C595" s="349" t="s">
        <v>3420</v>
      </c>
      <c r="D595" s="349" t="s">
        <v>54</v>
      </c>
      <c r="E595" s="349" t="s">
        <v>3115</v>
      </c>
      <c r="F595" s="413">
        <v>950000.0</v>
      </c>
      <c r="G595" s="413">
        <v>950000.0</v>
      </c>
      <c r="H595" s="349" t="s">
        <v>3421</v>
      </c>
      <c r="I595" s="736" t="str">
        <f t="shared" si="6"/>
        <v>FULLY PAID</v>
      </c>
      <c r="J595" s="402"/>
      <c r="K595" s="402"/>
      <c r="L595" s="402"/>
      <c r="M595" s="402"/>
      <c r="N595" s="402"/>
      <c r="O595" s="402"/>
      <c r="P595" s="402"/>
      <c r="Q595" s="402"/>
      <c r="R595" s="402"/>
      <c r="S595" s="402"/>
      <c r="T595" s="402"/>
      <c r="U595" s="402"/>
      <c r="V595" s="402"/>
      <c r="W595" s="402"/>
      <c r="X595" s="402"/>
      <c r="Y595" s="402"/>
      <c r="Z595" s="402"/>
    </row>
    <row r="596" ht="14.25" customHeight="1">
      <c r="A596" s="402"/>
      <c r="B596" s="402"/>
      <c r="C596" s="402"/>
      <c r="D596" s="402"/>
      <c r="E596" s="402"/>
      <c r="F596" s="403"/>
      <c r="G596" s="403"/>
      <c r="H596" s="402"/>
      <c r="I596" s="736" t="str">
        <f t="shared" si="6"/>
        <v>FULLY PAID</v>
      </c>
      <c r="J596" s="402"/>
      <c r="K596" s="402"/>
      <c r="L596" s="402"/>
      <c r="M596" s="402"/>
      <c r="N596" s="402"/>
      <c r="O596" s="402"/>
      <c r="P596" s="402"/>
      <c r="Q596" s="402"/>
      <c r="R596" s="402"/>
      <c r="S596" s="402"/>
      <c r="T596" s="402"/>
      <c r="U596" s="402"/>
      <c r="V596" s="402"/>
      <c r="W596" s="402"/>
      <c r="X596" s="402"/>
      <c r="Y596" s="402"/>
      <c r="Z596" s="402"/>
    </row>
    <row r="597" ht="14.25" customHeight="1">
      <c r="A597" s="402"/>
      <c r="B597" s="402"/>
      <c r="C597" s="402"/>
      <c r="D597" s="402"/>
      <c r="E597" s="402"/>
      <c r="F597" s="403"/>
      <c r="G597" s="403"/>
      <c r="H597" s="402"/>
      <c r="I597" s="736" t="str">
        <f t="shared" si="6"/>
        <v>FULLY PAID</v>
      </c>
      <c r="J597" s="402"/>
      <c r="K597" s="402"/>
      <c r="L597" s="402"/>
      <c r="M597" s="402"/>
      <c r="N597" s="402"/>
      <c r="O597" s="402"/>
      <c r="P597" s="402"/>
      <c r="Q597" s="402"/>
      <c r="R597" s="402"/>
      <c r="S597" s="402"/>
      <c r="T597" s="402"/>
      <c r="U597" s="402"/>
      <c r="V597" s="402"/>
      <c r="W597" s="402"/>
      <c r="X597" s="402"/>
      <c r="Y597" s="402"/>
      <c r="Z597" s="402"/>
    </row>
    <row r="598" ht="14.25" customHeight="1">
      <c r="A598" s="730" t="s">
        <v>39</v>
      </c>
      <c r="B598" s="730" t="s">
        <v>3075</v>
      </c>
      <c r="C598" s="730" t="s">
        <v>49</v>
      </c>
      <c r="D598" s="730" t="s">
        <v>50</v>
      </c>
      <c r="E598" s="731" t="s">
        <v>2</v>
      </c>
      <c r="F598" s="731" t="s">
        <v>2</v>
      </c>
      <c r="G598" s="731" t="s">
        <v>4</v>
      </c>
      <c r="H598" s="730" t="s">
        <v>45</v>
      </c>
      <c r="I598" s="736" t="str">
        <f t="shared" si="6"/>
        <v>FULLY PAID</v>
      </c>
      <c r="J598" s="402"/>
      <c r="K598" s="402"/>
      <c r="L598" s="402"/>
      <c r="M598" s="402"/>
      <c r="N598" s="402"/>
      <c r="O598" s="402"/>
      <c r="P598" s="402"/>
      <c r="Q598" s="402"/>
      <c r="R598" s="402"/>
      <c r="S598" s="402"/>
      <c r="T598" s="402"/>
      <c r="U598" s="402"/>
      <c r="V598" s="402"/>
      <c r="W598" s="402"/>
      <c r="X598" s="402"/>
      <c r="Y598" s="402"/>
      <c r="Z598" s="402"/>
    </row>
    <row r="599" ht="14.25" customHeight="1">
      <c r="A599" s="406">
        <v>45524.0</v>
      </c>
      <c r="B599" s="522" t="s">
        <v>3087</v>
      </c>
      <c r="C599" s="522" t="s">
        <v>3088</v>
      </c>
      <c r="D599" s="522" t="s">
        <v>54</v>
      </c>
      <c r="E599" s="522" t="s">
        <v>3308</v>
      </c>
      <c r="F599" s="567">
        <v>15100.0</v>
      </c>
      <c r="G599" s="413">
        <v>0.0</v>
      </c>
      <c r="H599" s="732" t="s">
        <v>3079</v>
      </c>
      <c r="I599" s="736" t="str">
        <f t="shared" si="6"/>
        <v>NOT PAID</v>
      </c>
      <c r="J599" s="402"/>
      <c r="K599" s="402"/>
      <c r="L599" s="402"/>
      <c r="M599" s="402"/>
      <c r="N599" s="402"/>
      <c r="O599" s="402"/>
      <c r="P599" s="402"/>
      <c r="Q599" s="402"/>
      <c r="R599" s="402"/>
      <c r="S599" s="402"/>
      <c r="T599" s="402"/>
      <c r="U599" s="402"/>
      <c r="V599" s="402"/>
      <c r="W599" s="402"/>
      <c r="X599" s="402"/>
      <c r="Y599" s="402"/>
      <c r="Z599" s="402"/>
    </row>
    <row r="600" ht="14.25" customHeight="1">
      <c r="A600" s="406">
        <v>45524.0</v>
      </c>
      <c r="B600" s="522" t="s">
        <v>652</v>
      </c>
      <c r="C600" s="522" t="s">
        <v>3097</v>
      </c>
      <c r="D600" s="522" t="s">
        <v>2010</v>
      </c>
      <c r="E600" s="522" t="s">
        <v>3308</v>
      </c>
      <c r="F600" s="567">
        <v>69500.0</v>
      </c>
      <c r="G600" s="413">
        <v>18000.0</v>
      </c>
      <c r="H600" s="732" t="s">
        <v>3399</v>
      </c>
      <c r="I600" s="736" t="str">
        <f t="shared" si="6"/>
        <v>PARTIALLY PAID</v>
      </c>
      <c r="J600" s="402"/>
      <c r="K600" s="402"/>
      <c r="L600" s="402"/>
      <c r="M600" s="402"/>
      <c r="N600" s="402"/>
      <c r="O600" s="402"/>
      <c r="P600" s="402"/>
      <c r="Q600" s="402"/>
      <c r="R600" s="402"/>
      <c r="S600" s="402"/>
      <c r="T600" s="402"/>
      <c r="U600" s="402"/>
      <c r="V600" s="402"/>
      <c r="W600" s="402"/>
      <c r="X600" s="402"/>
      <c r="Y600" s="402"/>
      <c r="Z600" s="402"/>
    </row>
    <row r="601" ht="14.25" customHeight="1">
      <c r="A601" s="406">
        <v>45524.0</v>
      </c>
      <c r="B601" s="522" t="s">
        <v>3099</v>
      </c>
      <c r="C601" s="522" t="s">
        <v>3100</v>
      </c>
      <c r="D601" s="522" t="s">
        <v>54</v>
      </c>
      <c r="E601" s="522" t="s">
        <v>3308</v>
      </c>
      <c r="F601" s="567">
        <v>112200.0</v>
      </c>
      <c r="G601" s="413">
        <v>0.0</v>
      </c>
      <c r="H601" s="732" t="s">
        <v>3400</v>
      </c>
      <c r="I601" s="736" t="str">
        <f t="shared" si="6"/>
        <v>NOT PAID</v>
      </c>
      <c r="J601" s="402"/>
      <c r="K601" s="402"/>
      <c r="L601" s="402"/>
      <c r="M601" s="402"/>
      <c r="N601" s="402"/>
      <c r="O601" s="402"/>
      <c r="P601" s="402"/>
      <c r="Q601" s="402"/>
      <c r="R601" s="402"/>
      <c r="S601" s="402"/>
      <c r="T601" s="402"/>
      <c r="U601" s="402"/>
      <c r="V601" s="402"/>
      <c r="W601" s="402"/>
      <c r="X601" s="402"/>
      <c r="Y601" s="402"/>
      <c r="Z601" s="402"/>
    </row>
    <row r="602" ht="14.25" customHeight="1">
      <c r="A602" s="406">
        <v>45524.0</v>
      </c>
      <c r="B602" s="522" t="s">
        <v>3134</v>
      </c>
      <c r="C602" s="522" t="s">
        <v>3176</v>
      </c>
      <c r="D602" s="349" t="s">
        <v>54</v>
      </c>
      <c r="E602" s="522" t="s">
        <v>3078</v>
      </c>
      <c r="F602" s="733">
        <v>80300.0</v>
      </c>
      <c r="G602" s="413">
        <v>0.0</v>
      </c>
      <c r="H602" s="732" t="s">
        <v>3401</v>
      </c>
      <c r="I602" s="736" t="str">
        <f t="shared" si="6"/>
        <v>NOT PAID</v>
      </c>
      <c r="J602" s="402"/>
      <c r="K602" s="402"/>
      <c r="L602" s="402"/>
      <c r="M602" s="402"/>
      <c r="N602" s="402"/>
      <c r="O602" s="402"/>
      <c r="P602" s="402"/>
      <c r="Q602" s="402"/>
      <c r="R602" s="402"/>
      <c r="S602" s="402"/>
      <c r="T602" s="402"/>
      <c r="U602" s="402"/>
      <c r="V602" s="402"/>
      <c r="W602" s="402"/>
      <c r="X602" s="402"/>
      <c r="Y602" s="402"/>
      <c r="Z602" s="402"/>
    </row>
    <row r="603" ht="14.25" customHeight="1">
      <c r="A603" s="406">
        <v>45524.0</v>
      </c>
      <c r="B603" s="349" t="s">
        <v>3076</v>
      </c>
      <c r="C603" s="349" t="s">
        <v>3077</v>
      </c>
      <c r="D603" s="349" t="s">
        <v>54</v>
      </c>
      <c r="E603" s="522" t="s">
        <v>3078</v>
      </c>
      <c r="F603" s="413">
        <v>2150.0</v>
      </c>
      <c r="G603" s="413">
        <v>0.0</v>
      </c>
      <c r="H603" s="732" t="s">
        <v>3079</v>
      </c>
      <c r="I603" s="736" t="str">
        <f t="shared" si="6"/>
        <v>NOT PAID</v>
      </c>
      <c r="J603" s="402"/>
      <c r="K603" s="402"/>
      <c r="L603" s="402"/>
      <c r="M603" s="402"/>
      <c r="N603" s="402"/>
      <c r="O603" s="402"/>
      <c r="P603" s="402"/>
      <c r="Q603" s="402"/>
      <c r="R603" s="402"/>
      <c r="S603" s="402"/>
      <c r="T603" s="402"/>
      <c r="U603" s="402"/>
      <c r="V603" s="402"/>
      <c r="W603" s="402"/>
      <c r="X603" s="402"/>
      <c r="Y603" s="402"/>
      <c r="Z603" s="402"/>
    </row>
    <row r="604" ht="14.25" customHeight="1">
      <c r="A604" s="406">
        <v>45524.0</v>
      </c>
      <c r="B604" s="349" t="s">
        <v>3173</v>
      </c>
      <c r="C604" s="349" t="s">
        <v>3174</v>
      </c>
      <c r="D604" s="349" t="s">
        <v>54</v>
      </c>
      <c r="E604" s="522" t="s">
        <v>3101</v>
      </c>
      <c r="F604" s="413">
        <v>25400.0</v>
      </c>
      <c r="G604" s="413">
        <v>0.0</v>
      </c>
      <c r="H604" s="732" t="s">
        <v>3261</v>
      </c>
      <c r="I604" s="736" t="str">
        <f t="shared" si="6"/>
        <v>NOT PAID</v>
      </c>
      <c r="J604" s="402"/>
      <c r="K604" s="402"/>
      <c r="L604" s="402"/>
      <c r="M604" s="402"/>
      <c r="N604" s="402"/>
      <c r="O604" s="402"/>
      <c r="P604" s="402"/>
      <c r="Q604" s="402"/>
      <c r="R604" s="402"/>
      <c r="S604" s="402"/>
      <c r="T604" s="402"/>
      <c r="U604" s="402"/>
      <c r="V604" s="402"/>
      <c r="W604" s="402"/>
      <c r="X604" s="402"/>
      <c r="Y604" s="402"/>
      <c r="Z604" s="402"/>
    </row>
    <row r="605" ht="14.25" customHeight="1">
      <c r="A605" s="406">
        <v>45524.0</v>
      </c>
      <c r="B605" s="349" t="s">
        <v>3193</v>
      </c>
      <c r="C605" s="349" t="s">
        <v>3194</v>
      </c>
      <c r="D605" s="349" t="s">
        <v>3189</v>
      </c>
      <c r="E605" s="349" t="s">
        <v>3078</v>
      </c>
      <c r="F605" s="413">
        <v>112943.0</v>
      </c>
      <c r="G605" s="413">
        <v>0.0</v>
      </c>
      <c r="H605" s="349" t="s">
        <v>3402</v>
      </c>
      <c r="I605" s="736" t="str">
        <f t="shared" si="6"/>
        <v>NOT PAID</v>
      </c>
      <c r="J605" s="402"/>
      <c r="K605" s="402"/>
      <c r="L605" s="402"/>
      <c r="M605" s="402"/>
      <c r="N605" s="402"/>
      <c r="O605" s="402"/>
      <c r="P605" s="402"/>
      <c r="Q605" s="402"/>
      <c r="R605" s="402"/>
      <c r="S605" s="402"/>
      <c r="T605" s="402"/>
      <c r="U605" s="402"/>
      <c r="V605" s="402"/>
      <c r="W605" s="402"/>
      <c r="X605" s="402"/>
      <c r="Y605" s="402"/>
      <c r="Z605" s="402"/>
    </row>
    <row r="606" ht="14.25" customHeight="1">
      <c r="A606" s="406">
        <v>45524.0</v>
      </c>
      <c r="B606" s="349" t="s">
        <v>3278</v>
      </c>
      <c r="C606" s="349" t="s">
        <v>3232</v>
      </c>
      <c r="D606" s="349" t="s">
        <v>54</v>
      </c>
      <c r="E606" s="522" t="s">
        <v>3308</v>
      </c>
      <c r="F606" s="413">
        <v>33600.0</v>
      </c>
      <c r="G606" s="413">
        <v>20000.0</v>
      </c>
      <c r="H606" s="732" t="s">
        <v>3366</v>
      </c>
      <c r="I606" s="736" t="str">
        <f t="shared" si="6"/>
        <v>PARTIALLY PAID</v>
      </c>
      <c r="J606" s="402"/>
      <c r="K606" s="402"/>
      <c r="L606" s="402"/>
      <c r="M606" s="402"/>
      <c r="N606" s="402"/>
      <c r="O606" s="402"/>
      <c r="P606" s="402"/>
      <c r="Q606" s="402"/>
      <c r="R606" s="402"/>
      <c r="S606" s="402"/>
      <c r="T606" s="402"/>
      <c r="U606" s="402"/>
      <c r="V606" s="402"/>
      <c r="W606" s="402"/>
      <c r="X606" s="402"/>
      <c r="Y606" s="402"/>
      <c r="Z606" s="402"/>
    </row>
    <row r="607" ht="14.25" customHeight="1">
      <c r="A607" s="406">
        <v>45524.0</v>
      </c>
      <c r="B607" s="349" t="s">
        <v>3208</v>
      </c>
      <c r="C607" s="349" t="s">
        <v>3209</v>
      </c>
      <c r="D607" s="349" t="s">
        <v>54</v>
      </c>
      <c r="E607" s="522" t="s">
        <v>3101</v>
      </c>
      <c r="F607" s="413">
        <v>2000.0</v>
      </c>
      <c r="G607" s="413">
        <v>2000.0</v>
      </c>
      <c r="H607" s="349" t="s">
        <v>772</v>
      </c>
      <c r="I607" s="736" t="str">
        <f t="shared" si="6"/>
        <v>FULLY PAID</v>
      </c>
      <c r="J607" s="402"/>
      <c r="K607" s="402"/>
      <c r="L607" s="402"/>
      <c r="M607" s="402"/>
      <c r="N607" s="402"/>
      <c r="O607" s="402"/>
      <c r="P607" s="402"/>
      <c r="Q607" s="402"/>
      <c r="R607" s="402"/>
      <c r="S607" s="402"/>
      <c r="T607" s="402"/>
      <c r="U607" s="402"/>
      <c r="V607" s="402"/>
      <c r="W607" s="402"/>
      <c r="X607" s="402"/>
      <c r="Y607" s="402"/>
      <c r="Z607" s="402"/>
    </row>
    <row r="608" ht="14.25" customHeight="1">
      <c r="A608" s="406">
        <v>45524.0</v>
      </c>
      <c r="B608" s="349" t="s">
        <v>3083</v>
      </c>
      <c r="C608" s="349" t="s">
        <v>3084</v>
      </c>
      <c r="D608" s="349" t="s">
        <v>54</v>
      </c>
      <c r="E608" s="349" t="s">
        <v>3101</v>
      </c>
      <c r="F608" s="413">
        <v>2500.0</v>
      </c>
      <c r="G608" s="413">
        <v>0.0</v>
      </c>
      <c r="H608" s="732" t="s">
        <v>3086</v>
      </c>
      <c r="I608" s="736" t="str">
        <f t="shared" si="6"/>
        <v>NOT PAID</v>
      </c>
      <c r="J608" s="402"/>
      <c r="K608" s="402"/>
      <c r="L608" s="402"/>
      <c r="M608" s="402"/>
      <c r="N608" s="402"/>
      <c r="O608" s="402"/>
      <c r="P608" s="402"/>
      <c r="Q608" s="402"/>
      <c r="R608" s="402"/>
      <c r="S608" s="402"/>
      <c r="T608" s="402"/>
      <c r="U608" s="402"/>
      <c r="V608" s="402"/>
      <c r="W608" s="402"/>
      <c r="X608" s="402"/>
      <c r="Y608" s="402"/>
      <c r="Z608" s="402"/>
    </row>
    <row r="609" ht="14.25" customHeight="1">
      <c r="A609" s="406">
        <v>45524.0</v>
      </c>
      <c r="B609" s="406" t="s">
        <v>3235</v>
      </c>
      <c r="C609" s="349" t="s">
        <v>3236</v>
      </c>
      <c r="D609" s="349" t="s">
        <v>3189</v>
      </c>
      <c r="E609" s="349" t="s">
        <v>3101</v>
      </c>
      <c r="F609" s="738">
        <v>242500.0</v>
      </c>
      <c r="G609" s="413">
        <v>0.0</v>
      </c>
      <c r="H609" s="732" t="s">
        <v>3404</v>
      </c>
      <c r="I609" s="736" t="str">
        <f t="shared" si="6"/>
        <v>NOT PAID</v>
      </c>
      <c r="J609" s="402"/>
      <c r="K609" s="402"/>
      <c r="L609" s="402"/>
      <c r="M609" s="402"/>
      <c r="N609" s="402"/>
      <c r="O609" s="402"/>
      <c r="P609" s="402"/>
      <c r="Q609" s="402"/>
      <c r="R609" s="402"/>
      <c r="S609" s="402"/>
      <c r="T609" s="402"/>
      <c r="U609" s="402"/>
      <c r="V609" s="402"/>
      <c r="W609" s="402"/>
      <c r="X609" s="402"/>
      <c r="Y609" s="402"/>
      <c r="Z609" s="402"/>
    </row>
    <row r="610" ht="14.25" customHeight="1">
      <c r="A610" s="406">
        <v>45524.0</v>
      </c>
      <c r="B610" s="349" t="s">
        <v>3289</v>
      </c>
      <c r="C610" s="349" t="s">
        <v>3236</v>
      </c>
      <c r="D610" s="349" t="s">
        <v>54</v>
      </c>
      <c r="E610" s="349" t="s">
        <v>3115</v>
      </c>
      <c r="F610" s="413">
        <v>43129.0</v>
      </c>
      <c r="G610" s="413">
        <v>0.0</v>
      </c>
      <c r="H610" s="732" t="s">
        <v>3422</v>
      </c>
      <c r="I610" s="736" t="str">
        <f t="shared" si="6"/>
        <v>NOT PAID</v>
      </c>
      <c r="J610" s="402"/>
      <c r="K610" s="402"/>
      <c r="L610" s="402"/>
      <c r="M610" s="402"/>
      <c r="N610" s="402"/>
      <c r="O610" s="402"/>
      <c r="P610" s="402"/>
      <c r="Q610" s="402"/>
      <c r="R610" s="402"/>
      <c r="S610" s="402"/>
      <c r="T610" s="402"/>
      <c r="U610" s="402"/>
      <c r="V610" s="402"/>
      <c r="W610" s="402"/>
      <c r="X610" s="402"/>
      <c r="Y610" s="402"/>
      <c r="Z610" s="402"/>
    </row>
    <row r="611" ht="14.25" customHeight="1">
      <c r="A611" s="406">
        <v>45524.0</v>
      </c>
      <c r="B611" s="349" t="s">
        <v>3290</v>
      </c>
      <c r="C611" s="349" t="s">
        <v>3291</v>
      </c>
      <c r="D611" s="349" t="s">
        <v>54</v>
      </c>
      <c r="E611" s="349" t="s">
        <v>3101</v>
      </c>
      <c r="F611" s="413">
        <v>4000.0</v>
      </c>
      <c r="G611" s="413">
        <v>0.0</v>
      </c>
      <c r="H611" s="732" t="s">
        <v>3079</v>
      </c>
      <c r="I611" s="736" t="str">
        <f t="shared" si="6"/>
        <v>NOT PAID</v>
      </c>
      <c r="J611" s="402"/>
      <c r="K611" s="402"/>
      <c r="L611" s="402"/>
      <c r="M611" s="402"/>
      <c r="N611" s="402"/>
      <c r="O611" s="402"/>
      <c r="P611" s="402"/>
      <c r="Q611" s="402"/>
      <c r="R611" s="402"/>
      <c r="S611" s="402"/>
      <c r="T611" s="402"/>
      <c r="U611" s="402"/>
      <c r="V611" s="402"/>
      <c r="W611" s="402"/>
      <c r="X611" s="402"/>
      <c r="Y611" s="402"/>
      <c r="Z611" s="402"/>
    </row>
    <row r="612" ht="14.25" customHeight="1">
      <c r="A612" s="406">
        <v>45524.0</v>
      </c>
      <c r="B612" s="349" t="s">
        <v>3341</v>
      </c>
      <c r="C612" s="349" t="s">
        <v>3209</v>
      </c>
      <c r="D612" s="349" t="s">
        <v>467</v>
      </c>
      <c r="E612" s="522" t="s">
        <v>3101</v>
      </c>
      <c r="F612" s="413">
        <v>5640.0</v>
      </c>
      <c r="G612" s="413">
        <v>0.0</v>
      </c>
      <c r="H612" s="732" t="s">
        <v>3423</v>
      </c>
      <c r="I612" s="736" t="str">
        <f t="shared" si="6"/>
        <v>NOT PAID</v>
      </c>
      <c r="J612" s="402"/>
      <c r="K612" s="402"/>
      <c r="L612" s="402"/>
      <c r="M612" s="402"/>
      <c r="N612" s="402"/>
      <c r="O612" s="402"/>
      <c r="P612" s="402"/>
      <c r="Q612" s="402"/>
      <c r="R612" s="402"/>
      <c r="S612" s="402"/>
      <c r="T612" s="402"/>
      <c r="U612" s="402"/>
      <c r="V612" s="402"/>
      <c r="W612" s="402"/>
      <c r="X612" s="402"/>
      <c r="Y612" s="402"/>
      <c r="Z612" s="402"/>
    </row>
    <row r="613" ht="14.25" customHeight="1">
      <c r="A613" s="406">
        <v>45524.0</v>
      </c>
      <c r="B613" s="349" t="s">
        <v>3357</v>
      </c>
      <c r="C613" s="349" t="s">
        <v>3338</v>
      </c>
      <c r="D613" s="349" t="s">
        <v>54</v>
      </c>
      <c r="E613" s="349" t="s">
        <v>3101</v>
      </c>
      <c r="F613" s="413">
        <v>41400.0</v>
      </c>
      <c r="G613" s="413">
        <v>0.0</v>
      </c>
      <c r="H613" s="732" t="s">
        <v>3424</v>
      </c>
      <c r="I613" s="736" t="str">
        <f t="shared" si="6"/>
        <v>NOT PAID</v>
      </c>
      <c r="J613" s="402"/>
      <c r="K613" s="402"/>
      <c r="L613" s="402"/>
      <c r="M613" s="402"/>
      <c r="N613" s="402"/>
      <c r="O613" s="402"/>
      <c r="P613" s="402"/>
      <c r="Q613" s="402"/>
      <c r="R613" s="402"/>
      <c r="S613" s="402"/>
      <c r="T613" s="402"/>
      <c r="U613" s="402"/>
      <c r="V613" s="402"/>
      <c r="W613" s="402"/>
      <c r="X613" s="402"/>
      <c r="Y613" s="402"/>
      <c r="Z613" s="402"/>
    </row>
    <row r="614" ht="14.25" customHeight="1">
      <c r="A614" s="406">
        <v>45524.0</v>
      </c>
      <c r="B614" s="349" t="s">
        <v>3371</v>
      </c>
      <c r="C614" s="349" t="s">
        <v>3291</v>
      </c>
      <c r="D614" s="349" t="s">
        <v>3189</v>
      </c>
      <c r="E614" s="349" t="s">
        <v>3101</v>
      </c>
      <c r="F614" s="413">
        <v>85300.0</v>
      </c>
      <c r="G614" s="413">
        <v>0.0</v>
      </c>
      <c r="H614" s="732" t="s">
        <v>3425</v>
      </c>
      <c r="I614" s="736" t="str">
        <f t="shared" si="6"/>
        <v>NOT PAID</v>
      </c>
      <c r="J614" s="402"/>
      <c r="K614" s="402"/>
      <c r="L614" s="402"/>
      <c r="M614" s="402"/>
      <c r="N614" s="402"/>
      <c r="O614" s="402"/>
      <c r="P614" s="402"/>
      <c r="Q614" s="402"/>
      <c r="R614" s="402"/>
      <c r="S614" s="402"/>
      <c r="T614" s="402"/>
      <c r="U614" s="402"/>
      <c r="V614" s="402"/>
      <c r="W614" s="402"/>
      <c r="X614" s="402"/>
      <c r="Y614" s="402"/>
      <c r="Z614" s="402"/>
    </row>
    <row r="615" ht="14.25" customHeight="1">
      <c r="A615" s="406">
        <v>45524.0</v>
      </c>
      <c r="B615" s="349" t="s">
        <v>3409</v>
      </c>
      <c r="C615" s="349" t="s">
        <v>3410</v>
      </c>
      <c r="D615" s="349" t="s">
        <v>54</v>
      </c>
      <c r="E615" s="349" t="s">
        <v>3101</v>
      </c>
      <c r="F615" s="413">
        <v>91805.0</v>
      </c>
      <c r="G615" s="413">
        <v>0.0</v>
      </c>
      <c r="H615" s="732" t="s">
        <v>3426</v>
      </c>
      <c r="I615" s="736" t="str">
        <f t="shared" si="6"/>
        <v>NOT PAID</v>
      </c>
      <c r="J615" s="402"/>
      <c r="K615" s="402"/>
      <c r="L615" s="402"/>
      <c r="M615" s="402"/>
      <c r="N615" s="402"/>
      <c r="O615" s="402"/>
      <c r="P615" s="402"/>
      <c r="Q615" s="402"/>
      <c r="R615" s="402"/>
      <c r="S615" s="402"/>
      <c r="T615" s="402"/>
      <c r="U615" s="402"/>
      <c r="V615" s="402"/>
      <c r="W615" s="402"/>
      <c r="X615" s="402"/>
      <c r="Y615" s="402"/>
      <c r="Z615" s="402"/>
    </row>
    <row r="616" ht="14.25" customHeight="1">
      <c r="A616" s="406">
        <v>45524.0</v>
      </c>
      <c r="B616" s="349" t="s">
        <v>3111</v>
      </c>
      <c r="C616" s="349" t="s">
        <v>3112</v>
      </c>
      <c r="D616" s="349" t="s">
        <v>54</v>
      </c>
      <c r="E616" s="349" t="s">
        <v>3078</v>
      </c>
      <c r="F616" s="413">
        <v>19708.0</v>
      </c>
      <c r="G616" s="413">
        <v>0.0</v>
      </c>
      <c r="H616" s="732" t="s">
        <v>3426</v>
      </c>
      <c r="I616" s="736" t="str">
        <f t="shared" si="6"/>
        <v>NOT PAID</v>
      </c>
      <c r="J616" s="402"/>
      <c r="K616" s="402"/>
      <c r="L616" s="402"/>
      <c r="M616" s="402"/>
      <c r="N616" s="402"/>
      <c r="O616" s="402"/>
      <c r="P616" s="402"/>
      <c r="Q616" s="402"/>
      <c r="R616" s="402"/>
      <c r="S616" s="402"/>
      <c r="T616" s="402"/>
      <c r="U616" s="402"/>
      <c r="V616" s="402"/>
      <c r="W616" s="402"/>
      <c r="X616" s="402"/>
      <c r="Y616" s="402"/>
      <c r="Z616" s="402"/>
    </row>
    <row r="617" ht="14.25" customHeight="1">
      <c r="A617" s="406">
        <v>45524.0</v>
      </c>
      <c r="B617" s="349" t="s">
        <v>3107</v>
      </c>
      <c r="C617" s="349" t="s">
        <v>3108</v>
      </c>
      <c r="D617" s="349" t="s">
        <v>54</v>
      </c>
      <c r="E617" s="349" t="s">
        <v>3101</v>
      </c>
      <c r="F617" s="413">
        <v>55100.0</v>
      </c>
      <c r="G617" s="413">
        <v>0.0</v>
      </c>
      <c r="H617" s="732" t="s">
        <v>3096</v>
      </c>
      <c r="I617" s="736" t="str">
        <f t="shared" si="6"/>
        <v>NOT PAID</v>
      </c>
      <c r="J617" s="402"/>
      <c r="K617" s="402"/>
      <c r="L617" s="402"/>
      <c r="M617" s="402"/>
      <c r="N617" s="402"/>
      <c r="O617" s="402"/>
      <c r="P617" s="402"/>
      <c r="Q617" s="402"/>
      <c r="R617" s="402"/>
      <c r="S617" s="402"/>
      <c r="T617" s="402"/>
      <c r="U617" s="402"/>
      <c r="V617" s="402"/>
      <c r="W617" s="402"/>
      <c r="X617" s="402"/>
      <c r="Y617" s="402"/>
      <c r="Z617" s="402"/>
    </row>
    <row r="618" ht="14.25" customHeight="1">
      <c r="A618" s="406">
        <v>45524.0</v>
      </c>
      <c r="B618" s="349" t="s">
        <v>3102</v>
      </c>
      <c r="C618" s="349" t="s">
        <v>3103</v>
      </c>
      <c r="D618" s="349" t="s">
        <v>54</v>
      </c>
      <c r="E618" s="349" t="s">
        <v>3101</v>
      </c>
      <c r="F618" s="413">
        <v>13200.0</v>
      </c>
      <c r="G618" s="413">
        <v>0.0</v>
      </c>
      <c r="H618" s="732" t="s">
        <v>3423</v>
      </c>
      <c r="I618" s="736" t="str">
        <f t="shared" si="6"/>
        <v>NOT PAID</v>
      </c>
      <c r="J618" s="402"/>
      <c r="K618" s="402"/>
      <c r="L618" s="402"/>
      <c r="M618" s="402"/>
      <c r="N618" s="402"/>
      <c r="O618" s="402"/>
      <c r="P618" s="402"/>
      <c r="Q618" s="402"/>
      <c r="R618" s="402"/>
      <c r="S618" s="402"/>
      <c r="T618" s="402"/>
      <c r="U618" s="402"/>
      <c r="V618" s="402"/>
      <c r="W618" s="402"/>
      <c r="X618" s="402"/>
      <c r="Y618" s="402"/>
      <c r="Z618" s="402"/>
    </row>
    <row r="619" ht="14.25" customHeight="1">
      <c r="A619" s="406">
        <v>45524.0</v>
      </c>
      <c r="B619" s="349" t="s">
        <v>3412</v>
      </c>
      <c r="C619" s="349" t="s">
        <v>3238</v>
      </c>
      <c r="D619" s="349" t="s">
        <v>54</v>
      </c>
      <c r="E619" s="349" t="s">
        <v>3078</v>
      </c>
      <c r="F619" s="413">
        <v>19000.0</v>
      </c>
      <c r="G619" s="413">
        <v>0.0</v>
      </c>
      <c r="H619" s="732" t="s">
        <v>3426</v>
      </c>
      <c r="I619" s="736" t="str">
        <f t="shared" si="6"/>
        <v>NOT PAID</v>
      </c>
      <c r="J619" s="402"/>
      <c r="K619" s="402"/>
      <c r="L619" s="402"/>
      <c r="M619" s="402"/>
      <c r="N619" s="402"/>
      <c r="O619" s="402"/>
      <c r="P619" s="402"/>
      <c r="Q619" s="402"/>
      <c r="R619" s="402"/>
      <c r="S619" s="402"/>
      <c r="T619" s="402"/>
      <c r="U619" s="402"/>
      <c r="V619" s="402"/>
      <c r="W619" s="402"/>
      <c r="X619" s="402"/>
      <c r="Y619" s="402"/>
      <c r="Z619" s="402"/>
    </row>
    <row r="620" ht="14.25" customHeight="1">
      <c r="A620" s="406">
        <v>45524.0</v>
      </c>
      <c r="B620" s="349" t="s">
        <v>3413</v>
      </c>
      <c r="C620" s="349" t="s">
        <v>3414</v>
      </c>
      <c r="D620" s="349" t="s">
        <v>54</v>
      </c>
      <c r="E620" s="349" t="s">
        <v>3101</v>
      </c>
      <c r="F620" s="413">
        <v>950.0</v>
      </c>
      <c r="G620" s="413">
        <v>950.0</v>
      </c>
      <c r="H620" s="349" t="s">
        <v>772</v>
      </c>
      <c r="I620" s="736" t="str">
        <f t="shared" si="6"/>
        <v>FULLY PAID</v>
      </c>
      <c r="J620" s="402"/>
      <c r="K620" s="402"/>
      <c r="L620" s="402"/>
      <c r="M620" s="402"/>
      <c r="N620" s="402"/>
      <c r="O620" s="402"/>
      <c r="P620" s="402"/>
      <c r="Q620" s="402"/>
      <c r="R620" s="402"/>
      <c r="S620" s="402"/>
      <c r="T620" s="402"/>
      <c r="U620" s="402"/>
      <c r="V620" s="402"/>
      <c r="W620" s="402"/>
      <c r="X620" s="402"/>
      <c r="Y620" s="402"/>
      <c r="Z620" s="402"/>
    </row>
    <row r="621" ht="14.25" customHeight="1">
      <c r="A621" s="406">
        <v>45524.0</v>
      </c>
      <c r="B621" s="349" t="s">
        <v>3416</v>
      </c>
      <c r="C621" s="349" t="s">
        <v>3417</v>
      </c>
      <c r="D621" s="349" t="s">
        <v>54</v>
      </c>
      <c r="E621" s="349" t="s">
        <v>3078</v>
      </c>
      <c r="F621" s="413">
        <v>136352.6</v>
      </c>
      <c r="G621" s="413">
        <v>0.0</v>
      </c>
      <c r="H621" s="732" t="s">
        <v>3426</v>
      </c>
      <c r="I621" s="736" t="str">
        <f t="shared" si="6"/>
        <v>NOT PAID</v>
      </c>
      <c r="J621" s="402"/>
      <c r="K621" s="402"/>
      <c r="L621" s="402"/>
      <c r="M621" s="402"/>
      <c r="N621" s="402"/>
      <c r="O621" s="402"/>
      <c r="P621" s="402"/>
      <c r="Q621" s="402"/>
      <c r="R621" s="402"/>
      <c r="S621" s="402"/>
      <c r="T621" s="402"/>
      <c r="U621" s="402"/>
      <c r="V621" s="402"/>
      <c r="W621" s="402"/>
      <c r="X621" s="402"/>
      <c r="Y621" s="402"/>
      <c r="Z621" s="402"/>
    </row>
    <row r="622" ht="14.25" customHeight="1">
      <c r="A622" s="406">
        <v>45524.0</v>
      </c>
      <c r="B622" s="349" t="s">
        <v>3418</v>
      </c>
      <c r="C622" s="349" t="s">
        <v>3417</v>
      </c>
      <c r="D622" s="349" t="s">
        <v>467</v>
      </c>
      <c r="E622" s="349" t="s">
        <v>3078</v>
      </c>
      <c r="F622" s="413">
        <v>15834.08</v>
      </c>
      <c r="G622" s="413">
        <v>0.0</v>
      </c>
      <c r="H622" s="732" t="s">
        <v>3426</v>
      </c>
      <c r="I622" s="736" t="str">
        <f t="shared" si="6"/>
        <v>NOT PAID</v>
      </c>
      <c r="J622" s="402"/>
      <c r="K622" s="402"/>
      <c r="L622" s="402"/>
      <c r="M622" s="402"/>
      <c r="N622" s="402"/>
      <c r="O622" s="402"/>
      <c r="P622" s="402"/>
      <c r="Q622" s="402"/>
      <c r="R622" s="402"/>
      <c r="S622" s="402"/>
      <c r="T622" s="402"/>
      <c r="U622" s="402"/>
      <c r="V622" s="402"/>
      <c r="W622" s="402"/>
      <c r="X622" s="402"/>
      <c r="Y622" s="402"/>
      <c r="Z622" s="402"/>
    </row>
    <row r="623" ht="14.25" customHeight="1">
      <c r="A623" s="402"/>
      <c r="B623" s="402"/>
      <c r="C623" s="402"/>
      <c r="D623" s="402"/>
      <c r="E623" s="402"/>
      <c r="F623" s="403"/>
      <c r="G623" s="403"/>
      <c r="H623" s="402"/>
      <c r="I623" s="402"/>
      <c r="J623" s="402"/>
      <c r="K623" s="402"/>
      <c r="L623" s="402"/>
      <c r="M623" s="402"/>
      <c r="N623" s="402"/>
      <c r="O623" s="402"/>
      <c r="P623" s="402"/>
      <c r="Q623" s="402"/>
      <c r="R623" s="402"/>
      <c r="S623" s="402"/>
      <c r="T623" s="402"/>
      <c r="U623" s="402"/>
      <c r="V623" s="402"/>
      <c r="W623" s="402"/>
      <c r="X623" s="402"/>
      <c r="Y623" s="402"/>
      <c r="Z623" s="402"/>
    </row>
    <row r="624" ht="14.25" customHeight="1">
      <c r="A624" s="730" t="s">
        <v>39</v>
      </c>
      <c r="B624" s="730" t="s">
        <v>3075</v>
      </c>
      <c r="C624" s="730" t="s">
        <v>49</v>
      </c>
      <c r="D624" s="730" t="s">
        <v>50</v>
      </c>
      <c r="E624" s="731" t="s">
        <v>2</v>
      </c>
      <c r="F624" s="731" t="s">
        <v>2</v>
      </c>
      <c r="G624" s="731" t="s">
        <v>4</v>
      </c>
      <c r="H624" s="730" t="s">
        <v>45</v>
      </c>
      <c r="I624" s="402"/>
      <c r="J624" s="402"/>
      <c r="K624" s="402"/>
      <c r="L624" s="402"/>
      <c r="M624" s="402"/>
      <c r="N624" s="402"/>
      <c r="O624" s="402"/>
      <c r="P624" s="402"/>
      <c r="Q624" s="402"/>
      <c r="R624" s="402"/>
      <c r="S624" s="402"/>
      <c r="T624" s="402"/>
      <c r="U624" s="402"/>
      <c r="V624" s="402"/>
      <c r="W624" s="402"/>
      <c r="X624" s="402"/>
      <c r="Y624" s="402"/>
      <c r="Z624" s="402"/>
    </row>
    <row r="625" ht="14.25" customHeight="1">
      <c r="A625" s="406">
        <v>45525.0</v>
      </c>
      <c r="B625" s="522" t="s">
        <v>3087</v>
      </c>
      <c r="C625" s="522" t="s">
        <v>3088</v>
      </c>
      <c r="D625" s="522" t="s">
        <v>54</v>
      </c>
      <c r="E625" s="522" t="s">
        <v>3308</v>
      </c>
      <c r="F625" s="567">
        <v>15100.0</v>
      </c>
      <c r="G625" s="413">
        <v>2000.0</v>
      </c>
      <c r="H625" s="732" t="s">
        <v>3427</v>
      </c>
      <c r="I625" s="402"/>
      <c r="J625" s="402"/>
      <c r="K625" s="402"/>
      <c r="L625" s="402"/>
      <c r="M625" s="402"/>
      <c r="N625" s="402"/>
      <c r="O625" s="402"/>
      <c r="P625" s="402"/>
      <c r="Q625" s="402"/>
      <c r="R625" s="402"/>
      <c r="S625" s="402"/>
      <c r="T625" s="402"/>
      <c r="U625" s="402"/>
      <c r="V625" s="402"/>
      <c r="W625" s="402"/>
      <c r="X625" s="402"/>
      <c r="Y625" s="402"/>
      <c r="Z625" s="402"/>
    </row>
    <row r="626" ht="14.25" customHeight="1">
      <c r="A626" s="406">
        <v>45525.0</v>
      </c>
      <c r="B626" s="522" t="s">
        <v>652</v>
      </c>
      <c r="C626" s="522" t="s">
        <v>3097</v>
      </c>
      <c r="D626" s="522" t="s">
        <v>2010</v>
      </c>
      <c r="E626" s="522" t="s">
        <v>3308</v>
      </c>
      <c r="F626" s="567">
        <v>52500.0</v>
      </c>
      <c r="G626" s="413">
        <v>0.0</v>
      </c>
      <c r="H626" s="732" t="s">
        <v>3428</v>
      </c>
      <c r="I626" s="402"/>
      <c r="J626" s="402"/>
      <c r="K626" s="402"/>
      <c r="L626" s="402"/>
      <c r="M626" s="402"/>
      <c r="N626" s="402"/>
      <c r="O626" s="402"/>
      <c r="P626" s="402"/>
      <c r="Q626" s="402"/>
      <c r="R626" s="402"/>
      <c r="S626" s="402"/>
      <c r="T626" s="402"/>
      <c r="U626" s="402"/>
      <c r="V626" s="402"/>
      <c r="W626" s="402"/>
      <c r="X626" s="402"/>
      <c r="Y626" s="402"/>
      <c r="Z626" s="402"/>
    </row>
    <row r="627" ht="14.25" customHeight="1">
      <c r="A627" s="406">
        <v>45525.0</v>
      </c>
      <c r="B627" s="522" t="s">
        <v>3099</v>
      </c>
      <c r="C627" s="522" t="s">
        <v>3100</v>
      </c>
      <c r="D627" s="522" t="s">
        <v>54</v>
      </c>
      <c r="E627" s="522" t="s">
        <v>3308</v>
      </c>
      <c r="F627" s="567">
        <v>117000.0</v>
      </c>
      <c r="G627" s="413">
        <v>0.0</v>
      </c>
      <c r="H627" s="732" t="s">
        <v>3429</v>
      </c>
      <c r="I627" s="402"/>
      <c r="J627" s="402"/>
      <c r="K627" s="402"/>
      <c r="L627" s="402"/>
      <c r="M627" s="402"/>
      <c r="N627" s="402"/>
      <c r="O627" s="402"/>
      <c r="P627" s="402"/>
      <c r="Q627" s="402"/>
      <c r="R627" s="402"/>
      <c r="S627" s="402"/>
      <c r="T627" s="402"/>
      <c r="U627" s="402"/>
      <c r="V627" s="402"/>
      <c r="W627" s="402"/>
      <c r="X627" s="402"/>
      <c r="Y627" s="402"/>
      <c r="Z627" s="402"/>
    </row>
    <row r="628" ht="14.25" customHeight="1">
      <c r="A628" s="406">
        <v>45525.0</v>
      </c>
      <c r="B628" s="522" t="s">
        <v>3134</v>
      </c>
      <c r="C628" s="522" t="s">
        <v>3176</v>
      </c>
      <c r="D628" s="349" t="s">
        <v>54</v>
      </c>
      <c r="E628" s="522" t="s">
        <v>3078</v>
      </c>
      <c r="F628" s="733">
        <v>80300.0</v>
      </c>
      <c r="G628" s="413">
        <v>10000.0</v>
      </c>
      <c r="H628" s="732" t="s">
        <v>3427</v>
      </c>
      <c r="I628" s="402"/>
      <c r="J628" s="402"/>
      <c r="K628" s="402"/>
      <c r="L628" s="402"/>
      <c r="M628" s="402"/>
      <c r="N628" s="402"/>
      <c r="O628" s="402"/>
      <c r="P628" s="402"/>
      <c r="Q628" s="402"/>
      <c r="R628" s="402"/>
      <c r="S628" s="402"/>
      <c r="T628" s="402"/>
      <c r="U628" s="402"/>
      <c r="V628" s="402"/>
      <c r="W628" s="402"/>
      <c r="X628" s="402"/>
      <c r="Y628" s="402"/>
      <c r="Z628" s="402"/>
    </row>
    <row r="629" ht="14.25" customHeight="1">
      <c r="A629" s="406">
        <v>45525.0</v>
      </c>
      <c r="B629" s="349" t="s">
        <v>3076</v>
      </c>
      <c r="C629" s="349" t="s">
        <v>3077</v>
      </c>
      <c r="D629" s="349" t="s">
        <v>54</v>
      </c>
      <c r="E629" s="522" t="s">
        <v>3078</v>
      </c>
      <c r="F629" s="413">
        <v>2150.0</v>
      </c>
      <c r="G629" s="413">
        <v>0.0</v>
      </c>
      <c r="H629" s="349" t="s">
        <v>3430</v>
      </c>
      <c r="I629" s="402"/>
      <c r="J629" s="402"/>
      <c r="K629" s="402"/>
      <c r="L629" s="402"/>
      <c r="M629" s="402"/>
      <c r="N629" s="402"/>
      <c r="O629" s="402"/>
      <c r="P629" s="402"/>
      <c r="Q629" s="402"/>
      <c r="R629" s="402"/>
      <c r="S629" s="402"/>
      <c r="T629" s="402"/>
      <c r="U629" s="402"/>
      <c r="V629" s="402"/>
      <c r="W629" s="402"/>
      <c r="X629" s="402"/>
      <c r="Y629" s="402"/>
      <c r="Z629" s="402"/>
    </row>
    <row r="630" ht="14.25" customHeight="1">
      <c r="A630" s="406">
        <v>45525.0</v>
      </c>
      <c r="B630" s="349" t="s">
        <v>3173</v>
      </c>
      <c r="C630" s="349" t="s">
        <v>3174</v>
      </c>
      <c r="D630" s="349" t="s">
        <v>54</v>
      </c>
      <c r="E630" s="522" t="s">
        <v>3101</v>
      </c>
      <c r="F630" s="413">
        <v>28000.0</v>
      </c>
      <c r="G630" s="413">
        <v>0.0</v>
      </c>
      <c r="H630" s="732" t="s">
        <v>2200</v>
      </c>
      <c r="I630" s="402"/>
      <c r="J630" s="402"/>
      <c r="K630" s="402"/>
      <c r="L630" s="402"/>
      <c r="M630" s="402"/>
      <c r="N630" s="402"/>
      <c r="O630" s="402"/>
      <c r="P630" s="402"/>
      <c r="Q630" s="402"/>
      <c r="R630" s="402"/>
      <c r="S630" s="402"/>
      <c r="T630" s="402"/>
      <c r="U630" s="402"/>
      <c r="V630" s="402"/>
      <c r="W630" s="402"/>
      <c r="X630" s="402"/>
      <c r="Y630" s="402"/>
      <c r="Z630" s="402"/>
    </row>
    <row r="631" ht="14.25" customHeight="1">
      <c r="A631" s="406">
        <v>45525.0</v>
      </c>
      <c r="B631" s="349" t="s">
        <v>3193</v>
      </c>
      <c r="C631" s="349" t="s">
        <v>3194</v>
      </c>
      <c r="D631" s="349" t="s">
        <v>3189</v>
      </c>
      <c r="E631" s="349" t="s">
        <v>3078</v>
      </c>
      <c r="F631" s="413">
        <v>273000.0</v>
      </c>
      <c r="G631" s="413">
        <v>0.0</v>
      </c>
      <c r="H631" s="349" t="s">
        <v>3431</v>
      </c>
      <c r="I631" s="402"/>
      <c r="J631" s="402"/>
      <c r="K631" s="402"/>
      <c r="L631" s="402"/>
      <c r="M631" s="402"/>
      <c r="N631" s="402"/>
      <c r="O631" s="402"/>
      <c r="P631" s="402"/>
      <c r="Q631" s="402"/>
      <c r="R631" s="402"/>
      <c r="S631" s="402"/>
      <c r="T631" s="402"/>
      <c r="U631" s="402"/>
      <c r="V631" s="402"/>
      <c r="W631" s="402"/>
      <c r="X631" s="402"/>
      <c r="Y631" s="402"/>
      <c r="Z631" s="402"/>
    </row>
    <row r="632" ht="14.25" customHeight="1">
      <c r="A632" s="406">
        <v>45525.0</v>
      </c>
      <c r="B632" s="349" t="s">
        <v>3278</v>
      </c>
      <c r="C632" s="349" t="s">
        <v>3232</v>
      </c>
      <c r="D632" s="349" t="s">
        <v>54</v>
      </c>
      <c r="E632" s="522" t="s">
        <v>3308</v>
      </c>
      <c r="F632" s="413">
        <v>37100.0</v>
      </c>
      <c r="G632" s="413">
        <v>20000.0</v>
      </c>
      <c r="H632" s="732" t="s">
        <v>3432</v>
      </c>
      <c r="I632" s="402"/>
      <c r="J632" s="402"/>
      <c r="K632" s="402"/>
      <c r="L632" s="402"/>
      <c r="M632" s="402"/>
      <c r="N632" s="402"/>
      <c r="O632" s="402"/>
      <c r="P632" s="402"/>
      <c r="Q632" s="402"/>
      <c r="R632" s="402"/>
      <c r="S632" s="402"/>
      <c r="T632" s="402"/>
      <c r="U632" s="402"/>
      <c r="V632" s="402"/>
      <c r="W632" s="402"/>
      <c r="X632" s="402"/>
      <c r="Y632" s="402"/>
      <c r="Z632" s="402"/>
    </row>
    <row r="633" ht="14.25" customHeight="1">
      <c r="A633" s="406">
        <v>45525.0</v>
      </c>
      <c r="B633" s="349" t="s">
        <v>3083</v>
      </c>
      <c r="C633" s="349" t="s">
        <v>3084</v>
      </c>
      <c r="D633" s="349" t="s">
        <v>54</v>
      </c>
      <c r="E633" s="349" t="s">
        <v>3101</v>
      </c>
      <c r="F633" s="413">
        <v>2500.0</v>
      </c>
      <c r="G633" s="413">
        <v>0.0</v>
      </c>
      <c r="H633" s="732" t="s">
        <v>2200</v>
      </c>
      <c r="I633" s="402"/>
      <c r="J633" s="402"/>
      <c r="K633" s="402"/>
      <c r="L633" s="402"/>
      <c r="M633" s="402"/>
      <c r="N633" s="402"/>
      <c r="O633" s="402"/>
      <c r="P633" s="402"/>
      <c r="Q633" s="402"/>
      <c r="R633" s="402"/>
      <c r="S633" s="402"/>
      <c r="T633" s="402"/>
      <c r="U633" s="402"/>
      <c r="V633" s="402"/>
      <c r="W633" s="402"/>
      <c r="X633" s="402"/>
      <c r="Y633" s="402"/>
      <c r="Z633" s="402"/>
    </row>
    <row r="634" ht="14.25" customHeight="1">
      <c r="A634" s="406">
        <v>45525.0</v>
      </c>
      <c r="B634" s="406" t="s">
        <v>3235</v>
      </c>
      <c r="C634" s="349" t="s">
        <v>3236</v>
      </c>
      <c r="D634" s="349" t="s">
        <v>3189</v>
      </c>
      <c r="E634" s="349" t="s">
        <v>3101</v>
      </c>
      <c r="F634" s="738">
        <v>267500.0</v>
      </c>
      <c r="G634" s="413">
        <v>0.0</v>
      </c>
      <c r="H634" s="732" t="s">
        <v>2200</v>
      </c>
      <c r="I634" s="402"/>
      <c r="J634" s="402"/>
      <c r="K634" s="402"/>
      <c r="L634" s="402"/>
      <c r="M634" s="402"/>
      <c r="N634" s="402"/>
      <c r="O634" s="402"/>
      <c r="P634" s="402"/>
      <c r="Q634" s="402"/>
      <c r="R634" s="402"/>
      <c r="S634" s="402"/>
      <c r="T634" s="402"/>
      <c r="U634" s="402"/>
      <c r="V634" s="402"/>
      <c r="W634" s="402"/>
      <c r="X634" s="402"/>
      <c r="Y634" s="402"/>
      <c r="Z634" s="402"/>
    </row>
    <row r="635" ht="14.25" customHeight="1">
      <c r="A635" s="406">
        <v>45525.0</v>
      </c>
      <c r="B635" s="349" t="s">
        <v>3289</v>
      </c>
      <c r="C635" s="349" t="s">
        <v>3236</v>
      </c>
      <c r="D635" s="349" t="s">
        <v>54</v>
      </c>
      <c r="E635" s="349" t="s">
        <v>3115</v>
      </c>
      <c r="F635" s="413">
        <v>48500.0</v>
      </c>
      <c r="G635" s="413">
        <v>0.0</v>
      </c>
      <c r="H635" s="732" t="s">
        <v>3433</v>
      </c>
      <c r="I635" s="402"/>
      <c r="J635" s="402"/>
      <c r="K635" s="402"/>
      <c r="L635" s="402"/>
      <c r="M635" s="402"/>
      <c r="N635" s="402"/>
      <c r="O635" s="402"/>
      <c r="P635" s="402"/>
      <c r="Q635" s="402"/>
      <c r="R635" s="402"/>
      <c r="S635" s="402"/>
      <c r="T635" s="402"/>
      <c r="U635" s="402"/>
      <c r="V635" s="402"/>
      <c r="W635" s="402"/>
      <c r="X635" s="402"/>
      <c r="Y635" s="402"/>
      <c r="Z635" s="402"/>
    </row>
    <row r="636" ht="14.25" customHeight="1">
      <c r="A636" s="406">
        <v>45525.0</v>
      </c>
      <c r="B636" s="349" t="s">
        <v>3290</v>
      </c>
      <c r="C636" s="349" t="s">
        <v>3291</v>
      </c>
      <c r="D636" s="349" t="s">
        <v>54</v>
      </c>
      <c r="E636" s="349" t="s">
        <v>3101</v>
      </c>
      <c r="F636" s="413">
        <v>4000.0</v>
      </c>
      <c r="G636" s="413">
        <v>0.0</v>
      </c>
      <c r="H636" s="732" t="s">
        <v>3433</v>
      </c>
      <c r="I636" s="402"/>
      <c r="J636" s="402"/>
      <c r="K636" s="402"/>
      <c r="L636" s="402"/>
      <c r="M636" s="402"/>
      <c r="N636" s="402"/>
      <c r="O636" s="402"/>
      <c r="P636" s="402"/>
      <c r="Q636" s="402"/>
      <c r="R636" s="402"/>
      <c r="S636" s="402"/>
      <c r="T636" s="402"/>
      <c r="U636" s="402"/>
      <c r="V636" s="402"/>
      <c r="W636" s="402"/>
      <c r="X636" s="402"/>
      <c r="Y636" s="402"/>
      <c r="Z636" s="402"/>
    </row>
    <row r="637" ht="14.25" customHeight="1">
      <c r="A637" s="406">
        <v>45525.0</v>
      </c>
      <c r="B637" s="349" t="s">
        <v>3341</v>
      </c>
      <c r="C637" s="349" t="s">
        <v>3209</v>
      </c>
      <c r="D637" s="349" t="s">
        <v>467</v>
      </c>
      <c r="E637" s="522" t="s">
        <v>3101</v>
      </c>
      <c r="F637" s="413">
        <v>5640.0</v>
      </c>
      <c r="G637" s="413">
        <v>0.0</v>
      </c>
      <c r="H637" s="732" t="s">
        <v>2200</v>
      </c>
      <c r="I637" s="402"/>
      <c r="J637" s="402"/>
      <c r="K637" s="402"/>
      <c r="L637" s="402"/>
      <c r="M637" s="402"/>
      <c r="N637" s="402"/>
      <c r="O637" s="402"/>
      <c r="P637" s="402"/>
      <c r="Q637" s="402"/>
      <c r="R637" s="402"/>
      <c r="S637" s="402"/>
      <c r="T637" s="402"/>
      <c r="U637" s="402"/>
      <c r="V637" s="402"/>
      <c r="W637" s="402"/>
      <c r="X637" s="402"/>
      <c r="Y637" s="402"/>
      <c r="Z637" s="402"/>
    </row>
    <row r="638" ht="14.25" customHeight="1">
      <c r="A638" s="406">
        <v>45525.0</v>
      </c>
      <c r="B638" s="349" t="s">
        <v>3357</v>
      </c>
      <c r="C638" s="349" t="s">
        <v>3338</v>
      </c>
      <c r="D638" s="349" t="s">
        <v>54</v>
      </c>
      <c r="E638" s="349" t="s">
        <v>3101</v>
      </c>
      <c r="F638" s="413">
        <v>43500.0</v>
      </c>
      <c r="G638" s="413">
        <v>0.0</v>
      </c>
      <c r="H638" s="732" t="s">
        <v>2200</v>
      </c>
      <c r="I638" s="402"/>
      <c r="J638" s="402"/>
      <c r="K638" s="402"/>
      <c r="L638" s="402"/>
      <c r="M638" s="402"/>
      <c r="N638" s="402"/>
      <c r="O638" s="402"/>
      <c r="P638" s="402"/>
      <c r="Q638" s="402"/>
      <c r="R638" s="402"/>
      <c r="S638" s="402"/>
      <c r="T638" s="402"/>
      <c r="U638" s="402"/>
      <c r="V638" s="402"/>
      <c r="W638" s="402"/>
      <c r="X638" s="402"/>
      <c r="Y638" s="402"/>
      <c r="Z638" s="402"/>
    </row>
    <row r="639" ht="14.25" customHeight="1">
      <c r="A639" s="406">
        <v>45525.0</v>
      </c>
      <c r="B639" s="349" t="s">
        <v>3371</v>
      </c>
      <c r="C639" s="349" t="s">
        <v>3291</v>
      </c>
      <c r="D639" s="349" t="s">
        <v>3189</v>
      </c>
      <c r="E639" s="349" t="s">
        <v>3101</v>
      </c>
      <c r="F639" s="413">
        <v>85300.0</v>
      </c>
      <c r="G639" s="413">
        <v>0.0</v>
      </c>
      <c r="H639" s="732" t="s">
        <v>2200</v>
      </c>
      <c r="I639" s="402"/>
      <c r="J639" s="402"/>
      <c r="K639" s="402"/>
      <c r="L639" s="402"/>
      <c r="M639" s="402"/>
      <c r="N639" s="402"/>
      <c r="O639" s="402"/>
      <c r="P639" s="402"/>
      <c r="Q639" s="402"/>
      <c r="R639" s="402"/>
      <c r="S639" s="402"/>
      <c r="T639" s="402"/>
      <c r="U639" s="402"/>
      <c r="V639" s="402"/>
      <c r="W639" s="402"/>
      <c r="X639" s="402"/>
      <c r="Y639" s="402"/>
      <c r="Z639" s="402"/>
    </row>
    <row r="640" ht="14.25" customHeight="1">
      <c r="A640" s="406">
        <v>45525.0</v>
      </c>
      <c r="B640" s="349" t="s">
        <v>3409</v>
      </c>
      <c r="C640" s="349" t="s">
        <v>3410</v>
      </c>
      <c r="D640" s="349" t="s">
        <v>54</v>
      </c>
      <c r="E640" s="349" t="s">
        <v>3101</v>
      </c>
      <c r="F640" s="413">
        <v>91805.0</v>
      </c>
      <c r="G640" s="413">
        <v>0.0</v>
      </c>
      <c r="H640" s="732" t="s">
        <v>3434</v>
      </c>
      <c r="I640" s="402"/>
      <c r="J640" s="402"/>
      <c r="K640" s="402"/>
      <c r="L640" s="402"/>
      <c r="M640" s="402"/>
      <c r="N640" s="402"/>
      <c r="O640" s="402"/>
      <c r="P640" s="402"/>
      <c r="Q640" s="402"/>
      <c r="R640" s="402"/>
      <c r="S640" s="402"/>
      <c r="T640" s="402"/>
      <c r="U640" s="402"/>
      <c r="V640" s="402"/>
      <c r="W640" s="402"/>
      <c r="X640" s="402"/>
      <c r="Y640" s="402"/>
      <c r="Z640" s="402"/>
    </row>
    <row r="641" ht="14.25" customHeight="1">
      <c r="A641" s="406">
        <v>45525.0</v>
      </c>
      <c r="B641" s="349" t="s">
        <v>3111</v>
      </c>
      <c r="C641" s="349" t="s">
        <v>3112</v>
      </c>
      <c r="D641" s="349" t="s">
        <v>54</v>
      </c>
      <c r="E641" s="349" t="s">
        <v>3078</v>
      </c>
      <c r="F641" s="413">
        <v>12700.0</v>
      </c>
      <c r="G641" s="413">
        <v>0.0</v>
      </c>
      <c r="H641" s="732" t="s">
        <v>2200</v>
      </c>
      <c r="I641" s="402"/>
      <c r="J641" s="402"/>
      <c r="K641" s="402"/>
      <c r="L641" s="402"/>
      <c r="M641" s="402"/>
      <c r="N641" s="402"/>
      <c r="O641" s="402"/>
      <c r="P641" s="402"/>
      <c r="Q641" s="402"/>
      <c r="R641" s="402"/>
      <c r="S641" s="402"/>
      <c r="T641" s="402"/>
      <c r="U641" s="402"/>
      <c r="V641" s="402"/>
      <c r="W641" s="402"/>
      <c r="X641" s="402"/>
      <c r="Y641" s="402"/>
      <c r="Z641" s="402"/>
    </row>
    <row r="642" ht="14.25" customHeight="1">
      <c r="A642" s="406">
        <v>45525.0</v>
      </c>
      <c r="B642" s="349" t="s">
        <v>3107</v>
      </c>
      <c r="C642" s="349" t="s">
        <v>3108</v>
      </c>
      <c r="D642" s="349" t="s">
        <v>54</v>
      </c>
      <c r="E642" s="349" t="s">
        <v>3101</v>
      </c>
      <c r="F642" s="413">
        <v>55100.0</v>
      </c>
      <c r="G642" s="413">
        <v>0.0</v>
      </c>
      <c r="H642" s="732" t="s">
        <v>3362</v>
      </c>
      <c r="I642" s="402"/>
      <c r="J642" s="402"/>
      <c r="K642" s="402"/>
      <c r="L642" s="402"/>
      <c r="M642" s="402"/>
      <c r="N642" s="402"/>
      <c r="O642" s="402"/>
      <c r="P642" s="402"/>
      <c r="Q642" s="402"/>
      <c r="R642" s="402"/>
      <c r="S642" s="402"/>
      <c r="T642" s="402"/>
      <c r="U642" s="402"/>
      <c r="V642" s="402"/>
      <c r="W642" s="402"/>
      <c r="X642" s="402"/>
      <c r="Y642" s="402"/>
      <c r="Z642" s="402"/>
    </row>
    <row r="643" ht="14.25" customHeight="1">
      <c r="A643" s="406">
        <v>45525.0</v>
      </c>
      <c r="B643" s="349" t="s">
        <v>3102</v>
      </c>
      <c r="C643" s="349" t="s">
        <v>3103</v>
      </c>
      <c r="D643" s="349" t="s">
        <v>54</v>
      </c>
      <c r="E643" s="349" t="s">
        <v>3101</v>
      </c>
      <c r="F643" s="413">
        <v>14200.0</v>
      </c>
      <c r="G643" s="413">
        <v>0.0</v>
      </c>
      <c r="H643" s="732" t="s">
        <v>952</v>
      </c>
      <c r="I643" s="402"/>
      <c r="J643" s="402"/>
      <c r="K643" s="402"/>
      <c r="L643" s="402"/>
      <c r="M643" s="402"/>
      <c r="N643" s="402"/>
      <c r="O643" s="402"/>
      <c r="P643" s="402"/>
      <c r="Q643" s="402"/>
      <c r="R643" s="402"/>
      <c r="S643" s="402"/>
      <c r="T643" s="402"/>
      <c r="U643" s="402"/>
      <c r="V643" s="402"/>
      <c r="W643" s="402"/>
      <c r="X643" s="402"/>
      <c r="Y643" s="402"/>
      <c r="Z643" s="402"/>
    </row>
    <row r="644" ht="14.25" customHeight="1">
      <c r="A644" s="406">
        <v>45525.0</v>
      </c>
      <c r="B644" s="349" t="s">
        <v>3412</v>
      </c>
      <c r="C644" s="349" t="s">
        <v>3238</v>
      </c>
      <c r="D644" s="349" t="s">
        <v>54</v>
      </c>
      <c r="E644" s="349" t="s">
        <v>3078</v>
      </c>
      <c r="F644" s="413">
        <v>19000.0</v>
      </c>
      <c r="G644" s="413">
        <v>0.0</v>
      </c>
      <c r="H644" s="732" t="s">
        <v>2200</v>
      </c>
      <c r="I644" s="402"/>
      <c r="J644" s="402"/>
      <c r="K644" s="402"/>
      <c r="L644" s="402"/>
      <c r="M644" s="402"/>
      <c r="N644" s="402"/>
      <c r="O644" s="402"/>
      <c r="P644" s="402"/>
      <c r="Q644" s="402"/>
      <c r="R644" s="402"/>
      <c r="S644" s="402"/>
      <c r="T644" s="402"/>
      <c r="U644" s="402"/>
      <c r="V644" s="402"/>
      <c r="W644" s="402"/>
      <c r="X644" s="402"/>
      <c r="Y644" s="402"/>
      <c r="Z644" s="402"/>
    </row>
    <row r="645" ht="14.25" customHeight="1">
      <c r="A645" s="406">
        <v>45525.0</v>
      </c>
      <c r="B645" s="349" t="s">
        <v>3416</v>
      </c>
      <c r="C645" s="349" t="s">
        <v>3417</v>
      </c>
      <c r="D645" s="349" t="s">
        <v>54</v>
      </c>
      <c r="E645" s="349" t="s">
        <v>3078</v>
      </c>
      <c r="F645" s="413">
        <v>136352.6</v>
      </c>
      <c r="G645" s="413">
        <v>0.0</v>
      </c>
      <c r="H645" s="732" t="s">
        <v>3435</v>
      </c>
      <c r="I645" s="402"/>
      <c r="J645" s="402"/>
      <c r="K645" s="402"/>
      <c r="L645" s="402"/>
      <c r="M645" s="402"/>
      <c r="N645" s="402"/>
      <c r="O645" s="402"/>
      <c r="P645" s="402"/>
      <c r="Q645" s="402"/>
      <c r="R645" s="402"/>
      <c r="S645" s="402"/>
      <c r="T645" s="402"/>
      <c r="U645" s="402"/>
      <c r="V645" s="402"/>
      <c r="W645" s="402"/>
      <c r="X645" s="402"/>
      <c r="Y645" s="402"/>
      <c r="Z645" s="402"/>
    </row>
    <row r="646" ht="14.25" customHeight="1">
      <c r="A646" s="406">
        <v>45525.0</v>
      </c>
      <c r="B646" s="349" t="s">
        <v>3418</v>
      </c>
      <c r="C646" s="349" t="s">
        <v>3417</v>
      </c>
      <c r="D646" s="349" t="s">
        <v>467</v>
      </c>
      <c r="E646" s="349" t="s">
        <v>3078</v>
      </c>
      <c r="F646" s="413">
        <v>15834.08</v>
      </c>
      <c r="G646" s="413">
        <v>0.0</v>
      </c>
      <c r="H646" s="732" t="s">
        <v>2200</v>
      </c>
      <c r="I646" s="402"/>
      <c r="J646" s="402"/>
      <c r="K646" s="402"/>
      <c r="L646" s="402"/>
      <c r="M646" s="402"/>
      <c r="N646" s="402"/>
      <c r="O646" s="402"/>
      <c r="P646" s="402"/>
      <c r="Q646" s="402"/>
      <c r="R646" s="402"/>
      <c r="S646" s="402"/>
      <c r="T646" s="402"/>
      <c r="U646" s="402"/>
      <c r="V646" s="402"/>
      <c r="W646" s="402"/>
      <c r="X646" s="402"/>
      <c r="Y646" s="402"/>
      <c r="Z646" s="402"/>
    </row>
    <row r="647" ht="14.25" customHeight="1">
      <c r="A647" s="406">
        <v>45525.0</v>
      </c>
      <c r="B647" s="349" t="s">
        <v>3436</v>
      </c>
      <c r="C647" s="349" t="s">
        <v>3185</v>
      </c>
      <c r="D647" s="349" t="s">
        <v>3189</v>
      </c>
      <c r="E647" s="413" t="s">
        <v>3308</v>
      </c>
      <c r="F647" s="413">
        <v>84525.0</v>
      </c>
      <c r="G647" s="413">
        <v>0.0</v>
      </c>
      <c r="H647" s="349" t="s">
        <v>3430</v>
      </c>
      <c r="I647" s="402"/>
      <c r="J647" s="402"/>
      <c r="K647" s="402"/>
      <c r="L647" s="402"/>
      <c r="M647" s="402"/>
      <c r="N647" s="402"/>
      <c r="O647" s="402"/>
      <c r="P647" s="402"/>
      <c r="Q647" s="402"/>
      <c r="R647" s="402"/>
      <c r="S647" s="402"/>
      <c r="T647" s="402"/>
      <c r="U647" s="402"/>
      <c r="V647" s="402"/>
      <c r="W647" s="402"/>
      <c r="X647" s="402"/>
      <c r="Y647" s="402"/>
      <c r="Z647" s="402"/>
    </row>
    <row r="648" ht="14.25" customHeight="1">
      <c r="A648" s="406">
        <v>45525.0</v>
      </c>
      <c r="B648" s="349" t="s">
        <v>3437</v>
      </c>
      <c r="C648" s="349" t="s">
        <v>3123</v>
      </c>
      <c r="D648" s="349" t="s">
        <v>3189</v>
      </c>
      <c r="E648" s="413" t="s">
        <v>3308</v>
      </c>
      <c r="F648" s="413">
        <v>30100.0</v>
      </c>
      <c r="G648" s="413">
        <v>20000.0</v>
      </c>
      <c r="H648" s="349" t="s">
        <v>3438</v>
      </c>
      <c r="I648" s="402"/>
      <c r="J648" s="402"/>
      <c r="K648" s="402"/>
      <c r="L648" s="402"/>
      <c r="M648" s="402"/>
      <c r="N648" s="402"/>
      <c r="O648" s="402"/>
      <c r="P648" s="402"/>
      <c r="Q648" s="402"/>
      <c r="R648" s="402"/>
      <c r="S648" s="402"/>
      <c r="T648" s="402"/>
      <c r="U648" s="402"/>
      <c r="V648" s="402"/>
      <c r="W648" s="402"/>
      <c r="X648" s="402"/>
      <c r="Y648" s="402"/>
      <c r="Z648" s="402"/>
    </row>
    <row r="649" ht="14.25" customHeight="1">
      <c r="A649" s="402"/>
      <c r="B649" s="402"/>
      <c r="C649" s="402"/>
      <c r="D649" s="402"/>
      <c r="E649" s="402"/>
      <c r="F649" s="403"/>
      <c r="G649" s="403"/>
      <c r="H649" s="402"/>
      <c r="I649" s="402"/>
      <c r="J649" s="402"/>
      <c r="K649" s="402"/>
      <c r="L649" s="402"/>
      <c r="M649" s="402"/>
      <c r="N649" s="402"/>
      <c r="O649" s="402"/>
      <c r="P649" s="402"/>
      <c r="Q649" s="402"/>
      <c r="R649" s="402"/>
      <c r="S649" s="402"/>
      <c r="T649" s="402"/>
      <c r="U649" s="402"/>
      <c r="V649" s="402"/>
      <c r="W649" s="402"/>
      <c r="X649" s="402"/>
      <c r="Y649" s="402"/>
      <c r="Z649" s="402"/>
    </row>
    <row r="650" ht="14.25" customHeight="1">
      <c r="A650" s="402"/>
      <c r="B650" s="402"/>
      <c r="C650" s="402"/>
      <c r="D650" s="402"/>
      <c r="E650" s="402"/>
      <c r="F650" s="403"/>
      <c r="G650" s="403"/>
      <c r="H650" s="402"/>
      <c r="I650" s="402"/>
      <c r="J650" s="402"/>
      <c r="K650" s="402"/>
      <c r="L650" s="402"/>
      <c r="M650" s="402"/>
      <c r="N650" s="402"/>
      <c r="O650" s="402"/>
      <c r="P650" s="402"/>
      <c r="Q650" s="402"/>
      <c r="R650" s="402"/>
      <c r="S650" s="402"/>
      <c r="T650" s="402"/>
      <c r="U650" s="402"/>
      <c r="V650" s="402"/>
      <c r="W650" s="402"/>
      <c r="X650" s="402"/>
      <c r="Y650" s="402"/>
      <c r="Z650" s="402"/>
    </row>
    <row r="651" ht="14.25" customHeight="1">
      <c r="A651" s="402"/>
      <c r="B651" s="402"/>
      <c r="C651" s="402"/>
      <c r="D651" s="402"/>
      <c r="E651" s="402"/>
      <c r="F651" s="403"/>
      <c r="G651" s="403"/>
      <c r="H651" s="402"/>
      <c r="I651" s="402"/>
      <c r="J651" s="402"/>
      <c r="K651" s="402"/>
      <c r="L651" s="402"/>
      <c r="M651" s="402"/>
      <c r="N651" s="402"/>
      <c r="O651" s="402"/>
      <c r="P651" s="402"/>
      <c r="Q651" s="402"/>
      <c r="R651" s="402"/>
      <c r="S651" s="402"/>
      <c r="T651" s="402"/>
      <c r="U651" s="402"/>
      <c r="V651" s="402"/>
      <c r="W651" s="402"/>
      <c r="X651" s="402"/>
      <c r="Y651" s="402"/>
      <c r="Z651" s="402"/>
    </row>
    <row r="652" ht="14.25" customHeight="1">
      <c r="A652" s="740" t="s">
        <v>39</v>
      </c>
      <c r="B652" s="740" t="s">
        <v>3075</v>
      </c>
      <c r="C652" s="740" t="s">
        <v>49</v>
      </c>
      <c r="D652" s="740" t="s">
        <v>50</v>
      </c>
      <c r="E652" s="741" t="s">
        <v>2</v>
      </c>
      <c r="F652" s="741" t="s">
        <v>2</v>
      </c>
      <c r="G652" s="741" t="s">
        <v>4</v>
      </c>
      <c r="H652" s="740" t="s">
        <v>45</v>
      </c>
      <c r="I652" s="402"/>
      <c r="J652" s="402"/>
      <c r="K652" s="402"/>
      <c r="L652" s="402"/>
      <c r="M652" s="402"/>
      <c r="N652" s="402"/>
      <c r="O652" s="402"/>
      <c r="P652" s="402"/>
      <c r="Q652" s="402"/>
      <c r="R652" s="402"/>
      <c r="S652" s="402"/>
      <c r="T652" s="402"/>
      <c r="U652" s="402"/>
      <c r="V652" s="402"/>
      <c r="W652" s="402"/>
      <c r="X652" s="402"/>
      <c r="Y652" s="402"/>
      <c r="Z652" s="402"/>
    </row>
    <row r="653" ht="14.25" customHeight="1">
      <c r="A653" s="451">
        <v>45526.0</v>
      </c>
      <c r="B653" s="344" t="s">
        <v>3087</v>
      </c>
      <c r="C653" s="344" t="s">
        <v>3088</v>
      </c>
      <c r="D653" s="344" t="s">
        <v>54</v>
      </c>
      <c r="E653" s="344" t="s">
        <v>3308</v>
      </c>
      <c r="F653" s="442">
        <v>13100.0</v>
      </c>
      <c r="G653" s="413">
        <v>0.0</v>
      </c>
      <c r="H653" s="742" t="s">
        <v>2200</v>
      </c>
      <c r="I653" s="405"/>
      <c r="J653" s="405"/>
      <c r="K653" s="405"/>
      <c r="L653" s="405"/>
      <c r="M653" s="405"/>
      <c r="N653" s="405"/>
      <c r="O653" s="405"/>
      <c r="P653" s="405"/>
      <c r="Q653" s="405"/>
      <c r="R653" s="405"/>
      <c r="S653" s="405"/>
      <c r="T653" s="405"/>
      <c r="U653" s="405"/>
      <c r="V653" s="405"/>
      <c r="W653" s="405"/>
      <c r="X653" s="405"/>
      <c r="Y653" s="405"/>
      <c r="Z653" s="405"/>
    </row>
    <row r="654" ht="14.25" customHeight="1">
      <c r="A654" s="451">
        <v>45526.0</v>
      </c>
      <c r="B654" s="344" t="s">
        <v>652</v>
      </c>
      <c r="C654" s="344" t="s">
        <v>3097</v>
      </c>
      <c r="D654" s="344" t="s">
        <v>2010</v>
      </c>
      <c r="E654" s="344" t="s">
        <v>3308</v>
      </c>
      <c r="F654" s="430">
        <v>52500.0</v>
      </c>
      <c r="G654" s="413">
        <v>0.0</v>
      </c>
      <c r="H654" s="742" t="s">
        <v>3439</v>
      </c>
      <c r="I654" s="405"/>
      <c r="J654" s="405"/>
      <c r="K654" s="405"/>
      <c r="L654" s="405"/>
      <c r="M654" s="405"/>
      <c r="N654" s="405"/>
      <c r="O654" s="405"/>
      <c r="P654" s="405"/>
      <c r="Q654" s="405"/>
      <c r="R654" s="405"/>
      <c r="S654" s="405"/>
      <c r="T654" s="405"/>
      <c r="U654" s="405"/>
      <c r="V654" s="405"/>
      <c r="W654" s="405"/>
      <c r="X654" s="405"/>
      <c r="Y654" s="405"/>
      <c r="Z654" s="405"/>
    </row>
    <row r="655" ht="14.25" customHeight="1">
      <c r="A655" s="451">
        <v>45526.0</v>
      </c>
      <c r="B655" s="344" t="s">
        <v>3099</v>
      </c>
      <c r="C655" s="344" t="s">
        <v>3100</v>
      </c>
      <c r="D655" s="344" t="s">
        <v>54</v>
      </c>
      <c r="E655" s="344" t="s">
        <v>3308</v>
      </c>
      <c r="F655" s="430">
        <v>117000.0</v>
      </c>
      <c r="G655" s="413">
        <v>0.0</v>
      </c>
      <c r="H655" s="742" t="s">
        <v>3440</v>
      </c>
      <c r="I655" s="405"/>
      <c r="J655" s="405"/>
      <c r="K655" s="405"/>
      <c r="L655" s="405"/>
      <c r="M655" s="405"/>
      <c r="N655" s="405"/>
      <c r="O655" s="405"/>
      <c r="P655" s="405"/>
      <c r="Q655" s="405"/>
      <c r="R655" s="405"/>
      <c r="S655" s="405"/>
      <c r="T655" s="405"/>
      <c r="U655" s="405"/>
      <c r="V655" s="405"/>
      <c r="W655" s="405"/>
      <c r="X655" s="405"/>
      <c r="Y655" s="405"/>
      <c r="Z655" s="405"/>
    </row>
    <row r="656" ht="14.25" customHeight="1">
      <c r="A656" s="451">
        <v>45526.0</v>
      </c>
      <c r="B656" s="344" t="s">
        <v>3134</v>
      </c>
      <c r="C656" s="344" t="s">
        <v>3176</v>
      </c>
      <c r="D656" s="417" t="s">
        <v>54</v>
      </c>
      <c r="E656" s="344" t="s">
        <v>3078</v>
      </c>
      <c r="F656" s="743">
        <v>83000.0</v>
      </c>
      <c r="G656" s="413">
        <v>0.0</v>
      </c>
      <c r="H656" s="742" t="s">
        <v>3441</v>
      </c>
      <c r="I656" s="405"/>
      <c r="J656" s="405"/>
      <c r="K656" s="405"/>
      <c r="L656" s="405"/>
      <c r="M656" s="405"/>
      <c r="N656" s="405"/>
      <c r="O656" s="405"/>
      <c r="P656" s="405"/>
      <c r="Q656" s="405"/>
      <c r="R656" s="405"/>
      <c r="S656" s="405"/>
      <c r="T656" s="405"/>
      <c r="U656" s="405"/>
      <c r="V656" s="405"/>
      <c r="W656" s="405"/>
      <c r="X656" s="405"/>
      <c r="Y656" s="405"/>
      <c r="Z656" s="405"/>
    </row>
    <row r="657" ht="14.25" customHeight="1">
      <c r="A657" s="451">
        <v>45526.0</v>
      </c>
      <c r="B657" s="417" t="s">
        <v>3076</v>
      </c>
      <c r="C657" s="417" t="s">
        <v>3077</v>
      </c>
      <c r="D657" s="417" t="s">
        <v>54</v>
      </c>
      <c r="E657" s="344" t="s">
        <v>3078</v>
      </c>
      <c r="F657" s="69">
        <v>2150.0</v>
      </c>
      <c r="G657" s="413">
        <v>0.0</v>
      </c>
      <c r="H657" s="419" t="s">
        <v>3362</v>
      </c>
      <c r="I657" s="405"/>
      <c r="J657" s="405"/>
      <c r="K657" s="405"/>
      <c r="L657" s="405"/>
      <c r="M657" s="405"/>
      <c r="N657" s="405"/>
      <c r="O657" s="405"/>
      <c r="P657" s="405"/>
      <c r="Q657" s="405"/>
      <c r="R657" s="405"/>
      <c r="S657" s="405"/>
      <c r="T657" s="405"/>
      <c r="U657" s="405"/>
      <c r="V657" s="405"/>
      <c r="W657" s="405"/>
      <c r="X657" s="405"/>
      <c r="Y657" s="405"/>
      <c r="Z657" s="405"/>
    </row>
    <row r="658" ht="14.25" customHeight="1">
      <c r="A658" s="451">
        <v>45526.0</v>
      </c>
      <c r="B658" s="417" t="s">
        <v>3173</v>
      </c>
      <c r="C658" s="417" t="s">
        <v>3174</v>
      </c>
      <c r="D658" s="417" t="s">
        <v>54</v>
      </c>
      <c r="E658" s="344" t="s">
        <v>3101</v>
      </c>
      <c r="F658" s="69">
        <v>28000.0</v>
      </c>
      <c r="G658" s="413">
        <v>12000.0</v>
      </c>
      <c r="H658" s="742" t="s">
        <v>3442</v>
      </c>
      <c r="I658" s="405"/>
      <c r="J658" s="405"/>
      <c r="K658" s="405"/>
      <c r="L658" s="405"/>
      <c r="M658" s="405"/>
      <c r="N658" s="405"/>
      <c r="O658" s="405"/>
      <c r="P658" s="405"/>
      <c r="Q658" s="405"/>
      <c r="R658" s="405"/>
      <c r="S658" s="405"/>
      <c r="T658" s="405"/>
      <c r="U658" s="405"/>
      <c r="V658" s="405"/>
      <c r="W658" s="405"/>
      <c r="X658" s="405"/>
      <c r="Y658" s="405"/>
      <c r="Z658" s="405"/>
    </row>
    <row r="659" ht="14.25" customHeight="1">
      <c r="A659" s="451">
        <v>45526.0</v>
      </c>
      <c r="B659" s="417" t="s">
        <v>3193</v>
      </c>
      <c r="C659" s="417" t="s">
        <v>3194</v>
      </c>
      <c r="D659" s="417" t="s">
        <v>3189</v>
      </c>
      <c r="E659" s="417" t="s">
        <v>3078</v>
      </c>
      <c r="F659" s="73">
        <v>173000.0</v>
      </c>
      <c r="G659" s="413">
        <v>0.0</v>
      </c>
      <c r="H659" s="419" t="s">
        <v>2990</v>
      </c>
      <c r="I659" s="405"/>
      <c r="J659" s="405"/>
      <c r="K659" s="405"/>
      <c r="L659" s="405"/>
      <c r="M659" s="405"/>
      <c r="N659" s="405"/>
      <c r="O659" s="405"/>
      <c r="P659" s="405"/>
      <c r="Q659" s="405"/>
      <c r="R659" s="405"/>
      <c r="S659" s="405"/>
      <c r="T659" s="405"/>
      <c r="U659" s="405"/>
      <c r="V659" s="405"/>
      <c r="W659" s="405"/>
      <c r="X659" s="405"/>
      <c r="Y659" s="405"/>
      <c r="Z659" s="405"/>
    </row>
    <row r="660" ht="14.25" customHeight="1">
      <c r="A660" s="451">
        <v>45526.0</v>
      </c>
      <c r="B660" s="417" t="s">
        <v>3278</v>
      </c>
      <c r="C660" s="417" t="s">
        <v>3232</v>
      </c>
      <c r="D660" s="417" t="s">
        <v>54</v>
      </c>
      <c r="E660" s="344" t="s">
        <v>3308</v>
      </c>
      <c r="F660" s="73">
        <v>17100.0</v>
      </c>
      <c r="G660" s="413">
        <v>0.0</v>
      </c>
      <c r="H660" s="742" t="s">
        <v>3368</v>
      </c>
      <c r="I660" s="405"/>
      <c r="J660" s="405"/>
      <c r="K660" s="405"/>
      <c r="L660" s="405"/>
      <c r="M660" s="405"/>
      <c r="N660" s="405"/>
      <c r="O660" s="405"/>
      <c r="P660" s="405"/>
      <c r="Q660" s="405"/>
      <c r="R660" s="405"/>
      <c r="S660" s="405"/>
      <c r="T660" s="405"/>
      <c r="U660" s="405"/>
      <c r="V660" s="405"/>
      <c r="W660" s="405"/>
      <c r="X660" s="405"/>
      <c r="Y660" s="405"/>
      <c r="Z660" s="405"/>
    </row>
    <row r="661" ht="14.25" customHeight="1">
      <c r="A661" s="451">
        <v>45526.0</v>
      </c>
      <c r="B661" s="417" t="s">
        <v>3083</v>
      </c>
      <c r="C661" s="417" t="s">
        <v>3084</v>
      </c>
      <c r="D661" s="417" t="s">
        <v>54</v>
      </c>
      <c r="E661" s="417" t="s">
        <v>3101</v>
      </c>
      <c r="F661" s="69">
        <v>2500.0</v>
      </c>
      <c r="G661" s="413">
        <v>0.0</v>
      </c>
      <c r="H661" s="742" t="s">
        <v>2990</v>
      </c>
      <c r="I661" s="405"/>
      <c r="J661" s="405"/>
      <c r="K661" s="405"/>
      <c r="L661" s="405"/>
      <c r="M661" s="405"/>
      <c r="N661" s="405"/>
      <c r="O661" s="405"/>
      <c r="P661" s="405"/>
      <c r="Q661" s="405"/>
      <c r="R661" s="405"/>
      <c r="S661" s="405"/>
      <c r="T661" s="405"/>
      <c r="U661" s="405"/>
      <c r="V661" s="405"/>
      <c r="W661" s="405"/>
      <c r="X661" s="405"/>
      <c r="Y661" s="405"/>
      <c r="Z661" s="405"/>
    </row>
    <row r="662" ht="14.25" customHeight="1">
      <c r="A662" s="451">
        <v>45526.0</v>
      </c>
      <c r="B662" s="444" t="s">
        <v>3235</v>
      </c>
      <c r="C662" s="417" t="s">
        <v>3236</v>
      </c>
      <c r="D662" s="417" t="s">
        <v>3189</v>
      </c>
      <c r="E662" s="417" t="s">
        <v>3101</v>
      </c>
      <c r="F662" s="430">
        <v>267500.0</v>
      </c>
      <c r="G662" s="413">
        <v>0.0</v>
      </c>
      <c r="H662" s="742" t="s">
        <v>3443</v>
      </c>
      <c r="I662" s="405"/>
      <c r="J662" s="405"/>
      <c r="K662" s="405"/>
      <c r="L662" s="405"/>
      <c r="M662" s="405"/>
      <c r="N662" s="405"/>
      <c r="O662" s="405"/>
      <c r="P662" s="405"/>
      <c r="Q662" s="405"/>
      <c r="R662" s="405"/>
      <c r="S662" s="405"/>
      <c r="T662" s="405"/>
      <c r="U662" s="405"/>
      <c r="V662" s="405"/>
      <c r="W662" s="405"/>
      <c r="X662" s="405"/>
      <c r="Y662" s="405"/>
      <c r="Z662" s="405"/>
    </row>
    <row r="663" ht="14.25" customHeight="1">
      <c r="A663" s="451">
        <v>45526.0</v>
      </c>
      <c r="B663" s="417" t="s">
        <v>3289</v>
      </c>
      <c r="C663" s="417" t="s">
        <v>3236</v>
      </c>
      <c r="D663" s="417" t="s">
        <v>54</v>
      </c>
      <c r="E663" s="417" t="s">
        <v>3115</v>
      </c>
      <c r="F663" s="69">
        <v>48500.0</v>
      </c>
      <c r="G663" s="413">
        <v>0.0</v>
      </c>
      <c r="H663" s="742" t="s">
        <v>3443</v>
      </c>
      <c r="I663" s="405"/>
      <c r="J663" s="405"/>
      <c r="K663" s="405"/>
      <c r="L663" s="405"/>
      <c r="M663" s="405"/>
      <c r="N663" s="405"/>
      <c r="O663" s="405"/>
      <c r="P663" s="405"/>
      <c r="Q663" s="405"/>
      <c r="R663" s="405"/>
      <c r="S663" s="405"/>
      <c r="T663" s="405"/>
      <c r="U663" s="405"/>
      <c r="V663" s="405"/>
      <c r="W663" s="405"/>
      <c r="X663" s="405"/>
      <c r="Y663" s="405"/>
      <c r="Z663" s="405"/>
    </row>
    <row r="664" ht="14.25" customHeight="1">
      <c r="A664" s="451">
        <v>45526.0</v>
      </c>
      <c r="B664" s="417" t="s">
        <v>3290</v>
      </c>
      <c r="C664" s="417" t="s">
        <v>3291</v>
      </c>
      <c r="D664" s="417" t="s">
        <v>54</v>
      </c>
      <c r="E664" s="417" t="s">
        <v>3101</v>
      </c>
      <c r="F664" s="69">
        <v>4000.0</v>
      </c>
      <c r="G664" s="413">
        <v>0.0</v>
      </c>
      <c r="H664" s="742" t="s">
        <v>3313</v>
      </c>
      <c r="I664" s="405"/>
      <c r="J664" s="405"/>
      <c r="K664" s="405"/>
      <c r="L664" s="405"/>
      <c r="M664" s="405"/>
      <c r="N664" s="405"/>
      <c r="O664" s="405"/>
      <c r="P664" s="405"/>
      <c r="Q664" s="405"/>
      <c r="R664" s="405"/>
      <c r="S664" s="405"/>
      <c r="T664" s="405"/>
      <c r="U664" s="405"/>
      <c r="V664" s="405"/>
      <c r="W664" s="405"/>
      <c r="X664" s="405"/>
      <c r="Y664" s="405"/>
      <c r="Z664" s="405"/>
    </row>
    <row r="665" ht="14.25" customHeight="1">
      <c r="A665" s="451">
        <v>45526.0</v>
      </c>
      <c r="B665" s="417" t="s">
        <v>3341</v>
      </c>
      <c r="C665" s="417" t="s">
        <v>3209</v>
      </c>
      <c r="D665" s="417" t="s">
        <v>467</v>
      </c>
      <c r="E665" s="344" t="s">
        <v>3101</v>
      </c>
      <c r="F665" s="69">
        <v>5640.0</v>
      </c>
      <c r="G665" s="413">
        <v>0.0</v>
      </c>
      <c r="H665" s="742" t="s">
        <v>3368</v>
      </c>
      <c r="I665" s="405"/>
      <c r="J665" s="405"/>
      <c r="K665" s="405"/>
      <c r="L665" s="405"/>
      <c r="M665" s="405"/>
      <c r="N665" s="405"/>
      <c r="O665" s="405"/>
      <c r="P665" s="405"/>
      <c r="Q665" s="405"/>
      <c r="R665" s="405"/>
      <c r="S665" s="405"/>
      <c r="T665" s="405"/>
      <c r="U665" s="405"/>
      <c r="V665" s="405"/>
      <c r="W665" s="405"/>
      <c r="X665" s="405"/>
      <c r="Y665" s="405"/>
      <c r="Z665" s="405"/>
    </row>
    <row r="666" ht="14.25" customHeight="1">
      <c r="A666" s="451">
        <v>45526.0</v>
      </c>
      <c r="B666" s="417" t="s">
        <v>3357</v>
      </c>
      <c r="C666" s="417" t="s">
        <v>3338</v>
      </c>
      <c r="D666" s="417" t="s">
        <v>54</v>
      </c>
      <c r="E666" s="417" t="s">
        <v>3101</v>
      </c>
      <c r="F666" s="69">
        <v>43500.0</v>
      </c>
      <c r="G666" s="413">
        <v>0.0</v>
      </c>
      <c r="H666" s="742" t="s">
        <v>3444</v>
      </c>
      <c r="I666" s="405"/>
      <c r="J666" s="405"/>
      <c r="K666" s="405"/>
      <c r="L666" s="405"/>
      <c r="M666" s="405"/>
      <c r="N666" s="405"/>
      <c r="O666" s="405"/>
      <c r="P666" s="405"/>
      <c r="Q666" s="405"/>
      <c r="R666" s="405"/>
      <c r="S666" s="405"/>
      <c r="T666" s="405"/>
      <c r="U666" s="405"/>
      <c r="V666" s="405"/>
      <c r="W666" s="405"/>
      <c r="X666" s="405"/>
      <c r="Y666" s="405"/>
      <c r="Z666" s="405"/>
    </row>
    <row r="667" ht="14.25" customHeight="1">
      <c r="A667" s="451">
        <v>45526.0</v>
      </c>
      <c r="B667" s="417" t="s">
        <v>3371</v>
      </c>
      <c r="C667" s="417" t="s">
        <v>3291</v>
      </c>
      <c r="D667" s="417" t="s">
        <v>3189</v>
      </c>
      <c r="E667" s="417" t="s">
        <v>3101</v>
      </c>
      <c r="F667" s="69">
        <v>85300.0</v>
      </c>
      <c r="G667" s="413">
        <v>0.0</v>
      </c>
      <c r="H667" s="742" t="s">
        <v>3445</v>
      </c>
      <c r="I667" s="405"/>
      <c r="J667" s="405"/>
      <c r="K667" s="405"/>
      <c r="L667" s="405"/>
      <c r="M667" s="405"/>
      <c r="N667" s="405"/>
      <c r="O667" s="405"/>
      <c r="P667" s="405"/>
      <c r="Q667" s="405"/>
      <c r="R667" s="405"/>
      <c r="S667" s="405"/>
      <c r="T667" s="405"/>
      <c r="U667" s="405"/>
      <c r="V667" s="405"/>
      <c r="W667" s="405"/>
      <c r="X667" s="405"/>
      <c r="Y667" s="405"/>
      <c r="Z667" s="405"/>
    </row>
    <row r="668" ht="14.25" customHeight="1">
      <c r="A668" s="451">
        <v>45526.0</v>
      </c>
      <c r="B668" s="417" t="s">
        <v>3409</v>
      </c>
      <c r="C668" s="417" t="s">
        <v>3410</v>
      </c>
      <c r="D668" s="417" t="s">
        <v>54</v>
      </c>
      <c r="E668" s="417" t="s">
        <v>3101</v>
      </c>
      <c r="F668" s="69">
        <v>91805.0</v>
      </c>
      <c r="G668" s="413">
        <v>0.0</v>
      </c>
      <c r="H668" s="742" t="s">
        <v>3446</v>
      </c>
      <c r="I668" s="405"/>
      <c r="J668" s="405"/>
      <c r="K668" s="405"/>
      <c r="L668" s="405"/>
      <c r="M668" s="405"/>
      <c r="N668" s="405"/>
      <c r="O668" s="405"/>
      <c r="P668" s="405"/>
      <c r="Q668" s="405"/>
      <c r="R668" s="405"/>
      <c r="S668" s="405"/>
      <c r="T668" s="405"/>
      <c r="U668" s="405"/>
      <c r="V668" s="405"/>
      <c r="W668" s="405"/>
      <c r="X668" s="405"/>
      <c r="Y668" s="405"/>
      <c r="Z668" s="405"/>
    </row>
    <row r="669" ht="14.25" customHeight="1">
      <c r="A669" s="451">
        <v>45526.0</v>
      </c>
      <c r="B669" s="417" t="s">
        <v>3111</v>
      </c>
      <c r="C669" s="417" t="s">
        <v>3112</v>
      </c>
      <c r="D669" s="417" t="s">
        <v>54</v>
      </c>
      <c r="E669" s="417" t="s">
        <v>3078</v>
      </c>
      <c r="F669" s="69">
        <v>12700.0</v>
      </c>
      <c r="G669" s="413">
        <v>0.0</v>
      </c>
      <c r="H669" s="742" t="s">
        <v>3447</v>
      </c>
      <c r="I669" s="405"/>
      <c r="J669" s="405"/>
      <c r="K669" s="405"/>
      <c r="L669" s="405"/>
      <c r="M669" s="405"/>
      <c r="N669" s="405"/>
      <c r="O669" s="405"/>
      <c r="P669" s="405"/>
      <c r="Q669" s="405"/>
      <c r="R669" s="405"/>
      <c r="S669" s="405"/>
      <c r="T669" s="405"/>
      <c r="U669" s="405"/>
      <c r="V669" s="405"/>
      <c r="W669" s="405"/>
      <c r="X669" s="405"/>
      <c r="Y669" s="405"/>
      <c r="Z669" s="405"/>
    </row>
    <row r="670" ht="14.25" customHeight="1">
      <c r="A670" s="451">
        <v>45526.0</v>
      </c>
      <c r="B670" s="417" t="s">
        <v>3107</v>
      </c>
      <c r="C670" s="417" t="s">
        <v>3108</v>
      </c>
      <c r="D670" s="417" t="s">
        <v>54</v>
      </c>
      <c r="E670" s="417" t="s">
        <v>3101</v>
      </c>
      <c r="F670" s="69">
        <v>55100.0</v>
      </c>
      <c r="G670" s="413">
        <v>0.0</v>
      </c>
      <c r="H670" s="742" t="s">
        <v>3448</v>
      </c>
      <c r="I670" s="405"/>
      <c r="J670" s="405"/>
      <c r="K670" s="405"/>
      <c r="L670" s="405"/>
      <c r="M670" s="405"/>
      <c r="N670" s="405"/>
      <c r="O670" s="405"/>
      <c r="P670" s="405"/>
      <c r="Q670" s="405"/>
      <c r="R670" s="405"/>
      <c r="S670" s="405"/>
      <c r="T670" s="405"/>
      <c r="U670" s="405"/>
      <c r="V670" s="405"/>
      <c r="W670" s="405"/>
      <c r="X670" s="405"/>
      <c r="Y670" s="405"/>
      <c r="Z670" s="405"/>
    </row>
    <row r="671" ht="14.25" customHeight="1">
      <c r="A671" s="451">
        <v>45526.0</v>
      </c>
      <c r="B671" s="417" t="s">
        <v>3102</v>
      </c>
      <c r="C671" s="417" t="s">
        <v>3103</v>
      </c>
      <c r="D671" s="417" t="s">
        <v>54</v>
      </c>
      <c r="E671" s="417" t="s">
        <v>3101</v>
      </c>
      <c r="F671" s="69">
        <v>14200.0</v>
      </c>
      <c r="G671" s="413">
        <v>0.0</v>
      </c>
      <c r="H671" s="742" t="s">
        <v>3449</v>
      </c>
      <c r="I671" s="405"/>
      <c r="J671" s="405"/>
      <c r="K671" s="405"/>
      <c r="L671" s="405"/>
      <c r="M671" s="405"/>
      <c r="N671" s="405"/>
      <c r="O671" s="405"/>
      <c r="P671" s="405"/>
      <c r="Q671" s="405"/>
      <c r="R671" s="405"/>
      <c r="S671" s="405"/>
      <c r="T671" s="405"/>
      <c r="U671" s="405"/>
      <c r="V671" s="405"/>
      <c r="W671" s="405"/>
      <c r="X671" s="405"/>
      <c r="Y671" s="405"/>
      <c r="Z671" s="405"/>
    </row>
    <row r="672" ht="14.25" customHeight="1">
      <c r="A672" s="451">
        <v>45526.0</v>
      </c>
      <c r="B672" s="417" t="s">
        <v>3412</v>
      </c>
      <c r="C672" s="417" t="s">
        <v>3238</v>
      </c>
      <c r="D672" s="417" t="s">
        <v>54</v>
      </c>
      <c r="E672" s="417" t="s">
        <v>3078</v>
      </c>
      <c r="F672" s="69">
        <v>19000.0</v>
      </c>
      <c r="G672" s="413">
        <v>0.0</v>
      </c>
      <c r="H672" s="742" t="s">
        <v>2990</v>
      </c>
      <c r="I672" s="405"/>
      <c r="J672" s="405"/>
      <c r="K672" s="405"/>
      <c r="L672" s="405"/>
      <c r="M672" s="405"/>
      <c r="N672" s="405"/>
      <c r="O672" s="405"/>
      <c r="P672" s="405"/>
      <c r="Q672" s="405"/>
      <c r="R672" s="405"/>
      <c r="S672" s="405"/>
      <c r="T672" s="405"/>
      <c r="U672" s="405"/>
      <c r="V672" s="405"/>
      <c r="W672" s="405"/>
      <c r="X672" s="405"/>
      <c r="Y672" s="405"/>
      <c r="Z672" s="405"/>
    </row>
    <row r="673" ht="14.25" customHeight="1">
      <c r="A673" s="451">
        <v>45526.0</v>
      </c>
      <c r="B673" s="417" t="s">
        <v>3416</v>
      </c>
      <c r="C673" s="417" t="s">
        <v>3417</v>
      </c>
      <c r="D673" s="417" t="s">
        <v>54</v>
      </c>
      <c r="E673" s="417" t="s">
        <v>3078</v>
      </c>
      <c r="F673" s="69">
        <v>136352.6</v>
      </c>
      <c r="G673" s="413">
        <v>0.0</v>
      </c>
      <c r="H673" s="742" t="s">
        <v>2990</v>
      </c>
      <c r="I673" s="405"/>
      <c r="J673" s="405"/>
      <c r="K673" s="405"/>
      <c r="L673" s="405"/>
      <c r="M673" s="405"/>
      <c r="N673" s="405"/>
      <c r="O673" s="405"/>
      <c r="P673" s="405"/>
      <c r="Q673" s="405"/>
      <c r="R673" s="405"/>
      <c r="S673" s="405"/>
      <c r="T673" s="405"/>
      <c r="U673" s="405"/>
      <c r="V673" s="405"/>
      <c r="W673" s="405"/>
      <c r="X673" s="405"/>
      <c r="Y673" s="405"/>
      <c r="Z673" s="405"/>
    </row>
    <row r="674" ht="14.25" customHeight="1">
      <c r="A674" s="451">
        <v>45526.0</v>
      </c>
      <c r="B674" s="417" t="s">
        <v>3418</v>
      </c>
      <c r="C674" s="417" t="s">
        <v>3417</v>
      </c>
      <c r="D674" s="417" t="s">
        <v>467</v>
      </c>
      <c r="E674" s="417" t="s">
        <v>3078</v>
      </c>
      <c r="F674" s="69">
        <v>15834.08</v>
      </c>
      <c r="G674" s="413">
        <v>0.0</v>
      </c>
      <c r="H674" s="742" t="s">
        <v>2990</v>
      </c>
      <c r="I674" s="405"/>
      <c r="J674" s="405"/>
      <c r="K674" s="405"/>
      <c r="L674" s="405"/>
      <c r="M674" s="405"/>
      <c r="N674" s="405"/>
      <c r="O674" s="405"/>
      <c r="P674" s="405"/>
      <c r="Q674" s="405"/>
      <c r="R674" s="405"/>
      <c r="S674" s="405"/>
      <c r="T674" s="405"/>
      <c r="U674" s="405"/>
      <c r="V674" s="405"/>
      <c r="W674" s="405"/>
      <c r="X674" s="405"/>
      <c r="Y674" s="405"/>
      <c r="Z674" s="405"/>
    </row>
    <row r="675" ht="14.25" customHeight="1">
      <c r="A675" s="451">
        <v>45526.0</v>
      </c>
      <c r="B675" s="417" t="s">
        <v>3436</v>
      </c>
      <c r="C675" s="417" t="s">
        <v>3185</v>
      </c>
      <c r="D675" s="417" t="s">
        <v>3189</v>
      </c>
      <c r="E675" s="744" t="s">
        <v>3308</v>
      </c>
      <c r="F675" s="69">
        <v>84525.0</v>
      </c>
      <c r="G675" s="413">
        <v>0.0</v>
      </c>
      <c r="H675" s="419" t="s">
        <v>3450</v>
      </c>
      <c r="I675" s="405"/>
      <c r="J675" s="405"/>
      <c r="K675" s="405"/>
      <c r="L675" s="405"/>
      <c r="M675" s="405"/>
      <c r="N675" s="405"/>
      <c r="O675" s="405"/>
      <c r="P675" s="405"/>
      <c r="Q675" s="405"/>
      <c r="R675" s="405"/>
      <c r="S675" s="405"/>
      <c r="T675" s="405"/>
      <c r="U675" s="405"/>
      <c r="V675" s="405"/>
      <c r="W675" s="405"/>
      <c r="X675" s="405"/>
      <c r="Y675" s="405"/>
      <c r="Z675" s="405"/>
    </row>
    <row r="676" ht="14.25" customHeight="1">
      <c r="A676" s="451">
        <v>45526.0</v>
      </c>
      <c r="B676" s="417" t="s">
        <v>3437</v>
      </c>
      <c r="C676" s="417" t="s">
        <v>3123</v>
      </c>
      <c r="D676" s="417" t="s">
        <v>3189</v>
      </c>
      <c r="E676" s="744" t="s">
        <v>3308</v>
      </c>
      <c r="F676" s="73">
        <v>10100.0</v>
      </c>
      <c r="G676" s="413">
        <v>10000.0</v>
      </c>
      <c r="H676" s="419" t="s">
        <v>710</v>
      </c>
      <c r="I676" s="405"/>
      <c r="J676" s="405"/>
      <c r="K676" s="405"/>
      <c r="L676" s="405"/>
      <c r="M676" s="405"/>
      <c r="N676" s="405"/>
      <c r="O676" s="405"/>
      <c r="P676" s="405"/>
      <c r="Q676" s="405"/>
      <c r="R676" s="405"/>
      <c r="S676" s="405"/>
      <c r="T676" s="405"/>
      <c r="U676" s="405"/>
      <c r="V676" s="405"/>
      <c r="W676" s="405"/>
      <c r="X676" s="405"/>
      <c r="Y676" s="405"/>
      <c r="Z676" s="405"/>
    </row>
    <row r="677" ht="14.25" customHeight="1">
      <c r="A677" s="451">
        <v>45526.0</v>
      </c>
      <c r="B677" s="745" t="s">
        <v>3118</v>
      </c>
      <c r="C677" s="745" t="s">
        <v>3119</v>
      </c>
      <c r="D677" s="417" t="s">
        <v>54</v>
      </c>
      <c r="E677" s="417" t="s">
        <v>3115</v>
      </c>
      <c r="F677" s="73">
        <v>6100.0</v>
      </c>
      <c r="G677" s="413">
        <v>20000.0</v>
      </c>
      <c r="H677" s="349" t="s">
        <v>710</v>
      </c>
      <c r="I677" s="402"/>
      <c r="J677" s="402"/>
      <c r="K677" s="402"/>
      <c r="L677" s="402"/>
      <c r="M677" s="402"/>
      <c r="N677" s="402"/>
      <c r="O677" s="402"/>
      <c r="P677" s="402"/>
      <c r="Q677" s="402"/>
      <c r="R677" s="402"/>
      <c r="S677" s="402"/>
      <c r="T677" s="402"/>
      <c r="U677" s="402"/>
      <c r="V677" s="402"/>
      <c r="W677" s="402"/>
      <c r="X677" s="402"/>
      <c r="Y677" s="402"/>
      <c r="Z677" s="402"/>
    </row>
    <row r="678" ht="14.25" customHeight="1">
      <c r="A678" s="451">
        <v>45526.0</v>
      </c>
      <c r="B678" s="745" t="s">
        <v>3120</v>
      </c>
      <c r="C678" s="745" t="s">
        <v>3121</v>
      </c>
      <c r="D678" s="417" t="s">
        <v>54</v>
      </c>
      <c r="E678" s="417" t="s">
        <v>3078</v>
      </c>
      <c r="F678" s="413">
        <v>18920.0</v>
      </c>
      <c r="G678" s="413">
        <v>0.0</v>
      </c>
      <c r="H678" s="349" t="s">
        <v>3451</v>
      </c>
      <c r="I678" s="402"/>
      <c r="J678" s="402"/>
      <c r="K678" s="402"/>
      <c r="L678" s="402"/>
      <c r="M678" s="402"/>
      <c r="N678" s="402"/>
      <c r="O678" s="402"/>
      <c r="P678" s="402"/>
      <c r="Q678" s="402"/>
      <c r="R678" s="402"/>
      <c r="S678" s="402"/>
      <c r="T678" s="402"/>
      <c r="U678" s="402"/>
      <c r="V678" s="402"/>
      <c r="W678" s="402"/>
      <c r="X678" s="402"/>
      <c r="Y678" s="402"/>
      <c r="Z678" s="402"/>
    </row>
    <row r="679" ht="14.25" customHeight="1">
      <c r="A679" s="451">
        <v>45526.0</v>
      </c>
      <c r="B679" s="623" t="s">
        <v>3080</v>
      </c>
      <c r="C679" s="623" t="s">
        <v>3081</v>
      </c>
      <c r="D679" s="417" t="s">
        <v>54</v>
      </c>
      <c r="E679" s="349" t="s">
        <v>3078</v>
      </c>
      <c r="F679" s="69">
        <v>21500.0</v>
      </c>
      <c r="G679" s="413">
        <v>0.0</v>
      </c>
      <c r="H679" s="349" t="s">
        <v>3452</v>
      </c>
      <c r="I679" s="402"/>
      <c r="J679" s="402"/>
      <c r="K679" s="402"/>
      <c r="L679" s="402"/>
      <c r="M679" s="402"/>
      <c r="N679" s="402"/>
      <c r="O679" s="402"/>
      <c r="P679" s="402"/>
      <c r="Q679" s="402"/>
      <c r="R679" s="402"/>
      <c r="S679" s="402"/>
      <c r="T679" s="402"/>
      <c r="U679" s="402"/>
      <c r="V679" s="402"/>
      <c r="W679" s="402"/>
      <c r="X679" s="402"/>
      <c r="Y679" s="402"/>
      <c r="Z679" s="402"/>
    </row>
    <row r="680" ht="14.25" customHeight="1">
      <c r="A680" s="405"/>
      <c r="B680" s="405"/>
      <c r="C680" s="405"/>
      <c r="D680" s="405"/>
      <c r="E680" s="405"/>
      <c r="F680" s="583"/>
      <c r="G680" s="583"/>
      <c r="H680" s="405"/>
      <c r="I680" s="405"/>
      <c r="J680" s="405"/>
      <c r="K680" s="405"/>
      <c r="L680" s="405"/>
      <c r="M680" s="405"/>
      <c r="N680" s="405"/>
      <c r="O680" s="405"/>
      <c r="P680" s="405"/>
      <c r="Q680" s="405"/>
      <c r="R680" s="405"/>
      <c r="S680" s="405"/>
      <c r="T680" s="405"/>
      <c r="U680" s="405"/>
      <c r="V680" s="405"/>
      <c r="W680" s="405"/>
      <c r="X680" s="405"/>
      <c r="Y680" s="405"/>
      <c r="Z680" s="405"/>
    </row>
    <row r="681" ht="14.25" customHeight="1">
      <c r="A681" s="405"/>
      <c r="B681" s="405"/>
      <c r="C681" s="405"/>
      <c r="D681" s="405"/>
      <c r="E681" s="405"/>
      <c r="F681" s="583"/>
      <c r="G681" s="583"/>
      <c r="H681" s="405"/>
      <c r="I681" s="405"/>
      <c r="J681" s="405"/>
      <c r="K681" s="405"/>
      <c r="L681" s="405"/>
      <c r="M681" s="405"/>
      <c r="N681" s="405"/>
      <c r="O681" s="405"/>
      <c r="P681" s="405"/>
      <c r="Q681" s="405"/>
      <c r="R681" s="405"/>
      <c r="S681" s="405"/>
      <c r="T681" s="405"/>
      <c r="U681" s="405"/>
      <c r="V681" s="405"/>
      <c r="W681" s="405"/>
      <c r="X681" s="405"/>
      <c r="Y681" s="405"/>
      <c r="Z681" s="405"/>
    </row>
    <row r="682" ht="14.25" customHeight="1">
      <c r="A682" s="740" t="s">
        <v>39</v>
      </c>
      <c r="B682" s="740" t="s">
        <v>3075</v>
      </c>
      <c r="C682" s="740" t="s">
        <v>49</v>
      </c>
      <c r="D682" s="740" t="s">
        <v>50</v>
      </c>
      <c r="E682" s="741" t="s">
        <v>2</v>
      </c>
      <c r="F682" s="741" t="s">
        <v>2</v>
      </c>
      <c r="G682" s="741" t="s">
        <v>4</v>
      </c>
      <c r="H682" s="740" t="s">
        <v>45</v>
      </c>
      <c r="I682" s="405"/>
      <c r="J682" s="405"/>
      <c r="K682" s="405"/>
      <c r="L682" s="405"/>
      <c r="M682" s="405"/>
      <c r="N682" s="405"/>
      <c r="O682" s="405"/>
      <c r="P682" s="405"/>
      <c r="Q682" s="405"/>
      <c r="R682" s="405"/>
      <c r="S682" s="405"/>
      <c r="T682" s="405"/>
      <c r="U682" s="405"/>
      <c r="V682" s="405"/>
      <c r="W682" s="405"/>
      <c r="X682" s="405"/>
      <c r="Y682" s="405"/>
      <c r="Z682" s="405"/>
    </row>
    <row r="683" ht="14.25" customHeight="1">
      <c r="A683" s="451">
        <v>45527.0</v>
      </c>
      <c r="B683" s="344" t="s">
        <v>3087</v>
      </c>
      <c r="C683" s="344" t="s">
        <v>3088</v>
      </c>
      <c r="D683" s="344" t="s">
        <v>54</v>
      </c>
      <c r="E683" s="344" t="s">
        <v>3308</v>
      </c>
      <c r="F683" s="442">
        <v>13100.0</v>
      </c>
      <c r="G683" s="413">
        <v>0.0</v>
      </c>
      <c r="H683" s="732" t="s">
        <v>3079</v>
      </c>
      <c r="I683" s="405"/>
      <c r="J683" s="405"/>
      <c r="K683" s="405"/>
      <c r="L683" s="405"/>
      <c r="M683" s="405"/>
      <c r="N683" s="405"/>
      <c r="O683" s="405"/>
      <c r="P683" s="405"/>
      <c r="Q683" s="405"/>
      <c r="R683" s="405"/>
      <c r="S683" s="405"/>
      <c r="T683" s="405"/>
      <c r="U683" s="405"/>
      <c r="V683" s="405"/>
      <c r="W683" s="405"/>
      <c r="X683" s="405"/>
      <c r="Y683" s="405"/>
      <c r="Z683" s="405"/>
    </row>
    <row r="684" ht="14.25" customHeight="1">
      <c r="A684" s="451">
        <v>45527.0</v>
      </c>
      <c r="B684" s="344" t="s">
        <v>652</v>
      </c>
      <c r="C684" s="344" t="s">
        <v>3097</v>
      </c>
      <c r="D684" s="344" t="s">
        <v>2010</v>
      </c>
      <c r="E684" s="344" t="s">
        <v>3308</v>
      </c>
      <c r="F684" s="430">
        <v>52500.0</v>
      </c>
      <c r="G684" s="413">
        <v>0.0</v>
      </c>
      <c r="H684" s="732" t="s">
        <v>3453</v>
      </c>
      <c r="I684" s="405"/>
      <c r="J684" s="405"/>
      <c r="K684" s="405"/>
      <c r="L684" s="405"/>
      <c r="M684" s="405"/>
      <c r="N684" s="405"/>
      <c r="O684" s="405"/>
      <c r="P684" s="405"/>
      <c r="Q684" s="405"/>
      <c r="R684" s="405"/>
      <c r="S684" s="405"/>
      <c r="T684" s="405"/>
      <c r="U684" s="405"/>
      <c r="V684" s="405"/>
      <c r="W684" s="405"/>
      <c r="X684" s="405"/>
      <c r="Y684" s="405"/>
      <c r="Z684" s="405"/>
    </row>
    <row r="685" ht="14.25" customHeight="1">
      <c r="A685" s="451">
        <v>45527.0</v>
      </c>
      <c r="B685" s="344" t="s">
        <v>3099</v>
      </c>
      <c r="C685" s="344" t="s">
        <v>3100</v>
      </c>
      <c r="D685" s="344" t="s">
        <v>54</v>
      </c>
      <c r="E685" s="344" t="s">
        <v>3308</v>
      </c>
      <c r="F685" s="430">
        <v>117000.0</v>
      </c>
      <c r="G685" s="413">
        <v>0.0</v>
      </c>
      <c r="H685" s="732" t="s">
        <v>3400</v>
      </c>
      <c r="I685" s="405"/>
      <c r="J685" s="405"/>
      <c r="K685" s="405"/>
      <c r="L685" s="405"/>
      <c r="M685" s="405"/>
      <c r="N685" s="405"/>
      <c r="O685" s="405"/>
      <c r="P685" s="405"/>
      <c r="Q685" s="405"/>
      <c r="R685" s="405"/>
      <c r="S685" s="405"/>
      <c r="T685" s="405"/>
      <c r="U685" s="405"/>
      <c r="V685" s="405"/>
      <c r="W685" s="405"/>
      <c r="X685" s="405"/>
      <c r="Y685" s="405"/>
      <c r="Z685" s="405"/>
    </row>
    <row r="686" ht="14.25" customHeight="1">
      <c r="A686" s="451">
        <v>45527.0</v>
      </c>
      <c r="B686" s="344" t="s">
        <v>3134</v>
      </c>
      <c r="C686" s="344" t="s">
        <v>3176</v>
      </c>
      <c r="D686" s="417" t="s">
        <v>54</v>
      </c>
      <c r="E686" s="344" t="s">
        <v>3078</v>
      </c>
      <c r="F686" s="743">
        <v>83000.0</v>
      </c>
      <c r="G686" s="413">
        <v>0.0</v>
      </c>
      <c r="H686" s="732" t="s">
        <v>3401</v>
      </c>
      <c r="I686" s="405"/>
      <c r="J686" s="405"/>
      <c r="K686" s="405"/>
      <c r="L686" s="405"/>
      <c r="M686" s="405"/>
      <c r="N686" s="405"/>
      <c r="O686" s="405"/>
      <c r="P686" s="405"/>
      <c r="Q686" s="405"/>
      <c r="R686" s="405"/>
      <c r="S686" s="405"/>
      <c r="T686" s="405"/>
      <c r="U686" s="405"/>
      <c r="V686" s="405"/>
      <c r="W686" s="405"/>
      <c r="X686" s="405"/>
      <c r="Y686" s="405"/>
      <c r="Z686" s="405"/>
    </row>
    <row r="687" ht="14.25" customHeight="1">
      <c r="A687" s="451">
        <v>45527.0</v>
      </c>
      <c r="B687" s="417" t="s">
        <v>3076</v>
      </c>
      <c r="C687" s="417" t="s">
        <v>3077</v>
      </c>
      <c r="D687" s="417" t="s">
        <v>54</v>
      </c>
      <c r="E687" s="344" t="s">
        <v>3078</v>
      </c>
      <c r="F687" s="69">
        <v>2150.0</v>
      </c>
      <c r="G687" s="413">
        <v>0.0</v>
      </c>
      <c r="H687" s="732" t="s">
        <v>3079</v>
      </c>
      <c r="I687" s="405"/>
      <c r="J687" s="405"/>
      <c r="K687" s="405"/>
      <c r="L687" s="405"/>
      <c r="M687" s="405"/>
      <c r="N687" s="405"/>
      <c r="O687" s="405"/>
      <c r="P687" s="405"/>
      <c r="Q687" s="405"/>
      <c r="R687" s="405"/>
      <c r="S687" s="405"/>
      <c r="T687" s="405"/>
      <c r="U687" s="405"/>
      <c r="V687" s="405"/>
      <c r="W687" s="405"/>
      <c r="X687" s="405"/>
      <c r="Y687" s="405"/>
      <c r="Z687" s="405"/>
    </row>
    <row r="688" ht="14.25" customHeight="1">
      <c r="A688" s="451">
        <v>45527.0</v>
      </c>
      <c r="B688" s="417" t="s">
        <v>3173</v>
      </c>
      <c r="C688" s="417" t="s">
        <v>3174</v>
      </c>
      <c r="D688" s="417" t="s">
        <v>54</v>
      </c>
      <c r="E688" s="344" t="s">
        <v>3101</v>
      </c>
      <c r="F688" s="73">
        <v>16000.0</v>
      </c>
      <c r="G688" s="413">
        <v>0.0</v>
      </c>
      <c r="H688" s="732" t="s">
        <v>3454</v>
      </c>
      <c r="I688" s="405"/>
      <c r="J688" s="405"/>
      <c r="K688" s="405"/>
      <c r="L688" s="405"/>
      <c r="M688" s="405"/>
      <c r="N688" s="405"/>
      <c r="O688" s="405"/>
      <c r="P688" s="405"/>
      <c r="Q688" s="405"/>
      <c r="R688" s="405"/>
      <c r="S688" s="405"/>
      <c r="T688" s="405"/>
      <c r="U688" s="405"/>
      <c r="V688" s="405"/>
      <c r="W688" s="405"/>
      <c r="X688" s="405"/>
      <c r="Y688" s="405"/>
      <c r="Z688" s="405"/>
    </row>
    <row r="689" ht="14.25" customHeight="1">
      <c r="A689" s="451">
        <v>45527.0</v>
      </c>
      <c r="B689" s="417" t="s">
        <v>3193</v>
      </c>
      <c r="C689" s="417" t="s">
        <v>3194</v>
      </c>
      <c r="D689" s="417" t="s">
        <v>3189</v>
      </c>
      <c r="E689" s="417" t="s">
        <v>3078</v>
      </c>
      <c r="F689" s="73">
        <v>173000.0</v>
      </c>
      <c r="G689" s="413">
        <v>0.0</v>
      </c>
      <c r="H689" s="419" t="s">
        <v>3402</v>
      </c>
      <c r="I689" s="405"/>
      <c r="J689" s="405"/>
      <c r="K689" s="405"/>
      <c r="L689" s="405"/>
      <c r="M689" s="405"/>
      <c r="N689" s="405"/>
      <c r="O689" s="405"/>
      <c r="P689" s="405"/>
      <c r="Q689" s="405"/>
      <c r="R689" s="405"/>
      <c r="S689" s="405"/>
      <c r="T689" s="405"/>
      <c r="U689" s="405"/>
      <c r="V689" s="405"/>
      <c r="W689" s="405"/>
      <c r="X689" s="405"/>
      <c r="Y689" s="405"/>
      <c r="Z689" s="405"/>
    </row>
    <row r="690" ht="14.25" customHeight="1">
      <c r="A690" s="451">
        <v>45527.0</v>
      </c>
      <c r="B690" s="417" t="s">
        <v>3278</v>
      </c>
      <c r="C690" s="417" t="s">
        <v>3232</v>
      </c>
      <c r="D690" s="417" t="s">
        <v>54</v>
      </c>
      <c r="E690" s="344" t="s">
        <v>3308</v>
      </c>
      <c r="F690" s="73">
        <v>17100.0</v>
      </c>
      <c r="G690" s="413">
        <v>0.0</v>
      </c>
      <c r="H690" s="732" t="s">
        <v>3366</v>
      </c>
      <c r="I690" s="405"/>
      <c r="J690" s="405"/>
      <c r="K690" s="405"/>
      <c r="L690" s="405"/>
      <c r="M690" s="405"/>
      <c r="N690" s="405"/>
      <c r="O690" s="405"/>
      <c r="P690" s="405"/>
      <c r="Q690" s="405"/>
      <c r="R690" s="405"/>
      <c r="S690" s="405"/>
      <c r="T690" s="405"/>
      <c r="U690" s="405"/>
      <c r="V690" s="405"/>
      <c r="W690" s="405"/>
      <c r="X690" s="405"/>
      <c r="Y690" s="405"/>
      <c r="Z690" s="405"/>
    </row>
    <row r="691" ht="14.25" customHeight="1">
      <c r="A691" s="451">
        <v>45527.0</v>
      </c>
      <c r="B691" s="417" t="s">
        <v>3083</v>
      </c>
      <c r="C691" s="417" t="s">
        <v>3084</v>
      </c>
      <c r="D691" s="417" t="s">
        <v>54</v>
      </c>
      <c r="E691" s="417" t="s">
        <v>3101</v>
      </c>
      <c r="F691" s="69">
        <v>2500.0</v>
      </c>
      <c r="G691" s="413">
        <v>0.0</v>
      </c>
      <c r="H691" s="732" t="s">
        <v>3086</v>
      </c>
      <c r="I691" s="405"/>
      <c r="J691" s="405"/>
      <c r="K691" s="405"/>
      <c r="L691" s="405"/>
      <c r="M691" s="405"/>
      <c r="N691" s="405"/>
      <c r="O691" s="405"/>
      <c r="P691" s="405"/>
      <c r="Q691" s="405"/>
      <c r="R691" s="405"/>
      <c r="S691" s="405"/>
      <c r="T691" s="405"/>
      <c r="U691" s="405"/>
      <c r="V691" s="405"/>
      <c r="W691" s="405"/>
      <c r="X691" s="405"/>
      <c r="Y691" s="405"/>
      <c r="Z691" s="405"/>
    </row>
    <row r="692" ht="14.25" customHeight="1">
      <c r="A692" s="451">
        <v>45527.0</v>
      </c>
      <c r="B692" s="444" t="s">
        <v>3235</v>
      </c>
      <c r="C692" s="417" t="s">
        <v>3236</v>
      </c>
      <c r="D692" s="417" t="s">
        <v>3189</v>
      </c>
      <c r="E692" s="417" t="s">
        <v>3101</v>
      </c>
      <c r="F692" s="430">
        <v>267500.0</v>
      </c>
      <c r="G692" s="413">
        <v>0.0</v>
      </c>
      <c r="H692" s="732" t="s">
        <v>3404</v>
      </c>
      <c r="I692" s="405"/>
      <c r="J692" s="405"/>
      <c r="K692" s="405"/>
      <c r="L692" s="405"/>
      <c r="M692" s="405"/>
      <c r="N692" s="405"/>
      <c r="O692" s="405"/>
      <c r="P692" s="405"/>
      <c r="Q692" s="405"/>
      <c r="R692" s="405"/>
      <c r="S692" s="405"/>
      <c r="T692" s="405"/>
      <c r="U692" s="405"/>
      <c r="V692" s="405"/>
      <c r="W692" s="405"/>
      <c r="X692" s="405"/>
      <c r="Y692" s="405"/>
      <c r="Z692" s="405"/>
    </row>
    <row r="693" ht="14.25" customHeight="1">
      <c r="A693" s="451">
        <v>45527.0</v>
      </c>
      <c r="B693" s="417" t="s">
        <v>3289</v>
      </c>
      <c r="C693" s="417" t="s">
        <v>3236</v>
      </c>
      <c r="D693" s="417" t="s">
        <v>54</v>
      </c>
      <c r="E693" s="417" t="s">
        <v>3115</v>
      </c>
      <c r="F693" s="69">
        <v>48500.0</v>
      </c>
      <c r="G693" s="413">
        <v>0.0</v>
      </c>
      <c r="H693" s="732" t="s">
        <v>3404</v>
      </c>
      <c r="I693" s="405"/>
      <c r="J693" s="405"/>
      <c r="K693" s="405"/>
      <c r="L693" s="405"/>
      <c r="M693" s="405"/>
      <c r="N693" s="405"/>
      <c r="O693" s="405"/>
      <c r="P693" s="405"/>
      <c r="Q693" s="405"/>
      <c r="R693" s="405"/>
      <c r="S693" s="405"/>
      <c r="T693" s="405"/>
      <c r="U693" s="405"/>
      <c r="V693" s="405"/>
      <c r="W693" s="405"/>
      <c r="X693" s="405"/>
      <c r="Y693" s="405"/>
      <c r="Z693" s="405"/>
    </row>
    <row r="694" ht="14.25" customHeight="1">
      <c r="A694" s="451">
        <v>45527.0</v>
      </c>
      <c r="B694" s="417" t="s">
        <v>3290</v>
      </c>
      <c r="C694" s="417" t="s">
        <v>3291</v>
      </c>
      <c r="D694" s="417" t="s">
        <v>54</v>
      </c>
      <c r="E694" s="417" t="s">
        <v>3101</v>
      </c>
      <c r="F694" s="69">
        <v>4000.0</v>
      </c>
      <c r="G694" s="413">
        <v>0.0</v>
      </c>
      <c r="H694" s="732" t="s">
        <v>3455</v>
      </c>
      <c r="I694" s="405"/>
      <c r="J694" s="405"/>
      <c r="K694" s="405"/>
      <c r="L694" s="405"/>
      <c r="M694" s="405"/>
      <c r="N694" s="405"/>
      <c r="O694" s="405"/>
      <c r="P694" s="405"/>
      <c r="Q694" s="405"/>
      <c r="R694" s="405"/>
      <c r="S694" s="405"/>
      <c r="T694" s="405"/>
      <c r="U694" s="405"/>
      <c r="V694" s="405"/>
      <c r="W694" s="405"/>
      <c r="X694" s="405"/>
      <c r="Y694" s="405"/>
      <c r="Z694" s="405"/>
    </row>
    <row r="695" ht="14.25" customHeight="1">
      <c r="A695" s="451">
        <v>45527.0</v>
      </c>
      <c r="B695" s="417" t="s">
        <v>3341</v>
      </c>
      <c r="C695" s="417" t="s">
        <v>3209</v>
      </c>
      <c r="D695" s="417" t="s">
        <v>467</v>
      </c>
      <c r="E695" s="344" t="s">
        <v>3101</v>
      </c>
      <c r="F695" s="69">
        <v>5640.0</v>
      </c>
      <c r="G695" s="413">
        <v>0.0</v>
      </c>
      <c r="H695" s="732" t="s">
        <v>3423</v>
      </c>
      <c r="I695" s="405"/>
      <c r="J695" s="405"/>
      <c r="K695" s="405"/>
      <c r="L695" s="405"/>
      <c r="M695" s="405"/>
      <c r="N695" s="405"/>
      <c r="O695" s="405"/>
      <c r="P695" s="405"/>
      <c r="Q695" s="405"/>
      <c r="R695" s="405"/>
      <c r="S695" s="405"/>
      <c r="T695" s="405"/>
      <c r="U695" s="405"/>
      <c r="V695" s="405"/>
      <c r="W695" s="405"/>
      <c r="X695" s="405"/>
      <c r="Y695" s="405"/>
      <c r="Z695" s="405"/>
    </row>
    <row r="696" ht="14.25" customHeight="1">
      <c r="A696" s="451">
        <v>45527.0</v>
      </c>
      <c r="B696" s="417" t="s">
        <v>3357</v>
      </c>
      <c r="C696" s="417" t="s">
        <v>3338</v>
      </c>
      <c r="D696" s="417" t="s">
        <v>54</v>
      </c>
      <c r="E696" s="417" t="s">
        <v>3101</v>
      </c>
      <c r="F696" s="69">
        <v>43500.0</v>
      </c>
      <c r="G696" s="413">
        <v>0.0</v>
      </c>
      <c r="H696" s="732" t="s">
        <v>3424</v>
      </c>
      <c r="I696" s="405"/>
      <c r="J696" s="405"/>
      <c r="K696" s="405"/>
      <c r="L696" s="405"/>
      <c r="M696" s="405"/>
      <c r="N696" s="405"/>
      <c r="O696" s="405"/>
      <c r="P696" s="405"/>
      <c r="Q696" s="405"/>
      <c r="R696" s="405"/>
      <c r="S696" s="405"/>
      <c r="T696" s="405"/>
      <c r="U696" s="405"/>
      <c r="V696" s="405"/>
      <c r="W696" s="405"/>
      <c r="X696" s="405"/>
      <c r="Y696" s="405"/>
      <c r="Z696" s="405"/>
    </row>
    <row r="697" ht="14.25" customHeight="1">
      <c r="A697" s="451">
        <v>45527.0</v>
      </c>
      <c r="B697" s="417" t="s">
        <v>3371</v>
      </c>
      <c r="C697" s="417" t="s">
        <v>3291</v>
      </c>
      <c r="D697" s="417" t="s">
        <v>3189</v>
      </c>
      <c r="E697" s="417" t="s">
        <v>3101</v>
      </c>
      <c r="F697" s="69">
        <v>85300.0</v>
      </c>
      <c r="G697" s="413">
        <v>0.0</v>
      </c>
      <c r="H697" s="732" t="s">
        <v>3456</v>
      </c>
      <c r="I697" s="405"/>
      <c r="J697" s="405"/>
      <c r="K697" s="405"/>
      <c r="L697" s="405"/>
      <c r="M697" s="405"/>
      <c r="N697" s="405"/>
      <c r="O697" s="405"/>
      <c r="P697" s="405"/>
      <c r="Q697" s="405"/>
      <c r="R697" s="405"/>
      <c r="S697" s="405"/>
      <c r="T697" s="405"/>
      <c r="U697" s="405"/>
      <c r="V697" s="405"/>
      <c r="W697" s="405"/>
      <c r="X697" s="405"/>
      <c r="Y697" s="405"/>
      <c r="Z697" s="405"/>
    </row>
    <row r="698" ht="14.25" customHeight="1">
      <c r="A698" s="451">
        <v>45527.0</v>
      </c>
      <c r="B698" s="417" t="s">
        <v>3409</v>
      </c>
      <c r="C698" s="417" t="s">
        <v>3410</v>
      </c>
      <c r="D698" s="417" t="s">
        <v>54</v>
      </c>
      <c r="E698" s="417" t="s">
        <v>3101</v>
      </c>
      <c r="F698" s="69">
        <v>91805.0</v>
      </c>
      <c r="G698" s="413">
        <v>0.0</v>
      </c>
      <c r="H698" s="732" t="s">
        <v>3457</v>
      </c>
      <c r="I698" s="405"/>
      <c r="J698" s="405"/>
      <c r="K698" s="405"/>
      <c r="L698" s="405"/>
      <c r="M698" s="405"/>
      <c r="N698" s="405"/>
      <c r="O698" s="405"/>
      <c r="P698" s="405"/>
      <c r="Q698" s="405"/>
      <c r="R698" s="405"/>
      <c r="S698" s="405"/>
      <c r="T698" s="405"/>
      <c r="U698" s="405"/>
      <c r="V698" s="405"/>
      <c r="W698" s="405"/>
      <c r="X698" s="405"/>
      <c r="Y698" s="405"/>
      <c r="Z698" s="405"/>
    </row>
    <row r="699" ht="14.25" customHeight="1">
      <c r="A699" s="451">
        <v>45527.0</v>
      </c>
      <c r="B699" s="417" t="s">
        <v>3111</v>
      </c>
      <c r="C699" s="417" t="s">
        <v>3112</v>
      </c>
      <c r="D699" s="417" t="s">
        <v>54</v>
      </c>
      <c r="E699" s="417" t="s">
        <v>3078</v>
      </c>
      <c r="F699" s="69">
        <v>12700.0</v>
      </c>
      <c r="G699" s="413">
        <v>0.0</v>
      </c>
      <c r="H699" s="732" t="s">
        <v>3455</v>
      </c>
      <c r="I699" s="405"/>
      <c r="J699" s="405"/>
      <c r="K699" s="405"/>
      <c r="L699" s="405"/>
      <c r="M699" s="405"/>
      <c r="N699" s="405"/>
      <c r="O699" s="405"/>
      <c r="P699" s="405"/>
      <c r="Q699" s="405"/>
      <c r="R699" s="405"/>
      <c r="S699" s="405"/>
      <c r="T699" s="405"/>
      <c r="U699" s="405"/>
      <c r="V699" s="405"/>
      <c r="W699" s="405"/>
      <c r="X699" s="405"/>
      <c r="Y699" s="405"/>
      <c r="Z699" s="405"/>
    </row>
    <row r="700" ht="14.25" customHeight="1">
      <c r="A700" s="451">
        <v>45527.0</v>
      </c>
      <c r="B700" s="417" t="s">
        <v>3107</v>
      </c>
      <c r="C700" s="417" t="s">
        <v>3108</v>
      </c>
      <c r="D700" s="417" t="s">
        <v>54</v>
      </c>
      <c r="E700" s="417" t="s">
        <v>3101</v>
      </c>
      <c r="F700" s="69">
        <v>55100.0</v>
      </c>
      <c r="G700" s="413">
        <v>0.0</v>
      </c>
      <c r="H700" s="732" t="s">
        <v>3458</v>
      </c>
      <c r="I700" s="405"/>
      <c r="J700" s="405"/>
      <c r="K700" s="405"/>
      <c r="L700" s="405"/>
      <c r="M700" s="405"/>
      <c r="N700" s="405"/>
      <c r="O700" s="405"/>
      <c r="P700" s="405"/>
      <c r="Q700" s="405"/>
      <c r="R700" s="405"/>
      <c r="S700" s="405"/>
      <c r="T700" s="405"/>
      <c r="U700" s="405"/>
      <c r="V700" s="405"/>
      <c r="W700" s="405"/>
      <c r="X700" s="405"/>
      <c r="Y700" s="405"/>
      <c r="Z700" s="405"/>
    </row>
    <row r="701" ht="14.25" customHeight="1">
      <c r="A701" s="451">
        <v>45527.0</v>
      </c>
      <c r="B701" s="417" t="s">
        <v>3102</v>
      </c>
      <c r="C701" s="417" t="s">
        <v>3103</v>
      </c>
      <c r="D701" s="417" t="s">
        <v>54</v>
      </c>
      <c r="E701" s="417" t="s">
        <v>3101</v>
      </c>
      <c r="F701" s="69">
        <v>14200.0</v>
      </c>
      <c r="G701" s="413">
        <v>16000.0</v>
      </c>
      <c r="H701" s="742" t="s">
        <v>710</v>
      </c>
      <c r="I701" s="405"/>
      <c r="J701" s="405"/>
      <c r="K701" s="405"/>
      <c r="L701" s="405"/>
      <c r="M701" s="405"/>
      <c r="N701" s="405"/>
      <c r="O701" s="405"/>
      <c r="P701" s="405"/>
      <c r="Q701" s="405"/>
      <c r="R701" s="405"/>
      <c r="S701" s="405"/>
      <c r="T701" s="405"/>
      <c r="U701" s="405"/>
      <c r="V701" s="405"/>
      <c r="W701" s="405"/>
      <c r="X701" s="405"/>
      <c r="Y701" s="405"/>
      <c r="Z701" s="405"/>
    </row>
    <row r="702" ht="14.25" customHeight="1">
      <c r="A702" s="451">
        <v>45527.0</v>
      </c>
      <c r="B702" s="417" t="s">
        <v>3412</v>
      </c>
      <c r="C702" s="417" t="s">
        <v>3238</v>
      </c>
      <c r="D702" s="417" t="s">
        <v>54</v>
      </c>
      <c r="E702" s="417" t="s">
        <v>3078</v>
      </c>
      <c r="F702" s="69">
        <v>19000.0</v>
      </c>
      <c r="G702" s="413">
        <v>0.0</v>
      </c>
      <c r="H702" s="732" t="s">
        <v>3459</v>
      </c>
      <c r="I702" s="402"/>
      <c r="J702" s="402"/>
      <c r="K702" s="402"/>
      <c r="L702" s="402"/>
      <c r="M702" s="402"/>
      <c r="N702" s="402"/>
      <c r="O702" s="402"/>
      <c r="P702" s="402"/>
      <c r="Q702" s="402"/>
      <c r="R702" s="402"/>
      <c r="S702" s="402"/>
      <c r="T702" s="402"/>
      <c r="U702" s="402"/>
      <c r="V702" s="402"/>
      <c r="W702" s="402"/>
      <c r="X702" s="402"/>
      <c r="Y702" s="402"/>
      <c r="Z702" s="402"/>
    </row>
    <row r="703" ht="14.25" customHeight="1">
      <c r="A703" s="451">
        <v>45527.0</v>
      </c>
      <c r="B703" s="417" t="s">
        <v>3416</v>
      </c>
      <c r="C703" s="417" t="s">
        <v>3417</v>
      </c>
      <c r="D703" s="417" t="s">
        <v>54</v>
      </c>
      <c r="E703" s="417" t="s">
        <v>3078</v>
      </c>
      <c r="F703" s="69">
        <v>136352.6</v>
      </c>
      <c r="G703" s="413">
        <v>0.0</v>
      </c>
      <c r="H703" s="732" t="s">
        <v>3459</v>
      </c>
      <c r="I703" s="402"/>
      <c r="J703" s="402"/>
      <c r="K703" s="402"/>
      <c r="L703" s="402"/>
      <c r="M703" s="402"/>
      <c r="N703" s="402"/>
      <c r="O703" s="402"/>
      <c r="P703" s="402"/>
      <c r="Q703" s="402"/>
      <c r="R703" s="402"/>
      <c r="S703" s="402"/>
      <c r="T703" s="402"/>
      <c r="U703" s="402"/>
      <c r="V703" s="402"/>
      <c r="W703" s="402"/>
      <c r="X703" s="402"/>
      <c r="Y703" s="402"/>
      <c r="Z703" s="402"/>
    </row>
    <row r="704" ht="14.25" customHeight="1">
      <c r="A704" s="451">
        <v>45527.0</v>
      </c>
      <c r="B704" s="417" t="s">
        <v>3418</v>
      </c>
      <c r="C704" s="417" t="s">
        <v>3417</v>
      </c>
      <c r="D704" s="417" t="s">
        <v>467</v>
      </c>
      <c r="E704" s="417" t="s">
        <v>3078</v>
      </c>
      <c r="F704" s="69">
        <v>15834.08</v>
      </c>
      <c r="G704" s="413">
        <v>0.0</v>
      </c>
      <c r="H704" s="732" t="s">
        <v>3459</v>
      </c>
      <c r="I704" s="402"/>
      <c r="J704" s="402"/>
      <c r="K704" s="402"/>
      <c r="L704" s="402"/>
      <c r="M704" s="402"/>
      <c r="N704" s="402"/>
      <c r="O704" s="402"/>
      <c r="P704" s="402"/>
      <c r="Q704" s="402"/>
      <c r="R704" s="402"/>
      <c r="S704" s="402"/>
      <c r="T704" s="402"/>
      <c r="U704" s="402"/>
      <c r="V704" s="402"/>
      <c r="W704" s="402"/>
      <c r="X704" s="402"/>
      <c r="Y704" s="402"/>
      <c r="Z704" s="402"/>
    </row>
    <row r="705" ht="14.25" customHeight="1">
      <c r="A705" s="451">
        <v>45527.0</v>
      </c>
      <c r="B705" s="417" t="s">
        <v>3436</v>
      </c>
      <c r="C705" s="417" t="s">
        <v>3185</v>
      </c>
      <c r="D705" s="417" t="s">
        <v>3189</v>
      </c>
      <c r="E705" s="744" t="s">
        <v>3308</v>
      </c>
      <c r="F705" s="73">
        <v>0.0</v>
      </c>
      <c r="G705" s="413">
        <v>0.0</v>
      </c>
      <c r="H705" s="419" t="s">
        <v>3460</v>
      </c>
      <c r="I705" s="402"/>
      <c r="J705" s="402"/>
      <c r="K705" s="402"/>
      <c r="L705" s="402"/>
      <c r="M705" s="402"/>
      <c r="N705" s="402"/>
      <c r="O705" s="402"/>
      <c r="P705" s="402"/>
      <c r="Q705" s="402"/>
      <c r="R705" s="402"/>
      <c r="S705" s="402"/>
      <c r="T705" s="402"/>
      <c r="U705" s="402"/>
      <c r="V705" s="402"/>
      <c r="W705" s="402"/>
      <c r="X705" s="402"/>
      <c r="Y705" s="402"/>
      <c r="Z705" s="402"/>
    </row>
    <row r="706" ht="14.25" customHeight="1">
      <c r="A706" s="451">
        <v>45527.0</v>
      </c>
      <c r="B706" s="417" t="s">
        <v>3437</v>
      </c>
      <c r="C706" s="417" t="s">
        <v>3123</v>
      </c>
      <c r="D706" s="417" t="s">
        <v>3189</v>
      </c>
      <c r="E706" s="744" t="s">
        <v>3308</v>
      </c>
      <c r="F706" s="73">
        <v>100.0</v>
      </c>
      <c r="G706" s="413">
        <v>0.0</v>
      </c>
      <c r="H706" s="732" t="s">
        <v>3461</v>
      </c>
      <c r="I706" s="402"/>
      <c r="J706" s="402"/>
      <c r="K706" s="402"/>
      <c r="L706" s="402"/>
      <c r="M706" s="402"/>
      <c r="N706" s="402"/>
      <c r="O706" s="402"/>
      <c r="P706" s="402"/>
      <c r="Q706" s="402"/>
      <c r="R706" s="402"/>
      <c r="S706" s="402"/>
      <c r="T706" s="402"/>
      <c r="U706" s="402"/>
      <c r="V706" s="402"/>
      <c r="W706" s="402"/>
      <c r="X706" s="402"/>
      <c r="Y706" s="402"/>
      <c r="Z706" s="402"/>
    </row>
    <row r="707" ht="14.25" customHeight="1">
      <c r="A707" s="451">
        <v>45527.0</v>
      </c>
      <c r="B707" s="623" t="s">
        <v>3128</v>
      </c>
      <c r="C707" s="623" t="s">
        <v>3129</v>
      </c>
      <c r="D707" s="417" t="s">
        <v>54</v>
      </c>
      <c r="E707" s="744" t="s">
        <v>3308</v>
      </c>
      <c r="F707" s="73">
        <v>44000.0</v>
      </c>
      <c r="G707" s="413">
        <v>0.0</v>
      </c>
      <c r="H707" s="732" t="s">
        <v>3455</v>
      </c>
      <c r="I707" s="402"/>
      <c r="J707" s="402"/>
      <c r="K707" s="402"/>
      <c r="L707" s="402"/>
      <c r="M707" s="402"/>
      <c r="N707" s="402"/>
      <c r="O707" s="402"/>
      <c r="P707" s="402"/>
      <c r="Q707" s="402"/>
      <c r="R707" s="402"/>
      <c r="S707" s="402"/>
      <c r="T707" s="402"/>
      <c r="U707" s="402"/>
      <c r="V707" s="402"/>
      <c r="W707" s="402"/>
      <c r="X707" s="402"/>
      <c r="Y707" s="402"/>
      <c r="Z707" s="402"/>
    </row>
    <row r="708" ht="14.25" customHeight="1">
      <c r="A708" s="451">
        <v>45527.0</v>
      </c>
      <c r="B708" s="745" t="s">
        <v>3120</v>
      </c>
      <c r="C708" s="745" t="s">
        <v>3121</v>
      </c>
      <c r="D708" s="417" t="s">
        <v>54</v>
      </c>
      <c r="E708" s="417" t="s">
        <v>3078</v>
      </c>
      <c r="F708" s="413">
        <v>18920.0</v>
      </c>
      <c r="G708" s="413">
        <v>0.0</v>
      </c>
      <c r="H708" s="349" t="s">
        <v>3462</v>
      </c>
      <c r="I708" s="402"/>
      <c r="J708" s="402"/>
      <c r="K708" s="402"/>
      <c r="L708" s="402"/>
      <c r="M708" s="402"/>
      <c r="N708" s="402"/>
      <c r="O708" s="402"/>
      <c r="P708" s="402"/>
      <c r="Q708" s="402"/>
      <c r="R708" s="402"/>
      <c r="S708" s="402"/>
      <c r="T708" s="402"/>
      <c r="U708" s="402"/>
      <c r="V708" s="402"/>
      <c r="W708" s="402"/>
      <c r="X708" s="402"/>
      <c r="Y708" s="402"/>
      <c r="Z708" s="402"/>
    </row>
    <row r="709" ht="14.25" customHeight="1">
      <c r="A709" s="451">
        <v>45527.0</v>
      </c>
      <c r="B709" s="623" t="s">
        <v>3080</v>
      </c>
      <c r="C709" s="623" t="s">
        <v>3081</v>
      </c>
      <c r="D709" s="417" t="s">
        <v>54</v>
      </c>
      <c r="E709" s="349" t="s">
        <v>3078</v>
      </c>
      <c r="F709" s="69">
        <v>21500.0</v>
      </c>
      <c r="G709" s="413">
        <v>0.0</v>
      </c>
      <c r="H709" s="349" t="s">
        <v>3463</v>
      </c>
      <c r="I709" s="402"/>
      <c r="J709" s="402"/>
      <c r="K709" s="402"/>
      <c r="L709" s="402"/>
      <c r="M709" s="402"/>
      <c r="N709" s="402"/>
      <c r="O709" s="402"/>
      <c r="P709" s="402"/>
      <c r="Q709" s="402"/>
      <c r="R709" s="402"/>
      <c r="S709" s="402"/>
      <c r="T709" s="402"/>
      <c r="U709" s="402"/>
      <c r="V709" s="402"/>
      <c r="W709" s="402"/>
      <c r="X709" s="402"/>
      <c r="Y709" s="402"/>
      <c r="Z709" s="402"/>
    </row>
    <row r="710" ht="14.25" customHeight="1">
      <c r="A710" s="451">
        <v>45527.0</v>
      </c>
      <c r="B710" s="623" t="s">
        <v>3125</v>
      </c>
      <c r="C710" s="745" t="s">
        <v>3121</v>
      </c>
      <c r="D710" s="417" t="s">
        <v>467</v>
      </c>
      <c r="E710" s="417" t="s">
        <v>3078</v>
      </c>
      <c r="F710" s="69">
        <v>4200.0</v>
      </c>
      <c r="G710" s="413">
        <v>0.0</v>
      </c>
      <c r="H710" s="732" t="s">
        <v>3455</v>
      </c>
      <c r="I710" s="402"/>
      <c r="J710" s="402"/>
      <c r="K710" s="402"/>
      <c r="L710" s="402"/>
      <c r="M710" s="402"/>
      <c r="N710" s="402"/>
      <c r="O710" s="402"/>
      <c r="P710" s="402"/>
      <c r="Q710" s="402"/>
      <c r="R710" s="402"/>
      <c r="S710" s="402"/>
      <c r="T710" s="402"/>
      <c r="U710" s="402"/>
      <c r="V710" s="402"/>
      <c r="W710" s="402"/>
      <c r="X710" s="402"/>
      <c r="Y710" s="402"/>
      <c r="Z710" s="402"/>
    </row>
    <row r="711" ht="14.25" customHeight="1">
      <c r="A711" s="451">
        <v>45527.0</v>
      </c>
      <c r="B711" s="623" t="s">
        <v>3126</v>
      </c>
      <c r="C711" s="623" t="s">
        <v>3127</v>
      </c>
      <c r="D711" s="417" t="s">
        <v>54</v>
      </c>
      <c r="E711" s="744" t="s">
        <v>3308</v>
      </c>
      <c r="F711" s="413">
        <v>39250.0</v>
      </c>
      <c r="G711" s="413">
        <v>35833.0</v>
      </c>
      <c r="H711" s="349" t="s">
        <v>2612</v>
      </c>
      <c r="I711" s="402"/>
      <c r="J711" s="402"/>
      <c r="K711" s="402"/>
      <c r="L711" s="402"/>
      <c r="M711" s="402"/>
      <c r="N711" s="402"/>
      <c r="O711" s="402"/>
      <c r="P711" s="402"/>
      <c r="Q711" s="402"/>
      <c r="R711" s="402"/>
      <c r="S711" s="402"/>
      <c r="T711" s="402"/>
      <c r="U711" s="402"/>
      <c r="V711" s="402"/>
      <c r="W711" s="402"/>
      <c r="X711" s="402"/>
      <c r="Y711" s="402"/>
      <c r="Z711" s="402"/>
    </row>
    <row r="712" ht="14.25" customHeight="1">
      <c r="A712" s="451">
        <v>45527.0</v>
      </c>
      <c r="B712" s="746" t="s">
        <v>3464</v>
      </c>
      <c r="C712" s="746" t="s">
        <v>3465</v>
      </c>
      <c r="D712" s="349" t="s">
        <v>54</v>
      </c>
      <c r="E712" s="349" t="s">
        <v>3308</v>
      </c>
      <c r="F712" s="413">
        <v>650000.0</v>
      </c>
      <c r="G712" s="413">
        <v>0.0</v>
      </c>
      <c r="H712" s="349" t="s">
        <v>3463</v>
      </c>
      <c r="I712" s="402"/>
      <c r="J712" s="405"/>
      <c r="K712" s="405"/>
      <c r="L712" s="405"/>
      <c r="M712" s="405"/>
      <c r="N712" s="405"/>
      <c r="O712" s="405"/>
      <c r="P712" s="405"/>
      <c r="Q712" s="405"/>
      <c r="R712" s="405"/>
      <c r="S712" s="405"/>
      <c r="T712" s="405"/>
      <c r="U712" s="405"/>
      <c r="V712" s="405"/>
      <c r="W712" s="405"/>
      <c r="X712" s="405"/>
      <c r="Y712" s="405"/>
      <c r="Z712" s="405"/>
    </row>
    <row r="713" ht="14.25" customHeight="1">
      <c r="A713" s="405"/>
      <c r="B713" s="405"/>
      <c r="C713" s="405"/>
      <c r="D713" s="405"/>
      <c r="E713" s="405"/>
      <c r="F713" s="747"/>
      <c r="G713" s="583"/>
      <c r="H713" s="405"/>
      <c r="I713" s="405"/>
      <c r="J713" s="405"/>
      <c r="K713" s="405"/>
      <c r="L713" s="405"/>
      <c r="M713" s="405"/>
      <c r="N713" s="405"/>
      <c r="O713" s="405"/>
      <c r="P713" s="405"/>
      <c r="Q713" s="405"/>
      <c r="R713" s="405"/>
      <c r="S713" s="405"/>
      <c r="T713" s="405"/>
      <c r="U713" s="405"/>
      <c r="V713" s="405"/>
      <c r="W713" s="405"/>
      <c r="X713" s="405"/>
      <c r="Y713" s="405"/>
      <c r="Z713" s="405"/>
    </row>
    <row r="714" ht="14.25" customHeight="1">
      <c r="A714" s="405"/>
      <c r="B714" s="405"/>
      <c r="C714" s="405"/>
      <c r="D714" s="405"/>
      <c r="E714" s="405"/>
      <c r="F714" s="583"/>
      <c r="G714" s="583"/>
      <c r="H714" s="405"/>
      <c r="I714" s="405"/>
      <c r="J714" s="405"/>
      <c r="K714" s="405"/>
      <c r="L714" s="405"/>
      <c r="M714" s="405"/>
      <c r="N714" s="405"/>
      <c r="O714" s="405"/>
      <c r="P714" s="405"/>
      <c r="Q714" s="405"/>
      <c r="R714" s="405"/>
      <c r="S714" s="405"/>
      <c r="T714" s="405"/>
      <c r="U714" s="405"/>
      <c r="V714" s="405"/>
      <c r="W714" s="405"/>
      <c r="X714" s="405"/>
      <c r="Y714" s="405"/>
      <c r="Z714" s="405"/>
    </row>
    <row r="715" ht="14.25" customHeight="1">
      <c r="A715" s="740" t="s">
        <v>39</v>
      </c>
      <c r="B715" s="740" t="s">
        <v>3075</v>
      </c>
      <c r="C715" s="740" t="s">
        <v>49</v>
      </c>
      <c r="D715" s="740" t="s">
        <v>50</v>
      </c>
      <c r="E715" s="741" t="s">
        <v>2</v>
      </c>
      <c r="F715" s="741" t="s">
        <v>2</v>
      </c>
      <c r="G715" s="741" t="s">
        <v>4</v>
      </c>
      <c r="H715" s="740" t="s">
        <v>45</v>
      </c>
      <c r="I715" s="405"/>
      <c r="J715" s="405"/>
      <c r="K715" s="405"/>
      <c r="L715" s="405"/>
      <c r="M715" s="405"/>
      <c r="N715" s="405"/>
      <c r="O715" s="405"/>
      <c r="P715" s="405"/>
      <c r="Q715" s="405"/>
      <c r="R715" s="405"/>
      <c r="S715" s="405"/>
      <c r="T715" s="405"/>
      <c r="U715" s="405"/>
      <c r="V715" s="405"/>
      <c r="W715" s="405"/>
      <c r="X715" s="405"/>
      <c r="Y715" s="405"/>
      <c r="Z715" s="405"/>
    </row>
    <row r="716" ht="14.25" customHeight="1">
      <c r="A716" s="451">
        <v>45528.0</v>
      </c>
      <c r="B716" s="344" t="s">
        <v>3087</v>
      </c>
      <c r="C716" s="344" t="s">
        <v>3088</v>
      </c>
      <c r="D716" s="344" t="s">
        <v>54</v>
      </c>
      <c r="E716" s="344" t="s">
        <v>3308</v>
      </c>
      <c r="F716" s="442">
        <v>13100.0</v>
      </c>
      <c r="G716" s="413"/>
      <c r="H716" s="732" t="s">
        <v>3466</v>
      </c>
      <c r="I716" s="405"/>
      <c r="J716" s="405"/>
      <c r="K716" s="405"/>
      <c r="L716" s="405"/>
      <c r="M716" s="405"/>
      <c r="N716" s="405"/>
      <c r="O716" s="405"/>
      <c r="P716" s="405"/>
      <c r="Q716" s="405"/>
      <c r="R716" s="405"/>
      <c r="S716" s="405"/>
      <c r="T716" s="405"/>
      <c r="U716" s="405"/>
      <c r="V716" s="405"/>
      <c r="W716" s="405"/>
      <c r="X716" s="405"/>
      <c r="Y716" s="405"/>
      <c r="Z716" s="405"/>
    </row>
    <row r="717" ht="14.25" customHeight="1">
      <c r="A717" s="451">
        <v>45528.0</v>
      </c>
      <c r="B717" s="344" t="s">
        <v>652</v>
      </c>
      <c r="C717" s="344" t="s">
        <v>3097</v>
      </c>
      <c r="D717" s="344" t="s">
        <v>2010</v>
      </c>
      <c r="E717" s="344" t="s">
        <v>3308</v>
      </c>
      <c r="F717" s="430">
        <v>52500.0</v>
      </c>
      <c r="G717" s="413"/>
      <c r="H717" s="732" t="s">
        <v>3467</v>
      </c>
      <c r="I717" s="405"/>
      <c r="J717" s="405"/>
      <c r="K717" s="405"/>
      <c r="L717" s="405"/>
      <c r="M717" s="405"/>
      <c r="N717" s="405"/>
      <c r="O717" s="405"/>
      <c r="P717" s="405"/>
      <c r="Q717" s="405"/>
      <c r="R717" s="405"/>
      <c r="S717" s="405"/>
      <c r="T717" s="405"/>
      <c r="U717" s="405"/>
      <c r="V717" s="405"/>
      <c r="W717" s="405"/>
      <c r="X717" s="405"/>
      <c r="Y717" s="405"/>
      <c r="Z717" s="405"/>
    </row>
    <row r="718" ht="14.25" customHeight="1">
      <c r="A718" s="451">
        <v>45528.0</v>
      </c>
      <c r="B718" s="344" t="s">
        <v>3099</v>
      </c>
      <c r="C718" s="344" t="s">
        <v>3100</v>
      </c>
      <c r="D718" s="344" t="s">
        <v>54</v>
      </c>
      <c r="E718" s="344" t="s">
        <v>3308</v>
      </c>
      <c r="F718" s="430">
        <v>117000.0</v>
      </c>
      <c r="G718" s="413"/>
      <c r="H718" s="732" t="s">
        <v>3468</v>
      </c>
      <c r="I718" s="405"/>
      <c r="J718" s="405"/>
      <c r="K718" s="405"/>
      <c r="L718" s="405"/>
      <c r="M718" s="405"/>
      <c r="N718" s="405"/>
      <c r="O718" s="405"/>
      <c r="P718" s="405"/>
      <c r="Q718" s="405"/>
      <c r="R718" s="405"/>
      <c r="S718" s="405"/>
      <c r="T718" s="405"/>
      <c r="U718" s="405"/>
      <c r="V718" s="405"/>
      <c r="W718" s="405"/>
      <c r="X718" s="405"/>
      <c r="Y718" s="405"/>
      <c r="Z718" s="405"/>
    </row>
    <row r="719" ht="14.25" customHeight="1">
      <c r="A719" s="451">
        <v>45528.0</v>
      </c>
      <c r="B719" s="344" t="s">
        <v>3134</v>
      </c>
      <c r="C719" s="344" t="s">
        <v>3176</v>
      </c>
      <c r="D719" s="417" t="s">
        <v>54</v>
      </c>
      <c r="E719" s="344" t="s">
        <v>3078</v>
      </c>
      <c r="F719" s="743">
        <v>83000.0</v>
      </c>
      <c r="G719" s="413"/>
      <c r="H719" s="732" t="s">
        <v>3469</v>
      </c>
      <c r="I719" s="405"/>
      <c r="J719" s="405"/>
      <c r="K719" s="405"/>
      <c r="L719" s="405"/>
      <c r="M719" s="405"/>
      <c r="N719" s="405"/>
      <c r="O719" s="405"/>
      <c r="P719" s="405"/>
      <c r="Q719" s="405"/>
      <c r="R719" s="405"/>
      <c r="S719" s="405"/>
      <c r="T719" s="405"/>
      <c r="U719" s="405"/>
      <c r="V719" s="405"/>
      <c r="W719" s="405"/>
      <c r="X719" s="405"/>
      <c r="Y719" s="405"/>
      <c r="Z719" s="405"/>
    </row>
    <row r="720" ht="14.25" customHeight="1">
      <c r="A720" s="451">
        <v>45528.0</v>
      </c>
      <c r="B720" s="417" t="s">
        <v>3076</v>
      </c>
      <c r="C720" s="417" t="s">
        <v>3077</v>
      </c>
      <c r="D720" s="417" t="s">
        <v>54</v>
      </c>
      <c r="E720" s="344" t="s">
        <v>3078</v>
      </c>
      <c r="F720" s="69">
        <v>2150.0</v>
      </c>
      <c r="G720" s="413"/>
      <c r="H720" s="732" t="s">
        <v>3259</v>
      </c>
      <c r="I720" s="405"/>
      <c r="J720" s="405"/>
      <c r="K720" s="405"/>
      <c r="L720" s="405"/>
      <c r="M720" s="405"/>
      <c r="N720" s="405"/>
      <c r="O720" s="405"/>
      <c r="P720" s="405"/>
      <c r="Q720" s="405"/>
      <c r="R720" s="405"/>
      <c r="S720" s="405"/>
      <c r="T720" s="405"/>
      <c r="U720" s="405"/>
      <c r="V720" s="405"/>
      <c r="W720" s="405"/>
      <c r="X720" s="405"/>
      <c r="Y720" s="405"/>
      <c r="Z720" s="405"/>
    </row>
    <row r="721" ht="14.25" customHeight="1">
      <c r="A721" s="451">
        <v>45528.0</v>
      </c>
      <c r="B721" s="417" t="s">
        <v>3173</v>
      </c>
      <c r="C721" s="417" t="s">
        <v>3174</v>
      </c>
      <c r="D721" s="417" t="s">
        <v>54</v>
      </c>
      <c r="E721" s="344" t="s">
        <v>3101</v>
      </c>
      <c r="F721" s="73">
        <v>16000.0</v>
      </c>
      <c r="G721" s="413"/>
      <c r="H721" s="732" t="s">
        <v>2990</v>
      </c>
      <c r="I721" s="405"/>
      <c r="J721" s="405"/>
      <c r="K721" s="405"/>
      <c r="L721" s="405"/>
      <c r="M721" s="405"/>
      <c r="N721" s="405"/>
      <c r="O721" s="405"/>
      <c r="P721" s="405"/>
      <c r="Q721" s="405"/>
      <c r="R721" s="405"/>
      <c r="S721" s="405"/>
      <c r="T721" s="405"/>
      <c r="U721" s="405"/>
      <c r="V721" s="405"/>
      <c r="W721" s="405"/>
      <c r="X721" s="405"/>
      <c r="Y721" s="405"/>
      <c r="Z721" s="405"/>
    </row>
    <row r="722" ht="14.25" customHeight="1">
      <c r="A722" s="451">
        <v>45528.0</v>
      </c>
      <c r="B722" s="417" t="s">
        <v>3193</v>
      </c>
      <c r="C722" s="417" t="s">
        <v>3194</v>
      </c>
      <c r="D722" s="417" t="s">
        <v>3189</v>
      </c>
      <c r="E722" s="417" t="s">
        <v>3078</v>
      </c>
      <c r="F722" s="73">
        <v>173000.0</v>
      </c>
      <c r="G722" s="413"/>
      <c r="H722" s="419" t="s">
        <v>3469</v>
      </c>
      <c r="I722" s="405"/>
      <c r="J722" s="405"/>
      <c r="K722" s="405"/>
      <c r="L722" s="405"/>
      <c r="M722" s="405"/>
      <c r="N722" s="405"/>
      <c r="O722" s="405"/>
      <c r="P722" s="405"/>
      <c r="Q722" s="405"/>
      <c r="R722" s="405"/>
      <c r="S722" s="405"/>
      <c r="T722" s="405"/>
      <c r="U722" s="405"/>
      <c r="V722" s="405"/>
      <c r="W722" s="405"/>
      <c r="X722" s="405"/>
      <c r="Y722" s="405"/>
      <c r="Z722" s="405"/>
    </row>
    <row r="723" ht="14.25" customHeight="1">
      <c r="A723" s="451">
        <v>45528.0</v>
      </c>
      <c r="B723" s="417" t="s">
        <v>3278</v>
      </c>
      <c r="C723" s="417" t="s">
        <v>3232</v>
      </c>
      <c r="D723" s="417" t="s">
        <v>54</v>
      </c>
      <c r="E723" s="344" t="s">
        <v>3308</v>
      </c>
      <c r="F723" s="73">
        <v>17100.0</v>
      </c>
      <c r="G723" s="413"/>
      <c r="H723" s="732" t="s">
        <v>3466</v>
      </c>
      <c r="I723" s="405"/>
      <c r="J723" s="405"/>
      <c r="K723" s="405"/>
      <c r="L723" s="405"/>
      <c r="M723" s="405"/>
      <c r="N723" s="405"/>
      <c r="O723" s="405"/>
      <c r="P723" s="405"/>
      <c r="Q723" s="405"/>
      <c r="R723" s="405"/>
      <c r="S723" s="405"/>
      <c r="T723" s="405"/>
      <c r="U723" s="405"/>
      <c r="V723" s="405"/>
      <c r="W723" s="405"/>
      <c r="X723" s="405"/>
      <c r="Y723" s="405"/>
      <c r="Z723" s="405"/>
    </row>
    <row r="724" ht="14.25" customHeight="1">
      <c r="A724" s="451">
        <v>45528.0</v>
      </c>
      <c r="B724" s="417" t="s">
        <v>3083</v>
      </c>
      <c r="C724" s="417" t="s">
        <v>3084</v>
      </c>
      <c r="D724" s="417" t="s">
        <v>54</v>
      </c>
      <c r="E724" s="417" t="s">
        <v>3101</v>
      </c>
      <c r="F724" s="69">
        <v>2500.0</v>
      </c>
      <c r="G724" s="413"/>
      <c r="H724" s="732" t="s">
        <v>2990</v>
      </c>
      <c r="I724" s="405"/>
      <c r="J724" s="405"/>
      <c r="K724" s="405"/>
      <c r="L724" s="405"/>
      <c r="M724" s="405"/>
      <c r="N724" s="405"/>
      <c r="O724" s="405"/>
      <c r="P724" s="405"/>
      <c r="Q724" s="405"/>
      <c r="R724" s="405"/>
      <c r="S724" s="405"/>
      <c r="T724" s="405"/>
      <c r="U724" s="405"/>
      <c r="V724" s="405"/>
      <c r="W724" s="405"/>
      <c r="X724" s="405"/>
      <c r="Y724" s="405"/>
      <c r="Z724" s="405"/>
    </row>
    <row r="725" ht="14.25" customHeight="1">
      <c r="A725" s="451">
        <v>45528.0</v>
      </c>
      <c r="B725" s="444" t="s">
        <v>3235</v>
      </c>
      <c r="C725" s="417" t="s">
        <v>3236</v>
      </c>
      <c r="D725" s="417" t="s">
        <v>3189</v>
      </c>
      <c r="E725" s="417" t="s">
        <v>3101</v>
      </c>
      <c r="F725" s="430">
        <v>267500.0</v>
      </c>
      <c r="G725" s="413"/>
      <c r="H725" s="732" t="s">
        <v>3470</v>
      </c>
      <c r="I725" s="405"/>
      <c r="J725" s="405"/>
      <c r="K725" s="405"/>
      <c r="L725" s="405"/>
      <c r="M725" s="405"/>
      <c r="N725" s="405"/>
      <c r="O725" s="405"/>
      <c r="P725" s="405"/>
      <c r="Q725" s="405"/>
      <c r="R725" s="405"/>
      <c r="S725" s="405"/>
      <c r="T725" s="405"/>
      <c r="U725" s="405"/>
      <c r="V725" s="405"/>
      <c r="W725" s="405"/>
      <c r="X725" s="405"/>
      <c r="Y725" s="405"/>
      <c r="Z725" s="405"/>
    </row>
    <row r="726" ht="14.25" customHeight="1">
      <c r="A726" s="451">
        <v>45528.0</v>
      </c>
      <c r="B726" s="417" t="s">
        <v>3289</v>
      </c>
      <c r="C726" s="417" t="s">
        <v>3236</v>
      </c>
      <c r="D726" s="417" t="s">
        <v>54</v>
      </c>
      <c r="E726" s="417" t="s">
        <v>3115</v>
      </c>
      <c r="F726" s="69">
        <v>48500.0</v>
      </c>
      <c r="G726" s="413"/>
      <c r="H726" s="732" t="s">
        <v>3471</v>
      </c>
      <c r="I726" s="405"/>
      <c r="J726" s="405"/>
      <c r="K726" s="405"/>
      <c r="L726" s="405"/>
      <c r="M726" s="405"/>
      <c r="N726" s="405"/>
      <c r="O726" s="405"/>
      <c r="P726" s="405"/>
      <c r="Q726" s="405"/>
      <c r="R726" s="405"/>
      <c r="S726" s="405"/>
      <c r="T726" s="405"/>
      <c r="U726" s="405"/>
      <c r="V726" s="405"/>
      <c r="W726" s="405"/>
      <c r="X726" s="405"/>
      <c r="Y726" s="405"/>
      <c r="Z726" s="405"/>
    </row>
    <row r="727" ht="14.25" customHeight="1">
      <c r="A727" s="451">
        <v>45528.0</v>
      </c>
      <c r="B727" s="417" t="s">
        <v>3290</v>
      </c>
      <c r="C727" s="417" t="s">
        <v>3291</v>
      </c>
      <c r="D727" s="417" t="s">
        <v>54</v>
      </c>
      <c r="E727" s="417" t="s">
        <v>3101</v>
      </c>
      <c r="F727" s="69">
        <v>4000.0</v>
      </c>
      <c r="G727" s="413"/>
      <c r="H727" s="732" t="s">
        <v>3362</v>
      </c>
      <c r="I727" s="405"/>
      <c r="J727" s="405"/>
      <c r="K727" s="405"/>
      <c r="L727" s="405"/>
      <c r="M727" s="405"/>
      <c r="N727" s="405"/>
      <c r="O727" s="405"/>
      <c r="P727" s="405"/>
      <c r="Q727" s="405"/>
      <c r="R727" s="405"/>
      <c r="S727" s="405"/>
      <c r="T727" s="405"/>
      <c r="U727" s="405"/>
      <c r="V727" s="405"/>
      <c r="W727" s="405"/>
      <c r="X727" s="405"/>
      <c r="Y727" s="405"/>
      <c r="Z727" s="405"/>
    </row>
    <row r="728" ht="14.25" customHeight="1">
      <c r="A728" s="451">
        <v>45528.0</v>
      </c>
      <c r="B728" s="417" t="s">
        <v>3341</v>
      </c>
      <c r="C728" s="417" t="s">
        <v>3209</v>
      </c>
      <c r="D728" s="417" t="s">
        <v>467</v>
      </c>
      <c r="E728" s="344" t="s">
        <v>3101</v>
      </c>
      <c r="F728" s="69">
        <v>5640.0</v>
      </c>
      <c r="G728" s="413"/>
      <c r="H728" s="732" t="s">
        <v>2071</v>
      </c>
      <c r="I728" s="405"/>
      <c r="J728" s="405"/>
      <c r="K728" s="405"/>
      <c r="L728" s="405"/>
      <c r="M728" s="405"/>
      <c r="N728" s="405"/>
      <c r="O728" s="405"/>
      <c r="P728" s="405"/>
      <c r="Q728" s="405"/>
      <c r="R728" s="405"/>
      <c r="S728" s="405"/>
      <c r="T728" s="405"/>
      <c r="U728" s="405"/>
      <c r="V728" s="405"/>
      <c r="W728" s="405"/>
      <c r="X728" s="405"/>
      <c r="Y728" s="405"/>
      <c r="Z728" s="405"/>
    </row>
    <row r="729" ht="14.25" customHeight="1">
      <c r="A729" s="451">
        <v>45528.0</v>
      </c>
      <c r="B729" s="417" t="s">
        <v>3357</v>
      </c>
      <c r="C729" s="417" t="s">
        <v>3338</v>
      </c>
      <c r="D729" s="417" t="s">
        <v>54</v>
      </c>
      <c r="E729" s="417" t="s">
        <v>3101</v>
      </c>
      <c r="F729" s="69">
        <v>43500.0</v>
      </c>
      <c r="G729" s="413"/>
      <c r="H729" s="732" t="s">
        <v>2071</v>
      </c>
      <c r="I729" s="405"/>
      <c r="J729" s="405"/>
      <c r="K729" s="405"/>
      <c r="L729" s="405"/>
      <c r="M729" s="405"/>
      <c r="N729" s="405"/>
      <c r="O729" s="405"/>
      <c r="P729" s="405"/>
      <c r="Q729" s="405"/>
      <c r="R729" s="405"/>
      <c r="S729" s="405"/>
      <c r="T729" s="405"/>
      <c r="U729" s="405"/>
      <c r="V729" s="405"/>
      <c r="W729" s="405"/>
      <c r="X729" s="405"/>
      <c r="Y729" s="405"/>
      <c r="Z729" s="405"/>
    </row>
    <row r="730" ht="14.25" customHeight="1">
      <c r="A730" s="451">
        <v>45528.0</v>
      </c>
      <c r="B730" s="417" t="s">
        <v>3371</v>
      </c>
      <c r="C730" s="417" t="s">
        <v>3291</v>
      </c>
      <c r="D730" s="417" t="s">
        <v>3189</v>
      </c>
      <c r="E730" s="417" t="s">
        <v>3101</v>
      </c>
      <c r="F730" s="69">
        <v>85300.0</v>
      </c>
      <c r="G730" s="413"/>
      <c r="H730" s="732" t="s">
        <v>3362</v>
      </c>
      <c r="I730" s="405"/>
      <c r="J730" s="405"/>
      <c r="K730" s="405"/>
      <c r="L730" s="405"/>
      <c r="M730" s="405"/>
      <c r="N730" s="405"/>
      <c r="O730" s="405"/>
      <c r="P730" s="405"/>
      <c r="Q730" s="405"/>
      <c r="R730" s="405"/>
      <c r="S730" s="405"/>
      <c r="T730" s="405"/>
      <c r="U730" s="405"/>
      <c r="V730" s="405"/>
      <c r="W730" s="405"/>
      <c r="X730" s="405"/>
      <c r="Y730" s="405"/>
      <c r="Z730" s="405"/>
    </row>
    <row r="731" ht="14.25" customHeight="1">
      <c r="A731" s="451">
        <v>45528.0</v>
      </c>
      <c r="B731" s="417" t="s">
        <v>3409</v>
      </c>
      <c r="C731" s="417" t="s">
        <v>3410</v>
      </c>
      <c r="D731" s="417" t="s">
        <v>54</v>
      </c>
      <c r="E731" s="417" t="s">
        <v>3101</v>
      </c>
      <c r="F731" s="69">
        <v>91805.0</v>
      </c>
      <c r="G731" s="413"/>
      <c r="H731" s="732" t="s">
        <v>2071</v>
      </c>
      <c r="I731" s="405"/>
      <c r="J731" s="405"/>
      <c r="K731" s="405"/>
      <c r="L731" s="405"/>
      <c r="M731" s="405"/>
      <c r="N731" s="405"/>
      <c r="O731" s="405"/>
      <c r="P731" s="405"/>
      <c r="Q731" s="405"/>
      <c r="R731" s="405"/>
      <c r="S731" s="405"/>
      <c r="T731" s="405"/>
      <c r="U731" s="405"/>
      <c r="V731" s="405"/>
      <c r="W731" s="405"/>
      <c r="X731" s="405"/>
      <c r="Y731" s="405"/>
      <c r="Z731" s="405"/>
    </row>
    <row r="732" ht="14.25" customHeight="1">
      <c r="A732" s="451">
        <v>45528.0</v>
      </c>
      <c r="B732" s="417" t="s">
        <v>3111</v>
      </c>
      <c r="C732" s="417" t="s">
        <v>3112</v>
      </c>
      <c r="D732" s="417" t="s">
        <v>54</v>
      </c>
      <c r="E732" s="417" t="s">
        <v>3078</v>
      </c>
      <c r="F732" s="69">
        <v>12700.0</v>
      </c>
      <c r="G732" s="413"/>
      <c r="H732" s="732" t="s">
        <v>3472</v>
      </c>
      <c r="I732" s="405"/>
      <c r="J732" s="405"/>
      <c r="K732" s="405"/>
      <c r="L732" s="405"/>
      <c r="M732" s="405"/>
      <c r="N732" s="405"/>
      <c r="O732" s="405"/>
      <c r="P732" s="405"/>
      <c r="Q732" s="405"/>
      <c r="R732" s="405"/>
      <c r="S732" s="405"/>
      <c r="T732" s="405"/>
      <c r="U732" s="405"/>
      <c r="V732" s="405"/>
      <c r="W732" s="405"/>
      <c r="X732" s="405"/>
      <c r="Y732" s="405"/>
      <c r="Z732" s="405"/>
    </row>
    <row r="733" ht="14.25" customHeight="1">
      <c r="A733" s="451">
        <v>45528.0</v>
      </c>
      <c r="B733" s="417" t="s">
        <v>3107</v>
      </c>
      <c r="C733" s="417" t="s">
        <v>3108</v>
      </c>
      <c r="D733" s="417" t="s">
        <v>54</v>
      </c>
      <c r="E733" s="417" t="s">
        <v>3101</v>
      </c>
      <c r="F733" s="69">
        <v>55100.0</v>
      </c>
      <c r="G733" s="413"/>
      <c r="H733" s="732" t="s">
        <v>3473</v>
      </c>
      <c r="I733" s="405"/>
      <c r="J733" s="405"/>
      <c r="K733" s="405"/>
      <c r="L733" s="405"/>
      <c r="M733" s="405"/>
      <c r="N733" s="405"/>
      <c r="O733" s="405"/>
      <c r="P733" s="405"/>
      <c r="Q733" s="405"/>
      <c r="R733" s="405"/>
      <c r="S733" s="405"/>
      <c r="T733" s="405"/>
      <c r="U733" s="405"/>
      <c r="V733" s="405"/>
      <c r="W733" s="405"/>
      <c r="X733" s="405"/>
      <c r="Y733" s="405"/>
      <c r="Z733" s="405"/>
    </row>
    <row r="734" ht="14.25" customHeight="1">
      <c r="A734" s="451">
        <v>45528.0</v>
      </c>
      <c r="B734" s="417" t="s">
        <v>3412</v>
      </c>
      <c r="C734" s="417" t="s">
        <v>3238</v>
      </c>
      <c r="D734" s="417" t="s">
        <v>54</v>
      </c>
      <c r="E734" s="417" t="s">
        <v>3078</v>
      </c>
      <c r="F734" s="69">
        <v>19000.0</v>
      </c>
      <c r="G734" s="413"/>
      <c r="H734" s="732" t="s">
        <v>3474</v>
      </c>
      <c r="I734" s="405"/>
      <c r="J734" s="405"/>
      <c r="K734" s="405"/>
      <c r="L734" s="405"/>
      <c r="M734" s="405"/>
      <c r="N734" s="405"/>
      <c r="O734" s="405"/>
      <c r="P734" s="405"/>
      <c r="Q734" s="405"/>
      <c r="R734" s="405"/>
      <c r="S734" s="405"/>
      <c r="T734" s="405"/>
      <c r="U734" s="405"/>
      <c r="V734" s="405"/>
      <c r="W734" s="405"/>
      <c r="X734" s="405"/>
      <c r="Y734" s="405"/>
      <c r="Z734" s="405"/>
    </row>
    <row r="735" ht="14.25" customHeight="1">
      <c r="A735" s="451">
        <v>45528.0</v>
      </c>
      <c r="B735" s="417" t="s">
        <v>3416</v>
      </c>
      <c r="C735" s="417" t="s">
        <v>3417</v>
      </c>
      <c r="D735" s="417" t="s">
        <v>54</v>
      </c>
      <c r="E735" s="417" t="s">
        <v>3078</v>
      </c>
      <c r="F735" s="69">
        <v>136352.6</v>
      </c>
      <c r="G735" s="413"/>
      <c r="H735" s="732" t="s">
        <v>3475</v>
      </c>
      <c r="I735" s="405"/>
      <c r="J735" s="405"/>
      <c r="K735" s="405"/>
      <c r="L735" s="405"/>
      <c r="M735" s="405"/>
      <c r="N735" s="405"/>
      <c r="O735" s="405"/>
      <c r="P735" s="405"/>
      <c r="Q735" s="405"/>
      <c r="R735" s="405"/>
      <c r="S735" s="405"/>
      <c r="T735" s="405"/>
      <c r="U735" s="405"/>
      <c r="V735" s="405"/>
      <c r="W735" s="405"/>
      <c r="X735" s="405"/>
      <c r="Y735" s="405"/>
      <c r="Z735" s="405"/>
    </row>
    <row r="736" ht="14.25" customHeight="1">
      <c r="A736" s="451">
        <v>45528.0</v>
      </c>
      <c r="B736" s="417" t="s">
        <v>3418</v>
      </c>
      <c r="C736" s="417" t="s">
        <v>3417</v>
      </c>
      <c r="D736" s="417" t="s">
        <v>467</v>
      </c>
      <c r="E736" s="417" t="s">
        <v>3078</v>
      </c>
      <c r="F736" s="69">
        <v>15834.08</v>
      </c>
      <c r="G736" s="413"/>
      <c r="H736" s="732" t="s">
        <v>3475</v>
      </c>
      <c r="I736" s="405"/>
      <c r="J736" s="405"/>
      <c r="K736" s="405"/>
      <c r="L736" s="405"/>
      <c r="M736" s="405"/>
      <c r="N736" s="405"/>
      <c r="O736" s="405"/>
      <c r="P736" s="405"/>
      <c r="Q736" s="405"/>
      <c r="R736" s="405"/>
      <c r="S736" s="405"/>
      <c r="T736" s="405"/>
      <c r="U736" s="405"/>
      <c r="V736" s="405"/>
      <c r="W736" s="405"/>
      <c r="X736" s="405"/>
      <c r="Y736" s="405"/>
      <c r="Z736" s="405"/>
    </row>
    <row r="737" ht="14.25" customHeight="1">
      <c r="A737" s="451">
        <v>45528.0</v>
      </c>
      <c r="B737" s="417" t="s">
        <v>3128</v>
      </c>
      <c r="C737" s="417" t="s">
        <v>3129</v>
      </c>
      <c r="D737" s="417" t="s">
        <v>54</v>
      </c>
      <c r="E737" s="417" t="s">
        <v>3308</v>
      </c>
      <c r="F737" s="73">
        <v>44000.0</v>
      </c>
      <c r="G737" s="413"/>
      <c r="H737" s="732" t="s">
        <v>3471</v>
      </c>
      <c r="I737" s="405"/>
      <c r="J737" s="405"/>
      <c r="K737" s="405"/>
      <c r="L737" s="405"/>
      <c r="M737" s="405"/>
      <c r="N737" s="405"/>
      <c r="O737" s="405"/>
      <c r="P737" s="405"/>
      <c r="Q737" s="405"/>
      <c r="R737" s="405"/>
      <c r="S737" s="405"/>
      <c r="T737" s="405"/>
      <c r="U737" s="405"/>
      <c r="V737" s="405"/>
      <c r="W737" s="405"/>
      <c r="X737" s="405"/>
      <c r="Y737" s="405"/>
      <c r="Z737" s="405"/>
    </row>
    <row r="738" ht="14.25" customHeight="1">
      <c r="A738" s="451">
        <v>45528.0</v>
      </c>
      <c r="B738" s="417" t="s">
        <v>3120</v>
      </c>
      <c r="C738" s="417" t="s">
        <v>3121</v>
      </c>
      <c r="D738" s="417" t="s">
        <v>54</v>
      </c>
      <c r="E738" s="417" t="s">
        <v>3078</v>
      </c>
      <c r="F738" s="413">
        <v>18920.0</v>
      </c>
      <c r="G738" s="413"/>
      <c r="H738" s="349" t="s">
        <v>3476</v>
      </c>
      <c r="I738" s="405"/>
      <c r="J738" s="405"/>
      <c r="K738" s="405"/>
      <c r="L738" s="405"/>
      <c r="M738" s="405"/>
      <c r="N738" s="405"/>
      <c r="O738" s="405"/>
      <c r="P738" s="405"/>
      <c r="Q738" s="405"/>
      <c r="R738" s="405"/>
      <c r="S738" s="405"/>
      <c r="T738" s="405"/>
      <c r="U738" s="405"/>
      <c r="V738" s="405"/>
      <c r="W738" s="405"/>
      <c r="X738" s="405"/>
      <c r="Y738" s="405"/>
      <c r="Z738" s="405"/>
    </row>
    <row r="739" ht="14.25" customHeight="1">
      <c r="A739" s="451">
        <v>45528.0</v>
      </c>
      <c r="B739" s="417" t="s">
        <v>3125</v>
      </c>
      <c r="C739" s="417" t="s">
        <v>3121</v>
      </c>
      <c r="D739" s="417" t="s">
        <v>467</v>
      </c>
      <c r="E739" s="417" t="s">
        <v>3078</v>
      </c>
      <c r="F739" s="69">
        <v>4200.0</v>
      </c>
      <c r="G739" s="413"/>
      <c r="H739" s="732" t="s">
        <v>3477</v>
      </c>
      <c r="I739" s="405"/>
      <c r="J739" s="405"/>
      <c r="K739" s="405"/>
      <c r="L739" s="405"/>
      <c r="M739" s="405"/>
      <c r="N739" s="405"/>
      <c r="O739" s="405"/>
      <c r="P739" s="405"/>
      <c r="Q739" s="405"/>
      <c r="R739" s="405"/>
      <c r="S739" s="405"/>
      <c r="T739" s="405"/>
      <c r="U739" s="405"/>
      <c r="V739" s="405"/>
      <c r="W739" s="405"/>
      <c r="X739" s="405"/>
      <c r="Y739" s="405"/>
      <c r="Z739" s="405"/>
    </row>
    <row r="740" ht="14.25" customHeight="1">
      <c r="A740" s="451">
        <v>45528.0</v>
      </c>
      <c r="B740" s="417" t="s">
        <v>3126</v>
      </c>
      <c r="C740" s="417" t="s">
        <v>3127</v>
      </c>
      <c r="D740" s="417" t="s">
        <v>54</v>
      </c>
      <c r="E740" s="744" t="s">
        <v>3308</v>
      </c>
      <c r="F740" s="413">
        <v>4000.0</v>
      </c>
      <c r="G740" s="413"/>
      <c r="H740" s="732" t="s">
        <v>3466</v>
      </c>
      <c r="I740" s="405"/>
      <c r="J740" s="405"/>
      <c r="K740" s="405"/>
      <c r="L740" s="405"/>
      <c r="M740" s="405"/>
      <c r="N740" s="405"/>
      <c r="O740" s="405"/>
      <c r="P740" s="405"/>
      <c r="Q740" s="405"/>
      <c r="R740" s="405"/>
      <c r="S740" s="405"/>
      <c r="T740" s="405"/>
      <c r="U740" s="405"/>
      <c r="V740" s="405"/>
      <c r="W740" s="405"/>
      <c r="X740" s="405"/>
      <c r="Y740" s="405"/>
      <c r="Z740" s="405"/>
    </row>
    <row r="741" ht="14.25" customHeight="1">
      <c r="A741" s="405"/>
      <c r="B741" s="405"/>
      <c r="C741" s="405"/>
      <c r="D741" s="405"/>
      <c r="E741" s="405"/>
      <c r="F741" s="583"/>
      <c r="G741" s="583"/>
      <c r="H741" s="405"/>
      <c r="I741" s="405"/>
      <c r="J741" s="405"/>
      <c r="K741" s="405"/>
      <c r="L741" s="405"/>
      <c r="M741" s="405"/>
      <c r="N741" s="405"/>
      <c r="O741" s="405"/>
      <c r="P741" s="405"/>
      <c r="Q741" s="405"/>
      <c r="R741" s="405"/>
      <c r="S741" s="405"/>
      <c r="T741" s="405"/>
      <c r="U741" s="405"/>
      <c r="V741" s="405"/>
      <c r="W741" s="405"/>
      <c r="X741" s="405"/>
      <c r="Y741" s="405"/>
      <c r="Z741" s="405"/>
    </row>
    <row r="742" ht="14.25" customHeight="1">
      <c r="A742" s="405"/>
      <c r="B742" s="405"/>
      <c r="C742" s="405"/>
      <c r="D742" s="405"/>
      <c r="E742" s="405"/>
      <c r="F742" s="583"/>
      <c r="G742" s="583"/>
      <c r="H742" s="405"/>
      <c r="I742" s="405"/>
      <c r="J742" s="405"/>
      <c r="K742" s="405"/>
      <c r="L742" s="405"/>
      <c r="M742" s="405"/>
      <c r="N742" s="405"/>
      <c r="O742" s="405"/>
      <c r="P742" s="405"/>
      <c r="Q742" s="405"/>
      <c r="R742" s="405"/>
      <c r="S742" s="405"/>
      <c r="T742" s="405"/>
      <c r="U742" s="405"/>
      <c r="V742" s="405"/>
      <c r="W742" s="405"/>
      <c r="X742" s="405"/>
      <c r="Y742" s="405"/>
      <c r="Z742" s="405"/>
    </row>
    <row r="743" ht="14.25" customHeight="1">
      <c r="A743" s="740" t="s">
        <v>39</v>
      </c>
      <c r="B743" s="740" t="s">
        <v>3075</v>
      </c>
      <c r="C743" s="740" t="s">
        <v>49</v>
      </c>
      <c r="D743" s="740" t="s">
        <v>50</v>
      </c>
      <c r="E743" s="741" t="s">
        <v>2</v>
      </c>
      <c r="F743" s="741" t="s">
        <v>2</v>
      </c>
      <c r="G743" s="741" t="s">
        <v>4</v>
      </c>
      <c r="H743" s="740" t="s">
        <v>45</v>
      </c>
      <c r="I743" s="405"/>
      <c r="J743" s="405"/>
      <c r="K743" s="405"/>
      <c r="L743" s="405"/>
      <c r="M743" s="405"/>
      <c r="N743" s="405"/>
      <c r="O743" s="405"/>
      <c r="P743" s="405"/>
      <c r="Q743" s="405"/>
      <c r="R743" s="405"/>
      <c r="S743" s="405"/>
      <c r="T743" s="405"/>
      <c r="U743" s="405"/>
      <c r="V743" s="405"/>
      <c r="W743" s="405"/>
      <c r="X743" s="405"/>
      <c r="Y743" s="405"/>
      <c r="Z743" s="405"/>
    </row>
    <row r="744" ht="14.25" customHeight="1">
      <c r="A744" s="451">
        <v>45530.0</v>
      </c>
      <c r="B744" s="344" t="s">
        <v>3087</v>
      </c>
      <c r="C744" s="344" t="s">
        <v>3088</v>
      </c>
      <c r="D744" s="344" t="s">
        <v>54</v>
      </c>
      <c r="E744" s="344" t="s">
        <v>3308</v>
      </c>
      <c r="F744" s="442">
        <v>13100.0</v>
      </c>
      <c r="G744" s="413">
        <v>0.0</v>
      </c>
      <c r="H744" s="732"/>
      <c r="I744" s="405"/>
      <c r="J744" s="405"/>
      <c r="K744" s="405"/>
      <c r="L744" s="405"/>
      <c r="M744" s="405"/>
      <c r="N744" s="405"/>
      <c r="O744" s="405"/>
      <c r="P744" s="405"/>
      <c r="Q744" s="405"/>
      <c r="R744" s="405"/>
      <c r="S744" s="405"/>
      <c r="T744" s="405"/>
      <c r="U744" s="405"/>
      <c r="V744" s="405"/>
      <c r="W744" s="405"/>
      <c r="X744" s="405"/>
      <c r="Y744" s="405"/>
      <c r="Z744" s="405"/>
    </row>
    <row r="745" ht="14.25" customHeight="1">
      <c r="A745" s="451">
        <v>45530.0</v>
      </c>
      <c r="B745" s="344" t="s">
        <v>652</v>
      </c>
      <c r="C745" s="344" t="s">
        <v>3097</v>
      </c>
      <c r="D745" s="344" t="s">
        <v>2010</v>
      </c>
      <c r="E745" s="344" t="s">
        <v>3308</v>
      </c>
      <c r="F745" s="430">
        <v>52500.0</v>
      </c>
      <c r="G745" s="413">
        <v>0.0</v>
      </c>
      <c r="H745" s="732"/>
      <c r="I745" s="405"/>
      <c r="J745" s="405"/>
      <c r="K745" s="405"/>
      <c r="L745" s="405"/>
      <c r="M745" s="405"/>
      <c r="N745" s="405"/>
      <c r="O745" s="405"/>
      <c r="P745" s="405"/>
      <c r="Q745" s="405"/>
      <c r="R745" s="405"/>
      <c r="S745" s="405"/>
      <c r="T745" s="405"/>
      <c r="U745" s="405"/>
      <c r="V745" s="405"/>
      <c r="W745" s="405"/>
      <c r="X745" s="405"/>
      <c r="Y745" s="405"/>
      <c r="Z745" s="405"/>
    </row>
    <row r="746" ht="14.25" customHeight="1">
      <c r="A746" s="451">
        <v>45530.0</v>
      </c>
      <c r="B746" s="344" t="s">
        <v>3099</v>
      </c>
      <c r="C746" s="344" t="s">
        <v>3100</v>
      </c>
      <c r="D746" s="344" t="s">
        <v>54</v>
      </c>
      <c r="E746" s="344" t="s">
        <v>3308</v>
      </c>
      <c r="F746" s="430">
        <v>117000.0</v>
      </c>
      <c r="G746" s="413">
        <v>0.0</v>
      </c>
      <c r="H746" s="732"/>
      <c r="I746" s="405"/>
      <c r="J746" s="405"/>
      <c r="K746" s="405"/>
      <c r="L746" s="405"/>
      <c r="M746" s="405"/>
      <c r="N746" s="405"/>
      <c r="O746" s="405"/>
      <c r="P746" s="405"/>
      <c r="Q746" s="405"/>
      <c r="R746" s="405"/>
      <c r="S746" s="405"/>
      <c r="T746" s="405"/>
      <c r="U746" s="405"/>
      <c r="V746" s="405"/>
      <c r="W746" s="405"/>
      <c r="X746" s="405"/>
      <c r="Y746" s="405"/>
      <c r="Z746" s="405"/>
    </row>
    <row r="747" ht="14.25" customHeight="1">
      <c r="A747" s="451">
        <v>45530.0</v>
      </c>
      <c r="B747" s="344" t="s">
        <v>3134</v>
      </c>
      <c r="C747" s="344" t="s">
        <v>3176</v>
      </c>
      <c r="D747" s="417" t="s">
        <v>54</v>
      </c>
      <c r="E747" s="344" t="s">
        <v>3078</v>
      </c>
      <c r="F747" s="743">
        <v>83000.0</v>
      </c>
      <c r="G747" s="413">
        <v>0.0</v>
      </c>
      <c r="H747" s="732" t="s">
        <v>3478</v>
      </c>
      <c r="I747" s="405"/>
      <c r="J747" s="405"/>
      <c r="K747" s="405"/>
      <c r="L747" s="405"/>
      <c r="M747" s="405"/>
      <c r="N747" s="405"/>
      <c r="O747" s="405"/>
      <c r="P747" s="405"/>
      <c r="Q747" s="405"/>
      <c r="R747" s="405"/>
      <c r="S747" s="405"/>
      <c r="T747" s="405"/>
      <c r="U747" s="405"/>
      <c r="V747" s="405"/>
      <c r="W747" s="405"/>
      <c r="X747" s="405"/>
      <c r="Y747" s="405"/>
      <c r="Z747" s="405"/>
    </row>
    <row r="748" ht="14.25" customHeight="1">
      <c r="A748" s="451">
        <v>45530.0</v>
      </c>
      <c r="B748" s="417" t="s">
        <v>3076</v>
      </c>
      <c r="C748" s="417" t="s">
        <v>3077</v>
      </c>
      <c r="D748" s="417" t="s">
        <v>54</v>
      </c>
      <c r="E748" s="344" t="s">
        <v>3078</v>
      </c>
      <c r="F748" s="69">
        <v>2150.0</v>
      </c>
      <c r="G748" s="413">
        <v>0.0</v>
      </c>
      <c r="H748" s="732" t="s">
        <v>3479</v>
      </c>
      <c r="I748" s="405"/>
      <c r="J748" s="405"/>
      <c r="K748" s="405"/>
      <c r="L748" s="405"/>
      <c r="M748" s="405"/>
      <c r="N748" s="405"/>
      <c r="O748" s="405"/>
      <c r="P748" s="405"/>
      <c r="Q748" s="405"/>
      <c r="R748" s="405"/>
      <c r="S748" s="405"/>
      <c r="T748" s="405"/>
      <c r="U748" s="405"/>
      <c r="V748" s="405"/>
      <c r="W748" s="405"/>
      <c r="X748" s="405"/>
      <c r="Y748" s="405"/>
      <c r="Z748" s="405"/>
    </row>
    <row r="749" ht="14.25" customHeight="1">
      <c r="A749" s="451">
        <v>45530.0</v>
      </c>
      <c r="B749" s="417" t="s">
        <v>3173</v>
      </c>
      <c r="C749" s="417" t="s">
        <v>3174</v>
      </c>
      <c r="D749" s="417" t="s">
        <v>54</v>
      </c>
      <c r="E749" s="344" t="s">
        <v>3101</v>
      </c>
      <c r="F749" s="73">
        <v>16000.0</v>
      </c>
      <c r="G749" s="413">
        <v>0.0</v>
      </c>
      <c r="H749" s="732" t="s">
        <v>3480</v>
      </c>
      <c r="I749" s="405"/>
      <c r="J749" s="405"/>
      <c r="K749" s="405"/>
      <c r="L749" s="405"/>
      <c r="M749" s="405"/>
      <c r="N749" s="405"/>
      <c r="O749" s="405"/>
      <c r="P749" s="405"/>
      <c r="Q749" s="405"/>
      <c r="R749" s="405"/>
      <c r="S749" s="405"/>
      <c r="T749" s="405"/>
      <c r="U749" s="405"/>
      <c r="V749" s="405"/>
      <c r="W749" s="405"/>
      <c r="X749" s="405"/>
      <c r="Y749" s="405"/>
      <c r="Z749" s="405"/>
    </row>
    <row r="750" ht="14.25" customHeight="1">
      <c r="A750" s="451">
        <v>45530.0</v>
      </c>
      <c r="B750" s="417" t="s">
        <v>3193</v>
      </c>
      <c r="C750" s="417" t="s">
        <v>3194</v>
      </c>
      <c r="D750" s="417" t="s">
        <v>3189</v>
      </c>
      <c r="E750" s="417" t="s">
        <v>3078</v>
      </c>
      <c r="F750" s="73">
        <v>173000.0</v>
      </c>
      <c r="G750" s="413">
        <v>0.0</v>
      </c>
      <c r="H750" s="419" t="s">
        <v>3481</v>
      </c>
      <c r="I750" s="405"/>
      <c r="J750" s="405"/>
      <c r="K750" s="405"/>
      <c r="L750" s="405"/>
      <c r="M750" s="405"/>
      <c r="N750" s="405"/>
      <c r="O750" s="405"/>
      <c r="P750" s="405"/>
      <c r="Q750" s="405"/>
      <c r="R750" s="405"/>
      <c r="S750" s="405"/>
      <c r="T750" s="405"/>
      <c r="U750" s="405"/>
      <c r="V750" s="405"/>
      <c r="W750" s="405"/>
      <c r="X750" s="405"/>
      <c r="Y750" s="405"/>
      <c r="Z750" s="405"/>
    </row>
    <row r="751" ht="14.25" customHeight="1">
      <c r="A751" s="451">
        <v>45530.0</v>
      </c>
      <c r="B751" s="417" t="s">
        <v>3278</v>
      </c>
      <c r="C751" s="417" t="s">
        <v>3232</v>
      </c>
      <c r="D751" s="417" t="s">
        <v>54</v>
      </c>
      <c r="E751" s="344" t="s">
        <v>3308</v>
      </c>
      <c r="F751" s="73">
        <v>800.0</v>
      </c>
      <c r="G751" s="413">
        <v>0.0</v>
      </c>
      <c r="H751" s="732"/>
      <c r="I751" s="405"/>
      <c r="J751" s="405"/>
      <c r="K751" s="405"/>
      <c r="L751" s="405"/>
      <c r="M751" s="405"/>
      <c r="N751" s="405"/>
      <c r="O751" s="405"/>
      <c r="P751" s="405"/>
      <c r="Q751" s="405"/>
      <c r="R751" s="405"/>
      <c r="S751" s="405"/>
      <c r="T751" s="405"/>
      <c r="U751" s="405"/>
      <c r="V751" s="405"/>
      <c r="W751" s="405"/>
      <c r="X751" s="405"/>
      <c r="Y751" s="405"/>
      <c r="Z751" s="405"/>
    </row>
    <row r="752" ht="14.25" customHeight="1">
      <c r="A752" s="451">
        <v>45530.0</v>
      </c>
      <c r="B752" s="417" t="s">
        <v>3083</v>
      </c>
      <c r="C752" s="417" t="s">
        <v>3084</v>
      </c>
      <c r="D752" s="417" t="s">
        <v>54</v>
      </c>
      <c r="E752" s="417" t="s">
        <v>3101</v>
      </c>
      <c r="F752" s="69">
        <v>2500.0</v>
      </c>
      <c r="G752" s="413">
        <v>0.0</v>
      </c>
      <c r="H752" s="732" t="s">
        <v>3482</v>
      </c>
      <c r="I752" s="405"/>
      <c r="J752" s="405"/>
      <c r="K752" s="405"/>
      <c r="L752" s="405"/>
      <c r="M752" s="405"/>
      <c r="N752" s="405"/>
      <c r="O752" s="405"/>
      <c r="P752" s="405"/>
      <c r="Q752" s="405"/>
      <c r="R752" s="405"/>
      <c r="S752" s="405"/>
      <c r="T752" s="405"/>
      <c r="U752" s="405"/>
      <c r="V752" s="405"/>
      <c r="W752" s="405"/>
      <c r="X752" s="405"/>
      <c r="Y752" s="405"/>
      <c r="Z752" s="405"/>
    </row>
    <row r="753" ht="14.25" customHeight="1">
      <c r="A753" s="451">
        <v>45530.0</v>
      </c>
      <c r="B753" s="444" t="s">
        <v>3235</v>
      </c>
      <c r="C753" s="417" t="s">
        <v>3236</v>
      </c>
      <c r="D753" s="417" t="s">
        <v>3189</v>
      </c>
      <c r="E753" s="417" t="s">
        <v>3101</v>
      </c>
      <c r="F753" s="430">
        <v>267500.0</v>
      </c>
      <c r="G753" s="413">
        <v>0.0</v>
      </c>
      <c r="H753" s="732" t="s">
        <v>3350</v>
      </c>
      <c r="I753" s="405"/>
      <c r="J753" s="405"/>
      <c r="K753" s="405"/>
      <c r="L753" s="405"/>
      <c r="M753" s="405"/>
      <c r="N753" s="405"/>
      <c r="O753" s="405"/>
      <c r="P753" s="405"/>
      <c r="Q753" s="405"/>
      <c r="R753" s="405"/>
      <c r="S753" s="405"/>
      <c r="T753" s="405"/>
      <c r="U753" s="405"/>
      <c r="V753" s="405"/>
      <c r="W753" s="405"/>
      <c r="X753" s="405"/>
      <c r="Y753" s="405"/>
      <c r="Z753" s="405"/>
    </row>
    <row r="754" ht="14.25" customHeight="1">
      <c r="A754" s="451">
        <v>45530.0</v>
      </c>
      <c r="B754" s="417" t="s">
        <v>3289</v>
      </c>
      <c r="C754" s="417" t="s">
        <v>3236</v>
      </c>
      <c r="D754" s="417" t="s">
        <v>54</v>
      </c>
      <c r="E754" s="417" t="s">
        <v>3115</v>
      </c>
      <c r="F754" s="69">
        <v>48500.0</v>
      </c>
      <c r="G754" s="413">
        <v>0.0</v>
      </c>
      <c r="H754" s="732"/>
      <c r="I754" s="405"/>
      <c r="J754" s="405"/>
      <c r="K754" s="405"/>
      <c r="L754" s="405"/>
      <c r="M754" s="405"/>
      <c r="N754" s="405"/>
      <c r="O754" s="405"/>
      <c r="P754" s="405"/>
      <c r="Q754" s="405"/>
      <c r="R754" s="405"/>
      <c r="S754" s="405"/>
      <c r="T754" s="405"/>
      <c r="U754" s="405"/>
      <c r="V754" s="405"/>
      <c r="W754" s="405"/>
      <c r="X754" s="405"/>
      <c r="Y754" s="405"/>
      <c r="Z754" s="405"/>
    </row>
    <row r="755" ht="14.25" customHeight="1">
      <c r="A755" s="451">
        <v>45530.0</v>
      </c>
      <c r="B755" s="417" t="s">
        <v>3290</v>
      </c>
      <c r="C755" s="417" t="s">
        <v>3291</v>
      </c>
      <c r="D755" s="417" t="s">
        <v>54</v>
      </c>
      <c r="E755" s="417" t="s">
        <v>3101</v>
      </c>
      <c r="F755" s="69">
        <v>4000.0</v>
      </c>
      <c r="G755" s="413">
        <v>0.0</v>
      </c>
      <c r="H755" s="732" t="s">
        <v>3483</v>
      </c>
      <c r="I755" s="405"/>
      <c r="J755" s="405"/>
      <c r="K755" s="405"/>
      <c r="L755" s="405"/>
      <c r="M755" s="405"/>
      <c r="N755" s="405"/>
      <c r="O755" s="405"/>
      <c r="P755" s="405"/>
      <c r="Q755" s="405"/>
      <c r="R755" s="405"/>
      <c r="S755" s="405"/>
      <c r="T755" s="405"/>
      <c r="U755" s="405"/>
      <c r="V755" s="405"/>
      <c r="W755" s="405"/>
      <c r="X755" s="405"/>
      <c r="Y755" s="405"/>
      <c r="Z755" s="405"/>
    </row>
    <row r="756" ht="14.25" customHeight="1">
      <c r="A756" s="451">
        <v>45530.0</v>
      </c>
      <c r="B756" s="417" t="s">
        <v>3341</v>
      </c>
      <c r="C756" s="417" t="s">
        <v>3209</v>
      </c>
      <c r="D756" s="417" t="s">
        <v>467</v>
      </c>
      <c r="E756" s="344" t="s">
        <v>3101</v>
      </c>
      <c r="F756" s="69">
        <v>5640.0</v>
      </c>
      <c r="G756" s="413">
        <v>0.0</v>
      </c>
      <c r="H756" s="732"/>
      <c r="I756" s="405"/>
      <c r="J756" s="405"/>
      <c r="K756" s="405"/>
      <c r="L756" s="405"/>
      <c r="M756" s="405"/>
      <c r="N756" s="405"/>
      <c r="O756" s="405"/>
      <c r="P756" s="405"/>
      <c r="Q756" s="405"/>
      <c r="R756" s="405"/>
      <c r="S756" s="405"/>
      <c r="T756" s="405"/>
      <c r="U756" s="405"/>
      <c r="V756" s="405"/>
      <c r="W756" s="405"/>
      <c r="X756" s="405"/>
      <c r="Y756" s="405"/>
      <c r="Z756" s="405"/>
    </row>
    <row r="757" ht="14.25" customHeight="1">
      <c r="A757" s="451">
        <v>45530.0</v>
      </c>
      <c r="B757" s="417" t="s">
        <v>3357</v>
      </c>
      <c r="C757" s="417" t="s">
        <v>3338</v>
      </c>
      <c r="D757" s="417" t="s">
        <v>54</v>
      </c>
      <c r="E757" s="417" t="s">
        <v>3101</v>
      </c>
      <c r="F757" s="69">
        <v>43500.0</v>
      </c>
      <c r="G757" s="413">
        <v>0.0</v>
      </c>
      <c r="H757" s="732"/>
      <c r="I757" s="405"/>
      <c r="J757" s="405"/>
      <c r="K757" s="405"/>
      <c r="L757" s="405"/>
      <c r="M757" s="405"/>
      <c r="N757" s="405"/>
      <c r="O757" s="405"/>
      <c r="P757" s="405"/>
      <c r="Q757" s="405"/>
      <c r="R757" s="405"/>
      <c r="S757" s="405"/>
      <c r="T757" s="405"/>
      <c r="U757" s="405"/>
      <c r="V757" s="405"/>
      <c r="W757" s="405"/>
      <c r="X757" s="405"/>
      <c r="Y757" s="405"/>
      <c r="Z757" s="405"/>
    </row>
    <row r="758" ht="14.25" customHeight="1">
      <c r="A758" s="451">
        <v>45530.0</v>
      </c>
      <c r="B758" s="417" t="s">
        <v>3371</v>
      </c>
      <c r="C758" s="417" t="s">
        <v>3291</v>
      </c>
      <c r="D758" s="417" t="s">
        <v>3189</v>
      </c>
      <c r="E758" s="417" t="s">
        <v>3101</v>
      </c>
      <c r="F758" s="69">
        <v>85300.0</v>
      </c>
      <c r="G758" s="413">
        <v>0.0</v>
      </c>
      <c r="H758" s="732"/>
      <c r="I758" s="405"/>
      <c r="J758" s="405"/>
      <c r="K758" s="405"/>
      <c r="L758" s="405"/>
      <c r="M758" s="405"/>
      <c r="N758" s="405"/>
      <c r="O758" s="405"/>
      <c r="P758" s="405"/>
      <c r="Q758" s="405"/>
      <c r="R758" s="405"/>
      <c r="S758" s="405"/>
      <c r="T758" s="405"/>
      <c r="U758" s="405"/>
      <c r="V758" s="405"/>
      <c r="W758" s="405"/>
      <c r="X758" s="405"/>
      <c r="Y758" s="405"/>
      <c r="Z758" s="405"/>
    </row>
    <row r="759" ht="14.25" customHeight="1">
      <c r="A759" s="451">
        <v>45530.0</v>
      </c>
      <c r="B759" s="417" t="s">
        <v>3409</v>
      </c>
      <c r="C759" s="417" t="s">
        <v>3410</v>
      </c>
      <c r="D759" s="417" t="s">
        <v>54</v>
      </c>
      <c r="E759" s="417" t="s">
        <v>3101</v>
      </c>
      <c r="F759" s="69">
        <v>91805.0</v>
      </c>
      <c r="G759" s="413">
        <v>0.0</v>
      </c>
      <c r="H759" s="732" t="s">
        <v>3262</v>
      </c>
      <c r="I759" s="405"/>
      <c r="J759" s="405"/>
      <c r="K759" s="405"/>
      <c r="L759" s="405"/>
      <c r="M759" s="405"/>
      <c r="N759" s="405"/>
      <c r="O759" s="405"/>
      <c r="P759" s="405"/>
      <c r="Q759" s="405"/>
      <c r="R759" s="405"/>
      <c r="S759" s="405"/>
      <c r="T759" s="405"/>
      <c r="U759" s="405"/>
      <c r="V759" s="405"/>
      <c r="W759" s="405"/>
      <c r="X759" s="405"/>
      <c r="Y759" s="405"/>
      <c r="Z759" s="405"/>
    </row>
    <row r="760" ht="14.25" customHeight="1">
      <c r="A760" s="451">
        <v>45530.0</v>
      </c>
      <c r="B760" s="417" t="s">
        <v>3111</v>
      </c>
      <c r="C760" s="417" t="s">
        <v>3112</v>
      </c>
      <c r="D760" s="417" t="s">
        <v>54</v>
      </c>
      <c r="E760" s="417" t="s">
        <v>3078</v>
      </c>
      <c r="F760" s="69">
        <v>12700.0</v>
      </c>
      <c r="G760" s="413">
        <v>20000.0</v>
      </c>
      <c r="H760" s="732" t="s">
        <v>3375</v>
      </c>
      <c r="I760" s="405"/>
      <c r="J760" s="405"/>
      <c r="K760" s="405"/>
      <c r="L760" s="405"/>
      <c r="M760" s="405"/>
      <c r="N760" s="405"/>
      <c r="O760" s="405"/>
      <c r="P760" s="405"/>
      <c r="Q760" s="405"/>
      <c r="R760" s="405"/>
      <c r="S760" s="405"/>
      <c r="T760" s="405"/>
      <c r="U760" s="405"/>
      <c r="V760" s="405"/>
      <c r="W760" s="405"/>
      <c r="X760" s="405"/>
      <c r="Y760" s="405"/>
      <c r="Z760" s="405"/>
    </row>
    <row r="761" ht="14.25" customHeight="1">
      <c r="A761" s="451">
        <v>45530.0</v>
      </c>
      <c r="B761" s="417" t="s">
        <v>3107</v>
      </c>
      <c r="C761" s="417" t="s">
        <v>3108</v>
      </c>
      <c r="D761" s="417" t="s">
        <v>54</v>
      </c>
      <c r="E761" s="417" t="s">
        <v>3101</v>
      </c>
      <c r="F761" s="69">
        <v>55100.0</v>
      </c>
      <c r="G761" s="413">
        <v>0.0</v>
      </c>
      <c r="H761" s="732" t="s">
        <v>3484</v>
      </c>
      <c r="I761" s="405"/>
      <c r="J761" s="405"/>
      <c r="K761" s="405"/>
      <c r="L761" s="405"/>
      <c r="M761" s="405"/>
      <c r="N761" s="405"/>
      <c r="O761" s="405"/>
      <c r="P761" s="405"/>
      <c r="Q761" s="405"/>
      <c r="R761" s="405"/>
      <c r="S761" s="405"/>
      <c r="T761" s="405"/>
      <c r="U761" s="405"/>
      <c r="V761" s="405"/>
      <c r="W761" s="405"/>
      <c r="X761" s="405"/>
      <c r="Y761" s="405"/>
      <c r="Z761" s="405"/>
    </row>
    <row r="762" ht="14.25" customHeight="1">
      <c r="A762" s="451">
        <v>45530.0</v>
      </c>
      <c r="B762" s="417" t="s">
        <v>3412</v>
      </c>
      <c r="C762" s="417" t="s">
        <v>3238</v>
      </c>
      <c r="D762" s="417" t="s">
        <v>54</v>
      </c>
      <c r="E762" s="417" t="s">
        <v>3078</v>
      </c>
      <c r="F762" s="69">
        <v>19000.0</v>
      </c>
      <c r="G762" s="413">
        <v>5000.0</v>
      </c>
      <c r="H762" s="732" t="s">
        <v>3485</v>
      </c>
      <c r="I762" s="405"/>
      <c r="J762" s="405"/>
      <c r="K762" s="405"/>
      <c r="L762" s="405"/>
      <c r="M762" s="405"/>
      <c r="N762" s="405"/>
      <c r="O762" s="405"/>
      <c r="P762" s="405"/>
      <c r="Q762" s="405"/>
      <c r="R762" s="405"/>
      <c r="S762" s="405"/>
      <c r="T762" s="405"/>
      <c r="U762" s="405"/>
      <c r="V762" s="405"/>
      <c r="W762" s="405"/>
      <c r="X762" s="405"/>
      <c r="Y762" s="405"/>
      <c r="Z762" s="405"/>
    </row>
    <row r="763" ht="14.25" customHeight="1">
      <c r="A763" s="451">
        <v>45530.0</v>
      </c>
      <c r="B763" s="417" t="s">
        <v>3416</v>
      </c>
      <c r="C763" s="417" t="s">
        <v>3417</v>
      </c>
      <c r="D763" s="417" t="s">
        <v>54</v>
      </c>
      <c r="E763" s="417" t="s">
        <v>3078</v>
      </c>
      <c r="F763" s="69">
        <v>136352.6</v>
      </c>
      <c r="G763" s="413">
        <v>0.0</v>
      </c>
      <c r="H763" s="732" t="s">
        <v>3486</v>
      </c>
      <c r="I763" s="405"/>
      <c r="J763" s="405"/>
      <c r="K763" s="405"/>
      <c r="L763" s="405"/>
      <c r="M763" s="405"/>
      <c r="N763" s="405"/>
      <c r="O763" s="405"/>
      <c r="P763" s="405"/>
      <c r="Q763" s="405"/>
      <c r="R763" s="405"/>
      <c r="S763" s="405"/>
      <c r="T763" s="405"/>
      <c r="U763" s="405"/>
      <c r="V763" s="405"/>
      <c r="W763" s="405"/>
      <c r="X763" s="405"/>
      <c r="Y763" s="405"/>
      <c r="Z763" s="405"/>
    </row>
    <row r="764" ht="14.25" customHeight="1">
      <c r="A764" s="451">
        <v>45530.0</v>
      </c>
      <c r="B764" s="417" t="s">
        <v>3418</v>
      </c>
      <c r="C764" s="417" t="s">
        <v>3417</v>
      </c>
      <c r="D764" s="417" t="s">
        <v>467</v>
      </c>
      <c r="E764" s="417" t="s">
        <v>3078</v>
      </c>
      <c r="F764" s="69">
        <v>15834.08</v>
      </c>
      <c r="G764" s="413">
        <v>0.0</v>
      </c>
      <c r="H764" s="732" t="s">
        <v>3486</v>
      </c>
      <c r="I764" s="405"/>
      <c r="J764" s="405"/>
      <c r="K764" s="405"/>
      <c r="L764" s="405"/>
      <c r="M764" s="405"/>
      <c r="N764" s="405"/>
      <c r="O764" s="405"/>
      <c r="P764" s="405"/>
      <c r="Q764" s="405"/>
      <c r="R764" s="405"/>
      <c r="S764" s="405"/>
      <c r="T764" s="405"/>
      <c r="U764" s="405"/>
      <c r="V764" s="405"/>
      <c r="W764" s="405"/>
      <c r="X764" s="405"/>
      <c r="Y764" s="405"/>
      <c r="Z764" s="405"/>
    </row>
    <row r="765" ht="14.25" customHeight="1">
      <c r="A765" s="451">
        <v>45530.0</v>
      </c>
      <c r="B765" s="417" t="s">
        <v>3128</v>
      </c>
      <c r="C765" s="417" t="s">
        <v>3129</v>
      </c>
      <c r="D765" s="417" t="s">
        <v>54</v>
      </c>
      <c r="E765" s="417" t="s">
        <v>3308</v>
      </c>
      <c r="F765" s="73">
        <v>44000.0</v>
      </c>
      <c r="G765" s="413">
        <v>0.0</v>
      </c>
      <c r="H765" s="732"/>
      <c r="I765" s="405"/>
      <c r="J765" s="405"/>
      <c r="K765" s="405"/>
      <c r="L765" s="405"/>
      <c r="M765" s="405"/>
      <c r="N765" s="405"/>
      <c r="O765" s="405"/>
      <c r="P765" s="405"/>
      <c r="Q765" s="405"/>
      <c r="R765" s="405"/>
      <c r="S765" s="405"/>
      <c r="T765" s="405"/>
      <c r="U765" s="405"/>
      <c r="V765" s="405"/>
      <c r="W765" s="405"/>
      <c r="X765" s="405"/>
      <c r="Y765" s="405"/>
      <c r="Z765" s="405"/>
    </row>
    <row r="766" ht="14.25" customHeight="1">
      <c r="A766" s="451">
        <v>45530.0</v>
      </c>
      <c r="B766" s="417" t="s">
        <v>3120</v>
      </c>
      <c r="C766" s="417" t="s">
        <v>3121</v>
      </c>
      <c r="D766" s="417" t="s">
        <v>54</v>
      </c>
      <c r="E766" s="417" t="s">
        <v>3078</v>
      </c>
      <c r="F766" s="413">
        <v>18920.0</v>
      </c>
      <c r="G766" s="413">
        <v>0.0</v>
      </c>
      <c r="H766" s="349" t="s">
        <v>3487</v>
      </c>
      <c r="I766" s="405"/>
      <c r="J766" s="405"/>
      <c r="K766" s="405"/>
      <c r="L766" s="405"/>
      <c r="M766" s="405"/>
      <c r="N766" s="405"/>
      <c r="O766" s="405"/>
      <c r="P766" s="405"/>
      <c r="Q766" s="405"/>
      <c r="R766" s="405"/>
      <c r="S766" s="405"/>
      <c r="T766" s="405"/>
      <c r="U766" s="405"/>
      <c r="V766" s="405"/>
      <c r="W766" s="405"/>
      <c r="X766" s="405"/>
      <c r="Y766" s="405"/>
      <c r="Z766" s="405"/>
    </row>
    <row r="767" ht="14.25" customHeight="1">
      <c r="A767" s="451">
        <v>45530.0</v>
      </c>
      <c r="B767" s="417" t="s">
        <v>3125</v>
      </c>
      <c r="C767" s="417" t="s">
        <v>3121</v>
      </c>
      <c r="D767" s="417" t="s">
        <v>467</v>
      </c>
      <c r="E767" s="417" t="s">
        <v>3078</v>
      </c>
      <c r="F767" s="69">
        <v>4200.0</v>
      </c>
      <c r="G767" s="413">
        <v>0.0</v>
      </c>
      <c r="H767" s="732" t="s">
        <v>3487</v>
      </c>
      <c r="I767" s="405"/>
      <c r="J767" s="405"/>
      <c r="K767" s="405"/>
      <c r="L767" s="405"/>
      <c r="M767" s="405"/>
      <c r="N767" s="405"/>
      <c r="O767" s="405"/>
      <c r="P767" s="405"/>
      <c r="Q767" s="405"/>
      <c r="R767" s="405"/>
      <c r="S767" s="405"/>
      <c r="T767" s="405"/>
      <c r="U767" s="405"/>
      <c r="V767" s="405"/>
      <c r="W767" s="405"/>
      <c r="X767" s="405"/>
      <c r="Y767" s="405"/>
      <c r="Z767" s="405"/>
    </row>
    <row r="768" ht="14.25" customHeight="1">
      <c r="A768" s="451">
        <v>45530.0</v>
      </c>
      <c r="B768" s="417" t="s">
        <v>3126</v>
      </c>
      <c r="C768" s="417" t="s">
        <v>3127</v>
      </c>
      <c r="D768" s="417" t="s">
        <v>54</v>
      </c>
      <c r="E768" s="744" t="s">
        <v>3308</v>
      </c>
      <c r="F768" s="413">
        <v>4000.0</v>
      </c>
      <c r="G768" s="413">
        <v>0.0</v>
      </c>
      <c r="H768" s="732"/>
      <c r="I768" s="405"/>
      <c r="J768" s="405"/>
      <c r="K768" s="405"/>
      <c r="L768" s="405"/>
      <c r="M768" s="405"/>
      <c r="N768" s="405"/>
      <c r="O768" s="405"/>
      <c r="P768" s="405"/>
      <c r="Q768" s="405"/>
      <c r="R768" s="405"/>
      <c r="S768" s="405"/>
      <c r="T768" s="405"/>
      <c r="U768" s="405"/>
      <c r="V768" s="405"/>
      <c r="W768" s="405"/>
      <c r="X768" s="405"/>
      <c r="Y768" s="405"/>
      <c r="Z768" s="405"/>
    </row>
    <row r="769" ht="14.25" customHeight="1">
      <c r="A769" s="405"/>
      <c r="B769" s="405"/>
      <c r="C769" s="405"/>
      <c r="D769" s="405"/>
      <c r="E769" s="405"/>
      <c r="F769" s="583"/>
      <c r="G769" s="583"/>
      <c r="H769" s="405"/>
      <c r="I769" s="405"/>
      <c r="J769" s="405"/>
      <c r="K769" s="405"/>
      <c r="L769" s="405"/>
      <c r="M769" s="405"/>
      <c r="N769" s="405"/>
      <c r="O769" s="405"/>
      <c r="P769" s="405"/>
      <c r="Q769" s="405"/>
      <c r="R769" s="405"/>
      <c r="S769" s="405"/>
      <c r="T769" s="405"/>
      <c r="U769" s="405"/>
      <c r="V769" s="405"/>
      <c r="W769" s="405"/>
      <c r="X769" s="405"/>
      <c r="Y769" s="405"/>
      <c r="Z769" s="405"/>
    </row>
    <row r="770" ht="14.25" customHeight="1">
      <c r="A770" s="740" t="s">
        <v>39</v>
      </c>
      <c r="B770" s="740" t="s">
        <v>3075</v>
      </c>
      <c r="C770" s="740" t="s">
        <v>49</v>
      </c>
      <c r="D770" s="740" t="s">
        <v>50</v>
      </c>
      <c r="E770" s="741" t="s">
        <v>2</v>
      </c>
      <c r="F770" s="741" t="s">
        <v>2</v>
      </c>
      <c r="G770" s="741" t="s">
        <v>4</v>
      </c>
      <c r="H770" s="740" t="s">
        <v>45</v>
      </c>
      <c r="I770" s="405"/>
      <c r="J770" s="405"/>
      <c r="K770" s="405"/>
      <c r="L770" s="405"/>
      <c r="M770" s="405"/>
      <c r="N770" s="405"/>
      <c r="O770" s="405"/>
      <c r="P770" s="405"/>
      <c r="Q770" s="405"/>
      <c r="R770" s="405"/>
      <c r="S770" s="405"/>
      <c r="T770" s="405"/>
      <c r="U770" s="405"/>
      <c r="V770" s="405"/>
      <c r="W770" s="405"/>
      <c r="X770" s="405"/>
      <c r="Y770" s="405"/>
      <c r="Z770" s="405"/>
    </row>
    <row r="771" ht="14.25" customHeight="1">
      <c r="A771" s="451">
        <v>45531.0</v>
      </c>
      <c r="B771" s="344" t="s">
        <v>3087</v>
      </c>
      <c r="C771" s="344" t="s">
        <v>3088</v>
      </c>
      <c r="D771" s="344" t="s">
        <v>54</v>
      </c>
      <c r="E771" s="344" t="s">
        <v>3308</v>
      </c>
      <c r="F771" s="442">
        <v>14000.0</v>
      </c>
      <c r="G771" s="413">
        <v>0.0</v>
      </c>
      <c r="H771" s="732"/>
      <c r="I771" s="405"/>
      <c r="J771" s="405"/>
      <c r="K771" s="405"/>
      <c r="L771" s="405"/>
      <c r="M771" s="405"/>
      <c r="N771" s="405"/>
      <c r="O771" s="405"/>
      <c r="P771" s="405"/>
      <c r="Q771" s="405"/>
      <c r="R771" s="405"/>
      <c r="S771" s="405"/>
      <c r="T771" s="405"/>
      <c r="U771" s="405"/>
      <c r="V771" s="405"/>
      <c r="W771" s="405"/>
      <c r="X771" s="405"/>
      <c r="Y771" s="405"/>
      <c r="Z771" s="405"/>
    </row>
    <row r="772" ht="14.25" customHeight="1">
      <c r="A772" s="451">
        <v>45531.0</v>
      </c>
      <c r="B772" s="344" t="s">
        <v>652</v>
      </c>
      <c r="C772" s="344" t="s">
        <v>3097</v>
      </c>
      <c r="D772" s="344" t="s">
        <v>2010</v>
      </c>
      <c r="E772" s="344" t="s">
        <v>3308</v>
      </c>
      <c r="F772" s="442">
        <v>55100.0</v>
      </c>
      <c r="G772" s="413">
        <v>0.0</v>
      </c>
      <c r="H772" s="732"/>
      <c r="I772" s="405"/>
      <c r="J772" s="405"/>
      <c r="K772" s="405"/>
      <c r="L772" s="405"/>
      <c r="M772" s="405"/>
      <c r="N772" s="405"/>
      <c r="O772" s="405"/>
      <c r="P772" s="405"/>
      <c r="Q772" s="405"/>
      <c r="R772" s="405"/>
      <c r="S772" s="405"/>
      <c r="T772" s="405"/>
      <c r="U772" s="405"/>
      <c r="V772" s="405"/>
      <c r="W772" s="405"/>
      <c r="X772" s="405"/>
      <c r="Y772" s="405"/>
      <c r="Z772" s="405"/>
    </row>
    <row r="773" ht="14.25" customHeight="1">
      <c r="A773" s="451">
        <v>45531.0</v>
      </c>
      <c r="B773" s="344" t="s">
        <v>3099</v>
      </c>
      <c r="C773" s="344" t="s">
        <v>3100</v>
      </c>
      <c r="D773" s="344" t="s">
        <v>54</v>
      </c>
      <c r="E773" s="344" t="s">
        <v>3308</v>
      </c>
      <c r="F773" s="442">
        <v>125300.0</v>
      </c>
      <c r="G773" s="413">
        <v>0.0</v>
      </c>
      <c r="H773" s="732"/>
      <c r="I773" s="405"/>
      <c r="J773" s="405"/>
      <c r="K773" s="405"/>
      <c r="L773" s="405"/>
      <c r="M773" s="405"/>
      <c r="N773" s="405"/>
      <c r="O773" s="405"/>
      <c r="P773" s="405"/>
      <c r="Q773" s="405"/>
      <c r="R773" s="405"/>
      <c r="S773" s="405"/>
      <c r="T773" s="405"/>
      <c r="U773" s="405"/>
      <c r="V773" s="405"/>
      <c r="W773" s="405"/>
      <c r="X773" s="405"/>
      <c r="Y773" s="405"/>
      <c r="Z773" s="405"/>
    </row>
    <row r="774" ht="14.25" customHeight="1">
      <c r="A774" s="451">
        <v>45531.0</v>
      </c>
      <c r="B774" s="344" t="s">
        <v>3134</v>
      </c>
      <c r="C774" s="344" t="s">
        <v>3176</v>
      </c>
      <c r="D774" s="417" t="s">
        <v>54</v>
      </c>
      <c r="E774" s="344" t="s">
        <v>3078</v>
      </c>
      <c r="F774" s="743">
        <v>87150.0</v>
      </c>
      <c r="G774" s="413">
        <v>0.0</v>
      </c>
      <c r="H774" s="732" t="s">
        <v>3469</v>
      </c>
      <c r="I774" s="405"/>
      <c r="J774" s="405"/>
      <c r="K774" s="405"/>
      <c r="L774" s="405"/>
      <c r="M774" s="405"/>
      <c r="N774" s="405"/>
      <c r="O774" s="405"/>
      <c r="P774" s="405"/>
      <c r="Q774" s="405"/>
      <c r="R774" s="405"/>
      <c r="S774" s="405"/>
      <c r="T774" s="405"/>
      <c r="U774" s="405"/>
      <c r="V774" s="405"/>
      <c r="W774" s="405"/>
      <c r="X774" s="405"/>
      <c r="Y774" s="405"/>
      <c r="Z774" s="405"/>
    </row>
    <row r="775" ht="14.25" customHeight="1">
      <c r="A775" s="451">
        <v>45531.0</v>
      </c>
      <c r="B775" s="417" t="s">
        <v>3076</v>
      </c>
      <c r="C775" s="417" t="s">
        <v>3077</v>
      </c>
      <c r="D775" s="417" t="s">
        <v>54</v>
      </c>
      <c r="E775" s="344" t="s">
        <v>3078</v>
      </c>
      <c r="F775" s="73">
        <v>35750.0</v>
      </c>
      <c r="G775" s="413">
        <v>36000.0</v>
      </c>
      <c r="H775" s="732" t="s">
        <v>3375</v>
      </c>
      <c r="I775" s="405"/>
      <c r="J775" s="405"/>
      <c r="K775" s="405"/>
      <c r="L775" s="405"/>
      <c r="M775" s="405"/>
      <c r="N775" s="405"/>
      <c r="O775" s="405"/>
      <c r="P775" s="405"/>
      <c r="Q775" s="405"/>
      <c r="R775" s="405"/>
      <c r="S775" s="405"/>
      <c r="T775" s="405"/>
      <c r="U775" s="405"/>
      <c r="V775" s="405"/>
      <c r="W775" s="405"/>
      <c r="X775" s="405"/>
      <c r="Y775" s="405"/>
      <c r="Z775" s="405"/>
    </row>
    <row r="776" ht="14.25" customHeight="1">
      <c r="A776" s="451">
        <v>45531.0</v>
      </c>
      <c r="B776" s="417" t="s">
        <v>3173</v>
      </c>
      <c r="C776" s="417" t="s">
        <v>3174</v>
      </c>
      <c r="D776" s="417" t="s">
        <v>54</v>
      </c>
      <c r="E776" s="344" t="s">
        <v>3101</v>
      </c>
      <c r="F776" s="73">
        <v>16800.0</v>
      </c>
      <c r="G776" s="413">
        <v>0.0</v>
      </c>
      <c r="H776" s="732" t="s">
        <v>3488</v>
      </c>
      <c r="I776" s="405"/>
      <c r="J776" s="405"/>
      <c r="K776" s="405"/>
      <c r="L776" s="405"/>
      <c r="M776" s="405"/>
      <c r="N776" s="405"/>
      <c r="O776" s="405"/>
      <c r="P776" s="405"/>
      <c r="Q776" s="405"/>
      <c r="R776" s="405"/>
      <c r="S776" s="405"/>
      <c r="T776" s="405"/>
      <c r="U776" s="405"/>
      <c r="V776" s="405"/>
      <c r="W776" s="405"/>
      <c r="X776" s="405"/>
      <c r="Y776" s="405"/>
      <c r="Z776" s="405"/>
    </row>
    <row r="777" ht="14.25" customHeight="1">
      <c r="A777" s="451">
        <v>45531.0</v>
      </c>
      <c r="B777" s="417" t="s">
        <v>3193</v>
      </c>
      <c r="C777" s="417" t="s">
        <v>3194</v>
      </c>
      <c r="D777" s="417" t="s">
        <v>3189</v>
      </c>
      <c r="E777" s="417" t="s">
        <v>3078</v>
      </c>
      <c r="F777" s="73">
        <v>173000.0</v>
      </c>
      <c r="G777" s="413">
        <v>0.0</v>
      </c>
      <c r="H777" s="419" t="s">
        <v>3489</v>
      </c>
      <c r="I777" s="405"/>
      <c r="J777" s="405"/>
      <c r="K777" s="405"/>
      <c r="L777" s="405"/>
      <c r="M777" s="405"/>
      <c r="N777" s="405"/>
      <c r="O777" s="405"/>
      <c r="P777" s="405"/>
      <c r="Q777" s="405"/>
      <c r="R777" s="405"/>
      <c r="S777" s="405"/>
      <c r="T777" s="405"/>
      <c r="U777" s="405"/>
      <c r="V777" s="405"/>
      <c r="W777" s="405"/>
      <c r="X777" s="405"/>
      <c r="Y777" s="405"/>
      <c r="Z777" s="405"/>
    </row>
    <row r="778" ht="14.25" customHeight="1">
      <c r="A778" s="451">
        <v>45531.0</v>
      </c>
      <c r="B778" s="417" t="s">
        <v>3278</v>
      </c>
      <c r="C778" s="417" t="s">
        <v>3232</v>
      </c>
      <c r="D778" s="417" t="s">
        <v>54</v>
      </c>
      <c r="E778" s="344" t="s">
        <v>3308</v>
      </c>
      <c r="F778" s="73">
        <v>800.0</v>
      </c>
      <c r="G778" s="413">
        <v>0.0</v>
      </c>
      <c r="H778" s="732"/>
      <c r="I778" s="405"/>
      <c r="J778" s="405"/>
      <c r="K778" s="405"/>
      <c r="L778" s="405"/>
      <c r="M778" s="405"/>
      <c r="N778" s="405"/>
      <c r="O778" s="405"/>
      <c r="P778" s="405"/>
      <c r="Q778" s="405"/>
      <c r="R778" s="405"/>
      <c r="S778" s="405"/>
      <c r="T778" s="405"/>
      <c r="U778" s="405"/>
      <c r="V778" s="405"/>
      <c r="W778" s="405"/>
      <c r="X778" s="405"/>
      <c r="Y778" s="405"/>
      <c r="Z778" s="405"/>
    </row>
    <row r="779" ht="14.25" customHeight="1">
      <c r="A779" s="451">
        <v>45531.0</v>
      </c>
      <c r="B779" s="417" t="s">
        <v>3083</v>
      </c>
      <c r="C779" s="417" t="s">
        <v>3084</v>
      </c>
      <c r="D779" s="417" t="s">
        <v>54</v>
      </c>
      <c r="E779" s="417" t="s">
        <v>3101</v>
      </c>
      <c r="F779" s="73">
        <v>6500.0</v>
      </c>
      <c r="G779" s="413">
        <v>0.0</v>
      </c>
      <c r="H779" s="732" t="s">
        <v>3490</v>
      </c>
      <c r="I779" s="405"/>
      <c r="J779" s="405"/>
      <c r="K779" s="405"/>
      <c r="L779" s="405"/>
      <c r="M779" s="405"/>
      <c r="N779" s="405"/>
      <c r="O779" s="405"/>
      <c r="P779" s="405"/>
      <c r="Q779" s="405"/>
      <c r="R779" s="405"/>
      <c r="S779" s="405"/>
      <c r="T779" s="405"/>
      <c r="U779" s="405"/>
      <c r="V779" s="405"/>
      <c r="W779" s="405"/>
      <c r="X779" s="405"/>
      <c r="Y779" s="405"/>
      <c r="Z779" s="405"/>
    </row>
    <row r="780" ht="14.25" customHeight="1">
      <c r="A780" s="451">
        <v>45531.0</v>
      </c>
      <c r="B780" s="444" t="s">
        <v>3235</v>
      </c>
      <c r="C780" s="417" t="s">
        <v>3236</v>
      </c>
      <c r="D780" s="417" t="s">
        <v>3189</v>
      </c>
      <c r="E780" s="417" t="s">
        <v>3101</v>
      </c>
      <c r="F780" s="442">
        <v>280800.0</v>
      </c>
      <c r="G780" s="413">
        <v>0.0</v>
      </c>
      <c r="H780" s="732" t="s">
        <v>2200</v>
      </c>
      <c r="I780" s="405"/>
      <c r="J780" s="405"/>
      <c r="K780" s="405"/>
      <c r="L780" s="405"/>
      <c r="M780" s="405"/>
      <c r="N780" s="405"/>
      <c r="O780" s="405"/>
      <c r="P780" s="405"/>
      <c r="Q780" s="405"/>
      <c r="R780" s="405"/>
      <c r="S780" s="405"/>
      <c r="T780" s="405"/>
      <c r="U780" s="405"/>
      <c r="V780" s="405"/>
      <c r="W780" s="405"/>
      <c r="X780" s="405"/>
      <c r="Y780" s="405"/>
      <c r="Z780" s="405"/>
    </row>
    <row r="781" ht="14.25" customHeight="1">
      <c r="A781" s="451">
        <v>45531.0</v>
      </c>
      <c r="B781" s="417" t="s">
        <v>3289</v>
      </c>
      <c r="C781" s="417" t="s">
        <v>3236</v>
      </c>
      <c r="D781" s="417" t="s">
        <v>54</v>
      </c>
      <c r="E781" s="417" t="s">
        <v>3115</v>
      </c>
      <c r="F781" s="73">
        <v>50700.0</v>
      </c>
      <c r="G781" s="413">
        <v>0.0</v>
      </c>
      <c r="H781" s="732"/>
      <c r="I781" s="405"/>
      <c r="J781" s="405"/>
      <c r="K781" s="405"/>
      <c r="L781" s="405"/>
      <c r="M781" s="405"/>
      <c r="N781" s="405"/>
      <c r="O781" s="405"/>
      <c r="P781" s="405"/>
      <c r="Q781" s="405"/>
      <c r="R781" s="405"/>
      <c r="S781" s="405"/>
      <c r="T781" s="405"/>
      <c r="U781" s="405"/>
      <c r="V781" s="405"/>
      <c r="W781" s="405"/>
      <c r="X781" s="405"/>
      <c r="Y781" s="405"/>
      <c r="Z781" s="405"/>
    </row>
    <row r="782" ht="14.25" customHeight="1">
      <c r="A782" s="451">
        <v>45531.0</v>
      </c>
      <c r="B782" s="417" t="s">
        <v>3290</v>
      </c>
      <c r="C782" s="417" t="s">
        <v>3291</v>
      </c>
      <c r="D782" s="417" t="s">
        <v>54</v>
      </c>
      <c r="E782" s="417" t="s">
        <v>3101</v>
      </c>
      <c r="F782" s="73">
        <v>4500.0</v>
      </c>
      <c r="G782" s="413">
        <v>0.0</v>
      </c>
      <c r="H782" s="732" t="s">
        <v>2200</v>
      </c>
      <c r="I782" s="405"/>
      <c r="J782" s="405"/>
      <c r="K782" s="405"/>
      <c r="L782" s="405"/>
      <c r="M782" s="405"/>
      <c r="N782" s="405"/>
      <c r="O782" s="405"/>
      <c r="P782" s="405"/>
      <c r="Q782" s="405"/>
      <c r="R782" s="405"/>
      <c r="S782" s="405"/>
      <c r="T782" s="405"/>
      <c r="U782" s="405"/>
      <c r="V782" s="405"/>
      <c r="W782" s="405"/>
      <c r="X782" s="405"/>
      <c r="Y782" s="405"/>
      <c r="Z782" s="405"/>
    </row>
    <row r="783" ht="14.25" customHeight="1">
      <c r="A783" s="451">
        <v>45531.0</v>
      </c>
      <c r="B783" s="417" t="s">
        <v>3341</v>
      </c>
      <c r="C783" s="417" t="s">
        <v>3209</v>
      </c>
      <c r="D783" s="417" t="s">
        <v>467</v>
      </c>
      <c r="E783" s="344" t="s">
        <v>3101</v>
      </c>
      <c r="F783" s="73">
        <v>6900.0</v>
      </c>
      <c r="G783" s="413">
        <v>0.0</v>
      </c>
      <c r="H783" s="732" t="s">
        <v>3491</v>
      </c>
      <c r="I783" s="405"/>
      <c r="J783" s="405"/>
      <c r="K783" s="405"/>
      <c r="L783" s="405"/>
      <c r="M783" s="405"/>
      <c r="N783" s="405"/>
      <c r="O783" s="405"/>
      <c r="P783" s="405"/>
      <c r="Q783" s="405"/>
      <c r="R783" s="405"/>
      <c r="S783" s="405"/>
      <c r="T783" s="405"/>
      <c r="U783" s="405"/>
      <c r="V783" s="405"/>
      <c r="W783" s="405"/>
      <c r="X783" s="405"/>
      <c r="Y783" s="405"/>
      <c r="Z783" s="405"/>
    </row>
    <row r="784" ht="14.25" customHeight="1">
      <c r="A784" s="451">
        <v>45531.0</v>
      </c>
      <c r="B784" s="417" t="s">
        <v>3357</v>
      </c>
      <c r="C784" s="417" t="s">
        <v>3338</v>
      </c>
      <c r="D784" s="417" t="s">
        <v>54</v>
      </c>
      <c r="E784" s="417" t="s">
        <v>3101</v>
      </c>
      <c r="F784" s="69">
        <v>43500.0</v>
      </c>
      <c r="G784" s="413">
        <v>0.0</v>
      </c>
      <c r="H784" s="732" t="s">
        <v>3492</v>
      </c>
      <c r="I784" s="405"/>
      <c r="J784" s="405"/>
      <c r="K784" s="405"/>
      <c r="L784" s="405"/>
      <c r="M784" s="405"/>
      <c r="N784" s="405"/>
      <c r="O784" s="405"/>
      <c r="P784" s="405"/>
      <c r="Q784" s="405"/>
      <c r="R784" s="405"/>
      <c r="S784" s="405"/>
      <c r="T784" s="405"/>
      <c r="U784" s="405"/>
      <c r="V784" s="405"/>
      <c r="W784" s="405"/>
      <c r="X784" s="405"/>
      <c r="Y784" s="405"/>
      <c r="Z784" s="405"/>
    </row>
    <row r="785" ht="14.25" customHeight="1">
      <c r="A785" s="451">
        <v>45531.0</v>
      </c>
      <c r="B785" s="417" t="s">
        <v>3371</v>
      </c>
      <c r="C785" s="417" t="s">
        <v>3291</v>
      </c>
      <c r="D785" s="417" t="s">
        <v>3189</v>
      </c>
      <c r="E785" s="417" t="s">
        <v>3101</v>
      </c>
      <c r="F785" s="73">
        <v>95100.0</v>
      </c>
      <c r="G785" s="413">
        <v>0.0</v>
      </c>
      <c r="H785" s="732" t="s">
        <v>3493</v>
      </c>
      <c r="I785" s="405"/>
      <c r="J785" s="405"/>
      <c r="K785" s="405"/>
      <c r="L785" s="405"/>
      <c r="M785" s="405"/>
      <c r="N785" s="405"/>
      <c r="O785" s="405"/>
      <c r="P785" s="405"/>
      <c r="Q785" s="405"/>
      <c r="R785" s="405"/>
      <c r="S785" s="405"/>
      <c r="T785" s="405"/>
      <c r="U785" s="405"/>
      <c r="V785" s="405"/>
      <c r="W785" s="405"/>
      <c r="X785" s="405"/>
      <c r="Y785" s="405"/>
      <c r="Z785" s="405"/>
    </row>
    <row r="786" ht="14.25" customHeight="1">
      <c r="A786" s="451">
        <v>45531.0</v>
      </c>
      <c r="B786" s="417" t="s">
        <v>3409</v>
      </c>
      <c r="C786" s="417" t="s">
        <v>3410</v>
      </c>
      <c r="D786" s="417" t="s">
        <v>54</v>
      </c>
      <c r="E786" s="417" t="s">
        <v>3101</v>
      </c>
      <c r="F786" s="73">
        <v>64800.0</v>
      </c>
      <c r="G786" s="413">
        <v>37500.0</v>
      </c>
      <c r="H786" s="732" t="s">
        <v>3494</v>
      </c>
      <c r="I786" s="405"/>
      <c r="J786" s="405"/>
      <c r="K786" s="405"/>
      <c r="L786" s="405"/>
      <c r="M786" s="405"/>
      <c r="N786" s="405"/>
      <c r="O786" s="405"/>
      <c r="P786" s="405"/>
      <c r="Q786" s="405"/>
      <c r="R786" s="405"/>
      <c r="S786" s="405"/>
      <c r="T786" s="405"/>
      <c r="U786" s="405"/>
      <c r="V786" s="405"/>
      <c r="W786" s="405"/>
      <c r="X786" s="405"/>
      <c r="Y786" s="405"/>
      <c r="Z786" s="405"/>
    </row>
    <row r="787" ht="14.25" customHeight="1">
      <c r="A787" s="451">
        <v>45531.0</v>
      </c>
      <c r="B787" s="417" t="s">
        <v>3107</v>
      </c>
      <c r="C787" s="417" t="s">
        <v>3108</v>
      </c>
      <c r="D787" s="417" t="s">
        <v>54</v>
      </c>
      <c r="E787" s="417" t="s">
        <v>3101</v>
      </c>
      <c r="F787" s="69">
        <v>55100.0</v>
      </c>
      <c r="G787" s="413">
        <v>0.0</v>
      </c>
      <c r="H787" s="732" t="s">
        <v>3495</v>
      </c>
      <c r="I787" s="405"/>
      <c r="J787" s="405"/>
      <c r="K787" s="405"/>
      <c r="L787" s="405"/>
      <c r="M787" s="405"/>
      <c r="N787" s="405"/>
      <c r="O787" s="405"/>
      <c r="P787" s="405"/>
      <c r="Q787" s="405"/>
      <c r="R787" s="405"/>
      <c r="S787" s="405"/>
      <c r="T787" s="405"/>
      <c r="U787" s="405"/>
      <c r="V787" s="405"/>
      <c r="W787" s="405"/>
      <c r="X787" s="405"/>
      <c r="Y787" s="405"/>
      <c r="Z787" s="405"/>
    </row>
    <row r="788" ht="14.25" customHeight="1">
      <c r="A788" s="451">
        <v>45531.0</v>
      </c>
      <c r="B788" s="417" t="s">
        <v>3412</v>
      </c>
      <c r="C788" s="417" t="s">
        <v>3238</v>
      </c>
      <c r="D788" s="417" t="s">
        <v>54</v>
      </c>
      <c r="E788" s="417" t="s">
        <v>3078</v>
      </c>
      <c r="F788" s="73">
        <v>21000.0</v>
      </c>
      <c r="G788" s="413">
        <v>5000.0</v>
      </c>
      <c r="H788" s="732" t="s">
        <v>804</v>
      </c>
      <c r="I788" s="405"/>
      <c r="J788" s="405"/>
      <c r="K788" s="405"/>
      <c r="L788" s="405"/>
      <c r="M788" s="405"/>
      <c r="N788" s="405"/>
      <c r="O788" s="405"/>
      <c r="P788" s="405"/>
      <c r="Q788" s="405"/>
      <c r="R788" s="405"/>
      <c r="S788" s="405"/>
      <c r="T788" s="405"/>
      <c r="U788" s="405"/>
      <c r="V788" s="405"/>
      <c r="W788" s="405"/>
      <c r="X788" s="405"/>
      <c r="Y788" s="405"/>
      <c r="Z788" s="405"/>
    </row>
    <row r="789" ht="14.25" customHeight="1">
      <c r="A789" s="451">
        <v>45531.0</v>
      </c>
      <c r="B789" s="417" t="s">
        <v>3416</v>
      </c>
      <c r="C789" s="417" t="s">
        <v>3417</v>
      </c>
      <c r="D789" s="417" t="s">
        <v>54</v>
      </c>
      <c r="E789" s="417" t="s">
        <v>3078</v>
      </c>
      <c r="F789" s="69">
        <v>136352.6</v>
      </c>
      <c r="G789" s="413">
        <v>0.0</v>
      </c>
      <c r="H789" s="732" t="s">
        <v>3496</v>
      </c>
      <c r="I789" s="405"/>
      <c r="J789" s="405"/>
      <c r="K789" s="405"/>
      <c r="L789" s="405"/>
      <c r="M789" s="405"/>
      <c r="N789" s="405"/>
      <c r="O789" s="405"/>
      <c r="P789" s="405"/>
      <c r="Q789" s="405"/>
      <c r="R789" s="405"/>
      <c r="S789" s="405"/>
      <c r="T789" s="405"/>
      <c r="U789" s="405"/>
      <c r="V789" s="405"/>
      <c r="W789" s="405"/>
      <c r="X789" s="405"/>
      <c r="Y789" s="405"/>
      <c r="Z789" s="405"/>
    </row>
    <row r="790" ht="14.25" customHeight="1">
      <c r="A790" s="451">
        <v>45531.0</v>
      </c>
      <c r="B790" s="417" t="s">
        <v>3418</v>
      </c>
      <c r="C790" s="417" t="s">
        <v>3417</v>
      </c>
      <c r="D790" s="417" t="s">
        <v>467</v>
      </c>
      <c r="E790" s="417" t="s">
        <v>3078</v>
      </c>
      <c r="F790" s="69">
        <v>15834.08</v>
      </c>
      <c r="G790" s="413">
        <v>17400.0</v>
      </c>
      <c r="H790" s="732" t="s">
        <v>3375</v>
      </c>
      <c r="I790" s="405"/>
      <c r="J790" s="405"/>
      <c r="K790" s="405"/>
      <c r="L790" s="405"/>
      <c r="M790" s="405"/>
      <c r="N790" s="405"/>
      <c r="O790" s="405"/>
      <c r="P790" s="405"/>
      <c r="Q790" s="405"/>
      <c r="R790" s="405"/>
      <c r="S790" s="405"/>
      <c r="T790" s="405"/>
      <c r="U790" s="405"/>
      <c r="V790" s="405"/>
      <c r="W790" s="405"/>
      <c r="X790" s="405"/>
      <c r="Y790" s="405"/>
      <c r="Z790" s="405"/>
    </row>
    <row r="791" ht="14.25" customHeight="1">
      <c r="A791" s="451">
        <v>45531.0</v>
      </c>
      <c r="B791" s="417" t="s">
        <v>3128</v>
      </c>
      <c r="C791" s="417" t="s">
        <v>3129</v>
      </c>
      <c r="D791" s="417" t="s">
        <v>54</v>
      </c>
      <c r="E791" s="417" t="s">
        <v>3308</v>
      </c>
      <c r="F791" s="73">
        <v>44000.0</v>
      </c>
      <c r="G791" s="413">
        <v>0.0</v>
      </c>
      <c r="H791" s="732"/>
      <c r="I791" s="405"/>
      <c r="J791" s="405"/>
      <c r="K791" s="405"/>
      <c r="L791" s="405"/>
      <c r="M791" s="405"/>
      <c r="N791" s="405"/>
      <c r="O791" s="405"/>
      <c r="P791" s="405"/>
      <c r="Q791" s="405"/>
      <c r="R791" s="405"/>
      <c r="S791" s="405"/>
      <c r="T791" s="405"/>
      <c r="U791" s="405"/>
      <c r="V791" s="405"/>
      <c r="W791" s="405"/>
      <c r="X791" s="405"/>
      <c r="Y791" s="405"/>
      <c r="Z791" s="405"/>
    </row>
    <row r="792" ht="14.25" customHeight="1">
      <c r="A792" s="451">
        <v>45531.0</v>
      </c>
      <c r="B792" s="417" t="s">
        <v>3120</v>
      </c>
      <c r="C792" s="417" t="s">
        <v>3121</v>
      </c>
      <c r="D792" s="417" t="s">
        <v>54</v>
      </c>
      <c r="E792" s="417" t="s">
        <v>3078</v>
      </c>
      <c r="F792" s="413">
        <v>18920.0</v>
      </c>
      <c r="G792" s="413">
        <v>0.0</v>
      </c>
      <c r="H792" s="349" t="s">
        <v>3497</v>
      </c>
      <c r="I792" s="405"/>
      <c r="J792" s="405"/>
      <c r="K792" s="405"/>
      <c r="L792" s="405"/>
      <c r="M792" s="405"/>
      <c r="N792" s="405"/>
      <c r="O792" s="405"/>
      <c r="P792" s="405"/>
      <c r="Q792" s="405"/>
      <c r="R792" s="405"/>
      <c r="S792" s="405"/>
      <c r="T792" s="405"/>
      <c r="U792" s="405"/>
      <c r="V792" s="405"/>
      <c r="W792" s="405"/>
      <c r="X792" s="405"/>
      <c r="Y792" s="405"/>
      <c r="Z792" s="405"/>
    </row>
    <row r="793" ht="14.25" customHeight="1">
      <c r="A793" s="451">
        <v>45531.0</v>
      </c>
      <c r="B793" s="417" t="s">
        <v>3125</v>
      </c>
      <c r="C793" s="417" t="s">
        <v>3121</v>
      </c>
      <c r="D793" s="417" t="s">
        <v>467</v>
      </c>
      <c r="E793" s="417" t="s">
        <v>3078</v>
      </c>
      <c r="F793" s="69">
        <v>4200.0</v>
      </c>
      <c r="G793" s="413">
        <v>0.0</v>
      </c>
      <c r="H793" s="732" t="s">
        <v>3497</v>
      </c>
      <c r="I793" s="405"/>
      <c r="J793" s="405"/>
      <c r="K793" s="405"/>
      <c r="L793" s="405"/>
      <c r="M793" s="405"/>
      <c r="N793" s="405"/>
      <c r="O793" s="405"/>
      <c r="P793" s="405"/>
      <c r="Q793" s="405"/>
      <c r="R793" s="405"/>
      <c r="S793" s="405"/>
      <c r="T793" s="405"/>
      <c r="U793" s="405"/>
      <c r="V793" s="405"/>
      <c r="W793" s="405"/>
      <c r="X793" s="405"/>
      <c r="Y793" s="405"/>
      <c r="Z793" s="405"/>
    </row>
    <row r="794" ht="14.25" customHeight="1">
      <c r="A794" s="451">
        <v>45531.0</v>
      </c>
      <c r="B794" s="417" t="s">
        <v>3126</v>
      </c>
      <c r="C794" s="417" t="s">
        <v>3127</v>
      </c>
      <c r="D794" s="417" t="s">
        <v>54</v>
      </c>
      <c r="E794" s="744" t="s">
        <v>3308</v>
      </c>
      <c r="F794" s="413">
        <v>4000.0</v>
      </c>
      <c r="G794" s="413">
        <v>0.0</v>
      </c>
      <c r="H794" s="732"/>
      <c r="I794" s="405"/>
      <c r="J794" s="405"/>
      <c r="K794" s="405"/>
      <c r="L794" s="405"/>
      <c r="M794" s="405"/>
      <c r="N794" s="405"/>
      <c r="O794" s="405"/>
      <c r="P794" s="405"/>
      <c r="Q794" s="405"/>
      <c r="R794" s="405"/>
      <c r="S794" s="405"/>
      <c r="T794" s="405"/>
      <c r="U794" s="405"/>
      <c r="V794" s="405"/>
      <c r="W794" s="405"/>
      <c r="X794" s="405"/>
      <c r="Y794" s="405"/>
      <c r="Z794" s="405"/>
    </row>
    <row r="795" ht="14.25" customHeight="1">
      <c r="A795" s="451">
        <v>45531.0</v>
      </c>
      <c r="B795" s="349" t="s">
        <v>3498</v>
      </c>
      <c r="C795" s="349" t="s">
        <v>3168</v>
      </c>
      <c r="D795" s="417" t="s">
        <v>3189</v>
      </c>
      <c r="E795" s="417" t="s">
        <v>3101</v>
      </c>
      <c r="F795" s="413">
        <v>55000.0</v>
      </c>
      <c r="G795" s="413">
        <v>55000.0</v>
      </c>
      <c r="H795" s="349" t="s">
        <v>3499</v>
      </c>
      <c r="I795" s="405"/>
      <c r="J795" s="405"/>
      <c r="K795" s="405"/>
      <c r="L795" s="405"/>
      <c r="M795" s="405"/>
      <c r="N795" s="405"/>
      <c r="O795" s="405"/>
      <c r="P795" s="405"/>
      <c r="Q795" s="405"/>
      <c r="R795" s="405"/>
      <c r="S795" s="405"/>
      <c r="T795" s="405"/>
      <c r="U795" s="405"/>
      <c r="V795" s="405"/>
      <c r="W795" s="405"/>
      <c r="X795" s="405"/>
      <c r="Y795" s="405"/>
      <c r="Z795" s="405"/>
    </row>
    <row r="796" ht="14.25" customHeight="1">
      <c r="A796" s="405"/>
      <c r="B796" s="405"/>
      <c r="C796" s="405"/>
      <c r="D796" s="405"/>
      <c r="E796" s="405"/>
      <c r="F796" s="583"/>
      <c r="G796" s="583"/>
      <c r="H796" s="405"/>
      <c r="I796" s="405"/>
      <c r="J796" s="405"/>
      <c r="K796" s="405"/>
      <c r="L796" s="405"/>
      <c r="M796" s="405"/>
      <c r="N796" s="405"/>
      <c r="O796" s="405"/>
      <c r="P796" s="405"/>
      <c r="Q796" s="405"/>
      <c r="R796" s="405"/>
      <c r="S796" s="405"/>
      <c r="T796" s="405"/>
      <c r="U796" s="405"/>
      <c r="V796" s="405"/>
      <c r="W796" s="405"/>
      <c r="X796" s="405"/>
      <c r="Y796" s="405"/>
      <c r="Z796" s="405"/>
    </row>
    <row r="797" ht="14.25" customHeight="1">
      <c r="A797" s="740" t="s">
        <v>39</v>
      </c>
      <c r="B797" s="740" t="s">
        <v>3075</v>
      </c>
      <c r="C797" s="740" t="s">
        <v>49</v>
      </c>
      <c r="D797" s="740" t="s">
        <v>50</v>
      </c>
      <c r="E797" s="741" t="s">
        <v>2</v>
      </c>
      <c r="F797" s="741" t="s">
        <v>2</v>
      </c>
      <c r="G797" s="741" t="s">
        <v>4</v>
      </c>
      <c r="H797" s="405"/>
      <c r="I797" s="405"/>
      <c r="J797" s="405"/>
      <c r="K797" s="405"/>
      <c r="L797" s="405"/>
      <c r="M797" s="405"/>
      <c r="N797" s="405"/>
      <c r="O797" s="405"/>
      <c r="P797" s="405"/>
      <c r="Q797" s="405"/>
      <c r="R797" s="405"/>
      <c r="S797" s="405"/>
      <c r="T797" s="405"/>
      <c r="U797" s="405"/>
      <c r="V797" s="405"/>
      <c r="W797" s="405"/>
      <c r="X797" s="405"/>
      <c r="Y797" s="405"/>
      <c r="Z797" s="405"/>
    </row>
    <row r="798" ht="14.25" customHeight="1">
      <c r="A798" s="451">
        <v>45532.0</v>
      </c>
      <c r="B798" s="344" t="s">
        <v>3087</v>
      </c>
      <c r="C798" s="344" t="s">
        <v>3088</v>
      </c>
      <c r="D798" s="344" t="s">
        <v>54</v>
      </c>
      <c r="E798" s="344" t="s">
        <v>3308</v>
      </c>
      <c r="F798" s="442">
        <v>14000.0</v>
      </c>
      <c r="G798" s="413">
        <v>0.0</v>
      </c>
      <c r="H798" s="405"/>
      <c r="I798" s="405"/>
      <c r="J798" s="405"/>
      <c r="K798" s="405"/>
      <c r="L798" s="405"/>
      <c r="M798" s="405"/>
      <c r="N798" s="405"/>
      <c r="O798" s="405"/>
      <c r="P798" s="405"/>
      <c r="Q798" s="405"/>
      <c r="R798" s="405"/>
      <c r="S798" s="405"/>
      <c r="T798" s="405"/>
      <c r="U798" s="405"/>
      <c r="V798" s="405"/>
      <c r="W798" s="405"/>
      <c r="X798" s="405"/>
      <c r="Y798" s="405"/>
      <c r="Z798" s="405"/>
    </row>
    <row r="799" ht="14.25" customHeight="1">
      <c r="A799" s="451">
        <v>45532.0</v>
      </c>
      <c r="B799" s="344" t="s">
        <v>652</v>
      </c>
      <c r="C799" s="344" t="s">
        <v>3097</v>
      </c>
      <c r="D799" s="344" t="s">
        <v>2010</v>
      </c>
      <c r="E799" s="344" t="s">
        <v>3308</v>
      </c>
      <c r="F799" s="442">
        <v>55100.0</v>
      </c>
      <c r="G799" s="413">
        <v>0.0</v>
      </c>
      <c r="H799" s="405"/>
      <c r="I799" s="405"/>
      <c r="J799" s="405"/>
      <c r="K799" s="405"/>
      <c r="L799" s="405"/>
      <c r="M799" s="405"/>
      <c r="N799" s="405"/>
      <c r="O799" s="405"/>
      <c r="P799" s="405"/>
      <c r="Q799" s="405"/>
      <c r="R799" s="405"/>
      <c r="S799" s="405"/>
      <c r="T799" s="405"/>
      <c r="U799" s="405"/>
      <c r="V799" s="405"/>
      <c r="W799" s="405"/>
      <c r="X799" s="405"/>
      <c r="Y799" s="405"/>
      <c r="Z799" s="405"/>
    </row>
    <row r="800" ht="14.25" customHeight="1">
      <c r="A800" s="451">
        <v>45532.0</v>
      </c>
      <c r="B800" s="344" t="s">
        <v>3099</v>
      </c>
      <c r="C800" s="344" t="s">
        <v>3100</v>
      </c>
      <c r="D800" s="344" t="s">
        <v>54</v>
      </c>
      <c r="E800" s="344" t="s">
        <v>3308</v>
      </c>
      <c r="F800" s="442">
        <v>125300.0</v>
      </c>
      <c r="G800" s="413">
        <v>0.0</v>
      </c>
      <c r="H800" s="405"/>
      <c r="I800" s="405"/>
      <c r="J800" s="405"/>
      <c r="K800" s="405"/>
      <c r="L800" s="405"/>
      <c r="M800" s="405"/>
      <c r="N800" s="405"/>
      <c r="O800" s="405"/>
      <c r="P800" s="405"/>
      <c r="Q800" s="405"/>
      <c r="R800" s="405"/>
      <c r="S800" s="405"/>
      <c r="T800" s="405"/>
      <c r="U800" s="405"/>
      <c r="V800" s="405"/>
      <c r="W800" s="405"/>
      <c r="X800" s="405"/>
      <c r="Y800" s="405"/>
      <c r="Z800" s="405"/>
    </row>
    <row r="801" ht="14.25" customHeight="1">
      <c r="A801" s="451">
        <v>45532.0</v>
      </c>
      <c r="B801" s="344" t="s">
        <v>3134</v>
      </c>
      <c r="C801" s="344" t="s">
        <v>3176</v>
      </c>
      <c r="D801" s="417" t="s">
        <v>54</v>
      </c>
      <c r="E801" s="344" t="s">
        <v>3078</v>
      </c>
      <c r="F801" s="743">
        <v>87150.0</v>
      </c>
      <c r="G801" s="413">
        <v>0.0</v>
      </c>
      <c r="H801" s="748" t="s">
        <v>3500</v>
      </c>
      <c r="I801" s="405"/>
      <c r="J801" s="405"/>
      <c r="K801" s="405"/>
      <c r="L801" s="405"/>
      <c r="M801" s="405"/>
      <c r="N801" s="405"/>
      <c r="O801" s="405"/>
      <c r="P801" s="405"/>
      <c r="Q801" s="405"/>
      <c r="R801" s="405"/>
      <c r="S801" s="405"/>
      <c r="T801" s="405"/>
      <c r="U801" s="405"/>
      <c r="V801" s="405"/>
      <c r="W801" s="405"/>
      <c r="X801" s="405"/>
      <c r="Y801" s="405"/>
      <c r="Z801" s="405"/>
    </row>
    <row r="802" ht="14.25" customHeight="1">
      <c r="A802" s="451">
        <v>45532.0</v>
      </c>
      <c r="B802" s="417" t="s">
        <v>3173</v>
      </c>
      <c r="C802" s="417" t="s">
        <v>3174</v>
      </c>
      <c r="D802" s="417" t="s">
        <v>54</v>
      </c>
      <c r="E802" s="344" t="s">
        <v>3101</v>
      </c>
      <c r="F802" s="73">
        <v>16800.0</v>
      </c>
      <c r="G802" s="413">
        <v>0.0</v>
      </c>
      <c r="H802" s="405"/>
      <c r="I802" s="405"/>
      <c r="J802" s="405"/>
      <c r="K802" s="405"/>
      <c r="L802" s="405"/>
      <c r="M802" s="405"/>
      <c r="N802" s="405"/>
      <c r="O802" s="405"/>
      <c r="P802" s="405"/>
      <c r="Q802" s="405"/>
      <c r="R802" s="405"/>
      <c r="S802" s="405"/>
      <c r="T802" s="405"/>
      <c r="U802" s="405"/>
      <c r="V802" s="405"/>
      <c r="W802" s="405"/>
      <c r="X802" s="405"/>
      <c r="Y802" s="405"/>
      <c r="Z802" s="405"/>
    </row>
    <row r="803" ht="14.25" customHeight="1">
      <c r="A803" s="451">
        <v>45532.0</v>
      </c>
      <c r="B803" s="417" t="s">
        <v>3193</v>
      </c>
      <c r="C803" s="417" t="s">
        <v>3194</v>
      </c>
      <c r="D803" s="417" t="s">
        <v>3189</v>
      </c>
      <c r="E803" s="417" t="s">
        <v>3078</v>
      </c>
      <c r="F803" s="73">
        <v>173000.0</v>
      </c>
      <c r="G803" s="413">
        <v>0.0</v>
      </c>
      <c r="H803" s="748" t="s">
        <v>3501</v>
      </c>
      <c r="I803" s="405"/>
      <c r="J803" s="405"/>
      <c r="K803" s="405"/>
      <c r="L803" s="405"/>
      <c r="M803" s="405"/>
      <c r="N803" s="405"/>
      <c r="O803" s="405"/>
      <c r="P803" s="405"/>
      <c r="Q803" s="405"/>
      <c r="R803" s="405"/>
      <c r="S803" s="405"/>
      <c r="T803" s="405"/>
      <c r="U803" s="405"/>
      <c r="V803" s="405"/>
      <c r="W803" s="405"/>
      <c r="X803" s="405"/>
      <c r="Y803" s="405"/>
      <c r="Z803" s="405"/>
    </row>
    <row r="804" ht="14.25" customHeight="1">
      <c r="A804" s="451">
        <v>45532.0</v>
      </c>
      <c r="B804" s="417" t="s">
        <v>3278</v>
      </c>
      <c r="C804" s="417" t="s">
        <v>3232</v>
      </c>
      <c r="D804" s="417" t="s">
        <v>54</v>
      </c>
      <c r="E804" s="344" t="s">
        <v>3308</v>
      </c>
      <c r="F804" s="73">
        <v>800.0</v>
      </c>
      <c r="G804" s="413">
        <v>0.0</v>
      </c>
      <c r="H804" s="405"/>
      <c r="I804" s="405"/>
      <c r="J804" s="405"/>
      <c r="K804" s="405"/>
      <c r="L804" s="405"/>
      <c r="M804" s="405"/>
      <c r="N804" s="405"/>
      <c r="O804" s="405"/>
      <c r="P804" s="405"/>
      <c r="Q804" s="405"/>
      <c r="R804" s="405"/>
      <c r="S804" s="405"/>
      <c r="T804" s="405"/>
      <c r="U804" s="405"/>
      <c r="V804" s="405"/>
      <c r="W804" s="405"/>
      <c r="X804" s="405"/>
      <c r="Y804" s="405"/>
      <c r="Z804" s="405"/>
    </row>
    <row r="805" ht="14.25" customHeight="1">
      <c r="A805" s="451">
        <v>45532.0</v>
      </c>
      <c r="B805" s="417" t="s">
        <v>3083</v>
      </c>
      <c r="C805" s="417" t="s">
        <v>3084</v>
      </c>
      <c r="D805" s="417" t="s">
        <v>54</v>
      </c>
      <c r="E805" s="417" t="s">
        <v>3101</v>
      </c>
      <c r="F805" s="73">
        <v>6500.0</v>
      </c>
      <c r="G805" s="413">
        <v>0.0</v>
      </c>
      <c r="H805" s="748" t="s">
        <v>3502</v>
      </c>
      <c r="I805" s="405"/>
      <c r="J805" s="405"/>
      <c r="K805" s="405"/>
      <c r="L805" s="405"/>
      <c r="M805" s="405"/>
      <c r="N805" s="405"/>
      <c r="O805" s="405"/>
      <c r="P805" s="405"/>
      <c r="Q805" s="405"/>
      <c r="R805" s="405"/>
      <c r="S805" s="405"/>
      <c r="T805" s="405"/>
      <c r="U805" s="405"/>
      <c r="V805" s="405"/>
      <c r="W805" s="405"/>
      <c r="X805" s="405"/>
      <c r="Y805" s="405"/>
      <c r="Z805" s="405"/>
    </row>
    <row r="806" ht="14.25" customHeight="1">
      <c r="A806" s="451">
        <v>45532.0</v>
      </c>
      <c r="B806" s="444" t="s">
        <v>3235</v>
      </c>
      <c r="C806" s="417" t="s">
        <v>3236</v>
      </c>
      <c r="D806" s="417" t="s">
        <v>3189</v>
      </c>
      <c r="E806" s="417" t="s">
        <v>3101</v>
      </c>
      <c r="F806" s="442">
        <v>280800.0</v>
      </c>
      <c r="G806" s="413">
        <v>0.0</v>
      </c>
      <c r="H806" s="748" t="s">
        <v>3503</v>
      </c>
      <c r="I806" s="405"/>
      <c r="J806" s="405"/>
      <c r="K806" s="405"/>
      <c r="L806" s="405"/>
      <c r="M806" s="405"/>
      <c r="N806" s="405"/>
      <c r="O806" s="405"/>
      <c r="P806" s="405"/>
      <c r="Q806" s="405"/>
      <c r="R806" s="405"/>
      <c r="S806" s="405"/>
      <c r="T806" s="405"/>
      <c r="U806" s="405"/>
      <c r="V806" s="405"/>
      <c r="W806" s="405"/>
      <c r="X806" s="405"/>
      <c r="Y806" s="405"/>
      <c r="Z806" s="405"/>
    </row>
    <row r="807" ht="14.25" customHeight="1">
      <c r="A807" s="451">
        <v>45532.0</v>
      </c>
      <c r="B807" s="417" t="s">
        <v>3289</v>
      </c>
      <c r="C807" s="417" t="s">
        <v>3236</v>
      </c>
      <c r="D807" s="417" t="s">
        <v>54</v>
      </c>
      <c r="E807" s="417" t="s">
        <v>3115</v>
      </c>
      <c r="F807" s="73">
        <v>50700.0</v>
      </c>
      <c r="G807" s="413">
        <v>0.0</v>
      </c>
      <c r="H807" s="405"/>
      <c r="I807" s="405"/>
      <c r="J807" s="405"/>
      <c r="K807" s="405"/>
      <c r="L807" s="405"/>
      <c r="M807" s="405"/>
      <c r="N807" s="405"/>
      <c r="O807" s="405"/>
      <c r="P807" s="405"/>
      <c r="Q807" s="405"/>
      <c r="R807" s="405"/>
      <c r="S807" s="405"/>
      <c r="T807" s="405"/>
      <c r="U807" s="405"/>
      <c r="V807" s="405"/>
      <c r="W807" s="405"/>
      <c r="X807" s="405"/>
      <c r="Y807" s="405"/>
      <c r="Z807" s="405"/>
    </row>
    <row r="808" ht="14.25" customHeight="1">
      <c r="A808" s="451">
        <v>45532.0</v>
      </c>
      <c r="B808" s="417" t="s">
        <v>3290</v>
      </c>
      <c r="C808" s="417" t="s">
        <v>3291</v>
      </c>
      <c r="D808" s="417" t="s">
        <v>54</v>
      </c>
      <c r="E808" s="417" t="s">
        <v>3101</v>
      </c>
      <c r="F808" s="73">
        <v>4500.0</v>
      </c>
      <c r="G808" s="413">
        <v>0.0</v>
      </c>
      <c r="H808" s="748" t="s">
        <v>3502</v>
      </c>
      <c r="I808" s="405"/>
      <c r="J808" s="405"/>
      <c r="K808" s="405"/>
      <c r="L808" s="405"/>
      <c r="M808" s="405"/>
      <c r="N808" s="405"/>
      <c r="O808" s="405"/>
      <c r="P808" s="405"/>
      <c r="Q808" s="405"/>
      <c r="R808" s="405"/>
      <c r="S808" s="405"/>
      <c r="T808" s="405"/>
      <c r="U808" s="405"/>
      <c r="V808" s="405"/>
      <c r="W808" s="405"/>
      <c r="X808" s="405"/>
      <c r="Y808" s="405"/>
      <c r="Z808" s="405"/>
    </row>
    <row r="809" ht="14.25" customHeight="1">
      <c r="A809" s="451">
        <v>45532.0</v>
      </c>
      <c r="B809" s="417" t="s">
        <v>3341</v>
      </c>
      <c r="C809" s="417" t="s">
        <v>3209</v>
      </c>
      <c r="D809" s="417" t="s">
        <v>467</v>
      </c>
      <c r="E809" s="344" t="s">
        <v>3101</v>
      </c>
      <c r="F809" s="73">
        <v>6900.0</v>
      </c>
      <c r="G809" s="413">
        <v>0.0</v>
      </c>
      <c r="H809" s="748" t="s">
        <v>3504</v>
      </c>
      <c r="I809" s="405"/>
      <c r="J809" s="405"/>
      <c r="K809" s="405"/>
      <c r="L809" s="405"/>
      <c r="M809" s="405"/>
      <c r="N809" s="405"/>
      <c r="O809" s="405"/>
      <c r="P809" s="405"/>
      <c r="Q809" s="405"/>
      <c r="R809" s="405"/>
      <c r="S809" s="405"/>
      <c r="T809" s="405"/>
      <c r="U809" s="405"/>
      <c r="V809" s="405"/>
      <c r="W809" s="405"/>
      <c r="X809" s="405"/>
      <c r="Y809" s="405"/>
      <c r="Z809" s="405"/>
    </row>
    <row r="810" ht="14.25" customHeight="1">
      <c r="A810" s="451">
        <v>45532.0</v>
      </c>
      <c r="B810" s="417" t="s">
        <v>3357</v>
      </c>
      <c r="C810" s="417" t="s">
        <v>3338</v>
      </c>
      <c r="D810" s="417" t="s">
        <v>54</v>
      </c>
      <c r="E810" s="417" t="s">
        <v>3101</v>
      </c>
      <c r="F810" s="69">
        <v>43500.0</v>
      </c>
      <c r="G810" s="413">
        <v>0.0</v>
      </c>
      <c r="H810" s="748" t="s">
        <v>2200</v>
      </c>
      <c r="I810" s="405"/>
      <c r="J810" s="405"/>
      <c r="K810" s="405"/>
      <c r="L810" s="405"/>
      <c r="M810" s="405"/>
      <c r="N810" s="405"/>
      <c r="O810" s="405"/>
      <c r="P810" s="405"/>
      <c r="Q810" s="405"/>
      <c r="R810" s="405"/>
      <c r="S810" s="405"/>
      <c r="T810" s="405"/>
      <c r="U810" s="405"/>
      <c r="V810" s="405"/>
      <c r="W810" s="405"/>
      <c r="X810" s="405"/>
      <c r="Y810" s="405"/>
      <c r="Z810" s="405"/>
    </row>
    <row r="811" ht="14.25" customHeight="1">
      <c r="A811" s="451">
        <v>45532.0</v>
      </c>
      <c r="B811" s="417" t="s">
        <v>3371</v>
      </c>
      <c r="C811" s="417" t="s">
        <v>3291</v>
      </c>
      <c r="D811" s="417" t="s">
        <v>3189</v>
      </c>
      <c r="E811" s="417" t="s">
        <v>3101</v>
      </c>
      <c r="F811" s="73">
        <v>95100.0</v>
      </c>
      <c r="G811" s="413">
        <v>0.0</v>
      </c>
      <c r="H811" s="748" t="s">
        <v>3502</v>
      </c>
      <c r="I811" s="405"/>
      <c r="J811" s="405"/>
      <c r="K811" s="405"/>
      <c r="L811" s="405"/>
      <c r="M811" s="405"/>
      <c r="N811" s="405"/>
      <c r="O811" s="405"/>
      <c r="P811" s="405"/>
      <c r="Q811" s="405"/>
      <c r="R811" s="405"/>
      <c r="S811" s="405"/>
      <c r="T811" s="405"/>
      <c r="U811" s="405"/>
      <c r="V811" s="405"/>
      <c r="W811" s="405"/>
      <c r="X811" s="405"/>
      <c r="Y811" s="405"/>
      <c r="Z811" s="405"/>
    </row>
    <row r="812" ht="14.25" customHeight="1">
      <c r="A812" s="451">
        <v>45532.0</v>
      </c>
      <c r="B812" s="417" t="s">
        <v>3409</v>
      </c>
      <c r="C812" s="417" t="s">
        <v>3410</v>
      </c>
      <c r="D812" s="417" t="s">
        <v>54</v>
      </c>
      <c r="E812" s="417" t="s">
        <v>3101</v>
      </c>
      <c r="F812" s="73">
        <v>27300.0</v>
      </c>
      <c r="G812" s="413">
        <v>0.0</v>
      </c>
      <c r="H812" s="748" t="s">
        <v>3505</v>
      </c>
      <c r="I812" s="405"/>
      <c r="J812" s="405"/>
      <c r="K812" s="405"/>
      <c r="L812" s="405"/>
      <c r="M812" s="405"/>
      <c r="N812" s="405"/>
      <c r="O812" s="405"/>
      <c r="P812" s="405"/>
      <c r="Q812" s="405"/>
      <c r="R812" s="405"/>
      <c r="S812" s="405"/>
      <c r="T812" s="405"/>
      <c r="U812" s="405"/>
      <c r="V812" s="405"/>
      <c r="W812" s="405"/>
      <c r="X812" s="405"/>
      <c r="Y812" s="405"/>
      <c r="Z812" s="405"/>
    </row>
    <row r="813" ht="14.25" customHeight="1">
      <c r="A813" s="451">
        <v>45532.0</v>
      </c>
      <c r="B813" s="417" t="s">
        <v>3107</v>
      </c>
      <c r="C813" s="417" t="s">
        <v>3108</v>
      </c>
      <c r="D813" s="417" t="s">
        <v>54</v>
      </c>
      <c r="E813" s="417" t="s">
        <v>3101</v>
      </c>
      <c r="F813" s="69">
        <v>55100.0</v>
      </c>
      <c r="G813" s="413">
        <v>0.0</v>
      </c>
      <c r="H813" s="748" t="s">
        <v>3502</v>
      </c>
      <c r="I813" s="405"/>
      <c r="J813" s="405"/>
      <c r="K813" s="405"/>
      <c r="L813" s="405"/>
      <c r="M813" s="405"/>
      <c r="N813" s="405"/>
      <c r="O813" s="405"/>
      <c r="P813" s="405"/>
      <c r="Q813" s="405"/>
      <c r="R813" s="405"/>
      <c r="S813" s="405"/>
      <c r="T813" s="405"/>
      <c r="U813" s="405"/>
      <c r="V813" s="405"/>
      <c r="W813" s="405"/>
      <c r="X813" s="405"/>
      <c r="Y813" s="405"/>
      <c r="Z813" s="405"/>
    </row>
    <row r="814" ht="14.25" customHeight="1">
      <c r="A814" s="451">
        <v>45532.0</v>
      </c>
      <c r="B814" s="417" t="s">
        <v>3412</v>
      </c>
      <c r="C814" s="417" t="s">
        <v>3238</v>
      </c>
      <c r="D814" s="417" t="s">
        <v>54</v>
      </c>
      <c r="E814" s="417" t="s">
        <v>3078</v>
      </c>
      <c r="F814" s="73">
        <v>16000.0</v>
      </c>
      <c r="G814" s="413">
        <v>0.0</v>
      </c>
      <c r="H814" s="405"/>
      <c r="I814" s="405"/>
      <c r="J814" s="405"/>
      <c r="K814" s="405"/>
      <c r="L814" s="405"/>
      <c r="M814" s="405"/>
      <c r="N814" s="405"/>
      <c r="O814" s="405"/>
      <c r="P814" s="405"/>
      <c r="Q814" s="405"/>
      <c r="R814" s="405"/>
      <c r="S814" s="405"/>
      <c r="T814" s="405"/>
      <c r="U814" s="405"/>
      <c r="V814" s="405"/>
      <c r="W814" s="405"/>
      <c r="X814" s="405"/>
      <c r="Y814" s="405"/>
      <c r="Z814" s="405"/>
    </row>
    <row r="815" ht="14.25" customHeight="1">
      <c r="A815" s="451">
        <v>45532.0</v>
      </c>
      <c r="B815" s="417" t="s">
        <v>3416</v>
      </c>
      <c r="C815" s="417" t="s">
        <v>3417</v>
      </c>
      <c r="D815" s="417" t="s">
        <v>54</v>
      </c>
      <c r="E815" s="417" t="s">
        <v>3078</v>
      </c>
      <c r="F815" s="69">
        <v>136352.6</v>
      </c>
      <c r="G815" s="413">
        <v>0.0</v>
      </c>
      <c r="H815" s="748" t="s">
        <v>3506</v>
      </c>
      <c r="I815" s="405"/>
      <c r="J815" s="405"/>
      <c r="K815" s="405"/>
      <c r="L815" s="405"/>
      <c r="M815" s="405"/>
      <c r="N815" s="405"/>
      <c r="O815" s="405"/>
      <c r="P815" s="405"/>
      <c r="Q815" s="405"/>
      <c r="R815" s="405"/>
      <c r="S815" s="405"/>
      <c r="T815" s="405"/>
      <c r="U815" s="405"/>
      <c r="V815" s="405"/>
      <c r="W815" s="405"/>
      <c r="X815" s="405"/>
      <c r="Y815" s="405"/>
      <c r="Z815" s="405"/>
    </row>
    <row r="816" ht="14.25" customHeight="1">
      <c r="A816" s="451">
        <v>45532.0</v>
      </c>
      <c r="B816" s="417" t="s">
        <v>3128</v>
      </c>
      <c r="C816" s="417" t="s">
        <v>3129</v>
      </c>
      <c r="D816" s="417" t="s">
        <v>54</v>
      </c>
      <c r="E816" s="417" t="s">
        <v>3308</v>
      </c>
      <c r="F816" s="73">
        <v>44000.0</v>
      </c>
      <c r="G816" s="413">
        <v>0.0</v>
      </c>
      <c r="H816" s="405"/>
      <c r="I816" s="405"/>
      <c r="J816" s="405"/>
      <c r="K816" s="405"/>
      <c r="L816" s="405"/>
      <c r="M816" s="405"/>
      <c r="N816" s="405"/>
      <c r="O816" s="405"/>
      <c r="P816" s="405"/>
      <c r="Q816" s="405"/>
      <c r="R816" s="405"/>
      <c r="S816" s="405"/>
      <c r="T816" s="405"/>
      <c r="U816" s="405"/>
      <c r="V816" s="405"/>
      <c r="W816" s="405"/>
      <c r="X816" s="405"/>
      <c r="Y816" s="405"/>
      <c r="Z816" s="405"/>
    </row>
    <row r="817" ht="14.25" customHeight="1">
      <c r="A817" s="451">
        <v>45532.0</v>
      </c>
      <c r="B817" s="417" t="s">
        <v>3120</v>
      </c>
      <c r="C817" s="417" t="s">
        <v>3121</v>
      </c>
      <c r="D817" s="417" t="s">
        <v>54</v>
      </c>
      <c r="E817" s="417" t="s">
        <v>3078</v>
      </c>
      <c r="F817" s="413">
        <v>18920.0</v>
      </c>
      <c r="G817" s="413">
        <v>0.0</v>
      </c>
      <c r="H817" s="748" t="s">
        <v>3507</v>
      </c>
      <c r="I817" s="405"/>
      <c r="J817" s="405"/>
      <c r="K817" s="405"/>
      <c r="L817" s="405"/>
      <c r="M817" s="405"/>
      <c r="N817" s="405"/>
      <c r="O817" s="405"/>
      <c r="P817" s="405"/>
      <c r="Q817" s="405"/>
      <c r="R817" s="405"/>
      <c r="S817" s="405"/>
      <c r="T817" s="405"/>
      <c r="U817" s="405"/>
      <c r="V817" s="405"/>
      <c r="W817" s="405"/>
      <c r="X817" s="405"/>
      <c r="Y817" s="405"/>
      <c r="Z817" s="405"/>
    </row>
    <row r="818" ht="14.25" customHeight="1">
      <c r="A818" s="451">
        <v>45532.0</v>
      </c>
      <c r="B818" s="417" t="s">
        <v>3125</v>
      </c>
      <c r="C818" s="417" t="s">
        <v>3121</v>
      </c>
      <c r="D818" s="417" t="s">
        <v>467</v>
      </c>
      <c r="E818" s="417" t="s">
        <v>3078</v>
      </c>
      <c r="F818" s="69">
        <v>4200.0</v>
      </c>
      <c r="G818" s="413">
        <v>0.0</v>
      </c>
      <c r="H818" s="748" t="s">
        <v>3507</v>
      </c>
      <c r="I818" s="405"/>
      <c r="J818" s="405"/>
      <c r="K818" s="405"/>
      <c r="L818" s="405"/>
      <c r="M818" s="405"/>
      <c r="N818" s="405"/>
      <c r="O818" s="405"/>
      <c r="P818" s="405"/>
      <c r="Q818" s="405"/>
      <c r="R818" s="405"/>
      <c r="S818" s="405"/>
      <c r="T818" s="405"/>
      <c r="U818" s="405"/>
      <c r="V818" s="405"/>
      <c r="W818" s="405"/>
      <c r="X818" s="405"/>
      <c r="Y818" s="405"/>
      <c r="Z818" s="405"/>
    </row>
    <row r="819" ht="14.25" customHeight="1">
      <c r="A819" s="451">
        <v>45532.0</v>
      </c>
      <c r="B819" s="417" t="s">
        <v>3126</v>
      </c>
      <c r="C819" s="417" t="s">
        <v>3127</v>
      </c>
      <c r="D819" s="417" t="s">
        <v>54</v>
      </c>
      <c r="E819" s="744" t="s">
        <v>3308</v>
      </c>
      <c r="F819" s="413">
        <v>4000.0</v>
      </c>
      <c r="G819" s="413">
        <v>0.0</v>
      </c>
      <c r="H819" s="405"/>
      <c r="I819" s="405"/>
      <c r="J819" s="405"/>
      <c r="K819" s="405"/>
      <c r="L819" s="405"/>
      <c r="M819" s="405"/>
      <c r="N819" s="405"/>
      <c r="O819" s="405"/>
      <c r="P819" s="405"/>
      <c r="Q819" s="405"/>
      <c r="R819" s="405"/>
      <c r="S819" s="405"/>
      <c r="T819" s="405"/>
      <c r="U819" s="405"/>
      <c r="V819" s="405"/>
      <c r="W819" s="405"/>
      <c r="X819" s="405"/>
      <c r="Y819" s="405"/>
      <c r="Z819" s="405"/>
    </row>
    <row r="820" ht="14.25" customHeight="1">
      <c r="A820" s="405"/>
      <c r="B820" s="405"/>
      <c r="C820" s="405"/>
      <c r="D820" s="405"/>
      <c r="E820" s="405"/>
      <c r="F820" s="583"/>
      <c r="G820" s="583"/>
      <c r="H820" s="405"/>
      <c r="I820" s="405"/>
      <c r="J820" s="405"/>
      <c r="K820" s="405"/>
      <c r="L820" s="405"/>
      <c r="M820" s="405"/>
      <c r="N820" s="405"/>
      <c r="O820" s="405"/>
      <c r="P820" s="405"/>
      <c r="Q820" s="405"/>
      <c r="R820" s="405"/>
      <c r="S820" s="405"/>
      <c r="T820" s="405"/>
      <c r="U820" s="405"/>
      <c r="V820" s="405"/>
      <c r="W820" s="405"/>
      <c r="X820" s="405"/>
      <c r="Y820" s="405"/>
      <c r="Z820" s="405"/>
    </row>
    <row r="821" ht="14.25" customHeight="1">
      <c r="A821" s="405"/>
      <c r="B821" s="405"/>
      <c r="C821" s="405"/>
      <c r="D821" s="405"/>
      <c r="E821" s="405"/>
      <c r="F821" s="583"/>
      <c r="G821" s="583"/>
      <c r="H821" s="405"/>
      <c r="I821" s="405"/>
      <c r="J821" s="405"/>
      <c r="K821" s="405"/>
      <c r="L821" s="405"/>
      <c r="M821" s="405"/>
      <c r="N821" s="405"/>
      <c r="O821" s="405"/>
      <c r="P821" s="405"/>
      <c r="Q821" s="405"/>
      <c r="R821" s="405"/>
      <c r="S821" s="405"/>
      <c r="T821" s="405"/>
      <c r="U821" s="405"/>
      <c r="V821" s="405"/>
      <c r="W821" s="405"/>
      <c r="X821" s="405"/>
      <c r="Y821" s="405"/>
      <c r="Z821" s="405"/>
    </row>
    <row r="822" ht="14.25" customHeight="1">
      <c r="A822" s="740" t="s">
        <v>39</v>
      </c>
      <c r="B822" s="706" t="s">
        <v>3075</v>
      </c>
      <c r="C822" s="706" t="s">
        <v>49</v>
      </c>
      <c r="D822" s="706" t="s">
        <v>50</v>
      </c>
      <c r="E822" s="708" t="s">
        <v>2</v>
      </c>
      <c r="F822" s="708" t="s">
        <v>2</v>
      </c>
      <c r="G822" s="708" t="s">
        <v>4</v>
      </c>
      <c r="H822" s="740" t="s">
        <v>45</v>
      </c>
      <c r="I822" s="405"/>
      <c r="J822" s="405"/>
      <c r="K822" s="405"/>
      <c r="L822" s="405"/>
      <c r="M822" s="405"/>
      <c r="N822" s="405"/>
      <c r="O822" s="405"/>
      <c r="P822" s="405"/>
      <c r="Q822" s="405"/>
      <c r="R822" s="405"/>
      <c r="S822" s="405"/>
      <c r="T822" s="405"/>
      <c r="U822" s="405"/>
      <c r="V822" s="405"/>
      <c r="W822" s="405"/>
      <c r="X822" s="405"/>
      <c r="Y822" s="405"/>
      <c r="Z822" s="405"/>
    </row>
    <row r="823" ht="14.25" customHeight="1">
      <c r="A823" s="451">
        <v>45533.0</v>
      </c>
      <c r="B823" s="417" t="s">
        <v>3087</v>
      </c>
      <c r="C823" s="417" t="s">
        <v>3088</v>
      </c>
      <c r="D823" s="417" t="s">
        <v>54</v>
      </c>
      <c r="E823" s="417" t="s">
        <v>3308</v>
      </c>
      <c r="F823" s="73">
        <v>14000.0</v>
      </c>
      <c r="G823" s="413"/>
      <c r="H823" s="402"/>
      <c r="I823" s="405"/>
      <c r="J823" s="405"/>
      <c r="K823" s="405"/>
      <c r="L823" s="405"/>
      <c r="M823" s="405"/>
      <c r="N823" s="405"/>
      <c r="O823" s="405"/>
      <c r="P823" s="405"/>
      <c r="Q823" s="405"/>
      <c r="R823" s="405"/>
      <c r="S823" s="405"/>
      <c r="T823" s="405"/>
      <c r="U823" s="405"/>
      <c r="V823" s="405"/>
      <c r="W823" s="405"/>
      <c r="X823" s="405"/>
      <c r="Y823" s="405"/>
      <c r="Z823" s="405"/>
    </row>
    <row r="824" ht="14.25" customHeight="1">
      <c r="A824" s="451">
        <v>45533.0</v>
      </c>
      <c r="B824" s="417" t="s">
        <v>652</v>
      </c>
      <c r="C824" s="417" t="s">
        <v>3097</v>
      </c>
      <c r="D824" s="417" t="s">
        <v>2010</v>
      </c>
      <c r="E824" s="417" t="s">
        <v>3308</v>
      </c>
      <c r="F824" s="73">
        <v>55100.0</v>
      </c>
      <c r="G824" s="413"/>
      <c r="H824" s="402"/>
      <c r="I824" s="405"/>
      <c r="J824" s="405"/>
      <c r="K824" s="405"/>
      <c r="L824" s="405"/>
      <c r="M824" s="405"/>
      <c r="N824" s="405"/>
      <c r="O824" s="405"/>
      <c r="P824" s="405"/>
      <c r="Q824" s="405"/>
      <c r="R824" s="405"/>
      <c r="S824" s="405"/>
      <c r="T824" s="405"/>
      <c r="U824" s="405"/>
      <c r="V824" s="405"/>
      <c r="W824" s="405"/>
      <c r="X824" s="405"/>
      <c r="Y824" s="405"/>
      <c r="Z824" s="405"/>
    </row>
    <row r="825" ht="14.25" customHeight="1">
      <c r="A825" s="451">
        <v>45533.0</v>
      </c>
      <c r="B825" s="417" t="s">
        <v>3099</v>
      </c>
      <c r="C825" s="417" t="s">
        <v>3100</v>
      </c>
      <c r="D825" s="417" t="s">
        <v>54</v>
      </c>
      <c r="E825" s="417" t="s">
        <v>3308</v>
      </c>
      <c r="F825" s="73">
        <v>125300.0</v>
      </c>
      <c r="G825" s="413"/>
      <c r="H825" s="402"/>
      <c r="I825" s="405"/>
      <c r="J825" s="405"/>
      <c r="K825" s="405"/>
      <c r="L825" s="405"/>
      <c r="M825" s="405"/>
      <c r="N825" s="405"/>
      <c r="O825" s="405"/>
      <c r="P825" s="405"/>
      <c r="Q825" s="405"/>
      <c r="R825" s="405"/>
      <c r="S825" s="405"/>
      <c r="T825" s="405"/>
      <c r="U825" s="405"/>
      <c r="V825" s="405"/>
      <c r="W825" s="405"/>
      <c r="X825" s="405"/>
      <c r="Y825" s="405"/>
      <c r="Z825" s="405"/>
    </row>
    <row r="826" ht="14.25" customHeight="1">
      <c r="A826" s="451">
        <v>45533.0</v>
      </c>
      <c r="B826" s="417" t="s">
        <v>3134</v>
      </c>
      <c r="C826" s="417" t="s">
        <v>3176</v>
      </c>
      <c r="D826" s="417" t="s">
        <v>54</v>
      </c>
      <c r="E826" s="417" t="s">
        <v>3078</v>
      </c>
      <c r="F826" s="749">
        <v>87150.0</v>
      </c>
      <c r="G826" s="413"/>
      <c r="H826" s="349"/>
      <c r="I826" s="405"/>
      <c r="J826" s="405"/>
      <c r="K826" s="405"/>
      <c r="L826" s="405"/>
      <c r="M826" s="405"/>
      <c r="N826" s="405"/>
      <c r="O826" s="405"/>
      <c r="P826" s="405"/>
      <c r="Q826" s="405"/>
      <c r="R826" s="405"/>
      <c r="S826" s="405"/>
      <c r="T826" s="405"/>
      <c r="U826" s="405"/>
      <c r="V826" s="405"/>
      <c r="W826" s="405"/>
      <c r="X826" s="405"/>
      <c r="Y826" s="405"/>
      <c r="Z826" s="405"/>
    </row>
    <row r="827" ht="14.25" customHeight="1">
      <c r="A827" s="451">
        <v>45533.0</v>
      </c>
      <c r="B827" s="417" t="s">
        <v>3173</v>
      </c>
      <c r="C827" s="417" t="s">
        <v>3174</v>
      </c>
      <c r="D827" s="417" t="s">
        <v>54</v>
      </c>
      <c r="E827" s="417" t="s">
        <v>3101</v>
      </c>
      <c r="F827" s="73">
        <v>16800.0</v>
      </c>
      <c r="G827" s="413"/>
      <c r="H827" s="402"/>
      <c r="I827" s="405"/>
      <c r="J827" s="405"/>
      <c r="K827" s="405"/>
      <c r="L827" s="405"/>
      <c r="M827" s="405"/>
      <c r="N827" s="405"/>
      <c r="O827" s="405"/>
      <c r="P827" s="405"/>
      <c r="Q827" s="405"/>
      <c r="R827" s="405"/>
      <c r="S827" s="405"/>
      <c r="T827" s="405"/>
      <c r="U827" s="405"/>
      <c r="V827" s="405"/>
      <c r="W827" s="405"/>
      <c r="X827" s="405"/>
      <c r="Y827" s="405"/>
      <c r="Z827" s="405"/>
    </row>
    <row r="828" ht="14.25" customHeight="1">
      <c r="A828" s="451">
        <v>45533.0</v>
      </c>
      <c r="B828" s="417" t="s">
        <v>3193</v>
      </c>
      <c r="C828" s="417" t="s">
        <v>3194</v>
      </c>
      <c r="D828" s="417" t="s">
        <v>3189</v>
      </c>
      <c r="E828" s="417" t="s">
        <v>3078</v>
      </c>
      <c r="F828" s="73">
        <v>173000.0</v>
      </c>
      <c r="G828" s="413"/>
      <c r="H828" s="349"/>
      <c r="I828" s="405"/>
      <c r="J828" s="405"/>
      <c r="K828" s="405"/>
      <c r="L828" s="405"/>
      <c r="M828" s="405"/>
      <c r="N828" s="405"/>
      <c r="O828" s="405"/>
      <c r="P828" s="405"/>
      <c r="Q828" s="405"/>
      <c r="R828" s="405"/>
      <c r="S828" s="405"/>
      <c r="T828" s="405"/>
      <c r="U828" s="405"/>
      <c r="V828" s="405"/>
      <c r="W828" s="405"/>
      <c r="X828" s="405"/>
      <c r="Y828" s="405"/>
      <c r="Z828" s="405"/>
    </row>
    <row r="829" ht="14.25" customHeight="1">
      <c r="A829" s="451">
        <v>45533.0</v>
      </c>
      <c r="B829" s="417" t="s">
        <v>3278</v>
      </c>
      <c r="C829" s="417" t="s">
        <v>3232</v>
      </c>
      <c r="D829" s="417" t="s">
        <v>54</v>
      </c>
      <c r="E829" s="417" t="s">
        <v>3308</v>
      </c>
      <c r="F829" s="73">
        <v>800.0</v>
      </c>
      <c r="G829" s="413"/>
      <c r="H829" s="402"/>
      <c r="I829" s="405"/>
      <c r="J829" s="405"/>
      <c r="K829" s="405"/>
      <c r="L829" s="405"/>
      <c r="M829" s="405"/>
      <c r="N829" s="405"/>
      <c r="O829" s="405"/>
      <c r="P829" s="405"/>
      <c r="Q829" s="405"/>
      <c r="R829" s="405"/>
      <c r="S829" s="405"/>
      <c r="T829" s="405"/>
      <c r="U829" s="405"/>
      <c r="V829" s="405"/>
      <c r="W829" s="405"/>
      <c r="X829" s="405"/>
      <c r="Y829" s="405"/>
      <c r="Z829" s="405"/>
    </row>
    <row r="830" ht="14.25" customHeight="1">
      <c r="A830" s="451">
        <v>45533.0</v>
      </c>
      <c r="B830" s="417" t="s">
        <v>3083</v>
      </c>
      <c r="C830" s="417" t="s">
        <v>3084</v>
      </c>
      <c r="D830" s="417" t="s">
        <v>54</v>
      </c>
      <c r="E830" s="417" t="s">
        <v>3101</v>
      </c>
      <c r="F830" s="73">
        <v>6500.0</v>
      </c>
      <c r="G830" s="413"/>
      <c r="H830" s="349"/>
      <c r="I830" s="405"/>
      <c r="J830" s="405"/>
      <c r="K830" s="405"/>
      <c r="L830" s="405"/>
      <c r="M830" s="405"/>
      <c r="N830" s="405"/>
      <c r="O830" s="405"/>
      <c r="P830" s="405"/>
      <c r="Q830" s="405"/>
      <c r="R830" s="405"/>
      <c r="S830" s="405"/>
      <c r="T830" s="405"/>
      <c r="U830" s="405"/>
      <c r="V830" s="405"/>
      <c r="W830" s="405"/>
      <c r="X830" s="405"/>
      <c r="Y830" s="405"/>
      <c r="Z830" s="405"/>
    </row>
    <row r="831" ht="14.25" customHeight="1">
      <c r="A831" s="451">
        <v>45533.0</v>
      </c>
      <c r="B831" s="444" t="s">
        <v>3235</v>
      </c>
      <c r="C831" s="417" t="s">
        <v>3236</v>
      </c>
      <c r="D831" s="417" t="s">
        <v>3189</v>
      </c>
      <c r="E831" s="417" t="s">
        <v>3101</v>
      </c>
      <c r="F831" s="73">
        <v>280800.0</v>
      </c>
      <c r="G831" s="413"/>
      <c r="H831" s="349"/>
      <c r="I831" s="405"/>
      <c r="J831" s="405"/>
      <c r="K831" s="405"/>
      <c r="L831" s="405"/>
      <c r="M831" s="405"/>
      <c r="N831" s="405"/>
      <c r="O831" s="405"/>
      <c r="P831" s="405"/>
      <c r="Q831" s="405"/>
      <c r="R831" s="405"/>
      <c r="S831" s="405"/>
      <c r="T831" s="405"/>
      <c r="U831" s="405"/>
      <c r="V831" s="405"/>
      <c r="W831" s="405"/>
      <c r="X831" s="405"/>
      <c r="Y831" s="405"/>
      <c r="Z831" s="405"/>
    </row>
    <row r="832" ht="14.25" customHeight="1">
      <c r="A832" s="451">
        <v>45533.0</v>
      </c>
      <c r="B832" s="417" t="s">
        <v>3289</v>
      </c>
      <c r="C832" s="417" t="s">
        <v>3236</v>
      </c>
      <c r="D832" s="417" t="s">
        <v>54</v>
      </c>
      <c r="E832" s="417" t="s">
        <v>3115</v>
      </c>
      <c r="F832" s="73">
        <v>50700.0</v>
      </c>
      <c r="G832" s="413"/>
      <c r="H832" s="402"/>
      <c r="I832" s="405"/>
      <c r="J832" s="405"/>
      <c r="K832" s="405"/>
      <c r="L832" s="405"/>
      <c r="M832" s="405"/>
      <c r="N832" s="405"/>
      <c r="O832" s="405"/>
      <c r="P832" s="405"/>
      <c r="Q832" s="405"/>
      <c r="R832" s="405"/>
      <c r="S832" s="405"/>
      <c r="T832" s="405"/>
      <c r="U832" s="405"/>
      <c r="V832" s="405"/>
      <c r="W832" s="405"/>
      <c r="X832" s="405"/>
      <c r="Y832" s="405"/>
      <c r="Z832" s="405"/>
    </row>
    <row r="833" ht="14.25" customHeight="1">
      <c r="A833" s="451">
        <v>45533.0</v>
      </c>
      <c r="B833" s="417" t="s">
        <v>3290</v>
      </c>
      <c r="C833" s="417" t="s">
        <v>3291</v>
      </c>
      <c r="D833" s="417" t="s">
        <v>54</v>
      </c>
      <c r="E833" s="417" t="s">
        <v>3101</v>
      </c>
      <c r="F833" s="73">
        <v>4500.0</v>
      </c>
      <c r="G833" s="413"/>
      <c r="H833" s="349"/>
      <c r="I833" s="405"/>
      <c r="J833" s="405"/>
      <c r="K833" s="405"/>
      <c r="L833" s="405"/>
      <c r="M833" s="405"/>
      <c r="N833" s="405"/>
      <c r="O833" s="405"/>
      <c r="P833" s="405"/>
      <c r="Q833" s="405"/>
      <c r="R833" s="405"/>
      <c r="S833" s="405"/>
      <c r="T833" s="405"/>
      <c r="U833" s="405"/>
      <c r="V833" s="405"/>
      <c r="W833" s="405"/>
      <c r="X833" s="405"/>
      <c r="Y833" s="405"/>
      <c r="Z833" s="405"/>
    </row>
    <row r="834" ht="14.25" customHeight="1">
      <c r="A834" s="451">
        <v>45533.0</v>
      </c>
      <c r="B834" s="417" t="s">
        <v>3341</v>
      </c>
      <c r="C834" s="417" t="s">
        <v>3209</v>
      </c>
      <c r="D834" s="417" t="s">
        <v>467</v>
      </c>
      <c r="E834" s="417" t="s">
        <v>3101</v>
      </c>
      <c r="F834" s="73">
        <v>6900.0</v>
      </c>
      <c r="G834" s="413"/>
      <c r="H834" s="349"/>
      <c r="I834" s="405"/>
      <c r="J834" s="405"/>
      <c r="K834" s="405"/>
      <c r="L834" s="405"/>
      <c r="M834" s="405"/>
      <c r="N834" s="405"/>
      <c r="O834" s="405"/>
      <c r="P834" s="405"/>
      <c r="Q834" s="405"/>
      <c r="R834" s="405"/>
      <c r="S834" s="405"/>
      <c r="T834" s="405"/>
      <c r="U834" s="405"/>
      <c r="V834" s="405"/>
      <c r="W834" s="405"/>
      <c r="X834" s="405"/>
      <c r="Y834" s="405"/>
      <c r="Z834" s="405"/>
    </row>
    <row r="835" ht="14.25" customHeight="1">
      <c r="A835" s="451">
        <v>45533.0</v>
      </c>
      <c r="B835" s="417" t="s">
        <v>3357</v>
      </c>
      <c r="C835" s="417" t="s">
        <v>3338</v>
      </c>
      <c r="D835" s="417" t="s">
        <v>54</v>
      </c>
      <c r="E835" s="417" t="s">
        <v>3101</v>
      </c>
      <c r="F835" s="69">
        <v>43500.0</v>
      </c>
      <c r="G835" s="413"/>
      <c r="H835" s="349"/>
      <c r="I835" s="405"/>
      <c r="J835" s="405"/>
      <c r="K835" s="405"/>
      <c r="L835" s="405"/>
      <c r="M835" s="405"/>
      <c r="N835" s="405"/>
      <c r="O835" s="405"/>
      <c r="P835" s="405"/>
      <c r="Q835" s="405"/>
      <c r="R835" s="405"/>
      <c r="S835" s="405"/>
      <c r="T835" s="405"/>
      <c r="U835" s="405"/>
      <c r="V835" s="405"/>
      <c r="W835" s="405"/>
      <c r="X835" s="405"/>
      <c r="Y835" s="405"/>
      <c r="Z835" s="405"/>
    </row>
    <row r="836" ht="14.25" customHeight="1">
      <c r="A836" s="451">
        <v>45533.0</v>
      </c>
      <c r="B836" s="417" t="s">
        <v>3371</v>
      </c>
      <c r="C836" s="417" t="s">
        <v>3291</v>
      </c>
      <c r="D836" s="417" t="s">
        <v>3189</v>
      </c>
      <c r="E836" s="417" t="s">
        <v>3101</v>
      </c>
      <c r="F836" s="73">
        <v>95100.0</v>
      </c>
      <c r="G836" s="413"/>
      <c r="H836" s="349"/>
      <c r="I836" s="405"/>
      <c r="J836" s="405"/>
      <c r="K836" s="405"/>
      <c r="L836" s="405"/>
      <c r="M836" s="405"/>
      <c r="N836" s="405"/>
      <c r="O836" s="405"/>
      <c r="P836" s="405"/>
      <c r="Q836" s="405"/>
      <c r="R836" s="405"/>
      <c r="S836" s="405"/>
      <c r="T836" s="405"/>
      <c r="U836" s="405"/>
      <c r="V836" s="405"/>
      <c r="W836" s="405"/>
      <c r="X836" s="405"/>
      <c r="Y836" s="405"/>
      <c r="Z836" s="405"/>
    </row>
    <row r="837" ht="14.25" customHeight="1">
      <c r="A837" s="451">
        <v>45533.0</v>
      </c>
      <c r="B837" s="417" t="s">
        <v>3409</v>
      </c>
      <c r="C837" s="417" t="s">
        <v>3410</v>
      </c>
      <c r="D837" s="417" t="s">
        <v>54</v>
      </c>
      <c r="E837" s="417" t="s">
        <v>3101</v>
      </c>
      <c r="F837" s="73">
        <v>27300.0</v>
      </c>
      <c r="G837" s="413"/>
      <c r="H837" s="349"/>
      <c r="I837" s="405"/>
      <c r="J837" s="405"/>
      <c r="K837" s="405"/>
      <c r="L837" s="405"/>
      <c r="M837" s="405"/>
      <c r="N837" s="405"/>
      <c r="O837" s="405"/>
      <c r="P837" s="405"/>
      <c r="Q837" s="405"/>
      <c r="R837" s="405"/>
      <c r="S837" s="405"/>
      <c r="T837" s="405"/>
      <c r="U837" s="405"/>
      <c r="V837" s="405"/>
      <c r="W837" s="405"/>
      <c r="X837" s="405"/>
      <c r="Y837" s="405"/>
      <c r="Z837" s="405"/>
    </row>
    <row r="838" ht="14.25" customHeight="1">
      <c r="A838" s="451">
        <v>45533.0</v>
      </c>
      <c r="B838" s="417" t="s">
        <v>3107</v>
      </c>
      <c r="C838" s="417" t="s">
        <v>3108</v>
      </c>
      <c r="D838" s="417" t="s">
        <v>54</v>
      </c>
      <c r="E838" s="417" t="s">
        <v>3101</v>
      </c>
      <c r="F838" s="69">
        <v>55100.0</v>
      </c>
      <c r="G838" s="413"/>
      <c r="H838" s="349"/>
      <c r="I838" s="405"/>
      <c r="J838" s="405"/>
      <c r="K838" s="405"/>
      <c r="L838" s="405"/>
      <c r="M838" s="405"/>
      <c r="N838" s="405"/>
      <c r="O838" s="405"/>
      <c r="P838" s="405"/>
      <c r="Q838" s="405"/>
      <c r="R838" s="405"/>
      <c r="S838" s="405"/>
      <c r="T838" s="405"/>
      <c r="U838" s="405"/>
      <c r="V838" s="405"/>
      <c r="W838" s="405"/>
      <c r="X838" s="405"/>
      <c r="Y838" s="405"/>
      <c r="Z838" s="405"/>
    </row>
    <row r="839" ht="14.25" customHeight="1">
      <c r="A839" s="451">
        <v>45533.0</v>
      </c>
      <c r="B839" s="417" t="s">
        <v>3412</v>
      </c>
      <c r="C839" s="417" t="s">
        <v>3238</v>
      </c>
      <c r="D839" s="417" t="s">
        <v>54</v>
      </c>
      <c r="E839" s="417" t="s">
        <v>3078</v>
      </c>
      <c r="F839" s="73">
        <v>16000.0</v>
      </c>
      <c r="G839" s="413">
        <v>4300.0</v>
      </c>
      <c r="H839" s="402"/>
      <c r="I839" s="405"/>
      <c r="J839" s="405"/>
      <c r="K839" s="405"/>
      <c r="L839" s="405"/>
      <c r="M839" s="405"/>
      <c r="N839" s="405"/>
      <c r="O839" s="405"/>
      <c r="P839" s="405"/>
      <c r="Q839" s="405"/>
      <c r="R839" s="405"/>
      <c r="S839" s="405"/>
      <c r="T839" s="405"/>
      <c r="U839" s="405"/>
      <c r="V839" s="405"/>
      <c r="W839" s="405"/>
      <c r="X839" s="405"/>
      <c r="Y839" s="405"/>
      <c r="Z839" s="405"/>
    </row>
    <row r="840" ht="14.25" customHeight="1">
      <c r="A840" s="451">
        <v>45533.0</v>
      </c>
      <c r="B840" s="417" t="s">
        <v>3416</v>
      </c>
      <c r="C840" s="417" t="s">
        <v>3417</v>
      </c>
      <c r="D840" s="417" t="s">
        <v>54</v>
      </c>
      <c r="E840" s="417" t="s">
        <v>3078</v>
      </c>
      <c r="F840" s="69">
        <v>136352.6</v>
      </c>
      <c r="G840" s="413"/>
      <c r="H840" s="349" t="s">
        <v>3508</v>
      </c>
      <c r="I840" s="405"/>
      <c r="J840" s="405"/>
      <c r="K840" s="405"/>
      <c r="L840" s="405"/>
      <c r="M840" s="405"/>
      <c r="N840" s="405"/>
      <c r="O840" s="405"/>
      <c r="P840" s="405"/>
      <c r="Q840" s="405"/>
      <c r="R840" s="405"/>
      <c r="S840" s="405"/>
      <c r="T840" s="405"/>
      <c r="U840" s="405"/>
      <c r="V840" s="405"/>
      <c r="W840" s="405"/>
      <c r="X840" s="405"/>
      <c r="Y840" s="405"/>
      <c r="Z840" s="405"/>
    </row>
    <row r="841" ht="14.25" customHeight="1">
      <c r="A841" s="451">
        <v>45533.0</v>
      </c>
      <c r="B841" s="417" t="s">
        <v>3128</v>
      </c>
      <c r="C841" s="417" t="s">
        <v>3129</v>
      </c>
      <c r="D841" s="417" t="s">
        <v>54</v>
      </c>
      <c r="E841" s="417" t="s">
        <v>3308</v>
      </c>
      <c r="F841" s="73">
        <v>44000.0</v>
      </c>
      <c r="G841" s="413"/>
      <c r="H841" s="402"/>
      <c r="I841" s="405"/>
      <c r="J841" s="405"/>
      <c r="K841" s="405"/>
      <c r="L841" s="405"/>
      <c r="M841" s="405"/>
      <c r="N841" s="405"/>
      <c r="O841" s="405"/>
      <c r="P841" s="405"/>
      <c r="Q841" s="405"/>
      <c r="R841" s="405"/>
      <c r="S841" s="405"/>
      <c r="T841" s="405"/>
      <c r="U841" s="405"/>
      <c r="V841" s="405"/>
      <c r="W841" s="405"/>
      <c r="X841" s="405"/>
      <c r="Y841" s="405"/>
      <c r="Z841" s="405"/>
    </row>
    <row r="842" ht="14.25" customHeight="1">
      <c r="A842" s="451">
        <v>45533.0</v>
      </c>
      <c r="B842" s="417" t="s">
        <v>3120</v>
      </c>
      <c r="C842" s="417" t="s">
        <v>3121</v>
      </c>
      <c r="D842" s="417" t="s">
        <v>54</v>
      </c>
      <c r="E842" s="417" t="s">
        <v>3078</v>
      </c>
      <c r="F842" s="413">
        <v>18920.0</v>
      </c>
      <c r="G842" s="413"/>
      <c r="H842" s="349"/>
      <c r="I842" s="405"/>
      <c r="J842" s="405"/>
      <c r="K842" s="405"/>
      <c r="L842" s="405"/>
      <c r="M842" s="405"/>
      <c r="N842" s="405"/>
      <c r="O842" s="405"/>
      <c r="P842" s="405"/>
      <c r="Q842" s="405"/>
      <c r="R842" s="405"/>
      <c r="S842" s="405"/>
      <c r="T842" s="405"/>
      <c r="U842" s="405"/>
      <c r="V842" s="405"/>
      <c r="W842" s="405"/>
      <c r="X842" s="405"/>
      <c r="Y842" s="405"/>
      <c r="Z842" s="405"/>
    </row>
    <row r="843" ht="14.25" customHeight="1">
      <c r="A843" s="451">
        <v>45533.0</v>
      </c>
      <c r="B843" s="417" t="s">
        <v>3125</v>
      </c>
      <c r="C843" s="417" t="s">
        <v>3121</v>
      </c>
      <c r="D843" s="417" t="s">
        <v>467</v>
      </c>
      <c r="E843" s="417" t="s">
        <v>3078</v>
      </c>
      <c r="F843" s="69">
        <v>4200.0</v>
      </c>
      <c r="G843" s="413"/>
      <c r="H843" s="349"/>
      <c r="I843" s="405"/>
      <c r="J843" s="405"/>
      <c r="K843" s="405"/>
      <c r="L843" s="405"/>
      <c r="M843" s="405"/>
      <c r="N843" s="405"/>
      <c r="O843" s="405"/>
      <c r="P843" s="405"/>
      <c r="Q843" s="405"/>
      <c r="R843" s="405"/>
      <c r="S843" s="405"/>
      <c r="T843" s="405"/>
      <c r="U843" s="405"/>
      <c r="V843" s="405"/>
      <c r="W843" s="405"/>
      <c r="X843" s="405"/>
      <c r="Y843" s="405"/>
      <c r="Z843" s="405"/>
    </row>
    <row r="844" ht="14.25" customHeight="1">
      <c r="A844" s="451">
        <v>45533.0</v>
      </c>
      <c r="B844" s="417" t="s">
        <v>3126</v>
      </c>
      <c r="C844" s="417" t="s">
        <v>3127</v>
      </c>
      <c r="D844" s="417" t="s">
        <v>54</v>
      </c>
      <c r="E844" s="744" t="s">
        <v>3308</v>
      </c>
      <c r="F844" s="413">
        <v>4000.0</v>
      </c>
      <c r="G844" s="413"/>
      <c r="H844" s="402"/>
      <c r="I844" s="405"/>
      <c r="J844" s="405"/>
      <c r="K844" s="405"/>
      <c r="L844" s="405"/>
      <c r="M844" s="405"/>
      <c r="N844" s="405"/>
      <c r="O844" s="405"/>
      <c r="P844" s="405"/>
      <c r="Q844" s="405"/>
      <c r="R844" s="405"/>
      <c r="S844" s="405"/>
      <c r="T844" s="405"/>
      <c r="U844" s="405"/>
      <c r="V844" s="405"/>
      <c r="W844" s="405"/>
      <c r="X844" s="405"/>
      <c r="Y844" s="405"/>
      <c r="Z844" s="405"/>
    </row>
    <row r="845" ht="14.25" customHeight="1">
      <c r="A845" s="451">
        <v>45533.0</v>
      </c>
      <c r="B845" s="349" t="s">
        <v>3509</v>
      </c>
      <c r="C845" s="349" t="s">
        <v>3510</v>
      </c>
      <c r="D845" s="417" t="s">
        <v>54</v>
      </c>
      <c r="E845" s="349" t="s">
        <v>3511</v>
      </c>
      <c r="F845" s="413">
        <v>107373.0</v>
      </c>
      <c r="G845" s="403"/>
      <c r="H845" s="402"/>
      <c r="I845" s="405"/>
      <c r="J845" s="405"/>
      <c r="K845" s="405"/>
      <c r="L845" s="405"/>
      <c r="M845" s="405"/>
      <c r="N845" s="405"/>
      <c r="O845" s="405"/>
      <c r="P845" s="405"/>
      <c r="Q845" s="405"/>
      <c r="R845" s="405"/>
      <c r="S845" s="405"/>
      <c r="T845" s="405"/>
      <c r="U845" s="405"/>
      <c r="V845" s="405"/>
      <c r="W845" s="405"/>
      <c r="X845" s="405"/>
      <c r="Y845" s="405"/>
      <c r="Z845" s="405"/>
    </row>
    <row r="846" ht="14.25" customHeight="1">
      <c r="A846" s="451">
        <v>45533.0</v>
      </c>
      <c r="B846" s="349" t="s">
        <v>3169</v>
      </c>
      <c r="C846" s="623" t="s">
        <v>3170</v>
      </c>
      <c r="D846" s="417" t="s">
        <v>54</v>
      </c>
      <c r="E846" s="744" t="s">
        <v>3308</v>
      </c>
      <c r="F846" s="413">
        <v>29000.0</v>
      </c>
      <c r="G846" s="403"/>
      <c r="H846" s="402"/>
      <c r="I846" s="405"/>
      <c r="J846" s="405"/>
      <c r="K846" s="405"/>
      <c r="L846" s="405"/>
      <c r="M846" s="405"/>
      <c r="N846" s="405"/>
      <c r="O846" s="405"/>
      <c r="P846" s="405"/>
      <c r="Q846" s="405"/>
      <c r="R846" s="405"/>
      <c r="S846" s="405"/>
      <c r="T846" s="405"/>
      <c r="U846" s="405"/>
      <c r="V846" s="405"/>
      <c r="W846" s="405"/>
      <c r="X846" s="405"/>
      <c r="Y846" s="405"/>
      <c r="Z846" s="405"/>
    </row>
    <row r="847" ht="14.25" customHeight="1">
      <c r="A847" s="451">
        <v>45533.0</v>
      </c>
      <c r="B847" s="623" t="s">
        <v>3171</v>
      </c>
      <c r="C847" s="623" t="s">
        <v>3172</v>
      </c>
      <c r="D847" s="417" t="s">
        <v>54</v>
      </c>
      <c r="E847" s="750" t="s">
        <v>3512</v>
      </c>
      <c r="F847" s="413">
        <v>21020.0</v>
      </c>
      <c r="G847" s="403"/>
      <c r="H847" s="402"/>
      <c r="I847" s="405"/>
      <c r="J847" s="405"/>
      <c r="K847" s="405"/>
      <c r="L847" s="405"/>
      <c r="M847" s="405"/>
      <c r="N847" s="405"/>
      <c r="O847" s="405"/>
      <c r="P847" s="405"/>
      <c r="Q847" s="405"/>
      <c r="R847" s="405"/>
      <c r="S847" s="405"/>
      <c r="T847" s="405"/>
      <c r="U847" s="405"/>
      <c r="V847" s="405"/>
      <c r="W847" s="405"/>
      <c r="X847" s="405"/>
      <c r="Y847" s="405"/>
      <c r="Z847" s="405"/>
    </row>
    <row r="848" ht="14.25" customHeight="1">
      <c r="A848" s="451">
        <v>45533.0</v>
      </c>
      <c r="B848" s="623" t="s">
        <v>3173</v>
      </c>
      <c r="C848" s="623" t="s">
        <v>3174</v>
      </c>
      <c r="D848" s="417" t="s">
        <v>54</v>
      </c>
      <c r="E848" s="417" t="s">
        <v>3101</v>
      </c>
      <c r="F848" s="413">
        <v>39100.0</v>
      </c>
      <c r="G848" s="403"/>
      <c r="H848" s="402"/>
      <c r="I848" s="405"/>
      <c r="J848" s="405"/>
      <c r="K848" s="405"/>
      <c r="L848" s="405"/>
      <c r="M848" s="405"/>
      <c r="N848" s="405"/>
      <c r="O848" s="405"/>
      <c r="P848" s="405"/>
      <c r="Q848" s="405"/>
      <c r="R848" s="405"/>
      <c r="S848" s="405"/>
      <c r="T848" s="405"/>
      <c r="U848" s="405"/>
      <c r="V848" s="405"/>
      <c r="W848" s="405"/>
      <c r="X848" s="405"/>
      <c r="Y848" s="405"/>
      <c r="Z848" s="405"/>
    </row>
    <row r="849" ht="14.25" customHeight="1">
      <c r="A849" s="451">
        <v>45533.0</v>
      </c>
      <c r="B849" s="349" t="s">
        <v>3513</v>
      </c>
      <c r="C849" s="349" t="s">
        <v>3188</v>
      </c>
      <c r="D849" s="417" t="s">
        <v>54</v>
      </c>
      <c r="E849" s="417" t="s">
        <v>3101</v>
      </c>
      <c r="F849" s="413">
        <v>23000.0</v>
      </c>
      <c r="G849" s="403"/>
      <c r="H849" s="402"/>
      <c r="I849" s="405"/>
      <c r="J849" s="405"/>
      <c r="K849" s="405"/>
      <c r="L849" s="405"/>
      <c r="M849" s="405"/>
      <c r="N849" s="405"/>
      <c r="O849" s="405"/>
      <c r="P849" s="405"/>
      <c r="Q849" s="405"/>
      <c r="R849" s="405"/>
      <c r="S849" s="405"/>
      <c r="T849" s="405"/>
      <c r="U849" s="405"/>
      <c r="V849" s="405"/>
      <c r="W849" s="405"/>
      <c r="X849" s="405"/>
      <c r="Y849" s="405"/>
      <c r="Z849" s="405"/>
    </row>
    <row r="850" ht="14.25" customHeight="1">
      <c r="A850" s="405"/>
      <c r="B850" s="405"/>
      <c r="C850" s="405"/>
      <c r="D850" s="405"/>
      <c r="E850" s="405"/>
      <c r="F850" s="583"/>
      <c r="G850" s="583"/>
      <c r="H850" s="405"/>
      <c r="I850" s="405"/>
      <c r="J850" s="405"/>
      <c r="K850" s="405"/>
      <c r="L850" s="405"/>
      <c r="M850" s="405"/>
      <c r="N850" s="405"/>
      <c r="O850" s="405"/>
      <c r="P850" s="405"/>
      <c r="Q850" s="405"/>
      <c r="R850" s="405"/>
      <c r="S850" s="405"/>
      <c r="T850" s="405"/>
      <c r="U850" s="405"/>
      <c r="V850" s="405"/>
      <c r="W850" s="405"/>
      <c r="X850" s="405"/>
      <c r="Y850" s="405"/>
      <c r="Z850" s="405"/>
    </row>
    <row r="851" ht="14.25" customHeight="1">
      <c r="A851" s="740" t="s">
        <v>39</v>
      </c>
      <c r="B851" s="706" t="s">
        <v>3075</v>
      </c>
      <c r="C851" s="706" t="s">
        <v>49</v>
      </c>
      <c r="D851" s="706" t="s">
        <v>50</v>
      </c>
      <c r="E851" s="708" t="s">
        <v>2</v>
      </c>
      <c r="F851" s="708" t="s">
        <v>2</v>
      </c>
      <c r="G851" s="708" t="s">
        <v>4</v>
      </c>
      <c r="H851" s="740" t="s">
        <v>45</v>
      </c>
      <c r="I851" s="405"/>
      <c r="J851" s="405"/>
      <c r="K851" s="405"/>
      <c r="L851" s="405"/>
      <c r="M851" s="405"/>
      <c r="N851" s="405"/>
      <c r="O851" s="405"/>
      <c r="P851" s="405"/>
      <c r="Q851" s="405"/>
      <c r="R851" s="405"/>
      <c r="S851" s="405"/>
      <c r="T851" s="405"/>
      <c r="U851" s="405"/>
      <c r="V851" s="405"/>
      <c r="W851" s="405"/>
      <c r="X851" s="405"/>
      <c r="Y851" s="405"/>
      <c r="Z851" s="405"/>
    </row>
    <row r="852" ht="14.25" customHeight="1">
      <c r="A852" s="451">
        <v>45534.0</v>
      </c>
      <c r="B852" s="417" t="s">
        <v>3087</v>
      </c>
      <c r="C852" s="417" t="s">
        <v>3088</v>
      </c>
      <c r="D852" s="417" t="s">
        <v>54</v>
      </c>
      <c r="E852" s="417" t="s">
        <v>3308</v>
      </c>
      <c r="F852" s="73">
        <v>14000.0</v>
      </c>
      <c r="G852" s="413"/>
      <c r="H852" s="402"/>
      <c r="I852" s="405"/>
      <c r="J852" s="405"/>
      <c r="K852" s="405"/>
      <c r="L852" s="405"/>
      <c r="M852" s="405"/>
      <c r="N852" s="405"/>
      <c r="O852" s="405"/>
      <c r="P852" s="405"/>
      <c r="Q852" s="405"/>
      <c r="R852" s="405"/>
      <c r="S852" s="405"/>
      <c r="T852" s="405"/>
      <c r="U852" s="405"/>
      <c r="V852" s="405"/>
      <c r="W852" s="405"/>
      <c r="X852" s="405"/>
      <c r="Y852" s="405"/>
      <c r="Z852" s="405"/>
    </row>
    <row r="853" ht="14.25" customHeight="1">
      <c r="A853" s="451">
        <v>45534.0</v>
      </c>
      <c r="B853" s="417" t="s">
        <v>652</v>
      </c>
      <c r="C853" s="417" t="s">
        <v>3097</v>
      </c>
      <c r="D853" s="417" t="s">
        <v>2010</v>
      </c>
      <c r="E853" s="417" t="s">
        <v>3308</v>
      </c>
      <c r="F853" s="73">
        <v>55100.0</v>
      </c>
      <c r="G853" s="413"/>
      <c r="H853" s="402"/>
      <c r="I853" s="405"/>
      <c r="J853" s="405"/>
      <c r="K853" s="405"/>
      <c r="L853" s="405"/>
      <c r="M853" s="405"/>
      <c r="N853" s="405"/>
      <c r="O853" s="405"/>
      <c r="P853" s="405"/>
      <c r="Q853" s="405"/>
      <c r="R853" s="405"/>
      <c r="S853" s="405"/>
      <c r="T853" s="405"/>
      <c r="U853" s="405"/>
      <c r="V853" s="405"/>
      <c r="W853" s="405"/>
      <c r="X853" s="405"/>
      <c r="Y853" s="405"/>
      <c r="Z853" s="405"/>
    </row>
    <row r="854" ht="14.25" customHeight="1">
      <c r="A854" s="451">
        <v>45534.0</v>
      </c>
      <c r="B854" s="417" t="s">
        <v>3099</v>
      </c>
      <c r="C854" s="417" t="s">
        <v>3100</v>
      </c>
      <c r="D854" s="417" t="s">
        <v>54</v>
      </c>
      <c r="E854" s="417" t="s">
        <v>3308</v>
      </c>
      <c r="F854" s="73">
        <v>125300.0</v>
      </c>
      <c r="G854" s="413"/>
      <c r="H854" s="402"/>
      <c r="I854" s="405"/>
      <c r="J854" s="405"/>
      <c r="K854" s="405"/>
      <c r="L854" s="405"/>
      <c r="M854" s="405"/>
      <c r="N854" s="405"/>
      <c r="O854" s="405"/>
      <c r="P854" s="405"/>
      <c r="Q854" s="405"/>
      <c r="R854" s="405"/>
      <c r="S854" s="405"/>
      <c r="T854" s="405"/>
      <c r="U854" s="405"/>
      <c r="V854" s="405"/>
      <c r="W854" s="405"/>
      <c r="X854" s="405"/>
      <c r="Y854" s="405"/>
      <c r="Z854" s="405"/>
    </row>
    <row r="855" ht="14.25" customHeight="1">
      <c r="A855" s="451">
        <v>45534.0</v>
      </c>
      <c r="B855" s="417" t="s">
        <v>3134</v>
      </c>
      <c r="C855" s="417" t="s">
        <v>3176</v>
      </c>
      <c r="D855" s="417" t="s">
        <v>54</v>
      </c>
      <c r="E855" s="417" t="s">
        <v>3078</v>
      </c>
      <c r="F855" s="749">
        <v>178700.0</v>
      </c>
      <c r="G855" s="413">
        <v>0.0</v>
      </c>
      <c r="H855" s="349" t="s">
        <v>3514</v>
      </c>
      <c r="I855" s="405"/>
      <c r="J855" s="405"/>
      <c r="K855" s="405"/>
      <c r="L855" s="405"/>
      <c r="M855" s="405"/>
      <c r="N855" s="405"/>
      <c r="O855" s="405"/>
      <c r="P855" s="405"/>
      <c r="Q855" s="405"/>
      <c r="R855" s="405"/>
      <c r="S855" s="405"/>
      <c r="T855" s="405"/>
      <c r="U855" s="405"/>
      <c r="V855" s="405"/>
      <c r="W855" s="405"/>
      <c r="X855" s="405"/>
      <c r="Y855" s="405"/>
      <c r="Z855" s="405"/>
    </row>
    <row r="856" ht="14.25" customHeight="1">
      <c r="A856" s="451">
        <v>45534.0</v>
      </c>
      <c r="B856" s="417" t="s">
        <v>3173</v>
      </c>
      <c r="C856" s="417" t="s">
        <v>3174</v>
      </c>
      <c r="D856" s="417" t="s">
        <v>54</v>
      </c>
      <c r="E856" s="417" t="s">
        <v>3101</v>
      </c>
      <c r="F856" s="73">
        <v>16800.0</v>
      </c>
      <c r="G856" s="413"/>
      <c r="H856" s="349" t="s">
        <v>3515</v>
      </c>
      <c r="I856" s="405"/>
      <c r="J856" s="405"/>
      <c r="K856" s="405"/>
      <c r="L856" s="405"/>
      <c r="M856" s="405"/>
      <c r="N856" s="405"/>
      <c r="O856" s="405"/>
      <c r="P856" s="405"/>
      <c r="Q856" s="405"/>
      <c r="R856" s="405"/>
      <c r="S856" s="405"/>
      <c r="T856" s="405"/>
      <c r="U856" s="405"/>
      <c r="V856" s="405"/>
      <c r="W856" s="405"/>
      <c r="X856" s="405"/>
      <c r="Y856" s="405"/>
      <c r="Z856" s="405"/>
    </row>
    <row r="857" ht="14.25" customHeight="1">
      <c r="A857" s="451">
        <v>45534.0</v>
      </c>
      <c r="B857" s="417" t="s">
        <v>3193</v>
      </c>
      <c r="C857" s="417" t="s">
        <v>3194</v>
      </c>
      <c r="D857" s="417" t="s">
        <v>3189</v>
      </c>
      <c r="E857" s="417" t="s">
        <v>3078</v>
      </c>
      <c r="F857" s="73">
        <v>173000.0</v>
      </c>
      <c r="G857" s="413"/>
      <c r="H857" s="349" t="s">
        <v>3516</v>
      </c>
      <c r="I857" s="405"/>
      <c r="J857" s="405"/>
      <c r="K857" s="405"/>
      <c r="L857" s="405"/>
      <c r="M857" s="405"/>
      <c r="N857" s="405"/>
      <c r="O857" s="405"/>
      <c r="P857" s="405"/>
      <c r="Q857" s="405"/>
      <c r="R857" s="405"/>
      <c r="S857" s="405"/>
      <c r="T857" s="405"/>
      <c r="U857" s="405"/>
      <c r="V857" s="405"/>
      <c r="W857" s="405"/>
      <c r="X857" s="405"/>
      <c r="Y857" s="405"/>
      <c r="Z857" s="405"/>
    </row>
    <row r="858" ht="14.25" customHeight="1">
      <c r="A858" s="451">
        <v>45534.0</v>
      </c>
      <c r="B858" s="417" t="s">
        <v>3278</v>
      </c>
      <c r="C858" s="417" t="s">
        <v>3232</v>
      </c>
      <c r="D858" s="417" t="s">
        <v>54</v>
      </c>
      <c r="E858" s="417" t="s">
        <v>3308</v>
      </c>
      <c r="F858" s="73">
        <v>800.0</v>
      </c>
      <c r="G858" s="413"/>
      <c r="H858" s="402"/>
      <c r="I858" s="405"/>
      <c r="J858" s="405"/>
      <c r="K858" s="405"/>
      <c r="L858" s="405"/>
      <c r="M858" s="405"/>
      <c r="N858" s="405"/>
      <c r="O858" s="405"/>
      <c r="P858" s="405"/>
      <c r="Q858" s="405"/>
      <c r="R858" s="405"/>
      <c r="S858" s="405"/>
      <c r="T858" s="405"/>
      <c r="U858" s="405"/>
      <c r="V858" s="405"/>
      <c r="W858" s="405"/>
      <c r="X858" s="405"/>
      <c r="Y858" s="405"/>
      <c r="Z858" s="405"/>
    </row>
    <row r="859" ht="14.25" customHeight="1">
      <c r="A859" s="451">
        <v>45534.0</v>
      </c>
      <c r="B859" s="417" t="s">
        <v>3083</v>
      </c>
      <c r="C859" s="417" t="s">
        <v>3084</v>
      </c>
      <c r="D859" s="417" t="s">
        <v>54</v>
      </c>
      <c r="E859" s="417" t="s">
        <v>3101</v>
      </c>
      <c r="F859" s="73">
        <v>6500.0</v>
      </c>
      <c r="G859" s="413"/>
      <c r="H859" s="349" t="s">
        <v>3470</v>
      </c>
      <c r="I859" s="405"/>
      <c r="J859" s="405"/>
      <c r="K859" s="405"/>
      <c r="L859" s="405"/>
      <c r="M859" s="405"/>
      <c r="N859" s="405"/>
      <c r="O859" s="405"/>
      <c r="P859" s="405"/>
      <c r="Q859" s="405"/>
      <c r="R859" s="405"/>
      <c r="S859" s="405"/>
      <c r="T859" s="405"/>
      <c r="U859" s="405"/>
      <c r="V859" s="405"/>
      <c r="W859" s="405"/>
      <c r="X859" s="405"/>
      <c r="Y859" s="405"/>
      <c r="Z859" s="405"/>
    </row>
    <row r="860" ht="14.25" customHeight="1">
      <c r="A860" s="451">
        <v>45534.0</v>
      </c>
      <c r="B860" s="444" t="s">
        <v>3235</v>
      </c>
      <c r="C860" s="417" t="s">
        <v>3236</v>
      </c>
      <c r="D860" s="417" t="s">
        <v>3189</v>
      </c>
      <c r="E860" s="417" t="s">
        <v>3101</v>
      </c>
      <c r="F860" s="73">
        <v>280800.0</v>
      </c>
      <c r="G860" s="413"/>
      <c r="H860" s="349" t="s">
        <v>3517</v>
      </c>
      <c r="I860" s="405"/>
      <c r="J860" s="405"/>
      <c r="K860" s="405"/>
      <c r="L860" s="405"/>
      <c r="M860" s="405"/>
      <c r="N860" s="405"/>
      <c r="O860" s="405"/>
      <c r="P860" s="405"/>
      <c r="Q860" s="405"/>
      <c r="R860" s="405"/>
      <c r="S860" s="405"/>
      <c r="T860" s="405"/>
      <c r="U860" s="405"/>
      <c r="V860" s="405"/>
      <c r="W860" s="405"/>
      <c r="X860" s="405"/>
      <c r="Y860" s="405"/>
      <c r="Z860" s="405"/>
    </row>
    <row r="861" ht="14.25" customHeight="1">
      <c r="A861" s="451">
        <v>45534.0</v>
      </c>
      <c r="B861" s="417" t="s">
        <v>3289</v>
      </c>
      <c r="C861" s="417" t="s">
        <v>3236</v>
      </c>
      <c r="D861" s="417" t="s">
        <v>54</v>
      </c>
      <c r="E861" s="417" t="s">
        <v>3115</v>
      </c>
      <c r="F861" s="73">
        <v>50700.0</v>
      </c>
      <c r="G861" s="413"/>
      <c r="H861" s="402"/>
      <c r="I861" s="405"/>
      <c r="J861" s="405"/>
      <c r="K861" s="405"/>
      <c r="L861" s="405"/>
      <c r="M861" s="405"/>
      <c r="N861" s="405"/>
      <c r="O861" s="405"/>
      <c r="P861" s="405"/>
      <c r="Q861" s="405"/>
      <c r="R861" s="405"/>
      <c r="S861" s="405"/>
      <c r="T861" s="405"/>
      <c r="U861" s="405"/>
      <c r="V861" s="405"/>
      <c r="W861" s="405"/>
      <c r="X861" s="405"/>
      <c r="Y861" s="405"/>
      <c r="Z861" s="405"/>
    </row>
    <row r="862" ht="14.25" customHeight="1">
      <c r="A862" s="451">
        <v>45534.0</v>
      </c>
      <c r="B862" s="417" t="s">
        <v>3290</v>
      </c>
      <c r="C862" s="417" t="s">
        <v>3291</v>
      </c>
      <c r="D862" s="417" t="s">
        <v>54</v>
      </c>
      <c r="E862" s="417" t="s">
        <v>3101</v>
      </c>
      <c r="F862" s="73">
        <v>4500.0</v>
      </c>
      <c r="G862" s="413"/>
      <c r="H862" s="349" t="s">
        <v>2200</v>
      </c>
      <c r="I862" s="405"/>
      <c r="J862" s="405"/>
      <c r="K862" s="405"/>
      <c r="L862" s="405"/>
      <c r="M862" s="405"/>
      <c r="N862" s="405"/>
      <c r="O862" s="405"/>
      <c r="P862" s="405"/>
      <c r="Q862" s="405"/>
      <c r="R862" s="405"/>
      <c r="S862" s="405"/>
      <c r="T862" s="405"/>
      <c r="U862" s="405"/>
      <c r="V862" s="405"/>
      <c r="W862" s="405"/>
      <c r="X862" s="405"/>
      <c r="Y862" s="405"/>
      <c r="Z862" s="405"/>
    </row>
    <row r="863" ht="14.25" customHeight="1">
      <c r="A863" s="451">
        <v>45534.0</v>
      </c>
      <c r="B863" s="417" t="s">
        <v>3341</v>
      </c>
      <c r="C863" s="417" t="s">
        <v>3209</v>
      </c>
      <c r="D863" s="417" t="s">
        <v>467</v>
      </c>
      <c r="E863" s="417" t="s">
        <v>3101</v>
      </c>
      <c r="F863" s="73">
        <v>6900.0</v>
      </c>
      <c r="G863" s="413"/>
      <c r="H863" s="349" t="s">
        <v>2200</v>
      </c>
      <c r="I863" s="405"/>
      <c r="J863" s="405"/>
      <c r="K863" s="405"/>
      <c r="L863" s="405"/>
      <c r="M863" s="405"/>
      <c r="N863" s="405"/>
      <c r="O863" s="405"/>
      <c r="P863" s="405"/>
      <c r="Q863" s="405"/>
      <c r="R863" s="405"/>
      <c r="S863" s="405"/>
      <c r="T863" s="405"/>
      <c r="U863" s="405"/>
      <c r="V863" s="405"/>
      <c r="W863" s="405"/>
      <c r="X863" s="405"/>
      <c r="Y863" s="405"/>
      <c r="Z863" s="405"/>
    </row>
    <row r="864" ht="14.25" customHeight="1">
      <c r="A864" s="451">
        <v>45534.0</v>
      </c>
      <c r="B864" s="417" t="s">
        <v>3357</v>
      </c>
      <c r="C864" s="417" t="s">
        <v>3338</v>
      </c>
      <c r="D864" s="417" t="s">
        <v>54</v>
      </c>
      <c r="E864" s="417" t="s">
        <v>3101</v>
      </c>
      <c r="F864" s="69">
        <v>43500.0</v>
      </c>
      <c r="G864" s="413">
        <v>45650.0</v>
      </c>
      <c r="H864" s="349" t="s">
        <v>3375</v>
      </c>
      <c r="I864" s="405"/>
      <c r="J864" s="405"/>
      <c r="K864" s="405"/>
      <c r="L864" s="405"/>
      <c r="M864" s="405"/>
      <c r="N864" s="405"/>
      <c r="O864" s="405"/>
      <c r="P864" s="405"/>
      <c r="Q864" s="405"/>
      <c r="R864" s="405"/>
      <c r="S864" s="405"/>
      <c r="T864" s="405"/>
      <c r="U864" s="405"/>
      <c r="V864" s="405"/>
      <c r="W864" s="405"/>
      <c r="X864" s="405"/>
      <c r="Y864" s="405"/>
      <c r="Z864" s="405"/>
    </row>
    <row r="865" ht="14.25" customHeight="1">
      <c r="A865" s="451">
        <v>45534.0</v>
      </c>
      <c r="B865" s="417" t="s">
        <v>3371</v>
      </c>
      <c r="C865" s="417" t="s">
        <v>3291</v>
      </c>
      <c r="D865" s="417" t="s">
        <v>3189</v>
      </c>
      <c r="E865" s="417" t="s">
        <v>3101</v>
      </c>
      <c r="F865" s="73">
        <v>95100.0</v>
      </c>
      <c r="G865" s="413"/>
      <c r="H865" s="349" t="s">
        <v>2200</v>
      </c>
      <c r="I865" s="405"/>
      <c r="J865" s="405"/>
      <c r="K865" s="405"/>
      <c r="L865" s="405"/>
      <c r="M865" s="405"/>
      <c r="N865" s="405"/>
      <c r="O865" s="405"/>
      <c r="P865" s="405"/>
      <c r="Q865" s="405"/>
      <c r="R865" s="405"/>
      <c r="S865" s="405"/>
      <c r="T865" s="405"/>
      <c r="U865" s="405"/>
      <c r="V865" s="405"/>
      <c r="W865" s="405"/>
      <c r="X865" s="405"/>
      <c r="Y865" s="405"/>
      <c r="Z865" s="405"/>
    </row>
    <row r="866" ht="14.25" customHeight="1">
      <c r="A866" s="451">
        <v>45534.0</v>
      </c>
      <c r="B866" s="417" t="s">
        <v>3409</v>
      </c>
      <c r="C866" s="417" t="s">
        <v>3410</v>
      </c>
      <c r="D866" s="417" t="s">
        <v>54</v>
      </c>
      <c r="E866" s="417" t="s">
        <v>3101</v>
      </c>
      <c r="F866" s="73">
        <v>27300.0</v>
      </c>
      <c r="G866" s="413"/>
      <c r="H866" s="349" t="s">
        <v>3518</v>
      </c>
      <c r="I866" s="405"/>
      <c r="J866" s="405"/>
      <c r="K866" s="405"/>
      <c r="L866" s="405"/>
      <c r="M866" s="405"/>
      <c r="N866" s="405"/>
      <c r="O866" s="405"/>
      <c r="P866" s="405"/>
      <c r="Q866" s="405"/>
      <c r="R866" s="405"/>
      <c r="S866" s="405"/>
      <c r="T866" s="405"/>
      <c r="U866" s="405"/>
      <c r="V866" s="405"/>
      <c r="W866" s="405"/>
      <c r="X866" s="405"/>
      <c r="Y866" s="405"/>
      <c r="Z866" s="405"/>
    </row>
    <row r="867" ht="14.25" customHeight="1">
      <c r="A867" s="451">
        <v>45534.0</v>
      </c>
      <c r="B867" s="417" t="s">
        <v>3107</v>
      </c>
      <c r="C867" s="417" t="s">
        <v>3108</v>
      </c>
      <c r="D867" s="417" t="s">
        <v>54</v>
      </c>
      <c r="E867" s="417" t="s">
        <v>3101</v>
      </c>
      <c r="F867" s="69">
        <v>55100.0</v>
      </c>
      <c r="G867" s="413"/>
      <c r="H867" s="349" t="s">
        <v>2311</v>
      </c>
      <c r="I867" s="405"/>
      <c r="J867" s="405"/>
      <c r="K867" s="405"/>
      <c r="L867" s="405"/>
      <c r="M867" s="405"/>
      <c r="N867" s="405"/>
      <c r="O867" s="405"/>
      <c r="P867" s="405"/>
      <c r="Q867" s="405"/>
      <c r="R867" s="405"/>
      <c r="S867" s="405"/>
      <c r="T867" s="405"/>
      <c r="U867" s="405"/>
      <c r="V867" s="405"/>
      <c r="W867" s="405"/>
      <c r="X867" s="405"/>
      <c r="Y867" s="405"/>
      <c r="Z867" s="405"/>
    </row>
    <row r="868" ht="14.25" customHeight="1">
      <c r="A868" s="451">
        <v>45534.0</v>
      </c>
      <c r="B868" s="417" t="s">
        <v>3128</v>
      </c>
      <c r="C868" s="417" t="s">
        <v>3129</v>
      </c>
      <c r="D868" s="417" t="s">
        <v>54</v>
      </c>
      <c r="E868" s="417" t="s">
        <v>3308</v>
      </c>
      <c r="F868" s="73">
        <v>44000.0</v>
      </c>
      <c r="G868" s="413"/>
      <c r="H868" s="402"/>
      <c r="I868" s="405"/>
      <c r="J868" s="405"/>
      <c r="K868" s="405"/>
      <c r="L868" s="405"/>
      <c r="M868" s="405"/>
      <c r="N868" s="405"/>
      <c r="O868" s="405"/>
      <c r="P868" s="405"/>
      <c r="Q868" s="405"/>
      <c r="R868" s="405"/>
      <c r="S868" s="405"/>
      <c r="T868" s="405"/>
      <c r="U868" s="405"/>
      <c r="V868" s="405"/>
      <c r="W868" s="405"/>
      <c r="X868" s="405"/>
      <c r="Y868" s="405"/>
      <c r="Z868" s="405"/>
    </row>
    <row r="869" ht="14.25" customHeight="1">
      <c r="A869" s="451">
        <v>45534.0</v>
      </c>
      <c r="B869" s="417" t="s">
        <v>3120</v>
      </c>
      <c r="C869" s="417" t="s">
        <v>3121</v>
      </c>
      <c r="D869" s="417" t="s">
        <v>54</v>
      </c>
      <c r="E869" s="417" t="s">
        <v>3078</v>
      </c>
      <c r="F869" s="413">
        <v>18920.0</v>
      </c>
      <c r="G869" s="413">
        <v>21855.0</v>
      </c>
      <c r="H869" s="349" t="s">
        <v>3375</v>
      </c>
      <c r="I869" s="405"/>
      <c r="J869" s="405"/>
      <c r="K869" s="405"/>
      <c r="L869" s="405"/>
      <c r="M869" s="405"/>
      <c r="N869" s="405"/>
      <c r="O869" s="405"/>
      <c r="P869" s="405"/>
      <c r="Q869" s="405"/>
      <c r="R869" s="405"/>
      <c r="S869" s="405"/>
      <c r="T869" s="405"/>
      <c r="U869" s="405"/>
      <c r="V869" s="405"/>
      <c r="W869" s="405"/>
      <c r="X869" s="405"/>
      <c r="Y869" s="405"/>
      <c r="Z869" s="405"/>
    </row>
    <row r="870" ht="14.25" customHeight="1">
      <c r="A870" s="451">
        <v>45534.0</v>
      </c>
      <c r="B870" s="417" t="s">
        <v>3125</v>
      </c>
      <c r="C870" s="417" t="s">
        <v>3121</v>
      </c>
      <c r="D870" s="417" t="s">
        <v>467</v>
      </c>
      <c r="E870" s="417" t="s">
        <v>3078</v>
      </c>
      <c r="F870" s="73">
        <v>5140.0</v>
      </c>
      <c r="G870" s="413">
        <v>5145.0</v>
      </c>
      <c r="H870" s="349" t="s">
        <v>3375</v>
      </c>
      <c r="I870" s="405"/>
      <c r="J870" s="405"/>
      <c r="K870" s="405"/>
      <c r="L870" s="405"/>
      <c r="M870" s="405"/>
      <c r="N870" s="405"/>
      <c r="O870" s="405"/>
      <c r="P870" s="405"/>
      <c r="Q870" s="405"/>
      <c r="R870" s="405"/>
      <c r="S870" s="405"/>
      <c r="T870" s="405"/>
      <c r="U870" s="405"/>
      <c r="V870" s="405"/>
      <c r="W870" s="405"/>
      <c r="X870" s="405"/>
      <c r="Y870" s="405"/>
      <c r="Z870" s="405"/>
    </row>
    <row r="871" ht="14.25" customHeight="1">
      <c r="A871" s="451">
        <v>45534.0</v>
      </c>
      <c r="B871" s="417" t="s">
        <v>3126</v>
      </c>
      <c r="C871" s="417" t="s">
        <v>3127</v>
      </c>
      <c r="D871" s="417" t="s">
        <v>54</v>
      </c>
      <c r="E871" s="744" t="s">
        <v>3308</v>
      </c>
      <c r="F871" s="413">
        <v>4000.0</v>
      </c>
      <c r="G871" s="413"/>
      <c r="H871" s="402"/>
      <c r="I871" s="405"/>
      <c r="J871" s="405"/>
      <c r="K871" s="405"/>
      <c r="L871" s="405"/>
      <c r="M871" s="405"/>
      <c r="N871" s="405"/>
      <c r="O871" s="405"/>
      <c r="P871" s="405"/>
      <c r="Q871" s="405"/>
      <c r="R871" s="405"/>
      <c r="S871" s="405"/>
      <c r="T871" s="405"/>
      <c r="U871" s="405"/>
      <c r="V871" s="405"/>
      <c r="W871" s="405"/>
      <c r="X871" s="405"/>
      <c r="Y871" s="405"/>
      <c r="Z871" s="405"/>
    </row>
    <row r="872" ht="14.25" customHeight="1">
      <c r="A872" s="451">
        <v>45534.0</v>
      </c>
      <c r="B872" s="349" t="s">
        <v>3509</v>
      </c>
      <c r="C872" s="349" t="s">
        <v>3510</v>
      </c>
      <c r="D872" s="417" t="s">
        <v>54</v>
      </c>
      <c r="E872" s="349" t="s">
        <v>3519</v>
      </c>
      <c r="F872" s="413">
        <v>107373.0</v>
      </c>
      <c r="G872" s="403"/>
      <c r="H872" s="349" t="s">
        <v>3520</v>
      </c>
      <c r="I872" s="405"/>
      <c r="J872" s="405"/>
      <c r="K872" s="405"/>
      <c r="L872" s="405"/>
      <c r="M872" s="405"/>
      <c r="N872" s="405"/>
      <c r="O872" s="405"/>
      <c r="P872" s="405"/>
      <c r="Q872" s="405"/>
      <c r="R872" s="405"/>
      <c r="S872" s="405"/>
      <c r="T872" s="405"/>
      <c r="U872" s="405"/>
      <c r="V872" s="405"/>
      <c r="W872" s="405"/>
      <c r="X872" s="405"/>
      <c r="Y872" s="405"/>
      <c r="Z872" s="405"/>
    </row>
    <row r="873" ht="14.25" customHeight="1">
      <c r="A873" s="451">
        <v>45534.0</v>
      </c>
      <c r="B873" s="349" t="s">
        <v>3169</v>
      </c>
      <c r="C873" s="623" t="s">
        <v>3170</v>
      </c>
      <c r="D873" s="417" t="s">
        <v>54</v>
      </c>
      <c r="E873" s="744" t="s">
        <v>3308</v>
      </c>
      <c r="F873" s="413">
        <v>29000.0</v>
      </c>
      <c r="G873" s="403"/>
      <c r="H873" s="402"/>
      <c r="I873" s="405"/>
      <c r="J873" s="405"/>
      <c r="K873" s="405"/>
      <c r="L873" s="405"/>
      <c r="M873" s="405"/>
      <c r="N873" s="405"/>
      <c r="O873" s="405"/>
      <c r="P873" s="405"/>
      <c r="Q873" s="405"/>
      <c r="R873" s="405"/>
      <c r="S873" s="405"/>
      <c r="T873" s="405"/>
      <c r="U873" s="405"/>
      <c r="V873" s="405"/>
      <c r="W873" s="405"/>
      <c r="X873" s="405"/>
      <c r="Y873" s="405"/>
      <c r="Z873" s="405"/>
    </row>
    <row r="874" ht="14.25" customHeight="1">
      <c r="A874" s="451">
        <v>45534.0</v>
      </c>
      <c r="B874" s="623" t="s">
        <v>3171</v>
      </c>
      <c r="C874" s="623" t="s">
        <v>3172</v>
      </c>
      <c r="D874" s="417" t="s">
        <v>54</v>
      </c>
      <c r="E874" s="750" t="s">
        <v>3512</v>
      </c>
      <c r="F874" s="413">
        <v>21020.0</v>
      </c>
      <c r="G874" s="403"/>
      <c r="H874" s="349" t="s">
        <v>2423</v>
      </c>
      <c r="I874" s="405"/>
      <c r="J874" s="405"/>
      <c r="K874" s="405"/>
      <c r="L874" s="405"/>
      <c r="M874" s="405"/>
      <c r="N874" s="405"/>
      <c r="O874" s="405"/>
      <c r="P874" s="405"/>
      <c r="Q874" s="405"/>
      <c r="R874" s="405"/>
      <c r="S874" s="405"/>
      <c r="T874" s="405"/>
      <c r="U874" s="405"/>
      <c r="V874" s="405"/>
      <c r="W874" s="405"/>
      <c r="X874" s="405"/>
      <c r="Y874" s="405"/>
      <c r="Z874" s="405"/>
    </row>
    <row r="875" ht="14.25" customHeight="1">
      <c r="A875" s="451">
        <v>45534.0</v>
      </c>
      <c r="B875" s="623" t="s">
        <v>3173</v>
      </c>
      <c r="C875" s="623" t="s">
        <v>3174</v>
      </c>
      <c r="D875" s="417" t="s">
        <v>54</v>
      </c>
      <c r="E875" s="417" t="s">
        <v>3101</v>
      </c>
      <c r="F875" s="413">
        <v>39100.0</v>
      </c>
      <c r="G875" s="403"/>
      <c r="H875" s="349" t="s">
        <v>3521</v>
      </c>
      <c r="I875" s="405"/>
      <c r="J875" s="405"/>
      <c r="K875" s="405"/>
      <c r="L875" s="405"/>
      <c r="M875" s="405"/>
      <c r="N875" s="405"/>
      <c r="O875" s="405"/>
      <c r="P875" s="405"/>
      <c r="Q875" s="405"/>
      <c r="R875" s="405"/>
      <c r="S875" s="405"/>
      <c r="T875" s="405"/>
      <c r="U875" s="405"/>
      <c r="V875" s="405"/>
      <c r="W875" s="405"/>
      <c r="X875" s="405"/>
      <c r="Y875" s="405"/>
      <c r="Z875" s="405"/>
    </row>
    <row r="876" ht="14.25" customHeight="1">
      <c r="A876" s="451">
        <v>45534.0</v>
      </c>
      <c r="B876" s="349" t="s">
        <v>3513</v>
      </c>
      <c r="C876" s="349" t="s">
        <v>3188</v>
      </c>
      <c r="D876" s="417" t="s">
        <v>54</v>
      </c>
      <c r="E876" s="417" t="s">
        <v>3101</v>
      </c>
      <c r="F876" s="413">
        <v>23000.0</v>
      </c>
      <c r="G876" s="403"/>
      <c r="H876" s="349" t="s">
        <v>3521</v>
      </c>
      <c r="I876" s="405"/>
      <c r="J876" s="405"/>
      <c r="K876" s="405"/>
      <c r="L876" s="405"/>
      <c r="M876" s="405"/>
      <c r="N876" s="405"/>
      <c r="O876" s="405"/>
      <c r="P876" s="405"/>
      <c r="Q876" s="405"/>
      <c r="R876" s="405"/>
      <c r="S876" s="405"/>
      <c r="T876" s="405"/>
      <c r="U876" s="405"/>
      <c r="V876" s="405"/>
      <c r="W876" s="405"/>
      <c r="X876" s="405"/>
      <c r="Y876" s="405"/>
      <c r="Z876" s="405"/>
    </row>
    <row r="877" ht="14.25" customHeight="1">
      <c r="A877" s="451">
        <v>45534.0</v>
      </c>
      <c r="B877" s="732" t="s">
        <v>3228</v>
      </c>
      <c r="C877" s="732" t="s">
        <v>2302</v>
      </c>
      <c r="D877" s="732" t="s">
        <v>75</v>
      </c>
      <c r="E877" s="417" t="s">
        <v>3101</v>
      </c>
      <c r="F877" s="413">
        <v>48650.0</v>
      </c>
      <c r="G877" s="413">
        <v>2000.0</v>
      </c>
      <c r="H877" s="349" t="s">
        <v>3521</v>
      </c>
      <c r="I877" s="405"/>
      <c r="J877" s="405"/>
      <c r="K877" s="405"/>
      <c r="L877" s="405"/>
      <c r="M877" s="405"/>
      <c r="N877" s="405"/>
      <c r="O877" s="405"/>
      <c r="P877" s="405"/>
      <c r="Q877" s="405"/>
      <c r="R877" s="405"/>
      <c r="S877" s="405"/>
      <c r="T877" s="405"/>
      <c r="U877" s="405"/>
      <c r="V877" s="405"/>
      <c r="W877" s="405"/>
      <c r="X877" s="405"/>
      <c r="Y877" s="405"/>
      <c r="Z877" s="405"/>
    </row>
    <row r="878" ht="14.25" customHeight="1">
      <c r="A878" s="451">
        <v>45534.0</v>
      </c>
      <c r="B878" s="349" t="s">
        <v>3177</v>
      </c>
      <c r="C878" s="349" t="s">
        <v>3178</v>
      </c>
      <c r="D878" s="417" t="s">
        <v>54</v>
      </c>
      <c r="E878" s="417" t="s">
        <v>3101</v>
      </c>
      <c r="F878" s="413">
        <v>15050.0</v>
      </c>
      <c r="G878" s="413">
        <v>15050.0</v>
      </c>
      <c r="H878" s="349" t="s">
        <v>267</v>
      </c>
      <c r="I878" s="405"/>
      <c r="J878" s="405"/>
      <c r="K878" s="405"/>
      <c r="L878" s="405"/>
      <c r="M878" s="405"/>
      <c r="N878" s="405"/>
      <c r="O878" s="405"/>
      <c r="P878" s="405"/>
      <c r="Q878" s="405"/>
      <c r="R878" s="405"/>
      <c r="S878" s="405"/>
      <c r="T878" s="405"/>
      <c r="U878" s="405"/>
      <c r="V878" s="405"/>
      <c r="W878" s="405"/>
      <c r="X878" s="405"/>
      <c r="Y878" s="405"/>
      <c r="Z878" s="405"/>
    </row>
    <row r="879" ht="14.25" customHeight="1">
      <c r="A879" s="451">
        <v>45534.0</v>
      </c>
      <c r="B879" s="349" t="s">
        <v>3522</v>
      </c>
      <c r="C879" s="623" t="s">
        <v>3523</v>
      </c>
      <c r="D879" s="417" t="s">
        <v>54</v>
      </c>
      <c r="E879" s="750" t="s">
        <v>3512</v>
      </c>
      <c r="F879" s="413">
        <v>28500.0</v>
      </c>
      <c r="G879" s="403"/>
      <c r="H879" s="349" t="s">
        <v>3524</v>
      </c>
      <c r="I879" s="405"/>
      <c r="J879" s="405"/>
      <c r="K879" s="405"/>
      <c r="L879" s="405"/>
      <c r="M879" s="405"/>
      <c r="N879" s="405"/>
      <c r="O879" s="405"/>
      <c r="P879" s="405"/>
      <c r="Q879" s="405"/>
      <c r="R879" s="405"/>
      <c r="S879" s="405"/>
      <c r="T879" s="405"/>
      <c r="U879" s="405"/>
      <c r="V879" s="405"/>
      <c r="W879" s="405"/>
      <c r="X879" s="405"/>
      <c r="Y879" s="405"/>
      <c r="Z879" s="405"/>
    </row>
    <row r="880" ht="14.25" customHeight="1">
      <c r="A880" s="451">
        <v>45534.0</v>
      </c>
      <c r="B880" s="349" t="s">
        <v>3182</v>
      </c>
      <c r="C880" s="349" t="s">
        <v>3117</v>
      </c>
      <c r="D880" s="417" t="s">
        <v>467</v>
      </c>
      <c r="E880" s="417" t="s">
        <v>3101</v>
      </c>
      <c r="F880" s="413">
        <v>6600.0</v>
      </c>
      <c r="G880" s="403"/>
      <c r="H880" s="349" t="s">
        <v>2217</v>
      </c>
      <c r="I880" s="405"/>
      <c r="J880" s="405"/>
      <c r="K880" s="405"/>
      <c r="L880" s="405"/>
      <c r="M880" s="405"/>
      <c r="N880" s="405"/>
      <c r="O880" s="405"/>
      <c r="P880" s="405"/>
      <c r="Q880" s="405"/>
      <c r="R880" s="405"/>
      <c r="S880" s="405"/>
      <c r="T880" s="405"/>
      <c r="U880" s="405"/>
      <c r="V880" s="405"/>
      <c r="W880" s="405"/>
      <c r="X880" s="405"/>
      <c r="Y880" s="405"/>
      <c r="Z880" s="405"/>
    </row>
    <row r="881" ht="14.25" customHeight="1">
      <c r="A881" s="451">
        <v>45534.0</v>
      </c>
      <c r="B881" s="623" t="s">
        <v>3180</v>
      </c>
      <c r="C881" s="349" t="s">
        <v>3117</v>
      </c>
      <c r="D881" s="417" t="s">
        <v>54</v>
      </c>
      <c r="E881" s="417" t="s">
        <v>3101</v>
      </c>
      <c r="F881" s="413">
        <v>18633.0</v>
      </c>
      <c r="G881" s="403"/>
      <c r="H881" s="402"/>
      <c r="I881" s="405"/>
      <c r="J881" s="405"/>
      <c r="K881" s="405"/>
      <c r="L881" s="405"/>
      <c r="M881" s="405"/>
      <c r="N881" s="405"/>
      <c r="O881" s="405"/>
      <c r="P881" s="405"/>
      <c r="Q881" s="405"/>
      <c r="R881" s="405"/>
      <c r="S881" s="405"/>
      <c r="T881" s="405"/>
      <c r="U881" s="405"/>
      <c r="V881" s="405"/>
      <c r="W881" s="405"/>
      <c r="X881" s="405"/>
      <c r="Y881" s="405"/>
      <c r="Z881" s="405"/>
    </row>
    <row r="882" ht="14.25" customHeight="1">
      <c r="A882" s="451">
        <v>45534.0</v>
      </c>
      <c r="B882" s="349" t="s">
        <v>3184</v>
      </c>
      <c r="C882" s="349" t="s">
        <v>3525</v>
      </c>
      <c r="D882" s="417" t="s">
        <v>54</v>
      </c>
      <c r="E882" s="417" t="s">
        <v>3308</v>
      </c>
      <c r="F882" s="413">
        <v>23650.0</v>
      </c>
      <c r="G882" s="403"/>
      <c r="H882" s="402"/>
      <c r="I882" s="405"/>
      <c r="J882" s="405"/>
      <c r="K882" s="405"/>
      <c r="L882" s="405"/>
      <c r="M882" s="405"/>
      <c r="N882" s="405"/>
      <c r="O882" s="405"/>
      <c r="P882" s="405"/>
      <c r="Q882" s="405"/>
      <c r="R882" s="405"/>
      <c r="S882" s="405"/>
      <c r="T882" s="405"/>
      <c r="U882" s="405"/>
      <c r="V882" s="405"/>
      <c r="W882" s="405"/>
      <c r="X882" s="405"/>
      <c r="Y882" s="405"/>
      <c r="Z882" s="405"/>
    </row>
    <row r="883" ht="14.25" customHeight="1">
      <c r="A883" s="451">
        <v>45534.0</v>
      </c>
      <c r="B883" s="402"/>
      <c r="C883" s="402"/>
      <c r="D883" s="402"/>
      <c r="E883" s="402"/>
      <c r="F883" s="403"/>
      <c r="G883" s="403"/>
      <c r="H883" s="402"/>
      <c r="I883" s="405"/>
      <c r="J883" s="405"/>
      <c r="K883" s="405"/>
      <c r="L883" s="405"/>
      <c r="M883" s="405"/>
      <c r="N883" s="405"/>
      <c r="O883" s="405"/>
      <c r="P883" s="405"/>
      <c r="Q883" s="405"/>
      <c r="R883" s="405"/>
      <c r="S883" s="405"/>
      <c r="T883" s="405"/>
      <c r="U883" s="405"/>
      <c r="V883" s="405"/>
      <c r="W883" s="405"/>
      <c r="X883" s="405"/>
      <c r="Y883" s="405"/>
      <c r="Z883" s="405"/>
    </row>
    <row r="884" ht="14.25" customHeight="1">
      <c r="A884" s="402"/>
      <c r="B884" s="402"/>
      <c r="C884" s="402"/>
      <c r="D884" s="402"/>
      <c r="E884" s="402"/>
      <c r="F884" s="403"/>
      <c r="G884" s="403"/>
      <c r="H884" s="402"/>
      <c r="I884" s="405"/>
      <c r="J884" s="405"/>
      <c r="K884" s="405"/>
      <c r="L884" s="405"/>
      <c r="M884" s="405"/>
      <c r="N884" s="405"/>
      <c r="O884" s="405"/>
      <c r="P884" s="405"/>
      <c r="Q884" s="405"/>
      <c r="R884" s="405"/>
      <c r="S884" s="405"/>
      <c r="T884" s="405"/>
      <c r="U884" s="405"/>
      <c r="V884" s="405"/>
      <c r="W884" s="405"/>
      <c r="X884" s="405"/>
      <c r="Y884" s="405"/>
      <c r="Z884" s="405"/>
    </row>
    <row r="885" ht="14.25" customHeight="1">
      <c r="A885" s="402"/>
      <c r="B885" s="402"/>
      <c r="C885" s="402"/>
      <c r="D885" s="402"/>
      <c r="E885" s="402"/>
      <c r="F885" s="403"/>
      <c r="G885" s="403"/>
      <c r="H885" s="402"/>
      <c r="I885" s="405"/>
      <c r="J885" s="405"/>
      <c r="K885" s="405"/>
      <c r="L885" s="405"/>
      <c r="M885" s="405"/>
      <c r="N885" s="405"/>
      <c r="O885" s="405"/>
      <c r="P885" s="405"/>
      <c r="Q885" s="405"/>
      <c r="R885" s="405"/>
      <c r="S885" s="405"/>
      <c r="T885" s="405"/>
      <c r="U885" s="405"/>
      <c r="V885" s="405"/>
      <c r="W885" s="405"/>
      <c r="X885" s="405"/>
      <c r="Y885" s="405"/>
      <c r="Z885" s="405"/>
    </row>
    <row r="886" ht="14.25" customHeight="1">
      <c r="A886" s="740" t="s">
        <v>39</v>
      </c>
      <c r="B886" s="706" t="s">
        <v>3075</v>
      </c>
      <c r="C886" s="706" t="s">
        <v>49</v>
      </c>
      <c r="D886" s="706" t="s">
        <v>50</v>
      </c>
      <c r="E886" s="708" t="s">
        <v>2</v>
      </c>
      <c r="F886" s="708" t="s">
        <v>2</v>
      </c>
      <c r="G886" s="708" t="s">
        <v>4</v>
      </c>
      <c r="H886" s="740" t="s">
        <v>45</v>
      </c>
      <c r="I886" s="405"/>
      <c r="J886" s="405"/>
      <c r="K886" s="405"/>
      <c r="L886" s="405"/>
      <c r="M886" s="405"/>
      <c r="N886" s="405"/>
      <c r="O886" s="405"/>
      <c r="P886" s="405"/>
      <c r="Q886" s="405"/>
      <c r="R886" s="405"/>
      <c r="S886" s="405"/>
      <c r="T886" s="405"/>
      <c r="U886" s="405"/>
      <c r="V886" s="405"/>
      <c r="W886" s="405"/>
      <c r="X886" s="405"/>
      <c r="Y886" s="405"/>
      <c r="Z886" s="405"/>
    </row>
    <row r="887" ht="14.25" customHeight="1">
      <c r="A887" s="451">
        <v>45535.0</v>
      </c>
      <c r="B887" s="417" t="s">
        <v>3087</v>
      </c>
      <c r="C887" s="417" t="s">
        <v>3088</v>
      </c>
      <c r="D887" s="417" t="s">
        <v>54</v>
      </c>
      <c r="E887" s="417" t="s">
        <v>3308</v>
      </c>
      <c r="F887" s="73">
        <v>14000.0</v>
      </c>
      <c r="G887" s="413"/>
      <c r="H887" s="402"/>
      <c r="I887" s="405"/>
      <c r="J887" s="405"/>
      <c r="K887" s="405"/>
      <c r="L887" s="405"/>
      <c r="M887" s="405"/>
      <c r="N887" s="405"/>
      <c r="O887" s="405"/>
      <c r="P887" s="405"/>
      <c r="Q887" s="405"/>
      <c r="R887" s="405"/>
      <c r="S887" s="405"/>
      <c r="T887" s="405"/>
      <c r="U887" s="405"/>
      <c r="V887" s="405"/>
      <c r="W887" s="405"/>
      <c r="X887" s="405"/>
      <c r="Y887" s="405"/>
      <c r="Z887" s="405"/>
    </row>
    <row r="888" ht="14.25" customHeight="1">
      <c r="A888" s="451">
        <v>45535.0</v>
      </c>
      <c r="B888" s="417" t="s">
        <v>652</v>
      </c>
      <c r="C888" s="417" t="s">
        <v>3097</v>
      </c>
      <c r="D888" s="417" t="s">
        <v>2010</v>
      </c>
      <c r="E888" s="417" t="s">
        <v>3308</v>
      </c>
      <c r="F888" s="73">
        <v>55100.0</v>
      </c>
      <c r="G888" s="413"/>
      <c r="H888" s="402"/>
      <c r="I888" s="405"/>
      <c r="J888" s="405"/>
      <c r="K888" s="405"/>
      <c r="L888" s="405"/>
      <c r="M888" s="405"/>
      <c r="N888" s="405"/>
      <c r="O888" s="405"/>
      <c r="P888" s="405"/>
      <c r="Q888" s="405"/>
      <c r="R888" s="405"/>
      <c r="S888" s="405"/>
      <c r="T888" s="405"/>
      <c r="U888" s="405"/>
      <c r="V888" s="405"/>
      <c r="W888" s="405"/>
      <c r="X888" s="405"/>
      <c r="Y888" s="405"/>
      <c r="Z888" s="405"/>
    </row>
    <row r="889" ht="14.25" customHeight="1">
      <c r="A889" s="451">
        <v>45535.0</v>
      </c>
      <c r="B889" s="417" t="s">
        <v>3099</v>
      </c>
      <c r="C889" s="417" t="s">
        <v>3100</v>
      </c>
      <c r="D889" s="417" t="s">
        <v>54</v>
      </c>
      <c r="E889" s="417" t="s">
        <v>3308</v>
      </c>
      <c r="F889" s="73">
        <v>125300.0</v>
      </c>
      <c r="G889" s="413"/>
      <c r="H889" s="402"/>
      <c r="I889" s="405"/>
      <c r="J889" s="405"/>
      <c r="K889" s="405"/>
      <c r="L889" s="405"/>
      <c r="M889" s="405"/>
      <c r="N889" s="405"/>
      <c r="O889" s="405"/>
      <c r="P889" s="405"/>
      <c r="Q889" s="405"/>
      <c r="R889" s="405"/>
      <c r="S889" s="405"/>
      <c r="T889" s="405"/>
      <c r="U889" s="405"/>
      <c r="V889" s="405"/>
      <c r="W889" s="405"/>
      <c r="X889" s="405"/>
      <c r="Y889" s="405"/>
      <c r="Z889" s="405"/>
    </row>
    <row r="890" ht="14.25" customHeight="1">
      <c r="A890" s="451">
        <v>45535.0</v>
      </c>
      <c r="B890" s="417" t="s">
        <v>3134</v>
      </c>
      <c r="C890" s="417" t="s">
        <v>3176</v>
      </c>
      <c r="D890" s="417" t="s">
        <v>54</v>
      </c>
      <c r="E890" s="417" t="s">
        <v>3078</v>
      </c>
      <c r="F890" s="749">
        <v>178700.0</v>
      </c>
      <c r="G890" s="413"/>
      <c r="H890" s="349" t="s">
        <v>3526</v>
      </c>
      <c r="I890" s="405"/>
      <c r="J890" s="405"/>
      <c r="K890" s="405"/>
      <c r="L890" s="405"/>
      <c r="M890" s="405"/>
      <c r="N890" s="405"/>
      <c r="O890" s="405"/>
      <c r="P890" s="405"/>
      <c r="Q890" s="405"/>
      <c r="R890" s="405"/>
      <c r="S890" s="405"/>
      <c r="T890" s="405"/>
      <c r="U890" s="405"/>
      <c r="V890" s="405"/>
      <c r="W890" s="405"/>
      <c r="X890" s="405"/>
      <c r="Y890" s="405"/>
      <c r="Z890" s="405"/>
    </row>
    <row r="891" ht="14.25" customHeight="1">
      <c r="A891" s="451">
        <v>45535.0</v>
      </c>
      <c r="B891" s="417" t="s">
        <v>3173</v>
      </c>
      <c r="C891" s="417" t="s">
        <v>3174</v>
      </c>
      <c r="D891" s="417" t="s">
        <v>54</v>
      </c>
      <c r="E891" s="417" t="s">
        <v>3101</v>
      </c>
      <c r="F891" s="73">
        <v>16800.0</v>
      </c>
      <c r="G891" s="413"/>
      <c r="H891" s="349"/>
      <c r="I891" s="405"/>
      <c r="J891" s="405"/>
      <c r="K891" s="405"/>
      <c r="L891" s="405"/>
      <c r="M891" s="405"/>
      <c r="N891" s="405"/>
      <c r="O891" s="405"/>
      <c r="P891" s="405"/>
      <c r="Q891" s="405"/>
      <c r="R891" s="405"/>
      <c r="S891" s="405"/>
      <c r="T891" s="405"/>
      <c r="U891" s="405"/>
      <c r="V891" s="405"/>
      <c r="W891" s="405"/>
      <c r="X891" s="405"/>
      <c r="Y891" s="405"/>
      <c r="Z891" s="405"/>
    </row>
    <row r="892" ht="14.25" customHeight="1">
      <c r="A892" s="451">
        <v>45535.0</v>
      </c>
      <c r="B892" s="417" t="s">
        <v>3193</v>
      </c>
      <c r="C892" s="417" t="s">
        <v>3194</v>
      </c>
      <c r="D892" s="417" t="s">
        <v>3189</v>
      </c>
      <c r="E892" s="417" t="s">
        <v>3078</v>
      </c>
      <c r="F892" s="73">
        <v>173000.0</v>
      </c>
      <c r="G892" s="413"/>
      <c r="H892" s="349" t="s">
        <v>3527</v>
      </c>
      <c r="I892" s="405"/>
      <c r="J892" s="405"/>
      <c r="K892" s="405"/>
      <c r="L892" s="405"/>
      <c r="M892" s="405"/>
      <c r="N892" s="405"/>
      <c r="O892" s="405"/>
      <c r="P892" s="405"/>
      <c r="Q892" s="405"/>
      <c r="R892" s="405"/>
      <c r="S892" s="405"/>
      <c r="T892" s="405"/>
      <c r="U892" s="405"/>
      <c r="V892" s="405"/>
      <c r="W892" s="405"/>
      <c r="X892" s="405"/>
      <c r="Y892" s="405"/>
      <c r="Z892" s="405"/>
    </row>
    <row r="893" ht="14.25" customHeight="1">
      <c r="A893" s="451">
        <v>45535.0</v>
      </c>
      <c r="B893" s="417" t="s">
        <v>3278</v>
      </c>
      <c r="C893" s="417" t="s">
        <v>3232</v>
      </c>
      <c r="D893" s="417" t="s">
        <v>54</v>
      </c>
      <c r="E893" s="417" t="s">
        <v>3308</v>
      </c>
      <c r="F893" s="73">
        <v>800.0</v>
      </c>
      <c r="G893" s="413">
        <v>815.0</v>
      </c>
      <c r="H893" s="402"/>
      <c r="I893" s="405"/>
      <c r="J893" s="405"/>
      <c r="K893" s="405"/>
      <c r="L893" s="405"/>
      <c r="M893" s="405"/>
      <c r="N893" s="405"/>
      <c r="O893" s="405"/>
      <c r="P893" s="405"/>
      <c r="Q893" s="405"/>
      <c r="R893" s="405"/>
      <c r="S893" s="405"/>
      <c r="T893" s="405"/>
      <c r="U893" s="405"/>
      <c r="V893" s="405"/>
      <c r="W893" s="405"/>
      <c r="X893" s="405"/>
      <c r="Y893" s="405"/>
      <c r="Z893" s="405"/>
    </row>
    <row r="894" ht="14.25" customHeight="1">
      <c r="A894" s="451">
        <v>45535.0</v>
      </c>
      <c r="B894" s="417" t="s">
        <v>3083</v>
      </c>
      <c r="C894" s="417" t="s">
        <v>3084</v>
      </c>
      <c r="D894" s="417" t="s">
        <v>54</v>
      </c>
      <c r="E894" s="417" t="s">
        <v>3101</v>
      </c>
      <c r="F894" s="73">
        <v>6500.0</v>
      </c>
      <c r="G894" s="413"/>
      <c r="H894" s="349"/>
      <c r="I894" s="405"/>
      <c r="J894" s="405"/>
      <c r="K894" s="405"/>
      <c r="L894" s="405"/>
      <c r="M894" s="405"/>
      <c r="N894" s="405"/>
      <c r="O894" s="405"/>
      <c r="P894" s="405"/>
      <c r="Q894" s="405"/>
      <c r="R894" s="405"/>
      <c r="S894" s="405"/>
      <c r="T894" s="405"/>
      <c r="U894" s="405"/>
      <c r="V894" s="405"/>
      <c r="W894" s="405"/>
      <c r="X894" s="405"/>
      <c r="Y894" s="405"/>
      <c r="Z894" s="405"/>
    </row>
    <row r="895" ht="14.25" customHeight="1">
      <c r="A895" s="451">
        <v>45535.0</v>
      </c>
      <c r="B895" s="444" t="s">
        <v>3235</v>
      </c>
      <c r="C895" s="417" t="s">
        <v>3236</v>
      </c>
      <c r="D895" s="417" t="s">
        <v>3189</v>
      </c>
      <c r="E895" s="417" t="s">
        <v>3101</v>
      </c>
      <c r="F895" s="73">
        <v>280800.0</v>
      </c>
      <c r="G895" s="413"/>
      <c r="H895" s="349" t="s">
        <v>3528</v>
      </c>
      <c r="I895" s="405"/>
      <c r="J895" s="405"/>
      <c r="K895" s="405"/>
      <c r="L895" s="405"/>
      <c r="M895" s="405"/>
      <c r="N895" s="405"/>
      <c r="O895" s="405"/>
      <c r="P895" s="405"/>
      <c r="Q895" s="405"/>
      <c r="R895" s="405"/>
      <c r="S895" s="405"/>
      <c r="T895" s="405"/>
      <c r="U895" s="405"/>
      <c r="V895" s="405"/>
      <c r="W895" s="405"/>
      <c r="X895" s="405"/>
      <c r="Y895" s="405"/>
      <c r="Z895" s="405"/>
    </row>
    <row r="896" ht="14.25" customHeight="1">
      <c r="A896" s="451">
        <v>45535.0</v>
      </c>
      <c r="B896" s="417" t="s">
        <v>3289</v>
      </c>
      <c r="C896" s="417" t="s">
        <v>3236</v>
      </c>
      <c r="D896" s="417" t="s">
        <v>54</v>
      </c>
      <c r="E896" s="417" t="s">
        <v>3115</v>
      </c>
      <c r="F896" s="73">
        <v>50700.0</v>
      </c>
      <c r="G896" s="413"/>
      <c r="H896" s="402"/>
      <c r="I896" s="405"/>
      <c r="J896" s="405"/>
      <c r="K896" s="405"/>
      <c r="L896" s="405"/>
      <c r="M896" s="405"/>
      <c r="N896" s="405"/>
      <c r="O896" s="405"/>
      <c r="P896" s="405"/>
      <c r="Q896" s="405"/>
      <c r="R896" s="405"/>
      <c r="S896" s="405"/>
      <c r="T896" s="405"/>
      <c r="U896" s="405"/>
      <c r="V896" s="405"/>
      <c r="W896" s="405"/>
      <c r="X896" s="405"/>
      <c r="Y896" s="405"/>
      <c r="Z896" s="405"/>
    </row>
    <row r="897" ht="14.25" customHeight="1">
      <c r="A897" s="451">
        <v>45535.0</v>
      </c>
      <c r="B897" s="417" t="s">
        <v>3290</v>
      </c>
      <c r="C897" s="417" t="s">
        <v>3291</v>
      </c>
      <c r="D897" s="417" t="s">
        <v>54</v>
      </c>
      <c r="E897" s="417" t="s">
        <v>3101</v>
      </c>
      <c r="F897" s="73">
        <v>4500.0</v>
      </c>
      <c r="G897" s="413"/>
      <c r="H897" s="349" t="s">
        <v>3529</v>
      </c>
      <c r="I897" s="405"/>
      <c r="J897" s="405"/>
      <c r="K897" s="405"/>
      <c r="L897" s="405"/>
      <c r="M897" s="405"/>
      <c r="N897" s="405"/>
      <c r="O897" s="405"/>
      <c r="P897" s="405"/>
      <c r="Q897" s="405"/>
      <c r="R897" s="405"/>
      <c r="S897" s="405"/>
      <c r="T897" s="405"/>
      <c r="U897" s="405"/>
      <c r="V897" s="405"/>
      <c r="W897" s="405"/>
      <c r="X897" s="405"/>
      <c r="Y897" s="405"/>
      <c r="Z897" s="405"/>
    </row>
    <row r="898" ht="14.25" customHeight="1">
      <c r="A898" s="451">
        <v>45535.0</v>
      </c>
      <c r="B898" s="417" t="s">
        <v>3341</v>
      </c>
      <c r="C898" s="417" t="s">
        <v>3209</v>
      </c>
      <c r="D898" s="417" t="s">
        <v>467</v>
      </c>
      <c r="E898" s="417" t="s">
        <v>3101</v>
      </c>
      <c r="F898" s="73">
        <v>6900.0</v>
      </c>
      <c r="G898" s="413"/>
      <c r="H898" s="349" t="s">
        <v>3530</v>
      </c>
      <c r="I898" s="405"/>
      <c r="J898" s="405"/>
      <c r="K898" s="405"/>
      <c r="L898" s="405"/>
      <c r="M898" s="405"/>
      <c r="N898" s="405"/>
      <c r="O898" s="405"/>
      <c r="P898" s="405"/>
      <c r="Q898" s="405"/>
      <c r="R898" s="405"/>
      <c r="S898" s="405"/>
      <c r="T898" s="405"/>
      <c r="U898" s="405"/>
      <c r="V898" s="405"/>
      <c r="W898" s="405"/>
      <c r="X898" s="405"/>
      <c r="Y898" s="405"/>
      <c r="Z898" s="405"/>
    </row>
    <row r="899" ht="14.25" customHeight="1">
      <c r="A899" s="451">
        <v>45535.0</v>
      </c>
      <c r="B899" s="417" t="s">
        <v>3371</v>
      </c>
      <c r="C899" s="417" t="s">
        <v>3291</v>
      </c>
      <c r="D899" s="417" t="s">
        <v>3189</v>
      </c>
      <c r="E899" s="417" t="s">
        <v>3101</v>
      </c>
      <c r="F899" s="73">
        <v>95100.0</v>
      </c>
      <c r="G899" s="413"/>
      <c r="H899" s="349" t="s">
        <v>3531</v>
      </c>
      <c r="I899" s="405"/>
      <c r="J899" s="405"/>
      <c r="K899" s="405"/>
      <c r="L899" s="405"/>
      <c r="M899" s="405"/>
      <c r="N899" s="405"/>
      <c r="O899" s="405"/>
      <c r="P899" s="405"/>
      <c r="Q899" s="405"/>
      <c r="R899" s="405"/>
      <c r="S899" s="405"/>
      <c r="T899" s="405"/>
      <c r="U899" s="405"/>
      <c r="V899" s="405"/>
      <c r="W899" s="405"/>
      <c r="X899" s="405"/>
      <c r="Y899" s="405"/>
      <c r="Z899" s="405"/>
    </row>
    <row r="900" ht="14.25" customHeight="1">
      <c r="A900" s="451">
        <v>45535.0</v>
      </c>
      <c r="B900" s="417" t="s">
        <v>3409</v>
      </c>
      <c r="C900" s="417" t="s">
        <v>3410</v>
      </c>
      <c r="D900" s="417" t="s">
        <v>54</v>
      </c>
      <c r="E900" s="417" t="s">
        <v>3101</v>
      </c>
      <c r="F900" s="73">
        <v>27300.0</v>
      </c>
      <c r="G900" s="413"/>
      <c r="H900" s="349" t="s">
        <v>3532</v>
      </c>
      <c r="I900" s="405"/>
      <c r="J900" s="405"/>
      <c r="K900" s="405"/>
      <c r="L900" s="405"/>
      <c r="M900" s="405"/>
      <c r="N900" s="405"/>
      <c r="O900" s="405"/>
      <c r="P900" s="405"/>
      <c r="Q900" s="405"/>
      <c r="R900" s="405"/>
      <c r="S900" s="405"/>
      <c r="T900" s="405"/>
      <c r="U900" s="405"/>
      <c r="V900" s="405"/>
      <c r="W900" s="405"/>
      <c r="X900" s="405"/>
      <c r="Y900" s="405"/>
      <c r="Z900" s="405"/>
    </row>
    <row r="901" ht="14.25" customHeight="1">
      <c r="A901" s="451">
        <v>45535.0</v>
      </c>
      <c r="B901" s="417" t="s">
        <v>3107</v>
      </c>
      <c r="C901" s="417" t="s">
        <v>3108</v>
      </c>
      <c r="D901" s="417" t="s">
        <v>54</v>
      </c>
      <c r="E901" s="417" t="s">
        <v>3101</v>
      </c>
      <c r="F901" s="69">
        <v>55100.0</v>
      </c>
      <c r="G901" s="413"/>
      <c r="H901" s="349"/>
      <c r="I901" s="405"/>
      <c r="J901" s="405"/>
      <c r="K901" s="405"/>
      <c r="L901" s="405"/>
      <c r="M901" s="405"/>
      <c r="N901" s="405"/>
      <c r="O901" s="405"/>
      <c r="P901" s="405"/>
      <c r="Q901" s="405"/>
      <c r="R901" s="405"/>
      <c r="S901" s="405"/>
      <c r="T901" s="405"/>
      <c r="U901" s="405"/>
      <c r="V901" s="405"/>
      <c r="W901" s="405"/>
      <c r="X901" s="405"/>
      <c r="Y901" s="405"/>
      <c r="Z901" s="405"/>
    </row>
    <row r="902" ht="14.25" customHeight="1">
      <c r="A902" s="451">
        <v>45535.0</v>
      </c>
      <c r="B902" s="417" t="s">
        <v>3128</v>
      </c>
      <c r="C902" s="417" t="s">
        <v>3129</v>
      </c>
      <c r="D902" s="417" t="s">
        <v>54</v>
      </c>
      <c r="E902" s="417" t="s">
        <v>3308</v>
      </c>
      <c r="F902" s="73">
        <v>44000.0</v>
      </c>
      <c r="G902" s="413"/>
      <c r="H902" s="402"/>
      <c r="I902" s="405"/>
      <c r="J902" s="405"/>
      <c r="K902" s="405"/>
      <c r="L902" s="405"/>
      <c r="M902" s="405"/>
      <c r="N902" s="405"/>
      <c r="O902" s="405"/>
      <c r="P902" s="405"/>
      <c r="Q902" s="405"/>
      <c r="R902" s="405"/>
      <c r="S902" s="405"/>
      <c r="T902" s="405"/>
      <c r="U902" s="405"/>
      <c r="V902" s="405"/>
      <c r="W902" s="405"/>
      <c r="X902" s="405"/>
      <c r="Y902" s="405"/>
      <c r="Z902" s="405"/>
    </row>
    <row r="903" ht="14.25" customHeight="1">
      <c r="A903" s="451">
        <v>45535.0</v>
      </c>
      <c r="B903" s="417" t="s">
        <v>3126</v>
      </c>
      <c r="C903" s="417" t="s">
        <v>3127</v>
      </c>
      <c r="D903" s="417" t="s">
        <v>54</v>
      </c>
      <c r="E903" s="744" t="s">
        <v>3308</v>
      </c>
      <c r="F903" s="413">
        <v>4000.0</v>
      </c>
      <c r="G903" s="413"/>
      <c r="H903" s="402"/>
      <c r="I903" s="405"/>
      <c r="J903" s="405"/>
      <c r="K903" s="405"/>
      <c r="L903" s="405"/>
      <c r="M903" s="405"/>
      <c r="N903" s="405"/>
      <c r="O903" s="405"/>
      <c r="P903" s="405"/>
      <c r="Q903" s="405"/>
      <c r="R903" s="405"/>
      <c r="S903" s="405"/>
      <c r="T903" s="405"/>
      <c r="U903" s="405"/>
      <c r="V903" s="405"/>
      <c r="W903" s="405"/>
      <c r="X903" s="405"/>
      <c r="Y903" s="405"/>
      <c r="Z903" s="405"/>
    </row>
    <row r="904" ht="14.25" customHeight="1">
      <c r="A904" s="451">
        <v>45535.0</v>
      </c>
      <c r="B904" s="349" t="s">
        <v>3509</v>
      </c>
      <c r="C904" s="349" t="s">
        <v>3510</v>
      </c>
      <c r="D904" s="417" t="s">
        <v>54</v>
      </c>
      <c r="E904" s="349" t="s">
        <v>3519</v>
      </c>
      <c r="F904" s="413">
        <v>107373.0</v>
      </c>
      <c r="G904" s="403"/>
      <c r="H904" s="349" t="s">
        <v>3533</v>
      </c>
      <c r="I904" s="405"/>
      <c r="J904" s="405"/>
      <c r="K904" s="405"/>
      <c r="L904" s="405"/>
      <c r="M904" s="405"/>
      <c r="N904" s="405"/>
      <c r="O904" s="405"/>
      <c r="P904" s="405"/>
      <c r="Q904" s="405"/>
      <c r="R904" s="405"/>
      <c r="S904" s="405"/>
      <c r="T904" s="405"/>
      <c r="U904" s="405"/>
      <c r="V904" s="405"/>
      <c r="W904" s="405"/>
      <c r="X904" s="405"/>
      <c r="Y904" s="405"/>
      <c r="Z904" s="405"/>
    </row>
    <row r="905" ht="14.25" customHeight="1">
      <c r="A905" s="451">
        <v>45535.0</v>
      </c>
      <c r="B905" s="349" t="s">
        <v>3169</v>
      </c>
      <c r="C905" s="623" t="s">
        <v>3170</v>
      </c>
      <c r="D905" s="417" t="s">
        <v>54</v>
      </c>
      <c r="E905" s="744" t="s">
        <v>3308</v>
      </c>
      <c r="F905" s="413">
        <v>29000.0</v>
      </c>
      <c r="G905" s="403"/>
      <c r="H905" s="402"/>
      <c r="I905" s="405"/>
      <c r="J905" s="405"/>
      <c r="K905" s="405"/>
      <c r="L905" s="405"/>
      <c r="M905" s="405"/>
      <c r="N905" s="405"/>
      <c r="O905" s="405"/>
      <c r="P905" s="405"/>
      <c r="Q905" s="405"/>
      <c r="R905" s="405"/>
      <c r="S905" s="405"/>
      <c r="T905" s="405"/>
      <c r="U905" s="405"/>
      <c r="V905" s="405"/>
      <c r="W905" s="405"/>
      <c r="X905" s="405"/>
      <c r="Y905" s="405"/>
      <c r="Z905" s="405"/>
    </row>
    <row r="906" ht="14.25" customHeight="1">
      <c r="A906" s="451">
        <v>45535.0</v>
      </c>
      <c r="B906" s="623" t="s">
        <v>3171</v>
      </c>
      <c r="C906" s="623" t="s">
        <v>3172</v>
      </c>
      <c r="D906" s="417" t="s">
        <v>54</v>
      </c>
      <c r="E906" s="750" t="s">
        <v>3512</v>
      </c>
      <c r="F906" s="413">
        <v>21020.0</v>
      </c>
      <c r="G906" s="403"/>
      <c r="H906" s="349" t="s">
        <v>3534</v>
      </c>
      <c r="I906" s="405"/>
      <c r="J906" s="405"/>
      <c r="K906" s="405"/>
      <c r="L906" s="405"/>
      <c r="M906" s="405"/>
      <c r="N906" s="405"/>
      <c r="O906" s="405"/>
      <c r="P906" s="405"/>
      <c r="Q906" s="405"/>
      <c r="R906" s="405"/>
      <c r="S906" s="405"/>
      <c r="T906" s="405"/>
      <c r="U906" s="405"/>
      <c r="V906" s="405"/>
      <c r="W906" s="405"/>
      <c r="X906" s="405"/>
      <c r="Y906" s="405"/>
      <c r="Z906" s="405"/>
    </row>
    <row r="907" ht="14.25" customHeight="1">
      <c r="A907" s="451">
        <v>45535.0</v>
      </c>
      <c r="B907" s="623" t="s">
        <v>3173</v>
      </c>
      <c r="C907" s="623" t="s">
        <v>3174</v>
      </c>
      <c r="D907" s="417" t="s">
        <v>54</v>
      </c>
      <c r="E907" s="417" t="s">
        <v>3101</v>
      </c>
      <c r="F907" s="413">
        <v>39100.0</v>
      </c>
      <c r="G907" s="403"/>
      <c r="H907" s="349" t="s">
        <v>3535</v>
      </c>
      <c r="I907" s="405"/>
      <c r="J907" s="405"/>
      <c r="K907" s="405"/>
      <c r="L907" s="405"/>
      <c r="M907" s="405"/>
      <c r="N907" s="405"/>
      <c r="O907" s="405"/>
      <c r="P907" s="405"/>
      <c r="Q907" s="405"/>
      <c r="R907" s="405"/>
      <c r="S907" s="405"/>
      <c r="T907" s="405"/>
      <c r="U907" s="405"/>
      <c r="V907" s="405"/>
      <c r="W907" s="405"/>
      <c r="X907" s="405"/>
      <c r="Y907" s="405"/>
      <c r="Z907" s="405"/>
    </row>
    <row r="908" ht="14.25" customHeight="1">
      <c r="A908" s="451">
        <v>45535.0</v>
      </c>
      <c r="B908" s="349" t="s">
        <v>3513</v>
      </c>
      <c r="C908" s="349" t="s">
        <v>3188</v>
      </c>
      <c r="D908" s="417" t="s">
        <v>54</v>
      </c>
      <c r="E908" s="417" t="s">
        <v>3101</v>
      </c>
      <c r="F908" s="413">
        <v>750.0</v>
      </c>
      <c r="G908" s="403"/>
      <c r="H908" s="349" t="s">
        <v>3536</v>
      </c>
      <c r="I908" s="405"/>
      <c r="J908" s="405"/>
      <c r="K908" s="405"/>
      <c r="L908" s="405"/>
      <c r="M908" s="405"/>
      <c r="N908" s="405"/>
      <c r="O908" s="405"/>
      <c r="P908" s="405"/>
      <c r="Q908" s="405"/>
      <c r="R908" s="405"/>
      <c r="S908" s="405"/>
      <c r="T908" s="405"/>
      <c r="U908" s="405"/>
      <c r="V908" s="405"/>
      <c r="W908" s="405"/>
      <c r="X908" s="405"/>
      <c r="Y908" s="405"/>
      <c r="Z908" s="405"/>
    </row>
    <row r="909" ht="14.25" customHeight="1">
      <c r="A909" s="451">
        <v>45535.0</v>
      </c>
      <c r="B909" s="732" t="s">
        <v>3228</v>
      </c>
      <c r="C909" s="732" t="s">
        <v>2302</v>
      </c>
      <c r="D909" s="732" t="s">
        <v>75</v>
      </c>
      <c r="E909" s="417" t="s">
        <v>3101</v>
      </c>
      <c r="F909" s="413">
        <v>46650.0</v>
      </c>
      <c r="G909" s="413"/>
      <c r="H909" s="349" t="s">
        <v>3537</v>
      </c>
      <c r="I909" s="405"/>
      <c r="J909" s="405"/>
      <c r="K909" s="405"/>
      <c r="L909" s="405"/>
      <c r="M909" s="405"/>
      <c r="N909" s="405"/>
      <c r="O909" s="405"/>
      <c r="P909" s="405"/>
      <c r="Q909" s="405"/>
      <c r="R909" s="405"/>
      <c r="S909" s="405"/>
      <c r="T909" s="405"/>
      <c r="U909" s="405"/>
      <c r="V909" s="405"/>
      <c r="W909" s="405"/>
      <c r="X909" s="405"/>
      <c r="Y909" s="405"/>
      <c r="Z909" s="405"/>
    </row>
    <row r="910" ht="14.25" customHeight="1">
      <c r="A910" s="451">
        <v>45535.0</v>
      </c>
      <c r="B910" s="349" t="s">
        <v>3522</v>
      </c>
      <c r="C910" s="623" t="s">
        <v>3523</v>
      </c>
      <c r="D910" s="417" t="s">
        <v>54</v>
      </c>
      <c r="E910" s="750" t="s">
        <v>3512</v>
      </c>
      <c r="F910" s="413">
        <v>28500.0</v>
      </c>
      <c r="G910" s="403"/>
      <c r="H910" s="349"/>
      <c r="I910" s="405"/>
      <c r="J910" s="405"/>
      <c r="K910" s="405"/>
      <c r="L910" s="405"/>
      <c r="M910" s="405"/>
      <c r="N910" s="405"/>
      <c r="O910" s="405"/>
      <c r="P910" s="405"/>
      <c r="Q910" s="405"/>
      <c r="R910" s="405"/>
      <c r="S910" s="405"/>
      <c r="T910" s="405"/>
      <c r="U910" s="405"/>
      <c r="V910" s="405"/>
      <c r="W910" s="405"/>
      <c r="X910" s="405"/>
      <c r="Y910" s="405"/>
      <c r="Z910" s="405"/>
    </row>
    <row r="911" ht="14.25" customHeight="1">
      <c r="A911" s="451">
        <v>45535.0</v>
      </c>
      <c r="B911" s="349" t="s">
        <v>3182</v>
      </c>
      <c r="C911" s="349" t="s">
        <v>3117</v>
      </c>
      <c r="D911" s="417" t="s">
        <v>467</v>
      </c>
      <c r="E911" s="417" t="s">
        <v>3101</v>
      </c>
      <c r="F911" s="413">
        <v>6600.0</v>
      </c>
      <c r="G911" s="403"/>
      <c r="H911" s="349" t="s">
        <v>3538</v>
      </c>
      <c r="I911" s="405"/>
      <c r="J911" s="405"/>
      <c r="K911" s="405"/>
      <c r="L911" s="405"/>
      <c r="M911" s="405"/>
      <c r="N911" s="405"/>
      <c r="O911" s="405"/>
      <c r="P911" s="405"/>
      <c r="Q911" s="405"/>
      <c r="R911" s="405"/>
      <c r="S911" s="405"/>
      <c r="T911" s="405"/>
      <c r="U911" s="405"/>
      <c r="V911" s="405"/>
      <c r="W911" s="405"/>
      <c r="X911" s="405"/>
      <c r="Y911" s="405"/>
      <c r="Z911" s="405"/>
    </row>
    <row r="912" ht="14.25" customHeight="1">
      <c r="A912" s="451">
        <v>45535.0</v>
      </c>
      <c r="B912" s="623" t="s">
        <v>3180</v>
      </c>
      <c r="C912" s="349" t="s">
        <v>3117</v>
      </c>
      <c r="D912" s="417" t="s">
        <v>54</v>
      </c>
      <c r="E912" s="417" t="s">
        <v>3101</v>
      </c>
      <c r="F912" s="413">
        <v>18633.0</v>
      </c>
      <c r="G912" s="403"/>
      <c r="H912" s="349" t="s">
        <v>3539</v>
      </c>
      <c r="I912" s="405"/>
      <c r="J912" s="405"/>
      <c r="K912" s="405"/>
      <c r="L912" s="405"/>
      <c r="M912" s="405"/>
      <c r="N912" s="405"/>
      <c r="O912" s="405"/>
      <c r="P912" s="405"/>
      <c r="Q912" s="405"/>
      <c r="R912" s="405"/>
      <c r="S912" s="405"/>
      <c r="T912" s="405"/>
      <c r="U912" s="405"/>
      <c r="V912" s="405"/>
      <c r="W912" s="405"/>
      <c r="X912" s="405"/>
      <c r="Y912" s="405"/>
      <c r="Z912" s="405"/>
    </row>
    <row r="913" ht="14.25" customHeight="1">
      <c r="A913" s="451">
        <v>45535.0</v>
      </c>
      <c r="B913" s="349" t="s">
        <v>3184</v>
      </c>
      <c r="C913" s="349" t="s">
        <v>3525</v>
      </c>
      <c r="D913" s="417" t="s">
        <v>54</v>
      </c>
      <c r="E913" s="417" t="s">
        <v>3308</v>
      </c>
      <c r="F913" s="413">
        <v>23650.0</v>
      </c>
      <c r="G913" s="403"/>
      <c r="H913" s="402"/>
      <c r="I913" s="405"/>
      <c r="J913" s="405"/>
      <c r="K913" s="405"/>
      <c r="L913" s="405"/>
      <c r="M913" s="405"/>
      <c r="N913" s="405"/>
      <c r="O913" s="405"/>
      <c r="P913" s="405"/>
      <c r="Q913" s="405"/>
      <c r="R913" s="405"/>
      <c r="S913" s="405"/>
      <c r="T913" s="405"/>
      <c r="U913" s="405"/>
      <c r="V913" s="405"/>
      <c r="W913" s="405"/>
      <c r="X913" s="405"/>
      <c r="Y913" s="405"/>
      <c r="Z913" s="405"/>
    </row>
    <row r="914" ht="14.25" customHeight="1">
      <c r="A914" s="405"/>
      <c r="B914" s="405"/>
      <c r="C914" s="405"/>
      <c r="D914" s="405"/>
      <c r="E914" s="405"/>
      <c r="F914" s="583"/>
      <c r="G914" s="583"/>
      <c r="H914" s="405"/>
      <c r="I914" s="405"/>
      <c r="J914" s="405"/>
      <c r="K914" s="405"/>
      <c r="L914" s="405"/>
      <c r="M914" s="405"/>
      <c r="N914" s="405"/>
      <c r="O914" s="405"/>
      <c r="P914" s="405"/>
      <c r="Q914" s="405"/>
      <c r="R914" s="405"/>
      <c r="S914" s="405"/>
      <c r="T914" s="405"/>
      <c r="U914" s="405"/>
      <c r="V914" s="405"/>
      <c r="W914" s="405"/>
      <c r="X914" s="405"/>
      <c r="Y914" s="405"/>
      <c r="Z914" s="405"/>
    </row>
    <row r="915" ht="14.25" customHeight="1">
      <c r="A915" s="740" t="s">
        <v>39</v>
      </c>
      <c r="B915" s="706" t="s">
        <v>3075</v>
      </c>
      <c r="C915" s="706" t="s">
        <v>49</v>
      </c>
      <c r="D915" s="706" t="s">
        <v>50</v>
      </c>
      <c r="E915" s="708" t="s">
        <v>2</v>
      </c>
      <c r="F915" s="708" t="s">
        <v>2</v>
      </c>
      <c r="G915" s="708" t="s">
        <v>4</v>
      </c>
      <c r="H915" s="740" t="s">
        <v>45</v>
      </c>
      <c r="I915" s="405"/>
      <c r="J915" s="405"/>
      <c r="K915" s="405"/>
      <c r="L915" s="405"/>
      <c r="M915" s="405"/>
      <c r="N915" s="405"/>
      <c r="O915" s="405"/>
      <c r="P915" s="405"/>
      <c r="Q915" s="405"/>
      <c r="R915" s="405"/>
      <c r="S915" s="405"/>
      <c r="T915" s="405"/>
      <c r="U915" s="405"/>
      <c r="V915" s="405"/>
      <c r="W915" s="405"/>
      <c r="X915" s="405"/>
      <c r="Y915" s="405"/>
      <c r="Z915" s="405"/>
    </row>
    <row r="916" ht="14.25" customHeight="1">
      <c r="A916" s="451">
        <v>45537.0</v>
      </c>
      <c r="B916" s="417" t="s">
        <v>3087</v>
      </c>
      <c r="C916" s="417" t="s">
        <v>3088</v>
      </c>
      <c r="D916" s="417" t="s">
        <v>54</v>
      </c>
      <c r="E916" s="750" t="s">
        <v>3512</v>
      </c>
      <c r="F916" s="73">
        <v>14000.0</v>
      </c>
      <c r="G916" s="413"/>
      <c r="H916" s="402"/>
      <c r="I916" s="405"/>
      <c r="J916" s="405"/>
      <c r="K916" s="405"/>
      <c r="L916" s="405"/>
      <c r="M916" s="405"/>
      <c r="N916" s="405"/>
      <c r="O916" s="405"/>
      <c r="P916" s="405"/>
      <c r="Q916" s="405"/>
      <c r="R916" s="405"/>
      <c r="S916" s="405"/>
      <c r="T916" s="405"/>
      <c r="U916" s="405"/>
      <c r="V916" s="405"/>
      <c r="W916" s="405"/>
      <c r="X916" s="405"/>
      <c r="Y916" s="405"/>
      <c r="Z916" s="405"/>
    </row>
    <row r="917" ht="14.25" customHeight="1">
      <c r="A917" s="451">
        <v>45537.0</v>
      </c>
      <c r="B917" s="417" t="s">
        <v>652</v>
      </c>
      <c r="C917" s="417" t="s">
        <v>3097</v>
      </c>
      <c r="D917" s="417" t="s">
        <v>2010</v>
      </c>
      <c r="E917" s="417" t="s">
        <v>3308</v>
      </c>
      <c r="F917" s="73">
        <v>55100.0</v>
      </c>
      <c r="G917" s="413"/>
      <c r="H917" s="402"/>
      <c r="I917" s="405"/>
      <c r="J917" s="405"/>
      <c r="K917" s="405"/>
      <c r="L917" s="405"/>
      <c r="M917" s="405"/>
      <c r="N917" s="405"/>
      <c r="O917" s="405"/>
      <c r="P917" s="405"/>
      <c r="Q917" s="405"/>
      <c r="R917" s="405"/>
      <c r="S917" s="405"/>
      <c r="T917" s="405"/>
      <c r="U917" s="405"/>
      <c r="V917" s="405"/>
      <c r="W917" s="405"/>
      <c r="X917" s="405"/>
      <c r="Y917" s="405"/>
      <c r="Z917" s="405"/>
    </row>
    <row r="918" ht="14.25" customHeight="1">
      <c r="A918" s="451">
        <v>45537.0</v>
      </c>
      <c r="B918" s="417" t="s">
        <v>3099</v>
      </c>
      <c r="C918" s="417" t="s">
        <v>3100</v>
      </c>
      <c r="D918" s="417" t="s">
        <v>54</v>
      </c>
      <c r="E918" s="417" t="s">
        <v>3308</v>
      </c>
      <c r="F918" s="73">
        <v>125300.0</v>
      </c>
      <c r="G918" s="413"/>
      <c r="H918" s="402"/>
      <c r="I918" s="405"/>
      <c r="J918" s="405"/>
      <c r="K918" s="405"/>
      <c r="L918" s="405"/>
      <c r="M918" s="405"/>
      <c r="N918" s="405"/>
      <c r="O918" s="405"/>
      <c r="P918" s="405"/>
      <c r="Q918" s="405"/>
      <c r="R918" s="405"/>
      <c r="S918" s="405"/>
      <c r="T918" s="405"/>
      <c r="U918" s="405"/>
      <c r="V918" s="405"/>
      <c r="W918" s="405"/>
      <c r="X918" s="405"/>
      <c r="Y918" s="405"/>
      <c r="Z918" s="405"/>
    </row>
    <row r="919" ht="14.25" customHeight="1">
      <c r="A919" s="451">
        <v>45537.0</v>
      </c>
      <c r="B919" s="417" t="s">
        <v>3134</v>
      </c>
      <c r="C919" s="417" t="s">
        <v>3176</v>
      </c>
      <c r="D919" s="417" t="s">
        <v>54</v>
      </c>
      <c r="E919" s="417" t="s">
        <v>3078</v>
      </c>
      <c r="F919" s="749">
        <v>178700.0</v>
      </c>
      <c r="G919" s="413"/>
      <c r="H919" s="349"/>
      <c r="I919" s="405"/>
      <c r="J919" s="405"/>
      <c r="K919" s="405"/>
      <c r="L919" s="405"/>
      <c r="M919" s="405"/>
      <c r="N919" s="405"/>
      <c r="O919" s="405"/>
      <c r="P919" s="405"/>
      <c r="Q919" s="405"/>
      <c r="R919" s="405"/>
      <c r="S919" s="405"/>
      <c r="T919" s="405"/>
      <c r="U919" s="405"/>
      <c r="V919" s="405"/>
      <c r="W919" s="405"/>
      <c r="X919" s="405"/>
      <c r="Y919" s="405"/>
      <c r="Z919" s="405"/>
    </row>
    <row r="920" ht="14.25" customHeight="1">
      <c r="A920" s="451">
        <v>45537.0</v>
      </c>
      <c r="B920" s="417" t="s">
        <v>3173</v>
      </c>
      <c r="C920" s="417" t="s">
        <v>3174</v>
      </c>
      <c r="D920" s="417" t="s">
        <v>54</v>
      </c>
      <c r="E920" s="417" t="s">
        <v>3101</v>
      </c>
      <c r="F920" s="73">
        <v>16800.0</v>
      </c>
      <c r="G920" s="413"/>
      <c r="H920" s="349"/>
      <c r="I920" s="405"/>
      <c r="J920" s="405"/>
      <c r="K920" s="405"/>
      <c r="L920" s="405"/>
      <c r="M920" s="405"/>
      <c r="N920" s="405"/>
      <c r="O920" s="405"/>
      <c r="P920" s="405"/>
      <c r="Q920" s="405"/>
      <c r="R920" s="405"/>
      <c r="S920" s="405"/>
      <c r="T920" s="405"/>
      <c r="U920" s="405"/>
      <c r="V920" s="405"/>
      <c r="W920" s="405"/>
      <c r="X920" s="405"/>
      <c r="Y920" s="405"/>
      <c r="Z920" s="405"/>
    </row>
    <row r="921" ht="14.25" customHeight="1">
      <c r="A921" s="451">
        <v>45537.0</v>
      </c>
      <c r="B921" s="417" t="s">
        <v>3193</v>
      </c>
      <c r="C921" s="417" t="s">
        <v>3194</v>
      </c>
      <c r="D921" s="417" t="s">
        <v>3189</v>
      </c>
      <c r="E921" s="417" t="s">
        <v>3078</v>
      </c>
      <c r="F921" s="73">
        <v>173000.0</v>
      </c>
      <c r="G921" s="413"/>
      <c r="H921" s="349"/>
      <c r="I921" s="405"/>
      <c r="J921" s="405"/>
      <c r="K921" s="405"/>
      <c r="L921" s="405"/>
      <c r="M921" s="405"/>
      <c r="N921" s="405"/>
      <c r="O921" s="405"/>
      <c r="P921" s="405"/>
      <c r="Q921" s="405"/>
      <c r="R921" s="405"/>
      <c r="S921" s="405"/>
      <c r="T921" s="405"/>
      <c r="U921" s="405"/>
      <c r="V921" s="405"/>
      <c r="W921" s="405"/>
      <c r="X921" s="405"/>
      <c r="Y921" s="405"/>
      <c r="Z921" s="405"/>
    </row>
    <row r="922" ht="14.25" customHeight="1">
      <c r="A922" s="451">
        <v>45537.0</v>
      </c>
      <c r="B922" s="417" t="s">
        <v>3083</v>
      </c>
      <c r="C922" s="417" t="s">
        <v>3084</v>
      </c>
      <c r="D922" s="417" t="s">
        <v>54</v>
      </c>
      <c r="E922" s="417" t="s">
        <v>3101</v>
      </c>
      <c r="F922" s="73">
        <v>6500.0</v>
      </c>
      <c r="G922" s="413"/>
      <c r="H922" s="349"/>
      <c r="I922" s="405"/>
      <c r="J922" s="405"/>
      <c r="K922" s="405"/>
      <c r="L922" s="405"/>
      <c r="M922" s="405"/>
      <c r="N922" s="405"/>
      <c r="O922" s="405"/>
      <c r="P922" s="405"/>
      <c r="Q922" s="405"/>
      <c r="R922" s="405"/>
      <c r="S922" s="405"/>
      <c r="T922" s="405"/>
      <c r="U922" s="405"/>
      <c r="V922" s="405"/>
      <c r="W922" s="405"/>
      <c r="X922" s="405"/>
      <c r="Y922" s="405"/>
      <c r="Z922" s="405"/>
    </row>
    <row r="923" ht="14.25" customHeight="1">
      <c r="A923" s="451">
        <v>45537.0</v>
      </c>
      <c r="B923" s="444" t="s">
        <v>3235</v>
      </c>
      <c r="C923" s="417" t="s">
        <v>3236</v>
      </c>
      <c r="D923" s="417" t="s">
        <v>3189</v>
      </c>
      <c r="E923" s="417" t="s">
        <v>3101</v>
      </c>
      <c r="F923" s="73">
        <v>280800.0</v>
      </c>
      <c r="G923" s="413"/>
      <c r="H923" s="349"/>
      <c r="I923" s="405"/>
      <c r="J923" s="405"/>
      <c r="K923" s="405"/>
      <c r="L923" s="405"/>
      <c r="M923" s="405"/>
      <c r="N923" s="405"/>
      <c r="O923" s="405"/>
      <c r="P923" s="405"/>
      <c r="Q923" s="405"/>
      <c r="R923" s="405"/>
      <c r="S923" s="405"/>
      <c r="T923" s="405"/>
      <c r="U923" s="405"/>
      <c r="V923" s="405"/>
      <c r="W923" s="405"/>
      <c r="X923" s="405"/>
      <c r="Y923" s="405"/>
      <c r="Z923" s="405"/>
    </row>
    <row r="924" ht="14.25" customHeight="1">
      <c r="A924" s="451">
        <v>45537.0</v>
      </c>
      <c r="B924" s="417" t="s">
        <v>3289</v>
      </c>
      <c r="C924" s="417" t="s">
        <v>3236</v>
      </c>
      <c r="D924" s="417" t="s">
        <v>54</v>
      </c>
      <c r="E924" s="417" t="s">
        <v>3115</v>
      </c>
      <c r="F924" s="73">
        <v>50700.0</v>
      </c>
      <c r="G924" s="413"/>
      <c r="H924" s="402"/>
      <c r="I924" s="405"/>
      <c r="J924" s="405"/>
      <c r="K924" s="405"/>
      <c r="L924" s="405"/>
      <c r="M924" s="405"/>
      <c r="N924" s="405"/>
      <c r="O924" s="405"/>
      <c r="P924" s="405"/>
      <c r="Q924" s="405"/>
      <c r="R924" s="405"/>
      <c r="S924" s="405"/>
      <c r="T924" s="405"/>
      <c r="U924" s="405"/>
      <c r="V924" s="405"/>
      <c r="W924" s="405"/>
      <c r="X924" s="405"/>
      <c r="Y924" s="405"/>
      <c r="Z924" s="405"/>
    </row>
    <row r="925" ht="14.25" customHeight="1">
      <c r="A925" s="451">
        <v>45537.0</v>
      </c>
      <c r="B925" s="417" t="s">
        <v>3290</v>
      </c>
      <c r="C925" s="417" t="s">
        <v>3291</v>
      </c>
      <c r="D925" s="417" t="s">
        <v>54</v>
      </c>
      <c r="E925" s="417" t="s">
        <v>3101</v>
      </c>
      <c r="F925" s="73">
        <v>4500.0</v>
      </c>
      <c r="G925" s="413"/>
      <c r="H925" s="349"/>
      <c r="I925" s="405"/>
      <c r="J925" s="405"/>
      <c r="K925" s="405"/>
      <c r="L925" s="405"/>
      <c r="M925" s="405"/>
      <c r="N925" s="405"/>
      <c r="O925" s="405"/>
      <c r="P925" s="405"/>
      <c r="Q925" s="405"/>
      <c r="R925" s="405"/>
      <c r="S925" s="405"/>
      <c r="T925" s="405"/>
      <c r="U925" s="405"/>
      <c r="V925" s="405"/>
      <c r="W925" s="405"/>
      <c r="X925" s="405"/>
      <c r="Y925" s="405"/>
      <c r="Z925" s="405"/>
    </row>
    <row r="926" ht="14.25" customHeight="1">
      <c r="A926" s="451">
        <v>45537.0</v>
      </c>
      <c r="B926" s="417" t="s">
        <v>3341</v>
      </c>
      <c r="C926" s="417" t="s">
        <v>3209</v>
      </c>
      <c r="D926" s="417" t="s">
        <v>467</v>
      </c>
      <c r="E926" s="417" t="s">
        <v>3101</v>
      </c>
      <c r="F926" s="73">
        <v>6900.0</v>
      </c>
      <c r="G926" s="413"/>
      <c r="H926" s="349"/>
      <c r="I926" s="405"/>
      <c r="J926" s="405"/>
      <c r="K926" s="405"/>
      <c r="L926" s="405"/>
      <c r="M926" s="405"/>
      <c r="N926" s="405"/>
      <c r="O926" s="405"/>
      <c r="P926" s="405"/>
      <c r="Q926" s="405"/>
      <c r="R926" s="405"/>
      <c r="S926" s="405"/>
      <c r="T926" s="405"/>
      <c r="U926" s="405"/>
      <c r="V926" s="405"/>
      <c r="W926" s="405"/>
      <c r="X926" s="405"/>
      <c r="Y926" s="405"/>
      <c r="Z926" s="405"/>
    </row>
    <row r="927" ht="14.25" customHeight="1">
      <c r="A927" s="451">
        <v>45537.0</v>
      </c>
      <c r="B927" s="417" t="s">
        <v>3371</v>
      </c>
      <c r="C927" s="417" t="s">
        <v>3291</v>
      </c>
      <c r="D927" s="417" t="s">
        <v>3189</v>
      </c>
      <c r="E927" s="417" t="s">
        <v>3101</v>
      </c>
      <c r="F927" s="73">
        <v>95100.0</v>
      </c>
      <c r="G927" s="413"/>
      <c r="H927" s="349"/>
      <c r="I927" s="405"/>
      <c r="J927" s="405"/>
      <c r="K927" s="405"/>
      <c r="L927" s="405"/>
      <c r="M927" s="405"/>
      <c r="N927" s="405"/>
      <c r="O927" s="405"/>
      <c r="P927" s="405"/>
      <c r="Q927" s="405"/>
      <c r="R927" s="405"/>
      <c r="S927" s="405"/>
      <c r="T927" s="405"/>
      <c r="U927" s="405"/>
      <c r="V927" s="405"/>
      <c r="W927" s="405"/>
      <c r="X927" s="405"/>
      <c r="Y927" s="405"/>
      <c r="Z927" s="405"/>
    </row>
    <row r="928" ht="14.25" customHeight="1">
      <c r="A928" s="451">
        <v>45537.0</v>
      </c>
      <c r="B928" s="417" t="s">
        <v>3409</v>
      </c>
      <c r="C928" s="417" t="s">
        <v>3410</v>
      </c>
      <c r="D928" s="417" t="s">
        <v>54</v>
      </c>
      <c r="E928" s="417" t="s">
        <v>3101</v>
      </c>
      <c r="F928" s="73">
        <v>27300.0</v>
      </c>
      <c r="G928" s="413"/>
      <c r="H928" s="349"/>
      <c r="I928" s="405"/>
      <c r="J928" s="405"/>
      <c r="K928" s="405"/>
      <c r="L928" s="405"/>
      <c r="M928" s="405"/>
      <c r="N928" s="405"/>
      <c r="O928" s="405"/>
      <c r="P928" s="405"/>
      <c r="Q928" s="405"/>
      <c r="R928" s="405"/>
      <c r="S928" s="405"/>
      <c r="T928" s="405"/>
      <c r="U928" s="405"/>
      <c r="V928" s="405"/>
      <c r="W928" s="405"/>
      <c r="X928" s="405"/>
      <c r="Y928" s="405"/>
      <c r="Z928" s="405"/>
    </row>
    <row r="929" ht="14.25" customHeight="1">
      <c r="A929" s="451">
        <v>45537.0</v>
      </c>
      <c r="B929" s="417" t="s">
        <v>3107</v>
      </c>
      <c r="C929" s="417" t="s">
        <v>3108</v>
      </c>
      <c r="D929" s="417" t="s">
        <v>54</v>
      </c>
      <c r="E929" s="417" t="s">
        <v>3101</v>
      </c>
      <c r="F929" s="69">
        <v>55100.0</v>
      </c>
      <c r="G929" s="413"/>
      <c r="H929" s="349"/>
      <c r="I929" s="405"/>
      <c r="J929" s="405"/>
      <c r="K929" s="405"/>
      <c r="L929" s="405"/>
      <c r="M929" s="405"/>
      <c r="N929" s="405"/>
      <c r="O929" s="405"/>
      <c r="P929" s="405"/>
      <c r="Q929" s="405"/>
      <c r="R929" s="405"/>
      <c r="S929" s="405"/>
      <c r="T929" s="405"/>
      <c r="U929" s="405"/>
      <c r="V929" s="405"/>
      <c r="W929" s="405"/>
      <c r="X929" s="405"/>
      <c r="Y929" s="405"/>
      <c r="Z929" s="405"/>
    </row>
    <row r="930" ht="14.25" customHeight="1">
      <c r="A930" s="451">
        <v>45537.0</v>
      </c>
      <c r="B930" s="417" t="s">
        <v>3128</v>
      </c>
      <c r="C930" s="417" t="s">
        <v>3129</v>
      </c>
      <c r="D930" s="417" t="s">
        <v>54</v>
      </c>
      <c r="E930" s="417" t="s">
        <v>3308</v>
      </c>
      <c r="F930" s="73">
        <v>44000.0</v>
      </c>
      <c r="G930" s="413"/>
      <c r="H930" s="402"/>
      <c r="I930" s="405"/>
      <c r="J930" s="405"/>
      <c r="K930" s="405"/>
      <c r="L930" s="405"/>
      <c r="M930" s="405"/>
      <c r="N930" s="405"/>
      <c r="O930" s="405"/>
      <c r="P930" s="405"/>
      <c r="Q930" s="405"/>
      <c r="R930" s="405"/>
      <c r="S930" s="405"/>
      <c r="T930" s="405"/>
      <c r="U930" s="405"/>
      <c r="V930" s="405"/>
      <c r="W930" s="405"/>
      <c r="X930" s="405"/>
      <c r="Y930" s="405"/>
      <c r="Z930" s="405"/>
    </row>
    <row r="931" ht="14.25" customHeight="1">
      <c r="A931" s="451">
        <v>45537.0</v>
      </c>
      <c r="B931" s="417" t="s">
        <v>3126</v>
      </c>
      <c r="C931" s="417" t="s">
        <v>3127</v>
      </c>
      <c r="D931" s="417" t="s">
        <v>54</v>
      </c>
      <c r="E931" s="744" t="s">
        <v>3308</v>
      </c>
      <c r="F931" s="413">
        <v>4000.0</v>
      </c>
      <c r="G931" s="413"/>
      <c r="H931" s="402"/>
      <c r="I931" s="405"/>
      <c r="J931" s="405"/>
      <c r="K931" s="405"/>
      <c r="L931" s="405"/>
      <c r="M931" s="405"/>
      <c r="N931" s="405"/>
      <c r="O931" s="405"/>
      <c r="P931" s="405"/>
      <c r="Q931" s="405"/>
      <c r="R931" s="405"/>
      <c r="S931" s="405"/>
      <c r="T931" s="405"/>
      <c r="U931" s="405"/>
      <c r="V931" s="405"/>
      <c r="W931" s="405"/>
      <c r="X931" s="405"/>
      <c r="Y931" s="405"/>
      <c r="Z931" s="405"/>
    </row>
    <row r="932" ht="14.25" customHeight="1">
      <c r="A932" s="451">
        <v>45537.0</v>
      </c>
      <c r="B932" s="349" t="s">
        <v>3509</v>
      </c>
      <c r="C932" s="349" t="s">
        <v>3510</v>
      </c>
      <c r="D932" s="417" t="s">
        <v>54</v>
      </c>
      <c r="E932" s="349" t="s">
        <v>3519</v>
      </c>
      <c r="F932" s="413">
        <v>107373.0</v>
      </c>
      <c r="G932" s="413">
        <v>124000.0</v>
      </c>
      <c r="H932" s="349"/>
      <c r="I932" s="405"/>
      <c r="J932" s="405"/>
      <c r="K932" s="405"/>
      <c r="L932" s="405"/>
      <c r="M932" s="405"/>
      <c r="N932" s="405"/>
      <c r="O932" s="405"/>
      <c r="P932" s="405"/>
      <c r="Q932" s="405"/>
      <c r="R932" s="405"/>
      <c r="S932" s="405"/>
      <c r="T932" s="405"/>
      <c r="U932" s="405"/>
      <c r="V932" s="405"/>
      <c r="W932" s="405"/>
      <c r="X932" s="405"/>
      <c r="Y932" s="405"/>
      <c r="Z932" s="405"/>
    </row>
    <row r="933" ht="14.25" customHeight="1">
      <c r="A933" s="451">
        <v>45537.0</v>
      </c>
      <c r="B933" s="349" t="s">
        <v>3169</v>
      </c>
      <c r="C933" s="623" t="s">
        <v>3170</v>
      </c>
      <c r="D933" s="417" t="s">
        <v>54</v>
      </c>
      <c r="E933" s="744" t="s">
        <v>3308</v>
      </c>
      <c r="F933" s="413">
        <v>29000.0</v>
      </c>
      <c r="G933" s="403"/>
      <c r="H933" s="402"/>
      <c r="I933" s="405"/>
      <c r="J933" s="405"/>
      <c r="K933" s="405"/>
      <c r="L933" s="405"/>
      <c r="M933" s="405"/>
      <c r="N933" s="405"/>
      <c r="O933" s="405"/>
      <c r="P933" s="405"/>
      <c r="Q933" s="405"/>
      <c r="R933" s="405"/>
      <c r="S933" s="405"/>
      <c r="T933" s="405"/>
      <c r="U933" s="405"/>
      <c r="V933" s="405"/>
      <c r="W933" s="405"/>
      <c r="X933" s="405"/>
      <c r="Y933" s="405"/>
      <c r="Z933" s="405"/>
    </row>
    <row r="934" ht="14.25" customHeight="1">
      <c r="A934" s="451">
        <v>45537.0</v>
      </c>
      <c r="B934" s="623" t="s">
        <v>3171</v>
      </c>
      <c r="C934" s="623" t="s">
        <v>3172</v>
      </c>
      <c r="D934" s="417" t="s">
        <v>54</v>
      </c>
      <c r="E934" s="750" t="s">
        <v>3512</v>
      </c>
      <c r="F934" s="413">
        <v>21020.0</v>
      </c>
      <c r="G934" s="403"/>
      <c r="H934" s="349"/>
      <c r="I934" s="405"/>
      <c r="J934" s="405"/>
      <c r="K934" s="405"/>
      <c r="L934" s="405"/>
      <c r="M934" s="405"/>
      <c r="N934" s="405"/>
      <c r="O934" s="405"/>
      <c r="P934" s="405"/>
      <c r="Q934" s="405"/>
      <c r="R934" s="405"/>
      <c r="S934" s="405"/>
      <c r="T934" s="405"/>
      <c r="U934" s="405"/>
      <c r="V934" s="405"/>
      <c r="W934" s="405"/>
      <c r="X934" s="405"/>
      <c r="Y934" s="405"/>
      <c r="Z934" s="405"/>
    </row>
    <row r="935" ht="14.25" customHeight="1">
      <c r="A935" s="451">
        <v>45537.0</v>
      </c>
      <c r="B935" s="623" t="s">
        <v>3173</v>
      </c>
      <c r="C935" s="623" t="s">
        <v>3174</v>
      </c>
      <c r="D935" s="417" t="s">
        <v>54</v>
      </c>
      <c r="E935" s="417" t="s">
        <v>3101</v>
      </c>
      <c r="F935" s="413">
        <v>39100.0</v>
      </c>
      <c r="G935" s="403"/>
      <c r="H935" s="349"/>
      <c r="I935" s="405"/>
      <c r="J935" s="405"/>
      <c r="K935" s="405"/>
      <c r="L935" s="405"/>
      <c r="M935" s="405"/>
      <c r="N935" s="405"/>
      <c r="O935" s="405"/>
      <c r="P935" s="405"/>
      <c r="Q935" s="405"/>
      <c r="R935" s="405"/>
      <c r="S935" s="405"/>
      <c r="T935" s="405"/>
      <c r="U935" s="405"/>
      <c r="V935" s="405"/>
      <c r="W935" s="405"/>
      <c r="X935" s="405"/>
      <c r="Y935" s="405"/>
      <c r="Z935" s="405"/>
    </row>
    <row r="936" ht="14.25" customHeight="1">
      <c r="A936" s="451">
        <v>45537.0</v>
      </c>
      <c r="B936" s="732" t="s">
        <v>3228</v>
      </c>
      <c r="C936" s="623" t="s">
        <v>2302</v>
      </c>
      <c r="D936" s="732" t="s">
        <v>75</v>
      </c>
      <c r="E936" s="417" t="s">
        <v>3101</v>
      </c>
      <c r="F936" s="413">
        <v>46650.0</v>
      </c>
      <c r="G936" s="413"/>
      <c r="H936" s="349"/>
      <c r="I936" s="405"/>
      <c r="J936" s="405"/>
      <c r="K936" s="405"/>
      <c r="L936" s="405"/>
      <c r="M936" s="405"/>
      <c r="N936" s="405"/>
      <c r="O936" s="405"/>
      <c r="P936" s="405"/>
      <c r="Q936" s="405"/>
      <c r="R936" s="405"/>
      <c r="S936" s="405"/>
      <c r="T936" s="405"/>
      <c r="U936" s="405"/>
      <c r="V936" s="405"/>
      <c r="W936" s="405"/>
      <c r="X936" s="405"/>
      <c r="Y936" s="405"/>
      <c r="Z936" s="405"/>
    </row>
    <row r="937" ht="14.25" customHeight="1">
      <c r="A937" s="451">
        <v>45537.0</v>
      </c>
      <c r="B937" s="349" t="s">
        <v>3522</v>
      </c>
      <c r="C937" s="623" t="s">
        <v>3523</v>
      </c>
      <c r="D937" s="417" t="s">
        <v>54</v>
      </c>
      <c r="E937" s="750" t="s">
        <v>3512</v>
      </c>
      <c r="F937" s="413">
        <v>28500.0</v>
      </c>
      <c r="G937" s="413" t="s">
        <v>1238</v>
      </c>
      <c r="H937" s="349"/>
      <c r="I937" s="405"/>
      <c r="J937" s="405"/>
      <c r="K937" s="405"/>
      <c r="L937" s="405"/>
      <c r="M937" s="405"/>
      <c r="N937" s="405"/>
      <c r="O937" s="405"/>
      <c r="P937" s="405"/>
      <c r="Q937" s="405"/>
      <c r="R937" s="405"/>
      <c r="S937" s="405"/>
      <c r="T937" s="405"/>
      <c r="U937" s="405"/>
      <c r="V937" s="405"/>
      <c r="W937" s="405"/>
      <c r="X937" s="405"/>
      <c r="Y937" s="405"/>
      <c r="Z937" s="405"/>
    </row>
    <row r="938" ht="14.25" customHeight="1">
      <c r="A938" s="451">
        <v>45537.0</v>
      </c>
      <c r="B938" s="349" t="s">
        <v>3182</v>
      </c>
      <c r="C938" s="349" t="s">
        <v>3117</v>
      </c>
      <c r="D938" s="417" t="s">
        <v>467</v>
      </c>
      <c r="E938" s="417" t="s">
        <v>3101</v>
      </c>
      <c r="F938" s="413">
        <v>6600.0</v>
      </c>
      <c r="G938" s="403"/>
      <c r="H938" s="349"/>
      <c r="I938" s="405"/>
      <c r="J938" s="405"/>
      <c r="K938" s="405"/>
      <c r="L938" s="405"/>
      <c r="M938" s="405"/>
      <c r="N938" s="405"/>
      <c r="O938" s="405"/>
      <c r="P938" s="405"/>
      <c r="Q938" s="405"/>
      <c r="R938" s="405"/>
      <c r="S938" s="405"/>
      <c r="T938" s="405"/>
      <c r="U938" s="405"/>
      <c r="V938" s="405"/>
      <c r="W938" s="405"/>
      <c r="X938" s="405"/>
      <c r="Y938" s="405"/>
      <c r="Z938" s="405"/>
    </row>
    <row r="939" ht="14.25" customHeight="1">
      <c r="A939" s="451">
        <v>45537.0</v>
      </c>
      <c r="B939" s="623" t="s">
        <v>3180</v>
      </c>
      <c r="C939" s="349" t="s">
        <v>3117</v>
      </c>
      <c r="D939" s="417" t="s">
        <v>54</v>
      </c>
      <c r="E939" s="417" t="s">
        <v>3101</v>
      </c>
      <c r="F939" s="413">
        <v>18633.0</v>
      </c>
      <c r="G939" s="403"/>
      <c r="H939" s="349"/>
      <c r="I939" s="405"/>
      <c r="J939" s="405"/>
      <c r="K939" s="405"/>
      <c r="L939" s="405"/>
      <c r="M939" s="405"/>
      <c r="N939" s="405"/>
      <c r="O939" s="405"/>
      <c r="P939" s="405"/>
      <c r="Q939" s="405"/>
      <c r="R939" s="405"/>
      <c r="S939" s="405"/>
      <c r="T939" s="405"/>
      <c r="U939" s="405"/>
      <c r="V939" s="405"/>
      <c r="W939" s="405"/>
      <c r="X939" s="405"/>
      <c r="Y939" s="405"/>
      <c r="Z939" s="405"/>
    </row>
    <row r="940" ht="14.25" customHeight="1">
      <c r="A940" s="451">
        <v>45537.0</v>
      </c>
      <c r="B940" s="349" t="s">
        <v>3540</v>
      </c>
      <c r="C940" s="349" t="s">
        <v>3541</v>
      </c>
      <c r="D940" s="417" t="s">
        <v>54</v>
      </c>
      <c r="E940" s="417" t="s">
        <v>3078</v>
      </c>
      <c r="F940" s="413">
        <v>230000.0</v>
      </c>
      <c r="G940" s="413">
        <v>230000.0</v>
      </c>
      <c r="H940" s="402"/>
      <c r="I940" s="405"/>
      <c r="J940" s="405"/>
      <c r="K940" s="405"/>
      <c r="L940" s="405"/>
      <c r="M940" s="405"/>
      <c r="N940" s="405"/>
      <c r="O940" s="405"/>
      <c r="P940" s="405"/>
      <c r="Q940" s="405"/>
      <c r="R940" s="405"/>
      <c r="S940" s="405"/>
      <c r="T940" s="405"/>
      <c r="U940" s="405"/>
      <c r="V940" s="405"/>
      <c r="W940" s="405"/>
      <c r="X940" s="405"/>
      <c r="Y940" s="405"/>
      <c r="Z940" s="405"/>
    </row>
    <row r="941" ht="14.25" customHeight="1">
      <c r="A941" s="451">
        <v>45537.0</v>
      </c>
      <c r="B941" s="349" t="s">
        <v>3542</v>
      </c>
      <c r="C941" s="349" t="s">
        <v>3543</v>
      </c>
      <c r="D941" s="417" t="s">
        <v>54</v>
      </c>
      <c r="E941" s="417" t="s">
        <v>3101</v>
      </c>
      <c r="F941" s="413">
        <v>1600.0</v>
      </c>
      <c r="G941" s="403"/>
      <c r="H941" s="402"/>
      <c r="I941" s="405"/>
      <c r="J941" s="405"/>
      <c r="K941" s="405"/>
      <c r="L941" s="405"/>
      <c r="M941" s="405"/>
      <c r="N941" s="405"/>
      <c r="O941" s="405"/>
      <c r="P941" s="405"/>
      <c r="Q941" s="405"/>
      <c r="R941" s="405"/>
      <c r="S941" s="405"/>
      <c r="T941" s="405"/>
      <c r="U941" s="405"/>
      <c r="V941" s="405"/>
      <c r="W941" s="405"/>
      <c r="X941" s="405"/>
      <c r="Y941" s="405"/>
      <c r="Z941" s="405"/>
    </row>
    <row r="942" ht="14.25" customHeight="1">
      <c r="A942" s="405"/>
      <c r="B942" s="405"/>
      <c r="C942" s="405"/>
      <c r="D942" s="405"/>
      <c r="E942" s="405"/>
      <c r="F942" s="583"/>
      <c r="G942" s="583"/>
      <c r="H942" s="405"/>
      <c r="I942" s="405"/>
      <c r="J942" s="405"/>
      <c r="K942" s="405"/>
      <c r="L942" s="405"/>
      <c r="M942" s="405"/>
      <c r="N942" s="405"/>
      <c r="O942" s="405"/>
      <c r="P942" s="405"/>
      <c r="Q942" s="405"/>
      <c r="R942" s="405"/>
      <c r="S942" s="405"/>
      <c r="T942" s="405"/>
      <c r="U942" s="405"/>
      <c r="V942" s="405"/>
      <c r="W942" s="405"/>
      <c r="X942" s="405"/>
      <c r="Y942" s="405"/>
      <c r="Z942" s="405"/>
    </row>
    <row r="943" ht="14.25" customHeight="1">
      <c r="A943" s="740" t="s">
        <v>39</v>
      </c>
      <c r="B943" s="706" t="s">
        <v>3075</v>
      </c>
      <c r="C943" s="706" t="s">
        <v>49</v>
      </c>
      <c r="D943" s="706" t="s">
        <v>50</v>
      </c>
      <c r="E943" s="708" t="s">
        <v>2</v>
      </c>
      <c r="F943" s="708" t="s">
        <v>2</v>
      </c>
      <c r="G943" s="708" t="s">
        <v>4</v>
      </c>
      <c r="H943" s="740" t="s">
        <v>45</v>
      </c>
      <c r="I943" s="405"/>
      <c r="J943" s="405"/>
      <c r="K943" s="405"/>
      <c r="L943" s="405"/>
      <c r="M943" s="405"/>
      <c r="N943" s="405"/>
      <c r="O943" s="405"/>
      <c r="P943" s="405"/>
      <c r="Q943" s="405"/>
      <c r="R943" s="405"/>
      <c r="S943" s="405"/>
      <c r="T943" s="405"/>
      <c r="U943" s="405"/>
      <c r="V943" s="405"/>
      <c r="W943" s="405"/>
      <c r="X943" s="405"/>
      <c r="Y943" s="405"/>
      <c r="Z943" s="405"/>
    </row>
    <row r="944" ht="14.25" customHeight="1">
      <c r="A944" s="451">
        <v>45538.0</v>
      </c>
      <c r="B944" s="417" t="s">
        <v>3087</v>
      </c>
      <c r="C944" s="417" t="s">
        <v>3088</v>
      </c>
      <c r="D944" s="417" t="s">
        <v>54</v>
      </c>
      <c r="E944" s="750" t="s">
        <v>3512</v>
      </c>
      <c r="F944" s="73">
        <v>14000.0</v>
      </c>
      <c r="G944" s="413"/>
      <c r="H944" s="402"/>
      <c r="I944" s="405"/>
      <c r="J944" s="405"/>
      <c r="K944" s="405"/>
      <c r="L944" s="405"/>
      <c r="M944" s="405"/>
      <c r="N944" s="405"/>
      <c r="O944" s="405"/>
      <c r="P944" s="405"/>
      <c r="Q944" s="405"/>
      <c r="R944" s="405"/>
      <c r="S944" s="405"/>
      <c r="T944" s="405"/>
      <c r="U944" s="405"/>
      <c r="V944" s="405"/>
      <c r="W944" s="405"/>
      <c r="X944" s="405"/>
      <c r="Y944" s="405"/>
      <c r="Z944" s="405"/>
    </row>
    <row r="945" ht="14.25" customHeight="1">
      <c r="A945" s="451">
        <v>45538.0</v>
      </c>
      <c r="B945" s="417" t="s">
        <v>652</v>
      </c>
      <c r="C945" s="417" t="s">
        <v>3097</v>
      </c>
      <c r="D945" s="417" t="s">
        <v>2010</v>
      </c>
      <c r="E945" s="417" t="s">
        <v>3308</v>
      </c>
      <c r="F945" s="73">
        <v>55100.0</v>
      </c>
      <c r="G945" s="413"/>
      <c r="H945" s="402"/>
      <c r="I945" s="405"/>
      <c r="J945" s="405"/>
      <c r="K945" s="405"/>
      <c r="L945" s="405"/>
      <c r="M945" s="405"/>
      <c r="N945" s="405"/>
      <c r="O945" s="405"/>
      <c r="P945" s="405"/>
      <c r="Q945" s="405"/>
      <c r="R945" s="405"/>
      <c r="S945" s="405"/>
      <c r="T945" s="405"/>
      <c r="U945" s="405"/>
      <c r="V945" s="405"/>
      <c r="W945" s="405"/>
      <c r="X945" s="405"/>
      <c r="Y945" s="405"/>
      <c r="Z945" s="405"/>
    </row>
    <row r="946" ht="14.25" customHeight="1">
      <c r="A946" s="451">
        <v>45538.0</v>
      </c>
      <c r="B946" s="417" t="s">
        <v>3099</v>
      </c>
      <c r="C946" s="417" t="s">
        <v>3100</v>
      </c>
      <c r="D946" s="417" t="s">
        <v>54</v>
      </c>
      <c r="E946" s="417" t="s">
        <v>3308</v>
      </c>
      <c r="F946" s="73">
        <v>125300.0</v>
      </c>
      <c r="G946" s="413"/>
      <c r="H946" s="402"/>
      <c r="I946" s="405"/>
      <c r="J946" s="405"/>
      <c r="K946" s="405"/>
      <c r="L946" s="405"/>
      <c r="M946" s="405"/>
      <c r="N946" s="405"/>
      <c r="O946" s="405"/>
      <c r="P946" s="405"/>
      <c r="Q946" s="405"/>
      <c r="R946" s="405"/>
      <c r="S946" s="405"/>
      <c r="T946" s="405"/>
      <c r="U946" s="405"/>
      <c r="V946" s="405"/>
      <c r="W946" s="405"/>
      <c r="X946" s="405"/>
      <c r="Y946" s="405"/>
      <c r="Z946" s="405"/>
    </row>
    <row r="947" ht="14.25" customHeight="1">
      <c r="A947" s="451">
        <v>45538.0</v>
      </c>
      <c r="B947" s="417" t="s">
        <v>3134</v>
      </c>
      <c r="C947" s="417" t="s">
        <v>3176</v>
      </c>
      <c r="D947" s="417" t="s">
        <v>54</v>
      </c>
      <c r="E947" s="417" t="s">
        <v>3078</v>
      </c>
      <c r="F947" s="749">
        <v>178700.0</v>
      </c>
      <c r="G947" s="413"/>
      <c r="H947" s="349"/>
      <c r="I947" s="405"/>
      <c r="J947" s="405"/>
      <c r="K947" s="405"/>
      <c r="L947" s="405"/>
      <c r="M947" s="405"/>
      <c r="N947" s="405"/>
      <c r="O947" s="405"/>
      <c r="P947" s="405"/>
      <c r="Q947" s="405"/>
      <c r="R947" s="405"/>
      <c r="S947" s="405"/>
      <c r="T947" s="405"/>
      <c r="U947" s="405"/>
      <c r="V947" s="405"/>
      <c r="W947" s="405"/>
      <c r="X947" s="405"/>
      <c r="Y947" s="405"/>
      <c r="Z947" s="405"/>
    </row>
    <row r="948" ht="14.25" customHeight="1">
      <c r="A948" s="451">
        <v>45538.0</v>
      </c>
      <c r="B948" s="417" t="s">
        <v>3173</v>
      </c>
      <c r="C948" s="417" t="s">
        <v>3174</v>
      </c>
      <c r="D948" s="417" t="s">
        <v>54</v>
      </c>
      <c r="E948" s="417" t="s">
        <v>3101</v>
      </c>
      <c r="F948" s="73">
        <v>16800.0</v>
      </c>
      <c r="G948" s="413"/>
      <c r="H948" s="349"/>
      <c r="I948" s="405"/>
      <c r="J948" s="405"/>
      <c r="K948" s="405"/>
      <c r="L948" s="405"/>
      <c r="M948" s="405"/>
      <c r="N948" s="405"/>
      <c r="O948" s="405"/>
      <c r="P948" s="405"/>
      <c r="Q948" s="405"/>
      <c r="R948" s="405"/>
      <c r="S948" s="405"/>
      <c r="T948" s="405"/>
      <c r="U948" s="405"/>
      <c r="V948" s="405"/>
      <c r="W948" s="405"/>
      <c r="X948" s="405"/>
      <c r="Y948" s="405"/>
      <c r="Z948" s="405"/>
    </row>
    <row r="949" ht="14.25" customHeight="1">
      <c r="A949" s="451">
        <v>45538.0</v>
      </c>
      <c r="B949" s="417" t="s">
        <v>3193</v>
      </c>
      <c r="C949" s="417" t="s">
        <v>3194</v>
      </c>
      <c r="D949" s="417" t="s">
        <v>3189</v>
      </c>
      <c r="E949" s="417" t="s">
        <v>3078</v>
      </c>
      <c r="F949" s="73">
        <v>173000.0</v>
      </c>
      <c r="G949" s="413"/>
      <c r="H949" s="349"/>
      <c r="I949" s="405"/>
      <c r="J949" s="405"/>
      <c r="K949" s="405"/>
      <c r="L949" s="405"/>
      <c r="M949" s="405"/>
      <c r="N949" s="405"/>
      <c r="O949" s="405"/>
      <c r="P949" s="405"/>
      <c r="Q949" s="405"/>
      <c r="R949" s="405"/>
      <c r="S949" s="405"/>
      <c r="T949" s="405"/>
      <c r="U949" s="405"/>
      <c r="V949" s="405"/>
      <c r="W949" s="405"/>
      <c r="X949" s="405"/>
      <c r="Y949" s="405"/>
      <c r="Z949" s="405"/>
    </row>
    <row r="950" ht="14.25" customHeight="1">
      <c r="A950" s="451">
        <v>45538.0</v>
      </c>
      <c r="B950" s="417" t="s">
        <v>3083</v>
      </c>
      <c r="C950" s="417" t="s">
        <v>3084</v>
      </c>
      <c r="D950" s="417" t="s">
        <v>54</v>
      </c>
      <c r="E950" s="417" t="s">
        <v>3101</v>
      </c>
      <c r="F950" s="73">
        <v>6500.0</v>
      </c>
      <c r="G950" s="413"/>
      <c r="H950" s="349"/>
      <c r="I950" s="405"/>
      <c r="J950" s="405"/>
      <c r="K950" s="405"/>
      <c r="L950" s="405"/>
      <c r="M950" s="405"/>
      <c r="N950" s="405"/>
      <c r="O950" s="405"/>
      <c r="P950" s="405"/>
      <c r="Q950" s="405"/>
      <c r="R950" s="405"/>
      <c r="S950" s="405"/>
      <c r="T950" s="405"/>
      <c r="U950" s="405"/>
      <c r="V950" s="405"/>
      <c r="W950" s="405"/>
      <c r="X950" s="405"/>
      <c r="Y950" s="405"/>
      <c r="Z950" s="405"/>
    </row>
    <row r="951" ht="14.25" customHeight="1">
      <c r="A951" s="451">
        <v>45538.0</v>
      </c>
      <c r="B951" s="444" t="s">
        <v>3235</v>
      </c>
      <c r="C951" s="417" t="s">
        <v>3236</v>
      </c>
      <c r="D951" s="417" t="s">
        <v>3189</v>
      </c>
      <c r="E951" s="417" t="s">
        <v>3101</v>
      </c>
      <c r="F951" s="73">
        <v>280800.0</v>
      </c>
      <c r="G951" s="413"/>
      <c r="H951" s="349"/>
      <c r="I951" s="405"/>
      <c r="J951" s="405"/>
      <c r="K951" s="405"/>
      <c r="L951" s="405"/>
      <c r="M951" s="405"/>
      <c r="N951" s="405"/>
      <c r="O951" s="405"/>
      <c r="P951" s="405"/>
      <c r="Q951" s="405"/>
      <c r="R951" s="405"/>
      <c r="S951" s="405"/>
      <c r="T951" s="405"/>
      <c r="U951" s="405"/>
      <c r="V951" s="405"/>
      <c r="W951" s="405"/>
      <c r="X951" s="405"/>
      <c r="Y951" s="405"/>
      <c r="Z951" s="405"/>
    </row>
    <row r="952" ht="14.25" customHeight="1">
      <c r="A952" s="451">
        <v>45538.0</v>
      </c>
      <c r="B952" s="417" t="s">
        <v>3289</v>
      </c>
      <c r="C952" s="417" t="s">
        <v>3236</v>
      </c>
      <c r="D952" s="417" t="s">
        <v>54</v>
      </c>
      <c r="E952" s="417" t="s">
        <v>3115</v>
      </c>
      <c r="F952" s="73">
        <v>50700.0</v>
      </c>
      <c r="G952" s="413"/>
      <c r="H952" s="402"/>
      <c r="I952" s="405"/>
      <c r="J952" s="405"/>
      <c r="K952" s="405"/>
      <c r="L952" s="405"/>
      <c r="M952" s="405"/>
      <c r="N952" s="405"/>
      <c r="O952" s="405"/>
      <c r="P952" s="405"/>
      <c r="Q952" s="405"/>
      <c r="R952" s="405"/>
      <c r="S952" s="405"/>
      <c r="T952" s="405"/>
      <c r="U952" s="405"/>
      <c r="V952" s="405"/>
      <c r="W952" s="405"/>
      <c r="X952" s="405"/>
      <c r="Y952" s="405"/>
      <c r="Z952" s="405"/>
    </row>
    <row r="953" ht="14.25" customHeight="1">
      <c r="A953" s="451">
        <v>45538.0</v>
      </c>
      <c r="B953" s="417" t="s">
        <v>3290</v>
      </c>
      <c r="C953" s="417" t="s">
        <v>3291</v>
      </c>
      <c r="D953" s="417" t="s">
        <v>54</v>
      </c>
      <c r="E953" s="417" t="s">
        <v>3101</v>
      </c>
      <c r="F953" s="73">
        <v>4500.0</v>
      </c>
      <c r="G953" s="413"/>
      <c r="H953" s="349"/>
      <c r="I953" s="405"/>
      <c r="J953" s="405"/>
      <c r="K953" s="405"/>
      <c r="L953" s="405"/>
      <c r="M953" s="405"/>
      <c r="N953" s="405"/>
      <c r="O953" s="405"/>
      <c r="P953" s="405"/>
      <c r="Q953" s="405"/>
      <c r="R953" s="405"/>
      <c r="S953" s="405"/>
      <c r="T953" s="405"/>
      <c r="U953" s="405"/>
      <c r="V953" s="405"/>
      <c r="W953" s="405"/>
      <c r="X953" s="405"/>
      <c r="Y953" s="405"/>
      <c r="Z953" s="405"/>
    </row>
    <row r="954" ht="14.25" customHeight="1">
      <c r="A954" s="451">
        <v>45538.0</v>
      </c>
      <c r="B954" s="417" t="s">
        <v>3341</v>
      </c>
      <c r="C954" s="417" t="s">
        <v>3209</v>
      </c>
      <c r="D954" s="417" t="s">
        <v>467</v>
      </c>
      <c r="E954" s="417" t="s">
        <v>3101</v>
      </c>
      <c r="F954" s="73">
        <v>6900.0</v>
      </c>
      <c r="G954" s="413"/>
      <c r="H954" s="349"/>
      <c r="I954" s="405"/>
      <c r="J954" s="405"/>
      <c r="K954" s="405"/>
      <c r="L954" s="405"/>
      <c r="M954" s="405"/>
      <c r="N954" s="405"/>
      <c r="O954" s="405"/>
      <c r="P954" s="405"/>
      <c r="Q954" s="405"/>
      <c r="R954" s="405"/>
      <c r="S954" s="405"/>
      <c r="T954" s="405"/>
      <c r="U954" s="405"/>
      <c r="V954" s="405"/>
      <c r="W954" s="405"/>
      <c r="X954" s="405"/>
      <c r="Y954" s="405"/>
      <c r="Z954" s="405"/>
    </row>
    <row r="955" ht="14.25" customHeight="1">
      <c r="A955" s="451">
        <v>45538.0</v>
      </c>
      <c r="B955" s="417" t="s">
        <v>3371</v>
      </c>
      <c r="C955" s="417" t="s">
        <v>3291</v>
      </c>
      <c r="D955" s="417" t="s">
        <v>3189</v>
      </c>
      <c r="E955" s="417" t="s">
        <v>3101</v>
      </c>
      <c r="F955" s="73">
        <v>95100.0</v>
      </c>
      <c r="G955" s="413"/>
      <c r="H955" s="349"/>
      <c r="I955" s="405"/>
      <c r="J955" s="405"/>
      <c r="K955" s="405"/>
      <c r="L955" s="405"/>
      <c r="M955" s="405"/>
      <c r="N955" s="405"/>
      <c r="O955" s="405"/>
      <c r="P955" s="405"/>
      <c r="Q955" s="405"/>
      <c r="R955" s="405"/>
      <c r="S955" s="405"/>
      <c r="T955" s="405"/>
      <c r="U955" s="405"/>
      <c r="V955" s="405"/>
      <c r="W955" s="405"/>
      <c r="X955" s="405"/>
      <c r="Y955" s="405"/>
      <c r="Z955" s="405"/>
    </row>
    <row r="956" ht="14.25" customHeight="1">
      <c r="A956" s="451">
        <v>45538.0</v>
      </c>
      <c r="B956" s="417" t="s">
        <v>3409</v>
      </c>
      <c r="C956" s="417" t="s">
        <v>3410</v>
      </c>
      <c r="D956" s="417" t="s">
        <v>54</v>
      </c>
      <c r="E956" s="417" t="s">
        <v>3101</v>
      </c>
      <c r="F956" s="73">
        <v>27300.0</v>
      </c>
      <c r="G956" s="413"/>
      <c r="H956" s="349"/>
      <c r="I956" s="405"/>
      <c r="J956" s="405"/>
      <c r="K956" s="405"/>
      <c r="L956" s="405"/>
      <c r="M956" s="405"/>
      <c r="N956" s="405"/>
      <c r="O956" s="405"/>
      <c r="P956" s="405"/>
      <c r="Q956" s="405"/>
      <c r="R956" s="405"/>
      <c r="S956" s="405"/>
      <c r="T956" s="405"/>
      <c r="U956" s="405"/>
      <c r="V956" s="405"/>
      <c r="W956" s="405"/>
      <c r="X956" s="405"/>
      <c r="Y956" s="405"/>
      <c r="Z956" s="405"/>
    </row>
    <row r="957" ht="14.25" customHeight="1">
      <c r="A957" s="451">
        <v>45538.0</v>
      </c>
      <c r="B957" s="417" t="s">
        <v>3107</v>
      </c>
      <c r="C957" s="417" t="s">
        <v>3108</v>
      </c>
      <c r="D957" s="417" t="s">
        <v>54</v>
      </c>
      <c r="E957" s="417" t="s">
        <v>3101</v>
      </c>
      <c r="F957" s="69">
        <v>55100.0</v>
      </c>
      <c r="G957" s="413"/>
      <c r="H957" s="349"/>
      <c r="I957" s="405"/>
      <c r="J957" s="405"/>
      <c r="K957" s="405"/>
      <c r="L957" s="405"/>
      <c r="M957" s="405"/>
      <c r="N957" s="405"/>
      <c r="O957" s="405"/>
      <c r="P957" s="405"/>
      <c r="Q957" s="405"/>
      <c r="R957" s="405"/>
      <c r="S957" s="405"/>
      <c r="T957" s="405"/>
      <c r="U957" s="405"/>
      <c r="V957" s="405"/>
      <c r="W957" s="405"/>
      <c r="X957" s="405"/>
      <c r="Y957" s="405"/>
      <c r="Z957" s="405"/>
    </row>
    <row r="958" ht="14.25" customHeight="1">
      <c r="A958" s="451">
        <v>45538.0</v>
      </c>
      <c r="B958" s="417" t="s">
        <v>3128</v>
      </c>
      <c r="C958" s="417" t="s">
        <v>3129</v>
      </c>
      <c r="D958" s="417" t="s">
        <v>54</v>
      </c>
      <c r="E958" s="417" t="s">
        <v>3308</v>
      </c>
      <c r="F958" s="73">
        <v>44000.0</v>
      </c>
      <c r="G958" s="413"/>
      <c r="H958" s="402"/>
      <c r="I958" s="405"/>
      <c r="J958" s="405"/>
      <c r="K958" s="405"/>
      <c r="L958" s="405"/>
      <c r="M958" s="405"/>
      <c r="N958" s="405"/>
      <c r="O958" s="405"/>
      <c r="P958" s="405"/>
      <c r="Q958" s="405"/>
      <c r="R958" s="405"/>
      <c r="S958" s="405"/>
      <c r="T958" s="405"/>
      <c r="U958" s="405"/>
      <c r="V958" s="405"/>
      <c r="W958" s="405"/>
      <c r="X958" s="405"/>
      <c r="Y958" s="405"/>
      <c r="Z958" s="405"/>
    </row>
    <row r="959" ht="14.25" customHeight="1">
      <c r="A959" s="451">
        <v>45538.0</v>
      </c>
      <c r="B959" s="417" t="s">
        <v>3126</v>
      </c>
      <c r="C959" s="417" t="s">
        <v>3127</v>
      </c>
      <c r="D959" s="417" t="s">
        <v>54</v>
      </c>
      <c r="E959" s="744" t="s">
        <v>3308</v>
      </c>
      <c r="F959" s="413">
        <v>4000.0</v>
      </c>
      <c r="G959" s="413"/>
      <c r="H959" s="402"/>
      <c r="I959" s="405"/>
      <c r="J959" s="405"/>
      <c r="K959" s="405"/>
      <c r="L959" s="405"/>
      <c r="M959" s="405"/>
      <c r="N959" s="405"/>
      <c r="O959" s="405"/>
      <c r="P959" s="405"/>
      <c r="Q959" s="405"/>
      <c r="R959" s="405"/>
      <c r="S959" s="405"/>
      <c r="T959" s="405"/>
      <c r="U959" s="405"/>
      <c r="V959" s="405"/>
      <c r="W959" s="405"/>
      <c r="X959" s="405"/>
      <c r="Y959" s="405"/>
      <c r="Z959" s="405"/>
    </row>
    <row r="960" ht="14.25" customHeight="1">
      <c r="A960" s="451">
        <v>45538.0</v>
      </c>
      <c r="B960" s="349" t="s">
        <v>3169</v>
      </c>
      <c r="C960" s="623" t="s">
        <v>3170</v>
      </c>
      <c r="D960" s="417" t="s">
        <v>54</v>
      </c>
      <c r="E960" s="744" t="s">
        <v>3308</v>
      </c>
      <c r="F960" s="413">
        <v>29000.0</v>
      </c>
      <c r="G960" s="403"/>
      <c r="H960" s="402"/>
      <c r="I960" s="405"/>
      <c r="J960" s="405"/>
      <c r="K960" s="405"/>
      <c r="L960" s="405"/>
      <c r="M960" s="405"/>
      <c r="N960" s="405"/>
      <c r="O960" s="405"/>
      <c r="P960" s="405"/>
      <c r="Q960" s="405"/>
      <c r="R960" s="405"/>
      <c r="S960" s="405"/>
      <c r="T960" s="405"/>
      <c r="U960" s="405"/>
      <c r="V960" s="405"/>
      <c r="W960" s="405"/>
      <c r="X960" s="405"/>
      <c r="Y960" s="405"/>
      <c r="Z960" s="405"/>
    </row>
    <row r="961" ht="14.25" customHeight="1">
      <c r="A961" s="451">
        <v>45538.0</v>
      </c>
      <c r="B961" s="623" t="s">
        <v>3171</v>
      </c>
      <c r="C961" s="623" t="s">
        <v>3172</v>
      </c>
      <c r="D961" s="417" t="s">
        <v>54</v>
      </c>
      <c r="E961" s="750" t="s">
        <v>3512</v>
      </c>
      <c r="F961" s="413">
        <v>21020.0</v>
      </c>
      <c r="G961" s="403"/>
      <c r="H961" s="349"/>
      <c r="I961" s="405"/>
      <c r="J961" s="405"/>
      <c r="K961" s="405"/>
      <c r="L961" s="405"/>
      <c r="M961" s="405"/>
      <c r="N961" s="405"/>
      <c r="O961" s="405"/>
      <c r="P961" s="405"/>
      <c r="Q961" s="405"/>
      <c r="R961" s="405"/>
      <c r="S961" s="405"/>
      <c r="T961" s="405"/>
      <c r="U961" s="405"/>
      <c r="V961" s="405"/>
      <c r="W961" s="405"/>
      <c r="X961" s="405"/>
      <c r="Y961" s="405"/>
      <c r="Z961" s="405"/>
    </row>
    <row r="962" ht="14.25" customHeight="1">
      <c r="A962" s="451">
        <v>45538.0</v>
      </c>
      <c r="B962" s="623" t="s">
        <v>3173</v>
      </c>
      <c r="C962" s="623" t="s">
        <v>3174</v>
      </c>
      <c r="D962" s="417" t="s">
        <v>54</v>
      </c>
      <c r="E962" s="417" t="s">
        <v>3101</v>
      </c>
      <c r="F962" s="413">
        <v>39100.0</v>
      </c>
      <c r="G962" s="403"/>
      <c r="H962" s="349"/>
      <c r="I962" s="405"/>
      <c r="J962" s="405"/>
      <c r="K962" s="405"/>
      <c r="L962" s="405"/>
      <c r="M962" s="405"/>
      <c r="N962" s="405"/>
      <c r="O962" s="405"/>
      <c r="P962" s="405"/>
      <c r="Q962" s="405"/>
      <c r="R962" s="405"/>
      <c r="S962" s="405"/>
      <c r="T962" s="405"/>
      <c r="U962" s="405"/>
      <c r="V962" s="405"/>
      <c r="W962" s="405"/>
      <c r="X962" s="405"/>
      <c r="Y962" s="405"/>
      <c r="Z962" s="405"/>
    </row>
    <row r="963" ht="14.25" customHeight="1">
      <c r="A963" s="451">
        <v>45538.0</v>
      </c>
      <c r="B963" s="732" t="s">
        <v>3228</v>
      </c>
      <c r="C963" s="623" t="s">
        <v>2302</v>
      </c>
      <c r="D963" s="732" t="s">
        <v>75</v>
      </c>
      <c r="E963" s="417" t="s">
        <v>3101</v>
      </c>
      <c r="F963" s="413">
        <v>46650.0</v>
      </c>
      <c r="G963" s="413"/>
      <c r="H963" s="349"/>
      <c r="I963" s="405"/>
      <c r="J963" s="405"/>
      <c r="K963" s="405"/>
      <c r="L963" s="405"/>
      <c r="M963" s="405"/>
      <c r="N963" s="405"/>
      <c r="O963" s="405"/>
      <c r="P963" s="405"/>
      <c r="Q963" s="405"/>
      <c r="R963" s="405"/>
      <c r="S963" s="405"/>
      <c r="T963" s="405"/>
      <c r="U963" s="405"/>
      <c r="V963" s="405"/>
      <c r="W963" s="405"/>
      <c r="X963" s="405"/>
      <c r="Y963" s="405"/>
      <c r="Z963" s="405"/>
    </row>
    <row r="964" ht="14.25" customHeight="1">
      <c r="A964" s="451">
        <v>45538.0</v>
      </c>
      <c r="B964" s="349" t="s">
        <v>3522</v>
      </c>
      <c r="C964" s="623" t="s">
        <v>3523</v>
      </c>
      <c r="D964" s="417" t="s">
        <v>54</v>
      </c>
      <c r="E964" s="750" t="s">
        <v>3512</v>
      </c>
      <c r="F964" s="413">
        <v>28500.0</v>
      </c>
      <c r="G964" s="413"/>
      <c r="H964" s="349"/>
      <c r="I964" s="405"/>
      <c r="J964" s="405"/>
      <c r="K964" s="405"/>
      <c r="L964" s="405"/>
      <c r="M964" s="405"/>
      <c r="N964" s="405"/>
      <c r="O964" s="405"/>
      <c r="P964" s="405"/>
      <c r="Q964" s="405"/>
      <c r="R964" s="405"/>
      <c r="S964" s="405"/>
      <c r="T964" s="405"/>
      <c r="U964" s="405"/>
      <c r="V964" s="405"/>
      <c r="W964" s="405"/>
      <c r="X964" s="405"/>
      <c r="Y964" s="405"/>
      <c r="Z964" s="405"/>
    </row>
    <row r="965" ht="14.25" customHeight="1">
      <c r="A965" s="451">
        <v>45538.0</v>
      </c>
      <c r="B965" s="349" t="s">
        <v>3182</v>
      </c>
      <c r="C965" s="349" t="s">
        <v>3117</v>
      </c>
      <c r="D965" s="417" t="s">
        <v>467</v>
      </c>
      <c r="E965" s="417" t="s">
        <v>3101</v>
      </c>
      <c r="F965" s="413">
        <v>6600.0</v>
      </c>
      <c r="G965" s="403"/>
      <c r="H965" s="349"/>
      <c r="I965" s="405"/>
      <c r="J965" s="405"/>
      <c r="K965" s="405"/>
      <c r="L965" s="405"/>
      <c r="M965" s="405"/>
      <c r="N965" s="405"/>
      <c r="O965" s="405"/>
      <c r="P965" s="405"/>
      <c r="Q965" s="405"/>
      <c r="R965" s="405"/>
      <c r="S965" s="405"/>
      <c r="T965" s="405"/>
      <c r="U965" s="405"/>
      <c r="V965" s="405"/>
      <c r="W965" s="405"/>
      <c r="X965" s="405"/>
      <c r="Y965" s="405"/>
      <c r="Z965" s="405"/>
    </row>
    <row r="966" ht="14.25" customHeight="1">
      <c r="A966" s="451">
        <v>45538.0</v>
      </c>
      <c r="B966" s="623" t="s">
        <v>3180</v>
      </c>
      <c r="C966" s="349" t="s">
        <v>3117</v>
      </c>
      <c r="D966" s="417" t="s">
        <v>54</v>
      </c>
      <c r="E966" s="417" t="s">
        <v>3101</v>
      </c>
      <c r="F966" s="413">
        <v>18633.0</v>
      </c>
      <c r="G966" s="403"/>
      <c r="H966" s="349"/>
      <c r="I966" s="405"/>
      <c r="J966" s="405"/>
      <c r="K966" s="405"/>
      <c r="L966" s="405"/>
      <c r="M966" s="405"/>
      <c r="N966" s="405"/>
      <c r="O966" s="405"/>
      <c r="P966" s="405"/>
      <c r="Q966" s="405"/>
      <c r="R966" s="405"/>
      <c r="S966" s="405"/>
      <c r="T966" s="405"/>
      <c r="U966" s="405"/>
      <c r="V966" s="405"/>
      <c r="W966" s="405"/>
      <c r="X966" s="405"/>
      <c r="Y966" s="405"/>
      <c r="Z966" s="405"/>
    </row>
    <row r="967" ht="14.25" customHeight="1">
      <c r="A967" s="451">
        <v>45538.0</v>
      </c>
      <c r="B967" s="349" t="s">
        <v>3208</v>
      </c>
      <c r="C967" s="349" t="s">
        <v>3209</v>
      </c>
      <c r="D967" s="417" t="s">
        <v>54</v>
      </c>
      <c r="E967" s="417" t="s">
        <v>3101</v>
      </c>
      <c r="F967" s="413">
        <v>37517.0</v>
      </c>
      <c r="G967" s="413"/>
      <c r="H967" s="402"/>
      <c r="I967" s="405"/>
      <c r="J967" s="405"/>
      <c r="K967" s="405"/>
      <c r="L967" s="405"/>
      <c r="M967" s="405"/>
      <c r="N967" s="405"/>
      <c r="O967" s="405"/>
      <c r="P967" s="405"/>
      <c r="Q967" s="405"/>
      <c r="R967" s="405"/>
      <c r="S967" s="405"/>
      <c r="T967" s="405"/>
      <c r="U967" s="405"/>
      <c r="V967" s="405"/>
      <c r="W967" s="405"/>
      <c r="X967" s="405"/>
      <c r="Y967" s="405"/>
      <c r="Z967" s="405"/>
    </row>
    <row r="968" ht="14.25" customHeight="1">
      <c r="A968" s="451">
        <v>45538.0</v>
      </c>
      <c r="B968" s="349" t="s">
        <v>3542</v>
      </c>
      <c r="C968" s="349" t="s">
        <v>3543</v>
      </c>
      <c r="D968" s="417" t="s">
        <v>54</v>
      </c>
      <c r="E968" s="417" t="s">
        <v>3101</v>
      </c>
      <c r="F968" s="413">
        <v>1600.0</v>
      </c>
      <c r="G968" s="403"/>
      <c r="H968" s="402"/>
      <c r="I968" s="405"/>
      <c r="J968" s="405"/>
      <c r="K968" s="405"/>
      <c r="L968" s="405"/>
      <c r="M968" s="405"/>
      <c r="N968" s="405"/>
      <c r="O968" s="405"/>
      <c r="P968" s="405"/>
      <c r="Q968" s="405"/>
      <c r="R968" s="405"/>
      <c r="S968" s="405"/>
      <c r="T968" s="405"/>
      <c r="U968" s="405"/>
      <c r="V968" s="405"/>
      <c r="W968" s="405"/>
      <c r="X968" s="405"/>
      <c r="Y968" s="405"/>
      <c r="Z968" s="405"/>
    </row>
    <row r="969" ht="14.25" customHeight="1">
      <c r="A969" s="405"/>
      <c r="B969" s="405"/>
      <c r="C969" s="405"/>
      <c r="D969" s="405"/>
      <c r="E969" s="405"/>
      <c r="F969" s="583"/>
      <c r="G969" s="583"/>
      <c r="H969" s="405"/>
      <c r="I969" s="405"/>
      <c r="J969" s="405"/>
      <c r="K969" s="405"/>
      <c r="L969" s="405"/>
      <c r="M969" s="405"/>
      <c r="N969" s="405"/>
      <c r="O969" s="405"/>
      <c r="P969" s="405"/>
      <c r="Q969" s="405"/>
      <c r="R969" s="405"/>
      <c r="S969" s="405"/>
      <c r="T969" s="405"/>
      <c r="U969" s="405"/>
      <c r="V969" s="405"/>
      <c r="W969" s="405"/>
      <c r="X969" s="405"/>
      <c r="Y969" s="405"/>
      <c r="Z969" s="405"/>
    </row>
    <row r="970" ht="14.25" customHeight="1">
      <c r="A970" s="405"/>
      <c r="B970" s="405"/>
      <c r="C970" s="405"/>
      <c r="D970" s="405"/>
      <c r="E970" s="405"/>
      <c r="F970" s="583"/>
      <c r="G970" s="583"/>
      <c r="H970" s="405"/>
      <c r="I970" s="405"/>
      <c r="J970" s="405"/>
      <c r="K970" s="405"/>
      <c r="L970" s="405"/>
      <c r="M970" s="405"/>
      <c r="N970" s="405"/>
      <c r="O970" s="405"/>
      <c r="P970" s="405"/>
      <c r="Q970" s="405"/>
      <c r="R970" s="405"/>
      <c r="S970" s="405"/>
      <c r="T970" s="405"/>
      <c r="U970" s="405"/>
      <c r="V970" s="405"/>
      <c r="W970" s="405"/>
      <c r="X970" s="405"/>
      <c r="Y970" s="405"/>
      <c r="Z970" s="405"/>
    </row>
    <row r="971" ht="14.25" customHeight="1">
      <c r="A971" s="405"/>
      <c r="B971" s="405"/>
      <c r="C971" s="405"/>
      <c r="D971" s="405"/>
      <c r="E971" s="405"/>
      <c r="F971" s="583"/>
      <c r="G971" s="583"/>
      <c r="H971" s="405"/>
      <c r="I971" s="405"/>
      <c r="J971" s="405"/>
      <c r="K971" s="405"/>
      <c r="L971" s="405"/>
      <c r="M971" s="405"/>
      <c r="N971" s="405"/>
      <c r="O971" s="405"/>
      <c r="P971" s="405"/>
      <c r="Q971" s="405"/>
      <c r="R971" s="405"/>
      <c r="S971" s="405"/>
      <c r="T971" s="405"/>
      <c r="U971" s="405"/>
      <c r="V971" s="405"/>
      <c r="W971" s="405"/>
      <c r="X971" s="405"/>
      <c r="Y971" s="405"/>
      <c r="Z971" s="405"/>
    </row>
    <row r="972" ht="14.25" customHeight="1">
      <c r="A972" s="405"/>
      <c r="B972" s="405"/>
      <c r="C972" s="405"/>
      <c r="D972" s="405"/>
      <c r="E972" s="405"/>
      <c r="F972" s="583"/>
      <c r="G972" s="583"/>
      <c r="H972" s="405"/>
      <c r="I972" s="405"/>
      <c r="J972" s="405"/>
      <c r="K972" s="405"/>
      <c r="L972" s="405"/>
      <c r="M972" s="405"/>
      <c r="N972" s="405"/>
      <c r="O972" s="405"/>
      <c r="P972" s="405"/>
      <c r="Q972" s="405"/>
      <c r="R972" s="405"/>
      <c r="S972" s="405"/>
      <c r="T972" s="405"/>
      <c r="U972" s="405"/>
      <c r="V972" s="405"/>
      <c r="W972" s="405"/>
      <c r="X972" s="405"/>
      <c r="Y972" s="405"/>
      <c r="Z972" s="405"/>
    </row>
    <row r="973" ht="14.25" customHeight="1">
      <c r="A973" s="405"/>
      <c r="B973" s="405"/>
      <c r="C973" s="405"/>
      <c r="D973" s="405"/>
      <c r="E973" s="405"/>
      <c r="F973" s="583"/>
      <c r="G973" s="583"/>
      <c r="H973" s="405"/>
      <c r="I973" s="405"/>
      <c r="J973" s="405"/>
      <c r="K973" s="405"/>
      <c r="L973" s="405"/>
      <c r="M973" s="405"/>
      <c r="N973" s="405"/>
      <c r="O973" s="405"/>
      <c r="P973" s="405"/>
      <c r="Q973" s="405"/>
      <c r="R973" s="405"/>
      <c r="S973" s="405"/>
      <c r="T973" s="405"/>
      <c r="U973" s="405"/>
      <c r="V973" s="405"/>
      <c r="W973" s="405"/>
      <c r="X973" s="405"/>
      <c r="Y973" s="405"/>
      <c r="Z973" s="405"/>
    </row>
    <row r="974" ht="14.25" customHeight="1">
      <c r="A974" s="405"/>
      <c r="B974" s="405"/>
      <c r="C974" s="405"/>
      <c r="D974" s="405"/>
      <c r="E974" s="405"/>
      <c r="F974" s="583"/>
      <c r="G974" s="583"/>
      <c r="H974" s="405"/>
      <c r="I974" s="405"/>
      <c r="J974" s="405"/>
      <c r="K974" s="405"/>
      <c r="L974" s="405"/>
      <c r="M974" s="405"/>
      <c r="N974" s="405"/>
      <c r="O974" s="405"/>
      <c r="P974" s="405"/>
      <c r="Q974" s="405"/>
      <c r="R974" s="405"/>
      <c r="S974" s="405"/>
      <c r="T974" s="405"/>
      <c r="U974" s="405"/>
      <c r="V974" s="405"/>
      <c r="W974" s="405"/>
      <c r="X974" s="405"/>
      <c r="Y974" s="405"/>
      <c r="Z974" s="405"/>
    </row>
    <row r="975" ht="14.25" customHeight="1">
      <c r="A975" s="405"/>
      <c r="B975" s="405"/>
      <c r="C975" s="405"/>
      <c r="D975" s="405"/>
      <c r="E975" s="405"/>
      <c r="F975" s="583"/>
      <c r="G975" s="583"/>
      <c r="H975" s="405"/>
      <c r="I975" s="405"/>
      <c r="J975" s="405"/>
      <c r="K975" s="405"/>
      <c r="L975" s="405"/>
      <c r="M975" s="405"/>
      <c r="N975" s="405"/>
      <c r="O975" s="405"/>
      <c r="P975" s="405"/>
      <c r="Q975" s="405"/>
      <c r="R975" s="405"/>
      <c r="S975" s="405"/>
      <c r="T975" s="405"/>
      <c r="U975" s="405"/>
      <c r="V975" s="405"/>
      <c r="W975" s="405"/>
      <c r="X975" s="405"/>
      <c r="Y975" s="405"/>
      <c r="Z975" s="405"/>
    </row>
    <row r="976" ht="14.25" customHeight="1">
      <c r="A976" s="405"/>
      <c r="B976" s="405"/>
      <c r="C976" s="405"/>
      <c r="D976" s="405"/>
      <c r="E976" s="405"/>
      <c r="F976" s="583"/>
      <c r="G976" s="583"/>
      <c r="H976" s="405"/>
      <c r="I976" s="405"/>
      <c r="J976" s="405"/>
      <c r="K976" s="405"/>
      <c r="L976" s="405"/>
      <c r="M976" s="405"/>
      <c r="N976" s="405"/>
      <c r="O976" s="405"/>
      <c r="P976" s="405"/>
      <c r="Q976" s="405"/>
      <c r="R976" s="405"/>
      <c r="S976" s="405"/>
      <c r="T976" s="405"/>
      <c r="U976" s="405"/>
      <c r="V976" s="405"/>
      <c r="W976" s="405"/>
      <c r="X976" s="405"/>
      <c r="Y976" s="405"/>
      <c r="Z976" s="405"/>
    </row>
    <row r="977" ht="14.25" customHeight="1">
      <c r="A977" s="405"/>
      <c r="B977" s="405"/>
      <c r="C977" s="405"/>
      <c r="D977" s="405"/>
      <c r="E977" s="405"/>
      <c r="F977" s="583"/>
      <c r="G977" s="583"/>
      <c r="H977" s="405"/>
      <c r="I977" s="405"/>
      <c r="J977" s="405"/>
      <c r="K977" s="405"/>
      <c r="L977" s="405"/>
      <c r="M977" s="405"/>
      <c r="N977" s="405"/>
      <c r="O977" s="405"/>
      <c r="P977" s="405"/>
      <c r="Q977" s="405"/>
      <c r="R977" s="405"/>
      <c r="S977" s="405"/>
      <c r="T977" s="405"/>
      <c r="U977" s="405"/>
      <c r="V977" s="405"/>
      <c r="W977" s="405"/>
      <c r="X977" s="405"/>
      <c r="Y977" s="405"/>
      <c r="Z977" s="405"/>
    </row>
    <row r="978" ht="14.25" customHeight="1">
      <c r="A978" s="405"/>
      <c r="B978" s="405"/>
      <c r="C978" s="405"/>
      <c r="D978" s="405"/>
      <c r="E978" s="405"/>
      <c r="F978" s="583"/>
      <c r="G978" s="583"/>
      <c r="H978" s="405"/>
      <c r="I978" s="405"/>
      <c r="J978" s="405"/>
      <c r="K978" s="405"/>
      <c r="L978" s="405"/>
      <c r="M978" s="405"/>
      <c r="N978" s="405"/>
      <c r="O978" s="405"/>
      <c r="P978" s="405"/>
      <c r="Q978" s="405"/>
      <c r="R978" s="405"/>
      <c r="S978" s="405"/>
      <c r="T978" s="405"/>
      <c r="U978" s="405"/>
      <c r="V978" s="405"/>
      <c r="W978" s="405"/>
      <c r="X978" s="405"/>
      <c r="Y978" s="405"/>
      <c r="Z978" s="405"/>
    </row>
    <row r="979" ht="14.25" customHeight="1">
      <c r="A979" s="405"/>
      <c r="B979" s="405"/>
      <c r="C979" s="405"/>
      <c r="D979" s="405"/>
      <c r="E979" s="405"/>
      <c r="F979" s="583"/>
      <c r="G979" s="583"/>
      <c r="H979" s="405"/>
      <c r="I979" s="405"/>
      <c r="J979" s="405"/>
      <c r="K979" s="405"/>
      <c r="L979" s="405"/>
      <c r="M979" s="405"/>
      <c r="N979" s="405"/>
      <c r="O979" s="405"/>
      <c r="P979" s="405"/>
      <c r="Q979" s="405"/>
      <c r="R979" s="405"/>
      <c r="S979" s="405"/>
      <c r="T979" s="405"/>
      <c r="U979" s="405"/>
      <c r="V979" s="405"/>
      <c r="W979" s="405"/>
      <c r="X979" s="405"/>
      <c r="Y979" s="405"/>
      <c r="Z979" s="405"/>
    </row>
    <row r="980" ht="14.25" customHeight="1">
      <c r="A980" s="405"/>
      <c r="B980" s="405"/>
      <c r="C980" s="405"/>
      <c r="D980" s="405"/>
      <c r="E980" s="405"/>
      <c r="F980" s="583"/>
      <c r="G980" s="583"/>
      <c r="H980" s="405"/>
      <c r="I980" s="405"/>
      <c r="J980" s="405"/>
      <c r="K980" s="405"/>
      <c r="L980" s="405"/>
      <c r="M980" s="405"/>
      <c r="N980" s="405"/>
      <c r="O980" s="405"/>
      <c r="P980" s="405"/>
      <c r="Q980" s="405"/>
      <c r="R980" s="405"/>
      <c r="S980" s="405"/>
      <c r="T980" s="405"/>
      <c r="U980" s="405"/>
      <c r="V980" s="405"/>
      <c r="W980" s="405"/>
      <c r="X980" s="405"/>
      <c r="Y980" s="405"/>
      <c r="Z980" s="405"/>
    </row>
    <row r="981" ht="14.25" customHeight="1">
      <c r="A981" s="405"/>
      <c r="B981" s="405"/>
      <c r="C981" s="405"/>
      <c r="D981" s="405"/>
      <c r="E981" s="405"/>
      <c r="F981" s="583"/>
      <c r="G981" s="583"/>
      <c r="H981" s="405"/>
      <c r="I981" s="405"/>
      <c r="J981" s="405"/>
      <c r="K981" s="405"/>
      <c r="L981" s="405"/>
      <c r="M981" s="405"/>
      <c r="N981" s="405"/>
      <c r="O981" s="405"/>
      <c r="P981" s="405"/>
      <c r="Q981" s="405"/>
      <c r="R981" s="405"/>
      <c r="S981" s="405"/>
      <c r="T981" s="405"/>
      <c r="U981" s="405"/>
      <c r="V981" s="405"/>
      <c r="W981" s="405"/>
      <c r="X981" s="405"/>
      <c r="Y981" s="405"/>
      <c r="Z981" s="405"/>
    </row>
    <row r="982" ht="14.25" customHeight="1">
      <c r="A982" s="405"/>
      <c r="B982" s="405"/>
      <c r="C982" s="405"/>
      <c r="D982" s="405"/>
      <c r="E982" s="405"/>
      <c r="F982" s="583"/>
      <c r="G982" s="583"/>
      <c r="H982" s="405"/>
      <c r="I982" s="405"/>
      <c r="J982" s="405"/>
      <c r="K982" s="405"/>
      <c r="L982" s="405"/>
      <c r="M982" s="405"/>
      <c r="N982" s="405"/>
      <c r="O982" s="405"/>
      <c r="P982" s="405"/>
      <c r="Q982" s="405"/>
      <c r="R982" s="405"/>
      <c r="S982" s="405"/>
      <c r="T982" s="405"/>
      <c r="U982" s="405"/>
      <c r="V982" s="405"/>
      <c r="W982" s="405"/>
      <c r="X982" s="405"/>
      <c r="Y982" s="405"/>
      <c r="Z982" s="405"/>
    </row>
    <row r="983" ht="14.25" customHeight="1">
      <c r="A983" s="405"/>
      <c r="B983" s="405"/>
      <c r="C983" s="405"/>
      <c r="D983" s="405"/>
      <c r="E983" s="405"/>
      <c r="F983" s="583"/>
      <c r="G983" s="583"/>
      <c r="H983" s="405"/>
      <c r="I983" s="405"/>
      <c r="J983" s="405"/>
      <c r="K983" s="405"/>
      <c r="L983" s="405"/>
      <c r="M983" s="405"/>
      <c r="N983" s="405"/>
      <c r="O983" s="405"/>
      <c r="P983" s="405"/>
      <c r="Q983" s="405"/>
      <c r="R983" s="405"/>
      <c r="S983" s="405"/>
      <c r="T983" s="405"/>
      <c r="U983" s="405"/>
      <c r="V983" s="405"/>
      <c r="W983" s="405"/>
      <c r="X983" s="405"/>
      <c r="Y983" s="405"/>
      <c r="Z983" s="405"/>
    </row>
    <row r="984" ht="14.25" customHeight="1">
      <c r="A984" s="405"/>
      <c r="B984" s="405"/>
      <c r="C984" s="405"/>
      <c r="D984" s="405"/>
      <c r="E984" s="405"/>
      <c r="F984" s="583"/>
      <c r="G984" s="583"/>
      <c r="H984" s="405"/>
      <c r="I984" s="405"/>
      <c r="J984" s="405"/>
      <c r="K984" s="405"/>
      <c r="L984" s="405"/>
      <c r="M984" s="405"/>
      <c r="N984" s="405"/>
      <c r="O984" s="405"/>
      <c r="P984" s="405"/>
      <c r="Q984" s="405"/>
      <c r="R984" s="405"/>
      <c r="S984" s="405"/>
      <c r="T984" s="405"/>
      <c r="U984" s="405"/>
      <c r="V984" s="405"/>
      <c r="W984" s="405"/>
      <c r="X984" s="405"/>
      <c r="Y984" s="405"/>
      <c r="Z984" s="405"/>
    </row>
    <row r="985" ht="14.25" customHeight="1">
      <c r="A985" s="405"/>
      <c r="B985" s="405"/>
      <c r="C985" s="405"/>
      <c r="D985" s="405"/>
      <c r="E985" s="405"/>
      <c r="F985" s="583"/>
      <c r="G985" s="583"/>
      <c r="H985" s="405"/>
      <c r="I985" s="405"/>
      <c r="J985" s="405"/>
      <c r="K985" s="405"/>
      <c r="L985" s="405"/>
      <c r="M985" s="405"/>
      <c r="N985" s="405"/>
      <c r="O985" s="405"/>
      <c r="P985" s="405"/>
      <c r="Q985" s="405"/>
      <c r="R985" s="405"/>
      <c r="S985" s="405"/>
      <c r="T985" s="405"/>
      <c r="U985" s="405"/>
      <c r="V985" s="405"/>
      <c r="W985" s="405"/>
      <c r="X985" s="405"/>
      <c r="Y985" s="405"/>
      <c r="Z985" s="405"/>
    </row>
    <row r="986" ht="14.25" customHeight="1">
      <c r="A986" s="405"/>
      <c r="B986" s="405"/>
      <c r="C986" s="405"/>
      <c r="D986" s="405"/>
      <c r="E986" s="405"/>
      <c r="F986" s="583"/>
      <c r="G986" s="583"/>
      <c r="H986" s="405"/>
      <c r="I986" s="405"/>
      <c r="J986" s="405"/>
      <c r="K986" s="405"/>
      <c r="L986" s="405"/>
      <c r="M986" s="405"/>
      <c r="N986" s="405"/>
      <c r="O986" s="405"/>
      <c r="P986" s="405"/>
      <c r="Q986" s="405"/>
      <c r="R986" s="405"/>
      <c r="S986" s="405"/>
      <c r="T986" s="405"/>
      <c r="U986" s="405"/>
      <c r="V986" s="405"/>
      <c r="W986" s="405"/>
      <c r="X986" s="405"/>
      <c r="Y986" s="405"/>
      <c r="Z986" s="405"/>
    </row>
    <row r="987" ht="14.25" customHeight="1">
      <c r="A987" s="405"/>
      <c r="B987" s="405"/>
      <c r="C987" s="405"/>
      <c r="D987" s="405"/>
      <c r="E987" s="405"/>
      <c r="F987" s="583"/>
      <c r="G987" s="583"/>
      <c r="H987" s="405"/>
      <c r="I987" s="405"/>
      <c r="J987" s="405"/>
      <c r="K987" s="405"/>
      <c r="L987" s="405"/>
      <c r="M987" s="405"/>
      <c r="N987" s="405"/>
      <c r="O987" s="405"/>
      <c r="P987" s="405"/>
      <c r="Q987" s="405"/>
      <c r="R987" s="405"/>
      <c r="S987" s="405"/>
      <c r="T987" s="405"/>
      <c r="U987" s="405"/>
      <c r="V987" s="405"/>
      <c r="W987" s="405"/>
      <c r="X987" s="405"/>
      <c r="Y987" s="405"/>
      <c r="Z987" s="405"/>
    </row>
    <row r="988" ht="14.25" customHeight="1">
      <c r="A988" s="405"/>
      <c r="B988" s="405"/>
      <c r="C988" s="405"/>
      <c r="D988" s="405"/>
      <c r="E988" s="405"/>
      <c r="F988" s="583"/>
      <c r="G988" s="583"/>
      <c r="H988" s="405"/>
      <c r="I988" s="405"/>
      <c r="J988" s="405"/>
      <c r="K988" s="405"/>
      <c r="L988" s="405"/>
      <c r="M988" s="405"/>
      <c r="N988" s="405"/>
      <c r="O988" s="405"/>
      <c r="P988" s="405"/>
      <c r="Q988" s="405"/>
      <c r="R988" s="405"/>
      <c r="S988" s="405"/>
      <c r="T988" s="405"/>
      <c r="U988" s="405"/>
      <c r="V988" s="405"/>
      <c r="W988" s="405"/>
      <c r="X988" s="405"/>
      <c r="Y988" s="405"/>
      <c r="Z988" s="405"/>
    </row>
    <row r="989" ht="14.25" customHeight="1">
      <c r="A989" s="405"/>
      <c r="B989" s="405"/>
      <c r="C989" s="405"/>
      <c r="D989" s="405"/>
      <c r="E989" s="405"/>
      <c r="F989" s="583"/>
      <c r="G989" s="583"/>
      <c r="H989" s="405"/>
      <c r="I989" s="405"/>
      <c r="J989" s="405"/>
      <c r="K989" s="405"/>
      <c r="L989" s="405"/>
      <c r="M989" s="405"/>
      <c r="N989" s="405"/>
      <c r="O989" s="405"/>
      <c r="P989" s="405"/>
      <c r="Q989" s="405"/>
      <c r="R989" s="405"/>
      <c r="S989" s="405"/>
      <c r="T989" s="405"/>
      <c r="U989" s="405"/>
      <c r="V989" s="405"/>
      <c r="W989" s="405"/>
      <c r="X989" s="405"/>
      <c r="Y989" s="405"/>
      <c r="Z989" s="405"/>
    </row>
    <row r="990" ht="14.25" customHeight="1">
      <c r="A990" s="405"/>
      <c r="B990" s="405"/>
      <c r="C990" s="405"/>
      <c r="D990" s="405"/>
      <c r="E990" s="405"/>
      <c r="F990" s="583"/>
      <c r="G990" s="583"/>
      <c r="H990" s="405"/>
      <c r="I990" s="405"/>
      <c r="J990" s="405"/>
      <c r="K990" s="405"/>
      <c r="L990" s="405"/>
      <c r="M990" s="405"/>
      <c r="N990" s="405"/>
      <c r="O990" s="405"/>
      <c r="P990" s="405"/>
      <c r="Q990" s="405"/>
      <c r="R990" s="405"/>
      <c r="S990" s="405"/>
      <c r="T990" s="405"/>
      <c r="U990" s="405"/>
      <c r="V990" s="405"/>
      <c r="W990" s="405"/>
      <c r="X990" s="405"/>
      <c r="Y990" s="405"/>
      <c r="Z990" s="405"/>
    </row>
    <row r="991" ht="14.25" customHeight="1">
      <c r="A991" s="405"/>
      <c r="B991" s="405"/>
      <c r="C991" s="405"/>
      <c r="D991" s="405"/>
      <c r="E991" s="405"/>
      <c r="F991" s="583"/>
      <c r="G991" s="583"/>
      <c r="H991" s="405"/>
      <c r="I991" s="405"/>
      <c r="J991" s="405"/>
      <c r="K991" s="405"/>
      <c r="L991" s="405"/>
      <c r="M991" s="405"/>
      <c r="N991" s="405"/>
      <c r="O991" s="405"/>
      <c r="P991" s="405"/>
      <c r="Q991" s="405"/>
      <c r="R991" s="405"/>
      <c r="S991" s="405"/>
      <c r="T991" s="405"/>
      <c r="U991" s="405"/>
      <c r="V991" s="405"/>
      <c r="W991" s="405"/>
      <c r="X991" s="405"/>
      <c r="Y991" s="405"/>
      <c r="Z991" s="405"/>
    </row>
    <row r="992" ht="14.25" customHeight="1">
      <c r="A992" s="405"/>
      <c r="B992" s="405"/>
      <c r="C992" s="405"/>
      <c r="D992" s="405"/>
      <c r="E992" s="405"/>
      <c r="F992" s="583"/>
      <c r="G992" s="583"/>
      <c r="H992" s="405"/>
      <c r="I992" s="405"/>
      <c r="J992" s="405"/>
      <c r="K992" s="405"/>
      <c r="L992" s="405"/>
      <c r="M992" s="405"/>
      <c r="N992" s="405"/>
      <c r="O992" s="405"/>
      <c r="P992" s="405"/>
      <c r="Q992" s="405"/>
      <c r="R992" s="405"/>
      <c r="S992" s="405"/>
      <c r="T992" s="405"/>
      <c r="U992" s="405"/>
      <c r="V992" s="405"/>
      <c r="W992" s="405"/>
      <c r="X992" s="405"/>
      <c r="Y992" s="405"/>
      <c r="Z992" s="405"/>
    </row>
    <row r="993" ht="14.25" customHeight="1">
      <c r="A993" s="405"/>
      <c r="B993" s="405"/>
      <c r="C993" s="405"/>
      <c r="D993" s="405"/>
      <c r="E993" s="405"/>
      <c r="F993" s="583"/>
      <c r="G993" s="583"/>
      <c r="H993" s="405"/>
      <c r="I993" s="405"/>
      <c r="J993" s="405"/>
      <c r="K993" s="405"/>
      <c r="L993" s="405"/>
      <c r="M993" s="405"/>
      <c r="N993" s="405"/>
      <c r="O993" s="405"/>
      <c r="P993" s="405"/>
      <c r="Q993" s="405"/>
      <c r="R993" s="405"/>
      <c r="S993" s="405"/>
      <c r="T993" s="405"/>
      <c r="U993" s="405"/>
      <c r="V993" s="405"/>
      <c r="W993" s="405"/>
      <c r="X993" s="405"/>
      <c r="Y993" s="405"/>
      <c r="Z993" s="405"/>
    </row>
    <row r="994" ht="14.25" customHeight="1">
      <c r="A994" s="405"/>
      <c r="B994" s="405"/>
      <c r="C994" s="405"/>
      <c r="D994" s="405"/>
      <c r="E994" s="405"/>
      <c r="F994" s="583"/>
      <c r="G994" s="583"/>
      <c r="H994" s="405"/>
      <c r="I994" s="405"/>
      <c r="J994" s="405"/>
      <c r="K994" s="405"/>
      <c r="L994" s="405"/>
      <c r="M994" s="405"/>
      <c r="N994" s="405"/>
      <c r="O994" s="405"/>
      <c r="P994" s="405"/>
      <c r="Q994" s="405"/>
      <c r="R994" s="405"/>
      <c r="S994" s="405"/>
      <c r="T994" s="405"/>
      <c r="U994" s="405"/>
      <c r="V994" s="405"/>
      <c r="W994" s="405"/>
      <c r="X994" s="405"/>
      <c r="Y994" s="405"/>
      <c r="Z994" s="405"/>
    </row>
    <row r="995" ht="14.25" customHeight="1">
      <c r="A995" s="405"/>
      <c r="B995" s="405"/>
      <c r="C995" s="405"/>
      <c r="D995" s="405"/>
      <c r="E995" s="405"/>
      <c r="F995" s="583"/>
      <c r="G995" s="583"/>
      <c r="H995" s="405"/>
      <c r="I995" s="405"/>
      <c r="J995" s="405"/>
      <c r="K995" s="405"/>
      <c r="L995" s="405"/>
      <c r="M995" s="405"/>
      <c r="N995" s="405"/>
      <c r="O995" s="405"/>
      <c r="P995" s="405"/>
      <c r="Q995" s="405"/>
      <c r="R995" s="405"/>
      <c r="S995" s="405"/>
      <c r="T995" s="405"/>
      <c r="U995" s="405"/>
      <c r="V995" s="405"/>
      <c r="W995" s="405"/>
      <c r="X995" s="405"/>
      <c r="Y995" s="405"/>
      <c r="Z995" s="405"/>
    </row>
    <row r="996" ht="14.25" customHeight="1">
      <c r="A996" s="405"/>
      <c r="B996" s="405"/>
      <c r="C996" s="405"/>
      <c r="D996" s="405"/>
      <c r="E996" s="405"/>
      <c r="F996" s="583"/>
      <c r="G996" s="583"/>
      <c r="H996" s="405"/>
      <c r="I996" s="405"/>
      <c r="J996" s="405"/>
      <c r="K996" s="405"/>
      <c r="L996" s="405"/>
      <c r="M996" s="405"/>
      <c r="N996" s="405"/>
      <c r="O996" s="405"/>
      <c r="P996" s="405"/>
      <c r="Q996" s="405"/>
      <c r="R996" s="405"/>
      <c r="S996" s="405"/>
      <c r="T996" s="405"/>
      <c r="U996" s="405"/>
      <c r="V996" s="405"/>
      <c r="W996" s="405"/>
      <c r="X996" s="405"/>
      <c r="Y996" s="405"/>
      <c r="Z996" s="405"/>
    </row>
    <row r="997" ht="14.25" customHeight="1">
      <c r="A997" s="405"/>
      <c r="B997" s="405"/>
      <c r="C997" s="405"/>
      <c r="D997" s="405"/>
      <c r="E997" s="405"/>
      <c r="F997" s="583"/>
      <c r="G997" s="583"/>
      <c r="H997" s="405"/>
      <c r="I997" s="405"/>
      <c r="J997" s="405"/>
      <c r="K997" s="405"/>
      <c r="L997" s="405"/>
      <c r="M997" s="405"/>
      <c r="N997" s="405"/>
      <c r="O997" s="405"/>
      <c r="P997" s="405"/>
      <c r="Q997" s="405"/>
      <c r="R997" s="405"/>
      <c r="S997" s="405"/>
      <c r="T997" s="405"/>
      <c r="U997" s="405"/>
      <c r="V997" s="405"/>
      <c r="W997" s="405"/>
      <c r="X997" s="405"/>
      <c r="Y997" s="405"/>
      <c r="Z997" s="405"/>
    </row>
    <row r="998" ht="14.25" customHeight="1">
      <c r="A998" s="405"/>
      <c r="B998" s="405"/>
      <c r="C998" s="405"/>
      <c r="D998" s="405"/>
      <c r="E998" s="405"/>
      <c r="F998" s="583"/>
      <c r="G998" s="583"/>
      <c r="H998" s="405"/>
      <c r="I998" s="405"/>
      <c r="J998" s="405"/>
      <c r="K998" s="405"/>
      <c r="L998" s="405"/>
      <c r="M998" s="405"/>
      <c r="N998" s="405"/>
      <c r="O998" s="405"/>
      <c r="P998" s="405"/>
      <c r="Q998" s="405"/>
      <c r="R998" s="405"/>
      <c r="S998" s="405"/>
      <c r="T998" s="405"/>
      <c r="U998" s="405"/>
      <c r="V998" s="405"/>
      <c r="W998" s="405"/>
      <c r="X998" s="405"/>
      <c r="Y998" s="405"/>
      <c r="Z998" s="405"/>
    </row>
    <row r="999" ht="14.25" customHeight="1">
      <c r="A999" s="405"/>
      <c r="B999" s="405"/>
      <c r="C999" s="405"/>
      <c r="D999" s="405"/>
      <c r="E999" s="405"/>
      <c r="F999" s="583"/>
      <c r="G999" s="583"/>
      <c r="H999" s="405"/>
      <c r="I999" s="405"/>
      <c r="J999" s="405"/>
      <c r="K999" s="405"/>
      <c r="L999" s="405"/>
      <c r="M999" s="405"/>
      <c r="N999" s="405"/>
      <c r="O999" s="405"/>
      <c r="P999" s="405"/>
      <c r="Q999" s="405"/>
      <c r="R999" s="405"/>
      <c r="S999" s="405"/>
      <c r="T999" s="405"/>
      <c r="U999" s="405"/>
      <c r="V999" s="405"/>
      <c r="W999" s="405"/>
      <c r="X999" s="405"/>
      <c r="Y999" s="405"/>
      <c r="Z999" s="405"/>
    </row>
    <row r="1000" ht="14.25" customHeight="1">
      <c r="A1000" s="405"/>
      <c r="B1000" s="405"/>
      <c r="C1000" s="405"/>
      <c r="D1000" s="405"/>
      <c r="E1000" s="405"/>
      <c r="F1000" s="583"/>
      <c r="G1000" s="583"/>
      <c r="H1000" s="405"/>
      <c r="I1000" s="405"/>
      <c r="J1000" s="405"/>
      <c r="K1000" s="405"/>
      <c r="L1000" s="405"/>
      <c r="M1000" s="405"/>
      <c r="N1000" s="405"/>
      <c r="O1000" s="405"/>
      <c r="P1000" s="405"/>
      <c r="Q1000" s="405"/>
      <c r="R1000" s="405"/>
      <c r="S1000" s="405"/>
      <c r="T1000" s="405"/>
      <c r="U1000" s="405"/>
      <c r="V1000" s="405"/>
      <c r="W1000" s="405"/>
      <c r="X1000" s="405"/>
      <c r="Y1000" s="405"/>
      <c r="Z1000" s="405"/>
    </row>
    <row r="1001" ht="14.25" customHeight="1">
      <c r="A1001" s="405"/>
      <c r="B1001" s="405"/>
      <c r="C1001" s="405"/>
      <c r="D1001" s="405"/>
      <c r="E1001" s="405"/>
      <c r="F1001" s="583"/>
      <c r="G1001" s="583"/>
      <c r="H1001" s="405"/>
      <c r="I1001" s="405"/>
      <c r="J1001" s="405"/>
      <c r="K1001" s="405"/>
      <c r="L1001" s="405"/>
      <c r="M1001" s="405"/>
      <c r="N1001" s="405"/>
      <c r="O1001" s="405"/>
      <c r="P1001" s="405"/>
      <c r="Q1001" s="405"/>
      <c r="R1001" s="405"/>
      <c r="S1001" s="405"/>
      <c r="T1001" s="405"/>
      <c r="U1001" s="405"/>
      <c r="V1001" s="405"/>
      <c r="W1001" s="405"/>
      <c r="X1001" s="405"/>
      <c r="Y1001" s="405"/>
      <c r="Z1001" s="405"/>
    </row>
    <row r="1002" ht="14.25" customHeight="1">
      <c r="A1002" s="405"/>
      <c r="B1002" s="405"/>
      <c r="C1002" s="405"/>
      <c r="D1002" s="405"/>
      <c r="E1002" s="405"/>
      <c r="F1002" s="583"/>
      <c r="G1002" s="583"/>
      <c r="H1002" s="405"/>
      <c r="I1002" s="405"/>
      <c r="J1002" s="405"/>
      <c r="K1002" s="405"/>
      <c r="L1002" s="405"/>
      <c r="M1002" s="405"/>
      <c r="N1002" s="405"/>
      <c r="O1002" s="405"/>
      <c r="P1002" s="405"/>
      <c r="Q1002" s="405"/>
      <c r="R1002" s="405"/>
      <c r="S1002" s="405"/>
      <c r="T1002" s="405"/>
      <c r="U1002" s="405"/>
      <c r="V1002" s="405"/>
      <c r="W1002" s="405"/>
      <c r="X1002" s="405"/>
      <c r="Y1002" s="405"/>
      <c r="Z1002" s="405"/>
    </row>
    <row r="1003" ht="14.25" customHeight="1">
      <c r="A1003" s="405"/>
      <c r="B1003" s="405"/>
      <c r="C1003" s="405"/>
      <c r="D1003" s="405"/>
      <c r="E1003" s="405"/>
      <c r="F1003" s="583"/>
      <c r="G1003" s="583"/>
      <c r="H1003" s="405"/>
      <c r="I1003" s="405"/>
      <c r="J1003" s="405"/>
      <c r="K1003" s="405"/>
      <c r="L1003" s="405"/>
      <c r="M1003" s="405"/>
      <c r="N1003" s="405"/>
      <c r="O1003" s="405"/>
      <c r="P1003" s="405"/>
      <c r="Q1003" s="405"/>
      <c r="R1003" s="405"/>
      <c r="S1003" s="405"/>
      <c r="T1003" s="405"/>
      <c r="U1003" s="405"/>
      <c r="V1003" s="405"/>
      <c r="W1003" s="405"/>
      <c r="X1003" s="405"/>
      <c r="Y1003" s="405"/>
      <c r="Z1003" s="405"/>
    </row>
    <row r="1004" ht="14.25" customHeight="1">
      <c r="A1004" s="405"/>
      <c r="B1004" s="405"/>
      <c r="C1004" s="405"/>
      <c r="D1004" s="405"/>
      <c r="E1004" s="405"/>
      <c r="F1004" s="583"/>
      <c r="G1004" s="583"/>
      <c r="H1004" s="405"/>
      <c r="I1004" s="405"/>
      <c r="J1004" s="405"/>
      <c r="K1004" s="405"/>
      <c r="L1004" s="405"/>
      <c r="M1004" s="405"/>
      <c r="N1004" s="405"/>
      <c r="O1004" s="405"/>
      <c r="P1004" s="405"/>
      <c r="Q1004" s="405"/>
      <c r="R1004" s="405"/>
      <c r="S1004" s="405"/>
      <c r="T1004" s="405"/>
      <c r="U1004" s="405"/>
      <c r="V1004" s="405"/>
      <c r="W1004" s="405"/>
      <c r="X1004" s="405"/>
      <c r="Y1004" s="405"/>
      <c r="Z1004" s="405"/>
    </row>
    <row r="1005" ht="14.25" customHeight="1">
      <c r="A1005" s="405"/>
      <c r="B1005" s="405"/>
      <c r="C1005" s="405"/>
      <c r="D1005" s="405"/>
      <c r="E1005" s="405"/>
      <c r="F1005" s="583"/>
      <c r="G1005" s="583"/>
      <c r="H1005" s="405"/>
      <c r="I1005" s="405"/>
      <c r="J1005" s="405"/>
      <c r="K1005" s="405"/>
      <c r="L1005" s="405"/>
      <c r="M1005" s="405"/>
      <c r="N1005" s="405"/>
      <c r="O1005" s="405"/>
      <c r="P1005" s="405"/>
      <c r="Q1005" s="405"/>
      <c r="R1005" s="405"/>
      <c r="S1005" s="405"/>
      <c r="T1005" s="405"/>
      <c r="U1005" s="405"/>
      <c r="V1005" s="405"/>
      <c r="W1005" s="405"/>
      <c r="X1005" s="405"/>
      <c r="Y1005" s="405"/>
      <c r="Z1005" s="405"/>
    </row>
    <row r="1006" ht="14.25" customHeight="1">
      <c r="A1006" s="405"/>
      <c r="B1006" s="405"/>
      <c r="C1006" s="405"/>
      <c r="D1006" s="405"/>
      <c r="E1006" s="405"/>
      <c r="F1006" s="583"/>
      <c r="G1006" s="583"/>
      <c r="H1006" s="405"/>
      <c r="I1006" s="405"/>
      <c r="J1006" s="405"/>
      <c r="K1006" s="405"/>
      <c r="L1006" s="405"/>
      <c r="M1006" s="405"/>
      <c r="N1006" s="405"/>
      <c r="O1006" s="405"/>
      <c r="P1006" s="405"/>
      <c r="Q1006" s="405"/>
      <c r="R1006" s="405"/>
      <c r="S1006" s="405"/>
      <c r="T1006" s="405"/>
      <c r="U1006" s="405"/>
      <c r="V1006" s="405"/>
      <c r="W1006" s="405"/>
      <c r="X1006" s="405"/>
      <c r="Y1006" s="405"/>
      <c r="Z1006" s="405"/>
    </row>
    <row r="1007" ht="14.25" customHeight="1">
      <c r="A1007" s="405"/>
      <c r="B1007" s="405"/>
      <c r="C1007" s="405"/>
      <c r="D1007" s="405"/>
      <c r="E1007" s="405"/>
      <c r="F1007" s="583"/>
      <c r="G1007" s="583"/>
      <c r="H1007" s="405"/>
      <c r="I1007" s="405"/>
      <c r="J1007" s="405"/>
      <c r="K1007" s="405"/>
      <c r="L1007" s="405"/>
      <c r="M1007" s="405"/>
      <c r="N1007" s="405"/>
      <c r="O1007" s="405"/>
      <c r="P1007" s="405"/>
      <c r="Q1007" s="405"/>
      <c r="R1007" s="405"/>
      <c r="S1007" s="405"/>
      <c r="T1007" s="405"/>
      <c r="U1007" s="405"/>
      <c r="V1007" s="405"/>
      <c r="W1007" s="405"/>
      <c r="X1007" s="405"/>
      <c r="Y1007" s="405"/>
      <c r="Z1007" s="405"/>
    </row>
    <row r="1008" ht="14.25" customHeight="1">
      <c r="A1008" s="405"/>
      <c r="B1008" s="405"/>
      <c r="C1008" s="405"/>
      <c r="D1008" s="405"/>
      <c r="E1008" s="405"/>
      <c r="F1008" s="583"/>
      <c r="G1008" s="583"/>
      <c r="H1008" s="405"/>
      <c r="I1008" s="405"/>
      <c r="J1008" s="405"/>
      <c r="K1008" s="405"/>
      <c r="L1008" s="405"/>
      <c r="M1008" s="405"/>
      <c r="N1008" s="405"/>
      <c r="O1008" s="405"/>
      <c r="P1008" s="405"/>
      <c r="Q1008" s="405"/>
      <c r="R1008" s="405"/>
      <c r="S1008" s="405"/>
      <c r="T1008" s="405"/>
      <c r="U1008" s="405"/>
      <c r="V1008" s="405"/>
      <c r="W1008" s="405"/>
      <c r="X1008" s="405"/>
      <c r="Y1008" s="405"/>
      <c r="Z1008" s="405"/>
    </row>
    <row r="1009" ht="14.25" customHeight="1">
      <c r="A1009" s="405"/>
      <c r="B1009" s="405"/>
      <c r="C1009" s="405"/>
      <c r="D1009" s="405"/>
      <c r="E1009" s="405"/>
      <c r="F1009" s="583"/>
      <c r="G1009" s="583"/>
      <c r="H1009" s="405"/>
      <c r="I1009" s="405"/>
      <c r="J1009" s="405"/>
      <c r="K1009" s="405"/>
      <c r="L1009" s="405"/>
      <c r="M1009" s="405"/>
      <c r="N1009" s="405"/>
      <c r="O1009" s="405"/>
      <c r="P1009" s="405"/>
      <c r="Q1009" s="405"/>
      <c r="R1009" s="405"/>
      <c r="S1009" s="405"/>
      <c r="T1009" s="405"/>
      <c r="U1009" s="405"/>
      <c r="V1009" s="405"/>
      <c r="W1009" s="405"/>
      <c r="X1009" s="405"/>
      <c r="Y1009" s="405"/>
      <c r="Z1009" s="405"/>
    </row>
    <row r="1010" ht="14.25" customHeight="1">
      <c r="A1010" s="405"/>
      <c r="B1010" s="405"/>
      <c r="C1010" s="405"/>
      <c r="D1010" s="405"/>
      <c r="E1010" s="405"/>
      <c r="F1010" s="583"/>
      <c r="G1010" s="583"/>
      <c r="H1010" s="405"/>
      <c r="I1010" s="405"/>
      <c r="J1010" s="405"/>
      <c r="K1010" s="405"/>
      <c r="L1010" s="405"/>
      <c r="M1010" s="405"/>
      <c r="N1010" s="405"/>
      <c r="O1010" s="405"/>
      <c r="P1010" s="405"/>
      <c r="Q1010" s="405"/>
      <c r="R1010" s="405"/>
      <c r="S1010" s="405"/>
      <c r="T1010" s="405"/>
      <c r="U1010" s="405"/>
      <c r="V1010" s="405"/>
      <c r="W1010" s="405"/>
      <c r="X1010" s="405"/>
      <c r="Y1010" s="405"/>
      <c r="Z1010" s="405"/>
    </row>
    <row r="1011" ht="14.25" customHeight="1">
      <c r="A1011" s="405"/>
      <c r="B1011" s="405"/>
      <c r="C1011" s="405"/>
      <c r="D1011" s="405"/>
      <c r="E1011" s="405"/>
      <c r="F1011" s="583"/>
      <c r="G1011" s="583"/>
      <c r="H1011" s="405"/>
      <c r="I1011" s="405"/>
      <c r="J1011" s="405"/>
      <c r="K1011" s="405"/>
      <c r="L1011" s="405"/>
      <c r="M1011" s="405"/>
      <c r="N1011" s="405"/>
      <c r="O1011" s="405"/>
      <c r="P1011" s="405"/>
      <c r="Q1011" s="405"/>
      <c r="R1011" s="405"/>
      <c r="S1011" s="405"/>
      <c r="T1011" s="405"/>
      <c r="U1011" s="405"/>
      <c r="V1011" s="405"/>
      <c r="W1011" s="405"/>
      <c r="X1011" s="405"/>
      <c r="Y1011" s="405"/>
      <c r="Z1011" s="405"/>
    </row>
    <row r="1012" ht="14.25" customHeight="1">
      <c r="A1012" s="405"/>
      <c r="B1012" s="405"/>
      <c r="C1012" s="405"/>
      <c r="D1012" s="405"/>
      <c r="E1012" s="405"/>
      <c r="F1012" s="583"/>
      <c r="G1012" s="583"/>
      <c r="H1012" s="405"/>
      <c r="I1012" s="405"/>
      <c r="J1012" s="405"/>
      <c r="K1012" s="405"/>
      <c r="L1012" s="405"/>
      <c r="M1012" s="405"/>
      <c r="N1012" s="405"/>
      <c r="O1012" s="405"/>
      <c r="P1012" s="405"/>
      <c r="Q1012" s="405"/>
      <c r="R1012" s="405"/>
      <c r="S1012" s="405"/>
      <c r="T1012" s="405"/>
      <c r="U1012" s="405"/>
      <c r="V1012" s="405"/>
      <c r="W1012" s="405"/>
      <c r="X1012" s="405"/>
      <c r="Y1012" s="405"/>
      <c r="Z1012" s="405"/>
    </row>
    <row r="1013" ht="14.25" customHeight="1">
      <c r="A1013" s="405"/>
      <c r="B1013" s="405"/>
      <c r="C1013" s="405"/>
      <c r="D1013" s="405"/>
      <c r="E1013" s="405"/>
      <c r="F1013" s="583"/>
      <c r="G1013" s="583"/>
      <c r="H1013" s="405"/>
      <c r="I1013" s="405"/>
      <c r="J1013" s="405"/>
      <c r="K1013" s="405"/>
      <c r="L1013" s="405"/>
      <c r="M1013" s="405"/>
      <c r="N1013" s="405"/>
      <c r="O1013" s="405"/>
      <c r="P1013" s="405"/>
      <c r="Q1013" s="405"/>
      <c r="R1013" s="405"/>
      <c r="S1013" s="405"/>
      <c r="T1013" s="405"/>
      <c r="U1013" s="405"/>
      <c r="V1013" s="405"/>
      <c r="W1013" s="405"/>
      <c r="X1013" s="405"/>
      <c r="Y1013" s="405"/>
      <c r="Z1013" s="405"/>
    </row>
    <row r="1014" ht="14.25" customHeight="1">
      <c r="A1014" s="405"/>
      <c r="B1014" s="405"/>
      <c r="C1014" s="405"/>
      <c r="D1014" s="405"/>
      <c r="E1014" s="405"/>
      <c r="F1014" s="583"/>
      <c r="G1014" s="583"/>
      <c r="H1014" s="405"/>
      <c r="I1014" s="405"/>
      <c r="J1014" s="405"/>
      <c r="K1014" s="405"/>
      <c r="L1014" s="405"/>
      <c r="M1014" s="405"/>
      <c r="N1014" s="405"/>
      <c r="O1014" s="405"/>
      <c r="P1014" s="405"/>
      <c r="Q1014" s="405"/>
      <c r="R1014" s="405"/>
      <c r="S1014" s="405"/>
      <c r="T1014" s="405"/>
      <c r="U1014" s="405"/>
      <c r="V1014" s="405"/>
      <c r="W1014" s="405"/>
      <c r="X1014" s="405"/>
      <c r="Y1014" s="405"/>
      <c r="Z1014" s="405"/>
    </row>
    <row r="1015" ht="14.25" customHeight="1">
      <c r="A1015" s="405"/>
      <c r="B1015" s="405"/>
      <c r="C1015" s="405"/>
      <c r="D1015" s="405"/>
      <c r="E1015" s="405"/>
      <c r="F1015" s="583"/>
      <c r="G1015" s="583"/>
      <c r="H1015" s="405"/>
      <c r="I1015" s="405"/>
      <c r="J1015" s="405"/>
      <c r="K1015" s="405"/>
      <c r="L1015" s="405"/>
      <c r="M1015" s="405"/>
      <c r="N1015" s="405"/>
      <c r="O1015" s="405"/>
      <c r="P1015" s="405"/>
      <c r="Q1015" s="405"/>
      <c r="R1015" s="405"/>
      <c r="S1015" s="405"/>
      <c r="T1015" s="405"/>
      <c r="U1015" s="405"/>
      <c r="V1015" s="405"/>
      <c r="W1015" s="405"/>
      <c r="X1015" s="405"/>
      <c r="Y1015" s="405"/>
      <c r="Z1015" s="405"/>
    </row>
    <row r="1016" ht="14.25" customHeight="1">
      <c r="A1016" s="405"/>
      <c r="B1016" s="405"/>
      <c r="C1016" s="405"/>
      <c r="D1016" s="405"/>
      <c r="E1016" s="405"/>
      <c r="F1016" s="583"/>
      <c r="G1016" s="583"/>
      <c r="H1016" s="405"/>
      <c r="I1016" s="405"/>
      <c r="J1016" s="405"/>
      <c r="K1016" s="405"/>
      <c r="L1016" s="405"/>
      <c r="M1016" s="405"/>
      <c r="N1016" s="405"/>
      <c r="O1016" s="405"/>
      <c r="P1016" s="405"/>
      <c r="Q1016" s="405"/>
      <c r="R1016" s="405"/>
      <c r="S1016" s="405"/>
      <c r="T1016" s="405"/>
      <c r="U1016" s="405"/>
      <c r="V1016" s="405"/>
      <c r="W1016" s="405"/>
      <c r="X1016" s="405"/>
      <c r="Y1016" s="405"/>
      <c r="Z1016" s="405"/>
    </row>
    <row r="1017" ht="14.25" customHeight="1">
      <c r="A1017" s="405"/>
      <c r="B1017" s="405"/>
      <c r="C1017" s="405"/>
      <c r="D1017" s="405"/>
      <c r="E1017" s="405"/>
      <c r="F1017" s="583"/>
      <c r="G1017" s="583"/>
      <c r="H1017" s="405"/>
      <c r="I1017" s="405"/>
      <c r="J1017" s="405"/>
      <c r="K1017" s="405"/>
      <c r="L1017" s="405"/>
      <c r="M1017" s="405"/>
      <c r="N1017" s="405"/>
      <c r="O1017" s="405"/>
      <c r="P1017" s="405"/>
      <c r="Q1017" s="405"/>
      <c r="R1017" s="405"/>
      <c r="S1017" s="405"/>
      <c r="T1017" s="405"/>
      <c r="U1017" s="405"/>
      <c r="V1017" s="405"/>
      <c r="W1017" s="405"/>
      <c r="X1017" s="405"/>
      <c r="Y1017" s="405"/>
      <c r="Z1017" s="405"/>
    </row>
    <row r="1018" ht="14.25" customHeight="1">
      <c r="A1018" s="405"/>
      <c r="B1018" s="405"/>
      <c r="C1018" s="405"/>
      <c r="D1018" s="405"/>
      <c r="E1018" s="405"/>
      <c r="F1018" s="583"/>
      <c r="G1018" s="583"/>
      <c r="H1018" s="405"/>
      <c r="I1018" s="405"/>
      <c r="J1018" s="405"/>
      <c r="K1018" s="405"/>
      <c r="L1018" s="405"/>
      <c r="M1018" s="405"/>
      <c r="N1018" s="405"/>
      <c r="O1018" s="405"/>
      <c r="P1018" s="405"/>
      <c r="Q1018" s="405"/>
      <c r="R1018" s="405"/>
      <c r="S1018" s="405"/>
      <c r="T1018" s="405"/>
      <c r="U1018" s="405"/>
      <c r="V1018" s="405"/>
      <c r="W1018" s="405"/>
      <c r="X1018" s="405"/>
      <c r="Y1018" s="405"/>
      <c r="Z1018" s="405"/>
    </row>
    <row r="1019" ht="14.25" customHeight="1">
      <c r="A1019" s="405"/>
      <c r="B1019" s="405"/>
      <c r="C1019" s="405"/>
      <c r="D1019" s="405"/>
      <c r="E1019" s="405"/>
      <c r="F1019" s="583"/>
      <c r="G1019" s="583"/>
      <c r="H1019" s="405"/>
      <c r="I1019" s="405"/>
      <c r="J1019" s="405"/>
      <c r="K1019" s="405"/>
      <c r="L1019" s="405"/>
      <c r="M1019" s="405"/>
      <c r="N1019" s="405"/>
      <c r="O1019" s="405"/>
      <c r="P1019" s="405"/>
      <c r="Q1019" s="405"/>
      <c r="R1019" s="405"/>
      <c r="S1019" s="405"/>
      <c r="T1019" s="405"/>
      <c r="U1019" s="405"/>
      <c r="V1019" s="405"/>
      <c r="W1019" s="405"/>
      <c r="X1019" s="405"/>
      <c r="Y1019" s="405"/>
      <c r="Z1019" s="405"/>
    </row>
    <row r="1020" ht="14.25" customHeight="1">
      <c r="A1020" s="405"/>
      <c r="B1020" s="405"/>
      <c r="C1020" s="405"/>
      <c r="D1020" s="405"/>
      <c r="E1020" s="405"/>
      <c r="F1020" s="583"/>
      <c r="G1020" s="583"/>
      <c r="H1020" s="405"/>
      <c r="I1020" s="405"/>
      <c r="J1020" s="405"/>
      <c r="K1020" s="405"/>
      <c r="L1020" s="405"/>
      <c r="M1020" s="405"/>
      <c r="N1020" s="405"/>
      <c r="O1020" s="405"/>
      <c r="P1020" s="405"/>
      <c r="Q1020" s="405"/>
      <c r="R1020" s="405"/>
      <c r="S1020" s="405"/>
      <c r="T1020" s="405"/>
      <c r="U1020" s="405"/>
      <c r="V1020" s="405"/>
      <c r="W1020" s="405"/>
      <c r="X1020" s="405"/>
      <c r="Y1020" s="405"/>
      <c r="Z1020" s="405"/>
    </row>
    <row r="1021" ht="14.25" customHeight="1">
      <c r="A1021" s="405"/>
      <c r="B1021" s="405"/>
      <c r="C1021" s="405"/>
      <c r="D1021" s="405"/>
      <c r="E1021" s="405"/>
      <c r="F1021" s="583"/>
      <c r="G1021" s="583"/>
      <c r="H1021" s="405"/>
      <c r="I1021" s="405"/>
      <c r="J1021" s="405"/>
      <c r="K1021" s="405"/>
      <c r="L1021" s="405"/>
      <c r="M1021" s="405"/>
      <c r="N1021" s="405"/>
      <c r="O1021" s="405"/>
      <c r="P1021" s="405"/>
      <c r="Q1021" s="405"/>
      <c r="R1021" s="405"/>
      <c r="S1021" s="405"/>
      <c r="T1021" s="405"/>
      <c r="U1021" s="405"/>
      <c r="V1021" s="405"/>
      <c r="W1021" s="405"/>
      <c r="X1021" s="405"/>
      <c r="Y1021" s="405"/>
      <c r="Z1021" s="405"/>
    </row>
    <row r="1022" ht="14.25" customHeight="1">
      <c r="A1022" s="405"/>
      <c r="B1022" s="405"/>
      <c r="C1022" s="405"/>
      <c r="D1022" s="405"/>
      <c r="E1022" s="405"/>
      <c r="F1022" s="583"/>
      <c r="G1022" s="583"/>
      <c r="H1022" s="405"/>
      <c r="I1022" s="405"/>
      <c r="J1022" s="405"/>
      <c r="K1022" s="405"/>
      <c r="L1022" s="405"/>
      <c r="M1022" s="405"/>
      <c r="N1022" s="405"/>
      <c r="O1022" s="405"/>
      <c r="P1022" s="405"/>
      <c r="Q1022" s="405"/>
      <c r="R1022" s="405"/>
      <c r="S1022" s="405"/>
      <c r="T1022" s="405"/>
      <c r="U1022" s="405"/>
      <c r="V1022" s="405"/>
      <c r="W1022" s="405"/>
      <c r="X1022" s="405"/>
      <c r="Y1022" s="405"/>
      <c r="Z1022" s="405"/>
    </row>
    <row r="1023" ht="14.25" customHeight="1">
      <c r="A1023" s="405"/>
      <c r="B1023" s="405"/>
      <c r="C1023" s="405"/>
      <c r="D1023" s="405"/>
      <c r="E1023" s="405"/>
      <c r="F1023" s="583"/>
      <c r="G1023" s="583"/>
      <c r="H1023" s="405"/>
      <c r="I1023" s="405"/>
      <c r="J1023" s="405"/>
      <c r="K1023" s="405"/>
      <c r="L1023" s="405"/>
      <c r="M1023" s="405"/>
      <c r="N1023" s="405"/>
      <c r="O1023" s="405"/>
      <c r="P1023" s="405"/>
      <c r="Q1023" s="405"/>
      <c r="R1023" s="405"/>
      <c r="S1023" s="405"/>
      <c r="T1023" s="405"/>
      <c r="U1023" s="405"/>
      <c r="V1023" s="405"/>
      <c r="W1023" s="405"/>
      <c r="X1023" s="405"/>
      <c r="Y1023" s="405"/>
      <c r="Z1023" s="405"/>
    </row>
    <row r="1024" ht="14.25" customHeight="1">
      <c r="A1024" s="405"/>
      <c r="B1024" s="405"/>
      <c r="C1024" s="405"/>
      <c r="D1024" s="405"/>
      <c r="E1024" s="405"/>
      <c r="F1024" s="583"/>
      <c r="G1024" s="583"/>
      <c r="H1024" s="405"/>
      <c r="I1024" s="405"/>
      <c r="J1024" s="405"/>
      <c r="K1024" s="405"/>
      <c r="L1024" s="405"/>
      <c r="M1024" s="405"/>
      <c r="N1024" s="405"/>
      <c r="O1024" s="405"/>
      <c r="P1024" s="405"/>
      <c r="Q1024" s="405"/>
      <c r="R1024" s="405"/>
      <c r="S1024" s="405"/>
      <c r="T1024" s="405"/>
      <c r="U1024" s="405"/>
      <c r="V1024" s="405"/>
      <c r="W1024" s="405"/>
      <c r="X1024" s="405"/>
      <c r="Y1024" s="405"/>
      <c r="Z1024" s="405"/>
    </row>
    <row r="1025" ht="14.25" customHeight="1">
      <c r="A1025" s="405"/>
      <c r="B1025" s="405"/>
      <c r="C1025" s="405"/>
      <c r="D1025" s="405"/>
      <c r="E1025" s="405"/>
      <c r="F1025" s="583"/>
      <c r="G1025" s="583"/>
      <c r="H1025" s="405"/>
      <c r="I1025" s="405"/>
      <c r="J1025" s="405"/>
      <c r="K1025" s="405"/>
      <c r="L1025" s="405"/>
      <c r="M1025" s="405"/>
      <c r="N1025" s="405"/>
      <c r="O1025" s="405"/>
      <c r="P1025" s="405"/>
      <c r="Q1025" s="405"/>
      <c r="R1025" s="405"/>
      <c r="S1025" s="405"/>
      <c r="T1025" s="405"/>
      <c r="U1025" s="405"/>
      <c r="V1025" s="405"/>
      <c r="W1025" s="405"/>
      <c r="X1025" s="405"/>
      <c r="Y1025" s="405"/>
      <c r="Z1025" s="405"/>
    </row>
    <row r="1026" ht="14.25" customHeight="1">
      <c r="A1026" s="405"/>
      <c r="B1026" s="405"/>
      <c r="C1026" s="405"/>
      <c r="D1026" s="405"/>
      <c r="E1026" s="405"/>
      <c r="F1026" s="583"/>
      <c r="G1026" s="583"/>
      <c r="H1026" s="405"/>
      <c r="I1026" s="405"/>
      <c r="J1026" s="405"/>
      <c r="K1026" s="405"/>
      <c r="L1026" s="405"/>
      <c r="M1026" s="405"/>
      <c r="N1026" s="405"/>
      <c r="O1026" s="405"/>
      <c r="P1026" s="405"/>
      <c r="Q1026" s="405"/>
      <c r="R1026" s="405"/>
      <c r="S1026" s="405"/>
      <c r="T1026" s="405"/>
      <c r="U1026" s="405"/>
      <c r="V1026" s="405"/>
      <c r="W1026" s="405"/>
      <c r="X1026" s="405"/>
      <c r="Y1026" s="405"/>
      <c r="Z1026" s="405"/>
    </row>
    <row r="1027" ht="14.25" customHeight="1">
      <c r="A1027" s="405"/>
      <c r="B1027" s="405"/>
      <c r="C1027" s="405"/>
      <c r="D1027" s="405"/>
      <c r="E1027" s="405"/>
      <c r="F1027" s="583"/>
      <c r="G1027" s="583"/>
      <c r="H1027" s="405"/>
      <c r="I1027" s="405"/>
      <c r="J1027" s="405"/>
      <c r="K1027" s="405"/>
      <c r="L1027" s="405"/>
      <c r="M1027" s="405"/>
      <c r="N1027" s="405"/>
      <c r="O1027" s="405"/>
      <c r="P1027" s="405"/>
      <c r="Q1027" s="405"/>
      <c r="R1027" s="405"/>
      <c r="S1027" s="405"/>
      <c r="T1027" s="405"/>
      <c r="U1027" s="405"/>
      <c r="V1027" s="405"/>
      <c r="W1027" s="405"/>
      <c r="X1027" s="405"/>
      <c r="Y1027" s="405"/>
      <c r="Z1027" s="405"/>
    </row>
    <row r="1028" ht="14.25" customHeight="1">
      <c r="A1028" s="405"/>
      <c r="B1028" s="405"/>
      <c r="C1028" s="405"/>
      <c r="D1028" s="405"/>
      <c r="E1028" s="405"/>
      <c r="F1028" s="583"/>
      <c r="G1028" s="583"/>
      <c r="H1028" s="405"/>
      <c r="I1028" s="405"/>
      <c r="J1028" s="405"/>
      <c r="K1028" s="405"/>
      <c r="L1028" s="405"/>
      <c r="M1028" s="405"/>
      <c r="N1028" s="405"/>
      <c r="O1028" s="405"/>
      <c r="P1028" s="405"/>
      <c r="Q1028" s="405"/>
      <c r="R1028" s="405"/>
      <c r="S1028" s="405"/>
      <c r="T1028" s="405"/>
      <c r="U1028" s="405"/>
      <c r="V1028" s="405"/>
      <c r="W1028" s="405"/>
      <c r="X1028" s="405"/>
      <c r="Y1028" s="405"/>
      <c r="Z1028" s="405"/>
    </row>
    <row r="1029" ht="14.25" customHeight="1">
      <c r="A1029" s="405"/>
      <c r="B1029" s="405"/>
      <c r="C1029" s="405"/>
      <c r="D1029" s="405"/>
      <c r="E1029" s="405"/>
      <c r="F1029" s="583"/>
      <c r="G1029" s="583"/>
      <c r="H1029" s="405"/>
      <c r="I1029" s="405"/>
      <c r="J1029" s="405"/>
      <c r="K1029" s="405"/>
      <c r="L1029" s="405"/>
      <c r="M1029" s="405"/>
      <c r="N1029" s="405"/>
      <c r="O1029" s="405"/>
      <c r="P1029" s="405"/>
      <c r="Q1029" s="405"/>
      <c r="R1029" s="405"/>
      <c r="S1029" s="405"/>
      <c r="T1029" s="405"/>
      <c r="U1029" s="405"/>
      <c r="V1029" s="405"/>
      <c r="W1029" s="405"/>
      <c r="X1029" s="405"/>
      <c r="Y1029" s="405"/>
      <c r="Z1029" s="405"/>
    </row>
    <row r="1030" ht="14.25" customHeight="1">
      <c r="A1030" s="405"/>
      <c r="B1030" s="405"/>
      <c r="C1030" s="405"/>
      <c r="D1030" s="405"/>
      <c r="E1030" s="405"/>
      <c r="F1030" s="583"/>
      <c r="G1030" s="583"/>
      <c r="H1030" s="405"/>
      <c r="I1030" s="405"/>
      <c r="J1030" s="405"/>
      <c r="K1030" s="405"/>
      <c r="L1030" s="405"/>
      <c r="M1030" s="405"/>
      <c r="N1030" s="405"/>
      <c r="O1030" s="405"/>
      <c r="P1030" s="405"/>
      <c r="Q1030" s="405"/>
      <c r="R1030" s="405"/>
      <c r="S1030" s="405"/>
      <c r="T1030" s="405"/>
      <c r="U1030" s="405"/>
      <c r="V1030" s="405"/>
      <c r="W1030" s="405"/>
      <c r="X1030" s="405"/>
      <c r="Y1030" s="405"/>
      <c r="Z1030" s="405"/>
    </row>
    <row r="1031" ht="14.25" customHeight="1">
      <c r="A1031" s="405"/>
      <c r="B1031" s="405"/>
      <c r="C1031" s="405"/>
      <c r="D1031" s="405"/>
      <c r="E1031" s="405"/>
      <c r="F1031" s="583"/>
      <c r="G1031" s="583"/>
      <c r="H1031" s="405"/>
      <c r="I1031" s="405"/>
      <c r="J1031" s="405"/>
      <c r="K1031" s="405"/>
      <c r="L1031" s="405"/>
      <c r="M1031" s="405"/>
      <c r="N1031" s="405"/>
      <c r="O1031" s="405"/>
      <c r="P1031" s="405"/>
      <c r="Q1031" s="405"/>
      <c r="R1031" s="405"/>
      <c r="S1031" s="405"/>
      <c r="T1031" s="405"/>
      <c r="U1031" s="405"/>
      <c r="V1031" s="405"/>
      <c r="W1031" s="405"/>
      <c r="X1031" s="405"/>
      <c r="Y1031" s="405"/>
      <c r="Z1031" s="405"/>
    </row>
    <row r="1032" ht="14.25" customHeight="1">
      <c r="A1032" s="405"/>
      <c r="B1032" s="405"/>
      <c r="C1032" s="405"/>
      <c r="D1032" s="405"/>
      <c r="E1032" s="405"/>
      <c r="F1032" s="583"/>
      <c r="G1032" s="583"/>
      <c r="H1032" s="405"/>
      <c r="I1032" s="405"/>
      <c r="J1032" s="405"/>
      <c r="K1032" s="405"/>
      <c r="L1032" s="405"/>
      <c r="M1032" s="405"/>
      <c r="N1032" s="405"/>
      <c r="O1032" s="405"/>
      <c r="P1032" s="405"/>
      <c r="Q1032" s="405"/>
      <c r="R1032" s="405"/>
      <c r="S1032" s="405"/>
      <c r="T1032" s="405"/>
      <c r="U1032" s="405"/>
      <c r="V1032" s="405"/>
      <c r="W1032" s="405"/>
      <c r="X1032" s="405"/>
      <c r="Y1032" s="405"/>
      <c r="Z1032" s="405"/>
    </row>
    <row r="1033" ht="14.25" customHeight="1">
      <c r="A1033" s="405"/>
      <c r="B1033" s="405"/>
      <c r="C1033" s="405"/>
      <c r="D1033" s="405"/>
      <c r="E1033" s="405"/>
      <c r="F1033" s="583"/>
      <c r="G1033" s="583"/>
      <c r="H1033" s="405"/>
      <c r="I1033" s="405"/>
      <c r="J1033" s="405"/>
      <c r="K1033" s="405"/>
      <c r="L1033" s="405"/>
      <c r="M1033" s="405"/>
      <c r="N1033" s="405"/>
      <c r="O1033" s="405"/>
      <c r="P1033" s="405"/>
      <c r="Q1033" s="405"/>
      <c r="R1033" s="405"/>
      <c r="S1033" s="405"/>
      <c r="T1033" s="405"/>
      <c r="U1033" s="405"/>
      <c r="V1033" s="405"/>
      <c r="W1033" s="405"/>
      <c r="X1033" s="405"/>
      <c r="Y1033" s="405"/>
      <c r="Z1033" s="405"/>
    </row>
    <row r="1034" ht="14.25" customHeight="1">
      <c r="A1034" s="405"/>
      <c r="B1034" s="405"/>
      <c r="C1034" s="405"/>
      <c r="D1034" s="405"/>
      <c r="E1034" s="405"/>
      <c r="F1034" s="583"/>
      <c r="G1034" s="583"/>
      <c r="H1034" s="405"/>
      <c r="I1034" s="405"/>
      <c r="J1034" s="405"/>
      <c r="K1034" s="405"/>
      <c r="L1034" s="405"/>
      <c r="M1034" s="405"/>
      <c r="N1034" s="405"/>
      <c r="O1034" s="405"/>
      <c r="P1034" s="405"/>
      <c r="Q1034" s="405"/>
      <c r="R1034" s="405"/>
      <c r="S1034" s="405"/>
      <c r="T1034" s="405"/>
      <c r="U1034" s="405"/>
      <c r="V1034" s="405"/>
      <c r="W1034" s="405"/>
      <c r="X1034" s="405"/>
      <c r="Y1034" s="405"/>
      <c r="Z1034" s="405"/>
    </row>
    <row r="1035" ht="14.25" customHeight="1">
      <c r="A1035" s="405"/>
      <c r="B1035" s="405"/>
      <c r="C1035" s="405"/>
      <c r="D1035" s="405"/>
      <c r="E1035" s="405"/>
      <c r="F1035" s="583"/>
      <c r="G1035" s="583"/>
      <c r="H1035" s="405"/>
      <c r="I1035" s="405"/>
      <c r="J1035" s="405"/>
      <c r="K1035" s="405"/>
      <c r="L1035" s="405"/>
      <c r="M1035" s="405"/>
      <c r="N1035" s="405"/>
      <c r="O1035" s="405"/>
      <c r="P1035" s="405"/>
      <c r="Q1035" s="405"/>
      <c r="R1035" s="405"/>
      <c r="S1035" s="405"/>
      <c r="T1035" s="405"/>
      <c r="U1035" s="405"/>
      <c r="V1035" s="405"/>
      <c r="W1035" s="405"/>
      <c r="X1035" s="405"/>
      <c r="Y1035" s="405"/>
      <c r="Z1035" s="405"/>
    </row>
    <row r="1036" ht="14.25" customHeight="1">
      <c r="A1036" s="405"/>
      <c r="B1036" s="405"/>
      <c r="C1036" s="405"/>
      <c r="D1036" s="405"/>
      <c r="E1036" s="405"/>
      <c r="F1036" s="583"/>
      <c r="G1036" s="583"/>
      <c r="H1036" s="405"/>
      <c r="I1036" s="405"/>
      <c r="J1036" s="405"/>
      <c r="K1036" s="405"/>
      <c r="L1036" s="405"/>
      <c r="M1036" s="405"/>
      <c r="N1036" s="405"/>
      <c r="O1036" s="405"/>
      <c r="P1036" s="405"/>
      <c r="Q1036" s="405"/>
      <c r="R1036" s="405"/>
      <c r="S1036" s="405"/>
      <c r="T1036" s="405"/>
      <c r="U1036" s="405"/>
      <c r="V1036" s="405"/>
      <c r="W1036" s="405"/>
      <c r="X1036" s="405"/>
      <c r="Y1036" s="405"/>
      <c r="Z1036" s="405"/>
    </row>
    <row r="1037" ht="14.25" customHeight="1">
      <c r="A1037" s="405"/>
      <c r="B1037" s="405"/>
      <c r="C1037" s="405"/>
      <c r="D1037" s="405"/>
      <c r="E1037" s="405"/>
      <c r="F1037" s="583"/>
      <c r="G1037" s="583"/>
      <c r="H1037" s="405"/>
      <c r="I1037" s="405"/>
      <c r="J1037" s="405"/>
      <c r="K1037" s="405"/>
      <c r="L1037" s="405"/>
      <c r="M1037" s="405"/>
      <c r="N1037" s="405"/>
      <c r="O1037" s="405"/>
      <c r="P1037" s="405"/>
      <c r="Q1037" s="405"/>
      <c r="R1037" s="405"/>
      <c r="S1037" s="405"/>
      <c r="T1037" s="405"/>
      <c r="U1037" s="405"/>
      <c r="V1037" s="405"/>
      <c r="W1037" s="405"/>
      <c r="X1037" s="405"/>
      <c r="Y1037" s="405"/>
      <c r="Z1037" s="405"/>
    </row>
    <row r="1038" ht="14.25" customHeight="1">
      <c r="A1038" s="405"/>
      <c r="B1038" s="405"/>
      <c r="C1038" s="405"/>
      <c r="D1038" s="405"/>
      <c r="E1038" s="405"/>
      <c r="F1038" s="583"/>
      <c r="G1038" s="583"/>
      <c r="H1038" s="405"/>
      <c r="I1038" s="405"/>
      <c r="J1038" s="405"/>
      <c r="K1038" s="405"/>
      <c r="L1038" s="405"/>
      <c r="M1038" s="405"/>
      <c r="N1038" s="405"/>
      <c r="O1038" s="405"/>
      <c r="P1038" s="405"/>
      <c r="Q1038" s="405"/>
      <c r="R1038" s="405"/>
      <c r="S1038" s="405"/>
      <c r="T1038" s="405"/>
      <c r="U1038" s="405"/>
      <c r="V1038" s="405"/>
      <c r="W1038" s="405"/>
      <c r="X1038" s="405"/>
      <c r="Y1038" s="405"/>
      <c r="Z1038" s="405"/>
    </row>
    <row r="1039" ht="14.25" customHeight="1">
      <c r="A1039" s="405"/>
      <c r="B1039" s="405"/>
      <c r="C1039" s="405"/>
      <c r="D1039" s="405"/>
      <c r="E1039" s="405"/>
      <c r="F1039" s="583"/>
      <c r="G1039" s="583"/>
      <c r="H1039" s="405"/>
      <c r="I1039" s="405"/>
      <c r="J1039" s="405"/>
      <c r="K1039" s="405"/>
      <c r="L1039" s="405"/>
      <c r="M1039" s="405"/>
      <c r="N1039" s="405"/>
      <c r="O1039" s="405"/>
      <c r="P1039" s="405"/>
      <c r="Q1039" s="405"/>
      <c r="R1039" s="405"/>
      <c r="S1039" s="405"/>
      <c r="T1039" s="405"/>
      <c r="U1039" s="405"/>
      <c r="V1039" s="405"/>
      <c r="W1039" s="405"/>
      <c r="X1039" s="405"/>
      <c r="Y1039" s="405"/>
      <c r="Z1039" s="405"/>
    </row>
    <row r="1040" ht="14.25" customHeight="1">
      <c r="A1040" s="405"/>
      <c r="B1040" s="405"/>
      <c r="C1040" s="405"/>
      <c r="D1040" s="405"/>
      <c r="E1040" s="405"/>
      <c r="F1040" s="583"/>
      <c r="G1040" s="583"/>
      <c r="H1040" s="405"/>
      <c r="I1040" s="405"/>
      <c r="J1040" s="405"/>
      <c r="K1040" s="405"/>
      <c r="L1040" s="405"/>
      <c r="M1040" s="405"/>
      <c r="N1040" s="405"/>
      <c r="O1040" s="405"/>
      <c r="P1040" s="405"/>
      <c r="Q1040" s="405"/>
      <c r="R1040" s="405"/>
      <c r="S1040" s="405"/>
      <c r="T1040" s="405"/>
      <c r="U1040" s="405"/>
      <c r="V1040" s="405"/>
      <c r="W1040" s="405"/>
      <c r="X1040" s="405"/>
      <c r="Y1040" s="405"/>
      <c r="Z1040" s="405"/>
    </row>
    <row r="1041" ht="14.25" customHeight="1">
      <c r="A1041" s="405"/>
      <c r="B1041" s="405"/>
      <c r="C1041" s="405"/>
      <c r="D1041" s="405"/>
      <c r="E1041" s="405"/>
      <c r="F1041" s="583"/>
      <c r="G1041" s="583"/>
      <c r="H1041" s="405"/>
      <c r="I1041" s="405"/>
      <c r="J1041" s="405"/>
      <c r="K1041" s="405"/>
      <c r="L1041" s="405"/>
      <c r="M1041" s="405"/>
      <c r="N1041" s="405"/>
      <c r="O1041" s="405"/>
      <c r="P1041" s="405"/>
      <c r="Q1041" s="405"/>
      <c r="R1041" s="405"/>
      <c r="S1041" s="405"/>
      <c r="T1041" s="405"/>
      <c r="U1041" s="405"/>
      <c r="V1041" s="405"/>
      <c r="W1041" s="405"/>
      <c r="X1041" s="405"/>
      <c r="Y1041" s="405"/>
      <c r="Z1041" s="405"/>
    </row>
    <row r="1042" ht="14.25" customHeight="1">
      <c r="A1042" s="405"/>
      <c r="B1042" s="405"/>
      <c r="C1042" s="405"/>
      <c r="D1042" s="405"/>
      <c r="E1042" s="405"/>
      <c r="F1042" s="583"/>
      <c r="G1042" s="583"/>
      <c r="H1042" s="405"/>
      <c r="I1042" s="405"/>
      <c r="J1042" s="405"/>
      <c r="K1042" s="405"/>
      <c r="L1042" s="405"/>
      <c r="M1042" s="405"/>
      <c r="N1042" s="405"/>
      <c r="O1042" s="405"/>
      <c r="P1042" s="405"/>
      <c r="Q1042" s="405"/>
      <c r="R1042" s="405"/>
      <c r="S1042" s="405"/>
      <c r="T1042" s="405"/>
      <c r="U1042" s="405"/>
      <c r="V1042" s="405"/>
      <c r="W1042" s="405"/>
      <c r="X1042" s="405"/>
      <c r="Y1042" s="405"/>
      <c r="Z1042" s="405"/>
    </row>
    <row r="1043" ht="14.25" customHeight="1">
      <c r="A1043" s="405"/>
      <c r="B1043" s="405"/>
      <c r="C1043" s="405"/>
      <c r="D1043" s="405"/>
      <c r="E1043" s="405"/>
      <c r="F1043" s="583"/>
      <c r="G1043" s="583"/>
      <c r="H1043" s="405"/>
      <c r="I1043" s="405"/>
      <c r="J1043" s="405"/>
      <c r="K1043" s="405"/>
      <c r="L1043" s="405"/>
      <c r="M1043" s="405"/>
      <c r="N1043" s="405"/>
      <c r="O1043" s="405"/>
      <c r="P1043" s="405"/>
      <c r="Q1043" s="405"/>
      <c r="R1043" s="405"/>
      <c r="S1043" s="405"/>
      <c r="T1043" s="405"/>
      <c r="U1043" s="405"/>
      <c r="V1043" s="405"/>
      <c r="W1043" s="405"/>
      <c r="X1043" s="405"/>
      <c r="Y1043" s="405"/>
      <c r="Z1043" s="405"/>
    </row>
    <row r="1044" ht="14.25" customHeight="1">
      <c r="A1044" s="405"/>
      <c r="B1044" s="405"/>
      <c r="C1044" s="405"/>
      <c r="D1044" s="405"/>
      <c r="E1044" s="405"/>
      <c r="F1044" s="583"/>
      <c r="G1044" s="583"/>
      <c r="H1044" s="405"/>
      <c r="I1044" s="405"/>
      <c r="J1044" s="405"/>
      <c r="K1044" s="405"/>
      <c r="L1044" s="405"/>
      <c r="M1044" s="405"/>
      <c r="N1044" s="405"/>
      <c r="O1044" s="405"/>
      <c r="P1044" s="405"/>
      <c r="Q1044" s="405"/>
      <c r="R1044" s="405"/>
      <c r="S1044" s="405"/>
      <c r="T1044" s="405"/>
      <c r="U1044" s="405"/>
      <c r="V1044" s="405"/>
      <c r="W1044" s="405"/>
      <c r="X1044" s="405"/>
      <c r="Y1044" s="405"/>
      <c r="Z1044" s="405"/>
    </row>
    <row r="1045" ht="14.25" customHeight="1">
      <c r="A1045" s="405"/>
      <c r="B1045" s="405"/>
      <c r="C1045" s="405"/>
      <c r="D1045" s="405"/>
      <c r="E1045" s="405"/>
      <c r="F1045" s="583"/>
      <c r="G1045" s="583"/>
      <c r="H1045" s="405"/>
      <c r="I1045" s="405"/>
      <c r="J1045" s="405"/>
      <c r="K1045" s="405"/>
      <c r="L1045" s="405"/>
      <c r="M1045" s="405"/>
      <c r="N1045" s="405"/>
      <c r="O1045" s="405"/>
      <c r="P1045" s="405"/>
      <c r="Q1045" s="405"/>
      <c r="R1045" s="405"/>
      <c r="S1045" s="405"/>
      <c r="T1045" s="405"/>
      <c r="U1045" s="405"/>
      <c r="V1045" s="405"/>
      <c r="W1045" s="405"/>
      <c r="X1045" s="405"/>
      <c r="Y1045" s="405"/>
      <c r="Z1045" s="405"/>
    </row>
    <row r="1046" ht="14.25" customHeight="1">
      <c r="A1046" s="405"/>
      <c r="B1046" s="405"/>
      <c r="C1046" s="405"/>
      <c r="D1046" s="405"/>
      <c r="E1046" s="405"/>
      <c r="F1046" s="583"/>
      <c r="G1046" s="583"/>
      <c r="H1046" s="405"/>
      <c r="I1046" s="405"/>
      <c r="J1046" s="405"/>
      <c r="K1046" s="405"/>
      <c r="L1046" s="405"/>
      <c r="M1046" s="405"/>
      <c r="N1046" s="405"/>
      <c r="O1046" s="405"/>
      <c r="P1046" s="405"/>
      <c r="Q1046" s="405"/>
      <c r="R1046" s="405"/>
      <c r="S1046" s="405"/>
      <c r="T1046" s="405"/>
      <c r="U1046" s="405"/>
      <c r="V1046" s="405"/>
      <c r="W1046" s="405"/>
      <c r="X1046" s="405"/>
      <c r="Y1046" s="405"/>
      <c r="Z1046" s="405"/>
    </row>
    <row r="1047" ht="14.25" customHeight="1">
      <c r="A1047" s="405"/>
      <c r="B1047" s="405"/>
      <c r="C1047" s="405"/>
      <c r="D1047" s="405"/>
      <c r="E1047" s="405"/>
      <c r="F1047" s="583"/>
      <c r="G1047" s="583"/>
      <c r="H1047" s="405"/>
      <c r="I1047" s="405"/>
      <c r="J1047" s="405"/>
      <c r="K1047" s="405"/>
      <c r="L1047" s="405"/>
      <c r="M1047" s="405"/>
      <c r="N1047" s="405"/>
      <c r="O1047" s="405"/>
      <c r="P1047" s="405"/>
      <c r="Q1047" s="405"/>
      <c r="R1047" s="405"/>
      <c r="S1047" s="405"/>
      <c r="T1047" s="405"/>
      <c r="U1047" s="405"/>
      <c r="V1047" s="405"/>
      <c r="W1047" s="405"/>
      <c r="X1047" s="405"/>
      <c r="Y1047" s="405"/>
      <c r="Z1047" s="405"/>
    </row>
    <row r="1048" ht="14.25" customHeight="1">
      <c r="A1048" s="405"/>
      <c r="B1048" s="405"/>
      <c r="C1048" s="405"/>
      <c r="D1048" s="405"/>
      <c r="E1048" s="405"/>
      <c r="F1048" s="583"/>
      <c r="G1048" s="583"/>
      <c r="H1048" s="405"/>
      <c r="I1048" s="405"/>
      <c r="J1048" s="405"/>
      <c r="K1048" s="405"/>
      <c r="L1048" s="405"/>
      <c r="M1048" s="405"/>
      <c r="N1048" s="405"/>
      <c r="O1048" s="405"/>
      <c r="P1048" s="405"/>
      <c r="Q1048" s="405"/>
      <c r="R1048" s="405"/>
      <c r="S1048" s="405"/>
      <c r="T1048" s="405"/>
      <c r="U1048" s="405"/>
      <c r="V1048" s="405"/>
      <c r="W1048" s="405"/>
      <c r="X1048" s="405"/>
      <c r="Y1048" s="405"/>
      <c r="Z1048" s="405"/>
    </row>
    <row r="1049" ht="14.25" customHeight="1">
      <c r="A1049" s="405"/>
      <c r="B1049" s="405"/>
      <c r="C1049" s="405"/>
      <c r="D1049" s="405"/>
      <c r="E1049" s="405"/>
      <c r="F1049" s="583"/>
      <c r="G1049" s="583"/>
      <c r="H1049" s="405"/>
      <c r="I1049" s="405"/>
      <c r="J1049" s="405"/>
      <c r="K1049" s="405"/>
      <c r="L1049" s="405"/>
      <c r="M1049" s="405"/>
      <c r="N1049" s="405"/>
      <c r="O1049" s="405"/>
      <c r="P1049" s="405"/>
      <c r="Q1049" s="405"/>
      <c r="R1049" s="405"/>
      <c r="S1049" s="405"/>
      <c r="T1049" s="405"/>
      <c r="U1049" s="405"/>
      <c r="V1049" s="405"/>
      <c r="W1049" s="405"/>
      <c r="X1049" s="405"/>
      <c r="Y1049" s="405"/>
      <c r="Z1049" s="405"/>
    </row>
    <row r="1050" ht="14.25" customHeight="1">
      <c r="A1050" s="405"/>
      <c r="B1050" s="405"/>
      <c r="C1050" s="405"/>
      <c r="D1050" s="405"/>
      <c r="E1050" s="405"/>
      <c r="F1050" s="583"/>
      <c r="G1050" s="583"/>
      <c r="H1050" s="405"/>
      <c r="I1050" s="405"/>
      <c r="J1050" s="405"/>
      <c r="K1050" s="405"/>
      <c r="L1050" s="405"/>
      <c r="M1050" s="405"/>
      <c r="N1050" s="405"/>
      <c r="O1050" s="405"/>
      <c r="P1050" s="405"/>
      <c r="Q1050" s="405"/>
      <c r="R1050" s="405"/>
      <c r="S1050" s="405"/>
      <c r="T1050" s="405"/>
      <c r="U1050" s="405"/>
      <c r="V1050" s="405"/>
      <c r="W1050" s="405"/>
      <c r="X1050" s="405"/>
      <c r="Y1050" s="405"/>
      <c r="Z1050" s="405"/>
    </row>
    <row r="1051" ht="14.25" customHeight="1">
      <c r="A1051" s="405"/>
      <c r="B1051" s="405"/>
      <c r="C1051" s="405"/>
      <c r="D1051" s="405"/>
      <c r="E1051" s="405"/>
      <c r="F1051" s="583"/>
      <c r="G1051" s="583"/>
      <c r="H1051" s="405"/>
      <c r="I1051" s="405"/>
      <c r="J1051" s="405"/>
      <c r="K1051" s="405"/>
      <c r="L1051" s="405"/>
      <c r="M1051" s="405"/>
      <c r="N1051" s="405"/>
      <c r="O1051" s="405"/>
      <c r="P1051" s="405"/>
      <c r="Q1051" s="405"/>
      <c r="R1051" s="405"/>
      <c r="S1051" s="405"/>
      <c r="T1051" s="405"/>
      <c r="U1051" s="405"/>
      <c r="V1051" s="405"/>
      <c r="W1051" s="405"/>
      <c r="X1051" s="405"/>
      <c r="Y1051" s="405"/>
      <c r="Z1051" s="405"/>
    </row>
    <row r="1052" ht="14.25" customHeight="1">
      <c r="A1052" s="405"/>
      <c r="B1052" s="405"/>
      <c r="C1052" s="405"/>
      <c r="D1052" s="405"/>
      <c r="E1052" s="405"/>
      <c r="F1052" s="583"/>
      <c r="G1052" s="583"/>
      <c r="H1052" s="405"/>
      <c r="I1052" s="405"/>
      <c r="J1052" s="405"/>
      <c r="K1052" s="405"/>
      <c r="L1052" s="405"/>
      <c r="M1052" s="405"/>
      <c r="N1052" s="405"/>
      <c r="O1052" s="405"/>
      <c r="P1052" s="405"/>
      <c r="Q1052" s="405"/>
      <c r="R1052" s="405"/>
      <c r="S1052" s="405"/>
      <c r="T1052" s="405"/>
      <c r="U1052" s="405"/>
      <c r="V1052" s="405"/>
      <c r="W1052" s="405"/>
      <c r="X1052" s="405"/>
      <c r="Y1052" s="405"/>
      <c r="Z1052" s="405"/>
    </row>
    <row r="1053" ht="14.25" customHeight="1">
      <c r="A1053" s="405"/>
      <c r="B1053" s="405"/>
      <c r="C1053" s="405"/>
      <c r="D1053" s="405"/>
      <c r="E1053" s="405"/>
      <c r="F1053" s="583"/>
      <c r="G1053" s="583"/>
      <c r="H1053" s="405"/>
      <c r="I1053" s="405"/>
      <c r="J1053" s="405"/>
      <c r="K1053" s="405"/>
      <c r="L1053" s="405"/>
      <c r="M1053" s="405"/>
      <c r="N1053" s="405"/>
      <c r="O1053" s="405"/>
      <c r="P1053" s="405"/>
      <c r="Q1053" s="405"/>
      <c r="R1053" s="405"/>
      <c r="S1053" s="405"/>
      <c r="T1053" s="405"/>
      <c r="U1053" s="405"/>
      <c r="V1053" s="405"/>
      <c r="W1053" s="405"/>
      <c r="X1053" s="405"/>
      <c r="Y1053" s="405"/>
      <c r="Z1053" s="405"/>
    </row>
    <row r="1054" ht="14.25" customHeight="1">
      <c r="A1054" s="405"/>
      <c r="B1054" s="405"/>
      <c r="C1054" s="405"/>
      <c r="D1054" s="405"/>
      <c r="E1054" s="405"/>
      <c r="F1054" s="583"/>
      <c r="G1054" s="583"/>
      <c r="H1054" s="405"/>
      <c r="I1054" s="405"/>
      <c r="J1054" s="405"/>
      <c r="K1054" s="405"/>
      <c r="L1054" s="405"/>
      <c r="M1054" s="405"/>
      <c r="N1054" s="405"/>
      <c r="O1054" s="405"/>
      <c r="P1054" s="405"/>
      <c r="Q1054" s="405"/>
      <c r="R1054" s="405"/>
      <c r="S1054" s="405"/>
      <c r="T1054" s="405"/>
      <c r="U1054" s="405"/>
      <c r="V1054" s="405"/>
      <c r="W1054" s="405"/>
      <c r="X1054" s="405"/>
      <c r="Y1054" s="405"/>
      <c r="Z1054" s="405"/>
    </row>
    <row r="1055" ht="14.25" customHeight="1">
      <c r="A1055" s="405"/>
      <c r="B1055" s="405"/>
      <c r="C1055" s="405"/>
      <c r="D1055" s="405"/>
      <c r="E1055" s="405"/>
      <c r="F1055" s="583"/>
      <c r="G1055" s="583"/>
      <c r="H1055" s="405"/>
      <c r="I1055" s="405"/>
      <c r="J1055" s="405"/>
      <c r="K1055" s="405"/>
      <c r="L1055" s="405"/>
      <c r="M1055" s="405"/>
      <c r="N1055" s="405"/>
      <c r="O1055" s="405"/>
      <c r="P1055" s="405"/>
      <c r="Q1055" s="405"/>
      <c r="R1055" s="405"/>
      <c r="S1055" s="405"/>
      <c r="T1055" s="405"/>
      <c r="U1055" s="405"/>
      <c r="V1055" s="405"/>
      <c r="W1055" s="405"/>
      <c r="X1055" s="405"/>
      <c r="Y1055" s="405"/>
      <c r="Z1055" s="405"/>
    </row>
    <row r="1056" ht="14.25" customHeight="1">
      <c r="A1056" s="405"/>
      <c r="B1056" s="405"/>
      <c r="C1056" s="405"/>
      <c r="D1056" s="405"/>
      <c r="E1056" s="405"/>
      <c r="F1056" s="583"/>
      <c r="G1056" s="583"/>
      <c r="H1056" s="405"/>
      <c r="I1056" s="405"/>
      <c r="J1056" s="405"/>
      <c r="K1056" s="405"/>
      <c r="L1056" s="405"/>
      <c r="M1056" s="405"/>
      <c r="N1056" s="405"/>
      <c r="O1056" s="405"/>
      <c r="P1056" s="405"/>
      <c r="Q1056" s="405"/>
      <c r="R1056" s="405"/>
      <c r="S1056" s="405"/>
      <c r="T1056" s="405"/>
      <c r="U1056" s="405"/>
      <c r="V1056" s="405"/>
      <c r="W1056" s="405"/>
      <c r="X1056" s="405"/>
      <c r="Y1056" s="405"/>
      <c r="Z1056" s="405"/>
    </row>
    <row r="1057" ht="14.25" customHeight="1">
      <c r="A1057" s="405"/>
      <c r="B1057" s="405"/>
      <c r="C1057" s="405"/>
      <c r="D1057" s="405"/>
      <c r="E1057" s="405"/>
      <c r="F1057" s="583"/>
      <c r="G1057" s="583"/>
      <c r="H1057" s="405"/>
      <c r="I1057" s="405"/>
      <c r="J1057" s="405"/>
      <c r="K1057" s="405"/>
      <c r="L1057" s="405"/>
      <c r="M1057" s="405"/>
      <c r="N1057" s="405"/>
      <c r="O1057" s="405"/>
      <c r="P1057" s="405"/>
      <c r="Q1057" s="405"/>
      <c r="R1057" s="405"/>
      <c r="S1057" s="405"/>
      <c r="T1057" s="405"/>
      <c r="U1057" s="405"/>
      <c r="V1057" s="405"/>
      <c r="W1057" s="405"/>
      <c r="X1057" s="405"/>
      <c r="Y1057" s="405"/>
      <c r="Z1057" s="405"/>
    </row>
    <row r="1058" ht="14.25" customHeight="1">
      <c r="A1058" s="405"/>
      <c r="B1058" s="405"/>
      <c r="C1058" s="405"/>
      <c r="D1058" s="405"/>
      <c r="E1058" s="405"/>
      <c r="F1058" s="583"/>
      <c r="G1058" s="583"/>
      <c r="H1058" s="405"/>
      <c r="I1058" s="405"/>
      <c r="J1058" s="405"/>
      <c r="K1058" s="405"/>
      <c r="L1058" s="405"/>
      <c r="M1058" s="405"/>
      <c r="N1058" s="405"/>
      <c r="O1058" s="405"/>
      <c r="P1058" s="405"/>
      <c r="Q1058" s="405"/>
      <c r="R1058" s="405"/>
      <c r="S1058" s="405"/>
      <c r="T1058" s="405"/>
      <c r="U1058" s="405"/>
      <c r="V1058" s="405"/>
      <c r="W1058" s="405"/>
      <c r="X1058" s="405"/>
      <c r="Y1058" s="405"/>
      <c r="Z1058" s="405"/>
    </row>
    <row r="1059" ht="14.25" customHeight="1">
      <c r="A1059" s="405"/>
      <c r="B1059" s="405"/>
      <c r="C1059" s="405"/>
      <c r="D1059" s="405"/>
      <c r="E1059" s="405"/>
      <c r="F1059" s="583"/>
      <c r="G1059" s="583"/>
      <c r="H1059" s="405"/>
      <c r="I1059" s="405"/>
      <c r="J1059" s="405"/>
      <c r="K1059" s="405"/>
      <c r="L1059" s="405"/>
      <c r="M1059" s="405"/>
      <c r="N1059" s="405"/>
      <c r="O1059" s="405"/>
      <c r="P1059" s="405"/>
      <c r="Q1059" s="405"/>
      <c r="R1059" s="405"/>
      <c r="S1059" s="405"/>
      <c r="T1059" s="405"/>
      <c r="U1059" s="405"/>
      <c r="V1059" s="405"/>
      <c r="W1059" s="405"/>
      <c r="X1059" s="405"/>
      <c r="Y1059" s="405"/>
      <c r="Z1059" s="405"/>
    </row>
    <row r="1060" ht="14.25" customHeight="1">
      <c r="A1060" s="405"/>
      <c r="B1060" s="405"/>
      <c r="C1060" s="405"/>
      <c r="D1060" s="405"/>
      <c r="E1060" s="405"/>
      <c r="F1060" s="583"/>
      <c r="G1060" s="583"/>
      <c r="H1060" s="405"/>
      <c r="I1060" s="405"/>
      <c r="J1060" s="405"/>
      <c r="K1060" s="405"/>
      <c r="L1060" s="405"/>
      <c r="M1060" s="405"/>
      <c r="N1060" s="405"/>
      <c r="O1060" s="405"/>
      <c r="P1060" s="405"/>
      <c r="Q1060" s="405"/>
      <c r="R1060" s="405"/>
      <c r="S1060" s="405"/>
      <c r="T1060" s="405"/>
      <c r="U1060" s="405"/>
      <c r="V1060" s="405"/>
      <c r="W1060" s="405"/>
      <c r="X1060" s="405"/>
      <c r="Y1060" s="405"/>
      <c r="Z1060" s="405"/>
    </row>
    <row r="1061" ht="14.25" customHeight="1">
      <c r="A1061" s="405"/>
      <c r="B1061" s="405"/>
      <c r="C1061" s="405"/>
      <c r="D1061" s="405"/>
      <c r="E1061" s="405"/>
      <c r="F1061" s="583"/>
      <c r="G1061" s="583"/>
      <c r="H1061" s="405"/>
      <c r="I1061" s="405"/>
      <c r="J1061" s="405"/>
      <c r="K1061" s="405"/>
      <c r="L1061" s="405"/>
      <c r="M1061" s="405"/>
      <c r="N1061" s="405"/>
      <c r="O1061" s="405"/>
      <c r="P1061" s="405"/>
      <c r="Q1061" s="405"/>
      <c r="R1061" s="405"/>
      <c r="S1061" s="405"/>
      <c r="T1061" s="405"/>
      <c r="U1061" s="405"/>
      <c r="V1061" s="405"/>
      <c r="W1061" s="405"/>
      <c r="X1061" s="405"/>
      <c r="Y1061" s="405"/>
      <c r="Z1061" s="405"/>
    </row>
    <row r="1062" ht="14.25" customHeight="1">
      <c r="A1062" s="405"/>
      <c r="B1062" s="405"/>
      <c r="C1062" s="405"/>
      <c r="D1062" s="405"/>
      <c r="E1062" s="405"/>
      <c r="F1062" s="583"/>
      <c r="G1062" s="583"/>
      <c r="H1062" s="405"/>
      <c r="I1062" s="405"/>
      <c r="J1062" s="405"/>
      <c r="K1062" s="405"/>
      <c r="L1062" s="405"/>
      <c r="M1062" s="405"/>
      <c r="N1062" s="405"/>
      <c r="O1062" s="405"/>
      <c r="P1062" s="405"/>
      <c r="Q1062" s="405"/>
      <c r="R1062" s="405"/>
      <c r="S1062" s="405"/>
      <c r="T1062" s="405"/>
      <c r="U1062" s="405"/>
      <c r="V1062" s="405"/>
      <c r="W1062" s="405"/>
      <c r="X1062" s="405"/>
      <c r="Y1062" s="405"/>
      <c r="Z1062" s="405"/>
    </row>
    <row r="1063" ht="14.25" customHeight="1">
      <c r="A1063" s="405"/>
      <c r="B1063" s="405"/>
      <c r="C1063" s="405"/>
      <c r="D1063" s="405"/>
      <c r="E1063" s="405"/>
      <c r="F1063" s="583"/>
      <c r="G1063" s="583"/>
      <c r="H1063" s="405"/>
      <c r="I1063" s="405"/>
      <c r="J1063" s="405"/>
      <c r="K1063" s="405"/>
      <c r="L1063" s="405"/>
      <c r="M1063" s="405"/>
      <c r="N1063" s="405"/>
      <c r="O1063" s="405"/>
      <c r="P1063" s="405"/>
      <c r="Q1063" s="405"/>
      <c r="R1063" s="405"/>
      <c r="S1063" s="405"/>
      <c r="T1063" s="405"/>
      <c r="U1063" s="405"/>
      <c r="V1063" s="405"/>
      <c r="W1063" s="405"/>
      <c r="X1063" s="405"/>
      <c r="Y1063" s="405"/>
      <c r="Z1063" s="405"/>
    </row>
    <row r="1064" ht="14.25" customHeight="1">
      <c r="A1064" s="405"/>
      <c r="B1064" s="405"/>
      <c r="C1064" s="405"/>
      <c r="D1064" s="405"/>
      <c r="E1064" s="405"/>
      <c r="F1064" s="583"/>
      <c r="G1064" s="583"/>
      <c r="H1064" s="405"/>
      <c r="I1064" s="405"/>
      <c r="J1064" s="405"/>
      <c r="K1064" s="405"/>
      <c r="L1064" s="405"/>
      <c r="M1064" s="405"/>
      <c r="N1064" s="405"/>
      <c r="O1064" s="405"/>
      <c r="P1064" s="405"/>
      <c r="Q1064" s="405"/>
      <c r="R1064" s="405"/>
      <c r="S1064" s="405"/>
      <c r="T1064" s="405"/>
      <c r="U1064" s="405"/>
      <c r="V1064" s="405"/>
      <c r="W1064" s="405"/>
      <c r="X1064" s="405"/>
      <c r="Y1064" s="405"/>
      <c r="Z1064" s="405"/>
    </row>
    <row r="1065" ht="14.25" customHeight="1">
      <c r="A1065" s="405"/>
      <c r="B1065" s="405"/>
      <c r="C1065" s="405"/>
      <c r="D1065" s="405"/>
      <c r="E1065" s="405"/>
      <c r="F1065" s="583"/>
      <c r="G1065" s="583"/>
      <c r="H1065" s="405"/>
      <c r="I1065" s="405"/>
      <c r="J1065" s="405"/>
      <c r="K1065" s="405"/>
      <c r="L1065" s="405"/>
      <c r="M1065" s="405"/>
      <c r="N1065" s="405"/>
      <c r="O1065" s="405"/>
      <c r="P1065" s="405"/>
      <c r="Q1065" s="405"/>
      <c r="R1065" s="405"/>
      <c r="S1065" s="405"/>
      <c r="T1065" s="405"/>
      <c r="U1065" s="405"/>
      <c r="V1065" s="405"/>
      <c r="W1065" s="405"/>
      <c r="X1065" s="405"/>
      <c r="Y1065" s="405"/>
      <c r="Z1065" s="405"/>
    </row>
    <row r="1066" ht="14.25" customHeight="1">
      <c r="A1066" s="405"/>
      <c r="B1066" s="405"/>
      <c r="C1066" s="405"/>
      <c r="D1066" s="405"/>
      <c r="E1066" s="405"/>
      <c r="F1066" s="583"/>
      <c r="G1066" s="583"/>
      <c r="H1066" s="405"/>
      <c r="I1066" s="405"/>
      <c r="J1066" s="405"/>
      <c r="K1066" s="405"/>
      <c r="L1066" s="405"/>
      <c r="M1066" s="405"/>
      <c r="N1066" s="405"/>
      <c r="O1066" s="405"/>
      <c r="P1066" s="405"/>
      <c r="Q1066" s="405"/>
      <c r="R1066" s="405"/>
      <c r="S1066" s="405"/>
      <c r="T1066" s="405"/>
      <c r="U1066" s="405"/>
      <c r="V1066" s="405"/>
      <c r="W1066" s="405"/>
      <c r="X1066" s="405"/>
      <c r="Y1066" s="405"/>
      <c r="Z1066" s="405"/>
    </row>
    <row r="1067" ht="14.25" customHeight="1">
      <c r="A1067" s="405"/>
      <c r="B1067" s="405"/>
      <c r="C1067" s="405"/>
      <c r="D1067" s="405"/>
      <c r="E1067" s="405"/>
      <c r="F1067" s="583"/>
      <c r="G1067" s="583"/>
      <c r="H1067" s="405"/>
      <c r="I1067" s="405"/>
      <c r="J1067" s="405"/>
      <c r="K1067" s="405"/>
      <c r="L1067" s="405"/>
      <c r="M1067" s="405"/>
      <c r="N1067" s="405"/>
      <c r="O1067" s="405"/>
      <c r="P1067" s="405"/>
      <c r="Q1067" s="405"/>
      <c r="R1067" s="405"/>
      <c r="S1067" s="405"/>
      <c r="T1067" s="405"/>
      <c r="U1067" s="405"/>
      <c r="V1067" s="405"/>
      <c r="W1067" s="405"/>
      <c r="X1067" s="405"/>
      <c r="Y1067" s="405"/>
      <c r="Z1067" s="405"/>
    </row>
    <row r="1068" ht="14.25" customHeight="1">
      <c r="A1068" s="405"/>
      <c r="B1068" s="405"/>
      <c r="C1068" s="405"/>
      <c r="D1068" s="405"/>
      <c r="E1068" s="405"/>
      <c r="F1068" s="583"/>
      <c r="G1068" s="583"/>
      <c r="H1068" s="405"/>
      <c r="I1068" s="405"/>
      <c r="J1068" s="405"/>
      <c r="K1068" s="405"/>
      <c r="L1068" s="405"/>
      <c r="M1068" s="405"/>
      <c r="N1068" s="405"/>
      <c r="O1068" s="405"/>
      <c r="P1068" s="405"/>
      <c r="Q1068" s="405"/>
      <c r="R1068" s="405"/>
      <c r="S1068" s="405"/>
      <c r="T1068" s="405"/>
      <c r="U1068" s="405"/>
      <c r="V1068" s="405"/>
      <c r="W1068" s="405"/>
      <c r="X1068" s="405"/>
      <c r="Y1068" s="405"/>
      <c r="Z1068" s="405"/>
    </row>
    <row r="1069" ht="14.25" customHeight="1">
      <c r="A1069" s="405"/>
      <c r="B1069" s="405"/>
      <c r="C1069" s="405"/>
      <c r="D1069" s="405"/>
      <c r="E1069" s="405"/>
      <c r="F1069" s="583"/>
      <c r="G1069" s="583"/>
      <c r="H1069" s="405"/>
      <c r="I1069" s="405"/>
      <c r="J1069" s="405"/>
      <c r="K1069" s="405"/>
      <c r="L1069" s="405"/>
      <c r="M1069" s="405"/>
      <c r="N1069" s="405"/>
      <c r="O1069" s="405"/>
      <c r="P1069" s="405"/>
      <c r="Q1069" s="405"/>
      <c r="R1069" s="405"/>
      <c r="S1069" s="405"/>
      <c r="T1069" s="405"/>
      <c r="U1069" s="405"/>
      <c r="V1069" s="405"/>
      <c r="W1069" s="405"/>
      <c r="X1069" s="405"/>
      <c r="Y1069" s="405"/>
      <c r="Z1069" s="405"/>
    </row>
    <row r="1070" ht="14.25" customHeight="1">
      <c r="A1070" s="405"/>
      <c r="B1070" s="405"/>
      <c r="C1070" s="405"/>
      <c r="D1070" s="405"/>
      <c r="E1070" s="405"/>
      <c r="F1070" s="583"/>
      <c r="G1070" s="583"/>
      <c r="H1070" s="405"/>
      <c r="I1070" s="405"/>
      <c r="J1070" s="405"/>
      <c r="K1070" s="405"/>
      <c r="L1070" s="405"/>
      <c r="M1070" s="405"/>
      <c r="N1070" s="405"/>
      <c r="O1070" s="405"/>
      <c r="P1070" s="405"/>
      <c r="Q1070" s="405"/>
      <c r="R1070" s="405"/>
      <c r="S1070" s="405"/>
      <c r="T1070" s="405"/>
      <c r="U1070" s="405"/>
      <c r="V1070" s="405"/>
      <c r="W1070" s="405"/>
      <c r="X1070" s="405"/>
      <c r="Y1070" s="405"/>
      <c r="Z1070" s="405"/>
    </row>
    <row r="1071" ht="14.25" customHeight="1">
      <c r="A1071" s="405"/>
      <c r="B1071" s="405"/>
      <c r="C1071" s="405"/>
      <c r="D1071" s="405"/>
      <c r="E1071" s="405"/>
      <c r="F1071" s="583"/>
      <c r="G1071" s="583"/>
      <c r="H1071" s="405"/>
      <c r="I1071" s="405"/>
      <c r="J1071" s="405"/>
      <c r="K1071" s="405"/>
      <c r="L1071" s="405"/>
      <c r="M1071" s="405"/>
      <c r="N1071" s="405"/>
      <c r="O1071" s="405"/>
      <c r="P1071" s="405"/>
      <c r="Q1071" s="405"/>
      <c r="R1071" s="405"/>
      <c r="S1071" s="405"/>
      <c r="T1071" s="405"/>
      <c r="U1071" s="405"/>
      <c r="V1071" s="405"/>
      <c r="W1071" s="405"/>
      <c r="X1071" s="405"/>
      <c r="Y1071" s="405"/>
      <c r="Z1071" s="405"/>
    </row>
    <row r="1072" ht="14.25" customHeight="1">
      <c r="A1072" s="405"/>
      <c r="B1072" s="405"/>
      <c r="C1072" s="405"/>
      <c r="D1072" s="405"/>
      <c r="E1072" s="405"/>
      <c r="F1072" s="583"/>
      <c r="G1072" s="583"/>
      <c r="H1072" s="405"/>
      <c r="I1072" s="405"/>
      <c r="J1072" s="405"/>
      <c r="K1072" s="405"/>
      <c r="L1072" s="405"/>
      <c r="M1072" s="405"/>
      <c r="N1072" s="405"/>
      <c r="O1072" s="405"/>
      <c r="P1072" s="405"/>
      <c r="Q1072" s="405"/>
      <c r="R1072" s="405"/>
      <c r="S1072" s="405"/>
      <c r="T1072" s="405"/>
      <c r="U1072" s="405"/>
      <c r="V1072" s="405"/>
      <c r="W1072" s="405"/>
      <c r="X1072" s="405"/>
      <c r="Y1072" s="405"/>
      <c r="Z1072" s="405"/>
    </row>
    <row r="1073" ht="14.25" customHeight="1">
      <c r="A1073" s="405"/>
      <c r="B1073" s="405"/>
      <c r="C1073" s="405"/>
      <c r="D1073" s="405"/>
      <c r="E1073" s="405"/>
      <c r="F1073" s="583"/>
      <c r="G1073" s="583"/>
      <c r="H1073" s="405"/>
      <c r="I1073" s="405"/>
      <c r="J1073" s="405"/>
      <c r="K1073" s="405"/>
      <c r="L1073" s="405"/>
      <c r="M1073" s="405"/>
      <c r="N1073" s="405"/>
      <c r="O1073" s="405"/>
      <c r="P1073" s="405"/>
      <c r="Q1073" s="405"/>
      <c r="R1073" s="405"/>
      <c r="S1073" s="405"/>
      <c r="T1073" s="405"/>
      <c r="U1073" s="405"/>
      <c r="V1073" s="405"/>
      <c r="W1073" s="405"/>
      <c r="X1073" s="405"/>
      <c r="Y1073" s="405"/>
      <c r="Z1073" s="405"/>
    </row>
    <row r="1074" ht="14.25" customHeight="1">
      <c r="A1074" s="405"/>
      <c r="B1074" s="405"/>
      <c r="C1074" s="405"/>
      <c r="D1074" s="405"/>
      <c r="E1074" s="405"/>
      <c r="F1074" s="583"/>
      <c r="G1074" s="583"/>
      <c r="H1074" s="405"/>
      <c r="I1074" s="405"/>
      <c r="J1074" s="405"/>
      <c r="K1074" s="405"/>
      <c r="L1074" s="405"/>
      <c r="M1074" s="405"/>
      <c r="N1074" s="405"/>
      <c r="O1074" s="405"/>
      <c r="P1074" s="405"/>
      <c r="Q1074" s="405"/>
      <c r="R1074" s="405"/>
      <c r="S1074" s="405"/>
      <c r="T1074" s="405"/>
      <c r="U1074" s="405"/>
      <c r="V1074" s="405"/>
      <c r="W1074" s="405"/>
      <c r="X1074" s="405"/>
      <c r="Y1074" s="405"/>
      <c r="Z1074" s="405"/>
    </row>
    <row r="1075" ht="14.25" customHeight="1">
      <c r="A1075" s="405"/>
      <c r="B1075" s="405"/>
      <c r="C1075" s="405"/>
      <c r="D1075" s="405"/>
      <c r="E1075" s="405"/>
      <c r="F1075" s="583"/>
      <c r="G1075" s="583"/>
      <c r="H1075" s="405"/>
      <c r="I1075" s="405"/>
      <c r="J1075" s="405"/>
      <c r="K1075" s="405"/>
      <c r="L1075" s="405"/>
      <c r="M1075" s="405"/>
      <c r="N1075" s="405"/>
      <c r="O1075" s="405"/>
      <c r="P1075" s="405"/>
      <c r="Q1075" s="405"/>
      <c r="R1075" s="405"/>
      <c r="S1075" s="405"/>
      <c r="T1075" s="405"/>
      <c r="U1075" s="405"/>
      <c r="V1075" s="405"/>
      <c r="W1075" s="405"/>
      <c r="X1075" s="405"/>
      <c r="Y1075" s="405"/>
      <c r="Z1075" s="405"/>
    </row>
    <row r="1076" ht="14.25" customHeight="1">
      <c r="A1076" s="405"/>
      <c r="B1076" s="405"/>
      <c r="C1076" s="405"/>
      <c r="D1076" s="405"/>
      <c r="E1076" s="405"/>
      <c r="F1076" s="583"/>
      <c r="G1076" s="583"/>
      <c r="H1076" s="405"/>
      <c r="I1076" s="405"/>
      <c r="J1076" s="405"/>
      <c r="K1076" s="405"/>
      <c r="L1076" s="405"/>
      <c r="M1076" s="405"/>
      <c r="N1076" s="405"/>
      <c r="O1076" s="405"/>
      <c r="P1076" s="405"/>
      <c r="Q1076" s="405"/>
      <c r="R1076" s="405"/>
      <c r="S1076" s="405"/>
      <c r="T1076" s="405"/>
      <c r="U1076" s="405"/>
      <c r="V1076" s="405"/>
      <c r="W1076" s="405"/>
      <c r="X1076" s="405"/>
      <c r="Y1076" s="405"/>
      <c r="Z1076" s="405"/>
    </row>
    <row r="1077" ht="14.25" customHeight="1">
      <c r="A1077" s="405"/>
      <c r="B1077" s="405"/>
      <c r="C1077" s="405"/>
      <c r="D1077" s="405"/>
      <c r="E1077" s="405"/>
      <c r="F1077" s="583"/>
      <c r="G1077" s="583"/>
      <c r="H1077" s="405"/>
      <c r="I1077" s="405"/>
      <c r="J1077" s="405"/>
      <c r="K1077" s="405"/>
      <c r="L1077" s="405"/>
      <c r="M1077" s="405"/>
      <c r="N1077" s="405"/>
      <c r="O1077" s="405"/>
      <c r="P1077" s="405"/>
      <c r="Q1077" s="405"/>
      <c r="R1077" s="405"/>
      <c r="S1077" s="405"/>
      <c r="T1077" s="405"/>
      <c r="U1077" s="405"/>
      <c r="V1077" s="405"/>
      <c r="W1077" s="405"/>
      <c r="X1077" s="405"/>
      <c r="Y1077" s="405"/>
      <c r="Z1077" s="405"/>
    </row>
    <row r="1078" ht="14.25" customHeight="1">
      <c r="A1078" s="405"/>
      <c r="B1078" s="405"/>
      <c r="C1078" s="405"/>
      <c r="D1078" s="405"/>
      <c r="E1078" s="405"/>
      <c r="F1078" s="583"/>
      <c r="G1078" s="583"/>
      <c r="H1078" s="405"/>
      <c r="I1078" s="405"/>
      <c r="J1078" s="405"/>
      <c r="K1078" s="405"/>
      <c r="L1078" s="405"/>
      <c r="M1078" s="405"/>
      <c r="N1078" s="405"/>
      <c r="O1078" s="405"/>
      <c r="P1078" s="405"/>
      <c r="Q1078" s="405"/>
      <c r="R1078" s="405"/>
      <c r="S1078" s="405"/>
      <c r="T1078" s="405"/>
      <c r="U1078" s="405"/>
      <c r="V1078" s="405"/>
      <c r="W1078" s="405"/>
      <c r="X1078" s="405"/>
      <c r="Y1078" s="405"/>
      <c r="Z1078" s="405"/>
    </row>
    <row r="1079" ht="14.25" customHeight="1">
      <c r="A1079" s="405"/>
      <c r="B1079" s="405"/>
      <c r="C1079" s="405"/>
      <c r="D1079" s="405"/>
      <c r="E1079" s="405"/>
      <c r="F1079" s="583"/>
      <c r="G1079" s="583"/>
      <c r="H1079" s="405"/>
      <c r="I1079" s="405"/>
      <c r="J1079" s="405"/>
      <c r="K1079" s="405"/>
      <c r="L1079" s="405"/>
      <c r="M1079" s="405"/>
      <c r="N1079" s="405"/>
      <c r="O1079" s="405"/>
      <c r="P1079" s="405"/>
      <c r="Q1079" s="405"/>
      <c r="R1079" s="405"/>
      <c r="S1079" s="405"/>
      <c r="T1079" s="405"/>
      <c r="U1079" s="405"/>
      <c r="V1079" s="405"/>
      <c r="W1079" s="405"/>
      <c r="X1079" s="405"/>
      <c r="Y1079" s="405"/>
      <c r="Z1079" s="405"/>
    </row>
    <row r="1080" ht="14.25" customHeight="1">
      <c r="A1080" s="405"/>
      <c r="B1080" s="405"/>
      <c r="C1080" s="405"/>
      <c r="D1080" s="405"/>
      <c r="E1080" s="405"/>
      <c r="F1080" s="583"/>
      <c r="G1080" s="583"/>
      <c r="H1080" s="405"/>
      <c r="I1080" s="405"/>
      <c r="J1080" s="405"/>
      <c r="K1080" s="405"/>
      <c r="L1080" s="405"/>
      <c r="M1080" s="405"/>
      <c r="N1080" s="405"/>
      <c r="O1080" s="405"/>
      <c r="P1080" s="405"/>
      <c r="Q1080" s="405"/>
      <c r="R1080" s="405"/>
      <c r="S1080" s="405"/>
      <c r="T1080" s="405"/>
      <c r="U1080" s="405"/>
      <c r="V1080" s="405"/>
      <c r="W1080" s="405"/>
      <c r="X1080" s="405"/>
      <c r="Y1080" s="405"/>
      <c r="Z1080" s="405"/>
    </row>
    <row r="1081" ht="14.25" customHeight="1">
      <c r="A1081" s="405"/>
      <c r="B1081" s="405"/>
      <c r="C1081" s="405"/>
      <c r="D1081" s="405"/>
      <c r="E1081" s="405"/>
      <c r="F1081" s="583"/>
      <c r="G1081" s="583"/>
      <c r="H1081" s="405"/>
      <c r="I1081" s="405"/>
      <c r="J1081" s="405"/>
      <c r="K1081" s="405"/>
      <c r="L1081" s="405"/>
      <c r="M1081" s="405"/>
      <c r="N1081" s="405"/>
      <c r="O1081" s="405"/>
      <c r="P1081" s="405"/>
      <c r="Q1081" s="405"/>
      <c r="R1081" s="405"/>
      <c r="S1081" s="405"/>
      <c r="T1081" s="405"/>
      <c r="U1081" s="405"/>
      <c r="V1081" s="405"/>
      <c r="W1081" s="405"/>
      <c r="X1081" s="405"/>
      <c r="Y1081" s="405"/>
      <c r="Z1081" s="405"/>
    </row>
    <row r="1082" ht="14.25" customHeight="1">
      <c r="A1082" s="405"/>
      <c r="B1082" s="405"/>
      <c r="C1082" s="405"/>
      <c r="D1082" s="405"/>
      <c r="E1082" s="405"/>
      <c r="F1082" s="583"/>
      <c r="G1082" s="583"/>
      <c r="H1082" s="405"/>
      <c r="I1082" s="405"/>
      <c r="J1082" s="405"/>
      <c r="K1082" s="405"/>
      <c r="L1082" s="405"/>
      <c r="M1082" s="405"/>
      <c r="N1082" s="405"/>
      <c r="O1082" s="405"/>
      <c r="P1082" s="405"/>
      <c r="Q1082" s="405"/>
      <c r="R1082" s="405"/>
      <c r="S1082" s="405"/>
      <c r="T1082" s="405"/>
      <c r="U1082" s="405"/>
      <c r="V1082" s="405"/>
      <c r="W1082" s="405"/>
      <c r="X1082" s="405"/>
      <c r="Y1082" s="405"/>
      <c r="Z1082" s="405"/>
    </row>
    <row r="1083" ht="14.25" customHeight="1">
      <c r="A1083" s="405"/>
      <c r="B1083" s="405"/>
      <c r="C1083" s="405"/>
      <c r="D1083" s="405"/>
      <c r="E1083" s="405"/>
      <c r="F1083" s="583"/>
      <c r="G1083" s="583"/>
      <c r="H1083" s="405"/>
      <c r="I1083" s="405"/>
      <c r="J1083" s="405"/>
      <c r="K1083" s="405"/>
      <c r="L1083" s="405"/>
      <c r="M1083" s="405"/>
      <c r="N1083" s="405"/>
      <c r="O1083" s="405"/>
      <c r="P1083" s="405"/>
      <c r="Q1083" s="405"/>
      <c r="R1083" s="405"/>
      <c r="S1083" s="405"/>
      <c r="T1083" s="405"/>
      <c r="U1083" s="405"/>
      <c r="V1083" s="405"/>
      <c r="W1083" s="405"/>
      <c r="X1083" s="405"/>
      <c r="Y1083" s="405"/>
      <c r="Z1083" s="405"/>
    </row>
    <row r="1084" ht="14.25" customHeight="1">
      <c r="A1084" s="405"/>
      <c r="B1084" s="405"/>
      <c r="C1084" s="405"/>
      <c r="D1084" s="405"/>
      <c r="E1084" s="405"/>
      <c r="F1084" s="583"/>
      <c r="G1084" s="583"/>
      <c r="H1084" s="405"/>
      <c r="I1084" s="405"/>
      <c r="J1084" s="405"/>
      <c r="K1084" s="405"/>
      <c r="L1084" s="405"/>
      <c r="M1084" s="405"/>
      <c r="N1084" s="405"/>
      <c r="O1084" s="405"/>
      <c r="P1084" s="405"/>
      <c r="Q1084" s="405"/>
      <c r="R1084" s="405"/>
      <c r="S1084" s="405"/>
      <c r="T1084" s="405"/>
      <c r="U1084" s="405"/>
      <c r="V1084" s="405"/>
      <c r="W1084" s="405"/>
      <c r="X1084" s="405"/>
      <c r="Y1084" s="405"/>
      <c r="Z1084" s="405"/>
    </row>
    <row r="1085" ht="14.25" customHeight="1">
      <c r="A1085" s="405"/>
      <c r="B1085" s="405"/>
      <c r="C1085" s="405"/>
      <c r="D1085" s="405"/>
      <c r="E1085" s="405"/>
      <c r="F1085" s="583"/>
      <c r="G1085" s="583"/>
      <c r="H1085" s="405"/>
      <c r="I1085" s="405"/>
      <c r="J1085" s="405"/>
      <c r="K1085" s="405"/>
      <c r="L1085" s="405"/>
      <c r="M1085" s="405"/>
      <c r="N1085" s="405"/>
      <c r="O1085" s="405"/>
      <c r="P1085" s="405"/>
      <c r="Q1085" s="405"/>
      <c r="R1085" s="405"/>
      <c r="S1085" s="405"/>
      <c r="T1085" s="405"/>
      <c r="U1085" s="405"/>
      <c r="V1085" s="405"/>
      <c r="W1085" s="405"/>
      <c r="X1085" s="405"/>
      <c r="Y1085" s="405"/>
      <c r="Z1085" s="405"/>
    </row>
    <row r="1086" ht="14.25" customHeight="1">
      <c r="A1086" s="405"/>
      <c r="B1086" s="405"/>
      <c r="C1086" s="405"/>
      <c r="D1086" s="405"/>
      <c r="E1086" s="405"/>
      <c r="F1086" s="583"/>
      <c r="G1086" s="583"/>
      <c r="H1086" s="405"/>
      <c r="I1086" s="405"/>
      <c r="J1086" s="405"/>
      <c r="K1086" s="405"/>
      <c r="L1086" s="405"/>
      <c r="M1086" s="405"/>
      <c r="N1086" s="405"/>
      <c r="O1086" s="405"/>
      <c r="P1086" s="405"/>
      <c r="Q1086" s="405"/>
      <c r="R1086" s="405"/>
      <c r="S1086" s="405"/>
      <c r="T1086" s="405"/>
      <c r="U1086" s="405"/>
      <c r="V1086" s="405"/>
      <c r="W1086" s="405"/>
      <c r="X1086" s="405"/>
      <c r="Y1086" s="405"/>
      <c r="Z1086" s="405"/>
    </row>
    <row r="1087" ht="14.25" customHeight="1">
      <c r="A1087" s="405"/>
      <c r="B1087" s="405"/>
      <c r="C1087" s="405"/>
      <c r="D1087" s="405"/>
      <c r="E1087" s="405"/>
      <c r="F1087" s="583"/>
      <c r="G1087" s="583"/>
      <c r="H1087" s="405"/>
      <c r="I1087" s="405"/>
      <c r="J1087" s="405"/>
      <c r="K1087" s="405"/>
      <c r="L1087" s="405"/>
      <c r="M1087" s="405"/>
      <c r="N1087" s="405"/>
      <c r="O1087" s="405"/>
      <c r="P1087" s="405"/>
      <c r="Q1087" s="405"/>
      <c r="R1087" s="405"/>
      <c r="S1087" s="405"/>
      <c r="T1087" s="405"/>
      <c r="U1087" s="405"/>
      <c r="V1087" s="405"/>
      <c r="W1087" s="405"/>
      <c r="X1087" s="405"/>
      <c r="Y1087" s="405"/>
      <c r="Z1087" s="405"/>
    </row>
    <row r="1088" ht="14.25" customHeight="1">
      <c r="A1088" s="405"/>
      <c r="B1088" s="405"/>
      <c r="C1088" s="405"/>
      <c r="D1088" s="405"/>
      <c r="E1088" s="405"/>
      <c r="F1088" s="583"/>
      <c r="G1088" s="583"/>
      <c r="H1088" s="405"/>
      <c r="I1088" s="405"/>
      <c r="J1088" s="405"/>
      <c r="K1088" s="405"/>
      <c r="L1088" s="405"/>
      <c r="M1088" s="405"/>
      <c r="N1088" s="405"/>
      <c r="O1088" s="405"/>
      <c r="P1088" s="405"/>
      <c r="Q1088" s="405"/>
      <c r="R1088" s="405"/>
      <c r="S1088" s="405"/>
      <c r="T1088" s="405"/>
      <c r="U1088" s="405"/>
      <c r="V1088" s="405"/>
      <c r="W1088" s="405"/>
      <c r="X1088" s="405"/>
      <c r="Y1088" s="405"/>
      <c r="Z1088" s="405"/>
    </row>
    <row r="1089" ht="14.25" customHeight="1">
      <c r="A1089" s="405"/>
      <c r="B1089" s="405"/>
      <c r="C1089" s="405"/>
      <c r="D1089" s="405"/>
      <c r="E1089" s="405"/>
      <c r="F1089" s="583"/>
      <c r="G1089" s="583"/>
      <c r="H1089" s="405"/>
      <c r="I1089" s="405"/>
      <c r="J1089" s="405"/>
      <c r="K1089" s="405"/>
      <c r="L1089" s="405"/>
      <c r="M1089" s="405"/>
      <c r="N1089" s="405"/>
      <c r="O1089" s="405"/>
      <c r="P1089" s="405"/>
      <c r="Q1089" s="405"/>
      <c r="R1089" s="405"/>
      <c r="S1089" s="405"/>
      <c r="T1089" s="405"/>
      <c r="U1089" s="405"/>
      <c r="V1089" s="405"/>
      <c r="W1089" s="405"/>
      <c r="X1089" s="405"/>
      <c r="Y1089" s="405"/>
      <c r="Z1089" s="405"/>
    </row>
    <row r="1090" ht="14.25" customHeight="1">
      <c r="A1090" s="405"/>
      <c r="B1090" s="405"/>
      <c r="C1090" s="405"/>
      <c r="D1090" s="405"/>
      <c r="E1090" s="405"/>
      <c r="F1090" s="583"/>
      <c r="G1090" s="583"/>
      <c r="H1090" s="405"/>
      <c r="I1090" s="405"/>
      <c r="J1090" s="405"/>
      <c r="K1090" s="405"/>
      <c r="L1090" s="405"/>
      <c r="M1090" s="405"/>
      <c r="N1090" s="405"/>
      <c r="O1090" s="405"/>
      <c r="P1090" s="405"/>
      <c r="Q1090" s="405"/>
      <c r="R1090" s="405"/>
      <c r="S1090" s="405"/>
      <c r="T1090" s="405"/>
      <c r="U1090" s="405"/>
      <c r="V1090" s="405"/>
      <c r="W1090" s="405"/>
      <c r="X1090" s="405"/>
      <c r="Y1090" s="405"/>
      <c r="Z1090" s="405"/>
    </row>
    <row r="1091" ht="14.25" customHeight="1">
      <c r="A1091" s="405"/>
      <c r="B1091" s="405"/>
      <c r="C1091" s="405"/>
      <c r="D1091" s="405"/>
      <c r="E1091" s="405"/>
      <c r="F1091" s="583"/>
      <c r="G1091" s="583"/>
      <c r="H1091" s="405"/>
      <c r="I1091" s="405"/>
      <c r="J1091" s="405"/>
      <c r="K1091" s="405"/>
      <c r="L1091" s="405"/>
      <c r="M1091" s="405"/>
      <c r="N1091" s="405"/>
      <c r="O1091" s="405"/>
      <c r="P1091" s="405"/>
      <c r="Q1091" s="405"/>
      <c r="R1091" s="405"/>
      <c r="S1091" s="405"/>
      <c r="T1091" s="405"/>
      <c r="U1091" s="405"/>
      <c r="V1091" s="405"/>
      <c r="W1091" s="405"/>
      <c r="X1091" s="405"/>
      <c r="Y1091" s="405"/>
      <c r="Z1091" s="405"/>
    </row>
    <row r="1092" ht="14.25" customHeight="1">
      <c r="A1092" s="405"/>
      <c r="B1092" s="405"/>
      <c r="C1092" s="405"/>
      <c r="D1092" s="405"/>
      <c r="E1092" s="405"/>
      <c r="F1092" s="583"/>
      <c r="G1092" s="583"/>
      <c r="H1092" s="405"/>
      <c r="I1092" s="405"/>
      <c r="J1092" s="405"/>
      <c r="K1092" s="405"/>
      <c r="L1092" s="405"/>
      <c r="M1092" s="405"/>
      <c r="N1092" s="405"/>
      <c r="O1092" s="405"/>
      <c r="P1092" s="405"/>
      <c r="Q1092" s="405"/>
      <c r="R1092" s="405"/>
      <c r="S1092" s="405"/>
      <c r="T1092" s="405"/>
      <c r="U1092" s="405"/>
      <c r="V1092" s="405"/>
      <c r="W1092" s="405"/>
      <c r="X1092" s="405"/>
      <c r="Y1092" s="405"/>
      <c r="Z1092" s="405"/>
    </row>
    <row r="1093" ht="14.25" customHeight="1">
      <c r="A1093" s="405"/>
      <c r="B1093" s="405"/>
      <c r="C1093" s="405"/>
      <c r="D1093" s="405"/>
      <c r="E1093" s="405"/>
      <c r="F1093" s="583"/>
      <c r="G1093" s="583"/>
      <c r="H1093" s="405"/>
      <c r="I1093" s="405"/>
      <c r="J1093" s="405"/>
      <c r="K1093" s="405"/>
      <c r="L1093" s="405"/>
      <c r="M1093" s="405"/>
      <c r="N1093" s="405"/>
      <c r="O1093" s="405"/>
      <c r="P1093" s="405"/>
      <c r="Q1093" s="405"/>
      <c r="R1093" s="405"/>
      <c r="S1093" s="405"/>
      <c r="T1093" s="405"/>
      <c r="U1093" s="405"/>
      <c r="V1093" s="405"/>
      <c r="W1093" s="405"/>
      <c r="X1093" s="405"/>
      <c r="Y1093" s="405"/>
      <c r="Z1093" s="405"/>
    </row>
    <row r="1094" ht="14.25" customHeight="1">
      <c r="A1094" s="405"/>
      <c r="B1094" s="405"/>
      <c r="C1094" s="405"/>
      <c r="D1094" s="405"/>
      <c r="E1094" s="405"/>
      <c r="F1094" s="583"/>
      <c r="G1094" s="583"/>
      <c r="H1094" s="405"/>
      <c r="I1094" s="405"/>
      <c r="J1094" s="405"/>
      <c r="K1094" s="405"/>
      <c r="L1094" s="405"/>
      <c r="M1094" s="405"/>
      <c r="N1094" s="405"/>
      <c r="O1094" s="405"/>
      <c r="P1094" s="405"/>
      <c r="Q1094" s="405"/>
      <c r="R1094" s="405"/>
      <c r="S1094" s="405"/>
      <c r="T1094" s="405"/>
      <c r="U1094" s="405"/>
      <c r="V1094" s="405"/>
      <c r="W1094" s="405"/>
      <c r="X1094" s="405"/>
      <c r="Y1094" s="405"/>
      <c r="Z1094" s="405"/>
    </row>
    <row r="1095" ht="14.25" customHeight="1">
      <c r="A1095" s="405"/>
      <c r="B1095" s="405"/>
      <c r="C1095" s="405"/>
      <c r="D1095" s="405"/>
      <c r="E1095" s="405"/>
      <c r="F1095" s="583"/>
      <c r="G1095" s="583"/>
      <c r="H1095" s="405"/>
      <c r="I1095" s="405"/>
      <c r="J1095" s="405"/>
      <c r="K1095" s="405"/>
      <c r="L1095" s="405"/>
      <c r="M1095" s="405"/>
      <c r="N1095" s="405"/>
      <c r="O1095" s="405"/>
      <c r="P1095" s="405"/>
      <c r="Q1095" s="405"/>
      <c r="R1095" s="405"/>
      <c r="S1095" s="405"/>
      <c r="T1095" s="405"/>
      <c r="U1095" s="405"/>
      <c r="V1095" s="405"/>
      <c r="W1095" s="405"/>
      <c r="X1095" s="405"/>
      <c r="Y1095" s="405"/>
      <c r="Z1095" s="405"/>
    </row>
    <row r="1096" ht="14.25" customHeight="1">
      <c r="A1096" s="405"/>
      <c r="B1096" s="405"/>
      <c r="C1096" s="405"/>
      <c r="D1096" s="405"/>
      <c r="E1096" s="405"/>
      <c r="F1096" s="583"/>
      <c r="G1096" s="583"/>
      <c r="H1096" s="405"/>
      <c r="I1096" s="405"/>
      <c r="J1096" s="405"/>
      <c r="K1096" s="405"/>
      <c r="L1096" s="405"/>
      <c r="M1096" s="405"/>
      <c r="N1096" s="405"/>
      <c r="O1096" s="405"/>
      <c r="P1096" s="405"/>
      <c r="Q1096" s="405"/>
      <c r="R1096" s="405"/>
      <c r="S1096" s="405"/>
      <c r="T1096" s="405"/>
      <c r="U1096" s="405"/>
      <c r="V1096" s="405"/>
      <c r="W1096" s="405"/>
      <c r="X1096" s="405"/>
      <c r="Y1096" s="405"/>
      <c r="Z1096" s="405"/>
    </row>
    <row r="1097" ht="14.25" customHeight="1">
      <c r="A1097" s="405"/>
      <c r="B1097" s="405"/>
      <c r="C1097" s="405"/>
      <c r="D1097" s="405"/>
      <c r="E1097" s="405"/>
      <c r="F1097" s="583"/>
      <c r="G1097" s="583"/>
      <c r="H1097" s="405"/>
      <c r="I1097" s="405"/>
      <c r="J1097" s="405"/>
      <c r="K1097" s="405"/>
      <c r="L1097" s="405"/>
      <c r="M1097" s="405"/>
      <c r="N1097" s="405"/>
      <c r="O1097" s="405"/>
      <c r="P1097" s="405"/>
      <c r="Q1097" s="405"/>
      <c r="R1097" s="405"/>
      <c r="S1097" s="405"/>
      <c r="T1097" s="405"/>
      <c r="U1097" s="405"/>
      <c r="V1097" s="405"/>
      <c r="W1097" s="405"/>
      <c r="X1097" s="405"/>
      <c r="Y1097" s="405"/>
      <c r="Z1097" s="405"/>
    </row>
    <row r="1098" ht="14.25" customHeight="1">
      <c r="A1098" s="405"/>
      <c r="B1098" s="405"/>
      <c r="C1098" s="405"/>
      <c r="D1098" s="405"/>
      <c r="E1098" s="405"/>
      <c r="F1098" s="583"/>
      <c r="G1098" s="583"/>
      <c r="H1098" s="405"/>
      <c r="I1098" s="405"/>
      <c r="J1098" s="405"/>
      <c r="K1098" s="405"/>
      <c r="L1098" s="405"/>
      <c r="M1098" s="405"/>
      <c r="N1098" s="405"/>
      <c r="O1098" s="405"/>
      <c r="P1098" s="405"/>
      <c r="Q1098" s="405"/>
      <c r="R1098" s="405"/>
      <c r="S1098" s="405"/>
      <c r="T1098" s="405"/>
      <c r="U1098" s="405"/>
      <c r="V1098" s="405"/>
      <c r="W1098" s="405"/>
      <c r="X1098" s="405"/>
      <c r="Y1098" s="405"/>
      <c r="Z1098" s="405"/>
    </row>
    <row r="1099" ht="14.25" customHeight="1">
      <c r="A1099" s="405"/>
      <c r="B1099" s="405"/>
      <c r="C1099" s="405"/>
      <c r="D1099" s="405"/>
      <c r="E1099" s="405"/>
      <c r="F1099" s="583"/>
      <c r="G1099" s="583"/>
      <c r="H1099" s="405"/>
      <c r="I1099" s="405"/>
      <c r="J1099" s="405"/>
      <c r="K1099" s="405"/>
      <c r="L1099" s="405"/>
      <c r="M1099" s="405"/>
      <c r="N1099" s="405"/>
      <c r="O1099" s="405"/>
      <c r="P1099" s="405"/>
      <c r="Q1099" s="405"/>
      <c r="R1099" s="405"/>
      <c r="S1099" s="405"/>
      <c r="T1099" s="405"/>
      <c r="U1099" s="405"/>
      <c r="V1099" s="405"/>
      <c r="W1099" s="405"/>
      <c r="X1099" s="405"/>
      <c r="Y1099" s="405"/>
      <c r="Z1099" s="405"/>
    </row>
    <row r="1100" ht="14.25" customHeight="1">
      <c r="A1100" s="405"/>
      <c r="B1100" s="405"/>
      <c r="C1100" s="405"/>
      <c r="D1100" s="405"/>
      <c r="E1100" s="405"/>
      <c r="F1100" s="583"/>
      <c r="G1100" s="583"/>
      <c r="H1100" s="405"/>
      <c r="I1100" s="405"/>
      <c r="J1100" s="405"/>
      <c r="K1100" s="405"/>
      <c r="L1100" s="405"/>
      <c r="M1100" s="405"/>
      <c r="N1100" s="405"/>
      <c r="O1100" s="405"/>
      <c r="P1100" s="405"/>
      <c r="Q1100" s="405"/>
      <c r="R1100" s="405"/>
      <c r="S1100" s="405"/>
      <c r="T1100" s="405"/>
      <c r="U1100" s="405"/>
      <c r="V1100" s="405"/>
      <c r="W1100" s="405"/>
      <c r="X1100" s="405"/>
      <c r="Y1100" s="405"/>
      <c r="Z1100" s="405"/>
    </row>
    <row r="1101" ht="14.25" customHeight="1">
      <c r="A1101" s="405"/>
      <c r="B1101" s="405"/>
      <c r="C1101" s="405"/>
      <c r="D1101" s="405"/>
      <c r="E1101" s="405"/>
      <c r="F1101" s="583"/>
      <c r="G1101" s="583"/>
      <c r="H1101" s="405"/>
      <c r="I1101" s="405"/>
      <c r="J1101" s="405"/>
      <c r="K1101" s="405"/>
      <c r="L1101" s="405"/>
      <c r="M1101" s="405"/>
      <c r="N1101" s="405"/>
      <c r="O1101" s="405"/>
      <c r="P1101" s="405"/>
      <c r="Q1101" s="405"/>
      <c r="R1101" s="405"/>
      <c r="S1101" s="405"/>
      <c r="T1101" s="405"/>
      <c r="U1101" s="405"/>
      <c r="V1101" s="405"/>
      <c r="W1101" s="405"/>
      <c r="X1101" s="405"/>
      <c r="Y1101" s="405"/>
      <c r="Z1101" s="405"/>
    </row>
    <row r="1102" ht="14.25" customHeight="1">
      <c r="A1102" s="405"/>
      <c r="B1102" s="405"/>
      <c r="C1102" s="405"/>
      <c r="D1102" s="405"/>
      <c r="E1102" s="405"/>
      <c r="F1102" s="583"/>
      <c r="G1102" s="583"/>
      <c r="H1102" s="405"/>
      <c r="I1102" s="405"/>
      <c r="J1102" s="405"/>
      <c r="K1102" s="405"/>
      <c r="L1102" s="405"/>
      <c r="M1102" s="405"/>
      <c r="N1102" s="405"/>
      <c r="O1102" s="405"/>
      <c r="P1102" s="405"/>
      <c r="Q1102" s="405"/>
      <c r="R1102" s="405"/>
      <c r="S1102" s="405"/>
      <c r="T1102" s="405"/>
      <c r="U1102" s="405"/>
      <c r="V1102" s="405"/>
      <c r="W1102" s="405"/>
      <c r="X1102" s="405"/>
      <c r="Y1102" s="405"/>
      <c r="Z1102" s="405"/>
    </row>
    <row r="1103" ht="14.25" customHeight="1">
      <c r="A1103" s="405"/>
      <c r="B1103" s="405"/>
      <c r="C1103" s="405"/>
      <c r="D1103" s="405"/>
      <c r="E1103" s="405"/>
      <c r="F1103" s="583"/>
      <c r="G1103" s="583"/>
      <c r="H1103" s="405"/>
      <c r="I1103" s="405"/>
      <c r="J1103" s="405"/>
      <c r="K1103" s="405"/>
      <c r="L1103" s="405"/>
      <c r="M1103" s="405"/>
      <c r="N1103" s="405"/>
      <c r="O1103" s="405"/>
      <c r="P1103" s="405"/>
      <c r="Q1103" s="405"/>
      <c r="R1103" s="405"/>
      <c r="S1103" s="405"/>
      <c r="T1103" s="405"/>
      <c r="U1103" s="405"/>
      <c r="V1103" s="405"/>
      <c r="W1103" s="405"/>
      <c r="X1103" s="405"/>
      <c r="Y1103" s="405"/>
      <c r="Z1103" s="405"/>
    </row>
    <row r="1104" ht="14.25" customHeight="1">
      <c r="A1104" s="405"/>
      <c r="B1104" s="405"/>
      <c r="C1104" s="405"/>
      <c r="D1104" s="405"/>
      <c r="E1104" s="405"/>
      <c r="F1104" s="583"/>
      <c r="G1104" s="583"/>
      <c r="H1104" s="405"/>
      <c r="I1104" s="405"/>
      <c r="J1104" s="405"/>
      <c r="K1104" s="405"/>
      <c r="L1104" s="405"/>
      <c r="M1104" s="405"/>
      <c r="N1104" s="405"/>
      <c r="O1104" s="405"/>
      <c r="P1104" s="405"/>
      <c r="Q1104" s="405"/>
      <c r="R1104" s="405"/>
      <c r="S1104" s="405"/>
      <c r="T1104" s="405"/>
      <c r="U1104" s="405"/>
      <c r="V1104" s="405"/>
      <c r="W1104" s="405"/>
      <c r="X1104" s="405"/>
      <c r="Y1104" s="405"/>
      <c r="Z1104" s="405"/>
    </row>
    <row r="1105" ht="14.25" customHeight="1">
      <c r="A1105" s="405"/>
      <c r="B1105" s="405"/>
      <c r="C1105" s="405"/>
      <c r="D1105" s="405"/>
      <c r="E1105" s="405"/>
      <c r="F1105" s="583"/>
      <c r="G1105" s="583"/>
      <c r="H1105" s="405"/>
      <c r="I1105" s="405"/>
      <c r="J1105" s="405"/>
      <c r="K1105" s="405"/>
      <c r="L1105" s="405"/>
      <c r="M1105" s="405"/>
      <c r="N1105" s="405"/>
      <c r="O1105" s="405"/>
      <c r="P1105" s="405"/>
      <c r="Q1105" s="405"/>
      <c r="R1105" s="405"/>
      <c r="S1105" s="405"/>
      <c r="T1105" s="405"/>
      <c r="U1105" s="405"/>
      <c r="V1105" s="405"/>
      <c r="W1105" s="405"/>
      <c r="X1105" s="405"/>
      <c r="Y1105" s="405"/>
      <c r="Z1105" s="405"/>
    </row>
    <row r="1106" ht="14.25" customHeight="1">
      <c r="A1106" s="405"/>
      <c r="B1106" s="405"/>
      <c r="C1106" s="405"/>
      <c r="D1106" s="405"/>
      <c r="E1106" s="405"/>
      <c r="F1106" s="583"/>
      <c r="G1106" s="583"/>
      <c r="H1106" s="405"/>
      <c r="I1106" s="405"/>
      <c r="J1106" s="405"/>
      <c r="K1106" s="405"/>
      <c r="L1106" s="405"/>
      <c r="M1106" s="405"/>
      <c r="N1106" s="405"/>
      <c r="O1106" s="405"/>
      <c r="P1106" s="405"/>
      <c r="Q1106" s="405"/>
      <c r="R1106" s="405"/>
      <c r="S1106" s="405"/>
      <c r="T1106" s="405"/>
      <c r="U1106" s="405"/>
      <c r="V1106" s="405"/>
      <c r="W1106" s="405"/>
      <c r="X1106" s="405"/>
      <c r="Y1106" s="405"/>
      <c r="Z1106" s="405"/>
    </row>
    <row r="1107" ht="14.25" customHeight="1">
      <c r="A1107" s="405"/>
      <c r="B1107" s="405"/>
      <c r="C1107" s="405"/>
      <c r="D1107" s="405"/>
      <c r="E1107" s="405"/>
      <c r="F1107" s="583"/>
      <c r="G1107" s="583"/>
      <c r="H1107" s="405"/>
      <c r="I1107" s="405"/>
      <c r="J1107" s="405"/>
      <c r="K1107" s="405"/>
      <c r="L1107" s="405"/>
      <c r="M1107" s="405"/>
      <c r="N1107" s="405"/>
      <c r="O1107" s="405"/>
      <c r="P1107" s="405"/>
      <c r="Q1107" s="405"/>
      <c r="R1107" s="405"/>
      <c r="S1107" s="405"/>
      <c r="T1107" s="405"/>
      <c r="U1107" s="405"/>
      <c r="V1107" s="405"/>
      <c r="W1107" s="405"/>
      <c r="X1107" s="405"/>
      <c r="Y1107" s="405"/>
      <c r="Z1107" s="405"/>
    </row>
    <row r="1108" ht="14.25" customHeight="1">
      <c r="A1108" s="405"/>
      <c r="B1108" s="405"/>
      <c r="C1108" s="405"/>
      <c r="D1108" s="405"/>
      <c r="E1108" s="405"/>
      <c r="F1108" s="583"/>
      <c r="G1108" s="583"/>
      <c r="H1108" s="405"/>
      <c r="I1108" s="405"/>
      <c r="J1108" s="405"/>
      <c r="K1108" s="405"/>
      <c r="L1108" s="405"/>
      <c r="M1108" s="405"/>
      <c r="N1108" s="405"/>
      <c r="O1108" s="405"/>
      <c r="P1108" s="405"/>
      <c r="Q1108" s="405"/>
      <c r="R1108" s="405"/>
      <c r="S1108" s="405"/>
      <c r="T1108" s="405"/>
      <c r="U1108" s="405"/>
      <c r="V1108" s="405"/>
      <c r="W1108" s="405"/>
      <c r="X1108" s="405"/>
      <c r="Y1108" s="405"/>
      <c r="Z1108" s="405"/>
    </row>
    <row r="1109" ht="14.25" customHeight="1">
      <c r="A1109" s="405"/>
      <c r="B1109" s="405"/>
      <c r="C1109" s="405"/>
      <c r="D1109" s="405"/>
      <c r="E1109" s="405"/>
      <c r="F1109" s="583"/>
      <c r="G1109" s="583"/>
      <c r="H1109" s="405"/>
      <c r="I1109" s="405"/>
      <c r="J1109" s="405"/>
      <c r="K1109" s="405"/>
      <c r="L1109" s="405"/>
      <c r="M1109" s="405"/>
      <c r="N1109" s="405"/>
      <c r="O1109" s="405"/>
      <c r="P1109" s="405"/>
      <c r="Q1109" s="405"/>
      <c r="R1109" s="405"/>
      <c r="S1109" s="405"/>
      <c r="T1109" s="405"/>
      <c r="U1109" s="405"/>
      <c r="V1109" s="405"/>
      <c r="W1109" s="405"/>
      <c r="X1109" s="405"/>
      <c r="Y1109" s="405"/>
      <c r="Z1109" s="405"/>
    </row>
    <row r="1110" ht="14.25" customHeight="1">
      <c r="A1110" s="405"/>
      <c r="B1110" s="405"/>
      <c r="C1110" s="405"/>
      <c r="D1110" s="405"/>
      <c r="E1110" s="405"/>
      <c r="F1110" s="583"/>
      <c r="G1110" s="583"/>
      <c r="H1110" s="405"/>
      <c r="I1110" s="405"/>
      <c r="J1110" s="405"/>
      <c r="K1110" s="405"/>
      <c r="L1110" s="405"/>
      <c r="M1110" s="405"/>
      <c r="N1110" s="405"/>
      <c r="O1110" s="405"/>
      <c r="P1110" s="405"/>
      <c r="Q1110" s="405"/>
      <c r="R1110" s="405"/>
      <c r="S1110" s="405"/>
      <c r="T1110" s="405"/>
      <c r="U1110" s="405"/>
      <c r="V1110" s="405"/>
      <c r="W1110" s="405"/>
      <c r="X1110" s="405"/>
      <c r="Y1110" s="405"/>
      <c r="Z1110" s="405"/>
    </row>
    <row r="1111" ht="14.25" customHeight="1">
      <c r="A1111" s="405"/>
      <c r="B1111" s="405"/>
      <c r="C1111" s="405"/>
      <c r="D1111" s="405"/>
      <c r="E1111" s="405"/>
      <c r="F1111" s="583"/>
      <c r="G1111" s="583"/>
      <c r="H1111" s="405"/>
      <c r="I1111" s="405"/>
      <c r="J1111" s="405"/>
      <c r="K1111" s="405"/>
      <c r="L1111" s="405"/>
      <c r="M1111" s="405"/>
      <c r="N1111" s="405"/>
      <c r="O1111" s="405"/>
      <c r="P1111" s="405"/>
      <c r="Q1111" s="405"/>
      <c r="R1111" s="405"/>
      <c r="S1111" s="405"/>
      <c r="T1111" s="405"/>
      <c r="U1111" s="405"/>
      <c r="V1111" s="405"/>
      <c r="W1111" s="405"/>
      <c r="X1111" s="405"/>
      <c r="Y1111" s="405"/>
      <c r="Z1111" s="405"/>
    </row>
    <row r="1112" ht="14.25" customHeight="1">
      <c r="A1112" s="405"/>
      <c r="B1112" s="405"/>
      <c r="C1112" s="405"/>
      <c r="D1112" s="405"/>
      <c r="E1112" s="405"/>
      <c r="F1112" s="583"/>
      <c r="G1112" s="583"/>
      <c r="H1112" s="405"/>
      <c r="I1112" s="405"/>
      <c r="J1112" s="405"/>
      <c r="K1112" s="405"/>
      <c r="L1112" s="405"/>
      <c r="M1112" s="405"/>
      <c r="N1112" s="405"/>
      <c r="O1112" s="405"/>
      <c r="P1112" s="405"/>
      <c r="Q1112" s="405"/>
      <c r="R1112" s="405"/>
      <c r="S1112" s="405"/>
      <c r="T1112" s="405"/>
      <c r="U1112" s="405"/>
      <c r="V1112" s="405"/>
      <c r="W1112" s="405"/>
      <c r="X1112" s="405"/>
      <c r="Y1112" s="405"/>
      <c r="Z1112" s="405"/>
    </row>
    <row r="1113" ht="14.25" customHeight="1">
      <c r="A1113" s="405"/>
      <c r="B1113" s="405"/>
      <c r="C1113" s="405"/>
      <c r="D1113" s="405"/>
      <c r="E1113" s="405"/>
      <c r="F1113" s="583"/>
      <c r="G1113" s="583"/>
      <c r="H1113" s="405"/>
      <c r="I1113" s="405"/>
      <c r="J1113" s="405"/>
      <c r="K1113" s="405"/>
      <c r="L1113" s="405"/>
      <c r="M1113" s="405"/>
      <c r="N1113" s="405"/>
      <c r="O1113" s="405"/>
      <c r="P1113" s="405"/>
      <c r="Q1113" s="405"/>
      <c r="R1113" s="405"/>
      <c r="S1113" s="405"/>
      <c r="T1113" s="405"/>
      <c r="U1113" s="405"/>
      <c r="V1113" s="405"/>
      <c r="W1113" s="405"/>
      <c r="X1113" s="405"/>
      <c r="Y1113" s="405"/>
      <c r="Z1113" s="405"/>
    </row>
    <row r="1114" ht="14.25" customHeight="1">
      <c r="A1114" s="405"/>
      <c r="B1114" s="405"/>
      <c r="C1114" s="405"/>
      <c r="D1114" s="405"/>
      <c r="E1114" s="405"/>
      <c r="F1114" s="583"/>
      <c r="G1114" s="583"/>
      <c r="H1114" s="405"/>
      <c r="I1114" s="405"/>
      <c r="J1114" s="405"/>
      <c r="K1114" s="405"/>
      <c r="L1114" s="405"/>
      <c r="M1114" s="405"/>
      <c r="N1114" s="405"/>
      <c r="O1114" s="405"/>
      <c r="P1114" s="405"/>
      <c r="Q1114" s="405"/>
      <c r="R1114" s="405"/>
      <c r="S1114" s="405"/>
      <c r="T1114" s="405"/>
      <c r="U1114" s="405"/>
      <c r="V1114" s="405"/>
      <c r="W1114" s="405"/>
      <c r="X1114" s="405"/>
      <c r="Y1114" s="405"/>
      <c r="Z1114" s="405"/>
    </row>
    <row r="1115" ht="14.25" customHeight="1">
      <c r="A1115" s="405"/>
      <c r="B1115" s="405"/>
      <c r="C1115" s="405"/>
      <c r="D1115" s="405"/>
      <c r="E1115" s="405"/>
      <c r="F1115" s="583"/>
      <c r="G1115" s="583"/>
      <c r="H1115" s="405"/>
      <c r="I1115" s="405"/>
      <c r="J1115" s="405"/>
      <c r="K1115" s="405"/>
      <c r="L1115" s="405"/>
      <c r="M1115" s="405"/>
      <c r="N1115" s="405"/>
      <c r="O1115" s="405"/>
      <c r="P1115" s="405"/>
      <c r="Q1115" s="405"/>
      <c r="R1115" s="405"/>
      <c r="S1115" s="405"/>
      <c r="T1115" s="405"/>
      <c r="U1115" s="405"/>
      <c r="V1115" s="405"/>
      <c r="W1115" s="405"/>
      <c r="X1115" s="405"/>
      <c r="Y1115" s="405"/>
      <c r="Z1115" s="405"/>
    </row>
    <row r="1116" ht="14.25" customHeight="1">
      <c r="A1116" s="405"/>
      <c r="B1116" s="405"/>
      <c r="C1116" s="405"/>
      <c r="D1116" s="405"/>
      <c r="E1116" s="405"/>
      <c r="F1116" s="583"/>
      <c r="G1116" s="583"/>
      <c r="H1116" s="405"/>
      <c r="I1116" s="405"/>
      <c r="J1116" s="405"/>
      <c r="K1116" s="405"/>
      <c r="L1116" s="405"/>
      <c r="M1116" s="405"/>
      <c r="N1116" s="405"/>
      <c r="O1116" s="405"/>
      <c r="P1116" s="405"/>
      <c r="Q1116" s="405"/>
      <c r="R1116" s="405"/>
      <c r="S1116" s="405"/>
      <c r="T1116" s="405"/>
      <c r="U1116" s="405"/>
      <c r="V1116" s="405"/>
      <c r="W1116" s="405"/>
      <c r="X1116" s="405"/>
      <c r="Y1116" s="405"/>
      <c r="Z1116" s="405"/>
    </row>
    <row r="1117" ht="14.25" customHeight="1">
      <c r="A1117" s="405"/>
      <c r="B1117" s="405"/>
      <c r="C1117" s="405"/>
      <c r="D1117" s="405"/>
      <c r="E1117" s="405"/>
      <c r="F1117" s="583"/>
      <c r="G1117" s="583"/>
      <c r="H1117" s="405"/>
      <c r="I1117" s="405"/>
      <c r="J1117" s="405"/>
      <c r="K1117" s="405"/>
      <c r="L1117" s="405"/>
      <c r="M1117" s="405"/>
      <c r="N1117" s="405"/>
      <c r="O1117" s="405"/>
      <c r="P1117" s="405"/>
      <c r="Q1117" s="405"/>
      <c r="R1117" s="405"/>
      <c r="S1117" s="405"/>
      <c r="T1117" s="405"/>
      <c r="U1117" s="405"/>
      <c r="V1117" s="405"/>
      <c r="W1117" s="405"/>
      <c r="X1117" s="405"/>
      <c r="Y1117" s="405"/>
      <c r="Z1117" s="405"/>
    </row>
    <row r="1118" ht="14.25" customHeight="1">
      <c r="A1118" s="405"/>
      <c r="B1118" s="405"/>
      <c r="C1118" s="405"/>
      <c r="D1118" s="405"/>
      <c r="E1118" s="405"/>
      <c r="F1118" s="583"/>
      <c r="G1118" s="583"/>
      <c r="H1118" s="405"/>
      <c r="I1118" s="405"/>
      <c r="J1118" s="405"/>
      <c r="K1118" s="405"/>
      <c r="L1118" s="405"/>
      <c r="M1118" s="405"/>
      <c r="N1118" s="405"/>
      <c r="O1118" s="405"/>
      <c r="P1118" s="405"/>
      <c r="Q1118" s="405"/>
      <c r="R1118" s="405"/>
      <c r="S1118" s="405"/>
      <c r="T1118" s="405"/>
      <c r="U1118" s="405"/>
      <c r="V1118" s="405"/>
      <c r="W1118" s="405"/>
      <c r="X1118" s="405"/>
      <c r="Y1118" s="405"/>
      <c r="Z1118" s="405"/>
    </row>
    <row r="1119" ht="14.25" customHeight="1">
      <c r="A1119" s="405"/>
      <c r="B1119" s="405"/>
      <c r="C1119" s="405"/>
      <c r="D1119" s="405"/>
      <c r="E1119" s="405"/>
      <c r="F1119" s="583"/>
      <c r="G1119" s="583"/>
      <c r="H1119" s="405"/>
      <c r="I1119" s="405"/>
      <c r="J1119" s="405"/>
      <c r="K1119" s="405"/>
      <c r="L1119" s="405"/>
      <c r="M1119" s="405"/>
      <c r="N1119" s="405"/>
      <c r="O1119" s="405"/>
      <c r="P1119" s="405"/>
      <c r="Q1119" s="405"/>
      <c r="R1119" s="405"/>
      <c r="S1119" s="405"/>
      <c r="T1119" s="405"/>
      <c r="U1119" s="405"/>
      <c r="V1119" s="405"/>
      <c r="W1119" s="405"/>
      <c r="X1119" s="405"/>
      <c r="Y1119" s="405"/>
      <c r="Z1119" s="405"/>
    </row>
    <row r="1120" ht="14.25" customHeight="1">
      <c r="A1120" s="405"/>
      <c r="B1120" s="405"/>
      <c r="C1120" s="405"/>
      <c r="D1120" s="405"/>
      <c r="E1120" s="405"/>
      <c r="F1120" s="583"/>
      <c r="G1120" s="583"/>
      <c r="H1120" s="405"/>
      <c r="I1120" s="405"/>
      <c r="J1120" s="405"/>
      <c r="K1120" s="405"/>
      <c r="L1120" s="405"/>
      <c r="M1120" s="405"/>
      <c r="N1120" s="405"/>
      <c r="O1120" s="405"/>
      <c r="P1120" s="405"/>
      <c r="Q1120" s="405"/>
      <c r="R1120" s="405"/>
      <c r="S1120" s="405"/>
      <c r="T1120" s="405"/>
      <c r="U1120" s="405"/>
      <c r="V1120" s="405"/>
      <c r="W1120" s="405"/>
      <c r="X1120" s="405"/>
      <c r="Y1120" s="405"/>
      <c r="Z1120" s="405"/>
    </row>
    <row r="1121" ht="14.25" customHeight="1">
      <c r="A1121" s="405"/>
      <c r="B1121" s="405"/>
      <c r="C1121" s="405"/>
      <c r="D1121" s="405"/>
      <c r="E1121" s="405"/>
      <c r="F1121" s="583"/>
      <c r="G1121" s="583"/>
      <c r="H1121" s="405"/>
      <c r="I1121" s="405"/>
      <c r="J1121" s="405"/>
      <c r="K1121" s="405"/>
      <c r="L1121" s="405"/>
      <c r="M1121" s="405"/>
      <c r="N1121" s="405"/>
      <c r="O1121" s="405"/>
      <c r="P1121" s="405"/>
      <c r="Q1121" s="405"/>
      <c r="R1121" s="405"/>
      <c r="S1121" s="405"/>
      <c r="T1121" s="405"/>
      <c r="U1121" s="405"/>
      <c r="V1121" s="405"/>
      <c r="W1121" s="405"/>
      <c r="X1121" s="405"/>
      <c r="Y1121" s="405"/>
      <c r="Z1121" s="405"/>
    </row>
    <row r="1122" ht="14.25" customHeight="1">
      <c r="A1122" s="405"/>
      <c r="B1122" s="405"/>
      <c r="C1122" s="405"/>
      <c r="D1122" s="405"/>
      <c r="E1122" s="405"/>
      <c r="F1122" s="583"/>
      <c r="G1122" s="583"/>
      <c r="H1122" s="405"/>
      <c r="I1122" s="405"/>
      <c r="J1122" s="405"/>
      <c r="K1122" s="405"/>
      <c r="L1122" s="405"/>
      <c r="M1122" s="405"/>
      <c r="N1122" s="405"/>
      <c r="O1122" s="405"/>
      <c r="P1122" s="405"/>
      <c r="Q1122" s="405"/>
      <c r="R1122" s="405"/>
      <c r="S1122" s="405"/>
      <c r="T1122" s="405"/>
      <c r="U1122" s="405"/>
      <c r="V1122" s="405"/>
      <c r="W1122" s="405"/>
      <c r="X1122" s="405"/>
      <c r="Y1122" s="405"/>
      <c r="Z1122" s="405"/>
    </row>
    <row r="1123" ht="14.25" customHeight="1">
      <c r="A1123" s="405"/>
      <c r="B1123" s="405"/>
      <c r="C1123" s="405"/>
      <c r="D1123" s="405"/>
      <c r="E1123" s="405"/>
      <c r="F1123" s="583"/>
      <c r="G1123" s="583"/>
      <c r="H1123" s="405"/>
      <c r="I1123" s="405"/>
      <c r="J1123" s="405"/>
      <c r="K1123" s="405"/>
      <c r="L1123" s="405"/>
      <c r="M1123" s="405"/>
      <c r="N1123" s="405"/>
      <c r="O1123" s="405"/>
      <c r="P1123" s="405"/>
      <c r="Q1123" s="405"/>
      <c r="R1123" s="405"/>
      <c r="S1123" s="405"/>
      <c r="T1123" s="405"/>
      <c r="U1123" s="405"/>
      <c r="V1123" s="405"/>
      <c r="W1123" s="405"/>
      <c r="X1123" s="405"/>
      <c r="Y1123" s="405"/>
      <c r="Z1123" s="405"/>
    </row>
    <row r="1124" ht="14.25" customHeight="1">
      <c r="A1124" s="405"/>
      <c r="B1124" s="405"/>
      <c r="C1124" s="405"/>
      <c r="D1124" s="405"/>
      <c r="E1124" s="405"/>
      <c r="F1124" s="583"/>
      <c r="G1124" s="583"/>
      <c r="H1124" s="405"/>
      <c r="I1124" s="405"/>
      <c r="J1124" s="405"/>
      <c r="K1124" s="405"/>
      <c r="L1124" s="405"/>
      <c r="M1124" s="405"/>
      <c r="N1124" s="405"/>
      <c r="O1124" s="405"/>
      <c r="P1124" s="405"/>
      <c r="Q1124" s="405"/>
      <c r="R1124" s="405"/>
      <c r="S1124" s="405"/>
      <c r="T1124" s="405"/>
      <c r="U1124" s="405"/>
      <c r="V1124" s="405"/>
      <c r="W1124" s="405"/>
      <c r="X1124" s="405"/>
      <c r="Y1124" s="405"/>
      <c r="Z1124" s="405"/>
    </row>
    <row r="1125" ht="14.25" customHeight="1">
      <c r="A1125" s="405"/>
      <c r="B1125" s="405"/>
      <c r="C1125" s="405"/>
      <c r="D1125" s="405"/>
      <c r="E1125" s="405"/>
      <c r="F1125" s="583"/>
      <c r="G1125" s="583"/>
      <c r="H1125" s="405"/>
      <c r="I1125" s="405"/>
      <c r="J1125" s="405"/>
      <c r="K1125" s="405"/>
      <c r="L1125" s="405"/>
      <c r="M1125" s="405"/>
      <c r="N1125" s="405"/>
      <c r="O1125" s="405"/>
      <c r="P1125" s="405"/>
      <c r="Q1125" s="405"/>
      <c r="R1125" s="405"/>
      <c r="S1125" s="405"/>
      <c r="T1125" s="405"/>
      <c r="U1125" s="405"/>
      <c r="V1125" s="405"/>
      <c r="W1125" s="405"/>
      <c r="X1125" s="405"/>
      <c r="Y1125" s="405"/>
      <c r="Z1125" s="405"/>
    </row>
    <row r="1126" ht="14.25" customHeight="1">
      <c r="A1126" s="405"/>
      <c r="B1126" s="405"/>
      <c r="C1126" s="405"/>
      <c r="D1126" s="405"/>
      <c r="E1126" s="405"/>
      <c r="F1126" s="583"/>
      <c r="G1126" s="583"/>
      <c r="H1126" s="405"/>
      <c r="I1126" s="405"/>
      <c r="J1126" s="405"/>
      <c r="K1126" s="405"/>
      <c r="L1126" s="405"/>
      <c r="M1126" s="405"/>
      <c r="N1126" s="405"/>
      <c r="O1126" s="405"/>
      <c r="P1126" s="405"/>
      <c r="Q1126" s="405"/>
      <c r="R1126" s="405"/>
      <c r="S1126" s="405"/>
      <c r="T1126" s="405"/>
      <c r="U1126" s="405"/>
      <c r="V1126" s="405"/>
      <c r="W1126" s="405"/>
      <c r="X1126" s="405"/>
      <c r="Y1126" s="405"/>
      <c r="Z1126" s="405"/>
    </row>
    <row r="1127" ht="14.25" customHeight="1">
      <c r="A1127" s="405"/>
      <c r="B1127" s="405"/>
      <c r="C1127" s="405"/>
      <c r="D1127" s="405"/>
      <c r="E1127" s="405"/>
      <c r="F1127" s="583"/>
      <c r="G1127" s="583"/>
      <c r="H1127" s="405"/>
      <c r="I1127" s="405"/>
      <c r="J1127" s="405"/>
      <c r="K1127" s="405"/>
      <c r="L1127" s="405"/>
      <c r="M1127" s="405"/>
      <c r="N1127" s="405"/>
      <c r="O1127" s="405"/>
      <c r="P1127" s="405"/>
      <c r="Q1127" s="405"/>
      <c r="R1127" s="405"/>
      <c r="S1127" s="405"/>
      <c r="T1127" s="405"/>
      <c r="U1127" s="405"/>
      <c r="V1127" s="405"/>
      <c r="W1127" s="405"/>
      <c r="X1127" s="405"/>
      <c r="Y1127" s="405"/>
      <c r="Z1127" s="405"/>
    </row>
    <row r="1128" ht="14.25" customHeight="1">
      <c r="A1128" s="405"/>
      <c r="B1128" s="405"/>
      <c r="C1128" s="405"/>
      <c r="D1128" s="405"/>
      <c r="E1128" s="405"/>
      <c r="F1128" s="583"/>
      <c r="G1128" s="583"/>
      <c r="H1128" s="405"/>
      <c r="I1128" s="405"/>
      <c r="J1128" s="405"/>
      <c r="K1128" s="405"/>
      <c r="L1128" s="405"/>
      <c r="M1128" s="405"/>
      <c r="N1128" s="405"/>
      <c r="O1128" s="405"/>
      <c r="P1128" s="405"/>
      <c r="Q1128" s="405"/>
      <c r="R1128" s="405"/>
      <c r="S1128" s="405"/>
      <c r="T1128" s="405"/>
      <c r="U1128" s="405"/>
      <c r="V1128" s="405"/>
      <c r="W1128" s="405"/>
      <c r="X1128" s="405"/>
      <c r="Y1128" s="405"/>
      <c r="Z1128" s="405"/>
    </row>
    <row r="1129" ht="14.25" customHeight="1">
      <c r="A1129" s="405"/>
      <c r="B1129" s="405"/>
      <c r="C1129" s="405"/>
      <c r="D1129" s="405"/>
      <c r="E1129" s="405"/>
      <c r="F1129" s="583"/>
      <c r="G1129" s="583"/>
      <c r="H1129" s="405"/>
      <c r="I1129" s="405"/>
      <c r="J1129" s="405"/>
      <c r="K1129" s="405"/>
      <c r="L1129" s="405"/>
      <c r="M1129" s="405"/>
      <c r="N1129" s="405"/>
      <c r="O1129" s="405"/>
      <c r="P1129" s="405"/>
      <c r="Q1129" s="405"/>
      <c r="R1129" s="405"/>
      <c r="S1129" s="405"/>
      <c r="T1129" s="405"/>
      <c r="U1129" s="405"/>
      <c r="V1129" s="405"/>
      <c r="W1129" s="405"/>
      <c r="X1129" s="405"/>
      <c r="Y1129" s="405"/>
      <c r="Z1129" s="405"/>
    </row>
    <row r="1130" ht="14.25" customHeight="1">
      <c r="A1130" s="405"/>
      <c r="B1130" s="405"/>
      <c r="C1130" s="405"/>
      <c r="D1130" s="405"/>
      <c r="E1130" s="405"/>
      <c r="F1130" s="583"/>
      <c r="G1130" s="583"/>
      <c r="H1130" s="405"/>
      <c r="I1130" s="405"/>
      <c r="J1130" s="405"/>
      <c r="K1130" s="405"/>
      <c r="L1130" s="405"/>
      <c r="M1130" s="405"/>
      <c r="N1130" s="405"/>
      <c r="O1130" s="405"/>
      <c r="P1130" s="405"/>
      <c r="Q1130" s="405"/>
      <c r="R1130" s="405"/>
      <c r="S1130" s="405"/>
      <c r="T1130" s="405"/>
      <c r="U1130" s="405"/>
      <c r="V1130" s="405"/>
      <c r="W1130" s="405"/>
      <c r="X1130" s="405"/>
      <c r="Y1130" s="405"/>
      <c r="Z1130" s="405"/>
    </row>
    <row r="1131" ht="14.25" customHeight="1">
      <c r="A1131" s="405"/>
      <c r="B1131" s="405"/>
      <c r="C1131" s="405"/>
      <c r="D1131" s="405"/>
      <c r="E1131" s="405"/>
      <c r="F1131" s="583"/>
      <c r="G1131" s="583"/>
      <c r="H1131" s="405"/>
      <c r="I1131" s="405"/>
      <c r="J1131" s="405"/>
      <c r="K1131" s="405"/>
      <c r="L1131" s="405"/>
      <c r="M1131" s="405"/>
      <c r="N1131" s="405"/>
      <c r="O1131" s="405"/>
      <c r="P1131" s="405"/>
      <c r="Q1131" s="405"/>
      <c r="R1131" s="405"/>
      <c r="S1131" s="405"/>
      <c r="T1131" s="405"/>
      <c r="U1131" s="405"/>
      <c r="V1131" s="405"/>
      <c r="W1131" s="405"/>
      <c r="X1131" s="405"/>
      <c r="Y1131" s="405"/>
      <c r="Z1131" s="405"/>
    </row>
    <row r="1132" ht="14.25" customHeight="1">
      <c r="A1132" s="405"/>
      <c r="B1132" s="405"/>
      <c r="C1132" s="405"/>
      <c r="D1132" s="405"/>
      <c r="E1132" s="405"/>
      <c r="F1132" s="583"/>
      <c r="G1132" s="583"/>
      <c r="H1132" s="405"/>
      <c r="I1132" s="405"/>
      <c r="J1132" s="405"/>
      <c r="K1132" s="405"/>
      <c r="L1132" s="405"/>
      <c r="M1132" s="405"/>
      <c r="N1132" s="405"/>
      <c r="O1132" s="405"/>
      <c r="P1132" s="405"/>
      <c r="Q1132" s="405"/>
      <c r="R1132" s="405"/>
      <c r="S1132" s="405"/>
      <c r="T1132" s="405"/>
      <c r="U1132" s="405"/>
      <c r="V1132" s="405"/>
      <c r="W1132" s="405"/>
      <c r="X1132" s="405"/>
      <c r="Y1132" s="405"/>
      <c r="Z1132" s="405"/>
    </row>
    <row r="1133" ht="14.25" customHeight="1">
      <c r="A1133" s="405"/>
      <c r="B1133" s="405"/>
      <c r="C1133" s="405"/>
      <c r="D1133" s="405"/>
      <c r="E1133" s="405"/>
      <c r="F1133" s="583"/>
      <c r="G1133" s="583"/>
      <c r="H1133" s="405"/>
      <c r="I1133" s="405"/>
      <c r="J1133" s="405"/>
      <c r="K1133" s="405"/>
      <c r="L1133" s="405"/>
      <c r="M1133" s="405"/>
      <c r="N1133" s="405"/>
      <c r="O1133" s="405"/>
      <c r="P1133" s="405"/>
      <c r="Q1133" s="405"/>
      <c r="R1133" s="405"/>
      <c r="S1133" s="405"/>
      <c r="T1133" s="405"/>
      <c r="U1133" s="405"/>
      <c r="V1133" s="405"/>
      <c r="W1133" s="405"/>
      <c r="X1133" s="405"/>
      <c r="Y1133" s="405"/>
      <c r="Z1133" s="405"/>
    </row>
    <row r="1134" ht="14.25" customHeight="1">
      <c r="A1134" s="405"/>
      <c r="B1134" s="405"/>
      <c r="C1134" s="405"/>
      <c r="D1134" s="405"/>
      <c r="E1134" s="405"/>
      <c r="F1134" s="583"/>
      <c r="G1134" s="583"/>
      <c r="H1134" s="405"/>
      <c r="I1134" s="405"/>
      <c r="J1134" s="405"/>
      <c r="K1134" s="405"/>
      <c r="L1134" s="405"/>
      <c r="M1134" s="405"/>
      <c r="N1134" s="405"/>
      <c r="O1134" s="405"/>
      <c r="P1134" s="405"/>
      <c r="Q1134" s="405"/>
      <c r="R1134" s="405"/>
      <c r="S1134" s="405"/>
      <c r="T1134" s="405"/>
      <c r="U1134" s="405"/>
      <c r="V1134" s="405"/>
      <c r="W1134" s="405"/>
      <c r="X1134" s="405"/>
      <c r="Y1134" s="405"/>
      <c r="Z1134" s="405"/>
    </row>
    <row r="1135" ht="14.25" customHeight="1">
      <c r="A1135" s="405"/>
      <c r="B1135" s="405"/>
      <c r="C1135" s="405"/>
      <c r="D1135" s="405"/>
      <c r="E1135" s="405"/>
      <c r="F1135" s="583"/>
      <c r="G1135" s="583"/>
      <c r="H1135" s="405"/>
      <c r="I1135" s="405"/>
      <c r="J1135" s="405"/>
      <c r="K1135" s="405"/>
      <c r="L1135" s="405"/>
      <c r="M1135" s="405"/>
      <c r="N1135" s="405"/>
      <c r="O1135" s="405"/>
      <c r="P1135" s="405"/>
      <c r="Q1135" s="405"/>
      <c r="R1135" s="405"/>
      <c r="S1135" s="405"/>
      <c r="T1135" s="405"/>
      <c r="U1135" s="405"/>
      <c r="V1135" s="405"/>
      <c r="W1135" s="405"/>
      <c r="X1135" s="405"/>
      <c r="Y1135" s="405"/>
      <c r="Z1135" s="405"/>
    </row>
    <row r="1136" ht="14.25" customHeight="1">
      <c r="A1136" s="405"/>
      <c r="B1136" s="405"/>
      <c r="C1136" s="405"/>
      <c r="D1136" s="405"/>
      <c r="E1136" s="405"/>
      <c r="F1136" s="583"/>
      <c r="G1136" s="583"/>
      <c r="H1136" s="405"/>
      <c r="I1136" s="405"/>
      <c r="J1136" s="405"/>
      <c r="K1136" s="405"/>
      <c r="L1136" s="405"/>
      <c r="M1136" s="405"/>
      <c r="N1136" s="405"/>
      <c r="O1136" s="405"/>
      <c r="P1136" s="405"/>
      <c r="Q1136" s="405"/>
      <c r="R1136" s="405"/>
      <c r="S1136" s="405"/>
      <c r="T1136" s="405"/>
      <c r="U1136" s="405"/>
      <c r="V1136" s="405"/>
      <c r="W1136" s="405"/>
      <c r="X1136" s="405"/>
      <c r="Y1136" s="405"/>
      <c r="Z1136" s="405"/>
    </row>
    <row r="1137" ht="14.25" customHeight="1">
      <c r="A1137" s="405"/>
      <c r="B1137" s="405"/>
      <c r="C1137" s="405"/>
      <c r="D1137" s="405"/>
      <c r="E1137" s="405"/>
      <c r="F1137" s="583"/>
      <c r="G1137" s="583"/>
      <c r="H1137" s="405"/>
      <c r="I1137" s="405"/>
      <c r="J1137" s="405"/>
      <c r="K1137" s="405"/>
      <c r="L1137" s="405"/>
      <c r="M1137" s="405"/>
      <c r="N1137" s="405"/>
      <c r="O1137" s="405"/>
      <c r="P1137" s="405"/>
      <c r="Q1137" s="405"/>
      <c r="R1137" s="405"/>
      <c r="S1137" s="405"/>
      <c r="T1137" s="405"/>
      <c r="U1137" s="405"/>
      <c r="V1137" s="405"/>
      <c r="W1137" s="405"/>
      <c r="X1137" s="405"/>
      <c r="Y1137" s="405"/>
      <c r="Z1137" s="405"/>
    </row>
    <row r="1138" ht="14.25" customHeight="1">
      <c r="A1138" s="405"/>
      <c r="B1138" s="405"/>
      <c r="C1138" s="405"/>
      <c r="D1138" s="405"/>
      <c r="E1138" s="405"/>
      <c r="F1138" s="583"/>
      <c r="G1138" s="583"/>
      <c r="H1138" s="405"/>
      <c r="I1138" s="405"/>
      <c r="J1138" s="405"/>
      <c r="K1138" s="405"/>
      <c r="L1138" s="405"/>
      <c r="M1138" s="405"/>
      <c r="N1138" s="405"/>
      <c r="O1138" s="405"/>
      <c r="P1138" s="405"/>
      <c r="Q1138" s="405"/>
      <c r="R1138" s="405"/>
      <c r="S1138" s="405"/>
      <c r="T1138" s="405"/>
      <c r="U1138" s="405"/>
      <c r="V1138" s="405"/>
      <c r="W1138" s="405"/>
      <c r="X1138" s="405"/>
      <c r="Y1138" s="405"/>
      <c r="Z1138" s="405"/>
    </row>
    <row r="1139" ht="14.25" customHeight="1">
      <c r="A1139" s="405"/>
      <c r="B1139" s="405"/>
      <c r="C1139" s="405"/>
      <c r="D1139" s="405"/>
      <c r="E1139" s="405"/>
      <c r="F1139" s="583"/>
      <c r="G1139" s="583"/>
      <c r="H1139" s="405"/>
      <c r="I1139" s="405"/>
      <c r="J1139" s="405"/>
      <c r="K1139" s="405"/>
      <c r="L1139" s="405"/>
      <c r="M1139" s="405"/>
      <c r="N1139" s="405"/>
      <c r="O1139" s="405"/>
      <c r="P1139" s="405"/>
      <c r="Q1139" s="405"/>
      <c r="R1139" s="405"/>
      <c r="S1139" s="405"/>
      <c r="T1139" s="405"/>
      <c r="U1139" s="405"/>
      <c r="V1139" s="405"/>
      <c r="W1139" s="405"/>
      <c r="X1139" s="405"/>
      <c r="Y1139" s="405"/>
      <c r="Z1139" s="405"/>
    </row>
    <row r="1140" ht="14.25" customHeight="1">
      <c r="A1140" s="405"/>
      <c r="B1140" s="405"/>
      <c r="C1140" s="405"/>
      <c r="D1140" s="405"/>
      <c r="E1140" s="405"/>
      <c r="F1140" s="583"/>
      <c r="G1140" s="583"/>
      <c r="H1140" s="405"/>
      <c r="I1140" s="405"/>
      <c r="J1140" s="405"/>
      <c r="K1140" s="405"/>
      <c r="L1140" s="405"/>
      <c r="M1140" s="405"/>
      <c r="N1140" s="405"/>
      <c r="O1140" s="405"/>
      <c r="P1140" s="405"/>
      <c r="Q1140" s="405"/>
      <c r="R1140" s="405"/>
      <c r="S1140" s="405"/>
      <c r="T1140" s="405"/>
      <c r="U1140" s="405"/>
      <c r="V1140" s="405"/>
      <c r="W1140" s="405"/>
      <c r="X1140" s="405"/>
      <c r="Y1140" s="405"/>
      <c r="Z1140" s="405"/>
    </row>
    <row r="1141" ht="14.25" customHeight="1">
      <c r="A1141" s="405"/>
      <c r="B1141" s="405"/>
      <c r="C1141" s="405"/>
      <c r="D1141" s="405"/>
      <c r="E1141" s="405"/>
      <c r="F1141" s="583"/>
      <c r="G1141" s="583"/>
      <c r="H1141" s="405"/>
      <c r="I1141" s="405"/>
      <c r="J1141" s="405"/>
      <c r="K1141" s="405"/>
      <c r="L1141" s="405"/>
      <c r="M1141" s="405"/>
      <c r="N1141" s="405"/>
      <c r="O1141" s="405"/>
      <c r="P1141" s="405"/>
      <c r="Q1141" s="405"/>
      <c r="R1141" s="405"/>
      <c r="S1141" s="405"/>
      <c r="T1141" s="405"/>
      <c r="U1141" s="405"/>
      <c r="V1141" s="405"/>
      <c r="W1141" s="405"/>
      <c r="X1141" s="405"/>
      <c r="Y1141" s="405"/>
      <c r="Z1141" s="405"/>
    </row>
    <row r="1142" ht="14.25" customHeight="1">
      <c r="A1142" s="405"/>
      <c r="B1142" s="405"/>
      <c r="C1142" s="405"/>
      <c r="D1142" s="405"/>
      <c r="E1142" s="405"/>
      <c r="F1142" s="583"/>
      <c r="G1142" s="583"/>
      <c r="H1142" s="405"/>
      <c r="I1142" s="405"/>
      <c r="J1142" s="405"/>
      <c r="K1142" s="405"/>
      <c r="L1142" s="405"/>
      <c r="M1142" s="405"/>
      <c r="N1142" s="405"/>
      <c r="O1142" s="405"/>
      <c r="P1142" s="405"/>
      <c r="Q1142" s="405"/>
      <c r="R1142" s="405"/>
      <c r="S1142" s="405"/>
      <c r="T1142" s="405"/>
      <c r="U1142" s="405"/>
      <c r="V1142" s="405"/>
      <c r="W1142" s="405"/>
      <c r="X1142" s="405"/>
      <c r="Y1142" s="405"/>
      <c r="Z1142" s="405"/>
    </row>
    <row r="1143" ht="14.25" customHeight="1">
      <c r="A1143" s="405"/>
      <c r="B1143" s="405"/>
      <c r="C1143" s="405"/>
      <c r="D1143" s="405"/>
      <c r="E1143" s="405"/>
      <c r="F1143" s="583"/>
      <c r="G1143" s="583"/>
      <c r="H1143" s="405"/>
      <c r="I1143" s="405"/>
      <c r="J1143" s="405"/>
      <c r="K1143" s="405"/>
      <c r="L1143" s="405"/>
      <c r="M1143" s="405"/>
      <c r="N1143" s="405"/>
      <c r="O1143" s="405"/>
      <c r="P1143" s="405"/>
      <c r="Q1143" s="405"/>
      <c r="R1143" s="405"/>
      <c r="S1143" s="405"/>
      <c r="T1143" s="405"/>
      <c r="U1143" s="405"/>
      <c r="V1143" s="405"/>
      <c r="W1143" s="405"/>
      <c r="X1143" s="405"/>
      <c r="Y1143" s="405"/>
      <c r="Z1143" s="405"/>
    </row>
    <row r="1144" ht="14.25" customHeight="1">
      <c r="A1144" s="405"/>
      <c r="B1144" s="405"/>
      <c r="C1144" s="405"/>
      <c r="D1144" s="405"/>
      <c r="E1144" s="405"/>
      <c r="F1144" s="583"/>
      <c r="G1144" s="583"/>
      <c r="H1144" s="405"/>
      <c r="I1144" s="405"/>
      <c r="J1144" s="405"/>
      <c r="K1144" s="405"/>
      <c r="L1144" s="405"/>
      <c r="M1144" s="405"/>
      <c r="N1144" s="405"/>
      <c r="O1144" s="405"/>
      <c r="P1144" s="405"/>
      <c r="Q1144" s="405"/>
      <c r="R1144" s="405"/>
      <c r="S1144" s="405"/>
      <c r="T1144" s="405"/>
      <c r="U1144" s="405"/>
      <c r="V1144" s="405"/>
      <c r="W1144" s="405"/>
      <c r="X1144" s="405"/>
      <c r="Y1144" s="405"/>
      <c r="Z1144" s="405"/>
    </row>
    <row r="1145" ht="14.25" customHeight="1">
      <c r="A1145" s="405"/>
      <c r="B1145" s="405"/>
      <c r="C1145" s="405"/>
      <c r="D1145" s="405"/>
      <c r="E1145" s="405"/>
      <c r="F1145" s="583"/>
      <c r="G1145" s="583"/>
      <c r="H1145" s="405"/>
      <c r="I1145" s="405"/>
      <c r="J1145" s="405"/>
      <c r="K1145" s="405"/>
      <c r="L1145" s="405"/>
      <c r="M1145" s="405"/>
      <c r="N1145" s="405"/>
      <c r="O1145" s="405"/>
      <c r="P1145" s="405"/>
      <c r="Q1145" s="405"/>
      <c r="R1145" s="405"/>
      <c r="S1145" s="405"/>
      <c r="T1145" s="405"/>
      <c r="U1145" s="405"/>
      <c r="V1145" s="405"/>
      <c r="W1145" s="405"/>
      <c r="X1145" s="405"/>
      <c r="Y1145" s="405"/>
      <c r="Z1145" s="405"/>
    </row>
    <row r="1146" ht="14.25" customHeight="1">
      <c r="A1146" s="405"/>
      <c r="B1146" s="405"/>
      <c r="C1146" s="405"/>
      <c r="D1146" s="405"/>
      <c r="E1146" s="405"/>
      <c r="F1146" s="583"/>
      <c r="G1146" s="583"/>
      <c r="H1146" s="405"/>
      <c r="I1146" s="405"/>
      <c r="J1146" s="405"/>
      <c r="K1146" s="405"/>
      <c r="L1146" s="405"/>
      <c r="M1146" s="405"/>
      <c r="N1146" s="405"/>
      <c r="O1146" s="405"/>
      <c r="P1146" s="405"/>
      <c r="Q1146" s="405"/>
      <c r="R1146" s="405"/>
      <c r="S1146" s="405"/>
      <c r="T1146" s="405"/>
      <c r="U1146" s="405"/>
      <c r="V1146" s="405"/>
      <c r="W1146" s="405"/>
      <c r="X1146" s="405"/>
      <c r="Y1146" s="405"/>
      <c r="Z1146" s="405"/>
    </row>
    <row r="1147" ht="14.25" customHeight="1">
      <c r="A1147" s="405"/>
      <c r="B1147" s="405"/>
      <c r="C1147" s="405"/>
      <c r="D1147" s="405"/>
      <c r="E1147" s="405"/>
      <c r="F1147" s="583"/>
      <c r="G1147" s="583"/>
      <c r="H1147" s="405"/>
      <c r="I1147" s="405"/>
      <c r="J1147" s="405"/>
      <c r="K1147" s="405"/>
      <c r="L1147" s="405"/>
      <c r="M1147" s="405"/>
      <c r="N1147" s="405"/>
      <c r="O1147" s="405"/>
      <c r="P1147" s="405"/>
      <c r="Q1147" s="405"/>
      <c r="R1147" s="405"/>
      <c r="S1147" s="405"/>
      <c r="T1147" s="405"/>
      <c r="U1147" s="405"/>
      <c r="V1147" s="405"/>
      <c r="W1147" s="405"/>
      <c r="X1147" s="405"/>
      <c r="Y1147" s="405"/>
      <c r="Z1147" s="405"/>
    </row>
    <row r="1148" ht="14.25" customHeight="1">
      <c r="A1148" s="405"/>
      <c r="B1148" s="405"/>
      <c r="C1148" s="405"/>
      <c r="D1148" s="405"/>
      <c r="E1148" s="405"/>
      <c r="F1148" s="583"/>
      <c r="G1148" s="583"/>
      <c r="H1148" s="405"/>
      <c r="I1148" s="405"/>
      <c r="J1148" s="405"/>
      <c r="K1148" s="405"/>
      <c r="L1148" s="405"/>
      <c r="M1148" s="405"/>
      <c r="N1148" s="405"/>
      <c r="O1148" s="405"/>
      <c r="P1148" s="405"/>
      <c r="Q1148" s="405"/>
      <c r="R1148" s="405"/>
      <c r="S1148" s="405"/>
      <c r="T1148" s="405"/>
      <c r="U1148" s="405"/>
      <c r="V1148" s="405"/>
      <c r="W1148" s="405"/>
      <c r="X1148" s="405"/>
      <c r="Y1148" s="405"/>
      <c r="Z1148" s="405"/>
    </row>
    <row r="1149" ht="14.25" customHeight="1">
      <c r="A1149" s="405"/>
      <c r="B1149" s="405"/>
      <c r="C1149" s="405"/>
      <c r="D1149" s="405"/>
      <c r="E1149" s="405"/>
      <c r="F1149" s="583"/>
      <c r="G1149" s="583"/>
      <c r="H1149" s="405"/>
      <c r="I1149" s="405"/>
      <c r="J1149" s="405"/>
      <c r="K1149" s="405"/>
      <c r="L1149" s="405"/>
      <c r="M1149" s="405"/>
      <c r="N1149" s="405"/>
      <c r="O1149" s="405"/>
      <c r="P1149" s="405"/>
      <c r="Q1149" s="405"/>
      <c r="R1149" s="405"/>
      <c r="S1149" s="405"/>
      <c r="T1149" s="405"/>
      <c r="U1149" s="405"/>
      <c r="V1149" s="405"/>
      <c r="W1149" s="405"/>
      <c r="X1149" s="405"/>
      <c r="Y1149" s="405"/>
      <c r="Z1149" s="405"/>
    </row>
    <row r="1150" ht="14.25" customHeight="1">
      <c r="A1150" s="405"/>
      <c r="B1150" s="405"/>
      <c r="C1150" s="405"/>
      <c r="D1150" s="405"/>
      <c r="E1150" s="405"/>
      <c r="F1150" s="583"/>
      <c r="G1150" s="583"/>
      <c r="H1150" s="405"/>
      <c r="I1150" s="405"/>
      <c r="J1150" s="405"/>
      <c r="K1150" s="405"/>
      <c r="L1150" s="405"/>
      <c r="M1150" s="405"/>
      <c r="N1150" s="405"/>
      <c r="O1150" s="405"/>
      <c r="P1150" s="405"/>
      <c r="Q1150" s="405"/>
      <c r="R1150" s="405"/>
      <c r="S1150" s="405"/>
      <c r="T1150" s="405"/>
      <c r="U1150" s="405"/>
      <c r="V1150" s="405"/>
      <c r="W1150" s="405"/>
      <c r="X1150" s="405"/>
      <c r="Y1150" s="405"/>
      <c r="Z1150" s="405"/>
    </row>
    <row r="1151" ht="14.25" customHeight="1">
      <c r="A1151" s="405"/>
      <c r="B1151" s="405"/>
      <c r="C1151" s="405"/>
      <c r="D1151" s="405"/>
      <c r="E1151" s="405"/>
      <c r="F1151" s="583"/>
      <c r="G1151" s="583"/>
      <c r="H1151" s="405"/>
      <c r="I1151" s="405"/>
      <c r="J1151" s="405"/>
      <c r="K1151" s="405"/>
      <c r="L1151" s="405"/>
      <c r="M1151" s="405"/>
      <c r="N1151" s="405"/>
      <c r="O1151" s="405"/>
      <c r="P1151" s="405"/>
      <c r="Q1151" s="405"/>
      <c r="R1151" s="405"/>
      <c r="S1151" s="405"/>
      <c r="T1151" s="405"/>
      <c r="U1151" s="405"/>
      <c r="V1151" s="405"/>
      <c r="W1151" s="405"/>
      <c r="X1151" s="405"/>
      <c r="Y1151" s="405"/>
      <c r="Z1151" s="405"/>
    </row>
    <row r="1152" ht="14.25" customHeight="1">
      <c r="A1152" s="405"/>
      <c r="B1152" s="405"/>
      <c r="C1152" s="405"/>
      <c r="D1152" s="405"/>
      <c r="E1152" s="405"/>
      <c r="F1152" s="583"/>
      <c r="G1152" s="583"/>
      <c r="H1152" s="405"/>
      <c r="I1152" s="405"/>
      <c r="J1152" s="405"/>
      <c r="K1152" s="405"/>
      <c r="L1152" s="405"/>
      <c r="M1152" s="405"/>
      <c r="N1152" s="405"/>
      <c r="O1152" s="405"/>
      <c r="P1152" s="405"/>
      <c r="Q1152" s="405"/>
      <c r="R1152" s="405"/>
      <c r="S1152" s="405"/>
      <c r="T1152" s="405"/>
      <c r="U1152" s="405"/>
      <c r="V1152" s="405"/>
      <c r="W1152" s="405"/>
      <c r="X1152" s="405"/>
      <c r="Y1152" s="405"/>
      <c r="Z1152" s="405"/>
    </row>
    <row r="1153" ht="14.25" customHeight="1">
      <c r="A1153" s="405"/>
      <c r="B1153" s="405"/>
      <c r="C1153" s="405"/>
      <c r="D1153" s="405"/>
      <c r="E1153" s="405"/>
      <c r="F1153" s="583"/>
      <c r="G1153" s="583"/>
      <c r="H1153" s="405"/>
      <c r="I1153" s="405"/>
      <c r="J1153" s="405"/>
      <c r="K1153" s="405"/>
      <c r="L1153" s="405"/>
      <c r="M1153" s="405"/>
      <c r="N1153" s="405"/>
      <c r="O1153" s="405"/>
      <c r="P1153" s="405"/>
      <c r="Q1153" s="405"/>
      <c r="R1153" s="405"/>
      <c r="S1153" s="405"/>
      <c r="T1153" s="405"/>
      <c r="U1153" s="405"/>
      <c r="V1153" s="405"/>
      <c r="W1153" s="405"/>
      <c r="X1153" s="405"/>
      <c r="Y1153" s="405"/>
      <c r="Z1153" s="405"/>
    </row>
    <row r="1154" ht="14.25" customHeight="1">
      <c r="A1154" s="405"/>
      <c r="B1154" s="405"/>
      <c r="C1154" s="405"/>
      <c r="D1154" s="405"/>
      <c r="E1154" s="405"/>
      <c r="F1154" s="583"/>
      <c r="G1154" s="583"/>
      <c r="H1154" s="405"/>
      <c r="I1154" s="405"/>
      <c r="J1154" s="405"/>
      <c r="K1154" s="405"/>
      <c r="L1154" s="405"/>
      <c r="M1154" s="405"/>
      <c r="N1154" s="405"/>
      <c r="O1154" s="405"/>
      <c r="P1154" s="405"/>
      <c r="Q1154" s="405"/>
      <c r="R1154" s="405"/>
      <c r="S1154" s="405"/>
      <c r="T1154" s="405"/>
      <c r="U1154" s="405"/>
      <c r="V1154" s="405"/>
      <c r="W1154" s="405"/>
      <c r="X1154" s="405"/>
      <c r="Y1154" s="405"/>
      <c r="Z1154" s="405"/>
    </row>
    <row r="1155" ht="14.25" customHeight="1">
      <c r="A1155" s="405"/>
      <c r="B1155" s="405"/>
      <c r="C1155" s="405"/>
      <c r="D1155" s="405"/>
      <c r="E1155" s="405"/>
      <c r="F1155" s="583"/>
      <c r="G1155" s="583"/>
      <c r="H1155" s="405"/>
      <c r="I1155" s="405"/>
      <c r="J1155" s="405"/>
      <c r="K1155" s="405"/>
      <c r="L1155" s="405"/>
      <c r="M1155" s="405"/>
      <c r="N1155" s="405"/>
      <c r="O1155" s="405"/>
      <c r="P1155" s="405"/>
      <c r="Q1155" s="405"/>
      <c r="R1155" s="405"/>
      <c r="S1155" s="405"/>
      <c r="T1155" s="405"/>
      <c r="U1155" s="405"/>
      <c r="V1155" s="405"/>
      <c r="W1155" s="405"/>
      <c r="X1155" s="405"/>
      <c r="Y1155" s="405"/>
      <c r="Z1155" s="405"/>
    </row>
    <row r="1156" ht="14.25" customHeight="1">
      <c r="A1156" s="405"/>
      <c r="B1156" s="405"/>
      <c r="C1156" s="405"/>
      <c r="D1156" s="405"/>
      <c r="E1156" s="405"/>
      <c r="F1156" s="583"/>
      <c r="G1156" s="583"/>
      <c r="H1156" s="405"/>
      <c r="I1156" s="405"/>
      <c r="J1156" s="405"/>
      <c r="K1156" s="405"/>
      <c r="L1156" s="405"/>
      <c r="M1156" s="405"/>
      <c r="N1156" s="405"/>
      <c r="O1156" s="405"/>
      <c r="P1156" s="405"/>
      <c r="Q1156" s="405"/>
      <c r="R1156" s="405"/>
      <c r="S1156" s="405"/>
      <c r="T1156" s="405"/>
      <c r="U1156" s="405"/>
      <c r="V1156" s="405"/>
      <c r="W1156" s="405"/>
      <c r="X1156" s="405"/>
      <c r="Y1156" s="405"/>
      <c r="Z1156" s="405"/>
    </row>
    <row r="1157" ht="14.25" customHeight="1">
      <c r="A1157" s="405"/>
      <c r="B1157" s="405"/>
      <c r="C1157" s="405"/>
      <c r="D1157" s="405"/>
      <c r="E1157" s="405"/>
      <c r="F1157" s="583"/>
      <c r="G1157" s="583"/>
      <c r="H1157" s="405"/>
      <c r="I1157" s="405"/>
      <c r="J1157" s="405"/>
      <c r="K1157" s="405"/>
      <c r="L1157" s="405"/>
      <c r="M1157" s="405"/>
      <c r="N1157" s="405"/>
      <c r="O1157" s="405"/>
      <c r="P1157" s="405"/>
      <c r="Q1157" s="405"/>
      <c r="R1157" s="405"/>
      <c r="S1157" s="405"/>
      <c r="T1157" s="405"/>
      <c r="U1157" s="405"/>
      <c r="V1157" s="405"/>
      <c r="W1157" s="405"/>
      <c r="X1157" s="405"/>
      <c r="Y1157" s="405"/>
      <c r="Z1157" s="405"/>
    </row>
    <row r="1158" ht="14.25" customHeight="1">
      <c r="A1158" s="405"/>
      <c r="B1158" s="405"/>
      <c r="C1158" s="405"/>
      <c r="D1158" s="405"/>
      <c r="E1158" s="405"/>
      <c r="F1158" s="583"/>
      <c r="G1158" s="583"/>
      <c r="H1158" s="405"/>
      <c r="I1158" s="405"/>
      <c r="J1158" s="405"/>
      <c r="K1158" s="405"/>
      <c r="L1158" s="405"/>
      <c r="M1158" s="405"/>
      <c r="N1158" s="405"/>
      <c r="O1158" s="405"/>
      <c r="P1158" s="405"/>
      <c r="Q1158" s="405"/>
      <c r="R1158" s="405"/>
      <c r="S1158" s="405"/>
      <c r="T1158" s="405"/>
      <c r="U1158" s="405"/>
      <c r="V1158" s="405"/>
      <c r="W1158" s="405"/>
      <c r="X1158" s="405"/>
      <c r="Y1158" s="405"/>
      <c r="Z1158" s="405"/>
    </row>
    <row r="1159" ht="14.25" customHeight="1">
      <c r="A1159" s="405"/>
      <c r="B1159" s="405"/>
      <c r="C1159" s="405"/>
      <c r="D1159" s="405"/>
      <c r="E1159" s="405"/>
      <c r="F1159" s="583"/>
      <c r="G1159" s="583"/>
      <c r="H1159" s="405"/>
      <c r="I1159" s="405"/>
      <c r="J1159" s="405"/>
      <c r="K1159" s="405"/>
      <c r="L1159" s="405"/>
      <c r="M1159" s="405"/>
      <c r="N1159" s="405"/>
      <c r="O1159" s="405"/>
      <c r="P1159" s="405"/>
      <c r="Q1159" s="405"/>
      <c r="R1159" s="405"/>
      <c r="S1159" s="405"/>
      <c r="T1159" s="405"/>
      <c r="U1159" s="405"/>
      <c r="V1159" s="405"/>
      <c r="W1159" s="405"/>
      <c r="X1159" s="405"/>
      <c r="Y1159" s="405"/>
      <c r="Z1159" s="405"/>
    </row>
    <row r="1160" ht="14.25" customHeight="1">
      <c r="A1160" s="405"/>
      <c r="B1160" s="405"/>
      <c r="C1160" s="405"/>
      <c r="D1160" s="405"/>
      <c r="E1160" s="405"/>
      <c r="F1160" s="583"/>
      <c r="G1160" s="583"/>
      <c r="H1160" s="405"/>
      <c r="I1160" s="405"/>
      <c r="J1160" s="405"/>
      <c r="K1160" s="405"/>
      <c r="L1160" s="405"/>
      <c r="M1160" s="405"/>
      <c r="N1160" s="405"/>
      <c r="O1160" s="405"/>
      <c r="P1160" s="405"/>
      <c r="Q1160" s="405"/>
      <c r="R1160" s="405"/>
      <c r="S1160" s="405"/>
      <c r="T1160" s="405"/>
      <c r="U1160" s="405"/>
      <c r="V1160" s="405"/>
      <c r="W1160" s="405"/>
      <c r="X1160" s="405"/>
      <c r="Y1160" s="405"/>
      <c r="Z1160" s="405"/>
    </row>
    <row r="1161" ht="14.25" customHeight="1">
      <c r="A1161" s="405"/>
      <c r="B1161" s="405"/>
      <c r="C1161" s="405"/>
      <c r="D1161" s="405"/>
      <c r="E1161" s="405"/>
      <c r="F1161" s="583"/>
      <c r="G1161" s="583"/>
      <c r="H1161" s="405"/>
      <c r="I1161" s="405"/>
      <c r="J1161" s="405"/>
      <c r="K1161" s="405"/>
      <c r="L1161" s="405"/>
      <c r="M1161" s="405"/>
      <c r="N1161" s="405"/>
      <c r="O1161" s="405"/>
      <c r="P1161" s="405"/>
      <c r="Q1161" s="405"/>
      <c r="R1161" s="405"/>
      <c r="S1161" s="405"/>
      <c r="T1161" s="405"/>
      <c r="U1161" s="405"/>
      <c r="V1161" s="405"/>
      <c r="W1161" s="405"/>
      <c r="X1161" s="405"/>
      <c r="Y1161" s="405"/>
      <c r="Z1161" s="405"/>
    </row>
    <row r="1162" ht="14.25" customHeight="1">
      <c r="A1162" s="405"/>
      <c r="B1162" s="405"/>
      <c r="C1162" s="405"/>
      <c r="D1162" s="405"/>
      <c r="E1162" s="405"/>
      <c r="F1162" s="583"/>
      <c r="G1162" s="583"/>
      <c r="H1162" s="405"/>
      <c r="I1162" s="405"/>
      <c r="J1162" s="405"/>
      <c r="K1162" s="405"/>
      <c r="L1162" s="405"/>
      <c r="M1162" s="405"/>
      <c r="N1162" s="405"/>
      <c r="O1162" s="405"/>
      <c r="P1162" s="405"/>
      <c r="Q1162" s="405"/>
      <c r="R1162" s="405"/>
      <c r="S1162" s="405"/>
      <c r="T1162" s="405"/>
      <c r="U1162" s="405"/>
      <c r="V1162" s="405"/>
      <c r="W1162" s="405"/>
      <c r="X1162" s="405"/>
      <c r="Y1162" s="405"/>
      <c r="Z1162" s="405"/>
    </row>
    <row r="1163" ht="14.25" customHeight="1">
      <c r="A1163" s="405"/>
      <c r="B1163" s="405"/>
      <c r="C1163" s="405"/>
      <c r="D1163" s="405"/>
      <c r="E1163" s="405"/>
      <c r="F1163" s="583"/>
      <c r="G1163" s="583"/>
      <c r="H1163" s="405"/>
      <c r="I1163" s="405"/>
      <c r="J1163" s="405"/>
      <c r="K1163" s="405"/>
      <c r="L1163" s="405"/>
      <c r="M1163" s="405"/>
      <c r="N1163" s="405"/>
      <c r="O1163" s="405"/>
      <c r="P1163" s="405"/>
      <c r="Q1163" s="405"/>
      <c r="R1163" s="405"/>
      <c r="S1163" s="405"/>
      <c r="T1163" s="405"/>
      <c r="U1163" s="405"/>
      <c r="V1163" s="405"/>
      <c r="W1163" s="405"/>
      <c r="X1163" s="405"/>
      <c r="Y1163" s="405"/>
      <c r="Z1163" s="405"/>
    </row>
    <row r="1164" ht="14.25" customHeight="1">
      <c r="A1164" s="405"/>
      <c r="B1164" s="405"/>
      <c r="C1164" s="405"/>
      <c r="D1164" s="405"/>
      <c r="E1164" s="405"/>
      <c r="F1164" s="583"/>
      <c r="G1164" s="583"/>
      <c r="H1164" s="405"/>
      <c r="I1164" s="405"/>
      <c r="J1164" s="405"/>
      <c r="K1164" s="405"/>
      <c r="L1164" s="405"/>
      <c r="M1164" s="405"/>
      <c r="N1164" s="405"/>
      <c r="O1164" s="405"/>
      <c r="P1164" s="405"/>
      <c r="Q1164" s="405"/>
      <c r="R1164" s="405"/>
      <c r="S1164" s="405"/>
      <c r="T1164" s="405"/>
      <c r="U1164" s="405"/>
      <c r="V1164" s="405"/>
      <c r="W1164" s="405"/>
      <c r="X1164" s="405"/>
      <c r="Y1164" s="405"/>
      <c r="Z1164" s="405"/>
    </row>
    <row r="1165" ht="14.25" customHeight="1">
      <c r="A1165" s="405"/>
      <c r="B1165" s="405"/>
      <c r="C1165" s="405"/>
      <c r="D1165" s="405"/>
      <c r="E1165" s="405"/>
      <c r="F1165" s="583"/>
      <c r="G1165" s="583"/>
      <c r="H1165" s="405"/>
      <c r="I1165" s="405"/>
      <c r="J1165" s="405"/>
      <c r="K1165" s="405"/>
      <c r="L1165" s="405"/>
      <c r="M1165" s="405"/>
      <c r="N1165" s="405"/>
      <c r="O1165" s="405"/>
      <c r="P1165" s="405"/>
      <c r="Q1165" s="405"/>
      <c r="R1165" s="405"/>
      <c r="S1165" s="405"/>
      <c r="T1165" s="405"/>
      <c r="U1165" s="405"/>
      <c r="V1165" s="405"/>
      <c r="W1165" s="405"/>
      <c r="X1165" s="405"/>
      <c r="Y1165" s="405"/>
      <c r="Z1165" s="405"/>
    </row>
    <row r="1166" ht="14.25" customHeight="1">
      <c r="A1166" s="405"/>
      <c r="B1166" s="405"/>
      <c r="C1166" s="405"/>
      <c r="D1166" s="405"/>
      <c r="E1166" s="405"/>
      <c r="F1166" s="583"/>
      <c r="G1166" s="583"/>
      <c r="H1166" s="405"/>
      <c r="I1166" s="405"/>
      <c r="J1166" s="405"/>
      <c r="K1166" s="405"/>
      <c r="L1166" s="405"/>
      <c r="M1166" s="405"/>
      <c r="N1166" s="405"/>
      <c r="O1166" s="405"/>
      <c r="P1166" s="405"/>
      <c r="Q1166" s="405"/>
      <c r="R1166" s="405"/>
      <c r="S1166" s="405"/>
      <c r="T1166" s="405"/>
      <c r="U1166" s="405"/>
      <c r="V1166" s="405"/>
      <c r="W1166" s="405"/>
      <c r="X1166" s="405"/>
      <c r="Y1166" s="405"/>
      <c r="Z1166" s="405"/>
    </row>
    <row r="1167" ht="14.25" customHeight="1">
      <c r="A1167" s="405"/>
      <c r="B1167" s="405"/>
      <c r="C1167" s="405"/>
      <c r="D1167" s="405"/>
      <c r="E1167" s="405"/>
      <c r="F1167" s="583"/>
      <c r="G1167" s="583"/>
      <c r="H1167" s="405"/>
      <c r="I1167" s="405"/>
      <c r="J1167" s="405"/>
      <c r="K1167" s="405"/>
      <c r="L1167" s="405"/>
      <c r="M1167" s="405"/>
      <c r="N1167" s="405"/>
      <c r="O1167" s="405"/>
      <c r="P1167" s="405"/>
      <c r="Q1167" s="405"/>
      <c r="R1167" s="405"/>
      <c r="S1167" s="405"/>
      <c r="T1167" s="405"/>
      <c r="U1167" s="405"/>
      <c r="V1167" s="405"/>
      <c r="W1167" s="405"/>
      <c r="X1167" s="405"/>
      <c r="Y1167" s="405"/>
      <c r="Z1167" s="405"/>
    </row>
    <row r="1168" ht="14.25" customHeight="1">
      <c r="A1168" s="405"/>
      <c r="B1168" s="405"/>
      <c r="C1168" s="405"/>
      <c r="D1168" s="405"/>
      <c r="E1168" s="405"/>
      <c r="F1168" s="583"/>
      <c r="G1168" s="583"/>
      <c r="H1168" s="405"/>
      <c r="I1168" s="405"/>
      <c r="J1168" s="405"/>
      <c r="K1168" s="405"/>
      <c r="L1168" s="405"/>
      <c r="M1168" s="405"/>
      <c r="N1168" s="405"/>
      <c r="O1168" s="405"/>
      <c r="P1168" s="405"/>
      <c r="Q1168" s="405"/>
      <c r="R1168" s="405"/>
      <c r="S1168" s="405"/>
      <c r="T1168" s="405"/>
      <c r="U1168" s="405"/>
      <c r="V1168" s="405"/>
      <c r="W1168" s="405"/>
      <c r="X1168" s="405"/>
      <c r="Y1168" s="405"/>
      <c r="Z1168" s="405"/>
    </row>
    <row r="1169" ht="14.25" customHeight="1">
      <c r="A1169" s="405"/>
      <c r="B1169" s="405"/>
      <c r="C1169" s="405"/>
      <c r="D1169" s="405"/>
      <c r="E1169" s="405"/>
      <c r="F1169" s="583"/>
      <c r="G1169" s="583"/>
      <c r="H1169" s="405"/>
      <c r="I1169" s="405"/>
      <c r="J1169" s="405"/>
      <c r="K1169" s="405"/>
      <c r="L1169" s="405"/>
      <c r="M1169" s="405"/>
      <c r="N1169" s="405"/>
      <c r="O1169" s="405"/>
      <c r="P1169" s="405"/>
      <c r="Q1169" s="405"/>
      <c r="R1169" s="405"/>
      <c r="S1169" s="405"/>
      <c r="T1169" s="405"/>
      <c r="U1169" s="405"/>
      <c r="V1169" s="405"/>
      <c r="W1169" s="405"/>
      <c r="X1169" s="405"/>
      <c r="Y1169" s="405"/>
      <c r="Z1169" s="405"/>
    </row>
    <row r="1170" ht="14.25" customHeight="1">
      <c r="A1170" s="405"/>
      <c r="B1170" s="405"/>
      <c r="C1170" s="405"/>
      <c r="D1170" s="405"/>
      <c r="E1170" s="405"/>
      <c r="F1170" s="583"/>
      <c r="G1170" s="583"/>
      <c r="H1170" s="405"/>
      <c r="I1170" s="405"/>
      <c r="J1170" s="405"/>
      <c r="K1170" s="405"/>
      <c r="L1170" s="405"/>
      <c r="M1170" s="405"/>
      <c r="N1170" s="405"/>
      <c r="O1170" s="405"/>
      <c r="P1170" s="405"/>
      <c r="Q1170" s="405"/>
      <c r="R1170" s="405"/>
      <c r="S1170" s="405"/>
      <c r="T1170" s="405"/>
      <c r="U1170" s="405"/>
      <c r="V1170" s="405"/>
      <c r="W1170" s="405"/>
      <c r="X1170" s="405"/>
      <c r="Y1170" s="405"/>
      <c r="Z1170" s="405"/>
    </row>
    <row r="1171" ht="14.25" customHeight="1">
      <c r="A1171" s="405"/>
      <c r="B1171" s="405"/>
      <c r="C1171" s="405"/>
      <c r="D1171" s="405"/>
      <c r="E1171" s="405"/>
      <c r="F1171" s="583"/>
      <c r="G1171" s="583"/>
      <c r="H1171" s="405"/>
      <c r="I1171" s="405"/>
      <c r="J1171" s="405"/>
      <c r="K1171" s="405"/>
      <c r="L1171" s="405"/>
      <c r="M1171" s="405"/>
      <c r="N1171" s="405"/>
      <c r="O1171" s="405"/>
      <c r="P1171" s="405"/>
      <c r="Q1171" s="405"/>
      <c r="R1171" s="405"/>
      <c r="S1171" s="405"/>
      <c r="T1171" s="405"/>
      <c r="U1171" s="405"/>
      <c r="V1171" s="405"/>
      <c r="W1171" s="405"/>
      <c r="X1171" s="405"/>
      <c r="Y1171" s="405"/>
      <c r="Z1171" s="405"/>
    </row>
    <row r="1172" ht="14.25" customHeight="1">
      <c r="A1172" s="405"/>
      <c r="B1172" s="405"/>
      <c r="C1172" s="405"/>
      <c r="D1172" s="405"/>
      <c r="E1172" s="405"/>
      <c r="F1172" s="583"/>
      <c r="G1172" s="583"/>
      <c r="H1172" s="405"/>
      <c r="I1172" s="405"/>
      <c r="J1172" s="405"/>
      <c r="K1172" s="405"/>
      <c r="L1172" s="405"/>
      <c r="M1172" s="405"/>
      <c r="N1172" s="405"/>
      <c r="O1172" s="405"/>
      <c r="P1172" s="405"/>
      <c r="Q1172" s="405"/>
      <c r="R1172" s="405"/>
      <c r="S1172" s="405"/>
      <c r="T1172" s="405"/>
      <c r="U1172" s="405"/>
      <c r="V1172" s="405"/>
      <c r="W1172" s="405"/>
      <c r="X1172" s="405"/>
      <c r="Y1172" s="405"/>
      <c r="Z1172" s="405"/>
    </row>
    <row r="1173" ht="14.25" customHeight="1">
      <c r="A1173" s="405"/>
      <c r="B1173" s="405"/>
      <c r="C1173" s="405"/>
      <c r="D1173" s="405"/>
      <c r="E1173" s="405"/>
      <c r="F1173" s="583"/>
      <c r="G1173" s="583"/>
      <c r="H1173" s="405"/>
      <c r="I1173" s="405"/>
      <c r="J1173" s="405"/>
      <c r="K1173" s="405"/>
      <c r="L1173" s="405"/>
      <c r="M1173" s="405"/>
      <c r="N1173" s="405"/>
      <c r="O1173" s="405"/>
      <c r="P1173" s="405"/>
      <c r="Q1173" s="405"/>
      <c r="R1173" s="405"/>
      <c r="S1173" s="405"/>
      <c r="T1173" s="405"/>
      <c r="U1173" s="405"/>
      <c r="V1173" s="405"/>
      <c r="W1173" s="405"/>
      <c r="X1173" s="405"/>
      <c r="Y1173" s="405"/>
      <c r="Z1173" s="405"/>
    </row>
    <row r="1174" ht="14.25" customHeight="1">
      <c r="A1174" s="405"/>
      <c r="B1174" s="405"/>
      <c r="C1174" s="405"/>
      <c r="D1174" s="405"/>
      <c r="E1174" s="405"/>
      <c r="F1174" s="583"/>
      <c r="G1174" s="583"/>
      <c r="H1174" s="405"/>
      <c r="I1174" s="405"/>
      <c r="J1174" s="405"/>
      <c r="K1174" s="405"/>
      <c r="L1174" s="405"/>
      <c r="M1174" s="405"/>
      <c r="N1174" s="405"/>
      <c r="O1174" s="405"/>
      <c r="P1174" s="405"/>
      <c r="Q1174" s="405"/>
      <c r="R1174" s="405"/>
      <c r="S1174" s="405"/>
      <c r="T1174" s="405"/>
      <c r="U1174" s="405"/>
      <c r="V1174" s="405"/>
      <c r="W1174" s="405"/>
      <c r="X1174" s="405"/>
      <c r="Y1174" s="405"/>
      <c r="Z1174" s="405"/>
    </row>
    <row r="1175" ht="14.25" customHeight="1">
      <c r="A1175" s="405"/>
      <c r="B1175" s="405"/>
      <c r="C1175" s="405"/>
      <c r="D1175" s="405"/>
      <c r="E1175" s="405"/>
      <c r="F1175" s="583"/>
      <c r="G1175" s="583"/>
      <c r="H1175" s="405"/>
      <c r="I1175" s="405"/>
      <c r="J1175" s="405"/>
      <c r="K1175" s="405"/>
      <c r="L1175" s="405"/>
      <c r="M1175" s="405"/>
      <c r="N1175" s="405"/>
      <c r="O1175" s="405"/>
      <c r="P1175" s="405"/>
      <c r="Q1175" s="405"/>
      <c r="R1175" s="405"/>
      <c r="S1175" s="405"/>
      <c r="T1175" s="405"/>
      <c r="U1175" s="405"/>
      <c r="V1175" s="405"/>
      <c r="W1175" s="405"/>
      <c r="X1175" s="405"/>
      <c r="Y1175" s="405"/>
      <c r="Z1175" s="405"/>
    </row>
    <row r="1176" ht="14.25" customHeight="1">
      <c r="A1176" s="405"/>
      <c r="B1176" s="405"/>
      <c r="C1176" s="405"/>
      <c r="D1176" s="405"/>
      <c r="E1176" s="405"/>
      <c r="F1176" s="583"/>
      <c r="G1176" s="583"/>
      <c r="H1176" s="405"/>
      <c r="I1176" s="405"/>
      <c r="J1176" s="405"/>
      <c r="K1176" s="405"/>
      <c r="L1176" s="405"/>
      <c r="M1176" s="405"/>
      <c r="N1176" s="405"/>
      <c r="O1176" s="405"/>
      <c r="P1176" s="405"/>
      <c r="Q1176" s="405"/>
      <c r="R1176" s="405"/>
      <c r="S1176" s="405"/>
      <c r="T1176" s="405"/>
      <c r="U1176" s="405"/>
      <c r="V1176" s="405"/>
      <c r="W1176" s="405"/>
      <c r="X1176" s="405"/>
      <c r="Y1176" s="405"/>
      <c r="Z1176" s="405"/>
    </row>
    <row r="1177" ht="14.25" customHeight="1">
      <c r="A1177" s="405"/>
      <c r="B1177" s="405"/>
      <c r="C1177" s="405"/>
      <c r="D1177" s="405"/>
      <c r="E1177" s="405"/>
      <c r="F1177" s="583"/>
      <c r="G1177" s="583"/>
      <c r="H1177" s="405"/>
      <c r="I1177" s="405"/>
      <c r="J1177" s="405"/>
      <c r="K1177" s="405"/>
      <c r="L1177" s="405"/>
      <c r="M1177" s="405"/>
      <c r="N1177" s="405"/>
      <c r="O1177" s="405"/>
      <c r="P1177" s="405"/>
      <c r="Q1177" s="405"/>
      <c r="R1177" s="405"/>
      <c r="S1177" s="405"/>
      <c r="T1177" s="405"/>
      <c r="U1177" s="405"/>
      <c r="V1177" s="405"/>
      <c r="W1177" s="405"/>
      <c r="X1177" s="405"/>
      <c r="Y1177" s="405"/>
      <c r="Z1177" s="405"/>
    </row>
    <row r="1178" ht="14.25" customHeight="1">
      <c r="A1178" s="405"/>
      <c r="B1178" s="405"/>
      <c r="C1178" s="405"/>
      <c r="D1178" s="405"/>
      <c r="E1178" s="405"/>
      <c r="F1178" s="583"/>
      <c r="G1178" s="583"/>
      <c r="H1178" s="405"/>
      <c r="I1178" s="405"/>
      <c r="J1178" s="405"/>
      <c r="K1178" s="405"/>
      <c r="L1178" s="405"/>
      <c r="M1178" s="405"/>
      <c r="N1178" s="405"/>
      <c r="O1178" s="405"/>
      <c r="P1178" s="405"/>
      <c r="Q1178" s="405"/>
      <c r="R1178" s="405"/>
      <c r="S1178" s="405"/>
      <c r="T1178" s="405"/>
      <c r="U1178" s="405"/>
      <c r="V1178" s="405"/>
      <c r="W1178" s="405"/>
      <c r="X1178" s="405"/>
      <c r="Y1178" s="405"/>
      <c r="Z1178" s="405"/>
    </row>
    <row r="1179" ht="14.25" customHeight="1">
      <c r="A1179" s="405"/>
      <c r="B1179" s="405"/>
      <c r="C1179" s="405"/>
      <c r="D1179" s="405"/>
      <c r="E1179" s="405"/>
      <c r="F1179" s="583"/>
      <c r="G1179" s="583"/>
      <c r="H1179" s="405"/>
      <c r="I1179" s="405"/>
      <c r="J1179" s="405"/>
      <c r="K1179" s="405"/>
      <c r="L1179" s="405"/>
      <c r="M1179" s="405"/>
      <c r="N1179" s="405"/>
      <c r="O1179" s="405"/>
      <c r="P1179" s="405"/>
      <c r="Q1179" s="405"/>
      <c r="R1179" s="405"/>
      <c r="S1179" s="405"/>
      <c r="T1179" s="405"/>
      <c r="U1179" s="405"/>
      <c r="V1179" s="405"/>
      <c r="W1179" s="405"/>
      <c r="X1179" s="405"/>
      <c r="Y1179" s="405"/>
      <c r="Z1179" s="405"/>
    </row>
    <row r="1180" ht="14.25" customHeight="1">
      <c r="A1180" s="405"/>
      <c r="B1180" s="405"/>
      <c r="C1180" s="405"/>
      <c r="D1180" s="405"/>
      <c r="E1180" s="405"/>
      <c r="F1180" s="583"/>
      <c r="G1180" s="583"/>
      <c r="H1180" s="405"/>
      <c r="I1180" s="405"/>
      <c r="J1180" s="405"/>
      <c r="K1180" s="405"/>
      <c r="L1180" s="405"/>
      <c r="M1180" s="405"/>
      <c r="N1180" s="405"/>
      <c r="O1180" s="405"/>
      <c r="P1180" s="405"/>
      <c r="Q1180" s="405"/>
      <c r="R1180" s="405"/>
      <c r="S1180" s="405"/>
      <c r="T1180" s="405"/>
      <c r="U1180" s="405"/>
      <c r="V1180" s="405"/>
      <c r="W1180" s="405"/>
      <c r="X1180" s="405"/>
      <c r="Y1180" s="405"/>
      <c r="Z1180" s="405"/>
    </row>
    <row r="1181" ht="14.25" customHeight="1">
      <c r="A1181" s="405"/>
      <c r="B1181" s="405"/>
      <c r="C1181" s="405"/>
      <c r="D1181" s="405"/>
      <c r="E1181" s="405"/>
      <c r="F1181" s="583"/>
      <c r="G1181" s="583"/>
      <c r="H1181" s="405"/>
      <c r="I1181" s="405"/>
      <c r="J1181" s="405"/>
      <c r="K1181" s="405"/>
      <c r="L1181" s="405"/>
      <c r="M1181" s="405"/>
      <c r="N1181" s="405"/>
      <c r="O1181" s="405"/>
      <c r="P1181" s="405"/>
      <c r="Q1181" s="405"/>
      <c r="R1181" s="405"/>
      <c r="S1181" s="405"/>
      <c r="T1181" s="405"/>
      <c r="U1181" s="405"/>
      <c r="V1181" s="405"/>
      <c r="W1181" s="405"/>
      <c r="X1181" s="405"/>
      <c r="Y1181" s="405"/>
      <c r="Z1181" s="405"/>
    </row>
    <row r="1182" ht="14.25" customHeight="1">
      <c r="A1182" s="405"/>
      <c r="B1182" s="405"/>
      <c r="C1182" s="405"/>
      <c r="D1182" s="405"/>
      <c r="E1182" s="405"/>
      <c r="F1182" s="583"/>
      <c r="G1182" s="583"/>
      <c r="H1182" s="405"/>
      <c r="I1182" s="405"/>
      <c r="J1182" s="405"/>
      <c r="K1182" s="405"/>
      <c r="L1182" s="405"/>
      <c r="M1182" s="405"/>
      <c r="N1182" s="405"/>
      <c r="O1182" s="405"/>
      <c r="P1182" s="405"/>
      <c r="Q1182" s="405"/>
      <c r="R1182" s="405"/>
      <c r="S1182" s="405"/>
      <c r="T1182" s="405"/>
      <c r="U1182" s="405"/>
      <c r="V1182" s="405"/>
      <c r="W1182" s="405"/>
      <c r="X1182" s="405"/>
      <c r="Y1182" s="405"/>
      <c r="Z1182" s="405"/>
    </row>
    <row r="1183" ht="14.25" customHeight="1">
      <c r="A1183" s="405"/>
      <c r="B1183" s="405"/>
      <c r="C1183" s="405"/>
      <c r="D1183" s="405"/>
      <c r="E1183" s="405"/>
      <c r="F1183" s="583"/>
      <c r="G1183" s="583"/>
      <c r="H1183" s="405"/>
      <c r="I1183" s="405"/>
      <c r="J1183" s="405"/>
      <c r="K1183" s="405"/>
      <c r="L1183" s="405"/>
      <c r="M1183" s="405"/>
      <c r="N1183" s="405"/>
      <c r="O1183" s="405"/>
      <c r="P1183" s="405"/>
      <c r="Q1183" s="405"/>
      <c r="R1183" s="405"/>
      <c r="S1183" s="405"/>
      <c r="T1183" s="405"/>
      <c r="U1183" s="405"/>
      <c r="V1183" s="405"/>
      <c r="W1183" s="405"/>
      <c r="X1183" s="405"/>
      <c r="Y1183" s="405"/>
      <c r="Z1183" s="405"/>
    </row>
    <row r="1184" ht="14.25" customHeight="1">
      <c r="A1184" s="405"/>
      <c r="B1184" s="405"/>
      <c r="C1184" s="405"/>
      <c r="D1184" s="405"/>
      <c r="E1184" s="405"/>
      <c r="F1184" s="583"/>
      <c r="G1184" s="583"/>
      <c r="H1184" s="405"/>
      <c r="I1184" s="405"/>
      <c r="J1184" s="405"/>
      <c r="K1184" s="405"/>
      <c r="L1184" s="405"/>
      <c r="M1184" s="405"/>
      <c r="N1184" s="405"/>
      <c r="O1184" s="405"/>
      <c r="P1184" s="405"/>
      <c r="Q1184" s="405"/>
      <c r="R1184" s="405"/>
      <c r="S1184" s="405"/>
      <c r="T1184" s="405"/>
      <c r="U1184" s="405"/>
      <c r="V1184" s="405"/>
      <c r="W1184" s="405"/>
      <c r="X1184" s="405"/>
      <c r="Y1184" s="405"/>
      <c r="Z1184" s="405"/>
    </row>
    <row r="1185" ht="14.25" customHeight="1">
      <c r="A1185" s="405"/>
      <c r="B1185" s="405"/>
      <c r="C1185" s="405"/>
      <c r="D1185" s="405"/>
      <c r="E1185" s="405"/>
      <c r="F1185" s="583"/>
      <c r="G1185" s="583"/>
      <c r="H1185" s="405"/>
      <c r="I1185" s="405"/>
      <c r="J1185" s="405"/>
      <c r="K1185" s="405"/>
      <c r="L1185" s="405"/>
      <c r="M1185" s="405"/>
      <c r="N1185" s="405"/>
      <c r="O1185" s="405"/>
      <c r="P1185" s="405"/>
      <c r="Q1185" s="405"/>
      <c r="R1185" s="405"/>
      <c r="S1185" s="405"/>
      <c r="T1185" s="405"/>
      <c r="U1185" s="405"/>
      <c r="V1185" s="405"/>
      <c r="W1185" s="405"/>
      <c r="X1185" s="405"/>
      <c r="Y1185" s="405"/>
      <c r="Z1185" s="405"/>
    </row>
    <row r="1186" ht="14.25" customHeight="1">
      <c r="A1186" s="405"/>
      <c r="B1186" s="405"/>
      <c r="C1186" s="405"/>
      <c r="D1186" s="405"/>
      <c r="E1186" s="405"/>
      <c r="F1186" s="583"/>
      <c r="G1186" s="583"/>
      <c r="H1186" s="405"/>
      <c r="I1186" s="405"/>
      <c r="J1186" s="405"/>
      <c r="K1186" s="405"/>
      <c r="L1186" s="405"/>
      <c r="M1186" s="405"/>
      <c r="N1186" s="405"/>
      <c r="O1186" s="405"/>
      <c r="P1186" s="405"/>
      <c r="Q1186" s="405"/>
      <c r="R1186" s="405"/>
      <c r="S1186" s="405"/>
      <c r="T1186" s="405"/>
      <c r="U1186" s="405"/>
      <c r="V1186" s="405"/>
      <c r="W1186" s="405"/>
      <c r="X1186" s="405"/>
      <c r="Y1186" s="405"/>
      <c r="Z1186" s="405"/>
    </row>
    <row r="1187" ht="14.25" customHeight="1">
      <c r="A1187" s="405"/>
      <c r="B1187" s="405"/>
      <c r="C1187" s="405"/>
      <c r="D1187" s="405"/>
      <c r="E1187" s="405"/>
      <c r="F1187" s="583"/>
      <c r="G1187" s="583"/>
      <c r="H1187" s="405"/>
      <c r="I1187" s="405"/>
      <c r="J1187" s="405"/>
      <c r="K1187" s="405"/>
      <c r="L1187" s="405"/>
      <c r="M1187" s="405"/>
      <c r="N1187" s="405"/>
      <c r="O1187" s="405"/>
      <c r="P1187" s="405"/>
      <c r="Q1187" s="405"/>
      <c r="R1187" s="405"/>
      <c r="S1187" s="405"/>
      <c r="T1187" s="405"/>
      <c r="U1187" s="405"/>
      <c r="V1187" s="405"/>
      <c r="W1187" s="405"/>
      <c r="X1187" s="405"/>
      <c r="Y1187" s="405"/>
      <c r="Z1187" s="405"/>
    </row>
    <row r="1188" ht="14.25" customHeight="1">
      <c r="A1188" s="405"/>
      <c r="B1188" s="405"/>
      <c r="C1188" s="405"/>
      <c r="D1188" s="405"/>
      <c r="E1188" s="405"/>
      <c r="F1188" s="583"/>
      <c r="G1188" s="583"/>
      <c r="H1188" s="405"/>
      <c r="I1188" s="405"/>
      <c r="J1188" s="405"/>
      <c r="K1188" s="405"/>
      <c r="L1188" s="405"/>
      <c r="M1188" s="405"/>
      <c r="N1188" s="405"/>
      <c r="O1188" s="405"/>
      <c r="P1188" s="405"/>
      <c r="Q1188" s="405"/>
      <c r="R1188" s="405"/>
      <c r="S1188" s="405"/>
      <c r="T1188" s="405"/>
      <c r="U1188" s="405"/>
      <c r="V1188" s="405"/>
      <c r="W1188" s="405"/>
      <c r="X1188" s="405"/>
      <c r="Y1188" s="405"/>
      <c r="Z1188" s="405"/>
    </row>
    <row r="1189" ht="14.25" customHeight="1">
      <c r="A1189" s="405"/>
      <c r="B1189" s="405"/>
      <c r="C1189" s="405"/>
      <c r="D1189" s="405"/>
      <c r="E1189" s="405"/>
      <c r="F1189" s="583"/>
      <c r="G1189" s="583"/>
      <c r="H1189" s="405"/>
      <c r="I1189" s="405"/>
      <c r="J1189" s="405"/>
      <c r="K1189" s="405"/>
      <c r="L1189" s="405"/>
      <c r="M1189" s="405"/>
      <c r="N1189" s="405"/>
      <c r="O1189" s="405"/>
      <c r="P1189" s="405"/>
      <c r="Q1189" s="405"/>
      <c r="R1189" s="405"/>
      <c r="S1189" s="405"/>
      <c r="T1189" s="405"/>
      <c r="U1189" s="405"/>
      <c r="V1189" s="405"/>
      <c r="W1189" s="405"/>
      <c r="X1189" s="405"/>
      <c r="Y1189" s="405"/>
      <c r="Z1189" s="405"/>
    </row>
    <row r="1190" ht="14.25" customHeight="1">
      <c r="A1190" s="405"/>
      <c r="B1190" s="405"/>
      <c r="C1190" s="405"/>
      <c r="D1190" s="405"/>
      <c r="E1190" s="405"/>
      <c r="F1190" s="583"/>
      <c r="G1190" s="583"/>
      <c r="H1190" s="405"/>
      <c r="I1190" s="405"/>
      <c r="J1190" s="405"/>
      <c r="K1190" s="405"/>
      <c r="L1190" s="405"/>
      <c r="M1190" s="405"/>
      <c r="N1190" s="405"/>
      <c r="O1190" s="405"/>
      <c r="P1190" s="405"/>
      <c r="Q1190" s="405"/>
      <c r="R1190" s="405"/>
      <c r="S1190" s="405"/>
      <c r="T1190" s="405"/>
      <c r="U1190" s="405"/>
      <c r="V1190" s="405"/>
      <c r="W1190" s="405"/>
      <c r="X1190" s="405"/>
      <c r="Y1190" s="405"/>
      <c r="Z1190" s="405"/>
    </row>
    <row r="1191" ht="14.25" customHeight="1">
      <c r="A1191" s="405"/>
      <c r="B1191" s="405"/>
      <c r="C1191" s="405"/>
      <c r="D1191" s="405"/>
      <c r="E1191" s="405"/>
      <c r="F1191" s="583"/>
      <c r="G1191" s="583"/>
      <c r="H1191" s="405"/>
      <c r="I1191" s="405"/>
      <c r="J1191" s="405"/>
      <c r="K1191" s="405"/>
      <c r="L1191" s="405"/>
      <c r="M1191" s="405"/>
      <c r="N1191" s="405"/>
      <c r="O1191" s="405"/>
      <c r="P1191" s="405"/>
      <c r="Q1191" s="405"/>
      <c r="R1191" s="405"/>
      <c r="S1191" s="405"/>
      <c r="T1191" s="405"/>
      <c r="U1191" s="405"/>
      <c r="V1191" s="405"/>
      <c r="W1191" s="405"/>
      <c r="X1191" s="405"/>
      <c r="Y1191" s="405"/>
      <c r="Z1191" s="405"/>
    </row>
    <row r="1192" ht="14.25" customHeight="1">
      <c r="A1192" s="405"/>
      <c r="B1192" s="405"/>
      <c r="C1192" s="405"/>
      <c r="D1192" s="405"/>
      <c r="E1192" s="405"/>
      <c r="F1192" s="583"/>
      <c r="G1192" s="583"/>
      <c r="H1192" s="405"/>
      <c r="I1192" s="405"/>
      <c r="J1192" s="405"/>
      <c r="K1192" s="405"/>
      <c r="L1192" s="405"/>
      <c r="M1192" s="405"/>
      <c r="N1192" s="405"/>
      <c r="O1192" s="405"/>
      <c r="P1192" s="405"/>
      <c r="Q1192" s="405"/>
      <c r="R1192" s="405"/>
      <c r="S1192" s="405"/>
      <c r="T1192" s="405"/>
      <c r="U1192" s="405"/>
      <c r="V1192" s="405"/>
      <c r="W1192" s="405"/>
      <c r="X1192" s="405"/>
      <c r="Y1192" s="405"/>
      <c r="Z1192" s="405"/>
    </row>
    <row r="1193" ht="14.25" customHeight="1">
      <c r="A1193" s="405"/>
      <c r="B1193" s="405"/>
      <c r="C1193" s="405"/>
      <c r="D1193" s="405"/>
      <c r="E1193" s="405"/>
      <c r="F1193" s="583"/>
      <c r="G1193" s="583"/>
      <c r="H1193" s="405"/>
      <c r="I1193" s="405"/>
      <c r="J1193" s="405"/>
      <c r="K1193" s="405"/>
      <c r="L1193" s="405"/>
      <c r="M1193" s="405"/>
      <c r="N1193" s="405"/>
      <c r="O1193" s="405"/>
      <c r="P1193" s="405"/>
      <c r="Q1193" s="405"/>
      <c r="R1193" s="405"/>
      <c r="S1193" s="405"/>
      <c r="T1193" s="405"/>
      <c r="U1193" s="405"/>
      <c r="V1193" s="405"/>
      <c r="W1193" s="405"/>
      <c r="X1193" s="405"/>
      <c r="Y1193" s="405"/>
      <c r="Z1193" s="405"/>
    </row>
    <row r="1194" ht="14.25" customHeight="1">
      <c r="A1194" s="405"/>
      <c r="B1194" s="405"/>
      <c r="C1194" s="405"/>
      <c r="D1194" s="405"/>
      <c r="E1194" s="405"/>
      <c r="F1194" s="583"/>
      <c r="G1194" s="583"/>
      <c r="H1194" s="405"/>
      <c r="I1194" s="405"/>
      <c r="J1194" s="405"/>
      <c r="K1194" s="405"/>
      <c r="L1194" s="405"/>
      <c r="M1194" s="405"/>
      <c r="N1194" s="405"/>
      <c r="O1194" s="405"/>
      <c r="P1194" s="405"/>
      <c r="Q1194" s="405"/>
      <c r="R1194" s="405"/>
      <c r="S1194" s="405"/>
      <c r="T1194" s="405"/>
      <c r="U1194" s="405"/>
      <c r="V1194" s="405"/>
      <c r="W1194" s="405"/>
      <c r="X1194" s="405"/>
      <c r="Y1194" s="405"/>
      <c r="Z1194" s="405"/>
    </row>
    <row r="1195" ht="14.25" customHeight="1">
      <c r="A1195" s="405"/>
      <c r="B1195" s="405"/>
      <c r="C1195" s="405"/>
      <c r="D1195" s="405"/>
      <c r="E1195" s="405"/>
      <c r="F1195" s="583"/>
      <c r="G1195" s="583"/>
      <c r="H1195" s="405"/>
      <c r="I1195" s="405"/>
      <c r="J1195" s="405"/>
      <c r="K1195" s="405"/>
      <c r="L1195" s="405"/>
      <c r="M1195" s="405"/>
      <c r="N1195" s="405"/>
      <c r="O1195" s="405"/>
      <c r="P1195" s="405"/>
      <c r="Q1195" s="405"/>
      <c r="R1195" s="405"/>
      <c r="S1195" s="405"/>
      <c r="T1195" s="405"/>
      <c r="U1195" s="405"/>
      <c r="V1195" s="405"/>
      <c r="W1195" s="405"/>
      <c r="X1195" s="405"/>
      <c r="Y1195" s="405"/>
      <c r="Z1195" s="405"/>
    </row>
    <row r="1196" ht="14.25" customHeight="1">
      <c r="A1196" s="405"/>
      <c r="B1196" s="405"/>
      <c r="C1196" s="405"/>
      <c r="D1196" s="405"/>
      <c r="E1196" s="405"/>
      <c r="F1196" s="583"/>
      <c r="G1196" s="583"/>
      <c r="H1196" s="405"/>
      <c r="I1196" s="405"/>
      <c r="J1196" s="405"/>
      <c r="K1196" s="405"/>
      <c r="L1196" s="405"/>
      <c r="M1196" s="405"/>
      <c r="N1196" s="405"/>
      <c r="O1196" s="405"/>
      <c r="P1196" s="405"/>
      <c r="Q1196" s="405"/>
      <c r="R1196" s="405"/>
      <c r="S1196" s="405"/>
      <c r="T1196" s="405"/>
      <c r="U1196" s="405"/>
      <c r="V1196" s="405"/>
      <c r="W1196" s="405"/>
      <c r="X1196" s="405"/>
      <c r="Y1196" s="405"/>
      <c r="Z1196" s="405"/>
    </row>
    <row r="1197" ht="14.25" customHeight="1">
      <c r="A1197" s="405"/>
      <c r="B1197" s="405"/>
      <c r="C1197" s="405"/>
      <c r="D1197" s="405"/>
      <c r="E1197" s="405"/>
      <c r="F1197" s="583"/>
      <c r="G1197" s="583"/>
      <c r="H1197" s="405"/>
      <c r="I1197" s="405"/>
      <c r="J1197" s="405"/>
      <c r="K1197" s="405"/>
      <c r="L1197" s="405"/>
      <c r="M1197" s="405"/>
      <c r="N1197" s="405"/>
      <c r="O1197" s="405"/>
      <c r="P1197" s="405"/>
      <c r="Q1197" s="405"/>
      <c r="R1197" s="405"/>
      <c r="S1197" s="405"/>
      <c r="T1197" s="405"/>
      <c r="U1197" s="405"/>
      <c r="V1197" s="405"/>
      <c r="W1197" s="405"/>
      <c r="X1197" s="405"/>
      <c r="Y1197" s="405"/>
      <c r="Z1197" s="405"/>
    </row>
    <row r="1198" ht="14.25" customHeight="1">
      <c r="A1198" s="405"/>
      <c r="B1198" s="405"/>
      <c r="C1198" s="405"/>
      <c r="D1198" s="405"/>
      <c r="E1198" s="405"/>
      <c r="F1198" s="583"/>
      <c r="G1198" s="583"/>
      <c r="H1198" s="405"/>
      <c r="I1198" s="405"/>
      <c r="J1198" s="405"/>
      <c r="K1198" s="405"/>
      <c r="L1198" s="405"/>
      <c r="M1198" s="405"/>
      <c r="N1198" s="405"/>
      <c r="O1198" s="405"/>
      <c r="P1198" s="405"/>
      <c r="Q1198" s="405"/>
      <c r="R1198" s="405"/>
      <c r="S1198" s="405"/>
      <c r="T1198" s="405"/>
      <c r="U1198" s="405"/>
      <c r="V1198" s="405"/>
      <c r="W1198" s="405"/>
      <c r="X1198" s="405"/>
      <c r="Y1198" s="405"/>
      <c r="Z1198" s="405"/>
    </row>
    <row r="1199" ht="14.25" customHeight="1">
      <c r="A1199" s="405"/>
      <c r="B1199" s="405"/>
      <c r="C1199" s="405"/>
      <c r="D1199" s="405"/>
      <c r="E1199" s="405"/>
      <c r="F1199" s="583"/>
      <c r="G1199" s="583"/>
      <c r="H1199" s="405"/>
      <c r="I1199" s="405"/>
      <c r="J1199" s="405"/>
      <c r="K1199" s="405"/>
      <c r="L1199" s="405"/>
      <c r="M1199" s="405"/>
      <c r="N1199" s="405"/>
      <c r="O1199" s="405"/>
      <c r="P1199" s="405"/>
      <c r="Q1199" s="405"/>
      <c r="R1199" s="405"/>
      <c r="S1199" s="405"/>
      <c r="T1199" s="405"/>
      <c r="U1199" s="405"/>
      <c r="V1199" s="405"/>
      <c r="W1199" s="405"/>
      <c r="X1199" s="405"/>
      <c r="Y1199" s="405"/>
      <c r="Z1199" s="405"/>
    </row>
    <row r="1200" ht="14.25" customHeight="1">
      <c r="A1200" s="405"/>
      <c r="B1200" s="405"/>
      <c r="C1200" s="405"/>
      <c r="D1200" s="405"/>
      <c r="E1200" s="405"/>
      <c r="F1200" s="583"/>
      <c r="G1200" s="583"/>
      <c r="H1200" s="405"/>
      <c r="I1200" s="405"/>
      <c r="J1200" s="405"/>
      <c r="K1200" s="405"/>
      <c r="L1200" s="405"/>
      <c r="M1200" s="405"/>
      <c r="N1200" s="405"/>
      <c r="O1200" s="405"/>
      <c r="P1200" s="405"/>
      <c r="Q1200" s="405"/>
      <c r="R1200" s="405"/>
      <c r="S1200" s="405"/>
      <c r="T1200" s="405"/>
      <c r="U1200" s="405"/>
      <c r="V1200" s="405"/>
      <c r="W1200" s="405"/>
      <c r="X1200" s="405"/>
      <c r="Y1200" s="405"/>
      <c r="Z1200" s="405"/>
    </row>
    <row r="1201" ht="14.25" customHeight="1">
      <c r="A1201" s="405"/>
      <c r="B1201" s="405"/>
      <c r="C1201" s="405"/>
      <c r="D1201" s="405"/>
      <c r="E1201" s="405"/>
      <c r="F1201" s="583"/>
      <c r="G1201" s="583"/>
      <c r="H1201" s="405"/>
      <c r="I1201" s="405"/>
      <c r="J1201" s="405"/>
      <c r="K1201" s="405"/>
      <c r="L1201" s="405"/>
      <c r="M1201" s="405"/>
      <c r="N1201" s="405"/>
      <c r="O1201" s="405"/>
      <c r="P1201" s="405"/>
      <c r="Q1201" s="405"/>
      <c r="R1201" s="405"/>
      <c r="S1201" s="405"/>
      <c r="T1201" s="405"/>
      <c r="U1201" s="405"/>
      <c r="V1201" s="405"/>
      <c r="W1201" s="405"/>
      <c r="X1201" s="405"/>
      <c r="Y1201" s="405"/>
      <c r="Z1201" s="405"/>
    </row>
    <row r="1202" ht="14.25" customHeight="1">
      <c r="A1202" s="405"/>
      <c r="B1202" s="405"/>
      <c r="C1202" s="405"/>
      <c r="D1202" s="405"/>
      <c r="E1202" s="405"/>
      <c r="F1202" s="583"/>
      <c r="G1202" s="583"/>
      <c r="H1202" s="405"/>
      <c r="I1202" s="405"/>
      <c r="J1202" s="405"/>
      <c r="K1202" s="405"/>
      <c r="L1202" s="405"/>
      <c r="M1202" s="405"/>
      <c r="N1202" s="405"/>
      <c r="O1202" s="405"/>
      <c r="P1202" s="405"/>
      <c r="Q1202" s="405"/>
      <c r="R1202" s="405"/>
      <c r="S1202" s="405"/>
      <c r="T1202" s="405"/>
      <c r="U1202" s="405"/>
      <c r="V1202" s="405"/>
      <c r="W1202" s="405"/>
      <c r="X1202" s="405"/>
      <c r="Y1202" s="405"/>
      <c r="Z1202" s="405"/>
    </row>
    <row r="1203" ht="14.25" customHeight="1">
      <c r="A1203" s="405"/>
      <c r="B1203" s="405"/>
      <c r="C1203" s="405"/>
      <c r="D1203" s="405"/>
      <c r="E1203" s="405"/>
      <c r="F1203" s="583"/>
      <c r="G1203" s="583"/>
      <c r="H1203" s="405"/>
      <c r="I1203" s="405"/>
      <c r="J1203" s="405"/>
      <c r="K1203" s="405"/>
      <c r="L1203" s="405"/>
      <c r="M1203" s="405"/>
      <c r="N1203" s="405"/>
      <c r="O1203" s="405"/>
      <c r="P1203" s="405"/>
      <c r="Q1203" s="405"/>
      <c r="R1203" s="405"/>
      <c r="S1203" s="405"/>
      <c r="T1203" s="405"/>
      <c r="U1203" s="405"/>
      <c r="V1203" s="405"/>
      <c r="W1203" s="405"/>
      <c r="X1203" s="405"/>
      <c r="Y1203" s="405"/>
      <c r="Z1203" s="405"/>
    </row>
    <row r="1204" ht="14.25" customHeight="1">
      <c r="A1204" s="405"/>
      <c r="B1204" s="405"/>
      <c r="C1204" s="405"/>
      <c r="D1204" s="405"/>
      <c r="E1204" s="405"/>
      <c r="F1204" s="583"/>
      <c r="G1204" s="583"/>
      <c r="H1204" s="405"/>
      <c r="I1204" s="405"/>
      <c r="J1204" s="405"/>
      <c r="K1204" s="405"/>
      <c r="L1204" s="405"/>
      <c r="M1204" s="405"/>
      <c r="N1204" s="405"/>
      <c r="O1204" s="405"/>
      <c r="P1204" s="405"/>
      <c r="Q1204" s="405"/>
      <c r="R1204" s="405"/>
      <c r="S1204" s="405"/>
      <c r="T1204" s="405"/>
      <c r="U1204" s="405"/>
      <c r="V1204" s="405"/>
      <c r="W1204" s="405"/>
      <c r="X1204" s="405"/>
      <c r="Y1204" s="405"/>
      <c r="Z1204" s="405"/>
    </row>
    <row r="1205" ht="14.25" customHeight="1">
      <c r="A1205" s="405"/>
      <c r="B1205" s="405"/>
      <c r="C1205" s="405"/>
      <c r="D1205" s="405"/>
      <c r="E1205" s="405"/>
      <c r="F1205" s="583"/>
      <c r="G1205" s="583"/>
      <c r="H1205" s="405"/>
      <c r="I1205" s="405"/>
      <c r="J1205" s="405"/>
      <c r="K1205" s="405"/>
      <c r="L1205" s="405"/>
      <c r="M1205" s="405"/>
      <c r="N1205" s="405"/>
      <c r="O1205" s="405"/>
      <c r="P1205" s="405"/>
      <c r="Q1205" s="405"/>
      <c r="R1205" s="405"/>
      <c r="S1205" s="405"/>
      <c r="T1205" s="405"/>
      <c r="U1205" s="405"/>
      <c r="V1205" s="405"/>
      <c r="W1205" s="405"/>
      <c r="X1205" s="405"/>
      <c r="Y1205" s="405"/>
      <c r="Z1205" s="405"/>
    </row>
    <row r="1206" ht="14.25" customHeight="1">
      <c r="A1206" s="405"/>
      <c r="B1206" s="405"/>
      <c r="C1206" s="405"/>
      <c r="D1206" s="405"/>
      <c r="E1206" s="405"/>
      <c r="F1206" s="583"/>
      <c r="G1206" s="583"/>
      <c r="H1206" s="405"/>
      <c r="I1206" s="405"/>
      <c r="J1206" s="405"/>
      <c r="K1206" s="405"/>
      <c r="L1206" s="405"/>
      <c r="M1206" s="405"/>
      <c r="N1206" s="405"/>
      <c r="O1206" s="405"/>
      <c r="P1206" s="405"/>
      <c r="Q1206" s="405"/>
      <c r="R1206" s="405"/>
      <c r="S1206" s="405"/>
      <c r="T1206" s="405"/>
      <c r="U1206" s="405"/>
      <c r="V1206" s="405"/>
      <c r="W1206" s="405"/>
      <c r="X1206" s="405"/>
      <c r="Y1206" s="405"/>
      <c r="Z1206" s="405"/>
    </row>
    <row r="1207" ht="14.25" customHeight="1">
      <c r="A1207" s="405"/>
      <c r="B1207" s="405"/>
      <c r="C1207" s="405"/>
      <c r="D1207" s="405"/>
      <c r="E1207" s="405"/>
      <c r="F1207" s="583"/>
      <c r="G1207" s="583"/>
      <c r="H1207" s="405"/>
      <c r="I1207" s="405"/>
      <c r="J1207" s="405"/>
      <c r="K1207" s="405"/>
      <c r="L1207" s="405"/>
      <c r="M1207" s="405"/>
      <c r="N1207" s="405"/>
      <c r="O1207" s="405"/>
      <c r="P1207" s="405"/>
      <c r="Q1207" s="405"/>
      <c r="R1207" s="405"/>
      <c r="S1207" s="405"/>
      <c r="T1207" s="405"/>
      <c r="U1207" s="405"/>
      <c r="V1207" s="405"/>
      <c r="W1207" s="405"/>
      <c r="X1207" s="405"/>
      <c r="Y1207" s="405"/>
      <c r="Z1207" s="405"/>
    </row>
    <row r="1208" ht="14.25" customHeight="1">
      <c r="A1208" s="405"/>
      <c r="B1208" s="405"/>
      <c r="C1208" s="405"/>
      <c r="D1208" s="405"/>
      <c r="E1208" s="405"/>
      <c r="F1208" s="583"/>
      <c r="G1208" s="583"/>
      <c r="H1208" s="405"/>
      <c r="I1208" s="405"/>
      <c r="J1208" s="405"/>
      <c r="K1208" s="405"/>
      <c r="L1208" s="405"/>
      <c r="M1208" s="405"/>
      <c r="N1208" s="405"/>
      <c r="O1208" s="405"/>
      <c r="P1208" s="405"/>
      <c r="Q1208" s="405"/>
      <c r="R1208" s="405"/>
      <c r="S1208" s="405"/>
      <c r="T1208" s="405"/>
      <c r="U1208" s="405"/>
      <c r="V1208" s="405"/>
      <c r="W1208" s="405"/>
      <c r="X1208" s="405"/>
      <c r="Y1208" s="405"/>
      <c r="Z1208" s="405"/>
    </row>
    <row r="1209" ht="14.25" customHeight="1">
      <c r="A1209" s="405"/>
      <c r="B1209" s="405"/>
      <c r="C1209" s="405"/>
      <c r="D1209" s="405"/>
      <c r="E1209" s="405"/>
      <c r="F1209" s="583"/>
      <c r="G1209" s="583"/>
      <c r="H1209" s="405"/>
      <c r="I1209" s="405"/>
      <c r="J1209" s="405"/>
      <c r="K1209" s="405"/>
      <c r="L1209" s="405"/>
      <c r="M1209" s="405"/>
      <c r="N1209" s="405"/>
      <c r="O1209" s="405"/>
      <c r="P1209" s="405"/>
      <c r="Q1209" s="405"/>
      <c r="R1209" s="405"/>
      <c r="S1209" s="405"/>
      <c r="T1209" s="405"/>
      <c r="U1209" s="405"/>
      <c r="V1209" s="405"/>
      <c r="W1209" s="405"/>
      <c r="X1209" s="405"/>
      <c r="Y1209" s="405"/>
      <c r="Z1209" s="405"/>
    </row>
    <row r="1210" ht="14.25" customHeight="1">
      <c r="A1210" s="405"/>
      <c r="B1210" s="405"/>
      <c r="C1210" s="405"/>
      <c r="D1210" s="405"/>
      <c r="E1210" s="405"/>
      <c r="F1210" s="583"/>
      <c r="G1210" s="583"/>
      <c r="H1210" s="405"/>
      <c r="I1210" s="405"/>
      <c r="J1210" s="405"/>
      <c r="K1210" s="405"/>
      <c r="L1210" s="405"/>
      <c r="M1210" s="405"/>
      <c r="N1210" s="405"/>
      <c r="O1210" s="405"/>
      <c r="P1210" s="405"/>
      <c r="Q1210" s="405"/>
      <c r="R1210" s="405"/>
      <c r="S1210" s="405"/>
      <c r="T1210" s="405"/>
      <c r="U1210" s="405"/>
      <c r="V1210" s="405"/>
      <c r="W1210" s="405"/>
      <c r="X1210" s="405"/>
      <c r="Y1210" s="405"/>
      <c r="Z1210" s="405"/>
    </row>
    <row r="1211" ht="14.25" customHeight="1">
      <c r="A1211" s="405"/>
      <c r="B1211" s="405"/>
      <c r="C1211" s="405"/>
      <c r="D1211" s="405"/>
      <c r="E1211" s="405"/>
      <c r="F1211" s="583"/>
      <c r="G1211" s="583"/>
      <c r="H1211" s="405"/>
      <c r="I1211" s="405"/>
      <c r="J1211" s="405"/>
      <c r="K1211" s="405"/>
      <c r="L1211" s="405"/>
      <c r="M1211" s="405"/>
      <c r="N1211" s="405"/>
      <c r="O1211" s="405"/>
      <c r="P1211" s="405"/>
      <c r="Q1211" s="405"/>
      <c r="R1211" s="405"/>
      <c r="S1211" s="405"/>
      <c r="T1211" s="405"/>
      <c r="U1211" s="405"/>
      <c r="V1211" s="405"/>
      <c r="W1211" s="405"/>
      <c r="X1211" s="405"/>
      <c r="Y1211" s="405"/>
      <c r="Z1211" s="405"/>
    </row>
    <row r="1212" ht="14.25" customHeight="1">
      <c r="A1212" s="405"/>
      <c r="B1212" s="405"/>
      <c r="C1212" s="405"/>
      <c r="D1212" s="405"/>
      <c r="E1212" s="405"/>
      <c r="F1212" s="583"/>
      <c r="G1212" s="583"/>
      <c r="H1212" s="405"/>
      <c r="I1212" s="405"/>
      <c r="J1212" s="405"/>
      <c r="K1212" s="405"/>
      <c r="L1212" s="405"/>
      <c r="M1212" s="405"/>
      <c r="N1212" s="405"/>
      <c r="O1212" s="405"/>
      <c r="P1212" s="405"/>
      <c r="Q1212" s="405"/>
      <c r="R1212" s="405"/>
      <c r="S1212" s="405"/>
      <c r="T1212" s="405"/>
      <c r="U1212" s="405"/>
      <c r="V1212" s="405"/>
      <c r="W1212" s="405"/>
      <c r="X1212" s="405"/>
      <c r="Y1212" s="405"/>
      <c r="Z1212" s="405"/>
    </row>
    <row r="1213" ht="14.25" customHeight="1">
      <c r="A1213" s="405"/>
      <c r="B1213" s="405"/>
      <c r="C1213" s="405"/>
      <c r="D1213" s="405"/>
      <c r="E1213" s="405"/>
      <c r="F1213" s="583"/>
      <c r="G1213" s="583"/>
      <c r="H1213" s="405"/>
      <c r="I1213" s="405"/>
      <c r="J1213" s="405"/>
      <c r="K1213" s="405"/>
      <c r="L1213" s="405"/>
      <c r="M1213" s="405"/>
      <c r="N1213" s="405"/>
      <c r="O1213" s="405"/>
      <c r="P1213" s="405"/>
      <c r="Q1213" s="405"/>
      <c r="R1213" s="405"/>
      <c r="S1213" s="405"/>
      <c r="T1213" s="405"/>
      <c r="U1213" s="405"/>
      <c r="V1213" s="405"/>
      <c r="W1213" s="405"/>
      <c r="X1213" s="405"/>
      <c r="Y1213" s="405"/>
      <c r="Z1213" s="405"/>
    </row>
    <row r="1214" ht="14.25" customHeight="1">
      <c r="A1214" s="405"/>
      <c r="B1214" s="405"/>
      <c r="C1214" s="405"/>
      <c r="D1214" s="405"/>
      <c r="E1214" s="405"/>
      <c r="F1214" s="583"/>
      <c r="G1214" s="583"/>
      <c r="H1214" s="405"/>
      <c r="I1214" s="405"/>
      <c r="J1214" s="405"/>
      <c r="K1214" s="405"/>
      <c r="L1214" s="405"/>
      <c r="M1214" s="405"/>
      <c r="N1214" s="405"/>
      <c r="O1214" s="405"/>
      <c r="P1214" s="405"/>
      <c r="Q1214" s="405"/>
      <c r="R1214" s="405"/>
      <c r="S1214" s="405"/>
      <c r="T1214" s="405"/>
      <c r="U1214" s="405"/>
      <c r="V1214" s="405"/>
      <c r="W1214" s="405"/>
      <c r="X1214" s="405"/>
      <c r="Y1214" s="405"/>
      <c r="Z1214" s="405"/>
    </row>
    <row r="1215" ht="14.25" customHeight="1">
      <c r="A1215" s="405"/>
      <c r="B1215" s="405"/>
      <c r="C1215" s="405"/>
      <c r="D1215" s="405"/>
      <c r="E1215" s="405"/>
      <c r="F1215" s="583"/>
      <c r="G1215" s="583"/>
      <c r="H1215" s="405"/>
      <c r="I1215" s="405"/>
      <c r="J1215" s="405"/>
      <c r="K1215" s="405"/>
      <c r="L1215" s="405"/>
      <c r="M1215" s="405"/>
      <c r="N1215" s="405"/>
      <c r="O1215" s="405"/>
      <c r="P1215" s="405"/>
      <c r="Q1215" s="405"/>
      <c r="R1215" s="405"/>
      <c r="S1215" s="405"/>
      <c r="T1215" s="405"/>
      <c r="U1215" s="405"/>
      <c r="V1215" s="405"/>
      <c r="W1215" s="405"/>
      <c r="X1215" s="405"/>
      <c r="Y1215" s="405"/>
      <c r="Z1215" s="405"/>
    </row>
    <row r="1216" ht="14.25" customHeight="1">
      <c r="A1216" s="405"/>
      <c r="B1216" s="405"/>
      <c r="C1216" s="405"/>
      <c r="D1216" s="405"/>
      <c r="E1216" s="405"/>
      <c r="F1216" s="583"/>
      <c r="G1216" s="583"/>
      <c r="H1216" s="405"/>
      <c r="I1216" s="405"/>
      <c r="J1216" s="405"/>
      <c r="K1216" s="405"/>
      <c r="L1216" s="405"/>
      <c r="M1216" s="405"/>
      <c r="N1216" s="405"/>
      <c r="O1216" s="405"/>
      <c r="P1216" s="405"/>
      <c r="Q1216" s="405"/>
      <c r="R1216" s="405"/>
      <c r="S1216" s="405"/>
      <c r="T1216" s="405"/>
      <c r="U1216" s="405"/>
      <c r="V1216" s="405"/>
      <c r="W1216" s="405"/>
      <c r="X1216" s="405"/>
      <c r="Y1216" s="405"/>
      <c r="Z1216" s="405"/>
    </row>
    <row r="1217" ht="14.25" customHeight="1">
      <c r="A1217" s="405"/>
      <c r="B1217" s="405"/>
      <c r="C1217" s="405"/>
      <c r="D1217" s="405"/>
      <c r="E1217" s="405"/>
      <c r="F1217" s="583"/>
      <c r="G1217" s="583"/>
      <c r="H1217" s="405"/>
      <c r="I1217" s="405"/>
      <c r="J1217" s="405"/>
      <c r="K1217" s="405"/>
      <c r="L1217" s="405"/>
      <c r="M1217" s="405"/>
      <c r="N1217" s="405"/>
      <c r="O1217" s="405"/>
      <c r="P1217" s="405"/>
      <c r="Q1217" s="405"/>
      <c r="R1217" s="405"/>
      <c r="S1217" s="405"/>
      <c r="T1217" s="405"/>
      <c r="U1217" s="405"/>
      <c r="V1217" s="405"/>
      <c r="W1217" s="405"/>
      <c r="X1217" s="405"/>
      <c r="Y1217" s="405"/>
      <c r="Z1217" s="405"/>
    </row>
    <row r="1218" ht="14.25" customHeight="1">
      <c r="A1218" s="405"/>
      <c r="B1218" s="405"/>
      <c r="C1218" s="405"/>
      <c r="D1218" s="405"/>
      <c r="E1218" s="405"/>
      <c r="F1218" s="583"/>
      <c r="G1218" s="583"/>
      <c r="H1218" s="405"/>
      <c r="I1218" s="405"/>
      <c r="J1218" s="405"/>
      <c r="K1218" s="405"/>
      <c r="L1218" s="405"/>
      <c r="M1218" s="405"/>
      <c r="N1218" s="405"/>
      <c r="O1218" s="405"/>
      <c r="P1218" s="405"/>
      <c r="Q1218" s="405"/>
      <c r="R1218" s="405"/>
      <c r="S1218" s="405"/>
      <c r="T1218" s="405"/>
      <c r="U1218" s="405"/>
      <c r="V1218" s="405"/>
      <c r="W1218" s="405"/>
      <c r="X1218" s="405"/>
      <c r="Y1218" s="405"/>
      <c r="Z1218" s="405"/>
    </row>
    <row r="1219" ht="14.25" customHeight="1">
      <c r="A1219" s="405"/>
      <c r="B1219" s="405"/>
      <c r="C1219" s="405"/>
      <c r="D1219" s="405"/>
      <c r="E1219" s="405"/>
      <c r="F1219" s="583"/>
      <c r="G1219" s="583"/>
      <c r="H1219" s="405"/>
      <c r="I1219" s="405"/>
      <c r="J1219" s="405"/>
      <c r="K1219" s="405"/>
      <c r="L1219" s="405"/>
      <c r="M1219" s="405"/>
      <c r="N1219" s="405"/>
      <c r="O1219" s="405"/>
      <c r="P1219" s="405"/>
      <c r="Q1219" s="405"/>
      <c r="R1219" s="405"/>
      <c r="S1219" s="405"/>
      <c r="T1219" s="405"/>
      <c r="U1219" s="405"/>
      <c r="V1219" s="405"/>
      <c r="W1219" s="405"/>
      <c r="X1219" s="405"/>
      <c r="Y1219" s="405"/>
      <c r="Z1219" s="405"/>
    </row>
    <row r="1220" ht="14.25" customHeight="1">
      <c r="A1220" s="405"/>
      <c r="B1220" s="405"/>
      <c r="C1220" s="405"/>
      <c r="D1220" s="405"/>
      <c r="E1220" s="405"/>
      <c r="F1220" s="583"/>
      <c r="G1220" s="583"/>
      <c r="H1220" s="405"/>
      <c r="I1220" s="405"/>
      <c r="J1220" s="405"/>
      <c r="K1220" s="405"/>
      <c r="L1220" s="405"/>
      <c r="M1220" s="405"/>
      <c r="N1220" s="405"/>
      <c r="O1220" s="405"/>
      <c r="P1220" s="405"/>
      <c r="Q1220" s="405"/>
      <c r="R1220" s="405"/>
      <c r="S1220" s="405"/>
      <c r="T1220" s="405"/>
      <c r="U1220" s="405"/>
      <c r="V1220" s="405"/>
      <c r="W1220" s="405"/>
      <c r="X1220" s="405"/>
      <c r="Y1220" s="405"/>
      <c r="Z1220" s="405"/>
    </row>
    <row r="1221" ht="14.25" customHeight="1">
      <c r="A1221" s="405"/>
      <c r="B1221" s="405"/>
      <c r="C1221" s="405"/>
      <c r="D1221" s="405"/>
      <c r="E1221" s="405"/>
      <c r="F1221" s="583"/>
      <c r="G1221" s="583"/>
      <c r="H1221" s="405"/>
      <c r="I1221" s="405"/>
      <c r="J1221" s="405"/>
      <c r="K1221" s="405"/>
      <c r="L1221" s="405"/>
      <c r="M1221" s="405"/>
      <c r="N1221" s="405"/>
      <c r="O1221" s="405"/>
      <c r="P1221" s="405"/>
      <c r="Q1221" s="405"/>
      <c r="R1221" s="405"/>
      <c r="S1221" s="405"/>
      <c r="T1221" s="405"/>
      <c r="U1221" s="405"/>
      <c r="V1221" s="405"/>
      <c r="W1221" s="405"/>
      <c r="X1221" s="405"/>
      <c r="Y1221" s="405"/>
      <c r="Z1221" s="405"/>
    </row>
    <row r="1222" ht="14.25" customHeight="1">
      <c r="A1222" s="405"/>
      <c r="B1222" s="405"/>
      <c r="C1222" s="405"/>
      <c r="D1222" s="405"/>
      <c r="E1222" s="405"/>
      <c r="F1222" s="583"/>
      <c r="G1222" s="583"/>
      <c r="H1222" s="405"/>
      <c r="I1222" s="405"/>
      <c r="J1222" s="405"/>
      <c r="K1222" s="405"/>
      <c r="L1222" s="405"/>
      <c r="M1222" s="405"/>
      <c r="N1222" s="405"/>
      <c r="O1222" s="405"/>
      <c r="P1222" s="405"/>
      <c r="Q1222" s="405"/>
      <c r="R1222" s="405"/>
      <c r="S1222" s="405"/>
      <c r="T1222" s="405"/>
      <c r="U1222" s="405"/>
      <c r="V1222" s="405"/>
      <c r="W1222" s="405"/>
      <c r="X1222" s="405"/>
      <c r="Y1222" s="405"/>
      <c r="Z1222" s="405"/>
    </row>
    <row r="1223" ht="14.25" customHeight="1">
      <c r="A1223" s="405"/>
      <c r="B1223" s="405"/>
      <c r="C1223" s="405"/>
      <c r="D1223" s="405"/>
      <c r="E1223" s="405"/>
      <c r="F1223" s="583"/>
      <c r="G1223" s="583"/>
      <c r="H1223" s="405"/>
      <c r="I1223" s="405"/>
      <c r="J1223" s="405"/>
      <c r="K1223" s="405"/>
      <c r="L1223" s="405"/>
      <c r="M1223" s="405"/>
      <c r="N1223" s="405"/>
      <c r="O1223" s="405"/>
      <c r="P1223" s="405"/>
      <c r="Q1223" s="405"/>
      <c r="R1223" s="405"/>
      <c r="S1223" s="405"/>
      <c r="T1223" s="405"/>
      <c r="U1223" s="405"/>
      <c r="V1223" s="405"/>
      <c r="W1223" s="405"/>
      <c r="X1223" s="405"/>
      <c r="Y1223" s="405"/>
      <c r="Z1223" s="405"/>
    </row>
    <row r="1224" ht="14.25" customHeight="1">
      <c r="A1224" s="405"/>
      <c r="B1224" s="405"/>
      <c r="C1224" s="405"/>
      <c r="D1224" s="405"/>
      <c r="E1224" s="405"/>
      <c r="F1224" s="583"/>
      <c r="G1224" s="583"/>
      <c r="H1224" s="405"/>
      <c r="I1224" s="405"/>
      <c r="J1224" s="405"/>
      <c r="K1224" s="405"/>
      <c r="L1224" s="405"/>
      <c r="M1224" s="405"/>
      <c r="N1224" s="405"/>
      <c r="O1224" s="405"/>
      <c r="P1224" s="405"/>
      <c r="Q1224" s="405"/>
      <c r="R1224" s="405"/>
      <c r="S1224" s="405"/>
      <c r="T1224" s="405"/>
      <c r="U1224" s="405"/>
      <c r="V1224" s="405"/>
      <c r="W1224" s="405"/>
      <c r="X1224" s="405"/>
      <c r="Y1224" s="405"/>
      <c r="Z1224" s="405"/>
    </row>
    <row r="1225" ht="14.25" customHeight="1">
      <c r="A1225" s="405"/>
      <c r="B1225" s="405"/>
      <c r="C1225" s="405"/>
      <c r="D1225" s="405"/>
      <c r="E1225" s="405"/>
      <c r="F1225" s="583"/>
      <c r="G1225" s="583"/>
      <c r="H1225" s="405"/>
      <c r="I1225" s="405"/>
      <c r="J1225" s="405"/>
      <c r="K1225" s="405"/>
      <c r="L1225" s="405"/>
      <c r="M1225" s="405"/>
      <c r="N1225" s="405"/>
      <c r="O1225" s="405"/>
      <c r="P1225" s="405"/>
      <c r="Q1225" s="405"/>
      <c r="R1225" s="405"/>
      <c r="S1225" s="405"/>
      <c r="T1225" s="405"/>
      <c r="U1225" s="405"/>
      <c r="V1225" s="405"/>
      <c r="W1225" s="405"/>
      <c r="X1225" s="405"/>
      <c r="Y1225" s="405"/>
      <c r="Z1225" s="405"/>
    </row>
    <row r="1226" ht="14.25" customHeight="1">
      <c r="A1226" s="405"/>
      <c r="B1226" s="405"/>
      <c r="C1226" s="405"/>
      <c r="D1226" s="405"/>
      <c r="E1226" s="405"/>
      <c r="F1226" s="583"/>
      <c r="G1226" s="583"/>
      <c r="H1226" s="405"/>
      <c r="I1226" s="405"/>
      <c r="J1226" s="405"/>
      <c r="K1226" s="405"/>
      <c r="L1226" s="405"/>
      <c r="M1226" s="405"/>
      <c r="N1226" s="405"/>
      <c r="O1226" s="405"/>
      <c r="P1226" s="405"/>
      <c r="Q1226" s="405"/>
      <c r="R1226" s="405"/>
      <c r="S1226" s="405"/>
      <c r="T1226" s="405"/>
      <c r="U1226" s="405"/>
      <c r="V1226" s="405"/>
      <c r="W1226" s="405"/>
      <c r="X1226" s="405"/>
      <c r="Y1226" s="405"/>
      <c r="Z1226" s="405"/>
    </row>
    <row r="1227" ht="14.25" customHeight="1">
      <c r="A1227" s="405"/>
      <c r="B1227" s="405"/>
      <c r="C1227" s="405"/>
      <c r="D1227" s="405"/>
      <c r="E1227" s="405"/>
      <c r="F1227" s="583"/>
      <c r="G1227" s="583"/>
      <c r="H1227" s="405"/>
      <c r="I1227" s="405"/>
      <c r="J1227" s="405"/>
      <c r="K1227" s="405"/>
      <c r="L1227" s="405"/>
      <c r="M1227" s="405"/>
      <c r="N1227" s="405"/>
      <c r="O1227" s="405"/>
      <c r="P1227" s="405"/>
      <c r="Q1227" s="405"/>
      <c r="R1227" s="405"/>
      <c r="S1227" s="405"/>
      <c r="T1227" s="405"/>
      <c r="U1227" s="405"/>
      <c r="V1227" s="405"/>
      <c r="W1227" s="405"/>
      <c r="X1227" s="405"/>
      <c r="Y1227" s="405"/>
      <c r="Z1227" s="405"/>
    </row>
    <row r="1228" ht="14.25" customHeight="1">
      <c r="A1228" s="405"/>
      <c r="B1228" s="405"/>
      <c r="C1228" s="405"/>
      <c r="D1228" s="405"/>
      <c r="E1228" s="405"/>
      <c r="F1228" s="583"/>
      <c r="G1228" s="583"/>
      <c r="H1228" s="405"/>
      <c r="I1228" s="405"/>
      <c r="J1228" s="405"/>
      <c r="K1228" s="405"/>
      <c r="L1228" s="405"/>
      <c r="M1228" s="405"/>
      <c r="N1228" s="405"/>
      <c r="O1228" s="405"/>
      <c r="P1228" s="405"/>
      <c r="Q1228" s="405"/>
      <c r="R1228" s="405"/>
      <c r="S1228" s="405"/>
      <c r="T1228" s="405"/>
      <c r="U1228" s="405"/>
      <c r="V1228" s="405"/>
      <c r="W1228" s="405"/>
      <c r="X1228" s="405"/>
      <c r="Y1228" s="405"/>
      <c r="Z1228" s="405"/>
    </row>
    <row r="1229" ht="14.25" customHeight="1">
      <c r="A1229" s="405"/>
      <c r="B1229" s="405"/>
      <c r="C1229" s="405"/>
      <c r="D1229" s="405"/>
      <c r="E1229" s="405"/>
      <c r="F1229" s="583"/>
      <c r="G1229" s="583"/>
      <c r="H1229" s="405"/>
      <c r="I1229" s="405"/>
      <c r="J1229" s="405"/>
      <c r="K1229" s="405"/>
      <c r="L1229" s="405"/>
      <c r="M1229" s="405"/>
      <c r="N1229" s="405"/>
      <c r="O1229" s="405"/>
      <c r="P1229" s="405"/>
      <c r="Q1229" s="405"/>
      <c r="R1229" s="405"/>
      <c r="S1229" s="405"/>
      <c r="T1229" s="405"/>
      <c r="U1229" s="405"/>
      <c r="V1229" s="405"/>
      <c r="W1229" s="405"/>
      <c r="X1229" s="405"/>
      <c r="Y1229" s="405"/>
      <c r="Z1229" s="405"/>
    </row>
    <row r="1230" ht="14.25" customHeight="1">
      <c r="A1230" s="405"/>
      <c r="B1230" s="405"/>
      <c r="C1230" s="405"/>
      <c r="D1230" s="405"/>
      <c r="E1230" s="405"/>
      <c r="F1230" s="583"/>
      <c r="G1230" s="583"/>
      <c r="H1230" s="405"/>
      <c r="I1230" s="405"/>
      <c r="J1230" s="405"/>
      <c r="K1230" s="405"/>
      <c r="L1230" s="405"/>
      <c r="M1230" s="405"/>
      <c r="N1230" s="405"/>
      <c r="O1230" s="405"/>
      <c r="P1230" s="405"/>
      <c r="Q1230" s="405"/>
      <c r="R1230" s="405"/>
      <c r="S1230" s="405"/>
      <c r="T1230" s="405"/>
      <c r="U1230" s="405"/>
      <c r="V1230" s="405"/>
      <c r="W1230" s="405"/>
      <c r="X1230" s="405"/>
      <c r="Y1230" s="405"/>
      <c r="Z1230" s="405"/>
    </row>
    <row r="1231" ht="14.25" customHeight="1">
      <c r="A1231" s="405"/>
      <c r="B1231" s="405"/>
      <c r="C1231" s="405"/>
      <c r="D1231" s="405"/>
      <c r="E1231" s="405"/>
      <c r="F1231" s="583"/>
      <c r="G1231" s="583"/>
      <c r="H1231" s="405"/>
      <c r="I1231" s="405"/>
      <c r="J1231" s="405"/>
      <c r="K1231" s="405"/>
      <c r="L1231" s="405"/>
      <c r="M1231" s="405"/>
      <c r="N1231" s="405"/>
      <c r="O1231" s="405"/>
      <c r="P1231" s="405"/>
      <c r="Q1231" s="405"/>
      <c r="R1231" s="405"/>
      <c r="S1231" s="405"/>
      <c r="T1231" s="405"/>
      <c r="U1231" s="405"/>
      <c r="V1231" s="405"/>
      <c r="W1231" s="405"/>
      <c r="X1231" s="405"/>
      <c r="Y1231" s="405"/>
      <c r="Z1231" s="405"/>
    </row>
    <row r="1232" ht="14.25" customHeight="1">
      <c r="A1232" s="405"/>
      <c r="B1232" s="405"/>
      <c r="C1232" s="405"/>
      <c r="D1232" s="405"/>
      <c r="E1232" s="405"/>
      <c r="F1232" s="583"/>
      <c r="G1232" s="583"/>
      <c r="H1232" s="405"/>
      <c r="I1232" s="405"/>
      <c r="J1232" s="405"/>
      <c r="K1232" s="405"/>
      <c r="L1232" s="405"/>
      <c r="M1232" s="405"/>
      <c r="N1232" s="405"/>
      <c r="O1232" s="405"/>
      <c r="P1232" s="405"/>
      <c r="Q1232" s="405"/>
      <c r="R1232" s="405"/>
      <c r="S1232" s="405"/>
      <c r="T1232" s="405"/>
      <c r="U1232" s="405"/>
      <c r="V1232" s="405"/>
      <c r="W1232" s="405"/>
      <c r="X1232" s="405"/>
      <c r="Y1232" s="405"/>
      <c r="Z1232" s="405"/>
    </row>
    <row r="1233" ht="14.25" customHeight="1">
      <c r="A1233" s="405"/>
      <c r="B1233" s="405"/>
      <c r="C1233" s="405"/>
      <c r="D1233" s="405"/>
      <c r="E1233" s="405"/>
      <c r="F1233" s="583"/>
      <c r="G1233" s="583"/>
      <c r="H1233" s="405"/>
      <c r="I1233" s="405"/>
      <c r="J1233" s="405"/>
      <c r="K1233" s="405"/>
      <c r="L1233" s="405"/>
      <c r="M1233" s="405"/>
      <c r="N1233" s="405"/>
      <c r="O1233" s="405"/>
      <c r="P1233" s="405"/>
      <c r="Q1233" s="405"/>
      <c r="R1233" s="405"/>
      <c r="S1233" s="405"/>
      <c r="T1233" s="405"/>
      <c r="U1233" s="405"/>
      <c r="V1233" s="405"/>
      <c r="W1233" s="405"/>
      <c r="X1233" s="405"/>
      <c r="Y1233" s="405"/>
      <c r="Z1233" s="405"/>
    </row>
    <row r="1234" ht="14.25" customHeight="1">
      <c r="A1234" s="405"/>
      <c r="B1234" s="405"/>
      <c r="C1234" s="405"/>
      <c r="D1234" s="405"/>
      <c r="E1234" s="405"/>
      <c r="F1234" s="583"/>
      <c r="G1234" s="583"/>
      <c r="H1234" s="405"/>
      <c r="I1234" s="405"/>
      <c r="J1234" s="405"/>
      <c r="K1234" s="405"/>
      <c r="L1234" s="405"/>
      <c r="M1234" s="405"/>
      <c r="N1234" s="405"/>
      <c r="O1234" s="405"/>
      <c r="P1234" s="405"/>
      <c r="Q1234" s="405"/>
      <c r="R1234" s="405"/>
      <c r="S1234" s="405"/>
      <c r="T1234" s="405"/>
      <c r="U1234" s="405"/>
      <c r="V1234" s="405"/>
      <c r="W1234" s="405"/>
      <c r="X1234" s="405"/>
      <c r="Y1234" s="405"/>
      <c r="Z1234" s="405"/>
    </row>
    <row r="1235" ht="14.25" customHeight="1">
      <c r="A1235" s="405"/>
      <c r="B1235" s="405"/>
      <c r="C1235" s="405"/>
      <c r="D1235" s="405"/>
      <c r="E1235" s="405"/>
      <c r="F1235" s="583"/>
      <c r="G1235" s="583"/>
      <c r="H1235" s="405"/>
      <c r="I1235" s="405"/>
      <c r="J1235" s="405"/>
      <c r="K1235" s="405"/>
      <c r="L1235" s="405"/>
      <c r="M1235" s="405"/>
      <c r="N1235" s="405"/>
      <c r="O1235" s="405"/>
      <c r="P1235" s="405"/>
      <c r="Q1235" s="405"/>
      <c r="R1235" s="405"/>
      <c r="S1235" s="405"/>
      <c r="T1235" s="405"/>
      <c r="U1235" s="405"/>
      <c r="V1235" s="405"/>
      <c r="W1235" s="405"/>
      <c r="X1235" s="405"/>
      <c r="Y1235" s="405"/>
      <c r="Z1235" s="405"/>
    </row>
    <row r="1236" ht="14.25" customHeight="1">
      <c r="A1236" s="405"/>
      <c r="B1236" s="405"/>
      <c r="C1236" s="405"/>
      <c r="D1236" s="405"/>
      <c r="E1236" s="405"/>
      <c r="F1236" s="583"/>
      <c r="G1236" s="583"/>
      <c r="H1236" s="405"/>
      <c r="I1236" s="405"/>
      <c r="J1236" s="405"/>
      <c r="K1236" s="405"/>
      <c r="L1236" s="405"/>
      <c r="M1236" s="405"/>
      <c r="N1236" s="405"/>
      <c r="O1236" s="405"/>
      <c r="P1236" s="405"/>
      <c r="Q1236" s="405"/>
      <c r="R1236" s="405"/>
      <c r="S1236" s="405"/>
      <c r="T1236" s="405"/>
      <c r="U1236" s="405"/>
      <c r="V1236" s="405"/>
      <c r="W1236" s="405"/>
      <c r="X1236" s="405"/>
      <c r="Y1236" s="405"/>
      <c r="Z1236" s="405"/>
    </row>
    <row r="1237" ht="14.25" customHeight="1">
      <c r="A1237" s="405"/>
      <c r="B1237" s="405"/>
      <c r="C1237" s="405"/>
      <c r="D1237" s="405"/>
      <c r="E1237" s="405"/>
      <c r="F1237" s="583"/>
      <c r="G1237" s="583"/>
      <c r="H1237" s="405"/>
      <c r="I1237" s="405"/>
      <c r="J1237" s="405"/>
      <c r="K1237" s="405"/>
      <c r="L1237" s="405"/>
      <c r="M1237" s="405"/>
      <c r="N1237" s="405"/>
      <c r="O1237" s="405"/>
      <c r="P1237" s="405"/>
      <c r="Q1237" s="405"/>
      <c r="R1237" s="405"/>
      <c r="S1237" s="405"/>
      <c r="T1237" s="405"/>
      <c r="U1237" s="405"/>
      <c r="V1237" s="405"/>
      <c r="W1237" s="405"/>
      <c r="X1237" s="405"/>
      <c r="Y1237" s="405"/>
      <c r="Z1237" s="405"/>
    </row>
    <row r="1238" ht="14.25" customHeight="1">
      <c r="A1238" s="405"/>
      <c r="B1238" s="405"/>
      <c r="C1238" s="405"/>
      <c r="D1238" s="405"/>
      <c r="E1238" s="405"/>
      <c r="F1238" s="583"/>
      <c r="G1238" s="583"/>
      <c r="H1238" s="405"/>
      <c r="I1238" s="405"/>
      <c r="J1238" s="405"/>
      <c r="K1238" s="405"/>
      <c r="L1238" s="405"/>
      <c r="M1238" s="405"/>
      <c r="N1238" s="405"/>
      <c r="O1238" s="405"/>
      <c r="P1238" s="405"/>
      <c r="Q1238" s="405"/>
      <c r="R1238" s="405"/>
      <c r="S1238" s="405"/>
      <c r="T1238" s="405"/>
      <c r="U1238" s="405"/>
      <c r="V1238" s="405"/>
      <c r="W1238" s="405"/>
      <c r="X1238" s="405"/>
      <c r="Y1238" s="405"/>
      <c r="Z1238" s="405"/>
    </row>
    <row r="1239" ht="14.25" customHeight="1">
      <c r="A1239" s="405"/>
      <c r="B1239" s="405"/>
      <c r="C1239" s="405"/>
      <c r="D1239" s="405"/>
      <c r="E1239" s="405"/>
      <c r="F1239" s="583"/>
      <c r="G1239" s="583"/>
      <c r="H1239" s="405"/>
      <c r="I1239" s="405"/>
      <c r="J1239" s="405"/>
      <c r="K1239" s="405"/>
      <c r="L1239" s="405"/>
      <c r="M1239" s="405"/>
      <c r="N1239" s="405"/>
      <c r="O1239" s="405"/>
      <c r="P1239" s="405"/>
      <c r="Q1239" s="405"/>
      <c r="R1239" s="405"/>
      <c r="S1239" s="405"/>
      <c r="T1239" s="405"/>
      <c r="U1239" s="405"/>
      <c r="V1239" s="405"/>
      <c r="W1239" s="405"/>
      <c r="X1239" s="405"/>
      <c r="Y1239" s="405"/>
      <c r="Z1239" s="405"/>
    </row>
    <row r="1240" ht="14.25" customHeight="1">
      <c r="A1240" s="405"/>
      <c r="B1240" s="405"/>
      <c r="C1240" s="405"/>
      <c r="D1240" s="405"/>
      <c r="E1240" s="405"/>
      <c r="F1240" s="583"/>
      <c r="G1240" s="583"/>
      <c r="H1240" s="405"/>
      <c r="I1240" s="405"/>
      <c r="J1240" s="405"/>
      <c r="K1240" s="405"/>
      <c r="L1240" s="405"/>
      <c r="M1240" s="405"/>
      <c r="N1240" s="405"/>
      <c r="O1240" s="405"/>
      <c r="P1240" s="405"/>
      <c r="Q1240" s="405"/>
      <c r="R1240" s="405"/>
      <c r="S1240" s="405"/>
      <c r="T1240" s="405"/>
      <c r="U1240" s="405"/>
      <c r="V1240" s="405"/>
      <c r="W1240" s="405"/>
      <c r="X1240" s="405"/>
      <c r="Y1240" s="405"/>
      <c r="Z1240" s="405"/>
    </row>
    <row r="1241" ht="14.25" customHeight="1">
      <c r="A1241" s="405"/>
      <c r="B1241" s="405"/>
      <c r="C1241" s="405"/>
      <c r="D1241" s="405"/>
      <c r="E1241" s="405"/>
      <c r="F1241" s="583"/>
      <c r="G1241" s="583"/>
      <c r="H1241" s="405"/>
      <c r="I1241" s="405"/>
      <c r="J1241" s="405"/>
      <c r="K1241" s="405"/>
      <c r="L1241" s="405"/>
      <c r="M1241" s="405"/>
      <c r="N1241" s="405"/>
      <c r="O1241" s="405"/>
      <c r="P1241" s="405"/>
      <c r="Q1241" s="405"/>
      <c r="R1241" s="405"/>
      <c r="S1241" s="405"/>
      <c r="T1241" s="405"/>
      <c r="U1241" s="405"/>
      <c r="V1241" s="405"/>
      <c r="W1241" s="405"/>
      <c r="X1241" s="405"/>
      <c r="Y1241" s="405"/>
      <c r="Z1241" s="405"/>
    </row>
    <row r="1242" ht="14.25" customHeight="1">
      <c r="A1242" s="405"/>
      <c r="B1242" s="405"/>
      <c r="C1242" s="405"/>
      <c r="D1242" s="405"/>
      <c r="E1242" s="405"/>
      <c r="F1242" s="583"/>
      <c r="G1242" s="583"/>
      <c r="H1242" s="405"/>
      <c r="I1242" s="405"/>
      <c r="J1242" s="405"/>
      <c r="K1242" s="405"/>
      <c r="L1242" s="405"/>
      <c r="M1242" s="405"/>
      <c r="N1242" s="405"/>
      <c r="O1242" s="405"/>
      <c r="P1242" s="405"/>
      <c r="Q1242" s="405"/>
      <c r="R1242" s="405"/>
      <c r="S1242" s="405"/>
      <c r="T1242" s="405"/>
      <c r="U1242" s="405"/>
      <c r="V1242" s="405"/>
      <c r="W1242" s="405"/>
      <c r="X1242" s="405"/>
      <c r="Y1242" s="405"/>
      <c r="Z1242" s="405"/>
    </row>
    <row r="1243" ht="14.25" customHeight="1">
      <c r="A1243" s="405"/>
      <c r="B1243" s="405"/>
      <c r="C1243" s="405"/>
      <c r="D1243" s="405"/>
      <c r="E1243" s="405"/>
      <c r="F1243" s="583"/>
      <c r="G1243" s="583"/>
      <c r="H1243" s="405"/>
      <c r="I1243" s="405"/>
      <c r="J1243" s="405"/>
      <c r="K1243" s="405"/>
      <c r="L1243" s="405"/>
      <c r="M1243" s="405"/>
      <c r="N1243" s="405"/>
      <c r="O1243" s="405"/>
      <c r="P1243" s="405"/>
      <c r="Q1243" s="405"/>
      <c r="R1243" s="405"/>
      <c r="S1243" s="405"/>
      <c r="T1243" s="405"/>
      <c r="U1243" s="405"/>
      <c r="V1243" s="405"/>
      <c r="W1243" s="405"/>
      <c r="X1243" s="405"/>
      <c r="Y1243" s="405"/>
      <c r="Z1243" s="405"/>
    </row>
    <row r="1244" ht="14.25" customHeight="1">
      <c r="A1244" s="405"/>
      <c r="B1244" s="405"/>
      <c r="C1244" s="405"/>
      <c r="D1244" s="405"/>
      <c r="E1244" s="405"/>
      <c r="F1244" s="583"/>
      <c r="G1244" s="583"/>
      <c r="H1244" s="405"/>
      <c r="I1244" s="405"/>
      <c r="J1244" s="405"/>
      <c r="K1244" s="405"/>
      <c r="L1244" s="405"/>
      <c r="M1244" s="405"/>
      <c r="N1244" s="405"/>
      <c r="O1244" s="405"/>
      <c r="P1244" s="405"/>
      <c r="Q1244" s="405"/>
      <c r="R1244" s="405"/>
      <c r="S1244" s="405"/>
      <c r="T1244" s="405"/>
      <c r="U1244" s="405"/>
      <c r="V1244" s="405"/>
      <c r="W1244" s="405"/>
      <c r="X1244" s="405"/>
      <c r="Y1244" s="405"/>
      <c r="Z1244" s="405"/>
    </row>
    <row r="1245" ht="14.25" customHeight="1">
      <c r="A1245" s="405"/>
      <c r="B1245" s="405"/>
      <c r="C1245" s="405"/>
      <c r="D1245" s="405"/>
      <c r="E1245" s="405"/>
      <c r="F1245" s="583"/>
      <c r="G1245" s="583"/>
      <c r="H1245" s="405"/>
      <c r="I1245" s="405"/>
      <c r="J1245" s="405"/>
      <c r="K1245" s="405"/>
      <c r="L1245" s="405"/>
      <c r="M1245" s="405"/>
      <c r="N1245" s="405"/>
      <c r="O1245" s="405"/>
      <c r="P1245" s="405"/>
      <c r="Q1245" s="405"/>
      <c r="R1245" s="405"/>
      <c r="S1245" s="405"/>
      <c r="T1245" s="405"/>
      <c r="U1245" s="405"/>
      <c r="V1245" s="405"/>
      <c r="W1245" s="405"/>
      <c r="X1245" s="405"/>
      <c r="Y1245" s="405"/>
      <c r="Z1245" s="405"/>
    </row>
    <row r="1246" ht="14.25" customHeight="1">
      <c r="A1246" s="405"/>
      <c r="B1246" s="405"/>
      <c r="C1246" s="405"/>
      <c r="D1246" s="405"/>
      <c r="E1246" s="405"/>
      <c r="F1246" s="583"/>
      <c r="G1246" s="583"/>
      <c r="H1246" s="405"/>
      <c r="I1246" s="405"/>
      <c r="J1246" s="405"/>
      <c r="K1246" s="405"/>
      <c r="L1246" s="405"/>
      <c r="M1246" s="405"/>
      <c r="N1246" s="405"/>
      <c r="O1246" s="405"/>
      <c r="P1246" s="405"/>
      <c r="Q1246" s="405"/>
      <c r="R1246" s="405"/>
      <c r="S1246" s="405"/>
      <c r="T1246" s="405"/>
      <c r="U1246" s="405"/>
      <c r="V1246" s="405"/>
      <c r="W1246" s="405"/>
      <c r="X1246" s="405"/>
      <c r="Y1246" s="405"/>
      <c r="Z1246" s="405"/>
    </row>
    <row r="1247" ht="14.25" customHeight="1">
      <c r="A1247" s="405"/>
      <c r="B1247" s="405"/>
      <c r="C1247" s="405"/>
      <c r="D1247" s="405"/>
      <c r="E1247" s="405"/>
      <c r="F1247" s="583"/>
      <c r="G1247" s="583"/>
      <c r="H1247" s="405"/>
      <c r="I1247" s="405"/>
      <c r="J1247" s="405"/>
      <c r="K1247" s="405"/>
      <c r="L1247" s="405"/>
      <c r="M1247" s="405"/>
      <c r="N1247" s="405"/>
      <c r="O1247" s="405"/>
      <c r="P1247" s="405"/>
      <c r="Q1247" s="405"/>
      <c r="R1247" s="405"/>
      <c r="S1247" s="405"/>
      <c r="T1247" s="405"/>
      <c r="U1247" s="405"/>
      <c r="V1247" s="405"/>
      <c r="W1247" s="405"/>
      <c r="X1247" s="405"/>
      <c r="Y1247" s="405"/>
      <c r="Z1247" s="405"/>
    </row>
    <row r="1248" ht="14.25" customHeight="1">
      <c r="A1248" s="405"/>
      <c r="B1248" s="405"/>
      <c r="C1248" s="405"/>
      <c r="D1248" s="405"/>
      <c r="E1248" s="405"/>
      <c r="F1248" s="583"/>
      <c r="G1248" s="583"/>
      <c r="H1248" s="405"/>
      <c r="I1248" s="405"/>
      <c r="J1248" s="405"/>
      <c r="K1248" s="405"/>
      <c r="L1248" s="405"/>
      <c r="M1248" s="405"/>
      <c r="N1248" s="405"/>
      <c r="O1248" s="405"/>
      <c r="P1248" s="405"/>
      <c r="Q1248" s="405"/>
      <c r="R1248" s="405"/>
      <c r="S1248" s="405"/>
      <c r="T1248" s="405"/>
      <c r="U1248" s="405"/>
      <c r="V1248" s="405"/>
      <c r="W1248" s="405"/>
      <c r="X1248" s="405"/>
      <c r="Y1248" s="405"/>
      <c r="Z1248" s="405"/>
    </row>
    <row r="1249" ht="14.25" customHeight="1">
      <c r="A1249" s="405"/>
      <c r="B1249" s="405"/>
      <c r="C1249" s="405"/>
      <c r="D1249" s="405"/>
      <c r="E1249" s="405"/>
      <c r="F1249" s="583"/>
      <c r="G1249" s="583"/>
      <c r="H1249" s="405"/>
      <c r="I1249" s="405"/>
      <c r="J1249" s="405"/>
      <c r="K1249" s="405"/>
      <c r="L1249" s="405"/>
      <c r="M1249" s="405"/>
      <c r="N1249" s="405"/>
      <c r="O1249" s="405"/>
      <c r="P1249" s="405"/>
      <c r="Q1249" s="405"/>
      <c r="R1249" s="405"/>
      <c r="S1249" s="405"/>
      <c r="T1249" s="405"/>
      <c r="U1249" s="405"/>
      <c r="V1249" s="405"/>
      <c r="W1249" s="405"/>
      <c r="X1249" s="405"/>
      <c r="Y1249" s="405"/>
      <c r="Z1249" s="405"/>
    </row>
    <row r="1250" ht="14.25" customHeight="1">
      <c r="A1250" s="405"/>
      <c r="B1250" s="405"/>
      <c r="C1250" s="405"/>
      <c r="D1250" s="405"/>
      <c r="E1250" s="405"/>
      <c r="F1250" s="583"/>
      <c r="G1250" s="583"/>
      <c r="H1250" s="405"/>
      <c r="I1250" s="405"/>
      <c r="J1250" s="405"/>
      <c r="K1250" s="405"/>
      <c r="L1250" s="405"/>
      <c r="M1250" s="405"/>
      <c r="N1250" s="405"/>
      <c r="O1250" s="405"/>
      <c r="P1250" s="405"/>
      <c r="Q1250" s="405"/>
      <c r="R1250" s="405"/>
      <c r="S1250" s="405"/>
      <c r="T1250" s="405"/>
      <c r="U1250" s="405"/>
      <c r="V1250" s="405"/>
      <c r="W1250" s="405"/>
      <c r="X1250" s="405"/>
      <c r="Y1250" s="405"/>
      <c r="Z1250" s="405"/>
    </row>
    <row r="1251" ht="14.25" customHeight="1">
      <c r="A1251" s="405"/>
      <c r="B1251" s="405"/>
      <c r="C1251" s="405"/>
      <c r="D1251" s="405"/>
      <c r="E1251" s="405"/>
      <c r="F1251" s="583"/>
      <c r="G1251" s="583"/>
      <c r="H1251" s="405"/>
      <c r="I1251" s="405"/>
      <c r="J1251" s="405"/>
      <c r="K1251" s="405"/>
      <c r="L1251" s="405"/>
      <c r="M1251" s="405"/>
      <c r="N1251" s="405"/>
      <c r="O1251" s="405"/>
      <c r="P1251" s="405"/>
      <c r="Q1251" s="405"/>
      <c r="R1251" s="405"/>
      <c r="S1251" s="405"/>
      <c r="T1251" s="405"/>
      <c r="U1251" s="405"/>
      <c r="V1251" s="405"/>
      <c r="W1251" s="405"/>
      <c r="X1251" s="405"/>
      <c r="Y1251" s="405"/>
      <c r="Z1251" s="405"/>
    </row>
    <row r="1252" ht="14.25" customHeight="1">
      <c r="A1252" s="405"/>
      <c r="B1252" s="405"/>
      <c r="C1252" s="405"/>
      <c r="D1252" s="405"/>
      <c r="E1252" s="405"/>
      <c r="F1252" s="583"/>
      <c r="G1252" s="583"/>
      <c r="H1252" s="405"/>
      <c r="I1252" s="405"/>
      <c r="J1252" s="405"/>
      <c r="K1252" s="405"/>
      <c r="L1252" s="405"/>
      <c r="M1252" s="405"/>
      <c r="N1252" s="405"/>
      <c r="O1252" s="405"/>
      <c r="P1252" s="405"/>
      <c r="Q1252" s="405"/>
      <c r="R1252" s="405"/>
      <c r="S1252" s="405"/>
      <c r="T1252" s="405"/>
      <c r="U1252" s="405"/>
      <c r="V1252" s="405"/>
      <c r="W1252" s="405"/>
      <c r="X1252" s="405"/>
      <c r="Y1252" s="405"/>
      <c r="Z1252" s="405"/>
    </row>
    <row r="1253" ht="14.25" customHeight="1">
      <c r="A1253" s="405"/>
      <c r="B1253" s="405"/>
      <c r="C1253" s="405"/>
      <c r="D1253" s="405"/>
      <c r="E1253" s="405"/>
      <c r="F1253" s="583"/>
      <c r="G1253" s="583"/>
      <c r="H1253" s="405"/>
      <c r="I1253" s="405"/>
      <c r="J1253" s="405"/>
      <c r="K1253" s="405"/>
      <c r="L1253" s="405"/>
      <c r="M1253" s="405"/>
      <c r="N1253" s="405"/>
      <c r="O1253" s="405"/>
      <c r="P1253" s="405"/>
      <c r="Q1253" s="405"/>
      <c r="R1253" s="405"/>
      <c r="S1253" s="405"/>
      <c r="T1253" s="405"/>
      <c r="U1253" s="405"/>
      <c r="V1253" s="405"/>
      <c r="W1253" s="405"/>
      <c r="X1253" s="405"/>
      <c r="Y1253" s="405"/>
      <c r="Z1253" s="405"/>
    </row>
    <row r="1254" ht="14.25" customHeight="1">
      <c r="A1254" s="405"/>
      <c r="B1254" s="405"/>
      <c r="C1254" s="405"/>
      <c r="D1254" s="405"/>
      <c r="E1254" s="405"/>
      <c r="F1254" s="583"/>
      <c r="G1254" s="583"/>
      <c r="H1254" s="405"/>
      <c r="I1254" s="405"/>
      <c r="J1254" s="405"/>
      <c r="K1254" s="405"/>
      <c r="L1254" s="405"/>
      <c r="M1254" s="405"/>
      <c r="N1254" s="405"/>
      <c r="O1254" s="405"/>
      <c r="P1254" s="405"/>
      <c r="Q1254" s="405"/>
      <c r="R1254" s="405"/>
      <c r="S1254" s="405"/>
      <c r="T1254" s="405"/>
      <c r="U1254" s="405"/>
      <c r="V1254" s="405"/>
      <c r="W1254" s="405"/>
      <c r="X1254" s="405"/>
      <c r="Y1254" s="405"/>
      <c r="Z1254" s="405"/>
    </row>
    <row r="1255" ht="14.25" customHeight="1">
      <c r="A1255" s="405"/>
      <c r="B1255" s="405"/>
      <c r="C1255" s="405"/>
      <c r="D1255" s="405"/>
      <c r="E1255" s="405"/>
      <c r="F1255" s="583"/>
      <c r="G1255" s="583"/>
      <c r="H1255" s="405"/>
      <c r="I1255" s="405"/>
      <c r="J1255" s="405"/>
      <c r="K1255" s="405"/>
      <c r="L1255" s="405"/>
      <c r="M1255" s="405"/>
      <c r="N1255" s="405"/>
      <c r="O1255" s="405"/>
      <c r="P1255" s="405"/>
      <c r="Q1255" s="405"/>
      <c r="R1255" s="405"/>
      <c r="S1255" s="405"/>
      <c r="T1255" s="405"/>
      <c r="U1255" s="405"/>
      <c r="V1255" s="405"/>
      <c r="W1255" s="405"/>
      <c r="X1255" s="405"/>
      <c r="Y1255" s="405"/>
      <c r="Z1255" s="405"/>
    </row>
    <row r="1256" ht="14.25" customHeight="1">
      <c r="A1256" s="405"/>
      <c r="B1256" s="405"/>
      <c r="C1256" s="405"/>
      <c r="D1256" s="405"/>
      <c r="E1256" s="405"/>
      <c r="F1256" s="583"/>
      <c r="G1256" s="583"/>
      <c r="H1256" s="405"/>
      <c r="I1256" s="405"/>
      <c r="J1256" s="405"/>
      <c r="K1256" s="405"/>
      <c r="L1256" s="405"/>
      <c r="M1256" s="405"/>
      <c r="N1256" s="405"/>
      <c r="O1256" s="405"/>
      <c r="P1256" s="405"/>
      <c r="Q1256" s="405"/>
      <c r="R1256" s="405"/>
      <c r="S1256" s="405"/>
      <c r="T1256" s="405"/>
      <c r="U1256" s="405"/>
      <c r="V1256" s="405"/>
      <c r="W1256" s="405"/>
      <c r="X1256" s="405"/>
      <c r="Y1256" s="405"/>
      <c r="Z1256" s="405"/>
    </row>
    <row r="1257" ht="14.25" customHeight="1">
      <c r="A1257" s="405"/>
      <c r="B1257" s="405"/>
      <c r="C1257" s="405"/>
      <c r="D1257" s="405"/>
      <c r="E1257" s="405"/>
      <c r="F1257" s="583"/>
      <c r="G1257" s="583"/>
      <c r="H1257" s="405"/>
      <c r="I1257" s="405"/>
      <c r="J1257" s="405"/>
      <c r="K1257" s="405"/>
      <c r="L1257" s="405"/>
      <c r="M1257" s="405"/>
      <c r="N1257" s="405"/>
      <c r="O1257" s="405"/>
      <c r="P1257" s="405"/>
      <c r="Q1257" s="405"/>
      <c r="R1257" s="405"/>
      <c r="S1257" s="405"/>
      <c r="T1257" s="405"/>
      <c r="U1257" s="405"/>
      <c r="V1257" s="405"/>
      <c r="W1257" s="405"/>
      <c r="X1257" s="405"/>
      <c r="Y1257" s="405"/>
      <c r="Z1257" s="405"/>
    </row>
    <row r="1258" ht="14.25" customHeight="1">
      <c r="A1258" s="405"/>
      <c r="B1258" s="405"/>
      <c r="C1258" s="405"/>
      <c r="D1258" s="405"/>
      <c r="E1258" s="405"/>
      <c r="F1258" s="583"/>
      <c r="G1258" s="583"/>
      <c r="H1258" s="405"/>
      <c r="I1258" s="405"/>
      <c r="J1258" s="405"/>
      <c r="K1258" s="405"/>
      <c r="L1258" s="405"/>
      <c r="M1258" s="405"/>
      <c r="N1258" s="405"/>
      <c r="O1258" s="405"/>
      <c r="P1258" s="405"/>
      <c r="Q1258" s="405"/>
      <c r="R1258" s="405"/>
      <c r="S1258" s="405"/>
      <c r="T1258" s="405"/>
      <c r="U1258" s="405"/>
      <c r="V1258" s="405"/>
      <c r="W1258" s="405"/>
      <c r="X1258" s="405"/>
      <c r="Y1258" s="405"/>
      <c r="Z1258" s="405"/>
    </row>
    <row r="1259" ht="14.25" customHeight="1">
      <c r="A1259" s="405"/>
      <c r="B1259" s="405"/>
      <c r="C1259" s="405"/>
      <c r="D1259" s="405"/>
      <c r="E1259" s="405"/>
      <c r="F1259" s="583"/>
      <c r="G1259" s="583"/>
      <c r="H1259" s="405"/>
      <c r="I1259" s="405"/>
      <c r="J1259" s="405"/>
      <c r="K1259" s="405"/>
      <c r="L1259" s="405"/>
      <c r="M1259" s="405"/>
      <c r="N1259" s="405"/>
      <c r="O1259" s="405"/>
      <c r="P1259" s="405"/>
      <c r="Q1259" s="405"/>
      <c r="R1259" s="405"/>
      <c r="S1259" s="405"/>
      <c r="T1259" s="405"/>
      <c r="U1259" s="405"/>
      <c r="V1259" s="405"/>
      <c r="W1259" s="405"/>
      <c r="X1259" s="405"/>
      <c r="Y1259" s="405"/>
      <c r="Z1259" s="405"/>
    </row>
    <row r="1260" ht="14.25" customHeight="1">
      <c r="A1260" s="405"/>
      <c r="B1260" s="405"/>
      <c r="C1260" s="405"/>
      <c r="D1260" s="405"/>
      <c r="E1260" s="405"/>
      <c r="F1260" s="583"/>
      <c r="G1260" s="583"/>
      <c r="H1260" s="405"/>
      <c r="I1260" s="405"/>
      <c r="J1260" s="405"/>
      <c r="K1260" s="405"/>
      <c r="L1260" s="405"/>
      <c r="M1260" s="405"/>
      <c r="N1260" s="405"/>
      <c r="O1260" s="405"/>
      <c r="P1260" s="405"/>
      <c r="Q1260" s="405"/>
      <c r="R1260" s="405"/>
      <c r="S1260" s="405"/>
      <c r="T1260" s="405"/>
      <c r="U1260" s="405"/>
      <c r="V1260" s="405"/>
      <c r="W1260" s="405"/>
      <c r="X1260" s="405"/>
      <c r="Y1260" s="405"/>
      <c r="Z1260" s="405"/>
    </row>
    <row r="1261" ht="14.25" customHeight="1">
      <c r="A1261" s="405"/>
      <c r="B1261" s="405"/>
      <c r="C1261" s="405"/>
      <c r="D1261" s="405"/>
      <c r="E1261" s="405"/>
      <c r="F1261" s="583"/>
      <c r="G1261" s="583"/>
      <c r="H1261" s="405"/>
      <c r="I1261" s="405"/>
      <c r="J1261" s="405"/>
      <c r="K1261" s="405"/>
      <c r="L1261" s="405"/>
      <c r="M1261" s="405"/>
      <c r="N1261" s="405"/>
      <c r="O1261" s="405"/>
      <c r="P1261" s="405"/>
      <c r="Q1261" s="405"/>
      <c r="R1261" s="405"/>
      <c r="S1261" s="405"/>
      <c r="T1261" s="405"/>
      <c r="U1261" s="405"/>
      <c r="V1261" s="405"/>
      <c r="W1261" s="405"/>
      <c r="X1261" s="405"/>
      <c r="Y1261" s="405"/>
      <c r="Z1261" s="405"/>
    </row>
    <row r="1262" ht="14.25" customHeight="1">
      <c r="A1262" s="405"/>
      <c r="B1262" s="405"/>
      <c r="C1262" s="405"/>
      <c r="D1262" s="405"/>
      <c r="E1262" s="405"/>
      <c r="F1262" s="583"/>
      <c r="G1262" s="583"/>
      <c r="H1262" s="405"/>
      <c r="I1262" s="405"/>
      <c r="J1262" s="405"/>
      <c r="K1262" s="405"/>
      <c r="L1262" s="405"/>
      <c r="M1262" s="405"/>
      <c r="N1262" s="405"/>
      <c r="O1262" s="405"/>
      <c r="P1262" s="405"/>
      <c r="Q1262" s="405"/>
      <c r="R1262" s="405"/>
      <c r="S1262" s="405"/>
      <c r="T1262" s="405"/>
      <c r="U1262" s="405"/>
      <c r="V1262" s="405"/>
      <c r="W1262" s="405"/>
      <c r="X1262" s="405"/>
      <c r="Y1262" s="405"/>
      <c r="Z1262" s="405"/>
    </row>
    <row r="1263" ht="14.25" customHeight="1">
      <c r="A1263" s="405"/>
      <c r="B1263" s="405"/>
      <c r="C1263" s="405"/>
      <c r="D1263" s="405"/>
      <c r="E1263" s="405"/>
      <c r="F1263" s="583"/>
      <c r="G1263" s="583"/>
      <c r="H1263" s="405"/>
      <c r="I1263" s="405"/>
      <c r="J1263" s="405"/>
      <c r="K1263" s="405"/>
      <c r="L1263" s="405"/>
      <c r="M1263" s="405"/>
      <c r="N1263" s="405"/>
      <c r="O1263" s="405"/>
      <c r="P1263" s="405"/>
      <c r="Q1263" s="405"/>
      <c r="R1263" s="405"/>
      <c r="S1263" s="405"/>
      <c r="T1263" s="405"/>
      <c r="U1263" s="405"/>
      <c r="V1263" s="405"/>
      <c r="W1263" s="405"/>
      <c r="X1263" s="405"/>
      <c r="Y1263" s="405"/>
      <c r="Z1263" s="405"/>
    </row>
    <row r="1264" ht="14.25" customHeight="1">
      <c r="A1264" s="405"/>
      <c r="B1264" s="405"/>
      <c r="C1264" s="405"/>
      <c r="D1264" s="405"/>
      <c r="E1264" s="405"/>
      <c r="F1264" s="583"/>
      <c r="G1264" s="583"/>
      <c r="H1264" s="405"/>
      <c r="I1264" s="405"/>
      <c r="J1264" s="405"/>
      <c r="K1264" s="405"/>
      <c r="L1264" s="405"/>
      <c r="M1264" s="405"/>
      <c r="N1264" s="405"/>
      <c r="O1264" s="405"/>
      <c r="P1264" s="405"/>
      <c r="Q1264" s="405"/>
      <c r="R1264" s="405"/>
      <c r="S1264" s="405"/>
      <c r="T1264" s="405"/>
      <c r="U1264" s="405"/>
      <c r="V1264" s="405"/>
      <c r="W1264" s="405"/>
      <c r="X1264" s="405"/>
      <c r="Y1264" s="405"/>
      <c r="Z1264" s="405"/>
    </row>
    <row r="1265" ht="14.25" customHeight="1">
      <c r="A1265" s="405"/>
      <c r="B1265" s="405"/>
      <c r="C1265" s="405"/>
      <c r="D1265" s="405"/>
      <c r="E1265" s="405"/>
      <c r="F1265" s="583"/>
      <c r="G1265" s="583"/>
      <c r="H1265" s="405"/>
      <c r="I1265" s="405"/>
      <c r="J1265" s="405"/>
      <c r="K1265" s="405"/>
      <c r="L1265" s="405"/>
      <c r="M1265" s="405"/>
      <c r="N1265" s="405"/>
      <c r="O1265" s="405"/>
      <c r="P1265" s="405"/>
      <c r="Q1265" s="405"/>
      <c r="R1265" s="405"/>
      <c r="S1265" s="405"/>
      <c r="T1265" s="405"/>
      <c r="U1265" s="405"/>
      <c r="V1265" s="405"/>
      <c r="W1265" s="405"/>
      <c r="X1265" s="405"/>
      <c r="Y1265" s="405"/>
      <c r="Z1265" s="405"/>
    </row>
    <row r="1266" ht="14.25" customHeight="1">
      <c r="A1266" s="405"/>
      <c r="B1266" s="405"/>
      <c r="C1266" s="405"/>
      <c r="D1266" s="405"/>
      <c r="E1266" s="405"/>
      <c r="F1266" s="583"/>
      <c r="G1266" s="583"/>
      <c r="H1266" s="405"/>
      <c r="I1266" s="405"/>
      <c r="J1266" s="405"/>
      <c r="K1266" s="405"/>
      <c r="L1266" s="405"/>
      <c r="M1266" s="405"/>
      <c r="N1266" s="405"/>
      <c r="O1266" s="405"/>
      <c r="P1266" s="405"/>
      <c r="Q1266" s="405"/>
      <c r="R1266" s="405"/>
      <c r="S1266" s="405"/>
      <c r="T1266" s="405"/>
      <c r="U1266" s="405"/>
      <c r="V1266" s="405"/>
      <c r="W1266" s="405"/>
      <c r="X1266" s="405"/>
      <c r="Y1266" s="405"/>
      <c r="Z1266" s="405"/>
    </row>
    <row r="1267" ht="14.25" customHeight="1">
      <c r="A1267" s="405"/>
      <c r="B1267" s="405"/>
      <c r="C1267" s="405"/>
      <c r="D1267" s="405"/>
      <c r="E1267" s="405"/>
      <c r="F1267" s="583"/>
      <c r="G1267" s="583"/>
      <c r="H1267" s="405"/>
      <c r="I1267" s="405"/>
      <c r="J1267" s="405"/>
      <c r="K1267" s="405"/>
      <c r="L1267" s="405"/>
      <c r="M1267" s="405"/>
      <c r="N1267" s="405"/>
      <c r="O1267" s="405"/>
      <c r="P1267" s="405"/>
      <c r="Q1267" s="405"/>
      <c r="R1267" s="405"/>
      <c r="S1267" s="405"/>
      <c r="T1267" s="405"/>
      <c r="U1267" s="405"/>
      <c r="V1267" s="405"/>
      <c r="W1267" s="405"/>
      <c r="X1267" s="405"/>
      <c r="Y1267" s="405"/>
      <c r="Z1267" s="405"/>
    </row>
    <row r="1268" ht="14.25" customHeight="1">
      <c r="A1268" s="405"/>
      <c r="B1268" s="405"/>
      <c r="C1268" s="405"/>
      <c r="D1268" s="405"/>
      <c r="E1268" s="405"/>
      <c r="F1268" s="583"/>
      <c r="G1268" s="583"/>
      <c r="H1268" s="405"/>
      <c r="I1268" s="405"/>
      <c r="J1268" s="405"/>
      <c r="K1268" s="405"/>
      <c r="L1268" s="405"/>
      <c r="M1268" s="405"/>
      <c r="N1268" s="405"/>
      <c r="O1268" s="405"/>
      <c r="P1268" s="405"/>
      <c r="Q1268" s="405"/>
      <c r="R1268" s="405"/>
      <c r="S1268" s="405"/>
      <c r="T1268" s="405"/>
      <c r="U1268" s="405"/>
      <c r="V1268" s="405"/>
      <c r="W1268" s="405"/>
      <c r="X1268" s="405"/>
      <c r="Y1268" s="405"/>
      <c r="Z1268" s="405"/>
    </row>
    <row r="1269" ht="14.25" customHeight="1">
      <c r="A1269" s="405"/>
      <c r="B1269" s="405"/>
      <c r="C1269" s="405"/>
      <c r="D1269" s="405"/>
      <c r="E1269" s="405"/>
      <c r="F1269" s="583"/>
      <c r="G1269" s="583"/>
      <c r="H1269" s="405"/>
      <c r="I1269" s="405"/>
      <c r="J1269" s="405"/>
      <c r="K1269" s="405"/>
      <c r="L1269" s="405"/>
      <c r="M1269" s="405"/>
      <c r="N1269" s="405"/>
      <c r="O1269" s="405"/>
      <c r="P1269" s="405"/>
      <c r="Q1269" s="405"/>
      <c r="R1269" s="405"/>
      <c r="S1269" s="405"/>
      <c r="T1269" s="405"/>
      <c r="U1269" s="405"/>
      <c r="V1269" s="405"/>
      <c r="W1269" s="405"/>
      <c r="X1269" s="405"/>
      <c r="Y1269" s="405"/>
      <c r="Z1269" s="405"/>
    </row>
    <row r="1270" ht="14.25" customHeight="1">
      <c r="A1270" s="405"/>
      <c r="B1270" s="405"/>
      <c r="C1270" s="405"/>
      <c r="D1270" s="405"/>
      <c r="E1270" s="405"/>
      <c r="F1270" s="583"/>
      <c r="G1270" s="583"/>
      <c r="H1270" s="405"/>
      <c r="I1270" s="405"/>
      <c r="J1270" s="405"/>
      <c r="K1270" s="405"/>
      <c r="L1270" s="405"/>
      <c r="M1270" s="405"/>
      <c r="N1270" s="405"/>
      <c r="O1270" s="405"/>
      <c r="P1270" s="405"/>
      <c r="Q1270" s="405"/>
      <c r="R1270" s="405"/>
      <c r="S1270" s="405"/>
      <c r="T1270" s="405"/>
      <c r="U1270" s="405"/>
      <c r="V1270" s="405"/>
      <c r="W1270" s="405"/>
      <c r="X1270" s="405"/>
      <c r="Y1270" s="405"/>
      <c r="Z1270" s="405"/>
    </row>
    <row r="1271" ht="14.25" customHeight="1">
      <c r="A1271" s="405"/>
      <c r="B1271" s="405"/>
      <c r="C1271" s="405"/>
      <c r="D1271" s="405"/>
      <c r="E1271" s="405"/>
      <c r="F1271" s="583"/>
      <c r="G1271" s="583"/>
      <c r="H1271" s="405"/>
      <c r="I1271" s="405"/>
      <c r="J1271" s="405"/>
      <c r="K1271" s="405"/>
      <c r="L1271" s="405"/>
      <c r="M1271" s="405"/>
      <c r="N1271" s="405"/>
      <c r="O1271" s="405"/>
      <c r="P1271" s="405"/>
      <c r="Q1271" s="405"/>
      <c r="R1271" s="405"/>
      <c r="S1271" s="405"/>
      <c r="T1271" s="405"/>
      <c r="U1271" s="405"/>
      <c r="V1271" s="405"/>
      <c r="W1271" s="405"/>
      <c r="X1271" s="405"/>
      <c r="Y1271" s="405"/>
      <c r="Z1271" s="405"/>
    </row>
    <row r="1272" ht="14.25" customHeight="1">
      <c r="A1272" s="405"/>
      <c r="B1272" s="405"/>
      <c r="C1272" s="405"/>
      <c r="D1272" s="405"/>
      <c r="E1272" s="405"/>
      <c r="F1272" s="583"/>
      <c r="G1272" s="583"/>
      <c r="H1272" s="405"/>
      <c r="I1272" s="405"/>
      <c r="J1272" s="405"/>
      <c r="K1272" s="405"/>
      <c r="L1272" s="405"/>
      <c r="M1272" s="405"/>
      <c r="N1272" s="405"/>
      <c r="O1272" s="405"/>
      <c r="P1272" s="405"/>
      <c r="Q1272" s="405"/>
      <c r="R1272" s="405"/>
      <c r="S1272" s="405"/>
      <c r="T1272" s="405"/>
      <c r="U1272" s="405"/>
      <c r="V1272" s="405"/>
      <c r="W1272" s="405"/>
      <c r="X1272" s="405"/>
      <c r="Y1272" s="405"/>
      <c r="Z1272" s="405"/>
    </row>
    <row r="1273" ht="14.25" customHeight="1">
      <c r="A1273" s="405"/>
      <c r="B1273" s="405"/>
      <c r="C1273" s="405"/>
      <c r="D1273" s="405"/>
      <c r="E1273" s="405"/>
      <c r="F1273" s="583"/>
      <c r="G1273" s="583"/>
      <c r="H1273" s="405"/>
      <c r="I1273" s="405"/>
      <c r="J1273" s="405"/>
      <c r="K1273" s="405"/>
      <c r="L1273" s="405"/>
      <c r="M1273" s="405"/>
      <c r="N1273" s="405"/>
      <c r="O1273" s="405"/>
      <c r="P1273" s="405"/>
      <c r="Q1273" s="405"/>
      <c r="R1273" s="405"/>
      <c r="S1273" s="405"/>
      <c r="T1273" s="405"/>
      <c r="U1273" s="405"/>
      <c r="V1273" s="405"/>
      <c r="W1273" s="405"/>
      <c r="X1273" s="405"/>
      <c r="Y1273" s="405"/>
      <c r="Z1273" s="405"/>
    </row>
    <row r="1274" ht="14.25" customHeight="1">
      <c r="A1274" s="405"/>
      <c r="B1274" s="405"/>
      <c r="C1274" s="405"/>
      <c r="D1274" s="405"/>
      <c r="E1274" s="405"/>
      <c r="F1274" s="583"/>
      <c r="G1274" s="583"/>
      <c r="H1274" s="405"/>
      <c r="I1274" s="405"/>
      <c r="J1274" s="405"/>
      <c r="K1274" s="405"/>
      <c r="L1274" s="405"/>
      <c r="M1274" s="405"/>
      <c r="N1274" s="405"/>
      <c r="O1274" s="405"/>
      <c r="P1274" s="405"/>
      <c r="Q1274" s="405"/>
      <c r="R1274" s="405"/>
      <c r="S1274" s="405"/>
      <c r="T1274" s="405"/>
      <c r="U1274" s="405"/>
      <c r="V1274" s="405"/>
      <c r="W1274" s="405"/>
      <c r="X1274" s="405"/>
      <c r="Y1274" s="405"/>
      <c r="Z1274" s="405"/>
    </row>
    <row r="1275" ht="14.25" customHeight="1">
      <c r="A1275" s="405"/>
      <c r="B1275" s="405"/>
      <c r="C1275" s="405"/>
      <c r="D1275" s="405"/>
      <c r="E1275" s="405"/>
      <c r="F1275" s="583"/>
      <c r="G1275" s="583"/>
      <c r="H1275" s="405"/>
      <c r="I1275" s="405"/>
      <c r="J1275" s="405"/>
      <c r="K1275" s="405"/>
      <c r="L1275" s="405"/>
      <c r="M1275" s="405"/>
      <c r="N1275" s="405"/>
      <c r="O1275" s="405"/>
      <c r="P1275" s="405"/>
      <c r="Q1275" s="405"/>
      <c r="R1275" s="405"/>
      <c r="S1275" s="405"/>
      <c r="T1275" s="405"/>
      <c r="U1275" s="405"/>
      <c r="V1275" s="405"/>
      <c r="W1275" s="405"/>
      <c r="X1275" s="405"/>
      <c r="Y1275" s="405"/>
      <c r="Z1275" s="405"/>
    </row>
    <row r="1276" ht="14.25" customHeight="1">
      <c r="A1276" s="405"/>
      <c r="B1276" s="405"/>
      <c r="C1276" s="405"/>
      <c r="D1276" s="405"/>
      <c r="E1276" s="405"/>
      <c r="F1276" s="583"/>
      <c r="G1276" s="583"/>
      <c r="H1276" s="405"/>
      <c r="I1276" s="405"/>
      <c r="J1276" s="405"/>
      <c r="K1276" s="405"/>
      <c r="L1276" s="405"/>
      <c r="M1276" s="405"/>
      <c r="N1276" s="405"/>
      <c r="O1276" s="405"/>
      <c r="P1276" s="405"/>
      <c r="Q1276" s="405"/>
      <c r="R1276" s="405"/>
      <c r="S1276" s="405"/>
      <c r="T1276" s="405"/>
      <c r="U1276" s="405"/>
      <c r="V1276" s="405"/>
      <c r="W1276" s="405"/>
      <c r="X1276" s="405"/>
      <c r="Y1276" s="405"/>
      <c r="Z1276" s="405"/>
    </row>
    <row r="1277" ht="14.25" customHeight="1">
      <c r="A1277" s="405"/>
      <c r="B1277" s="405"/>
      <c r="C1277" s="405"/>
      <c r="D1277" s="405"/>
      <c r="E1277" s="405"/>
      <c r="F1277" s="583"/>
      <c r="G1277" s="583"/>
      <c r="H1277" s="405"/>
      <c r="I1277" s="405"/>
      <c r="J1277" s="405"/>
      <c r="K1277" s="405"/>
      <c r="L1277" s="405"/>
      <c r="M1277" s="405"/>
      <c r="N1277" s="405"/>
      <c r="O1277" s="405"/>
      <c r="P1277" s="405"/>
      <c r="Q1277" s="405"/>
      <c r="R1277" s="405"/>
      <c r="S1277" s="405"/>
      <c r="T1277" s="405"/>
      <c r="U1277" s="405"/>
      <c r="V1277" s="405"/>
      <c r="W1277" s="405"/>
      <c r="X1277" s="405"/>
      <c r="Y1277" s="405"/>
      <c r="Z1277" s="405"/>
    </row>
    <row r="1278" ht="14.25" customHeight="1">
      <c r="A1278" s="405"/>
      <c r="B1278" s="405"/>
      <c r="C1278" s="405"/>
      <c r="D1278" s="405"/>
      <c r="E1278" s="405"/>
      <c r="F1278" s="583"/>
      <c r="G1278" s="583"/>
      <c r="H1278" s="405"/>
      <c r="I1278" s="405"/>
      <c r="J1278" s="405"/>
      <c r="K1278" s="405"/>
      <c r="L1278" s="405"/>
      <c r="M1278" s="405"/>
      <c r="N1278" s="405"/>
      <c r="O1278" s="405"/>
      <c r="P1278" s="405"/>
      <c r="Q1278" s="405"/>
      <c r="R1278" s="405"/>
      <c r="S1278" s="405"/>
      <c r="T1278" s="405"/>
      <c r="U1278" s="405"/>
      <c r="V1278" s="405"/>
      <c r="W1278" s="405"/>
      <c r="X1278" s="405"/>
      <c r="Y1278" s="405"/>
      <c r="Z1278" s="405"/>
    </row>
    <row r="1279" ht="14.25" customHeight="1">
      <c r="A1279" s="405"/>
      <c r="B1279" s="405"/>
      <c r="C1279" s="405"/>
      <c r="D1279" s="405"/>
      <c r="E1279" s="405"/>
      <c r="F1279" s="583"/>
      <c r="G1279" s="583"/>
      <c r="H1279" s="405"/>
      <c r="I1279" s="405"/>
      <c r="J1279" s="405"/>
      <c r="K1279" s="405"/>
      <c r="L1279" s="405"/>
      <c r="M1279" s="405"/>
      <c r="N1279" s="405"/>
      <c r="O1279" s="405"/>
      <c r="P1279" s="405"/>
      <c r="Q1279" s="405"/>
      <c r="R1279" s="405"/>
      <c r="S1279" s="405"/>
      <c r="T1279" s="405"/>
      <c r="U1279" s="405"/>
      <c r="V1279" s="405"/>
      <c r="W1279" s="405"/>
      <c r="X1279" s="405"/>
      <c r="Y1279" s="405"/>
      <c r="Z1279" s="405"/>
    </row>
    <row r="1280" ht="14.25" customHeight="1">
      <c r="A1280" s="405"/>
      <c r="B1280" s="405"/>
      <c r="C1280" s="405"/>
      <c r="D1280" s="405"/>
      <c r="E1280" s="405"/>
      <c r="F1280" s="583"/>
      <c r="G1280" s="583"/>
      <c r="H1280" s="405"/>
      <c r="I1280" s="405"/>
      <c r="J1280" s="405"/>
      <c r="K1280" s="405"/>
      <c r="L1280" s="405"/>
      <c r="M1280" s="405"/>
      <c r="N1280" s="405"/>
      <c r="O1280" s="405"/>
      <c r="P1280" s="405"/>
      <c r="Q1280" s="405"/>
      <c r="R1280" s="405"/>
      <c r="S1280" s="405"/>
      <c r="T1280" s="405"/>
      <c r="U1280" s="405"/>
      <c r="V1280" s="405"/>
      <c r="W1280" s="405"/>
      <c r="X1280" s="405"/>
      <c r="Y1280" s="405"/>
      <c r="Z1280" s="405"/>
    </row>
    <row r="1281" ht="14.25" customHeight="1">
      <c r="A1281" s="405"/>
      <c r="B1281" s="405"/>
      <c r="C1281" s="405"/>
      <c r="D1281" s="405"/>
      <c r="E1281" s="405"/>
      <c r="F1281" s="583"/>
      <c r="G1281" s="583"/>
      <c r="H1281" s="405"/>
      <c r="I1281" s="405"/>
      <c r="J1281" s="405"/>
      <c r="K1281" s="405"/>
      <c r="L1281" s="405"/>
      <c r="M1281" s="405"/>
      <c r="N1281" s="405"/>
      <c r="O1281" s="405"/>
      <c r="P1281" s="405"/>
      <c r="Q1281" s="405"/>
      <c r="R1281" s="405"/>
      <c r="S1281" s="405"/>
      <c r="T1281" s="405"/>
      <c r="U1281" s="405"/>
      <c r="V1281" s="405"/>
      <c r="W1281" s="405"/>
      <c r="X1281" s="405"/>
      <c r="Y1281" s="405"/>
      <c r="Z1281" s="405"/>
    </row>
    <row r="1282" ht="14.25" customHeight="1">
      <c r="A1282" s="405"/>
      <c r="B1282" s="405"/>
      <c r="C1282" s="405"/>
      <c r="D1282" s="405"/>
      <c r="E1282" s="405"/>
      <c r="F1282" s="583"/>
      <c r="G1282" s="583"/>
      <c r="H1282" s="405"/>
      <c r="I1282" s="405"/>
      <c r="J1282" s="405"/>
      <c r="K1282" s="405"/>
      <c r="L1282" s="405"/>
      <c r="M1282" s="405"/>
      <c r="N1282" s="405"/>
      <c r="O1282" s="405"/>
      <c r="P1282" s="405"/>
      <c r="Q1282" s="405"/>
      <c r="R1282" s="405"/>
      <c r="S1282" s="405"/>
      <c r="T1282" s="405"/>
      <c r="U1282" s="405"/>
      <c r="V1282" s="405"/>
      <c r="W1282" s="405"/>
      <c r="X1282" s="405"/>
      <c r="Y1282" s="405"/>
      <c r="Z1282" s="405"/>
    </row>
    <row r="1283" ht="14.25" customHeight="1">
      <c r="A1283" s="405"/>
      <c r="B1283" s="405"/>
      <c r="C1283" s="405"/>
      <c r="D1283" s="405"/>
      <c r="E1283" s="405"/>
      <c r="F1283" s="583"/>
      <c r="G1283" s="583"/>
      <c r="H1283" s="405"/>
      <c r="I1283" s="405"/>
      <c r="J1283" s="405"/>
      <c r="K1283" s="405"/>
      <c r="L1283" s="405"/>
      <c r="M1283" s="405"/>
      <c r="N1283" s="405"/>
      <c r="O1283" s="405"/>
      <c r="P1283" s="405"/>
      <c r="Q1283" s="405"/>
      <c r="R1283" s="405"/>
      <c r="S1283" s="405"/>
      <c r="T1283" s="405"/>
      <c r="U1283" s="405"/>
      <c r="V1283" s="405"/>
      <c r="W1283" s="405"/>
      <c r="X1283" s="405"/>
      <c r="Y1283" s="405"/>
      <c r="Z1283" s="405"/>
    </row>
    <row r="1284" ht="14.25" customHeight="1">
      <c r="A1284" s="405"/>
      <c r="B1284" s="405"/>
      <c r="C1284" s="405"/>
      <c r="D1284" s="405"/>
      <c r="E1284" s="405"/>
      <c r="F1284" s="583"/>
      <c r="G1284" s="583"/>
      <c r="H1284" s="405"/>
      <c r="I1284" s="405"/>
      <c r="J1284" s="405"/>
      <c r="K1284" s="405"/>
      <c r="L1284" s="405"/>
      <c r="M1284" s="405"/>
      <c r="N1284" s="405"/>
      <c r="O1284" s="405"/>
      <c r="P1284" s="405"/>
      <c r="Q1284" s="405"/>
      <c r="R1284" s="405"/>
      <c r="S1284" s="405"/>
      <c r="T1284" s="405"/>
      <c r="U1284" s="405"/>
      <c r="V1284" s="405"/>
      <c r="W1284" s="405"/>
      <c r="X1284" s="405"/>
      <c r="Y1284" s="405"/>
      <c r="Z1284" s="405"/>
    </row>
    <row r="1285" ht="14.25" customHeight="1">
      <c r="A1285" s="405"/>
      <c r="B1285" s="405"/>
      <c r="C1285" s="405"/>
      <c r="D1285" s="405"/>
      <c r="E1285" s="405"/>
      <c r="F1285" s="583"/>
      <c r="G1285" s="583"/>
      <c r="H1285" s="405"/>
      <c r="I1285" s="405"/>
      <c r="J1285" s="405"/>
      <c r="K1285" s="405"/>
      <c r="L1285" s="405"/>
      <c r="M1285" s="405"/>
      <c r="N1285" s="405"/>
      <c r="O1285" s="405"/>
      <c r="P1285" s="405"/>
      <c r="Q1285" s="405"/>
      <c r="R1285" s="405"/>
      <c r="S1285" s="405"/>
      <c r="T1285" s="405"/>
      <c r="U1285" s="405"/>
      <c r="V1285" s="405"/>
      <c r="W1285" s="405"/>
      <c r="X1285" s="405"/>
      <c r="Y1285" s="405"/>
      <c r="Z1285" s="405"/>
    </row>
    <row r="1286" ht="14.25" customHeight="1">
      <c r="A1286" s="405"/>
      <c r="B1286" s="405"/>
      <c r="C1286" s="405"/>
      <c r="D1286" s="405"/>
      <c r="E1286" s="405"/>
      <c r="F1286" s="583"/>
      <c r="G1286" s="583"/>
      <c r="H1286" s="405"/>
      <c r="I1286" s="405"/>
      <c r="J1286" s="405"/>
      <c r="K1286" s="405"/>
      <c r="L1286" s="405"/>
      <c r="M1286" s="405"/>
      <c r="N1286" s="405"/>
      <c r="O1286" s="405"/>
      <c r="P1286" s="405"/>
      <c r="Q1286" s="405"/>
      <c r="R1286" s="405"/>
      <c r="S1286" s="405"/>
      <c r="T1286" s="405"/>
      <c r="U1286" s="405"/>
      <c r="V1286" s="405"/>
      <c r="W1286" s="405"/>
      <c r="X1286" s="405"/>
      <c r="Y1286" s="405"/>
      <c r="Z1286" s="405"/>
    </row>
    <row r="1287" ht="14.25" customHeight="1">
      <c r="A1287" s="405"/>
      <c r="B1287" s="405"/>
      <c r="C1287" s="405"/>
      <c r="D1287" s="405"/>
      <c r="E1287" s="405"/>
      <c r="F1287" s="583"/>
      <c r="G1287" s="583"/>
      <c r="H1287" s="405"/>
      <c r="I1287" s="405"/>
      <c r="J1287" s="405"/>
      <c r="K1287" s="405"/>
      <c r="L1287" s="405"/>
      <c r="M1287" s="405"/>
      <c r="N1287" s="405"/>
      <c r="O1287" s="405"/>
      <c r="P1287" s="405"/>
      <c r="Q1287" s="405"/>
      <c r="R1287" s="405"/>
      <c r="S1287" s="405"/>
      <c r="T1287" s="405"/>
      <c r="U1287" s="405"/>
      <c r="V1287" s="405"/>
      <c r="W1287" s="405"/>
      <c r="X1287" s="405"/>
      <c r="Y1287" s="405"/>
      <c r="Z1287" s="405"/>
    </row>
    <row r="1288" ht="14.25" customHeight="1">
      <c r="A1288" s="405"/>
      <c r="B1288" s="405"/>
      <c r="C1288" s="405"/>
      <c r="D1288" s="405"/>
      <c r="E1288" s="405"/>
      <c r="F1288" s="583"/>
      <c r="G1288" s="583"/>
      <c r="H1288" s="405"/>
      <c r="I1288" s="405"/>
      <c r="J1288" s="405"/>
      <c r="K1288" s="405"/>
      <c r="L1288" s="405"/>
      <c r="M1288" s="405"/>
      <c r="N1288" s="405"/>
      <c r="O1288" s="405"/>
      <c r="P1288" s="405"/>
      <c r="Q1288" s="405"/>
      <c r="R1288" s="405"/>
      <c r="S1288" s="405"/>
      <c r="T1288" s="405"/>
      <c r="U1288" s="405"/>
      <c r="V1288" s="405"/>
      <c r="W1288" s="405"/>
      <c r="X1288" s="405"/>
      <c r="Y1288" s="405"/>
      <c r="Z1288" s="405"/>
    </row>
    <row r="1289" ht="14.25" customHeight="1">
      <c r="A1289" s="405"/>
      <c r="B1289" s="405"/>
      <c r="C1289" s="405"/>
      <c r="D1289" s="405"/>
      <c r="E1289" s="405"/>
      <c r="F1289" s="583"/>
      <c r="G1289" s="583"/>
      <c r="H1289" s="405"/>
      <c r="I1289" s="405"/>
      <c r="J1289" s="405"/>
      <c r="K1289" s="405"/>
      <c r="L1289" s="405"/>
      <c r="M1289" s="405"/>
      <c r="N1289" s="405"/>
      <c r="O1289" s="405"/>
      <c r="P1289" s="405"/>
      <c r="Q1289" s="405"/>
      <c r="R1289" s="405"/>
      <c r="S1289" s="405"/>
      <c r="T1289" s="405"/>
      <c r="U1289" s="405"/>
      <c r="V1289" s="405"/>
      <c r="W1289" s="405"/>
      <c r="X1289" s="405"/>
      <c r="Y1289" s="405"/>
      <c r="Z1289" s="405"/>
    </row>
    <row r="1290" ht="14.25" customHeight="1">
      <c r="A1290" s="405"/>
      <c r="B1290" s="405"/>
      <c r="C1290" s="405"/>
      <c r="D1290" s="405"/>
      <c r="E1290" s="405"/>
      <c r="F1290" s="583"/>
      <c r="G1290" s="583"/>
      <c r="H1290" s="405"/>
      <c r="I1290" s="405"/>
      <c r="J1290" s="405"/>
      <c r="K1290" s="405"/>
      <c r="L1290" s="405"/>
      <c r="M1290" s="405"/>
      <c r="N1290" s="405"/>
      <c r="O1290" s="405"/>
      <c r="P1290" s="405"/>
      <c r="Q1290" s="405"/>
      <c r="R1290" s="405"/>
      <c r="S1290" s="405"/>
      <c r="T1290" s="405"/>
      <c r="U1290" s="405"/>
      <c r="V1290" s="405"/>
      <c r="W1290" s="405"/>
      <c r="X1290" s="405"/>
      <c r="Y1290" s="405"/>
      <c r="Z1290" s="405"/>
    </row>
    <row r="1291" ht="14.25" customHeight="1">
      <c r="A1291" s="405"/>
      <c r="B1291" s="405"/>
      <c r="C1291" s="405"/>
      <c r="D1291" s="405"/>
      <c r="E1291" s="405"/>
      <c r="F1291" s="583"/>
      <c r="G1291" s="583"/>
      <c r="H1291" s="405"/>
      <c r="I1291" s="405"/>
      <c r="J1291" s="405"/>
      <c r="K1291" s="405"/>
      <c r="L1291" s="405"/>
      <c r="M1291" s="405"/>
      <c r="N1291" s="405"/>
      <c r="O1291" s="405"/>
      <c r="P1291" s="405"/>
      <c r="Q1291" s="405"/>
      <c r="R1291" s="405"/>
      <c r="S1291" s="405"/>
      <c r="T1291" s="405"/>
      <c r="U1291" s="405"/>
      <c r="V1291" s="405"/>
      <c r="W1291" s="405"/>
      <c r="X1291" s="405"/>
      <c r="Y1291" s="405"/>
      <c r="Z1291" s="405"/>
    </row>
    <row r="1292" ht="14.25" customHeight="1">
      <c r="A1292" s="405"/>
      <c r="B1292" s="405"/>
      <c r="C1292" s="405"/>
      <c r="D1292" s="405"/>
      <c r="E1292" s="405"/>
      <c r="F1292" s="583"/>
      <c r="G1292" s="583"/>
      <c r="H1292" s="405"/>
      <c r="I1292" s="405"/>
      <c r="J1292" s="405"/>
      <c r="K1292" s="405"/>
      <c r="L1292" s="405"/>
      <c r="M1292" s="405"/>
      <c r="N1292" s="405"/>
      <c r="O1292" s="405"/>
      <c r="P1292" s="405"/>
      <c r="Q1292" s="405"/>
      <c r="R1292" s="405"/>
      <c r="S1292" s="405"/>
      <c r="T1292" s="405"/>
      <c r="U1292" s="405"/>
      <c r="V1292" s="405"/>
      <c r="W1292" s="405"/>
      <c r="X1292" s="405"/>
      <c r="Y1292" s="405"/>
      <c r="Z1292" s="405"/>
    </row>
    <row r="1293" ht="14.25" customHeight="1">
      <c r="A1293" s="405"/>
      <c r="B1293" s="405"/>
      <c r="C1293" s="405"/>
      <c r="D1293" s="405"/>
      <c r="E1293" s="405"/>
      <c r="F1293" s="583"/>
      <c r="G1293" s="583"/>
      <c r="H1293" s="405"/>
      <c r="I1293" s="405"/>
      <c r="J1293" s="405"/>
      <c r="K1293" s="405"/>
      <c r="L1293" s="405"/>
      <c r="M1293" s="405"/>
      <c r="N1293" s="405"/>
      <c r="O1293" s="405"/>
      <c r="P1293" s="405"/>
      <c r="Q1293" s="405"/>
      <c r="R1293" s="405"/>
      <c r="S1293" s="405"/>
      <c r="T1293" s="405"/>
      <c r="U1293" s="405"/>
      <c r="V1293" s="405"/>
      <c r="W1293" s="405"/>
      <c r="X1293" s="405"/>
      <c r="Y1293" s="405"/>
      <c r="Z1293" s="405"/>
    </row>
    <row r="1294" ht="14.25" customHeight="1">
      <c r="A1294" s="405"/>
      <c r="B1294" s="405"/>
      <c r="C1294" s="405"/>
      <c r="D1294" s="405"/>
      <c r="E1294" s="405"/>
      <c r="F1294" s="583"/>
      <c r="G1294" s="583"/>
      <c r="H1294" s="405"/>
      <c r="I1294" s="405"/>
      <c r="J1294" s="405"/>
      <c r="K1294" s="405"/>
      <c r="L1294" s="405"/>
      <c r="M1294" s="405"/>
      <c r="N1294" s="405"/>
      <c r="O1294" s="405"/>
      <c r="P1294" s="405"/>
      <c r="Q1294" s="405"/>
      <c r="R1294" s="405"/>
      <c r="S1294" s="405"/>
      <c r="T1294" s="405"/>
      <c r="U1294" s="405"/>
      <c r="V1294" s="405"/>
      <c r="W1294" s="405"/>
      <c r="X1294" s="405"/>
      <c r="Y1294" s="405"/>
      <c r="Z1294" s="405"/>
    </row>
    <row r="1295" ht="14.25" customHeight="1">
      <c r="A1295" s="405"/>
      <c r="B1295" s="405"/>
      <c r="C1295" s="405"/>
      <c r="D1295" s="405"/>
      <c r="E1295" s="405"/>
      <c r="F1295" s="583"/>
      <c r="G1295" s="583"/>
      <c r="H1295" s="405"/>
      <c r="I1295" s="405"/>
      <c r="J1295" s="405"/>
      <c r="K1295" s="405"/>
      <c r="L1295" s="405"/>
      <c r="M1295" s="405"/>
      <c r="N1295" s="405"/>
      <c r="O1295" s="405"/>
      <c r="P1295" s="405"/>
      <c r="Q1295" s="405"/>
      <c r="R1295" s="405"/>
      <c r="S1295" s="405"/>
      <c r="T1295" s="405"/>
      <c r="U1295" s="405"/>
      <c r="V1295" s="405"/>
      <c r="W1295" s="405"/>
      <c r="X1295" s="405"/>
      <c r="Y1295" s="405"/>
      <c r="Z1295" s="405"/>
    </row>
    <row r="1296" ht="14.25" customHeight="1">
      <c r="A1296" s="405"/>
      <c r="B1296" s="405"/>
      <c r="C1296" s="405"/>
      <c r="D1296" s="405"/>
      <c r="E1296" s="405"/>
      <c r="F1296" s="583"/>
      <c r="G1296" s="583"/>
      <c r="H1296" s="405"/>
      <c r="I1296" s="405"/>
      <c r="J1296" s="405"/>
      <c r="K1296" s="405"/>
      <c r="L1296" s="405"/>
      <c r="M1296" s="405"/>
      <c r="N1296" s="405"/>
      <c r="O1296" s="405"/>
      <c r="P1296" s="405"/>
      <c r="Q1296" s="405"/>
      <c r="R1296" s="405"/>
      <c r="S1296" s="405"/>
      <c r="T1296" s="405"/>
      <c r="U1296" s="405"/>
      <c r="V1296" s="405"/>
      <c r="W1296" s="405"/>
      <c r="X1296" s="405"/>
      <c r="Y1296" s="405"/>
      <c r="Z1296" s="405"/>
    </row>
    <row r="1297" ht="14.25" customHeight="1">
      <c r="A1297" s="405"/>
      <c r="B1297" s="405"/>
      <c r="C1297" s="405"/>
      <c r="D1297" s="405"/>
      <c r="E1297" s="405"/>
      <c r="F1297" s="583"/>
      <c r="G1297" s="583"/>
      <c r="H1297" s="405"/>
      <c r="I1297" s="405"/>
      <c r="J1297" s="405"/>
      <c r="K1297" s="405"/>
      <c r="L1297" s="405"/>
      <c r="M1297" s="405"/>
      <c r="N1297" s="405"/>
      <c r="O1297" s="405"/>
      <c r="P1297" s="405"/>
      <c r="Q1297" s="405"/>
      <c r="R1297" s="405"/>
      <c r="S1297" s="405"/>
      <c r="T1297" s="405"/>
      <c r="U1297" s="405"/>
      <c r="V1297" s="405"/>
      <c r="W1297" s="405"/>
      <c r="X1297" s="405"/>
      <c r="Y1297" s="405"/>
      <c r="Z1297" s="405"/>
    </row>
    <row r="1298" ht="14.25" customHeight="1">
      <c r="A1298" s="405"/>
      <c r="B1298" s="405"/>
      <c r="C1298" s="405"/>
      <c r="D1298" s="405"/>
      <c r="E1298" s="405"/>
      <c r="F1298" s="583"/>
      <c r="G1298" s="583"/>
      <c r="H1298" s="405"/>
      <c r="I1298" s="405"/>
      <c r="J1298" s="405"/>
      <c r="K1298" s="405"/>
      <c r="L1298" s="405"/>
      <c r="M1298" s="405"/>
      <c r="N1298" s="405"/>
      <c r="O1298" s="405"/>
      <c r="P1298" s="405"/>
      <c r="Q1298" s="405"/>
      <c r="R1298" s="405"/>
      <c r="S1298" s="405"/>
      <c r="T1298" s="405"/>
      <c r="U1298" s="405"/>
      <c r="V1298" s="405"/>
      <c r="W1298" s="405"/>
      <c r="X1298" s="405"/>
      <c r="Y1298" s="405"/>
      <c r="Z1298" s="405"/>
    </row>
    <row r="1299" ht="14.25" customHeight="1">
      <c r="A1299" s="405"/>
      <c r="B1299" s="405"/>
      <c r="C1299" s="405"/>
      <c r="D1299" s="405"/>
      <c r="E1299" s="405"/>
      <c r="F1299" s="583"/>
      <c r="G1299" s="583"/>
      <c r="H1299" s="405"/>
      <c r="I1299" s="405"/>
      <c r="J1299" s="405"/>
      <c r="K1299" s="405"/>
      <c r="L1299" s="405"/>
      <c r="M1299" s="405"/>
      <c r="N1299" s="405"/>
      <c r="O1299" s="405"/>
      <c r="P1299" s="405"/>
      <c r="Q1299" s="405"/>
      <c r="R1299" s="405"/>
      <c r="S1299" s="405"/>
      <c r="T1299" s="405"/>
      <c r="U1299" s="405"/>
      <c r="V1299" s="405"/>
      <c r="W1299" s="405"/>
      <c r="X1299" s="405"/>
      <c r="Y1299" s="405"/>
      <c r="Z1299" s="405"/>
    </row>
    <row r="1300" ht="14.25" customHeight="1">
      <c r="A1300" s="405"/>
      <c r="B1300" s="405"/>
      <c r="C1300" s="405"/>
      <c r="D1300" s="405"/>
      <c r="E1300" s="405"/>
      <c r="F1300" s="583"/>
      <c r="G1300" s="583"/>
      <c r="H1300" s="405"/>
      <c r="I1300" s="405"/>
      <c r="J1300" s="405"/>
      <c r="K1300" s="405"/>
      <c r="L1300" s="405"/>
      <c r="M1300" s="405"/>
      <c r="N1300" s="405"/>
      <c r="O1300" s="405"/>
      <c r="P1300" s="405"/>
      <c r="Q1300" s="405"/>
      <c r="R1300" s="405"/>
      <c r="S1300" s="405"/>
      <c r="T1300" s="405"/>
      <c r="U1300" s="405"/>
      <c r="V1300" s="405"/>
      <c r="W1300" s="405"/>
      <c r="X1300" s="405"/>
      <c r="Y1300" s="405"/>
      <c r="Z1300" s="405"/>
    </row>
    <row r="1301" ht="14.25" customHeight="1">
      <c r="A1301" s="405"/>
      <c r="B1301" s="405"/>
      <c r="C1301" s="405"/>
      <c r="D1301" s="405"/>
      <c r="E1301" s="405"/>
      <c r="F1301" s="583"/>
      <c r="G1301" s="583"/>
      <c r="H1301" s="405"/>
      <c r="I1301" s="405"/>
      <c r="J1301" s="405"/>
      <c r="K1301" s="405"/>
      <c r="L1301" s="405"/>
      <c r="M1301" s="405"/>
      <c r="N1301" s="405"/>
      <c r="O1301" s="405"/>
      <c r="P1301" s="405"/>
      <c r="Q1301" s="405"/>
      <c r="R1301" s="405"/>
      <c r="S1301" s="405"/>
      <c r="T1301" s="405"/>
      <c r="U1301" s="405"/>
      <c r="V1301" s="405"/>
      <c r="W1301" s="405"/>
      <c r="X1301" s="405"/>
      <c r="Y1301" s="405"/>
      <c r="Z1301" s="405"/>
    </row>
    <row r="1302" ht="14.25" customHeight="1">
      <c r="A1302" s="405"/>
      <c r="B1302" s="405"/>
      <c r="C1302" s="405"/>
      <c r="D1302" s="405"/>
      <c r="E1302" s="405"/>
      <c r="F1302" s="583"/>
      <c r="G1302" s="583"/>
      <c r="H1302" s="405"/>
      <c r="I1302" s="405"/>
      <c r="J1302" s="405"/>
      <c r="K1302" s="405"/>
      <c r="L1302" s="405"/>
      <c r="M1302" s="405"/>
      <c r="N1302" s="405"/>
      <c r="O1302" s="405"/>
      <c r="P1302" s="405"/>
      <c r="Q1302" s="405"/>
      <c r="R1302" s="405"/>
      <c r="S1302" s="405"/>
      <c r="T1302" s="405"/>
      <c r="U1302" s="405"/>
      <c r="V1302" s="405"/>
      <c r="W1302" s="405"/>
      <c r="X1302" s="405"/>
      <c r="Y1302" s="405"/>
      <c r="Z1302" s="405"/>
    </row>
    <row r="1303" ht="14.25" customHeight="1">
      <c r="A1303" s="405"/>
      <c r="B1303" s="405"/>
      <c r="C1303" s="405"/>
      <c r="D1303" s="405"/>
      <c r="E1303" s="405"/>
      <c r="F1303" s="583"/>
      <c r="G1303" s="583"/>
      <c r="H1303" s="405"/>
      <c r="I1303" s="405"/>
      <c r="J1303" s="405"/>
      <c r="K1303" s="405"/>
      <c r="L1303" s="405"/>
      <c r="M1303" s="405"/>
      <c r="N1303" s="405"/>
      <c r="O1303" s="405"/>
      <c r="P1303" s="405"/>
      <c r="Q1303" s="405"/>
      <c r="R1303" s="405"/>
      <c r="S1303" s="405"/>
      <c r="T1303" s="405"/>
      <c r="U1303" s="405"/>
      <c r="V1303" s="405"/>
      <c r="W1303" s="405"/>
      <c r="X1303" s="405"/>
      <c r="Y1303" s="405"/>
      <c r="Z1303" s="405"/>
    </row>
    <row r="1304" ht="14.25" customHeight="1">
      <c r="A1304" s="405"/>
      <c r="B1304" s="405"/>
      <c r="C1304" s="405"/>
      <c r="D1304" s="405"/>
      <c r="E1304" s="405"/>
      <c r="F1304" s="583"/>
      <c r="G1304" s="583"/>
      <c r="H1304" s="405"/>
      <c r="I1304" s="405"/>
      <c r="J1304" s="405"/>
      <c r="K1304" s="405"/>
      <c r="L1304" s="405"/>
      <c r="M1304" s="405"/>
      <c r="N1304" s="405"/>
      <c r="O1304" s="405"/>
      <c r="P1304" s="405"/>
      <c r="Q1304" s="405"/>
      <c r="R1304" s="405"/>
      <c r="S1304" s="405"/>
      <c r="T1304" s="405"/>
      <c r="U1304" s="405"/>
      <c r="V1304" s="405"/>
      <c r="W1304" s="405"/>
      <c r="X1304" s="405"/>
      <c r="Y1304" s="405"/>
      <c r="Z1304" s="405"/>
    </row>
    <row r="1305" ht="14.25" customHeight="1">
      <c r="A1305" s="405"/>
      <c r="B1305" s="405"/>
      <c r="C1305" s="405"/>
      <c r="D1305" s="405"/>
      <c r="E1305" s="405"/>
      <c r="F1305" s="583"/>
      <c r="G1305" s="583"/>
      <c r="H1305" s="405"/>
      <c r="I1305" s="405"/>
      <c r="J1305" s="405"/>
      <c r="K1305" s="405"/>
      <c r="L1305" s="405"/>
      <c r="M1305" s="405"/>
      <c r="N1305" s="405"/>
      <c r="O1305" s="405"/>
      <c r="P1305" s="405"/>
      <c r="Q1305" s="405"/>
      <c r="R1305" s="405"/>
      <c r="S1305" s="405"/>
      <c r="T1305" s="405"/>
      <c r="U1305" s="405"/>
      <c r="V1305" s="405"/>
      <c r="W1305" s="405"/>
      <c r="X1305" s="405"/>
      <c r="Y1305" s="405"/>
      <c r="Z1305" s="405"/>
    </row>
    <row r="1306" ht="14.25" customHeight="1">
      <c r="A1306" s="405"/>
      <c r="B1306" s="405"/>
      <c r="C1306" s="405"/>
      <c r="D1306" s="405"/>
      <c r="E1306" s="405"/>
      <c r="F1306" s="583"/>
      <c r="G1306" s="583"/>
      <c r="H1306" s="405"/>
      <c r="I1306" s="405"/>
      <c r="J1306" s="405"/>
      <c r="K1306" s="405"/>
      <c r="L1306" s="405"/>
      <c r="M1306" s="405"/>
      <c r="N1306" s="405"/>
      <c r="O1306" s="405"/>
      <c r="P1306" s="405"/>
      <c r="Q1306" s="405"/>
      <c r="R1306" s="405"/>
      <c r="S1306" s="405"/>
      <c r="T1306" s="405"/>
      <c r="U1306" s="405"/>
      <c r="V1306" s="405"/>
      <c r="W1306" s="405"/>
      <c r="X1306" s="405"/>
      <c r="Y1306" s="405"/>
      <c r="Z1306" s="405"/>
    </row>
    <row r="1307" ht="14.25" customHeight="1">
      <c r="A1307" s="405"/>
      <c r="B1307" s="405"/>
      <c r="C1307" s="405"/>
      <c r="D1307" s="405"/>
      <c r="E1307" s="405"/>
      <c r="F1307" s="583"/>
      <c r="G1307" s="583"/>
      <c r="H1307" s="405"/>
      <c r="I1307" s="405"/>
      <c r="J1307" s="405"/>
      <c r="K1307" s="405"/>
      <c r="L1307" s="405"/>
      <c r="M1307" s="405"/>
      <c r="N1307" s="405"/>
      <c r="O1307" s="405"/>
      <c r="P1307" s="405"/>
      <c r="Q1307" s="405"/>
      <c r="R1307" s="405"/>
      <c r="S1307" s="405"/>
      <c r="T1307" s="405"/>
      <c r="U1307" s="405"/>
      <c r="V1307" s="405"/>
      <c r="W1307" s="405"/>
      <c r="X1307" s="405"/>
      <c r="Y1307" s="405"/>
      <c r="Z1307" s="405"/>
    </row>
    <row r="1308" ht="14.25" customHeight="1">
      <c r="A1308" s="405"/>
      <c r="B1308" s="405"/>
      <c r="C1308" s="405"/>
      <c r="D1308" s="405"/>
      <c r="E1308" s="405"/>
      <c r="F1308" s="583"/>
      <c r="G1308" s="583"/>
      <c r="H1308" s="405"/>
      <c r="I1308" s="405"/>
      <c r="J1308" s="405"/>
      <c r="K1308" s="405"/>
      <c r="L1308" s="405"/>
      <c r="M1308" s="405"/>
      <c r="N1308" s="405"/>
      <c r="O1308" s="405"/>
      <c r="P1308" s="405"/>
      <c r="Q1308" s="405"/>
      <c r="R1308" s="405"/>
      <c r="S1308" s="405"/>
      <c r="T1308" s="405"/>
      <c r="U1308" s="405"/>
      <c r="V1308" s="405"/>
      <c r="W1308" s="405"/>
      <c r="X1308" s="405"/>
      <c r="Y1308" s="405"/>
      <c r="Z1308" s="405"/>
    </row>
    <row r="1309" ht="14.25" customHeight="1">
      <c r="A1309" s="405"/>
      <c r="B1309" s="405"/>
      <c r="C1309" s="405"/>
      <c r="D1309" s="405"/>
      <c r="E1309" s="405"/>
      <c r="F1309" s="583"/>
      <c r="G1309" s="583"/>
      <c r="H1309" s="405"/>
      <c r="I1309" s="405"/>
      <c r="J1309" s="405"/>
      <c r="K1309" s="405"/>
      <c r="L1309" s="405"/>
      <c r="M1309" s="405"/>
      <c r="N1309" s="405"/>
      <c r="O1309" s="405"/>
      <c r="P1309" s="405"/>
      <c r="Q1309" s="405"/>
      <c r="R1309" s="405"/>
      <c r="S1309" s="405"/>
      <c r="T1309" s="405"/>
      <c r="U1309" s="405"/>
      <c r="V1309" s="405"/>
      <c r="W1309" s="405"/>
      <c r="X1309" s="405"/>
      <c r="Y1309" s="405"/>
      <c r="Z1309" s="405"/>
    </row>
    <row r="1310" ht="14.25" customHeight="1">
      <c r="A1310" s="405"/>
      <c r="B1310" s="405"/>
      <c r="C1310" s="405"/>
      <c r="D1310" s="405"/>
      <c r="E1310" s="405"/>
      <c r="F1310" s="583"/>
      <c r="G1310" s="583"/>
      <c r="H1310" s="405"/>
      <c r="I1310" s="405"/>
      <c r="J1310" s="405"/>
      <c r="K1310" s="405"/>
      <c r="L1310" s="405"/>
      <c r="M1310" s="405"/>
      <c r="N1310" s="405"/>
      <c r="O1310" s="405"/>
      <c r="P1310" s="405"/>
      <c r="Q1310" s="405"/>
      <c r="R1310" s="405"/>
      <c r="S1310" s="405"/>
      <c r="T1310" s="405"/>
      <c r="U1310" s="405"/>
      <c r="V1310" s="405"/>
      <c r="W1310" s="405"/>
      <c r="X1310" s="405"/>
      <c r="Y1310" s="405"/>
      <c r="Z1310" s="405"/>
    </row>
    <row r="1311" ht="14.25" customHeight="1">
      <c r="A1311" s="405"/>
      <c r="B1311" s="405"/>
      <c r="C1311" s="405"/>
      <c r="D1311" s="405"/>
      <c r="E1311" s="405"/>
      <c r="F1311" s="583"/>
      <c r="G1311" s="583"/>
      <c r="H1311" s="405"/>
      <c r="I1311" s="405"/>
      <c r="J1311" s="405"/>
      <c r="K1311" s="405"/>
      <c r="L1311" s="405"/>
      <c r="M1311" s="405"/>
      <c r="N1311" s="405"/>
      <c r="O1311" s="405"/>
      <c r="P1311" s="405"/>
      <c r="Q1311" s="405"/>
      <c r="R1311" s="405"/>
      <c r="S1311" s="405"/>
      <c r="T1311" s="405"/>
      <c r="U1311" s="405"/>
      <c r="V1311" s="405"/>
      <c r="W1311" s="405"/>
      <c r="X1311" s="405"/>
      <c r="Y1311" s="405"/>
      <c r="Z1311" s="405"/>
    </row>
    <row r="1312" ht="14.25" customHeight="1">
      <c r="A1312" s="405"/>
      <c r="B1312" s="405"/>
      <c r="C1312" s="405"/>
      <c r="D1312" s="405"/>
      <c r="E1312" s="405"/>
      <c r="F1312" s="583"/>
      <c r="G1312" s="583"/>
      <c r="H1312" s="405"/>
      <c r="I1312" s="405"/>
      <c r="J1312" s="405"/>
      <c r="K1312" s="405"/>
      <c r="L1312" s="405"/>
      <c r="M1312" s="405"/>
      <c r="N1312" s="405"/>
      <c r="O1312" s="405"/>
      <c r="P1312" s="405"/>
      <c r="Q1312" s="405"/>
      <c r="R1312" s="405"/>
      <c r="S1312" s="405"/>
      <c r="T1312" s="405"/>
      <c r="U1312" s="405"/>
      <c r="V1312" s="405"/>
      <c r="W1312" s="405"/>
      <c r="X1312" s="405"/>
      <c r="Y1312" s="405"/>
      <c r="Z1312" s="405"/>
    </row>
    <row r="1313" ht="14.25" customHeight="1">
      <c r="A1313" s="405"/>
      <c r="B1313" s="405"/>
      <c r="C1313" s="405"/>
      <c r="D1313" s="405"/>
      <c r="E1313" s="405"/>
      <c r="F1313" s="583"/>
      <c r="G1313" s="583"/>
      <c r="H1313" s="405"/>
      <c r="I1313" s="405"/>
      <c r="J1313" s="405"/>
      <c r="K1313" s="405"/>
      <c r="L1313" s="405"/>
      <c r="M1313" s="405"/>
      <c r="N1313" s="405"/>
      <c r="O1313" s="405"/>
      <c r="P1313" s="405"/>
      <c r="Q1313" s="405"/>
      <c r="R1313" s="405"/>
      <c r="S1313" s="405"/>
      <c r="T1313" s="405"/>
      <c r="U1313" s="405"/>
      <c r="V1313" s="405"/>
      <c r="W1313" s="405"/>
      <c r="X1313" s="405"/>
      <c r="Y1313" s="405"/>
      <c r="Z1313" s="405"/>
    </row>
    <row r="1314" ht="14.25" customHeight="1">
      <c r="A1314" s="405"/>
      <c r="B1314" s="405"/>
      <c r="C1314" s="405"/>
      <c r="D1314" s="405"/>
      <c r="E1314" s="405"/>
      <c r="F1314" s="583"/>
      <c r="G1314" s="583"/>
      <c r="H1314" s="405"/>
      <c r="I1314" s="405"/>
      <c r="J1314" s="405"/>
      <c r="K1314" s="405"/>
      <c r="L1314" s="405"/>
      <c r="M1314" s="405"/>
      <c r="N1314" s="405"/>
      <c r="O1314" s="405"/>
      <c r="P1314" s="405"/>
      <c r="Q1314" s="405"/>
      <c r="R1314" s="405"/>
      <c r="S1314" s="405"/>
      <c r="T1314" s="405"/>
      <c r="U1314" s="405"/>
      <c r="V1314" s="405"/>
      <c r="W1314" s="405"/>
      <c r="X1314" s="405"/>
      <c r="Y1314" s="405"/>
      <c r="Z1314" s="405"/>
    </row>
    <row r="1315" ht="14.25" customHeight="1">
      <c r="A1315" s="405"/>
      <c r="B1315" s="405"/>
      <c r="C1315" s="405"/>
      <c r="D1315" s="405"/>
      <c r="E1315" s="405"/>
      <c r="F1315" s="583"/>
      <c r="G1315" s="583"/>
      <c r="H1315" s="405"/>
      <c r="I1315" s="405"/>
      <c r="J1315" s="405"/>
      <c r="K1315" s="405"/>
      <c r="L1315" s="405"/>
      <c r="M1315" s="405"/>
      <c r="N1315" s="405"/>
      <c r="O1315" s="405"/>
      <c r="P1315" s="405"/>
      <c r="Q1315" s="405"/>
      <c r="R1315" s="405"/>
      <c r="S1315" s="405"/>
      <c r="T1315" s="405"/>
      <c r="U1315" s="405"/>
      <c r="V1315" s="405"/>
      <c r="W1315" s="405"/>
      <c r="X1315" s="405"/>
      <c r="Y1315" s="405"/>
      <c r="Z1315" s="405"/>
    </row>
    <row r="1316" ht="14.25" customHeight="1">
      <c r="A1316" s="405"/>
      <c r="B1316" s="405"/>
      <c r="C1316" s="405"/>
      <c r="D1316" s="405"/>
      <c r="E1316" s="405"/>
      <c r="F1316" s="583"/>
      <c r="G1316" s="583"/>
      <c r="H1316" s="405"/>
      <c r="I1316" s="405"/>
      <c r="J1316" s="405"/>
      <c r="K1316" s="405"/>
      <c r="L1316" s="405"/>
      <c r="M1316" s="405"/>
      <c r="N1316" s="405"/>
      <c r="O1316" s="405"/>
      <c r="P1316" s="405"/>
      <c r="Q1316" s="405"/>
      <c r="R1316" s="405"/>
      <c r="S1316" s="405"/>
      <c r="T1316" s="405"/>
      <c r="U1316" s="405"/>
      <c r="V1316" s="405"/>
      <c r="W1316" s="405"/>
      <c r="X1316" s="405"/>
      <c r="Y1316" s="405"/>
      <c r="Z1316" s="405"/>
    </row>
    <row r="1317" ht="14.25" customHeight="1">
      <c r="A1317" s="405"/>
      <c r="B1317" s="405"/>
      <c r="C1317" s="405"/>
      <c r="D1317" s="405"/>
      <c r="E1317" s="405"/>
      <c r="F1317" s="583"/>
      <c r="G1317" s="583"/>
      <c r="H1317" s="405"/>
      <c r="I1317" s="405"/>
      <c r="J1317" s="405"/>
      <c r="K1317" s="405"/>
      <c r="L1317" s="405"/>
      <c r="M1317" s="405"/>
      <c r="N1317" s="405"/>
      <c r="O1317" s="405"/>
      <c r="P1317" s="405"/>
      <c r="Q1317" s="405"/>
      <c r="R1317" s="405"/>
      <c r="S1317" s="405"/>
      <c r="T1317" s="405"/>
      <c r="U1317" s="405"/>
      <c r="V1317" s="405"/>
      <c r="W1317" s="405"/>
      <c r="X1317" s="405"/>
      <c r="Y1317" s="405"/>
      <c r="Z1317" s="405"/>
    </row>
    <row r="1318" ht="14.25" customHeight="1">
      <c r="A1318" s="405"/>
      <c r="B1318" s="405"/>
      <c r="C1318" s="405"/>
      <c r="D1318" s="405"/>
      <c r="E1318" s="405"/>
      <c r="F1318" s="583"/>
      <c r="G1318" s="583"/>
      <c r="H1318" s="405"/>
      <c r="I1318" s="405"/>
      <c r="J1318" s="405"/>
      <c r="K1318" s="405"/>
      <c r="L1318" s="405"/>
      <c r="M1318" s="405"/>
      <c r="N1318" s="405"/>
      <c r="O1318" s="405"/>
      <c r="P1318" s="405"/>
      <c r="Q1318" s="405"/>
      <c r="R1318" s="405"/>
      <c r="S1318" s="405"/>
      <c r="T1318" s="405"/>
      <c r="U1318" s="405"/>
      <c r="V1318" s="405"/>
      <c r="W1318" s="405"/>
      <c r="X1318" s="405"/>
      <c r="Y1318" s="405"/>
      <c r="Z1318" s="405"/>
    </row>
    <row r="1319" ht="14.25" customHeight="1">
      <c r="A1319" s="405"/>
      <c r="B1319" s="405"/>
      <c r="C1319" s="405"/>
      <c r="D1319" s="405"/>
      <c r="E1319" s="405"/>
      <c r="F1319" s="583"/>
      <c r="G1319" s="583"/>
      <c r="H1319" s="405"/>
      <c r="I1319" s="405"/>
      <c r="J1319" s="405"/>
      <c r="K1319" s="405"/>
      <c r="L1319" s="405"/>
      <c r="M1319" s="405"/>
      <c r="N1319" s="405"/>
      <c r="O1319" s="405"/>
      <c r="P1319" s="405"/>
      <c r="Q1319" s="405"/>
      <c r="R1319" s="405"/>
      <c r="S1319" s="405"/>
      <c r="T1319" s="405"/>
      <c r="U1319" s="405"/>
      <c r="V1319" s="405"/>
      <c r="W1319" s="405"/>
      <c r="X1319" s="405"/>
      <c r="Y1319" s="405"/>
      <c r="Z1319" s="405"/>
    </row>
    <row r="1320" ht="14.25" customHeight="1">
      <c r="A1320" s="405"/>
      <c r="B1320" s="405"/>
      <c r="C1320" s="405"/>
      <c r="D1320" s="405"/>
      <c r="E1320" s="405"/>
      <c r="F1320" s="583"/>
      <c r="G1320" s="583"/>
      <c r="H1320" s="405"/>
      <c r="I1320" s="405"/>
      <c r="J1320" s="405"/>
      <c r="K1320" s="405"/>
      <c r="L1320" s="405"/>
      <c r="M1320" s="405"/>
      <c r="N1320" s="405"/>
      <c r="O1320" s="405"/>
      <c r="P1320" s="405"/>
      <c r="Q1320" s="405"/>
      <c r="R1320" s="405"/>
      <c r="S1320" s="405"/>
      <c r="T1320" s="405"/>
      <c r="U1320" s="405"/>
      <c r="V1320" s="405"/>
      <c r="W1320" s="405"/>
      <c r="X1320" s="405"/>
      <c r="Y1320" s="405"/>
      <c r="Z1320" s="405"/>
    </row>
    <row r="1321" ht="14.25" customHeight="1">
      <c r="A1321" s="405"/>
      <c r="B1321" s="405"/>
      <c r="C1321" s="405"/>
      <c r="D1321" s="405"/>
      <c r="E1321" s="405"/>
      <c r="F1321" s="583"/>
      <c r="G1321" s="583"/>
      <c r="H1321" s="405"/>
      <c r="I1321" s="405"/>
      <c r="J1321" s="405"/>
      <c r="K1321" s="405"/>
      <c r="L1321" s="405"/>
      <c r="M1321" s="405"/>
      <c r="N1321" s="405"/>
      <c r="O1321" s="405"/>
      <c r="P1321" s="405"/>
      <c r="Q1321" s="405"/>
      <c r="R1321" s="405"/>
      <c r="S1321" s="405"/>
      <c r="T1321" s="405"/>
      <c r="U1321" s="405"/>
      <c r="V1321" s="405"/>
      <c r="W1321" s="405"/>
      <c r="X1321" s="405"/>
      <c r="Y1321" s="405"/>
      <c r="Z1321" s="405"/>
    </row>
    <row r="1322" ht="14.25" customHeight="1">
      <c r="A1322" s="405"/>
      <c r="B1322" s="405"/>
      <c r="C1322" s="405"/>
      <c r="D1322" s="405"/>
      <c r="E1322" s="405"/>
      <c r="F1322" s="583"/>
      <c r="G1322" s="583"/>
      <c r="H1322" s="405"/>
      <c r="I1322" s="405"/>
      <c r="J1322" s="405"/>
      <c r="K1322" s="405"/>
      <c r="L1322" s="405"/>
      <c r="M1322" s="405"/>
      <c r="N1322" s="405"/>
      <c r="O1322" s="405"/>
      <c r="P1322" s="405"/>
      <c r="Q1322" s="405"/>
      <c r="R1322" s="405"/>
      <c r="S1322" s="405"/>
      <c r="T1322" s="405"/>
      <c r="U1322" s="405"/>
      <c r="V1322" s="405"/>
      <c r="W1322" s="405"/>
      <c r="X1322" s="405"/>
      <c r="Y1322" s="405"/>
      <c r="Z1322" s="405"/>
    </row>
    <row r="1323" ht="14.25" customHeight="1">
      <c r="A1323" s="405"/>
      <c r="B1323" s="405"/>
      <c r="C1323" s="405"/>
      <c r="D1323" s="405"/>
      <c r="E1323" s="405"/>
      <c r="F1323" s="583"/>
      <c r="G1323" s="583"/>
      <c r="H1323" s="405"/>
      <c r="I1323" s="405"/>
      <c r="J1323" s="405"/>
      <c r="K1323" s="405"/>
      <c r="L1323" s="405"/>
      <c r="M1323" s="405"/>
      <c r="N1323" s="405"/>
      <c r="O1323" s="405"/>
      <c r="P1323" s="405"/>
      <c r="Q1323" s="405"/>
      <c r="R1323" s="405"/>
      <c r="S1323" s="405"/>
      <c r="T1323" s="405"/>
      <c r="U1323" s="405"/>
      <c r="V1323" s="405"/>
      <c r="W1323" s="405"/>
      <c r="X1323" s="405"/>
      <c r="Y1323" s="405"/>
      <c r="Z1323" s="405"/>
    </row>
    <row r="1324" ht="14.25" customHeight="1">
      <c r="A1324" s="405"/>
      <c r="B1324" s="405"/>
      <c r="C1324" s="405"/>
      <c r="D1324" s="405"/>
      <c r="E1324" s="405"/>
      <c r="F1324" s="583"/>
      <c r="G1324" s="583"/>
      <c r="H1324" s="405"/>
      <c r="I1324" s="405"/>
      <c r="J1324" s="405"/>
      <c r="K1324" s="405"/>
      <c r="L1324" s="405"/>
      <c r="M1324" s="405"/>
      <c r="N1324" s="405"/>
      <c r="O1324" s="405"/>
      <c r="P1324" s="405"/>
      <c r="Q1324" s="405"/>
      <c r="R1324" s="405"/>
      <c r="S1324" s="405"/>
      <c r="T1324" s="405"/>
      <c r="U1324" s="405"/>
      <c r="V1324" s="405"/>
      <c r="W1324" s="405"/>
      <c r="X1324" s="405"/>
      <c r="Y1324" s="405"/>
      <c r="Z1324" s="405"/>
    </row>
    <row r="1325" ht="14.25" customHeight="1">
      <c r="A1325" s="405"/>
      <c r="B1325" s="405"/>
      <c r="C1325" s="405"/>
      <c r="D1325" s="405"/>
      <c r="E1325" s="405"/>
      <c r="F1325" s="583"/>
      <c r="G1325" s="583"/>
      <c r="H1325" s="405"/>
      <c r="I1325" s="405"/>
      <c r="J1325" s="405"/>
      <c r="K1325" s="405"/>
      <c r="L1325" s="405"/>
      <c r="M1325" s="405"/>
      <c r="N1325" s="405"/>
      <c r="O1325" s="405"/>
      <c r="P1325" s="405"/>
      <c r="Q1325" s="405"/>
      <c r="R1325" s="405"/>
      <c r="S1325" s="405"/>
      <c r="T1325" s="405"/>
      <c r="U1325" s="405"/>
      <c r="V1325" s="405"/>
      <c r="W1325" s="405"/>
      <c r="X1325" s="405"/>
      <c r="Y1325" s="405"/>
      <c r="Z1325" s="405"/>
    </row>
    <row r="1326" ht="14.25" customHeight="1">
      <c r="A1326" s="405"/>
      <c r="B1326" s="405"/>
      <c r="C1326" s="405"/>
      <c r="D1326" s="405"/>
      <c r="E1326" s="405"/>
      <c r="F1326" s="583"/>
      <c r="G1326" s="583"/>
      <c r="H1326" s="405"/>
      <c r="I1326" s="405"/>
      <c r="J1326" s="405"/>
      <c r="K1326" s="405"/>
      <c r="L1326" s="405"/>
      <c r="M1326" s="405"/>
      <c r="N1326" s="405"/>
      <c r="O1326" s="405"/>
      <c r="P1326" s="405"/>
      <c r="Q1326" s="405"/>
      <c r="R1326" s="405"/>
      <c r="S1326" s="405"/>
      <c r="T1326" s="405"/>
      <c r="U1326" s="405"/>
      <c r="V1326" s="405"/>
      <c r="W1326" s="405"/>
      <c r="X1326" s="405"/>
      <c r="Y1326" s="405"/>
      <c r="Z1326" s="405"/>
    </row>
    <row r="1327" ht="14.25" customHeight="1">
      <c r="A1327" s="405"/>
      <c r="B1327" s="405"/>
      <c r="C1327" s="405"/>
      <c r="D1327" s="405"/>
      <c r="E1327" s="405"/>
      <c r="F1327" s="583"/>
      <c r="G1327" s="583"/>
      <c r="H1327" s="405"/>
      <c r="I1327" s="405"/>
      <c r="J1327" s="405"/>
      <c r="K1327" s="405"/>
      <c r="L1327" s="405"/>
      <c r="M1327" s="405"/>
      <c r="N1327" s="405"/>
      <c r="O1327" s="405"/>
      <c r="P1327" s="405"/>
      <c r="Q1327" s="405"/>
      <c r="R1327" s="405"/>
      <c r="S1327" s="405"/>
      <c r="T1327" s="405"/>
      <c r="U1327" s="405"/>
      <c r="V1327" s="405"/>
      <c r="W1327" s="405"/>
      <c r="X1327" s="405"/>
      <c r="Y1327" s="405"/>
      <c r="Z1327" s="405"/>
    </row>
    <row r="1328" ht="14.25" customHeight="1">
      <c r="A1328" s="405"/>
      <c r="B1328" s="405"/>
      <c r="C1328" s="405"/>
      <c r="D1328" s="405"/>
      <c r="E1328" s="405"/>
      <c r="F1328" s="583"/>
      <c r="G1328" s="583"/>
      <c r="H1328" s="405"/>
      <c r="I1328" s="405"/>
      <c r="J1328" s="405"/>
      <c r="K1328" s="405"/>
      <c r="L1328" s="405"/>
      <c r="M1328" s="405"/>
      <c r="N1328" s="405"/>
      <c r="O1328" s="405"/>
      <c r="P1328" s="405"/>
      <c r="Q1328" s="405"/>
      <c r="R1328" s="405"/>
      <c r="S1328" s="405"/>
      <c r="T1328" s="405"/>
      <c r="U1328" s="405"/>
      <c r="V1328" s="405"/>
      <c r="W1328" s="405"/>
      <c r="X1328" s="405"/>
      <c r="Y1328" s="405"/>
      <c r="Z1328" s="405"/>
    </row>
    <row r="1329" ht="14.25" customHeight="1">
      <c r="A1329" s="405"/>
      <c r="B1329" s="405"/>
      <c r="C1329" s="405"/>
      <c r="D1329" s="405"/>
      <c r="E1329" s="405"/>
      <c r="F1329" s="583"/>
      <c r="G1329" s="583"/>
      <c r="H1329" s="405"/>
      <c r="I1329" s="405"/>
      <c r="J1329" s="405"/>
      <c r="K1329" s="405"/>
      <c r="L1329" s="405"/>
      <c r="M1329" s="405"/>
      <c r="N1329" s="405"/>
      <c r="O1329" s="405"/>
      <c r="P1329" s="405"/>
      <c r="Q1329" s="405"/>
      <c r="R1329" s="405"/>
      <c r="S1329" s="405"/>
      <c r="T1329" s="405"/>
      <c r="U1329" s="405"/>
      <c r="V1329" s="405"/>
      <c r="W1329" s="405"/>
      <c r="X1329" s="405"/>
      <c r="Y1329" s="405"/>
      <c r="Z1329" s="405"/>
    </row>
    <row r="1330" ht="14.25" customHeight="1">
      <c r="A1330" s="405"/>
      <c r="B1330" s="405"/>
      <c r="C1330" s="405"/>
      <c r="D1330" s="405"/>
      <c r="E1330" s="405"/>
      <c r="F1330" s="583"/>
      <c r="G1330" s="583"/>
      <c r="H1330" s="405"/>
      <c r="I1330" s="405"/>
      <c r="J1330" s="405"/>
      <c r="K1330" s="405"/>
      <c r="L1330" s="405"/>
      <c r="M1330" s="405"/>
      <c r="N1330" s="405"/>
      <c r="O1330" s="405"/>
      <c r="P1330" s="405"/>
      <c r="Q1330" s="405"/>
      <c r="R1330" s="405"/>
      <c r="S1330" s="405"/>
      <c r="T1330" s="405"/>
      <c r="U1330" s="405"/>
      <c r="V1330" s="405"/>
      <c r="W1330" s="405"/>
      <c r="X1330" s="405"/>
      <c r="Y1330" s="405"/>
      <c r="Z1330" s="405"/>
    </row>
    <row r="1331" ht="14.25" customHeight="1">
      <c r="A1331" s="405"/>
      <c r="B1331" s="405"/>
      <c r="C1331" s="405"/>
      <c r="D1331" s="405"/>
      <c r="E1331" s="405"/>
      <c r="F1331" s="583"/>
      <c r="G1331" s="583"/>
      <c r="H1331" s="405"/>
      <c r="I1331" s="405"/>
      <c r="J1331" s="405"/>
      <c r="K1331" s="405"/>
      <c r="L1331" s="405"/>
      <c r="M1331" s="405"/>
      <c r="N1331" s="405"/>
      <c r="O1331" s="405"/>
      <c r="P1331" s="405"/>
      <c r="Q1331" s="405"/>
      <c r="R1331" s="405"/>
      <c r="S1331" s="405"/>
      <c r="T1331" s="405"/>
      <c r="U1331" s="405"/>
      <c r="V1331" s="405"/>
      <c r="W1331" s="405"/>
      <c r="X1331" s="405"/>
      <c r="Y1331" s="405"/>
      <c r="Z1331" s="405"/>
    </row>
    <row r="1332" ht="14.25" customHeight="1">
      <c r="A1332" s="405"/>
      <c r="B1332" s="405"/>
      <c r="C1332" s="405"/>
      <c r="D1332" s="405"/>
      <c r="E1332" s="405"/>
      <c r="F1332" s="583"/>
      <c r="G1332" s="583"/>
      <c r="H1332" s="405"/>
      <c r="I1332" s="405"/>
      <c r="J1332" s="405"/>
      <c r="K1332" s="405"/>
      <c r="L1332" s="405"/>
      <c r="M1332" s="405"/>
      <c r="N1332" s="405"/>
      <c r="O1332" s="405"/>
      <c r="P1332" s="405"/>
      <c r="Q1332" s="405"/>
      <c r="R1332" s="405"/>
      <c r="S1332" s="405"/>
      <c r="T1332" s="405"/>
      <c r="U1332" s="405"/>
      <c r="V1332" s="405"/>
      <c r="W1332" s="405"/>
      <c r="X1332" s="405"/>
      <c r="Y1332" s="405"/>
      <c r="Z1332" s="405"/>
    </row>
    <row r="1333" ht="14.25" customHeight="1">
      <c r="A1333" s="405"/>
      <c r="B1333" s="405"/>
      <c r="C1333" s="405"/>
      <c r="D1333" s="405"/>
      <c r="E1333" s="405"/>
      <c r="F1333" s="583"/>
      <c r="G1333" s="583"/>
      <c r="H1333" s="405"/>
      <c r="I1333" s="405"/>
      <c r="J1333" s="405"/>
      <c r="K1333" s="405"/>
      <c r="L1333" s="405"/>
      <c r="M1333" s="405"/>
      <c r="N1333" s="405"/>
      <c r="O1333" s="405"/>
      <c r="P1333" s="405"/>
      <c r="Q1333" s="405"/>
      <c r="R1333" s="405"/>
      <c r="S1333" s="405"/>
      <c r="T1333" s="405"/>
      <c r="U1333" s="405"/>
      <c r="V1333" s="405"/>
      <c r="W1333" s="405"/>
      <c r="X1333" s="405"/>
      <c r="Y1333" s="405"/>
      <c r="Z1333" s="405"/>
    </row>
    <row r="1334" ht="14.25" customHeight="1">
      <c r="A1334" s="405"/>
      <c r="B1334" s="405"/>
      <c r="C1334" s="405"/>
      <c r="D1334" s="405"/>
      <c r="E1334" s="405"/>
      <c r="F1334" s="583"/>
      <c r="G1334" s="583"/>
      <c r="H1334" s="405"/>
      <c r="I1334" s="405"/>
      <c r="J1334" s="405"/>
      <c r="K1334" s="405"/>
      <c r="L1334" s="405"/>
      <c r="M1334" s="405"/>
      <c r="N1334" s="405"/>
      <c r="O1334" s="405"/>
      <c r="P1334" s="405"/>
      <c r="Q1334" s="405"/>
      <c r="R1334" s="405"/>
      <c r="S1334" s="405"/>
      <c r="T1334" s="405"/>
      <c r="U1334" s="405"/>
      <c r="V1334" s="405"/>
      <c r="W1334" s="405"/>
      <c r="X1334" s="405"/>
      <c r="Y1334" s="405"/>
      <c r="Z1334" s="405"/>
    </row>
    <row r="1335" ht="14.25" customHeight="1">
      <c r="A1335" s="405"/>
      <c r="B1335" s="405"/>
      <c r="C1335" s="405"/>
      <c r="D1335" s="405"/>
      <c r="E1335" s="405"/>
      <c r="F1335" s="583"/>
      <c r="G1335" s="583"/>
      <c r="H1335" s="405"/>
      <c r="I1335" s="405"/>
      <c r="J1335" s="405"/>
      <c r="K1335" s="405"/>
      <c r="L1335" s="405"/>
      <c r="M1335" s="405"/>
      <c r="N1335" s="405"/>
      <c r="O1335" s="405"/>
      <c r="P1335" s="405"/>
      <c r="Q1335" s="405"/>
      <c r="R1335" s="405"/>
      <c r="S1335" s="405"/>
      <c r="T1335" s="405"/>
      <c r="U1335" s="405"/>
      <c r="V1335" s="405"/>
      <c r="W1335" s="405"/>
      <c r="X1335" s="405"/>
      <c r="Y1335" s="405"/>
      <c r="Z1335" s="405"/>
    </row>
    <row r="1336" ht="14.25" customHeight="1">
      <c r="A1336" s="405"/>
      <c r="B1336" s="405"/>
      <c r="C1336" s="405"/>
      <c r="D1336" s="405"/>
      <c r="E1336" s="405"/>
      <c r="F1336" s="583"/>
      <c r="G1336" s="583"/>
      <c r="H1336" s="405"/>
      <c r="I1336" s="405"/>
      <c r="J1336" s="405"/>
      <c r="K1336" s="405"/>
      <c r="L1336" s="405"/>
      <c r="M1336" s="405"/>
      <c r="N1336" s="405"/>
      <c r="O1336" s="405"/>
      <c r="P1336" s="405"/>
      <c r="Q1336" s="405"/>
      <c r="R1336" s="405"/>
      <c r="S1336" s="405"/>
      <c r="T1336" s="405"/>
      <c r="U1336" s="405"/>
      <c r="V1336" s="405"/>
      <c r="W1336" s="405"/>
      <c r="X1336" s="405"/>
      <c r="Y1336" s="405"/>
      <c r="Z1336" s="405"/>
    </row>
    <row r="1337" ht="14.25" customHeight="1">
      <c r="A1337" s="405"/>
      <c r="B1337" s="405"/>
      <c r="C1337" s="405"/>
      <c r="D1337" s="405"/>
      <c r="E1337" s="405"/>
      <c r="F1337" s="583"/>
      <c r="G1337" s="583"/>
      <c r="H1337" s="405"/>
      <c r="I1337" s="405"/>
      <c r="J1337" s="405"/>
      <c r="K1337" s="405"/>
      <c r="L1337" s="405"/>
      <c r="M1337" s="405"/>
      <c r="N1337" s="405"/>
      <c r="O1337" s="405"/>
      <c r="P1337" s="405"/>
      <c r="Q1337" s="405"/>
      <c r="R1337" s="405"/>
      <c r="S1337" s="405"/>
      <c r="T1337" s="405"/>
      <c r="U1337" s="405"/>
      <c r="V1337" s="405"/>
      <c r="W1337" s="405"/>
      <c r="X1337" s="405"/>
      <c r="Y1337" s="405"/>
      <c r="Z1337" s="405"/>
    </row>
    <row r="1338" ht="14.25" customHeight="1">
      <c r="A1338" s="405"/>
      <c r="B1338" s="405"/>
      <c r="C1338" s="405"/>
      <c r="D1338" s="405"/>
      <c r="E1338" s="405"/>
      <c r="F1338" s="583"/>
      <c r="G1338" s="583"/>
      <c r="H1338" s="405"/>
      <c r="I1338" s="405"/>
      <c r="J1338" s="405"/>
      <c r="K1338" s="405"/>
      <c r="L1338" s="405"/>
      <c r="M1338" s="405"/>
      <c r="N1338" s="405"/>
      <c r="O1338" s="405"/>
      <c r="P1338" s="405"/>
      <c r="Q1338" s="405"/>
      <c r="R1338" s="405"/>
      <c r="S1338" s="405"/>
      <c r="T1338" s="405"/>
      <c r="U1338" s="405"/>
      <c r="V1338" s="405"/>
      <c r="W1338" s="405"/>
      <c r="X1338" s="405"/>
      <c r="Y1338" s="405"/>
      <c r="Z1338" s="405"/>
    </row>
    <row r="1339" ht="14.25" customHeight="1">
      <c r="A1339" s="405"/>
      <c r="B1339" s="405"/>
      <c r="C1339" s="405"/>
      <c r="D1339" s="405"/>
      <c r="E1339" s="405"/>
      <c r="F1339" s="583"/>
      <c r="G1339" s="583"/>
      <c r="H1339" s="405"/>
      <c r="I1339" s="405"/>
      <c r="J1339" s="405"/>
      <c r="K1339" s="405"/>
      <c r="L1339" s="405"/>
      <c r="M1339" s="405"/>
      <c r="N1339" s="405"/>
      <c r="O1339" s="405"/>
      <c r="P1339" s="405"/>
      <c r="Q1339" s="405"/>
      <c r="R1339" s="405"/>
      <c r="S1339" s="405"/>
      <c r="T1339" s="405"/>
      <c r="U1339" s="405"/>
      <c r="V1339" s="405"/>
      <c r="W1339" s="405"/>
      <c r="X1339" s="405"/>
      <c r="Y1339" s="405"/>
      <c r="Z1339" s="405"/>
    </row>
    <row r="1340" ht="14.25" customHeight="1">
      <c r="A1340" s="405"/>
      <c r="B1340" s="405"/>
      <c r="C1340" s="405"/>
      <c r="D1340" s="405"/>
      <c r="E1340" s="405"/>
      <c r="F1340" s="583"/>
      <c r="G1340" s="583"/>
      <c r="H1340" s="405"/>
      <c r="I1340" s="405"/>
      <c r="J1340" s="405"/>
      <c r="K1340" s="405"/>
      <c r="L1340" s="405"/>
      <c r="M1340" s="405"/>
      <c r="N1340" s="405"/>
      <c r="O1340" s="405"/>
      <c r="P1340" s="405"/>
      <c r="Q1340" s="405"/>
      <c r="R1340" s="405"/>
      <c r="S1340" s="405"/>
      <c r="T1340" s="405"/>
      <c r="U1340" s="405"/>
      <c r="V1340" s="405"/>
      <c r="W1340" s="405"/>
      <c r="X1340" s="405"/>
      <c r="Y1340" s="405"/>
      <c r="Z1340" s="405"/>
    </row>
    <row r="1341" ht="14.25" customHeight="1">
      <c r="A1341" s="405"/>
      <c r="B1341" s="405"/>
      <c r="C1341" s="405"/>
      <c r="D1341" s="405"/>
      <c r="E1341" s="405"/>
      <c r="F1341" s="583"/>
      <c r="G1341" s="583"/>
      <c r="H1341" s="405"/>
      <c r="I1341" s="405"/>
      <c r="J1341" s="405"/>
      <c r="K1341" s="405"/>
      <c r="L1341" s="405"/>
      <c r="M1341" s="405"/>
      <c r="N1341" s="405"/>
      <c r="O1341" s="405"/>
      <c r="P1341" s="405"/>
      <c r="Q1341" s="405"/>
      <c r="R1341" s="405"/>
      <c r="S1341" s="405"/>
      <c r="T1341" s="405"/>
      <c r="U1341" s="405"/>
      <c r="V1341" s="405"/>
      <c r="W1341" s="405"/>
      <c r="X1341" s="405"/>
      <c r="Y1341" s="405"/>
      <c r="Z1341" s="405"/>
    </row>
    <row r="1342" ht="14.25" customHeight="1">
      <c r="A1342" s="405"/>
      <c r="B1342" s="405"/>
      <c r="C1342" s="405"/>
      <c r="D1342" s="405"/>
      <c r="E1342" s="405"/>
      <c r="F1342" s="583"/>
      <c r="G1342" s="583"/>
      <c r="H1342" s="405"/>
      <c r="I1342" s="405"/>
      <c r="J1342" s="405"/>
      <c r="K1342" s="405"/>
      <c r="L1342" s="405"/>
      <c r="M1342" s="405"/>
      <c r="N1342" s="405"/>
      <c r="O1342" s="405"/>
      <c r="P1342" s="405"/>
      <c r="Q1342" s="405"/>
      <c r="R1342" s="405"/>
      <c r="S1342" s="405"/>
      <c r="T1342" s="405"/>
      <c r="U1342" s="405"/>
      <c r="V1342" s="405"/>
      <c r="W1342" s="405"/>
      <c r="X1342" s="405"/>
      <c r="Y1342" s="405"/>
      <c r="Z1342" s="405"/>
    </row>
    <row r="1343" ht="14.25" customHeight="1">
      <c r="A1343" s="405"/>
      <c r="B1343" s="405"/>
      <c r="C1343" s="405"/>
      <c r="D1343" s="405"/>
      <c r="E1343" s="405"/>
      <c r="F1343" s="583"/>
      <c r="G1343" s="583"/>
      <c r="H1343" s="405"/>
      <c r="I1343" s="405"/>
      <c r="J1343" s="405"/>
      <c r="K1343" s="405"/>
      <c r="L1343" s="405"/>
      <c r="M1343" s="405"/>
      <c r="N1343" s="405"/>
      <c r="O1343" s="405"/>
      <c r="P1343" s="405"/>
      <c r="Q1343" s="405"/>
      <c r="R1343" s="405"/>
      <c r="S1343" s="405"/>
      <c r="T1343" s="405"/>
      <c r="U1343" s="405"/>
      <c r="V1343" s="405"/>
      <c r="W1343" s="405"/>
      <c r="X1343" s="405"/>
      <c r="Y1343" s="405"/>
      <c r="Z1343" s="405"/>
    </row>
    <row r="1344" ht="14.25" customHeight="1">
      <c r="A1344" s="405"/>
      <c r="B1344" s="405"/>
      <c r="C1344" s="405"/>
      <c r="D1344" s="405"/>
      <c r="E1344" s="405"/>
      <c r="F1344" s="583"/>
      <c r="G1344" s="583"/>
      <c r="H1344" s="405"/>
      <c r="I1344" s="405"/>
      <c r="J1344" s="405"/>
      <c r="K1344" s="405"/>
      <c r="L1344" s="405"/>
      <c r="M1344" s="405"/>
      <c r="N1344" s="405"/>
      <c r="O1344" s="405"/>
      <c r="P1344" s="405"/>
      <c r="Q1344" s="405"/>
      <c r="R1344" s="405"/>
      <c r="S1344" s="405"/>
      <c r="T1344" s="405"/>
      <c r="U1344" s="405"/>
      <c r="V1344" s="405"/>
      <c r="W1344" s="405"/>
      <c r="X1344" s="405"/>
      <c r="Y1344" s="405"/>
      <c r="Z1344" s="405"/>
    </row>
    <row r="1345" ht="14.25" customHeight="1">
      <c r="A1345" s="405"/>
      <c r="B1345" s="405"/>
      <c r="C1345" s="405"/>
      <c r="D1345" s="405"/>
      <c r="E1345" s="405"/>
      <c r="F1345" s="583"/>
      <c r="G1345" s="583"/>
      <c r="H1345" s="405"/>
      <c r="I1345" s="405"/>
      <c r="J1345" s="405"/>
      <c r="K1345" s="405"/>
      <c r="L1345" s="405"/>
      <c r="M1345" s="405"/>
      <c r="N1345" s="405"/>
      <c r="O1345" s="405"/>
      <c r="P1345" s="405"/>
      <c r="Q1345" s="405"/>
      <c r="R1345" s="405"/>
      <c r="S1345" s="405"/>
      <c r="T1345" s="405"/>
      <c r="U1345" s="405"/>
      <c r="V1345" s="405"/>
      <c r="W1345" s="405"/>
      <c r="X1345" s="405"/>
      <c r="Y1345" s="405"/>
      <c r="Z1345" s="405"/>
    </row>
    <row r="1346" ht="14.25" customHeight="1">
      <c r="A1346" s="405"/>
      <c r="B1346" s="405"/>
      <c r="C1346" s="405"/>
      <c r="D1346" s="405"/>
      <c r="E1346" s="405"/>
      <c r="F1346" s="583"/>
      <c r="G1346" s="583"/>
      <c r="H1346" s="405"/>
      <c r="I1346" s="405"/>
      <c r="J1346" s="405"/>
      <c r="K1346" s="405"/>
      <c r="L1346" s="405"/>
      <c r="M1346" s="405"/>
      <c r="N1346" s="405"/>
      <c r="O1346" s="405"/>
      <c r="P1346" s="405"/>
      <c r="Q1346" s="405"/>
      <c r="R1346" s="405"/>
      <c r="S1346" s="405"/>
      <c r="T1346" s="405"/>
      <c r="U1346" s="405"/>
      <c r="V1346" s="405"/>
      <c r="W1346" s="405"/>
      <c r="X1346" s="405"/>
      <c r="Y1346" s="405"/>
      <c r="Z1346" s="405"/>
    </row>
    <row r="1347" ht="14.25" customHeight="1">
      <c r="A1347" s="405"/>
      <c r="B1347" s="405"/>
      <c r="C1347" s="405"/>
      <c r="D1347" s="405"/>
      <c r="E1347" s="405"/>
      <c r="F1347" s="583"/>
      <c r="G1347" s="583"/>
      <c r="H1347" s="405"/>
      <c r="I1347" s="405"/>
      <c r="J1347" s="405"/>
      <c r="K1347" s="405"/>
      <c r="L1347" s="405"/>
      <c r="M1347" s="405"/>
      <c r="N1347" s="405"/>
      <c r="O1347" s="405"/>
      <c r="P1347" s="405"/>
      <c r="Q1347" s="405"/>
      <c r="R1347" s="405"/>
      <c r="S1347" s="405"/>
      <c r="T1347" s="405"/>
      <c r="U1347" s="405"/>
      <c r="V1347" s="405"/>
      <c r="W1347" s="405"/>
      <c r="X1347" s="405"/>
      <c r="Y1347" s="405"/>
      <c r="Z1347" s="405"/>
    </row>
    <row r="1348" ht="14.25" customHeight="1">
      <c r="A1348" s="405"/>
      <c r="B1348" s="405"/>
      <c r="C1348" s="405"/>
      <c r="D1348" s="405"/>
      <c r="E1348" s="405"/>
      <c r="F1348" s="583"/>
      <c r="G1348" s="583"/>
      <c r="H1348" s="405"/>
      <c r="I1348" s="405"/>
      <c r="J1348" s="405"/>
      <c r="K1348" s="405"/>
      <c r="L1348" s="405"/>
      <c r="M1348" s="405"/>
      <c r="N1348" s="405"/>
      <c r="O1348" s="405"/>
      <c r="P1348" s="405"/>
      <c r="Q1348" s="405"/>
      <c r="R1348" s="405"/>
      <c r="S1348" s="405"/>
      <c r="T1348" s="405"/>
      <c r="U1348" s="405"/>
      <c r="V1348" s="405"/>
      <c r="W1348" s="405"/>
      <c r="X1348" s="405"/>
      <c r="Y1348" s="405"/>
      <c r="Z1348" s="405"/>
    </row>
    <row r="1349" ht="14.25" customHeight="1">
      <c r="A1349" s="405"/>
      <c r="B1349" s="405"/>
      <c r="C1349" s="405"/>
      <c r="D1349" s="405"/>
      <c r="E1349" s="405"/>
      <c r="F1349" s="583"/>
      <c r="G1349" s="583"/>
      <c r="H1349" s="405"/>
      <c r="I1349" s="405"/>
      <c r="J1349" s="405"/>
      <c r="K1349" s="405"/>
      <c r="L1349" s="405"/>
      <c r="M1349" s="405"/>
      <c r="N1349" s="405"/>
      <c r="O1349" s="405"/>
      <c r="P1349" s="405"/>
      <c r="Q1349" s="405"/>
      <c r="R1349" s="405"/>
      <c r="S1349" s="405"/>
      <c r="T1349" s="405"/>
      <c r="U1349" s="405"/>
      <c r="V1349" s="405"/>
      <c r="W1349" s="405"/>
      <c r="X1349" s="405"/>
      <c r="Y1349" s="405"/>
      <c r="Z1349" s="405"/>
    </row>
    <row r="1350" ht="14.25" customHeight="1">
      <c r="A1350" s="405"/>
      <c r="B1350" s="405"/>
      <c r="C1350" s="405"/>
      <c r="D1350" s="405"/>
      <c r="E1350" s="405"/>
      <c r="F1350" s="583"/>
      <c r="G1350" s="583"/>
      <c r="H1350" s="405"/>
      <c r="I1350" s="405"/>
      <c r="J1350" s="405"/>
      <c r="K1350" s="405"/>
      <c r="L1350" s="405"/>
      <c r="M1350" s="405"/>
      <c r="N1350" s="405"/>
      <c r="O1350" s="405"/>
      <c r="P1350" s="405"/>
      <c r="Q1350" s="405"/>
      <c r="R1350" s="405"/>
      <c r="S1350" s="405"/>
      <c r="T1350" s="405"/>
      <c r="U1350" s="405"/>
      <c r="V1350" s="405"/>
      <c r="W1350" s="405"/>
      <c r="X1350" s="405"/>
      <c r="Y1350" s="405"/>
      <c r="Z1350" s="405"/>
    </row>
    <row r="1351" ht="14.25" customHeight="1">
      <c r="A1351" s="405"/>
      <c r="B1351" s="405"/>
      <c r="C1351" s="405"/>
      <c r="D1351" s="405"/>
      <c r="E1351" s="405"/>
      <c r="F1351" s="583"/>
      <c r="G1351" s="583"/>
      <c r="H1351" s="405"/>
      <c r="I1351" s="405"/>
      <c r="J1351" s="405"/>
      <c r="K1351" s="405"/>
      <c r="L1351" s="405"/>
      <c r="M1351" s="405"/>
      <c r="N1351" s="405"/>
      <c r="O1351" s="405"/>
      <c r="P1351" s="405"/>
      <c r="Q1351" s="405"/>
      <c r="R1351" s="405"/>
      <c r="S1351" s="405"/>
      <c r="T1351" s="405"/>
      <c r="U1351" s="405"/>
      <c r="V1351" s="405"/>
      <c r="W1351" s="405"/>
      <c r="X1351" s="405"/>
      <c r="Y1351" s="405"/>
      <c r="Z1351" s="405"/>
    </row>
    <row r="1352" ht="14.25" customHeight="1">
      <c r="A1352" s="405"/>
      <c r="B1352" s="405"/>
      <c r="C1352" s="405"/>
      <c r="D1352" s="405"/>
      <c r="E1352" s="405"/>
      <c r="F1352" s="583"/>
      <c r="G1352" s="583"/>
      <c r="H1352" s="405"/>
      <c r="I1352" s="405"/>
      <c r="J1352" s="405"/>
      <c r="K1352" s="405"/>
      <c r="L1352" s="405"/>
      <c r="M1352" s="405"/>
      <c r="N1352" s="405"/>
      <c r="O1352" s="405"/>
      <c r="P1352" s="405"/>
      <c r="Q1352" s="405"/>
      <c r="R1352" s="405"/>
      <c r="S1352" s="405"/>
      <c r="T1352" s="405"/>
      <c r="U1352" s="405"/>
      <c r="V1352" s="405"/>
      <c r="W1352" s="405"/>
      <c r="X1352" s="405"/>
      <c r="Y1352" s="405"/>
      <c r="Z1352" s="405"/>
    </row>
    <row r="1353" ht="14.25" customHeight="1">
      <c r="A1353" s="405"/>
      <c r="B1353" s="405"/>
      <c r="C1353" s="405"/>
      <c r="D1353" s="405"/>
      <c r="E1353" s="405"/>
      <c r="F1353" s="583"/>
      <c r="G1353" s="583"/>
      <c r="H1353" s="405"/>
      <c r="I1353" s="405"/>
      <c r="J1353" s="405"/>
      <c r="K1353" s="405"/>
      <c r="L1353" s="405"/>
      <c r="M1353" s="405"/>
      <c r="N1353" s="405"/>
      <c r="O1353" s="405"/>
      <c r="P1353" s="405"/>
      <c r="Q1353" s="405"/>
      <c r="R1353" s="405"/>
      <c r="S1353" s="405"/>
      <c r="T1353" s="405"/>
      <c r="U1353" s="405"/>
      <c r="V1353" s="405"/>
      <c r="W1353" s="405"/>
      <c r="X1353" s="405"/>
      <c r="Y1353" s="405"/>
      <c r="Z1353" s="405"/>
    </row>
    <row r="1354" ht="14.25" customHeight="1">
      <c r="A1354" s="405"/>
      <c r="B1354" s="405"/>
      <c r="C1354" s="405"/>
      <c r="D1354" s="405"/>
      <c r="E1354" s="405"/>
      <c r="F1354" s="583"/>
      <c r="G1354" s="583"/>
      <c r="H1354" s="405"/>
      <c r="I1354" s="405"/>
      <c r="J1354" s="405"/>
      <c r="K1354" s="405"/>
      <c r="L1354" s="405"/>
      <c r="M1354" s="405"/>
      <c r="N1354" s="405"/>
      <c r="O1354" s="405"/>
      <c r="P1354" s="405"/>
      <c r="Q1354" s="405"/>
      <c r="R1354" s="405"/>
      <c r="S1354" s="405"/>
      <c r="T1354" s="405"/>
      <c r="U1354" s="405"/>
      <c r="V1354" s="405"/>
      <c r="W1354" s="405"/>
      <c r="X1354" s="405"/>
      <c r="Y1354" s="405"/>
      <c r="Z1354" s="405"/>
    </row>
    <row r="1355" ht="14.25" customHeight="1">
      <c r="A1355" s="405"/>
      <c r="B1355" s="405"/>
      <c r="C1355" s="405"/>
      <c r="D1355" s="405"/>
      <c r="E1355" s="405"/>
      <c r="F1355" s="583"/>
      <c r="G1355" s="583"/>
      <c r="H1355" s="405"/>
      <c r="I1355" s="405"/>
      <c r="J1355" s="405"/>
      <c r="K1355" s="405"/>
      <c r="L1355" s="405"/>
      <c r="M1355" s="405"/>
      <c r="N1355" s="405"/>
      <c r="O1355" s="405"/>
      <c r="P1355" s="405"/>
      <c r="Q1355" s="405"/>
      <c r="R1355" s="405"/>
      <c r="S1355" s="405"/>
      <c r="T1355" s="405"/>
      <c r="U1355" s="405"/>
      <c r="V1355" s="405"/>
      <c r="W1355" s="405"/>
      <c r="X1355" s="405"/>
      <c r="Y1355" s="405"/>
      <c r="Z1355" s="405"/>
    </row>
    <row r="1356" ht="14.25" customHeight="1">
      <c r="A1356" s="405"/>
      <c r="B1356" s="405"/>
      <c r="C1356" s="405"/>
      <c r="D1356" s="405"/>
      <c r="E1356" s="405"/>
      <c r="F1356" s="583"/>
      <c r="G1356" s="583"/>
      <c r="H1356" s="405"/>
      <c r="I1356" s="405"/>
      <c r="J1356" s="405"/>
      <c r="K1356" s="405"/>
      <c r="L1356" s="405"/>
      <c r="M1356" s="405"/>
      <c r="N1356" s="405"/>
      <c r="O1356" s="405"/>
      <c r="P1356" s="405"/>
      <c r="Q1356" s="405"/>
      <c r="R1356" s="405"/>
      <c r="S1356" s="405"/>
      <c r="T1356" s="405"/>
      <c r="U1356" s="405"/>
      <c r="V1356" s="405"/>
      <c r="W1356" s="405"/>
      <c r="X1356" s="405"/>
      <c r="Y1356" s="405"/>
      <c r="Z1356" s="405"/>
    </row>
    <row r="1357" ht="14.25" customHeight="1">
      <c r="A1357" s="405"/>
      <c r="B1357" s="405"/>
      <c r="C1357" s="405"/>
      <c r="D1357" s="405"/>
      <c r="E1357" s="405"/>
      <c r="F1357" s="583"/>
      <c r="G1357" s="583"/>
      <c r="H1357" s="405"/>
      <c r="I1357" s="405"/>
      <c r="J1357" s="405"/>
      <c r="K1357" s="405"/>
      <c r="L1357" s="405"/>
      <c r="M1357" s="405"/>
      <c r="N1357" s="405"/>
      <c r="O1357" s="405"/>
      <c r="P1357" s="405"/>
      <c r="Q1357" s="405"/>
      <c r="R1357" s="405"/>
      <c r="S1357" s="405"/>
      <c r="T1357" s="405"/>
      <c r="U1357" s="405"/>
      <c r="V1357" s="405"/>
      <c r="W1357" s="405"/>
      <c r="X1357" s="405"/>
      <c r="Y1357" s="405"/>
      <c r="Z1357" s="405"/>
    </row>
    <row r="1358" ht="14.25" customHeight="1">
      <c r="A1358" s="405"/>
      <c r="B1358" s="405"/>
      <c r="C1358" s="405"/>
      <c r="D1358" s="405"/>
      <c r="E1358" s="405"/>
      <c r="F1358" s="583"/>
      <c r="G1358" s="583"/>
      <c r="H1358" s="405"/>
      <c r="I1358" s="405"/>
      <c r="J1358" s="405"/>
      <c r="K1358" s="405"/>
      <c r="L1358" s="405"/>
      <c r="M1358" s="405"/>
      <c r="N1358" s="405"/>
      <c r="O1358" s="405"/>
      <c r="P1358" s="405"/>
      <c r="Q1358" s="405"/>
      <c r="R1358" s="405"/>
      <c r="S1358" s="405"/>
      <c r="T1358" s="405"/>
      <c r="U1358" s="405"/>
      <c r="V1358" s="405"/>
      <c r="W1358" s="405"/>
      <c r="X1358" s="405"/>
      <c r="Y1358" s="405"/>
      <c r="Z1358" s="405"/>
    </row>
    <row r="1359" ht="14.25" customHeight="1">
      <c r="A1359" s="405"/>
      <c r="B1359" s="405"/>
      <c r="C1359" s="405"/>
      <c r="D1359" s="405"/>
      <c r="E1359" s="405"/>
      <c r="F1359" s="583"/>
      <c r="G1359" s="583"/>
      <c r="H1359" s="405"/>
      <c r="I1359" s="405"/>
      <c r="J1359" s="405"/>
      <c r="K1359" s="405"/>
      <c r="L1359" s="405"/>
      <c r="M1359" s="405"/>
      <c r="N1359" s="405"/>
      <c r="O1359" s="405"/>
      <c r="P1359" s="405"/>
      <c r="Q1359" s="405"/>
      <c r="R1359" s="405"/>
      <c r="S1359" s="405"/>
      <c r="T1359" s="405"/>
      <c r="U1359" s="405"/>
      <c r="V1359" s="405"/>
      <c r="W1359" s="405"/>
      <c r="X1359" s="405"/>
      <c r="Y1359" s="405"/>
      <c r="Z1359" s="405"/>
    </row>
    <row r="1360" ht="14.25" customHeight="1">
      <c r="A1360" s="405"/>
      <c r="B1360" s="405"/>
      <c r="C1360" s="405"/>
      <c r="D1360" s="405"/>
      <c r="E1360" s="405"/>
      <c r="F1360" s="583"/>
      <c r="G1360" s="583"/>
      <c r="H1360" s="405"/>
      <c r="I1360" s="405"/>
      <c r="J1360" s="405"/>
      <c r="K1360" s="405"/>
      <c r="L1360" s="405"/>
      <c r="M1360" s="405"/>
      <c r="N1360" s="405"/>
      <c r="O1360" s="405"/>
      <c r="P1360" s="405"/>
      <c r="Q1360" s="405"/>
      <c r="R1360" s="405"/>
      <c r="S1360" s="405"/>
      <c r="T1360" s="405"/>
      <c r="U1360" s="405"/>
      <c r="V1360" s="405"/>
      <c r="W1360" s="405"/>
      <c r="X1360" s="405"/>
      <c r="Y1360" s="405"/>
      <c r="Z1360" s="405"/>
    </row>
    <row r="1361" ht="14.25" customHeight="1">
      <c r="A1361" s="405"/>
      <c r="B1361" s="405"/>
      <c r="C1361" s="405"/>
      <c r="D1361" s="405"/>
      <c r="E1361" s="405"/>
      <c r="F1361" s="583"/>
      <c r="G1361" s="583"/>
      <c r="H1361" s="405"/>
      <c r="I1361" s="405"/>
      <c r="J1361" s="405"/>
      <c r="K1361" s="405"/>
      <c r="L1361" s="405"/>
      <c r="M1361" s="405"/>
      <c r="N1361" s="405"/>
      <c r="O1361" s="405"/>
      <c r="P1361" s="405"/>
      <c r="Q1361" s="405"/>
      <c r="R1361" s="405"/>
      <c r="S1361" s="405"/>
      <c r="T1361" s="405"/>
      <c r="U1361" s="405"/>
      <c r="V1361" s="405"/>
      <c r="W1361" s="405"/>
      <c r="X1361" s="405"/>
      <c r="Y1361" s="405"/>
      <c r="Z1361" s="405"/>
    </row>
    <row r="1362" ht="14.25" customHeight="1">
      <c r="A1362" s="405"/>
      <c r="B1362" s="405"/>
      <c r="C1362" s="405"/>
      <c r="D1362" s="405"/>
      <c r="E1362" s="405"/>
      <c r="F1362" s="583"/>
      <c r="G1362" s="583"/>
      <c r="H1362" s="405"/>
      <c r="I1362" s="405"/>
      <c r="J1362" s="405"/>
      <c r="K1362" s="405"/>
      <c r="L1362" s="405"/>
      <c r="M1362" s="405"/>
      <c r="N1362" s="405"/>
      <c r="O1362" s="405"/>
      <c r="P1362" s="405"/>
      <c r="Q1362" s="405"/>
      <c r="R1362" s="405"/>
      <c r="S1362" s="405"/>
      <c r="T1362" s="405"/>
      <c r="U1362" s="405"/>
      <c r="V1362" s="405"/>
      <c r="W1362" s="405"/>
      <c r="X1362" s="405"/>
      <c r="Y1362" s="405"/>
      <c r="Z1362" s="405"/>
    </row>
    <row r="1363" ht="14.25" customHeight="1">
      <c r="A1363" s="405"/>
      <c r="B1363" s="405"/>
      <c r="C1363" s="405"/>
      <c r="D1363" s="405"/>
      <c r="E1363" s="405"/>
      <c r="F1363" s="583"/>
      <c r="G1363" s="583"/>
      <c r="H1363" s="405"/>
      <c r="I1363" s="405"/>
      <c r="J1363" s="405"/>
      <c r="K1363" s="405"/>
      <c r="L1363" s="405"/>
      <c r="M1363" s="405"/>
      <c r="N1363" s="405"/>
      <c r="O1363" s="405"/>
      <c r="P1363" s="405"/>
      <c r="Q1363" s="405"/>
      <c r="R1363" s="405"/>
      <c r="S1363" s="405"/>
      <c r="T1363" s="405"/>
      <c r="U1363" s="405"/>
      <c r="V1363" s="405"/>
      <c r="W1363" s="405"/>
      <c r="X1363" s="405"/>
      <c r="Y1363" s="405"/>
      <c r="Z1363" s="405"/>
    </row>
    <row r="1364" ht="14.25" customHeight="1">
      <c r="A1364" s="405"/>
      <c r="B1364" s="405"/>
      <c r="C1364" s="405"/>
      <c r="D1364" s="405"/>
      <c r="E1364" s="405"/>
      <c r="F1364" s="583"/>
      <c r="G1364" s="583"/>
      <c r="H1364" s="405"/>
      <c r="I1364" s="405"/>
      <c r="J1364" s="405"/>
      <c r="K1364" s="405"/>
      <c r="L1364" s="405"/>
      <c r="M1364" s="405"/>
      <c r="N1364" s="405"/>
      <c r="O1364" s="405"/>
      <c r="P1364" s="405"/>
      <c r="Q1364" s="405"/>
      <c r="R1364" s="405"/>
      <c r="S1364" s="405"/>
      <c r="T1364" s="405"/>
      <c r="U1364" s="405"/>
      <c r="V1364" s="405"/>
      <c r="W1364" s="405"/>
      <c r="X1364" s="405"/>
      <c r="Y1364" s="405"/>
      <c r="Z1364" s="405"/>
    </row>
    <row r="1365" ht="14.25" customHeight="1">
      <c r="A1365" s="405"/>
      <c r="B1365" s="405"/>
      <c r="C1365" s="405"/>
      <c r="D1365" s="405"/>
      <c r="E1365" s="405"/>
      <c r="F1365" s="583"/>
      <c r="G1365" s="583"/>
      <c r="H1365" s="405"/>
      <c r="I1365" s="405"/>
      <c r="J1365" s="405"/>
      <c r="K1365" s="405"/>
      <c r="L1365" s="405"/>
      <c r="M1365" s="405"/>
      <c r="N1365" s="405"/>
      <c r="O1365" s="405"/>
      <c r="P1365" s="405"/>
      <c r="Q1365" s="405"/>
      <c r="R1365" s="405"/>
      <c r="S1365" s="405"/>
      <c r="T1365" s="405"/>
      <c r="U1365" s="405"/>
      <c r="V1365" s="405"/>
      <c r="W1365" s="405"/>
      <c r="X1365" s="405"/>
      <c r="Y1365" s="405"/>
      <c r="Z1365" s="405"/>
    </row>
    <row r="1366" ht="14.25" customHeight="1">
      <c r="A1366" s="405"/>
      <c r="B1366" s="405"/>
      <c r="C1366" s="405"/>
      <c r="D1366" s="405"/>
      <c r="E1366" s="405"/>
      <c r="F1366" s="583"/>
      <c r="G1366" s="583"/>
      <c r="H1366" s="405"/>
      <c r="I1366" s="405"/>
      <c r="J1366" s="405"/>
      <c r="K1366" s="405"/>
      <c r="L1366" s="405"/>
      <c r="M1366" s="405"/>
      <c r="N1366" s="405"/>
      <c r="O1366" s="405"/>
      <c r="P1366" s="405"/>
      <c r="Q1366" s="405"/>
      <c r="R1366" s="405"/>
      <c r="S1366" s="405"/>
      <c r="T1366" s="405"/>
      <c r="U1366" s="405"/>
      <c r="V1366" s="405"/>
      <c r="W1366" s="405"/>
      <c r="X1366" s="405"/>
      <c r="Y1366" s="405"/>
      <c r="Z1366" s="405"/>
    </row>
    <row r="1367" ht="14.25" customHeight="1">
      <c r="A1367" s="405"/>
      <c r="B1367" s="405"/>
      <c r="C1367" s="405"/>
      <c r="D1367" s="405"/>
      <c r="E1367" s="405"/>
      <c r="F1367" s="583"/>
      <c r="G1367" s="583"/>
      <c r="H1367" s="405"/>
      <c r="I1367" s="405"/>
      <c r="J1367" s="405"/>
      <c r="K1367" s="405"/>
      <c r="L1367" s="405"/>
      <c r="M1367" s="405"/>
      <c r="N1367" s="405"/>
      <c r="O1367" s="405"/>
      <c r="P1367" s="405"/>
      <c r="Q1367" s="405"/>
      <c r="R1367" s="405"/>
      <c r="S1367" s="405"/>
      <c r="T1367" s="405"/>
      <c r="U1367" s="405"/>
      <c r="V1367" s="405"/>
      <c r="W1367" s="405"/>
      <c r="X1367" s="405"/>
      <c r="Y1367" s="405"/>
      <c r="Z1367" s="405"/>
    </row>
    <row r="1368" ht="14.25" customHeight="1">
      <c r="A1368" s="405"/>
      <c r="B1368" s="405"/>
      <c r="C1368" s="405"/>
      <c r="D1368" s="405"/>
      <c r="E1368" s="405"/>
      <c r="F1368" s="583"/>
      <c r="G1368" s="583"/>
      <c r="H1368" s="405"/>
      <c r="I1368" s="405"/>
      <c r="J1368" s="405"/>
      <c r="K1368" s="405"/>
      <c r="L1368" s="405"/>
      <c r="M1368" s="405"/>
      <c r="N1368" s="405"/>
      <c r="O1368" s="405"/>
      <c r="P1368" s="405"/>
      <c r="Q1368" s="405"/>
      <c r="R1368" s="405"/>
      <c r="S1368" s="405"/>
      <c r="T1368" s="405"/>
      <c r="U1368" s="405"/>
      <c r="V1368" s="405"/>
      <c r="W1368" s="405"/>
      <c r="X1368" s="405"/>
      <c r="Y1368" s="405"/>
      <c r="Z1368" s="405"/>
    </row>
    <row r="1369" ht="14.25" customHeight="1">
      <c r="A1369" s="405"/>
      <c r="B1369" s="405"/>
      <c r="C1369" s="405"/>
      <c r="D1369" s="405"/>
      <c r="E1369" s="405"/>
      <c r="F1369" s="583"/>
      <c r="G1369" s="583"/>
      <c r="H1369" s="405"/>
      <c r="I1369" s="405"/>
      <c r="J1369" s="405"/>
      <c r="K1369" s="405"/>
      <c r="L1369" s="405"/>
      <c r="M1369" s="405"/>
      <c r="N1369" s="405"/>
      <c r="O1369" s="405"/>
      <c r="P1369" s="405"/>
      <c r="Q1369" s="405"/>
      <c r="R1369" s="405"/>
      <c r="S1369" s="405"/>
      <c r="T1369" s="405"/>
      <c r="U1369" s="405"/>
      <c r="V1369" s="405"/>
      <c r="W1369" s="405"/>
      <c r="X1369" s="405"/>
      <c r="Y1369" s="405"/>
      <c r="Z1369" s="405"/>
    </row>
    <row r="1370" ht="14.25" customHeight="1">
      <c r="A1370" s="405"/>
      <c r="B1370" s="405"/>
      <c r="C1370" s="405"/>
      <c r="D1370" s="405"/>
      <c r="E1370" s="405"/>
      <c r="F1370" s="583"/>
      <c r="G1370" s="583"/>
      <c r="H1370" s="405"/>
      <c r="I1370" s="405"/>
      <c r="J1370" s="405"/>
      <c r="K1370" s="405"/>
      <c r="L1370" s="405"/>
      <c r="M1370" s="405"/>
      <c r="N1370" s="405"/>
      <c r="O1370" s="405"/>
      <c r="P1370" s="405"/>
      <c r="Q1370" s="405"/>
      <c r="R1370" s="405"/>
      <c r="S1370" s="405"/>
      <c r="T1370" s="405"/>
      <c r="U1370" s="405"/>
      <c r="V1370" s="405"/>
      <c r="W1370" s="405"/>
      <c r="X1370" s="405"/>
      <c r="Y1370" s="405"/>
      <c r="Z1370" s="405"/>
    </row>
    <row r="1371" ht="14.25" customHeight="1">
      <c r="A1371" s="405"/>
      <c r="B1371" s="405"/>
      <c r="C1371" s="405"/>
      <c r="D1371" s="405"/>
      <c r="E1371" s="405"/>
      <c r="F1371" s="583"/>
      <c r="G1371" s="583"/>
      <c r="H1371" s="405"/>
      <c r="I1371" s="405"/>
      <c r="J1371" s="405"/>
      <c r="K1371" s="405"/>
      <c r="L1371" s="405"/>
      <c r="M1371" s="405"/>
      <c r="N1371" s="405"/>
      <c r="O1371" s="405"/>
      <c r="P1371" s="405"/>
      <c r="Q1371" s="405"/>
      <c r="R1371" s="405"/>
      <c r="S1371" s="405"/>
      <c r="T1371" s="405"/>
      <c r="U1371" s="405"/>
      <c r="V1371" s="405"/>
      <c r="W1371" s="405"/>
      <c r="X1371" s="405"/>
      <c r="Y1371" s="405"/>
      <c r="Z1371" s="405"/>
    </row>
    <row r="1372" ht="14.25" customHeight="1">
      <c r="A1372" s="405"/>
      <c r="B1372" s="405"/>
      <c r="C1372" s="405"/>
      <c r="D1372" s="405"/>
      <c r="E1372" s="405"/>
      <c r="F1372" s="583"/>
      <c r="G1372" s="583"/>
      <c r="H1372" s="405"/>
      <c r="I1372" s="405"/>
      <c r="J1372" s="405"/>
      <c r="K1372" s="405"/>
      <c r="L1372" s="405"/>
      <c r="M1372" s="405"/>
      <c r="N1372" s="405"/>
      <c r="O1372" s="405"/>
      <c r="P1372" s="405"/>
      <c r="Q1372" s="405"/>
      <c r="R1372" s="405"/>
      <c r="S1372" s="405"/>
      <c r="T1372" s="405"/>
      <c r="U1372" s="405"/>
      <c r="V1372" s="405"/>
      <c r="W1372" s="405"/>
      <c r="X1372" s="405"/>
      <c r="Y1372" s="405"/>
      <c r="Z1372" s="405"/>
    </row>
    <row r="1373" ht="14.25" customHeight="1">
      <c r="A1373" s="405"/>
      <c r="B1373" s="405"/>
      <c r="C1373" s="405"/>
      <c r="D1373" s="405"/>
      <c r="E1373" s="405"/>
      <c r="F1373" s="583"/>
      <c r="G1373" s="583"/>
      <c r="H1373" s="405"/>
      <c r="I1373" s="405"/>
      <c r="J1373" s="405"/>
      <c r="K1373" s="405"/>
      <c r="L1373" s="405"/>
      <c r="M1373" s="405"/>
      <c r="N1373" s="405"/>
      <c r="O1373" s="405"/>
      <c r="P1373" s="405"/>
      <c r="Q1373" s="405"/>
      <c r="R1373" s="405"/>
      <c r="S1373" s="405"/>
      <c r="T1373" s="405"/>
      <c r="U1373" s="405"/>
      <c r="V1373" s="405"/>
      <c r="W1373" s="405"/>
      <c r="X1373" s="405"/>
      <c r="Y1373" s="405"/>
      <c r="Z1373" s="405"/>
    </row>
    <row r="1374" ht="14.25" customHeight="1">
      <c r="A1374" s="405"/>
      <c r="B1374" s="405"/>
      <c r="C1374" s="405"/>
      <c r="D1374" s="405"/>
      <c r="E1374" s="405"/>
      <c r="F1374" s="583"/>
      <c r="G1374" s="583"/>
      <c r="H1374" s="405"/>
      <c r="I1374" s="405"/>
      <c r="J1374" s="405"/>
      <c r="K1374" s="405"/>
      <c r="L1374" s="405"/>
      <c r="M1374" s="405"/>
      <c r="N1374" s="405"/>
      <c r="O1374" s="405"/>
      <c r="P1374" s="405"/>
      <c r="Q1374" s="405"/>
      <c r="R1374" s="405"/>
      <c r="S1374" s="405"/>
      <c r="T1374" s="405"/>
      <c r="U1374" s="405"/>
      <c r="V1374" s="405"/>
      <c r="W1374" s="405"/>
      <c r="X1374" s="405"/>
      <c r="Y1374" s="405"/>
      <c r="Z1374" s="405"/>
    </row>
    <row r="1375" ht="14.25" customHeight="1">
      <c r="A1375" s="405"/>
      <c r="B1375" s="405"/>
      <c r="C1375" s="405"/>
      <c r="D1375" s="405"/>
      <c r="E1375" s="405"/>
      <c r="F1375" s="583"/>
      <c r="G1375" s="583"/>
      <c r="H1375" s="405"/>
      <c r="I1375" s="405"/>
      <c r="J1375" s="405"/>
      <c r="K1375" s="405"/>
      <c r="L1375" s="405"/>
      <c r="M1375" s="405"/>
      <c r="N1375" s="405"/>
      <c r="O1375" s="405"/>
      <c r="P1375" s="405"/>
      <c r="Q1375" s="405"/>
      <c r="R1375" s="405"/>
      <c r="S1375" s="405"/>
      <c r="T1375" s="405"/>
      <c r="U1375" s="405"/>
      <c r="V1375" s="405"/>
      <c r="W1375" s="405"/>
      <c r="X1375" s="405"/>
      <c r="Y1375" s="405"/>
      <c r="Z1375" s="405"/>
    </row>
    <row r="1376" ht="14.25" customHeight="1">
      <c r="A1376" s="405"/>
      <c r="B1376" s="405"/>
      <c r="C1376" s="405"/>
      <c r="D1376" s="405"/>
      <c r="E1376" s="405"/>
      <c r="F1376" s="583"/>
      <c r="G1376" s="583"/>
      <c r="H1376" s="405"/>
      <c r="I1376" s="405"/>
      <c r="J1376" s="405"/>
      <c r="K1376" s="405"/>
      <c r="L1376" s="405"/>
      <c r="M1376" s="405"/>
      <c r="N1376" s="405"/>
      <c r="O1376" s="405"/>
      <c r="P1376" s="405"/>
      <c r="Q1376" s="405"/>
      <c r="R1376" s="405"/>
      <c r="S1376" s="405"/>
      <c r="T1376" s="405"/>
      <c r="U1376" s="405"/>
      <c r="V1376" s="405"/>
      <c r="W1376" s="405"/>
      <c r="X1376" s="405"/>
      <c r="Y1376" s="405"/>
      <c r="Z1376" s="405"/>
    </row>
    <row r="1377" ht="14.25" customHeight="1">
      <c r="A1377" s="405"/>
      <c r="B1377" s="405"/>
      <c r="C1377" s="405"/>
      <c r="D1377" s="405"/>
      <c r="E1377" s="405"/>
      <c r="F1377" s="583"/>
      <c r="G1377" s="583"/>
      <c r="H1377" s="405"/>
      <c r="I1377" s="405"/>
      <c r="J1377" s="405"/>
      <c r="K1377" s="405"/>
      <c r="L1377" s="405"/>
      <c r="M1377" s="405"/>
      <c r="N1377" s="405"/>
      <c r="O1377" s="405"/>
      <c r="P1377" s="405"/>
      <c r="Q1377" s="405"/>
      <c r="R1377" s="405"/>
      <c r="S1377" s="405"/>
      <c r="T1377" s="405"/>
      <c r="U1377" s="405"/>
      <c r="V1377" s="405"/>
      <c r="W1377" s="405"/>
      <c r="X1377" s="405"/>
      <c r="Y1377" s="405"/>
      <c r="Z1377" s="405"/>
    </row>
    <row r="1378" ht="14.25" customHeight="1">
      <c r="A1378" s="405"/>
      <c r="B1378" s="405"/>
      <c r="C1378" s="405"/>
      <c r="D1378" s="405"/>
      <c r="E1378" s="405"/>
      <c r="F1378" s="583"/>
      <c r="G1378" s="583"/>
      <c r="H1378" s="405"/>
      <c r="I1378" s="405"/>
      <c r="J1378" s="405"/>
      <c r="K1378" s="405"/>
      <c r="L1378" s="405"/>
      <c r="M1378" s="405"/>
      <c r="N1378" s="405"/>
      <c r="O1378" s="405"/>
      <c r="P1378" s="405"/>
      <c r="Q1378" s="405"/>
      <c r="R1378" s="405"/>
      <c r="S1378" s="405"/>
      <c r="T1378" s="405"/>
      <c r="U1378" s="405"/>
      <c r="V1378" s="405"/>
      <c r="W1378" s="405"/>
      <c r="X1378" s="405"/>
      <c r="Y1378" s="405"/>
      <c r="Z1378" s="405"/>
    </row>
    <row r="1379" ht="14.25" customHeight="1">
      <c r="A1379" s="405"/>
      <c r="B1379" s="405"/>
      <c r="C1379" s="405"/>
      <c r="D1379" s="405"/>
      <c r="E1379" s="405"/>
      <c r="F1379" s="583"/>
      <c r="G1379" s="583"/>
      <c r="H1379" s="405"/>
      <c r="I1379" s="405"/>
      <c r="J1379" s="405"/>
      <c r="K1379" s="405"/>
      <c r="L1379" s="405"/>
      <c r="M1379" s="405"/>
      <c r="N1379" s="405"/>
      <c r="O1379" s="405"/>
      <c r="P1379" s="405"/>
      <c r="Q1379" s="405"/>
      <c r="R1379" s="405"/>
      <c r="S1379" s="405"/>
      <c r="T1379" s="405"/>
      <c r="U1379" s="405"/>
      <c r="V1379" s="405"/>
      <c r="W1379" s="405"/>
      <c r="X1379" s="405"/>
      <c r="Y1379" s="405"/>
      <c r="Z1379" s="405"/>
    </row>
    <row r="1380" ht="14.25" customHeight="1">
      <c r="A1380" s="405"/>
      <c r="B1380" s="405"/>
      <c r="C1380" s="405"/>
      <c r="D1380" s="405"/>
      <c r="E1380" s="405"/>
      <c r="F1380" s="583"/>
      <c r="G1380" s="583"/>
      <c r="H1380" s="405"/>
      <c r="I1380" s="405"/>
      <c r="J1380" s="405"/>
      <c r="K1380" s="405"/>
      <c r="L1380" s="405"/>
      <c r="M1380" s="405"/>
      <c r="N1380" s="405"/>
      <c r="O1380" s="405"/>
      <c r="P1380" s="405"/>
      <c r="Q1380" s="405"/>
      <c r="R1380" s="405"/>
      <c r="S1380" s="405"/>
      <c r="T1380" s="405"/>
      <c r="U1380" s="405"/>
      <c r="V1380" s="405"/>
      <c r="W1380" s="405"/>
      <c r="X1380" s="405"/>
      <c r="Y1380" s="405"/>
      <c r="Z1380" s="405"/>
    </row>
    <row r="1381" ht="14.25" customHeight="1">
      <c r="A1381" s="405"/>
      <c r="B1381" s="405"/>
      <c r="C1381" s="405"/>
      <c r="D1381" s="405"/>
      <c r="E1381" s="405"/>
      <c r="F1381" s="583"/>
      <c r="G1381" s="583"/>
      <c r="H1381" s="405"/>
      <c r="I1381" s="405"/>
      <c r="J1381" s="405"/>
      <c r="K1381" s="405"/>
      <c r="L1381" s="405"/>
      <c r="M1381" s="405"/>
      <c r="N1381" s="405"/>
      <c r="O1381" s="405"/>
      <c r="P1381" s="405"/>
      <c r="Q1381" s="405"/>
      <c r="R1381" s="405"/>
      <c r="S1381" s="405"/>
      <c r="T1381" s="405"/>
      <c r="U1381" s="405"/>
      <c r="V1381" s="405"/>
      <c r="W1381" s="405"/>
      <c r="X1381" s="405"/>
      <c r="Y1381" s="405"/>
      <c r="Z1381" s="405"/>
    </row>
    <row r="1382" ht="14.25" customHeight="1">
      <c r="A1382" s="405"/>
      <c r="B1382" s="405"/>
      <c r="C1382" s="405"/>
      <c r="D1382" s="405"/>
      <c r="E1382" s="405"/>
      <c r="F1382" s="583"/>
      <c r="G1382" s="583"/>
      <c r="H1382" s="405"/>
      <c r="I1382" s="405"/>
      <c r="J1382" s="405"/>
      <c r="K1382" s="405"/>
      <c r="L1382" s="405"/>
      <c r="M1382" s="405"/>
      <c r="N1382" s="405"/>
      <c r="O1382" s="405"/>
      <c r="P1382" s="405"/>
      <c r="Q1382" s="405"/>
      <c r="R1382" s="405"/>
      <c r="S1382" s="405"/>
      <c r="T1382" s="405"/>
      <c r="U1382" s="405"/>
      <c r="V1382" s="405"/>
      <c r="W1382" s="405"/>
      <c r="X1382" s="405"/>
      <c r="Y1382" s="405"/>
      <c r="Z1382" s="405"/>
    </row>
    <row r="1383" ht="14.25" customHeight="1">
      <c r="A1383" s="405"/>
      <c r="B1383" s="405"/>
      <c r="C1383" s="405"/>
      <c r="D1383" s="405"/>
      <c r="E1383" s="405"/>
      <c r="F1383" s="583"/>
      <c r="G1383" s="583"/>
      <c r="H1383" s="405"/>
      <c r="I1383" s="405"/>
      <c r="J1383" s="405"/>
      <c r="K1383" s="405"/>
      <c r="L1383" s="405"/>
      <c r="M1383" s="405"/>
      <c r="N1383" s="405"/>
      <c r="O1383" s="405"/>
      <c r="P1383" s="405"/>
      <c r="Q1383" s="405"/>
      <c r="R1383" s="405"/>
      <c r="S1383" s="405"/>
      <c r="T1383" s="405"/>
      <c r="U1383" s="405"/>
      <c r="V1383" s="405"/>
      <c r="W1383" s="405"/>
      <c r="X1383" s="405"/>
      <c r="Y1383" s="405"/>
      <c r="Z1383" s="405"/>
    </row>
    <row r="1384" ht="14.25" customHeight="1">
      <c r="A1384" s="405"/>
      <c r="B1384" s="405"/>
      <c r="C1384" s="405"/>
      <c r="D1384" s="405"/>
      <c r="E1384" s="405"/>
      <c r="F1384" s="583"/>
      <c r="G1384" s="583"/>
      <c r="H1384" s="405"/>
      <c r="I1384" s="405"/>
      <c r="J1384" s="405"/>
      <c r="K1384" s="405"/>
      <c r="L1384" s="405"/>
      <c r="M1384" s="405"/>
      <c r="N1384" s="405"/>
      <c r="O1384" s="405"/>
      <c r="P1384" s="405"/>
      <c r="Q1384" s="405"/>
      <c r="R1384" s="405"/>
      <c r="S1384" s="405"/>
      <c r="T1384" s="405"/>
      <c r="U1384" s="405"/>
      <c r="V1384" s="405"/>
      <c r="W1384" s="405"/>
      <c r="X1384" s="405"/>
      <c r="Y1384" s="405"/>
      <c r="Z1384" s="405"/>
    </row>
    <row r="1385" ht="14.25" customHeight="1">
      <c r="A1385" s="405"/>
      <c r="B1385" s="405"/>
      <c r="C1385" s="405"/>
      <c r="D1385" s="405"/>
      <c r="E1385" s="405"/>
      <c r="F1385" s="583"/>
      <c r="G1385" s="583"/>
      <c r="H1385" s="405"/>
      <c r="I1385" s="405"/>
      <c r="J1385" s="405"/>
      <c r="K1385" s="405"/>
      <c r="L1385" s="405"/>
      <c r="M1385" s="405"/>
      <c r="N1385" s="405"/>
      <c r="O1385" s="405"/>
      <c r="P1385" s="405"/>
      <c r="Q1385" s="405"/>
      <c r="R1385" s="405"/>
      <c r="S1385" s="405"/>
      <c r="T1385" s="405"/>
      <c r="U1385" s="405"/>
      <c r="V1385" s="405"/>
      <c r="W1385" s="405"/>
      <c r="X1385" s="405"/>
      <c r="Y1385" s="405"/>
      <c r="Z1385" s="405"/>
    </row>
    <row r="1386" ht="14.25" customHeight="1">
      <c r="A1386" s="405"/>
      <c r="B1386" s="405"/>
      <c r="C1386" s="405"/>
      <c r="D1386" s="405"/>
      <c r="E1386" s="405"/>
      <c r="F1386" s="583"/>
      <c r="G1386" s="583"/>
      <c r="H1386" s="405"/>
      <c r="I1386" s="405"/>
      <c r="J1386" s="405"/>
      <c r="K1386" s="405"/>
      <c r="L1386" s="405"/>
      <c r="M1386" s="405"/>
      <c r="N1386" s="405"/>
      <c r="O1386" s="405"/>
      <c r="P1386" s="405"/>
      <c r="Q1386" s="405"/>
      <c r="R1386" s="405"/>
      <c r="S1386" s="405"/>
      <c r="T1386" s="405"/>
      <c r="U1386" s="405"/>
      <c r="V1386" s="405"/>
      <c r="W1386" s="405"/>
      <c r="X1386" s="405"/>
      <c r="Y1386" s="405"/>
      <c r="Z1386" s="405"/>
    </row>
    <row r="1387" ht="14.25" customHeight="1">
      <c r="A1387" s="405"/>
      <c r="B1387" s="405"/>
      <c r="C1387" s="405"/>
      <c r="D1387" s="405"/>
      <c r="E1387" s="405"/>
      <c r="F1387" s="583"/>
      <c r="G1387" s="583"/>
      <c r="H1387" s="405"/>
      <c r="I1387" s="405"/>
      <c r="J1387" s="405"/>
      <c r="K1387" s="405"/>
      <c r="L1387" s="405"/>
      <c r="M1387" s="405"/>
      <c r="N1387" s="405"/>
      <c r="O1387" s="405"/>
      <c r="P1387" s="405"/>
      <c r="Q1387" s="405"/>
      <c r="R1387" s="405"/>
      <c r="S1387" s="405"/>
      <c r="T1387" s="405"/>
      <c r="U1387" s="405"/>
      <c r="V1387" s="405"/>
      <c r="W1387" s="405"/>
      <c r="X1387" s="405"/>
      <c r="Y1387" s="405"/>
      <c r="Z1387" s="405"/>
    </row>
    <row r="1388" ht="14.25" customHeight="1">
      <c r="A1388" s="405"/>
      <c r="B1388" s="405"/>
      <c r="C1388" s="405"/>
      <c r="D1388" s="405"/>
      <c r="E1388" s="405"/>
      <c r="F1388" s="583"/>
      <c r="G1388" s="583"/>
      <c r="H1388" s="405"/>
      <c r="I1388" s="405"/>
      <c r="J1388" s="405"/>
      <c r="K1388" s="405"/>
      <c r="L1388" s="405"/>
      <c r="M1388" s="405"/>
      <c r="N1388" s="405"/>
      <c r="O1388" s="405"/>
      <c r="P1388" s="405"/>
      <c r="Q1388" s="405"/>
      <c r="R1388" s="405"/>
      <c r="S1388" s="405"/>
      <c r="T1388" s="405"/>
      <c r="U1388" s="405"/>
      <c r="V1388" s="405"/>
      <c r="W1388" s="405"/>
      <c r="X1388" s="405"/>
      <c r="Y1388" s="405"/>
      <c r="Z1388" s="405"/>
    </row>
    <row r="1389" ht="14.25" customHeight="1">
      <c r="A1389" s="405"/>
      <c r="B1389" s="405"/>
      <c r="C1389" s="405"/>
      <c r="D1389" s="405"/>
      <c r="E1389" s="405"/>
      <c r="F1389" s="583"/>
      <c r="G1389" s="583"/>
      <c r="H1389" s="405"/>
      <c r="I1389" s="405"/>
      <c r="J1389" s="405"/>
      <c r="K1389" s="405"/>
      <c r="L1389" s="405"/>
      <c r="M1389" s="405"/>
      <c r="N1389" s="405"/>
      <c r="O1389" s="405"/>
      <c r="P1389" s="405"/>
      <c r="Q1389" s="405"/>
      <c r="R1389" s="405"/>
      <c r="S1389" s="405"/>
      <c r="T1389" s="405"/>
      <c r="U1389" s="405"/>
      <c r="V1389" s="405"/>
      <c r="W1389" s="405"/>
      <c r="X1389" s="405"/>
      <c r="Y1389" s="405"/>
      <c r="Z1389" s="405"/>
    </row>
    <row r="1390" ht="14.25" customHeight="1">
      <c r="A1390" s="405"/>
      <c r="B1390" s="405"/>
      <c r="C1390" s="405"/>
      <c r="D1390" s="405"/>
      <c r="E1390" s="405"/>
      <c r="F1390" s="583"/>
      <c r="G1390" s="583"/>
      <c r="H1390" s="405"/>
      <c r="I1390" s="405"/>
      <c r="J1390" s="405"/>
      <c r="K1390" s="405"/>
      <c r="L1390" s="405"/>
      <c r="M1390" s="405"/>
      <c r="N1390" s="405"/>
      <c r="O1390" s="405"/>
      <c r="P1390" s="405"/>
      <c r="Q1390" s="405"/>
      <c r="R1390" s="405"/>
      <c r="S1390" s="405"/>
      <c r="T1390" s="405"/>
      <c r="U1390" s="405"/>
      <c r="V1390" s="405"/>
      <c r="W1390" s="405"/>
      <c r="X1390" s="405"/>
      <c r="Y1390" s="405"/>
      <c r="Z1390" s="405"/>
    </row>
    <row r="1391" ht="14.25" customHeight="1">
      <c r="A1391" s="405"/>
      <c r="B1391" s="405"/>
      <c r="C1391" s="405"/>
      <c r="D1391" s="405"/>
      <c r="E1391" s="405"/>
      <c r="F1391" s="583"/>
      <c r="G1391" s="583"/>
      <c r="H1391" s="405"/>
      <c r="I1391" s="405"/>
      <c r="J1391" s="405"/>
      <c r="K1391" s="405"/>
      <c r="L1391" s="405"/>
      <c r="M1391" s="405"/>
      <c r="N1391" s="405"/>
      <c r="O1391" s="405"/>
      <c r="P1391" s="405"/>
      <c r="Q1391" s="405"/>
      <c r="R1391" s="405"/>
      <c r="S1391" s="405"/>
      <c r="T1391" s="405"/>
      <c r="U1391" s="405"/>
      <c r="V1391" s="405"/>
      <c r="W1391" s="405"/>
      <c r="X1391" s="405"/>
      <c r="Y1391" s="405"/>
      <c r="Z1391" s="405"/>
    </row>
    <row r="1392" ht="14.25" customHeight="1">
      <c r="A1392" s="405"/>
      <c r="B1392" s="405"/>
      <c r="C1392" s="405"/>
      <c r="D1392" s="405"/>
      <c r="E1392" s="405"/>
      <c r="F1392" s="583"/>
      <c r="G1392" s="583"/>
      <c r="H1392" s="405"/>
      <c r="I1392" s="405"/>
      <c r="J1392" s="405"/>
      <c r="K1392" s="405"/>
      <c r="L1392" s="405"/>
      <c r="M1392" s="405"/>
      <c r="N1392" s="405"/>
      <c r="O1392" s="405"/>
      <c r="P1392" s="405"/>
      <c r="Q1392" s="405"/>
      <c r="R1392" s="405"/>
      <c r="S1392" s="405"/>
      <c r="T1392" s="405"/>
      <c r="U1392" s="405"/>
      <c r="V1392" s="405"/>
      <c r="W1392" s="405"/>
      <c r="X1392" s="405"/>
      <c r="Y1392" s="405"/>
      <c r="Z1392" s="405"/>
    </row>
    <row r="1393" ht="14.25" customHeight="1">
      <c r="A1393" s="405"/>
      <c r="B1393" s="405"/>
      <c r="C1393" s="405"/>
      <c r="D1393" s="405"/>
      <c r="E1393" s="405"/>
      <c r="F1393" s="583"/>
      <c r="G1393" s="583"/>
      <c r="H1393" s="405"/>
      <c r="I1393" s="405"/>
      <c r="J1393" s="405"/>
      <c r="K1393" s="405"/>
      <c r="L1393" s="405"/>
      <c r="M1393" s="405"/>
      <c r="N1393" s="405"/>
      <c r="O1393" s="405"/>
      <c r="P1393" s="405"/>
      <c r="Q1393" s="405"/>
      <c r="R1393" s="405"/>
      <c r="S1393" s="405"/>
      <c r="T1393" s="405"/>
      <c r="U1393" s="405"/>
      <c r="V1393" s="405"/>
      <c r="W1393" s="405"/>
      <c r="X1393" s="405"/>
      <c r="Y1393" s="405"/>
      <c r="Z1393" s="405"/>
    </row>
    <row r="1394" ht="14.25" customHeight="1">
      <c r="A1394" s="405"/>
      <c r="B1394" s="405"/>
      <c r="C1394" s="405"/>
      <c r="D1394" s="405"/>
      <c r="E1394" s="405"/>
      <c r="F1394" s="583"/>
      <c r="G1394" s="583"/>
      <c r="H1394" s="405"/>
      <c r="I1394" s="405"/>
      <c r="J1394" s="405"/>
      <c r="K1394" s="405"/>
      <c r="L1394" s="405"/>
      <c r="M1394" s="405"/>
      <c r="N1394" s="405"/>
      <c r="O1394" s="405"/>
      <c r="P1394" s="405"/>
      <c r="Q1394" s="405"/>
      <c r="R1394" s="405"/>
      <c r="S1394" s="405"/>
      <c r="T1394" s="405"/>
      <c r="U1394" s="405"/>
      <c r="V1394" s="405"/>
      <c r="W1394" s="405"/>
      <c r="X1394" s="405"/>
      <c r="Y1394" s="405"/>
      <c r="Z1394" s="405"/>
    </row>
    <row r="1395" ht="14.25" customHeight="1">
      <c r="A1395" s="405"/>
      <c r="B1395" s="405"/>
      <c r="C1395" s="405"/>
      <c r="D1395" s="405"/>
      <c r="E1395" s="405"/>
      <c r="F1395" s="583"/>
      <c r="G1395" s="583"/>
      <c r="H1395" s="405"/>
      <c r="I1395" s="405"/>
      <c r="J1395" s="405"/>
      <c r="K1395" s="405"/>
      <c r="L1395" s="405"/>
      <c r="M1395" s="405"/>
      <c r="N1395" s="405"/>
      <c r="O1395" s="405"/>
      <c r="P1395" s="405"/>
      <c r="Q1395" s="405"/>
      <c r="R1395" s="405"/>
      <c r="S1395" s="405"/>
      <c r="T1395" s="405"/>
      <c r="U1395" s="405"/>
      <c r="V1395" s="405"/>
      <c r="W1395" s="405"/>
      <c r="X1395" s="405"/>
      <c r="Y1395" s="405"/>
      <c r="Z1395" s="405"/>
    </row>
    <row r="1396" ht="14.25" customHeight="1">
      <c r="A1396" s="405"/>
      <c r="B1396" s="405"/>
      <c r="C1396" s="405"/>
      <c r="D1396" s="405"/>
      <c r="E1396" s="405"/>
      <c r="F1396" s="583"/>
      <c r="G1396" s="583"/>
      <c r="H1396" s="405"/>
      <c r="I1396" s="405"/>
      <c r="J1396" s="405"/>
      <c r="K1396" s="405"/>
      <c r="L1396" s="405"/>
      <c r="M1396" s="405"/>
      <c r="N1396" s="405"/>
      <c r="O1396" s="405"/>
      <c r="P1396" s="405"/>
      <c r="Q1396" s="405"/>
      <c r="R1396" s="405"/>
      <c r="S1396" s="405"/>
      <c r="T1396" s="405"/>
      <c r="U1396" s="405"/>
      <c r="V1396" s="405"/>
      <c r="W1396" s="405"/>
      <c r="X1396" s="405"/>
      <c r="Y1396" s="405"/>
      <c r="Z1396" s="405"/>
    </row>
    <row r="1397" ht="14.25" customHeight="1">
      <c r="A1397" s="405"/>
      <c r="B1397" s="405"/>
      <c r="C1397" s="405"/>
      <c r="D1397" s="405"/>
      <c r="E1397" s="405"/>
      <c r="F1397" s="583"/>
      <c r="G1397" s="583"/>
      <c r="H1397" s="405"/>
      <c r="I1397" s="405"/>
      <c r="J1397" s="405"/>
      <c r="K1397" s="405"/>
      <c r="L1397" s="405"/>
      <c r="M1397" s="405"/>
      <c r="N1397" s="405"/>
      <c r="O1397" s="405"/>
      <c r="P1397" s="405"/>
      <c r="Q1397" s="405"/>
      <c r="R1397" s="405"/>
      <c r="S1397" s="405"/>
      <c r="T1397" s="405"/>
      <c r="U1397" s="405"/>
      <c r="V1397" s="405"/>
      <c r="W1397" s="405"/>
      <c r="X1397" s="405"/>
      <c r="Y1397" s="405"/>
      <c r="Z1397" s="405"/>
    </row>
    <row r="1398" ht="14.25" customHeight="1">
      <c r="A1398" s="405"/>
      <c r="B1398" s="405"/>
      <c r="C1398" s="405"/>
      <c r="D1398" s="405"/>
      <c r="E1398" s="405"/>
      <c r="F1398" s="583"/>
      <c r="G1398" s="583"/>
      <c r="H1398" s="405"/>
      <c r="I1398" s="405"/>
      <c r="J1398" s="405"/>
      <c r="K1398" s="405"/>
      <c r="L1398" s="405"/>
      <c r="M1398" s="405"/>
      <c r="N1398" s="405"/>
      <c r="O1398" s="405"/>
      <c r="P1398" s="405"/>
      <c r="Q1398" s="405"/>
      <c r="R1398" s="405"/>
      <c r="S1398" s="405"/>
      <c r="T1398" s="405"/>
      <c r="U1398" s="405"/>
      <c r="V1398" s="405"/>
      <c r="W1398" s="405"/>
      <c r="X1398" s="405"/>
      <c r="Y1398" s="405"/>
      <c r="Z1398" s="405"/>
    </row>
    <row r="1399" ht="14.25" customHeight="1">
      <c r="A1399" s="405"/>
      <c r="B1399" s="405"/>
      <c r="C1399" s="405"/>
      <c r="D1399" s="405"/>
      <c r="E1399" s="405"/>
      <c r="F1399" s="583"/>
      <c r="G1399" s="583"/>
      <c r="H1399" s="405"/>
      <c r="I1399" s="405"/>
      <c r="J1399" s="405"/>
      <c r="K1399" s="405"/>
      <c r="L1399" s="405"/>
      <c r="M1399" s="405"/>
      <c r="N1399" s="405"/>
      <c r="O1399" s="405"/>
      <c r="P1399" s="405"/>
      <c r="Q1399" s="405"/>
      <c r="R1399" s="405"/>
      <c r="S1399" s="405"/>
      <c r="T1399" s="405"/>
      <c r="U1399" s="405"/>
      <c r="V1399" s="405"/>
      <c r="W1399" s="405"/>
      <c r="X1399" s="405"/>
      <c r="Y1399" s="405"/>
      <c r="Z1399" s="405"/>
    </row>
    <row r="1400" ht="14.25" customHeight="1">
      <c r="A1400" s="405"/>
      <c r="B1400" s="405"/>
      <c r="C1400" s="405"/>
      <c r="D1400" s="405"/>
      <c r="E1400" s="405"/>
      <c r="F1400" s="583"/>
      <c r="G1400" s="583"/>
      <c r="H1400" s="405"/>
      <c r="I1400" s="405"/>
      <c r="J1400" s="405"/>
      <c r="K1400" s="405"/>
      <c r="L1400" s="405"/>
      <c r="M1400" s="405"/>
      <c r="N1400" s="405"/>
      <c r="O1400" s="405"/>
      <c r="P1400" s="405"/>
      <c r="Q1400" s="405"/>
      <c r="R1400" s="405"/>
      <c r="S1400" s="405"/>
      <c r="T1400" s="405"/>
      <c r="U1400" s="405"/>
      <c r="V1400" s="405"/>
      <c r="W1400" s="405"/>
      <c r="X1400" s="405"/>
      <c r="Y1400" s="405"/>
      <c r="Z1400" s="405"/>
    </row>
    <row r="1401" ht="14.25" customHeight="1">
      <c r="A1401" s="405"/>
      <c r="B1401" s="405"/>
      <c r="C1401" s="405"/>
      <c r="D1401" s="405"/>
      <c r="E1401" s="405"/>
      <c r="F1401" s="583"/>
      <c r="G1401" s="583"/>
      <c r="H1401" s="405"/>
      <c r="I1401" s="405"/>
      <c r="J1401" s="405"/>
      <c r="K1401" s="405"/>
      <c r="L1401" s="405"/>
      <c r="M1401" s="405"/>
      <c r="N1401" s="405"/>
      <c r="O1401" s="405"/>
      <c r="P1401" s="405"/>
      <c r="Q1401" s="405"/>
      <c r="R1401" s="405"/>
      <c r="S1401" s="405"/>
      <c r="T1401" s="405"/>
      <c r="U1401" s="405"/>
      <c r="V1401" s="405"/>
      <c r="W1401" s="405"/>
      <c r="X1401" s="405"/>
      <c r="Y1401" s="405"/>
      <c r="Z1401" s="405"/>
    </row>
    <row r="1402" ht="14.25" customHeight="1">
      <c r="A1402" s="405"/>
      <c r="B1402" s="405"/>
      <c r="C1402" s="405"/>
      <c r="D1402" s="405"/>
      <c r="E1402" s="405"/>
      <c r="F1402" s="583"/>
      <c r="G1402" s="583"/>
      <c r="H1402" s="405"/>
      <c r="I1402" s="405"/>
      <c r="J1402" s="405"/>
      <c r="K1402" s="405"/>
      <c r="L1402" s="405"/>
      <c r="M1402" s="405"/>
      <c r="N1402" s="405"/>
      <c r="O1402" s="405"/>
      <c r="P1402" s="405"/>
      <c r="Q1402" s="405"/>
      <c r="R1402" s="405"/>
      <c r="S1402" s="405"/>
      <c r="T1402" s="405"/>
      <c r="U1402" s="405"/>
      <c r="V1402" s="405"/>
      <c r="W1402" s="405"/>
      <c r="X1402" s="405"/>
      <c r="Y1402" s="405"/>
      <c r="Z1402" s="405"/>
    </row>
    <row r="1403" ht="14.25" customHeight="1">
      <c r="A1403" s="405"/>
      <c r="B1403" s="405"/>
      <c r="C1403" s="405"/>
      <c r="D1403" s="405"/>
      <c r="E1403" s="405"/>
      <c r="F1403" s="583"/>
      <c r="G1403" s="583"/>
      <c r="H1403" s="405"/>
      <c r="I1403" s="405"/>
      <c r="J1403" s="405"/>
      <c r="K1403" s="405"/>
      <c r="L1403" s="405"/>
      <c r="M1403" s="405"/>
      <c r="N1403" s="405"/>
      <c r="O1403" s="405"/>
      <c r="P1403" s="405"/>
      <c r="Q1403" s="405"/>
      <c r="R1403" s="405"/>
      <c r="S1403" s="405"/>
      <c r="T1403" s="405"/>
      <c r="U1403" s="405"/>
      <c r="V1403" s="405"/>
      <c r="W1403" s="405"/>
      <c r="X1403" s="405"/>
      <c r="Y1403" s="405"/>
      <c r="Z1403" s="405"/>
    </row>
    <row r="1404" ht="14.25" customHeight="1">
      <c r="A1404" s="405"/>
      <c r="B1404" s="405"/>
      <c r="C1404" s="405"/>
      <c r="D1404" s="405"/>
      <c r="E1404" s="405"/>
      <c r="F1404" s="583"/>
      <c r="G1404" s="583"/>
      <c r="H1404" s="405"/>
      <c r="I1404" s="405"/>
      <c r="J1404" s="405"/>
      <c r="K1404" s="405"/>
      <c r="L1404" s="405"/>
      <c r="M1404" s="405"/>
      <c r="N1404" s="405"/>
      <c r="O1404" s="405"/>
      <c r="P1404" s="405"/>
      <c r="Q1404" s="405"/>
      <c r="R1404" s="405"/>
      <c r="S1404" s="405"/>
      <c r="T1404" s="405"/>
      <c r="U1404" s="405"/>
      <c r="V1404" s="405"/>
      <c r="W1404" s="405"/>
      <c r="X1404" s="405"/>
      <c r="Y1404" s="405"/>
      <c r="Z1404" s="405"/>
    </row>
    <row r="1405" ht="14.25" customHeight="1">
      <c r="A1405" s="405"/>
      <c r="B1405" s="405"/>
      <c r="C1405" s="405"/>
      <c r="D1405" s="405"/>
      <c r="E1405" s="405"/>
      <c r="F1405" s="583"/>
      <c r="G1405" s="583"/>
      <c r="H1405" s="405"/>
      <c r="I1405" s="405"/>
      <c r="J1405" s="405"/>
      <c r="K1405" s="405"/>
      <c r="L1405" s="405"/>
      <c r="M1405" s="405"/>
      <c r="N1405" s="405"/>
      <c r="O1405" s="405"/>
      <c r="P1405" s="405"/>
      <c r="Q1405" s="405"/>
      <c r="R1405" s="405"/>
      <c r="S1405" s="405"/>
      <c r="T1405" s="405"/>
      <c r="U1405" s="405"/>
      <c r="V1405" s="405"/>
      <c r="W1405" s="405"/>
      <c r="X1405" s="405"/>
      <c r="Y1405" s="405"/>
      <c r="Z1405" s="405"/>
    </row>
    <row r="1406" ht="14.25" customHeight="1">
      <c r="A1406" s="405"/>
      <c r="B1406" s="405"/>
      <c r="C1406" s="405"/>
      <c r="D1406" s="405"/>
      <c r="E1406" s="405"/>
      <c r="F1406" s="583"/>
      <c r="G1406" s="583"/>
      <c r="H1406" s="405"/>
      <c r="I1406" s="405"/>
      <c r="J1406" s="405"/>
      <c r="K1406" s="405"/>
      <c r="L1406" s="405"/>
      <c r="M1406" s="405"/>
      <c r="N1406" s="405"/>
      <c r="O1406" s="405"/>
      <c r="P1406" s="405"/>
      <c r="Q1406" s="405"/>
      <c r="R1406" s="405"/>
      <c r="S1406" s="405"/>
      <c r="T1406" s="405"/>
      <c r="U1406" s="405"/>
      <c r="V1406" s="405"/>
      <c r="W1406" s="405"/>
      <c r="X1406" s="405"/>
      <c r="Y1406" s="405"/>
      <c r="Z1406" s="405"/>
    </row>
    <row r="1407" ht="14.25" customHeight="1">
      <c r="A1407" s="405"/>
      <c r="B1407" s="405"/>
      <c r="C1407" s="405"/>
      <c r="D1407" s="405"/>
      <c r="E1407" s="405"/>
      <c r="F1407" s="583"/>
      <c r="G1407" s="583"/>
      <c r="H1407" s="405"/>
      <c r="I1407" s="405"/>
      <c r="J1407" s="405"/>
      <c r="K1407" s="405"/>
      <c r="L1407" s="405"/>
      <c r="M1407" s="405"/>
      <c r="N1407" s="405"/>
      <c r="O1407" s="405"/>
      <c r="P1407" s="405"/>
      <c r="Q1407" s="405"/>
      <c r="R1407" s="405"/>
      <c r="S1407" s="405"/>
      <c r="T1407" s="405"/>
      <c r="U1407" s="405"/>
      <c r="V1407" s="405"/>
      <c r="W1407" s="405"/>
      <c r="X1407" s="405"/>
      <c r="Y1407" s="405"/>
      <c r="Z1407" s="405"/>
    </row>
    <row r="1408" ht="14.25" customHeight="1">
      <c r="A1408" s="405"/>
      <c r="B1408" s="405"/>
      <c r="C1408" s="405"/>
      <c r="D1408" s="405"/>
      <c r="E1408" s="405"/>
      <c r="F1408" s="583"/>
      <c r="G1408" s="583"/>
      <c r="H1408" s="405"/>
      <c r="I1408" s="405"/>
      <c r="J1408" s="405"/>
      <c r="K1408" s="405"/>
      <c r="L1408" s="405"/>
      <c r="M1408" s="405"/>
      <c r="N1408" s="405"/>
      <c r="O1408" s="405"/>
      <c r="P1408" s="405"/>
      <c r="Q1408" s="405"/>
      <c r="R1408" s="405"/>
      <c r="S1408" s="405"/>
      <c r="T1408" s="405"/>
      <c r="U1408" s="405"/>
      <c r="V1408" s="405"/>
      <c r="W1408" s="405"/>
      <c r="X1408" s="405"/>
      <c r="Y1408" s="405"/>
      <c r="Z1408" s="405"/>
    </row>
    <row r="1409" ht="14.25" customHeight="1">
      <c r="A1409" s="405"/>
      <c r="B1409" s="405"/>
      <c r="C1409" s="405"/>
      <c r="D1409" s="405"/>
      <c r="E1409" s="405"/>
      <c r="F1409" s="583"/>
      <c r="G1409" s="583"/>
      <c r="H1409" s="405"/>
      <c r="I1409" s="405"/>
      <c r="J1409" s="405"/>
      <c r="K1409" s="405"/>
      <c r="L1409" s="405"/>
      <c r="M1409" s="405"/>
      <c r="N1409" s="405"/>
      <c r="O1409" s="405"/>
      <c r="P1409" s="405"/>
      <c r="Q1409" s="405"/>
      <c r="R1409" s="405"/>
      <c r="S1409" s="405"/>
      <c r="T1409" s="405"/>
      <c r="U1409" s="405"/>
      <c r="V1409" s="405"/>
      <c r="W1409" s="405"/>
      <c r="X1409" s="405"/>
      <c r="Y1409" s="405"/>
      <c r="Z1409" s="405"/>
    </row>
    <row r="1410" ht="14.25" customHeight="1">
      <c r="A1410" s="405"/>
      <c r="B1410" s="405"/>
      <c r="C1410" s="405"/>
      <c r="D1410" s="405"/>
      <c r="E1410" s="405"/>
      <c r="F1410" s="583"/>
      <c r="G1410" s="583"/>
      <c r="H1410" s="405"/>
      <c r="I1410" s="405"/>
      <c r="J1410" s="405"/>
      <c r="K1410" s="405"/>
      <c r="L1410" s="405"/>
      <c r="M1410" s="405"/>
      <c r="N1410" s="405"/>
      <c r="O1410" s="405"/>
      <c r="P1410" s="405"/>
      <c r="Q1410" s="405"/>
      <c r="R1410" s="405"/>
      <c r="S1410" s="405"/>
      <c r="T1410" s="405"/>
      <c r="U1410" s="405"/>
      <c r="V1410" s="405"/>
      <c r="W1410" s="405"/>
      <c r="X1410" s="405"/>
      <c r="Y1410" s="405"/>
      <c r="Z1410" s="405"/>
    </row>
    <row r="1411" ht="14.25" customHeight="1">
      <c r="A1411" s="405"/>
      <c r="B1411" s="405"/>
      <c r="C1411" s="405"/>
      <c r="D1411" s="405"/>
      <c r="E1411" s="405"/>
      <c r="F1411" s="583"/>
      <c r="G1411" s="583"/>
      <c r="H1411" s="405"/>
      <c r="I1411" s="405"/>
      <c r="J1411" s="405"/>
      <c r="K1411" s="405"/>
      <c r="L1411" s="405"/>
      <c r="M1411" s="405"/>
      <c r="N1411" s="405"/>
      <c r="O1411" s="405"/>
      <c r="P1411" s="405"/>
      <c r="Q1411" s="405"/>
      <c r="R1411" s="405"/>
      <c r="S1411" s="405"/>
      <c r="T1411" s="405"/>
      <c r="U1411" s="405"/>
      <c r="V1411" s="405"/>
      <c r="W1411" s="405"/>
      <c r="X1411" s="405"/>
      <c r="Y1411" s="405"/>
      <c r="Z1411" s="405"/>
    </row>
    <row r="1412" ht="14.25" customHeight="1">
      <c r="A1412" s="405"/>
      <c r="B1412" s="405"/>
      <c r="C1412" s="405"/>
      <c r="D1412" s="405"/>
      <c r="E1412" s="405"/>
      <c r="F1412" s="583"/>
      <c r="G1412" s="583"/>
      <c r="H1412" s="405"/>
      <c r="I1412" s="405"/>
      <c r="J1412" s="405"/>
      <c r="K1412" s="405"/>
      <c r="L1412" s="405"/>
      <c r="M1412" s="405"/>
      <c r="N1412" s="405"/>
      <c r="O1412" s="405"/>
      <c r="P1412" s="405"/>
      <c r="Q1412" s="405"/>
      <c r="R1412" s="405"/>
      <c r="S1412" s="405"/>
      <c r="T1412" s="405"/>
      <c r="U1412" s="405"/>
      <c r="V1412" s="405"/>
      <c r="W1412" s="405"/>
      <c r="X1412" s="405"/>
      <c r="Y1412" s="405"/>
      <c r="Z1412" s="405"/>
    </row>
    <row r="1413" ht="14.25" customHeight="1">
      <c r="A1413" s="405"/>
      <c r="B1413" s="405"/>
      <c r="C1413" s="405"/>
      <c r="D1413" s="405"/>
      <c r="E1413" s="405"/>
      <c r="F1413" s="583"/>
      <c r="G1413" s="583"/>
      <c r="H1413" s="405"/>
      <c r="I1413" s="405"/>
      <c r="J1413" s="405"/>
      <c r="K1413" s="405"/>
      <c r="L1413" s="405"/>
      <c r="M1413" s="405"/>
      <c r="N1413" s="405"/>
      <c r="O1413" s="405"/>
      <c r="P1413" s="405"/>
      <c r="Q1413" s="405"/>
      <c r="R1413" s="405"/>
      <c r="S1413" s="405"/>
      <c r="T1413" s="405"/>
      <c r="U1413" s="405"/>
      <c r="V1413" s="405"/>
      <c r="W1413" s="405"/>
      <c r="X1413" s="405"/>
      <c r="Y1413" s="405"/>
      <c r="Z1413" s="405"/>
    </row>
    <row r="1414" ht="14.25" customHeight="1">
      <c r="A1414" s="405"/>
      <c r="B1414" s="405"/>
      <c r="C1414" s="405"/>
      <c r="D1414" s="405"/>
      <c r="E1414" s="405"/>
      <c r="F1414" s="583"/>
      <c r="G1414" s="583"/>
      <c r="H1414" s="405"/>
      <c r="I1414" s="405"/>
      <c r="J1414" s="405"/>
      <c r="K1414" s="405"/>
      <c r="L1414" s="405"/>
      <c r="M1414" s="405"/>
      <c r="N1414" s="405"/>
      <c r="O1414" s="405"/>
      <c r="P1414" s="405"/>
      <c r="Q1414" s="405"/>
      <c r="R1414" s="405"/>
      <c r="S1414" s="405"/>
      <c r="T1414" s="405"/>
      <c r="U1414" s="405"/>
      <c r="V1414" s="405"/>
      <c r="W1414" s="405"/>
      <c r="X1414" s="405"/>
      <c r="Y1414" s="405"/>
      <c r="Z1414" s="405"/>
    </row>
    <row r="1415" ht="14.25" customHeight="1">
      <c r="A1415" s="405"/>
      <c r="B1415" s="405"/>
      <c r="C1415" s="405"/>
      <c r="D1415" s="405"/>
      <c r="E1415" s="405"/>
      <c r="F1415" s="583"/>
      <c r="G1415" s="583"/>
      <c r="H1415" s="405"/>
      <c r="I1415" s="405"/>
      <c r="J1415" s="405"/>
      <c r="K1415" s="405"/>
      <c r="L1415" s="405"/>
      <c r="M1415" s="405"/>
      <c r="N1415" s="405"/>
      <c r="O1415" s="405"/>
      <c r="P1415" s="405"/>
      <c r="Q1415" s="405"/>
      <c r="R1415" s="405"/>
      <c r="S1415" s="405"/>
      <c r="T1415" s="405"/>
      <c r="U1415" s="405"/>
      <c r="V1415" s="405"/>
      <c r="W1415" s="405"/>
      <c r="X1415" s="405"/>
      <c r="Y1415" s="405"/>
      <c r="Z1415" s="405"/>
    </row>
    <row r="1416" ht="14.25" customHeight="1">
      <c r="A1416" s="405"/>
      <c r="B1416" s="405"/>
      <c r="C1416" s="405"/>
      <c r="D1416" s="405"/>
      <c r="E1416" s="405"/>
      <c r="F1416" s="583"/>
      <c r="G1416" s="583"/>
      <c r="H1416" s="405"/>
      <c r="I1416" s="405"/>
      <c r="J1416" s="405"/>
      <c r="K1416" s="405"/>
      <c r="L1416" s="405"/>
      <c r="M1416" s="405"/>
      <c r="N1416" s="405"/>
      <c r="O1416" s="405"/>
      <c r="P1416" s="405"/>
      <c r="Q1416" s="405"/>
      <c r="R1416" s="405"/>
      <c r="S1416" s="405"/>
      <c r="T1416" s="405"/>
      <c r="U1416" s="405"/>
      <c r="V1416" s="405"/>
      <c r="W1416" s="405"/>
      <c r="X1416" s="405"/>
      <c r="Y1416" s="405"/>
      <c r="Z1416" s="405"/>
    </row>
    <row r="1417" ht="14.25" customHeight="1">
      <c r="A1417" s="405"/>
      <c r="B1417" s="405"/>
      <c r="C1417" s="405"/>
      <c r="D1417" s="405"/>
      <c r="E1417" s="405"/>
      <c r="F1417" s="583"/>
      <c r="G1417" s="583"/>
      <c r="H1417" s="405"/>
      <c r="I1417" s="405"/>
      <c r="J1417" s="405"/>
      <c r="K1417" s="405"/>
      <c r="L1417" s="405"/>
      <c r="M1417" s="405"/>
      <c r="N1417" s="405"/>
      <c r="O1417" s="405"/>
      <c r="P1417" s="405"/>
      <c r="Q1417" s="405"/>
      <c r="R1417" s="405"/>
      <c r="S1417" s="405"/>
      <c r="T1417" s="405"/>
      <c r="U1417" s="405"/>
      <c r="V1417" s="405"/>
      <c r="W1417" s="405"/>
      <c r="X1417" s="405"/>
      <c r="Y1417" s="405"/>
      <c r="Z1417" s="405"/>
    </row>
    <row r="1418" ht="14.25" customHeight="1">
      <c r="A1418" s="405"/>
      <c r="B1418" s="405"/>
      <c r="C1418" s="405"/>
      <c r="D1418" s="405"/>
      <c r="E1418" s="405"/>
      <c r="F1418" s="583"/>
      <c r="G1418" s="583"/>
      <c r="H1418" s="405"/>
      <c r="I1418" s="405"/>
      <c r="J1418" s="405"/>
      <c r="K1418" s="405"/>
      <c r="L1418" s="405"/>
      <c r="M1418" s="405"/>
      <c r="N1418" s="405"/>
      <c r="O1418" s="405"/>
      <c r="P1418" s="405"/>
      <c r="Q1418" s="405"/>
      <c r="R1418" s="405"/>
      <c r="S1418" s="405"/>
      <c r="T1418" s="405"/>
      <c r="U1418" s="405"/>
      <c r="V1418" s="405"/>
      <c r="W1418" s="405"/>
      <c r="X1418" s="405"/>
      <c r="Y1418" s="405"/>
      <c r="Z1418" s="405"/>
    </row>
    <row r="1419" ht="14.25" customHeight="1">
      <c r="A1419" s="405"/>
      <c r="B1419" s="405"/>
      <c r="C1419" s="405"/>
      <c r="D1419" s="405"/>
      <c r="E1419" s="405"/>
      <c r="F1419" s="583"/>
      <c r="G1419" s="583"/>
      <c r="H1419" s="405"/>
      <c r="I1419" s="405"/>
      <c r="J1419" s="405"/>
      <c r="K1419" s="405"/>
      <c r="L1419" s="405"/>
      <c r="M1419" s="405"/>
      <c r="N1419" s="405"/>
      <c r="O1419" s="405"/>
      <c r="P1419" s="405"/>
      <c r="Q1419" s="405"/>
      <c r="R1419" s="405"/>
      <c r="S1419" s="405"/>
      <c r="T1419" s="405"/>
      <c r="U1419" s="405"/>
      <c r="V1419" s="405"/>
      <c r="W1419" s="405"/>
      <c r="X1419" s="405"/>
      <c r="Y1419" s="405"/>
      <c r="Z1419" s="405"/>
    </row>
    <row r="1420" ht="14.25" customHeight="1">
      <c r="A1420" s="405"/>
      <c r="B1420" s="405"/>
      <c r="C1420" s="405"/>
      <c r="D1420" s="405"/>
      <c r="E1420" s="405"/>
      <c r="F1420" s="583"/>
      <c r="G1420" s="583"/>
      <c r="H1420" s="405"/>
      <c r="I1420" s="405"/>
      <c r="J1420" s="405"/>
      <c r="K1420" s="405"/>
      <c r="L1420" s="405"/>
      <c r="M1420" s="405"/>
      <c r="N1420" s="405"/>
      <c r="O1420" s="405"/>
      <c r="P1420" s="405"/>
      <c r="Q1420" s="405"/>
      <c r="R1420" s="405"/>
      <c r="S1420" s="405"/>
      <c r="T1420" s="405"/>
      <c r="U1420" s="405"/>
      <c r="V1420" s="405"/>
      <c r="W1420" s="405"/>
      <c r="X1420" s="405"/>
      <c r="Y1420" s="405"/>
      <c r="Z1420" s="405"/>
    </row>
    <row r="1421" ht="14.25" customHeight="1">
      <c r="A1421" s="405"/>
      <c r="B1421" s="405"/>
      <c r="C1421" s="405"/>
      <c r="D1421" s="405"/>
      <c r="E1421" s="405"/>
      <c r="F1421" s="583"/>
      <c r="G1421" s="583"/>
      <c r="H1421" s="405"/>
      <c r="I1421" s="405"/>
      <c r="J1421" s="405"/>
      <c r="K1421" s="405"/>
      <c r="L1421" s="405"/>
      <c r="M1421" s="405"/>
      <c r="N1421" s="405"/>
      <c r="O1421" s="405"/>
      <c r="P1421" s="405"/>
      <c r="Q1421" s="405"/>
      <c r="R1421" s="405"/>
      <c r="S1421" s="405"/>
      <c r="T1421" s="405"/>
      <c r="U1421" s="405"/>
      <c r="V1421" s="405"/>
      <c r="W1421" s="405"/>
      <c r="X1421" s="405"/>
      <c r="Y1421" s="405"/>
      <c r="Z1421" s="405"/>
    </row>
    <row r="1422" ht="14.25" customHeight="1">
      <c r="A1422" s="405"/>
      <c r="B1422" s="405"/>
      <c r="C1422" s="405"/>
      <c r="D1422" s="405"/>
      <c r="E1422" s="405"/>
      <c r="F1422" s="583"/>
      <c r="G1422" s="583"/>
      <c r="H1422" s="405"/>
      <c r="I1422" s="405"/>
      <c r="J1422" s="405"/>
      <c r="K1422" s="405"/>
      <c r="L1422" s="405"/>
      <c r="M1422" s="405"/>
      <c r="N1422" s="405"/>
      <c r="O1422" s="405"/>
      <c r="P1422" s="405"/>
      <c r="Q1422" s="405"/>
      <c r="R1422" s="405"/>
      <c r="S1422" s="405"/>
      <c r="T1422" s="405"/>
      <c r="U1422" s="405"/>
      <c r="V1422" s="405"/>
      <c r="W1422" s="405"/>
      <c r="X1422" s="405"/>
      <c r="Y1422" s="405"/>
      <c r="Z1422" s="405"/>
    </row>
    <row r="1423" ht="14.25" customHeight="1">
      <c r="A1423" s="405"/>
      <c r="B1423" s="405"/>
      <c r="C1423" s="405"/>
      <c r="D1423" s="405"/>
      <c r="E1423" s="405"/>
      <c r="F1423" s="583"/>
      <c r="G1423" s="583"/>
      <c r="H1423" s="405"/>
      <c r="I1423" s="405"/>
      <c r="J1423" s="405"/>
      <c r="K1423" s="405"/>
      <c r="L1423" s="405"/>
      <c r="M1423" s="405"/>
      <c r="N1423" s="405"/>
      <c r="O1423" s="405"/>
      <c r="P1423" s="405"/>
      <c r="Q1423" s="405"/>
      <c r="R1423" s="405"/>
      <c r="S1423" s="405"/>
      <c r="T1423" s="405"/>
      <c r="U1423" s="405"/>
      <c r="V1423" s="405"/>
      <c r="W1423" s="405"/>
      <c r="X1423" s="405"/>
      <c r="Y1423" s="405"/>
      <c r="Z1423" s="405"/>
    </row>
    <row r="1424" ht="14.25" customHeight="1">
      <c r="A1424" s="405"/>
      <c r="B1424" s="405"/>
      <c r="C1424" s="405"/>
      <c r="D1424" s="405"/>
      <c r="E1424" s="405"/>
      <c r="F1424" s="583"/>
      <c r="G1424" s="583"/>
      <c r="H1424" s="405"/>
      <c r="I1424" s="405"/>
      <c r="J1424" s="405"/>
      <c r="K1424" s="405"/>
      <c r="L1424" s="405"/>
      <c r="M1424" s="405"/>
      <c r="N1424" s="405"/>
      <c r="O1424" s="405"/>
      <c r="P1424" s="405"/>
      <c r="Q1424" s="405"/>
      <c r="R1424" s="405"/>
      <c r="S1424" s="405"/>
      <c r="T1424" s="405"/>
      <c r="U1424" s="405"/>
      <c r="V1424" s="405"/>
      <c r="W1424" s="405"/>
      <c r="X1424" s="405"/>
      <c r="Y1424" s="405"/>
      <c r="Z1424" s="405"/>
    </row>
    <row r="1425" ht="14.25" customHeight="1">
      <c r="A1425" s="405"/>
      <c r="B1425" s="405"/>
      <c r="C1425" s="405"/>
      <c r="D1425" s="405"/>
      <c r="E1425" s="405"/>
      <c r="F1425" s="583"/>
      <c r="G1425" s="583"/>
      <c r="H1425" s="405"/>
      <c r="I1425" s="405"/>
      <c r="J1425" s="405"/>
      <c r="K1425" s="405"/>
      <c r="L1425" s="405"/>
      <c r="M1425" s="405"/>
      <c r="N1425" s="405"/>
      <c r="O1425" s="405"/>
      <c r="P1425" s="405"/>
      <c r="Q1425" s="405"/>
      <c r="R1425" s="405"/>
      <c r="S1425" s="405"/>
      <c r="T1425" s="405"/>
      <c r="U1425" s="405"/>
      <c r="V1425" s="405"/>
      <c r="W1425" s="405"/>
      <c r="X1425" s="405"/>
      <c r="Y1425" s="405"/>
      <c r="Z1425" s="405"/>
    </row>
    <row r="1426" ht="14.25" customHeight="1">
      <c r="A1426" s="405"/>
      <c r="B1426" s="405"/>
      <c r="C1426" s="405"/>
      <c r="D1426" s="405"/>
      <c r="E1426" s="405"/>
      <c r="F1426" s="583"/>
      <c r="G1426" s="583"/>
      <c r="H1426" s="405"/>
      <c r="I1426" s="405"/>
      <c r="J1426" s="405"/>
      <c r="K1426" s="405"/>
      <c r="L1426" s="405"/>
      <c r="M1426" s="405"/>
      <c r="N1426" s="405"/>
      <c r="O1426" s="405"/>
      <c r="P1426" s="405"/>
      <c r="Q1426" s="405"/>
      <c r="R1426" s="405"/>
      <c r="S1426" s="405"/>
      <c r="T1426" s="405"/>
      <c r="U1426" s="405"/>
      <c r="V1426" s="405"/>
      <c r="W1426" s="405"/>
      <c r="X1426" s="405"/>
      <c r="Y1426" s="405"/>
      <c r="Z1426" s="405"/>
    </row>
    <row r="1427" ht="14.25" customHeight="1">
      <c r="A1427" s="405"/>
      <c r="B1427" s="405"/>
      <c r="C1427" s="405"/>
      <c r="D1427" s="405"/>
      <c r="E1427" s="405"/>
      <c r="F1427" s="583"/>
      <c r="G1427" s="583"/>
      <c r="H1427" s="405"/>
      <c r="I1427" s="405"/>
      <c r="J1427" s="405"/>
      <c r="K1427" s="405"/>
      <c r="L1427" s="405"/>
      <c r="M1427" s="405"/>
      <c r="N1427" s="405"/>
      <c r="O1427" s="405"/>
      <c r="P1427" s="405"/>
      <c r="Q1427" s="405"/>
      <c r="R1427" s="405"/>
      <c r="S1427" s="405"/>
      <c r="T1427" s="405"/>
      <c r="U1427" s="405"/>
      <c r="V1427" s="405"/>
      <c r="W1427" s="405"/>
      <c r="X1427" s="405"/>
      <c r="Y1427" s="405"/>
      <c r="Z1427" s="405"/>
    </row>
    <row r="1428" ht="14.25" customHeight="1">
      <c r="A1428" s="405"/>
      <c r="B1428" s="405"/>
      <c r="C1428" s="405"/>
      <c r="D1428" s="405"/>
      <c r="E1428" s="405"/>
      <c r="F1428" s="583"/>
      <c r="G1428" s="583"/>
      <c r="H1428" s="405"/>
      <c r="I1428" s="405"/>
      <c r="J1428" s="405"/>
      <c r="K1428" s="405"/>
      <c r="L1428" s="405"/>
      <c r="M1428" s="405"/>
      <c r="N1428" s="405"/>
      <c r="O1428" s="405"/>
      <c r="P1428" s="405"/>
      <c r="Q1428" s="405"/>
      <c r="R1428" s="405"/>
      <c r="S1428" s="405"/>
      <c r="T1428" s="405"/>
      <c r="U1428" s="405"/>
      <c r="V1428" s="405"/>
      <c r="W1428" s="405"/>
      <c r="X1428" s="405"/>
      <c r="Y1428" s="405"/>
      <c r="Z1428" s="405"/>
    </row>
    <row r="1429" ht="14.25" customHeight="1">
      <c r="A1429" s="405"/>
      <c r="B1429" s="405"/>
      <c r="C1429" s="405"/>
      <c r="D1429" s="405"/>
      <c r="E1429" s="405"/>
      <c r="F1429" s="583"/>
      <c r="G1429" s="583"/>
      <c r="H1429" s="405"/>
      <c r="I1429" s="405"/>
      <c r="J1429" s="405"/>
      <c r="K1429" s="405"/>
      <c r="L1429" s="405"/>
      <c r="M1429" s="405"/>
      <c r="N1429" s="405"/>
      <c r="O1429" s="405"/>
      <c r="P1429" s="405"/>
      <c r="Q1429" s="405"/>
      <c r="R1429" s="405"/>
      <c r="S1429" s="405"/>
      <c r="T1429" s="405"/>
      <c r="U1429" s="405"/>
      <c r="V1429" s="405"/>
      <c r="W1429" s="405"/>
      <c r="X1429" s="405"/>
      <c r="Y1429" s="405"/>
      <c r="Z1429" s="405"/>
    </row>
    <row r="1430" ht="14.25" customHeight="1">
      <c r="A1430" s="405"/>
      <c r="B1430" s="405"/>
      <c r="C1430" s="405"/>
      <c r="D1430" s="405"/>
      <c r="E1430" s="405"/>
      <c r="F1430" s="583"/>
      <c r="G1430" s="583"/>
      <c r="H1430" s="405"/>
      <c r="I1430" s="405"/>
      <c r="J1430" s="405"/>
      <c r="K1430" s="405"/>
      <c r="L1430" s="405"/>
      <c r="M1430" s="405"/>
      <c r="N1430" s="405"/>
      <c r="O1430" s="405"/>
      <c r="P1430" s="405"/>
      <c r="Q1430" s="405"/>
      <c r="R1430" s="405"/>
      <c r="S1430" s="405"/>
      <c r="T1430" s="405"/>
      <c r="U1430" s="405"/>
      <c r="V1430" s="405"/>
      <c r="W1430" s="405"/>
      <c r="X1430" s="405"/>
      <c r="Y1430" s="405"/>
      <c r="Z1430" s="405"/>
    </row>
    <row r="1431" ht="14.25" customHeight="1">
      <c r="A1431" s="405"/>
      <c r="B1431" s="405"/>
      <c r="C1431" s="405"/>
      <c r="D1431" s="405"/>
      <c r="E1431" s="405"/>
      <c r="F1431" s="583"/>
      <c r="G1431" s="583"/>
      <c r="H1431" s="405"/>
      <c r="I1431" s="405"/>
      <c r="J1431" s="405"/>
      <c r="K1431" s="405"/>
      <c r="L1431" s="405"/>
      <c r="M1431" s="405"/>
      <c r="N1431" s="405"/>
      <c r="O1431" s="405"/>
      <c r="P1431" s="405"/>
      <c r="Q1431" s="405"/>
      <c r="R1431" s="405"/>
      <c r="S1431" s="405"/>
      <c r="T1431" s="405"/>
      <c r="U1431" s="405"/>
      <c r="V1431" s="405"/>
      <c r="W1431" s="405"/>
      <c r="X1431" s="405"/>
      <c r="Y1431" s="405"/>
      <c r="Z1431" s="405"/>
    </row>
    <row r="1432" ht="14.25" customHeight="1">
      <c r="A1432" s="405"/>
      <c r="B1432" s="405"/>
      <c r="C1432" s="405"/>
      <c r="D1432" s="405"/>
      <c r="E1432" s="405"/>
      <c r="F1432" s="583"/>
      <c r="G1432" s="583"/>
      <c r="H1432" s="405"/>
      <c r="I1432" s="405"/>
      <c r="J1432" s="405"/>
      <c r="K1432" s="405"/>
      <c r="L1432" s="405"/>
      <c r="M1432" s="405"/>
      <c r="N1432" s="405"/>
      <c r="O1432" s="405"/>
      <c r="P1432" s="405"/>
      <c r="Q1432" s="405"/>
      <c r="R1432" s="405"/>
      <c r="S1432" s="405"/>
      <c r="T1432" s="405"/>
      <c r="U1432" s="405"/>
      <c r="V1432" s="405"/>
      <c r="W1432" s="405"/>
      <c r="X1432" s="405"/>
      <c r="Y1432" s="405"/>
      <c r="Z1432" s="405"/>
    </row>
    <row r="1433" ht="14.25" customHeight="1">
      <c r="A1433" s="405"/>
      <c r="B1433" s="405"/>
      <c r="C1433" s="405"/>
      <c r="D1433" s="405"/>
      <c r="E1433" s="405"/>
      <c r="F1433" s="583"/>
      <c r="G1433" s="583"/>
      <c r="H1433" s="405"/>
      <c r="I1433" s="405"/>
      <c r="J1433" s="405"/>
      <c r="K1433" s="405"/>
      <c r="L1433" s="405"/>
      <c r="M1433" s="405"/>
      <c r="N1433" s="405"/>
      <c r="O1433" s="405"/>
      <c r="P1433" s="405"/>
      <c r="Q1433" s="405"/>
      <c r="R1433" s="405"/>
      <c r="S1433" s="405"/>
      <c r="T1433" s="405"/>
      <c r="U1433" s="405"/>
      <c r="V1433" s="405"/>
      <c r="W1433" s="405"/>
      <c r="X1433" s="405"/>
      <c r="Y1433" s="405"/>
      <c r="Z1433" s="405"/>
    </row>
    <row r="1434" ht="14.25" customHeight="1">
      <c r="A1434" s="405"/>
      <c r="B1434" s="405"/>
      <c r="C1434" s="405"/>
      <c r="D1434" s="405"/>
      <c r="E1434" s="405"/>
      <c r="F1434" s="583"/>
      <c r="G1434" s="583"/>
      <c r="H1434" s="405"/>
      <c r="I1434" s="405"/>
      <c r="J1434" s="405"/>
      <c r="K1434" s="405"/>
      <c r="L1434" s="405"/>
      <c r="M1434" s="405"/>
      <c r="N1434" s="405"/>
      <c r="O1434" s="405"/>
      <c r="P1434" s="405"/>
      <c r="Q1434" s="405"/>
      <c r="R1434" s="405"/>
      <c r="S1434" s="405"/>
      <c r="T1434" s="405"/>
      <c r="U1434" s="405"/>
      <c r="V1434" s="405"/>
      <c r="W1434" s="405"/>
      <c r="X1434" s="405"/>
      <c r="Y1434" s="405"/>
      <c r="Z1434" s="405"/>
    </row>
    <row r="1435" ht="14.25" customHeight="1">
      <c r="A1435" s="405"/>
      <c r="B1435" s="405"/>
      <c r="C1435" s="405"/>
      <c r="D1435" s="405"/>
      <c r="E1435" s="405"/>
      <c r="F1435" s="583"/>
      <c r="G1435" s="583"/>
      <c r="H1435" s="405"/>
      <c r="I1435" s="405"/>
      <c r="J1435" s="405"/>
      <c r="K1435" s="405"/>
      <c r="L1435" s="405"/>
      <c r="M1435" s="405"/>
      <c r="N1435" s="405"/>
      <c r="O1435" s="405"/>
      <c r="P1435" s="405"/>
      <c r="Q1435" s="405"/>
      <c r="R1435" s="405"/>
      <c r="S1435" s="405"/>
      <c r="T1435" s="405"/>
      <c r="U1435" s="405"/>
      <c r="V1435" s="405"/>
      <c r="W1435" s="405"/>
      <c r="X1435" s="405"/>
      <c r="Y1435" s="405"/>
      <c r="Z1435" s="405"/>
    </row>
    <row r="1436" ht="14.25" customHeight="1">
      <c r="A1436" s="405"/>
      <c r="B1436" s="405"/>
      <c r="C1436" s="405"/>
      <c r="D1436" s="405"/>
      <c r="E1436" s="405"/>
      <c r="F1436" s="583"/>
      <c r="G1436" s="583"/>
      <c r="H1436" s="405"/>
      <c r="I1436" s="405"/>
      <c r="J1436" s="405"/>
      <c r="K1436" s="405"/>
      <c r="L1436" s="405"/>
      <c r="M1436" s="405"/>
      <c r="N1436" s="405"/>
      <c r="O1436" s="405"/>
      <c r="P1436" s="405"/>
      <c r="Q1436" s="405"/>
      <c r="R1436" s="405"/>
      <c r="S1436" s="405"/>
      <c r="T1436" s="405"/>
      <c r="U1436" s="405"/>
      <c r="V1436" s="405"/>
      <c r="W1436" s="405"/>
      <c r="X1436" s="405"/>
      <c r="Y1436" s="405"/>
      <c r="Z1436" s="405"/>
    </row>
    <row r="1437" ht="14.25" customHeight="1">
      <c r="A1437" s="405"/>
      <c r="B1437" s="405"/>
      <c r="C1437" s="405"/>
      <c r="D1437" s="405"/>
      <c r="E1437" s="405"/>
      <c r="F1437" s="583"/>
      <c r="G1437" s="583"/>
      <c r="H1437" s="405"/>
      <c r="I1437" s="405"/>
      <c r="J1437" s="405"/>
      <c r="K1437" s="405"/>
      <c r="L1437" s="405"/>
      <c r="M1437" s="405"/>
      <c r="N1437" s="405"/>
      <c r="O1437" s="405"/>
      <c r="P1437" s="405"/>
      <c r="Q1437" s="405"/>
      <c r="R1437" s="405"/>
      <c r="S1437" s="405"/>
      <c r="T1437" s="405"/>
      <c r="U1437" s="405"/>
      <c r="V1437" s="405"/>
      <c r="W1437" s="405"/>
      <c r="X1437" s="405"/>
      <c r="Y1437" s="405"/>
      <c r="Z1437" s="405"/>
    </row>
    <row r="1438" ht="14.25" customHeight="1">
      <c r="A1438" s="405"/>
      <c r="B1438" s="405"/>
      <c r="C1438" s="405"/>
      <c r="D1438" s="405"/>
      <c r="E1438" s="405"/>
      <c r="F1438" s="583"/>
      <c r="G1438" s="583"/>
      <c r="H1438" s="405"/>
      <c r="I1438" s="405"/>
      <c r="J1438" s="405"/>
      <c r="K1438" s="405"/>
      <c r="L1438" s="405"/>
      <c r="M1438" s="405"/>
      <c r="N1438" s="405"/>
      <c r="O1438" s="405"/>
      <c r="P1438" s="405"/>
      <c r="Q1438" s="405"/>
      <c r="R1438" s="405"/>
      <c r="S1438" s="405"/>
      <c r="T1438" s="405"/>
      <c r="U1438" s="405"/>
      <c r="V1438" s="405"/>
      <c r="W1438" s="405"/>
      <c r="X1438" s="405"/>
      <c r="Y1438" s="405"/>
      <c r="Z1438" s="405"/>
    </row>
    <row r="1439" ht="14.25" customHeight="1">
      <c r="A1439" s="405"/>
      <c r="B1439" s="405"/>
      <c r="C1439" s="405"/>
      <c r="D1439" s="405"/>
      <c r="E1439" s="405"/>
      <c r="F1439" s="583"/>
      <c r="G1439" s="583"/>
      <c r="H1439" s="405"/>
      <c r="I1439" s="405"/>
      <c r="J1439" s="405"/>
      <c r="K1439" s="405"/>
      <c r="L1439" s="405"/>
      <c r="M1439" s="405"/>
      <c r="N1439" s="405"/>
      <c r="O1439" s="405"/>
      <c r="P1439" s="405"/>
      <c r="Q1439" s="405"/>
      <c r="R1439" s="405"/>
      <c r="S1439" s="405"/>
      <c r="T1439" s="405"/>
      <c r="U1439" s="405"/>
      <c r="V1439" s="405"/>
      <c r="W1439" s="405"/>
      <c r="X1439" s="405"/>
      <c r="Y1439" s="405"/>
      <c r="Z1439" s="405"/>
    </row>
    <row r="1440" ht="14.25" customHeight="1">
      <c r="A1440" s="405"/>
      <c r="B1440" s="405"/>
      <c r="C1440" s="405"/>
      <c r="D1440" s="405"/>
      <c r="E1440" s="405"/>
      <c r="F1440" s="583"/>
      <c r="G1440" s="583"/>
      <c r="H1440" s="405"/>
      <c r="I1440" s="405"/>
      <c r="J1440" s="405"/>
      <c r="K1440" s="405"/>
      <c r="L1440" s="405"/>
      <c r="M1440" s="405"/>
      <c r="N1440" s="405"/>
      <c r="O1440" s="405"/>
      <c r="P1440" s="405"/>
      <c r="Q1440" s="405"/>
      <c r="R1440" s="405"/>
      <c r="S1440" s="405"/>
      <c r="T1440" s="405"/>
      <c r="U1440" s="405"/>
      <c r="V1440" s="405"/>
      <c r="W1440" s="405"/>
      <c r="X1440" s="405"/>
      <c r="Y1440" s="405"/>
      <c r="Z1440" s="405"/>
    </row>
    <row r="1441" ht="14.25" customHeight="1">
      <c r="A1441" s="405"/>
      <c r="B1441" s="405"/>
      <c r="C1441" s="405"/>
      <c r="D1441" s="405"/>
      <c r="E1441" s="405"/>
      <c r="F1441" s="583"/>
      <c r="G1441" s="583"/>
      <c r="H1441" s="405"/>
      <c r="I1441" s="405"/>
      <c r="J1441" s="405"/>
      <c r="K1441" s="405"/>
      <c r="L1441" s="405"/>
      <c r="M1441" s="405"/>
      <c r="N1441" s="405"/>
      <c r="O1441" s="405"/>
      <c r="P1441" s="405"/>
      <c r="Q1441" s="405"/>
      <c r="R1441" s="405"/>
      <c r="S1441" s="405"/>
      <c r="T1441" s="405"/>
      <c r="U1441" s="405"/>
      <c r="V1441" s="405"/>
      <c r="W1441" s="405"/>
      <c r="X1441" s="405"/>
      <c r="Y1441" s="405"/>
      <c r="Z1441" s="405"/>
    </row>
    <row r="1442" ht="14.25" customHeight="1">
      <c r="A1442" s="405"/>
      <c r="B1442" s="405"/>
      <c r="C1442" s="405"/>
      <c r="D1442" s="405"/>
      <c r="E1442" s="405"/>
      <c r="F1442" s="583"/>
      <c r="G1442" s="583"/>
      <c r="H1442" s="405"/>
      <c r="I1442" s="405"/>
      <c r="J1442" s="405"/>
      <c r="K1442" s="405"/>
      <c r="L1442" s="405"/>
      <c r="M1442" s="405"/>
      <c r="N1442" s="405"/>
      <c r="O1442" s="405"/>
      <c r="P1442" s="405"/>
      <c r="Q1442" s="405"/>
      <c r="R1442" s="405"/>
      <c r="S1442" s="405"/>
      <c r="T1442" s="405"/>
      <c r="U1442" s="405"/>
      <c r="V1442" s="405"/>
      <c r="W1442" s="405"/>
      <c r="X1442" s="405"/>
      <c r="Y1442" s="405"/>
      <c r="Z1442" s="405"/>
    </row>
    <row r="1443" ht="14.25" customHeight="1">
      <c r="A1443" s="405"/>
      <c r="B1443" s="405"/>
      <c r="C1443" s="405"/>
      <c r="D1443" s="405"/>
      <c r="E1443" s="405"/>
      <c r="F1443" s="583"/>
      <c r="G1443" s="583"/>
      <c r="H1443" s="405"/>
      <c r="I1443" s="405"/>
      <c r="J1443" s="405"/>
      <c r="K1443" s="405"/>
      <c r="L1443" s="405"/>
      <c r="M1443" s="405"/>
      <c r="N1443" s="405"/>
      <c r="O1443" s="405"/>
      <c r="P1443" s="405"/>
      <c r="Q1443" s="405"/>
      <c r="R1443" s="405"/>
      <c r="S1443" s="405"/>
      <c r="T1443" s="405"/>
      <c r="U1443" s="405"/>
      <c r="V1443" s="405"/>
      <c r="W1443" s="405"/>
      <c r="X1443" s="405"/>
      <c r="Y1443" s="405"/>
      <c r="Z1443" s="405"/>
    </row>
    <row r="1444" ht="14.25" customHeight="1">
      <c r="A1444" s="405"/>
      <c r="B1444" s="405"/>
      <c r="C1444" s="405"/>
      <c r="D1444" s="405"/>
      <c r="E1444" s="405"/>
      <c r="F1444" s="583"/>
      <c r="G1444" s="583"/>
      <c r="H1444" s="405"/>
      <c r="I1444" s="405"/>
      <c r="J1444" s="405"/>
      <c r="K1444" s="405"/>
      <c r="L1444" s="405"/>
      <c r="M1444" s="405"/>
      <c r="N1444" s="405"/>
      <c r="O1444" s="405"/>
      <c r="P1444" s="405"/>
      <c r="Q1444" s="405"/>
      <c r="R1444" s="405"/>
      <c r="S1444" s="405"/>
      <c r="T1444" s="405"/>
      <c r="U1444" s="405"/>
      <c r="V1444" s="405"/>
      <c r="W1444" s="405"/>
      <c r="X1444" s="405"/>
      <c r="Y1444" s="405"/>
      <c r="Z1444" s="405"/>
    </row>
    <row r="1445" ht="14.25" customHeight="1">
      <c r="A1445" s="405"/>
      <c r="B1445" s="405"/>
      <c r="C1445" s="405"/>
      <c r="D1445" s="405"/>
      <c r="E1445" s="405"/>
      <c r="F1445" s="583"/>
      <c r="G1445" s="583"/>
      <c r="H1445" s="405"/>
      <c r="I1445" s="405"/>
      <c r="J1445" s="405"/>
      <c r="K1445" s="405"/>
      <c r="L1445" s="405"/>
      <c r="M1445" s="405"/>
      <c r="N1445" s="405"/>
      <c r="O1445" s="405"/>
      <c r="P1445" s="405"/>
      <c r="Q1445" s="405"/>
      <c r="R1445" s="405"/>
      <c r="S1445" s="405"/>
      <c r="T1445" s="405"/>
      <c r="U1445" s="405"/>
      <c r="V1445" s="405"/>
      <c r="W1445" s="405"/>
      <c r="X1445" s="405"/>
      <c r="Y1445" s="405"/>
      <c r="Z1445" s="405"/>
    </row>
    <row r="1446" ht="14.25" customHeight="1">
      <c r="A1446" s="405"/>
      <c r="B1446" s="405"/>
      <c r="C1446" s="405"/>
      <c r="D1446" s="405"/>
      <c r="E1446" s="405"/>
      <c r="F1446" s="583"/>
      <c r="G1446" s="583"/>
      <c r="H1446" s="405"/>
      <c r="I1446" s="405"/>
      <c r="J1446" s="405"/>
      <c r="K1446" s="405"/>
      <c r="L1446" s="405"/>
      <c r="M1446" s="405"/>
      <c r="N1446" s="405"/>
      <c r="O1446" s="405"/>
      <c r="P1446" s="405"/>
      <c r="Q1446" s="405"/>
      <c r="R1446" s="405"/>
      <c r="S1446" s="405"/>
      <c r="T1446" s="405"/>
      <c r="U1446" s="405"/>
      <c r="V1446" s="405"/>
      <c r="W1446" s="405"/>
      <c r="X1446" s="405"/>
      <c r="Y1446" s="405"/>
      <c r="Z1446" s="405"/>
    </row>
    <row r="1447" ht="14.25" customHeight="1">
      <c r="A1447" s="405"/>
      <c r="B1447" s="405"/>
      <c r="C1447" s="405"/>
      <c r="D1447" s="405"/>
      <c r="E1447" s="405"/>
      <c r="F1447" s="583"/>
      <c r="G1447" s="583"/>
      <c r="H1447" s="405"/>
      <c r="I1447" s="405"/>
      <c r="J1447" s="405"/>
      <c r="K1447" s="405"/>
      <c r="L1447" s="405"/>
      <c r="M1447" s="405"/>
      <c r="N1447" s="405"/>
      <c r="O1447" s="405"/>
      <c r="P1447" s="405"/>
      <c r="Q1447" s="405"/>
      <c r="R1447" s="405"/>
      <c r="S1447" s="405"/>
      <c r="T1447" s="405"/>
      <c r="U1447" s="405"/>
      <c r="V1447" s="405"/>
      <c r="W1447" s="405"/>
      <c r="X1447" s="405"/>
      <c r="Y1447" s="405"/>
      <c r="Z1447" s="405"/>
    </row>
    <row r="1448" ht="14.25" customHeight="1">
      <c r="A1448" s="405"/>
      <c r="B1448" s="405"/>
      <c r="C1448" s="405"/>
      <c r="D1448" s="405"/>
      <c r="E1448" s="405"/>
      <c r="F1448" s="583"/>
      <c r="G1448" s="583"/>
      <c r="H1448" s="405"/>
      <c r="I1448" s="405"/>
      <c r="J1448" s="405"/>
      <c r="K1448" s="405"/>
      <c r="L1448" s="405"/>
      <c r="M1448" s="405"/>
      <c r="N1448" s="405"/>
      <c r="O1448" s="405"/>
      <c r="P1448" s="405"/>
      <c r="Q1448" s="405"/>
      <c r="R1448" s="405"/>
      <c r="S1448" s="405"/>
      <c r="T1448" s="405"/>
      <c r="U1448" s="405"/>
      <c r="V1448" s="405"/>
      <c r="W1448" s="405"/>
      <c r="X1448" s="405"/>
      <c r="Y1448" s="405"/>
      <c r="Z1448" s="405"/>
    </row>
    <row r="1449" ht="14.25" customHeight="1">
      <c r="A1449" s="405"/>
      <c r="B1449" s="405"/>
      <c r="C1449" s="405"/>
      <c r="D1449" s="405"/>
      <c r="E1449" s="405"/>
      <c r="F1449" s="583"/>
      <c r="G1449" s="583"/>
      <c r="H1449" s="405"/>
      <c r="I1449" s="405"/>
      <c r="J1449" s="405"/>
      <c r="K1449" s="405"/>
      <c r="L1449" s="405"/>
      <c r="M1449" s="405"/>
      <c r="N1449" s="405"/>
      <c r="O1449" s="405"/>
      <c r="P1449" s="405"/>
      <c r="Q1449" s="405"/>
      <c r="R1449" s="405"/>
      <c r="S1449" s="405"/>
      <c r="T1449" s="405"/>
      <c r="U1449" s="405"/>
      <c r="V1449" s="405"/>
      <c r="W1449" s="405"/>
      <c r="X1449" s="405"/>
      <c r="Y1449" s="405"/>
      <c r="Z1449" s="405"/>
    </row>
    <row r="1450" ht="14.25" customHeight="1">
      <c r="A1450" s="405"/>
      <c r="B1450" s="405"/>
      <c r="C1450" s="405"/>
      <c r="D1450" s="405"/>
      <c r="E1450" s="405"/>
      <c r="F1450" s="583"/>
      <c r="G1450" s="583"/>
      <c r="H1450" s="405"/>
      <c r="I1450" s="405"/>
      <c r="J1450" s="405"/>
      <c r="K1450" s="405"/>
      <c r="L1450" s="405"/>
      <c r="M1450" s="405"/>
      <c r="N1450" s="405"/>
      <c r="O1450" s="405"/>
      <c r="P1450" s="405"/>
      <c r="Q1450" s="405"/>
      <c r="R1450" s="405"/>
      <c r="S1450" s="405"/>
      <c r="T1450" s="405"/>
      <c r="U1450" s="405"/>
      <c r="V1450" s="405"/>
      <c r="W1450" s="405"/>
      <c r="X1450" s="405"/>
      <c r="Y1450" s="405"/>
      <c r="Z1450" s="405"/>
    </row>
    <row r="1451" ht="14.25" customHeight="1">
      <c r="A1451" s="405"/>
      <c r="B1451" s="405"/>
      <c r="C1451" s="405"/>
      <c r="D1451" s="405"/>
      <c r="E1451" s="405"/>
      <c r="F1451" s="583"/>
      <c r="G1451" s="583"/>
      <c r="H1451" s="405"/>
      <c r="I1451" s="405"/>
      <c r="J1451" s="405"/>
      <c r="K1451" s="405"/>
      <c r="L1451" s="405"/>
      <c r="M1451" s="405"/>
      <c r="N1451" s="405"/>
      <c r="O1451" s="405"/>
      <c r="P1451" s="405"/>
      <c r="Q1451" s="405"/>
      <c r="R1451" s="405"/>
      <c r="S1451" s="405"/>
      <c r="T1451" s="405"/>
      <c r="U1451" s="405"/>
      <c r="V1451" s="405"/>
      <c r="W1451" s="405"/>
      <c r="X1451" s="405"/>
      <c r="Y1451" s="405"/>
      <c r="Z1451" s="405"/>
    </row>
    <row r="1452" ht="14.25" customHeight="1">
      <c r="A1452" s="405"/>
      <c r="B1452" s="405"/>
      <c r="C1452" s="405"/>
      <c r="D1452" s="405"/>
      <c r="E1452" s="405"/>
      <c r="F1452" s="583"/>
      <c r="G1452" s="583"/>
      <c r="H1452" s="405"/>
      <c r="I1452" s="405"/>
      <c r="J1452" s="405"/>
      <c r="K1452" s="405"/>
      <c r="L1452" s="405"/>
      <c r="M1452" s="405"/>
      <c r="N1452" s="405"/>
      <c r="O1452" s="405"/>
      <c r="P1452" s="405"/>
      <c r="Q1452" s="405"/>
      <c r="R1452" s="405"/>
      <c r="S1452" s="405"/>
      <c r="T1452" s="405"/>
      <c r="U1452" s="405"/>
      <c r="V1452" s="405"/>
      <c r="W1452" s="405"/>
      <c r="X1452" s="405"/>
      <c r="Y1452" s="405"/>
      <c r="Z1452" s="405"/>
    </row>
    <row r="1453" ht="14.25" customHeight="1">
      <c r="A1453" s="405"/>
      <c r="B1453" s="405"/>
      <c r="C1453" s="405"/>
      <c r="D1453" s="405"/>
      <c r="E1453" s="405"/>
      <c r="F1453" s="583"/>
      <c r="G1453" s="583"/>
      <c r="H1453" s="405"/>
      <c r="I1453" s="405"/>
      <c r="J1453" s="405"/>
      <c r="K1453" s="405"/>
      <c r="L1453" s="405"/>
      <c r="M1453" s="405"/>
      <c r="N1453" s="405"/>
      <c r="O1453" s="405"/>
      <c r="P1453" s="405"/>
      <c r="Q1453" s="405"/>
      <c r="R1453" s="405"/>
      <c r="S1453" s="405"/>
      <c r="T1453" s="405"/>
      <c r="U1453" s="405"/>
      <c r="V1453" s="405"/>
      <c r="W1453" s="405"/>
      <c r="X1453" s="405"/>
      <c r="Y1453" s="405"/>
      <c r="Z1453" s="405"/>
    </row>
    <row r="1454" ht="14.25" customHeight="1">
      <c r="A1454" s="405"/>
      <c r="B1454" s="405"/>
      <c r="C1454" s="405"/>
      <c r="D1454" s="405"/>
      <c r="E1454" s="405"/>
      <c r="F1454" s="583"/>
      <c r="G1454" s="583"/>
      <c r="H1454" s="405"/>
      <c r="I1454" s="405"/>
      <c r="J1454" s="405"/>
      <c r="K1454" s="405"/>
      <c r="L1454" s="405"/>
      <c r="M1454" s="405"/>
      <c r="N1454" s="405"/>
      <c r="O1454" s="405"/>
      <c r="P1454" s="405"/>
      <c r="Q1454" s="405"/>
      <c r="R1454" s="405"/>
      <c r="S1454" s="405"/>
      <c r="T1454" s="405"/>
      <c r="U1454" s="405"/>
      <c r="V1454" s="405"/>
      <c r="W1454" s="405"/>
      <c r="X1454" s="405"/>
      <c r="Y1454" s="405"/>
      <c r="Z1454" s="405"/>
    </row>
    <row r="1455" ht="14.25" customHeight="1">
      <c r="A1455" s="405"/>
      <c r="B1455" s="405"/>
      <c r="C1455" s="405"/>
      <c r="D1455" s="405"/>
      <c r="E1455" s="405"/>
      <c r="F1455" s="583"/>
      <c r="G1455" s="583"/>
      <c r="H1455" s="405"/>
      <c r="I1455" s="405"/>
      <c r="J1455" s="405"/>
      <c r="K1455" s="405"/>
      <c r="L1455" s="405"/>
      <c r="M1455" s="405"/>
      <c r="N1455" s="405"/>
      <c r="O1455" s="405"/>
      <c r="P1455" s="405"/>
      <c r="Q1455" s="405"/>
      <c r="R1455" s="405"/>
      <c r="S1455" s="405"/>
      <c r="T1455" s="405"/>
      <c r="U1455" s="405"/>
      <c r="V1455" s="405"/>
      <c r="W1455" s="405"/>
      <c r="X1455" s="405"/>
      <c r="Y1455" s="405"/>
      <c r="Z1455" s="405"/>
    </row>
    <row r="1456" ht="14.25" customHeight="1">
      <c r="A1456" s="405"/>
      <c r="B1456" s="405"/>
      <c r="C1456" s="405"/>
      <c r="D1456" s="405"/>
      <c r="E1456" s="405"/>
      <c r="F1456" s="583"/>
      <c r="G1456" s="583"/>
      <c r="H1456" s="405"/>
      <c r="I1456" s="405"/>
      <c r="J1456" s="405"/>
      <c r="K1456" s="405"/>
      <c r="L1456" s="405"/>
      <c r="M1456" s="405"/>
      <c r="N1456" s="405"/>
      <c r="O1456" s="405"/>
      <c r="P1456" s="405"/>
      <c r="Q1456" s="405"/>
      <c r="R1456" s="405"/>
      <c r="S1456" s="405"/>
      <c r="T1456" s="405"/>
      <c r="U1456" s="405"/>
      <c r="V1456" s="405"/>
      <c r="W1456" s="405"/>
      <c r="X1456" s="405"/>
      <c r="Y1456" s="405"/>
      <c r="Z1456" s="405"/>
    </row>
    <row r="1457" ht="14.25" customHeight="1">
      <c r="A1457" s="405"/>
      <c r="B1457" s="405"/>
      <c r="C1457" s="405"/>
      <c r="D1457" s="405"/>
      <c r="E1457" s="405"/>
      <c r="F1457" s="583"/>
      <c r="G1457" s="583"/>
      <c r="H1457" s="405"/>
      <c r="I1457" s="405"/>
      <c r="J1457" s="405"/>
      <c r="K1457" s="405"/>
      <c r="L1457" s="405"/>
      <c r="M1457" s="405"/>
      <c r="N1457" s="405"/>
      <c r="O1457" s="405"/>
      <c r="P1457" s="405"/>
      <c r="Q1457" s="405"/>
      <c r="R1457" s="405"/>
      <c r="S1457" s="405"/>
      <c r="T1457" s="405"/>
      <c r="U1457" s="405"/>
      <c r="V1457" s="405"/>
      <c r="W1457" s="405"/>
      <c r="X1457" s="405"/>
      <c r="Y1457" s="405"/>
      <c r="Z1457" s="405"/>
    </row>
    <row r="1458" ht="14.25" customHeight="1">
      <c r="A1458" s="405"/>
      <c r="B1458" s="405"/>
      <c r="C1458" s="405"/>
      <c r="D1458" s="405"/>
      <c r="E1458" s="405"/>
      <c r="F1458" s="583"/>
      <c r="G1458" s="583"/>
      <c r="H1458" s="405"/>
      <c r="I1458" s="405"/>
      <c r="J1458" s="405"/>
      <c r="K1458" s="405"/>
      <c r="L1458" s="405"/>
      <c r="M1458" s="405"/>
      <c r="N1458" s="405"/>
      <c r="O1458" s="405"/>
      <c r="P1458" s="405"/>
      <c r="Q1458" s="405"/>
      <c r="R1458" s="405"/>
      <c r="S1458" s="405"/>
      <c r="T1458" s="405"/>
      <c r="U1458" s="405"/>
      <c r="V1458" s="405"/>
      <c r="W1458" s="405"/>
      <c r="X1458" s="405"/>
      <c r="Y1458" s="405"/>
      <c r="Z1458" s="405"/>
    </row>
    <row r="1459" ht="14.25" customHeight="1">
      <c r="A1459" s="405"/>
      <c r="B1459" s="405"/>
      <c r="C1459" s="405"/>
      <c r="D1459" s="405"/>
      <c r="E1459" s="405"/>
      <c r="F1459" s="583"/>
      <c r="G1459" s="583"/>
      <c r="H1459" s="405"/>
      <c r="I1459" s="405"/>
      <c r="J1459" s="405"/>
      <c r="K1459" s="405"/>
      <c r="L1459" s="405"/>
      <c r="M1459" s="405"/>
      <c r="N1459" s="405"/>
      <c r="O1459" s="405"/>
      <c r="P1459" s="405"/>
      <c r="Q1459" s="405"/>
      <c r="R1459" s="405"/>
      <c r="S1459" s="405"/>
      <c r="T1459" s="405"/>
      <c r="U1459" s="405"/>
      <c r="V1459" s="405"/>
      <c r="W1459" s="405"/>
      <c r="X1459" s="405"/>
      <c r="Y1459" s="405"/>
      <c r="Z1459" s="405"/>
    </row>
    <row r="1460" ht="14.25" customHeight="1">
      <c r="A1460" s="405"/>
      <c r="B1460" s="405"/>
      <c r="C1460" s="405"/>
      <c r="D1460" s="405"/>
      <c r="E1460" s="405"/>
      <c r="F1460" s="583"/>
      <c r="G1460" s="583"/>
      <c r="H1460" s="405"/>
      <c r="I1460" s="405"/>
      <c r="J1460" s="405"/>
      <c r="K1460" s="405"/>
      <c r="L1460" s="405"/>
      <c r="M1460" s="405"/>
      <c r="N1460" s="405"/>
      <c r="O1460" s="405"/>
      <c r="P1460" s="405"/>
      <c r="Q1460" s="405"/>
      <c r="R1460" s="405"/>
      <c r="S1460" s="405"/>
      <c r="T1460" s="405"/>
      <c r="U1460" s="405"/>
      <c r="V1460" s="405"/>
      <c r="W1460" s="405"/>
      <c r="X1460" s="405"/>
      <c r="Y1460" s="405"/>
      <c r="Z1460" s="405"/>
    </row>
    <row r="1461" ht="14.25" customHeight="1">
      <c r="A1461" s="405"/>
      <c r="B1461" s="405"/>
      <c r="C1461" s="405"/>
      <c r="D1461" s="405"/>
      <c r="E1461" s="405"/>
      <c r="F1461" s="583"/>
      <c r="G1461" s="583"/>
      <c r="H1461" s="405"/>
      <c r="I1461" s="405"/>
      <c r="J1461" s="405"/>
      <c r="K1461" s="405"/>
      <c r="L1461" s="405"/>
      <c r="M1461" s="405"/>
      <c r="N1461" s="405"/>
      <c r="O1461" s="405"/>
      <c r="P1461" s="405"/>
      <c r="Q1461" s="405"/>
      <c r="R1461" s="405"/>
      <c r="S1461" s="405"/>
      <c r="T1461" s="405"/>
      <c r="U1461" s="405"/>
      <c r="V1461" s="405"/>
      <c r="W1461" s="405"/>
      <c r="X1461" s="405"/>
      <c r="Y1461" s="405"/>
      <c r="Z1461" s="405"/>
    </row>
    <row r="1462" ht="14.25" customHeight="1">
      <c r="A1462" s="405"/>
      <c r="B1462" s="405"/>
      <c r="C1462" s="405"/>
      <c r="D1462" s="405"/>
      <c r="E1462" s="405"/>
      <c r="F1462" s="583"/>
      <c r="G1462" s="583"/>
      <c r="H1462" s="405"/>
      <c r="I1462" s="405"/>
      <c r="J1462" s="405"/>
      <c r="K1462" s="405"/>
      <c r="L1462" s="405"/>
      <c r="M1462" s="405"/>
      <c r="N1462" s="405"/>
      <c r="O1462" s="405"/>
      <c r="P1462" s="405"/>
      <c r="Q1462" s="405"/>
      <c r="R1462" s="405"/>
      <c r="S1462" s="405"/>
      <c r="T1462" s="405"/>
      <c r="U1462" s="405"/>
      <c r="V1462" s="405"/>
      <c r="W1462" s="405"/>
      <c r="X1462" s="405"/>
      <c r="Y1462" s="405"/>
      <c r="Z1462" s="405"/>
    </row>
    <row r="1463" ht="14.25" customHeight="1">
      <c r="A1463" s="405"/>
      <c r="B1463" s="405"/>
      <c r="C1463" s="405"/>
      <c r="D1463" s="405"/>
      <c r="E1463" s="405"/>
      <c r="F1463" s="583"/>
      <c r="G1463" s="583"/>
      <c r="H1463" s="405"/>
      <c r="I1463" s="405"/>
      <c r="J1463" s="405"/>
      <c r="K1463" s="405"/>
      <c r="L1463" s="405"/>
      <c r="M1463" s="405"/>
      <c r="N1463" s="405"/>
      <c r="O1463" s="405"/>
      <c r="P1463" s="405"/>
      <c r="Q1463" s="405"/>
      <c r="R1463" s="405"/>
      <c r="S1463" s="405"/>
      <c r="T1463" s="405"/>
      <c r="U1463" s="405"/>
      <c r="V1463" s="405"/>
      <c r="W1463" s="405"/>
      <c r="X1463" s="405"/>
      <c r="Y1463" s="405"/>
      <c r="Z1463" s="405"/>
    </row>
    <row r="1464" ht="14.25" customHeight="1">
      <c r="A1464" s="405"/>
      <c r="B1464" s="405"/>
      <c r="C1464" s="405"/>
      <c r="D1464" s="405"/>
      <c r="E1464" s="405"/>
      <c r="F1464" s="583"/>
      <c r="G1464" s="583"/>
      <c r="H1464" s="405"/>
      <c r="I1464" s="405"/>
      <c r="J1464" s="405"/>
      <c r="K1464" s="405"/>
      <c r="L1464" s="405"/>
      <c r="M1464" s="405"/>
      <c r="N1464" s="405"/>
      <c r="O1464" s="405"/>
      <c r="P1464" s="405"/>
      <c r="Q1464" s="405"/>
      <c r="R1464" s="405"/>
      <c r="S1464" s="405"/>
      <c r="T1464" s="405"/>
      <c r="U1464" s="405"/>
      <c r="V1464" s="405"/>
      <c r="W1464" s="405"/>
      <c r="X1464" s="405"/>
      <c r="Y1464" s="405"/>
      <c r="Z1464" s="405"/>
    </row>
    <row r="1465" ht="14.25" customHeight="1">
      <c r="A1465" s="405"/>
      <c r="B1465" s="405"/>
      <c r="C1465" s="405"/>
      <c r="D1465" s="405"/>
      <c r="E1465" s="405"/>
      <c r="F1465" s="583"/>
      <c r="G1465" s="583"/>
      <c r="H1465" s="405"/>
      <c r="I1465" s="405"/>
      <c r="J1465" s="405"/>
      <c r="K1465" s="405"/>
      <c r="L1465" s="405"/>
      <c r="M1465" s="405"/>
      <c r="N1465" s="405"/>
      <c r="O1465" s="405"/>
      <c r="P1465" s="405"/>
      <c r="Q1465" s="405"/>
      <c r="R1465" s="405"/>
      <c r="S1465" s="405"/>
      <c r="T1465" s="405"/>
      <c r="U1465" s="405"/>
      <c r="V1465" s="405"/>
      <c r="W1465" s="405"/>
      <c r="X1465" s="405"/>
      <c r="Y1465" s="405"/>
      <c r="Z1465" s="405"/>
    </row>
    <row r="1466" ht="14.25" customHeight="1">
      <c r="A1466" s="405"/>
      <c r="B1466" s="405"/>
      <c r="C1466" s="405"/>
      <c r="D1466" s="405"/>
      <c r="E1466" s="405"/>
      <c r="F1466" s="583"/>
      <c r="G1466" s="583"/>
      <c r="H1466" s="405"/>
      <c r="I1466" s="405"/>
      <c r="J1466" s="405"/>
      <c r="K1466" s="405"/>
      <c r="L1466" s="405"/>
      <c r="M1466" s="405"/>
      <c r="N1466" s="405"/>
      <c r="O1466" s="405"/>
      <c r="P1466" s="405"/>
      <c r="Q1466" s="405"/>
      <c r="R1466" s="405"/>
      <c r="S1466" s="405"/>
      <c r="T1466" s="405"/>
      <c r="U1466" s="405"/>
      <c r="V1466" s="405"/>
      <c r="W1466" s="405"/>
      <c r="X1466" s="405"/>
      <c r="Y1466" s="405"/>
      <c r="Z1466" s="405"/>
    </row>
    <row r="1467" ht="14.25" customHeight="1">
      <c r="A1467" s="405"/>
      <c r="B1467" s="405"/>
      <c r="C1467" s="405"/>
      <c r="D1467" s="405"/>
      <c r="E1467" s="405"/>
      <c r="F1467" s="583"/>
      <c r="G1467" s="583"/>
      <c r="H1467" s="405"/>
      <c r="I1467" s="405"/>
      <c r="J1467" s="405"/>
      <c r="K1467" s="405"/>
      <c r="L1467" s="405"/>
      <c r="M1467" s="405"/>
      <c r="N1467" s="405"/>
      <c r="O1467" s="405"/>
      <c r="P1467" s="405"/>
      <c r="Q1467" s="405"/>
      <c r="R1467" s="405"/>
      <c r="S1467" s="405"/>
      <c r="T1467" s="405"/>
      <c r="U1467" s="405"/>
      <c r="V1467" s="405"/>
      <c r="W1467" s="405"/>
      <c r="X1467" s="405"/>
      <c r="Y1467" s="405"/>
      <c r="Z1467" s="405"/>
    </row>
    <row r="1468" ht="14.25" customHeight="1">
      <c r="A1468" s="405"/>
      <c r="B1468" s="405"/>
      <c r="C1468" s="405"/>
      <c r="D1468" s="405"/>
      <c r="E1468" s="405"/>
      <c r="F1468" s="583"/>
      <c r="G1468" s="583"/>
      <c r="H1468" s="405"/>
      <c r="I1468" s="405"/>
      <c r="J1468" s="405"/>
      <c r="K1468" s="405"/>
      <c r="L1468" s="405"/>
      <c r="M1468" s="405"/>
      <c r="N1468" s="405"/>
      <c r="O1468" s="405"/>
      <c r="P1468" s="405"/>
      <c r="Q1468" s="405"/>
      <c r="R1468" s="405"/>
      <c r="S1468" s="405"/>
      <c r="T1468" s="405"/>
      <c r="U1468" s="405"/>
      <c r="V1468" s="405"/>
      <c r="W1468" s="405"/>
      <c r="X1468" s="405"/>
      <c r="Y1468" s="405"/>
      <c r="Z1468" s="405"/>
    </row>
    <row r="1469" ht="14.25" customHeight="1">
      <c r="A1469" s="405"/>
      <c r="B1469" s="405"/>
      <c r="C1469" s="405"/>
      <c r="D1469" s="405"/>
      <c r="E1469" s="405"/>
      <c r="F1469" s="583"/>
      <c r="G1469" s="583"/>
      <c r="H1469" s="405"/>
      <c r="I1469" s="405"/>
      <c r="J1469" s="405"/>
      <c r="K1469" s="405"/>
      <c r="L1469" s="405"/>
      <c r="M1469" s="405"/>
      <c r="N1469" s="405"/>
      <c r="O1469" s="405"/>
      <c r="P1469" s="405"/>
      <c r="Q1469" s="405"/>
      <c r="R1469" s="405"/>
      <c r="S1469" s="405"/>
      <c r="T1469" s="405"/>
      <c r="U1469" s="405"/>
      <c r="V1469" s="405"/>
      <c r="W1469" s="405"/>
      <c r="X1469" s="405"/>
      <c r="Y1469" s="405"/>
      <c r="Z1469" s="405"/>
    </row>
    <row r="1470" ht="14.25" customHeight="1">
      <c r="A1470" s="405"/>
      <c r="B1470" s="405"/>
      <c r="C1470" s="405"/>
      <c r="D1470" s="405"/>
      <c r="E1470" s="405"/>
      <c r="F1470" s="583"/>
      <c r="G1470" s="583"/>
      <c r="H1470" s="405"/>
      <c r="I1470" s="405"/>
      <c r="J1470" s="405"/>
      <c r="K1470" s="405"/>
      <c r="L1470" s="405"/>
      <c r="M1470" s="405"/>
      <c r="N1470" s="405"/>
      <c r="O1470" s="405"/>
      <c r="P1470" s="405"/>
      <c r="Q1470" s="405"/>
      <c r="R1470" s="405"/>
      <c r="S1470" s="405"/>
      <c r="T1470" s="405"/>
      <c r="U1470" s="405"/>
      <c r="V1470" s="405"/>
      <c r="W1470" s="405"/>
      <c r="X1470" s="405"/>
      <c r="Y1470" s="405"/>
      <c r="Z1470" s="405"/>
    </row>
    <row r="1471" ht="14.25" customHeight="1">
      <c r="A1471" s="405"/>
      <c r="B1471" s="405"/>
      <c r="C1471" s="405"/>
      <c r="D1471" s="405"/>
      <c r="E1471" s="405"/>
      <c r="F1471" s="583"/>
      <c r="G1471" s="583"/>
      <c r="H1471" s="405"/>
      <c r="I1471" s="405"/>
      <c r="J1471" s="405"/>
      <c r="K1471" s="405"/>
      <c r="L1471" s="405"/>
      <c r="M1471" s="405"/>
      <c r="N1471" s="405"/>
      <c r="O1471" s="405"/>
      <c r="P1471" s="405"/>
      <c r="Q1471" s="405"/>
      <c r="R1471" s="405"/>
      <c r="S1471" s="405"/>
      <c r="T1471" s="405"/>
      <c r="U1471" s="405"/>
      <c r="V1471" s="405"/>
      <c r="W1471" s="405"/>
      <c r="X1471" s="405"/>
      <c r="Y1471" s="405"/>
      <c r="Z1471" s="405"/>
    </row>
    <row r="1472" ht="14.25" customHeight="1">
      <c r="A1472" s="405"/>
      <c r="B1472" s="405"/>
      <c r="C1472" s="405"/>
      <c r="D1472" s="405"/>
      <c r="E1472" s="405"/>
      <c r="F1472" s="583"/>
      <c r="G1472" s="583"/>
      <c r="H1472" s="405"/>
      <c r="I1472" s="405"/>
      <c r="J1472" s="405"/>
      <c r="K1472" s="405"/>
      <c r="L1472" s="405"/>
      <c r="M1472" s="405"/>
      <c r="N1472" s="405"/>
      <c r="O1472" s="405"/>
      <c r="P1472" s="405"/>
      <c r="Q1472" s="405"/>
      <c r="R1472" s="405"/>
      <c r="S1472" s="405"/>
      <c r="T1472" s="405"/>
      <c r="U1472" s="405"/>
      <c r="V1472" s="405"/>
      <c r="W1472" s="405"/>
      <c r="X1472" s="405"/>
      <c r="Y1472" s="405"/>
      <c r="Z1472" s="405"/>
    </row>
    <row r="1473" ht="14.25" customHeight="1">
      <c r="A1473" s="405"/>
      <c r="B1473" s="405"/>
      <c r="C1473" s="405"/>
      <c r="D1473" s="405"/>
      <c r="E1473" s="405"/>
      <c r="F1473" s="583"/>
      <c r="G1473" s="583"/>
      <c r="H1473" s="405"/>
      <c r="I1473" s="405"/>
      <c r="J1473" s="405"/>
      <c r="K1473" s="405"/>
      <c r="L1473" s="405"/>
      <c r="M1473" s="405"/>
      <c r="N1473" s="405"/>
      <c r="O1473" s="405"/>
      <c r="P1473" s="405"/>
      <c r="Q1473" s="405"/>
      <c r="R1473" s="405"/>
      <c r="S1473" s="405"/>
      <c r="T1473" s="405"/>
      <c r="U1473" s="405"/>
      <c r="V1473" s="405"/>
      <c r="W1473" s="405"/>
      <c r="X1473" s="405"/>
      <c r="Y1473" s="405"/>
      <c r="Z1473" s="405"/>
    </row>
    <row r="1474" ht="14.25" customHeight="1">
      <c r="A1474" s="405"/>
      <c r="B1474" s="405"/>
      <c r="C1474" s="405"/>
      <c r="D1474" s="405"/>
      <c r="E1474" s="405"/>
      <c r="F1474" s="583"/>
      <c r="G1474" s="583"/>
      <c r="H1474" s="405"/>
      <c r="I1474" s="405"/>
      <c r="J1474" s="405"/>
      <c r="K1474" s="405"/>
      <c r="L1474" s="405"/>
      <c r="M1474" s="405"/>
      <c r="N1474" s="405"/>
      <c r="O1474" s="405"/>
      <c r="P1474" s="405"/>
      <c r="Q1474" s="405"/>
      <c r="R1474" s="405"/>
      <c r="S1474" s="405"/>
      <c r="T1474" s="405"/>
      <c r="U1474" s="405"/>
      <c r="V1474" s="405"/>
      <c r="W1474" s="405"/>
      <c r="X1474" s="405"/>
      <c r="Y1474" s="405"/>
      <c r="Z1474" s="405"/>
    </row>
    <row r="1475" ht="14.25" customHeight="1">
      <c r="A1475" s="405"/>
      <c r="B1475" s="405"/>
      <c r="C1475" s="405"/>
      <c r="D1475" s="405"/>
      <c r="E1475" s="405"/>
      <c r="F1475" s="583"/>
      <c r="G1475" s="583"/>
      <c r="H1475" s="405"/>
      <c r="I1475" s="405"/>
      <c r="J1475" s="405"/>
      <c r="K1475" s="405"/>
      <c r="L1475" s="405"/>
      <c r="M1475" s="405"/>
      <c r="N1475" s="405"/>
      <c r="O1475" s="405"/>
      <c r="P1475" s="405"/>
      <c r="Q1475" s="405"/>
      <c r="R1475" s="405"/>
      <c r="S1475" s="405"/>
      <c r="T1475" s="405"/>
      <c r="U1475" s="405"/>
      <c r="V1475" s="405"/>
      <c r="W1475" s="405"/>
      <c r="X1475" s="405"/>
      <c r="Y1475" s="405"/>
      <c r="Z1475" s="405"/>
    </row>
    <row r="1476" ht="14.25" customHeight="1">
      <c r="A1476" s="405"/>
      <c r="B1476" s="405"/>
      <c r="C1476" s="405"/>
      <c r="D1476" s="405"/>
      <c r="E1476" s="405"/>
      <c r="F1476" s="583"/>
      <c r="G1476" s="583"/>
      <c r="H1476" s="405"/>
      <c r="I1476" s="405"/>
      <c r="J1476" s="405"/>
      <c r="K1476" s="405"/>
      <c r="L1476" s="405"/>
      <c r="M1476" s="405"/>
      <c r="N1476" s="405"/>
      <c r="O1476" s="405"/>
      <c r="P1476" s="405"/>
      <c r="Q1476" s="405"/>
      <c r="R1476" s="405"/>
      <c r="S1476" s="405"/>
      <c r="T1476" s="405"/>
      <c r="U1476" s="405"/>
      <c r="V1476" s="405"/>
      <c r="W1476" s="405"/>
      <c r="X1476" s="405"/>
      <c r="Y1476" s="405"/>
      <c r="Z1476" s="405"/>
    </row>
    <row r="1477" ht="14.25" customHeight="1">
      <c r="A1477" s="405"/>
      <c r="B1477" s="405"/>
      <c r="C1477" s="405"/>
      <c r="D1477" s="405"/>
      <c r="E1477" s="405"/>
      <c r="F1477" s="583"/>
      <c r="G1477" s="583"/>
      <c r="H1477" s="405"/>
      <c r="I1477" s="405"/>
      <c r="J1477" s="405"/>
      <c r="K1477" s="405"/>
      <c r="L1477" s="405"/>
      <c r="M1477" s="405"/>
      <c r="N1477" s="405"/>
      <c r="O1477" s="405"/>
      <c r="P1477" s="405"/>
      <c r="Q1477" s="405"/>
      <c r="R1477" s="405"/>
      <c r="S1477" s="405"/>
      <c r="T1477" s="405"/>
      <c r="U1477" s="405"/>
      <c r="V1477" s="405"/>
      <c r="W1477" s="405"/>
      <c r="X1477" s="405"/>
      <c r="Y1477" s="405"/>
      <c r="Z1477" s="405"/>
    </row>
    <row r="1478" ht="14.25" customHeight="1">
      <c r="A1478" s="405"/>
      <c r="B1478" s="405"/>
      <c r="C1478" s="405"/>
      <c r="D1478" s="405"/>
      <c r="E1478" s="405"/>
      <c r="F1478" s="583"/>
      <c r="G1478" s="583"/>
      <c r="H1478" s="405"/>
      <c r="I1478" s="405"/>
      <c r="J1478" s="405"/>
      <c r="K1478" s="405"/>
      <c r="L1478" s="405"/>
      <c r="M1478" s="405"/>
      <c r="N1478" s="405"/>
      <c r="O1478" s="405"/>
      <c r="P1478" s="405"/>
      <c r="Q1478" s="405"/>
      <c r="R1478" s="405"/>
      <c r="S1478" s="405"/>
      <c r="T1478" s="405"/>
      <c r="U1478" s="405"/>
      <c r="V1478" s="405"/>
      <c r="W1478" s="405"/>
      <c r="X1478" s="405"/>
      <c r="Y1478" s="405"/>
      <c r="Z1478" s="405"/>
    </row>
    <row r="1479" ht="14.25" customHeight="1">
      <c r="A1479" s="405"/>
      <c r="B1479" s="405"/>
      <c r="C1479" s="405"/>
      <c r="D1479" s="405"/>
      <c r="E1479" s="405"/>
      <c r="F1479" s="583"/>
      <c r="G1479" s="583"/>
      <c r="H1479" s="405"/>
      <c r="I1479" s="405"/>
      <c r="J1479" s="405"/>
      <c r="K1479" s="405"/>
      <c r="L1479" s="405"/>
      <c r="M1479" s="405"/>
      <c r="N1479" s="405"/>
      <c r="O1479" s="405"/>
      <c r="P1479" s="405"/>
      <c r="Q1479" s="405"/>
      <c r="R1479" s="405"/>
      <c r="S1479" s="405"/>
      <c r="T1479" s="405"/>
      <c r="U1479" s="405"/>
      <c r="V1479" s="405"/>
      <c r="W1479" s="405"/>
      <c r="X1479" s="405"/>
      <c r="Y1479" s="405"/>
      <c r="Z1479" s="405"/>
    </row>
    <row r="1480" ht="14.25" customHeight="1">
      <c r="A1480" s="405"/>
      <c r="B1480" s="405"/>
      <c r="C1480" s="405"/>
      <c r="D1480" s="405"/>
      <c r="E1480" s="405"/>
      <c r="F1480" s="583"/>
      <c r="G1480" s="583"/>
      <c r="H1480" s="405"/>
      <c r="I1480" s="405"/>
      <c r="J1480" s="405"/>
      <c r="K1480" s="405"/>
      <c r="L1480" s="405"/>
      <c r="M1480" s="405"/>
      <c r="N1480" s="405"/>
      <c r="O1480" s="405"/>
      <c r="P1480" s="405"/>
      <c r="Q1480" s="405"/>
      <c r="R1480" s="405"/>
      <c r="S1480" s="405"/>
      <c r="T1480" s="405"/>
      <c r="U1480" s="405"/>
      <c r="V1480" s="405"/>
      <c r="W1480" s="405"/>
      <c r="X1480" s="405"/>
      <c r="Y1480" s="405"/>
      <c r="Z1480" s="405"/>
    </row>
    <row r="1481" ht="14.25" customHeight="1">
      <c r="A1481" s="405"/>
      <c r="B1481" s="405"/>
      <c r="C1481" s="405"/>
      <c r="D1481" s="405"/>
      <c r="E1481" s="405"/>
      <c r="F1481" s="583"/>
      <c r="G1481" s="583"/>
      <c r="H1481" s="405"/>
      <c r="I1481" s="405"/>
      <c r="J1481" s="405"/>
      <c r="K1481" s="405"/>
      <c r="L1481" s="405"/>
      <c r="M1481" s="405"/>
      <c r="N1481" s="405"/>
      <c r="O1481" s="405"/>
      <c r="P1481" s="405"/>
      <c r="Q1481" s="405"/>
      <c r="R1481" s="405"/>
      <c r="S1481" s="405"/>
      <c r="T1481" s="405"/>
      <c r="U1481" s="405"/>
      <c r="V1481" s="405"/>
      <c r="W1481" s="405"/>
      <c r="X1481" s="405"/>
      <c r="Y1481" s="405"/>
      <c r="Z1481" s="405"/>
    </row>
    <row r="1482" ht="14.25" customHeight="1">
      <c r="A1482" s="405"/>
      <c r="B1482" s="405"/>
      <c r="C1482" s="405"/>
      <c r="D1482" s="405"/>
      <c r="E1482" s="405"/>
      <c r="F1482" s="583"/>
      <c r="G1482" s="583"/>
      <c r="H1482" s="405"/>
      <c r="I1482" s="405"/>
      <c r="J1482" s="405"/>
      <c r="K1482" s="405"/>
      <c r="L1482" s="405"/>
      <c r="M1482" s="405"/>
      <c r="N1482" s="405"/>
      <c r="O1482" s="405"/>
      <c r="P1482" s="405"/>
      <c r="Q1482" s="405"/>
      <c r="R1482" s="405"/>
      <c r="S1482" s="405"/>
      <c r="T1482" s="405"/>
      <c r="U1482" s="405"/>
      <c r="V1482" s="405"/>
      <c r="W1482" s="405"/>
      <c r="X1482" s="405"/>
      <c r="Y1482" s="405"/>
      <c r="Z1482" s="405"/>
    </row>
    <row r="1483" ht="14.25" customHeight="1">
      <c r="A1483" s="405"/>
      <c r="B1483" s="405"/>
      <c r="C1483" s="405"/>
      <c r="D1483" s="405"/>
      <c r="E1483" s="405"/>
      <c r="F1483" s="583"/>
      <c r="G1483" s="583"/>
      <c r="H1483" s="405"/>
      <c r="I1483" s="405"/>
      <c r="J1483" s="405"/>
      <c r="K1483" s="405"/>
      <c r="L1483" s="405"/>
      <c r="M1483" s="405"/>
      <c r="N1483" s="405"/>
      <c r="O1483" s="405"/>
      <c r="P1483" s="405"/>
      <c r="Q1483" s="405"/>
      <c r="R1483" s="405"/>
      <c r="S1483" s="405"/>
      <c r="T1483" s="405"/>
      <c r="U1483" s="405"/>
      <c r="V1483" s="405"/>
      <c r="W1483" s="405"/>
      <c r="X1483" s="405"/>
      <c r="Y1483" s="405"/>
      <c r="Z1483" s="405"/>
    </row>
    <row r="1484" ht="14.25" customHeight="1">
      <c r="A1484" s="405"/>
      <c r="B1484" s="405"/>
      <c r="C1484" s="405"/>
      <c r="D1484" s="405"/>
      <c r="E1484" s="405"/>
      <c r="F1484" s="583"/>
      <c r="G1484" s="583"/>
      <c r="H1484" s="405"/>
      <c r="I1484" s="405"/>
      <c r="J1484" s="405"/>
      <c r="K1484" s="405"/>
      <c r="L1484" s="405"/>
      <c r="M1484" s="405"/>
      <c r="N1484" s="405"/>
      <c r="O1484" s="405"/>
      <c r="P1484" s="405"/>
      <c r="Q1484" s="405"/>
      <c r="R1484" s="405"/>
      <c r="S1484" s="405"/>
      <c r="T1484" s="405"/>
      <c r="U1484" s="405"/>
      <c r="V1484" s="405"/>
      <c r="W1484" s="405"/>
      <c r="X1484" s="405"/>
      <c r="Y1484" s="405"/>
      <c r="Z1484" s="405"/>
    </row>
    <row r="1485" ht="14.25" customHeight="1">
      <c r="A1485" s="405"/>
      <c r="B1485" s="405"/>
      <c r="C1485" s="405"/>
      <c r="D1485" s="405"/>
      <c r="E1485" s="405"/>
      <c r="F1485" s="583"/>
      <c r="G1485" s="583"/>
      <c r="H1485" s="405"/>
      <c r="I1485" s="405"/>
      <c r="J1485" s="405"/>
      <c r="K1485" s="405"/>
      <c r="L1485" s="405"/>
      <c r="M1485" s="405"/>
      <c r="N1485" s="405"/>
      <c r="O1485" s="405"/>
      <c r="P1485" s="405"/>
      <c r="Q1485" s="405"/>
      <c r="R1485" s="405"/>
      <c r="S1485" s="405"/>
      <c r="T1485" s="405"/>
      <c r="U1485" s="405"/>
      <c r="V1485" s="405"/>
      <c r="W1485" s="405"/>
      <c r="X1485" s="405"/>
      <c r="Y1485" s="405"/>
      <c r="Z1485" s="405"/>
    </row>
    <row r="1486" ht="14.25" customHeight="1">
      <c r="A1486" s="405"/>
      <c r="B1486" s="405"/>
      <c r="C1486" s="405"/>
      <c r="D1486" s="405"/>
      <c r="E1486" s="405"/>
      <c r="F1486" s="583"/>
      <c r="G1486" s="583"/>
      <c r="H1486" s="405"/>
      <c r="I1486" s="405"/>
      <c r="J1486" s="405"/>
      <c r="K1486" s="405"/>
      <c r="L1486" s="405"/>
      <c r="M1486" s="405"/>
      <c r="N1486" s="405"/>
      <c r="O1486" s="405"/>
      <c r="P1486" s="405"/>
      <c r="Q1486" s="405"/>
      <c r="R1486" s="405"/>
      <c r="S1486" s="405"/>
      <c r="T1486" s="405"/>
      <c r="U1486" s="405"/>
      <c r="V1486" s="405"/>
      <c r="W1486" s="405"/>
      <c r="X1486" s="405"/>
      <c r="Y1486" s="405"/>
      <c r="Z1486" s="405"/>
    </row>
    <row r="1487" ht="14.25" customHeight="1">
      <c r="A1487" s="405"/>
      <c r="B1487" s="405"/>
      <c r="C1487" s="405"/>
      <c r="D1487" s="405"/>
      <c r="E1487" s="405"/>
      <c r="F1487" s="583"/>
      <c r="G1487" s="583"/>
      <c r="H1487" s="405"/>
      <c r="I1487" s="405"/>
      <c r="J1487" s="405"/>
      <c r="K1487" s="405"/>
      <c r="L1487" s="405"/>
      <c r="M1487" s="405"/>
      <c r="N1487" s="405"/>
      <c r="O1487" s="405"/>
      <c r="P1487" s="405"/>
      <c r="Q1487" s="405"/>
      <c r="R1487" s="405"/>
      <c r="S1487" s="405"/>
      <c r="T1487" s="405"/>
      <c r="U1487" s="405"/>
      <c r="V1487" s="405"/>
      <c r="W1487" s="405"/>
      <c r="X1487" s="405"/>
      <c r="Y1487" s="405"/>
      <c r="Z1487" s="405"/>
    </row>
    <row r="1488" ht="14.25" customHeight="1">
      <c r="A1488" s="405"/>
      <c r="B1488" s="405"/>
      <c r="C1488" s="405"/>
      <c r="D1488" s="405"/>
      <c r="E1488" s="405"/>
      <c r="F1488" s="583"/>
      <c r="G1488" s="583"/>
      <c r="H1488" s="405"/>
      <c r="I1488" s="405"/>
      <c r="J1488" s="405"/>
      <c r="K1488" s="405"/>
      <c r="L1488" s="405"/>
      <c r="M1488" s="405"/>
      <c r="N1488" s="405"/>
      <c r="O1488" s="405"/>
      <c r="P1488" s="405"/>
      <c r="Q1488" s="405"/>
      <c r="R1488" s="405"/>
      <c r="S1488" s="405"/>
      <c r="T1488" s="405"/>
      <c r="U1488" s="405"/>
      <c r="V1488" s="405"/>
      <c r="W1488" s="405"/>
      <c r="X1488" s="405"/>
      <c r="Y1488" s="405"/>
      <c r="Z1488" s="405"/>
    </row>
    <row r="1489" ht="14.25" customHeight="1">
      <c r="A1489" s="405"/>
      <c r="B1489" s="405"/>
      <c r="C1489" s="405"/>
      <c r="D1489" s="405"/>
      <c r="E1489" s="405"/>
      <c r="F1489" s="583"/>
      <c r="G1489" s="583"/>
      <c r="H1489" s="405"/>
      <c r="I1489" s="405"/>
      <c r="J1489" s="405"/>
      <c r="K1489" s="405"/>
      <c r="L1489" s="405"/>
      <c r="M1489" s="405"/>
      <c r="N1489" s="405"/>
      <c r="O1489" s="405"/>
      <c r="P1489" s="405"/>
      <c r="Q1489" s="405"/>
      <c r="R1489" s="405"/>
      <c r="S1489" s="405"/>
      <c r="T1489" s="405"/>
      <c r="U1489" s="405"/>
      <c r="V1489" s="405"/>
      <c r="W1489" s="405"/>
      <c r="X1489" s="405"/>
      <c r="Y1489" s="405"/>
      <c r="Z1489" s="405"/>
    </row>
    <row r="1490" ht="14.25" customHeight="1">
      <c r="A1490" s="405"/>
      <c r="B1490" s="405"/>
      <c r="C1490" s="405"/>
      <c r="D1490" s="405"/>
      <c r="E1490" s="405"/>
      <c r="F1490" s="583"/>
      <c r="G1490" s="583"/>
      <c r="H1490" s="405"/>
      <c r="I1490" s="405"/>
      <c r="J1490" s="405"/>
      <c r="K1490" s="405"/>
      <c r="L1490" s="405"/>
      <c r="M1490" s="405"/>
      <c r="N1490" s="405"/>
      <c r="O1490" s="405"/>
      <c r="P1490" s="405"/>
      <c r="Q1490" s="405"/>
      <c r="R1490" s="405"/>
      <c r="S1490" s="405"/>
      <c r="T1490" s="405"/>
      <c r="U1490" s="405"/>
      <c r="V1490" s="405"/>
      <c r="W1490" s="405"/>
      <c r="X1490" s="405"/>
      <c r="Y1490" s="405"/>
      <c r="Z1490" s="405"/>
    </row>
    <row r="1491" ht="14.25" customHeight="1">
      <c r="A1491" s="405"/>
      <c r="B1491" s="405"/>
      <c r="C1491" s="405"/>
      <c r="D1491" s="405"/>
      <c r="E1491" s="405"/>
      <c r="F1491" s="583"/>
      <c r="G1491" s="583"/>
      <c r="H1491" s="405"/>
      <c r="I1491" s="405"/>
      <c r="J1491" s="405"/>
      <c r="K1491" s="405"/>
      <c r="L1491" s="405"/>
      <c r="M1491" s="405"/>
      <c r="N1491" s="405"/>
      <c r="O1491" s="405"/>
      <c r="P1491" s="405"/>
      <c r="Q1491" s="405"/>
      <c r="R1491" s="405"/>
      <c r="S1491" s="405"/>
      <c r="T1491" s="405"/>
      <c r="U1491" s="405"/>
      <c r="V1491" s="405"/>
      <c r="W1491" s="405"/>
      <c r="X1491" s="405"/>
      <c r="Y1491" s="405"/>
      <c r="Z1491" s="405"/>
    </row>
    <row r="1492" ht="14.25" customHeight="1">
      <c r="A1492" s="405"/>
      <c r="B1492" s="405"/>
      <c r="C1492" s="405"/>
      <c r="D1492" s="405"/>
      <c r="E1492" s="405"/>
      <c r="F1492" s="583"/>
      <c r="G1492" s="583"/>
      <c r="H1492" s="405"/>
      <c r="I1492" s="405"/>
      <c r="J1492" s="405"/>
      <c r="K1492" s="405"/>
      <c r="L1492" s="405"/>
      <c r="M1492" s="405"/>
      <c r="N1492" s="405"/>
      <c r="O1492" s="405"/>
      <c r="P1492" s="405"/>
      <c r="Q1492" s="405"/>
      <c r="R1492" s="405"/>
      <c r="S1492" s="405"/>
      <c r="T1492" s="405"/>
      <c r="U1492" s="405"/>
      <c r="V1492" s="405"/>
      <c r="W1492" s="405"/>
      <c r="X1492" s="405"/>
      <c r="Y1492" s="405"/>
      <c r="Z1492" s="405"/>
    </row>
    <row r="1493" ht="14.25" customHeight="1">
      <c r="A1493" s="405"/>
      <c r="B1493" s="405"/>
      <c r="C1493" s="405"/>
      <c r="D1493" s="405"/>
      <c r="E1493" s="405"/>
      <c r="F1493" s="583"/>
      <c r="G1493" s="583"/>
      <c r="H1493" s="405"/>
      <c r="I1493" s="405"/>
      <c r="J1493" s="405"/>
      <c r="K1493" s="405"/>
      <c r="L1493" s="405"/>
      <c r="M1493" s="405"/>
      <c r="N1493" s="405"/>
      <c r="O1493" s="405"/>
      <c r="P1493" s="405"/>
      <c r="Q1493" s="405"/>
      <c r="R1493" s="405"/>
      <c r="S1493" s="405"/>
      <c r="T1493" s="405"/>
      <c r="U1493" s="405"/>
      <c r="V1493" s="405"/>
      <c r="W1493" s="405"/>
      <c r="X1493" s="405"/>
      <c r="Y1493" s="405"/>
      <c r="Z1493" s="405"/>
    </row>
    <row r="1494" ht="14.25" customHeight="1">
      <c r="A1494" s="405"/>
      <c r="B1494" s="405"/>
      <c r="C1494" s="405"/>
      <c r="D1494" s="405"/>
      <c r="E1494" s="405"/>
      <c r="F1494" s="583"/>
      <c r="G1494" s="583"/>
      <c r="H1494" s="405"/>
      <c r="I1494" s="405"/>
      <c r="J1494" s="405"/>
      <c r="K1494" s="405"/>
      <c r="L1494" s="405"/>
      <c r="M1494" s="405"/>
      <c r="N1494" s="405"/>
      <c r="O1494" s="405"/>
      <c r="P1494" s="405"/>
      <c r="Q1494" s="405"/>
      <c r="R1494" s="405"/>
      <c r="S1494" s="405"/>
      <c r="T1494" s="405"/>
      <c r="U1494" s="405"/>
      <c r="V1494" s="405"/>
      <c r="W1494" s="405"/>
      <c r="X1494" s="405"/>
      <c r="Y1494" s="405"/>
      <c r="Z1494" s="405"/>
    </row>
    <row r="1495" ht="14.25" customHeight="1">
      <c r="A1495" s="405"/>
      <c r="B1495" s="405"/>
      <c r="C1495" s="405"/>
      <c r="D1495" s="405"/>
      <c r="E1495" s="405"/>
      <c r="F1495" s="583"/>
      <c r="G1495" s="583"/>
      <c r="H1495" s="405"/>
      <c r="I1495" s="405"/>
      <c r="J1495" s="405"/>
      <c r="K1495" s="405"/>
      <c r="L1495" s="405"/>
      <c r="M1495" s="405"/>
      <c r="N1495" s="405"/>
      <c r="O1495" s="405"/>
      <c r="P1495" s="405"/>
      <c r="Q1495" s="405"/>
      <c r="R1495" s="405"/>
      <c r="S1495" s="405"/>
      <c r="T1495" s="405"/>
      <c r="U1495" s="405"/>
      <c r="V1495" s="405"/>
      <c r="W1495" s="405"/>
      <c r="X1495" s="405"/>
      <c r="Y1495" s="405"/>
      <c r="Z1495" s="405"/>
    </row>
    <row r="1496" ht="14.25" customHeight="1">
      <c r="A1496" s="405"/>
      <c r="B1496" s="405"/>
      <c r="C1496" s="405"/>
      <c r="D1496" s="405"/>
      <c r="E1496" s="405"/>
      <c r="F1496" s="583"/>
      <c r="G1496" s="583"/>
      <c r="H1496" s="405"/>
      <c r="I1496" s="405"/>
      <c r="J1496" s="405"/>
      <c r="K1496" s="405"/>
      <c r="L1496" s="405"/>
      <c r="M1496" s="405"/>
      <c r="N1496" s="405"/>
      <c r="O1496" s="405"/>
      <c r="P1496" s="405"/>
      <c r="Q1496" s="405"/>
      <c r="R1496" s="405"/>
      <c r="S1496" s="405"/>
      <c r="T1496" s="405"/>
      <c r="U1496" s="405"/>
      <c r="V1496" s="405"/>
      <c r="W1496" s="405"/>
      <c r="X1496" s="405"/>
      <c r="Y1496" s="405"/>
      <c r="Z1496" s="405"/>
    </row>
    <row r="1497" ht="14.25" customHeight="1">
      <c r="A1497" s="405"/>
      <c r="B1497" s="405"/>
      <c r="C1497" s="405"/>
      <c r="D1497" s="405"/>
      <c r="E1497" s="405"/>
      <c r="F1497" s="583"/>
      <c r="G1497" s="583"/>
      <c r="H1497" s="405"/>
      <c r="I1497" s="405"/>
      <c r="J1497" s="405"/>
      <c r="K1497" s="405"/>
      <c r="L1497" s="405"/>
      <c r="M1497" s="405"/>
      <c r="N1497" s="405"/>
      <c r="O1497" s="405"/>
      <c r="P1497" s="405"/>
      <c r="Q1497" s="405"/>
      <c r="R1497" s="405"/>
      <c r="S1497" s="405"/>
      <c r="T1497" s="405"/>
      <c r="U1497" s="405"/>
      <c r="V1497" s="405"/>
      <c r="W1497" s="405"/>
      <c r="X1497" s="405"/>
      <c r="Y1497" s="405"/>
      <c r="Z1497" s="405"/>
    </row>
    <row r="1498" ht="14.25" customHeight="1">
      <c r="A1498" s="405"/>
      <c r="B1498" s="405"/>
      <c r="C1498" s="405"/>
      <c r="D1498" s="405"/>
      <c r="E1498" s="405"/>
      <c r="F1498" s="583"/>
      <c r="G1498" s="583"/>
      <c r="H1498" s="405"/>
      <c r="I1498" s="405"/>
      <c r="J1498" s="405"/>
      <c r="K1498" s="405"/>
      <c r="L1498" s="405"/>
      <c r="M1498" s="405"/>
      <c r="N1498" s="405"/>
      <c r="O1498" s="405"/>
      <c r="P1498" s="405"/>
      <c r="Q1498" s="405"/>
      <c r="R1498" s="405"/>
      <c r="S1498" s="405"/>
      <c r="T1498" s="405"/>
      <c r="U1498" s="405"/>
      <c r="V1498" s="405"/>
      <c r="W1498" s="405"/>
      <c r="X1498" s="405"/>
      <c r="Y1498" s="405"/>
      <c r="Z1498" s="405"/>
    </row>
    <row r="1499" ht="14.25" customHeight="1">
      <c r="A1499" s="405"/>
      <c r="B1499" s="405"/>
      <c r="C1499" s="405"/>
      <c r="D1499" s="405"/>
      <c r="E1499" s="405"/>
      <c r="F1499" s="583"/>
      <c r="G1499" s="583"/>
      <c r="H1499" s="405"/>
      <c r="I1499" s="405"/>
      <c r="J1499" s="405"/>
      <c r="K1499" s="405"/>
      <c r="L1499" s="405"/>
      <c r="M1499" s="405"/>
      <c r="N1499" s="405"/>
      <c r="O1499" s="405"/>
      <c r="P1499" s="405"/>
      <c r="Q1499" s="405"/>
      <c r="R1499" s="405"/>
      <c r="S1499" s="405"/>
      <c r="T1499" s="405"/>
      <c r="U1499" s="405"/>
      <c r="V1499" s="405"/>
      <c r="W1499" s="405"/>
      <c r="X1499" s="405"/>
      <c r="Y1499" s="405"/>
      <c r="Z1499" s="405"/>
    </row>
    <row r="1500" ht="14.25" customHeight="1">
      <c r="A1500" s="405"/>
      <c r="B1500" s="405"/>
      <c r="C1500" s="405"/>
      <c r="D1500" s="405"/>
      <c r="E1500" s="405"/>
      <c r="F1500" s="583"/>
      <c r="G1500" s="583"/>
      <c r="H1500" s="405"/>
      <c r="I1500" s="405"/>
      <c r="J1500" s="405"/>
      <c r="K1500" s="405"/>
      <c r="L1500" s="405"/>
      <c r="M1500" s="405"/>
      <c r="N1500" s="405"/>
      <c r="O1500" s="405"/>
      <c r="P1500" s="405"/>
      <c r="Q1500" s="405"/>
      <c r="R1500" s="405"/>
      <c r="S1500" s="405"/>
      <c r="T1500" s="405"/>
      <c r="U1500" s="405"/>
      <c r="V1500" s="405"/>
      <c r="W1500" s="405"/>
      <c r="X1500" s="405"/>
      <c r="Y1500" s="405"/>
      <c r="Z1500" s="405"/>
    </row>
    <row r="1501" ht="14.25" customHeight="1">
      <c r="A1501" s="405"/>
      <c r="B1501" s="405"/>
      <c r="C1501" s="405"/>
      <c r="D1501" s="405"/>
      <c r="E1501" s="405"/>
      <c r="F1501" s="583"/>
      <c r="G1501" s="583"/>
      <c r="H1501" s="405"/>
      <c r="I1501" s="405"/>
      <c r="J1501" s="405"/>
      <c r="K1501" s="405"/>
      <c r="L1501" s="405"/>
      <c r="M1501" s="405"/>
      <c r="N1501" s="405"/>
      <c r="O1501" s="405"/>
      <c r="P1501" s="405"/>
      <c r="Q1501" s="405"/>
      <c r="R1501" s="405"/>
      <c r="S1501" s="405"/>
      <c r="T1501" s="405"/>
      <c r="U1501" s="405"/>
      <c r="V1501" s="405"/>
      <c r="W1501" s="405"/>
      <c r="X1501" s="405"/>
      <c r="Y1501" s="405"/>
      <c r="Z1501" s="405"/>
    </row>
    <row r="1502" ht="14.25" customHeight="1">
      <c r="A1502" s="405"/>
      <c r="B1502" s="405"/>
      <c r="C1502" s="405"/>
      <c r="D1502" s="405"/>
      <c r="E1502" s="405"/>
      <c r="F1502" s="583"/>
      <c r="G1502" s="583"/>
      <c r="H1502" s="405"/>
      <c r="I1502" s="405"/>
      <c r="J1502" s="405"/>
      <c r="K1502" s="405"/>
      <c r="L1502" s="405"/>
      <c r="M1502" s="405"/>
      <c r="N1502" s="405"/>
      <c r="O1502" s="405"/>
      <c r="P1502" s="405"/>
      <c r="Q1502" s="405"/>
      <c r="R1502" s="405"/>
      <c r="S1502" s="405"/>
      <c r="T1502" s="405"/>
      <c r="U1502" s="405"/>
      <c r="V1502" s="405"/>
      <c r="W1502" s="405"/>
      <c r="X1502" s="405"/>
      <c r="Y1502" s="405"/>
      <c r="Z1502" s="405"/>
    </row>
    <row r="1503" ht="14.25" customHeight="1">
      <c r="A1503" s="405"/>
      <c r="B1503" s="405"/>
      <c r="C1503" s="405"/>
      <c r="D1503" s="405"/>
      <c r="E1503" s="405"/>
      <c r="F1503" s="583"/>
      <c r="G1503" s="583"/>
      <c r="H1503" s="405"/>
      <c r="I1503" s="405"/>
      <c r="J1503" s="405"/>
      <c r="K1503" s="405"/>
      <c r="L1503" s="405"/>
      <c r="M1503" s="405"/>
      <c r="N1503" s="405"/>
      <c r="O1503" s="405"/>
      <c r="P1503" s="405"/>
      <c r="Q1503" s="405"/>
      <c r="R1503" s="405"/>
      <c r="S1503" s="405"/>
      <c r="T1503" s="405"/>
      <c r="U1503" s="405"/>
      <c r="V1503" s="405"/>
      <c r="W1503" s="405"/>
      <c r="X1503" s="405"/>
      <c r="Y1503" s="405"/>
      <c r="Z1503" s="405"/>
    </row>
    <row r="1504" ht="14.25" customHeight="1">
      <c r="A1504" s="405"/>
      <c r="B1504" s="405"/>
      <c r="C1504" s="405"/>
      <c r="D1504" s="405"/>
      <c r="E1504" s="405"/>
      <c r="F1504" s="583"/>
      <c r="G1504" s="583"/>
      <c r="H1504" s="405"/>
      <c r="I1504" s="405"/>
      <c r="J1504" s="405"/>
      <c r="K1504" s="405"/>
      <c r="L1504" s="405"/>
      <c r="M1504" s="405"/>
      <c r="N1504" s="405"/>
      <c r="O1504" s="405"/>
      <c r="P1504" s="405"/>
      <c r="Q1504" s="405"/>
      <c r="R1504" s="405"/>
      <c r="S1504" s="405"/>
      <c r="T1504" s="405"/>
      <c r="U1504" s="405"/>
      <c r="V1504" s="405"/>
      <c r="W1504" s="405"/>
      <c r="X1504" s="405"/>
      <c r="Y1504" s="405"/>
      <c r="Z1504" s="405"/>
    </row>
    <row r="1505" ht="14.25" customHeight="1">
      <c r="A1505" s="405"/>
      <c r="B1505" s="405"/>
      <c r="C1505" s="405"/>
      <c r="D1505" s="405"/>
      <c r="E1505" s="405"/>
      <c r="F1505" s="583"/>
      <c r="G1505" s="583"/>
      <c r="H1505" s="405"/>
      <c r="I1505" s="405"/>
      <c r="J1505" s="405"/>
      <c r="K1505" s="405"/>
      <c r="L1505" s="405"/>
      <c r="M1505" s="405"/>
      <c r="N1505" s="405"/>
      <c r="O1505" s="405"/>
      <c r="P1505" s="405"/>
      <c r="Q1505" s="405"/>
      <c r="R1505" s="405"/>
      <c r="S1505" s="405"/>
      <c r="T1505" s="405"/>
      <c r="U1505" s="405"/>
      <c r="V1505" s="405"/>
      <c r="W1505" s="405"/>
      <c r="X1505" s="405"/>
      <c r="Y1505" s="405"/>
      <c r="Z1505" s="405"/>
    </row>
    <row r="1506" ht="14.25" customHeight="1">
      <c r="A1506" s="405"/>
      <c r="B1506" s="405"/>
      <c r="C1506" s="405"/>
      <c r="D1506" s="405"/>
      <c r="E1506" s="405"/>
      <c r="F1506" s="583"/>
      <c r="G1506" s="583"/>
      <c r="H1506" s="405"/>
      <c r="I1506" s="405"/>
      <c r="J1506" s="405"/>
      <c r="K1506" s="405"/>
      <c r="L1506" s="405"/>
      <c r="M1506" s="405"/>
      <c r="N1506" s="405"/>
      <c r="O1506" s="405"/>
      <c r="P1506" s="405"/>
      <c r="Q1506" s="405"/>
      <c r="R1506" s="405"/>
      <c r="S1506" s="405"/>
      <c r="T1506" s="405"/>
      <c r="U1506" s="405"/>
      <c r="V1506" s="405"/>
      <c r="W1506" s="405"/>
      <c r="X1506" s="405"/>
      <c r="Y1506" s="405"/>
      <c r="Z1506" s="405"/>
    </row>
    <row r="1507" ht="14.25" customHeight="1">
      <c r="A1507" s="405"/>
      <c r="B1507" s="405"/>
      <c r="C1507" s="405"/>
      <c r="D1507" s="405"/>
      <c r="E1507" s="405"/>
      <c r="F1507" s="583"/>
      <c r="G1507" s="583"/>
      <c r="H1507" s="405"/>
      <c r="I1507" s="405"/>
      <c r="J1507" s="405"/>
      <c r="K1507" s="405"/>
      <c r="L1507" s="405"/>
      <c r="M1507" s="405"/>
      <c r="N1507" s="405"/>
      <c r="O1507" s="405"/>
      <c r="P1507" s="405"/>
      <c r="Q1507" s="405"/>
      <c r="R1507" s="405"/>
      <c r="S1507" s="405"/>
      <c r="T1507" s="405"/>
      <c r="U1507" s="405"/>
      <c r="V1507" s="405"/>
      <c r="W1507" s="405"/>
      <c r="X1507" s="405"/>
      <c r="Y1507" s="405"/>
      <c r="Z1507" s="405"/>
    </row>
    <row r="1508" ht="14.25" customHeight="1">
      <c r="A1508" s="405"/>
      <c r="B1508" s="405"/>
      <c r="C1508" s="405"/>
      <c r="D1508" s="405"/>
      <c r="E1508" s="405"/>
      <c r="F1508" s="583"/>
      <c r="G1508" s="583"/>
      <c r="H1508" s="405"/>
      <c r="I1508" s="405"/>
      <c r="J1508" s="405"/>
      <c r="K1508" s="405"/>
      <c r="L1508" s="405"/>
      <c r="M1508" s="405"/>
      <c r="N1508" s="405"/>
      <c r="O1508" s="405"/>
      <c r="P1508" s="405"/>
      <c r="Q1508" s="405"/>
      <c r="R1508" s="405"/>
      <c r="S1508" s="405"/>
      <c r="T1508" s="405"/>
      <c r="U1508" s="405"/>
      <c r="V1508" s="405"/>
      <c r="W1508" s="405"/>
      <c r="X1508" s="405"/>
      <c r="Y1508" s="405"/>
      <c r="Z1508" s="405"/>
    </row>
    <row r="1509" ht="14.25" customHeight="1">
      <c r="A1509" s="405"/>
      <c r="B1509" s="405"/>
      <c r="C1509" s="405"/>
      <c r="D1509" s="405"/>
      <c r="E1509" s="405"/>
      <c r="F1509" s="583"/>
      <c r="G1509" s="583"/>
      <c r="H1509" s="405"/>
      <c r="I1509" s="405"/>
      <c r="J1509" s="405"/>
      <c r="K1509" s="405"/>
      <c r="L1509" s="405"/>
      <c r="M1509" s="405"/>
      <c r="N1509" s="405"/>
      <c r="O1509" s="405"/>
      <c r="P1509" s="405"/>
      <c r="Q1509" s="405"/>
      <c r="R1509" s="405"/>
      <c r="S1509" s="405"/>
      <c r="T1509" s="405"/>
      <c r="U1509" s="405"/>
      <c r="V1509" s="405"/>
      <c r="W1509" s="405"/>
      <c r="X1509" s="405"/>
      <c r="Y1509" s="405"/>
      <c r="Z1509" s="405"/>
    </row>
    <row r="1510" ht="14.25" customHeight="1">
      <c r="A1510" s="405"/>
      <c r="B1510" s="405"/>
      <c r="C1510" s="405"/>
      <c r="D1510" s="405"/>
      <c r="E1510" s="405"/>
      <c r="F1510" s="583"/>
      <c r="G1510" s="583"/>
      <c r="H1510" s="405"/>
      <c r="I1510" s="405"/>
      <c r="J1510" s="405"/>
      <c r="K1510" s="405"/>
      <c r="L1510" s="405"/>
      <c r="M1510" s="405"/>
      <c r="N1510" s="405"/>
      <c r="O1510" s="405"/>
      <c r="P1510" s="405"/>
      <c r="Q1510" s="405"/>
      <c r="R1510" s="405"/>
      <c r="S1510" s="405"/>
      <c r="T1510" s="405"/>
      <c r="U1510" s="405"/>
      <c r="V1510" s="405"/>
      <c r="W1510" s="405"/>
      <c r="X1510" s="405"/>
      <c r="Y1510" s="405"/>
      <c r="Z1510" s="405"/>
    </row>
    <row r="1511" ht="14.25" customHeight="1">
      <c r="A1511" s="405"/>
      <c r="B1511" s="405"/>
      <c r="C1511" s="405"/>
      <c r="D1511" s="405"/>
      <c r="E1511" s="405"/>
      <c r="F1511" s="583"/>
      <c r="G1511" s="583"/>
      <c r="H1511" s="405"/>
      <c r="I1511" s="405"/>
      <c r="J1511" s="405"/>
      <c r="K1511" s="405"/>
      <c r="L1511" s="405"/>
      <c r="M1511" s="405"/>
      <c r="N1511" s="405"/>
      <c r="O1511" s="405"/>
      <c r="P1511" s="405"/>
      <c r="Q1511" s="405"/>
      <c r="R1511" s="405"/>
      <c r="S1511" s="405"/>
      <c r="T1511" s="405"/>
      <c r="U1511" s="405"/>
      <c r="V1511" s="405"/>
      <c r="W1511" s="405"/>
      <c r="X1511" s="405"/>
      <c r="Y1511" s="405"/>
      <c r="Z1511" s="405"/>
    </row>
    <row r="1512" ht="14.25" customHeight="1">
      <c r="A1512" s="405"/>
      <c r="B1512" s="405"/>
      <c r="C1512" s="405"/>
      <c r="D1512" s="405"/>
      <c r="E1512" s="405"/>
      <c r="F1512" s="583"/>
      <c r="G1512" s="583"/>
      <c r="H1512" s="405"/>
      <c r="I1512" s="405"/>
      <c r="J1512" s="405"/>
      <c r="K1512" s="405"/>
      <c r="L1512" s="405"/>
      <c r="M1512" s="405"/>
      <c r="N1512" s="405"/>
      <c r="O1512" s="405"/>
      <c r="P1512" s="405"/>
      <c r="Q1512" s="405"/>
      <c r="R1512" s="405"/>
      <c r="S1512" s="405"/>
      <c r="T1512" s="405"/>
      <c r="U1512" s="405"/>
      <c r="V1512" s="405"/>
      <c r="W1512" s="405"/>
      <c r="X1512" s="405"/>
      <c r="Y1512" s="405"/>
      <c r="Z1512" s="405"/>
    </row>
    <row r="1513" ht="14.25" customHeight="1">
      <c r="A1513" s="405"/>
      <c r="B1513" s="405"/>
      <c r="C1513" s="405"/>
      <c r="D1513" s="405"/>
      <c r="E1513" s="405"/>
      <c r="F1513" s="583"/>
      <c r="G1513" s="583"/>
      <c r="H1513" s="405"/>
      <c r="I1513" s="405"/>
      <c r="J1513" s="405"/>
      <c r="K1513" s="405"/>
      <c r="L1513" s="405"/>
      <c r="M1513" s="405"/>
      <c r="N1513" s="405"/>
      <c r="O1513" s="405"/>
      <c r="P1513" s="405"/>
      <c r="Q1513" s="405"/>
      <c r="R1513" s="405"/>
      <c r="S1513" s="405"/>
      <c r="T1513" s="405"/>
      <c r="U1513" s="405"/>
      <c r="V1513" s="405"/>
      <c r="W1513" s="405"/>
      <c r="X1513" s="405"/>
      <c r="Y1513" s="405"/>
      <c r="Z1513" s="405"/>
    </row>
    <row r="1514" ht="14.25" customHeight="1">
      <c r="A1514" s="405"/>
      <c r="B1514" s="405"/>
      <c r="C1514" s="405"/>
      <c r="D1514" s="405"/>
      <c r="E1514" s="405"/>
      <c r="F1514" s="583"/>
      <c r="G1514" s="583"/>
      <c r="H1514" s="405"/>
      <c r="I1514" s="405"/>
      <c r="J1514" s="405"/>
      <c r="K1514" s="405"/>
      <c r="L1514" s="405"/>
      <c r="M1514" s="405"/>
      <c r="N1514" s="405"/>
      <c r="O1514" s="405"/>
      <c r="P1514" s="405"/>
      <c r="Q1514" s="405"/>
      <c r="R1514" s="405"/>
      <c r="S1514" s="405"/>
      <c r="T1514" s="405"/>
      <c r="U1514" s="405"/>
      <c r="V1514" s="405"/>
      <c r="W1514" s="405"/>
      <c r="X1514" s="405"/>
      <c r="Y1514" s="405"/>
      <c r="Z1514" s="405"/>
    </row>
    <row r="1515" ht="14.25" customHeight="1">
      <c r="A1515" s="405"/>
      <c r="B1515" s="405"/>
      <c r="C1515" s="405"/>
      <c r="D1515" s="405"/>
      <c r="E1515" s="405"/>
      <c r="F1515" s="583"/>
      <c r="G1515" s="583"/>
      <c r="H1515" s="405"/>
      <c r="I1515" s="405"/>
      <c r="J1515" s="405"/>
      <c r="K1515" s="405"/>
      <c r="L1515" s="405"/>
      <c r="M1515" s="405"/>
      <c r="N1515" s="405"/>
      <c r="O1515" s="405"/>
      <c r="P1515" s="405"/>
      <c r="Q1515" s="405"/>
      <c r="R1515" s="405"/>
      <c r="S1515" s="405"/>
      <c r="T1515" s="405"/>
      <c r="U1515" s="405"/>
      <c r="V1515" s="405"/>
      <c r="W1515" s="405"/>
      <c r="X1515" s="405"/>
      <c r="Y1515" s="405"/>
      <c r="Z1515" s="405"/>
    </row>
    <row r="1516" ht="14.25" customHeight="1">
      <c r="A1516" s="405"/>
      <c r="B1516" s="405"/>
      <c r="C1516" s="405"/>
      <c r="D1516" s="405"/>
      <c r="E1516" s="405"/>
      <c r="F1516" s="583"/>
      <c r="G1516" s="583"/>
      <c r="H1516" s="405"/>
      <c r="I1516" s="405"/>
      <c r="J1516" s="405"/>
      <c r="K1516" s="405"/>
      <c r="L1516" s="405"/>
      <c r="M1516" s="405"/>
      <c r="N1516" s="405"/>
      <c r="O1516" s="405"/>
      <c r="P1516" s="405"/>
      <c r="Q1516" s="405"/>
      <c r="R1516" s="405"/>
      <c r="S1516" s="405"/>
      <c r="T1516" s="405"/>
      <c r="U1516" s="405"/>
      <c r="V1516" s="405"/>
      <c r="W1516" s="405"/>
      <c r="X1516" s="405"/>
      <c r="Y1516" s="405"/>
      <c r="Z1516" s="405"/>
    </row>
    <row r="1517" ht="14.25" customHeight="1">
      <c r="A1517" s="405"/>
      <c r="B1517" s="405"/>
      <c r="C1517" s="405"/>
      <c r="D1517" s="405"/>
      <c r="E1517" s="405"/>
      <c r="F1517" s="583"/>
      <c r="G1517" s="583"/>
      <c r="H1517" s="405"/>
      <c r="I1517" s="405"/>
      <c r="J1517" s="405"/>
      <c r="K1517" s="405"/>
      <c r="L1517" s="405"/>
      <c r="M1517" s="405"/>
      <c r="N1517" s="405"/>
      <c r="O1517" s="405"/>
      <c r="P1517" s="405"/>
      <c r="Q1517" s="405"/>
      <c r="R1517" s="405"/>
      <c r="S1517" s="405"/>
      <c r="T1517" s="405"/>
      <c r="U1517" s="405"/>
      <c r="V1517" s="405"/>
      <c r="W1517" s="405"/>
      <c r="X1517" s="405"/>
      <c r="Y1517" s="405"/>
      <c r="Z1517" s="405"/>
    </row>
    <row r="1518" ht="14.25" customHeight="1">
      <c r="A1518" s="405"/>
      <c r="B1518" s="405"/>
      <c r="C1518" s="405"/>
      <c r="D1518" s="405"/>
      <c r="E1518" s="405"/>
      <c r="F1518" s="583"/>
      <c r="G1518" s="583"/>
      <c r="H1518" s="405"/>
      <c r="I1518" s="405"/>
      <c r="J1518" s="405"/>
      <c r="K1518" s="405"/>
      <c r="L1518" s="405"/>
      <c r="M1518" s="405"/>
      <c r="N1518" s="405"/>
      <c r="O1518" s="405"/>
      <c r="P1518" s="405"/>
      <c r="Q1518" s="405"/>
      <c r="R1518" s="405"/>
      <c r="S1518" s="405"/>
      <c r="T1518" s="405"/>
      <c r="U1518" s="405"/>
      <c r="V1518" s="405"/>
      <c r="W1518" s="405"/>
      <c r="X1518" s="405"/>
      <c r="Y1518" s="405"/>
      <c r="Z1518" s="405"/>
    </row>
    <row r="1519" ht="14.25" customHeight="1">
      <c r="A1519" s="405"/>
      <c r="B1519" s="405"/>
      <c r="C1519" s="405"/>
      <c r="D1519" s="405"/>
      <c r="E1519" s="405"/>
      <c r="F1519" s="583"/>
      <c r="G1519" s="583"/>
      <c r="H1519" s="405"/>
      <c r="I1519" s="405"/>
      <c r="J1519" s="405"/>
      <c r="K1519" s="405"/>
      <c r="L1519" s="405"/>
      <c r="M1519" s="405"/>
      <c r="N1519" s="405"/>
      <c r="O1519" s="405"/>
      <c r="P1519" s="405"/>
      <c r="Q1519" s="405"/>
      <c r="R1519" s="405"/>
      <c r="S1519" s="405"/>
      <c r="T1519" s="405"/>
      <c r="U1519" s="405"/>
      <c r="V1519" s="405"/>
      <c r="W1519" s="405"/>
      <c r="X1519" s="405"/>
      <c r="Y1519" s="405"/>
      <c r="Z1519" s="405"/>
    </row>
    <row r="1520" ht="14.25" customHeight="1">
      <c r="A1520" s="405"/>
      <c r="B1520" s="405"/>
      <c r="C1520" s="405"/>
      <c r="D1520" s="405"/>
      <c r="E1520" s="405"/>
      <c r="F1520" s="583"/>
      <c r="G1520" s="583"/>
      <c r="H1520" s="405"/>
      <c r="I1520" s="405"/>
      <c r="J1520" s="405"/>
      <c r="K1520" s="405"/>
      <c r="L1520" s="405"/>
      <c r="M1520" s="405"/>
      <c r="N1520" s="405"/>
      <c r="O1520" s="405"/>
      <c r="P1520" s="405"/>
      <c r="Q1520" s="405"/>
      <c r="R1520" s="405"/>
      <c r="S1520" s="405"/>
      <c r="T1520" s="405"/>
      <c r="U1520" s="405"/>
      <c r="V1520" s="405"/>
      <c r="W1520" s="405"/>
      <c r="X1520" s="405"/>
      <c r="Y1520" s="405"/>
      <c r="Z1520" s="405"/>
    </row>
    <row r="1521" ht="14.25" customHeight="1">
      <c r="A1521" s="405"/>
      <c r="B1521" s="405"/>
      <c r="C1521" s="405"/>
      <c r="D1521" s="405"/>
      <c r="E1521" s="405"/>
      <c r="F1521" s="583"/>
      <c r="G1521" s="583"/>
      <c r="H1521" s="405"/>
      <c r="I1521" s="405"/>
      <c r="J1521" s="405"/>
      <c r="K1521" s="405"/>
      <c r="L1521" s="405"/>
      <c r="M1521" s="405"/>
      <c r="N1521" s="405"/>
      <c r="O1521" s="405"/>
      <c r="P1521" s="405"/>
      <c r="Q1521" s="405"/>
      <c r="R1521" s="405"/>
      <c r="S1521" s="405"/>
      <c r="T1521" s="405"/>
      <c r="U1521" s="405"/>
      <c r="V1521" s="405"/>
      <c r="W1521" s="405"/>
      <c r="X1521" s="405"/>
      <c r="Y1521" s="405"/>
      <c r="Z1521" s="405"/>
    </row>
    <row r="1522" ht="14.25" customHeight="1">
      <c r="A1522" s="405"/>
      <c r="B1522" s="405"/>
      <c r="C1522" s="405"/>
      <c r="D1522" s="405"/>
      <c r="E1522" s="405"/>
      <c r="F1522" s="583"/>
      <c r="G1522" s="583"/>
      <c r="H1522" s="405"/>
      <c r="I1522" s="405"/>
      <c r="J1522" s="405"/>
      <c r="K1522" s="405"/>
      <c r="L1522" s="405"/>
      <c r="M1522" s="405"/>
      <c r="N1522" s="405"/>
      <c r="O1522" s="405"/>
      <c r="P1522" s="405"/>
      <c r="Q1522" s="405"/>
      <c r="R1522" s="405"/>
      <c r="S1522" s="405"/>
      <c r="T1522" s="405"/>
      <c r="U1522" s="405"/>
      <c r="V1522" s="405"/>
      <c r="W1522" s="405"/>
      <c r="X1522" s="405"/>
      <c r="Y1522" s="405"/>
      <c r="Z1522" s="405"/>
    </row>
    <row r="1523" ht="14.25" customHeight="1">
      <c r="A1523" s="405"/>
      <c r="B1523" s="405"/>
      <c r="C1523" s="405"/>
      <c r="D1523" s="405"/>
      <c r="E1523" s="405"/>
      <c r="F1523" s="583"/>
      <c r="G1523" s="583"/>
      <c r="H1523" s="405"/>
      <c r="I1523" s="405"/>
      <c r="J1523" s="405"/>
      <c r="K1523" s="405"/>
      <c r="L1523" s="405"/>
      <c r="M1523" s="405"/>
      <c r="N1523" s="405"/>
      <c r="O1523" s="405"/>
      <c r="P1523" s="405"/>
      <c r="Q1523" s="405"/>
      <c r="R1523" s="405"/>
      <c r="S1523" s="405"/>
      <c r="T1523" s="405"/>
      <c r="U1523" s="405"/>
      <c r="V1523" s="405"/>
      <c r="W1523" s="405"/>
      <c r="X1523" s="405"/>
      <c r="Y1523" s="405"/>
      <c r="Z1523" s="405"/>
    </row>
    <row r="1524" ht="14.25" customHeight="1">
      <c r="A1524" s="405"/>
      <c r="B1524" s="405"/>
      <c r="C1524" s="405"/>
      <c r="D1524" s="405"/>
      <c r="E1524" s="405"/>
      <c r="F1524" s="583"/>
      <c r="G1524" s="583"/>
      <c r="H1524" s="405"/>
      <c r="I1524" s="405"/>
      <c r="J1524" s="405"/>
      <c r="K1524" s="405"/>
      <c r="L1524" s="405"/>
      <c r="M1524" s="405"/>
      <c r="N1524" s="405"/>
      <c r="O1524" s="405"/>
      <c r="P1524" s="405"/>
      <c r="Q1524" s="405"/>
      <c r="R1524" s="405"/>
      <c r="S1524" s="405"/>
      <c r="T1524" s="405"/>
      <c r="U1524" s="405"/>
      <c r="V1524" s="405"/>
      <c r="W1524" s="405"/>
      <c r="X1524" s="405"/>
      <c r="Y1524" s="405"/>
      <c r="Z1524" s="405"/>
    </row>
    <row r="1525" ht="14.25" customHeight="1">
      <c r="A1525" s="405"/>
      <c r="B1525" s="405"/>
      <c r="C1525" s="405"/>
      <c r="D1525" s="405"/>
      <c r="E1525" s="405"/>
      <c r="F1525" s="583"/>
      <c r="G1525" s="583"/>
      <c r="H1525" s="405"/>
      <c r="I1525" s="405"/>
      <c r="J1525" s="405"/>
      <c r="K1525" s="405"/>
      <c r="L1525" s="405"/>
      <c r="M1525" s="405"/>
      <c r="N1525" s="405"/>
      <c r="O1525" s="405"/>
      <c r="P1525" s="405"/>
      <c r="Q1525" s="405"/>
      <c r="R1525" s="405"/>
      <c r="S1525" s="405"/>
      <c r="T1525" s="405"/>
      <c r="U1525" s="405"/>
      <c r="V1525" s="405"/>
      <c r="W1525" s="405"/>
      <c r="X1525" s="405"/>
      <c r="Y1525" s="405"/>
      <c r="Z1525" s="405"/>
    </row>
    <row r="1526" ht="14.25" customHeight="1">
      <c r="A1526" s="405"/>
      <c r="B1526" s="405"/>
      <c r="C1526" s="405"/>
      <c r="D1526" s="405"/>
      <c r="E1526" s="405"/>
      <c r="F1526" s="583"/>
      <c r="G1526" s="583"/>
      <c r="H1526" s="405"/>
      <c r="I1526" s="405"/>
      <c r="J1526" s="405"/>
      <c r="K1526" s="405"/>
      <c r="L1526" s="405"/>
      <c r="M1526" s="405"/>
      <c r="N1526" s="405"/>
      <c r="O1526" s="405"/>
      <c r="P1526" s="405"/>
      <c r="Q1526" s="405"/>
      <c r="R1526" s="405"/>
      <c r="S1526" s="405"/>
      <c r="T1526" s="405"/>
      <c r="U1526" s="405"/>
      <c r="V1526" s="405"/>
      <c r="W1526" s="405"/>
      <c r="X1526" s="405"/>
      <c r="Y1526" s="405"/>
      <c r="Z1526" s="405"/>
    </row>
    <row r="1527" ht="14.25" customHeight="1">
      <c r="A1527" s="405"/>
      <c r="B1527" s="405"/>
      <c r="C1527" s="405"/>
      <c r="D1527" s="405"/>
      <c r="E1527" s="405"/>
      <c r="F1527" s="583"/>
      <c r="G1527" s="583"/>
      <c r="H1527" s="405"/>
      <c r="I1527" s="405"/>
      <c r="J1527" s="405"/>
      <c r="K1527" s="405"/>
      <c r="L1527" s="405"/>
      <c r="M1527" s="405"/>
      <c r="N1527" s="405"/>
      <c r="O1527" s="405"/>
      <c r="P1527" s="405"/>
      <c r="Q1527" s="405"/>
      <c r="R1527" s="405"/>
      <c r="S1527" s="405"/>
      <c r="T1527" s="405"/>
      <c r="U1527" s="405"/>
      <c r="V1527" s="405"/>
      <c r="W1527" s="405"/>
      <c r="X1527" s="405"/>
      <c r="Y1527" s="405"/>
      <c r="Z1527" s="405"/>
    </row>
    <row r="1528" ht="14.25" customHeight="1">
      <c r="A1528" s="405"/>
      <c r="B1528" s="405"/>
      <c r="C1528" s="405"/>
      <c r="D1528" s="405"/>
      <c r="E1528" s="405"/>
      <c r="F1528" s="583"/>
      <c r="G1528" s="583"/>
      <c r="H1528" s="405"/>
      <c r="I1528" s="405"/>
      <c r="J1528" s="405"/>
      <c r="K1528" s="405"/>
      <c r="L1528" s="405"/>
      <c r="M1528" s="405"/>
      <c r="N1528" s="405"/>
      <c r="O1528" s="405"/>
      <c r="P1528" s="405"/>
      <c r="Q1528" s="405"/>
      <c r="R1528" s="405"/>
      <c r="S1528" s="405"/>
      <c r="T1528" s="405"/>
      <c r="U1528" s="405"/>
      <c r="V1528" s="405"/>
      <c r="W1528" s="405"/>
      <c r="X1528" s="405"/>
      <c r="Y1528" s="405"/>
      <c r="Z1528" s="405"/>
    </row>
    <row r="1529" ht="14.25" customHeight="1">
      <c r="A1529" s="405"/>
      <c r="B1529" s="405"/>
      <c r="C1529" s="405"/>
      <c r="D1529" s="405"/>
      <c r="E1529" s="405"/>
      <c r="F1529" s="583"/>
      <c r="G1529" s="583"/>
      <c r="H1529" s="405"/>
      <c r="I1529" s="405"/>
      <c r="J1529" s="405"/>
      <c r="K1529" s="405"/>
      <c r="L1529" s="405"/>
      <c r="M1529" s="405"/>
      <c r="N1529" s="405"/>
      <c r="O1529" s="405"/>
      <c r="P1529" s="405"/>
      <c r="Q1529" s="405"/>
      <c r="R1529" s="405"/>
      <c r="S1529" s="405"/>
      <c r="T1529" s="405"/>
      <c r="U1529" s="405"/>
      <c r="V1529" s="405"/>
      <c r="W1529" s="405"/>
      <c r="X1529" s="405"/>
      <c r="Y1529" s="405"/>
      <c r="Z1529" s="405"/>
    </row>
    <row r="1530" ht="14.25" customHeight="1">
      <c r="A1530" s="405"/>
      <c r="B1530" s="405"/>
      <c r="C1530" s="405"/>
      <c r="D1530" s="405"/>
      <c r="E1530" s="405"/>
      <c r="F1530" s="583"/>
      <c r="G1530" s="583"/>
      <c r="H1530" s="405"/>
      <c r="I1530" s="405"/>
      <c r="J1530" s="405"/>
      <c r="K1530" s="405"/>
      <c r="L1530" s="405"/>
      <c r="M1530" s="405"/>
      <c r="N1530" s="405"/>
      <c r="O1530" s="405"/>
      <c r="P1530" s="405"/>
      <c r="Q1530" s="405"/>
      <c r="R1530" s="405"/>
      <c r="S1530" s="405"/>
      <c r="T1530" s="405"/>
      <c r="U1530" s="405"/>
      <c r="V1530" s="405"/>
      <c r="W1530" s="405"/>
      <c r="X1530" s="405"/>
      <c r="Y1530" s="405"/>
      <c r="Z1530" s="405"/>
    </row>
    <row r="1531" ht="14.25" customHeight="1">
      <c r="A1531" s="405"/>
      <c r="B1531" s="405"/>
      <c r="C1531" s="405"/>
      <c r="D1531" s="405"/>
      <c r="E1531" s="405"/>
      <c r="F1531" s="583"/>
      <c r="G1531" s="583"/>
      <c r="H1531" s="405"/>
      <c r="I1531" s="405"/>
      <c r="J1531" s="405"/>
      <c r="K1531" s="405"/>
      <c r="L1531" s="405"/>
      <c r="M1531" s="405"/>
      <c r="N1531" s="405"/>
      <c r="O1531" s="405"/>
      <c r="P1531" s="405"/>
      <c r="Q1531" s="405"/>
      <c r="R1531" s="405"/>
      <c r="S1531" s="405"/>
      <c r="T1531" s="405"/>
      <c r="U1531" s="405"/>
      <c r="V1531" s="405"/>
      <c r="W1531" s="405"/>
      <c r="X1531" s="405"/>
      <c r="Y1531" s="405"/>
      <c r="Z1531" s="405"/>
    </row>
    <row r="1532" ht="14.25" customHeight="1">
      <c r="A1532" s="405"/>
      <c r="B1532" s="405"/>
      <c r="C1532" s="405"/>
      <c r="D1532" s="405"/>
      <c r="E1532" s="405"/>
      <c r="F1532" s="583"/>
      <c r="G1532" s="583"/>
      <c r="H1532" s="405"/>
      <c r="I1532" s="405"/>
      <c r="J1532" s="405"/>
      <c r="K1532" s="405"/>
      <c r="L1532" s="405"/>
      <c r="M1532" s="405"/>
      <c r="N1532" s="405"/>
      <c r="O1532" s="405"/>
      <c r="P1532" s="405"/>
      <c r="Q1532" s="405"/>
      <c r="R1532" s="405"/>
      <c r="S1532" s="405"/>
      <c r="T1532" s="405"/>
      <c r="U1532" s="405"/>
      <c r="V1532" s="405"/>
      <c r="W1532" s="405"/>
      <c r="X1532" s="405"/>
      <c r="Y1532" s="405"/>
      <c r="Z1532" s="405"/>
    </row>
    <row r="1533" ht="14.25" customHeight="1">
      <c r="A1533" s="405"/>
      <c r="B1533" s="405"/>
      <c r="C1533" s="405"/>
      <c r="D1533" s="405"/>
      <c r="E1533" s="405"/>
      <c r="F1533" s="583"/>
      <c r="G1533" s="583"/>
      <c r="H1533" s="405"/>
      <c r="I1533" s="405"/>
      <c r="J1533" s="405"/>
      <c r="K1533" s="405"/>
      <c r="L1533" s="405"/>
      <c r="M1533" s="405"/>
      <c r="N1533" s="405"/>
      <c r="O1533" s="405"/>
      <c r="P1533" s="405"/>
      <c r="Q1533" s="405"/>
      <c r="R1533" s="405"/>
      <c r="S1533" s="405"/>
      <c r="T1533" s="405"/>
      <c r="U1533" s="405"/>
      <c r="V1533" s="405"/>
      <c r="W1533" s="405"/>
      <c r="X1533" s="405"/>
      <c r="Y1533" s="405"/>
      <c r="Z1533" s="405"/>
    </row>
    <row r="1534" ht="14.25" customHeight="1">
      <c r="A1534" s="405"/>
      <c r="B1534" s="405"/>
      <c r="C1534" s="405"/>
      <c r="D1534" s="405"/>
      <c r="E1534" s="405"/>
      <c r="F1534" s="583"/>
      <c r="G1534" s="583"/>
      <c r="H1534" s="405"/>
      <c r="I1534" s="405"/>
      <c r="J1534" s="405"/>
      <c r="K1534" s="405"/>
      <c r="L1534" s="405"/>
      <c r="M1534" s="405"/>
      <c r="N1534" s="405"/>
      <c r="O1534" s="405"/>
      <c r="P1534" s="405"/>
      <c r="Q1534" s="405"/>
      <c r="R1534" s="405"/>
      <c r="S1534" s="405"/>
      <c r="T1534" s="405"/>
      <c r="U1534" s="405"/>
      <c r="V1534" s="405"/>
      <c r="W1534" s="405"/>
      <c r="X1534" s="405"/>
      <c r="Y1534" s="405"/>
      <c r="Z1534" s="405"/>
    </row>
    <row r="1535" ht="14.25" customHeight="1">
      <c r="A1535" s="405"/>
      <c r="B1535" s="405"/>
      <c r="C1535" s="405"/>
      <c r="D1535" s="405"/>
      <c r="E1535" s="405"/>
      <c r="F1535" s="583"/>
      <c r="G1535" s="583"/>
      <c r="H1535" s="405"/>
      <c r="I1535" s="405"/>
      <c r="J1535" s="405"/>
      <c r="K1535" s="405"/>
      <c r="L1535" s="405"/>
      <c r="M1535" s="405"/>
      <c r="N1535" s="405"/>
      <c r="O1535" s="405"/>
      <c r="P1535" s="405"/>
      <c r="Q1535" s="405"/>
      <c r="R1535" s="405"/>
      <c r="S1535" s="405"/>
      <c r="T1535" s="405"/>
      <c r="U1535" s="405"/>
      <c r="V1535" s="405"/>
      <c r="W1535" s="405"/>
      <c r="X1535" s="405"/>
      <c r="Y1535" s="405"/>
      <c r="Z1535" s="405"/>
    </row>
    <row r="1536" ht="14.25" customHeight="1">
      <c r="A1536" s="405"/>
      <c r="B1536" s="405"/>
      <c r="C1536" s="405"/>
      <c r="D1536" s="405"/>
      <c r="E1536" s="405"/>
      <c r="F1536" s="583"/>
      <c r="G1536" s="583"/>
      <c r="H1536" s="405"/>
      <c r="I1536" s="405"/>
      <c r="J1536" s="405"/>
      <c r="K1536" s="405"/>
      <c r="L1536" s="405"/>
      <c r="M1536" s="405"/>
      <c r="N1536" s="405"/>
      <c r="O1536" s="405"/>
      <c r="P1536" s="405"/>
      <c r="Q1536" s="405"/>
      <c r="R1536" s="405"/>
      <c r="S1536" s="405"/>
      <c r="T1536" s="405"/>
      <c r="U1536" s="405"/>
      <c r="V1536" s="405"/>
      <c r="W1536" s="405"/>
      <c r="X1536" s="405"/>
      <c r="Y1536" s="405"/>
      <c r="Z1536" s="405"/>
    </row>
    <row r="1537" ht="14.25" customHeight="1">
      <c r="A1537" s="405"/>
      <c r="B1537" s="405"/>
      <c r="C1537" s="405"/>
      <c r="D1537" s="405"/>
      <c r="E1537" s="405"/>
      <c r="F1537" s="583"/>
      <c r="G1537" s="583"/>
      <c r="H1537" s="405"/>
      <c r="I1537" s="405"/>
      <c r="J1537" s="405"/>
      <c r="K1537" s="405"/>
      <c r="L1537" s="405"/>
      <c r="M1537" s="405"/>
      <c r="N1537" s="405"/>
      <c r="O1537" s="405"/>
      <c r="P1537" s="405"/>
      <c r="Q1537" s="405"/>
      <c r="R1537" s="405"/>
      <c r="S1537" s="405"/>
      <c r="T1537" s="405"/>
      <c r="U1537" s="405"/>
      <c r="V1537" s="405"/>
      <c r="W1537" s="405"/>
      <c r="X1537" s="405"/>
      <c r="Y1537" s="405"/>
      <c r="Z1537" s="405"/>
    </row>
    <row r="1538" ht="14.25" customHeight="1">
      <c r="A1538" s="405"/>
      <c r="B1538" s="405"/>
      <c r="C1538" s="405"/>
      <c r="D1538" s="405"/>
      <c r="E1538" s="405"/>
      <c r="F1538" s="583"/>
      <c r="G1538" s="583"/>
      <c r="H1538" s="405"/>
      <c r="I1538" s="405"/>
      <c r="J1538" s="405"/>
      <c r="K1538" s="405"/>
      <c r="L1538" s="405"/>
      <c r="M1538" s="405"/>
      <c r="N1538" s="405"/>
      <c r="O1538" s="405"/>
      <c r="P1538" s="405"/>
      <c r="Q1538" s="405"/>
      <c r="R1538" s="405"/>
      <c r="S1538" s="405"/>
      <c r="T1538" s="405"/>
      <c r="U1538" s="405"/>
      <c r="V1538" s="405"/>
      <c r="W1538" s="405"/>
      <c r="X1538" s="405"/>
      <c r="Y1538" s="405"/>
      <c r="Z1538" s="405"/>
    </row>
    <row r="1539" ht="14.25" customHeight="1">
      <c r="A1539" s="405"/>
      <c r="B1539" s="405"/>
      <c r="C1539" s="405"/>
      <c r="D1539" s="405"/>
      <c r="E1539" s="405"/>
      <c r="F1539" s="583"/>
      <c r="G1539" s="583"/>
      <c r="H1539" s="405"/>
      <c r="I1539" s="405"/>
      <c r="J1539" s="405"/>
      <c r="K1539" s="405"/>
      <c r="L1539" s="405"/>
      <c r="M1539" s="405"/>
      <c r="N1539" s="405"/>
      <c r="O1539" s="405"/>
      <c r="P1539" s="405"/>
      <c r="Q1539" s="405"/>
      <c r="R1539" s="405"/>
      <c r="S1539" s="405"/>
      <c r="T1539" s="405"/>
      <c r="U1539" s="405"/>
      <c r="V1539" s="405"/>
      <c r="W1539" s="405"/>
      <c r="X1539" s="405"/>
      <c r="Y1539" s="405"/>
      <c r="Z1539" s="405"/>
    </row>
    <row r="1540" ht="14.25" customHeight="1">
      <c r="A1540" s="405"/>
      <c r="B1540" s="405"/>
      <c r="C1540" s="405"/>
      <c r="D1540" s="405"/>
      <c r="E1540" s="405"/>
      <c r="F1540" s="583"/>
      <c r="G1540" s="583"/>
      <c r="H1540" s="405"/>
      <c r="I1540" s="405"/>
      <c r="J1540" s="405"/>
      <c r="K1540" s="405"/>
      <c r="L1540" s="405"/>
      <c r="M1540" s="405"/>
      <c r="N1540" s="405"/>
      <c r="O1540" s="405"/>
      <c r="P1540" s="405"/>
      <c r="Q1540" s="405"/>
      <c r="R1540" s="405"/>
      <c r="S1540" s="405"/>
      <c r="T1540" s="405"/>
      <c r="U1540" s="405"/>
      <c r="V1540" s="405"/>
      <c r="W1540" s="405"/>
      <c r="X1540" s="405"/>
      <c r="Y1540" s="405"/>
      <c r="Z1540" s="405"/>
    </row>
    <row r="1541" ht="14.25" customHeight="1">
      <c r="A1541" s="405"/>
      <c r="B1541" s="405"/>
      <c r="C1541" s="405"/>
      <c r="D1541" s="405"/>
      <c r="E1541" s="405"/>
      <c r="F1541" s="583"/>
      <c r="G1541" s="583"/>
      <c r="H1541" s="405"/>
      <c r="I1541" s="405"/>
      <c r="J1541" s="405"/>
      <c r="K1541" s="405"/>
      <c r="L1541" s="405"/>
      <c r="M1541" s="405"/>
      <c r="N1541" s="405"/>
      <c r="O1541" s="405"/>
      <c r="P1541" s="405"/>
      <c r="Q1541" s="405"/>
      <c r="R1541" s="405"/>
      <c r="S1541" s="405"/>
      <c r="T1541" s="405"/>
      <c r="U1541" s="405"/>
      <c r="V1541" s="405"/>
      <c r="W1541" s="405"/>
      <c r="X1541" s="405"/>
      <c r="Y1541" s="405"/>
      <c r="Z1541" s="405"/>
    </row>
    <row r="1542" ht="14.25" customHeight="1">
      <c r="A1542" s="405"/>
      <c r="B1542" s="405"/>
      <c r="C1542" s="405"/>
      <c r="D1542" s="405"/>
      <c r="E1542" s="405"/>
      <c r="F1542" s="583"/>
      <c r="G1542" s="583"/>
      <c r="H1542" s="405"/>
      <c r="I1542" s="405"/>
      <c r="J1542" s="405"/>
      <c r="K1542" s="405"/>
      <c r="L1542" s="405"/>
      <c r="M1542" s="405"/>
      <c r="N1542" s="405"/>
      <c r="O1542" s="405"/>
      <c r="P1542" s="405"/>
      <c r="Q1542" s="405"/>
      <c r="R1542" s="405"/>
      <c r="S1542" s="405"/>
      <c r="T1542" s="405"/>
      <c r="U1542" s="405"/>
      <c r="V1542" s="405"/>
      <c r="W1542" s="405"/>
      <c r="X1542" s="405"/>
      <c r="Y1542" s="405"/>
      <c r="Z1542" s="405"/>
    </row>
    <row r="1543" ht="14.25" customHeight="1">
      <c r="A1543" s="405"/>
      <c r="B1543" s="405"/>
      <c r="C1543" s="405"/>
      <c r="D1543" s="405"/>
      <c r="E1543" s="405"/>
      <c r="F1543" s="583"/>
      <c r="G1543" s="583"/>
      <c r="H1543" s="405"/>
      <c r="I1543" s="405"/>
      <c r="J1543" s="405"/>
      <c r="K1543" s="405"/>
      <c r="L1543" s="405"/>
      <c r="M1543" s="405"/>
      <c r="N1543" s="405"/>
      <c r="O1543" s="405"/>
      <c r="P1543" s="405"/>
      <c r="Q1543" s="405"/>
      <c r="R1543" s="405"/>
      <c r="S1543" s="405"/>
      <c r="T1543" s="405"/>
      <c r="U1543" s="405"/>
      <c r="V1543" s="405"/>
      <c r="W1543" s="405"/>
      <c r="X1543" s="405"/>
      <c r="Y1543" s="405"/>
      <c r="Z1543" s="405"/>
    </row>
    <row r="1544" ht="14.25" customHeight="1">
      <c r="A1544" s="405"/>
      <c r="B1544" s="405"/>
      <c r="C1544" s="405"/>
      <c r="D1544" s="405"/>
      <c r="E1544" s="405"/>
      <c r="F1544" s="583"/>
      <c r="G1544" s="583"/>
      <c r="H1544" s="405"/>
      <c r="I1544" s="405"/>
      <c r="J1544" s="405"/>
      <c r="K1544" s="405"/>
      <c r="L1544" s="405"/>
      <c r="M1544" s="405"/>
      <c r="N1544" s="405"/>
      <c r="O1544" s="405"/>
      <c r="P1544" s="405"/>
      <c r="Q1544" s="405"/>
      <c r="R1544" s="405"/>
      <c r="S1544" s="405"/>
      <c r="T1544" s="405"/>
      <c r="U1544" s="405"/>
      <c r="V1544" s="405"/>
      <c r="W1544" s="405"/>
      <c r="X1544" s="405"/>
      <c r="Y1544" s="405"/>
      <c r="Z1544" s="405"/>
    </row>
    <row r="1545" ht="14.25" customHeight="1">
      <c r="A1545" s="405"/>
      <c r="B1545" s="405"/>
      <c r="C1545" s="405"/>
      <c r="D1545" s="405"/>
      <c r="E1545" s="405"/>
      <c r="F1545" s="583"/>
      <c r="G1545" s="583"/>
      <c r="H1545" s="405"/>
      <c r="I1545" s="405"/>
      <c r="J1545" s="405"/>
      <c r="K1545" s="405"/>
      <c r="L1545" s="405"/>
      <c r="M1545" s="405"/>
      <c r="N1545" s="405"/>
      <c r="O1545" s="405"/>
      <c r="P1545" s="405"/>
      <c r="Q1545" s="405"/>
      <c r="R1545" s="405"/>
      <c r="S1545" s="405"/>
      <c r="T1545" s="405"/>
      <c r="U1545" s="405"/>
      <c r="V1545" s="405"/>
      <c r="W1545" s="405"/>
      <c r="X1545" s="405"/>
      <c r="Y1545" s="405"/>
      <c r="Z1545" s="405"/>
    </row>
    <row r="1546" ht="14.25" customHeight="1">
      <c r="A1546" s="405"/>
      <c r="B1546" s="405"/>
      <c r="C1546" s="405"/>
      <c r="D1546" s="405"/>
      <c r="E1546" s="405"/>
      <c r="F1546" s="583"/>
      <c r="G1546" s="583"/>
      <c r="H1546" s="405"/>
      <c r="I1546" s="405"/>
      <c r="J1546" s="405"/>
      <c r="K1546" s="405"/>
      <c r="L1546" s="405"/>
      <c r="M1546" s="405"/>
      <c r="N1546" s="405"/>
      <c r="O1546" s="405"/>
      <c r="P1546" s="405"/>
      <c r="Q1546" s="405"/>
      <c r="R1546" s="405"/>
      <c r="S1546" s="405"/>
      <c r="T1546" s="405"/>
      <c r="U1546" s="405"/>
      <c r="V1546" s="405"/>
      <c r="W1546" s="405"/>
      <c r="X1546" s="405"/>
      <c r="Y1546" s="405"/>
      <c r="Z1546" s="405"/>
    </row>
    <row r="1547" ht="14.25" customHeight="1">
      <c r="A1547" s="405"/>
      <c r="B1547" s="405"/>
      <c r="C1547" s="405"/>
      <c r="D1547" s="405"/>
      <c r="E1547" s="405"/>
      <c r="F1547" s="583"/>
      <c r="G1547" s="583"/>
      <c r="H1547" s="405"/>
      <c r="I1547" s="405"/>
      <c r="J1547" s="405"/>
      <c r="K1547" s="405"/>
      <c r="L1547" s="405"/>
      <c r="M1547" s="405"/>
      <c r="N1547" s="405"/>
      <c r="O1547" s="405"/>
      <c r="P1547" s="405"/>
      <c r="Q1547" s="405"/>
      <c r="R1547" s="405"/>
      <c r="S1547" s="405"/>
      <c r="T1547" s="405"/>
      <c r="U1547" s="405"/>
      <c r="V1547" s="405"/>
      <c r="W1547" s="405"/>
      <c r="X1547" s="405"/>
      <c r="Y1547" s="405"/>
      <c r="Z1547" s="405"/>
    </row>
    <row r="1548" ht="14.25" customHeight="1">
      <c r="A1548" s="405"/>
      <c r="B1548" s="405"/>
      <c r="C1548" s="405"/>
      <c r="D1548" s="405"/>
      <c r="E1548" s="405"/>
      <c r="F1548" s="583"/>
      <c r="G1548" s="583"/>
      <c r="H1548" s="405"/>
      <c r="I1548" s="405"/>
      <c r="J1548" s="405"/>
      <c r="K1548" s="405"/>
      <c r="L1548" s="405"/>
      <c r="M1548" s="405"/>
      <c r="N1548" s="405"/>
      <c r="O1548" s="405"/>
      <c r="P1548" s="405"/>
      <c r="Q1548" s="405"/>
      <c r="R1548" s="405"/>
      <c r="S1548" s="405"/>
      <c r="T1548" s="405"/>
      <c r="U1548" s="405"/>
      <c r="V1548" s="405"/>
      <c r="W1548" s="405"/>
      <c r="X1548" s="405"/>
      <c r="Y1548" s="405"/>
      <c r="Z1548" s="405"/>
    </row>
    <row r="1549" ht="14.25" customHeight="1">
      <c r="A1549" s="405"/>
      <c r="B1549" s="405"/>
      <c r="C1549" s="405"/>
      <c r="D1549" s="405"/>
      <c r="E1549" s="405"/>
      <c r="F1549" s="583"/>
      <c r="G1549" s="583"/>
      <c r="H1549" s="405"/>
      <c r="I1549" s="405"/>
      <c r="J1549" s="405"/>
      <c r="K1549" s="405"/>
      <c r="L1549" s="405"/>
      <c r="M1549" s="405"/>
      <c r="N1549" s="405"/>
      <c r="O1549" s="405"/>
      <c r="P1549" s="405"/>
      <c r="Q1549" s="405"/>
      <c r="R1549" s="405"/>
      <c r="S1549" s="405"/>
      <c r="T1549" s="405"/>
      <c r="U1549" s="405"/>
      <c r="V1549" s="405"/>
      <c r="W1549" s="405"/>
      <c r="X1549" s="405"/>
      <c r="Y1549" s="405"/>
      <c r="Z1549" s="405"/>
    </row>
    <row r="1550" ht="14.25" customHeight="1">
      <c r="A1550" s="405"/>
      <c r="B1550" s="405"/>
      <c r="C1550" s="405"/>
      <c r="D1550" s="405"/>
      <c r="E1550" s="405"/>
      <c r="F1550" s="583"/>
      <c r="G1550" s="583"/>
      <c r="H1550" s="405"/>
      <c r="I1550" s="405"/>
      <c r="J1550" s="405"/>
      <c r="K1550" s="405"/>
      <c r="L1550" s="405"/>
      <c r="M1550" s="405"/>
      <c r="N1550" s="405"/>
      <c r="O1550" s="405"/>
      <c r="P1550" s="405"/>
      <c r="Q1550" s="405"/>
      <c r="R1550" s="405"/>
      <c r="S1550" s="405"/>
      <c r="T1550" s="405"/>
      <c r="U1550" s="405"/>
      <c r="V1550" s="405"/>
      <c r="W1550" s="405"/>
      <c r="X1550" s="405"/>
      <c r="Y1550" s="405"/>
      <c r="Z1550" s="405"/>
    </row>
    <row r="1551" ht="14.25" customHeight="1">
      <c r="A1551" s="405"/>
      <c r="B1551" s="405"/>
      <c r="C1551" s="405"/>
      <c r="D1551" s="405"/>
      <c r="E1551" s="405"/>
      <c r="F1551" s="583"/>
      <c r="G1551" s="583"/>
      <c r="H1551" s="405"/>
      <c r="I1551" s="405"/>
      <c r="J1551" s="405"/>
      <c r="K1551" s="405"/>
      <c r="L1551" s="405"/>
      <c r="M1551" s="405"/>
      <c r="N1551" s="405"/>
      <c r="O1551" s="405"/>
      <c r="P1551" s="405"/>
      <c r="Q1551" s="405"/>
      <c r="R1551" s="405"/>
      <c r="S1551" s="405"/>
      <c r="T1551" s="405"/>
      <c r="U1551" s="405"/>
      <c r="V1551" s="405"/>
      <c r="W1551" s="405"/>
      <c r="X1551" s="405"/>
      <c r="Y1551" s="405"/>
      <c r="Z1551" s="405"/>
    </row>
    <row r="1552" ht="14.25" customHeight="1">
      <c r="A1552" s="405"/>
      <c r="B1552" s="405"/>
      <c r="C1552" s="405"/>
      <c r="D1552" s="405"/>
      <c r="E1552" s="405"/>
      <c r="F1552" s="583"/>
      <c r="G1552" s="583"/>
      <c r="H1552" s="405"/>
      <c r="I1552" s="405"/>
      <c r="J1552" s="405"/>
      <c r="K1552" s="405"/>
      <c r="L1552" s="405"/>
      <c r="M1552" s="405"/>
      <c r="N1552" s="405"/>
      <c r="O1552" s="405"/>
      <c r="P1552" s="405"/>
      <c r="Q1552" s="405"/>
      <c r="R1552" s="405"/>
      <c r="S1552" s="405"/>
      <c r="T1552" s="405"/>
      <c r="U1552" s="405"/>
      <c r="V1552" s="405"/>
      <c r="W1552" s="405"/>
      <c r="X1552" s="405"/>
      <c r="Y1552" s="405"/>
      <c r="Z1552" s="405"/>
    </row>
    <row r="1553" ht="14.25" customHeight="1">
      <c r="A1553" s="405"/>
      <c r="B1553" s="405"/>
      <c r="C1553" s="405"/>
      <c r="D1553" s="405"/>
      <c r="E1553" s="405"/>
      <c r="F1553" s="583"/>
      <c r="G1553" s="583"/>
      <c r="H1553" s="405"/>
      <c r="I1553" s="405"/>
      <c r="J1553" s="405"/>
      <c r="K1553" s="405"/>
      <c r="L1553" s="405"/>
      <c r="M1553" s="405"/>
      <c r="N1553" s="405"/>
      <c r="O1553" s="405"/>
      <c r="P1553" s="405"/>
      <c r="Q1553" s="405"/>
      <c r="R1553" s="405"/>
      <c r="S1553" s="405"/>
      <c r="T1553" s="405"/>
      <c r="U1553" s="405"/>
      <c r="V1553" s="405"/>
      <c r="W1553" s="405"/>
      <c r="X1553" s="405"/>
      <c r="Y1553" s="405"/>
      <c r="Z1553" s="405"/>
    </row>
    <row r="1554" ht="14.25" customHeight="1">
      <c r="A1554" s="405"/>
      <c r="B1554" s="405"/>
      <c r="C1554" s="405"/>
      <c r="D1554" s="405"/>
      <c r="E1554" s="405"/>
      <c r="F1554" s="583"/>
      <c r="G1554" s="583"/>
      <c r="H1554" s="405"/>
      <c r="I1554" s="405"/>
      <c r="J1554" s="405"/>
      <c r="K1554" s="405"/>
      <c r="L1554" s="405"/>
      <c r="M1554" s="405"/>
      <c r="N1554" s="405"/>
      <c r="O1554" s="405"/>
      <c r="P1554" s="405"/>
      <c r="Q1554" s="405"/>
      <c r="R1554" s="405"/>
      <c r="S1554" s="405"/>
      <c r="T1554" s="405"/>
      <c r="U1554" s="405"/>
      <c r="V1554" s="405"/>
      <c r="W1554" s="405"/>
      <c r="X1554" s="405"/>
      <c r="Y1554" s="405"/>
      <c r="Z1554" s="405"/>
    </row>
    <row r="1555" ht="14.25" customHeight="1">
      <c r="A1555" s="405"/>
      <c r="B1555" s="405"/>
      <c r="C1555" s="405"/>
      <c r="D1555" s="405"/>
      <c r="E1555" s="405"/>
      <c r="F1555" s="583"/>
      <c r="G1555" s="583"/>
      <c r="H1555" s="405"/>
      <c r="I1555" s="405"/>
      <c r="J1555" s="405"/>
      <c r="K1555" s="405"/>
      <c r="L1555" s="405"/>
      <c r="M1555" s="405"/>
      <c r="N1555" s="405"/>
      <c r="O1555" s="405"/>
      <c r="P1555" s="405"/>
      <c r="Q1555" s="405"/>
      <c r="R1555" s="405"/>
      <c r="S1555" s="405"/>
      <c r="T1555" s="405"/>
      <c r="U1555" s="405"/>
      <c r="V1555" s="405"/>
      <c r="W1555" s="405"/>
      <c r="X1555" s="405"/>
      <c r="Y1555" s="405"/>
      <c r="Z1555" s="405"/>
    </row>
    <row r="1556" ht="14.25" customHeight="1">
      <c r="A1556" s="405"/>
      <c r="B1556" s="405"/>
      <c r="C1556" s="405"/>
      <c r="D1556" s="405"/>
      <c r="E1556" s="405"/>
      <c r="F1556" s="583"/>
      <c r="G1556" s="583"/>
      <c r="H1556" s="405"/>
      <c r="I1556" s="405"/>
      <c r="J1556" s="405"/>
      <c r="K1556" s="405"/>
      <c r="L1556" s="405"/>
      <c r="M1556" s="405"/>
      <c r="N1556" s="405"/>
      <c r="O1556" s="405"/>
      <c r="P1556" s="405"/>
      <c r="Q1556" s="405"/>
      <c r="R1556" s="405"/>
      <c r="S1556" s="405"/>
      <c r="T1556" s="405"/>
      <c r="U1556" s="405"/>
      <c r="V1556" s="405"/>
      <c r="W1556" s="405"/>
      <c r="X1556" s="405"/>
      <c r="Y1556" s="405"/>
      <c r="Z1556" s="405"/>
    </row>
    <row r="1557" ht="14.25" customHeight="1">
      <c r="A1557" s="405"/>
      <c r="B1557" s="405"/>
      <c r="C1557" s="405"/>
      <c r="D1557" s="405"/>
      <c r="E1557" s="405"/>
      <c r="F1557" s="583"/>
      <c r="G1557" s="583"/>
      <c r="H1557" s="405"/>
      <c r="I1557" s="405"/>
      <c r="J1557" s="405"/>
      <c r="K1557" s="405"/>
      <c r="L1557" s="405"/>
      <c r="M1557" s="405"/>
      <c r="N1557" s="405"/>
      <c r="O1557" s="405"/>
      <c r="P1557" s="405"/>
      <c r="Q1557" s="405"/>
      <c r="R1557" s="405"/>
      <c r="S1557" s="405"/>
      <c r="T1557" s="405"/>
      <c r="U1557" s="405"/>
      <c r="V1557" s="405"/>
      <c r="W1557" s="405"/>
      <c r="X1557" s="405"/>
      <c r="Y1557" s="405"/>
      <c r="Z1557" s="405"/>
    </row>
    <row r="1558" ht="14.25" customHeight="1">
      <c r="A1558" s="405"/>
      <c r="B1558" s="405"/>
      <c r="C1558" s="405"/>
      <c r="D1558" s="405"/>
      <c r="E1558" s="405"/>
      <c r="F1558" s="583"/>
      <c r="G1558" s="583"/>
      <c r="H1558" s="405"/>
      <c r="I1558" s="405"/>
      <c r="J1558" s="405"/>
      <c r="K1558" s="405"/>
      <c r="L1558" s="405"/>
      <c r="M1558" s="405"/>
      <c r="N1558" s="405"/>
      <c r="O1558" s="405"/>
      <c r="P1558" s="405"/>
      <c r="Q1558" s="405"/>
      <c r="R1558" s="405"/>
      <c r="S1558" s="405"/>
      <c r="T1558" s="405"/>
      <c r="U1558" s="405"/>
      <c r="V1558" s="405"/>
      <c r="W1558" s="405"/>
      <c r="X1558" s="405"/>
      <c r="Y1558" s="405"/>
      <c r="Z1558" s="405"/>
    </row>
    <row r="1559" ht="14.25" customHeight="1">
      <c r="A1559" s="405"/>
      <c r="B1559" s="405"/>
      <c r="C1559" s="405"/>
      <c r="D1559" s="405"/>
      <c r="E1559" s="405"/>
      <c r="F1559" s="583"/>
      <c r="G1559" s="583"/>
      <c r="H1559" s="405"/>
      <c r="I1559" s="405"/>
      <c r="J1559" s="405"/>
      <c r="K1559" s="405"/>
      <c r="L1559" s="405"/>
      <c r="M1559" s="405"/>
      <c r="N1559" s="405"/>
      <c r="O1559" s="405"/>
      <c r="P1559" s="405"/>
      <c r="Q1559" s="405"/>
      <c r="R1559" s="405"/>
      <c r="S1559" s="405"/>
      <c r="T1559" s="405"/>
      <c r="U1559" s="405"/>
      <c r="V1559" s="405"/>
      <c r="W1559" s="405"/>
      <c r="X1559" s="405"/>
      <c r="Y1559" s="405"/>
      <c r="Z1559" s="405"/>
    </row>
    <row r="1560" ht="14.25" customHeight="1">
      <c r="A1560" s="405"/>
      <c r="B1560" s="405"/>
      <c r="C1560" s="405"/>
      <c r="D1560" s="405"/>
      <c r="E1560" s="405"/>
      <c r="F1560" s="583"/>
      <c r="G1560" s="583"/>
      <c r="H1560" s="405"/>
      <c r="I1560" s="405"/>
      <c r="J1560" s="405"/>
      <c r="K1560" s="405"/>
      <c r="L1560" s="405"/>
      <c r="M1560" s="405"/>
      <c r="N1560" s="405"/>
      <c r="O1560" s="405"/>
      <c r="P1560" s="405"/>
      <c r="Q1560" s="405"/>
      <c r="R1560" s="405"/>
      <c r="S1560" s="405"/>
      <c r="T1560" s="405"/>
      <c r="U1560" s="405"/>
      <c r="V1560" s="405"/>
      <c r="W1560" s="405"/>
      <c r="X1560" s="405"/>
      <c r="Y1560" s="405"/>
      <c r="Z1560" s="405"/>
    </row>
    <row r="1561" ht="14.25" customHeight="1">
      <c r="A1561" s="405"/>
      <c r="B1561" s="405"/>
      <c r="C1561" s="405"/>
      <c r="D1561" s="405"/>
      <c r="E1561" s="405"/>
      <c r="F1561" s="583"/>
      <c r="G1561" s="583"/>
      <c r="H1561" s="405"/>
      <c r="I1561" s="405"/>
      <c r="J1561" s="405"/>
      <c r="K1561" s="405"/>
      <c r="L1561" s="405"/>
      <c r="M1561" s="405"/>
      <c r="N1561" s="405"/>
      <c r="O1561" s="405"/>
      <c r="P1561" s="405"/>
      <c r="Q1561" s="405"/>
      <c r="R1561" s="405"/>
      <c r="S1561" s="405"/>
      <c r="T1561" s="405"/>
      <c r="U1561" s="405"/>
      <c r="V1561" s="405"/>
      <c r="W1561" s="405"/>
      <c r="X1561" s="405"/>
      <c r="Y1561" s="405"/>
      <c r="Z1561" s="405"/>
    </row>
    <row r="1562" ht="14.25" customHeight="1">
      <c r="A1562" s="405"/>
      <c r="B1562" s="405"/>
      <c r="C1562" s="405"/>
      <c r="D1562" s="405"/>
      <c r="E1562" s="405"/>
      <c r="F1562" s="583"/>
      <c r="G1562" s="583"/>
      <c r="H1562" s="405"/>
      <c r="I1562" s="405"/>
      <c r="J1562" s="405"/>
      <c r="K1562" s="405"/>
      <c r="L1562" s="405"/>
      <c r="M1562" s="405"/>
      <c r="N1562" s="405"/>
      <c r="O1562" s="405"/>
      <c r="P1562" s="405"/>
      <c r="Q1562" s="405"/>
      <c r="R1562" s="405"/>
      <c r="S1562" s="405"/>
      <c r="T1562" s="405"/>
      <c r="U1562" s="405"/>
      <c r="V1562" s="405"/>
      <c r="W1562" s="405"/>
      <c r="X1562" s="405"/>
      <c r="Y1562" s="405"/>
      <c r="Z1562" s="405"/>
    </row>
    <row r="1563" ht="14.25" customHeight="1">
      <c r="A1563" s="405"/>
      <c r="B1563" s="405"/>
      <c r="C1563" s="405"/>
      <c r="D1563" s="405"/>
      <c r="E1563" s="405"/>
      <c r="F1563" s="583"/>
      <c r="G1563" s="583"/>
      <c r="H1563" s="405"/>
      <c r="I1563" s="405"/>
      <c r="J1563" s="405"/>
      <c r="K1563" s="405"/>
      <c r="L1563" s="405"/>
      <c r="M1563" s="405"/>
      <c r="N1563" s="405"/>
      <c r="O1563" s="405"/>
      <c r="P1563" s="405"/>
      <c r="Q1563" s="405"/>
      <c r="R1563" s="405"/>
      <c r="S1563" s="405"/>
      <c r="T1563" s="405"/>
      <c r="U1563" s="405"/>
      <c r="V1563" s="405"/>
      <c r="W1563" s="405"/>
      <c r="X1563" s="405"/>
      <c r="Y1563" s="405"/>
      <c r="Z1563" s="405"/>
    </row>
    <row r="1564" ht="14.25" customHeight="1">
      <c r="A1564" s="405"/>
      <c r="B1564" s="405"/>
      <c r="C1564" s="405"/>
      <c r="D1564" s="405"/>
      <c r="E1564" s="405"/>
      <c r="F1564" s="583"/>
      <c r="G1564" s="583"/>
      <c r="H1564" s="405"/>
      <c r="I1564" s="405"/>
      <c r="J1564" s="405"/>
      <c r="K1564" s="405"/>
      <c r="L1564" s="405"/>
      <c r="M1564" s="405"/>
      <c r="N1564" s="405"/>
      <c r="O1564" s="405"/>
      <c r="P1564" s="405"/>
      <c r="Q1564" s="405"/>
      <c r="R1564" s="405"/>
      <c r="S1564" s="405"/>
      <c r="T1564" s="405"/>
      <c r="U1564" s="405"/>
      <c r="V1564" s="405"/>
      <c r="W1564" s="405"/>
      <c r="X1564" s="405"/>
      <c r="Y1564" s="405"/>
      <c r="Z1564" s="405"/>
    </row>
    <row r="1565" ht="14.25" customHeight="1">
      <c r="A1565" s="405"/>
      <c r="B1565" s="405"/>
      <c r="C1565" s="405"/>
      <c r="D1565" s="405"/>
      <c r="E1565" s="405"/>
      <c r="F1565" s="583"/>
      <c r="G1565" s="583"/>
      <c r="H1565" s="405"/>
      <c r="I1565" s="405"/>
      <c r="J1565" s="405"/>
      <c r="K1565" s="405"/>
      <c r="L1565" s="405"/>
      <c r="M1565" s="405"/>
      <c r="N1565" s="405"/>
      <c r="O1565" s="405"/>
      <c r="P1565" s="405"/>
      <c r="Q1565" s="405"/>
      <c r="R1565" s="405"/>
      <c r="S1565" s="405"/>
      <c r="T1565" s="405"/>
      <c r="U1565" s="405"/>
      <c r="V1565" s="405"/>
      <c r="W1565" s="405"/>
      <c r="X1565" s="405"/>
      <c r="Y1565" s="405"/>
      <c r="Z1565" s="405"/>
    </row>
    <row r="1566" ht="14.25" customHeight="1">
      <c r="A1566" s="405"/>
      <c r="B1566" s="405"/>
      <c r="C1566" s="405"/>
      <c r="D1566" s="405"/>
      <c r="E1566" s="405"/>
      <c r="F1566" s="583"/>
      <c r="G1566" s="583"/>
      <c r="H1566" s="405"/>
      <c r="I1566" s="405"/>
      <c r="J1566" s="405"/>
      <c r="K1566" s="405"/>
      <c r="L1566" s="405"/>
      <c r="M1566" s="405"/>
      <c r="N1566" s="405"/>
      <c r="O1566" s="405"/>
      <c r="P1566" s="405"/>
      <c r="Q1566" s="405"/>
      <c r="R1566" s="405"/>
      <c r="S1566" s="405"/>
      <c r="T1566" s="405"/>
      <c r="U1566" s="405"/>
      <c r="V1566" s="405"/>
      <c r="W1566" s="405"/>
      <c r="X1566" s="405"/>
      <c r="Y1566" s="405"/>
      <c r="Z1566" s="405"/>
    </row>
    <row r="1567" ht="14.25" customHeight="1">
      <c r="A1567" s="405"/>
      <c r="B1567" s="405"/>
      <c r="C1567" s="405"/>
      <c r="D1567" s="405"/>
      <c r="E1567" s="405"/>
      <c r="F1567" s="583"/>
      <c r="G1567" s="583"/>
      <c r="H1567" s="405"/>
      <c r="I1567" s="405"/>
      <c r="J1567" s="405"/>
      <c r="K1567" s="405"/>
      <c r="L1567" s="405"/>
      <c r="M1567" s="405"/>
      <c r="N1567" s="405"/>
      <c r="O1567" s="405"/>
      <c r="P1567" s="405"/>
      <c r="Q1567" s="405"/>
      <c r="R1567" s="405"/>
      <c r="S1567" s="405"/>
      <c r="T1567" s="405"/>
      <c r="U1567" s="405"/>
      <c r="V1567" s="405"/>
      <c r="W1567" s="405"/>
      <c r="X1567" s="405"/>
      <c r="Y1567" s="405"/>
      <c r="Z1567" s="405"/>
    </row>
    <row r="1568" ht="14.25" customHeight="1">
      <c r="A1568" s="405"/>
      <c r="B1568" s="405"/>
      <c r="C1568" s="405"/>
      <c r="D1568" s="405"/>
      <c r="E1568" s="405"/>
      <c r="F1568" s="583"/>
      <c r="G1568" s="583"/>
      <c r="H1568" s="405"/>
      <c r="I1568" s="405"/>
      <c r="J1568" s="405"/>
      <c r="K1568" s="405"/>
      <c r="L1568" s="405"/>
      <c r="M1568" s="405"/>
      <c r="N1568" s="405"/>
      <c r="O1568" s="405"/>
      <c r="P1568" s="405"/>
      <c r="Q1568" s="405"/>
      <c r="R1568" s="405"/>
      <c r="S1568" s="405"/>
      <c r="T1568" s="405"/>
      <c r="U1568" s="405"/>
      <c r="V1568" s="405"/>
      <c r="W1568" s="405"/>
      <c r="X1568" s="405"/>
      <c r="Y1568" s="405"/>
      <c r="Z1568" s="405"/>
    </row>
    <row r="1569" ht="14.25" customHeight="1">
      <c r="A1569" s="405"/>
      <c r="B1569" s="405"/>
      <c r="C1569" s="405"/>
      <c r="D1569" s="405"/>
      <c r="E1569" s="405"/>
      <c r="F1569" s="583"/>
      <c r="G1569" s="583"/>
      <c r="H1569" s="405"/>
      <c r="I1569" s="405"/>
      <c r="J1569" s="405"/>
      <c r="K1569" s="405"/>
      <c r="L1569" s="405"/>
      <c r="M1569" s="405"/>
      <c r="N1569" s="405"/>
      <c r="O1569" s="405"/>
      <c r="P1569" s="405"/>
      <c r="Q1569" s="405"/>
      <c r="R1569" s="405"/>
      <c r="S1569" s="405"/>
      <c r="T1569" s="405"/>
      <c r="U1569" s="405"/>
      <c r="V1569" s="405"/>
      <c r="W1569" s="405"/>
      <c r="X1569" s="405"/>
      <c r="Y1569" s="405"/>
      <c r="Z1569" s="405"/>
    </row>
    <row r="1570" ht="14.25" customHeight="1">
      <c r="A1570" s="405"/>
      <c r="B1570" s="405"/>
      <c r="C1570" s="405"/>
      <c r="D1570" s="405"/>
      <c r="E1570" s="405"/>
      <c r="F1570" s="583"/>
      <c r="G1570" s="583"/>
      <c r="H1570" s="405"/>
      <c r="I1570" s="405"/>
      <c r="J1570" s="405"/>
      <c r="K1570" s="405"/>
      <c r="L1570" s="405"/>
      <c r="M1570" s="405"/>
      <c r="N1570" s="405"/>
      <c r="O1570" s="405"/>
      <c r="P1570" s="405"/>
      <c r="Q1570" s="405"/>
      <c r="R1570" s="405"/>
      <c r="S1570" s="405"/>
      <c r="T1570" s="405"/>
      <c r="U1570" s="405"/>
      <c r="V1570" s="405"/>
      <c r="W1570" s="405"/>
      <c r="X1570" s="405"/>
      <c r="Y1570" s="405"/>
      <c r="Z1570" s="405"/>
    </row>
    <row r="1571" ht="14.25" customHeight="1">
      <c r="A1571" s="405"/>
      <c r="B1571" s="405"/>
      <c r="C1571" s="405"/>
      <c r="D1571" s="405"/>
      <c r="E1571" s="405"/>
      <c r="F1571" s="583"/>
      <c r="G1571" s="583"/>
      <c r="H1571" s="405"/>
      <c r="I1571" s="405"/>
      <c r="J1571" s="405"/>
      <c r="K1571" s="405"/>
      <c r="L1571" s="405"/>
      <c r="M1571" s="405"/>
      <c r="N1571" s="405"/>
      <c r="O1571" s="405"/>
      <c r="P1571" s="405"/>
      <c r="Q1571" s="405"/>
      <c r="R1571" s="405"/>
      <c r="S1571" s="405"/>
      <c r="T1571" s="405"/>
      <c r="U1571" s="405"/>
      <c r="V1571" s="405"/>
      <c r="W1571" s="405"/>
      <c r="X1571" s="405"/>
      <c r="Y1571" s="405"/>
      <c r="Z1571" s="405"/>
    </row>
    <row r="1572" ht="14.25" customHeight="1">
      <c r="A1572" s="405"/>
      <c r="B1572" s="405"/>
      <c r="C1572" s="405"/>
      <c r="D1572" s="405"/>
      <c r="E1572" s="405"/>
      <c r="F1572" s="583"/>
      <c r="G1572" s="583"/>
      <c r="H1572" s="405"/>
      <c r="I1572" s="405"/>
      <c r="J1572" s="405"/>
      <c r="K1572" s="405"/>
      <c r="L1572" s="405"/>
      <c r="M1572" s="405"/>
      <c r="N1572" s="405"/>
      <c r="O1572" s="405"/>
      <c r="P1572" s="405"/>
      <c r="Q1572" s="405"/>
      <c r="R1572" s="405"/>
      <c r="S1572" s="405"/>
      <c r="T1572" s="405"/>
      <c r="U1572" s="405"/>
      <c r="V1572" s="405"/>
      <c r="W1572" s="405"/>
      <c r="X1572" s="405"/>
      <c r="Y1572" s="405"/>
      <c r="Z1572" s="405"/>
    </row>
    <row r="1573" ht="14.25" customHeight="1">
      <c r="A1573" s="405"/>
      <c r="B1573" s="405"/>
      <c r="C1573" s="405"/>
      <c r="D1573" s="405"/>
      <c r="E1573" s="405"/>
      <c r="F1573" s="583"/>
      <c r="G1573" s="583"/>
      <c r="H1573" s="405"/>
      <c r="I1573" s="405"/>
      <c r="J1573" s="405"/>
      <c r="K1573" s="405"/>
      <c r="L1573" s="405"/>
      <c r="M1573" s="405"/>
      <c r="N1573" s="405"/>
      <c r="O1573" s="405"/>
      <c r="P1573" s="405"/>
      <c r="Q1573" s="405"/>
      <c r="R1573" s="405"/>
      <c r="S1573" s="405"/>
      <c r="T1573" s="405"/>
      <c r="U1573" s="405"/>
      <c r="V1573" s="405"/>
      <c r="W1573" s="405"/>
      <c r="X1573" s="405"/>
      <c r="Y1573" s="405"/>
      <c r="Z1573" s="405"/>
    </row>
    <row r="1574" ht="14.25" customHeight="1">
      <c r="A1574" s="405"/>
      <c r="B1574" s="405"/>
      <c r="C1574" s="405"/>
      <c r="D1574" s="405"/>
      <c r="E1574" s="405"/>
      <c r="F1574" s="583"/>
      <c r="G1574" s="583"/>
      <c r="H1574" s="405"/>
      <c r="I1574" s="405"/>
      <c r="J1574" s="405"/>
      <c r="K1574" s="405"/>
      <c r="L1574" s="405"/>
      <c r="M1574" s="405"/>
      <c r="N1574" s="405"/>
      <c r="O1574" s="405"/>
      <c r="P1574" s="405"/>
      <c r="Q1574" s="405"/>
      <c r="R1574" s="405"/>
      <c r="S1574" s="405"/>
      <c r="T1574" s="405"/>
      <c r="U1574" s="405"/>
      <c r="V1574" s="405"/>
      <c r="W1574" s="405"/>
      <c r="X1574" s="405"/>
      <c r="Y1574" s="405"/>
      <c r="Z1574" s="405"/>
    </row>
    <row r="1575" ht="14.25" customHeight="1">
      <c r="A1575" s="405"/>
      <c r="B1575" s="405"/>
      <c r="C1575" s="405"/>
      <c r="D1575" s="405"/>
      <c r="E1575" s="405"/>
      <c r="F1575" s="583"/>
      <c r="G1575" s="583"/>
      <c r="H1575" s="405"/>
      <c r="I1575" s="405"/>
      <c r="J1575" s="405"/>
      <c r="K1575" s="405"/>
      <c r="L1575" s="405"/>
      <c r="M1575" s="405"/>
      <c r="N1575" s="405"/>
      <c r="O1575" s="405"/>
      <c r="P1575" s="405"/>
      <c r="Q1575" s="405"/>
      <c r="R1575" s="405"/>
      <c r="S1575" s="405"/>
      <c r="T1575" s="405"/>
      <c r="U1575" s="405"/>
      <c r="V1575" s="405"/>
      <c r="W1575" s="405"/>
      <c r="X1575" s="405"/>
      <c r="Y1575" s="405"/>
      <c r="Z1575" s="405"/>
    </row>
    <row r="1576" ht="14.25" customHeight="1">
      <c r="A1576" s="405"/>
      <c r="B1576" s="405"/>
      <c r="C1576" s="405"/>
      <c r="D1576" s="405"/>
      <c r="E1576" s="405"/>
      <c r="F1576" s="583"/>
      <c r="G1576" s="583"/>
      <c r="H1576" s="405"/>
      <c r="I1576" s="405"/>
      <c r="J1576" s="405"/>
      <c r="K1576" s="405"/>
      <c r="L1576" s="405"/>
      <c r="M1576" s="405"/>
      <c r="N1576" s="405"/>
      <c r="O1576" s="405"/>
      <c r="P1576" s="405"/>
      <c r="Q1576" s="405"/>
      <c r="R1576" s="405"/>
      <c r="S1576" s="405"/>
      <c r="T1576" s="405"/>
      <c r="U1576" s="405"/>
      <c r="V1576" s="405"/>
      <c r="W1576" s="405"/>
      <c r="X1576" s="405"/>
      <c r="Y1576" s="405"/>
      <c r="Z1576" s="405"/>
    </row>
    <row r="1577" ht="14.25" customHeight="1">
      <c r="A1577" s="405"/>
      <c r="B1577" s="405"/>
      <c r="C1577" s="405"/>
      <c r="D1577" s="405"/>
      <c r="E1577" s="405"/>
      <c r="F1577" s="583"/>
      <c r="G1577" s="583"/>
      <c r="H1577" s="405"/>
      <c r="I1577" s="405"/>
      <c r="J1577" s="405"/>
      <c r="K1577" s="405"/>
      <c r="L1577" s="405"/>
      <c r="M1577" s="405"/>
      <c r="N1577" s="405"/>
      <c r="O1577" s="405"/>
      <c r="P1577" s="405"/>
      <c r="Q1577" s="405"/>
      <c r="R1577" s="405"/>
      <c r="S1577" s="405"/>
      <c r="T1577" s="405"/>
      <c r="U1577" s="405"/>
      <c r="V1577" s="405"/>
      <c r="W1577" s="405"/>
      <c r="X1577" s="405"/>
      <c r="Y1577" s="405"/>
      <c r="Z1577" s="405"/>
    </row>
    <row r="1578" ht="14.25" customHeight="1">
      <c r="A1578" s="405"/>
      <c r="B1578" s="405"/>
      <c r="C1578" s="405"/>
      <c r="D1578" s="405"/>
      <c r="E1578" s="405"/>
      <c r="F1578" s="583"/>
      <c r="G1578" s="583"/>
      <c r="H1578" s="405"/>
      <c r="I1578" s="405"/>
      <c r="J1578" s="405"/>
      <c r="K1578" s="405"/>
      <c r="L1578" s="405"/>
      <c r="M1578" s="405"/>
      <c r="N1578" s="405"/>
      <c r="O1578" s="405"/>
      <c r="P1578" s="405"/>
      <c r="Q1578" s="405"/>
      <c r="R1578" s="405"/>
      <c r="S1578" s="405"/>
      <c r="T1578" s="405"/>
      <c r="U1578" s="405"/>
      <c r="V1578" s="405"/>
      <c r="W1578" s="405"/>
      <c r="X1578" s="405"/>
      <c r="Y1578" s="405"/>
      <c r="Z1578" s="405"/>
    </row>
    <row r="1579" ht="14.25" customHeight="1">
      <c r="A1579" s="405"/>
      <c r="B1579" s="405"/>
      <c r="C1579" s="405"/>
      <c r="D1579" s="405"/>
      <c r="E1579" s="405"/>
      <c r="F1579" s="583"/>
      <c r="G1579" s="583"/>
      <c r="H1579" s="405"/>
      <c r="I1579" s="405"/>
      <c r="J1579" s="405"/>
      <c r="K1579" s="405"/>
      <c r="L1579" s="405"/>
      <c r="M1579" s="405"/>
      <c r="N1579" s="405"/>
      <c r="O1579" s="405"/>
      <c r="P1579" s="405"/>
      <c r="Q1579" s="405"/>
      <c r="R1579" s="405"/>
      <c r="S1579" s="405"/>
      <c r="T1579" s="405"/>
      <c r="U1579" s="405"/>
      <c r="V1579" s="405"/>
      <c r="W1579" s="405"/>
      <c r="X1579" s="405"/>
      <c r="Y1579" s="405"/>
      <c r="Z1579" s="405"/>
    </row>
    <row r="1580" ht="14.25" customHeight="1">
      <c r="A1580" s="405"/>
      <c r="B1580" s="405"/>
      <c r="C1580" s="405"/>
      <c r="D1580" s="405"/>
      <c r="E1580" s="405"/>
      <c r="F1580" s="583"/>
      <c r="G1580" s="583"/>
      <c r="H1580" s="405"/>
      <c r="I1580" s="405"/>
      <c r="J1580" s="405"/>
      <c r="K1580" s="405"/>
      <c r="L1580" s="405"/>
      <c r="M1580" s="405"/>
      <c r="N1580" s="405"/>
      <c r="O1580" s="405"/>
      <c r="P1580" s="405"/>
      <c r="Q1580" s="405"/>
      <c r="R1580" s="405"/>
      <c r="S1580" s="405"/>
      <c r="T1580" s="405"/>
      <c r="U1580" s="405"/>
      <c r="V1580" s="405"/>
      <c r="W1580" s="405"/>
      <c r="X1580" s="405"/>
      <c r="Y1580" s="405"/>
      <c r="Z1580" s="405"/>
    </row>
    <row r="1581" ht="14.25" customHeight="1">
      <c r="A1581" s="405"/>
      <c r="B1581" s="405"/>
      <c r="C1581" s="405"/>
      <c r="D1581" s="405"/>
      <c r="E1581" s="405"/>
      <c r="F1581" s="583"/>
      <c r="G1581" s="583"/>
      <c r="H1581" s="405"/>
      <c r="I1581" s="405"/>
      <c r="J1581" s="405"/>
      <c r="K1581" s="405"/>
      <c r="L1581" s="405"/>
      <c r="M1581" s="405"/>
      <c r="N1581" s="405"/>
      <c r="O1581" s="405"/>
      <c r="P1581" s="405"/>
      <c r="Q1581" s="405"/>
      <c r="R1581" s="405"/>
      <c r="S1581" s="405"/>
      <c r="T1581" s="405"/>
      <c r="U1581" s="405"/>
      <c r="V1581" s="405"/>
      <c r="W1581" s="405"/>
      <c r="X1581" s="405"/>
      <c r="Y1581" s="405"/>
      <c r="Z1581" s="405"/>
    </row>
    <row r="1582" ht="14.25" customHeight="1">
      <c r="A1582" s="405"/>
      <c r="B1582" s="405"/>
      <c r="C1582" s="405"/>
      <c r="D1582" s="405"/>
      <c r="E1582" s="405"/>
      <c r="F1582" s="583"/>
      <c r="G1582" s="583"/>
      <c r="H1582" s="405"/>
      <c r="I1582" s="405"/>
      <c r="J1582" s="405"/>
      <c r="K1582" s="405"/>
      <c r="L1582" s="405"/>
      <c r="M1582" s="405"/>
      <c r="N1582" s="405"/>
      <c r="O1582" s="405"/>
      <c r="P1582" s="405"/>
      <c r="Q1582" s="405"/>
      <c r="R1582" s="405"/>
      <c r="S1582" s="405"/>
      <c r="T1582" s="405"/>
      <c r="U1582" s="405"/>
      <c r="V1582" s="405"/>
      <c r="W1582" s="405"/>
      <c r="X1582" s="405"/>
      <c r="Y1582" s="405"/>
      <c r="Z1582" s="405"/>
    </row>
    <row r="1583" ht="14.25" customHeight="1">
      <c r="A1583" s="405"/>
      <c r="B1583" s="405"/>
      <c r="C1583" s="405"/>
      <c r="D1583" s="405"/>
      <c r="E1583" s="405"/>
      <c r="F1583" s="583"/>
      <c r="G1583" s="583"/>
      <c r="H1583" s="405"/>
      <c r="I1583" s="405"/>
      <c r="J1583" s="405"/>
      <c r="K1583" s="405"/>
      <c r="L1583" s="405"/>
      <c r="M1583" s="405"/>
      <c r="N1583" s="405"/>
      <c r="O1583" s="405"/>
      <c r="P1583" s="405"/>
      <c r="Q1583" s="405"/>
      <c r="R1583" s="405"/>
      <c r="S1583" s="405"/>
      <c r="T1583" s="405"/>
      <c r="U1583" s="405"/>
      <c r="V1583" s="405"/>
      <c r="W1583" s="405"/>
      <c r="X1583" s="405"/>
      <c r="Y1583" s="405"/>
      <c r="Z1583" s="405"/>
    </row>
    <row r="1584" ht="14.25" customHeight="1">
      <c r="A1584" s="405"/>
      <c r="B1584" s="405"/>
      <c r="C1584" s="405"/>
      <c r="D1584" s="405"/>
      <c r="E1584" s="405"/>
      <c r="F1584" s="583"/>
      <c r="G1584" s="583"/>
      <c r="H1584" s="405"/>
      <c r="I1584" s="405"/>
      <c r="J1584" s="405"/>
      <c r="K1584" s="405"/>
      <c r="L1584" s="405"/>
      <c r="M1584" s="405"/>
      <c r="N1584" s="405"/>
      <c r="O1584" s="405"/>
      <c r="P1584" s="405"/>
      <c r="Q1584" s="405"/>
      <c r="R1584" s="405"/>
      <c r="S1584" s="405"/>
      <c r="T1584" s="405"/>
      <c r="U1584" s="405"/>
      <c r="V1584" s="405"/>
      <c r="W1584" s="405"/>
      <c r="X1584" s="405"/>
      <c r="Y1584" s="405"/>
      <c r="Z1584" s="405"/>
    </row>
    <row r="1585" ht="14.25" customHeight="1">
      <c r="A1585" s="405"/>
      <c r="B1585" s="405"/>
      <c r="C1585" s="405"/>
      <c r="D1585" s="405"/>
      <c r="E1585" s="405"/>
      <c r="F1585" s="583"/>
      <c r="G1585" s="583"/>
      <c r="H1585" s="405"/>
      <c r="I1585" s="405"/>
      <c r="J1585" s="405"/>
      <c r="K1585" s="405"/>
      <c r="L1585" s="405"/>
      <c r="M1585" s="405"/>
      <c r="N1585" s="405"/>
      <c r="O1585" s="405"/>
      <c r="P1585" s="405"/>
      <c r="Q1585" s="405"/>
      <c r="R1585" s="405"/>
      <c r="S1585" s="405"/>
      <c r="T1585" s="405"/>
      <c r="U1585" s="405"/>
      <c r="V1585" s="405"/>
      <c r="W1585" s="405"/>
      <c r="X1585" s="405"/>
      <c r="Y1585" s="405"/>
      <c r="Z1585" s="405"/>
    </row>
    <row r="1586" ht="14.25" customHeight="1">
      <c r="A1586" s="405"/>
      <c r="B1586" s="405"/>
      <c r="C1586" s="405"/>
      <c r="D1586" s="405"/>
      <c r="E1586" s="405"/>
      <c r="F1586" s="583"/>
      <c r="G1586" s="583"/>
      <c r="H1586" s="405"/>
      <c r="I1586" s="405"/>
      <c r="J1586" s="405"/>
      <c r="K1586" s="405"/>
      <c r="L1586" s="405"/>
      <c r="M1586" s="405"/>
      <c r="N1586" s="405"/>
      <c r="O1586" s="405"/>
      <c r="P1586" s="405"/>
      <c r="Q1586" s="405"/>
      <c r="R1586" s="405"/>
      <c r="S1586" s="405"/>
      <c r="T1586" s="405"/>
      <c r="U1586" s="405"/>
      <c r="V1586" s="405"/>
      <c r="W1586" s="405"/>
      <c r="X1586" s="405"/>
      <c r="Y1586" s="405"/>
      <c r="Z1586" s="405"/>
    </row>
    <row r="1587" ht="14.25" customHeight="1">
      <c r="A1587" s="405"/>
      <c r="B1587" s="405"/>
      <c r="C1587" s="405"/>
      <c r="D1587" s="405"/>
      <c r="E1587" s="405"/>
      <c r="F1587" s="583"/>
      <c r="G1587" s="583"/>
      <c r="H1587" s="405"/>
      <c r="I1587" s="405"/>
      <c r="J1587" s="405"/>
      <c r="K1587" s="405"/>
      <c r="L1587" s="405"/>
      <c r="M1587" s="405"/>
      <c r="N1587" s="405"/>
      <c r="O1587" s="405"/>
      <c r="P1587" s="405"/>
      <c r="Q1587" s="405"/>
      <c r="R1587" s="405"/>
      <c r="S1587" s="405"/>
      <c r="T1587" s="405"/>
      <c r="U1587" s="405"/>
      <c r="V1587" s="405"/>
      <c r="W1587" s="405"/>
      <c r="X1587" s="405"/>
      <c r="Y1587" s="405"/>
      <c r="Z1587" s="405"/>
    </row>
    <row r="1588" ht="14.25" customHeight="1">
      <c r="A1588" s="405"/>
      <c r="B1588" s="405"/>
      <c r="C1588" s="405"/>
      <c r="D1588" s="405"/>
      <c r="E1588" s="405"/>
      <c r="F1588" s="583"/>
      <c r="G1588" s="583"/>
      <c r="H1588" s="405"/>
      <c r="I1588" s="405"/>
      <c r="J1588" s="405"/>
      <c r="K1588" s="405"/>
      <c r="L1588" s="405"/>
      <c r="M1588" s="405"/>
      <c r="N1588" s="405"/>
      <c r="O1588" s="405"/>
      <c r="P1588" s="405"/>
      <c r="Q1588" s="405"/>
      <c r="R1588" s="405"/>
      <c r="S1588" s="405"/>
      <c r="T1588" s="405"/>
      <c r="U1588" s="405"/>
      <c r="V1588" s="405"/>
      <c r="W1588" s="405"/>
      <c r="X1588" s="405"/>
      <c r="Y1588" s="405"/>
      <c r="Z1588" s="405"/>
    </row>
    <row r="1589" ht="14.25" customHeight="1">
      <c r="A1589" s="405"/>
      <c r="B1589" s="405"/>
      <c r="C1589" s="405"/>
      <c r="D1589" s="405"/>
      <c r="E1589" s="405"/>
      <c r="F1589" s="583"/>
      <c r="G1589" s="583"/>
      <c r="H1589" s="405"/>
      <c r="I1589" s="405"/>
      <c r="J1589" s="405"/>
      <c r="K1589" s="405"/>
      <c r="L1589" s="405"/>
      <c r="M1589" s="405"/>
      <c r="N1589" s="405"/>
      <c r="O1589" s="405"/>
      <c r="P1589" s="405"/>
      <c r="Q1589" s="405"/>
      <c r="R1589" s="405"/>
      <c r="S1589" s="405"/>
      <c r="T1589" s="405"/>
      <c r="U1589" s="405"/>
      <c r="V1589" s="405"/>
      <c r="W1589" s="405"/>
      <c r="X1589" s="405"/>
      <c r="Y1589" s="405"/>
      <c r="Z1589" s="405"/>
    </row>
    <row r="1590" ht="14.25" customHeight="1">
      <c r="A1590" s="405"/>
      <c r="B1590" s="405"/>
      <c r="C1590" s="405"/>
      <c r="D1590" s="405"/>
      <c r="E1590" s="405"/>
      <c r="F1590" s="583"/>
      <c r="G1590" s="583"/>
      <c r="H1590" s="405"/>
      <c r="I1590" s="405"/>
      <c r="J1590" s="405"/>
      <c r="K1590" s="405"/>
      <c r="L1590" s="405"/>
      <c r="M1590" s="405"/>
      <c r="N1590" s="405"/>
      <c r="O1590" s="405"/>
      <c r="P1590" s="405"/>
      <c r="Q1590" s="405"/>
      <c r="R1590" s="405"/>
      <c r="S1590" s="405"/>
      <c r="T1590" s="405"/>
      <c r="U1590" s="405"/>
      <c r="V1590" s="405"/>
      <c r="W1590" s="405"/>
      <c r="X1590" s="405"/>
      <c r="Y1590" s="405"/>
      <c r="Z1590" s="405"/>
    </row>
    <row r="1591" ht="14.25" customHeight="1">
      <c r="A1591" s="405"/>
      <c r="B1591" s="405"/>
      <c r="C1591" s="405"/>
      <c r="D1591" s="405"/>
      <c r="E1591" s="405"/>
      <c r="F1591" s="583"/>
      <c r="G1591" s="583"/>
      <c r="H1591" s="405"/>
      <c r="I1591" s="405"/>
      <c r="J1591" s="405"/>
      <c r="K1591" s="405"/>
      <c r="L1591" s="405"/>
      <c r="M1591" s="405"/>
      <c r="N1591" s="405"/>
      <c r="O1591" s="405"/>
      <c r="P1591" s="405"/>
      <c r="Q1591" s="405"/>
      <c r="R1591" s="405"/>
      <c r="S1591" s="405"/>
      <c r="T1591" s="405"/>
      <c r="U1591" s="405"/>
      <c r="V1591" s="405"/>
      <c r="W1591" s="405"/>
      <c r="X1591" s="405"/>
      <c r="Y1591" s="405"/>
      <c r="Z1591" s="405"/>
    </row>
    <row r="1592" ht="14.25" customHeight="1">
      <c r="A1592" s="405"/>
      <c r="B1592" s="405"/>
      <c r="C1592" s="405"/>
      <c r="D1592" s="405"/>
      <c r="E1592" s="405"/>
      <c r="F1592" s="583"/>
      <c r="G1592" s="583"/>
      <c r="H1592" s="405"/>
      <c r="I1592" s="405"/>
      <c r="J1592" s="405"/>
      <c r="K1592" s="405"/>
      <c r="L1592" s="405"/>
      <c r="M1592" s="405"/>
      <c r="N1592" s="405"/>
      <c r="O1592" s="405"/>
      <c r="P1592" s="405"/>
      <c r="Q1592" s="405"/>
      <c r="R1592" s="405"/>
      <c r="S1592" s="405"/>
      <c r="T1592" s="405"/>
      <c r="U1592" s="405"/>
      <c r="V1592" s="405"/>
      <c r="W1592" s="405"/>
      <c r="X1592" s="405"/>
      <c r="Y1592" s="405"/>
      <c r="Z1592" s="405"/>
    </row>
    <row r="1593" ht="14.25" customHeight="1">
      <c r="A1593" s="405"/>
      <c r="B1593" s="405"/>
      <c r="C1593" s="405"/>
      <c r="D1593" s="405"/>
      <c r="E1593" s="405"/>
      <c r="F1593" s="583"/>
      <c r="G1593" s="583"/>
      <c r="H1593" s="405"/>
      <c r="I1593" s="405"/>
      <c r="J1593" s="405"/>
      <c r="K1593" s="405"/>
      <c r="L1593" s="405"/>
      <c r="M1593" s="405"/>
      <c r="N1593" s="405"/>
      <c r="O1593" s="405"/>
      <c r="P1593" s="405"/>
      <c r="Q1593" s="405"/>
      <c r="R1593" s="405"/>
      <c r="S1593" s="405"/>
      <c r="T1593" s="405"/>
      <c r="U1593" s="405"/>
      <c r="V1593" s="405"/>
      <c r="W1593" s="405"/>
      <c r="X1593" s="405"/>
      <c r="Y1593" s="405"/>
      <c r="Z1593" s="405"/>
    </row>
    <row r="1594" ht="14.25" customHeight="1">
      <c r="A1594" s="405"/>
      <c r="B1594" s="405"/>
      <c r="C1594" s="405"/>
      <c r="D1594" s="405"/>
      <c r="E1594" s="405"/>
      <c r="F1594" s="583"/>
      <c r="G1594" s="583"/>
      <c r="H1594" s="405"/>
      <c r="I1594" s="405"/>
      <c r="J1594" s="405"/>
      <c r="K1594" s="405"/>
      <c r="L1594" s="405"/>
      <c r="M1594" s="405"/>
      <c r="N1594" s="405"/>
      <c r="O1594" s="405"/>
      <c r="P1594" s="405"/>
      <c r="Q1594" s="405"/>
      <c r="R1594" s="405"/>
      <c r="S1594" s="405"/>
      <c r="T1594" s="405"/>
      <c r="U1594" s="405"/>
      <c r="V1594" s="405"/>
      <c r="W1594" s="405"/>
      <c r="X1594" s="405"/>
      <c r="Y1594" s="405"/>
      <c r="Z1594" s="405"/>
    </row>
    <row r="1595" ht="14.25" customHeight="1">
      <c r="A1595" s="405"/>
      <c r="B1595" s="405"/>
      <c r="C1595" s="405"/>
      <c r="D1595" s="405"/>
      <c r="E1595" s="405"/>
      <c r="F1595" s="583"/>
      <c r="G1595" s="583"/>
      <c r="H1595" s="405"/>
      <c r="I1595" s="405"/>
      <c r="J1595" s="405"/>
      <c r="K1595" s="405"/>
      <c r="L1595" s="405"/>
      <c r="M1595" s="405"/>
      <c r="N1595" s="405"/>
      <c r="O1595" s="405"/>
      <c r="P1595" s="405"/>
      <c r="Q1595" s="405"/>
      <c r="R1595" s="405"/>
      <c r="S1595" s="405"/>
      <c r="T1595" s="405"/>
      <c r="U1595" s="405"/>
      <c r="V1595" s="405"/>
      <c r="W1595" s="405"/>
      <c r="X1595" s="405"/>
      <c r="Y1595" s="405"/>
      <c r="Z1595" s="405"/>
    </row>
    <row r="1596" ht="14.25" customHeight="1">
      <c r="A1596" s="405"/>
      <c r="B1596" s="405"/>
      <c r="C1596" s="405"/>
      <c r="D1596" s="405"/>
      <c r="E1596" s="405"/>
      <c r="F1596" s="583"/>
      <c r="G1596" s="583"/>
      <c r="H1596" s="405"/>
      <c r="I1596" s="405"/>
      <c r="J1596" s="405"/>
      <c r="K1596" s="405"/>
      <c r="L1596" s="405"/>
      <c r="M1596" s="405"/>
      <c r="N1596" s="405"/>
      <c r="O1596" s="405"/>
      <c r="P1596" s="405"/>
      <c r="Q1596" s="405"/>
      <c r="R1596" s="405"/>
      <c r="S1596" s="405"/>
      <c r="T1596" s="405"/>
      <c r="U1596" s="405"/>
      <c r="V1596" s="405"/>
      <c r="W1596" s="405"/>
      <c r="X1596" s="405"/>
      <c r="Y1596" s="405"/>
      <c r="Z1596" s="405"/>
    </row>
    <row r="1597" ht="14.25" customHeight="1">
      <c r="A1597" s="405"/>
      <c r="B1597" s="405"/>
      <c r="C1597" s="405"/>
      <c r="D1597" s="405"/>
      <c r="E1597" s="405"/>
      <c r="F1597" s="583"/>
      <c r="G1597" s="583"/>
      <c r="H1597" s="405"/>
      <c r="I1597" s="405"/>
      <c r="J1597" s="405"/>
      <c r="K1597" s="405"/>
      <c r="L1597" s="405"/>
      <c r="M1597" s="405"/>
      <c r="N1597" s="405"/>
      <c r="O1597" s="405"/>
      <c r="P1597" s="405"/>
      <c r="Q1597" s="405"/>
      <c r="R1597" s="405"/>
      <c r="S1597" s="405"/>
      <c r="T1597" s="405"/>
      <c r="U1597" s="405"/>
      <c r="V1597" s="405"/>
      <c r="W1597" s="405"/>
      <c r="X1597" s="405"/>
      <c r="Y1597" s="405"/>
      <c r="Z1597" s="405"/>
    </row>
    <row r="1598" ht="14.25" customHeight="1">
      <c r="A1598" s="405"/>
      <c r="B1598" s="405"/>
      <c r="C1598" s="405"/>
      <c r="D1598" s="405"/>
      <c r="E1598" s="405"/>
      <c r="F1598" s="583"/>
      <c r="G1598" s="583"/>
      <c r="H1598" s="405"/>
      <c r="I1598" s="405"/>
      <c r="J1598" s="405"/>
      <c r="K1598" s="405"/>
      <c r="L1598" s="405"/>
      <c r="M1598" s="405"/>
      <c r="N1598" s="405"/>
      <c r="O1598" s="405"/>
      <c r="P1598" s="405"/>
      <c r="Q1598" s="405"/>
      <c r="R1598" s="405"/>
      <c r="S1598" s="405"/>
      <c r="T1598" s="405"/>
      <c r="U1598" s="405"/>
      <c r="V1598" s="405"/>
      <c r="W1598" s="405"/>
      <c r="X1598" s="405"/>
      <c r="Y1598" s="405"/>
      <c r="Z1598" s="405"/>
    </row>
    <row r="1599" ht="14.25" customHeight="1">
      <c r="A1599" s="405"/>
      <c r="B1599" s="405"/>
      <c r="C1599" s="405"/>
      <c r="D1599" s="405"/>
      <c r="E1599" s="405"/>
      <c r="F1599" s="583"/>
      <c r="G1599" s="583"/>
      <c r="H1599" s="405"/>
      <c r="I1599" s="405"/>
      <c r="J1599" s="405"/>
      <c r="K1599" s="405"/>
      <c r="L1599" s="405"/>
      <c r="M1599" s="405"/>
      <c r="N1599" s="405"/>
      <c r="O1599" s="405"/>
      <c r="P1599" s="405"/>
      <c r="Q1599" s="405"/>
      <c r="R1599" s="405"/>
      <c r="S1599" s="405"/>
      <c r="T1599" s="405"/>
      <c r="U1599" s="405"/>
      <c r="V1599" s="405"/>
      <c r="W1599" s="405"/>
      <c r="X1599" s="405"/>
      <c r="Y1599" s="405"/>
      <c r="Z1599" s="405"/>
    </row>
    <row r="1600" ht="14.25" customHeight="1">
      <c r="A1600" s="405"/>
      <c r="B1600" s="405"/>
      <c r="C1600" s="405"/>
      <c r="D1600" s="405"/>
      <c r="E1600" s="405"/>
      <c r="F1600" s="583"/>
      <c r="G1600" s="583"/>
      <c r="H1600" s="405"/>
      <c r="I1600" s="405"/>
      <c r="J1600" s="405"/>
      <c r="K1600" s="405"/>
      <c r="L1600" s="405"/>
      <c r="M1600" s="405"/>
      <c r="N1600" s="405"/>
      <c r="O1600" s="405"/>
      <c r="P1600" s="405"/>
      <c r="Q1600" s="405"/>
      <c r="R1600" s="405"/>
      <c r="S1600" s="405"/>
      <c r="T1600" s="405"/>
      <c r="U1600" s="405"/>
      <c r="V1600" s="405"/>
      <c r="W1600" s="405"/>
      <c r="X1600" s="405"/>
      <c r="Y1600" s="405"/>
      <c r="Z1600" s="405"/>
    </row>
  </sheetData>
  <hyperlinks>
    <hyperlink r:id="rId1" ref="H408"/>
  </hyperlinks>
  <printOptions/>
  <pageMargins bottom="0.75" footer="0.0" header="0.0" left="0.7" right="0.7" top="0.75"/>
  <pageSetup orientation="landscape"/>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29"/>
    <col customWidth="1" min="2" max="2" width="15.57"/>
    <col customWidth="1" min="3" max="3" width="57.14"/>
    <col customWidth="1" min="4" max="4" width="26.71"/>
    <col customWidth="1" min="5" max="5" width="26.57"/>
    <col customWidth="1" min="6" max="6" width="21.29"/>
    <col customWidth="1" min="7" max="7" width="19.86"/>
    <col customWidth="1" min="8" max="8" width="66.86"/>
    <col customWidth="1" min="9" max="9" width="15.71"/>
    <col customWidth="1" min="10" max="38" width="8.71"/>
  </cols>
  <sheetData>
    <row r="1" ht="14.25" customHeight="1">
      <c r="A1" s="584" t="s">
        <v>2130</v>
      </c>
      <c r="B1" s="584" t="s">
        <v>39</v>
      </c>
      <c r="C1" s="584" t="s">
        <v>48</v>
      </c>
      <c r="D1" s="584" t="s">
        <v>49</v>
      </c>
      <c r="E1" s="584" t="s">
        <v>50</v>
      </c>
      <c r="F1" s="584" t="s">
        <v>2</v>
      </c>
      <c r="G1" s="586" t="s">
        <v>44</v>
      </c>
      <c r="H1" s="584" t="s">
        <v>45</v>
      </c>
      <c r="I1" s="584"/>
      <c r="J1" s="584"/>
      <c r="K1" s="584"/>
      <c r="L1" s="584"/>
      <c r="M1" s="584"/>
      <c r="N1" s="584"/>
      <c r="O1" s="584"/>
      <c r="P1" s="584"/>
      <c r="Q1" s="584"/>
      <c r="R1" s="584"/>
      <c r="S1" s="584"/>
      <c r="T1" s="584"/>
      <c r="U1" s="584"/>
      <c r="V1" s="584"/>
      <c r="W1" s="584"/>
      <c r="X1" s="584"/>
      <c r="Y1" s="584"/>
      <c r="Z1" s="584"/>
      <c r="AA1" s="659"/>
      <c r="AB1" s="659"/>
      <c r="AC1" s="659"/>
      <c r="AD1" s="659"/>
      <c r="AE1" s="659"/>
      <c r="AF1" s="659"/>
      <c r="AG1" s="659"/>
      <c r="AH1" s="659"/>
      <c r="AI1" s="659"/>
      <c r="AJ1" s="659"/>
      <c r="AK1" s="659"/>
      <c r="AL1" s="659"/>
    </row>
    <row r="2" ht="14.25" customHeight="1">
      <c r="A2" s="406"/>
      <c r="B2" s="402"/>
      <c r="C2" s="402"/>
      <c r="D2" s="402"/>
      <c r="E2" s="402"/>
      <c r="F2" s="751"/>
      <c r="G2" s="403"/>
      <c r="H2" s="402"/>
      <c r="I2" s="736" t="str">
        <f t="shared" ref="I2:I15" si="1">IF(G2&gt;=F2,"FULLY PAID",IF(G2=0,"NOT PAID","PARTIALLY PAID"))</f>
        <v>FULLY PAID</v>
      </c>
      <c r="J2" s="402"/>
      <c r="K2" s="402"/>
      <c r="L2" s="402"/>
      <c r="M2" s="402"/>
      <c r="N2" s="402"/>
      <c r="O2" s="402"/>
      <c r="P2" s="402"/>
      <c r="Q2" s="402"/>
      <c r="R2" s="402"/>
      <c r="S2" s="402"/>
      <c r="T2" s="402"/>
      <c r="U2" s="402"/>
      <c r="V2" s="402"/>
      <c r="W2" s="402"/>
      <c r="X2" s="402"/>
      <c r="Y2" s="402"/>
      <c r="Z2" s="402"/>
      <c r="AA2" s="405"/>
      <c r="AB2" s="405"/>
      <c r="AC2" s="405"/>
      <c r="AD2" s="405"/>
      <c r="AE2" s="405"/>
      <c r="AF2" s="405"/>
      <c r="AG2" s="405"/>
      <c r="AH2" s="405"/>
      <c r="AI2" s="405"/>
      <c r="AJ2" s="405"/>
      <c r="AK2" s="405"/>
      <c r="AL2" s="405"/>
    </row>
    <row r="3" ht="14.25" customHeight="1">
      <c r="A3" s="584" t="s">
        <v>2130</v>
      </c>
      <c r="B3" s="584" t="s">
        <v>39</v>
      </c>
      <c r="C3" s="584" t="s">
        <v>48</v>
      </c>
      <c r="D3" s="584" t="s">
        <v>49</v>
      </c>
      <c r="E3" s="584" t="s">
        <v>50</v>
      </c>
      <c r="F3" s="584" t="s">
        <v>2</v>
      </c>
      <c r="G3" s="586" t="s">
        <v>44</v>
      </c>
      <c r="H3" s="584" t="s">
        <v>45</v>
      </c>
      <c r="I3" s="736" t="str">
        <f t="shared" si="1"/>
        <v>FULLY PAID</v>
      </c>
      <c r="J3" s="402"/>
      <c r="K3" s="402"/>
      <c r="L3" s="402"/>
      <c r="M3" s="402"/>
      <c r="N3" s="402"/>
      <c r="O3" s="402"/>
      <c r="P3" s="402"/>
      <c r="Q3" s="402"/>
      <c r="R3" s="402"/>
      <c r="S3" s="402"/>
      <c r="T3" s="402"/>
      <c r="U3" s="402"/>
      <c r="V3" s="402"/>
      <c r="W3" s="402"/>
      <c r="X3" s="402"/>
      <c r="Y3" s="402"/>
      <c r="Z3" s="402"/>
      <c r="AA3" s="405"/>
      <c r="AB3" s="405"/>
      <c r="AC3" s="405"/>
      <c r="AD3" s="405"/>
      <c r="AE3" s="405"/>
      <c r="AF3" s="405"/>
      <c r="AG3" s="405"/>
      <c r="AH3" s="405"/>
      <c r="AI3" s="405"/>
      <c r="AJ3" s="405"/>
      <c r="AK3" s="405"/>
      <c r="AL3" s="405"/>
    </row>
    <row r="4" ht="14.25" customHeight="1">
      <c r="A4" s="406">
        <v>45495.0</v>
      </c>
      <c r="B4" s="752" t="s">
        <v>3544</v>
      </c>
      <c r="C4" s="752" t="s">
        <v>3545</v>
      </c>
      <c r="D4" s="752" t="s">
        <v>75</v>
      </c>
      <c r="E4" s="752" t="s">
        <v>3546</v>
      </c>
      <c r="F4" s="751">
        <v>319950.0</v>
      </c>
      <c r="G4" s="751">
        <v>320200.0</v>
      </c>
      <c r="H4" s="349" t="s">
        <v>710</v>
      </c>
      <c r="I4" s="736" t="str">
        <f t="shared" si="1"/>
        <v>FULLY PAID</v>
      </c>
      <c r="J4" s="402"/>
      <c r="K4" s="402"/>
      <c r="L4" s="402"/>
      <c r="M4" s="402"/>
      <c r="N4" s="402"/>
      <c r="O4" s="402"/>
      <c r="P4" s="402"/>
      <c r="Q4" s="402"/>
      <c r="R4" s="402"/>
      <c r="S4" s="402"/>
      <c r="T4" s="402"/>
      <c r="U4" s="402"/>
      <c r="V4" s="402"/>
      <c r="W4" s="402"/>
      <c r="X4" s="402"/>
      <c r="Y4" s="402"/>
      <c r="Z4" s="402"/>
      <c r="AA4" s="405"/>
      <c r="AB4" s="405"/>
      <c r="AC4" s="405"/>
      <c r="AD4" s="405"/>
      <c r="AE4" s="405"/>
      <c r="AF4" s="405"/>
      <c r="AG4" s="405"/>
      <c r="AH4" s="405"/>
      <c r="AI4" s="405"/>
      <c r="AJ4" s="405"/>
      <c r="AK4" s="405"/>
      <c r="AL4" s="405"/>
    </row>
    <row r="5" ht="14.25" customHeight="1">
      <c r="A5" s="406">
        <v>45495.0</v>
      </c>
      <c r="B5" s="349" t="s">
        <v>3547</v>
      </c>
      <c r="C5" s="349" t="s">
        <v>3545</v>
      </c>
      <c r="D5" s="349" t="s">
        <v>54</v>
      </c>
      <c r="E5" s="349" t="s">
        <v>3546</v>
      </c>
      <c r="F5" s="751">
        <v>226832.0</v>
      </c>
      <c r="G5" s="751"/>
      <c r="H5" s="349" t="s">
        <v>3548</v>
      </c>
      <c r="I5" s="736" t="str">
        <f t="shared" si="1"/>
        <v>NOT PAID</v>
      </c>
      <c r="J5" s="402"/>
      <c r="K5" s="402"/>
      <c r="L5" s="402"/>
      <c r="M5" s="402"/>
      <c r="N5" s="402"/>
      <c r="O5" s="402"/>
      <c r="P5" s="402"/>
      <c r="Q5" s="402"/>
      <c r="R5" s="402"/>
      <c r="S5" s="402"/>
      <c r="T5" s="402"/>
      <c r="U5" s="402"/>
      <c r="V5" s="402"/>
      <c r="W5" s="402"/>
      <c r="X5" s="402"/>
      <c r="Y5" s="402"/>
      <c r="Z5" s="402"/>
      <c r="AA5" s="405"/>
      <c r="AB5" s="405"/>
      <c r="AC5" s="405"/>
      <c r="AD5" s="405"/>
      <c r="AE5" s="405"/>
      <c r="AF5" s="405"/>
      <c r="AG5" s="405"/>
      <c r="AH5" s="405"/>
      <c r="AI5" s="405"/>
      <c r="AJ5" s="405"/>
      <c r="AK5" s="405"/>
      <c r="AL5" s="405"/>
    </row>
    <row r="6" ht="14.25" customHeight="1">
      <c r="A6" s="406">
        <v>45495.0</v>
      </c>
      <c r="B6" s="349" t="s">
        <v>3549</v>
      </c>
      <c r="C6" s="349" t="s">
        <v>3550</v>
      </c>
      <c r="D6" s="349" t="s">
        <v>346</v>
      </c>
      <c r="E6" s="349" t="s">
        <v>3551</v>
      </c>
      <c r="F6" s="751">
        <v>6270.0</v>
      </c>
      <c r="G6" s="751"/>
      <c r="H6" s="349" t="s">
        <v>56</v>
      </c>
      <c r="I6" s="736" t="str">
        <f t="shared" si="1"/>
        <v>NOT PAID</v>
      </c>
      <c r="J6" s="402"/>
      <c r="K6" s="402"/>
      <c r="L6" s="402"/>
      <c r="M6" s="402"/>
      <c r="N6" s="402"/>
      <c r="O6" s="402"/>
      <c r="P6" s="402"/>
      <c r="Q6" s="402"/>
      <c r="R6" s="402"/>
      <c r="S6" s="402"/>
      <c r="T6" s="402"/>
      <c r="U6" s="402"/>
      <c r="V6" s="402"/>
      <c r="W6" s="402"/>
      <c r="X6" s="402"/>
      <c r="Y6" s="402"/>
      <c r="Z6" s="402"/>
      <c r="AA6" s="405"/>
      <c r="AB6" s="405"/>
      <c r="AC6" s="405"/>
      <c r="AD6" s="405"/>
      <c r="AE6" s="405"/>
      <c r="AF6" s="405"/>
      <c r="AG6" s="405"/>
      <c r="AH6" s="405"/>
      <c r="AI6" s="405"/>
      <c r="AJ6" s="405"/>
      <c r="AK6" s="405"/>
      <c r="AL6" s="405"/>
    </row>
    <row r="7" ht="14.25" customHeight="1">
      <c r="A7" s="406">
        <v>45495.0</v>
      </c>
      <c r="B7" s="752" t="s">
        <v>3552</v>
      </c>
      <c r="C7" s="752" t="s">
        <v>3553</v>
      </c>
      <c r="D7" s="752" t="s">
        <v>54</v>
      </c>
      <c r="E7" s="752" t="s">
        <v>3551</v>
      </c>
      <c r="F7" s="751">
        <v>31000.0</v>
      </c>
      <c r="G7" s="751"/>
      <c r="H7" s="349" t="s">
        <v>2184</v>
      </c>
      <c r="I7" s="736" t="str">
        <f t="shared" si="1"/>
        <v>NOT PAID</v>
      </c>
      <c r="J7" s="402"/>
      <c r="K7" s="402"/>
      <c r="L7" s="402"/>
      <c r="M7" s="402"/>
      <c r="N7" s="402"/>
      <c r="O7" s="402"/>
      <c r="P7" s="402"/>
      <c r="Q7" s="402"/>
      <c r="R7" s="402"/>
      <c r="S7" s="402"/>
      <c r="T7" s="402"/>
      <c r="U7" s="402"/>
      <c r="V7" s="402"/>
      <c r="W7" s="402"/>
      <c r="X7" s="402"/>
      <c r="Y7" s="402"/>
      <c r="Z7" s="402"/>
      <c r="AA7" s="405"/>
      <c r="AB7" s="405"/>
      <c r="AC7" s="405"/>
      <c r="AD7" s="405"/>
      <c r="AE7" s="405"/>
      <c r="AF7" s="405"/>
      <c r="AG7" s="405"/>
      <c r="AH7" s="405"/>
      <c r="AI7" s="405"/>
      <c r="AJ7" s="405"/>
      <c r="AK7" s="405"/>
      <c r="AL7" s="405"/>
    </row>
    <row r="8" ht="14.25" customHeight="1">
      <c r="A8" s="406">
        <v>45495.0</v>
      </c>
      <c r="B8" s="349" t="s">
        <v>3554</v>
      </c>
      <c r="C8" s="349" t="s">
        <v>3555</v>
      </c>
      <c r="D8" s="349" t="s">
        <v>54</v>
      </c>
      <c r="E8" s="349" t="s">
        <v>3556</v>
      </c>
      <c r="F8" s="751">
        <v>108141.0</v>
      </c>
      <c r="G8" s="751"/>
      <c r="H8" s="349" t="s">
        <v>3557</v>
      </c>
      <c r="I8" s="736" t="str">
        <f t="shared" si="1"/>
        <v>NOT PAID</v>
      </c>
      <c r="J8" s="402"/>
      <c r="K8" s="402"/>
      <c r="L8" s="402"/>
      <c r="M8" s="402"/>
      <c r="N8" s="402"/>
      <c r="O8" s="402"/>
      <c r="P8" s="402"/>
      <c r="Q8" s="402"/>
      <c r="R8" s="402"/>
      <c r="S8" s="402"/>
      <c r="T8" s="402"/>
      <c r="U8" s="402"/>
      <c r="V8" s="402"/>
      <c r="W8" s="402"/>
      <c r="X8" s="402"/>
      <c r="Y8" s="402"/>
      <c r="Z8" s="402"/>
      <c r="AA8" s="405"/>
      <c r="AB8" s="405"/>
      <c r="AC8" s="405"/>
      <c r="AD8" s="405"/>
      <c r="AE8" s="405"/>
      <c r="AF8" s="405"/>
      <c r="AG8" s="405"/>
      <c r="AH8" s="405"/>
      <c r="AI8" s="405"/>
      <c r="AJ8" s="405"/>
      <c r="AK8" s="405"/>
      <c r="AL8" s="405"/>
    </row>
    <row r="9" ht="14.25" customHeight="1">
      <c r="A9" s="406">
        <v>45495.0</v>
      </c>
      <c r="B9" s="349" t="s">
        <v>3558</v>
      </c>
      <c r="C9" s="349" t="s">
        <v>3559</v>
      </c>
      <c r="D9" s="349" t="s">
        <v>54</v>
      </c>
      <c r="E9" s="349" t="s">
        <v>3546</v>
      </c>
      <c r="F9" s="751">
        <v>34128.0</v>
      </c>
      <c r="G9" s="751">
        <v>5000.0</v>
      </c>
      <c r="H9" s="349" t="s">
        <v>3560</v>
      </c>
      <c r="I9" s="736" t="str">
        <f t="shared" si="1"/>
        <v>PARTIALLY PAID</v>
      </c>
      <c r="J9" s="402"/>
      <c r="K9" s="402"/>
      <c r="L9" s="402"/>
      <c r="M9" s="402"/>
      <c r="N9" s="402"/>
      <c r="O9" s="402"/>
      <c r="P9" s="402"/>
      <c r="Q9" s="402"/>
      <c r="R9" s="402"/>
      <c r="S9" s="402"/>
      <c r="T9" s="402"/>
      <c r="U9" s="402"/>
      <c r="V9" s="402"/>
      <c r="W9" s="402"/>
      <c r="X9" s="402"/>
      <c r="Y9" s="402"/>
      <c r="Z9" s="402"/>
      <c r="AA9" s="405"/>
      <c r="AB9" s="405"/>
      <c r="AC9" s="405"/>
      <c r="AD9" s="405"/>
      <c r="AE9" s="405"/>
      <c r="AF9" s="405"/>
      <c r="AG9" s="405"/>
      <c r="AH9" s="405"/>
      <c r="AI9" s="405"/>
      <c r="AJ9" s="405"/>
      <c r="AK9" s="405"/>
      <c r="AL9" s="405"/>
    </row>
    <row r="10" ht="14.25" customHeight="1">
      <c r="A10" s="406">
        <v>45495.0</v>
      </c>
      <c r="B10" s="349" t="s">
        <v>3561</v>
      </c>
      <c r="C10" s="349" t="s">
        <v>3562</v>
      </c>
      <c r="D10" s="349" t="s">
        <v>54</v>
      </c>
      <c r="E10" s="349" t="s">
        <v>3556</v>
      </c>
      <c r="F10" s="751">
        <v>101937.65</v>
      </c>
      <c r="G10" s="751"/>
      <c r="H10" s="349" t="s">
        <v>3557</v>
      </c>
      <c r="I10" s="736" t="str">
        <f t="shared" si="1"/>
        <v>NOT PAID</v>
      </c>
      <c r="J10" s="402"/>
      <c r="K10" s="402"/>
      <c r="L10" s="402"/>
      <c r="M10" s="402"/>
      <c r="N10" s="402"/>
      <c r="O10" s="402"/>
      <c r="P10" s="402"/>
      <c r="Q10" s="402"/>
      <c r="R10" s="402"/>
      <c r="S10" s="402"/>
      <c r="T10" s="402"/>
      <c r="U10" s="402"/>
      <c r="V10" s="402"/>
      <c r="W10" s="402"/>
      <c r="X10" s="402"/>
      <c r="Y10" s="402"/>
      <c r="Z10" s="402"/>
      <c r="AA10" s="405"/>
      <c r="AB10" s="405"/>
      <c r="AC10" s="405"/>
      <c r="AD10" s="405"/>
      <c r="AE10" s="405"/>
      <c r="AF10" s="405"/>
      <c r="AG10" s="405"/>
      <c r="AH10" s="405"/>
      <c r="AI10" s="405"/>
      <c r="AJ10" s="405"/>
      <c r="AK10" s="405"/>
      <c r="AL10" s="405"/>
    </row>
    <row r="11" ht="14.25" customHeight="1">
      <c r="A11" s="406">
        <v>45495.0</v>
      </c>
      <c r="B11" s="349" t="s">
        <v>3563</v>
      </c>
      <c r="C11" s="349" t="s">
        <v>3564</v>
      </c>
      <c r="D11" s="349" t="s">
        <v>54</v>
      </c>
      <c r="E11" s="349" t="s">
        <v>3551</v>
      </c>
      <c r="F11" s="751">
        <v>50000.0</v>
      </c>
      <c r="G11" s="751"/>
      <c r="H11" s="349" t="s">
        <v>3565</v>
      </c>
      <c r="I11" s="736" t="str">
        <f t="shared" si="1"/>
        <v>NOT PAID</v>
      </c>
      <c r="J11" s="402"/>
      <c r="K11" s="402"/>
      <c r="L11" s="402"/>
      <c r="M11" s="402"/>
      <c r="N11" s="402"/>
      <c r="O11" s="402"/>
      <c r="P11" s="402"/>
      <c r="Q11" s="402"/>
      <c r="R11" s="402"/>
      <c r="S11" s="402"/>
      <c r="T11" s="402"/>
      <c r="U11" s="402"/>
      <c r="V11" s="402"/>
      <c r="W11" s="402"/>
      <c r="X11" s="402"/>
      <c r="Y11" s="402"/>
      <c r="Z11" s="402"/>
      <c r="AA11" s="405"/>
      <c r="AB11" s="405"/>
      <c r="AC11" s="405"/>
      <c r="AD11" s="405"/>
      <c r="AE11" s="405"/>
      <c r="AF11" s="405"/>
      <c r="AG11" s="405"/>
      <c r="AH11" s="405"/>
      <c r="AI11" s="405"/>
      <c r="AJ11" s="405"/>
      <c r="AK11" s="405"/>
      <c r="AL11" s="405"/>
    </row>
    <row r="12" ht="14.25" customHeight="1">
      <c r="A12" s="406">
        <v>45495.0</v>
      </c>
      <c r="B12" s="753" t="s">
        <v>3566</v>
      </c>
      <c r="C12" s="753" t="s">
        <v>3567</v>
      </c>
      <c r="D12" s="753" t="s">
        <v>54</v>
      </c>
      <c r="E12" s="752" t="s">
        <v>3556</v>
      </c>
      <c r="F12" s="751">
        <v>29350.0</v>
      </c>
      <c r="G12" s="751"/>
      <c r="H12" s="349" t="s">
        <v>3568</v>
      </c>
      <c r="I12" s="736" t="str">
        <f t="shared" si="1"/>
        <v>NOT PAID</v>
      </c>
      <c r="J12" s="402"/>
      <c r="K12" s="402"/>
      <c r="L12" s="402"/>
      <c r="M12" s="402"/>
      <c r="N12" s="402"/>
      <c r="O12" s="402"/>
      <c r="P12" s="402"/>
      <c r="Q12" s="402"/>
      <c r="R12" s="402"/>
      <c r="S12" s="402"/>
      <c r="T12" s="402"/>
      <c r="U12" s="402"/>
      <c r="V12" s="402"/>
      <c r="W12" s="402"/>
      <c r="X12" s="402"/>
      <c r="Y12" s="402"/>
      <c r="Z12" s="402"/>
      <c r="AA12" s="405"/>
      <c r="AB12" s="405"/>
      <c r="AC12" s="405"/>
      <c r="AD12" s="405"/>
      <c r="AE12" s="405"/>
      <c r="AF12" s="405"/>
      <c r="AG12" s="405"/>
      <c r="AH12" s="405"/>
      <c r="AI12" s="405"/>
      <c r="AJ12" s="405"/>
      <c r="AK12" s="405"/>
      <c r="AL12" s="405"/>
    </row>
    <row r="13" ht="14.25" customHeight="1">
      <c r="A13" s="406">
        <v>45495.0</v>
      </c>
      <c r="B13" s="752" t="s">
        <v>3569</v>
      </c>
      <c r="C13" s="752" t="s">
        <v>3570</v>
      </c>
      <c r="D13" s="752" t="s">
        <v>54</v>
      </c>
      <c r="E13" s="752" t="s">
        <v>3551</v>
      </c>
      <c r="F13" s="751">
        <v>51713.0</v>
      </c>
      <c r="G13" s="751"/>
      <c r="H13" s="349" t="s">
        <v>3565</v>
      </c>
      <c r="I13" s="736" t="str">
        <f t="shared" si="1"/>
        <v>NOT PAID</v>
      </c>
      <c r="J13" s="402"/>
      <c r="K13" s="402"/>
      <c r="L13" s="402"/>
      <c r="M13" s="402"/>
      <c r="N13" s="402"/>
      <c r="O13" s="402"/>
      <c r="P13" s="402"/>
      <c r="Q13" s="402"/>
      <c r="R13" s="402"/>
      <c r="S13" s="402"/>
      <c r="T13" s="402"/>
      <c r="U13" s="402"/>
      <c r="V13" s="402"/>
      <c r="W13" s="402"/>
      <c r="X13" s="402"/>
      <c r="Y13" s="402"/>
      <c r="Z13" s="402"/>
      <c r="AA13" s="405"/>
      <c r="AB13" s="405"/>
      <c r="AC13" s="405"/>
      <c r="AD13" s="405"/>
      <c r="AE13" s="405"/>
      <c r="AF13" s="405"/>
      <c r="AG13" s="405"/>
      <c r="AH13" s="405"/>
      <c r="AI13" s="405"/>
      <c r="AJ13" s="405"/>
      <c r="AK13" s="405"/>
      <c r="AL13" s="405"/>
    </row>
    <row r="14" ht="14.25" customHeight="1">
      <c r="A14" s="406">
        <v>45495.0</v>
      </c>
      <c r="B14" s="752" t="s">
        <v>3571</v>
      </c>
      <c r="C14" s="752" t="s">
        <v>3572</v>
      </c>
      <c r="D14" s="752" t="s">
        <v>54</v>
      </c>
      <c r="E14" s="752" t="s">
        <v>3556</v>
      </c>
      <c r="F14" s="751">
        <v>30774.0</v>
      </c>
      <c r="G14" s="751"/>
      <c r="H14" s="349" t="s">
        <v>3568</v>
      </c>
      <c r="I14" s="736" t="str">
        <f t="shared" si="1"/>
        <v>NOT PAID</v>
      </c>
      <c r="J14" s="402"/>
      <c r="K14" s="402"/>
      <c r="L14" s="402"/>
      <c r="M14" s="402"/>
      <c r="N14" s="402"/>
      <c r="O14" s="402"/>
      <c r="P14" s="402"/>
      <c r="Q14" s="402"/>
      <c r="R14" s="402"/>
      <c r="S14" s="402"/>
      <c r="T14" s="402"/>
      <c r="U14" s="402"/>
      <c r="V14" s="402"/>
      <c r="W14" s="402"/>
      <c r="X14" s="402"/>
      <c r="Y14" s="402"/>
      <c r="Z14" s="402"/>
      <c r="AA14" s="405"/>
      <c r="AB14" s="405"/>
      <c r="AC14" s="405"/>
      <c r="AD14" s="405"/>
      <c r="AE14" s="405"/>
      <c r="AF14" s="405"/>
      <c r="AG14" s="405"/>
      <c r="AH14" s="405"/>
      <c r="AI14" s="405"/>
      <c r="AJ14" s="405"/>
      <c r="AK14" s="405"/>
      <c r="AL14" s="405"/>
    </row>
    <row r="15" ht="14.25" customHeight="1">
      <c r="A15" s="406">
        <v>45495.0</v>
      </c>
      <c r="B15" s="349" t="s">
        <v>3573</v>
      </c>
      <c r="C15" s="349" t="s">
        <v>3574</v>
      </c>
      <c r="D15" s="349" t="s">
        <v>54</v>
      </c>
      <c r="E15" s="349" t="s">
        <v>3546</v>
      </c>
      <c r="F15" s="751">
        <v>211169.75</v>
      </c>
      <c r="G15" s="751"/>
      <c r="H15" s="349" t="s">
        <v>3575</v>
      </c>
      <c r="I15" s="736" t="str">
        <f t="shared" si="1"/>
        <v>NOT PAID</v>
      </c>
      <c r="J15" s="402"/>
      <c r="K15" s="402"/>
      <c r="L15" s="402"/>
      <c r="M15" s="402"/>
      <c r="N15" s="402"/>
      <c r="O15" s="402"/>
      <c r="P15" s="402"/>
      <c r="Q15" s="402"/>
      <c r="R15" s="402"/>
      <c r="S15" s="402"/>
      <c r="T15" s="402"/>
      <c r="U15" s="402"/>
      <c r="V15" s="402"/>
      <c r="W15" s="402"/>
      <c r="X15" s="402"/>
      <c r="Y15" s="402"/>
      <c r="Z15" s="402"/>
      <c r="AA15" s="405"/>
      <c r="AB15" s="405"/>
      <c r="AC15" s="405"/>
      <c r="AD15" s="405"/>
      <c r="AE15" s="405"/>
      <c r="AF15" s="405"/>
      <c r="AG15" s="405"/>
      <c r="AH15" s="405"/>
      <c r="AI15" s="405"/>
      <c r="AJ15" s="405"/>
      <c r="AK15" s="405"/>
      <c r="AL15" s="405"/>
    </row>
    <row r="16" ht="14.25" customHeight="1">
      <c r="A16" s="402"/>
      <c r="B16" s="402"/>
      <c r="C16" s="402"/>
      <c r="D16" s="402"/>
      <c r="E16" s="402"/>
      <c r="F16" s="402"/>
      <c r="G16" s="403"/>
      <c r="H16" s="402"/>
      <c r="I16" s="736"/>
      <c r="J16" s="402"/>
      <c r="K16" s="402"/>
      <c r="L16" s="402"/>
      <c r="M16" s="402"/>
      <c r="N16" s="402"/>
      <c r="O16" s="402"/>
      <c r="P16" s="402"/>
      <c r="Q16" s="402"/>
      <c r="R16" s="402"/>
      <c r="S16" s="402"/>
      <c r="T16" s="402"/>
      <c r="U16" s="402"/>
      <c r="V16" s="402"/>
      <c r="W16" s="402"/>
      <c r="X16" s="402"/>
      <c r="Y16" s="402"/>
      <c r="Z16" s="402"/>
      <c r="AA16" s="405"/>
      <c r="AB16" s="405"/>
      <c r="AC16" s="405"/>
      <c r="AD16" s="405"/>
      <c r="AE16" s="405"/>
      <c r="AF16" s="405"/>
      <c r="AG16" s="405"/>
      <c r="AH16" s="405"/>
      <c r="AI16" s="405"/>
      <c r="AJ16" s="405"/>
      <c r="AK16" s="405"/>
      <c r="AL16" s="405"/>
    </row>
    <row r="17" ht="14.25" customHeight="1">
      <c r="A17" s="402"/>
      <c r="B17" s="402"/>
      <c r="C17" s="402"/>
      <c r="D17" s="402"/>
      <c r="E17" s="402"/>
      <c r="F17" s="402"/>
      <c r="G17" s="403"/>
      <c r="H17" s="402"/>
      <c r="I17" s="736"/>
      <c r="J17" s="402"/>
      <c r="K17" s="402"/>
      <c r="L17" s="402"/>
      <c r="M17" s="402"/>
      <c r="N17" s="402"/>
      <c r="O17" s="402"/>
      <c r="P17" s="402"/>
      <c r="Q17" s="402"/>
      <c r="R17" s="402"/>
      <c r="S17" s="402"/>
      <c r="T17" s="402"/>
      <c r="U17" s="402"/>
      <c r="V17" s="402"/>
      <c r="W17" s="402"/>
      <c r="X17" s="402"/>
      <c r="Y17" s="402"/>
      <c r="Z17" s="402"/>
      <c r="AA17" s="405"/>
      <c r="AB17" s="405"/>
      <c r="AC17" s="405"/>
      <c r="AD17" s="405"/>
      <c r="AE17" s="405"/>
      <c r="AF17" s="405"/>
      <c r="AG17" s="405"/>
      <c r="AH17" s="405"/>
      <c r="AI17" s="405"/>
      <c r="AJ17" s="405"/>
      <c r="AK17" s="405"/>
      <c r="AL17" s="405"/>
    </row>
    <row r="18" ht="14.25" customHeight="1">
      <c r="A18" s="402"/>
      <c r="B18" s="402"/>
      <c r="C18" s="402"/>
      <c r="D18" s="402"/>
      <c r="E18" s="402"/>
      <c r="F18" s="402"/>
      <c r="G18" s="403"/>
      <c r="H18" s="402"/>
      <c r="I18" s="736"/>
      <c r="J18" s="402"/>
      <c r="K18" s="402"/>
      <c r="L18" s="402"/>
      <c r="M18" s="402"/>
      <c r="N18" s="402"/>
      <c r="O18" s="402"/>
      <c r="P18" s="402"/>
      <c r="Q18" s="402"/>
      <c r="R18" s="402"/>
      <c r="S18" s="402"/>
      <c r="T18" s="402"/>
      <c r="U18" s="402"/>
      <c r="V18" s="402"/>
      <c r="W18" s="402"/>
      <c r="X18" s="402"/>
      <c r="Y18" s="402"/>
      <c r="Z18" s="402"/>
      <c r="AA18" s="405"/>
      <c r="AB18" s="405"/>
      <c r="AC18" s="405"/>
      <c r="AD18" s="405"/>
      <c r="AE18" s="405"/>
      <c r="AF18" s="405"/>
      <c r="AG18" s="405"/>
      <c r="AH18" s="405"/>
      <c r="AI18" s="405"/>
      <c r="AJ18" s="405"/>
      <c r="AK18" s="405"/>
      <c r="AL18" s="405"/>
    </row>
    <row r="19" ht="14.25" customHeight="1">
      <c r="A19" s="406">
        <v>45495.0</v>
      </c>
      <c r="B19" s="599" t="s">
        <v>3576</v>
      </c>
      <c r="C19" s="599" t="s">
        <v>3577</v>
      </c>
      <c r="D19" s="752" t="s">
        <v>3578</v>
      </c>
      <c r="E19" s="599" t="s">
        <v>3579</v>
      </c>
      <c r="F19" s="751">
        <v>800000.0</v>
      </c>
      <c r="G19" s="751">
        <v>500000.0</v>
      </c>
      <c r="H19" s="349" t="s">
        <v>3580</v>
      </c>
      <c r="I19" s="736" t="str">
        <f t="shared" ref="I19:I20" si="2">IF(G19&gt;=F19,"FULLY PAID",IF(G19=0,"NOT PAID","PARTIALLY PAID"))</f>
        <v>PARTIALLY PAID</v>
      </c>
      <c r="J19" s="402"/>
      <c r="K19" s="402"/>
      <c r="L19" s="402"/>
      <c r="M19" s="402"/>
      <c r="N19" s="402"/>
      <c r="O19" s="402"/>
      <c r="P19" s="402"/>
      <c r="Q19" s="402"/>
      <c r="R19" s="402"/>
      <c r="S19" s="402"/>
      <c r="T19" s="402"/>
      <c r="U19" s="402"/>
      <c r="V19" s="402"/>
      <c r="W19" s="402"/>
      <c r="X19" s="402"/>
      <c r="Y19" s="402"/>
      <c r="Z19" s="402"/>
      <c r="AA19" s="405"/>
      <c r="AB19" s="405"/>
      <c r="AC19" s="405"/>
      <c r="AD19" s="405"/>
      <c r="AE19" s="405"/>
      <c r="AF19" s="405"/>
      <c r="AG19" s="405"/>
      <c r="AH19" s="405"/>
      <c r="AI19" s="405"/>
      <c r="AJ19" s="405"/>
      <c r="AK19" s="405"/>
      <c r="AL19" s="405"/>
    </row>
    <row r="20" ht="14.25" customHeight="1">
      <c r="A20" s="406">
        <v>45495.0</v>
      </c>
      <c r="B20" s="569" t="s">
        <v>3581</v>
      </c>
      <c r="C20" s="569" t="s">
        <v>3582</v>
      </c>
      <c r="D20" s="349" t="s">
        <v>54</v>
      </c>
      <c r="E20" s="569" t="s">
        <v>3579</v>
      </c>
      <c r="F20" s="751">
        <v>300000.0</v>
      </c>
      <c r="G20" s="751"/>
      <c r="H20" s="349" t="s">
        <v>3583</v>
      </c>
      <c r="I20" s="736" t="str">
        <f t="shared" si="2"/>
        <v>NOT PAID</v>
      </c>
      <c r="J20" s="402"/>
      <c r="K20" s="402"/>
      <c r="L20" s="402"/>
      <c r="M20" s="402"/>
      <c r="N20" s="402"/>
      <c r="O20" s="402"/>
      <c r="P20" s="402"/>
      <c r="Q20" s="402"/>
      <c r="R20" s="402"/>
      <c r="S20" s="402"/>
      <c r="T20" s="402"/>
      <c r="U20" s="402"/>
      <c r="V20" s="402"/>
      <c r="W20" s="402"/>
      <c r="X20" s="402"/>
      <c r="Y20" s="402"/>
      <c r="Z20" s="402"/>
      <c r="AA20" s="405"/>
      <c r="AB20" s="405"/>
      <c r="AC20" s="405"/>
      <c r="AD20" s="405"/>
      <c r="AE20" s="405"/>
      <c r="AF20" s="405"/>
      <c r="AG20" s="405"/>
      <c r="AH20" s="405"/>
      <c r="AI20" s="405"/>
      <c r="AJ20" s="405"/>
      <c r="AK20" s="405"/>
      <c r="AL20" s="405"/>
    </row>
    <row r="21" ht="14.25" customHeight="1">
      <c r="A21" s="402"/>
      <c r="B21" s="402"/>
      <c r="C21" s="402"/>
      <c r="D21" s="402"/>
      <c r="E21" s="402"/>
      <c r="F21" s="402"/>
      <c r="G21" s="403"/>
      <c r="H21" s="402"/>
      <c r="I21" s="736"/>
      <c r="J21" s="402"/>
      <c r="K21" s="402"/>
      <c r="L21" s="402"/>
      <c r="M21" s="402"/>
      <c r="N21" s="402"/>
      <c r="O21" s="402"/>
      <c r="P21" s="402"/>
      <c r="Q21" s="402"/>
      <c r="R21" s="402"/>
      <c r="S21" s="402"/>
      <c r="T21" s="402"/>
      <c r="U21" s="402"/>
      <c r="V21" s="402"/>
      <c r="W21" s="402"/>
      <c r="X21" s="402"/>
      <c r="Y21" s="402"/>
      <c r="Z21" s="402"/>
      <c r="AA21" s="405"/>
      <c r="AB21" s="405"/>
      <c r="AC21" s="405"/>
      <c r="AD21" s="405"/>
      <c r="AE21" s="405"/>
      <c r="AF21" s="405"/>
      <c r="AG21" s="405"/>
      <c r="AH21" s="405"/>
      <c r="AI21" s="405"/>
      <c r="AJ21" s="405"/>
      <c r="AK21" s="405"/>
      <c r="AL21" s="405"/>
    </row>
    <row r="22" ht="14.25" customHeight="1">
      <c r="A22" s="402"/>
      <c r="B22" s="402"/>
      <c r="C22" s="402"/>
      <c r="D22" s="402"/>
      <c r="E22" s="402"/>
      <c r="F22" s="402"/>
      <c r="G22" s="403"/>
      <c r="H22" s="402"/>
      <c r="I22" s="736"/>
      <c r="J22" s="402"/>
      <c r="K22" s="402"/>
      <c r="L22" s="402"/>
      <c r="M22" s="402"/>
      <c r="N22" s="402"/>
      <c r="O22" s="402"/>
      <c r="P22" s="402"/>
      <c r="Q22" s="402"/>
      <c r="R22" s="402"/>
      <c r="S22" s="402"/>
      <c r="T22" s="402"/>
      <c r="U22" s="402"/>
      <c r="V22" s="402"/>
      <c r="W22" s="402"/>
      <c r="X22" s="402"/>
      <c r="Y22" s="402"/>
      <c r="Z22" s="402"/>
      <c r="AA22" s="405"/>
      <c r="AB22" s="405"/>
      <c r="AC22" s="405"/>
      <c r="AD22" s="405"/>
      <c r="AE22" s="405"/>
      <c r="AF22" s="405"/>
      <c r="AG22" s="405"/>
      <c r="AH22" s="405"/>
      <c r="AI22" s="405"/>
      <c r="AJ22" s="405"/>
      <c r="AK22" s="405"/>
      <c r="AL22" s="405"/>
    </row>
    <row r="23" ht="14.25" customHeight="1">
      <c r="A23" s="584" t="s">
        <v>2130</v>
      </c>
      <c r="B23" s="584" t="s">
        <v>39</v>
      </c>
      <c r="C23" s="584" t="s">
        <v>48</v>
      </c>
      <c r="D23" s="584" t="s">
        <v>49</v>
      </c>
      <c r="E23" s="584" t="s">
        <v>50</v>
      </c>
      <c r="F23" s="584" t="s">
        <v>2</v>
      </c>
      <c r="G23" s="586" t="s">
        <v>44</v>
      </c>
      <c r="H23" s="584" t="s">
        <v>45</v>
      </c>
      <c r="I23" s="736"/>
      <c r="J23" s="402"/>
      <c r="K23" s="402"/>
      <c r="L23" s="402"/>
      <c r="M23" s="402"/>
      <c r="N23" s="402"/>
      <c r="O23" s="402"/>
      <c r="P23" s="402"/>
      <c r="Q23" s="402"/>
      <c r="R23" s="402"/>
      <c r="S23" s="402"/>
      <c r="T23" s="402"/>
      <c r="U23" s="402"/>
      <c r="V23" s="402"/>
      <c r="W23" s="402"/>
      <c r="X23" s="402"/>
      <c r="Y23" s="402"/>
      <c r="Z23" s="402"/>
      <c r="AA23" s="405"/>
      <c r="AB23" s="405"/>
      <c r="AC23" s="405"/>
      <c r="AD23" s="405"/>
      <c r="AE23" s="405"/>
      <c r="AF23" s="405"/>
      <c r="AG23" s="405"/>
      <c r="AH23" s="405"/>
      <c r="AI23" s="405"/>
      <c r="AJ23" s="405"/>
      <c r="AK23" s="405"/>
      <c r="AL23" s="405"/>
    </row>
    <row r="24" ht="14.25" customHeight="1">
      <c r="A24" s="406">
        <v>45496.0</v>
      </c>
      <c r="B24" s="349" t="s">
        <v>3547</v>
      </c>
      <c r="C24" s="349" t="s">
        <v>3545</v>
      </c>
      <c r="D24" s="349" t="s">
        <v>54</v>
      </c>
      <c r="E24" s="349" t="s">
        <v>3546</v>
      </c>
      <c r="F24" s="751">
        <v>226832.0</v>
      </c>
      <c r="G24" s="751"/>
      <c r="H24" s="349" t="s">
        <v>2184</v>
      </c>
      <c r="I24" s="736" t="str">
        <f t="shared" ref="I24:I40" si="3">IF(G24&gt;=F24,"FULLY PAID",IF(G24=0,"NOT PAID","PARTIALLY PAID"))</f>
        <v>NOT PAID</v>
      </c>
      <c r="J24" s="402"/>
      <c r="K24" s="402"/>
      <c r="L24" s="402"/>
      <c r="M24" s="402"/>
      <c r="N24" s="402"/>
      <c r="O24" s="402"/>
      <c r="P24" s="402"/>
      <c r="Q24" s="402"/>
      <c r="R24" s="402"/>
      <c r="S24" s="402"/>
      <c r="T24" s="402"/>
      <c r="U24" s="402"/>
      <c r="V24" s="402"/>
      <c r="W24" s="402"/>
      <c r="X24" s="402"/>
      <c r="Y24" s="402"/>
      <c r="Z24" s="402"/>
      <c r="AA24" s="405"/>
      <c r="AB24" s="405"/>
      <c r="AC24" s="405"/>
      <c r="AD24" s="405"/>
      <c r="AE24" s="405"/>
      <c r="AF24" s="405"/>
      <c r="AG24" s="405"/>
      <c r="AH24" s="405"/>
      <c r="AI24" s="405"/>
      <c r="AJ24" s="405"/>
      <c r="AK24" s="405"/>
      <c r="AL24" s="405"/>
    </row>
    <row r="25" ht="14.25" customHeight="1">
      <c r="A25" s="406">
        <v>45496.0</v>
      </c>
      <c r="B25" s="349" t="s">
        <v>3549</v>
      </c>
      <c r="C25" s="349" t="s">
        <v>3550</v>
      </c>
      <c r="D25" s="349" t="s">
        <v>346</v>
      </c>
      <c r="E25" s="349" t="s">
        <v>3551</v>
      </c>
      <c r="F25" s="751">
        <v>6270.0</v>
      </c>
      <c r="G25" s="751"/>
      <c r="H25" s="349" t="s">
        <v>3584</v>
      </c>
      <c r="I25" s="736" t="str">
        <f t="shared" si="3"/>
        <v>NOT PAID</v>
      </c>
      <c r="J25" s="402"/>
      <c r="K25" s="402"/>
      <c r="L25" s="402"/>
      <c r="M25" s="402"/>
      <c r="N25" s="402"/>
      <c r="O25" s="402"/>
      <c r="P25" s="402"/>
      <c r="Q25" s="402"/>
      <c r="R25" s="402"/>
      <c r="S25" s="402"/>
      <c r="T25" s="402"/>
      <c r="U25" s="402"/>
      <c r="V25" s="402"/>
      <c r="W25" s="402"/>
      <c r="X25" s="402"/>
      <c r="Y25" s="402"/>
      <c r="Z25" s="402"/>
      <c r="AA25" s="405"/>
      <c r="AB25" s="405"/>
      <c r="AC25" s="405"/>
      <c r="AD25" s="405"/>
      <c r="AE25" s="405"/>
      <c r="AF25" s="405"/>
      <c r="AG25" s="405"/>
      <c r="AH25" s="405"/>
      <c r="AI25" s="405"/>
      <c r="AJ25" s="405"/>
      <c r="AK25" s="405"/>
      <c r="AL25" s="405"/>
    </row>
    <row r="26" ht="14.25" customHeight="1">
      <c r="A26" s="406">
        <v>45496.0</v>
      </c>
      <c r="B26" s="752" t="s">
        <v>3552</v>
      </c>
      <c r="C26" s="752" t="s">
        <v>3553</v>
      </c>
      <c r="D26" s="752" t="s">
        <v>54</v>
      </c>
      <c r="E26" s="752" t="s">
        <v>3546</v>
      </c>
      <c r="F26" s="751">
        <v>29000.0</v>
      </c>
      <c r="G26" s="751">
        <v>29000.0</v>
      </c>
      <c r="H26" s="349" t="s">
        <v>710</v>
      </c>
      <c r="I26" s="736" t="str">
        <f t="shared" si="3"/>
        <v>FULLY PAID</v>
      </c>
      <c r="J26" s="402"/>
      <c r="K26" s="402"/>
      <c r="L26" s="402"/>
      <c r="M26" s="402"/>
      <c r="N26" s="402"/>
      <c r="O26" s="402"/>
      <c r="P26" s="402"/>
      <c r="Q26" s="402"/>
      <c r="R26" s="402"/>
      <c r="S26" s="402"/>
      <c r="T26" s="402"/>
      <c r="U26" s="402"/>
      <c r="V26" s="402"/>
      <c r="W26" s="402"/>
      <c r="X26" s="402"/>
      <c r="Y26" s="402"/>
      <c r="Z26" s="402"/>
      <c r="AA26" s="405"/>
      <c r="AB26" s="405"/>
      <c r="AC26" s="405"/>
      <c r="AD26" s="405"/>
      <c r="AE26" s="405"/>
      <c r="AF26" s="405"/>
      <c r="AG26" s="405"/>
      <c r="AH26" s="405"/>
      <c r="AI26" s="405"/>
      <c r="AJ26" s="405"/>
      <c r="AK26" s="405"/>
      <c r="AL26" s="405"/>
    </row>
    <row r="27" ht="14.25" customHeight="1">
      <c r="A27" s="406">
        <v>45496.0</v>
      </c>
      <c r="B27" s="349" t="s">
        <v>3554</v>
      </c>
      <c r="C27" s="349" t="s">
        <v>3555</v>
      </c>
      <c r="D27" s="349" t="s">
        <v>54</v>
      </c>
      <c r="E27" s="349" t="s">
        <v>3556</v>
      </c>
      <c r="F27" s="751">
        <v>108141.0</v>
      </c>
      <c r="G27" s="751"/>
      <c r="H27" s="349" t="s">
        <v>3585</v>
      </c>
      <c r="I27" s="736" t="str">
        <f t="shared" si="3"/>
        <v>NOT PAID</v>
      </c>
      <c r="J27" s="402"/>
      <c r="K27" s="402"/>
      <c r="L27" s="402"/>
      <c r="M27" s="402"/>
      <c r="N27" s="402"/>
      <c r="O27" s="402"/>
      <c r="P27" s="402"/>
      <c r="Q27" s="402"/>
      <c r="R27" s="402"/>
      <c r="S27" s="402"/>
      <c r="T27" s="402"/>
      <c r="U27" s="402"/>
      <c r="V27" s="402"/>
      <c r="W27" s="402"/>
      <c r="X27" s="402"/>
      <c r="Y27" s="402"/>
      <c r="Z27" s="402"/>
      <c r="AA27" s="405"/>
      <c r="AB27" s="405"/>
      <c r="AC27" s="405"/>
      <c r="AD27" s="405"/>
      <c r="AE27" s="405"/>
      <c r="AF27" s="405"/>
      <c r="AG27" s="405"/>
      <c r="AH27" s="405"/>
      <c r="AI27" s="405"/>
      <c r="AJ27" s="405"/>
      <c r="AK27" s="405"/>
      <c r="AL27" s="405"/>
    </row>
    <row r="28" ht="14.25" customHeight="1">
      <c r="A28" s="406">
        <v>45496.0</v>
      </c>
      <c r="B28" s="349" t="s">
        <v>3558</v>
      </c>
      <c r="C28" s="349" t="s">
        <v>3559</v>
      </c>
      <c r="D28" s="349" t="s">
        <v>54</v>
      </c>
      <c r="E28" s="349" t="s">
        <v>3546</v>
      </c>
      <c r="F28" s="751">
        <v>5000.0</v>
      </c>
      <c r="G28" s="751">
        <v>5000.0</v>
      </c>
      <c r="H28" s="349" t="s">
        <v>267</v>
      </c>
      <c r="I28" s="736" t="str">
        <f t="shared" si="3"/>
        <v>FULLY PAID</v>
      </c>
      <c r="J28" s="402"/>
      <c r="K28" s="402"/>
      <c r="L28" s="402"/>
      <c r="M28" s="402"/>
      <c r="N28" s="402"/>
      <c r="O28" s="402"/>
      <c r="P28" s="402"/>
      <c r="Q28" s="402"/>
      <c r="R28" s="402"/>
      <c r="S28" s="402"/>
      <c r="T28" s="402"/>
      <c r="U28" s="402"/>
      <c r="V28" s="402"/>
      <c r="W28" s="402"/>
      <c r="X28" s="402"/>
      <c r="Y28" s="402"/>
      <c r="Z28" s="402"/>
      <c r="AA28" s="405"/>
      <c r="AB28" s="405"/>
      <c r="AC28" s="405"/>
      <c r="AD28" s="405"/>
      <c r="AE28" s="405"/>
      <c r="AF28" s="405"/>
      <c r="AG28" s="405"/>
      <c r="AH28" s="405"/>
      <c r="AI28" s="405"/>
      <c r="AJ28" s="405"/>
      <c r="AK28" s="405"/>
      <c r="AL28" s="405"/>
    </row>
    <row r="29" ht="14.25" customHeight="1">
      <c r="A29" s="406">
        <v>45496.0</v>
      </c>
      <c r="B29" s="349" t="s">
        <v>3561</v>
      </c>
      <c r="C29" s="349" t="s">
        <v>3562</v>
      </c>
      <c r="D29" s="349" t="s">
        <v>54</v>
      </c>
      <c r="E29" s="349" t="s">
        <v>3556</v>
      </c>
      <c r="F29" s="751">
        <v>101937.65</v>
      </c>
      <c r="G29" s="751"/>
      <c r="H29" s="349" t="s">
        <v>3585</v>
      </c>
      <c r="I29" s="736" t="str">
        <f t="shared" si="3"/>
        <v>NOT PAID</v>
      </c>
      <c r="J29" s="402"/>
      <c r="K29" s="402"/>
      <c r="L29" s="402"/>
      <c r="M29" s="402"/>
      <c r="N29" s="402"/>
      <c r="O29" s="402"/>
      <c r="P29" s="402"/>
      <c r="Q29" s="402"/>
      <c r="R29" s="402"/>
      <c r="S29" s="402"/>
      <c r="T29" s="402"/>
      <c r="U29" s="402"/>
      <c r="V29" s="402"/>
      <c r="W29" s="402"/>
      <c r="X29" s="402"/>
      <c r="Y29" s="402"/>
      <c r="Z29" s="402"/>
      <c r="AA29" s="405"/>
      <c r="AB29" s="405"/>
      <c r="AC29" s="405"/>
      <c r="AD29" s="405"/>
      <c r="AE29" s="405"/>
      <c r="AF29" s="405"/>
      <c r="AG29" s="405"/>
      <c r="AH29" s="405"/>
      <c r="AI29" s="405"/>
      <c r="AJ29" s="405"/>
      <c r="AK29" s="405"/>
      <c r="AL29" s="405"/>
    </row>
    <row r="30" ht="14.25" customHeight="1">
      <c r="A30" s="406">
        <v>45496.0</v>
      </c>
      <c r="B30" s="752" t="s">
        <v>3569</v>
      </c>
      <c r="C30" s="752" t="s">
        <v>3570</v>
      </c>
      <c r="D30" s="752" t="s">
        <v>54</v>
      </c>
      <c r="E30" s="752" t="s">
        <v>3556</v>
      </c>
      <c r="F30" s="751">
        <v>51713.0</v>
      </c>
      <c r="G30" s="751"/>
      <c r="H30" s="349" t="s">
        <v>2184</v>
      </c>
      <c r="I30" s="736" t="str">
        <f t="shared" si="3"/>
        <v>NOT PAID</v>
      </c>
      <c r="J30" s="402"/>
      <c r="K30" s="402"/>
      <c r="L30" s="402"/>
      <c r="M30" s="402"/>
      <c r="N30" s="402"/>
      <c r="O30" s="402"/>
      <c r="P30" s="402"/>
      <c r="Q30" s="402"/>
      <c r="R30" s="402"/>
      <c r="S30" s="402"/>
      <c r="T30" s="402"/>
      <c r="U30" s="402"/>
      <c r="V30" s="402"/>
      <c r="W30" s="402"/>
      <c r="X30" s="402"/>
      <c r="Y30" s="402"/>
      <c r="Z30" s="402"/>
      <c r="AA30" s="405"/>
      <c r="AB30" s="405"/>
      <c r="AC30" s="405"/>
      <c r="AD30" s="405"/>
      <c r="AE30" s="405"/>
      <c r="AF30" s="405"/>
      <c r="AG30" s="405"/>
      <c r="AH30" s="405"/>
      <c r="AI30" s="405"/>
      <c r="AJ30" s="405"/>
      <c r="AK30" s="405"/>
      <c r="AL30" s="405"/>
    </row>
    <row r="31" ht="14.25" customHeight="1">
      <c r="A31" s="406">
        <v>45496.0</v>
      </c>
      <c r="B31" s="349" t="s">
        <v>3586</v>
      </c>
      <c r="C31" s="349" t="s">
        <v>3587</v>
      </c>
      <c r="D31" s="349" t="s">
        <v>54</v>
      </c>
      <c r="E31" s="349" t="s">
        <v>3546</v>
      </c>
      <c r="F31" s="754">
        <v>41302.0</v>
      </c>
      <c r="G31" s="754"/>
      <c r="H31" s="349" t="s">
        <v>2184</v>
      </c>
      <c r="I31" s="736" t="str">
        <f t="shared" si="3"/>
        <v>NOT PAID</v>
      </c>
      <c r="J31" s="402"/>
      <c r="K31" s="402"/>
      <c r="L31" s="402"/>
      <c r="M31" s="402"/>
      <c r="N31" s="402"/>
      <c r="O31" s="402"/>
      <c r="P31" s="402"/>
      <c r="Q31" s="402"/>
      <c r="R31" s="402"/>
      <c r="S31" s="402"/>
      <c r="T31" s="402"/>
      <c r="U31" s="402"/>
      <c r="V31" s="402"/>
      <c r="W31" s="402"/>
      <c r="X31" s="402"/>
      <c r="Y31" s="402"/>
      <c r="Z31" s="402"/>
      <c r="AA31" s="405"/>
      <c r="AB31" s="405"/>
      <c r="AC31" s="405"/>
      <c r="AD31" s="405"/>
      <c r="AE31" s="405"/>
      <c r="AF31" s="405"/>
      <c r="AG31" s="405"/>
      <c r="AH31" s="405"/>
      <c r="AI31" s="405"/>
      <c r="AJ31" s="405"/>
      <c r="AK31" s="405"/>
      <c r="AL31" s="405"/>
    </row>
    <row r="32" ht="14.25" customHeight="1">
      <c r="A32" s="406">
        <v>45496.0</v>
      </c>
      <c r="B32" s="349" t="s">
        <v>3588</v>
      </c>
      <c r="C32" s="349" t="s">
        <v>3589</v>
      </c>
      <c r="D32" s="349" t="s">
        <v>54</v>
      </c>
      <c r="E32" s="349" t="s">
        <v>3546</v>
      </c>
      <c r="F32" s="751">
        <v>33359.0</v>
      </c>
      <c r="G32" s="751"/>
      <c r="H32" s="349" t="s">
        <v>3590</v>
      </c>
      <c r="I32" s="736" t="str">
        <f t="shared" si="3"/>
        <v>NOT PAID</v>
      </c>
      <c r="J32" s="402"/>
      <c r="K32" s="402"/>
      <c r="L32" s="402"/>
      <c r="M32" s="402"/>
      <c r="N32" s="402"/>
      <c r="O32" s="402"/>
      <c r="P32" s="402"/>
      <c r="Q32" s="402"/>
      <c r="R32" s="402"/>
      <c r="S32" s="402"/>
      <c r="T32" s="402"/>
      <c r="U32" s="402"/>
      <c r="V32" s="402"/>
      <c r="W32" s="402"/>
      <c r="X32" s="402"/>
      <c r="Y32" s="402"/>
      <c r="Z32" s="402"/>
      <c r="AA32" s="405"/>
      <c r="AB32" s="405"/>
      <c r="AC32" s="405"/>
      <c r="AD32" s="405"/>
      <c r="AE32" s="405"/>
      <c r="AF32" s="405"/>
      <c r="AG32" s="405"/>
      <c r="AH32" s="405"/>
      <c r="AI32" s="405"/>
      <c r="AJ32" s="405"/>
      <c r="AK32" s="405"/>
      <c r="AL32" s="405"/>
    </row>
    <row r="33" ht="14.25" customHeight="1">
      <c r="A33" s="406">
        <v>45496.0</v>
      </c>
      <c r="B33" s="349" t="s">
        <v>3591</v>
      </c>
      <c r="C33" s="349" t="s">
        <v>3592</v>
      </c>
      <c r="D33" s="349" t="s">
        <v>54</v>
      </c>
      <c r="E33" s="349" t="s">
        <v>3551</v>
      </c>
      <c r="F33" s="751">
        <v>14000.0</v>
      </c>
      <c r="G33" s="751"/>
      <c r="H33" s="349" t="s">
        <v>3593</v>
      </c>
      <c r="I33" s="736" t="str">
        <f t="shared" si="3"/>
        <v>NOT PAID</v>
      </c>
      <c r="J33" s="402"/>
      <c r="K33" s="402"/>
      <c r="L33" s="402"/>
      <c r="M33" s="402"/>
      <c r="N33" s="402"/>
      <c r="O33" s="402"/>
      <c r="P33" s="402"/>
      <c r="Q33" s="402"/>
      <c r="R33" s="402"/>
      <c r="S33" s="402"/>
      <c r="T33" s="402"/>
      <c r="U33" s="402"/>
      <c r="V33" s="402"/>
      <c r="W33" s="402"/>
      <c r="X33" s="402"/>
      <c r="Y33" s="402"/>
      <c r="Z33" s="402"/>
      <c r="AA33" s="405"/>
      <c r="AB33" s="405"/>
      <c r="AC33" s="405"/>
      <c r="AD33" s="405"/>
      <c r="AE33" s="405"/>
      <c r="AF33" s="405"/>
      <c r="AG33" s="405"/>
      <c r="AH33" s="405"/>
      <c r="AI33" s="405"/>
      <c r="AJ33" s="405"/>
      <c r="AK33" s="405"/>
      <c r="AL33" s="405"/>
    </row>
    <row r="34" ht="14.25" customHeight="1">
      <c r="A34" s="406">
        <v>45496.0</v>
      </c>
      <c r="B34" s="349" t="s">
        <v>3594</v>
      </c>
      <c r="C34" s="349" t="s">
        <v>3592</v>
      </c>
      <c r="D34" s="349" t="s">
        <v>346</v>
      </c>
      <c r="E34" s="349" t="s">
        <v>3551</v>
      </c>
      <c r="F34" s="751">
        <v>2579.0</v>
      </c>
      <c r="G34" s="751"/>
      <c r="H34" s="349" t="s">
        <v>3593</v>
      </c>
      <c r="I34" s="736" t="str">
        <f t="shared" si="3"/>
        <v>NOT PAID</v>
      </c>
      <c r="J34" s="402"/>
      <c r="K34" s="402"/>
      <c r="L34" s="402"/>
      <c r="M34" s="402"/>
      <c r="N34" s="402"/>
      <c r="O34" s="402"/>
      <c r="P34" s="402"/>
      <c r="Q34" s="402"/>
      <c r="R34" s="402"/>
      <c r="S34" s="402"/>
      <c r="T34" s="402"/>
      <c r="U34" s="402"/>
      <c r="V34" s="402"/>
      <c r="W34" s="402"/>
      <c r="X34" s="402"/>
      <c r="Y34" s="402"/>
      <c r="Z34" s="402"/>
      <c r="AA34" s="405"/>
      <c r="AB34" s="405"/>
      <c r="AC34" s="405"/>
      <c r="AD34" s="405"/>
      <c r="AE34" s="405"/>
      <c r="AF34" s="405"/>
      <c r="AG34" s="405"/>
      <c r="AH34" s="405"/>
      <c r="AI34" s="405"/>
      <c r="AJ34" s="405"/>
      <c r="AK34" s="405"/>
      <c r="AL34" s="405"/>
    </row>
    <row r="35" ht="14.25" customHeight="1">
      <c r="A35" s="406">
        <v>45496.0</v>
      </c>
      <c r="B35" s="349" t="s">
        <v>3595</v>
      </c>
      <c r="C35" s="349" t="s">
        <v>3596</v>
      </c>
      <c r="D35" s="349" t="s">
        <v>54</v>
      </c>
      <c r="E35" s="349" t="s">
        <v>3551</v>
      </c>
      <c r="F35" s="751">
        <v>4763.0</v>
      </c>
      <c r="G35" s="751"/>
      <c r="H35" s="349" t="s">
        <v>2184</v>
      </c>
      <c r="I35" s="736" t="str">
        <f t="shared" si="3"/>
        <v>NOT PAID</v>
      </c>
      <c r="J35" s="402"/>
      <c r="K35" s="402"/>
      <c r="L35" s="402"/>
      <c r="M35" s="402"/>
      <c r="N35" s="402"/>
      <c r="O35" s="402"/>
      <c r="P35" s="402"/>
      <c r="Q35" s="402"/>
      <c r="R35" s="402"/>
      <c r="S35" s="402"/>
      <c r="T35" s="402"/>
      <c r="U35" s="402"/>
      <c r="V35" s="402"/>
      <c r="W35" s="402"/>
      <c r="X35" s="402"/>
      <c r="Y35" s="402"/>
      <c r="Z35" s="402"/>
      <c r="AA35" s="405"/>
      <c r="AB35" s="405"/>
      <c r="AC35" s="405"/>
      <c r="AD35" s="405"/>
      <c r="AE35" s="405"/>
      <c r="AF35" s="405"/>
      <c r="AG35" s="405"/>
      <c r="AH35" s="405"/>
      <c r="AI35" s="405"/>
      <c r="AJ35" s="405"/>
      <c r="AK35" s="405"/>
      <c r="AL35" s="405"/>
    </row>
    <row r="36" ht="14.25" customHeight="1">
      <c r="A36" s="406">
        <v>45496.0</v>
      </c>
      <c r="B36" s="349" t="s">
        <v>3597</v>
      </c>
      <c r="C36" s="349" t="s">
        <v>3598</v>
      </c>
      <c r="D36" s="349" t="s">
        <v>54</v>
      </c>
      <c r="E36" s="349" t="s">
        <v>3551</v>
      </c>
      <c r="F36" s="751">
        <v>4285.0</v>
      </c>
      <c r="G36" s="751">
        <v>10000.0</v>
      </c>
      <c r="H36" s="349" t="s">
        <v>710</v>
      </c>
      <c r="I36" s="736" t="str">
        <f t="shared" si="3"/>
        <v>FULLY PAID</v>
      </c>
      <c r="J36" s="402"/>
      <c r="K36" s="402"/>
      <c r="L36" s="402"/>
      <c r="M36" s="402"/>
      <c r="N36" s="402"/>
      <c r="O36" s="402"/>
      <c r="P36" s="402"/>
      <c r="Q36" s="402"/>
      <c r="R36" s="402"/>
      <c r="S36" s="402"/>
      <c r="T36" s="402"/>
      <c r="U36" s="402"/>
      <c r="V36" s="402"/>
      <c r="W36" s="402"/>
      <c r="X36" s="402"/>
      <c r="Y36" s="402"/>
      <c r="Z36" s="402"/>
      <c r="AA36" s="405"/>
      <c r="AB36" s="405"/>
      <c r="AC36" s="405"/>
      <c r="AD36" s="405"/>
      <c r="AE36" s="405"/>
      <c r="AF36" s="405"/>
      <c r="AG36" s="405"/>
      <c r="AH36" s="405"/>
      <c r="AI36" s="405"/>
      <c r="AJ36" s="405"/>
      <c r="AK36" s="405"/>
      <c r="AL36" s="405"/>
    </row>
    <row r="37" ht="14.25" customHeight="1">
      <c r="A37" s="406">
        <v>45496.0</v>
      </c>
      <c r="B37" s="349" t="s">
        <v>3599</v>
      </c>
      <c r="C37" s="349" t="s">
        <v>3600</v>
      </c>
      <c r="D37" s="349" t="s">
        <v>54</v>
      </c>
      <c r="E37" s="349" t="s">
        <v>3546</v>
      </c>
      <c r="F37" s="751">
        <v>7200.0</v>
      </c>
      <c r="G37" s="751"/>
      <c r="H37" s="349" t="s">
        <v>2184</v>
      </c>
      <c r="I37" s="736" t="str">
        <f t="shared" si="3"/>
        <v>NOT PAID</v>
      </c>
      <c r="J37" s="402"/>
      <c r="K37" s="402"/>
      <c r="L37" s="402"/>
      <c r="M37" s="402"/>
      <c r="N37" s="402"/>
      <c r="O37" s="402"/>
      <c r="P37" s="402"/>
      <c r="Q37" s="402"/>
      <c r="R37" s="402"/>
      <c r="S37" s="402"/>
      <c r="T37" s="402"/>
      <c r="U37" s="402"/>
      <c r="V37" s="402"/>
      <c r="W37" s="402"/>
      <c r="X37" s="402"/>
      <c r="Y37" s="402"/>
      <c r="Z37" s="402"/>
      <c r="AA37" s="405"/>
      <c r="AB37" s="405"/>
      <c r="AC37" s="405"/>
      <c r="AD37" s="405"/>
      <c r="AE37" s="405"/>
      <c r="AF37" s="405"/>
      <c r="AG37" s="405"/>
      <c r="AH37" s="405"/>
      <c r="AI37" s="405"/>
      <c r="AJ37" s="405"/>
      <c r="AK37" s="405"/>
      <c r="AL37" s="405"/>
    </row>
    <row r="38" ht="14.25" customHeight="1">
      <c r="A38" s="406">
        <v>45496.0</v>
      </c>
      <c r="B38" s="349" t="s">
        <v>3601</v>
      </c>
      <c r="C38" s="349" t="s">
        <v>3602</v>
      </c>
      <c r="D38" s="349" t="s">
        <v>54</v>
      </c>
      <c r="E38" s="349" t="s">
        <v>3551</v>
      </c>
      <c r="F38" s="751">
        <v>13482.0</v>
      </c>
      <c r="G38" s="751">
        <v>7000.0</v>
      </c>
      <c r="H38" s="349" t="s">
        <v>3603</v>
      </c>
      <c r="I38" s="736" t="str">
        <f t="shared" si="3"/>
        <v>PARTIALLY PAID</v>
      </c>
      <c r="J38" s="402"/>
      <c r="K38" s="402"/>
      <c r="L38" s="402"/>
      <c r="M38" s="402"/>
      <c r="N38" s="402"/>
      <c r="O38" s="402"/>
      <c r="P38" s="402"/>
      <c r="Q38" s="402"/>
      <c r="R38" s="402"/>
      <c r="S38" s="402"/>
      <c r="T38" s="402"/>
      <c r="U38" s="402"/>
      <c r="V38" s="402"/>
      <c r="W38" s="402"/>
      <c r="X38" s="402"/>
      <c r="Y38" s="402"/>
      <c r="Z38" s="402"/>
      <c r="AA38" s="405"/>
      <c r="AB38" s="405"/>
      <c r="AC38" s="405"/>
      <c r="AD38" s="405"/>
      <c r="AE38" s="405"/>
      <c r="AF38" s="405"/>
      <c r="AG38" s="405"/>
      <c r="AH38" s="405"/>
      <c r="AI38" s="405"/>
      <c r="AJ38" s="405"/>
      <c r="AK38" s="405"/>
      <c r="AL38" s="405"/>
    </row>
    <row r="39" ht="14.25" customHeight="1">
      <c r="A39" s="406">
        <v>45496.0</v>
      </c>
      <c r="B39" s="349" t="s">
        <v>3604</v>
      </c>
      <c r="C39" s="349" t="s">
        <v>3605</v>
      </c>
      <c r="D39" s="349" t="s">
        <v>3578</v>
      </c>
      <c r="E39" s="349" t="s">
        <v>3551</v>
      </c>
      <c r="F39" s="754">
        <v>336000.0</v>
      </c>
      <c r="G39" s="754"/>
      <c r="H39" s="349" t="s">
        <v>3585</v>
      </c>
      <c r="I39" s="736" t="str">
        <f t="shared" si="3"/>
        <v>NOT PAID</v>
      </c>
      <c r="J39" s="402"/>
      <c r="K39" s="402"/>
      <c r="L39" s="402"/>
      <c r="M39" s="402"/>
      <c r="N39" s="402"/>
      <c r="O39" s="402"/>
      <c r="P39" s="402"/>
      <c r="Q39" s="402"/>
      <c r="R39" s="402"/>
      <c r="S39" s="402"/>
      <c r="T39" s="402"/>
      <c r="U39" s="402"/>
      <c r="V39" s="402"/>
      <c r="W39" s="402"/>
      <c r="X39" s="402"/>
      <c r="Y39" s="402"/>
      <c r="Z39" s="402"/>
      <c r="AA39" s="405"/>
      <c r="AB39" s="405"/>
      <c r="AC39" s="405"/>
      <c r="AD39" s="405"/>
      <c r="AE39" s="405"/>
      <c r="AF39" s="405"/>
      <c r="AG39" s="405"/>
      <c r="AH39" s="405"/>
      <c r="AI39" s="405"/>
      <c r="AJ39" s="405"/>
      <c r="AK39" s="405"/>
      <c r="AL39" s="405"/>
    </row>
    <row r="40" ht="14.25" customHeight="1">
      <c r="A40" s="406">
        <v>45496.0</v>
      </c>
      <c r="B40" s="349" t="s">
        <v>3606</v>
      </c>
      <c r="C40" s="349" t="s">
        <v>3607</v>
      </c>
      <c r="D40" s="349" t="s">
        <v>54</v>
      </c>
      <c r="E40" s="349" t="s">
        <v>3551</v>
      </c>
      <c r="F40" s="751">
        <v>34385.0</v>
      </c>
      <c r="G40" s="751"/>
      <c r="H40" s="349" t="s">
        <v>3590</v>
      </c>
      <c r="I40" s="736" t="str">
        <f t="shared" si="3"/>
        <v>NOT PAID</v>
      </c>
      <c r="J40" s="402"/>
      <c r="K40" s="402"/>
      <c r="L40" s="402"/>
      <c r="M40" s="402"/>
      <c r="N40" s="402"/>
      <c r="O40" s="402"/>
      <c r="P40" s="402"/>
      <c r="Q40" s="402"/>
      <c r="R40" s="402"/>
      <c r="S40" s="402"/>
      <c r="T40" s="402"/>
      <c r="U40" s="402"/>
      <c r="V40" s="402"/>
      <c r="W40" s="402"/>
      <c r="X40" s="402"/>
      <c r="Y40" s="402"/>
      <c r="Z40" s="402"/>
      <c r="AA40" s="405"/>
      <c r="AB40" s="405"/>
      <c r="AC40" s="405"/>
      <c r="AD40" s="405"/>
      <c r="AE40" s="405"/>
      <c r="AF40" s="405"/>
      <c r="AG40" s="405"/>
      <c r="AH40" s="405"/>
      <c r="AI40" s="405"/>
      <c r="AJ40" s="405"/>
      <c r="AK40" s="405"/>
      <c r="AL40" s="405"/>
    </row>
    <row r="41" ht="14.25" customHeight="1">
      <c r="A41" s="406"/>
      <c r="B41" s="402"/>
      <c r="C41" s="402"/>
      <c r="D41" s="402"/>
      <c r="E41" s="402"/>
      <c r="F41" s="751"/>
      <c r="G41" s="751"/>
      <c r="H41" s="402"/>
      <c r="I41" s="736"/>
      <c r="J41" s="402"/>
      <c r="K41" s="402"/>
      <c r="L41" s="402"/>
      <c r="M41" s="402"/>
      <c r="N41" s="402"/>
      <c r="O41" s="402"/>
      <c r="P41" s="402"/>
      <c r="Q41" s="402"/>
      <c r="R41" s="402"/>
      <c r="S41" s="402"/>
      <c r="T41" s="402"/>
      <c r="U41" s="402"/>
      <c r="V41" s="402"/>
      <c r="W41" s="402"/>
      <c r="X41" s="402"/>
      <c r="Y41" s="402"/>
      <c r="Z41" s="402"/>
      <c r="AA41" s="405"/>
      <c r="AB41" s="405"/>
      <c r="AC41" s="405"/>
      <c r="AD41" s="405"/>
      <c r="AE41" s="405"/>
      <c r="AF41" s="405"/>
      <c r="AG41" s="405"/>
      <c r="AH41" s="405"/>
      <c r="AI41" s="405"/>
      <c r="AJ41" s="405"/>
      <c r="AK41" s="405"/>
      <c r="AL41" s="405"/>
    </row>
    <row r="42" ht="14.25" customHeight="1">
      <c r="A42" s="402"/>
      <c r="B42" s="402"/>
      <c r="C42" s="424" t="s">
        <v>797</v>
      </c>
      <c r="D42" s="402"/>
      <c r="E42" s="402"/>
      <c r="F42" s="751"/>
      <c r="G42" s="751"/>
      <c r="H42" s="402"/>
      <c r="I42" s="736"/>
      <c r="J42" s="402"/>
      <c r="K42" s="402"/>
      <c r="L42" s="402"/>
      <c r="M42" s="402"/>
      <c r="N42" s="402"/>
      <c r="O42" s="402"/>
      <c r="P42" s="402"/>
      <c r="Q42" s="402"/>
      <c r="R42" s="402"/>
      <c r="S42" s="402"/>
      <c r="T42" s="402"/>
      <c r="U42" s="402"/>
      <c r="V42" s="402"/>
      <c r="W42" s="402"/>
      <c r="X42" s="402"/>
      <c r="Y42" s="402"/>
      <c r="Z42" s="402"/>
      <c r="AA42" s="405"/>
      <c r="AB42" s="405"/>
      <c r="AC42" s="405"/>
      <c r="AD42" s="405"/>
      <c r="AE42" s="405"/>
      <c r="AF42" s="405"/>
      <c r="AG42" s="405"/>
      <c r="AH42" s="405"/>
      <c r="AI42" s="405"/>
      <c r="AJ42" s="405"/>
      <c r="AK42" s="405"/>
      <c r="AL42" s="405"/>
    </row>
    <row r="43" ht="14.25" customHeight="1">
      <c r="A43" s="406">
        <v>45496.0</v>
      </c>
      <c r="B43" s="678" t="s">
        <v>3608</v>
      </c>
      <c r="C43" s="678" t="s">
        <v>3609</v>
      </c>
      <c r="D43" s="349" t="s">
        <v>54</v>
      </c>
      <c r="E43" s="349" t="s">
        <v>3579</v>
      </c>
      <c r="F43" s="751">
        <v>300000.0</v>
      </c>
      <c r="G43" s="751">
        <v>200000.0</v>
      </c>
      <c r="H43" s="349" t="s">
        <v>3610</v>
      </c>
      <c r="I43" s="736" t="str">
        <f t="shared" ref="I43:I44" si="4">IF(G43&gt;=F43,"FULLY PAID",IF(G43=0,"NOT PAID","PARTIALLY PAID"))</f>
        <v>PARTIALLY PAID</v>
      </c>
      <c r="J43" s="402"/>
      <c r="K43" s="402"/>
      <c r="L43" s="402"/>
      <c r="M43" s="402"/>
      <c r="N43" s="402"/>
      <c r="O43" s="402"/>
      <c r="P43" s="402"/>
      <c r="Q43" s="402"/>
      <c r="R43" s="402"/>
      <c r="S43" s="402"/>
      <c r="T43" s="402"/>
      <c r="U43" s="402"/>
      <c r="V43" s="402"/>
      <c r="W43" s="402"/>
      <c r="X43" s="402"/>
      <c r="Y43" s="402"/>
      <c r="Z43" s="402"/>
      <c r="AA43" s="405"/>
      <c r="AB43" s="405"/>
      <c r="AC43" s="405"/>
      <c r="AD43" s="405"/>
      <c r="AE43" s="405"/>
      <c r="AF43" s="405"/>
      <c r="AG43" s="405"/>
      <c r="AH43" s="405"/>
      <c r="AI43" s="405"/>
      <c r="AJ43" s="405"/>
      <c r="AK43" s="405"/>
      <c r="AL43" s="405"/>
    </row>
    <row r="44" ht="14.25" customHeight="1">
      <c r="A44" s="406">
        <v>45496.0</v>
      </c>
      <c r="B44" s="755" t="s">
        <v>3581</v>
      </c>
      <c r="C44" s="755" t="s">
        <v>3582</v>
      </c>
      <c r="D44" s="349" t="s">
        <v>54</v>
      </c>
      <c r="E44" s="349" t="s">
        <v>3579</v>
      </c>
      <c r="F44" s="751">
        <v>300000.0</v>
      </c>
      <c r="G44" s="751"/>
      <c r="H44" s="349" t="s">
        <v>3611</v>
      </c>
      <c r="I44" s="736" t="str">
        <f t="shared" si="4"/>
        <v>NOT PAID</v>
      </c>
      <c r="J44" s="402"/>
      <c r="K44" s="402"/>
      <c r="L44" s="402"/>
      <c r="M44" s="402"/>
      <c r="N44" s="402"/>
      <c r="O44" s="402"/>
      <c r="P44" s="402"/>
      <c r="Q44" s="402"/>
      <c r="R44" s="402"/>
      <c r="S44" s="402"/>
      <c r="T44" s="402"/>
      <c r="U44" s="402"/>
      <c r="V44" s="402"/>
      <c r="W44" s="402"/>
      <c r="X44" s="402"/>
      <c r="Y44" s="402"/>
      <c r="Z44" s="402"/>
      <c r="AA44" s="405"/>
      <c r="AB44" s="405"/>
      <c r="AC44" s="405"/>
      <c r="AD44" s="405"/>
      <c r="AE44" s="405"/>
      <c r="AF44" s="405"/>
      <c r="AG44" s="405"/>
      <c r="AH44" s="405"/>
      <c r="AI44" s="405"/>
      <c r="AJ44" s="405"/>
      <c r="AK44" s="405"/>
      <c r="AL44" s="405"/>
    </row>
    <row r="45" ht="14.25" customHeight="1">
      <c r="A45" s="402"/>
      <c r="B45" s="402"/>
      <c r="C45" s="402"/>
      <c r="D45" s="402"/>
      <c r="E45" s="402"/>
      <c r="F45" s="751"/>
      <c r="G45" s="751"/>
      <c r="H45" s="402"/>
      <c r="I45" s="736"/>
      <c r="J45" s="402"/>
      <c r="K45" s="402"/>
      <c r="L45" s="402"/>
      <c r="M45" s="402"/>
      <c r="N45" s="402"/>
      <c r="O45" s="402"/>
      <c r="P45" s="402"/>
      <c r="Q45" s="402"/>
      <c r="R45" s="402"/>
      <c r="S45" s="402"/>
      <c r="T45" s="402"/>
      <c r="U45" s="402"/>
      <c r="V45" s="402"/>
      <c r="W45" s="402"/>
      <c r="X45" s="402"/>
      <c r="Y45" s="402"/>
      <c r="Z45" s="402"/>
      <c r="AA45" s="405"/>
      <c r="AB45" s="405"/>
      <c r="AC45" s="405"/>
      <c r="AD45" s="405"/>
      <c r="AE45" s="405"/>
      <c r="AF45" s="405"/>
      <c r="AG45" s="405"/>
      <c r="AH45" s="405"/>
      <c r="AI45" s="405"/>
      <c r="AJ45" s="405"/>
      <c r="AK45" s="405"/>
      <c r="AL45" s="405"/>
    </row>
    <row r="46" ht="14.25" customHeight="1">
      <c r="A46" s="406">
        <v>45496.0</v>
      </c>
      <c r="B46" s="602" t="s">
        <v>3612</v>
      </c>
      <c r="C46" s="349" t="s">
        <v>3613</v>
      </c>
      <c r="D46" s="349" t="s">
        <v>893</v>
      </c>
      <c r="E46" s="349" t="s">
        <v>894</v>
      </c>
      <c r="F46" s="751">
        <v>120000.0</v>
      </c>
      <c r="G46" s="751"/>
      <c r="H46" s="402"/>
      <c r="I46" s="736" t="str">
        <f>IF(G46&gt;=F46,"FULLY PAID",IF(G46=0,"NOT PAID","PARTIALLY PAID"))</f>
        <v>NOT PAID</v>
      </c>
      <c r="J46" s="402"/>
      <c r="K46" s="402"/>
      <c r="L46" s="402"/>
      <c r="M46" s="402"/>
      <c r="N46" s="402"/>
      <c r="O46" s="402"/>
      <c r="P46" s="402"/>
      <c r="Q46" s="402"/>
      <c r="R46" s="402"/>
      <c r="S46" s="402"/>
      <c r="T46" s="402"/>
      <c r="U46" s="402"/>
      <c r="V46" s="402"/>
      <c r="W46" s="402"/>
      <c r="X46" s="402"/>
      <c r="Y46" s="402"/>
      <c r="Z46" s="402"/>
      <c r="AA46" s="405"/>
      <c r="AB46" s="405"/>
      <c r="AC46" s="405"/>
      <c r="AD46" s="405"/>
      <c r="AE46" s="405"/>
      <c r="AF46" s="405"/>
      <c r="AG46" s="405"/>
      <c r="AH46" s="405"/>
      <c r="AI46" s="405"/>
      <c r="AJ46" s="405"/>
      <c r="AK46" s="405"/>
      <c r="AL46" s="405"/>
    </row>
    <row r="47" ht="14.25" customHeight="1">
      <c r="A47" s="402"/>
      <c r="B47" s="402"/>
      <c r="C47" s="402"/>
      <c r="D47" s="402"/>
      <c r="E47" s="402"/>
      <c r="F47" s="402"/>
      <c r="G47" s="403"/>
      <c r="H47" s="402"/>
      <c r="I47" s="736"/>
      <c r="J47" s="402"/>
      <c r="K47" s="402"/>
      <c r="L47" s="402"/>
      <c r="M47" s="402"/>
      <c r="N47" s="402"/>
      <c r="O47" s="402"/>
      <c r="P47" s="402"/>
      <c r="Q47" s="402"/>
      <c r="R47" s="402"/>
      <c r="S47" s="402"/>
      <c r="T47" s="402"/>
      <c r="U47" s="402"/>
      <c r="V47" s="402"/>
      <c r="W47" s="402"/>
      <c r="X47" s="402"/>
      <c r="Y47" s="402"/>
      <c r="Z47" s="402"/>
      <c r="AA47" s="405"/>
      <c r="AB47" s="405"/>
      <c r="AC47" s="405"/>
      <c r="AD47" s="405"/>
      <c r="AE47" s="405"/>
      <c r="AF47" s="405"/>
      <c r="AG47" s="405"/>
      <c r="AH47" s="405"/>
      <c r="AI47" s="405"/>
      <c r="AJ47" s="405"/>
      <c r="AK47" s="405"/>
      <c r="AL47" s="405"/>
    </row>
    <row r="48" ht="14.25" customHeight="1">
      <c r="A48" s="402"/>
      <c r="B48" s="402"/>
      <c r="C48" s="402"/>
      <c r="D48" s="402"/>
      <c r="E48" s="402"/>
      <c r="F48" s="402"/>
      <c r="G48" s="403"/>
      <c r="H48" s="402"/>
      <c r="I48" s="736"/>
      <c r="J48" s="402"/>
      <c r="K48" s="402"/>
      <c r="L48" s="402"/>
      <c r="M48" s="402"/>
      <c r="N48" s="402"/>
      <c r="O48" s="402"/>
      <c r="P48" s="402"/>
      <c r="Q48" s="402"/>
      <c r="R48" s="402"/>
      <c r="S48" s="402"/>
      <c r="T48" s="402"/>
      <c r="U48" s="402"/>
      <c r="V48" s="402"/>
      <c r="W48" s="402"/>
      <c r="X48" s="402"/>
      <c r="Y48" s="402"/>
      <c r="Z48" s="402"/>
      <c r="AA48" s="405"/>
      <c r="AB48" s="405"/>
      <c r="AC48" s="405"/>
      <c r="AD48" s="405"/>
      <c r="AE48" s="405"/>
      <c r="AF48" s="405"/>
      <c r="AG48" s="405"/>
      <c r="AH48" s="405"/>
      <c r="AI48" s="405"/>
      <c r="AJ48" s="405"/>
      <c r="AK48" s="405"/>
      <c r="AL48" s="405"/>
    </row>
    <row r="49" ht="14.25" customHeight="1">
      <c r="A49" s="584" t="s">
        <v>2130</v>
      </c>
      <c r="B49" s="584" t="s">
        <v>39</v>
      </c>
      <c r="C49" s="584" t="s">
        <v>48</v>
      </c>
      <c r="D49" s="584" t="s">
        <v>49</v>
      </c>
      <c r="E49" s="584" t="s">
        <v>50</v>
      </c>
      <c r="F49" s="584" t="s">
        <v>2</v>
      </c>
      <c r="G49" s="586" t="s">
        <v>44</v>
      </c>
      <c r="H49" s="584" t="s">
        <v>45</v>
      </c>
      <c r="I49" s="736"/>
      <c r="J49" s="402"/>
      <c r="K49" s="402"/>
      <c r="L49" s="402"/>
      <c r="M49" s="402"/>
      <c r="N49" s="402"/>
      <c r="O49" s="402"/>
      <c r="P49" s="402"/>
      <c r="Q49" s="402"/>
      <c r="R49" s="402"/>
      <c r="S49" s="402"/>
      <c r="T49" s="402"/>
      <c r="U49" s="402"/>
      <c r="V49" s="402"/>
      <c r="W49" s="402"/>
      <c r="X49" s="402"/>
      <c r="Y49" s="402"/>
      <c r="Z49" s="402"/>
      <c r="AA49" s="405"/>
      <c r="AB49" s="405"/>
      <c r="AC49" s="405"/>
      <c r="AD49" s="405"/>
      <c r="AE49" s="405"/>
      <c r="AF49" s="405"/>
      <c r="AG49" s="405"/>
      <c r="AH49" s="405"/>
      <c r="AI49" s="405"/>
      <c r="AJ49" s="405"/>
      <c r="AK49" s="405"/>
      <c r="AL49" s="405"/>
    </row>
    <row r="50" ht="14.25" customHeight="1">
      <c r="A50" s="406">
        <v>45497.0</v>
      </c>
      <c r="B50" s="607" t="s">
        <v>3614</v>
      </c>
      <c r="C50" s="607" t="s">
        <v>3615</v>
      </c>
      <c r="D50" s="349" t="s">
        <v>54</v>
      </c>
      <c r="E50" s="349" t="s">
        <v>3546</v>
      </c>
      <c r="F50" s="756">
        <v>9443.18</v>
      </c>
      <c r="G50" s="756">
        <v>15936.0</v>
      </c>
      <c r="H50" s="349" t="s">
        <v>710</v>
      </c>
      <c r="I50" s="736" t="str">
        <f t="shared" ref="I50:I64" si="5">IF(G50&gt;=F50,"FULLY PAID",IF(G50=0,"NOT PAID","PARTIALLY PAID"))</f>
        <v>FULLY PAID</v>
      </c>
      <c r="J50" s="402"/>
      <c r="K50" s="402"/>
      <c r="L50" s="402"/>
      <c r="M50" s="402"/>
      <c r="N50" s="402"/>
      <c r="O50" s="402"/>
      <c r="P50" s="402"/>
      <c r="Q50" s="402"/>
      <c r="R50" s="402"/>
      <c r="S50" s="402"/>
      <c r="T50" s="402"/>
      <c r="U50" s="402"/>
      <c r="V50" s="402"/>
      <c r="W50" s="402"/>
      <c r="X50" s="402"/>
      <c r="Y50" s="402"/>
      <c r="Z50" s="402"/>
      <c r="AA50" s="405"/>
      <c r="AB50" s="405"/>
      <c r="AC50" s="405"/>
      <c r="AD50" s="405"/>
      <c r="AE50" s="405"/>
      <c r="AF50" s="405"/>
      <c r="AG50" s="405"/>
      <c r="AH50" s="405"/>
      <c r="AI50" s="405"/>
      <c r="AJ50" s="405"/>
      <c r="AK50" s="405"/>
      <c r="AL50" s="405"/>
    </row>
    <row r="51" ht="14.25" customHeight="1">
      <c r="A51" s="406">
        <v>45497.0</v>
      </c>
      <c r="B51" s="607" t="s">
        <v>3597</v>
      </c>
      <c r="C51" s="607" t="s">
        <v>3616</v>
      </c>
      <c r="D51" s="607" t="s">
        <v>54</v>
      </c>
      <c r="E51" s="349" t="s">
        <v>3617</v>
      </c>
      <c r="F51" s="756">
        <v>23888.65</v>
      </c>
      <c r="G51" s="756"/>
      <c r="H51" s="349" t="s">
        <v>2184</v>
      </c>
      <c r="I51" s="736" t="str">
        <f t="shared" si="5"/>
        <v>NOT PAID</v>
      </c>
      <c r="J51" s="402"/>
      <c r="K51" s="402"/>
      <c r="L51" s="402"/>
      <c r="M51" s="402"/>
      <c r="N51" s="402"/>
      <c r="O51" s="402"/>
      <c r="P51" s="402"/>
      <c r="Q51" s="402"/>
      <c r="R51" s="402"/>
      <c r="S51" s="402"/>
      <c r="T51" s="402"/>
      <c r="U51" s="402"/>
      <c r="V51" s="402"/>
      <c r="W51" s="402"/>
      <c r="X51" s="402"/>
      <c r="Y51" s="402"/>
      <c r="Z51" s="402"/>
      <c r="AA51" s="405"/>
      <c r="AB51" s="405"/>
      <c r="AC51" s="405"/>
      <c r="AD51" s="405"/>
      <c r="AE51" s="405"/>
      <c r="AF51" s="405"/>
      <c r="AG51" s="405"/>
      <c r="AH51" s="405"/>
      <c r="AI51" s="405"/>
      <c r="AJ51" s="405"/>
      <c r="AK51" s="405"/>
      <c r="AL51" s="405"/>
    </row>
    <row r="52" ht="14.25" customHeight="1">
      <c r="A52" s="406">
        <v>45497.0</v>
      </c>
      <c r="B52" s="607" t="s">
        <v>3618</v>
      </c>
      <c r="C52" s="607" t="s">
        <v>3619</v>
      </c>
      <c r="D52" s="607" t="s">
        <v>75</v>
      </c>
      <c r="E52" s="349" t="s">
        <v>3556</v>
      </c>
      <c r="F52" s="756">
        <v>1150000.0</v>
      </c>
      <c r="G52" s="756">
        <v>1150000.0</v>
      </c>
      <c r="H52" s="349" t="s">
        <v>710</v>
      </c>
      <c r="I52" s="736" t="str">
        <f t="shared" si="5"/>
        <v>FULLY PAID</v>
      </c>
      <c r="J52" s="402"/>
      <c r="K52" s="402"/>
      <c r="L52" s="402"/>
      <c r="M52" s="402"/>
      <c r="N52" s="402"/>
      <c r="O52" s="402"/>
      <c r="P52" s="402"/>
      <c r="Q52" s="402"/>
      <c r="R52" s="402"/>
      <c r="S52" s="402"/>
      <c r="T52" s="402"/>
      <c r="U52" s="402"/>
      <c r="V52" s="402"/>
      <c r="W52" s="402"/>
      <c r="X52" s="402"/>
      <c r="Y52" s="402"/>
      <c r="Z52" s="402"/>
      <c r="AA52" s="405"/>
      <c r="AB52" s="405"/>
      <c r="AC52" s="405"/>
      <c r="AD52" s="405"/>
      <c r="AE52" s="405"/>
      <c r="AF52" s="405"/>
      <c r="AG52" s="405"/>
      <c r="AH52" s="405"/>
      <c r="AI52" s="405"/>
      <c r="AJ52" s="405"/>
      <c r="AK52" s="405"/>
      <c r="AL52" s="405"/>
    </row>
    <row r="53" ht="14.25" customHeight="1">
      <c r="A53" s="406">
        <v>45497.0</v>
      </c>
      <c r="B53" s="607" t="s">
        <v>3620</v>
      </c>
      <c r="C53" s="607" t="s">
        <v>3621</v>
      </c>
      <c r="D53" s="607" t="s">
        <v>54</v>
      </c>
      <c r="E53" s="349" t="s">
        <v>3617</v>
      </c>
      <c r="F53" s="756">
        <v>39333.0</v>
      </c>
      <c r="G53" s="756">
        <v>39333.0</v>
      </c>
      <c r="H53" s="349" t="s">
        <v>710</v>
      </c>
      <c r="I53" s="736" t="str">
        <f t="shared" si="5"/>
        <v>FULLY PAID</v>
      </c>
      <c r="J53" s="402"/>
      <c r="K53" s="402"/>
      <c r="L53" s="402"/>
      <c r="M53" s="402"/>
      <c r="N53" s="402"/>
      <c r="O53" s="402"/>
      <c r="P53" s="402"/>
      <c r="Q53" s="402"/>
      <c r="R53" s="402"/>
      <c r="S53" s="402"/>
      <c r="T53" s="402"/>
      <c r="U53" s="402"/>
      <c r="V53" s="402"/>
      <c r="W53" s="402"/>
      <c r="X53" s="402"/>
      <c r="Y53" s="402"/>
      <c r="Z53" s="402"/>
      <c r="AA53" s="405"/>
      <c r="AB53" s="405"/>
      <c r="AC53" s="405"/>
      <c r="AD53" s="405"/>
      <c r="AE53" s="405"/>
      <c r="AF53" s="405"/>
      <c r="AG53" s="405"/>
      <c r="AH53" s="405"/>
      <c r="AI53" s="405"/>
      <c r="AJ53" s="405"/>
      <c r="AK53" s="405"/>
      <c r="AL53" s="405"/>
    </row>
    <row r="54" ht="14.25" customHeight="1">
      <c r="A54" s="406">
        <v>45497.0</v>
      </c>
      <c r="B54" s="752" t="s">
        <v>3571</v>
      </c>
      <c r="C54" s="752" t="s">
        <v>3572</v>
      </c>
      <c r="D54" s="349" t="s">
        <v>54</v>
      </c>
      <c r="E54" s="349" t="s">
        <v>3551</v>
      </c>
      <c r="F54" s="751">
        <v>14000.0</v>
      </c>
      <c r="G54" s="751">
        <v>12000.0</v>
      </c>
      <c r="H54" s="349" t="s">
        <v>3622</v>
      </c>
      <c r="I54" s="736" t="str">
        <f t="shared" si="5"/>
        <v>PARTIALLY PAID</v>
      </c>
      <c r="J54" s="402"/>
      <c r="K54" s="402"/>
      <c r="L54" s="402"/>
      <c r="M54" s="402"/>
      <c r="N54" s="402"/>
      <c r="O54" s="402"/>
      <c r="P54" s="402"/>
      <c r="Q54" s="402"/>
      <c r="R54" s="402"/>
      <c r="S54" s="402"/>
      <c r="T54" s="402"/>
      <c r="U54" s="402"/>
      <c r="V54" s="402"/>
      <c r="W54" s="402"/>
      <c r="X54" s="402"/>
      <c r="Y54" s="402"/>
      <c r="Z54" s="402"/>
      <c r="AA54" s="405"/>
      <c r="AB54" s="405"/>
      <c r="AC54" s="405"/>
      <c r="AD54" s="405"/>
      <c r="AE54" s="405"/>
      <c r="AF54" s="405"/>
      <c r="AG54" s="405"/>
      <c r="AH54" s="405"/>
      <c r="AI54" s="405"/>
      <c r="AJ54" s="405"/>
      <c r="AK54" s="405"/>
      <c r="AL54" s="405"/>
    </row>
    <row r="55" ht="14.25" customHeight="1">
      <c r="A55" s="406">
        <v>45497.0</v>
      </c>
      <c r="B55" s="349" t="s">
        <v>3623</v>
      </c>
      <c r="C55" s="349" t="s">
        <v>3624</v>
      </c>
      <c r="D55" s="349" t="s">
        <v>54</v>
      </c>
      <c r="E55" s="349" t="s">
        <v>3551</v>
      </c>
      <c r="F55" s="751">
        <v>2579.0</v>
      </c>
      <c r="G55" s="751">
        <v>5700.0</v>
      </c>
      <c r="H55" s="349" t="s">
        <v>710</v>
      </c>
      <c r="I55" s="736" t="str">
        <f t="shared" si="5"/>
        <v>FULLY PAID</v>
      </c>
      <c r="J55" s="402"/>
      <c r="K55" s="402"/>
      <c r="L55" s="402"/>
      <c r="M55" s="402"/>
      <c r="N55" s="402"/>
      <c r="O55" s="402"/>
      <c r="P55" s="402"/>
      <c r="Q55" s="402"/>
      <c r="R55" s="402"/>
      <c r="S55" s="402"/>
      <c r="T55" s="402"/>
      <c r="U55" s="402"/>
      <c r="V55" s="402"/>
      <c r="W55" s="402"/>
      <c r="X55" s="402"/>
      <c r="Y55" s="402"/>
      <c r="Z55" s="402"/>
      <c r="AA55" s="405"/>
      <c r="AB55" s="405"/>
      <c r="AC55" s="405"/>
      <c r="AD55" s="405"/>
      <c r="AE55" s="405"/>
      <c r="AF55" s="405"/>
      <c r="AG55" s="405"/>
      <c r="AH55" s="405"/>
      <c r="AI55" s="405"/>
      <c r="AJ55" s="405"/>
      <c r="AK55" s="405"/>
      <c r="AL55" s="405"/>
    </row>
    <row r="56" ht="14.25" customHeight="1">
      <c r="A56" s="406">
        <v>45497.0</v>
      </c>
      <c r="B56" s="752" t="s">
        <v>3569</v>
      </c>
      <c r="C56" s="752" t="s">
        <v>3570</v>
      </c>
      <c r="D56" s="752" t="s">
        <v>54</v>
      </c>
      <c r="E56" s="752" t="s">
        <v>3556</v>
      </c>
      <c r="F56" s="751">
        <v>53000.0</v>
      </c>
      <c r="G56" s="751">
        <v>53600.0</v>
      </c>
      <c r="H56" s="349" t="s">
        <v>710</v>
      </c>
      <c r="I56" s="736" t="str">
        <f t="shared" si="5"/>
        <v>FULLY PAID</v>
      </c>
      <c r="J56" s="402"/>
      <c r="K56" s="402"/>
      <c r="L56" s="402"/>
      <c r="M56" s="402"/>
      <c r="N56" s="402"/>
      <c r="O56" s="402"/>
      <c r="P56" s="402"/>
      <c r="Q56" s="402"/>
      <c r="R56" s="402"/>
      <c r="S56" s="402"/>
      <c r="T56" s="402"/>
      <c r="U56" s="402"/>
      <c r="V56" s="402"/>
      <c r="W56" s="402"/>
      <c r="X56" s="402"/>
      <c r="Y56" s="402"/>
      <c r="Z56" s="402"/>
      <c r="AA56" s="405"/>
      <c r="AB56" s="405"/>
      <c r="AC56" s="405"/>
      <c r="AD56" s="405"/>
      <c r="AE56" s="405"/>
      <c r="AF56" s="405"/>
      <c r="AG56" s="405"/>
      <c r="AH56" s="405"/>
      <c r="AI56" s="405"/>
      <c r="AJ56" s="405"/>
      <c r="AK56" s="405"/>
      <c r="AL56" s="405"/>
    </row>
    <row r="57" ht="14.25" customHeight="1">
      <c r="A57" s="406">
        <v>45497.0</v>
      </c>
      <c r="B57" s="349" t="s">
        <v>3625</v>
      </c>
      <c r="C57" s="349" t="s">
        <v>3626</v>
      </c>
      <c r="D57" s="349" t="s">
        <v>54</v>
      </c>
      <c r="E57" s="349" t="s">
        <v>3551</v>
      </c>
      <c r="F57" s="751">
        <v>34385.0</v>
      </c>
      <c r="G57" s="751">
        <v>30200.0</v>
      </c>
      <c r="H57" s="349" t="s">
        <v>3627</v>
      </c>
      <c r="I57" s="736" t="str">
        <f t="shared" si="5"/>
        <v>PARTIALLY PAID</v>
      </c>
      <c r="J57" s="402"/>
      <c r="K57" s="402"/>
      <c r="L57" s="402"/>
      <c r="M57" s="402"/>
      <c r="N57" s="402"/>
      <c r="O57" s="402"/>
      <c r="P57" s="402"/>
      <c r="Q57" s="402"/>
      <c r="R57" s="402"/>
      <c r="S57" s="402"/>
      <c r="T57" s="402"/>
      <c r="U57" s="402"/>
      <c r="V57" s="402"/>
      <c r="W57" s="402"/>
      <c r="X57" s="402"/>
      <c r="Y57" s="402"/>
      <c r="Z57" s="402"/>
      <c r="AA57" s="405"/>
      <c r="AB57" s="405"/>
      <c r="AC57" s="405"/>
      <c r="AD57" s="405"/>
      <c r="AE57" s="405"/>
      <c r="AF57" s="405"/>
      <c r="AG57" s="405"/>
      <c r="AH57" s="405"/>
      <c r="AI57" s="405"/>
      <c r="AJ57" s="405"/>
      <c r="AK57" s="405"/>
      <c r="AL57" s="405"/>
    </row>
    <row r="58" ht="14.25" customHeight="1">
      <c r="A58" s="406">
        <v>45497.0</v>
      </c>
      <c r="B58" s="349" t="s">
        <v>3561</v>
      </c>
      <c r="C58" s="349" t="s">
        <v>3562</v>
      </c>
      <c r="D58" s="349" t="s">
        <v>54</v>
      </c>
      <c r="E58" s="349" t="s">
        <v>3556</v>
      </c>
      <c r="F58" s="751">
        <v>101937.65</v>
      </c>
      <c r="G58" s="751"/>
      <c r="H58" s="349" t="s">
        <v>3622</v>
      </c>
      <c r="I58" s="736" t="str">
        <f t="shared" si="5"/>
        <v>NOT PAID</v>
      </c>
      <c r="J58" s="402"/>
      <c r="K58" s="402"/>
      <c r="L58" s="402"/>
      <c r="M58" s="402"/>
      <c r="N58" s="402"/>
      <c r="O58" s="402"/>
      <c r="P58" s="402"/>
      <c r="Q58" s="402"/>
      <c r="R58" s="402"/>
      <c r="S58" s="402"/>
      <c r="T58" s="402"/>
      <c r="U58" s="402"/>
      <c r="V58" s="402"/>
      <c r="W58" s="402"/>
      <c r="X58" s="402"/>
      <c r="Y58" s="402"/>
      <c r="Z58" s="402"/>
      <c r="AA58" s="405"/>
      <c r="AB58" s="405"/>
      <c r="AC58" s="405"/>
      <c r="AD58" s="405"/>
      <c r="AE58" s="405"/>
      <c r="AF58" s="405"/>
      <c r="AG58" s="405"/>
      <c r="AH58" s="405"/>
      <c r="AI58" s="405"/>
      <c r="AJ58" s="405"/>
      <c r="AK58" s="405"/>
      <c r="AL58" s="405"/>
    </row>
    <row r="59" ht="14.25" customHeight="1">
      <c r="A59" s="406">
        <v>45497.0</v>
      </c>
      <c r="B59" s="349" t="s">
        <v>3547</v>
      </c>
      <c r="C59" s="349" t="s">
        <v>3545</v>
      </c>
      <c r="D59" s="349" t="s">
        <v>54</v>
      </c>
      <c r="E59" s="349" t="s">
        <v>3546</v>
      </c>
      <c r="F59" s="751">
        <v>226832.0</v>
      </c>
      <c r="G59" s="751"/>
      <c r="H59" s="349" t="s">
        <v>3622</v>
      </c>
      <c r="I59" s="736" t="str">
        <f t="shared" si="5"/>
        <v>NOT PAID</v>
      </c>
      <c r="J59" s="402"/>
      <c r="K59" s="402"/>
      <c r="L59" s="402"/>
      <c r="M59" s="402"/>
      <c r="N59" s="402"/>
      <c r="O59" s="402"/>
      <c r="P59" s="402"/>
      <c r="Q59" s="402"/>
      <c r="R59" s="402"/>
      <c r="S59" s="402"/>
      <c r="T59" s="402"/>
      <c r="U59" s="402"/>
      <c r="V59" s="402"/>
      <c r="W59" s="402"/>
      <c r="X59" s="402"/>
      <c r="Y59" s="402"/>
      <c r="Z59" s="402"/>
      <c r="AA59" s="405"/>
      <c r="AB59" s="405"/>
      <c r="AC59" s="405"/>
      <c r="AD59" s="405"/>
      <c r="AE59" s="405"/>
      <c r="AF59" s="405"/>
      <c r="AG59" s="405"/>
      <c r="AH59" s="405"/>
      <c r="AI59" s="405"/>
      <c r="AJ59" s="405"/>
      <c r="AK59" s="405"/>
      <c r="AL59" s="405"/>
    </row>
    <row r="60" ht="14.25" customHeight="1">
      <c r="A60" s="406">
        <v>45497.0</v>
      </c>
      <c r="B60" s="349" t="s">
        <v>3628</v>
      </c>
      <c r="C60" s="349" t="s">
        <v>3629</v>
      </c>
      <c r="D60" s="349" t="s">
        <v>54</v>
      </c>
      <c r="E60" s="349" t="s">
        <v>3546</v>
      </c>
      <c r="F60" s="754">
        <v>41302.0</v>
      </c>
      <c r="G60" s="751">
        <v>57079.0</v>
      </c>
      <c r="H60" s="349" t="s">
        <v>710</v>
      </c>
      <c r="I60" s="736" t="str">
        <f t="shared" si="5"/>
        <v>FULLY PAID</v>
      </c>
      <c r="J60" s="402"/>
      <c r="K60" s="402"/>
      <c r="L60" s="402"/>
      <c r="M60" s="402"/>
      <c r="N60" s="402"/>
      <c r="O60" s="402"/>
      <c r="P60" s="402"/>
      <c r="Q60" s="402"/>
      <c r="R60" s="402"/>
      <c r="S60" s="402"/>
      <c r="T60" s="402"/>
      <c r="U60" s="402"/>
      <c r="V60" s="402"/>
      <c r="W60" s="402"/>
      <c r="X60" s="402"/>
      <c r="Y60" s="402"/>
      <c r="Z60" s="402"/>
      <c r="AA60" s="405"/>
      <c r="AB60" s="405"/>
      <c r="AC60" s="405"/>
      <c r="AD60" s="405"/>
      <c r="AE60" s="405"/>
      <c r="AF60" s="405"/>
      <c r="AG60" s="405"/>
      <c r="AH60" s="405"/>
      <c r="AI60" s="405"/>
      <c r="AJ60" s="405"/>
      <c r="AK60" s="405"/>
      <c r="AL60" s="405"/>
    </row>
    <row r="61" ht="14.25" customHeight="1">
      <c r="A61" s="406">
        <v>45497.0</v>
      </c>
      <c r="B61" s="349" t="s">
        <v>3630</v>
      </c>
      <c r="C61" s="349" t="s">
        <v>3629</v>
      </c>
      <c r="D61" s="349" t="s">
        <v>54</v>
      </c>
      <c r="E61" s="349" t="s">
        <v>3546</v>
      </c>
      <c r="F61" s="751">
        <v>33359.0</v>
      </c>
      <c r="G61" s="751">
        <v>40380.0</v>
      </c>
      <c r="H61" s="349" t="s">
        <v>710</v>
      </c>
      <c r="I61" s="736" t="str">
        <f t="shared" si="5"/>
        <v>FULLY PAID</v>
      </c>
      <c r="J61" s="402"/>
      <c r="K61" s="402"/>
      <c r="L61" s="402"/>
      <c r="M61" s="402"/>
      <c r="N61" s="402"/>
      <c r="O61" s="402"/>
      <c r="P61" s="402"/>
      <c r="Q61" s="402"/>
      <c r="R61" s="402"/>
      <c r="S61" s="402"/>
      <c r="T61" s="402"/>
      <c r="U61" s="402"/>
      <c r="V61" s="402"/>
      <c r="W61" s="402"/>
      <c r="X61" s="402"/>
      <c r="Y61" s="402"/>
      <c r="Z61" s="402"/>
      <c r="AA61" s="405"/>
      <c r="AB61" s="405"/>
      <c r="AC61" s="405"/>
      <c r="AD61" s="405"/>
      <c r="AE61" s="405"/>
      <c r="AF61" s="405"/>
      <c r="AG61" s="405"/>
      <c r="AH61" s="405"/>
      <c r="AI61" s="405"/>
      <c r="AJ61" s="405"/>
      <c r="AK61" s="405"/>
      <c r="AL61" s="405"/>
    </row>
    <row r="62" ht="14.25" customHeight="1">
      <c r="A62" s="406">
        <v>45497.0</v>
      </c>
      <c r="B62" s="349" t="s">
        <v>3631</v>
      </c>
      <c r="C62" s="349" t="s">
        <v>3632</v>
      </c>
      <c r="D62" s="349" t="s">
        <v>54</v>
      </c>
      <c r="E62" s="349" t="s">
        <v>3546</v>
      </c>
      <c r="F62" s="751">
        <v>428008.0</v>
      </c>
      <c r="G62" s="751"/>
      <c r="H62" s="349" t="s">
        <v>3633</v>
      </c>
      <c r="I62" s="736" t="str">
        <f t="shared" si="5"/>
        <v>NOT PAID</v>
      </c>
      <c r="J62" s="402"/>
      <c r="K62" s="402"/>
      <c r="L62" s="402"/>
      <c r="M62" s="402"/>
      <c r="N62" s="402"/>
      <c r="O62" s="402"/>
      <c r="P62" s="402"/>
      <c r="Q62" s="402"/>
      <c r="R62" s="402"/>
      <c r="S62" s="402"/>
      <c r="T62" s="402"/>
      <c r="U62" s="402"/>
      <c r="V62" s="402"/>
      <c r="W62" s="402"/>
      <c r="X62" s="402"/>
      <c r="Y62" s="402"/>
      <c r="Z62" s="402"/>
      <c r="AA62" s="405"/>
      <c r="AB62" s="405"/>
      <c r="AC62" s="405"/>
      <c r="AD62" s="405"/>
      <c r="AE62" s="405"/>
      <c r="AF62" s="405"/>
      <c r="AG62" s="405"/>
      <c r="AH62" s="405"/>
      <c r="AI62" s="405"/>
      <c r="AJ62" s="405"/>
      <c r="AK62" s="405"/>
      <c r="AL62" s="405"/>
    </row>
    <row r="63" ht="14.25" customHeight="1">
      <c r="A63" s="406">
        <v>45497.0</v>
      </c>
      <c r="B63" s="349" t="s">
        <v>3634</v>
      </c>
      <c r="C63" s="349" t="s">
        <v>3635</v>
      </c>
      <c r="D63" s="349" t="s">
        <v>54</v>
      </c>
      <c r="E63" s="349" t="s">
        <v>3551</v>
      </c>
      <c r="F63" s="751">
        <v>19277.0</v>
      </c>
      <c r="G63" s="751"/>
      <c r="H63" s="349" t="s">
        <v>3636</v>
      </c>
      <c r="I63" s="736" t="str">
        <f t="shared" si="5"/>
        <v>NOT PAID</v>
      </c>
      <c r="J63" s="402"/>
      <c r="K63" s="402"/>
      <c r="L63" s="402"/>
      <c r="M63" s="402"/>
      <c r="N63" s="402"/>
      <c r="O63" s="402"/>
      <c r="P63" s="402"/>
      <c r="Q63" s="402"/>
      <c r="R63" s="402"/>
      <c r="S63" s="402"/>
      <c r="T63" s="402"/>
      <c r="U63" s="402"/>
      <c r="V63" s="402"/>
      <c r="W63" s="402"/>
      <c r="X63" s="402"/>
      <c r="Y63" s="402"/>
      <c r="Z63" s="402"/>
      <c r="AA63" s="405"/>
      <c r="AB63" s="405"/>
      <c r="AC63" s="405"/>
      <c r="AD63" s="405"/>
      <c r="AE63" s="405"/>
      <c r="AF63" s="405"/>
      <c r="AG63" s="405"/>
      <c r="AH63" s="405"/>
      <c r="AI63" s="405"/>
      <c r="AJ63" s="405"/>
      <c r="AK63" s="405"/>
      <c r="AL63" s="405"/>
    </row>
    <row r="64" ht="14.25" customHeight="1">
      <c r="A64" s="406">
        <v>45497.0</v>
      </c>
      <c r="B64" s="349" t="s">
        <v>3554</v>
      </c>
      <c r="C64" s="349" t="s">
        <v>3555</v>
      </c>
      <c r="D64" s="349" t="s">
        <v>54</v>
      </c>
      <c r="E64" s="349" t="s">
        <v>3556</v>
      </c>
      <c r="F64" s="751">
        <v>108141.0</v>
      </c>
      <c r="G64" s="751"/>
      <c r="H64" s="349" t="s">
        <v>3622</v>
      </c>
      <c r="I64" s="736" t="str">
        <f t="shared" si="5"/>
        <v>NOT PAID</v>
      </c>
      <c r="J64" s="402"/>
      <c r="K64" s="402"/>
      <c r="L64" s="402"/>
      <c r="M64" s="402"/>
      <c r="N64" s="402"/>
      <c r="O64" s="402"/>
      <c r="P64" s="402"/>
      <c r="Q64" s="402"/>
      <c r="R64" s="402"/>
      <c r="S64" s="402"/>
      <c r="T64" s="402"/>
      <c r="U64" s="402"/>
      <c r="V64" s="402"/>
      <c r="W64" s="402"/>
      <c r="X64" s="402"/>
      <c r="Y64" s="402"/>
      <c r="Z64" s="402"/>
      <c r="AA64" s="405"/>
      <c r="AB64" s="405"/>
      <c r="AC64" s="405"/>
      <c r="AD64" s="405"/>
      <c r="AE64" s="405"/>
      <c r="AF64" s="405"/>
      <c r="AG64" s="405"/>
      <c r="AH64" s="405"/>
      <c r="AI64" s="405"/>
      <c r="AJ64" s="405"/>
      <c r="AK64" s="405"/>
      <c r="AL64" s="405"/>
    </row>
    <row r="65" ht="14.25" customHeight="1">
      <c r="A65" s="406"/>
      <c r="B65" s="402"/>
      <c r="C65" s="424" t="s">
        <v>797</v>
      </c>
      <c r="D65" s="402"/>
      <c r="E65" s="402"/>
      <c r="F65" s="751"/>
      <c r="G65" s="751"/>
      <c r="H65" s="402"/>
      <c r="I65" s="736"/>
      <c r="J65" s="402"/>
      <c r="K65" s="402"/>
      <c r="L65" s="402"/>
      <c r="M65" s="402"/>
      <c r="N65" s="402"/>
      <c r="O65" s="402"/>
      <c r="P65" s="402"/>
      <c r="Q65" s="402"/>
      <c r="R65" s="402"/>
      <c r="S65" s="402"/>
      <c r="T65" s="402"/>
      <c r="U65" s="402"/>
      <c r="V65" s="402"/>
      <c r="W65" s="402"/>
      <c r="X65" s="402"/>
      <c r="Y65" s="402"/>
      <c r="Z65" s="402"/>
      <c r="AA65" s="405"/>
      <c r="AB65" s="405"/>
      <c r="AC65" s="405"/>
      <c r="AD65" s="405"/>
      <c r="AE65" s="405"/>
      <c r="AF65" s="405"/>
      <c r="AG65" s="405"/>
      <c r="AH65" s="405"/>
      <c r="AI65" s="405"/>
      <c r="AJ65" s="405"/>
      <c r="AK65" s="405"/>
      <c r="AL65" s="405"/>
    </row>
    <row r="66" ht="14.25" customHeight="1">
      <c r="A66" s="406">
        <v>45497.0</v>
      </c>
      <c r="B66" s="436" t="s">
        <v>3608</v>
      </c>
      <c r="C66" s="436" t="s">
        <v>3637</v>
      </c>
      <c r="D66" s="757" t="s">
        <v>59</v>
      </c>
      <c r="E66" s="757" t="s">
        <v>3579</v>
      </c>
      <c r="F66" s="758">
        <v>300000.0</v>
      </c>
      <c r="G66" s="751"/>
      <c r="H66" s="349" t="s">
        <v>3638</v>
      </c>
      <c r="I66" s="736" t="str">
        <f t="shared" ref="I66:I69" si="6">IF(G66&gt;=F66,"FULLY PAID",IF(G66=0,"NOT PAID","PARTIALLY PAID"))</f>
        <v>NOT PAID</v>
      </c>
      <c r="J66" s="402"/>
      <c r="K66" s="402"/>
      <c r="L66" s="402"/>
      <c r="M66" s="402"/>
      <c r="N66" s="402"/>
      <c r="O66" s="402"/>
      <c r="P66" s="402"/>
      <c r="Q66" s="402"/>
      <c r="R66" s="402"/>
      <c r="S66" s="402"/>
      <c r="T66" s="402"/>
      <c r="U66" s="402"/>
      <c r="V66" s="402"/>
      <c r="W66" s="402"/>
      <c r="X66" s="402"/>
      <c r="Y66" s="402"/>
      <c r="Z66" s="402"/>
      <c r="AA66" s="405"/>
      <c r="AB66" s="405"/>
      <c r="AC66" s="405"/>
      <c r="AD66" s="405"/>
      <c r="AE66" s="405"/>
      <c r="AF66" s="405"/>
      <c r="AG66" s="405"/>
      <c r="AH66" s="405"/>
      <c r="AI66" s="405"/>
      <c r="AJ66" s="405"/>
      <c r="AK66" s="405"/>
      <c r="AL66" s="405"/>
    </row>
    <row r="67" ht="14.25" customHeight="1">
      <c r="A67" s="406">
        <v>45497.0</v>
      </c>
      <c r="B67" s="755" t="s">
        <v>3581</v>
      </c>
      <c r="C67" s="755" t="s">
        <v>3582</v>
      </c>
      <c r="D67" s="759" t="s">
        <v>54</v>
      </c>
      <c r="E67" s="757" t="s">
        <v>3579</v>
      </c>
      <c r="F67" s="760">
        <v>300000.0</v>
      </c>
      <c r="G67" s="751"/>
      <c r="H67" s="349" t="s">
        <v>3638</v>
      </c>
      <c r="I67" s="736" t="str">
        <f t="shared" si="6"/>
        <v>NOT PAID</v>
      </c>
      <c r="J67" s="402"/>
      <c r="K67" s="402"/>
      <c r="L67" s="402"/>
      <c r="M67" s="402"/>
      <c r="N67" s="402"/>
      <c r="O67" s="402"/>
      <c r="P67" s="402"/>
      <c r="Q67" s="402"/>
      <c r="R67" s="402"/>
      <c r="S67" s="402"/>
      <c r="T67" s="402"/>
      <c r="U67" s="402"/>
      <c r="V67" s="402"/>
      <c r="W67" s="402"/>
      <c r="X67" s="402"/>
      <c r="Y67" s="402"/>
      <c r="Z67" s="402"/>
      <c r="AA67" s="405"/>
      <c r="AB67" s="405"/>
      <c r="AC67" s="405"/>
      <c r="AD67" s="405"/>
      <c r="AE67" s="405"/>
      <c r="AF67" s="405"/>
      <c r="AG67" s="405"/>
      <c r="AH67" s="405"/>
      <c r="AI67" s="405"/>
      <c r="AJ67" s="405"/>
      <c r="AK67" s="405"/>
      <c r="AL67" s="405"/>
    </row>
    <row r="68" ht="14.25" customHeight="1">
      <c r="A68" s="406">
        <v>45497.0</v>
      </c>
      <c r="B68" s="602" t="s">
        <v>3612</v>
      </c>
      <c r="C68" s="349" t="s">
        <v>3613</v>
      </c>
      <c r="D68" s="349" t="s">
        <v>893</v>
      </c>
      <c r="E68" s="349" t="s">
        <v>894</v>
      </c>
      <c r="F68" s="751">
        <v>120000.0</v>
      </c>
      <c r="G68" s="751">
        <v>120000.0</v>
      </c>
      <c r="H68" s="349" t="s">
        <v>710</v>
      </c>
      <c r="I68" s="736" t="str">
        <f t="shared" si="6"/>
        <v>FULLY PAID</v>
      </c>
      <c r="J68" s="402"/>
      <c r="K68" s="402"/>
      <c r="L68" s="402"/>
      <c r="M68" s="402"/>
      <c r="N68" s="402"/>
      <c r="O68" s="402"/>
      <c r="P68" s="402"/>
      <c r="Q68" s="402"/>
      <c r="R68" s="402"/>
      <c r="S68" s="402"/>
      <c r="T68" s="402"/>
      <c r="U68" s="402"/>
      <c r="V68" s="402"/>
      <c r="W68" s="402"/>
      <c r="X68" s="402"/>
      <c r="Y68" s="402"/>
      <c r="Z68" s="402"/>
      <c r="AA68" s="405"/>
      <c r="AB68" s="405"/>
      <c r="AC68" s="405"/>
      <c r="AD68" s="405"/>
      <c r="AE68" s="405"/>
      <c r="AF68" s="405"/>
      <c r="AG68" s="405"/>
      <c r="AH68" s="405"/>
      <c r="AI68" s="405"/>
      <c r="AJ68" s="405"/>
      <c r="AK68" s="405"/>
      <c r="AL68" s="405"/>
    </row>
    <row r="69" ht="14.25" customHeight="1">
      <c r="A69" s="406">
        <v>45497.0</v>
      </c>
      <c r="B69" s="349" t="s">
        <v>3604</v>
      </c>
      <c r="C69" s="349" t="s">
        <v>3605</v>
      </c>
      <c r="D69" s="349" t="s">
        <v>3578</v>
      </c>
      <c r="E69" s="349" t="s">
        <v>3551</v>
      </c>
      <c r="F69" s="754">
        <v>336000.0</v>
      </c>
      <c r="G69" s="751"/>
      <c r="H69" s="349" t="s">
        <v>3639</v>
      </c>
      <c r="I69" s="736" t="str">
        <f t="shared" si="6"/>
        <v>NOT PAID</v>
      </c>
      <c r="J69" s="402"/>
      <c r="K69" s="402"/>
      <c r="L69" s="402"/>
      <c r="M69" s="402"/>
      <c r="N69" s="402"/>
      <c r="O69" s="402"/>
      <c r="P69" s="402"/>
      <c r="Q69" s="402"/>
      <c r="R69" s="402"/>
      <c r="S69" s="402"/>
      <c r="T69" s="402"/>
      <c r="U69" s="402"/>
      <c r="V69" s="402"/>
      <c r="W69" s="402"/>
      <c r="X69" s="402"/>
      <c r="Y69" s="402"/>
      <c r="Z69" s="402"/>
      <c r="AA69" s="405"/>
      <c r="AB69" s="405"/>
      <c r="AC69" s="405"/>
      <c r="AD69" s="405"/>
      <c r="AE69" s="405"/>
      <c r="AF69" s="405"/>
      <c r="AG69" s="405"/>
      <c r="AH69" s="405"/>
      <c r="AI69" s="405"/>
      <c r="AJ69" s="405"/>
      <c r="AK69" s="405"/>
      <c r="AL69" s="405"/>
    </row>
    <row r="70" ht="14.25" customHeight="1">
      <c r="A70" s="402"/>
      <c r="B70" s="402"/>
      <c r="C70" s="402"/>
      <c r="D70" s="402"/>
      <c r="E70" s="402"/>
      <c r="F70" s="751"/>
      <c r="G70" s="751"/>
      <c r="H70" s="402"/>
      <c r="I70" s="736"/>
      <c r="J70" s="402"/>
      <c r="K70" s="402"/>
      <c r="L70" s="402"/>
      <c r="M70" s="402"/>
      <c r="N70" s="402"/>
      <c r="O70" s="402"/>
      <c r="P70" s="402"/>
      <c r="Q70" s="402"/>
      <c r="R70" s="402"/>
      <c r="S70" s="402"/>
      <c r="T70" s="402"/>
      <c r="U70" s="402"/>
      <c r="V70" s="402"/>
      <c r="W70" s="402"/>
      <c r="X70" s="402"/>
      <c r="Y70" s="402"/>
      <c r="Z70" s="402"/>
      <c r="AA70" s="405"/>
      <c r="AB70" s="405"/>
      <c r="AC70" s="405"/>
      <c r="AD70" s="405"/>
      <c r="AE70" s="405"/>
      <c r="AF70" s="405"/>
      <c r="AG70" s="405"/>
      <c r="AH70" s="405"/>
      <c r="AI70" s="405"/>
      <c r="AJ70" s="405"/>
      <c r="AK70" s="405"/>
      <c r="AL70" s="405"/>
    </row>
    <row r="71" ht="14.25" customHeight="1">
      <c r="A71" s="402"/>
      <c r="B71" s="402"/>
      <c r="C71" s="402"/>
      <c r="D71" s="402"/>
      <c r="E71" s="402"/>
      <c r="F71" s="751"/>
      <c r="G71" s="751"/>
      <c r="H71" s="402"/>
      <c r="I71" s="736"/>
      <c r="J71" s="402"/>
      <c r="K71" s="402"/>
      <c r="L71" s="402"/>
      <c r="M71" s="402"/>
      <c r="N71" s="402"/>
      <c r="O71" s="402"/>
      <c r="P71" s="402"/>
      <c r="Q71" s="402"/>
      <c r="R71" s="402"/>
      <c r="S71" s="402"/>
      <c r="T71" s="402"/>
      <c r="U71" s="402"/>
      <c r="V71" s="402"/>
      <c r="W71" s="402"/>
      <c r="X71" s="402"/>
      <c r="Y71" s="402"/>
      <c r="Z71" s="402"/>
      <c r="AA71" s="405"/>
      <c r="AB71" s="405"/>
      <c r="AC71" s="405"/>
      <c r="AD71" s="405"/>
      <c r="AE71" s="405"/>
      <c r="AF71" s="405"/>
      <c r="AG71" s="405"/>
      <c r="AH71" s="405"/>
      <c r="AI71" s="405"/>
      <c r="AJ71" s="405"/>
      <c r="AK71" s="405"/>
      <c r="AL71" s="405"/>
    </row>
    <row r="72" ht="14.25" customHeight="1">
      <c r="A72" s="584" t="s">
        <v>2130</v>
      </c>
      <c r="B72" s="584" t="s">
        <v>39</v>
      </c>
      <c r="C72" s="584" t="s">
        <v>48</v>
      </c>
      <c r="D72" s="584" t="s">
        <v>49</v>
      </c>
      <c r="E72" s="584" t="s">
        <v>50</v>
      </c>
      <c r="F72" s="584" t="s">
        <v>2</v>
      </c>
      <c r="G72" s="586" t="s">
        <v>44</v>
      </c>
      <c r="H72" s="584" t="s">
        <v>45</v>
      </c>
      <c r="I72" s="736"/>
      <c r="J72" s="402"/>
      <c r="K72" s="402"/>
      <c r="L72" s="402"/>
      <c r="M72" s="402"/>
      <c r="N72" s="402"/>
      <c r="O72" s="402"/>
      <c r="P72" s="402"/>
      <c r="Q72" s="402"/>
      <c r="R72" s="402"/>
      <c r="S72" s="402"/>
      <c r="T72" s="402"/>
      <c r="U72" s="402"/>
      <c r="V72" s="402"/>
      <c r="W72" s="402"/>
      <c r="X72" s="402"/>
      <c r="Y72" s="402"/>
      <c r="Z72" s="402"/>
      <c r="AA72" s="405"/>
      <c r="AB72" s="405"/>
      <c r="AC72" s="405"/>
      <c r="AD72" s="405"/>
      <c r="AE72" s="405"/>
      <c r="AF72" s="405"/>
      <c r="AG72" s="405"/>
      <c r="AH72" s="405"/>
      <c r="AI72" s="405"/>
      <c r="AJ72" s="405"/>
      <c r="AK72" s="405"/>
      <c r="AL72" s="405"/>
    </row>
    <row r="73" ht="14.25" customHeight="1">
      <c r="A73" s="406">
        <v>45498.0</v>
      </c>
      <c r="B73" s="752" t="s">
        <v>3571</v>
      </c>
      <c r="C73" s="752" t="s">
        <v>3572</v>
      </c>
      <c r="D73" s="349" t="s">
        <v>54</v>
      </c>
      <c r="E73" s="349" t="s">
        <v>3551</v>
      </c>
      <c r="F73" s="751">
        <v>28000.0</v>
      </c>
      <c r="G73" s="751"/>
      <c r="H73" s="761" t="s">
        <v>3640</v>
      </c>
      <c r="I73" s="736" t="str">
        <f t="shared" ref="I73:I87" si="7">IF(G73&gt;=F73,"FULLY PAID",IF(G73=0,"NOT PAID","PARTIALLY PAID"))</f>
        <v>NOT PAID</v>
      </c>
      <c r="J73" s="402"/>
      <c r="K73" s="402"/>
      <c r="L73" s="402"/>
      <c r="M73" s="402"/>
      <c r="N73" s="402"/>
      <c r="O73" s="402"/>
      <c r="P73" s="402"/>
      <c r="Q73" s="402"/>
      <c r="R73" s="402"/>
      <c r="S73" s="402"/>
      <c r="T73" s="402"/>
      <c r="U73" s="402"/>
      <c r="V73" s="402"/>
      <c r="W73" s="402"/>
      <c r="X73" s="402"/>
      <c r="Y73" s="402"/>
      <c r="Z73" s="402"/>
      <c r="AA73" s="405"/>
      <c r="AB73" s="405"/>
      <c r="AC73" s="405"/>
      <c r="AD73" s="405"/>
      <c r="AE73" s="405"/>
      <c r="AF73" s="405"/>
      <c r="AG73" s="405"/>
      <c r="AH73" s="405"/>
      <c r="AI73" s="405"/>
      <c r="AJ73" s="405"/>
      <c r="AK73" s="405"/>
      <c r="AL73" s="405"/>
    </row>
    <row r="74" ht="14.25" customHeight="1">
      <c r="A74" s="406">
        <v>45498.0</v>
      </c>
      <c r="B74" s="349" t="s">
        <v>3623</v>
      </c>
      <c r="C74" s="349" t="s">
        <v>3624</v>
      </c>
      <c r="D74" s="349" t="s">
        <v>54</v>
      </c>
      <c r="E74" s="349" t="s">
        <v>3551</v>
      </c>
      <c r="F74" s="751">
        <v>12779.0</v>
      </c>
      <c r="G74" s="751"/>
      <c r="H74" s="349" t="s">
        <v>2184</v>
      </c>
      <c r="I74" s="736" t="str">
        <f t="shared" si="7"/>
        <v>NOT PAID</v>
      </c>
      <c r="J74" s="402"/>
      <c r="K74" s="402"/>
      <c r="L74" s="402"/>
      <c r="M74" s="402"/>
      <c r="N74" s="402"/>
      <c r="O74" s="402"/>
      <c r="P74" s="402"/>
      <c r="Q74" s="402"/>
      <c r="R74" s="402"/>
      <c r="S74" s="402"/>
      <c r="T74" s="402"/>
      <c r="U74" s="402"/>
      <c r="V74" s="402"/>
      <c r="W74" s="402"/>
      <c r="X74" s="402"/>
      <c r="Y74" s="402"/>
      <c r="Z74" s="402"/>
      <c r="AA74" s="405"/>
      <c r="AB74" s="405"/>
      <c r="AC74" s="405"/>
      <c r="AD74" s="405"/>
      <c r="AE74" s="405"/>
      <c r="AF74" s="405"/>
      <c r="AG74" s="405"/>
      <c r="AH74" s="405"/>
      <c r="AI74" s="405"/>
      <c r="AJ74" s="405"/>
      <c r="AK74" s="405"/>
      <c r="AL74" s="405"/>
    </row>
    <row r="75" ht="14.25" customHeight="1">
      <c r="A75" s="406">
        <v>45498.0</v>
      </c>
      <c r="B75" s="349" t="s">
        <v>3641</v>
      </c>
      <c r="C75" s="349" t="s">
        <v>3642</v>
      </c>
      <c r="D75" s="349" t="s">
        <v>54</v>
      </c>
      <c r="E75" s="349" t="s">
        <v>3546</v>
      </c>
      <c r="F75" s="751">
        <v>25726.0</v>
      </c>
      <c r="G75" s="751"/>
      <c r="H75" s="349" t="s">
        <v>2184</v>
      </c>
      <c r="I75" s="736" t="str">
        <f t="shared" si="7"/>
        <v>NOT PAID</v>
      </c>
      <c r="J75" s="402"/>
      <c r="K75" s="402"/>
      <c r="L75" s="402"/>
      <c r="M75" s="402"/>
      <c r="N75" s="402"/>
      <c r="O75" s="402"/>
      <c r="P75" s="402"/>
      <c r="Q75" s="402"/>
      <c r="R75" s="402"/>
      <c r="S75" s="402"/>
      <c r="T75" s="402"/>
      <c r="U75" s="402"/>
      <c r="V75" s="402"/>
      <c r="W75" s="402"/>
      <c r="X75" s="402"/>
      <c r="Y75" s="402"/>
      <c r="Z75" s="402"/>
      <c r="AA75" s="405"/>
      <c r="AB75" s="405"/>
      <c r="AC75" s="405"/>
      <c r="AD75" s="405"/>
      <c r="AE75" s="405"/>
      <c r="AF75" s="405"/>
      <c r="AG75" s="405"/>
      <c r="AH75" s="405"/>
      <c r="AI75" s="405"/>
      <c r="AJ75" s="405"/>
      <c r="AK75" s="405"/>
      <c r="AL75" s="405"/>
    </row>
    <row r="76" ht="14.25" customHeight="1">
      <c r="A76" s="406">
        <v>45498.0</v>
      </c>
      <c r="B76" s="752" t="s">
        <v>3552</v>
      </c>
      <c r="C76" s="752" t="s">
        <v>3553</v>
      </c>
      <c r="D76" s="752" t="s">
        <v>54</v>
      </c>
      <c r="E76" s="752" t="s">
        <v>3546</v>
      </c>
      <c r="F76" s="751">
        <v>30586.0</v>
      </c>
      <c r="G76" s="751"/>
      <c r="H76" s="349" t="s">
        <v>3643</v>
      </c>
      <c r="I76" s="736" t="str">
        <f t="shared" si="7"/>
        <v>NOT PAID</v>
      </c>
      <c r="J76" s="402"/>
      <c r="K76" s="402"/>
      <c r="L76" s="402"/>
      <c r="M76" s="402"/>
      <c r="N76" s="402"/>
      <c r="O76" s="402"/>
      <c r="P76" s="402"/>
      <c r="Q76" s="402"/>
      <c r="R76" s="402"/>
      <c r="S76" s="402"/>
      <c r="T76" s="402"/>
      <c r="U76" s="402"/>
      <c r="V76" s="402"/>
      <c r="W76" s="402"/>
      <c r="X76" s="402"/>
      <c r="Y76" s="402"/>
      <c r="Z76" s="402"/>
      <c r="AA76" s="405"/>
      <c r="AB76" s="405"/>
      <c r="AC76" s="405"/>
      <c r="AD76" s="405"/>
      <c r="AE76" s="405"/>
      <c r="AF76" s="405"/>
      <c r="AG76" s="405"/>
      <c r="AH76" s="405"/>
      <c r="AI76" s="405"/>
      <c r="AJ76" s="405"/>
      <c r="AK76" s="405"/>
      <c r="AL76" s="405"/>
    </row>
    <row r="77" ht="14.25" customHeight="1">
      <c r="A77" s="406">
        <v>45498.0</v>
      </c>
      <c r="B77" s="349" t="s">
        <v>3644</v>
      </c>
      <c r="C77" s="349" t="s">
        <v>3645</v>
      </c>
      <c r="D77" s="349" t="s">
        <v>75</v>
      </c>
      <c r="E77" s="349" t="s">
        <v>3556</v>
      </c>
      <c r="F77" s="751">
        <v>165000.0</v>
      </c>
      <c r="G77" s="751">
        <v>165000.0</v>
      </c>
      <c r="H77" s="349" t="s">
        <v>710</v>
      </c>
      <c r="I77" s="736" t="str">
        <f t="shared" si="7"/>
        <v>FULLY PAID</v>
      </c>
      <c r="J77" s="402"/>
      <c r="K77" s="402"/>
      <c r="L77" s="402"/>
      <c r="M77" s="402"/>
      <c r="N77" s="402"/>
      <c r="O77" s="402"/>
      <c r="P77" s="402"/>
      <c r="Q77" s="402"/>
      <c r="R77" s="402"/>
      <c r="S77" s="402"/>
      <c r="T77" s="402"/>
      <c r="U77" s="402"/>
      <c r="V77" s="402"/>
      <c r="W77" s="402"/>
      <c r="X77" s="402"/>
      <c r="Y77" s="402"/>
      <c r="Z77" s="402"/>
      <c r="AA77" s="405"/>
      <c r="AB77" s="405"/>
      <c r="AC77" s="405"/>
      <c r="AD77" s="405"/>
      <c r="AE77" s="405"/>
      <c r="AF77" s="405"/>
      <c r="AG77" s="405"/>
      <c r="AH77" s="405"/>
      <c r="AI77" s="405"/>
      <c r="AJ77" s="405"/>
      <c r="AK77" s="405"/>
      <c r="AL77" s="405"/>
    </row>
    <row r="78" ht="14.25" customHeight="1">
      <c r="A78" s="406">
        <v>45498.0</v>
      </c>
      <c r="B78" s="349" t="s">
        <v>3604</v>
      </c>
      <c r="C78" s="349" t="s">
        <v>3605</v>
      </c>
      <c r="D78" s="349" t="s">
        <v>3578</v>
      </c>
      <c r="E78" s="349" t="s">
        <v>3551</v>
      </c>
      <c r="F78" s="754">
        <v>336000.0</v>
      </c>
      <c r="G78" s="751"/>
      <c r="H78" s="349" t="s">
        <v>3646</v>
      </c>
      <c r="I78" s="736" t="str">
        <f t="shared" si="7"/>
        <v>NOT PAID</v>
      </c>
      <c r="J78" s="402"/>
      <c r="K78" s="402"/>
      <c r="L78" s="402"/>
      <c r="M78" s="402"/>
      <c r="N78" s="402"/>
      <c r="O78" s="402"/>
      <c r="P78" s="402"/>
      <c r="Q78" s="402"/>
      <c r="R78" s="402"/>
      <c r="S78" s="402"/>
      <c r="T78" s="402"/>
      <c r="U78" s="402"/>
      <c r="V78" s="402"/>
      <c r="W78" s="402"/>
      <c r="X78" s="402"/>
      <c r="Y78" s="402"/>
      <c r="Z78" s="402"/>
      <c r="AA78" s="405"/>
      <c r="AB78" s="405"/>
      <c r="AC78" s="405"/>
      <c r="AD78" s="405"/>
      <c r="AE78" s="405"/>
      <c r="AF78" s="405"/>
      <c r="AG78" s="405"/>
      <c r="AH78" s="405"/>
      <c r="AI78" s="405"/>
      <c r="AJ78" s="405"/>
      <c r="AK78" s="405"/>
      <c r="AL78" s="405"/>
    </row>
    <row r="79" ht="14.25" customHeight="1">
      <c r="A79" s="406">
        <v>45498.0</v>
      </c>
      <c r="B79" s="349" t="s">
        <v>3647</v>
      </c>
      <c r="C79" s="349" t="s">
        <v>3648</v>
      </c>
      <c r="D79" s="349" t="s">
        <v>54</v>
      </c>
      <c r="E79" s="349" t="s">
        <v>3556</v>
      </c>
      <c r="F79" s="751">
        <v>112000.0</v>
      </c>
      <c r="G79" s="751">
        <v>64059.0</v>
      </c>
      <c r="H79" s="349" t="s">
        <v>2184</v>
      </c>
      <c r="I79" s="736" t="str">
        <f t="shared" si="7"/>
        <v>PARTIALLY PAID</v>
      </c>
      <c r="J79" s="402"/>
      <c r="K79" s="402"/>
      <c r="L79" s="402"/>
      <c r="M79" s="402"/>
      <c r="N79" s="402"/>
      <c r="O79" s="402"/>
      <c r="P79" s="402"/>
      <c r="Q79" s="402"/>
      <c r="R79" s="402"/>
      <c r="S79" s="402"/>
      <c r="T79" s="402"/>
      <c r="U79" s="402"/>
      <c r="V79" s="402"/>
      <c r="W79" s="402"/>
      <c r="X79" s="402"/>
      <c r="Y79" s="402"/>
      <c r="Z79" s="402"/>
      <c r="AA79" s="405"/>
      <c r="AB79" s="405"/>
      <c r="AC79" s="405"/>
      <c r="AD79" s="405"/>
      <c r="AE79" s="405"/>
      <c r="AF79" s="405"/>
      <c r="AG79" s="405"/>
      <c r="AH79" s="405"/>
      <c r="AI79" s="405"/>
      <c r="AJ79" s="405"/>
      <c r="AK79" s="405"/>
      <c r="AL79" s="405"/>
    </row>
    <row r="80" ht="14.25" customHeight="1">
      <c r="A80" s="406">
        <v>45498.0</v>
      </c>
      <c r="B80" s="349" t="s">
        <v>3649</v>
      </c>
      <c r="C80" s="349" t="s">
        <v>3650</v>
      </c>
      <c r="D80" s="349" t="s">
        <v>54</v>
      </c>
      <c r="E80" s="349" t="s">
        <v>3551</v>
      </c>
      <c r="F80" s="751">
        <v>19277.0</v>
      </c>
      <c r="G80" s="751">
        <v>25115.0</v>
      </c>
      <c r="H80" s="349" t="s">
        <v>710</v>
      </c>
      <c r="I80" s="736" t="str">
        <f t="shared" si="7"/>
        <v>FULLY PAID</v>
      </c>
      <c r="J80" s="402"/>
      <c r="K80" s="402"/>
      <c r="L80" s="402"/>
      <c r="M80" s="402"/>
      <c r="N80" s="402"/>
      <c r="O80" s="402"/>
      <c r="P80" s="402"/>
      <c r="Q80" s="402"/>
      <c r="R80" s="402"/>
      <c r="S80" s="402"/>
      <c r="T80" s="402"/>
      <c r="U80" s="402"/>
      <c r="V80" s="402"/>
      <c r="W80" s="402"/>
      <c r="X80" s="402"/>
      <c r="Y80" s="402"/>
      <c r="Z80" s="402"/>
      <c r="AA80" s="405"/>
      <c r="AB80" s="405"/>
      <c r="AC80" s="405"/>
      <c r="AD80" s="405"/>
      <c r="AE80" s="405"/>
      <c r="AF80" s="405"/>
      <c r="AG80" s="405"/>
      <c r="AH80" s="405"/>
      <c r="AI80" s="405"/>
      <c r="AJ80" s="405"/>
      <c r="AK80" s="405"/>
      <c r="AL80" s="405"/>
    </row>
    <row r="81" ht="14.25" customHeight="1">
      <c r="A81" s="406">
        <v>45498.0</v>
      </c>
      <c r="B81" s="752" t="s">
        <v>3569</v>
      </c>
      <c r="C81" s="752" t="s">
        <v>3570</v>
      </c>
      <c r="D81" s="752" t="s">
        <v>54</v>
      </c>
      <c r="E81" s="752" t="s">
        <v>3556</v>
      </c>
      <c r="F81" s="751">
        <v>5000.0</v>
      </c>
      <c r="G81" s="751"/>
      <c r="H81" s="349" t="s">
        <v>3651</v>
      </c>
      <c r="I81" s="736" t="str">
        <f t="shared" si="7"/>
        <v>NOT PAID</v>
      </c>
      <c r="J81" s="402"/>
      <c r="K81" s="402"/>
      <c r="L81" s="402"/>
      <c r="M81" s="402"/>
      <c r="N81" s="402"/>
      <c r="O81" s="402"/>
      <c r="P81" s="402"/>
      <c r="Q81" s="402"/>
      <c r="R81" s="402"/>
      <c r="S81" s="402"/>
      <c r="T81" s="402"/>
      <c r="U81" s="402"/>
      <c r="V81" s="402"/>
      <c r="W81" s="402"/>
      <c r="X81" s="402"/>
      <c r="Y81" s="402"/>
      <c r="Z81" s="402"/>
      <c r="AA81" s="405"/>
      <c r="AB81" s="405"/>
      <c r="AC81" s="405"/>
      <c r="AD81" s="405"/>
      <c r="AE81" s="405"/>
      <c r="AF81" s="405"/>
      <c r="AG81" s="405"/>
      <c r="AH81" s="405"/>
      <c r="AI81" s="405"/>
      <c r="AJ81" s="405"/>
      <c r="AK81" s="405"/>
      <c r="AL81" s="405"/>
    </row>
    <row r="82" ht="14.25" customHeight="1">
      <c r="A82" s="406">
        <v>45498.0</v>
      </c>
      <c r="B82" s="349" t="s">
        <v>3547</v>
      </c>
      <c r="C82" s="349" t="s">
        <v>3545</v>
      </c>
      <c r="D82" s="349" t="s">
        <v>54</v>
      </c>
      <c r="E82" s="349" t="s">
        <v>3546</v>
      </c>
      <c r="F82" s="751">
        <v>126832.0</v>
      </c>
      <c r="G82" s="751"/>
      <c r="H82" s="349" t="s">
        <v>3651</v>
      </c>
      <c r="I82" s="736" t="str">
        <f t="shared" si="7"/>
        <v>NOT PAID</v>
      </c>
      <c r="J82" s="402"/>
      <c r="K82" s="402"/>
      <c r="L82" s="402"/>
      <c r="M82" s="402"/>
      <c r="N82" s="402"/>
      <c r="O82" s="402"/>
      <c r="P82" s="402"/>
      <c r="Q82" s="402"/>
      <c r="R82" s="402"/>
      <c r="S82" s="402"/>
      <c r="T82" s="402"/>
      <c r="U82" s="402"/>
      <c r="V82" s="402"/>
      <c r="W82" s="402"/>
      <c r="X82" s="402"/>
      <c r="Y82" s="402"/>
      <c r="Z82" s="402"/>
      <c r="AA82" s="405"/>
      <c r="AB82" s="405"/>
      <c r="AC82" s="405"/>
      <c r="AD82" s="405"/>
      <c r="AE82" s="405"/>
      <c r="AF82" s="405"/>
      <c r="AG82" s="405"/>
      <c r="AH82" s="405"/>
      <c r="AI82" s="405"/>
      <c r="AJ82" s="405"/>
      <c r="AK82" s="405"/>
      <c r="AL82" s="405"/>
    </row>
    <row r="83" ht="14.25" customHeight="1">
      <c r="A83" s="406">
        <v>45498.0</v>
      </c>
      <c r="B83" s="349" t="s">
        <v>3561</v>
      </c>
      <c r="C83" s="349" t="s">
        <v>3562</v>
      </c>
      <c r="D83" s="349" t="s">
        <v>54</v>
      </c>
      <c r="E83" s="349" t="s">
        <v>3556</v>
      </c>
      <c r="F83" s="751">
        <v>101937.65</v>
      </c>
      <c r="G83" s="751"/>
      <c r="H83" s="762" t="s">
        <v>3652</v>
      </c>
      <c r="I83" s="736" t="str">
        <f t="shared" si="7"/>
        <v>NOT PAID</v>
      </c>
      <c r="J83" s="402"/>
      <c r="K83" s="402"/>
      <c r="L83" s="402"/>
      <c r="M83" s="402"/>
      <c r="N83" s="402"/>
      <c r="O83" s="402"/>
      <c r="P83" s="402"/>
      <c r="Q83" s="402"/>
      <c r="R83" s="402"/>
      <c r="S83" s="402"/>
      <c r="T83" s="402"/>
      <c r="U83" s="402"/>
      <c r="V83" s="402"/>
      <c r="W83" s="402"/>
      <c r="X83" s="402"/>
      <c r="Y83" s="402"/>
      <c r="Z83" s="402"/>
      <c r="AA83" s="405"/>
      <c r="AB83" s="405"/>
      <c r="AC83" s="405"/>
      <c r="AD83" s="405"/>
      <c r="AE83" s="405"/>
      <c r="AF83" s="405"/>
      <c r="AG83" s="405"/>
      <c r="AH83" s="405"/>
      <c r="AI83" s="405"/>
      <c r="AJ83" s="405"/>
      <c r="AK83" s="405"/>
      <c r="AL83" s="405"/>
    </row>
    <row r="84" ht="14.25" customHeight="1">
      <c r="A84" s="406">
        <v>45498.0</v>
      </c>
      <c r="B84" s="349" t="s">
        <v>3653</v>
      </c>
      <c r="C84" s="349" t="s">
        <v>3654</v>
      </c>
      <c r="D84" s="349" t="s">
        <v>54</v>
      </c>
      <c r="E84" s="349" t="s">
        <v>3556</v>
      </c>
      <c r="F84" s="751">
        <v>100000.0</v>
      </c>
      <c r="G84" s="751"/>
      <c r="H84" s="349" t="s">
        <v>2184</v>
      </c>
      <c r="I84" s="736" t="str">
        <f t="shared" si="7"/>
        <v>NOT PAID</v>
      </c>
      <c r="J84" s="402"/>
      <c r="K84" s="402"/>
      <c r="L84" s="402"/>
      <c r="M84" s="402"/>
      <c r="N84" s="402"/>
      <c r="O84" s="402"/>
      <c r="P84" s="402"/>
      <c r="Q84" s="402"/>
      <c r="R84" s="402"/>
      <c r="S84" s="402"/>
      <c r="T84" s="402"/>
      <c r="U84" s="402"/>
      <c r="V84" s="402"/>
      <c r="W84" s="402"/>
      <c r="X84" s="402"/>
      <c r="Y84" s="402"/>
      <c r="Z84" s="402"/>
      <c r="AA84" s="405"/>
      <c r="AB84" s="405"/>
      <c r="AC84" s="405"/>
      <c r="AD84" s="405"/>
      <c r="AE84" s="405"/>
      <c r="AF84" s="405"/>
      <c r="AG84" s="405"/>
      <c r="AH84" s="405"/>
      <c r="AI84" s="405"/>
      <c r="AJ84" s="405"/>
      <c r="AK84" s="405"/>
      <c r="AL84" s="405"/>
    </row>
    <row r="85" ht="14.25" customHeight="1">
      <c r="A85" s="406">
        <v>45498.0</v>
      </c>
      <c r="B85" s="349" t="s">
        <v>3631</v>
      </c>
      <c r="C85" s="349" t="s">
        <v>3632</v>
      </c>
      <c r="D85" s="349" t="s">
        <v>54</v>
      </c>
      <c r="E85" s="349" t="s">
        <v>3546</v>
      </c>
      <c r="F85" s="751">
        <v>328008.0</v>
      </c>
      <c r="G85" s="751"/>
      <c r="H85" s="349" t="s">
        <v>3633</v>
      </c>
      <c r="I85" s="736" t="str">
        <f t="shared" si="7"/>
        <v>NOT PAID</v>
      </c>
      <c r="J85" s="402"/>
      <c r="K85" s="402"/>
      <c r="L85" s="402"/>
      <c r="M85" s="402"/>
      <c r="N85" s="402"/>
      <c r="O85" s="402"/>
      <c r="P85" s="402"/>
      <c r="Q85" s="402"/>
      <c r="R85" s="402"/>
      <c r="S85" s="402"/>
      <c r="T85" s="402"/>
      <c r="U85" s="402"/>
      <c r="V85" s="402"/>
      <c r="W85" s="402"/>
      <c r="X85" s="402"/>
      <c r="Y85" s="402"/>
      <c r="Z85" s="402"/>
      <c r="AA85" s="405"/>
      <c r="AB85" s="405"/>
      <c r="AC85" s="405"/>
      <c r="AD85" s="405"/>
      <c r="AE85" s="405"/>
      <c r="AF85" s="405"/>
      <c r="AG85" s="405"/>
      <c r="AH85" s="405"/>
      <c r="AI85" s="405"/>
      <c r="AJ85" s="405"/>
      <c r="AK85" s="405"/>
      <c r="AL85" s="405"/>
    </row>
    <row r="86" ht="14.25" customHeight="1">
      <c r="A86" s="406">
        <v>45498.0</v>
      </c>
      <c r="B86" s="349" t="s">
        <v>3595</v>
      </c>
      <c r="C86" s="349" t="s">
        <v>3596</v>
      </c>
      <c r="D86" s="349" t="s">
        <v>54</v>
      </c>
      <c r="E86" s="349" t="s">
        <v>3551</v>
      </c>
      <c r="F86" s="751">
        <v>4000.0</v>
      </c>
      <c r="G86" s="751"/>
      <c r="H86" s="349" t="s">
        <v>3655</v>
      </c>
      <c r="I86" s="736" t="str">
        <f t="shared" si="7"/>
        <v>NOT PAID</v>
      </c>
      <c r="J86" s="402"/>
      <c r="K86" s="402"/>
      <c r="L86" s="402"/>
      <c r="M86" s="402"/>
      <c r="N86" s="402"/>
      <c r="O86" s="402"/>
      <c r="P86" s="402"/>
      <c r="Q86" s="402"/>
      <c r="R86" s="402"/>
      <c r="S86" s="402"/>
      <c r="T86" s="402"/>
      <c r="U86" s="402"/>
      <c r="V86" s="402"/>
      <c r="W86" s="402"/>
      <c r="X86" s="402"/>
      <c r="Y86" s="402"/>
      <c r="Z86" s="402"/>
      <c r="AA86" s="405"/>
      <c r="AB86" s="405"/>
      <c r="AC86" s="405"/>
      <c r="AD86" s="405"/>
      <c r="AE86" s="405"/>
      <c r="AF86" s="405"/>
      <c r="AG86" s="405"/>
      <c r="AH86" s="405"/>
      <c r="AI86" s="405"/>
      <c r="AJ86" s="405"/>
      <c r="AK86" s="405"/>
      <c r="AL86" s="405"/>
    </row>
    <row r="87" ht="14.25" customHeight="1">
      <c r="A87" s="406">
        <v>45498.0</v>
      </c>
      <c r="B87" s="607" t="s">
        <v>3597</v>
      </c>
      <c r="C87" s="607" t="s">
        <v>3616</v>
      </c>
      <c r="D87" s="607" t="s">
        <v>54</v>
      </c>
      <c r="E87" s="349" t="s">
        <v>3617</v>
      </c>
      <c r="F87" s="756">
        <v>23888.65</v>
      </c>
      <c r="G87" s="751"/>
      <c r="H87" s="349" t="s">
        <v>2184</v>
      </c>
      <c r="I87" s="736" t="str">
        <f t="shared" si="7"/>
        <v>NOT PAID</v>
      </c>
      <c r="J87" s="402"/>
      <c r="K87" s="402"/>
      <c r="L87" s="402"/>
      <c r="M87" s="402"/>
      <c r="N87" s="402"/>
      <c r="O87" s="402"/>
      <c r="P87" s="402"/>
      <c r="Q87" s="402"/>
      <c r="R87" s="402"/>
      <c r="S87" s="402"/>
      <c r="T87" s="402"/>
      <c r="U87" s="402"/>
      <c r="V87" s="402"/>
      <c r="W87" s="402"/>
      <c r="X87" s="402"/>
      <c r="Y87" s="402"/>
      <c r="Z87" s="402"/>
      <c r="AA87" s="405"/>
      <c r="AB87" s="405"/>
      <c r="AC87" s="405"/>
      <c r="AD87" s="405"/>
      <c r="AE87" s="405"/>
      <c r="AF87" s="405"/>
      <c r="AG87" s="405"/>
      <c r="AH87" s="405"/>
      <c r="AI87" s="405"/>
      <c r="AJ87" s="405"/>
      <c r="AK87" s="405"/>
      <c r="AL87" s="405"/>
    </row>
    <row r="88" ht="14.25" customHeight="1">
      <c r="A88" s="406"/>
      <c r="B88" s="402"/>
      <c r="C88" s="402"/>
      <c r="D88" s="402"/>
      <c r="E88" s="402"/>
      <c r="F88" s="751"/>
      <c r="G88" s="751"/>
      <c r="H88" s="402"/>
      <c r="I88" s="736"/>
      <c r="J88" s="402"/>
      <c r="K88" s="402"/>
      <c r="L88" s="402"/>
      <c r="M88" s="402"/>
      <c r="N88" s="402"/>
      <c r="O88" s="402"/>
      <c r="P88" s="402"/>
      <c r="Q88" s="402"/>
      <c r="R88" s="402"/>
      <c r="S88" s="402"/>
      <c r="T88" s="402"/>
      <c r="U88" s="402"/>
      <c r="V88" s="402"/>
      <c r="W88" s="402"/>
      <c r="X88" s="402"/>
      <c r="Y88" s="402"/>
      <c r="Z88" s="402"/>
      <c r="AA88" s="405"/>
      <c r="AB88" s="405"/>
      <c r="AC88" s="405"/>
      <c r="AD88" s="405"/>
      <c r="AE88" s="405"/>
      <c r="AF88" s="405"/>
      <c r="AG88" s="405"/>
      <c r="AH88" s="405"/>
      <c r="AI88" s="405"/>
      <c r="AJ88" s="405"/>
      <c r="AK88" s="405"/>
      <c r="AL88" s="405"/>
    </row>
    <row r="89" ht="14.25" customHeight="1">
      <c r="A89" s="406"/>
      <c r="B89" s="402"/>
      <c r="C89" s="424" t="s">
        <v>797</v>
      </c>
      <c r="D89" s="402"/>
      <c r="E89" s="402"/>
      <c r="F89" s="751"/>
      <c r="G89" s="751"/>
      <c r="H89" s="402"/>
      <c r="I89" s="736"/>
      <c r="J89" s="402"/>
      <c r="K89" s="402"/>
      <c r="L89" s="402"/>
      <c r="M89" s="402"/>
      <c r="N89" s="402"/>
      <c r="O89" s="402"/>
      <c r="P89" s="402"/>
      <c r="Q89" s="402"/>
      <c r="R89" s="402"/>
      <c r="S89" s="402"/>
      <c r="T89" s="402"/>
      <c r="U89" s="402"/>
      <c r="V89" s="402"/>
      <c r="W89" s="402"/>
      <c r="X89" s="402"/>
      <c r="Y89" s="402"/>
      <c r="Z89" s="402"/>
      <c r="AA89" s="405"/>
      <c r="AB89" s="405"/>
      <c r="AC89" s="405"/>
      <c r="AD89" s="405"/>
      <c r="AE89" s="405"/>
      <c r="AF89" s="405"/>
      <c r="AG89" s="405"/>
      <c r="AH89" s="405"/>
      <c r="AI89" s="405"/>
      <c r="AJ89" s="405"/>
      <c r="AK89" s="405"/>
      <c r="AL89" s="405"/>
    </row>
    <row r="90" ht="14.25" customHeight="1">
      <c r="A90" s="406">
        <v>45498.0</v>
      </c>
      <c r="B90" s="436" t="s">
        <v>3608</v>
      </c>
      <c r="C90" s="436" t="s">
        <v>3637</v>
      </c>
      <c r="D90" s="757" t="s">
        <v>59</v>
      </c>
      <c r="E90" s="759" t="s">
        <v>3579</v>
      </c>
      <c r="F90" s="758">
        <v>300000.0</v>
      </c>
      <c r="G90" s="751"/>
      <c r="H90" s="349" t="s">
        <v>3656</v>
      </c>
      <c r="I90" s="736" t="str">
        <f t="shared" ref="I90:I115" si="8">IF(G90&gt;=F90,"FULLY PAID",IF(G90=0,"NOT PAID","PARTIALLY PAID"))</f>
        <v>NOT PAID</v>
      </c>
      <c r="J90" s="402"/>
      <c r="K90" s="402"/>
      <c r="L90" s="402"/>
      <c r="M90" s="402"/>
      <c r="N90" s="402"/>
      <c r="O90" s="402"/>
      <c r="P90" s="402"/>
      <c r="Q90" s="402"/>
      <c r="R90" s="402"/>
      <c r="S90" s="402"/>
      <c r="T90" s="402"/>
      <c r="U90" s="402"/>
      <c r="V90" s="402"/>
      <c r="W90" s="402"/>
      <c r="X90" s="402"/>
      <c r="Y90" s="402"/>
      <c r="Z90" s="402"/>
      <c r="AA90" s="405"/>
      <c r="AB90" s="405"/>
      <c r="AC90" s="405"/>
      <c r="AD90" s="405"/>
      <c r="AE90" s="405"/>
      <c r="AF90" s="405"/>
      <c r="AG90" s="405"/>
      <c r="AH90" s="405"/>
      <c r="AI90" s="405"/>
      <c r="AJ90" s="405"/>
      <c r="AK90" s="405"/>
      <c r="AL90" s="405"/>
    </row>
    <row r="91" ht="14.25" customHeight="1">
      <c r="A91" s="406">
        <v>45498.0</v>
      </c>
      <c r="B91" s="755" t="s">
        <v>3581</v>
      </c>
      <c r="C91" s="755" t="s">
        <v>3582</v>
      </c>
      <c r="D91" s="607" t="s">
        <v>54</v>
      </c>
      <c r="E91" s="759" t="s">
        <v>3579</v>
      </c>
      <c r="F91" s="760">
        <v>500000.0</v>
      </c>
      <c r="G91" s="751"/>
      <c r="H91" s="349" t="s">
        <v>3656</v>
      </c>
      <c r="I91" s="736" t="str">
        <f t="shared" si="8"/>
        <v>NOT PAID</v>
      </c>
      <c r="J91" s="402"/>
      <c r="K91" s="402"/>
      <c r="L91" s="402"/>
      <c r="M91" s="402"/>
      <c r="N91" s="402"/>
      <c r="O91" s="402"/>
      <c r="P91" s="402"/>
      <c r="Q91" s="402"/>
      <c r="R91" s="402"/>
      <c r="S91" s="402"/>
      <c r="T91" s="402"/>
      <c r="U91" s="402"/>
      <c r="V91" s="402"/>
      <c r="W91" s="402"/>
      <c r="X91" s="402"/>
      <c r="Y91" s="402"/>
      <c r="Z91" s="402"/>
      <c r="AA91" s="405"/>
      <c r="AB91" s="405"/>
      <c r="AC91" s="405"/>
      <c r="AD91" s="405"/>
      <c r="AE91" s="405"/>
      <c r="AF91" s="405"/>
      <c r="AG91" s="405"/>
      <c r="AH91" s="405"/>
      <c r="AI91" s="405"/>
      <c r="AJ91" s="405"/>
      <c r="AK91" s="405"/>
      <c r="AL91" s="405"/>
    </row>
    <row r="92" ht="14.25" customHeight="1">
      <c r="A92" s="406"/>
      <c r="B92" s="402"/>
      <c r="C92" s="402"/>
      <c r="D92" s="402"/>
      <c r="E92" s="402"/>
      <c r="F92" s="751"/>
      <c r="G92" s="751"/>
      <c r="H92" s="402"/>
      <c r="I92" s="736" t="str">
        <f t="shared" si="8"/>
        <v>FULLY PAID</v>
      </c>
      <c r="J92" s="402"/>
      <c r="K92" s="402"/>
      <c r="L92" s="402"/>
      <c r="M92" s="402"/>
      <c r="N92" s="402"/>
      <c r="O92" s="402"/>
      <c r="P92" s="402"/>
      <c r="Q92" s="402"/>
      <c r="R92" s="402"/>
      <c r="S92" s="402"/>
      <c r="T92" s="402"/>
      <c r="U92" s="402"/>
      <c r="V92" s="402"/>
      <c r="W92" s="402"/>
      <c r="X92" s="402"/>
      <c r="Y92" s="402"/>
      <c r="Z92" s="402"/>
      <c r="AA92" s="405"/>
      <c r="AB92" s="405"/>
      <c r="AC92" s="405"/>
      <c r="AD92" s="405"/>
      <c r="AE92" s="405"/>
      <c r="AF92" s="405"/>
      <c r="AG92" s="405"/>
      <c r="AH92" s="405"/>
      <c r="AI92" s="405"/>
      <c r="AJ92" s="405"/>
      <c r="AK92" s="405"/>
      <c r="AL92" s="405"/>
    </row>
    <row r="93" ht="14.25" customHeight="1">
      <c r="A93" s="406"/>
      <c r="B93" s="402"/>
      <c r="C93" s="402"/>
      <c r="D93" s="402"/>
      <c r="E93" s="402"/>
      <c r="F93" s="751"/>
      <c r="G93" s="751"/>
      <c r="H93" s="402"/>
      <c r="I93" s="736" t="str">
        <f t="shared" si="8"/>
        <v>FULLY PAID</v>
      </c>
      <c r="J93" s="402"/>
      <c r="K93" s="402"/>
      <c r="L93" s="402"/>
      <c r="M93" s="402"/>
      <c r="N93" s="402"/>
      <c r="O93" s="402"/>
      <c r="P93" s="402"/>
      <c r="Q93" s="402"/>
      <c r="R93" s="402"/>
      <c r="S93" s="402"/>
      <c r="T93" s="402"/>
      <c r="U93" s="402"/>
      <c r="V93" s="402"/>
      <c r="W93" s="402"/>
      <c r="X93" s="402"/>
      <c r="Y93" s="402"/>
      <c r="Z93" s="402"/>
      <c r="AA93" s="405"/>
      <c r="AB93" s="405"/>
      <c r="AC93" s="405"/>
      <c r="AD93" s="405"/>
      <c r="AE93" s="405"/>
      <c r="AF93" s="405"/>
      <c r="AG93" s="405"/>
      <c r="AH93" s="405"/>
      <c r="AI93" s="405"/>
      <c r="AJ93" s="405"/>
      <c r="AK93" s="405"/>
      <c r="AL93" s="405"/>
    </row>
    <row r="94" ht="14.25" customHeight="1">
      <c r="A94" s="584" t="s">
        <v>2130</v>
      </c>
      <c r="B94" s="584" t="s">
        <v>39</v>
      </c>
      <c r="C94" s="584" t="s">
        <v>48</v>
      </c>
      <c r="D94" s="584" t="s">
        <v>49</v>
      </c>
      <c r="E94" s="584" t="s">
        <v>50</v>
      </c>
      <c r="F94" s="584" t="s">
        <v>2</v>
      </c>
      <c r="G94" s="586" t="s">
        <v>44</v>
      </c>
      <c r="H94" s="584" t="s">
        <v>45</v>
      </c>
      <c r="I94" s="736" t="str">
        <f t="shared" si="8"/>
        <v>FULLY PAID</v>
      </c>
      <c r="J94" s="402"/>
      <c r="K94" s="402"/>
      <c r="L94" s="402"/>
      <c r="M94" s="402"/>
      <c r="N94" s="402"/>
      <c r="O94" s="402"/>
      <c r="P94" s="402"/>
      <c r="Q94" s="402"/>
      <c r="R94" s="402"/>
      <c r="S94" s="402"/>
      <c r="T94" s="402"/>
      <c r="U94" s="402"/>
      <c r="V94" s="402"/>
      <c r="W94" s="402"/>
      <c r="X94" s="402"/>
      <c r="Y94" s="402"/>
      <c r="Z94" s="402"/>
      <c r="AA94" s="405"/>
      <c r="AB94" s="405"/>
      <c r="AC94" s="405"/>
      <c r="AD94" s="405"/>
      <c r="AE94" s="405"/>
      <c r="AF94" s="405"/>
      <c r="AG94" s="405"/>
      <c r="AH94" s="405"/>
      <c r="AI94" s="405"/>
      <c r="AJ94" s="405"/>
      <c r="AK94" s="405"/>
      <c r="AL94" s="405"/>
    </row>
    <row r="95" ht="14.25" customHeight="1">
      <c r="A95" s="763">
        <v>45499.0</v>
      </c>
      <c r="B95" s="349" t="s">
        <v>3657</v>
      </c>
      <c r="C95" s="764" t="s">
        <v>3658</v>
      </c>
      <c r="D95" s="349" t="s">
        <v>54</v>
      </c>
      <c r="E95" s="349" t="s">
        <v>3556</v>
      </c>
      <c r="F95" s="413">
        <v>47781.0</v>
      </c>
      <c r="G95" s="413">
        <v>47809.0</v>
      </c>
      <c r="H95" s="349" t="s">
        <v>710</v>
      </c>
      <c r="I95" s="736" t="str">
        <f t="shared" si="8"/>
        <v>FULLY PAID</v>
      </c>
      <c r="J95" s="402"/>
      <c r="K95" s="402"/>
      <c r="L95" s="402"/>
      <c r="M95" s="402"/>
      <c r="N95" s="402"/>
      <c r="O95" s="402"/>
      <c r="P95" s="402"/>
      <c r="Q95" s="402"/>
      <c r="R95" s="402"/>
      <c r="S95" s="402"/>
      <c r="T95" s="402"/>
      <c r="U95" s="402"/>
      <c r="V95" s="402"/>
      <c r="W95" s="402"/>
      <c r="X95" s="402"/>
      <c r="Y95" s="402"/>
      <c r="Z95" s="402"/>
      <c r="AA95" s="405"/>
      <c r="AB95" s="405"/>
      <c r="AC95" s="405"/>
      <c r="AD95" s="405"/>
      <c r="AE95" s="405"/>
      <c r="AF95" s="405"/>
      <c r="AG95" s="405"/>
      <c r="AH95" s="405"/>
      <c r="AI95" s="405"/>
      <c r="AJ95" s="405"/>
      <c r="AK95" s="405"/>
      <c r="AL95" s="405"/>
    </row>
    <row r="96" ht="14.25" customHeight="1">
      <c r="A96" s="763">
        <v>45499.0</v>
      </c>
      <c r="B96" s="349" t="s">
        <v>3634</v>
      </c>
      <c r="C96" s="349" t="s">
        <v>3635</v>
      </c>
      <c r="D96" s="349" t="s">
        <v>54</v>
      </c>
      <c r="E96" s="349" t="s">
        <v>3556</v>
      </c>
      <c r="F96" s="751">
        <v>101937.65</v>
      </c>
      <c r="G96" s="751">
        <v>55535.0</v>
      </c>
      <c r="H96" s="349" t="s">
        <v>3659</v>
      </c>
      <c r="I96" s="736" t="str">
        <f t="shared" si="8"/>
        <v>PARTIALLY PAID</v>
      </c>
      <c r="J96" s="402"/>
      <c r="K96" s="402"/>
      <c r="L96" s="402"/>
      <c r="M96" s="402"/>
      <c r="N96" s="402"/>
      <c r="O96" s="402"/>
      <c r="P96" s="402"/>
      <c r="Q96" s="402"/>
      <c r="R96" s="402"/>
      <c r="S96" s="402"/>
      <c r="T96" s="402"/>
      <c r="U96" s="402"/>
      <c r="V96" s="402"/>
      <c r="W96" s="402"/>
      <c r="X96" s="402"/>
      <c r="Y96" s="402"/>
      <c r="Z96" s="402"/>
      <c r="AA96" s="405"/>
      <c r="AB96" s="405"/>
      <c r="AC96" s="405"/>
      <c r="AD96" s="405"/>
      <c r="AE96" s="405"/>
      <c r="AF96" s="405"/>
      <c r="AG96" s="405"/>
      <c r="AH96" s="405"/>
      <c r="AI96" s="405"/>
      <c r="AJ96" s="405"/>
      <c r="AK96" s="405"/>
      <c r="AL96" s="405"/>
    </row>
    <row r="97" ht="14.25" customHeight="1">
      <c r="A97" s="763">
        <v>45499.0</v>
      </c>
      <c r="B97" s="349" t="s">
        <v>3653</v>
      </c>
      <c r="C97" s="349" t="s">
        <v>3654</v>
      </c>
      <c r="D97" s="349" t="s">
        <v>54</v>
      </c>
      <c r="E97" s="349" t="s">
        <v>3556</v>
      </c>
      <c r="F97" s="751">
        <v>100000.0</v>
      </c>
      <c r="G97" s="751"/>
      <c r="H97" s="349" t="s">
        <v>3660</v>
      </c>
      <c r="I97" s="736" t="str">
        <f t="shared" si="8"/>
        <v>NOT PAID</v>
      </c>
      <c r="J97" s="402"/>
      <c r="K97" s="402"/>
      <c r="L97" s="402"/>
      <c r="M97" s="402"/>
      <c r="N97" s="402"/>
      <c r="O97" s="402"/>
      <c r="P97" s="402"/>
      <c r="Q97" s="402"/>
      <c r="R97" s="402"/>
      <c r="S97" s="402"/>
      <c r="T97" s="402"/>
      <c r="U97" s="402"/>
      <c r="V97" s="402"/>
      <c r="W97" s="402"/>
      <c r="X97" s="402"/>
      <c r="Y97" s="402"/>
      <c r="Z97" s="402"/>
      <c r="AA97" s="405"/>
      <c r="AB97" s="405"/>
      <c r="AC97" s="405"/>
      <c r="AD97" s="405"/>
      <c r="AE97" s="405"/>
      <c r="AF97" s="405"/>
      <c r="AG97" s="405"/>
      <c r="AH97" s="405"/>
      <c r="AI97" s="405"/>
      <c r="AJ97" s="405"/>
      <c r="AK97" s="405"/>
      <c r="AL97" s="405"/>
    </row>
    <row r="98" ht="14.25" customHeight="1">
      <c r="A98" s="763">
        <v>45499.0</v>
      </c>
      <c r="B98" s="349" t="s">
        <v>3631</v>
      </c>
      <c r="C98" s="349" t="s">
        <v>3632</v>
      </c>
      <c r="D98" s="349" t="s">
        <v>54</v>
      </c>
      <c r="E98" s="349" t="s">
        <v>3546</v>
      </c>
      <c r="F98" s="751">
        <v>328008.0</v>
      </c>
      <c r="G98" s="751"/>
      <c r="H98" s="349" t="s">
        <v>3661</v>
      </c>
      <c r="I98" s="736" t="str">
        <f t="shared" si="8"/>
        <v>NOT PAID</v>
      </c>
      <c r="J98" s="402"/>
      <c r="K98" s="402"/>
      <c r="L98" s="402"/>
      <c r="M98" s="402"/>
      <c r="N98" s="402"/>
      <c r="O98" s="402"/>
      <c r="P98" s="402"/>
      <c r="Q98" s="402"/>
      <c r="R98" s="402"/>
      <c r="S98" s="402"/>
      <c r="T98" s="402"/>
      <c r="U98" s="402"/>
      <c r="V98" s="402"/>
      <c r="W98" s="402"/>
      <c r="X98" s="402"/>
      <c r="Y98" s="402"/>
      <c r="Z98" s="402"/>
      <c r="AA98" s="405"/>
      <c r="AB98" s="405"/>
      <c r="AC98" s="405"/>
      <c r="AD98" s="405"/>
      <c r="AE98" s="405"/>
      <c r="AF98" s="405"/>
      <c r="AG98" s="405"/>
      <c r="AH98" s="405"/>
      <c r="AI98" s="405"/>
      <c r="AJ98" s="405"/>
      <c r="AK98" s="405"/>
      <c r="AL98" s="405"/>
    </row>
    <row r="99" ht="14.25" customHeight="1">
      <c r="A99" s="763">
        <v>45499.0</v>
      </c>
      <c r="B99" s="349" t="s">
        <v>3595</v>
      </c>
      <c r="C99" s="349" t="s">
        <v>3596</v>
      </c>
      <c r="D99" s="349" t="s">
        <v>54</v>
      </c>
      <c r="E99" s="349" t="s">
        <v>3551</v>
      </c>
      <c r="F99" s="751">
        <v>4000.0</v>
      </c>
      <c r="G99" s="751"/>
      <c r="H99" s="349" t="s">
        <v>2184</v>
      </c>
      <c r="I99" s="736" t="str">
        <f t="shared" si="8"/>
        <v>NOT PAID</v>
      </c>
      <c r="J99" s="402"/>
      <c r="K99" s="402"/>
      <c r="L99" s="402"/>
      <c r="M99" s="402"/>
      <c r="N99" s="402"/>
      <c r="O99" s="402"/>
      <c r="P99" s="402"/>
      <c r="Q99" s="402"/>
      <c r="R99" s="402"/>
      <c r="S99" s="402"/>
      <c r="T99" s="402"/>
      <c r="U99" s="402"/>
      <c r="V99" s="402"/>
      <c r="W99" s="402"/>
      <c r="X99" s="402"/>
      <c r="Y99" s="402"/>
      <c r="Z99" s="402"/>
      <c r="AA99" s="405"/>
      <c r="AB99" s="405"/>
      <c r="AC99" s="405"/>
      <c r="AD99" s="405"/>
      <c r="AE99" s="405"/>
      <c r="AF99" s="405"/>
      <c r="AG99" s="405"/>
      <c r="AH99" s="405"/>
      <c r="AI99" s="405"/>
      <c r="AJ99" s="405"/>
      <c r="AK99" s="405"/>
      <c r="AL99" s="405"/>
    </row>
    <row r="100" ht="14.25" customHeight="1">
      <c r="A100" s="763">
        <v>45499.0</v>
      </c>
      <c r="B100" s="607" t="s">
        <v>3597</v>
      </c>
      <c r="C100" s="607" t="s">
        <v>3616</v>
      </c>
      <c r="D100" s="607" t="s">
        <v>54</v>
      </c>
      <c r="E100" s="349" t="s">
        <v>3617</v>
      </c>
      <c r="F100" s="756">
        <v>5889.0</v>
      </c>
      <c r="G100" s="756"/>
      <c r="H100" s="349" t="s">
        <v>2184</v>
      </c>
      <c r="I100" s="736" t="str">
        <f t="shared" si="8"/>
        <v>NOT PAID</v>
      </c>
      <c r="J100" s="402"/>
      <c r="K100" s="402"/>
      <c r="L100" s="402"/>
      <c r="M100" s="402"/>
      <c r="N100" s="402"/>
      <c r="O100" s="402"/>
      <c r="P100" s="402"/>
      <c r="Q100" s="402"/>
      <c r="R100" s="402"/>
      <c r="S100" s="402"/>
      <c r="T100" s="402"/>
      <c r="U100" s="402"/>
      <c r="V100" s="402"/>
      <c r="W100" s="402"/>
      <c r="X100" s="402"/>
      <c r="Y100" s="402"/>
      <c r="Z100" s="402"/>
      <c r="AA100" s="405"/>
      <c r="AB100" s="405"/>
      <c r="AC100" s="405"/>
      <c r="AD100" s="405"/>
      <c r="AE100" s="405"/>
      <c r="AF100" s="405"/>
      <c r="AG100" s="405"/>
      <c r="AH100" s="405"/>
      <c r="AI100" s="405"/>
      <c r="AJ100" s="405"/>
      <c r="AK100" s="405"/>
      <c r="AL100" s="405"/>
    </row>
    <row r="101" ht="14.25" customHeight="1">
      <c r="A101" s="763">
        <v>45499.0</v>
      </c>
      <c r="B101" s="349" t="s">
        <v>3623</v>
      </c>
      <c r="C101" s="349" t="s">
        <v>3624</v>
      </c>
      <c r="D101" s="349" t="s">
        <v>54</v>
      </c>
      <c r="E101" s="349" t="s">
        <v>3551</v>
      </c>
      <c r="F101" s="751">
        <v>12779.0</v>
      </c>
      <c r="G101" s="751"/>
      <c r="H101" s="349" t="s">
        <v>3662</v>
      </c>
      <c r="I101" s="736" t="str">
        <f t="shared" si="8"/>
        <v>NOT PAID</v>
      </c>
      <c r="J101" s="402"/>
      <c r="K101" s="402"/>
      <c r="L101" s="402"/>
      <c r="M101" s="402"/>
      <c r="N101" s="402"/>
      <c r="O101" s="402"/>
      <c r="P101" s="402"/>
      <c r="Q101" s="402"/>
      <c r="R101" s="402"/>
      <c r="S101" s="402"/>
      <c r="T101" s="402"/>
      <c r="U101" s="402"/>
      <c r="V101" s="402"/>
      <c r="W101" s="402"/>
      <c r="X101" s="402"/>
      <c r="Y101" s="402"/>
      <c r="Z101" s="402"/>
      <c r="AA101" s="405"/>
      <c r="AB101" s="405"/>
      <c r="AC101" s="405"/>
      <c r="AD101" s="405"/>
      <c r="AE101" s="405"/>
      <c r="AF101" s="405"/>
      <c r="AG101" s="405"/>
      <c r="AH101" s="405"/>
      <c r="AI101" s="405"/>
      <c r="AJ101" s="405"/>
      <c r="AK101" s="405"/>
      <c r="AL101" s="405"/>
    </row>
    <row r="102" ht="14.25" customHeight="1">
      <c r="A102" s="763">
        <v>45499.0</v>
      </c>
      <c r="B102" s="349" t="s">
        <v>3641</v>
      </c>
      <c r="C102" s="349" t="s">
        <v>3642</v>
      </c>
      <c r="D102" s="349" t="s">
        <v>54</v>
      </c>
      <c r="E102" s="349" t="s">
        <v>3617</v>
      </c>
      <c r="F102" s="751">
        <v>9227.0</v>
      </c>
      <c r="G102" s="751"/>
      <c r="H102" s="349" t="s">
        <v>3662</v>
      </c>
      <c r="I102" s="736" t="str">
        <f t="shared" si="8"/>
        <v>NOT PAID</v>
      </c>
      <c r="J102" s="402"/>
      <c r="K102" s="402"/>
      <c r="L102" s="402"/>
      <c r="M102" s="402"/>
      <c r="N102" s="402"/>
      <c r="O102" s="402"/>
      <c r="P102" s="402"/>
      <c r="Q102" s="402"/>
      <c r="R102" s="402"/>
      <c r="S102" s="402"/>
      <c r="T102" s="402"/>
      <c r="U102" s="402"/>
      <c r="V102" s="402"/>
      <c r="W102" s="402"/>
      <c r="X102" s="402"/>
      <c r="Y102" s="402"/>
      <c r="Z102" s="402"/>
      <c r="AA102" s="405"/>
      <c r="AB102" s="405"/>
      <c r="AC102" s="405"/>
      <c r="AD102" s="405"/>
      <c r="AE102" s="405"/>
      <c r="AF102" s="405"/>
      <c r="AG102" s="405"/>
      <c r="AH102" s="405"/>
      <c r="AI102" s="405"/>
      <c r="AJ102" s="405"/>
      <c r="AK102" s="405"/>
      <c r="AL102" s="405"/>
    </row>
    <row r="103" ht="14.25" customHeight="1">
      <c r="A103" s="763">
        <v>45499.0</v>
      </c>
      <c r="B103" s="752" t="s">
        <v>3569</v>
      </c>
      <c r="C103" s="752" t="s">
        <v>3570</v>
      </c>
      <c r="D103" s="752" t="s">
        <v>54</v>
      </c>
      <c r="E103" s="752" t="s">
        <v>3556</v>
      </c>
      <c r="F103" s="751">
        <v>7367.0</v>
      </c>
      <c r="G103" s="751"/>
      <c r="H103" s="349" t="s">
        <v>2184</v>
      </c>
      <c r="I103" s="736" t="str">
        <f t="shared" si="8"/>
        <v>NOT PAID</v>
      </c>
      <c r="J103" s="402"/>
      <c r="K103" s="402"/>
      <c r="L103" s="402"/>
      <c r="M103" s="402"/>
      <c r="N103" s="402"/>
      <c r="O103" s="402"/>
      <c r="P103" s="402"/>
      <c r="Q103" s="402"/>
      <c r="R103" s="402"/>
      <c r="S103" s="402"/>
      <c r="T103" s="402"/>
      <c r="U103" s="402"/>
      <c r="V103" s="402"/>
      <c r="W103" s="402"/>
      <c r="X103" s="402"/>
      <c r="Y103" s="402"/>
      <c r="Z103" s="402"/>
      <c r="AA103" s="405"/>
      <c r="AB103" s="405"/>
      <c r="AC103" s="405"/>
      <c r="AD103" s="405"/>
      <c r="AE103" s="405"/>
      <c r="AF103" s="405"/>
      <c r="AG103" s="405"/>
      <c r="AH103" s="405"/>
      <c r="AI103" s="405"/>
      <c r="AJ103" s="405"/>
      <c r="AK103" s="405"/>
      <c r="AL103" s="405"/>
    </row>
    <row r="104" ht="14.25" customHeight="1">
      <c r="A104" s="763">
        <v>45499.0</v>
      </c>
      <c r="B104" s="349" t="s">
        <v>3547</v>
      </c>
      <c r="C104" s="349" t="s">
        <v>3545</v>
      </c>
      <c r="D104" s="349" t="s">
        <v>54</v>
      </c>
      <c r="E104" s="349" t="s">
        <v>3546</v>
      </c>
      <c r="F104" s="751">
        <v>139309.0</v>
      </c>
      <c r="G104" s="751"/>
      <c r="H104" s="349" t="s">
        <v>2184</v>
      </c>
      <c r="I104" s="736" t="str">
        <f t="shared" si="8"/>
        <v>NOT PAID</v>
      </c>
      <c r="J104" s="402"/>
      <c r="K104" s="402"/>
      <c r="L104" s="402"/>
      <c r="M104" s="402"/>
      <c r="N104" s="402"/>
      <c r="O104" s="402"/>
      <c r="P104" s="402"/>
      <c r="Q104" s="402"/>
      <c r="R104" s="402"/>
      <c r="S104" s="402"/>
      <c r="T104" s="402"/>
      <c r="U104" s="402"/>
      <c r="V104" s="402"/>
      <c r="W104" s="402"/>
      <c r="X104" s="402"/>
      <c r="Y104" s="402"/>
      <c r="Z104" s="402"/>
      <c r="AA104" s="405"/>
      <c r="AB104" s="405"/>
      <c r="AC104" s="405"/>
      <c r="AD104" s="405"/>
      <c r="AE104" s="405"/>
      <c r="AF104" s="405"/>
      <c r="AG104" s="405"/>
      <c r="AH104" s="405"/>
      <c r="AI104" s="405"/>
      <c r="AJ104" s="405"/>
      <c r="AK104" s="405"/>
      <c r="AL104" s="405"/>
    </row>
    <row r="105" ht="14.25" customHeight="1">
      <c r="A105" s="763">
        <v>45499.0</v>
      </c>
      <c r="B105" s="349" t="s">
        <v>3591</v>
      </c>
      <c r="C105" s="349" t="s">
        <v>3592</v>
      </c>
      <c r="D105" s="349" t="s">
        <v>54</v>
      </c>
      <c r="E105" s="349" t="s">
        <v>3551</v>
      </c>
      <c r="F105" s="751">
        <v>14000.0</v>
      </c>
      <c r="G105" s="751"/>
      <c r="H105" s="349" t="s">
        <v>3661</v>
      </c>
      <c r="I105" s="736" t="str">
        <f t="shared" si="8"/>
        <v>NOT PAID</v>
      </c>
      <c r="J105" s="402"/>
      <c r="K105" s="402"/>
      <c r="L105" s="402"/>
      <c r="M105" s="402"/>
      <c r="N105" s="402"/>
      <c r="O105" s="402"/>
      <c r="P105" s="402"/>
      <c r="Q105" s="402"/>
      <c r="R105" s="402"/>
      <c r="S105" s="402"/>
      <c r="T105" s="402"/>
      <c r="U105" s="402"/>
      <c r="V105" s="402"/>
      <c r="W105" s="402"/>
      <c r="X105" s="402"/>
      <c r="Y105" s="402"/>
      <c r="Z105" s="402"/>
      <c r="AA105" s="405"/>
      <c r="AB105" s="405"/>
      <c r="AC105" s="405"/>
      <c r="AD105" s="405"/>
      <c r="AE105" s="405"/>
      <c r="AF105" s="405"/>
      <c r="AG105" s="405"/>
      <c r="AH105" s="405"/>
      <c r="AI105" s="405"/>
      <c r="AJ105" s="405"/>
      <c r="AK105" s="405"/>
      <c r="AL105" s="405"/>
    </row>
    <row r="106" ht="14.25" customHeight="1">
      <c r="A106" s="763">
        <v>45499.0</v>
      </c>
      <c r="B106" s="349" t="s">
        <v>3594</v>
      </c>
      <c r="C106" s="349" t="s">
        <v>3592</v>
      </c>
      <c r="D106" s="349" t="s">
        <v>346</v>
      </c>
      <c r="E106" s="349" t="s">
        <v>3551</v>
      </c>
      <c r="F106" s="751">
        <v>2579.0</v>
      </c>
      <c r="G106" s="751"/>
      <c r="H106" s="349" t="s">
        <v>3661</v>
      </c>
      <c r="I106" s="736" t="str">
        <f t="shared" si="8"/>
        <v>NOT PAID</v>
      </c>
      <c r="J106" s="402"/>
      <c r="K106" s="402"/>
      <c r="L106" s="402"/>
      <c r="M106" s="402"/>
      <c r="N106" s="402"/>
      <c r="O106" s="402"/>
      <c r="P106" s="402"/>
      <c r="Q106" s="402"/>
      <c r="R106" s="402"/>
      <c r="S106" s="402"/>
      <c r="T106" s="402"/>
      <c r="U106" s="402"/>
      <c r="V106" s="402"/>
      <c r="W106" s="402"/>
      <c r="X106" s="402"/>
      <c r="Y106" s="402"/>
      <c r="Z106" s="402"/>
      <c r="AA106" s="405"/>
      <c r="AB106" s="405"/>
      <c r="AC106" s="405"/>
      <c r="AD106" s="405"/>
      <c r="AE106" s="405"/>
      <c r="AF106" s="405"/>
      <c r="AG106" s="405"/>
      <c r="AH106" s="405"/>
      <c r="AI106" s="405"/>
      <c r="AJ106" s="405"/>
      <c r="AK106" s="405"/>
      <c r="AL106" s="405"/>
    </row>
    <row r="107" ht="14.25" customHeight="1">
      <c r="A107" s="763">
        <v>45499.0</v>
      </c>
      <c r="B107" s="349" t="s">
        <v>3663</v>
      </c>
      <c r="C107" s="349" t="s">
        <v>3664</v>
      </c>
      <c r="D107" s="349" t="s">
        <v>54</v>
      </c>
      <c r="E107" s="349" t="s">
        <v>3551</v>
      </c>
      <c r="F107" s="756">
        <v>345908.0</v>
      </c>
      <c r="G107" s="756">
        <v>95500.0</v>
      </c>
      <c r="H107" s="349" t="s">
        <v>3665</v>
      </c>
      <c r="I107" s="736" t="str">
        <f t="shared" si="8"/>
        <v>PARTIALLY PAID</v>
      </c>
      <c r="J107" s="402"/>
      <c r="K107" s="402"/>
      <c r="L107" s="402"/>
      <c r="M107" s="402"/>
      <c r="N107" s="402"/>
      <c r="O107" s="402"/>
      <c r="P107" s="402"/>
      <c r="Q107" s="402"/>
      <c r="R107" s="402"/>
      <c r="S107" s="402"/>
      <c r="T107" s="402"/>
      <c r="U107" s="402"/>
      <c r="V107" s="402"/>
      <c r="W107" s="402"/>
      <c r="X107" s="402"/>
      <c r="Y107" s="402"/>
      <c r="Z107" s="402"/>
      <c r="AA107" s="405"/>
      <c r="AB107" s="405"/>
      <c r="AC107" s="405"/>
      <c r="AD107" s="405"/>
      <c r="AE107" s="405"/>
      <c r="AF107" s="405"/>
      <c r="AG107" s="405"/>
      <c r="AH107" s="405"/>
      <c r="AI107" s="405"/>
      <c r="AJ107" s="405"/>
      <c r="AK107" s="405"/>
      <c r="AL107" s="405"/>
    </row>
    <row r="108" ht="14.25" customHeight="1">
      <c r="A108" s="763">
        <v>45499.0</v>
      </c>
      <c r="B108" s="349" t="s">
        <v>3554</v>
      </c>
      <c r="C108" s="349" t="s">
        <v>3555</v>
      </c>
      <c r="D108" s="349" t="s">
        <v>54</v>
      </c>
      <c r="E108" s="349" t="s">
        <v>3556</v>
      </c>
      <c r="F108" s="751">
        <v>108141.0</v>
      </c>
      <c r="G108" s="751"/>
      <c r="H108" s="349" t="s">
        <v>3666</v>
      </c>
      <c r="I108" s="736" t="str">
        <f t="shared" si="8"/>
        <v>NOT PAID</v>
      </c>
      <c r="J108" s="402"/>
      <c r="K108" s="402"/>
      <c r="L108" s="402"/>
      <c r="M108" s="402"/>
      <c r="N108" s="402"/>
      <c r="O108" s="402"/>
      <c r="P108" s="402"/>
      <c r="Q108" s="402"/>
      <c r="R108" s="402"/>
      <c r="S108" s="402"/>
      <c r="T108" s="402"/>
      <c r="U108" s="402"/>
      <c r="V108" s="402"/>
      <c r="W108" s="402"/>
      <c r="X108" s="402"/>
      <c r="Y108" s="402"/>
      <c r="Z108" s="402"/>
      <c r="AA108" s="405"/>
      <c r="AB108" s="405"/>
      <c r="AC108" s="405"/>
      <c r="AD108" s="405"/>
      <c r="AE108" s="405"/>
      <c r="AF108" s="405"/>
      <c r="AG108" s="405"/>
      <c r="AH108" s="405"/>
      <c r="AI108" s="405"/>
      <c r="AJ108" s="405"/>
      <c r="AK108" s="405"/>
      <c r="AL108" s="405"/>
    </row>
    <row r="109" ht="14.25" customHeight="1">
      <c r="A109" s="763">
        <v>45499.0</v>
      </c>
      <c r="B109" s="349" t="s">
        <v>3667</v>
      </c>
      <c r="C109" s="349" t="s">
        <v>3668</v>
      </c>
      <c r="D109" s="349" t="s">
        <v>54</v>
      </c>
      <c r="E109" s="349" t="s">
        <v>3546</v>
      </c>
      <c r="F109" s="756">
        <v>49049.0</v>
      </c>
      <c r="G109" s="756">
        <v>52440.0</v>
      </c>
      <c r="H109" s="349" t="s">
        <v>710</v>
      </c>
      <c r="I109" s="736" t="str">
        <f t="shared" si="8"/>
        <v>FULLY PAID</v>
      </c>
      <c r="J109" s="402"/>
      <c r="K109" s="402"/>
      <c r="L109" s="402"/>
      <c r="M109" s="402"/>
      <c r="N109" s="402"/>
      <c r="O109" s="402"/>
      <c r="P109" s="402"/>
      <c r="Q109" s="402"/>
      <c r="R109" s="402"/>
      <c r="S109" s="402"/>
      <c r="T109" s="402"/>
      <c r="U109" s="402"/>
      <c r="V109" s="402"/>
      <c r="W109" s="402"/>
      <c r="X109" s="402"/>
      <c r="Y109" s="402"/>
      <c r="Z109" s="402"/>
      <c r="AA109" s="405"/>
      <c r="AB109" s="405"/>
      <c r="AC109" s="405"/>
      <c r="AD109" s="405"/>
      <c r="AE109" s="405"/>
      <c r="AF109" s="405"/>
      <c r="AG109" s="405"/>
      <c r="AH109" s="405"/>
      <c r="AI109" s="405"/>
      <c r="AJ109" s="405"/>
      <c r="AK109" s="405"/>
      <c r="AL109" s="405"/>
    </row>
    <row r="110" ht="14.25" customHeight="1">
      <c r="A110" s="763">
        <v>45499.0</v>
      </c>
      <c r="B110" s="349" t="s">
        <v>3606</v>
      </c>
      <c r="C110" s="349" t="s">
        <v>3607</v>
      </c>
      <c r="D110" s="349" t="s">
        <v>54</v>
      </c>
      <c r="E110" s="349" t="s">
        <v>3551</v>
      </c>
      <c r="F110" s="751">
        <v>36104.0</v>
      </c>
      <c r="G110" s="751"/>
      <c r="H110" s="349" t="s">
        <v>3660</v>
      </c>
      <c r="I110" s="736" t="str">
        <f t="shared" si="8"/>
        <v>NOT PAID</v>
      </c>
      <c r="J110" s="402"/>
      <c r="K110" s="402"/>
      <c r="L110" s="402"/>
      <c r="M110" s="402"/>
      <c r="N110" s="402"/>
      <c r="O110" s="402"/>
      <c r="P110" s="402"/>
      <c r="Q110" s="402"/>
      <c r="R110" s="402"/>
      <c r="S110" s="402"/>
      <c r="T110" s="402"/>
      <c r="U110" s="402"/>
      <c r="V110" s="402"/>
      <c r="W110" s="402"/>
      <c r="X110" s="402"/>
      <c r="Y110" s="402"/>
      <c r="Z110" s="402"/>
      <c r="AA110" s="405"/>
      <c r="AB110" s="405"/>
      <c r="AC110" s="405"/>
      <c r="AD110" s="405"/>
      <c r="AE110" s="405"/>
      <c r="AF110" s="405"/>
      <c r="AG110" s="405"/>
      <c r="AH110" s="405"/>
      <c r="AI110" s="405"/>
      <c r="AJ110" s="405"/>
      <c r="AK110" s="405"/>
      <c r="AL110" s="405"/>
    </row>
    <row r="111" ht="14.25" customHeight="1">
      <c r="A111" s="763">
        <v>45499.0</v>
      </c>
      <c r="B111" s="349" t="s">
        <v>3588</v>
      </c>
      <c r="C111" s="349" t="s">
        <v>3589</v>
      </c>
      <c r="D111" s="349" t="s">
        <v>54</v>
      </c>
      <c r="E111" s="349" t="s">
        <v>3617</v>
      </c>
      <c r="F111" s="751">
        <v>33359.0</v>
      </c>
      <c r="G111" s="751"/>
      <c r="H111" s="349" t="s">
        <v>3660</v>
      </c>
      <c r="I111" s="736" t="str">
        <f t="shared" si="8"/>
        <v>NOT PAID</v>
      </c>
      <c r="J111" s="402"/>
      <c r="K111" s="402"/>
      <c r="L111" s="402"/>
      <c r="M111" s="402"/>
      <c r="N111" s="402"/>
      <c r="O111" s="402"/>
      <c r="P111" s="402"/>
      <c r="Q111" s="402"/>
      <c r="R111" s="402"/>
      <c r="S111" s="402"/>
      <c r="T111" s="402"/>
      <c r="U111" s="402"/>
      <c r="V111" s="402"/>
      <c r="W111" s="402"/>
      <c r="X111" s="402"/>
      <c r="Y111" s="402"/>
      <c r="Z111" s="402"/>
      <c r="AA111" s="405"/>
      <c r="AB111" s="405"/>
      <c r="AC111" s="405"/>
      <c r="AD111" s="405"/>
      <c r="AE111" s="405"/>
      <c r="AF111" s="405"/>
      <c r="AG111" s="405"/>
      <c r="AH111" s="405"/>
      <c r="AI111" s="405"/>
      <c r="AJ111" s="405"/>
      <c r="AK111" s="405"/>
      <c r="AL111" s="405"/>
    </row>
    <row r="112" ht="14.25" customHeight="1">
      <c r="A112" s="763"/>
      <c r="B112" s="402"/>
      <c r="C112" s="402"/>
      <c r="D112" s="402"/>
      <c r="E112" s="402"/>
      <c r="F112" s="751"/>
      <c r="G112" s="751"/>
      <c r="H112" s="402"/>
      <c r="I112" s="736" t="str">
        <f t="shared" si="8"/>
        <v>FULLY PAID</v>
      </c>
      <c r="J112" s="402"/>
      <c r="K112" s="402"/>
      <c r="L112" s="402"/>
      <c r="M112" s="402"/>
      <c r="N112" s="402"/>
      <c r="O112" s="402"/>
      <c r="P112" s="402"/>
      <c r="Q112" s="402"/>
      <c r="R112" s="402"/>
      <c r="S112" s="402"/>
      <c r="T112" s="402"/>
      <c r="U112" s="402"/>
      <c r="V112" s="402"/>
      <c r="W112" s="402"/>
      <c r="X112" s="402"/>
      <c r="Y112" s="402"/>
      <c r="Z112" s="402"/>
      <c r="AA112" s="405"/>
      <c r="AB112" s="405"/>
      <c r="AC112" s="405"/>
      <c r="AD112" s="405"/>
      <c r="AE112" s="405"/>
      <c r="AF112" s="405"/>
      <c r="AG112" s="405"/>
      <c r="AH112" s="405"/>
      <c r="AI112" s="405"/>
      <c r="AJ112" s="405"/>
      <c r="AK112" s="405"/>
      <c r="AL112" s="405"/>
    </row>
    <row r="113" ht="14.25" customHeight="1">
      <c r="A113" s="763"/>
      <c r="B113" s="402"/>
      <c r="C113" s="424" t="s">
        <v>797</v>
      </c>
      <c r="D113" s="402"/>
      <c r="E113" s="402"/>
      <c r="F113" s="751"/>
      <c r="G113" s="751"/>
      <c r="H113" s="402"/>
      <c r="I113" s="736" t="str">
        <f t="shared" si="8"/>
        <v>FULLY PAID</v>
      </c>
      <c r="J113" s="402"/>
      <c r="K113" s="402"/>
      <c r="L113" s="402"/>
      <c r="M113" s="402"/>
      <c r="N113" s="402"/>
      <c r="O113" s="402"/>
      <c r="P113" s="402"/>
      <c r="Q113" s="402"/>
      <c r="R113" s="402"/>
      <c r="S113" s="402"/>
      <c r="T113" s="402"/>
      <c r="U113" s="402"/>
      <c r="V113" s="402"/>
      <c r="W113" s="402"/>
      <c r="X113" s="402"/>
      <c r="Y113" s="402"/>
      <c r="Z113" s="402"/>
      <c r="AA113" s="405"/>
      <c r="AB113" s="405"/>
      <c r="AC113" s="405"/>
      <c r="AD113" s="405"/>
      <c r="AE113" s="405"/>
      <c r="AF113" s="405"/>
      <c r="AG113" s="405"/>
      <c r="AH113" s="405"/>
      <c r="AI113" s="405"/>
      <c r="AJ113" s="405"/>
      <c r="AK113" s="405"/>
      <c r="AL113" s="405"/>
    </row>
    <row r="114" ht="14.25" customHeight="1">
      <c r="A114" s="406">
        <v>45499.0</v>
      </c>
      <c r="B114" s="436" t="s">
        <v>3608</v>
      </c>
      <c r="C114" s="436" t="s">
        <v>3637</v>
      </c>
      <c r="D114" s="668" t="s">
        <v>59</v>
      </c>
      <c r="E114" s="679" t="s">
        <v>3579</v>
      </c>
      <c r="F114" s="765">
        <v>300000.0</v>
      </c>
      <c r="G114" s="765"/>
      <c r="H114" s="349" t="s">
        <v>3662</v>
      </c>
      <c r="I114" s="736" t="str">
        <f t="shared" si="8"/>
        <v>NOT PAID</v>
      </c>
      <c r="J114" s="402"/>
      <c r="K114" s="402"/>
      <c r="L114" s="402"/>
      <c r="M114" s="402"/>
      <c r="N114" s="402"/>
      <c r="O114" s="402"/>
      <c r="P114" s="402"/>
      <c r="Q114" s="402"/>
      <c r="R114" s="402"/>
      <c r="S114" s="402"/>
      <c r="T114" s="402"/>
      <c r="U114" s="402"/>
      <c r="V114" s="402"/>
      <c r="W114" s="402"/>
      <c r="X114" s="402"/>
      <c r="Y114" s="402"/>
      <c r="Z114" s="402"/>
      <c r="AA114" s="405"/>
      <c r="AB114" s="405"/>
      <c r="AC114" s="405"/>
      <c r="AD114" s="405"/>
      <c r="AE114" s="405"/>
      <c r="AF114" s="405"/>
      <c r="AG114" s="405"/>
      <c r="AH114" s="405"/>
      <c r="AI114" s="405"/>
      <c r="AJ114" s="405"/>
      <c r="AK114" s="405"/>
      <c r="AL114" s="405"/>
    </row>
    <row r="115" ht="14.25" customHeight="1">
      <c r="A115" s="406">
        <v>45499.0</v>
      </c>
      <c r="B115" s="755" t="s">
        <v>3581</v>
      </c>
      <c r="C115" s="755" t="s">
        <v>3582</v>
      </c>
      <c r="D115" s="755" t="s">
        <v>54</v>
      </c>
      <c r="E115" s="679" t="s">
        <v>3579</v>
      </c>
      <c r="F115" s="766">
        <v>500000.0</v>
      </c>
      <c r="G115" s="766"/>
      <c r="H115" s="349" t="s">
        <v>3662</v>
      </c>
      <c r="I115" s="736" t="str">
        <f t="shared" si="8"/>
        <v>NOT PAID</v>
      </c>
      <c r="J115" s="402"/>
      <c r="K115" s="402"/>
      <c r="L115" s="402"/>
      <c r="M115" s="402"/>
      <c r="N115" s="402"/>
      <c r="O115" s="402"/>
      <c r="P115" s="402"/>
      <c r="Q115" s="402"/>
      <c r="R115" s="402"/>
      <c r="S115" s="402"/>
      <c r="T115" s="402"/>
      <c r="U115" s="402"/>
      <c r="V115" s="402"/>
      <c r="W115" s="402"/>
      <c r="X115" s="402"/>
      <c r="Y115" s="402"/>
      <c r="Z115" s="402"/>
      <c r="AA115" s="405"/>
      <c r="AB115" s="405"/>
      <c r="AC115" s="405"/>
      <c r="AD115" s="405"/>
      <c r="AE115" s="405"/>
      <c r="AF115" s="405"/>
      <c r="AG115" s="405"/>
      <c r="AH115" s="405"/>
      <c r="AI115" s="405"/>
      <c r="AJ115" s="405"/>
      <c r="AK115" s="405"/>
      <c r="AL115" s="405"/>
    </row>
    <row r="116" ht="14.25" customHeight="1">
      <c r="A116" s="406"/>
      <c r="B116" s="402"/>
      <c r="C116" s="402"/>
      <c r="D116" s="402"/>
      <c r="E116" s="402"/>
      <c r="F116" s="402"/>
      <c r="G116" s="403"/>
      <c r="H116" s="402"/>
      <c r="I116" s="736"/>
      <c r="J116" s="402"/>
      <c r="K116" s="402"/>
      <c r="L116" s="402"/>
      <c r="M116" s="402"/>
      <c r="N116" s="402"/>
      <c r="O116" s="402"/>
      <c r="P116" s="402"/>
      <c r="Q116" s="402"/>
      <c r="R116" s="402"/>
      <c r="S116" s="402"/>
      <c r="T116" s="402"/>
      <c r="U116" s="402"/>
      <c r="V116" s="402"/>
      <c r="W116" s="402"/>
      <c r="X116" s="402"/>
      <c r="Y116" s="402"/>
      <c r="Z116" s="402"/>
      <c r="AA116" s="405"/>
      <c r="AB116" s="405"/>
      <c r="AC116" s="405"/>
      <c r="AD116" s="405"/>
      <c r="AE116" s="405"/>
      <c r="AF116" s="405"/>
      <c r="AG116" s="405"/>
      <c r="AH116" s="405"/>
      <c r="AI116" s="405"/>
      <c r="AJ116" s="405"/>
      <c r="AK116" s="405"/>
      <c r="AL116" s="405"/>
    </row>
    <row r="117" ht="14.25" customHeight="1">
      <c r="A117" s="402"/>
      <c r="B117" s="402"/>
      <c r="C117" s="402"/>
      <c r="D117" s="402"/>
      <c r="E117" s="402"/>
      <c r="F117" s="402"/>
      <c r="G117" s="403"/>
      <c r="H117" s="402"/>
      <c r="I117" s="736"/>
      <c r="J117" s="402"/>
      <c r="K117" s="402"/>
      <c r="L117" s="402"/>
      <c r="M117" s="402"/>
      <c r="N117" s="402"/>
      <c r="O117" s="402"/>
      <c r="P117" s="402"/>
      <c r="Q117" s="402"/>
      <c r="R117" s="402"/>
      <c r="S117" s="402"/>
      <c r="T117" s="402"/>
      <c r="U117" s="402"/>
      <c r="V117" s="402"/>
      <c r="W117" s="402"/>
      <c r="X117" s="402"/>
      <c r="Y117" s="402"/>
      <c r="Z117" s="402"/>
      <c r="AA117" s="405"/>
      <c r="AB117" s="405"/>
      <c r="AC117" s="405"/>
      <c r="AD117" s="405"/>
      <c r="AE117" s="405"/>
      <c r="AF117" s="405"/>
      <c r="AG117" s="405"/>
      <c r="AH117" s="405"/>
      <c r="AI117" s="405"/>
      <c r="AJ117" s="405"/>
      <c r="AK117" s="405"/>
      <c r="AL117" s="405"/>
    </row>
    <row r="118" ht="14.25" customHeight="1">
      <c r="A118" s="584" t="s">
        <v>2130</v>
      </c>
      <c r="B118" s="584" t="s">
        <v>39</v>
      </c>
      <c r="C118" s="584" t="s">
        <v>48</v>
      </c>
      <c r="D118" s="584" t="s">
        <v>49</v>
      </c>
      <c r="E118" s="584" t="s">
        <v>50</v>
      </c>
      <c r="F118" s="584" t="s">
        <v>2</v>
      </c>
      <c r="G118" s="586" t="s">
        <v>44</v>
      </c>
      <c r="H118" s="424" t="s">
        <v>45</v>
      </c>
      <c r="I118" s="736"/>
      <c r="J118" s="402"/>
      <c r="K118" s="402"/>
      <c r="L118" s="402"/>
      <c r="M118" s="402"/>
      <c r="N118" s="402"/>
      <c r="O118" s="402"/>
      <c r="P118" s="402"/>
      <c r="Q118" s="402"/>
      <c r="R118" s="402"/>
      <c r="S118" s="402"/>
      <c r="T118" s="402"/>
      <c r="U118" s="402"/>
      <c r="V118" s="402"/>
      <c r="W118" s="402"/>
      <c r="X118" s="402"/>
      <c r="Y118" s="402"/>
      <c r="Z118" s="402"/>
      <c r="AA118" s="405"/>
      <c r="AB118" s="405"/>
      <c r="AC118" s="405"/>
      <c r="AD118" s="405"/>
      <c r="AE118" s="405"/>
      <c r="AF118" s="405"/>
      <c r="AG118" s="405"/>
      <c r="AH118" s="405"/>
      <c r="AI118" s="405"/>
      <c r="AJ118" s="405"/>
      <c r="AK118" s="405"/>
      <c r="AL118" s="405"/>
    </row>
    <row r="119" ht="14.25" customHeight="1">
      <c r="A119" s="763">
        <v>45500.0</v>
      </c>
      <c r="B119" s="349" t="s">
        <v>3588</v>
      </c>
      <c r="C119" s="349" t="s">
        <v>3669</v>
      </c>
      <c r="D119" s="349" t="s">
        <v>54</v>
      </c>
      <c r="E119" s="349" t="s">
        <v>3617</v>
      </c>
      <c r="F119" s="751">
        <v>24000.0</v>
      </c>
      <c r="G119" s="751">
        <v>5000.0</v>
      </c>
      <c r="H119" s="349" t="s">
        <v>3661</v>
      </c>
      <c r="I119" s="736" t="str">
        <f t="shared" ref="I119:I362" si="9">IF(G119&gt;=F119,"FULLY PAID",IF(G119=0,"NOT PAID","PARTIALLY PAID"))</f>
        <v>PARTIALLY PAID</v>
      </c>
      <c r="J119" s="402"/>
      <c r="K119" s="402"/>
      <c r="L119" s="402"/>
      <c r="M119" s="402"/>
      <c r="N119" s="402"/>
      <c r="O119" s="402"/>
      <c r="P119" s="402"/>
      <c r="Q119" s="402"/>
      <c r="R119" s="402"/>
      <c r="S119" s="402"/>
      <c r="T119" s="402"/>
      <c r="U119" s="402"/>
      <c r="V119" s="402"/>
      <c r="W119" s="402"/>
      <c r="X119" s="402"/>
      <c r="Y119" s="402"/>
      <c r="Z119" s="402"/>
      <c r="AA119" s="405"/>
      <c r="AB119" s="405"/>
      <c r="AC119" s="405"/>
      <c r="AD119" s="405"/>
      <c r="AE119" s="405"/>
      <c r="AF119" s="405"/>
      <c r="AG119" s="405"/>
      <c r="AH119" s="405"/>
      <c r="AI119" s="405"/>
      <c r="AJ119" s="405"/>
      <c r="AK119" s="405"/>
      <c r="AL119" s="405"/>
    </row>
    <row r="120" ht="14.25" customHeight="1">
      <c r="A120" s="763">
        <v>45500.0</v>
      </c>
      <c r="B120" s="349" t="s">
        <v>3547</v>
      </c>
      <c r="C120" s="349" t="s">
        <v>3602</v>
      </c>
      <c r="D120" s="349" t="s">
        <v>54</v>
      </c>
      <c r="E120" s="349" t="s">
        <v>3546</v>
      </c>
      <c r="F120" s="751">
        <v>6482.0</v>
      </c>
      <c r="G120" s="751"/>
      <c r="H120" s="349" t="s">
        <v>3661</v>
      </c>
      <c r="I120" s="736" t="str">
        <f t="shared" si="9"/>
        <v>NOT PAID</v>
      </c>
      <c r="J120" s="402"/>
      <c r="K120" s="402"/>
      <c r="L120" s="402"/>
      <c r="M120" s="402"/>
      <c r="N120" s="402"/>
      <c r="O120" s="402"/>
      <c r="P120" s="402"/>
      <c r="Q120" s="402"/>
      <c r="R120" s="402"/>
      <c r="S120" s="402"/>
      <c r="T120" s="402"/>
      <c r="U120" s="402"/>
      <c r="V120" s="402"/>
      <c r="W120" s="402"/>
      <c r="X120" s="402"/>
      <c r="Y120" s="402"/>
      <c r="Z120" s="402"/>
      <c r="AA120" s="405"/>
      <c r="AB120" s="405"/>
      <c r="AC120" s="405"/>
      <c r="AD120" s="405"/>
      <c r="AE120" s="405"/>
      <c r="AF120" s="405"/>
      <c r="AG120" s="405"/>
      <c r="AH120" s="405"/>
      <c r="AI120" s="405"/>
      <c r="AJ120" s="405"/>
      <c r="AK120" s="405"/>
      <c r="AL120" s="405"/>
    </row>
    <row r="121" ht="14.25" customHeight="1">
      <c r="A121" s="763">
        <v>45500.0</v>
      </c>
      <c r="B121" s="349" t="s">
        <v>3623</v>
      </c>
      <c r="C121" s="349" t="s">
        <v>3624</v>
      </c>
      <c r="D121" s="349" t="s">
        <v>54</v>
      </c>
      <c r="E121" s="349" t="s">
        <v>3551</v>
      </c>
      <c r="F121" s="751">
        <v>12779.0</v>
      </c>
      <c r="G121" s="751"/>
      <c r="H121" s="349" t="s">
        <v>2184</v>
      </c>
      <c r="I121" s="736" t="str">
        <f t="shared" si="9"/>
        <v>NOT PAID</v>
      </c>
      <c r="J121" s="402"/>
      <c r="K121" s="402"/>
      <c r="L121" s="402"/>
      <c r="M121" s="402"/>
      <c r="N121" s="402"/>
      <c r="O121" s="402"/>
      <c r="P121" s="402"/>
      <c r="Q121" s="402"/>
      <c r="R121" s="402"/>
      <c r="S121" s="402"/>
      <c r="T121" s="402"/>
      <c r="U121" s="402"/>
      <c r="V121" s="402"/>
      <c r="W121" s="402"/>
      <c r="X121" s="402"/>
      <c r="Y121" s="402"/>
      <c r="Z121" s="402"/>
      <c r="AA121" s="405"/>
      <c r="AB121" s="405"/>
      <c r="AC121" s="405"/>
      <c r="AD121" s="405"/>
      <c r="AE121" s="405"/>
      <c r="AF121" s="405"/>
      <c r="AG121" s="405"/>
      <c r="AH121" s="405"/>
      <c r="AI121" s="405"/>
      <c r="AJ121" s="405"/>
      <c r="AK121" s="405"/>
      <c r="AL121" s="405"/>
    </row>
    <row r="122" ht="14.25" customHeight="1">
      <c r="A122" s="763">
        <v>45500.0</v>
      </c>
      <c r="B122" s="349" t="s">
        <v>3653</v>
      </c>
      <c r="C122" s="349" t="s">
        <v>3670</v>
      </c>
      <c r="D122" s="349" t="s">
        <v>54</v>
      </c>
      <c r="E122" s="349" t="s">
        <v>3556</v>
      </c>
      <c r="F122" s="751">
        <v>5000.0</v>
      </c>
      <c r="G122" s="751"/>
      <c r="H122" s="349" t="s">
        <v>2184</v>
      </c>
      <c r="I122" s="736" t="str">
        <f t="shared" si="9"/>
        <v>NOT PAID</v>
      </c>
      <c r="J122" s="402"/>
      <c r="K122" s="402"/>
      <c r="L122" s="402"/>
      <c r="M122" s="402"/>
      <c r="N122" s="402"/>
      <c r="O122" s="402"/>
      <c r="P122" s="402"/>
      <c r="Q122" s="402"/>
      <c r="R122" s="402"/>
      <c r="S122" s="402"/>
      <c r="T122" s="402"/>
      <c r="U122" s="402"/>
      <c r="V122" s="402"/>
      <c r="W122" s="402"/>
      <c r="X122" s="402"/>
      <c r="Y122" s="402"/>
      <c r="Z122" s="402"/>
      <c r="AA122" s="405"/>
      <c r="AB122" s="405"/>
      <c r="AC122" s="405"/>
      <c r="AD122" s="405"/>
      <c r="AE122" s="405"/>
      <c r="AF122" s="405"/>
      <c r="AG122" s="405"/>
      <c r="AH122" s="405"/>
      <c r="AI122" s="405"/>
      <c r="AJ122" s="405"/>
      <c r="AK122" s="405"/>
      <c r="AL122" s="405"/>
    </row>
    <row r="123" ht="14.25" customHeight="1">
      <c r="A123" s="763">
        <v>45500.0</v>
      </c>
      <c r="B123" s="349" t="s">
        <v>3606</v>
      </c>
      <c r="C123" s="349" t="s">
        <v>3607</v>
      </c>
      <c r="D123" s="349" t="s">
        <v>54</v>
      </c>
      <c r="E123" s="349" t="s">
        <v>3551</v>
      </c>
      <c r="F123" s="751">
        <v>36104.0</v>
      </c>
      <c r="G123" s="751"/>
      <c r="H123" s="349" t="s">
        <v>3671</v>
      </c>
      <c r="I123" s="736" t="str">
        <f t="shared" si="9"/>
        <v>NOT PAID</v>
      </c>
      <c r="J123" s="402"/>
      <c r="K123" s="402"/>
      <c r="L123" s="402"/>
      <c r="M123" s="402"/>
      <c r="N123" s="402"/>
      <c r="O123" s="402"/>
      <c r="P123" s="402"/>
      <c r="Q123" s="402"/>
      <c r="R123" s="402"/>
      <c r="S123" s="402"/>
      <c r="T123" s="402"/>
      <c r="U123" s="402"/>
      <c r="V123" s="402"/>
      <c r="W123" s="402"/>
      <c r="X123" s="402"/>
      <c r="Y123" s="402"/>
      <c r="Z123" s="402"/>
      <c r="AA123" s="405"/>
      <c r="AB123" s="405"/>
      <c r="AC123" s="405"/>
      <c r="AD123" s="405"/>
      <c r="AE123" s="405"/>
      <c r="AF123" s="405"/>
      <c r="AG123" s="405"/>
      <c r="AH123" s="405"/>
      <c r="AI123" s="405"/>
      <c r="AJ123" s="405"/>
      <c r="AK123" s="405"/>
      <c r="AL123" s="405"/>
    </row>
    <row r="124" ht="14.25" customHeight="1">
      <c r="A124" s="763">
        <v>45500.0</v>
      </c>
      <c r="B124" s="349" t="s">
        <v>3631</v>
      </c>
      <c r="C124" s="767" t="s">
        <v>3672</v>
      </c>
      <c r="D124" s="349" t="s">
        <v>54</v>
      </c>
      <c r="E124" s="349" t="s">
        <v>3546</v>
      </c>
      <c r="F124" s="756">
        <v>560412.0</v>
      </c>
      <c r="G124" s="756"/>
      <c r="H124" s="349" t="s">
        <v>3673</v>
      </c>
      <c r="I124" s="736" t="str">
        <f t="shared" si="9"/>
        <v>NOT PAID</v>
      </c>
      <c r="J124" s="402"/>
      <c r="K124" s="402"/>
      <c r="L124" s="402"/>
      <c r="M124" s="402"/>
      <c r="N124" s="402"/>
      <c r="O124" s="402"/>
      <c r="P124" s="402"/>
      <c r="Q124" s="402"/>
      <c r="R124" s="402"/>
      <c r="S124" s="402"/>
      <c r="T124" s="402"/>
      <c r="U124" s="402"/>
      <c r="V124" s="402"/>
      <c r="W124" s="402"/>
      <c r="X124" s="402"/>
      <c r="Y124" s="402"/>
      <c r="Z124" s="402"/>
      <c r="AA124" s="405"/>
      <c r="AB124" s="405"/>
      <c r="AC124" s="405"/>
      <c r="AD124" s="405"/>
      <c r="AE124" s="405"/>
      <c r="AF124" s="405"/>
      <c r="AG124" s="405"/>
      <c r="AH124" s="405"/>
      <c r="AI124" s="405"/>
      <c r="AJ124" s="405"/>
      <c r="AK124" s="405"/>
      <c r="AL124" s="405"/>
    </row>
    <row r="125" ht="14.25" customHeight="1">
      <c r="A125" s="763">
        <v>45500.0</v>
      </c>
      <c r="B125" s="349" t="s">
        <v>3595</v>
      </c>
      <c r="C125" s="349" t="s">
        <v>3596</v>
      </c>
      <c r="D125" s="349" t="s">
        <v>54</v>
      </c>
      <c r="E125" s="349" t="s">
        <v>3551</v>
      </c>
      <c r="F125" s="751">
        <v>4000.0</v>
      </c>
      <c r="G125" s="751"/>
      <c r="H125" s="349" t="s">
        <v>2184</v>
      </c>
      <c r="I125" s="736" t="str">
        <f t="shared" si="9"/>
        <v>NOT PAID</v>
      </c>
      <c r="J125" s="402"/>
      <c r="K125" s="402"/>
      <c r="L125" s="402"/>
      <c r="M125" s="402"/>
      <c r="N125" s="402"/>
      <c r="O125" s="402"/>
      <c r="P125" s="402"/>
      <c r="Q125" s="402"/>
      <c r="R125" s="402"/>
      <c r="S125" s="402"/>
      <c r="T125" s="402"/>
      <c r="U125" s="402"/>
      <c r="V125" s="402"/>
      <c r="W125" s="402"/>
      <c r="X125" s="402"/>
      <c r="Y125" s="402"/>
      <c r="Z125" s="402"/>
      <c r="AA125" s="405"/>
      <c r="AB125" s="405"/>
      <c r="AC125" s="405"/>
      <c r="AD125" s="405"/>
      <c r="AE125" s="405"/>
      <c r="AF125" s="405"/>
      <c r="AG125" s="405"/>
      <c r="AH125" s="405"/>
      <c r="AI125" s="405"/>
      <c r="AJ125" s="405"/>
      <c r="AK125" s="405"/>
      <c r="AL125" s="405"/>
    </row>
    <row r="126" ht="14.25" customHeight="1">
      <c r="A126" s="763">
        <v>45500.0</v>
      </c>
      <c r="B126" s="607" t="s">
        <v>3597</v>
      </c>
      <c r="C126" s="607" t="s">
        <v>3616</v>
      </c>
      <c r="D126" s="607" t="s">
        <v>54</v>
      </c>
      <c r="E126" s="349" t="s">
        <v>3617</v>
      </c>
      <c r="F126" s="756">
        <v>5889.0</v>
      </c>
      <c r="G126" s="756"/>
      <c r="H126" s="349" t="s">
        <v>2184</v>
      </c>
      <c r="I126" s="736" t="str">
        <f t="shared" si="9"/>
        <v>NOT PAID</v>
      </c>
      <c r="J126" s="402"/>
      <c r="K126" s="402"/>
      <c r="L126" s="402"/>
      <c r="M126" s="402"/>
      <c r="N126" s="402"/>
      <c r="O126" s="402"/>
      <c r="P126" s="402"/>
      <c r="Q126" s="402"/>
      <c r="R126" s="402"/>
      <c r="S126" s="402"/>
      <c r="T126" s="402"/>
      <c r="U126" s="402"/>
      <c r="V126" s="402"/>
      <c r="W126" s="402"/>
      <c r="X126" s="402"/>
      <c r="Y126" s="402"/>
      <c r="Z126" s="402"/>
      <c r="AA126" s="405"/>
      <c r="AB126" s="405"/>
      <c r="AC126" s="405"/>
      <c r="AD126" s="405"/>
      <c r="AE126" s="405"/>
      <c r="AF126" s="405"/>
      <c r="AG126" s="405"/>
      <c r="AH126" s="405"/>
      <c r="AI126" s="405"/>
      <c r="AJ126" s="405"/>
      <c r="AK126" s="405"/>
      <c r="AL126" s="405"/>
    </row>
    <row r="127" ht="14.25" customHeight="1">
      <c r="A127" s="763">
        <v>45500.0</v>
      </c>
      <c r="B127" s="764" t="s">
        <v>3674</v>
      </c>
      <c r="C127" s="764" t="s">
        <v>3675</v>
      </c>
      <c r="D127" s="349" t="s">
        <v>54</v>
      </c>
      <c r="E127" s="349" t="s">
        <v>3617</v>
      </c>
      <c r="F127" s="756">
        <v>410145.51</v>
      </c>
      <c r="G127" s="756"/>
      <c r="H127" s="349" t="s">
        <v>2184</v>
      </c>
      <c r="I127" s="736" t="str">
        <f t="shared" si="9"/>
        <v>NOT PAID</v>
      </c>
      <c r="J127" s="402"/>
      <c r="K127" s="402"/>
      <c r="L127" s="402"/>
      <c r="M127" s="402"/>
      <c r="N127" s="402"/>
      <c r="O127" s="402"/>
      <c r="P127" s="402"/>
      <c r="Q127" s="402"/>
      <c r="R127" s="402"/>
      <c r="S127" s="402"/>
      <c r="T127" s="402"/>
      <c r="U127" s="402"/>
      <c r="V127" s="402"/>
      <c r="W127" s="402"/>
      <c r="X127" s="402"/>
      <c r="Y127" s="402"/>
      <c r="Z127" s="402"/>
      <c r="AA127" s="405"/>
      <c r="AB127" s="405"/>
      <c r="AC127" s="405"/>
      <c r="AD127" s="405"/>
      <c r="AE127" s="405"/>
      <c r="AF127" s="405"/>
      <c r="AG127" s="405"/>
      <c r="AH127" s="405"/>
      <c r="AI127" s="405"/>
      <c r="AJ127" s="405"/>
      <c r="AK127" s="405"/>
      <c r="AL127" s="405"/>
    </row>
    <row r="128" ht="14.25" customHeight="1">
      <c r="A128" s="763">
        <v>45500.0</v>
      </c>
      <c r="B128" s="764" t="s">
        <v>3676</v>
      </c>
      <c r="C128" s="764" t="s">
        <v>3677</v>
      </c>
      <c r="D128" s="349" t="s">
        <v>54</v>
      </c>
      <c r="E128" s="349" t="s">
        <v>3556</v>
      </c>
      <c r="F128" s="413">
        <v>20200.0</v>
      </c>
      <c r="G128" s="413">
        <v>146000.0</v>
      </c>
      <c r="H128" s="349" t="s">
        <v>710</v>
      </c>
      <c r="I128" s="736" t="str">
        <f t="shared" si="9"/>
        <v>FULLY PAID</v>
      </c>
      <c r="J128" s="402"/>
      <c r="K128" s="402"/>
      <c r="L128" s="402"/>
      <c r="M128" s="402"/>
      <c r="N128" s="402"/>
      <c r="O128" s="402"/>
      <c r="P128" s="402"/>
      <c r="Q128" s="402"/>
      <c r="R128" s="402"/>
      <c r="S128" s="402"/>
      <c r="T128" s="402"/>
      <c r="U128" s="402"/>
      <c r="V128" s="402"/>
      <c r="W128" s="402"/>
      <c r="X128" s="402"/>
      <c r="Y128" s="402"/>
      <c r="Z128" s="402"/>
      <c r="AA128" s="405"/>
      <c r="AB128" s="405"/>
      <c r="AC128" s="405"/>
      <c r="AD128" s="405"/>
      <c r="AE128" s="405"/>
      <c r="AF128" s="405"/>
      <c r="AG128" s="405"/>
      <c r="AH128" s="405"/>
      <c r="AI128" s="405"/>
      <c r="AJ128" s="405"/>
      <c r="AK128" s="405"/>
      <c r="AL128" s="405"/>
    </row>
    <row r="129" ht="14.25" customHeight="1">
      <c r="A129" s="763"/>
      <c r="B129" s="402"/>
      <c r="C129" s="349"/>
      <c r="D129" s="349"/>
      <c r="E129" s="349"/>
      <c r="F129" s="413"/>
      <c r="G129" s="403"/>
      <c r="H129" s="402"/>
      <c r="I129" s="736" t="str">
        <f t="shared" si="9"/>
        <v>FULLY PAID</v>
      </c>
      <c r="J129" s="402"/>
      <c r="K129" s="402"/>
      <c r="L129" s="402"/>
      <c r="M129" s="402"/>
      <c r="N129" s="402"/>
      <c r="O129" s="402"/>
      <c r="P129" s="402"/>
      <c r="Q129" s="402"/>
      <c r="R129" s="402"/>
      <c r="S129" s="402"/>
      <c r="T129" s="402"/>
      <c r="U129" s="402"/>
      <c r="V129" s="402"/>
      <c r="W129" s="402"/>
      <c r="X129" s="402"/>
      <c r="Y129" s="402"/>
      <c r="Z129" s="402"/>
      <c r="AA129" s="405"/>
      <c r="AB129" s="405"/>
      <c r="AC129" s="405"/>
      <c r="AD129" s="405"/>
      <c r="AE129" s="405"/>
      <c r="AF129" s="405"/>
      <c r="AG129" s="405"/>
      <c r="AH129" s="405"/>
      <c r="AI129" s="405"/>
      <c r="AJ129" s="405"/>
      <c r="AK129" s="405"/>
      <c r="AL129" s="405"/>
    </row>
    <row r="130" ht="14.25" customHeight="1">
      <c r="A130" s="763"/>
      <c r="B130" s="402"/>
      <c r="C130" s="402"/>
      <c r="D130" s="402"/>
      <c r="E130" s="402"/>
      <c r="F130" s="402"/>
      <c r="G130" s="403"/>
      <c r="H130" s="402"/>
      <c r="I130" s="736" t="str">
        <f t="shared" si="9"/>
        <v>FULLY PAID</v>
      </c>
      <c r="J130" s="402"/>
      <c r="K130" s="402"/>
      <c r="L130" s="402"/>
      <c r="M130" s="402"/>
      <c r="N130" s="402"/>
      <c r="O130" s="402"/>
      <c r="P130" s="402"/>
      <c r="Q130" s="402"/>
      <c r="R130" s="402"/>
      <c r="S130" s="402"/>
      <c r="T130" s="402"/>
      <c r="U130" s="402"/>
      <c r="V130" s="402"/>
      <c r="W130" s="402"/>
      <c r="X130" s="402"/>
      <c r="Y130" s="402"/>
      <c r="Z130" s="402"/>
      <c r="AA130" s="405"/>
      <c r="AB130" s="405"/>
      <c r="AC130" s="405"/>
      <c r="AD130" s="405"/>
      <c r="AE130" s="405"/>
      <c r="AF130" s="405"/>
      <c r="AG130" s="405"/>
      <c r="AH130" s="405"/>
      <c r="AI130" s="405"/>
      <c r="AJ130" s="405"/>
      <c r="AK130" s="405"/>
      <c r="AL130" s="405"/>
    </row>
    <row r="131" ht="14.25" customHeight="1">
      <c r="A131" s="584" t="s">
        <v>2130</v>
      </c>
      <c r="B131" s="584" t="s">
        <v>39</v>
      </c>
      <c r="C131" s="584" t="s">
        <v>48</v>
      </c>
      <c r="D131" s="584" t="s">
        <v>49</v>
      </c>
      <c r="E131" s="584" t="s">
        <v>50</v>
      </c>
      <c r="F131" s="584" t="s">
        <v>2</v>
      </c>
      <c r="G131" s="586" t="s">
        <v>44</v>
      </c>
      <c r="H131" s="424" t="s">
        <v>45</v>
      </c>
      <c r="I131" s="736" t="str">
        <f t="shared" si="9"/>
        <v>FULLY PAID</v>
      </c>
      <c r="J131" s="402"/>
      <c r="K131" s="402"/>
      <c r="L131" s="402"/>
      <c r="M131" s="402"/>
      <c r="N131" s="402"/>
      <c r="O131" s="402"/>
      <c r="P131" s="402"/>
      <c r="Q131" s="402"/>
      <c r="R131" s="402"/>
      <c r="S131" s="402"/>
      <c r="T131" s="402"/>
      <c r="U131" s="402"/>
      <c r="V131" s="402"/>
      <c r="W131" s="402"/>
      <c r="X131" s="402"/>
      <c r="Y131" s="402"/>
      <c r="Z131" s="402"/>
      <c r="AA131" s="405"/>
      <c r="AB131" s="405"/>
      <c r="AC131" s="405"/>
      <c r="AD131" s="405"/>
      <c r="AE131" s="405"/>
      <c r="AF131" s="405"/>
      <c r="AG131" s="405"/>
      <c r="AH131" s="405"/>
      <c r="AI131" s="405"/>
      <c r="AJ131" s="405"/>
      <c r="AK131" s="405"/>
      <c r="AL131" s="405"/>
    </row>
    <row r="132" ht="14.25" customHeight="1">
      <c r="A132" s="763">
        <v>45502.0</v>
      </c>
      <c r="B132" s="349" t="s">
        <v>3595</v>
      </c>
      <c r="C132" s="349" t="s">
        <v>3596</v>
      </c>
      <c r="D132" s="349" t="s">
        <v>54</v>
      </c>
      <c r="E132" s="349" t="s">
        <v>3551</v>
      </c>
      <c r="F132" s="751">
        <v>4000.0</v>
      </c>
      <c r="G132" s="751">
        <v>10000.0</v>
      </c>
      <c r="H132" s="349" t="s">
        <v>710</v>
      </c>
      <c r="I132" s="736" t="str">
        <f t="shared" si="9"/>
        <v>FULLY PAID</v>
      </c>
      <c r="J132" s="402"/>
      <c r="K132" s="402"/>
      <c r="L132" s="402"/>
      <c r="M132" s="402"/>
      <c r="N132" s="402"/>
      <c r="O132" s="402"/>
      <c r="P132" s="402"/>
      <c r="Q132" s="402"/>
      <c r="R132" s="402"/>
      <c r="S132" s="402"/>
      <c r="T132" s="402"/>
      <c r="U132" s="402"/>
      <c r="V132" s="402"/>
      <c r="W132" s="402"/>
      <c r="X132" s="402"/>
      <c r="Y132" s="402"/>
      <c r="Z132" s="402"/>
      <c r="AA132" s="405"/>
      <c r="AB132" s="405"/>
      <c r="AC132" s="405"/>
      <c r="AD132" s="405"/>
      <c r="AE132" s="405"/>
      <c r="AF132" s="405"/>
      <c r="AG132" s="405"/>
      <c r="AH132" s="405"/>
      <c r="AI132" s="405"/>
      <c r="AJ132" s="405"/>
      <c r="AK132" s="405"/>
      <c r="AL132" s="405"/>
    </row>
    <row r="133" ht="14.25" customHeight="1">
      <c r="A133" s="763">
        <v>45502.0</v>
      </c>
      <c r="B133" s="349" t="s">
        <v>3547</v>
      </c>
      <c r="C133" s="349" t="s">
        <v>3602</v>
      </c>
      <c r="D133" s="349" t="s">
        <v>54</v>
      </c>
      <c r="E133" s="349" t="s">
        <v>3546</v>
      </c>
      <c r="F133" s="751">
        <v>6482.0</v>
      </c>
      <c r="G133" s="751"/>
      <c r="H133" s="349" t="s">
        <v>2184</v>
      </c>
      <c r="I133" s="736" t="str">
        <f t="shared" si="9"/>
        <v>NOT PAID</v>
      </c>
      <c r="J133" s="402"/>
      <c r="K133" s="402"/>
      <c r="L133" s="402"/>
      <c r="M133" s="402"/>
      <c r="N133" s="402"/>
      <c r="O133" s="402"/>
      <c r="P133" s="402"/>
      <c r="Q133" s="402"/>
      <c r="R133" s="402"/>
      <c r="S133" s="402"/>
      <c r="T133" s="402"/>
      <c r="U133" s="402"/>
      <c r="V133" s="402"/>
      <c r="W133" s="402"/>
      <c r="X133" s="402"/>
      <c r="Y133" s="402"/>
      <c r="Z133" s="402"/>
      <c r="AA133" s="405"/>
      <c r="AB133" s="405"/>
      <c r="AC133" s="405"/>
      <c r="AD133" s="405"/>
      <c r="AE133" s="405"/>
      <c r="AF133" s="405"/>
      <c r="AG133" s="405"/>
      <c r="AH133" s="405"/>
      <c r="AI133" s="405"/>
      <c r="AJ133" s="405"/>
      <c r="AK133" s="405"/>
      <c r="AL133" s="405"/>
    </row>
    <row r="134" ht="14.25" customHeight="1">
      <c r="A134" s="763">
        <v>45502.0</v>
      </c>
      <c r="B134" s="349" t="s">
        <v>3678</v>
      </c>
      <c r="C134" s="349" t="s">
        <v>3679</v>
      </c>
      <c r="D134" s="349" t="s">
        <v>54</v>
      </c>
      <c r="E134" s="349" t="s">
        <v>3551</v>
      </c>
      <c r="F134" s="751">
        <v>12779.0</v>
      </c>
      <c r="G134" s="751">
        <v>23500.0</v>
      </c>
      <c r="H134" s="349" t="s">
        <v>710</v>
      </c>
      <c r="I134" s="736" t="str">
        <f t="shared" si="9"/>
        <v>FULLY PAID</v>
      </c>
      <c r="J134" s="402"/>
      <c r="K134" s="402"/>
      <c r="L134" s="402"/>
      <c r="M134" s="402"/>
      <c r="N134" s="402"/>
      <c r="O134" s="402"/>
      <c r="P134" s="402"/>
      <c r="Q134" s="402"/>
      <c r="R134" s="402"/>
      <c r="S134" s="402"/>
      <c r="T134" s="402"/>
      <c r="U134" s="402"/>
      <c r="V134" s="402"/>
      <c r="W134" s="402"/>
      <c r="X134" s="402"/>
      <c r="Y134" s="402"/>
      <c r="Z134" s="402"/>
      <c r="AA134" s="405"/>
      <c r="AB134" s="405"/>
      <c r="AC134" s="405"/>
      <c r="AD134" s="405"/>
      <c r="AE134" s="405"/>
      <c r="AF134" s="405"/>
      <c r="AG134" s="405"/>
      <c r="AH134" s="405"/>
      <c r="AI134" s="405"/>
      <c r="AJ134" s="405"/>
      <c r="AK134" s="405"/>
      <c r="AL134" s="405"/>
    </row>
    <row r="135" ht="14.25" customHeight="1">
      <c r="A135" s="763">
        <v>45502.0</v>
      </c>
      <c r="B135" s="349" t="s">
        <v>3680</v>
      </c>
      <c r="C135" s="349" t="s">
        <v>3681</v>
      </c>
      <c r="D135" s="349" t="s">
        <v>54</v>
      </c>
      <c r="E135" s="349" t="s">
        <v>3546</v>
      </c>
      <c r="F135" s="751">
        <v>5000.0</v>
      </c>
      <c r="G135" s="751">
        <v>500.0</v>
      </c>
      <c r="H135" s="349" t="s">
        <v>3682</v>
      </c>
      <c r="I135" s="736" t="str">
        <f t="shared" si="9"/>
        <v>PARTIALLY PAID</v>
      </c>
      <c r="J135" s="402"/>
      <c r="K135" s="402"/>
      <c r="L135" s="402"/>
      <c r="M135" s="402"/>
      <c r="N135" s="402"/>
      <c r="O135" s="402"/>
      <c r="P135" s="402"/>
      <c r="Q135" s="402"/>
      <c r="R135" s="402"/>
      <c r="S135" s="402"/>
      <c r="T135" s="402"/>
      <c r="U135" s="402"/>
      <c r="V135" s="402"/>
      <c r="W135" s="402"/>
      <c r="X135" s="402"/>
      <c r="Y135" s="402"/>
      <c r="Z135" s="402"/>
      <c r="AA135" s="405"/>
      <c r="AB135" s="405"/>
      <c r="AC135" s="405"/>
      <c r="AD135" s="405"/>
      <c r="AE135" s="405"/>
      <c r="AF135" s="405"/>
      <c r="AG135" s="405"/>
      <c r="AH135" s="405"/>
      <c r="AI135" s="405"/>
      <c r="AJ135" s="405"/>
      <c r="AK135" s="405"/>
      <c r="AL135" s="405"/>
    </row>
    <row r="136" ht="14.25" customHeight="1">
      <c r="A136" s="763">
        <v>45502.0</v>
      </c>
      <c r="B136" s="764" t="s">
        <v>3674</v>
      </c>
      <c r="C136" s="764" t="s">
        <v>3675</v>
      </c>
      <c r="D136" s="349" t="s">
        <v>54</v>
      </c>
      <c r="E136" s="349" t="s">
        <v>3551</v>
      </c>
      <c r="F136" s="756">
        <v>410145.51</v>
      </c>
      <c r="G136" s="756">
        <v>422000.0</v>
      </c>
      <c r="H136" s="349" t="s">
        <v>267</v>
      </c>
      <c r="I136" s="736" t="str">
        <f t="shared" si="9"/>
        <v>FULLY PAID</v>
      </c>
      <c r="J136" s="402"/>
      <c r="K136" s="402"/>
      <c r="L136" s="402"/>
      <c r="M136" s="402"/>
      <c r="N136" s="402"/>
      <c r="O136" s="402"/>
      <c r="P136" s="402"/>
      <c r="Q136" s="402"/>
      <c r="R136" s="402"/>
      <c r="S136" s="402"/>
      <c r="T136" s="402"/>
      <c r="U136" s="402"/>
      <c r="V136" s="402"/>
      <c r="W136" s="402"/>
      <c r="X136" s="402"/>
      <c r="Y136" s="402"/>
      <c r="Z136" s="402"/>
      <c r="AA136" s="405"/>
      <c r="AB136" s="405"/>
      <c r="AC136" s="405"/>
      <c r="AD136" s="405"/>
      <c r="AE136" s="405"/>
      <c r="AF136" s="405"/>
      <c r="AG136" s="405"/>
      <c r="AH136" s="405"/>
      <c r="AI136" s="405"/>
      <c r="AJ136" s="405"/>
      <c r="AK136" s="405"/>
      <c r="AL136" s="405"/>
    </row>
    <row r="137" ht="14.25" customHeight="1">
      <c r="A137" s="763">
        <v>45502.0</v>
      </c>
      <c r="B137" s="349" t="s">
        <v>3631</v>
      </c>
      <c r="C137" s="349" t="s">
        <v>3632</v>
      </c>
      <c r="D137" s="349" t="s">
        <v>54</v>
      </c>
      <c r="E137" s="349" t="s">
        <v>3546</v>
      </c>
      <c r="F137" s="751">
        <v>294409.0</v>
      </c>
      <c r="G137" s="751"/>
      <c r="H137" s="349" t="s">
        <v>3683</v>
      </c>
      <c r="I137" s="736" t="str">
        <f t="shared" si="9"/>
        <v>NOT PAID</v>
      </c>
      <c r="J137" s="402"/>
      <c r="K137" s="402"/>
      <c r="L137" s="402"/>
      <c r="M137" s="402"/>
      <c r="N137" s="402"/>
      <c r="O137" s="402"/>
      <c r="P137" s="402"/>
      <c r="Q137" s="402"/>
      <c r="R137" s="402"/>
      <c r="S137" s="402"/>
      <c r="T137" s="402"/>
      <c r="U137" s="402"/>
      <c r="V137" s="402"/>
      <c r="W137" s="402"/>
      <c r="X137" s="402"/>
      <c r="Y137" s="402"/>
      <c r="Z137" s="402"/>
      <c r="AA137" s="405"/>
      <c r="AB137" s="405"/>
      <c r="AC137" s="405"/>
      <c r="AD137" s="405"/>
      <c r="AE137" s="405"/>
      <c r="AF137" s="405"/>
      <c r="AG137" s="405"/>
      <c r="AH137" s="405"/>
      <c r="AI137" s="405"/>
      <c r="AJ137" s="405"/>
      <c r="AK137" s="405"/>
      <c r="AL137" s="405"/>
    </row>
    <row r="138" ht="14.25" customHeight="1">
      <c r="A138" s="763">
        <v>45502.0</v>
      </c>
      <c r="B138" s="349" t="s">
        <v>3588</v>
      </c>
      <c r="C138" s="349" t="s">
        <v>3589</v>
      </c>
      <c r="D138" s="349" t="s">
        <v>54</v>
      </c>
      <c r="E138" s="349" t="s">
        <v>3617</v>
      </c>
      <c r="F138" s="751">
        <v>33359.0</v>
      </c>
      <c r="G138" s="751">
        <v>49911.0</v>
      </c>
      <c r="H138" s="349" t="s">
        <v>710</v>
      </c>
      <c r="I138" s="736" t="str">
        <f t="shared" si="9"/>
        <v>FULLY PAID</v>
      </c>
      <c r="J138" s="402"/>
      <c r="K138" s="402"/>
      <c r="L138" s="402"/>
      <c r="M138" s="402"/>
      <c r="N138" s="402"/>
      <c r="O138" s="402"/>
      <c r="P138" s="402"/>
      <c r="Q138" s="402"/>
      <c r="R138" s="402"/>
      <c r="S138" s="402"/>
      <c r="T138" s="402"/>
      <c r="U138" s="402"/>
      <c r="V138" s="402"/>
      <c r="W138" s="402"/>
      <c r="X138" s="402"/>
      <c r="Y138" s="402"/>
      <c r="Z138" s="402"/>
      <c r="AA138" s="405"/>
      <c r="AB138" s="405"/>
      <c r="AC138" s="405"/>
      <c r="AD138" s="405"/>
      <c r="AE138" s="405"/>
      <c r="AF138" s="405"/>
      <c r="AG138" s="405"/>
      <c r="AH138" s="405"/>
      <c r="AI138" s="405"/>
      <c r="AJ138" s="405"/>
      <c r="AK138" s="405"/>
      <c r="AL138" s="405"/>
    </row>
    <row r="139" ht="14.25" customHeight="1">
      <c r="A139" s="763">
        <v>45502.0</v>
      </c>
      <c r="B139" s="349" t="s">
        <v>3684</v>
      </c>
      <c r="C139" s="349" t="s">
        <v>3685</v>
      </c>
      <c r="D139" s="349" t="s">
        <v>54</v>
      </c>
      <c r="E139" s="349" t="s">
        <v>3617</v>
      </c>
      <c r="F139" s="751">
        <v>95200.0</v>
      </c>
      <c r="G139" s="751"/>
      <c r="H139" s="349" t="s">
        <v>3686</v>
      </c>
      <c r="I139" s="736" t="str">
        <f t="shared" si="9"/>
        <v>NOT PAID</v>
      </c>
      <c r="J139" s="402"/>
      <c r="K139" s="402"/>
      <c r="L139" s="402"/>
      <c r="M139" s="402"/>
      <c r="N139" s="402"/>
      <c r="O139" s="402"/>
      <c r="P139" s="402"/>
      <c r="Q139" s="402"/>
      <c r="R139" s="402"/>
      <c r="S139" s="402"/>
      <c r="T139" s="402"/>
      <c r="U139" s="402"/>
      <c r="V139" s="402"/>
      <c r="W139" s="402"/>
      <c r="X139" s="402"/>
      <c r="Y139" s="402"/>
      <c r="Z139" s="402"/>
      <c r="AA139" s="405"/>
      <c r="AB139" s="405"/>
      <c r="AC139" s="405"/>
      <c r="AD139" s="405"/>
      <c r="AE139" s="405"/>
      <c r="AF139" s="405"/>
      <c r="AG139" s="405"/>
      <c r="AH139" s="405"/>
      <c r="AI139" s="405"/>
      <c r="AJ139" s="405"/>
      <c r="AK139" s="405"/>
      <c r="AL139" s="405"/>
    </row>
    <row r="140" ht="14.25" customHeight="1">
      <c r="A140" s="763">
        <v>45502.0</v>
      </c>
      <c r="B140" s="349" t="s">
        <v>3554</v>
      </c>
      <c r="C140" s="349" t="s">
        <v>3555</v>
      </c>
      <c r="D140" s="349" t="s">
        <v>54</v>
      </c>
      <c r="E140" s="349" t="s">
        <v>3546</v>
      </c>
      <c r="F140" s="751">
        <v>108141.0</v>
      </c>
      <c r="G140" s="751"/>
      <c r="H140" s="349" t="s">
        <v>3683</v>
      </c>
      <c r="I140" s="736" t="str">
        <f t="shared" si="9"/>
        <v>NOT PAID</v>
      </c>
      <c r="J140" s="402"/>
      <c r="K140" s="402"/>
      <c r="L140" s="402"/>
      <c r="M140" s="402"/>
      <c r="N140" s="402"/>
      <c r="O140" s="402"/>
      <c r="P140" s="402"/>
      <c r="Q140" s="402"/>
      <c r="R140" s="402"/>
      <c r="S140" s="402"/>
      <c r="T140" s="402"/>
      <c r="U140" s="402"/>
      <c r="V140" s="402"/>
      <c r="W140" s="402"/>
      <c r="X140" s="402"/>
      <c r="Y140" s="402"/>
      <c r="Z140" s="402"/>
      <c r="AA140" s="405"/>
      <c r="AB140" s="405"/>
      <c r="AC140" s="405"/>
      <c r="AD140" s="405"/>
      <c r="AE140" s="405"/>
      <c r="AF140" s="405"/>
      <c r="AG140" s="405"/>
      <c r="AH140" s="405"/>
      <c r="AI140" s="405"/>
      <c r="AJ140" s="405"/>
      <c r="AK140" s="405"/>
      <c r="AL140" s="405"/>
    </row>
    <row r="141" ht="14.25" customHeight="1">
      <c r="A141" s="763">
        <v>45502.0</v>
      </c>
      <c r="B141" s="349" t="s">
        <v>3687</v>
      </c>
      <c r="C141" s="349" t="s">
        <v>3688</v>
      </c>
      <c r="D141" s="349" t="s">
        <v>54</v>
      </c>
      <c r="E141" s="349" t="s">
        <v>3546</v>
      </c>
      <c r="F141" s="751">
        <v>103000.0</v>
      </c>
      <c r="G141" s="751">
        <v>103667.0</v>
      </c>
      <c r="H141" s="349" t="s">
        <v>267</v>
      </c>
      <c r="I141" s="736" t="str">
        <f t="shared" si="9"/>
        <v>FULLY PAID</v>
      </c>
      <c r="J141" s="402"/>
      <c r="K141" s="402"/>
      <c r="L141" s="402"/>
      <c r="M141" s="402"/>
      <c r="N141" s="402"/>
      <c r="O141" s="402"/>
      <c r="P141" s="402"/>
      <c r="Q141" s="402"/>
      <c r="R141" s="402"/>
      <c r="S141" s="402"/>
      <c r="T141" s="402"/>
      <c r="U141" s="402"/>
      <c r="V141" s="402"/>
      <c r="W141" s="402"/>
      <c r="X141" s="402"/>
      <c r="Y141" s="402"/>
      <c r="Z141" s="402"/>
      <c r="AA141" s="405"/>
      <c r="AB141" s="405"/>
      <c r="AC141" s="405"/>
      <c r="AD141" s="405"/>
      <c r="AE141" s="405"/>
      <c r="AF141" s="405"/>
      <c r="AG141" s="405"/>
      <c r="AH141" s="405"/>
      <c r="AI141" s="405"/>
      <c r="AJ141" s="405"/>
      <c r="AK141" s="405"/>
      <c r="AL141" s="405"/>
    </row>
    <row r="142" ht="14.25" customHeight="1">
      <c r="A142" s="763">
        <v>45502.0</v>
      </c>
      <c r="B142" s="349" t="s">
        <v>3689</v>
      </c>
      <c r="C142" s="349" t="s">
        <v>3690</v>
      </c>
      <c r="D142" s="349" t="s">
        <v>54</v>
      </c>
      <c r="E142" s="349" t="s">
        <v>3551</v>
      </c>
      <c r="F142" s="751">
        <v>62786.0</v>
      </c>
      <c r="G142" s="751"/>
      <c r="H142" s="349" t="s">
        <v>3686</v>
      </c>
      <c r="I142" s="736" t="str">
        <f t="shared" si="9"/>
        <v>NOT PAID</v>
      </c>
      <c r="J142" s="402"/>
      <c r="K142" s="402"/>
      <c r="L142" s="402"/>
      <c r="M142" s="402"/>
      <c r="N142" s="402"/>
      <c r="O142" s="402"/>
      <c r="P142" s="402"/>
      <c r="Q142" s="402"/>
      <c r="R142" s="402"/>
      <c r="S142" s="402"/>
      <c r="T142" s="402"/>
      <c r="U142" s="402"/>
      <c r="V142" s="402"/>
      <c r="W142" s="402"/>
      <c r="X142" s="402"/>
      <c r="Y142" s="402"/>
      <c r="Z142" s="402"/>
      <c r="AA142" s="405"/>
      <c r="AB142" s="405"/>
      <c r="AC142" s="405"/>
      <c r="AD142" s="405"/>
      <c r="AE142" s="405"/>
      <c r="AF142" s="405"/>
      <c r="AG142" s="405"/>
      <c r="AH142" s="405"/>
      <c r="AI142" s="405"/>
      <c r="AJ142" s="405"/>
      <c r="AK142" s="405"/>
      <c r="AL142" s="405"/>
    </row>
    <row r="143" ht="14.25" customHeight="1">
      <c r="A143" s="763">
        <v>45502.0</v>
      </c>
      <c r="B143" s="349" t="s">
        <v>3691</v>
      </c>
      <c r="C143" s="349" t="s">
        <v>3692</v>
      </c>
      <c r="D143" s="349" t="s">
        <v>54</v>
      </c>
      <c r="E143" s="349" t="s">
        <v>3551</v>
      </c>
      <c r="F143" s="751">
        <v>43442.0</v>
      </c>
      <c r="G143" s="751"/>
      <c r="H143" s="349" t="s">
        <v>3682</v>
      </c>
      <c r="I143" s="736" t="str">
        <f t="shared" si="9"/>
        <v>NOT PAID</v>
      </c>
      <c r="J143" s="402"/>
      <c r="K143" s="402"/>
      <c r="L143" s="402"/>
      <c r="M143" s="402"/>
      <c r="N143" s="402"/>
      <c r="O143" s="402"/>
      <c r="P143" s="402"/>
      <c r="Q143" s="402"/>
      <c r="R143" s="402"/>
      <c r="S143" s="402"/>
      <c r="T143" s="402"/>
      <c r="U143" s="402"/>
      <c r="V143" s="402"/>
      <c r="W143" s="402"/>
      <c r="X143" s="402"/>
      <c r="Y143" s="402"/>
      <c r="Z143" s="402"/>
      <c r="AA143" s="405"/>
      <c r="AB143" s="405"/>
      <c r="AC143" s="405"/>
      <c r="AD143" s="405"/>
      <c r="AE143" s="405"/>
      <c r="AF143" s="405"/>
      <c r="AG143" s="405"/>
      <c r="AH143" s="405"/>
      <c r="AI143" s="405"/>
      <c r="AJ143" s="405"/>
      <c r="AK143" s="405"/>
      <c r="AL143" s="405"/>
    </row>
    <row r="144" ht="14.25" customHeight="1">
      <c r="A144" s="763">
        <v>45502.0</v>
      </c>
      <c r="B144" s="349" t="s">
        <v>3693</v>
      </c>
      <c r="C144" s="349" t="s">
        <v>3694</v>
      </c>
      <c r="D144" s="349" t="s">
        <v>54</v>
      </c>
      <c r="E144" s="349" t="s">
        <v>3617</v>
      </c>
      <c r="F144" s="751">
        <v>43268.0</v>
      </c>
      <c r="G144" s="751"/>
      <c r="H144" s="349" t="s">
        <v>2184</v>
      </c>
      <c r="I144" s="736" t="str">
        <f t="shared" si="9"/>
        <v>NOT PAID</v>
      </c>
      <c r="J144" s="402"/>
      <c r="K144" s="402"/>
      <c r="L144" s="402"/>
      <c r="M144" s="402"/>
      <c r="N144" s="402"/>
      <c r="O144" s="402"/>
      <c r="P144" s="402"/>
      <c r="Q144" s="402"/>
      <c r="R144" s="402"/>
      <c r="S144" s="402"/>
      <c r="T144" s="402"/>
      <c r="U144" s="402"/>
      <c r="V144" s="402"/>
      <c r="W144" s="402"/>
      <c r="X144" s="402"/>
      <c r="Y144" s="402"/>
      <c r="Z144" s="402"/>
      <c r="AA144" s="405"/>
      <c r="AB144" s="405"/>
      <c r="AC144" s="405"/>
      <c r="AD144" s="405"/>
      <c r="AE144" s="405"/>
      <c r="AF144" s="405"/>
      <c r="AG144" s="405"/>
      <c r="AH144" s="405"/>
      <c r="AI144" s="405"/>
      <c r="AJ144" s="405"/>
      <c r="AK144" s="405"/>
      <c r="AL144" s="405"/>
    </row>
    <row r="145" ht="14.25" customHeight="1">
      <c r="A145" s="763">
        <v>45502.0</v>
      </c>
      <c r="B145" s="349" t="s">
        <v>3695</v>
      </c>
      <c r="C145" s="349" t="s">
        <v>3696</v>
      </c>
      <c r="D145" s="349" t="s">
        <v>3697</v>
      </c>
      <c r="E145" s="349" t="s">
        <v>3551</v>
      </c>
      <c r="F145" s="751">
        <v>35868.0</v>
      </c>
      <c r="G145" s="751"/>
      <c r="H145" s="349" t="s">
        <v>2184</v>
      </c>
      <c r="I145" s="736" t="str">
        <f t="shared" si="9"/>
        <v>NOT PAID</v>
      </c>
      <c r="J145" s="402"/>
      <c r="K145" s="402"/>
      <c r="L145" s="402"/>
      <c r="M145" s="402"/>
      <c r="N145" s="402"/>
      <c r="O145" s="402"/>
      <c r="P145" s="402"/>
      <c r="Q145" s="402"/>
      <c r="R145" s="402"/>
      <c r="S145" s="402"/>
      <c r="T145" s="402"/>
      <c r="U145" s="402"/>
      <c r="V145" s="402"/>
      <c r="W145" s="402"/>
      <c r="X145" s="402"/>
      <c r="Y145" s="402"/>
      <c r="Z145" s="402"/>
      <c r="AA145" s="405"/>
      <c r="AB145" s="405"/>
      <c r="AC145" s="405"/>
      <c r="AD145" s="405"/>
      <c r="AE145" s="405"/>
      <c r="AF145" s="405"/>
      <c r="AG145" s="405"/>
      <c r="AH145" s="405"/>
      <c r="AI145" s="405"/>
      <c r="AJ145" s="405"/>
      <c r="AK145" s="405"/>
      <c r="AL145" s="405"/>
    </row>
    <row r="146" ht="14.25" customHeight="1">
      <c r="A146" s="763">
        <v>45502.0</v>
      </c>
      <c r="B146" s="349" t="s">
        <v>3698</v>
      </c>
      <c r="C146" s="349" t="s">
        <v>3699</v>
      </c>
      <c r="D146" s="349" t="s">
        <v>54</v>
      </c>
      <c r="E146" s="349" t="s">
        <v>3551</v>
      </c>
      <c r="F146" s="751">
        <v>22703.0</v>
      </c>
      <c r="G146" s="751"/>
      <c r="H146" s="349" t="s">
        <v>2184</v>
      </c>
      <c r="I146" s="736" t="str">
        <f t="shared" si="9"/>
        <v>NOT PAID</v>
      </c>
      <c r="J146" s="402"/>
      <c r="K146" s="402"/>
      <c r="L146" s="402"/>
      <c r="M146" s="402"/>
      <c r="N146" s="402"/>
      <c r="O146" s="402"/>
      <c r="P146" s="402"/>
      <c r="Q146" s="402"/>
      <c r="R146" s="402"/>
      <c r="S146" s="402"/>
      <c r="T146" s="402"/>
      <c r="U146" s="402"/>
      <c r="V146" s="402"/>
      <c r="W146" s="402"/>
      <c r="X146" s="402"/>
      <c r="Y146" s="402"/>
      <c r="Z146" s="402"/>
      <c r="AA146" s="405"/>
      <c r="AB146" s="405"/>
      <c r="AC146" s="405"/>
      <c r="AD146" s="405"/>
      <c r="AE146" s="405"/>
      <c r="AF146" s="405"/>
      <c r="AG146" s="405"/>
      <c r="AH146" s="405"/>
      <c r="AI146" s="405"/>
      <c r="AJ146" s="405"/>
      <c r="AK146" s="405"/>
      <c r="AL146" s="405"/>
    </row>
    <row r="147" ht="14.25" customHeight="1">
      <c r="A147" s="763">
        <v>45502.0</v>
      </c>
      <c r="B147" s="349" t="s">
        <v>3700</v>
      </c>
      <c r="C147" s="349" t="s">
        <v>3701</v>
      </c>
      <c r="D147" s="349" t="s">
        <v>75</v>
      </c>
      <c r="E147" s="349" t="s">
        <v>3617</v>
      </c>
      <c r="F147" s="751">
        <v>80500.0</v>
      </c>
      <c r="G147" s="751">
        <v>80500.0</v>
      </c>
      <c r="H147" s="349" t="s">
        <v>710</v>
      </c>
      <c r="I147" s="736" t="str">
        <f t="shared" si="9"/>
        <v>FULLY PAID</v>
      </c>
      <c r="J147" s="402"/>
      <c r="K147" s="402"/>
      <c r="L147" s="402"/>
      <c r="M147" s="402"/>
      <c r="N147" s="402"/>
      <c r="O147" s="402"/>
      <c r="P147" s="402"/>
      <c r="Q147" s="402"/>
      <c r="R147" s="402"/>
      <c r="S147" s="402"/>
      <c r="T147" s="402"/>
      <c r="U147" s="402"/>
      <c r="V147" s="402"/>
      <c r="W147" s="402"/>
      <c r="X147" s="402"/>
      <c r="Y147" s="402"/>
      <c r="Z147" s="402"/>
      <c r="AA147" s="405"/>
      <c r="AB147" s="405"/>
      <c r="AC147" s="405"/>
      <c r="AD147" s="405"/>
      <c r="AE147" s="405"/>
      <c r="AF147" s="405"/>
      <c r="AG147" s="405"/>
      <c r="AH147" s="405"/>
      <c r="AI147" s="405"/>
      <c r="AJ147" s="405"/>
      <c r="AK147" s="405"/>
      <c r="AL147" s="405"/>
    </row>
    <row r="148" ht="14.25" customHeight="1">
      <c r="A148" s="763">
        <v>45502.0</v>
      </c>
      <c r="B148" s="349" t="s">
        <v>3702</v>
      </c>
      <c r="C148" s="349" t="s">
        <v>3703</v>
      </c>
      <c r="D148" s="349" t="s">
        <v>54</v>
      </c>
      <c r="E148" s="349" t="s">
        <v>3551</v>
      </c>
      <c r="F148" s="751">
        <v>5000.0</v>
      </c>
      <c r="G148" s="751">
        <v>5000.0</v>
      </c>
      <c r="H148" s="349" t="s">
        <v>710</v>
      </c>
      <c r="I148" s="736" t="str">
        <f t="shared" si="9"/>
        <v>FULLY PAID</v>
      </c>
      <c r="J148" s="402"/>
      <c r="K148" s="402"/>
      <c r="L148" s="402"/>
      <c r="M148" s="402"/>
      <c r="N148" s="402"/>
      <c r="O148" s="402"/>
      <c r="P148" s="402"/>
      <c r="Q148" s="402"/>
      <c r="R148" s="402"/>
      <c r="S148" s="402"/>
      <c r="T148" s="402"/>
      <c r="U148" s="402"/>
      <c r="V148" s="402"/>
      <c r="W148" s="402"/>
      <c r="X148" s="402"/>
      <c r="Y148" s="402"/>
      <c r="Z148" s="402"/>
      <c r="AA148" s="405"/>
      <c r="AB148" s="405"/>
      <c r="AC148" s="405"/>
      <c r="AD148" s="405"/>
      <c r="AE148" s="405"/>
      <c r="AF148" s="405"/>
      <c r="AG148" s="405"/>
      <c r="AH148" s="405"/>
      <c r="AI148" s="405"/>
      <c r="AJ148" s="405"/>
      <c r="AK148" s="405"/>
      <c r="AL148" s="405"/>
    </row>
    <row r="149" ht="14.25" customHeight="1">
      <c r="A149" s="763"/>
      <c r="B149" s="402"/>
      <c r="C149" s="402"/>
      <c r="D149" s="402"/>
      <c r="E149" s="402"/>
      <c r="F149" s="751"/>
      <c r="G149" s="751"/>
      <c r="H149" s="402"/>
      <c r="I149" s="736" t="str">
        <f t="shared" si="9"/>
        <v>FULLY PAID</v>
      </c>
      <c r="J149" s="402"/>
      <c r="K149" s="402"/>
      <c r="L149" s="402"/>
      <c r="M149" s="402"/>
      <c r="N149" s="402"/>
      <c r="O149" s="402"/>
      <c r="P149" s="402"/>
      <c r="Q149" s="402"/>
      <c r="R149" s="402"/>
      <c r="S149" s="402"/>
      <c r="T149" s="402"/>
      <c r="U149" s="402"/>
      <c r="V149" s="402"/>
      <c r="W149" s="402"/>
      <c r="X149" s="402"/>
      <c r="Y149" s="402"/>
      <c r="Z149" s="402"/>
      <c r="AA149" s="405"/>
      <c r="AB149" s="405"/>
      <c r="AC149" s="405"/>
      <c r="AD149" s="405"/>
      <c r="AE149" s="405"/>
      <c r="AF149" s="405"/>
      <c r="AG149" s="405"/>
      <c r="AH149" s="405"/>
      <c r="AI149" s="405"/>
      <c r="AJ149" s="405"/>
      <c r="AK149" s="405"/>
      <c r="AL149" s="405"/>
    </row>
    <row r="150" ht="14.25" customHeight="1">
      <c r="A150" s="763">
        <v>45502.0</v>
      </c>
      <c r="B150" s="599" t="s">
        <v>3608</v>
      </c>
      <c r="C150" s="599" t="s">
        <v>3637</v>
      </c>
      <c r="D150" s="599" t="s">
        <v>59</v>
      </c>
      <c r="E150" s="599" t="s">
        <v>3579</v>
      </c>
      <c r="F150" s="768">
        <v>760000.0</v>
      </c>
      <c r="G150" s="769"/>
      <c r="H150" s="349" t="s">
        <v>3704</v>
      </c>
      <c r="I150" s="736" t="str">
        <f t="shared" si="9"/>
        <v>NOT PAID</v>
      </c>
      <c r="J150" s="402"/>
      <c r="K150" s="402"/>
      <c r="L150" s="402"/>
      <c r="M150" s="402"/>
      <c r="N150" s="402"/>
      <c r="O150" s="402"/>
      <c r="P150" s="402"/>
      <c r="Q150" s="402"/>
      <c r="R150" s="402"/>
      <c r="S150" s="402"/>
      <c r="T150" s="402"/>
      <c r="U150" s="402"/>
      <c r="V150" s="402"/>
      <c r="W150" s="402"/>
      <c r="X150" s="402"/>
      <c r="Y150" s="402"/>
      <c r="Z150" s="402"/>
      <c r="AA150" s="405"/>
      <c r="AB150" s="405"/>
      <c r="AC150" s="405"/>
      <c r="AD150" s="405"/>
      <c r="AE150" s="405"/>
      <c r="AF150" s="405"/>
      <c r="AG150" s="405"/>
      <c r="AH150" s="405"/>
      <c r="AI150" s="405"/>
      <c r="AJ150" s="405"/>
      <c r="AK150" s="405"/>
      <c r="AL150" s="405"/>
    </row>
    <row r="151" ht="14.25" customHeight="1">
      <c r="A151" s="763">
        <v>45502.0</v>
      </c>
      <c r="B151" s="569" t="s">
        <v>3581</v>
      </c>
      <c r="C151" s="569" t="s">
        <v>3582</v>
      </c>
      <c r="D151" s="569" t="s">
        <v>54</v>
      </c>
      <c r="E151" s="599" t="s">
        <v>3579</v>
      </c>
      <c r="F151" s="770">
        <v>500000.0</v>
      </c>
      <c r="G151" s="770">
        <v>500000.0</v>
      </c>
      <c r="H151" s="349" t="s">
        <v>710</v>
      </c>
      <c r="I151" s="736" t="str">
        <f t="shared" si="9"/>
        <v>FULLY PAID</v>
      </c>
      <c r="J151" s="402"/>
      <c r="K151" s="402"/>
      <c r="L151" s="402"/>
      <c r="M151" s="402"/>
      <c r="N151" s="402"/>
      <c r="O151" s="402"/>
      <c r="P151" s="402"/>
      <c r="Q151" s="402"/>
      <c r="R151" s="402"/>
      <c r="S151" s="402"/>
      <c r="T151" s="402"/>
      <c r="U151" s="402"/>
      <c r="V151" s="402"/>
      <c r="W151" s="402"/>
      <c r="X151" s="402"/>
      <c r="Y151" s="402"/>
      <c r="Z151" s="402"/>
      <c r="AA151" s="405"/>
      <c r="AB151" s="405"/>
      <c r="AC151" s="405"/>
      <c r="AD151" s="405"/>
      <c r="AE151" s="405"/>
      <c r="AF151" s="405"/>
      <c r="AG151" s="405"/>
      <c r="AH151" s="405"/>
      <c r="AI151" s="405"/>
      <c r="AJ151" s="405"/>
      <c r="AK151" s="405"/>
      <c r="AL151" s="405"/>
    </row>
    <row r="152" ht="14.25" customHeight="1">
      <c r="A152" s="763">
        <v>45502.0</v>
      </c>
      <c r="B152" s="569" t="s">
        <v>3663</v>
      </c>
      <c r="C152" s="569" t="s">
        <v>3705</v>
      </c>
      <c r="D152" s="599" t="s">
        <v>54</v>
      </c>
      <c r="E152" s="569" t="s">
        <v>3579</v>
      </c>
      <c r="F152" s="770">
        <v>164847.0</v>
      </c>
      <c r="G152" s="403"/>
      <c r="H152" s="349" t="s">
        <v>3706</v>
      </c>
      <c r="I152" s="736" t="str">
        <f t="shared" si="9"/>
        <v>NOT PAID</v>
      </c>
      <c r="J152" s="402"/>
      <c r="K152" s="402"/>
      <c r="L152" s="402"/>
      <c r="M152" s="402"/>
      <c r="N152" s="402"/>
      <c r="O152" s="402"/>
      <c r="P152" s="402"/>
      <c r="Q152" s="402"/>
      <c r="R152" s="402"/>
      <c r="S152" s="402"/>
      <c r="T152" s="402"/>
      <c r="U152" s="402"/>
      <c r="V152" s="402"/>
      <c r="W152" s="402"/>
      <c r="X152" s="402"/>
      <c r="Y152" s="402"/>
      <c r="Z152" s="402"/>
      <c r="AA152" s="405"/>
      <c r="AB152" s="405"/>
      <c r="AC152" s="405"/>
      <c r="AD152" s="405"/>
      <c r="AE152" s="405"/>
      <c r="AF152" s="405"/>
      <c r="AG152" s="405"/>
      <c r="AH152" s="405"/>
      <c r="AI152" s="405"/>
      <c r="AJ152" s="405"/>
      <c r="AK152" s="405"/>
      <c r="AL152" s="405"/>
    </row>
    <row r="153" ht="14.25" customHeight="1">
      <c r="A153" s="402"/>
      <c r="B153" s="402"/>
      <c r="C153" s="402"/>
      <c r="D153" s="402"/>
      <c r="E153" s="402"/>
      <c r="F153" s="402"/>
      <c r="G153" s="403"/>
      <c r="H153" s="402"/>
      <c r="I153" s="736" t="str">
        <f t="shared" si="9"/>
        <v>FULLY PAID</v>
      </c>
      <c r="J153" s="402"/>
      <c r="K153" s="402"/>
      <c r="L153" s="402"/>
      <c r="M153" s="402"/>
      <c r="N153" s="402"/>
      <c r="O153" s="402"/>
      <c r="P153" s="402"/>
      <c r="Q153" s="402"/>
      <c r="R153" s="402"/>
      <c r="S153" s="402"/>
      <c r="T153" s="402"/>
      <c r="U153" s="402"/>
      <c r="V153" s="402"/>
      <c r="W153" s="402"/>
      <c r="X153" s="402"/>
      <c r="Y153" s="402"/>
      <c r="Z153" s="402"/>
      <c r="AA153" s="405"/>
      <c r="AB153" s="405"/>
      <c r="AC153" s="405"/>
      <c r="AD153" s="405"/>
      <c r="AE153" s="405"/>
      <c r="AF153" s="405"/>
      <c r="AG153" s="405"/>
      <c r="AH153" s="405"/>
      <c r="AI153" s="405"/>
      <c r="AJ153" s="405"/>
      <c r="AK153" s="405"/>
      <c r="AL153" s="405"/>
    </row>
    <row r="154" ht="14.25" customHeight="1">
      <c r="A154" s="402"/>
      <c r="B154" s="402"/>
      <c r="C154" s="402"/>
      <c r="D154" s="402"/>
      <c r="E154" s="402"/>
      <c r="F154" s="402"/>
      <c r="G154" s="403"/>
      <c r="H154" s="402"/>
      <c r="I154" s="736" t="str">
        <f t="shared" si="9"/>
        <v>FULLY PAID</v>
      </c>
      <c r="J154" s="402"/>
      <c r="K154" s="402"/>
      <c r="L154" s="402"/>
      <c r="M154" s="402"/>
      <c r="N154" s="402"/>
      <c r="O154" s="402"/>
      <c r="P154" s="402"/>
      <c r="Q154" s="402"/>
      <c r="R154" s="402"/>
      <c r="S154" s="402"/>
      <c r="T154" s="402"/>
      <c r="U154" s="402"/>
      <c r="V154" s="402"/>
      <c r="W154" s="402"/>
      <c r="X154" s="402"/>
      <c r="Y154" s="402"/>
      <c r="Z154" s="402"/>
      <c r="AA154" s="405"/>
      <c r="AB154" s="405"/>
      <c r="AC154" s="405"/>
      <c r="AD154" s="405"/>
      <c r="AE154" s="405"/>
      <c r="AF154" s="405"/>
      <c r="AG154" s="405"/>
      <c r="AH154" s="405"/>
      <c r="AI154" s="405"/>
      <c r="AJ154" s="405"/>
      <c r="AK154" s="405"/>
      <c r="AL154" s="405"/>
    </row>
    <row r="155" ht="14.25" customHeight="1">
      <c r="A155" s="584" t="s">
        <v>2130</v>
      </c>
      <c r="B155" s="584" t="s">
        <v>39</v>
      </c>
      <c r="C155" s="584" t="s">
        <v>48</v>
      </c>
      <c r="D155" s="584" t="s">
        <v>49</v>
      </c>
      <c r="E155" s="584" t="s">
        <v>50</v>
      </c>
      <c r="F155" s="584" t="s">
        <v>2</v>
      </c>
      <c r="G155" s="586" t="s">
        <v>44</v>
      </c>
      <c r="H155" s="424" t="s">
        <v>45</v>
      </c>
      <c r="I155" s="736" t="str">
        <f t="shared" si="9"/>
        <v>FULLY PAID</v>
      </c>
      <c r="J155" s="402"/>
      <c r="K155" s="402"/>
      <c r="L155" s="402"/>
      <c r="M155" s="402"/>
      <c r="N155" s="402"/>
      <c r="O155" s="402"/>
      <c r="P155" s="402"/>
      <c r="Q155" s="402"/>
      <c r="R155" s="402"/>
      <c r="S155" s="402"/>
      <c r="T155" s="402"/>
      <c r="U155" s="402"/>
      <c r="V155" s="402"/>
      <c r="W155" s="402"/>
      <c r="X155" s="402"/>
      <c r="Y155" s="402"/>
      <c r="Z155" s="402"/>
      <c r="AA155" s="405"/>
      <c r="AB155" s="405"/>
      <c r="AC155" s="405"/>
      <c r="AD155" s="405"/>
      <c r="AE155" s="405"/>
      <c r="AF155" s="405"/>
      <c r="AG155" s="405"/>
      <c r="AH155" s="405"/>
      <c r="AI155" s="405"/>
      <c r="AJ155" s="405"/>
      <c r="AK155" s="405"/>
      <c r="AL155" s="405"/>
    </row>
    <row r="156" ht="14.25" customHeight="1">
      <c r="A156" s="763">
        <v>45503.0</v>
      </c>
      <c r="B156" s="349" t="s">
        <v>3601</v>
      </c>
      <c r="C156" s="349" t="s">
        <v>3602</v>
      </c>
      <c r="D156" s="349" t="s">
        <v>54</v>
      </c>
      <c r="E156" s="349" t="s">
        <v>3546</v>
      </c>
      <c r="F156" s="751">
        <v>6482.0</v>
      </c>
      <c r="G156" s="751">
        <v>3500.0</v>
      </c>
      <c r="H156" s="349" t="s">
        <v>3707</v>
      </c>
      <c r="I156" s="736" t="str">
        <f t="shared" si="9"/>
        <v>PARTIALLY PAID</v>
      </c>
      <c r="J156" s="402"/>
      <c r="K156" s="402"/>
      <c r="L156" s="402"/>
      <c r="M156" s="402"/>
      <c r="N156" s="402"/>
      <c r="O156" s="402"/>
      <c r="P156" s="402"/>
      <c r="Q156" s="402"/>
      <c r="R156" s="402"/>
      <c r="S156" s="402"/>
      <c r="T156" s="402"/>
      <c r="U156" s="402"/>
      <c r="V156" s="402"/>
      <c r="W156" s="402"/>
      <c r="X156" s="402"/>
      <c r="Y156" s="402"/>
      <c r="Z156" s="402"/>
      <c r="AA156" s="405"/>
      <c r="AB156" s="405"/>
      <c r="AC156" s="405"/>
      <c r="AD156" s="405"/>
      <c r="AE156" s="405"/>
      <c r="AF156" s="405"/>
      <c r="AG156" s="405"/>
      <c r="AH156" s="405"/>
      <c r="AI156" s="405"/>
      <c r="AJ156" s="405"/>
      <c r="AK156" s="405"/>
      <c r="AL156" s="405"/>
    </row>
    <row r="157" ht="14.25" customHeight="1">
      <c r="A157" s="763">
        <v>45503.0</v>
      </c>
      <c r="B157" s="349" t="s">
        <v>3695</v>
      </c>
      <c r="C157" s="349" t="s">
        <v>3696</v>
      </c>
      <c r="D157" s="349" t="s">
        <v>3697</v>
      </c>
      <c r="E157" s="349" t="s">
        <v>3551</v>
      </c>
      <c r="F157" s="751">
        <v>35868.0</v>
      </c>
      <c r="G157" s="751">
        <v>30000.0</v>
      </c>
      <c r="H157" s="349" t="s">
        <v>3707</v>
      </c>
      <c r="I157" s="736" t="str">
        <f t="shared" si="9"/>
        <v>PARTIALLY PAID</v>
      </c>
      <c r="J157" s="402"/>
      <c r="K157" s="402"/>
      <c r="L157" s="402"/>
      <c r="M157" s="402"/>
      <c r="N157" s="402"/>
      <c r="O157" s="402"/>
      <c r="P157" s="402"/>
      <c r="Q157" s="402"/>
      <c r="R157" s="402"/>
      <c r="S157" s="402"/>
      <c r="T157" s="402"/>
      <c r="U157" s="402"/>
      <c r="V157" s="402"/>
      <c r="W157" s="402"/>
      <c r="X157" s="402"/>
      <c r="Y157" s="402"/>
      <c r="Z157" s="402"/>
      <c r="AA157" s="405"/>
      <c r="AB157" s="405"/>
      <c r="AC157" s="405"/>
      <c r="AD157" s="405"/>
      <c r="AE157" s="405"/>
      <c r="AF157" s="405"/>
      <c r="AG157" s="405"/>
      <c r="AH157" s="405"/>
      <c r="AI157" s="405"/>
      <c r="AJ157" s="405"/>
      <c r="AK157" s="405"/>
      <c r="AL157" s="405"/>
    </row>
    <row r="158" ht="14.25" customHeight="1">
      <c r="A158" s="763">
        <v>45503.0</v>
      </c>
      <c r="B158" s="349" t="s">
        <v>3631</v>
      </c>
      <c r="C158" s="349" t="s">
        <v>3632</v>
      </c>
      <c r="D158" s="349" t="s">
        <v>54</v>
      </c>
      <c r="E158" s="349" t="s">
        <v>3546</v>
      </c>
      <c r="F158" s="751">
        <v>294409.0</v>
      </c>
      <c r="G158" s="751">
        <v>130000.0</v>
      </c>
      <c r="H158" s="349" t="s">
        <v>3707</v>
      </c>
      <c r="I158" s="736" t="str">
        <f t="shared" si="9"/>
        <v>PARTIALLY PAID</v>
      </c>
      <c r="J158" s="402"/>
      <c r="K158" s="402"/>
      <c r="L158" s="402"/>
      <c r="M158" s="402"/>
      <c r="N158" s="402"/>
      <c r="O158" s="402"/>
      <c r="P158" s="402"/>
      <c r="Q158" s="402"/>
      <c r="R158" s="402"/>
      <c r="S158" s="402"/>
      <c r="T158" s="402"/>
      <c r="U158" s="402"/>
      <c r="V158" s="402"/>
      <c r="W158" s="402"/>
      <c r="X158" s="402"/>
      <c r="Y158" s="402"/>
      <c r="Z158" s="402"/>
      <c r="AA158" s="405"/>
      <c r="AB158" s="405"/>
      <c r="AC158" s="405"/>
      <c r="AD158" s="405"/>
      <c r="AE158" s="405"/>
      <c r="AF158" s="405"/>
      <c r="AG158" s="405"/>
      <c r="AH158" s="405"/>
      <c r="AI158" s="405"/>
      <c r="AJ158" s="405"/>
      <c r="AK158" s="405"/>
      <c r="AL158" s="405"/>
    </row>
    <row r="159" ht="14.25" customHeight="1">
      <c r="A159" s="763">
        <v>45503.0</v>
      </c>
      <c r="B159" s="349" t="s">
        <v>3708</v>
      </c>
      <c r="C159" s="349" t="s">
        <v>3709</v>
      </c>
      <c r="D159" s="349" t="s">
        <v>54</v>
      </c>
      <c r="E159" s="349" t="s">
        <v>3556</v>
      </c>
      <c r="F159" s="751">
        <v>94493.0</v>
      </c>
      <c r="G159" s="751">
        <v>95000.0</v>
      </c>
      <c r="H159" s="349" t="s">
        <v>710</v>
      </c>
      <c r="I159" s="736" t="str">
        <f t="shared" si="9"/>
        <v>FULLY PAID</v>
      </c>
      <c r="J159" s="402"/>
      <c r="K159" s="402"/>
      <c r="L159" s="402"/>
      <c r="M159" s="402"/>
      <c r="N159" s="402"/>
      <c r="O159" s="402"/>
      <c r="P159" s="402"/>
      <c r="Q159" s="402"/>
      <c r="R159" s="402"/>
      <c r="S159" s="402"/>
      <c r="T159" s="402"/>
      <c r="U159" s="402"/>
      <c r="V159" s="402"/>
      <c r="W159" s="402"/>
      <c r="X159" s="402"/>
      <c r="Y159" s="402"/>
      <c r="Z159" s="402"/>
      <c r="AA159" s="405"/>
      <c r="AB159" s="405"/>
      <c r="AC159" s="405"/>
      <c r="AD159" s="405"/>
      <c r="AE159" s="405"/>
      <c r="AF159" s="405"/>
      <c r="AG159" s="405"/>
      <c r="AH159" s="405"/>
      <c r="AI159" s="405"/>
      <c r="AJ159" s="405"/>
      <c r="AK159" s="405"/>
      <c r="AL159" s="405"/>
    </row>
    <row r="160" ht="14.25" customHeight="1">
      <c r="A160" s="763">
        <v>45503.0</v>
      </c>
      <c r="B160" s="349" t="s">
        <v>3710</v>
      </c>
      <c r="C160" s="349" t="s">
        <v>3711</v>
      </c>
      <c r="D160" s="349" t="s">
        <v>54</v>
      </c>
      <c r="E160" s="349" t="s">
        <v>3556</v>
      </c>
      <c r="F160" s="751">
        <v>37618.0</v>
      </c>
      <c r="G160" s="751"/>
      <c r="H160" s="349" t="s">
        <v>2184</v>
      </c>
      <c r="I160" s="736" t="str">
        <f t="shared" si="9"/>
        <v>NOT PAID</v>
      </c>
      <c r="J160" s="402"/>
      <c r="K160" s="402"/>
      <c r="L160" s="402"/>
      <c r="M160" s="402"/>
      <c r="N160" s="402"/>
      <c r="O160" s="402"/>
      <c r="P160" s="402"/>
      <c r="Q160" s="402"/>
      <c r="R160" s="402"/>
      <c r="S160" s="402"/>
      <c r="T160" s="402"/>
      <c r="U160" s="402"/>
      <c r="V160" s="402"/>
      <c r="W160" s="402"/>
      <c r="X160" s="402"/>
      <c r="Y160" s="402"/>
      <c r="Z160" s="402"/>
      <c r="AA160" s="405"/>
      <c r="AB160" s="405"/>
      <c r="AC160" s="405"/>
      <c r="AD160" s="405"/>
      <c r="AE160" s="405"/>
      <c r="AF160" s="405"/>
      <c r="AG160" s="405"/>
      <c r="AH160" s="405"/>
      <c r="AI160" s="405"/>
      <c r="AJ160" s="405"/>
      <c r="AK160" s="405"/>
      <c r="AL160" s="405"/>
    </row>
    <row r="161" ht="14.25" customHeight="1">
      <c r="A161" s="763">
        <v>45503.0</v>
      </c>
      <c r="B161" s="349" t="s">
        <v>3712</v>
      </c>
      <c r="C161" s="349" t="s">
        <v>3713</v>
      </c>
      <c r="D161" s="349" t="s">
        <v>54</v>
      </c>
      <c r="E161" s="349" t="s">
        <v>3617</v>
      </c>
      <c r="F161" s="751">
        <v>12119.0</v>
      </c>
      <c r="G161" s="751"/>
      <c r="H161" s="349" t="s">
        <v>2184</v>
      </c>
      <c r="I161" s="736" t="str">
        <f t="shared" si="9"/>
        <v>NOT PAID</v>
      </c>
      <c r="J161" s="402"/>
      <c r="K161" s="402"/>
      <c r="L161" s="402"/>
      <c r="M161" s="402"/>
      <c r="N161" s="402"/>
      <c r="O161" s="402"/>
      <c r="P161" s="402"/>
      <c r="Q161" s="402"/>
      <c r="R161" s="402"/>
      <c r="S161" s="402"/>
      <c r="T161" s="402"/>
      <c r="U161" s="402"/>
      <c r="V161" s="402"/>
      <c r="W161" s="402"/>
      <c r="X161" s="402"/>
      <c r="Y161" s="402"/>
      <c r="Z161" s="402"/>
      <c r="AA161" s="405"/>
      <c r="AB161" s="405"/>
      <c r="AC161" s="405"/>
      <c r="AD161" s="405"/>
      <c r="AE161" s="405"/>
      <c r="AF161" s="405"/>
      <c r="AG161" s="405"/>
      <c r="AH161" s="405"/>
      <c r="AI161" s="405"/>
      <c r="AJ161" s="405"/>
      <c r="AK161" s="405"/>
      <c r="AL161" s="405"/>
    </row>
    <row r="162" ht="14.25" customHeight="1">
      <c r="A162" s="763">
        <v>45503.0</v>
      </c>
      <c r="B162" s="349" t="s">
        <v>3714</v>
      </c>
      <c r="C162" s="349" t="s">
        <v>3715</v>
      </c>
      <c r="D162" s="349" t="s">
        <v>54</v>
      </c>
      <c r="E162" s="349" t="s">
        <v>3617</v>
      </c>
      <c r="F162" s="751">
        <v>4360.0</v>
      </c>
      <c r="G162" s="751">
        <v>4000.0</v>
      </c>
      <c r="H162" s="349" t="s">
        <v>710</v>
      </c>
      <c r="I162" s="736" t="str">
        <f t="shared" si="9"/>
        <v>PARTIALLY PAID</v>
      </c>
      <c r="J162" s="402"/>
      <c r="K162" s="402"/>
      <c r="L162" s="402"/>
      <c r="M162" s="402"/>
      <c r="N162" s="402"/>
      <c r="O162" s="402"/>
      <c r="P162" s="402"/>
      <c r="Q162" s="402"/>
      <c r="R162" s="402"/>
      <c r="S162" s="402"/>
      <c r="T162" s="402"/>
      <c r="U162" s="402"/>
      <c r="V162" s="402"/>
      <c r="W162" s="402"/>
      <c r="X162" s="402"/>
      <c r="Y162" s="402"/>
      <c r="Z162" s="402"/>
      <c r="AA162" s="405"/>
      <c r="AB162" s="405"/>
      <c r="AC162" s="405"/>
      <c r="AD162" s="405"/>
      <c r="AE162" s="405"/>
      <c r="AF162" s="405"/>
      <c r="AG162" s="405"/>
      <c r="AH162" s="405"/>
      <c r="AI162" s="405"/>
      <c r="AJ162" s="405"/>
      <c r="AK162" s="405"/>
      <c r="AL162" s="405"/>
    </row>
    <row r="163" ht="14.25" customHeight="1">
      <c r="A163" s="763">
        <v>45503.0</v>
      </c>
      <c r="B163" s="349" t="s">
        <v>3684</v>
      </c>
      <c r="C163" s="349" t="s">
        <v>3685</v>
      </c>
      <c r="D163" s="349" t="s">
        <v>54</v>
      </c>
      <c r="E163" s="349" t="s">
        <v>3617</v>
      </c>
      <c r="F163" s="751">
        <v>95200.0</v>
      </c>
      <c r="G163" s="751"/>
      <c r="H163" s="349" t="s">
        <v>3716</v>
      </c>
      <c r="I163" s="736" t="str">
        <f t="shared" si="9"/>
        <v>NOT PAID</v>
      </c>
      <c r="J163" s="402"/>
      <c r="K163" s="402"/>
      <c r="L163" s="402"/>
      <c r="M163" s="402"/>
      <c r="N163" s="402"/>
      <c r="O163" s="402"/>
      <c r="P163" s="402"/>
      <c r="Q163" s="402"/>
      <c r="R163" s="402"/>
      <c r="S163" s="402"/>
      <c r="T163" s="402"/>
      <c r="U163" s="402"/>
      <c r="V163" s="402"/>
      <c r="W163" s="402"/>
      <c r="X163" s="402"/>
      <c r="Y163" s="402"/>
      <c r="Z163" s="402"/>
      <c r="AA163" s="405"/>
      <c r="AB163" s="405"/>
      <c r="AC163" s="405"/>
      <c r="AD163" s="405"/>
      <c r="AE163" s="405"/>
      <c r="AF163" s="405"/>
      <c r="AG163" s="405"/>
      <c r="AH163" s="405"/>
      <c r="AI163" s="405"/>
      <c r="AJ163" s="405"/>
      <c r="AK163" s="405"/>
      <c r="AL163" s="405"/>
    </row>
    <row r="164" ht="14.25" customHeight="1">
      <c r="A164" s="763">
        <v>45503.0</v>
      </c>
      <c r="B164" s="349" t="s">
        <v>3561</v>
      </c>
      <c r="C164" s="349" t="s">
        <v>3562</v>
      </c>
      <c r="D164" s="349" t="s">
        <v>54</v>
      </c>
      <c r="E164" s="349" t="s">
        <v>3556</v>
      </c>
      <c r="F164" s="751">
        <v>108141.0</v>
      </c>
      <c r="G164" s="751">
        <v>57500.0</v>
      </c>
      <c r="H164" s="349" t="s">
        <v>3707</v>
      </c>
      <c r="I164" s="736" t="str">
        <f t="shared" si="9"/>
        <v>PARTIALLY PAID</v>
      </c>
      <c r="J164" s="402"/>
      <c r="K164" s="402"/>
      <c r="L164" s="402"/>
      <c r="M164" s="402"/>
      <c r="N164" s="402"/>
      <c r="O164" s="402"/>
      <c r="P164" s="402"/>
      <c r="Q164" s="402"/>
      <c r="R164" s="402"/>
      <c r="S164" s="402"/>
      <c r="T164" s="402"/>
      <c r="U164" s="402"/>
      <c r="V164" s="402"/>
      <c r="W164" s="402"/>
      <c r="X164" s="402"/>
      <c r="Y164" s="402"/>
      <c r="Z164" s="402"/>
      <c r="AA164" s="405"/>
      <c r="AB164" s="405"/>
      <c r="AC164" s="405"/>
      <c r="AD164" s="405"/>
      <c r="AE164" s="405"/>
      <c r="AF164" s="405"/>
      <c r="AG164" s="405"/>
      <c r="AH164" s="405"/>
      <c r="AI164" s="405"/>
      <c r="AJ164" s="405"/>
      <c r="AK164" s="405"/>
      <c r="AL164" s="405"/>
    </row>
    <row r="165" ht="14.25" customHeight="1">
      <c r="A165" s="763">
        <v>45503.0</v>
      </c>
      <c r="B165" s="349" t="s">
        <v>3717</v>
      </c>
      <c r="C165" s="349" t="s">
        <v>3621</v>
      </c>
      <c r="D165" s="349" t="s">
        <v>54</v>
      </c>
      <c r="E165" s="349" t="s">
        <v>3617</v>
      </c>
      <c r="F165" s="751">
        <v>22711.0</v>
      </c>
      <c r="G165" s="751"/>
      <c r="H165" s="349" t="s">
        <v>3716</v>
      </c>
      <c r="I165" s="736" t="str">
        <f t="shared" si="9"/>
        <v>NOT PAID</v>
      </c>
      <c r="J165" s="402"/>
      <c r="K165" s="402"/>
      <c r="L165" s="402"/>
      <c r="M165" s="402"/>
      <c r="N165" s="402"/>
      <c r="O165" s="402"/>
      <c r="P165" s="402"/>
      <c r="Q165" s="402"/>
      <c r="R165" s="402"/>
      <c r="S165" s="402"/>
      <c r="T165" s="402"/>
      <c r="U165" s="402"/>
      <c r="V165" s="402"/>
      <c r="W165" s="402"/>
      <c r="X165" s="402"/>
      <c r="Y165" s="402"/>
      <c r="Z165" s="402"/>
      <c r="AA165" s="405"/>
      <c r="AB165" s="405"/>
      <c r="AC165" s="405"/>
      <c r="AD165" s="405"/>
      <c r="AE165" s="405"/>
      <c r="AF165" s="405"/>
      <c r="AG165" s="405"/>
      <c r="AH165" s="405"/>
      <c r="AI165" s="405"/>
      <c r="AJ165" s="405"/>
      <c r="AK165" s="405"/>
      <c r="AL165" s="405"/>
    </row>
    <row r="166" ht="14.25" customHeight="1">
      <c r="A166" s="763">
        <v>45503.0</v>
      </c>
      <c r="B166" s="349" t="s">
        <v>3641</v>
      </c>
      <c r="C166" s="349" t="s">
        <v>3642</v>
      </c>
      <c r="D166" s="349" t="s">
        <v>54</v>
      </c>
      <c r="E166" s="349" t="s">
        <v>3551</v>
      </c>
      <c r="F166" s="751">
        <v>9688.0</v>
      </c>
      <c r="G166" s="751"/>
      <c r="H166" s="349" t="s">
        <v>3716</v>
      </c>
      <c r="I166" s="736" t="str">
        <f t="shared" si="9"/>
        <v>NOT PAID</v>
      </c>
      <c r="J166" s="402"/>
      <c r="K166" s="402"/>
      <c r="L166" s="402"/>
      <c r="M166" s="402"/>
      <c r="N166" s="402"/>
      <c r="O166" s="402"/>
      <c r="P166" s="402"/>
      <c r="Q166" s="402"/>
      <c r="R166" s="402"/>
      <c r="S166" s="402"/>
      <c r="T166" s="402"/>
      <c r="U166" s="402"/>
      <c r="V166" s="402"/>
      <c r="W166" s="402"/>
      <c r="X166" s="402"/>
      <c r="Y166" s="402"/>
      <c r="Z166" s="402"/>
      <c r="AA166" s="405"/>
      <c r="AB166" s="405"/>
      <c r="AC166" s="405"/>
      <c r="AD166" s="405"/>
      <c r="AE166" s="405"/>
      <c r="AF166" s="405"/>
      <c r="AG166" s="405"/>
      <c r="AH166" s="405"/>
      <c r="AI166" s="405"/>
      <c r="AJ166" s="405"/>
      <c r="AK166" s="405"/>
      <c r="AL166" s="405"/>
    </row>
    <row r="167" ht="14.25" customHeight="1">
      <c r="A167" s="763">
        <v>45503.0</v>
      </c>
      <c r="B167" s="349" t="s">
        <v>3698</v>
      </c>
      <c r="C167" s="349" t="s">
        <v>3699</v>
      </c>
      <c r="D167" s="349" t="s">
        <v>54</v>
      </c>
      <c r="E167" s="349" t="s">
        <v>3551</v>
      </c>
      <c r="F167" s="751">
        <v>22703.0</v>
      </c>
      <c r="G167" s="751"/>
      <c r="H167" s="349" t="s">
        <v>3716</v>
      </c>
      <c r="I167" s="736" t="str">
        <f t="shared" si="9"/>
        <v>NOT PAID</v>
      </c>
      <c r="J167" s="402"/>
      <c r="K167" s="402"/>
      <c r="L167" s="402"/>
      <c r="M167" s="402"/>
      <c r="N167" s="402"/>
      <c r="O167" s="402"/>
      <c r="P167" s="402"/>
      <c r="Q167" s="402"/>
      <c r="R167" s="402"/>
      <c r="S167" s="402"/>
      <c r="T167" s="402"/>
      <c r="U167" s="402"/>
      <c r="V167" s="402"/>
      <c r="W167" s="402"/>
      <c r="X167" s="402"/>
      <c r="Y167" s="402"/>
      <c r="Z167" s="402"/>
      <c r="AA167" s="405"/>
      <c r="AB167" s="405"/>
      <c r="AC167" s="405"/>
      <c r="AD167" s="405"/>
      <c r="AE167" s="405"/>
      <c r="AF167" s="405"/>
      <c r="AG167" s="405"/>
      <c r="AH167" s="405"/>
      <c r="AI167" s="405"/>
      <c r="AJ167" s="405"/>
      <c r="AK167" s="405"/>
      <c r="AL167" s="405"/>
    </row>
    <row r="168" ht="14.25" customHeight="1">
      <c r="A168" s="763">
        <v>45503.0</v>
      </c>
      <c r="B168" s="349" t="s">
        <v>3718</v>
      </c>
      <c r="C168" s="349" t="s">
        <v>3719</v>
      </c>
      <c r="D168" s="349" t="s">
        <v>54</v>
      </c>
      <c r="E168" s="349" t="s">
        <v>3551</v>
      </c>
      <c r="F168" s="751">
        <v>344354.0</v>
      </c>
      <c r="G168" s="751"/>
      <c r="H168" s="349" t="s">
        <v>3720</v>
      </c>
      <c r="I168" s="736" t="str">
        <f t="shared" si="9"/>
        <v>NOT PAID</v>
      </c>
      <c r="J168" s="402"/>
      <c r="K168" s="402"/>
      <c r="L168" s="402"/>
      <c r="M168" s="402"/>
      <c r="N168" s="402"/>
      <c r="O168" s="402"/>
      <c r="P168" s="402"/>
      <c r="Q168" s="402"/>
      <c r="R168" s="402"/>
      <c r="S168" s="402"/>
      <c r="T168" s="402"/>
      <c r="U168" s="402"/>
      <c r="V168" s="402"/>
      <c r="W168" s="402"/>
      <c r="X168" s="402"/>
      <c r="Y168" s="402"/>
      <c r="Z168" s="402"/>
      <c r="AA168" s="405"/>
      <c r="AB168" s="405"/>
      <c r="AC168" s="405"/>
      <c r="AD168" s="405"/>
      <c r="AE168" s="405"/>
      <c r="AF168" s="405"/>
      <c r="AG168" s="405"/>
      <c r="AH168" s="405"/>
      <c r="AI168" s="405"/>
      <c r="AJ168" s="405"/>
      <c r="AK168" s="405"/>
      <c r="AL168" s="405"/>
    </row>
    <row r="169" ht="14.25" customHeight="1">
      <c r="A169" s="763">
        <v>45503.0</v>
      </c>
      <c r="B169" s="349" t="s">
        <v>3547</v>
      </c>
      <c r="C169" s="349" t="s">
        <v>3545</v>
      </c>
      <c r="D169" s="349" t="s">
        <v>54</v>
      </c>
      <c r="E169" s="349" t="s">
        <v>3546</v>
      </c>
      <c r="F169" s="751">
        <v>109310.0</v>
      </c>
      <c r="G169" s="751">
        <v>136532.0</v>
      </c>
      <c r="H169" s="349" t="s">
        <v>710</v>
      </c>
      <c r="I169" s="736" t="str">
        <f t="shared" si="9"/>
        <v>FULLY PAID</v>
      </c>
      <c r="J169" s="402"/>
      <c r="K169" s="402"/>
      <c r="L169" s="402"/>
      <c r="M169" s="402"/>
      <c r="N169" s="402"/>
      <c r="O169" s="402"/>
      <c r="P169" s="402"/>
      <c r="Q169" s="402"/>
      <c r="R169" s="402"/>
      <c r="S169" s="402"/>
      <c r="T169" s="402"/>
      <c r="U169" s="402"/>
      <c r="V169" s="402"/>
      <c r="W169" s="402"/>
      <c r="X169" s="402"/>
      <c r="Y169" s="402"/>
      <c r="Z169" s="402"/>
      <c r="AA169" s="405"/>
      <c r="AB169" s="405"/>
      <c r="AC169" s="405"/>
      <c r="AD169" s="405"/>
      <c r="AE169" s="405"/>
      <c r="AF169" s="405"/>
      <c r="AG169" s="405"/>
      <c r="AH169" s="405"/>
      <c r="AI169" s="405"/>
      <c r="AJ169" s="405"/>
      <c r="AK169" s="405"/>
      <c r="AL169" s="405"/>
    </row>
    <row r="170" ht="14.25" customHeight="1">
      <c r="A170" s="763">
        <v>45503.0</v>
      </c>
      <c r="B170" s="349" t="s">
        <v>3653</v>
      </c>
      <c r="C170" s="349" t="s">
        <v>3654</v>
      </c>
      <c r="D170" s="349" t="s">
        <v>54</v>
      </c>
      <c r="E170" s="349" t="s">
        <v>3556</v>
      </c>
      <c r="F170" s="751">
        <v>98396.0</v>
      </c>
      <c r="G170" s="751"/>
      <c r="H170" s="349" t="s">
        <v>2184</v>
      </c>
      <c r="I170" s="736" t="str">
        <f t="shared" si="9"/>
        <v>NOT PAID</v>
      </c>
      <c r="J170" s="402"/>
      <c r="K170" s="402"/>
      <c r="L170" s="402"/>
      <c r="M170" s="402"/>
      <c r="N170" s="402"/>
      <c r="O170" s="402"/>
      <c r="P170" s="402"/>
      <c r="Q170" s="402"/>
      <c r="R170" s="402"/>
      <c r="S170" s="402"/>
      <c r="T170" s="402"/>
      <c r="U170" s="402"/>
      <c r="V170" s="402"/>
      <c r="W170" s="402"/>
      <c r="X170" s="402"/>
      <c r="Y170" s="402"/>
      <c r="Z170" s="402"/>
      <c r="AA170" s="405"/>
      <c r="AB170" s="405"/>
      <c r="AC170" s="405"/>
      <c r="AD170" s="405"/>
      <c r="AE170" s="405"/>
      <c r="AF170" s="405"/>
      <c r="AG170" s="405"/>
      <c r="AH170" s="405"/>
      <c r="AI170" s="405"/>
      <c r="AJ170" s="405"/>
      <c r="AK170" s="405"/>
      <c r="AL170" s="405"/>
    </row>
    <row r="171" ht="14.25" customHeight="1">
      <c r="A171" s="763">
        <v>45503.0</v>
      </c>
      <c r="B171" s="349" t="s">
        <v>3721</v>
      </c>
      <c r="C171" s="349" t="s">
        <v>3722</v>
      </c>
      <c r="D171" s="349" t="s">
        <v>54</v>
      </c>
      <c r="E171" s="349" t="s">
        <v>3551</v>
      </c>
      <c r="F171" s="751">
        <v>42295.0</v>
      </c>
      <c r="G171" s="751">
        <v>26500.0</v>
      </c>
      <c r="H171" s="349" t="s">
        <v>3659</v>
      </c>
      <c r="I171" s="736" t="str">
        <f t="shared" si="9"/>
        <v>PARTIALLY PAID</v>
      </c>
      <c r="J171" s="402"/>
      <c r="K171" s="402"/>
      <c r="L171" s="402"/>
      <c r="M171" s="402"/>
      <c r="N171" s="402"/>
      <c r="O171" s="402"/>
      <c r="P171" s="402"/>
      <c r="Q171" s="402"/>
      <c r="R171" s="402"/>
      <c r="S171" s="402"/>
      <c r="T171" s="402"/>
      <c r="U171" s="402"/>
      <c r="V171" s="402"/>
      <c r="W171" s="402"/>
      <c r="X171" s="402"/>
      <c r="Y171" s="402"/>
      <c r="Z171" s="402"/>
      <c r="AA171" s="405"/>
      <c r="AB171" s="405"/>
      <c r="AC171" s="405"/>
      <c r="AD171" s="405"/>
      <c r="AE171" s="405"/>
      <c r="AF171" s="405"/>
      <c r="AG171" s="405"/>
      <c r="AH171" s="405"/>
      <c r="AI171" s="405"/>
      <c r="AJ171" s="405"/>
      <c r="AK171" s="405"/>
      <c r="AL171" s="405"/>
    </row>
    <row r="172" ht="14.25" customHeight="1">
      <c r="A172" s="763">
        <v>45503.0</v>
      </c>
      <c r="B172" s="349" t="s">
        <v>3723</v>
      </c>
      <c r="C172" s="349" t="s">
        <v>3724</v>
      </c>
      <c r="D172" s="349" t="s">
        <v>54</v>
      </c>
      <c r="E172" s="349" t="s">
        <v>3551</v>
      </c>
      <c r="F172" s="751">
        <v>13418.0</v>
      </c>
      <c r="G172" s="751">
        <v>16908.0</v>
      </c>
      <c r="H172" s="349" t="s">
        <v>710</v>
      </c>
      <c r="I172" s="736" t="str">
        <f t="shared" si="9"/>
        <v>FULLY PAID</v>
      </c>
      <c r="J172" s="402"/>
      <c r="K172" s="402"/>
      <c r="L172" s="402"/>
      <c r="M172" s="402"/>
      <c r="N172" s="402"/>
      <c r="O172" s="402"/>
      <c r="P172" s="402"/>
      <c r="Q172" s="402"/>
      <c r="R172" s="402"/>
      <c r="S172" s="402"/>
      <c r="T172" s="402"/>
      <c r="U172" s="402"/>
      <c r="V172" s="402"/>
      <c r="W172" s="402"/>
      <c r="X172" s="402"/>
      <c r="Y172" s="402"/>
      <c r="Z172" s="402"/>
      <c r="AA172" s="405"/>
      <c r="AB172" s="405"/>
      <c r="AC172" s="405"/>
      <c r="AD172" s="405"/>
      <c r="AE172" s="405"/>
      <c r="AF172" s="405"/>
      <c r="AG172" s="405"/>
      <c r="AH172" s="405"/>
      <c r="AI172" s="405"/>
      <c r="AJ172" s="405"/>
      <c r="AK172" s="405"/>
      <c r="AL172" s="405"/>
    </row>
    <row r="173" ht="14.25" customHeight="1">
      <c r="A173" s="763">
        <v>45503.0</v>
      </c>
      <c r="B173" s="764" t="s">
        <v>3674</v>
      </c>
      <c r="C173" s="764" t="s">
        <v>3675</v>
      </c>
      <c r="D173" s="349" t="s">
        <v>54</v>
      </c>
      <c r="E173" s="349" t="s">
        <v>3551</v>
      </c>
      <c r="F173" s="756">
        <v>410145.51</v>
      </c>
      <c r="G173" s="756"/>
      <c r="H173" s="349" t="s">
        <v>3584</v>
      </c>
      <c r="I173" s="736" t="str">
        <f t="shared" si="9"/>
        <v>NOT PAID</v>
      </c>
      <c r="J173" s="402"/>
      <c r="K173" s="402"/>
      <c r="L173" s="402"/>
      <c r="M173" s="402"/>
      <c r="N173" s="402"/>
      <c r="O173" s="402"/>
      <c r="P173" s="402"/>
      <c r="Q173" s="402"/>
      <c r="R173" s="402"/>
      <c r="S173" s="402"/>
      <c r="T173" s="402"/>
      <c r="U173" s="402"/>
      <c r="V173" s="402"/>
      <c r="W173" s="402"/>
      <c r="X173" s="402"/>
      <c r="Y173" s="402"/>
      <c r="Z173" s="402"/>
      <c r="AA173" s="405"/>
      <c r="AB173" s="405"/>
      <c r="AC173" s="405"/>
      <c r="AD173" s="405"/>
      <c r="AE173" s="405"/>
      <c r="AF173" s="405"/>
      <c r="AG173" s="405"/>
      <c r="AH173" s="405"/>
      <c r="AI173" s="405"/>
      <c r="AJ173" s="405"/>
      <c r="AK173" s="405"/>
      <c r="AL173" s="405"/>
    </row>
    <row r="174" ht="14.25" customHeight="1">
      <c r="A174" s="763">
        <v>45503.0</v>
      </c>
      <c r="B174" s="764" t="s">
        <v>3725</v>
      </c>
      <c r="C174" s="764" t="s">
        <v>3726</v>
      </c>
      <c r="D174" s="349" t="s">
        <v>54</v>
      </c>
      <c r="E174" s="349" t="s">
        <v>3617</v>
      </c>
      <c r="F174" s="756">
        <v>200.0</v>
      </c>
      <c r="G174" s="756">
        <v>250.0</v>
      </c>
      <c r="H174" s="349" t="s">
        <v>710</v>
      </c>
      <c r="I174" s="736" t="str">
        <f t="shared" si="9"/>
        <v>FULLY PAID</v>
      </c>
      <c r="J174" s="402"/>
      <c r="K174" s="402"/>
      <c r="L174" s="402"/>
      <c r="M174" s="402"/>
      <c r="N174" s="402"/>
      <c r="O174" s="402"/>
      <c r="P174" s="402"/>
      <c r="Q174" s="402"/>
      <c r="R174" s="402"/>
      <c r="S174" s="402"/>
      <c r="T174" s="402"/>
      <c r="U174" s="402"/>
      <c r="V174" s="402"/>
      <c r="W174" s="402"/>
      <c r="X174" s="402"/>
      <c r="Y174" s="402"/>
      <c r="Z174" s="402"/>
      <c r="AA174" s="405"/>
      <c r="AB174" s="405"/>
      <c r="AC174" s="405"/>
      <c r="AD174" s="405"/>
      <c r="AE174" s="405"/>
      <c r="AF174" s="405"/>
      <c r="AG174" s="405"/>
      <c r="AH174" s="405"/>
      <c r="AI174" s="405"/>
      <c r="AJ174" s="405"/>
      <c r="AK174" s="405"/>
      <c r="AL174" s="405"/>
    </row>
    <row r="175" ht="14.25" customHeight="1">
      <c r="A175" s="763"/>
      <c r="B175" s="402"/>
      <c r="C175" s="424"/>
      <c r="D175" s="402"/>
      <c r="E175" s="402"/>
      <c r="F175" s="751"/>
      <c r="G175" s="751"/>
      <c r="H175" s="402"/>
      <c r="I175" s="736" t="str">
        <f t="shared" si="9"/>
        <v>FULLY PAID</v>
      </c>
      <c r="J175" s="402"/>
      <c r="K175" s="402"/>
      <c r="L175" s="402"/>
      <c r="M175" s="402"/>
      <c r="N175" s="402"/>
      <c r="O175" s="402"/>
      <c r="P175" s="402"/>
      <c r="Q175" s="402"/>
      <c r="R175" s="402"/>
      <c r="S175" s="402"/>
      <c r="T175" s="402"/>
      <c r="U175" s="402"/>
      <c r="V175" s="402"/>
      <c r="W175" s="402"/>
      <c r="X175" s="402"/>
      <c r="Y175" s="402"/>
      <c r="Z175" s="402"/>
      <c r="AA175" s="405"/>
      <c r="AB175" s="405"/>
      <c r="AC175" s="405"/>
      <c r="AD175" s="405"/>
      <c r="AE175" s="405"/>
      <c r="AF175" s="405"/>
      <c r="AG175" s="405"/>
      <c r="AH175" s="405"/>
      <c r="AI175" s="405"/>
      <c r="AJ175" s="405"/>
      <c r="AK175" s="405"/>
      <c r="AL175" s="405"/>
    </row>
    <row r="176" ht="14.25" customHeight="1">
      <c r="A176" s="763"/>
      <c r="B176" s="402"/>
      <c r="C176" s="424" t="s">
        <v>224</v>
      </c>
      <c r="D176" s="402"/>
      <c r="E176" s="402"/>
      <c r="F176" s="751"/>
      <c r="G176" s="751"/>
      <c r="H176" s="402"/>
      <c r="I176" s="736" t="str">
        <f t="shared" si="9"/>
        <v>FULLY PAID</v>
      </c>
      <c r="J176" s="402"/>
      <c r="K176" s="402"/>
      <c r="L176" s="402"/>
      <c r="M176" s="402"/>
      <c r="N176" s="402"/>
      <c r="O176" s="402"/>
      <c r="P176" s="402"/>
      <c r="Q176" s="402"/>
      <c r="R176" s="402"/>
      <c r="S176" s="402"/>
      <c r="T176" s="402"/>
      <c r="U176" s="402"/>
      <c r="V176" s="402"/>
      <c r="W176" s="402"/>
      <c r="X176" s="402"/>
      <c r="Y176" s="402"/>
      <c r="Z176" s="402"/>
      <c r="AA176" s="405"/>
      <c r="AB176" s="405"/>
      <c r="AC176" s="405"/>
      <c r="AD176" s="405"/>
      <c r="AE176" s="405"/>
      <c r="AF176" s="405"/>
      <c r="AG176" s="405"/>
      <c r="AH176" s="405"/>
      <c r="AI176" s="405"/>
      <c r="AJ176" s="405"/>
      <c r="AK176" s="405"/>
      <c r="AL176" s="405"/>
    </row>
    <row r="177" ht="14.25" customHeight="1">
      <c r="A177" s="763">
        <v>45503.0</v>
      </c>
      <c r="B177" s="436" t="s">
        <v>3608</v>
      </c>
      <c r="C177" s="436" t="s">
        <v>3637</v>
      </c>
      <c r="D177" s="668" t="s">
        <v>59</v>
      </c>
      <c r="E177" s="668" t="s">
        <v>3579</v>
      </c>
      <c r="F177" s="758">
        <v>1200000.0</v>
      </c>
      <c r="G177" s="758"/>
      <c r="H177" s="349" t="s">
        <v>3704</v>
      </c>
      <c r="I177" s="736" t="str">
        <f t="shared" si="9"/>
        <v>NOT PAID</v>
      </c>
      <c r="J177" s="402"/>
      <c r="K177" s="402"/>
      <c r="L177" s="402"/>
      <c r="M177" s="402"/>
      <c r="N177" s="402"/>
      <c r="O177" s="402"/>
      <c r="P177" s="402"/>
      <c r="Q177" s="402"/>
      <c r="R177" s="402"/>
      <c r="S177" s="402"/>
      <c r="T177" s="402"/>
      <c r="U177" s="402"/>
      <c r="V177" s="402"/>
      <c r="W177" s="402"/>
      <c r="X177" s="402"/>
      <c r="Y177" s="402"/>
      <c r="Z177" s="402"/>
      <c r="AA177" s="405"/>
      <c r="AB177" s="405"/>
      <c r="AC177" s="405"/>
      <c r="AD177" s="405"/>
      <c r="AE177" s="405"/>
      <c r="AF177" s="405"/>
      <c r="AG177" s="405"/>
      <c r="AH177" s="405"/>
      <c r="AI177" s="405"/>
      <c r="AJ177" s="405"/>
      <c r="AK177" s="405"/>
      <c r="AL177" s="405"/>
    </row>
    <row r="178" ht="14.25" customHeight="1">
      <c r="A178" s="763">
        <v>45503.0</v>
      </c>
      <c r="B178" s="755" t="s">
        <v>3663</v>
      </c>
      <c r="C178" s="755" t="s">
        <v>3705</v>
      </c>
      <c r="D178" s="668" t="s">
        <v>54</v>
      </c>
      <c r="E178" s="771" t="s">
        <v>3579</v>
      </c>
      <c r="F178" s="760">
        <v>164847.0</v>
      </c>
      <c r="G178" s="760"/>
      <c r="H178" s="349" t="s">
        <v>3704</v>
      </c>
      <c r="I178" s="736" t="str">
        <f t="shared" si="9"/>
        <v>NOT PAID</v>
      </c>
      <c r="J178" s="402"/>
      <c r="K178" s="402"/>
      <c r="L178" s="402"/>
      <c r="M178" s="402"/>
      <c r="N178" s="402"/>
      <c r="O178" s="402"/>
      <c r="P178" s="402"/>
      <c r="Q178" s="402"/>
      <c r="R178" s="402"/>
      <c r="S178" s="402"/>
      <c r="T178" s="402"/>
      <c r="U178" s="402"/>
      <c r="V178" s="402"/>
      <c r="W178" s="402"/>
      <c r="X178" s="402"/>
      <c r="Y178" s="402"/>
      <c r="Z178" s="402"/>
      <c r="AA178" s="405"/>
      <c r="AB178" s="405"/>
      <c r="AC178" s="405"/>
      <c r="AD178" s="405"/>
      <c r="AE178" s="405"/>
      <c r="AF178" s="405"/>
      <c r="AG178" s="405"/>
      <c r="AH178" s="405"/>
      <c r="AI178" s="405"/>
      <c r="AJ178" s="405"/>
      <c r="AK178" s="405"/>
      <c r="AL178" s="405"/>
    </row>
    <row r="179" ht="14.25" customHeight="1">
      <c r="A179" s="763"/>
      <c r="B179" s="402"/>
      <c r="C179" s="402"/>
      <c r="D179" s="402"/>
      <c r="E179" s="402"/>
      <c r="F179" s="402"/>
      <c r="G179" s="403"/>
      <c r="H179" s="402"/>
      <c r="I179" s="736" t="str">
        <f t="shared" si="9"/>
        <v>FULLY PAID</v>
      </c>
      <c r="J179" s="402"/>
      <c r="K179" s="402"/>
      <c r="L179" s="402"/>
      <c r="M179" s="402"/>
      <c r="N179" s="402"/>
      <c r="O179" s="402"/>
      <c r="P179" s="402"/>
      <c r="Q179" s="402"/>
      <c r="R179" s="402"/>
      <c r="S179" s="402"/>
      <c r="T179" s="402"/>
      <c r="U179" s="402"/>
      <c r="V179" s="402"/>
      <c r="W179" s="402"/>
      <c r="X179" s="402"/>
      <c r="Y179" s="402"/>
      <c r="Z179" s="402"/>
      <c r="AA179" s="405"/>
      <c r="AB179" s="405"/>
      <c r="AC179" s="405"/>
      <c r="AD179" s="405"/>
      <c r="AE179" s="405"/>
      <c r="AF179" s="405"/>
      <c r="AG179" s="405"/>
      <c r="AH179" s="405"/>
      <c r="AI179" s="405"/>
      <c r="AJ179" s="405"/>
      <c r="AK179" s="405"/>
      <c r="AL179" s="405"/>
    </row>
    <row r="180" ht="14.25" customHeight="1">
      <c r="A180" s="763"/>
      <c r="B180" s="402"/>
      <c r="C180" s="402"/>
      <c r="D180" s="402"/>
      <c r="E180" s="402"/>
      <c r="F180" s="402"/>
      <c r="G180" s="403"/>
      <c r="H180" s="402"/>
      <c r="I180" s="736" t="str">
        <f t="shared" si="9"/>
        <v>FULLY PAID</v>
      </c>
      <c r="J180" s="402"/>
      <c r="K180" s="402"/>
      <c r="L180" s="402"/>
      <c r="M180" s="402"/>
      <c r="N180" s="402"/>
      <c r="O180" s="402"/>
      <c r="P180" s="402"/>
      <c r="Q180" s="402"/>
      <c r="R180" s="402"/>
      <c r="S180" s="402"/>
      <c r="T180" s="402"/>
      <c r="U180" s="402"/>
      <c r="V180" s="402"/>
      <c r="W180" s="402"/>
      <c r="X180" s="402"/>
      <c r="Y180" s="402"/>
      <c r="Z180" s="402"/>
      <c r="AA180" s="405"/>
      <c r="AB180" s="405"/>
      <c r="AC180" s="405"/>
      <c r="AD180" s="405"/>
      <c r="AE180" s="405"/>
      <c r="AF180" s="405"/>
      <c r="AG180" s="405"/>
      <c r="AH180" s="405"/>
      <c r="AI180" s="405"/>
      <c r="AJ180" s="405"/>
      <c r="AK180" s="405"/>
      <c r="AL180" s="405"/>
    </row>
    <row r="181" ht="14.25" customHeight="1">
      <c r="A181" s="402"/>
      <c r="B181" s="402"/>
      <c r="C181" s="402"/>
      <c r="D181" s="402"/>
      <c r="E181" s="402"/>
      <c r="F181" s="402"/>
      <c r="G181" s="403"/>
      <c r="H181" s="402"/>
      <c r="I181" s="736" t="str">
        <f t="shared" si="9"/>
        <v>FULLY PAID</v>
      </c>
      <c r="J181" s="402"/>
      <c r="K181" s="402"/>
      <c r="L181" s="402"/>
      <c r="M181" s="402"/>
      <c r="N181" s="402"/>
      <c r="O181" s="402"/>
      <c r="P181" s="402"/>
      <c r="Q181" s="402"/>
      <c r="R181" s="402"/>
      <c r="S181" s="402"/>
      <c r="T181" s="402"/>
      <c r="U181" s="402"/>
      <c r="V181" s="402"/>
      <c r="W181" s="402"/>
      <c r="X181" s="402"/>
      <c r="Y181" s="402"/>
      <c r="Z181" s="402"/>
      <c r="AA181" s="405"/>
      <c r="AB181" s="405"/>
      <c r="AC181" s="405"/>
      <c r="AD181" s="405"/>
      <c r="AE181" s="405"/>
      <c r="AF181" s="405"/>
      <c r="AG181" s="405"/>
      <c r="AH181" s="405"/>
      <c r="AI181" s="405"/>
      <c r="AJ181" s="405"/>
      <c r="AK181" s="405"/>
      <c r="AL181" s="405"/>
    </row>
    <row r="182" ht="14.25" customHeight="1">
      <c r="A182" s="584" t="s">
        <v>2130</v>
      </c>
      <c r="B182" s="584" t="s">
        <v>39</v>
      </c>
      <c r="C182" s="584" t="s">
        <v>48</v>
      </c>
      <c r="D182" s="584" t="s">
        <v>49</v>
      </c>
      <c r="E182" s="584" t="s">
        <v>50</v>
      </c>
      <c r="F182" s="584" t="s">
        <v>2</v>
      </c>
      <c r="G182" s="586" t="s">
        <v>44</v>
      </c>
      <c r="H182" s="424" t="s">
        <v>45</v>
      </c>
      <c r="I182" s="736" t="str">
        <f t="shared" si="9"/>
        <v>FULLY PAID</v>
      </c>
      <c r="J182" s="402"/>
      <c r="K182" s="402"/>
      <c r="L182" s="402"/>
      <c r="M182" s="402"/>
      <c r="N182" s="402"/>
      <c r="O182" s="402"/>
      <c r="P182" s="402"/>
      <c r="Q182" s="402"/>
      <c r="R182" s="402"/>
      <c r="S182" s="402"/>
      <c r="T182" s="402"/>
      <c r="U182" s="402"/>
      <c r="V182" s="402"/>
      <c r="W182" s="402"/>
      <c r="X182" s="402"/>
      <c r="Y182" s="402"/>
      <c r="Z182" s="402"/>
      <c r="AA182" s="405"/>
      <c r="AB182" s="405"/>
      <c r="AC182" s="405"/>
      <c r="AD182" s="405"/>
      <c r="AE182" s="405"/>
      <c r="AF182" s="405"/>
      <c r="AG182" s="405"/>
      <c r="AH182" s="405"/>
      <c r="AI182" s="405"/>
      <c r="AJ182" s="405"/>
      <c r="AK182" s="405"/>
      <c r="AL182" s="405"/>
    </row>
    <row r="183" ht="14.25" customHeight="1">
      <c r="A183" s="406">
        <v>45504.0</v>
      </c>
      <c r="B183" s="349" t="s">
        <v>3712</v>
      </c>
      <c r="C183" s="349" t="s">
        <v>3727</v>
      </c>
      <c r="D183" s="349" t="s">
        <v>54</v>
      </c>
      <c r="E183" s="349" t="s">
        <v>3617</v>
      </c>
      <c r="F183" s="413">
        <v>12118.55</v>
      </c>
      <c r="G183" s="413"/>
      <c r="H183" s="349" t="s">
        <v>2184</v>
      </c>
      <c r="I183" s="736" t="str">
        <f t="shared" si="9"/>
        <v>NOT PAID</v>
      </c>
      <c r="J183" s="402"/>
      <c r="K183" s="402"/>
      <c r="L183" s="402"/>
      <c r="M183" s="402"/>
      <c r="N183" s="402"/>
      <c r="O183" s="402"/>
      <c r="P183" s="402"/>
      <c r="Q183" s="402"/>
      <c r="R183" s="402"/>
      <c r="S183" s="402"/>
      <c r="T183" s="402"/>
      <c r="U183" s="402"/>
      <c r="V183" s="402"/>
      <c r="W183" s="402"/>
      <c r="X183" s="402"/>
      <c r="Y183" s="402"/>
      <c r="Z183" s="402"/>
      <c r="AA183" s="405"/>
      <c r="AB183" s="405"/>
      <c r="AC183" s="405"/>
      <c r="AD183" s="405"/>
      <c r="AE183" s="405"/>
      <c r="AF183" s="405"/>
      <c r="AG183" s="405"/>
      <c r="AH183" s="405"/>
      <c r="AI183" s="405"/>
      <c r="AJ183" s="405"/>
      <c r="AK183" s="405"/>
      <c r="AL183" s="405"/>
    </row>
    <row r="184" ht="14.25" customHeight="1">
      <c r="A184" s="772">
        <v>45504.0</v>
      </c>
      <c r="B184" s="773" t="s">
        <v>3728</v>
      </c>
      <c r="C184" s="773" t="s">
        <v>3729</v>
      </c>
      <c r="D184" s="773" t="s">
        <v>54</v>
      </c>
      <c r="E184" s="773" t="s">
        <v>3546</v>
      </c>
      <c r="F184" s="774">
        <v>50000.0</v>
      </c>
      <c r="G184" s="774"/>
      <c r="H184" s="773" t="s">
        <v>2184</v>
      </c>
      <c r="I184" s="775" t="str">
        <f t="shared" si="9"/>
        <v>NOT PAID</v>
      </c>
      <c r="J184" s="776"/>
      <c r="K184" s="776"/>
      <c r="L184" s="776"/>
      <c r="M184" s="776"/>
      <c r="N184" s="776"/>
      <c r="O184" s="776"/>
      <c r="P184" s="776"/>
      <c r="Q184" s="776"/>
      <c r="R184" s="776"/>
      <c r="S184" s="776"/>
      <c r="T184" s="776"/>
      <c r="U184" s="776"/>
      <c r="V184" s="776"/>
      <c r="W184" s="776"/>
      <c r="X184" s="776"/>
      <c r="Y184" s="776"/>
      <c r="Z184" s="776"/>
      <c r="AA184" s="777"/>
      <c r="AB184" s="777"/>
      <c r="AC184" s="777"/>
      <c r="AD184" s="777"/>
      <c r="AE184" s="777"/>
      <c r="AF184" s="777"/>
      <c r="AG184" s="777"/>
      <c r="AH184" s="777"/>
      <c r="AI184" s="777"/>
      <c r="AJ184" s="777"/>
      <c r="AK184" s="777"/>
      <c r="AL184" s="777"/>
    </row>
    <row r="185" ht="14.25" customHeight="1">
      <c r="A185" s="406">
        <v>45504.0</v>
      </c>
      <c r="B185" s="349" t="s">
        <v>3687</v>
      </c>
      <c r="C185" s="349" t="s">
        <v>3688</v>
      </c>
      <c r="D185" s="349" t="s">
        <v>54</v>
      </c>
      <c r="E185" s="349" t="s">
        <v>3546</v>
      </c>
      <c r="F185" s="413">
        <v>2490.21</v>
      </c>
      <c r="G185" s="413"/>
      <c r="H185" s="349" t="s">
        <v>3730</v>
      </c>
      <c r="I185" s="736" t="str">
        <f t="shared" si="9"/>
        <v>NOT PAID</v>
      </c>
      <c r="J185" s="402"/>
      <c r="K185" s="402"/>
      <c r="L185" s="402"/>
      <c r="M185" s="402"/>
      <c r="N185" s="402"/>
      <c r="O185" s="402"/>
      <c r="P185" s="402"/>
      <c r="Q185" s="402"/>
      <c r="R185" s="402"/>
      <c r="S185" s="402"/>
      <c r="T185" s="402"/>
      <c r="U185" s="402"/>
      <c r="V185" s="402"/>
      <c r="W185" s="402"/>
      <c r="X185" s="402"/>
      <c r="Y185" s="402"/>
      <c r="Z185" s="402"/>
      <c r="AA185" s="405"/>
      <c r="AB185" s="405"/>
      <c r="AC185" s="405"/>
      <c r="AD185" s="405"/>
      <c r="AE185" s="405"/>
      <c r="AF185" s="405"/>
      <c r="AG185" s="405"/>
      <c r="AH185" s="405"/>
      <c r="AI185" s="405"/>
      <c r="AJ185" s="405"/>
      <c r="AK185" s="405"/>
      <c r="AL185" s="405"/>
    </row>
    <row r="186" ht="14.25" customHeight="1">
      <c r="A186" s="406">
        <v>45504.0</v>
      </c>
      <c r="B186" s="349" t="s">
        <v>3731</v>
      </c>
      <c r="C186" s="349" t="s">
        <v>3732</v>
      </c>
      <c r="D186" s="349" t="s">
        <v>346</v>
      </c>
      <c r="E186" s="349" t="s">
        <v>3617</v>
      </c>
      <c r="F186" s="413">
        <v>3619.03</v>
      </c>
      <c r="G186" s="413"/>
      <c r="H186" s="349" t="s">
        <v>3730</v>
      </c>
      <c r="I186" s="736" t="str">
        <f t="shared" si="9"/>
        <v>NOT PAID</v>
      </c>
      <c r="J186" s="402"/>
      <c r="K186" s="402"/>
      <c r="L186" s="402"/>
      <c r="M186" s="402"/>
      <c r="N186" s="402"/>
      <c r="O186" s="402"/>
      <c r="P186" s="402"/>
      <c r="Q186" s="402"/>
      <c r="R186" s="402"/>
      <c r="S186" s="402"/>
      <c r="T186" s="402"/>
      <c r="U186" s="402"/>
      <c r="V186" s="402"/>
      <c r="W186" s="402"/>
      <c r="X186" s="402"/>
      <c r="Y186" s="402"/>
      <c r="Z186" s="402"/>
      <c r="AA186" s="405"/>
      <c r="AB186" s="405"/>
      <c r="AC186" s="405"/>
      <c r="AD186" s="405"/>
      <c r="AE186" s="405"/>
      <c r="AF186" s="405"/>
      <c r="AG186" s="405"/>
      <c r="AH186" s="405"/>
      <c r="AI186" s="405"/>
      <c r="AJ186" s="405"/>
      <c r="AK186" s="405"/>
      <c r="AL186" s="405"/>
    </row>
    <row r="187" ht="14.25" customHeight="1">
      <c r="A187" s="406">
        <v>45504.0</v>
      </c>
      <c r="B187" s="349" t="s">
        <v>3698</v>
      </c>
      <c r="C187" s="349" t="s">
        <v>3699</v>
      </c>
      <c r="D187" s="349" t="s">
        <v>54</v>
      </c>
      <c r="E187" s="349" t="s">
        <v>3551</v>
      </c>
      <c r="F187" s="413">
        <v>26702.18</v>
      </c>
      <c r="G187" s="413"/>
      <c r="H187" s="349" t="s">
        <v>2184</v>
      </c>
      <c r="I187" s="736" t="str">
        <f t="shared" si="9"/>
        <v>NOT PAID</v>
      </c>
      <c r="J187" s="402"/>
      <c r="K187" s="402"/>
      <c r="L187" s="402"/>
      <c r="M187" s="402"/>
      <c r="N187" s="402"/>
      <c r="O187" s="402"/>
      <c r="P187" s="402"/>
      <c r="Q187" s="402"/>
      <c r="R187" s="402"/>
      <c r="S187" s="402"/>
      <c r="T187" s="402"/>
      <c r="U187" s="402"/>
      <c r="V187" s="402"/>
      <c r="W187" s="402"/>
      <c r="X187" s="402"/>
      <c r="Y187" s="402"/>
      <c r="Z187" s="402"/>
      <c r="AA187" s="405"/>
      <c r="AB187" s="405"/>
      <c r="AC187" s="405"/>
      <c r="AD187" s="405"/>
      <c r="AE187" s="405"/>
      <c r="AF187" s="405"/>
      <c r="AG187" s="405"/>
      <c r="AH187" s="405"/>
      <c r="AI187" s="405"/>
      <c r="AJ187" s="405"/>
      <c r="AK187" s="405"/>
      <c r="AL187" s="405"/>
    </row>
    <row r="188" ht="14.25" customHeight="1">
      <c r="A188" s="406">
        <v>45504.0</v>
      </c>
      <c r="B188" s="349" t="s">
        <v>3695</v>
      </c>
      <c r="C188" s="349" t="s">
        <v>3733</v>
      </c>
      <c r="D188" s="349" t="s">
        <v>263</v>
      </c>
      <c r="E188" s="349" t="s">
        <v>3617</v>
      </c>
      <c r="F188" s="413">
        <v>5867.64</v>
      </c>
      <c r="G188" s="413">
        <v>26000.0</v>
      </c>
      <c r="H188" s="349" t="s">
        <v>267</v>
      </c>
      <c r="I188" s="736" t="str">
        <f t="shared" si="9"/>
        <v>FULLY PAID</v>
      </c>
      <c r="J188" s="402"/>
      <c r="K188" s="402"/>
      <c r="L188" s="402"/>
      <c r="M188" s="402"/>
      <c r="N188" s="402"/>
      <c r="O188" s="402"/>
      <c r="P188" s="402"/>
      <c r="Q188" s="402"/>
      <c r="R188" s="402"/>
      <c r="S188" s="402"/>
      <c r="T188" s="402"/>
      <c r="U188" s="402"/>
      <c r="V188" s="402"/>
      <c r="W188" s="402"/>
      <c r="X188" s="402"/>
      <c r="Y188" s="402"/>
      <c r="Z188" s="402"/>
      <c r="AA188" s="405"/>
      <c r="AB188" s="405"/>
      <c r="AC188" s="405"/>
      <c r="AD188" s="405"/>
      <c r="AE188" s="405"/>
      <c r="AF188" s="405"/>
      <c r="AG188" s="405"/>
      <c r="AH188" s="405"/>
      <c r="AI188" s="405"/>
      <c r="AJ188" s="405"/>
      <c r="AK188" s="405"/>
      <c r="AL188" s="405"/>
    </row>
    <row r="189" ht="14.25" customHeight="1">
      <c r="A189" s="406">
        <v>45504.0</v>
      </c>
      <c r="B189" s="349" t="s">
        <v>3653</v>
      </c>
      <c r="C189" s="349" t="s">
        <v>3654</v>
      </c>
      <c r="D189" s="349" t="s">
        <v>54</v>
      </c>
      <c r="E189" s="349" t="s">
        <v>3546</v>
      </c>
      <c r="F189" s="751">
        <v>98396.0</v>
      </c>
      <c r="G189" s="751"/>
      <c r="H189" s="349" t="s">
        <v>3734</v>
      </c>
      <c r="I189" s="736" t="str">
        <f t="shared" si="9"/>
        <v>NOT PAID</v>
      </c>
      <c r="J189" s="402"/>
      <c r="K189" s="402"/>
      <c r="L189" s="402"/>
      <c r="M189" s="402"/>
      <c r="N189" s="402"/>
      <c r="O189" s="402"/>
      <c r="P189" s="402"/>
      <c r="Q189" s="402"/>
      <c r="R189" s="402"/>
      <c r="S189" s="402"/>
      <c r="T189" s="402"/>
      <c r="U189" s="402"/>
      <c r="V189" s="402"/>
      <c r="W189" s="402"/>
      <c r="X189" s="402"/>
      <c r="Y189" s="402"/>
      <c r="Z189" s="402"/>
      <c r="AA189" s="405"/>
      <c r="AB189" s="405"/>
      <c r="AC189" s="405"/>
      <c r="AD189" s="405"/>
      <c r="AE189" s="405"/>
      <c r="AF189" s="405"/>
      <c r="AG189" s="405"/>
      <c r="AH189" s="405"/>
      <c r="AI189" s="405"/>
      <c r="AJ189" s="405"/>
      <c r="AK189" s="405"/>
      <c r="AL189" s="405"/>
    </row>
    <row r="190" ht="14.25" customHeight="1">
      <c r="A190" s="406">
        <v>45504.0</v>
      </c>
      <c r="B190" s="349" t="s">
        <v>3710</v>
      </c>
      <c r="C190" s="349" t="s">
        <v>3711</v>
      </c>
      <c r="D190" s="349" t="s">
        <v>54</v>
      </c>
      <c r="E190" s="349" t="s">
        <v>3551</v>
      </c>
      <c r="F190" s="751">
        <v>37618.0</v>
      </c>
      <c r="G190" s="751">
        <v>56864.0</v>
      </c>
      <c r="H190" s="349" t="s">
        <v>710</v>
      </c>
      <c r="I190" s="736" t="str">
        <f t="shared" si="9"/>
        <v>FULLY PAID</v>
      </c>
      <c r="J190" s="402"/>
      <c r="K190" s="402"/>
      <c r="L190" s="402"/>
      <c r="M190" s="402"/>
      <c r="N190" s="402"/>
      <c r="O190" s="402"/>
      <c r="P190" s="402"/>
      <c r="Q190" s="402"/>
      <c r="R190" s="402"/>
      <c r="S190" s="402"/>
      <c r="T190" s="402"/>
      <c r="U190" s="402"/>
      <c r="V190" s="402"/>
      <c r="W190" s="402"/>
      <c r="X190" s="402"/>
      <c r="Y190" s="402"/>
      <c r="Z190" s="402"/>
      <c r="AA190" s="405"/>
      <c r="AB190" s="405"/>
      <c r="AC190" s="405"/>
      <c r="AD190" s="405"/>
      <c r="AE190" s="405"/>
      <c r="AF190" s="405"/>
      <c r="AG190" s="405"/>
      <c r="AH190" s="405"/>
      <c r="AI190" s="405"/>
      <c r="AJ190" s="405"/>
      <c r="AK190" s="405"/>
      <c r="AL190" s="405"/>
    </row>
    <row r="191" ht="14.25" customHeight="1">
      <c r="A191" s="406">
        <v>45504.0</v>
      </c>
      <c r="B191" s="349" t="s">
        <v>3684</v>
      </c>
      <c r="C191" s="349" t="s">
        <v>3685</v>
      </c>
      <c r="D191" s="349" t="s">
        <v>54</v>
      </c>
      <c r="E191" s="349" t="s">
        <v>3617</v>
      </c>
      <c r="F191" s="751">
        <v>95200.0</v>
      </c>
      <c r="G191" s="751">
        <v>100960.0</v>
      </c>
      <c r="H191" s="349" t="s">
        <v>710</v>
      </c>
      <c r="I191" s="736" t="str">
        <f t="shared" si="9"/>
        <v>FULLY PAID</v>
      </c>
      <c r="J191" s="402"/>
      <c r="K191" s="402"/>
      <c r="L191" s="402"/>
      <c r="M191" s="402"/>
      <c r="N191" s="402"/>
      <c r="O191" s="402"/>
      <c r="P191" s="402"/>
      <c r="Q191" s="402"/>
      <c r="R191" s="402"/>
      <c r="S191" s="402"/>
      <c r="T191" s="402"/>
      <c r="U191" s="402"/>
      <c r="V191" s="402"/>
      <c r="W191" s="402"/>
      <c r="X191" s="402"/>
      <c r="Y191" s="402"/>
      <c r="Z191" s="402"/>
      <c r="AA191" s="405"/>
      <c r="AB191" s="405"/>
      <c r="AC191" s="405"/>
      <c r="AD191" s="405"/>
      <c r="AE191" s="405"/>
      <c r="AF191" s="405"/>
      <c r="AG191" s="405"/>
      <c r="AH191" s="405"/>
      <c r="AI191" s="405"/>
      <c r="AJ191" s="405"/>
      <c r="AK191" s="405"/>
      <c r="AL191" s="405"/>
    </row>
    <row r="192" ht="14.25" customHeight="1">
      <c r="A192" s="406">
        <v>45504.0</v>
      </c>
      <c r="B192" s="349" t="s">
        <v>3718</v>
      </c>
      <c r="C192" s="349" t="s">
        <v>3719</v>
      </c>
      <c r="D192" s="349" t="s">
        <v>54</v>
      </c>
      <c r="E192" s="349" t="s">
        <v>3551</v>
      </c>
      <c r="F192" s="751">
        <v>344354.0</v>
      </c>
      <c r="G192" s="751"/>
      <c r="H192" s="349" t="s">
        <v>3730</v>
      </c>
      <c r="I192" s="736" t="str">
        <f t="shared" si="9"/>
        <v>NOT PAID</v>
      </c>
      <c r="J192" s="402"/>
      <c r="K192" s="402"/>
      <c r="L192" s="402"/>
      <c r="M192" s="402"/>
      <c r="N192" s="402"/>
      <c r="O192" s="402"/>
      <c r="P192" s="402"/>
      <c r="Q192" s="402"/>
      <c r="R192" s="402"/>
      <c r="S192" s="402"/>
      <c r="T192" s="402"/>
      <c r="U192" s="402"/>
      <c r="V192" s="402"/>
      <c r="W192" s="402"/>
      <c r="X192" s="402"/>
      <c r="Y192" s="402"/>
      <c r="Z192" s="402"/>
      <c r="AA192" s="405"/>
      <c r="AB192" s="405"/>
      <c r="AC192" s="405"/>
      <c r="AD192" s="405"/>
      <c r="AE192" s="405"/>
      <c r="AF192" s="405"/>
      <c r="AG192" s="405"/>
      <c r="AH192" s="405"/>
      <c r="AI192" s="405"/>
      <c r="AJ192" s="405"/>
      <c r="AK192" s="405"/>
      <c r="AL192" s="405"/>
    </row>
    <row r="193" ht="14.25" customHeight="1">
      <c r="A193" s="406">
        <v>45504.0</v>
      </c>
      <c r="B193" s="349" t="s">
        <v>3631</v>
      </c>
      <c r="C193" s="349" t="s">
        <v>3632</v>
      </c>
      <c r="D193" s="349" t="s">
        <v>54</v>
      </c>
      <c r="E193" s="349" t="s">
        <v>3546</v>
      </c>
      <c r="F193" s="751">
        <v>294409.0</v>
      </c>
      <c r="G193" s="751"/>
      <c r="H193" s="349" t="s">
        <v>2184</v>
      </c>
      <c r="I193" s="736" t="str">
        <f t="shared" si="9"/>
        <v>NOT PAID</v>
      </c>
      <c r="J193" s="402"/>
      <c r="K193" s="402"/>
      <c r="L193" s="402"/>
      <c r="M193" s="402"/>
      <c r="N193" s="402"/>
      <c r="O193" s="402"/>
      <c r="P193" s="402"/>
      <c r="Q193" s="402"/>
      <c r="R193" s="402"/>
      <c r="S193" s="402"/>
      <c r="T193" s="402"/>
      <c r="U193" s="402"/>
      <c r="V193" s="402"/>
      <c r="W193" s="402"/>
      <c r="X193" s="402"/>
      <c r="Y193" s="402"/>
      <c r="Z193" s="402"/>
      <c r="AA193" s="405"/>
      <c r="AB193" s="405"/>
      <c r="AC193" s="405"/>
      <c r="AD193" s="405"/>
      <c r="AE193" s="405"/>
      <c r="AF193" s="405"/>
      <c r="AG193" s="405"/>
      <c r="AH193" s="405"/>
      <c r="AI193" s="405"/>
      <c r="AJ193" s="405"/>
      <c r="AK193" s="405"/>
      <c r="AL193" s="405"/>
    </row>
    <row r="194" ht="14.25" customHeight="1">
      <c r="A194" s="406">
        <v>45504.0</v>
      </c>
      <c r="B194" s="349" t="s">
        <v>3554</v>
      </c>
      <c r="C194" s="349" t="s">
        <v>3555</v>
      </c>
      <c r="D194" s="349" t="s">
        <v>54</v>
      </c>
      <c r="E194" s="349" t="s">
        <v>3546</v>
      </c>
      <c r="F194" s="751">
        <v>108141.0</v>
      </c>
      <c r="G194" s="751"/>
      <c r="H194" s="349" t="s">
        <v>3730</v>
      </c>
      <c r="I194" s="736" t="str">
        <f t="shared" si="9"/>
        <v>NOT PAID</v>
      </c>
      <c r="J194" s="402"/>
      <c r="K194" s="402"/>
      <c r="L194" s="402"/>
      <c r="M194" s="402"/>
      <c r="N194" s="402"/>
      <c r="O194" s="402"/>
      <c r="P194" s="402"/>
      <c r="Q194" s="402"/>
      <c r="R194" s="402"/>
      <c r="S194" s="402"/>
      <c r="T194" s="402"/>
      <c r="U194" s="402"/>
      <c r="V194" s="402"/>
      <c r="W194" s="402"/>
      <c r="X194" s="402"/>
      <c r="Y194" s="402"/>
      <c r="Z194" s="402"/>
      <c r="AA194" s="405"/>
      <c r="AB194" s="405"/>
      <c r="AC194" s="405"/>
      <c r="AD194" s="405"/>
      <c r="AE194" s="405"/>
      <c r="AF194" s="405"/>
      <c r="AG194" s="405"/>
      <c r="AH194" s="405"/>
      <c r="AI194" s="405"/>
      <c r="AJ194" s="405"/>
      <c r="AK194" s="405"/>
      <c r="AL194" s="405"/>
    </row>
    <row r="195" ht="14.25" customHeight="1">
      <c r="A195" s="406">
        <v>45504.0</v>
      </c>
      <c r="B195" s="349" t="s">
        <v>3563</v>
      </c>
      <c r="C195" s="349" t="s">
        <v>3564</v>
      </c>
      <c r="D195" s="349" t="s">
        <v>54</v>
      </c>
      <c r="E195" s="349" t="s">
        <v>3551</v>
      </c>
      <c r="F195" s="751">
        <v>50000.0</v>
      </c>
      <c r="G195" s="751"/>
      <c r="H195" s="349" t="s">
        <v>3734</v>
      </c>
      <c r="I195" s="736" t="str">
        <f t="shared" si="9"/>
        <v>NOT PAID</v>
      </c>
      <c r="J195" s="402"/>
      <c r="K195" s="402"/>
      <c r="L195" s="402"/>
      <c r="M195" s="402"/>
      <c r="N195" s="402"/>
      <c r="O195" s="402"/>
      <c r="P195" s="402"/>
      <c r="Q195" s="402"/>
      <c r="R195" s="402"/>
      <c r="S195" s="402"/>
      <c r="T195" s="402"/>
      <c r="U195" s="402"/>
      <c r="V195" s="402"/>
      <c r="W195" s="402"/>
      <c r="X195" s="402"/>
      <c r="Y195" s="402"/>
      <c r="Z195" s="402"/>
      <c r="AA195" s="405"/>
      <c r="AB195" s="405"/>
      <c r="AC195" s="405"/>
      <c r="AD195" s="405"/>
      <c r="AE195" s="405"/>
      <c r="AF195" s="405"/>
      <c r="AG195" s="405"/>
      <c r="AH195" s="405"/>
      <c r="AI195" s="405"/>
      <c r="AJ195" s="405"/>
      <c r="AK195" s="405"/>
      <c r="AL195" s="405"/>
    </row>
    <row r="196" ht="14.25" customHeight="1">
      <c r="A196" s="406">
        <v>45504.0</v>
      </c>
      <c r="B196" s="349" t="s">
        <v>3735</v>
      </c>
      <c r="C196" s="349" t="s">
        <v>3669</v>
      </c>
      <c r="D196" s="349" t="s">
        <v>54</v>
      </c>
      <c r="E196" s="349" t="s">
        <v>3546</v>
      </c>
      <c r="F196" s="751">
        <v>35000.0</v>
      </c>
      <c r="G196" s="751">
        <v>15500.0</v>
      </c>
      <c r="H196" s="349" t="s">
        <v>3736</v>
      </c>
      <c r="I196" s="736" t="str">
        <f t="shared" si="9"/>
        <v>PARTIALLY PAID</v>
      </c>
      <c r="J196" s="402"/>
      <c r="K196" s="402"/>
      <c r="L196" s="402"/>
      <c r="M196" s="402"/>
      <c r="N196" s="402"/>
      <c r="O196" s="402"/>
      <c r="P196" s="402"/>
      <c r="Q196" s="402"/>
      <c r="R196" s="402"/>
      <c r="S196" s="402"/>
      <c r="T196" s="402"/>
      <c r="U196" s="402"/>
      <c r="V196" s="402"/>
      <c r="W196" s="402"/>
      <c r="X196" s="402"/>
      <c r="Y196" s="402"/>
      <c r="Z196" s="402"/>
      <c r="AA196" s="405"/>
      <c r="AB196" s="405"/>
      <c r="AC196" s="405"/>
      <c r="AD196" s="405"/>
      <c r="AE196" s="405"/>
      <c r="AF196" s="405"/>
      <c r="AG196" s="405"/>
      <c r="AH196" s="405"/>
      <c r="AI196" s="405"/>
      <c r="AJ196" s="405"/>
      <c r="AK196" s="405"/>
      <c r="AL196" s="405"/>
    </row>
    <row r="197" ht="14.25" customHeight="1">
      <c r="A197" s="406">
        <v>45504.0</v>
      </c>
      <c r="B197" s="349" t="s">
        <v>3649</v>
      </c>
      <c r="C197" s="349" t="s">
        <v>3650</v>
      </c>
      <c r="D197" s="349" t="s">
        <v>54</v>
      </c>
      <c r="E197" s="349" t="s">
        <v>3551</v>
      </c>
      <c r="F197" s="751">
        <v>25000.0</v>
      </c>
      <c r="G197" s="751"/>
      <c r="H197" s="349" t="s">
        <v>3737</v>
      </c>
      <c r="I197" s="736" t="str">
        <f t="shared" si="9"/>
        <v>NOT PAID</v>
      </c>
      <c r="J197" s="402"/>
      <c r="K197" s="402"/>
      <c r="L197" s="402"/>
      <c r="M197" s="402"/>
      <c r="N197" s="402"/>
      <c r="O197" s="402"/>
      <c r="P197" s="402"/>
      <c r="Q197" s="402"/>
      <c r="R197" s="402"/>
      <c r="S197" s="402"/>
      <c r="T197" s="402"/>
      <c r="U197" s="402"/>
      <c r="V197" s="402"/>
      <c r="W197" s="402"/>
      <c r="X197" s="402"/>
      <c r="Y197" s="402"/>
      <c r="Z197" s="402"/>
      <c r="AA197" s="405"/>
      <c r="AB197" s="405"/>
      <c r="AC197" s="405"/>
      <c r="AD197" s="405"/>
      <c r="AE197" s="405"/>
      <c r="AF197" s="405"/>
      <c r="AG197" s="405"/>
      <c r="AH197" s="405"/>
      <c r="AI197" s="405"/>
      <c r="AJ197" s="405"/>
      <c r="AK197" s="405"/>
      <c r="AL197" s="405"/>
    </row>
    <row r="198" ht="14.25" customHeight="1">
      <c r="A198" s="406">
        <v>45504.0</v>
      </c>
      <c r="B198" s="349" t="s">
        <v>3738</v>
      </c>
      <c r="C198" s="349" t="s">
        <v>3685</v>
      </c>
      <c r="D198" s="349" t="s">
        <v>54</v>
      </c>
      <c r="E198" s="349" t="s">
        <v>3617</v>
      </c>
      <c r="F198" s="751">
        <v>8152.0</v>
      </c>
      <c r="G198" s="751">
        <v>8152.0</v>
      </c>
      <c r="H198" s="349" t="s">
        <v>149</v>
      </c>
      <c r="I198" s="736" t="str">
        <f t="shared" si="9"/>
        <v>FULLY PAID</v>
      </c>
      <c r="J198" s="402"/>
      <c r="K198" s="402"/>
      <c r="L198" s="402"/>
      <c r="M198" s="402"/>
      <c r="N198" s="402"/>
      <c r="O198" s="402"/>
      <c r="P198" s="402"/>
      <c r="Q198" s="402"/>
      <c r="R198" s="402"/>
      <c r="S198" s="402"/>
      <c r="T198" s="402"/>
      <c r="U198" s="402"/>
      <c r="V198" s="402"/>
      <c r="W198" s="402"/>
      <c r="X198" s="402"/>
      <c r="Y198" s="402"/>
      <c r="Z198" s="402"/>
      <c r="AA198" s="405"/>
      <c r="AB198" s="405"/>
      <c r="AC198" s="405"/>
      <c r="AD198" s="405"/>
      <c r="AE198" s="405"/>
      <c r="AF198" s="405"/>
      <c r="AG198" s="405"/>
      <c r="AH198" s="405"/>
      <c r="AI198" s="405"/>
      <c r="AJ198" s="405"/>
      <c r="AK198" s="405"/>
      <c r="AL198" s="405"/>
    </row>
    <row r="199" ht="14.25" customHeight="1">
      <c r="A199" s="406"/>
      <c r="B199" s="402"/>
      <c r="C199" s="402"/>
      <c r="D199" s="402"/>
      <c r="E199" s="402"/>
      <c r="F199" s="751"/>
      <c r="G199" s="751"/>
      <c r="H199" s="402"/>
      <c r="I199" s="736" t="str">
        <f t="shared" si="9"/>
        <v>FULLY PAID</v>
      </c>
      <c r="J199" s="402"/>
      <c r="K199" s="402"/>
      <c r="L199" s="402"/>
      <c r="M199" s="402"/>
      <c r="N199" s="402"/>
      <c r="O199" s="402"/>
      <c r="P199" s="402"/>
      <c r="Q199" s="402"/>
      <c r="R199" s="402"/>
      <c r="S199" s="402"/>
      <c r="T199" s="402"/>
      <c r="U199" s="402"/>
      <c r="V199" s="402"/>
      <c r="W199" s="402"/>
      <c r="X199" s="402"/>
      <c r="Y199" s="402"/>
      <c r="Z199" s="402"/>
      <c r="AA199" s="405"/>
      <c r="AB199" s="405"/>
      <c r="AC199" s="405"/>
      <c r="AD199" s="405"/>
      <c r="AE199" s="405"/>
      <c r="AF199" s="405"/>
      <c r="AG199" s="405"/>
      <c r="AH199" s="405"/>
      <c r="AI199" s="405"/>
      <c r="AJ199" s="405"/>
      <c r="AK199" s="405"/>
      <c r="AL199" s="405"/>
    </row>
    <row r="200" ht="14.25" customHeight="1">
      <c r="A200" s="406"/>
      <c r="B200" s="402"/>
      <c r="C200" s="349" t="s">
        <v>797</v>
      </c>
      <c r="D200" s="402"/>
      <c r="E200" s="402"/>
      <c r="F200" s="751"/>
      <c r="G200" s="751"/>
      <c r="H200" s="402"/>
      <c r="I200" s="736" t="str">
        <f t="shared" si="9"/>
        <v>FULLY PAID</v>
      </c>
      <c r="J200" s="402"/>
      <c r="K200" s="402"/>
      <c r="L200" s="402"/>
      <c r="M200" s="402"/>
      <c r="N200" s="402"/>
      <c r="O200" s="402"/>
      <c r="P200" s="402"/>
      <c r="Q200" s="402"/>
      <c r="R200" s="402"/>
      <c r="S200" s="402"/>
      <c r="T200" s="402"/>
      <c r="U200" s="402"/>
      <c r="V200" s="402"/>
      <c r="W200" s="402"/>
      <c r="X200" s="402"/>
      <c r="Y200" s="402"/>
      <c r="Z200" s="402"/>
      <c r="AA200" s="405"/>
      <c r="AB200" s="405"/>
      <c r="AC200" s="405"/>
      <c r="AD200" s="405"/>
      <c r="AE200" s="405"/>
      <c r="AF200" s="405"/>
      <c r="AG200" s="405"/>
      <c r="AH200" s="405"/>
      <c r="AI200" s="405"/>
      <c r="AJ200" s="405"/>
      <c r="AK200" s="405"/>
      <c r="AL200" s="405"/>
    </row>
    <row r="201" ht="14.25" customHeight="1">
      <c r="A201" s="406">
        <v>45504.0</v>
      </c>
      <c r="B201" s="436" t="s">
        <v>3608</v>
      </c>
      <c r="C201" s="436" t="s">
        <v>3637</v>
      </c>
      <c r="D201" s="668" t="s">
        <v>59</v>
      </c>
      <c r="E201" s="668" t="s">
        <v>3579</v>
      </c>
      <c r="F201" s="758">
        <v>1200000.0</v>
      </c>
      <c r="G201" s="758"/>
      <c r="H201" s="349" t="s">
        <v>3704</v>
      </c>
      <c r="I201" s="736" t="str">
        <f t="shared" si="9"/>
        <v>NOT PAID</v>
      </c>
      <c r="J201" s="402"/>
      <c r="K201" s="402"/>
      <c r="L201" s="402"/>
      <c r="M201" s="402"/>
      <c r="N201" s="402"/>
      <c r="O201" s="402"/>
      <c r="P201" s="402"/>
      <c r="Q201" s="402"/>
      <c r="R201" s="402"/>
      <c r="S201" s="402"/>
      <c r="T201" s="402"/>
      <c r="U201" s="402"/>
      <c r="V201" s="402"/>
      <c r="W201" s="402"/>
      <c r="X201" s="402"/>
      <c r="Y201" s="402"/>
      <c r="Z201" s="402"/>
      <c r="AA201" s="405"/>
      <c r="AB201" s="405"/>
      <c r="AC201" s="405"/>
      <c r="AD201" s="405"/>
      <c r="AE201" s="405"/>
      <c r="AF201" s="405"/>
      <c r="AG201" s="405"/>
      <c r="AH201" s="405"/>
      <c r="AI201" s="405"/>
      <c r="AJ201" s="405"/>
      <c r="AK201" s="405"/>
      <c r="AL201" s="405"/>
    </row>
    <row r="202" ht="14.25" customHeight="1">
      <c r="A202" s="406">
        <v>45504.0</v>
      </c>
      <c r="B202" s="755" t="s">
        <v>3663</v>
      </c>
      <c r="C202" s="755" t="s">
        <v>3705</v>
      </c>
      <c r="D202" s="668" t="s">
        <v>54</v>
      </c>
      <c r="E202" s="771" t="s">
        <v>3579</v>
      </c>
      <c r="F202" s="760">
        <v>164847.0</v>
      </c>
      <c r="G202" s="760"/>
      <c r="H202" s="349" t="s">
        <v>3704</v>
      </c>
      <c r="I202" s="736" t="str">
        <f t="shared" si="9"/>
        <v>NOT PAID</v>
      </c>
      <c r="J202" s="402"/>
      <c r="K202" s="402"/>
      <c r="L202" s="402"/>
      <c r="M202" s="402"/>
      <c r="N202" s="402"/>
      <c r="O202" s="402"/>
      <c r="P202" s="402"/>
      <c r="Q202" s="402"/>
      <c r="R202" s="402"/>
      <c r="S202" s="402"/>
      <c r="T202" s="402"/>
      <c r="U202" s="402"/>
      <c r="V202" s="402"/>
      <c r="W202" s="402"/>
      <c r="X202" s="402"/>
      <c r="Y202" s="402"/>
      <c r="Z202" s="402"/>
      <c r="AA202" s="405"/>
      <c r="AB202" s="405"/>
      <c r="AC202" s="405"/>
      <c r="AD202" s="405"/>
      <c r="AE202" s="405"/>
      <c r="AF202" s="405"/>
      <c r="AG202" s="405"/>
      <c r="AH202" s="405"/>
      <c r="AI202" s="405"/>
      <c r="AJ202" s="405"/>
      <c r="AK202" s="405"/>
      <c r="AL202" s="405"/>
    </row>
    <row r="203" ht="14.25" customHeight="1">
      <c r="A203" s="402"/>
      <c r="B203" s="402"/>
      <c r="C203" s="402"/>
      <c r="D203" s="402"/>
      <c r="E203" s="402"/>
      <c r="F203" s="751"/>
      <c r="G203" s="403"/>
      <c r="H203" s="402"/>
      <c r="I203" s="736" t="str">
        <f t="shared" si="9"/>
        <v>FULLY PAID</v>
      </c>
      <c r="J203" s="402"/>
      <c r="K203" s="402"/>
      <c r="L203" s="402"/>
      <c r="M203" s="402"/>
      <c r="N203" s="402"/>
      <c r="O203" s="402"/>
      <c r="P203" s="402"/>
      <c r="Q203" s="402"/>
      <c r="R203" s="402"/>
      <c r="S203" s="402"/>
      <c r="T203" s="402"/>
      <c r="U203" s="402"/>
      <c r="V203" s="402"/>
      <c r="W203" s="402"/>
      <c r="X203" s="402"/>
      <c r="Y203" s="402"/>
      <c r="Z203" s="402"/>
      <c r="AA203" s="405"/>
      <c r="AB203" s="405"/>
      <c r="AC203" s="405"/>
      <c r="AD203" s="405"/>
      <c r="AE203" s="405"/>
      <c r="AF203" s="405"/>
      <c r="AG203" s="405"/>
      <c r="AH203" s="405"/>
      <c r="AI203" s="405"/>
      <c r="AJ203" s="405"/>
      <c r="AK203" s="405"/>
      <c r="AL203" s="405"/>
    </row>
    <row r="204" ht="14.25" customHeight="1">
      <c r="A204" s="402"/>
      <c r="B204" s="402"/>
      <c r="C204" s="402"/>
      <c r="D204" s="402"/>
      <c r="E204" s="402"/>
      <c r="F204" s="402"/>
      <c r="G204" s="403"/>
      <c r="H204" s="402"/>
      <c r="I204" s="736" t="str">
        <f t="shared" si="9"/>
        <v>FULLY PAID</v>
      </c>
      <c r="J204" s="402"/>
      <c r="K204" s="402"/>
      <c r="L204" s="402"/>
      <c r="M204" s="402"/>
      <c r="N204" s="402"/>
      <c r="O204" s="402"/>
      <c r="P204" s="402"/>
      <c r="Q204" s="402"/>
      <c r="R204" s="402"/>
      <c r="S204" s="402"/>
      <c r="T204" s="402"/>
      <c r="U204" s="402"/>
      <c r="V204" s="402"/>
      <c r="W204" s="402"/>
      <c r="X204" s="402"/>
      <c r="Y204" s="402"/>
      <c r="Z204" s="402"/>
      <c r="AA204" s="405"/>
      <c r="AB204" s="405"/>
      <c r="AC204" s="405"/>
      <c r="AD204" s="405"/>
      <c r="AE204" s="405"/>
      <c r="AF204" s="405"/>
      <c r="AG204" s="405"/>
      <c r="AH204" s="405"/>
      <c r="AI204" s="405"/>
      <c r="AJ204" s="405"/>
      <c r="AK204" s="405"/>
      <c r="AL204" s="405"/>
    </row>
    <row r="205" ht="14.25" customHeight="1">
      <c r="A205" s="584" t="s">
        <v>2130</v>
      </c>
      <c r="B205" s="584" t="s">
        <v>39</v>
      </c>
      <c r="C205" s="584" t="s">
        <v>48</v>
      </c>
      <c r="D205" s="584" t="s">
        <v>49</v>
      </c>
      <c r="E205" s="584" t="s">
        <v>50</v>
      </c>
      <c r="F205" s="584" t="s">
        <v>2</v>
      </c>
      <c r="G205" s="586" t="s">
        <v>44</v>
      </c>
      <c r="H205" s="424" t="s">
        <v>45</v>
      </c>
      <c r="I205" s="736" t="str">
        <f t="shared" si="9"/>
        <v>FULLY PAID</v>
      </c>
      <c r="J205" s="584"/>
      <c r="K205" s="584"/>
      <c r="L205" s="584"/>
      <c r="M205" s="584"/>
      <c r="N205" s="584"/>
      <c r="O205" s="584"/>
      <c r="P205" s="584"/>
      <c r="Q205" s="584"/>
      <c r="R205" s="584"/>
      <c r="S205" s="584"/>
      <c r="T205" s="584"/>
      <c r="U205" s="584"/>
      <c r="V205" s="584"/>
      <c r="W205" s="584"/>
      <c r="X205" s="584"/>
      <c r="Y205" s="584"/>
      <c r="Z205" s="584"/>
      <c r="AA205" s="659"/>
      <c r="AB205" s="659"/>
      <c r="AC205" s="659"/>
      <c r="AD205" s="659"/>
      <c r="AE205" s="659"/>
      <c r="AF205" s="659"/>
      <c r="AG205" s="659"/>
      <c r="AH205" s="659"/>
      <c r="AI205" s="659"/>
      <c r="AJ205" s="659"/>
      <c r="AK205" s="659"/>
      <c r="AL205" s="659"/>
    </row>
    <row r="206" ht="14.25" customHeight="1">
      <c r="A206" s="497">
        <v>45505.0</v>
      </c>
      <c r="B206" s="349" t="s">
        <v>3731</v>
      </c>
      <c r="C206" s="349" t="s">
        <v>3732</v>
      </c>
      <c r="D206" s="349" t="s">
        <v>346</v>
      </c>
      <c r="E206" s="349" t="s">
        <v>3617</v>
      </c>
      <c r="F206" s="413">
        <v>3619.03</v>
      </c>
      <c r="G206" s="413"/>
      <c r="H206" s="349" t="s">
        <v>2184</v>
      </c>
      <c r="I206" s="736" t="str">
        <f t="shared" si="9"/>
        <v>NOT PAID</v>
      </c>
      <c r="J206" s="402"/>
      <c r="K206" s="402"/>
      <c r="L206" s="402"/>
      <c r="M206" s="402"/>
      <c r="N206" s="402"/>
      <c r="O206" s="402"/>
      <c r="P206" s="402"/>
      <c r="Q206" s="402"/>
      <c r="R206" s="402"/>
      <c r="S206" s="402"/>
      <c r="T206" s="402"/>
      <c r="U206" s="402"/>
      <c r="V206" s="402"/>
      <c r="W206" s="402"/>
      <c r="X206" s="402"/>
      <c r="Y206" s="402"/>
      <c r="Z206" s="402"/>
      <c r="AA206" s="405"/>
      <c r="AB206" s="405"/>
      <c r="AC206" s="405"/>
      <c r="AD206" s="405"/>
      <c r="AE206" s="405"/>
      <c r="AF206" s="405"/>
      <c r="AG206" s="405"/>
      <c r="AH206" s="405"/>
      <c r="AI206" s="405"/>
      <c r="AJ206" s="405"/>
      <c r="AK206" s="405"/>
      <c r="AL206" s="405"/>
    </row>
    <row r="207" ht="14.25" customHeight="1">
      <c r="A207" s="497">
        <v>45505.0</v>
      </c>
      <c r="B207" s="349" t="s">
        <v>3631</v>
      </c>
      <c r="C207" s="349" t="s">
        <v>3632</v>
      </c>
      <c r="D207" s="349" t="s">
        <v>54</v>
      </c>
      <c r="E207" s="349" t="s">
        <v>3551</v>
      </c>
      <c r="F207" s="751">
        <v>164409.0</v>
      </c>
      <c r="G207" s="751"/>
      <c r="H207" s="349" t="s">
        <v>2184</v>
      </c>
      <c r="I207" s="736" t="str">
        <f t="shared" si="9"/>
        <v>NOT PAID</v>
      </c>
      <c r="J207" s="402"/>
      <c r="K207" s="402"/>
      <c r="L207" s="402"/>
      <c r="M207" s="402"/>
      <c r="N207" s="402"/>
      <c r="O207" s="402"/>
      <c r="P207" s="402"/>
      <c r="Q207" s="402"/>
      <c r="R207" s="402"/>
      <c r="S207" s="402"/>
      <c r="T207" s="402"/>
      <c r="U207" s="402"/>
      <c r="V207" s="402"/>
      <c r="W207" s="402"/>
      <c r="X207" s="402"/>
      <c r="Y207" s="402"/>
      <c r="Z207" s="402"/>
      <c r="AA207" s="405"/>
      <c r="AB207" s="405"/>
      <c r="AC207" s="405"/>
      <c r="AD207" s="405"/>
      <c r="AE207" s="405"/>
      <c r="AF207" s="405"/>
      <c r="AG207" s="405"/>
      <c r="AH207" s="405"/>
      <c r="AI207" s="405"/>
      <c r="AJ207" s="405"/>
      <c r="AK207" s="405"/>
      <c r="AL207" s="405"/>
    </row>
    <row r="208" ht="14.25" customHeight="1">
      <c r="A208" s="497">
        <v>45505.0</v>
      </c>
      <c r="B208" s="349" t="s">
        <v>3739</v>
      </c>
      <c r="C208" s="349" t="s">
        <v>3740</v>
      </c>
      <c r="D208" s="349" t="s">
        <v>54</v>
      </c>
      <c r="E208" s="349" t="s">
        <v>3551</v>
      </c>
      <c r="F208" s="751">
        <v>120501.0</v>
      </c>
      <c r="G208" s="751">
        <v>100000.0</v>
      </c>
      <c r="H208" s="349" t="s">
        <v>149</v>
      </c>
      <c r="I208" s="736" t="str">
        <f t="shared" si="9"/>
        <v>PARTIALLY PAID</v>
      </c>
      <c r="J208" s="402"/>
      <c r="K208" s="402"/>
      <c r="L208" s="402"/>
      <c r="M208" s="402"/>
      <c r="N208" s="402"/>
      <c r="O208" s="402"/>
      <c r="P208" s="402"/>
      <c r="Q208" s="402"/>
      <c r="R208" s="402"/>
      <c r="S208" s="402"/>
      <c r="T208" s="402"/>
      <c r="U208" s="402"/>
      <c r="V208" s="402"/>
      <c r="W208" s="402"/>
      <c r="X208" s="402"/>
      <c r="Y208" s="402"/>
      <c r="Z208" s="402"/>
      <c r="AA208" s="405"/>
      <c r="AB208" s="405"/>
      <c r="AC208" s="405"/>
      <c r="AD208" s="405"/>
      <c r="AE208" s="405"/>
      <c r="AF208" s="405"/>
      <c r="AG208" s="405"/>
      <c r="AH208" s="405"/>
      <c r="AI208" s="405"/>
      <c r="AJ208" s="405"/>
      <c r="AK208" s="405"/>
      <c r="AL208" s="405"/>
    </row>
    <row r="209" ht="14.25" customHeight="1">
      <c r="A209" s="497">
        <v>45505.0</v>
      </c>
      <c r="B209" s="349" t="s">
        <v>3698</v>
      </c>
      <c r="C209" s="349" t="s">
        <v>3699</v>
      </c>
      <c r="D209" s="349" t="s">
        <v>54</v>
      </c>
      <c r="E209" s="349" t="s">
        <v>3551</v>
      </c>
      <c r="F209" s="413">
        <v>26702.18</v>
      </c>
      <c r="G209" s="413"/>
      <c r="H209" s="349" t="s">
        <v>3741</v>
      </c>
      <c r="I209" s="736" t="str">
        <f t="shared" si="9"/>
        <v>NOT PAID</v>
      </c>
      <c r="J209" s="402"/>
      <c r="K209" s="402"/>
      <c r="L209" s="402"/>
      <c r="M209" s="402"/>
      <c r="N209" s="402"/>
      <c r="O209" s="402"/>
      <c r="P209" s="402"/>
      <c r="Q209" s="402"/>
      <c r="R209" s="402"/>
      <c r="S209" s="402"/>
      <c r="T209" s="402"/>
      <c r="U209" s="402"/>
      <c r="V209" s="402"/>
      <c r="W209" s="402"/>
      <c r="X209" s="402"/>
      <c r="Y209" s="402"/>
      <c r="Z209" s="402"/>
      <c r="AA209" s="405"/>
      <c r="AB209" s="405"/>
      <c r="AC209" s="405"/>
      <c r="AD209" s="405"/>
      <c r="AE209" s="405"/>
      <c r="AF209" s="405"/>
      <c r="AG209" s="405"/>
      <c r="AH209" s="405"/>
      <c r="AI209" s="405"/>
      <c r="AJ209" s="405"/>
      <c r="AK209" s="405"/>
      <c r="AL209" s="405"/>
    </row>
    <row r="210" ht="14.25" customHeight="1">
      <c r="A210" s="497">
        <v>45505.0</v>
      </c>
      <c r="B210" s="349" t="s">
        <v>3742</v>
      </c>
      <c r="C210" s="349" t="s">
        <v>3743</v>
      </c>
      <c r="D210" s="349" t="s">
        <v>54</v>
      </c>
      <c r="E210" s="349" t="s">
        <v>3551</v>
      </c>
      <c r="F210" s="751">
        <v>20710.73</v>
      </c>
      <c r="G210" s="751"/>
      <c r="H210" s="349" t="s">
        <v>2184</v>
      </c>
      <c r="I210" s="736" t="str">
        <f t="shared" si="9"/>
        <v>NOT PAID</v>
      </c>
      <c r="J210" s="402"/>
      <c r="K210" s="402"/>
      <c r="L210" s="402"/>
      <c r="M210" s="402"/>
      <c r="N210" s="402"/>
      <c r="O210" s="402"/>
      <c r="P210" s="402"/>
      <c r="Q210" s="402"/>
      <c r="R210" s="402"/>
      <c r="S210" s="402"/>
      <c r="T210" s="402"/>
      <c r="U210" s="402"/>
      <c r="V210" s="402"/>
      <c r="W210" s="402"/>
      <c r="X210" s="402"/>
      <c r="Y210" s="402"/>
      <c r="Z210" s="402"/>
      <c r="AA210" s="405"/>
      <c r="AB210" s="405"/>
      <c r="AC210" s="405"/>
      <c r="AD210" s="405"/>
      <c r="AE210" s="405"/>
      <c r="AF210" s="405"/>
      <c r="AG210" s="405"/>
      <c r="AH210" s="405"/>
      <c r="AI210" s="405"/>
      <c r="AJ210" s="405"/>
      <c r="AK210" s="405"/>
      <c r="AL210" s="405"/>
    </row>
    <row r="211" ht="14.25" customHeight="1">
      <c r="A211" s="497">
        <v>45505.0</v>
      </c>
      <c r="B211" s="349" t="s">
        <v>3641</v>
      </c>
      <c r="C211" s="349" t="s">
        <v>3642</v>
      </c>
      <c r="D211" s="349" t="s">
        <v>54</v>
      </c>
      <c r="E211" s="349" t="s">
        <v>3551</v>
      </c>
      <c r="F211" s="751">
        <v>9687.0</v>
      </c>
      <c r="G211" s="751"/>
      <c r="H211" s="349" t="s">
        <v>3741</v>
      </c>
      <c r="I211" s="736" t="str">
        <f t="shared" si="9"/>
        <v>NOT PAID</v>
      </c>
      <c r="J211" s="402"/>
      <c r="K211" s="402"/>
      <c r="L211" s="402"/>
      <c r="M211" s="402"/>
      <c r="N211" s="402"/>
      <c r="O211" s="402"/>
      <c r="P211" s="402"/>
      <c r="Q211" s="402"/>
      <c r="R211" s="402"/>
      <c r="S211" s="402"/>
      <c r="T211" s="402"/>
      <c r="U211" s="402"/>
      <c r="V211" s="402"/>
      <c r="W211" s="402"/>
      <c r="X211" s="402"/>
      <c r="Y211" s="402"/>
      <c r="Z211" s="402"/>
      <c r="AA211" s="405"/>
      <c r="AB211" s="405"/>
      <c r="AC211" s="405"/>
      <c r="AD211" s="405"/>
      <c r="AE211" s="405"/>
      <c r="AF211" s="405"/>
      <c r="AG211" s="405"/>
      <c r="AH211" s="405"/>
      <c r="AI211" s="405"/>
      <c r="AJ211" s="405"/>
      <c r="AK211" s="405"/>
      <c r="AL211" s="405"/>
    </row>
    <row r="212" ht="14.25" customHeight="1">
      <c r="A212" s="497">
        <v>45505.0</v>
      </c>
      <c r="B212" s="349" t="s">
        <v>3744</v>
      </c>
      <c r="C212" s="349" t="s">
        <v>3745</v>
      </c>
      <c r="D212" s="349" t="s">
        <v>75</v>
      </c>
      <c r="E212" s="349" t="s">
        <v>3746</v>
      </c>
      <c r="F212" s="751">
        <v>34500.0</v>
      </c>
      <c r="G212" s="751"/>
      <c r="H212" s="349" t="s">
        <v>2184</v>
      </c>
      <c r="I212" s="736" t="str">
        <f t="shared" si="9"/>
        <v>NOT PAID</v>
      </c>
      <c r="J212" s="402"/>
      <c r="K212" s="402"/>
      <c r="L212" s="402"/>
      <c r="M212" s="402"/>
      <c r="N212" s="402"/>
      <c r="O212" s="402"/>
      <c r="P212" s="402"/>
      <c r="Q212" s="402"/>
      <c r="R212" s="402"/>
      <c r="S212" s="402"/>
      <c r="T212" s="402"/>
      <c r="U212" s="402"/>
      <c r="V212" s="402"/>
      <c r="W212" s="402"/>
      <c r="X212" s="402"/>
      <c r="Y212" s="402"/>
      <c r="Z212" s="402"/>
      <c r="AA212" s="405"/>
      <c r="AB212" s="405"/>
      <c r="AC212" s="405"/>
      <c r="AD212" s="405"/>
      <c r="AE212" s="405"/>
      <c r="AF212" s="405"/>
      <c r="AG212" s="405"/>
      <c r="AH212" s="405"/>
      <c r="AI212" s="405"/>
      <c r="AJ212" s="405"/>
      <c r="AK212" s="405"/>
      <c r="AL212" s="405"/>
    </row>
    <row r="213" ht="14.25" customHeight="1">
      <c r="A213" s="497">
        <v>45505.0</v>
      </c>
      <c r="B213" s="349" t="s">
        <v>3747</v>
      </c>
      <c r="C213" s="349" t="s">
        <v>3748</v>
      </c>
      <c r="D213" s="349" t="s">
        <v>75</v>
      </c>
      <c r="E213" s="349" t="s">
        <v>3746</v>
      </c>
      <c r="F213" s="751">
        <v>138000.0</v>
      </c>
      <c r="G213" s="751">
        <v>138000.0</v>
      </c>
      <c r="H213" s="349" t="s">
        <v>149</v>
      </c>
      <c r="I213" s="736" t="str">
        <f t="shared" si="9"/>
        <v>FULLY PAID</v>
      </c>
      <c r="J213" s="402"/>
      <c r="K213" s="402"/>
      <c r="L213" s="402"/>
      <c r="M213" s="402"/>
      <c r="N213" s="402"/>
      <c r="O213" s="402"/>
      <c r="P213" s="402"/>
      <c r="Q213" s="402"/>
      <c r="R213" s="402"/>
      <c r="S213" s="402"/>
      <c r="T213" s="402"/>
      <c r="U213" s="402"/>
      <c r="V213" s="402"/>
      <c r="W213" s="402"/>
      <c r="X213" s="402"/>
      <c r="Y213" s="402"/>
      <c r="Z213" s="402"/>
      <c r="AA213" s="405"/>
      <c r="AB213" s="405"/>
      <c r="AC213" s="405"/>
      <c r="AD213" s="405"/>
      <c r="AE213" s="405"/>
      <c r="AF213" s="405"/>
      <c r="AG213" s="405"/>
      <c r="AH213" s="405"/>
      <c r="AI213" s="405"/>
      <c r="AJ213" s="405"/>
      <c r="AK213" s="405"/>
      <c r="AL213" s="405"/>
    </row>
    <row r="214" ht="14.25" customHeight="1">
      <c r="A214" s="497">
        <v>45505.0</v>
      </c>
      <c r="B214" s="349" t="s">
        <v>3561</v>
      </c>
      <c r="C214" s="349" t="s">
        <v>3562</v>
      </c>
      <c r="D214" s="349" t="s">
        <v>54</v>
      </c>
      <c r="E214" s="349" t="s">
        <v>3556</v>
      </c>
      <c r="F214" s="751">
        <v>50536.0</v>
      </c>
      <c r="G214" s="751"/>
      <c r="H214" s="349" t="s">
        <v>3749</v>
      </c>
      <c r="I214" s="736" t="str">
        <f t="shared" si="9"/>
        <v>NOT PAID</v>
      </c>
      <c r="J214" s="402"/>
      <c r="K214" s="402"/>
      <c r="L214" s="402"/>
      <c r="M214" s="402"/>
      <c r="N214" s="402"/>
      <c r="O214" s="402"/>
      <c r="P214" s="402"/>
      <c r="Q214" s="402"/>
      <c r="R214" s="402"/>
      <c r="S214" s="402"/>
      <c r="T214" s="402"/>
      <c r="U214" s="402"/>
      <c r="V214" s="402"/>
      <c r="W214" s="402"/>
      <c r="X214" s="402"/>
      <c r="Y214" s="402"/>
      <c r="Z214" s="402"/>
      <c r="AA214" s="405"/>
      <c r="AB214" s="405"/>
      <c r="AC214" s="405"/>
      <c r="AD214" s="405"/>
      <c r="AE214" s="405"/>
      <c r="AF214" s="405"/>
      <c r="AG214" s="405"/>
      <c r="AH214" s="405"/>
      <c r="AI214" s="405"/>
      <c r="AJ214" s="405"/>
      <c r="AK214" s="405"/>
      <c r="AL214" s="405"/>
    </row>
    <row r="215" ht="14.25" customHeight="1">
      <c r="A215" s="497">
        <v>45505.0</v>
      </c>
      <c r="B215" s="752" t="s">
        <v>3569</v>
      </c>
      <c r="C215" s="752" t="s">
        <v>3570</v>
      </c>
      <c r="D215" s="752" t="s">
        <v>54</v>
      </c>
      <c r="E215" s="752" t="s">
        <v>3556</v>
      </c>
      <c r="F215" s="751">
        <v>10000.0</v>
      </c>
      <c r="G215" s="751">
        <v>13000.0</v>
      </c>
      <c r="H215" s="349" t="s">
        <v>149</v>
      </c>
      <c r="I215" s="736" t="str">
        <f t="shared" si="9"/>
        <v>FULLY PAID</v>
      </c>
      <c r="J215" s="402"/>
      <c r="K215" s="402"/>
      <c r="L215" s="402"/>
      <c r="M215" s="402"/>
      <c r="N215" s="402"/>
      <c r="O215" s="402"/>
      <c r="P215" s="402"/>
      <c r="Q215" s="402"/>
      <c r="R215" s="402"/>
      <c r="S215" s="402"/>
      <c r="T215" s="402"/>
      <c r="U215" s="402"/>
      <c r="V215" s="402"/>
      <c r="W215" s="402"/>
      <c r="X215" s="402"/>
      <c r="Y215" s="402"/>
      <c r="Z215" s="402"/>
      <c r="AA215" s="405"/>
      <c r="AB215" s="405"/>
      <c r="AC215" s="405"/>
      <c r="AD215" s="405"/>
      <c r="AE215" s="405"/>
      <c r="AF215" s="405"/>
      <c r="AG215" s="405"/>
      <c r="AH215" s="405"/>
      <c r="AI215" s="405"/>
      <c r="AJ215" s="405"/>
      <c r="AK215" s="405"/>
      <c r="AL215" s="405"/>
    </row>
    <row r="216" ht="14.25" customHeight="1">
      <c r="A216" s="497">
        <v>45505.0</v>
      </c>
      <c r="B216" s="349" t="s">
        <v>3728</v>
      </c>
      <c r="C216" s="349" t="s">
        <v>3729</v>
      </c>
      <c r="D216" s="349" t="s">
        <v>54</v>
      </c>
      <c r="E216" s="349" t="s">
        <v>3551</v>
      </c>
      <c r="F216" s="413">
        <v>40000.0</v>
      </c>
      <c r="G216" s="413">
        <v>42500.0</v>
      </c>
      <c r="H216" s="349" t="s">
        <v>149</v>
      </c>
      <c r="I216" s="736" t="str">
        <f t="shared" si="9"/>
        <v>FULLY PAID</v>
      </c>
      <c r="J216" s="402"/>
      <c r="K216" s="402"/>
      <c r="L216" s="402"/>
      <c r="M216" s="402"/>
      <c r="N216" s="402"/>
      <c r="O216" s="402"/>
      <c r="P216" s="402"/>
      <c r="Q216" s="402"/>
      <c r="R216" s="402"/>
      <c r="S216" s="402"/>
      <c r="T216" s="402"/>
      <c r="U216" s="402"/>
      <c r="V216" s="402"/>
      <c r="W216" s="402"/>
      <c r="X216" s="402"/>
      <c r="Y216" s="402"/>
      <c r="Z216" s="402"/>
      <c r="AA216" s="405"/>
      <c r="AB216" s="405"/>
      <c r="AC216" s="405"/>
      <c r="AD216" s="405"/>
      <c r="AE216" s="405"/>
      <c r="AF216" s="405"/>
      <c r="AG216" s="405"/>
      <c r="AH216" s="405"/>
      <c r="AI216" s="405"/>
      <c r="AJ216" s="405"/>
      <c r="AK216" s="405"/>
      <c r="AL216" s="405"/>
    </row>
    <row r="217" ht="14.25" customHeight="1">
      <c r="A217" s="497">
        <v>45505.0</v>
      </c>
      <c r="B217" s="349" t="s">
        <v>3566</v>
      </c>
      <c r="C217" s="349" t="s">
        <v>3567</v>
      </c>
      <c r="D217" s="349" t="s">
        <v>54</v>
      </c>
      <c r="E217" s="349" t="s">
        <v>3551</v>
      </c>
      <c r="F217" s="751">
        <v>31910.0</v>
      </c>
      <c r="G217" s="751"/>
      <c r="H217" s="349" t="s">
        <v>3750</v>
      </c>
      <c r="I217" s="736" t="str">
        <f t="shared" si="9"/>
        <v>NOT PAID</v>
      </c>
      <c r="J217" s="402"/>
      <c r="K217" s="402"/>
      <c r="L217" s="402"/>
      <c r="M217" s="402"/>
      <c r="N217" s="402"/>
      <c r="O217" s="402"/>
      <c r="P217" s="402"/>
      <c r="Q217" s="402"/>
      <c r="R217" s="402"/>
      <c r="S217" s="402"/>
      <c r="T217" s="402"/>
      <c r="U217" s="402"/>
      <c r="V217" s="402"/>
      <c r="W217" s="402"/>
      <c r="X217" s="402"/>
      <c r="Y217" s="402"/>
      <c r="Z217" s="402"/>
      <c r="AA217" s="405"/>
      <c r="AB217" s="405"/>
      <c r="AC217" s="405"/>
      <c r="AD217" s="405"/>
      <c r="AE217" s="405"/>
      <c r="AF217" s="405"/>
      <c r="AG217" s="405"/>
      <c r="AH217" s="405"/>
      <c r="AI217" s="405"/>
      <c r="AJ217" s="405"/>
      <c r="AK217" s="405"/>
      <c r="AL217" s="405"/>
    </row>
    <row r="218" ht="14.25" customHeight="1">
      <c r="A218" s="497">
        <v>45505.0</v>
      </c>
      <c r="B218" s="349" t="s">
        <v>3735</v>
      </c>
      <c r="C218" s="349" t="s">
        <v>3669</v>
      </c>
      <c r="D218" s="349" t="s">
        <v>54</v>
      </c>
      <c r="E218" s="349" t="s">
        <v>3551</v>
      </c>
      <c r="F218" s="751">
        <v>31001.0</v>
      </c>
      <c r="G218" s="751">
        <v>13000.0</v>
      </c>
      <c r="H218" s="349" t="s">
        <v>3751</v>
      </c>
      <c r="I218" s="736" t="str">
        <f t="shared" si="9"/>
        <v>PARTIALLY PAID</v>
      </c>
      <c r="J218" s="402"/>
      <c r="K218" s="402"/>
      <c r="L218" s="402"/>
      <c r="M218" s="402"/>
      <c r="N218" s="402"/>
      <c r="O218" s="402"/>
      <c r="P218" s="402"/>
      <c r="Q218" s="402"/>
      <c r="R218" s="402"/>
      <c r="S218" s="402"/>
      <c r="T218" s="402"/>
      <c r="U218" s="402"/>
      <c r="V218" s="402"/>
      <c r="W218" s="402"/>
      <c r="X218" s="402"/>
      <c r="Y218" s="402"/>
      <c r="Z218" s="402"/>
      <c r="AA218" s="405"/>
      <c r="AB218" s="405"/>
      <c r="AC218" s="405"/>
      <c r="AD218" s="405"/>
      <c r="AE218" s="405"/>
      <c r="AF218" s="405"/>
      <c r="AG218" s="405"/>
      <c r="AH218" s="405"/>
      <c r="AI218" s="405"/>
      <c r="AJ218" s="405"/>
      <c r="AK218" s="405"/>
      <c r="AL218" s="405"/>
    </row>
    <row r="219" ht="14.25" customHeight="1">
      <c r="A219" s="497">
        <v>45505.0</v>
      </c>
      <c r="B219" s="349" t="s">
        <v>3717</v>
      </c>
      <c r="C219" s="349" t="s">
        <v>3621</v>
      </c>
      <c r="D219" s="349" t="s">
        <v>54</v>
      </c>
      <c r="E219" s="2"/>
      <c r="F219" s="751">
        <v>22711.0</v>
      </c>
      <c r="G219" s="751"/>
      <c r="H219" s="349" t="s">
        <v>3741</v>
      </c>
      <c r="I219" s="736" t="str">
        <f t="shared" si="9"/>
        <v>NOT PAID</v>
      </c>
      <c r="J219" s="402"/>
      <c r="K219" s="402"/>
      <c r="L219" s="402"/>
      <c r="M219" s="402"/>
      <c r="N219" s="402"/>
      <c r="O219" s="402"/>
      <c r="P219" s="402"/>
      <c r="Q219" s="402"/>
      <c r="R219" s="402"/>
      <c r="S219" s="402"/>
      <c r="T219" s="402"/>
      <c r="U219" s="402"/>
      <c r="V219" s="402"/>
      <c r="W219" s="402"/>
      <c r="X219" s="402"/>
      <c r="Y219" s="402"/>
      <c r="Z219" s="402"/>
      <c r="AA219" s="405"/>
      <c r="AB219" s="405"/>
      <c r="AC219" s="405"/>
      <c r="AD219" s="405"/>
      <c r="AE219" s="405"/>
      <c r="AF219" s="405"/>
      <c r="AG219" s="405"/>
      <c r="AH219" s="405"/>
      <c r="AI219" s="405"/>
      <c r="AJ219" s="405"/>
      <c r="AK219" s="405"/>
      <c r="AL219" s="405"/>
    </row>
    <row r="220" ht="14.25" customHeight="1">
      <c r="A220" s="497">
        <v>45505.0</v>
      </c>
      <c r="B220" s="349" t="s">
        <v>3623</v>
      </c>
      <c r="C220" s="349" t="s">
        <v>3624</v>
      </c>
      <c r="D220" s="349" t="s">
        <v>54</v>
      </c>
      <c r="E220" s="349" t="s">
        <v>3617</v>
      </c>
      <c r="F220" s="751">
        <v>13418.0</v>
      </c>
      <c r="G220" s="751"/>
      <c r="H220" s="349" t="s">
        <v>3741</v>
      </c>
      <c r="I220" s="736" t="str">
        <f t="shared" si="9"/>
        <v>NOT PAID</v>
      </c>
      <c r="J220" s="402"/>
      <c r="K220" s="402"/>
      <c r="L220" s="402"/>
      <c r="M220" s="402"/>
      <c r="N220" s="402"/>
      <c r="O220" s="402"/>
      <c r="P220" s="402"/>
      <c r="Q220" s="402"/>
      <c r="R220" s="402"/>
      <c r="S220" s="402"/>
      <c r="T220" s="402"/>
      <c r="U220" s="402"/>
      <c r="V220" s="402"/>
      <c r="W220" s="402"/>
      <c r="X220" s="402"/>
      <c r="Y220" s="402"/>
      <c r="Z220" s="402"/>
      <c r="AA220" s="405"/>
      <c r="AB220" s="405"/>
      <c r="AC220" s="405"/>
      <c r="AD220" s="405"/>
      <c r="AE220" s="405"/>
      <c r="AF220" s="405"/>
      <c r="AG220" s="405"/>
      <c r="AH220" s="405"/>
      <c r="AI220" s="405"/>
      <c r="AJ220" s="405"/>
      <c r="AK220" s="405"/>
      <c r="AL220" s="405"/>
    </row>
    <row r="221" ht="14.25" customHeight="1">
      <c r="A221" s="497">
        <v>45505.0</v>
      </c>
      <c r="B221" s="349" t="s">
        <v>3752</v>
      </c>
      <c r="C221" s="349" t="s">
        <v>3654</v>
      </c>
      <c r="D221" s="349" t="s">
        <v>75</v>
      </c>
      <c r="E221" s="349" t="s">
        <v>3556</v>
      </c>
      <c r="F221" s="751">
        <v>920000.0</v>
      </c>
      <c r="G221" s="751"/>
      <c r="H221" s="349" t="s">
        <v>3753</v>
      </c>
      <c r="I221" s="736" t="str">
        <f t="shared" si="9"/>
        <v>NOT PAID</v>
      </c>
      <c r="J221" s="402"/>
      <c r="K221" s="402"/>
      <c r="L221" s="402"/>
      <c r="M221" s="402"/>
      <c r="N221" s="402"/>
      <c r="O221" s="402"/>
      <c r="P221" s="402"/>
      <c r="Q221" s="402"/>
      <c r="R221" s="402"/>
      <c r="S221" s="402"/>
      <c r="T221" s="402"/>
      <c r="U221" s="402"/>
      <c r="V221" s="402"/>
      <c r="W221" s="402"/>
      <c r="X221" s="402"/>
      <c r="Y221" s="402"/>
      <c r="Z221" s="402"/>
      <c r="AA221" s="405"/>
      <c r="AB221" s="405"/>
      <c r="AC221" s="405"/>
      <c r="AD221" s="405"/>
      <c r="AE221" s="405"/>
      <c r="AF221" s="405"/>
      <c r="AG221" s="405"/>
      <c r="AH221" s="405"/>
      <c r="AI221" s="405"/>
      <c r="AJ221" s="405"/>
      <c r="AK221" s="405"/>
      <c r="AL221" s="405"/>
    </row>
    <row r="222" ht="14.25" customHeight="1">
      <c r="A222" s="497"/>
      <c r="B222" s="402"/>
      <c r="C222" s="402"/>
      <c r="D222" s="402"/>
      <c r="E222" s="402"/>
      <c r="F222" s="751"/>
      <c r="G222" s="751"/>
      <c r="H222" s="402"/>
      <c r="I222" s="736" t="str">
        <f t="shared" si="9"/>
        <v>FULLY PAID</v>
      </c>
      <c r="J222" s="402"/>
      <c r="K222" s="402"/>
      <c r="L222" s="402"/>
      <c r="M222" s="402"/>
      <c r="N222" s="402"/>
      <c r="O222" s="402"/>
      <c r="P222" s="402"/>
      <c r="Q222" s="402"/>
      <c r="R222" s="402"/>
      <c r="S222" s="402"/>
      <c r="T222" s="402"/>
      <c r="U222" s="402"/>
      <c r="V222" s="402"/>
      <c r="W222" s="402"/>
      <c r="X222" s="402"/>
      <c r="Y222" s="402"/>
      <c r="Z222" s="402"/>
      <c r="AA222" s="405"/>
      <c r="AB222" s="405"/>
      <c r="AC222" s="405"/>
      <c r="AD222" s="405"/>
      <c r="AE222" s="405"/>
      <c r="AF222" s="405"/>
      <c r="AG222" s="405"/>
      <c r="AH222" s="405"/>
      <c r="AI222" s="405"/>
      <c r="AJ222" s="405"/>
      <c r="AK222" s="405"/>
      <c r="AL222" s="405"/>
    </row>
    <row r="223" ht="14.25" customHeight="1">
      <c r="A223" s="497"/>
      <c r="B223" s="402"/>
      <c r="C223" s="424" t="s">
        <v>797</v>
      </c>
      <c r="D223" s="402"/>
      <c r="E223" s="402"/>
      <c r="F223" s="751"/>
      <c r="G223" s="751"/>
      <c r="H223" s="402"/>
      <c r="I223" s="736" t="str">
        <f t="shared" si="9"/>
        <v>FULLY PAID</v>
      </c>
      <c r="J223" s="402"/>
      <c r="K223" s="402"/>
      <c r="L223" s="402"/>
      <c r="M223" s="402"/>
      <c r="N223" s="402"/>
      <c r="O223" s="402"/>
      <c r="P223" s="402"/>
      <c r="Q223" s="402"/>
      <c r="R223" s="402"/>
      <c r="S223" s="402"/>
      <c r="T223" s="402"/>
      <c r="U223" s="402"/>
      <c r="V223" s="402"/>
      <c r="W223" s="402"/>
      <c r="X223" s="402"/>
      <c r="Y223" s="402"/>
      <c r="Z223" s="402"/>
      <c r="AA223" s="405"/>
      <c r="AB223" s="405"/>
      <c r="AC223" s="405"/>
      <c r="AD223" s="405"/>
      <c r="AE223" s="405"/>
      <c r="AF223" s="405"/>
      <c r="AG223" s="405"/>
      <c r="AH223" s="405"/>
      <c r="AI223" s="405"/>
      <c r="AJ223" s="405"/>
      <c r="AK223" s="405"/>
      <c r="AL223" s="405"/>
    </row>
    <row r="224" ht="14.25" customHeight="1">
      <c r="A224" s="497">
        <v>45505.0</v>
      </c>
      <c r="B224" s="436" t="s">
        <v>3608</v>
      </c>
      <c r="C224" s="436" t="s">
        <v>3637</v>
      </c>
      <c r="D224" s="668" t="s">
        <v>59</v>
      </c>
      <c r="E224" s="668" t="s">
        <v>3579</v>
      </c>
      <c r="F224" s="758">
        <v>1200000.0</v>
      </c>
      <c r="G224" s="758"/>
      <c r="H224" s="349" t="s">
        <v>3754</v>
      </c>
      <c r="I224" s="736" t="str">
        <f t="shared" si="9"/>
        <v>NOT PAID</v>
      </c>
      <c r="J224" s="402"/>
      <c r="K224" s="402"/>
      <c r="L224" s="402"/>
      <c r="M224" s="402"/>
      <c r="N224" s="402"/>
      <c r="O224" s="402"/>
      <c r="P224" s="402"/>
      <c r="Q224" s="402"/>
      <c r="R224" s="402"/>
      <c r="S224" s="402"/>
      <c r="T224" s="402"/>
      <c r="U224" s="402"/>
      <c r="V224" s="402"/>
      <c r="W224" s="402"/>
      <c r="X224" s="402"/>
      <c r="Y224" s="402"/>
      <c r="Z224" s="402"/>
      <c r="AA224" s="405"/>
      <c r="AB224" s="405"/>
      <c r="AC224" s="405"/>
      <c r="AD224" s="405"/>
      <c r="AE224" s="405"/>
      <c r="AF224" s="405"/>
      <c r="AG224" s="405"/>
      <c r="AH224" s="405"/>
      <c r="AI224" s="405"/>
      <c r="AJ224" s="405"/>
      <c r="AK224" s="405"/>
      <c r="AL224" s="405"/>
    </row>
    <row r="225" ht="14.25" customHeight="1">
      <c r="A225" s="497">
        <v>45505.0</v>
      </c>
      <c r="B225" s="755" t="s">
        <v>3663</v>
      </c>
      <c r="C225" s="755" t="s">
        <v>3705</v>
      </c>
      <c r="D225" s="668" t="s">
        <v>54</v>
      </c>
      <c r="E225" s="771" t="s">
        <v>3579</v>
      </c>
      <c r="F225" s="760">
        <v>164847.0</v>
      </c>
      <c r="G225" s="760"/>
      <c r="H225" s="349" t="s">
        <v>3755</v>
      </c>
      <c r="I225" s="736" t="str">
        <f t="shared" si="9"/>
        <v>NOT PAID</v>
      </c>
      <c r="J225" s="402"/>
      <c r="K225" s="402"/>
      <c r="L225" s="402"/>
      <c r="M225" s="402"/>
      <c r="N225" s="402"/>
      <c r="O225" s="402"/>
      <c r="P225" s="402"/>
      <c r="Q225" s="402"/>
      <c r="R225" s="402"/>
      <c r="S225" s="402"/>
      <c r="T225" s="402"/>
      <c r="U225" s="402"/>
      <c r="V225" s="402"/>
      <c r="W225" s="402"/>
      <c r="X225" s="402"/>
      <c r="Y225" s="402"/>
      <c r="Z225" s="402"/>
      <c r="AA225" s="405"/>
      <c r="AB225" s="405"/>
      <c r="AC225" s="405"/>
      <c r="AD225" s="405"/>
      <c r="AE225" s="405"/>
      <c r="AF225" s="405"/>
      <c r="AG225" s="405"/>
      <c r="AH225" s="405"/>
      <c r="AI225" s="405"/>
      <c r="AJ225" s="405"/>
      <c r="AK225" s="405"/>
      <c r="AL225" s="405"/>
    </row>
    <row r="226" ht="14.25" customHeight="1">
      <c r="A226" s="497"/>
      <c r="B226" s="402"/>
      <c r="C226" s="402"/>
      <c r="D226" s="402"/>
      <c r="E226" s="402"/>
      <c r="F226" s="402"/>
      <c r="G226" s="403"/>
      <c r="H226" s="402"/>
      <c r="I226" s="736" t="str">
        <f t="shared" si="9"/>
        <v>FULLY PAID</v>
      </c>
      <c r="J226" s="402"/>
      <c r="K226" s="402"/>
      <c r="L226" s="402"/>
      <c r="M226" s="402"/>
      <c r="N226" s="402"/>
      <c r="O226" s="402"/>
      <c r="P226" s="402"/>
      <c r="Q226" s="402"/>
      <c r="R226" s="402"/>
      <c r="S226" s="402"/>
      <c r="T226" s="402"/>
      <c r="U226" s="402"/>
      <c r="V226" s="402"/>
      <c r="W226" s="402"/>
      <c r="X226" s="402"/>
      <c r="Y226" s="402"/>
      <c r="Z226" s="402"/>
      <c r="AA226" s="405"/>
      <c r="AB226" s="405"/>
      <c r="AC226" s="405"/>
      <c r="AD226" s="405"/>
      <c r="AE226" s="405"/>
      <c r="AF226" s="405"/>
      <c r="AG226" s="405"/>
      <c r="AH226" s="405"/>
      <c r="AI226" s="405"/>
      <c r="AJ226" s="405"/>
      <c r="AK226" s="405"/>
      <c r="AL226" s="405"/>
    </row>
    <row r="227" ht="14.25" customHeight="1">
      <c r="A227" s="497"/>
      <c r="B227" s="402"/>
      <c r="C227" s="402"/>
      <c r="D227" s="402"/>
      <c r="E227" s="402"/>
      <c r="F227" s="402"/>
      <c r="G227" s="403"/>
      <c r="H227" s="402"/>
      <c r="I227" s="736" t="str">
        <f t="shared" si="9"/>
        <v>FULLY PAID</v>
      </c>
      <c r="J227" s="402"/>
      <c r="K227" s="402"/>
      <c r="L227" s="402"/>
      <c r="M227" s="402"/>
      <c r="N227" s="402"/>
      <c r="O227" s="402"/>
      <c r="P227" s="402"/>
      <c r="Q227" s="402"/>
      <c r="R227" s="402"/>
      <c r="S227" s="402"/>
      <c r="T227" s="402"/>
      <c r="U227" s="402"/>
      <c r="V227" s="402"/>
      <c r="W227" s="402"/>
      <c r="X227" s="402"/>
      <c r="Y227" s="402"/>
      <c r="Z227" s="402"/>
      <c r="AA227" s="405"/>
      <c r="AB227" s="405"/>
      <c r="AC227" s="405"/>
      <c r="AD227" s="405"/>
      <c r="AE227" s="405"/>
      <c r="AF227" s="405"/>
      <c r="AG227" s="405"/>
      <c r="AH227" s="405"/>
      <c r="AI227" s="405"/>
      <c r="AJ227" s="405"/>
      <c r="AK227" s="405"/>
      <c r="AL227" s="405"/>
    </row>
    <row r="228" ht="14.25" customHeight="1">
      <c r="A228" s="402"/>
      <c r="B228" s="402"/>
      <c r="C228" s="402"/>
      <c r="D228" s="402"/>
      <c r="E228" s="402"/>
      <c r="F228" s="402"/>
      <c r="G228" s="403"/>
      <c r="H228" s="402"/>
      <c r="I228" s="736" t="str">
        <f t="shared" si="9"/>
        <v>FULLY PAID</v>
      </c>
      <c r="J228" s="402"/>
      <c r="K228" s="402"/>
      <c r="L228" s="402"/>
      <c r="M228" s="402"/>
      <c r="N228" s="402"/>
      <c r="O228" s="402"/>
      <c r="P228" s="402"/>
      <c r="Q228" s="402"/>
      <c r="R228" s="402"/>
      <c r="S228" s="402"/>
      <c r="T228" s="402"/>
      <c r="U228" s="402"/>
      <c r="V228" s="402"/>
      <c r="W228" s="402"/>
      <c r="X228" s="402"/>
      <c r="Y228" s="402"/>
      <c r="Z228" s="402"/>
      <c r="AA228" s="405"/>
      <c r="AB228" s="405"/>
      <c r="AC228" s="405"/>
      <c r="AD228" s="405"/>
      <c r="AE228" s="405"/>
      <c r="AF228" s="405"/>
      <c r="AG228" s="405"/>
      <c r="AH228" s="405"/>
      <c r="AI228" s="405"/>
      <c r="AJ228" s="405"/>
      <c r="AK228" s="405"/>
      <c r="AL228" s="405"/>
    </row>
    <row r="229" ht="14.25" customHeight="1">
      <c r="A229" s="584" t="s">
        <v>2130</v>
      </c>
      <c r="B229" s="584" t="s">
        <v>39</v>
      </c>
      <c r="C229" s="584" t="s">
        <v>48</v>
      </c>
      <c r="D229" s="584" t="s">
        <v>49</v>
      </c>
      <c r="E229" s="584" t="s">
        <v>50</v>
      </c>
      <c r="F229" s="584" t="s">
        <v>2</v>
      </c>
      <c r="G229" s="586" t="s">
        <v>44</v>
      </c>
      <c r="H229" s="424" t="s">
        <v>45</v>
      </c>
      <c r="I229" s="736" t="str">
        <f t="shared" si="9"/>
        <v>FULLY PAID</v>
      </c>
      <c r="J229" s="584"/>
      <c r="K229" s="584"/>
      <c r="L229" s="584"/>
      <c r="M229" s="584"/>
      <c r="N229" s="584"/>
      <c r="O229" s="584"/>
      <c r="P229" s="584"/>
      <c r="Q229" s="584"/>
      <c r="R229" s="584"/>
      <c r="S229" s="584"/>
      <c r="T229" s="584"/>
      <c r="U229" s="584"/>
      <c r="V229" s="584"/>
      <c r="W229" s="584"/>
      <c r="X229" s="584"/>
      <c r="Y229" s="584"/>
      <c r="Z229" s="584"/>
      <c r="AA229" s="659"/>
      <c r="AB229" s="659"/>
      <c r="AC229" s="659"/>
      <c r="AD229" s="659"/>
      <c r="AE229" s="659"/>
      <c r="AF229" s="659"/>
      <c r="AG229" s="659"/>
      <c r="AH229" s="659"/>
      <c r="AI229" s="659"/>
      <c r="AJ229" s="659"/>
      <c r="AK229" s="659"/>
      <c r="AL229" s="659"/>
    </row>
    <row r="230" ht="14.25" customHeight="1">
      <c r="A230" s="497">
        <v>45506.0</v>
      </c>
      <c r="B230" s="349" t="s">
        <v>3756</v>
      </c>
      <c r="C230" s="349" t="s">
        <v>3757</v>
      </c>
      <c r="D230" s="349" t="s">
        <v>54</v>
      </c>
      <c r="E230" s="349" t="s">
        <v>3556</v>
      </c>
      <c r="F230" s="751">
        <v>50536.0</v>
      </c>
      <c r="G230" s="751">
        <v>60917.0</v>
      </c>
      <c r="H230" s="349" t="s">
        <v>149</v>
      </c>
      <c r="I230" s="736" t="str">
        <f t="shared" si="9"/>
        <v>FULLY PAID</v>
      </c>
      <c r="J230" s="402"/>
      <c r="K230" s="402"/>
      <c r="L230" s="402"/>
      <c r="M230" s="402"/>
      <c r="N230" s="402"/>
      <c r="O230" s="402"/>
      <c r="P230" s="402"/>
      <c r="Q230" s="402"/>
      <c r="R230" s="402"/>
      <c r="S230" s="402"/>
      <c r="T230" s="402"/>
      <c r="U230" s="402"/>
      <c r="V230" s="402"/>
      <c r="W230" s="402"/>
      <c r="X230" s="402"/>
      <c r="Y230" s="402"/>
      <c r="Z230" s="402"/>
      <c r="AA230" s="405"/>
      <c r="AB230" s="405"/>
      <c r="AC230" s="405"/>
      <c r="AD230" s="405"/>
      <c r="AE230" s="405"/>
      <c r="AF230" s="405"/>
      <c r="AG230" s="405"/>
      <c r="AH230" s="405"/>
      <c r="AI230" s="405"/>
      <c r="AJ230" s="405"/>
      <c r="AK230" s="405"/>
      <c r="AL230" s="405"/>
    </row>
    <row r="231" ht="14.25" customHeight="1">
      <c r="A231" s="497">
        <v>45506.0</v>
      </c>
      <c r="B231" s="349" t="s">
        <v>3594</v>
      </c>
      <c r="C231" s="349" t="s">
        <v>3592</v>
      </c>
      <c r="D231" s="349" t="s">
        <v>346</v>
      </c>
      <c r="E231" s="349" t="s">
        <v>3617</v>
      </c>
      <c r="F231" s="413">
        <v>2490.21</v>
      </c>
      <c r="G231" s="413">
        <v>5000.0</v>
      </c>
      <c r="H231" s="349" t="s">
        <v>710</v>
      </c>
      <c r="I231" s="736" t="str">
        <f t="shared" si="9"/>
        <v>FULLY PAID</v>
      </c>
      <c r="J231" s="402"/>
      <c r="K231" s="402"/>
      <c r="L231" s="402"/>
      <c r="M231" s="402"/>
      <c r="N231" s="402"/>
      <c r="O231" s="402"/>
      <c r="P231" s="402"/>
      <c r="Q231" s="402"/>
      <c r="R231" s="402"/>
      <c r="S231" s="402"/>
      <c r="T231" s="402"/>
      <c r="U231" s="402"/>
      <c r="V231" s="402"/>
      <c r="W231" s="402"/>
      <c r="X231" s="402"/>
      <c r="Y231" s="402"/>
      <c r="Z231" s="402"/>
      <c r="AA231" s="405"/>
      <c r="AB231" s="405"/>
      <c r="AC231" s="405"/>
      <c r="AD231" s="405"/>
      <c r="AE231" s="405"/>
      <c r="AF231" s="405"/>
      <c r="AG231" s="405"/>
      <c r="AH231" s="405"/>
      <c r="AI231" s="405"/>
      <c r="AJ231" s="405"/>
      <c r="AK231" s="405"/>
      <c r="AL231" s="405"/>
    </row>
    <row r="232" ht="14.25" customHeight="1">
      <c r="A232" s="497">
        <v>45506.0</v>
      </c>
      <c r="B232" s="349" t="s">
        <v>3758</v>
      </c>
      <c r="C232" s="349" t="s">
        <v>3759</v>
      </c>
      <c r="D232" s="349" t="s">
        <v>263</v>
      </c>
      <c r="E232" s="349" t="s">
        <v>3617</v>
      </c>
      <c r="F232" s="413">
        <v>51680.0</v>
      </c>
      <c r="G232" s="413">
        <v>55680.0</v>
      </c>
      <c r="H232" s="349" t="s">
        <v>710</v>
      </c>
      <c r="I232" s="736" t="str">
        <f t="shared" si="9"/>
        <v>FULLY PAID</v>
      </c>
      <c r="J232" s="402"/>
      <c r="K232" s="402"/>
      <c r="L232" s="402"/>
      <c r="M232" s="402"/>
      <c r="N232" s="402"/>
      <c r="O232" s="402"/>
      <c r="P232" s="402"/>
      <c r="Q232" s="402"/>
      <c r="R232" s="402"/>
      <c r="S232" s="402"/>
      <c r="T232" s="402"/>
      <c r="U232" s="402"/>
      <c r="V232" s="402"/>
      <c r="W232" s="402"/>
      <c r="X232" s="402"/>
      <c r="Y232" s="402"/>
      <c r="Z232" s="402"/>
      <c r="AA232" s="405"/>
      <c r="AB232" s="405"/>
      <c r="AC232" s="405"/>
      <c r="AD232" s="405"/>
      <c r="AE232" s="405"/>
      <c r="AF232" s="405"/>
      <c r="AG232" s="405"/>
      <c r="AH232" s="405"/>
      <c r="AI232" s="405"/>
      <c r="AJ232" s="405"/>
      <c r="AK232" s="405"/>
      <c r="AL232" s="405"/>
    </row>
    <row r="233" ht="14.25" customHeight="1">
      <c r="A233" s="497">
        <v>45506.0</v>
      </c>
      <c r="B233" s="349" t="s">
        <v>3735</v>
      </c>
      <c r="C233" s="349" t="s">
        <v>3669</v>
      </c>
      <c r="D233" s="349" t="s">
        <v>54</v>
      </c>
      <c r="E233" s="349" t="s">
        <v>3551</v>
      </c>
      <c r="F233" s="751">
        <v>15000.0</v>
      </c>
      <c r="G233" s="751">
        <v>3000.0</v>
      </c>
      <c r="H233" s="349" t="s">
        <v>3760</v>
      </c>
      <c r="I233" s="736" t="str">
        <f t="shared" si="9"/>
        <v>PARTIALLY PAID</v>
      </c>
      <c r="J233" s="402"/>
      <c r="K233" s="402"/>
      <c r="L233" s="402"/>
      <c r="M233" s="402"/>
      <c r="N233" s="402"/>
      <c r="O233" s="402"/>
      <c r="P233" s="402"/>
      <c r="Q233" s="402"/>
      <c r="R233" s="402"/>
      <c r="S233" s="402"/>
      <c r="T233" s="402"/>
      <c r="U233" s="402"/>
      <c r="V233" s="402"/>
      <c r="W233" s="402"/>
      <c r="X233" s="402"/>
      <c r="Y233" s="402"/>
      <c r="Z233" s="402"/>
      <c r="AA233" s="405"/>
      <c r="AB233" s="405"/>
      <c r="AC233" s="405"/>
      <c r="AD233" s="405"/>
      <c r="AE233" s="405"/>
      <c r="AF233" s="405"/>
      <c r="AG233" s="405"/>
      <c r="AH233" s="405"/>
      <c r="AI233" s="405"/>
      <c r="AJ233" s="405"/>
      <c r="AK233" s="405"/>
      <c r="AL233" s="405"/>
    </row>
    <row r="234" ht="14.25" customHeight="1">
      <c r="A234" s="497">
        <v>45506.0</v>
      </c>
      <c r="B234" s="349" t="s">
        <v>3717</v>
      </c>
      <c r="C234" s="349" t="s">
        <v>3621</v>
      </c>
      <c r="D234" s="349" t="s">
        <v>54</v>
      </c>
      <c r="E234" s="349" t="s">
        <v>3617</v>
      </c>
      <c r="F234" s="751">
        <v>22711.0</v>
      </c>
      <c r="G234" s="751"/>
      <c r="H234" s="349" t="s">
        <v>3761</v>
      </c>
      <c r="I234" s="736" t="str">
        <f t="shared" si="9"/>
        <v>NOT PAID</v>
      </c>
      <c r="J234" s="402"/>
      <c r="K234" s="402"/>
      <c r="L234" s="402"/>
      <c r="M234" s="402"/>
      <c r="N234" s="402"/>
      <c r="O234" s="402"/>
      <c r="P234" s="402"/>
      <c r="Q234" s="402"/>
      <c r="R234" s="402"/>
      <c r="S234" s="402"/>
      <c r="T234" s="402"/>
      <c r="U234" s="402"/>
      <c r="V234" s="402"/>
      <c r="W234" s="402"/>
      <c r="X234" s="402"/>
      <c r="Y234" s="402"/>
      <c r="Z234" s="402"/>
      <c r="AA234" s="405"/>
      <c r="AB234" s="405"/>
      <c r="AC234" s="405"/>
      <c r="AD234" s="405"/>
      <c r="AE234" s="405"/>
      <c r="AF234" s="405"/>
      <c r="AG234" s="405"/>
      <c r="AH234" s="405"/>
      <c r="AI234" s="405"/>
      <c r="AJ234" s="405"/>
      <c r="AK234" s="405"/>
      <c r="AL234" s="405"/>
    </row>
    <row r="235" ht="14.25" customHeight="1">
      <c r="A235" s="497">
        <v>45506.0</v>
      </c>
      <c r="B235" s="349" t="s">
        <v>3762</v>
      </c>
      <c r="C235" s="349" t="s">
        <v>3763</v>
      </c>
      <c r="D235" s="349" t="s">
        <v>54</v>
      </c>
      <c r="E235" s="349" t="s">
        <v>3556</v>
      </c>
      <c r="F235" s="751">
        <v>13418.0</v>
      </c>
      <c r="G235" s="751">
        <v>16905.0</v>
      </c>
      <c r="H235" s="349" t="s">
        <v>710</v>
      </c>
      <c r="I235" s="736" t="str">
        <f t="shared" si="9"/>
        <v>FULLY PAID</v>
      </c>
      <c r="J235" s="402"/>
      <c r="K235" s="402"/>
      <c r="L235" s="402"/>
      <c r="M235" s="402"/>
      <c r="N235" s="402"/>
      <c r="O235" s="402"/>
      <c r="P235" s="402"/>
      <c r="Q235" s="402"/>
      <c r="R235" s="402"/>
      <c r="S235" s="402"/>
      <c r="T235" s="402"/>
      <c r="U235" s="402"/>
      <c r="V235" s="402"/>
      <c r="W235" s="402"/>
      <c r="X235" s="402"/>
      <c r="Y235" s="402"/>
      <c r="Z235" s="402"/>
      <c r="AA235" s="405"/>
      <c r="AB235" s="405"/>
      <c r="AC235" s="405"/>
      <c r="AD235" s="405"/>
      <c r="AE235" s="405"/>
      <c r="AF235" s="405"/>
      <c r="AG235" s="405"/>
      <c r="AH235" s="405"/>
      <c r="AI235" s="405"/>
      <c r="AJ235" s="405"/>
      <c r="AK235" s="405"/>
      <c r="AL235" s="405"/>
    </row>
    <row r="236" ht="14.25" customHeight="1">
      <c r="A236" s="497">
        <v>45506.0</v>
      </c>
      <c r="B236" s="349" t="s">
        <v>3731</v>
      </c>
      <c r="C236" s="349" t="s">
        <v>3732</v>
      </c>
      <c r="D236" s="349" t="s">
        <v>346</v>
      </c>
      <c r="E236" s="349" t="s">
        <v>3617</v>
      </c>
      <c r="F236" s="413">
        <v>3619.03</v>
      </c>
      <c r="G236" s="413"/>
      <c r="H236" s="349" t="s">
        <v>2184</v>
      </c>
      <c r="I236" s="736" t="str">
        <f t="shared" si="9"/>
        <v>NOT PAID</v>
      </c>
      <c r="J236" s="402"/>
      <c r="K236" s="402"/>
      <c r="L236" s="402"/>
      <c r="M236" s="402"/>
      <c r="N236" s="402"/>
      <c r="O236" s="402"/>
      <c r="P236" s="402"/>
      <c r="Q236" s="402"/>
      <c r="R236" s="402"/>
      <c r="S236" s="402"/>
      <c r="T236" s="402"/>
      <c r="U236" s="402"/>
      <c r="V236" s="402"/>
      <c r="W236" s="402"/>
      <c r="X236" s="402"/>
      <c r="Y236" s="402"/>
      <c r="Z236" s="402"/>
      <c r="AA236" s="405"/>
      <c r="AB236" s="405"/>
      <c r="AC236" s="405"/>
      <c r="AD236" s="405"/>
      <c r="AE236" s="405"/>
      <c r="AF236" s="405"/>
      <c r="AG236" s="405"/>
      <c r="AH236" s="405"/>
      <c r="AI236" s="405"/>
      <c r="AJ236" s="405"/>
      <c r="AK236" s="405"/>
      <c r="AL236" s="405"/>
    </row>
    <row r="237" ht="14.25" customHeight="1">
      <c r="A237" s="497">
        <v>45506.0</v>
      </c>
      <c r="B237" s="349" t="s">
        <v>3631</v>
      </c>
      <c r="C237" s="349" t="s">
        <v>3632</v>
      </c>
      <c r="D237" s="349" t="s">
        <v>54</v>
      </c>
      <c r="E237" s="349" t="s">
        <v>3551</v>
      </c>
      <c r="F237" s="751">
        <v>164409.0</v>
      </c>
      <c r="G237" s="751">
        <v>20000.0</v>
      </c>
      <c r="H237" s="349" t="s">
        <v>3764</v>
      </c>
      <c r="I237" s="736" t="str">
        <f t="shared" si="9"/>
        <v>PARTIALLY PAID</v>
      </c>
      <c r="J237" s="402"/>
      <c r="K237" s="402"/>
      <c r="L237" s="402"/>
      <c r="M237" s="402"/>
      <c r="N237" s="402"/>
      <c r="O237" s="402"/>
      <c r="P237" s="402"/>
      <c r="Q237" s="402"/>
      <c r="R237" s="402"/>
      <c r="S237" s="402"/>
      <c r="T237" s="402"/>
      <c r="U237" s="402"/>
      <c r="V237" s="402"/>
      <c r="W237" s="402"/>
      <c r="X237" s="402"/>
      <c r="Y237" s="402"/>
      <c r="Z237" s="402"/>
      <c r="AA237" s="405"/>
      <c r="AB237" s="405"/>
      <c r="AC237" s="405"/>
      <c r="AD237" s="405"/>
      <c r="AE237" s="405"/>
      <c r="AF237" s="405"/>
      <c r="AG237" s="405"/>
      <c r="AH237" s="405"/>
      <c r="AI237" s="405"/>
      <c r="AJ237" s="405"/>
      <c r="AK237" s="405"/>
      <c r="AL237" s="405"/>
    </row>
    <row r="238" ht="14.25" customHeight="1">
      <c r="A238" s="497">
        <v>45506.0</v>
      </c>
      <c r="B238" s="349" t="s">
        <v>3765</v>
      </c>
      <c r="C238" s="349" t="s">
        <v>3766</v>
      </c>
      <c r="D238" s="349" t="s">
        <v>54</v>
      </c>
      <c r="E238" s="349" t="s">
        <v>3551</v>
      </c>
      <c r="F238" s="751">
        <v>26702.18</v>
      </c>
      <c r="G238" s="751">
        <v>31200.0</v>
      </c>
      <c r="H238" s="349" t="s">
        <v>710</v>
      </c>
      <c r="I238" s="736" t="str">
        <f t="shared" si="9"/>
        <v>FULLY PAID</v>
      </c>
      <c r="J238" s="402"/>
      <c r="K238" s="402"/>
      <c r="L238" s="402"/>
      <c r="M238" s="402"/>
      <c r="N238" s="402"/>
      <c r="O238" s="402"/>
      <c r="P238" s="402"/>
      <c r="Q238" s="402"/>
      <c r="R238" s="402"/>
      <c r="S238" s="402"/>
      <c r="T238" s="402"/>
      <c r="U238" s="402"/>
      <c r="V238" s="402"/>
      <c r="W238" s="402"/>
      <c r="X238" s="402"/>
      <c r="Y238" s="402"/>
      <c r="Z238" s="402"/>
      <c r="AA238" s="405"/>
      <c r="AB238" s="405"/>
      <c r="AC238" s="405"/>
      <c r="AD238" s="405"/>
      <c r="AE238" s="405"/>
      <c r="AF238" s="405"/>
      <c r="AG238" s="405"/>
      <c r="AH238" s="405"/>
      <c r="AI238" s="405"/>
      <c r="AJ238" s="405"/>
      <c r="AK238" s="405"/>
      <c r="AL238" s="405"/>
    </row>
    <row r="239" ht="14.25" customHeight="1">
      <c r="A239" s="497">
        <v>45506.0</v>
      </c>
      <c r="B239" s="349" t="s">
        <v>3742</v>
      </c>
      <c r="C239" s="349" t="s">
        <v>3743</v>
      </c>
      <c r="D239" s="349" t="s">
        <v>54</v>
      </c>
      <c r="E239" s="349" t="s">
        <v>3551</v>
      </c>
      <c r="F239" s="751">
        <v>20710.73</v>
      </c>
      <c r="G239" s="751"/>
      <c r="H239" s="349" t="s">
        <v>3764</v>
      </c>
      <c r="I239" s="736" t="str">
        <f t="shared" si="9"/>
        <v>NOT PAID</v>
      </c>
      <c r="J239" s="402"/>
      <c r="K239" s="402"/>
      <c r="L239" s="402"/>
      <c r="M239" s="402"/>
      <c r="N239" s="402"/>
      <c r="O239" s="402"/>
      <c r="P239" s="402"/>
      <c r="Q239" s="402"/>
      <c r="R239" s="402"/>
      <c r="S239" s="402"/>
      <c r="T239" s="402"/>
      <c r="U239" s="402"/>
      <c r="V239" s="402"/>
      <c r="W239" s="402"/>
      <c r="X239" s="402"/>
      <c r="Y239" s="402"/>
      <c r="Z239" s="402"/>
      <c r="AA239" s="405"/>
      <c r="AB239" s="405"/>
      <c r="AC239" s="405"/>
      <c r="AD239" s="405"/>
      <c r="AE239" s="405"/>
      <c r="AF239" s="405"/>
      <c r="AG239" s="405"/>
      <c r="AH239" s="405"/>
      <c r="AI239" s="405"/>
      <c r="AJ239" s="405"/>
      <c r="AK239" s="405"/>
      <c r="AL239" s="405"/>
    </row>
    <row r="240" ht="14.25" customHeight="1">
      <c r="A240" s="497">
        <v>45506.0</v>
      </c>
      <c r="B240" s="349" t="s">
        <v>3591</v>
      </c>
      <c r="C240" s="349" t="s">
        <v>3592</v>
      </c>
      <c r="D240" s="349" t="s">
        <v>54</v>
      </c>
      <c r="E240" s="349" t="s">
        <v>3551</v>
      </c>
      <c r="F240" s="751">
        <v>9687.0</v>
      </c>
      <c r="G240" s="751">
        <v>20000.0</v>
      </c>
      <c r="H240" s="349" t="s">
        <v>710</v>
      </c>
      <c r="I240" s="736" t="str">
        <f t="shared" si="9"/>
        <v>FULLY PAID</v>
      </c>
      <c r="J240" s="402"/>
      <c r="K240" s="402"/>
      <c r="L240" s="402"/>
      <c r="M240" s="402"/>
      <c r="N240" s="402"/>
      <c r="O240" s="402"/>
      <c r="P240" s="402"/>
      <c r="Q240" s="402"/>
      <c r="R240" s="402"/>
      <c r="S240" s="402"/>
      <c r="T240" s="402"/>
      <c r="U240" s="402"/>
      <c r="V240" s="402"/>
      <c r="W240" s="402"/>
      <c r="X240" s="402"/>
      <c r="Y240" s="402"/>
      <c r="Z240" s="402"/>
      <c r="AA240" s="405"/>
      <c r="AB240" s="405"/>
      <c r="AC240" s="405"/>
      <c r="AD240" s="405"/>
      <c r="AE240" s="405"/>
      <c r="AF240" s="405"/>
      <c r="AG240" s="405"/>
      <c r="AH240" s="405"/>
      <c r="AI240" s="405"/>
      <c r="AJ240" s="405"/>
      <c r="AK240" s="405"/>
      <c r="AL240" s="405"/>
    </row>
    <row r="241" ht="14.25" customHeight="1">
      <c r="A241" s="497">
        <v>45506.0</v>
      </c>
      <c r="B241" s="349" t="s">
        <v>3752</v>
      </c>
      <c r="C241" s="349" t="s">
        <v>3654</v>
      </c>
      <c r="D241" s="349" t="s">
        <v>75</v>
      </c>
      <c r="E241" s="349" t="s">
        <v>3556</v>
      </c>
      <c r="F241" s="751">
        <v>920000.0</v>
      </c>
      <c r="G241" s="751"/>
      <c r="H241" s="349" t="s">
        <v>3767</v>
      </c>
      <c r="I241" s="736" t="str">
        <f t="shared" si="9"/>
        <v>NOT PAID</v>
      </c>
      <c r="J241" s="402"/>
      <c r="K241" s="402"/>
      <c r="L241" s="402"/>
      <c r="M241" s="402"/>
      <c r="N241" s="402"/>
      <c r="O241" s="402"/>
      <c r="P241" s="402"/>
      <c r="Q241" s="402"/>
      <c r="R241" s="402"/>
      <c r="S241" s="402"/>
      <c r="T241" s="402"/>
      <c r="U241" s="402"/>
      <c r="V241" s="402"/>
      <c r="W241" s="402"/>
      <c r="X241" s="402"/>
      <c r="Y241" s="402"/>
      <c r="Z241" s="402"/>
      <c r="AA241" s="405"/>
      <c r="AB241" s="405"/>
      <c r="AC241" s="405"/>
      <c r="AD241" s="405"/>
      <c r="AE241" s="405"/>
      <c r="AF241" s="405"/>
      <c r="AG241" s="405"/>
      <c r="AH241" s="405"/>
      <c r="AI241" s="405"/>
      <c r="AJ241" s="405"/>
      <c r="AK241" s="405"/>
      <c r="AL241" s="405"/>
    </row>
    <row r="242" ht="14.25" customHeight="1">
      <c r="A242" s="497">
        <v>45506.0</v>
      </c>
      <c r="B242" s="349" t="s">
        <v>3744</v>
      </c>
      <c r="C242" s="349" t="s">
        <v>3745</v>
      </c>
      <c r="D242" s="349" t="s">
        <v>75</v>
      </c>
      <c r="E242" s="349" t="s">
        <v>3556</v>
      </c>
      <c r="F242" s="751">
        <v>34500.0</v>
      </c>
      <c r="G242" s="751"/>
      <c r="H242" s="349" t="s">
        <v>3768</v>
      </c>
      <c r="I242" s="736" t="str">
        <f t="shared" si="9"/>
        <v>NOT PAID</v>
      </c>
      <c r="J242" s="402"/>
      <c r="K242" s="402"/>
      <c r="L242" s="402"/>
      <c r="M242" s="402"/>
      <c r="N242" s="402"/>
      <c r="O242" s="402"/>
      <c r="P242" s="402"/>
      <c r="Q242" s="402"/>
      <c r="R242" s="402"/>
      <c r="S242" s="402"/>
      <c r="T242" s="402"/>
      <c r="U242" s="402"/>
      <c r="V242" s="402"/>
      <c r="W242" s="402"/>
      <c r="X242" s="402"/>
      <c r="Y242" s="402"/>
      <c r="Z242" s="402"/>
      <c r="AA242" s="405"/>
      <c r="AB242" s="405"/>
      <c r="AC242" s="405"/>
      <c r="AD242" s="405"/>
      <c r="AE242" s="405"/>
      <c r="AF242" s="405"/>
      <c r="AG242" s="405"/>
      <c r="AH242" s="405"/>
      <c r="AI242" s="405"/>
      <c r="AJ242" s="405"/>
      <c r="AK242" s="405"/>
      <c r="AL242" s="405"/>
    </row>
    <row r="243" ht="14.25" customHeight="1">
      <c r="A243" s="497">
        <v>45506.0</v>
      </c>
      <c r="B243" s="349" t="s">
        <v>3718</v>
      </c>
      <c r="C243" s="349" t="s">
        <v>3719</v>
      </c>
      <c r="D243" s="349" t="s">
        <v>54</v>
      </c>
      <c r="E243" s="349" t="s">
        <v>3551</v>
      </c>
      <c r="F243" s="751">
        <v>344354.0</v>
      </c>
      <c r="G243" s="751"/>
      <c r="H243" s="349" t="s">
        <v>3769</v>
      </c>
      <c r="I243" s="736" t="str">
        <f t="shared" si="9"/>
        <v>NOT PAID</v>
      </c>
      <c r="J243" s="402"/>
      <c r="K243" s="402"/>
      <c r="L243" s="402"/>
      <c r="M243" s="402"/>
      <c r="N243" s="402"/>
      <c r="O243" s="402"/>
      <c r="P243" s="402"/>
      <c r="Q243" s="402"/>
      <c r="R243" s="402"/>
      <c r="S243" s="402"/>
      <c r="T243" s="402"/>
      <c r="U243" s="402"/>
      <c r="V243" s="402"/>
      <c r="W243" s="402"/>
      <c r="X243" s="402"/>
      <c r="Y243" s="402"/>
      <c r="Z243" s="402"/>
      <c r="AA243" s="405"/>
      <c r="AB243" s="405"/>
      <c r="AC243" s="405"/>
      <c r="AD243" s="405"/>
      <c r="AE243" s="405"/>
      <c r="AF243" s="405"/>
      <c r="AG243" s="405"/>
      <c r="AH243" s="405"/>
      <c r="AI243" s="405"/>
      <c r="AJ243" s="405"/>
      <c r="AK243" s="405"/>
      <c r="AL243" s="405"/>
    </row>
    <row r="244" ht="14.25" customHeight="1">
      <c r="A244" s="497">
        <v>45506.0</v>
      </c>
      <c r="B244" s="349" t="s">
        <v>3554</v>
      </c>
      <c r="C244" s="349" t="s">
        <v>3555</v>
      </c>
      <c r="D244" s="349" t="s">
        <v>54</v>
      </c>
      <c r="E244" s="349" t="s">
        <v>3556</v>
      </c>
      <c r="F244" s="751">
        <v>120501.0</v>
      </c>
      <c r="G244" s="751"/>
      <c r="H244" s="349" t="s">
        <v>3769</v>
      </c>
      <c r="I244" s="736" t="str">
        <f t="shared" si="9"/>
        <v>NOT PAID</v>
      </c>
      <c r="J244" s="402"/>
      <c r="K244" s="402"/>
      <c r="L244" s="402"/>
      <c r="M244" s="402"/>
      <c r="N244" s="402"/>
      <c r="O244" s="402"/>
      <c r="P244" s="402"/>
      <c r="Q244" s="402"/>
      <c r="R244" s="402"/>
      <c r="S244" s="402"/>
      <c r="T244" s="402"/>
      <c r="U244" s="402"/>
      <c r="V244" s="402"/>
      <c r="W244" s="402"/>
      <c r="X244" s="402"/>
      <c r="Y244" s="402"/>
      <c r="Z244" s="402"/>
      <c r="AA244" s="405"/>
      <c r="AB244" s="405"/>
      <c r="AC244" s="405"/>
      <c r="AD244" s="405"/>
      <c r="AE244" s="405"/>
      <c r="AF244" s="405"/>
      <c r="AG244" s="405"/>
      <c r="AH244" s="405"/>
      <c r="AI244" s="405"/>
      <c r="AJ244" s="405"/>
      <c r="AK244" s="405"/>
      <c r="AL244" s="405"/>
    </row>
    <row r="245" ht="14.25" customHeight="1">
      <c r="A245" s="497">
        <v>45506.0</v>
      </c>
      <c r="B245" s="349" t="s">
        <v>3563</v>
      </c>
      <c r="C245" s="349" t="s">
        <v>3564</v>
      </c>
      <c r="D245" s="349" t="s">
        <v>54</v>
      </c>
      <c r="E245" s="349" t="s">
        <v>3551</v>
      </c>
      <c r="F245" s="751">
        <v>42295.0</v>
      </c>
      <c r="G245" s="751"/>
      <c r="H245" s="349" t="s">
        <v>3768</v>
      </c>
      <c r="I245" s="736" t="str">
        <f t="shared" si="9"/>
        <v>NOT PAID</v>
      </c>
      <c r="J245" s="402"/>
      <c r="K245" s="402"/>
      <c r="L245" s="402"/>
      <c r="M245" s="402"/>
      <c r="N245" s="402"/>
      <c r="O245" s="402"/>
      <c r="P245" s="402"/>
      <c r="Q245" s="402"/>
      <c r="R245" s="402"/>
      <c r="S245" s="402"/>
      <c r="T245" s="402"/>
      <c r="U245" s="402"/>
      <c r="V245" s="402"/>
      <c r="W245" s="402"/>
      <c r="X245" s="402"/>
      <c r="Y245" s="402"/>
      <c r="Z245" s="402"/>
      <c r="AA245" s="405"/>
      <c r="AB245" s="405"/>
      <c r="AC245" s="405"/>
      <c r="AD245" s="405"/>
      <c r="AE245" s="405"/>
      <c r="AF245" s="405"/>
      <c r="AG245" s="405"/>
      <c r="AH245" s="405"/>
      <c r="AI245" s="405"/>
      <c r="AJ245" s="405"/>
      <c r="AK245" s="405"/>
      <c r="AL245" s="405"/>
    </row>
    <row r="246" ht="14.25" customHeight="1">
      <c r="A246" s="497">
        <v>45506.0</v>
      </c>
      <c r="B246" s="349" t="s">
        <v>3770</v>
      </c>
      <c r="C246" s="349" t="s">
        <v>3771</v>
      </c>
      <c r="D246" s="349" t="s">
        <v>54</v>
      </c>
      <c r="E246" s="349" t="s">
        <v>3551</v>
      </c>
      <c r="F246" s="751">
        <v>14567.0</v>
      </c>
      <c r="G246" s="751">
        <v>25000.0</v>
      </c>
      <c r="H246" s="349" t="s">
        <v>710</v>
      </c>
      <c r="I246" s="736" t="str">
        <f t="shared" si="9"/>
        <v>FULLY PAID</v>
      </c>
      <c r="J246" s="402"/>
      <c r="K246" s="402"/>
      <c r="L246" s="402"/>
      <c r="M246" s="402"/>
      <c r="N246" s="402"/>
      <c r="O246" s="402"/>
      <c r="P246" s="402"/>
      <c r="Q246" s="402"/>
      <c r="R246" s="402"/>
      <c r="S246" s="402"/>
      <c r="T246" s="402"/>
      <c r="U246" s="402"/>
      <c r="V246" s="402"/>
      <c r="W246" s="402"/>
      <c r="X246" s="402"/>
      <c r="Y246" s="402"/>
      <c r="Z246" s="402"/>
      <c r="AA246" s="405"/>
      <c r="AB246" s="405"/>
      <c r="AC246" s="405"/>
      <c r="AD246" s="405"/>
      <c r="AE246" s="405"/>
      <c r="AF246" s="405"/>
      <c r="AG246" s="405"/>
      <c r="AH246" s="405"/>
      <c r="AI246" s="405"/>
      <c r="AJ246" s="405"/>
      <c r="AK246" s="405"/>
      <c r="AL246" s="405"/>
    </row>
    <row r="247" ht="14.25" customHeight="1">
      <c r="A247" s="497">
        <v>45506.0</v>
      </c>
      <c r="B247" s="349" t="s">
        <v>3649</v>
      </c>
      <c r="C247" s="349" t="s">
        <v>3650</v>
      </c>
      <c r="D247" s="349" t="s">
        <v>54</v>
      </c>
      <c r="E247" s="349" t="s">
        <v>3551</v>
      </c>
      <c r="F247" s="751">
        <v>33000.0</v>
      </c>
      <c r="G247" s="751"/>
      <c r="H247" s="349" t="s">
        <v>2184</v>
      </c>
      <c r="I247" s="736" t="str">
        <f t="shared" si="9"/>
        <v>NOT PAID</v>
      </c>
      <c r="J247" s="402"/>
      <c r="K247" s="402"/>
      <c r="L247" s="402"/>
      <c r="M247" s="402"/>
      <c r="N247" s="402"/>
      <c r="O247" s="402"/>
      <c r="P247" s="402"/>
      <c r="Q247" s="402"/>
      <c r="R247" s="402"/>
      <c r="S247" s="402"/>
      <c r="T247" s="402"/>
      <c r="U247" s="402"/>
      <c r="V247" s="402"/>
      <c r="W247" s="402"/>
      <c r="X247" s="402"/>
      <c r="Y247" s="402"/>
      <c r="Z247" s="402"/>
      <c r="AA247" s="405"/>
      <c r="AB247" s="405"/>
      <c r="AC247" s="405"/>
      <c r="AD247" s="405"/>
      <c r="AE247" s="405"/>
      <c r="AF247" s="405"/>
      <c r="AG247" s="405"/>
      <c r="AH247" s="405"/>
      <c r="AI247" s="405"/>
      <c r="AJ247" s="405"/>
      <c r="AK247" s="405"/>
      <c r="AL247" s="405"/>
    </row>
    <row r="248" ht="14.25" customHeight="1">
      <c r="A248" s="497">
        <v>45506.0</v>
      </c>
      <c r="B248" s="349" t="s">
        <v>3691</v>
      </c>
      <c r="C248" s="349" t="s">
        <v>3772</v>
      </c>
      <c r="D248" s="349" t="s">
        <v>54</v>
      </c>
      <c r="E248" s="349" t="s">
        <v>3579</v>
      </c>
      <c r="F248" s="751">
        <v>48614.0</v>
      </c>
      <c r="G248" s="751"/>
      <c r="H248" s="349" t="s">
        <v>2184</v>
      </c>
      <c r="I248" s="736" t="str">
        <f t="shared" si="9"/>
        <v>NOT PAID</v>
      </c>
      <c r="J248" s="402"/>
      <c r="K248" s="402"/>
      <c r="L248" s="402"/>
      <c r="M248" s="402"/>
      <c r="N248" s="402"/>
      <c r="O248" s="402"/>
      <c r="P248" s="402"/>
      <c r="Q248" s="402"/>
      <c r="R248" s="402"/>
      <c r="S248" s="402"/>
      <c r="T248" s="402"/>
      <c r="U248" s="402"/>
      <c r="V248" s="402"/>
      <c r="W248" s="402"/>
      <c r="X248" s="402"/>
      <c r="Y248" s="402"/>
      <c r="Z248" s="402"/>
      <c r="AA248" s="405"/>
      <c r="AB248" s="405"/>
      <c r="AC248" s="405"/>
      <c r="AD248" s="405"/>
      <c r="AE248" s="405"/>
      <c r="AF248" s="405"/>
      <c r="AG248" s="405"/>
      <c r="AH248" s="405"/>
      <c r="AI248" s="405"/>
      <c r="AJ248" s="405"/>
      <c r="AK248" s="405"/>
      <c r="AL248" s="405"/>
    </row>
    <row r="249" ht="14.25" customHeight="1">
      <c r="A249" s="497">
        <v>45506.0</v>
      </c>
      <c r="B249" s="349" t="s">
        <v>3552</v>
      </c>
      <c r="C249" s="349" t="s">
        <v>3553</v>
      </c>
      <c r="D249" s="349" t="s">
        <v>54</v>
      </c>
      <c r="E249" s="349" t="s">
        <v>3551</v>
      </c>
      <c r="F249" s="751">
        <v>36316.0</v>
      </c>
      <c r="G249" s="751"/>
      <c r="H249" s="349" t="s">
        <v>3764</v>
      </c>
      <c r="I249" s="736" t="str">
        <f t="shared" si="9"/>
        <v>NOT PAID</v>
      </c>
      <c r="J249" s="402"/>
      <c r="K249" s="402"/>
      <c r="L249" s="402"/>
      <c r="M249" s="402"/>
      <c r="N249" s="402"/>
      <c r="O249" s="402"/>
      <c r="P249" s="402"/>
      <c r="Q249" s="402"/>
      <c r="R249" s="402"/>
      <c r="S249" s="402"/>
      <c r="T249" s="402"/>
      <c r="U249" s="402"/>
      <c r="V249" s="402"/>
      <c r="W249" s="402"/>
      <c r="X249" s="402"/>
      <c r="Y249" s="402"/>
      <c r="Z249" s="402"/>
      <c r="AA249" s="405"/>
      <c r="AB249" s="405"/>
      <c r="AC249" s="405"/>
      <c r="AD249" s="405"/>
      <c r="AE249" s="405"/>
      <c r="AF249" s="405"/>
      <c r="AG249" s="405"/>
      <c r="AH249" s="405"/>
      <c r="AI249" s="405"/>
      <c r="AJ249" s="405"/>
      <c r="AK249" s="405"/>
      <c r="AL249" s="405"/>
    </row>
    <row r="250" ht="14.25" customHeight="1">
      <c r="A250" s="402"/>
      <c r="B250" s="402"/>
      <c r="C250" s="402"/>
      <c r="D250" s="402"/>
      <c r="E250" s="402"/>
      <c r="F250" s="751"/>
      <c r="G250" s="751"/>
      <c r="H250" s="402"/>
      <c r="I250" s="736" t="str">
        <f t="shared" si="9"/>
        <v>FULLY PAID</v>
      </c>
      <c r="J250" s="402"/>
      <c r="K250" s="402"/>
      <c r="L250" s="402"/>
      <c r="M250" s="402"/>
      <c r="N250" s="402"/>
      <c r="O250" s="402"/>
      <c r="P250" s="402"/>
      <c r="Q250" s="402"/>
      <c r="R250" s="402"/>
      <c r="S250" s="402"/>
      <c r="T250" s="402"/>
      <c r="U250" s="402"/>
      <c r="V250" s="402"/>
      <c r="W250" s="402"/>
      <c r="X250" s="402"/>
      <c r="Y250" s="402"/>
      <c r="Z250" s="402"/>
      <c r="AA250" s="405"/>
      <c r="AB250" s="405"/>
      <c r="AC250" s="405"/>
      <c r="AD250" s="405"/>
      <c r="AE250" s="405"/>
      <c r="AF250" s="405"/>
      <c r="AG250" s="405"/>
      <c r="AH250" s="405"/>
      <c r="AI250" s="405"/>
      <c r="AJ250" s="405"/>
      <c r="AK250" s="405"/>
      <c r="AL250" s="405"/>
    </row>
    <row r="251" ht="14.25" customHeight="1">
      <c r="A251" s="402"/>
      <c r="B251" s="402"/>
      <c r="C251" s="424" t="s">
        <v>797</v>
      </c>
      <c r="D251" s="402"/>
      <c r="E251" s="402"/>
      <c r="F251" s="751"/>
      <c r="G251" s="751"/>
      <c r="H251" s="402"/>
      <c r="I251" s="736" t="str">
        <f t="shared" si="9"/>
        <v>FULLY PAID</v>
      </c>
      <c r="J251" s="402"/>
      <c r="K251" s="402"/>
      <c r="L251" s="402"/>
      <c r="M251" s="402"/>
      <c r="N251" s="402"/>
      <c r="O251" s="402"/>
      <c r="P251" s="402"/>
      <c r="Q251" s="402"/>
      <c r="R251" s="402"/>
      <c r="S251" s="402"/>
      <c r="T251" s="402"/>
      <c r="U251" s="402"/>
      <c r="V251" s="402"/>
      <c r="W251" s="402"/>
      <c r="X251" s="402"/>
      <c r="Y251" s="402"/>
      <c r="Z251" s="402"/>
      <c r="AA251" s="405"/>
      <c r="AB251" s="405"/>
      <c r="AC251" s="405"/>
      <c r="AD251" s="405"/>
      <c r="AE251" s="405"/>
      <c r="AF251" s="405"/>
      <c r="AG251" s="405"/>
      <c r="AH251" s="405"/>
      <c r="AI251" s="405"/>
      <c r="AJ251" s="405"/>
      <c r="AK251" s="405"/>
      <c r="AL251" s="405"/>
    </row>
    <row r="252" ht="14.25" customHeight="1">
      <c r="A252" s="497">
        <v>45506.0</v>
      </c>
      <c r="B252" s="436" t="s">
        <v>3608</v>
      </c>
      <c r="C252" s="436" t="s">
        <v>3637</v>
      </c>
      <c r="D252" s="668" t="s">
        <v>59</v>
      </c>
      <c r="E252" s="668" t="s">
        <v>3579</v>
      </c>
      <c r="F252" s="778">
        <v>500000.0</v>
      </c>
      <c r="G252" s="778"/>
      <c r="H252" s="349" t="s">
        <v>3773</v>
      </c>
      <c r="I252" s="736" t="str">
        <f t="shared" si="9"/>
        <v>NOT PAID</v>
      </c>
      <c r="J252" s="402"/>
      <c r="K252" s="402"/>
      <c r="L252" s="402"/>
      <c r="M252" s="402"/>
      <c r="N252" s="402"/>
      <c r="O252" s="402"/>
      <c r="P252" s="402"/>
      <c r="Q252" s="402"/>
      <c r="R252" s="402"/>
      <c r="S252" s="402"/>
      <c r="T252" s="402"/>
      <c r="U252" s="402"/>
      <c r="V252" s="402"/>
      <c r="W252" s="402"/>
      <c r="X252" s="402"/>
      <c r="Y252" s="402"/>
      <c r="Z252" s="402"/>
      <c r="AA252" s="405"/>
      <c r="AB252" s="405"/>
      <c r="AC252" s="405"/>
      <c r="AD252" s="405"/>
      <c r="AE252" s="405"/>
      <c r="AF252" s="405"/>
      <c r="AG252" s="405"/>
      <c r="AH252" s="405"/>
      <c r="AI252" s="405"/>
      <c r="AJ252" s="405"/>
      <c r="AK252" s="405"/>
      <c r="AL252" s="405"/>
    </row>
    <row r="253" ht="14.25" customHeight="1">
      <c r="A253" s="497">
        <v>45506.0</v>
      </c>
      <c r="B253" s="755" t="s">
        <v>3663</v>
      </c>
      <c r="C253" s="755" t="s">
        <v>3705</v>
      </c>
      <c r="D253" s="668" t="s">
        <v>54</v>
      </c>
      <c r="E253" s="771" t="s">
        <v>3579</v>
      </c>
      <c r="F253" s="760">
        <v>164847.0</v>
      </c>
      <c r="G253" s="779">
        <v>100000.0</v>
      </c>
      <c r="H253" s="349" t="s">
        <v>3774</v>
      </c>
      <c r="I253" s="736" t="str">
        <f t="shared" si="9"/>
        <v>PARTIALLY PAID</v>
      </c>
      <c r="J253" s="402"/>
      <c r="K253" s="402"/>
      <c r="L253" s="402"/>
      <c r="M253" s="402"/>
      <c r="N253" s="402"/>
      <c r="O253" s="402"/>
      <c r="P253" s="402"/>
      <c r="Q253" s="402"/>
      <c r="R253" s="402"/>
      <c r="S253" s="402"/>
      <c r="T253" s="402"/>
      <c r="U253" s="402"/>
      <c r="V253" s="402"/>
      <c r="W253" s="402"/>
      <c r="X253" s="402"/>
      <c r="Y253" s="402"/>
      <c r="Z253" s="402"/>
      <c r="AA253" s="405"/>
      <c r="AB253" s="405"/>
      <c r="AC253" s="405"/>
      <c r="AD253" s="405"/>
      <c r="AE253" s="405"/>
      <c r="AF253" s="405"/>
      <c r="AG253" s="405"/>
      <c r="AH253" s="405"/>
      <c r="AI253" s="405"/>
      <c r="AJ253" s="405"/>
      <c r="AK253" s="405"/>
      <c r="AL253" s="405"/>
    </row>
    <row r="254" ht="14.25" customHeight="1">
      <c r="A254" s="402"/>
      <c r="B254" s="402"/>
      <c r="C254" s="402"/>
      <c r="D254" s="402"/>
      <c r="E254" s="402"/>
      <c r="F254" s="751"/>
      <c r="G254" s="403"/>
      <c r="H254" s="402"/>
      <c r="I254" s="736" t="str">
        <f t="shared" si="9"/>
        <v>FULLY PAID</v>
      </c>
      <c r="J254" s="402"/>
      <c r="K254" s="402"/>
      <c r="L254" s="402"/>
      <c r="M254" s="402"/>
      <c r="N254" s="402"/>
      <c r="O254" s="402"/>
      <c r="P254" s="402"/>
      <c r="Q254" s="402"/>
      <c r="R254" s="402"/>
      <c r="S254" s="402"/>
      <c r="T254" s="402"/>
      <c r="U254" s="402"/>
      <c r="V254" s="402"/>
      <c r="W254" s="402"/>
      <c r="X254" s="402"/>
      <c r="Y254" s="402"/>
      <c r="Z254" s="402"/>
      <c r="AA254" s="405"/>
      <c r="AB254" s="405"/>
      <c r="AC254" s="405"/>
      <c r="AD254" s="405"/>
      <c r="AE254" s="405"/>
      <c r="AF254" s="405"/>
      <c r="AG254" s="405"/>
      <c r="AH254" s="405"/>
      <c r="AI254" s="405"/>
      <c r="AJ254" s="405"/>
      <c r="AK254" s="405"/>
      <c r="AL254" s="405"/>
    </row>
    <row r="255" ht="14.25" customHeight="1">
      <c r="A255" s="402"/>
      <c r="B255" s="402"/>
      <c r="C255" s="402"/>
      <c r="D255" s="402"/>
      <c r="E255" s="424" t="s">
        <v>23</v>
      </c>
      <c r="F255" s="586">
        <f t="shared" ref="F255:G255" si="10">SUM(F230:F254)</f>
        <v>2639957.15</v>
      </c>
      <c r="G255" s="586">
        <f t="shared" si="10"/>
        <v>337702</v>
      </c>
      <c r="H255" s="402"/>
      <c r="I255" s="736" t="str">
        <f t="shared" si="9"/>
        <v>PARTIALLY PAID</v>
      </c>
      <c r="J255" s="402"/>
      <c r="K255" s="402"/>
      <c r="L255" s="402"/>
      <c r="M255" s="402"/>
      <c r="N255" s="402"/>
      <c r="O255" s="402"/>
      <c r="P255" s="402"/>
      <c r="Q255" s="402"/>
      <c r="R255" s="402"/>
      <c r="S255" s="402"/>
      <c r="T255" s="402"/>
      <c r="U255" s="402"/>
      <c r="V255" s="402"/>
      <c r="W255" s="402"/>
      <c r="X255" s="402"/>
      <c r="Y255" s="402"/>
      <c r="Z255" s="402"/>
      <c r="AA255" s="405"/>
      <c r="AB255" s="405"/>
      <c r="AC255" s="405"/>
      <c r="AD255" s="405"/>
      <c r="AE255" s="405"/>
      <c r="AF255" s="405"/>
      <c r="AG255" s="405"/>
      <c r="AH255" s="405"/>
      <c r="AI255" s="405"/>
      <c r="AJ255" s="405"/>
      <c r="AK255" s="405"/>
      <c r="AL255" s="405"/>
    </row>
    <row r="256" ht="14.25" customHeight="1">
      <c r="A256" s="402"/>
      <c r="B256" s="402"/>
      <c r="C256" s="402"/>
      <c r="D256" s="402"/>
      <c r="E256" s="402"/>
      <c r="F256" s="402"/>
      <c r="G256" s="403"/>
      <c r="H256" s="402"/>
      <c r="I256" s="736" t="str">
        <f t="shared" si="9"/>
        <v>FULLY PAID</v>
      </c>
      <c r="J256" s="402"/>
      <c r="K256" s="402"/>
      <c r="L256" s="402"/>
      <c r="M256" s="402"/>
      <c r="N256" s="402"/>
      <c r="O256" s="402"/>
      <c r="P256" s="402"/>
      <c r="Q256" s="402"/>
      <c r="R256" s="402"/>
      <c r="S256" s="402"/>
      <c r="T256" s="402"/>
      <c r="U256" s="402"/>
      <c r="V256" s="402"/>
      <c r="W256" s="402"/>
      <c r="X256" s="402"/>
      <c r="Y256" s="402"/>
      <c r="Z256" s="402"/>
      <c r="AA256" s="405"/>
      <c r="AB256" s="405"/>
      <c r="AC256" s="405"/>
      <c r="AD256" s="405"/>
      <c r="AE256" s="405"/>
      <c r="AF256" s="405"/>
      <c r="AG256" s="405"/>
      <c r="AH256" s="405"/>
      <c r="AI256" s="405"/>
      <c r="AJ256" s="405"/>
      <c r="AK256" s="405"/>
      <c r="AL256" s="405"/>
    </row>
    <row r="257" ht="14.25" customHeight="1">
      <c r="A257" s="584" t="s">
        <v>2130</v>
      </c>
      <c r="B257" s="584" t="s">
        <v>39</v>
      </c>
      <c r="C257" s="584" t="s">
        <v>48</v>
      </c>
      <c r="D257" s="584" t="s">
        <v>49</v>
      </c>
      <c r="E257" s="584" t="s">
        <v>50</v>
      </c>
      <c r="F257" s="584" t="s">
        <v>2</v>
      </c>
      <c r="G257" s="586" t="s">
        <v>44</v>
      </c>
      <c r="H257" s="424" t="s">
        <v>45</v>
      </c>
      <c r="I257" s="736" t="str">
        <f t="shared" si="9"/>
        <v>FULLY PAID</v>
      </c>
      <c r="J257" s="402"/>
      <c r="K257" s="402"/>
      <c r="L257" s="402"/>
      <c r="M257" s="402"/>
      <c r="N257" s="402"/>
      <c r="O257" s="402"/>
      <c r="P257" s="402"/>
      <c r="Q257" s="402"/>
      <c r="R257" s="402"/>
      <c r="S257" s="402"/>
      <c r="T257" s="402"/>
      <c r="U257" s="402"/>
      <c r="V257" s="402"/>
      <c r="W257" s="402"/>
      <c r="X257" s="402"/>
      <c r="Y257" s="402"/>
      <c r="Z257" s="402"/>
      <c r="AA257" s="405"/>
      <c r="AB257" s="405"/>
      <c r="AC257" s="405"/>
      <c r="AD257" s="405"/>
      <c r="AE257" s="405"/>
      <c r="AF257" s="405"/>
      <c r="AG257" s="405"/>
      <c r="AH257" s="405"/>
      <c r="AI257" s="405"/>
      <c r="AJ257" s="405"/>
      <c r="AK257" s="405"/>
      <c r="AL257" s="405"/>
    </row>
    <row r="258" ht="14.25" customHeight="1">
      <c r="A258" s="497">
        <v>45507.0</v>
      </c>
      <c r="B258" s="349" t="s">
        <v>3775</v>
      </c>
      <c r="C258" s="349" t="s">
        <v>3776</v>
      </c>
      <c r="D258" s="349" t="s">
        <v>54</v>
      </c>
      <c r="E258" s="349" t="s">
        <v>3617</v>
      </c>
      <c r="F258" s="751">
        <v>92611.0</v>
      </c>
      <c r="G258" s="751"/>
      <c r="H258" s="349" t="s">
        <v>2184</v>
      </c>
      <c r="I258" s="736" t="str">
        <f t="shared" si="9"/>
        <v>NOT PAID</v>
      </c>
      <c r="J258" s="402"/>
      <c r="K258" s="402"/>
      <c r="L258" s="402"/>
      <c r="M258" s="402"/>
      <c r="N258" s="402"/>
      <c r="O258" s="402"/>
      <c r="P258" s="402"/>
      <c r="Q258" s="402"/>
      <c r="R258" s="402"/>
      <c r="S258" s="402"/>
      <c r="T258" s="402"/>
      <c r="U258" s="402"/>
      <c r="V258" s="402"/>
      <c r="W258" s="402"/>
      <c r="X258" s="402"/>
      <c r="Y258" s="402"/>
      <c r="Z258" s="402"/>
      <c r="AA258" s="405"/>
      <c r="AB258" s="405"/>
      <c r="AC258" s="405"/>
      <c r="AD258" s="405"/>
      <c r="AE258" s="405"/>
      <c r="AF258" s="405"/>
      <c r="AG258" s="405"/>
      <c r="AH258" s="405"/>
      <c r="AI258" s="405"/>
      <c r="AJ258" s="405"/>
      <c r="AK258" s="405"/>
      <c r="AL258" s="405"/>
    </row>
    <row r="259" ht="14.25" customHeight="1">
      <c r="A259" s="497">
        <v>45507.0</v>
      </c>
      <c r="B259" s="349" t="s">
        <v>3777</v>
      </c>
      <c r="C259" s="349" t="s">
        <v>3778</v>
      </c>
      <c r="D259" s="349" t="s">
        <v>54</v>
      </c>
      <c r="E259" s="349" t="s">
        <v>3551</v>
      </c>
      <c r="F259" s="751">
        <v>40032.0</v>
      </c>
      <c r="G259" s="751">
        <v>44300.0</v>
      </c>
      <c r="H259" s="349" t="s">
        <v>710</v>
      </c>
      <c r="I259" s="736" t="str">
        <f t="shared" si="9"/>
        <v>FULLY PAID</v>
      </c>
      <c r="J259" s="402"/>
      <c r="K259" s="402"/>
      <c r="L259" s="402"/>
      <c r="M259" s="402"/>
      <c r="N259" s="402"/>
      <c r="O259" s="402"/>
      <c r="P259" s="402"/>
      <c r="Q259" s="402"/>
      <c r="R259" s="402"/>
      <c r="S259" s="402"/>
      <c r="T259" s="402"/>
      <c r="U259" s="402"/>
      <c r="V259" s="402"/>
      <c r="W259" s="402"/>
      <c r="X259" s="402"/>
      <c r="Y259" s="402"/>
      <c r="Z259" s="402"/>
      <c r="AA259" s="405"/>
      <c r="AB259" s="405"/>
      <c r="AC259" s="405"/>
      <c r="AD259" s="405"/>
      <c r="AE259" s="405"/>
      <c r="AF259" s="405"/>
      <c r="AG259" s="405"/>
      <c r="AH259" s="405"/>
      <c r="AI259" s="405"/>
      <c r="AJ259" s="405"/>
      <c r="AK259" s="405"/>
      <c r="AL259" s="405"/>
    </row>
    <row r="260" ht="14.25" customHeight="1">
      <c r="A260" s="497">
        <v>45507.0</v>
      </c>
      <c r="B260" s="349" t="s">
        <v>3779</v>
      </c>
      <c r="C260" s="349" t="s">
        <v>3780</v>
      </c>
      <c r="D260" s="349" t="s">
        <v>54</v>
      </c>
      <c r="E260" s="349" t="s">
        <v>3556</v>
      </c>
      <c r="F260" s="751">
        <v>13375.0</v>
      </c>
      <c r="G260" s="751">
        <v>16500.0</v>
      </c>
      <c r="H260" s="349" t="s">
        <v>710</v>
      </c>
      <c r="I260" s="736" t="str">
        <f t="shared" si="9"/>
        <v>FULLY PAID</v>
      </c>
      <c r="J260" s="402"/>
      <c r="K260" s="402"/>
      <c r="L260" s="402"/>
      <c r="M260" s="402"/>
      <c r="N260" s="402"/>
      <c r="O260" s="402"/>
      <c r="P260" s="402"/>
      <c r="Q260" s="402"/>
      <c r="R260" s="402"/>
      <c r="S260" s="402"/>
      <c r="T260" s="402"/>
      <c r="U260" s="402"/>
      <c r="V260" s="402"/>
      <c r="W260" s="402"/>
      <c r="X260" s="402"/>
      <c r="Y260" s="402"/>
      <c r="Z260" s="402"/>
      <c r="AA260" s="405"/>
      <c r="AB260" s="405"/>
      <c r="AC260" s="405"/>
      <c r="AD260" s="405"/>
      <c r="AE260" s="405"/>
      <c r="AF260" s="405"/>
      <c r="AG260" s="405"/>
      <c r="AH260" s="405"/>
      <c r="AI260" s="405"/>
      <c r="AJ260" s="405"/>
      <c r="AK260" s="405"/>
      <c r="AL260" s="405"/>
    </row>
    <row r="261" ht="14.25" customHeight="1">
      <c r="A261" s="497">
        <v>45507.0</v>
      </c>
      <c r="B261" s="349" t="s">
        <v>3781</v>
      </c>
      <c r="C261" s="349" t="s">
        <v>3782</v>
      </c>
      <c r="D261" s="349" t="s">
        <v>54</v>
      </c>
      <c r="E261" s="349" t="s">
        <v>3617</v>
      </c>
      <c r="F261" s="751">
        <v>6390.0</v>
      </c>
      <c r="G261" s="751">
        <v>4500.0</v>
      </c>
      <c r="H261" s="349" t="s">
        <v>3783</v>
      </c>
      <c r="I261" s="736" t="str">
        <f t="shared" si="9"/>
        <v>PARTIALLY PAID</v>
      </c>
      <c r="J261" s="402"/>
      <c r="K261" s="402"/>
      <c r="L261" s="402"/>
      <c r="M261" s="402"/>
      <c r="N261" s="402"/>
      <c r="O261" s="402"/>
      <c r="P261" s="402"/>
      <c r="Q261" s="402"/>
      <c r="R261" s="402"/>
      <c r="S261" s="402"/>
      <c r="T261" s="402"/>
      <c r="U261" s="402"/>
      <c r="V261" s="402"/>
      <c r="W261" s="402"/>
      <c r="X261" s="402"/>
      <c r="Y261" s="402"/>
      <c r="Z261" s="402"/>
      <c r="AA261" s="405"/>
      <c r="AB261" s="405"/>
      <c r="AC261" s="405"/>
      <c r="AD261" s="405"/>
      <c r="AE261" s="405"/>
      <c r="AF261" s="405"/>
      <c r="AG261" s="405"/>
      <c r="AH261" s="405"/>
      <c r="AI261" s="405"/>
      <c r="AJ261" s="405"/>
      <c r="AK261" s="405"/>
      <c r="AL261" s="405"/>
    </row>
    <row r="262" ht="14.25" customHeight="1">
      <c r="A262" s="497">
        <v>45507.0</v>
      </c>
      <c r="B262" s="349" t="s">
        <v>3784</v>
      </c>
      <c r="C262" s="349" t="s">
        <v>3624</v>
      </c>
      <c r="D262" s="349" t="s">
        <v>3785</v>
      </c>
      <c r="E262" s="349" t="s">
        <v>3551</v>
      </c>
      <c r="F262" s="751">
        <v>5121.93</v>
      </c>
      <c r="G262" s="751"/>
      <c r="H262" s="349" t="s">
        <v>3786</v>
      </c>
      <c r="I262" s="736" t="str">
        <f t="shared" si="9"/>
        <v>NOT PAID</v>
      </c>
      <c r="J262" s="402"/>
      <c r="K262" s="402"/>
      <c r="L262" s="402"/>
      <c r="M262" s="402"/>
      <c r="N262" s="402"/>
      <c r="O262" s="402"/>
      <c r="P262" s="402"/>
      <c r="Q262" s="402"/>
      <c r="R262" s="402"/>
      <c r="S262" s="402"/>
      <c r="T262" s="402"/>
      <c r="U262" s="402"/>
      <c r="V262" s="402"/>
      <c r="W262" s="402"/>
      <c r="X262" s="402"/>
      <c r="Y262" s="402"/>
      <c r="Z262" s="402"/>
      <c r="AA262" s="405"/>
      <c r="AB262" s="405"/>
      <c r="AC262" s="405"/>
      <c r="AD262" s="405"/>
      <c r="AE262" s="405"/>
      <c r="AF262" s="405"/>
      <c r="AG262" s="405"/>
      <c r="AH262" s="405"/>
      <c r="AI262" s="405"/>
      <c r="AJ262" s="405"/>
      <c r="AK262" s="405"/>
      <c r="AL262" s="405"/>
    </row>
    <row r="263" ht="14.25" customHeight="1">
      <c r="A263" s="497">
        <v>45507.0</v>
      </c>
      <c r="B263" s="349" t="s">
        <v>3721</v>
      </c>
      <c r="C263" s="349" t="s">
        <v>3722</v>
      </c>
      <c r="D263" s="349" t="s">
        <v>54</v>
      </c>
      <c r="E263" s="349" t="s">
        <v>3556</v>
      </c>
      <c r="F263" s="751">
        <v>7464.0</v>
      </c>
      <c r="G263" s="751"/>
      <c r="H263" s="349" t="s">
        <v>3787</v>
      </c>
      <c r="I263" s="736" t="str">
        <f t="shared" si="9"/>
        <v>NOT PAID</v>
      </c>
      <c r="J263" s="402"/>
      <c r="K263" s="402"/>
      <c r="L263" s="402"/>
      <c r="M263" s="402"/>
      <c r="N263" s="402"/>
      <c r="O263" s="402"/>
      <c r="P263" s="402"/>
      <c r="Q263" s="402"/>
      <c r="R263" s="402"/>
      <c r="S263" s="402"/>
      <c r="T263" s="402"/>
      <c r="U263" s="402"/>
      <c r="V263" s="402"/>
      <c r="W263" s="402"/>
      <c r="X263" s="402"/>
      <c r="Y263" s="402"/>
      <c r="Z263" s="402"/>
      <c r="AA263" s="405"/>
      <c r="AB263" s="405"/>
      <c r="AC263" s="405"/>
      <c r="AD263" s="405"/>
      <c r="AE263" s="405"/>
      <c r="AF263" s="405"/>
      <c r="AG263" s="405"/>
      <c r="AH263" s="405"/>
      <c r="AI263" s="405"/>
      <c r="AJ263" s="405"/>
      <c r="AK263" s="405"/>
      <c r="AL263" s="405"/>
    </row>
    <row r="264" ht="14.25" customHeight="1">
      <c r="A264" s="497">
        <v>45507.0</v>
      </c>
      <c r="B264" s="349" t="s">
        <v>3563</v>
      </c>
      <c r="C264" s="349" t="s">
        <v>3564</v>
      </c>
      <c r="D264" s="349" t="s">
        <v>54</v>
      </c>
      <c r="E264" s="349" t="s">
        <v>3551</v>
      </c>
      <c r="F264" s="751">
        <v>42295.0</v>
      </c>
      <c r="G264" s="751"/>
      <c r="H264" s="349" t="s">
        <v>3788</v>
      </c>
      <c r="I264" s="736" t="str">
        <f t="shared" si="9"/>
        <v>NOT PAID</v>
      </c>
      <c r="J264" s="402"/>
      <c r="K264" s="402"/>
      <c r="L264" s="402"/>
      <c r="M264" s="402"/>
      <c r="N264" s="402"/>
      <c r="O264" s="402"/>
      <c r="P264" s="402"/>
      <c r="Q264" s="402"/>
      <c r="R264" s="402"/>
      <c r="S264" s="402"/>
      <c r="T264" s="402"/>
      <c r="U264" s="402"/>
      <c r="V264" s="402"/>
      <c r="W264" s="402"/>
      <c r="X264" s="402"/>
      <c r="Y264" s="402"/>
      <c r="Z264" s="402"/>
      <c r="AA264" s="405"/>
      <c r="AB264" s="405"/>
      <c r="AC264" s="405"/>
      <c r="AD264" s="405"/>
      <c r="AE264" s="405"/>
      <c r="AF264" s="405"/>
      <c r="AG264" s="405"/>
      <c r="AH264" s="405"/>
      <c r="AI264" s="405"/>
      <c r="AJ264" s="405"/>
      <c r="AK264" s="405"/>
      <c r="AL264" s="405"/>
    </row>
    <row r="265" ht="14.25" customHeight="1">
      <c r="A265" s="497">
        <v>45507.0</v>
      </c>
      <c r="B265" s="349" t="s">
        <v>3789</v>
      </c>
      <c r="C265" s="349" t="s">
        <v>3790</v>
      </c>
      <c r="D265" s="349" t="s">
        <v>54</v>
      </c>
      <c r="E265" s="349" t="s">
        <v>3791</v>
      </c>
      <c r="F265" s="751">
        <v>5588.55</v>
      </c>
      <c r="G265" s="751"/>
      <c r="H265" s="349" t="s">
        <v>2184</v>
      </c>
      <c r="I265" s="736" t="str">
        <f t="shared" si="9"/>
        <v>NOT PAID</v>
      </c>
      <c r="J265" s="402"/>
      <c r="K265" s="402"/>
      <c r="L265" s="402"/>
      <c r="M265" s="402"/>
      <c r="N265" s="402"/>
      <c r="O265" s="402"/>
      <c r="P265" s="402"/>
      <c r="Q265" s="402"/>
      <c r="R265" s="402"/>
      <c r="S265" s="402"/>
      <c r="T265" s="402"/>
      <c r="U265" s="402"/>
      <c r="V265" s="402"/>
      <c r="W265" s="402"/>
      <c r="X265" s="402"/>
      <c r="Y265" s="402"/>
      <c r="Z265" s="402"/>
      <c r="AA265" s="405"/>
      <c r="AB265" s="405"/>
      <c r="AC265" s="405"/>
      <c r="AD265" s="405"/>
      <c r="AE265" s="405"/>
      <c r="AF265" s="405"/>
      <c r="AG265" s="405"/>
      <c r="AH265" s="405"/>
      <c r="AI265" s="405"/>
      <c r="AJ265" s="405"/>
      <c r="AK265" s="405"/>
      <c r="AL265" s="405"/>
    </row>
    <row r="266" ht="14.25" customHeight="1">
      <c r="A266" s="497">
        <v>45507.0</v>
      </c>
      <c r="B266" s="349" t="s">
        <v>3792</v>
      </c>
      <c r="C266" s="349" t="s">
        <v>3672</v>
      </c>
      <c r="D266" s="349" t="s">
        <v>3793</v>
      </c>
      <c r="E266" s="349" t="s">
        <v>3746</v>
      </c>
      <c r="F266" s="751">
        <v>482434.43</v>
      </c>
      <c r="G266" s="751"/>
      <c r="H266" s="349" t="s">
        <v>3794</v>
      </c>
      <c r="I266" s="736" t="str">
        <f t="shared" si="9"/>
        <v>NOT PAID</v>
      </c>
      <c r="J266" s="402"/>
      <c r="K266" s="402"/>
      <c r="L266" s="402"/>
      <c r="M266" s="402"/>
      <c r="N266" s="402"/>
      <c r="O266" s="402"/>
      <c r="P266" s="402"/>
      <c r="Q266" s="402"/>
      <c r="R266" s="402"/>
      <c r="S266" s="402"/>
      <c r="T266" s="402"/>
      <c r="U266" s="402"/>
      <c r="V266" s="402"/>
      <c r="W266" s="402"/>
      <c r="X266" s="402"/>
      <c r="Y266" s="402"/>
      <c r="Z266" s="402"/>
      <c r="AA266" s="405"/>
      <c r="AB266" s="405"/>
      <c r="AC266" s="405"/>
      <c r="AD266" s="405"/>
      <c r="AE266" s="405"/>
      <c r="AF266" s="405"/>
      <c r="AG266" s="405"/>
      <c r="AH266" s="405"/>
      <c r="AI266" s="405"/>
      <c r="AJ266" s="405"/>
      <c r="AK266" s="405"/>
      <c r="AL266" s="405"/>
    </row>
    <row r="267" ht="14.25" customHeight="1">
      <c r="A267" s="497">
        <v>45507.0</v>
      </c>
      <c r="B267" s="349" t="s">
        <v>3742</v>
      </c>
      <c r="C267" s="349" t="s">
        <v>3743</v>
      </c>
      <c r="D267" s="349" t="s">
        <v>54</v>
      </c>
      <c r="E267" s="349" t="s">
        <v>3551</v>
      </c>
      <c r="F267" s="751">
        <v>20710.73</v>
      </c>
      <c r="G267" s="751">
        <v>28620.0</v>
      </c>
      <c r="H267" s="349" t="s">
        <v>149</v>
      </c>
      <c r="I267" s="736" t="str">
        <f t="shared" si="9"/>
        <v>FULLY PAID</v>
      </c>
      <c r="J267" s="402"/>
      <c r="K267" s="402"/>
      <c r="L267" s="402"/>
      <c r="M267" s="402"/>
      <c r="N267" s="402"/>
      <c r="O267" s="402"/>
      <c r="P267" s="402"/>
      <c r="Q267" s="402"/>
      <c r="R267" s="402"/>
      <c r="S267" s="402"/>
      <c r="T267" s="402"/>
      <c r="U267" s="402"/>
      <c r="V267" s="402"/>
      <c r="W267" s="402"/>
      <c r="X267" s="402"/>
      <c r="Y267" s="402"/>
      <c r="Z267" s="402"/>
      <c r="AA267" s="405"/>
      <c r="AB267" s="405"/>
      <c r="AC267" s="405"/>
      <c r="AD267" s="405"/>
      <c r="AE267" s="405"/>
      <c r="AF267" s="405"/>
      <c r="AG267" s="405"/>
      <c r="AH267" s="405"/>
      <c r="AI267" s="405"/>
      <c r="AJ267" s="405"/>
      <c r="AK267" s="405"/>
      <c r="AL267" s="405"/>
    </row>
    <row r="268" ht="14.25" customHeight="1">
      <c r="A268" s="497">
        <v>45507.0</v>
      </c>
      <c r="B268" s="349" t="s">
        <v>3735</v>
      </c>
      <c r="C268" s="349" t="s">
        <v>3669</v>
      </c>
      <c r="D268" s="349" t="s">
        <v>54</v>
      </c>
      <c r="E268" s="349" t="s">
        <v>3551</v>
      </c>
      <c r="F268" s="751">
        <v>12000.0</v>
      </c>
      <c r="G268" s="751"/>
      <c r="H268" s="349" t="s">
        <v>2184</v>
      </c>
      <c r="I268" s="736" t="str">
        <f t="shared" si="9"/>
        <v>NOT PAID</v>
      </c>
      <c r="J268" s="402"/>
      <c r="K268" s="402"/>
      <c r="L268" s="402"/>
      <c r="M268" s="402"/>
      <c r="N268" s="402"/>
      <c r="O268" s="402"/>
      <c r="P268" s="402"/>
      <c r="Q268" s="402"/>
      <c r="R268" s="402"/>
      <c r="S268" s="402"/>
      <c r="T268" s="402"/>
      <c r="U268" s="402"/>
      <c r="V268" s="402"/>
      <c r="W268" s="402"/>
      <c r="X268" s="402"/>
      <c r="Y268" s="402"/>
      <c r="Z268" s="402"/>
      <c r="AA268" s="405"/>
      <c r="AB268" s="405"/>
      <c r="AC268" s="405"/>
      <c r="AD268" s="405"/>
      <c r="AE268" s="405"/>
      <c r="AF268" s="405"/>
      <c r="AG268" s="405"/>
      <c r="AH268" s="405"/>
      <c r="AI268" s="405"/>
      <c r="AJ268" s="405"/>
      <c r="AK268" s="405"/>
      <c r="AL268" s="405"/>
    </row>
    <row r="269" ht="14.25" customHeight="1">
      <c r="A269" s="497">
        <v>45507.0</v>
      </c>
      <c r="B269" s="349" t="s">
        <v>3717</v>
      </c>
      <c r="C269" s="349" t="s">
        <v>3621</v>
      </c>
      <c r="D269" s="349" t="s">
        <v>54</v>
      </c>
      <c r="E269" s="349" t="s">
        <v>3617</v>
      </c>
      <c r="F269" s="751">
        <v>22711.0</v>
      </c>
      <c r="G269" s="751"/>
      <c r="H269" s="349" t="s">
        <v>3786</v>
      </c>
      <c r="I269" s="736" t="str">
        <f t="shared" si="9"/>
        <v>NOT PAID</v>
      </c>
      <c r="J269" s="402"/>
      <c r="K269" s="402"/>
      <c r="L269" s="402"/>
      <c r="M269" s="402"/>
      <c r="N269" s="402"/>
      <c r="O269" s="402"/>
      <c r="P269" s="402"/>
      <c r="Q269" s="402"/>
      <c r="R269" s="402"/>
      <c r="S269" s="402"/>
      <c r="T269" s="402"/>
      <c r="U269" s="402"/>
      <c r="V269" s="402"/>
      <c r="W269" s="402"/>
      <c r="X269" s="402"/>
      <c r="Y269" s="402"/>
      <c r="Z269" s="402"/>
      <c r="AA269" s="405"/>
      <c r="AB269" s="405"/>
      <c r="AC269" s="405"/>
      <c r="AD269" s="405"/>
      <c r="AE269" s="405"/>
      <c r="AF269" s="405"/>
      <c r="AG269" s="405"/>
      <c r="AH269" s="405"/>
      <c r="AI269" s="405"/>
      <c r="AJ269" s="405"/>
      <c r="AK269" s="405"/>
      <c r="AL269" s="405"/>
    </row>
    <row r="270" ht="14.25" customHeight="1">
      <c r="A270" s="497">
        <v>45507.0</v>
      </c>
      <c r="B270" s="349" t="s">
        <v>3795</v>
      </c>
      <c r="C270" s="349" t="s">
        <v>3598</v>
      </c>
      <c r="D270" s="349" t="s">
        <v>75</v>
      </c>
      <c r="E270" s="349" t="s">
        <v>3617</v>
      </c>
      <c r="F270" s="751">
        <v>115000.0</v>
      </c>
      <c r="G270" s="751">
        <v>35000.0</v>
      </c>
      <c r="H270" s="349" t="s">
        <v>3796</v>
      </c>
      <c r="I270" s="736" t="str">
        <f t="shared" si="9"/>
        <v>PARTIALLY PAID</v>
      </c>
      <c r="J270" s="402"/>
      <c r="K270" s="402"/>
      <c r="L270" s="402"/>
      <c r="M270" s="402"/>
      <c r="N270" s="402"/>
      <c r="O270" s="402"/>
      <c r="P270" s="402"/>
      <c r="Q270" s="402"/>
      <c r="R270" s="402"/>
      <c r="S270" s="402"/>
      <c r="T270" s="402"/>
      <c r="U270" s="402"/>
      <c r="V270" s="402"/>
      <c r="W270" s="402"/>
      <c r="X270" s="402"/>
      <c r="Y270" s="402"/>
      <c r="Z270" s="402"/>
      <c r="AA270" s="405"/>
      <c r="AB270" s="405"/>
      <c r="AC270" s="405"/>
      <c r="AD270" s="405"/>
      <c r="AE270" s="405"/>
      <c r="AF270" s="405"/>
      <c r="AG270" s="405"/>
      <c r="AH270" s="405"/>
      <c r="AI270" s="405"/>
      <c r="AJ270" s="405"/>
      <c r="AK270" s="405"/>
      <c r="AL270" s="405"/>
    </row>
    <row r="271" ht="14.25" customHeight="1">
      <c r="A271" s="497">
        <v>45507.0</v>
      </c>
      <c r="B271" s="349" t="s">
        <v>3698</v>
      </c>
      <c r="C271" s="349" t="s">
        <v>3797</v>
      </c>
      <c r="D271" s="349" t="s">
        <v>54</v>
      </c>
      <c r="E271" s="349" t="s">
        <v>3551</v>
      </c>
      <c r="F271" s="751">
        <v>28639.0</v>
      </c>
      <c r="G271" s="751">
        <v>29041.0</v>
      </c>
      <c r="H271" s="349" t="s">
        <v>149</v>
      </c>
      <c r="I271" s="736" t="str">
        <f t="shared" si="9"/>
        <v>FULLY PAID</v>
      </c>
      <c r="J271" s="402"/>
      <c r="K271" s="402"/>
      <c r="L271" s="402"/>
      <c r="M271" s="402"/>
      <c r="N271" s="402"/>
      <c r="O271" s="402"/>
      <c r="P271" s="402"/>
      <c r="Q271" s="402"/>
      <c r="R271" s="402"/>
      <c r="S271" s="402"/>
      <c r="T271" s="402"/>
      <c r="U271" s="402"/>
      <c r="V271" s="402"/>
      <c r="W271" s="402"/>
      <c r="X271" s="402"/>
      <c r="Y271" s="402"/>
      <c r="Z271" s="402"/>
      <c r="AA271" s="405"/>
      <c r="AB271" s="405"/>
      <c r="AC271" s="405"/>
      <c r="AD271" s="405"/>
      <c r="AE271" s="405"/>
      <c r="AF271" s="405"/>
      <c r="AG271" s="405"/>
      <c r="AH271" s="405"/>
      <c r="AI271" s="405"/>
      <c r="AJ271" s="405"/>
      <c r="AK271" s="405"/>
      <c r="AL271" s="405"/>
    </row>
    <row r="272">
      <c r="A272" s="2"/>
      <c r="B272" s="2"/>
      <c r="C272" s="2"/>
      <c r="D272" s="2"/>
      <c r="E272" s="2"/>
      <c r="F272" s="2"/>
      <c r="G272" s="51"/>
      <c r="H272" s="2"/>
      <c r="I272" s="736" t="str">
        <f t="shared" si="9"/>
        <v>FULLY PAID</v>
      </c>
      <c r="J272" s="2"/>
      <c r="K272" s="2"/>
      <c r="L272" s="2"/>
      <c r="M272" s="2"/>
      <c r="N272" s="2"/>
      <c r="O272" s="2"/>
      <c r="P272" s="2"/>
      <c r="Q272" s="2"/>
      <c r="R272" s="2"/>
      <c r="S272" s="2"/>
      <c r="T272" s="2"/>
      <c r="U272" s="2"/>
      <c r="V272" s="2"/>
      <c r="W272" s="2"/>
      <c r="X272" s="2"/>
      <c r="Y272" s="2"/>
      <c r="Z272" s="2"/>
    </row>
    <row r="273" ht="14.25" customHeight="1">
      <c r="A273" s="497"/>
      <c r="B273" s="402"/>
      <c r="C273" s="424" t="s">
        <v>797</v>
      </c>
      <c r="D273" s="402"/>
      <c r="E273" s="402"/>
      <c r="F273" s="751"/>
      <c r="G273" s="751"/>
      <c r="H273" s="402"/>
      <c r="I273" s="736" t="str">
        <f t="shared" si="9"/>
        <v>FULLY PAID</v>
      </c>
      <c r="J273" s="402"/>
      <c r="K273" s="402"/>
      <c r="L273" s="402"/>
      <c r="M273" s="402"/>
      <c r="N273" s="402"/>
      <c r="O273" s="402"/>
      <c r="P273" s="402"/>
      <c r="Q273" s="402"/>
      <c r="R273" s="402"/>
      <c r="S273" s="402"/>
      <c r="T273" s="402"/>
      <c r="U273" s="402"/>
      <c r="V273" s="402"/>
      <c r="W273" s="402"/>
      <c r="X273" s="402"/>
      <c r="Y273" s="402"/>
      <c r="Z273" s="402"/>
      <c r="AA273" s="405"/>
      <c r="AB273" s="405"/>
      <c r="AC273" s="405"/>
      <c r="AD273" s="405"/>
      <c r="AE273" s="405"/>
      <c r="AF273" s="405"/>
      <c r="AG273" s="405"/>
      <c r="AH273" s="405"/>
      <c r="AI273" s="405"/>
      <c r="AJ273" s="405"/>
      <c r="AK273" s="405"/>
      <c r="AL273" s="405"/>
    </row>
    <row r="274" ht="14.25" customHeight="1">
      <c r="A274" s="497">
        <v>45507.0</v>
      </c>
      <c r="B274" s="755" t="s">
        <v>3663</v>
      </c>
      <c r="C274" s="755" t="s">
        <v>3705</v>
      </c>
      <c r="D274" s="668" t="s">
        <v>54</v>
      </c>
      <c r="E274" s="771" t="s">
        <v>3579</v>
      </c>
      <c r="F274" s="779">
        <v>64847.0</v>
      </c>
      <c r="G274" s="779"/>
      <c r="H274" s="349" t="s">
        <v>3798</v>
      </c>
      <c r="I274" s="736" t="str">
        <f t="shared" si="9"/>
        <v>NOT PAID</v>
      </c>
      <c r="J274" s="402"/>
      <c r="K274" s="402"/>
      <c r="L274" s="402"/>
      <c r="M274" s="402"/>
      <c r="N274" s="402"/>
      <c r="O274" s="402"/>
      <c r="P274" s="402"/>
      <c r="Q274" s="402"/>
      <c r="R274" s="402"/>
      <c r="S274" s="402"/>
      <c r="T274" s="402"/>
      <c r="U274" s="402"/>
      <c r="V274" s="402"/>
      <c r="W274" s="402"/>
      <c r="X274" s="402"/>
      <c r="Y274" s="402"/>
      <c r="Z274" s="402"/>
      <c r="AA274" s="405"/>
      <c r="AB274" s="405"/>
      <c r="AC274" s="405"/>
      <c r="AD274" s="405"/>
      <c r="AE274" s="405"/>
      <c r="AF274" s="405"/>
      <c r="AG274" s="405"/>
      <c r="AH274" s="405"/>
      <c r="AI274" s="405"/>
      <c r="AJ274" s="405"/>
      <c r="AK274" s="405"/>
      <c r="AL274" s="405"/>
    </row>
    <row r="275" ht="14.25" customHeight="1">
      <c r="A275" s="497">
        <v>45507.0</v>
      </c>
      <c r="B275" s="349" t="s">
        <v>3631</v>
      </c>
      <c r="C275" s="349" t="s">
        <v>3799</v>
      </c>
      <c r="D275" s="349" t="s">
        <v>54</v>
      </c>
      <c r="E275" s="349" t="s">
        <v>3579</v>
      </c>
      <c r="F275" s="413">
        <v>144409.0</v>
      </c>
      <c r="G275" s="413"/>
      <c r="H275" s="349" t="s">
        <v>3800</v>
      </c>
      <c r="I275" s="736" t="str">
        <f t="shared" si="9"/>
        <v>NOT PAID</v>
      </c>
      <c r="J275" s="402"/>
      <c r="K275" s="402"/>
      <c r="L275" s="402"/>
      <c r="M275" s="402"/>
      <c r="N275" s="402"/>
      <c r="O275" s="402"/>
      <c r="P275" s="402"/>
      <c r="Q275" s="402"/>
      <c r="R275" s="402"/>
      <c r="S275" s="402"/>
      <c r="T275" s="402"/>
      <c r="U275" s="402"/>
      <c r="V275" s="402"/>
      <c r="W275" s="402"/>
      <c r="X275" s="402"/>
      <c r="Y275" s="402"/>
      <c r="Z275" s="402"/>
      <c r="AA275" s="405"/>
      <c r="AB275" s="405"/>
      <c r="AC275" s="405"/>
      <c r="AD275" s="405"/>
      <c r="AE275" s="405"/>
      <c r="AF275" s="405"/>
      <c r="AG275" s="405"/>
      <c r="AH275" s="405"/>
      <c r="AI275" s="405"/>
      <c r="AJ275" s="405"/>
      <c r="AK275" s="405"/>
      <c r="AL275" s="405"/>
    </row>
    <row r="276" ht="14.25" customHeight="1">
      <c r="A276" s="402"/>
      <c r="B276" s="402"/>
      <c r="C276" s="402"/>
      <c r="D276" s="402"/>
      <c r="E276" s="349"/>
      <c r="F276" s="402"/>
      <c r="G276" s="403"/>
      <c r="H276" s="402"/>
      <c r="I276" s="736" t="str">
        <f t="shared" si="9"/>
        <v>FULLY PAID</v>
      </c>
      <c r="J276" s="402"/>
      <c r="K276" s="402"/>
      <c r="L276" s="402"/>
      <c r="M276" s="402"/>
      <c r="N276" s="402"/>
      <c r="O276" s="402"/>
      <c r="P276" s="402"/>
      <c r="Q276" s="402"/>
      <c r="R276" s="402"/>
      <c r="S276" s="402"/>
      <c r="T276" s="402"/>
      <c r="U276" s="402"/>
      <c r="V276" s="402"/>
      <c r="W276" s="402"/>
      <c r="X276" s="402"/>
      <c r="Y276" s="402"/>
      <c r="Z276" s="402"/>
      <c r="AA276" s="405"/>
      <c r="AB276" s="405"/>
      <c r="AC276" s="405"/>
      <c r="AD276" s="405"/>
      <c r="AE276" s="405"/>
      <c r="AF276" s="405"/>
      <c r="AG276" s="405"/>
      <c r="AH276" s="405"/>
      <c r="AI276" s="405"/>
      <c r="AJ276" s="405"/>
      <c r="AK276" s="405"/>
      <c r="AL276" s="405"/>
    </row>
    <row r="277" ht="14.25" customHeight="1">
      <c r="A277" s="402"/>
      <c r="B277" s="402"/>
      <c r="C277" s="402"/>
      <c r="D277" s="402"/>
      <c r="E277" s="424" t="s">
        <v>23</v>
      </c>
      <c r="F277" s="586">
        <f>SUM(F258:F276)</f>
        <v>1103628.64</v>
      </c>
      <c r="G277" s="586">
        <f>SUM(G258:G275)</f>
        <v>157961</v>
      </c>
      <c r="H277" s="402"/>
      <c r="I277" s="736" t="str">
        <f t="shared" si="9"/>
        <v>PARTIALLY PAID</v>
      </c>
      <c r="J277" s="402"/>
      <c r="K277" s="402"/>
      <c r="L277" s="402"/>
      <c r="M277" s="402"/>
      <c r="N277" s="402"/>
      <c r="O277" s="402"/>
      <c r="P277" s="402"/>
      <c r="Q277" s="402"/>
      <c r="R277" s="402"/>
      <c r="S277" s="402"/>
      <c r="T277" s="402"/>
      <c r="U277" s="402"/>
      <c r="V277" s="402"/>
      <c r="W277" s="402"/>
      <c r="X277" s="402"/>
      <c r="Y277" s="402"/>
      <c r="Z277" s="402"/>
      <c r="AA277" s="405"/>
      <c r="AB277" s="405"/>
      <c r="AC277" s="405"/>
      <c r="AD277" s="405"/>
      <c r="AE277" s="405"/>
      <c r="AF277" s="405"/>
      <c r="AG277" s="405"/>
      <c r="AH277" s="405"/>
      <c r="AI277" s="405"/>
      <c r="AJ277" s="405"/>
      <c r="AK277" s="405"/>
      <c r="AL277" s="405"/>
    </row>
    <row r="278" ht="14.25" customHeight="1">
      <c r="A278" s="402"/>
      <c r="B278" s="402"/>
      <c r="C278" s="402"/>
      <c r="D278" s="402"/>
      <c r="E278" s="402"/>
      <c r="F278" s="402"/>
      <c r="G278" s="403"/>
      <c r="H278" s="402"/>
      <c r="I278" s="736" t="str">
        <f t="shared" si="9"/>
        <v>FULLY PAID</v>
      </c>
      <c r="J278" s="402"/>
      <c r="K278" s="402"/>
      <c r="L278" s="402"/>
      <c r="M278" s="402"/>
      <c r="N278" s="402"/>
      <c r="O278" s="402"/>
      <c r="P278" s="402"/>
      <c r="Q278" s="402"/>
      <c r="R278" s="402"/>
      <c r="S278" s="402"/>
      <c r="T278" s="402"/>
      <c r="U278" s="402"/>
      <c r="V278" s="402"/>
      <c r="W278" s="402"/>
      <c r="X278" s="402"/>
      <c r="Y278" s="402"/>
      <c r="Z278" s="402"/>
      <c r="AA278" s="405"/>
      <c r="AB278" s="405"/>
      <c r="AC278" s="405"/>
      <c r="AD278" s="405"/>
      <c r="AE278" s="405"/>
      <c r="AF278" s="405"/>
      <c r="AG278" s="405"/>
      <c r="AH278" s="405"/>
      <c r="AI278" s="405"/>
      <c r="AJ278" s="405"/>
      <c r="AK278" s="405"/>
      <c r="AL278" s="405"/>
    </row>
    <row r="279" ht="14.25" customHeight="1">
      <c r="A279" s="584" t="s">
        <v>2130</v>
      </c>
      <c r="B279" s="584" t="s">
        <v>39</v>
      </c>
      <c r="C279" s="584" t="s">
        <v>48</v>
      </c>
      <c r="D279" s="584" t="s">
        <v>49</v>
      </c>
      <c r="E279" s="584" t="s">
        <v>50</v>
      </c>
      <c r="F279" s="584" t="s">
        <v>2</v>
      </c>
      <c r="G279" s="586" t="s">
        <v>44</v>
      </c>
      <c r="H279" s="424" t="s">
        <v>45</v>
      </c>
      <c r="I279" s="736" t="str">
        <f t="shared" si="9"/>
        <v>FULLY PAID</v>
      </c>
      <c r="J279" s="584"/>
      <c r="K279" s="584"/>
      <c r="L279" s="584"/>
      <c r="M279" s="584"/>
      <c r="N279" s="584"/>
      <c r="O279" s="584"/>
      <c r="P279" s="584"/>
      <c r="Q279" s="584"/>
      <c r="R279" s="584"/>
      <c r="S279" s="584"/>
      <c r="T279" s="584"/>
      <c r="U279" s="584"/>
      <c r="V279" s="584"/>
      <c r="W279" s="584"/>
      <c r="X279" s="584"/>
      <c r="Y279" s="584"/>
      <c r="Z279" s="584"/>
      <c r="AA279" s="659"/>
      <c r="AB279" s="659"/>
      <c r="AC279" s="659"/>
      <c r="AD279" s="659"/>
      <c r="AE279" s="659"/>
      <c r="AF279" s="659"/>
      <c r="AG279" s="659"/>
      <c r="AH279" s="659"/>
      <c r="AI279" s="659"/>
      <c r="AJ279" s="659"/>
      <c r="AK279" s="659"/>
      <c r="AL279" s="659"/>
    </row>
    <row r="280" ht="14.25" customHeight="1">
      <c r="A280" s="497">
        <v>45509.0</v>
      </c>
      <c r="B280" s="349" t="s">
        <v>3801</v>
      </c>
      <c r="C280" s="349" t="s">
        <v>3685</v>
      </c>
      <c r="D280" s="349" t="s">
        <v>54</v>
      </c>
      <c r="E280" s="349" t="s">
        <v>3551</v>
      </c>
      <c r="F280" s="751">
        <v>120501.0</v>
      </c>
      <c r="G280" s="751">
        <v>115000.0</v>
      </c>
      <c r="H280" s="349" t="s">
        <v>710</v>
      </c>
      <c r="I280" s="736" t="str">
        <f t="shared" si="9"/>
        <v>PARTIALLY PAID</v>
      </c>
      <c r="J280" s="402"/>
      <c r="K280" s="402"/>
      <c r="L280" s="402"/>
      <c r="M280" s="402"/>
      <c r="N280" s="402"/>
      <c r="O280" s="402"/>
      <c r="P280" s="402"/>
      <c r="Q280" s="402"/>
      <c r="R280" s="402"/>
      <c r="S280" s="402"/>
      <c r="T280" s="402"/>
      <c r="U280" s="402"/>
      <c r="V280" s="402"/>
      <c r="W280" s="402"/>
      <c r="X280" s="402"/>
      <c r="Y280" s="402"/>
      <c r="Z280" s="402"/>
      <c r="AA280" s="405"/>
      <c r="AB280" s="405"/>
      <c r="AC280" s="405"/>
      <c r="AD280" s="405"/>
      <c r="AE280" s="405"/>
      <c r="AF280" s="405"/>
      <c r="AG280" s="405"/>
      <c r="AH280" s="405"/>
      <c r="AI280" s="405"/>
      <c r="AJ280" s="405"/>
      <c r="AK280" s="405"/>
      <c r="AL280" s="405"/>
    </row>
    <row r="281" ht="14.25" customHeight="1">
      <c r="A281" s="497">
        <v>45509.0</v>
      </c>
      <c r="B281" s="349" t="s">
        <v>3802</v>
      </c>
      <c r="C281" s="349" t="s">
        <v>3670</v>
      </c>
      <c r="D281" s="349" t="s">
        <v>54</v>
      </c>
      <c r="E281" s="349" t="s">
        <v>3617</v>
      </c>
      <c r="F281" s="413">
        <v>21450.25</v>
      </c>
      <c r="G281" s="413"/>
      <c r="H281" s="349" t="s">
        <v>2184</v>
      </c>
      <c r="I281" s="736" t="str">
        <f t="shared" si="9"/>
        <v>NOT PAID</v>
      </c>
      <c r="J281" s="402"/>
      <c r="K281" s="402"/>
      <c r="L281" s="402"/>
      <c r="M281" s="402"/>
      <c r="N281" s="402"/>
      <c r="O281" s="402"/>
      <c r="P281" s="402"/>
      <c r="Q281" s="402"/>
      <c r="R281" s="402"/>
      <c r="S281" s="402"/>
      <c r="T281" s="402"/>
      <c r="U281" s="402"/>
      <c r="V281" s="402"/>
      <c r="W281" s="402"/>
      <c r="X281" s="402"/>
      <c r="Y281" s="402"/>
      <c r="Z281" s="402"/>
      <c r="AA281" s="405"/>
      <c r="AB281" s="405"/>
      <c r="AC281" s="405"/>
      <c r="AD281" s="405"/>
      <c r="AE281" s="405"/>
      <c r="AF281" s="405"/>
      <c r="AG281" s="405"/>
      <c r="AH281" s="405"/>
      <c r="AI281" s="405"/>
      <c r="AJ281" s="405"/>
      <c r="AK281" s="405"/>
      <c r="AL281" s="405"/>
    </row>
    <row r="282" ht="14.25" customHeight="1">
      <c r="A282" s="497">
        <v>45509.0</v>
      </c>
      <c r="B282" s="349" t="s">
        <v>3728</v>
      </c>
      <c r="C282" s="349" t="s">
        <v>3729</v>
      </c>
      <c r="D282" s="349" t="s">
        <v>346</v>
      </c>
      <c r="E282" s="349" t="s">
        <v>3617</v>
      </c>
      <c r="F282" s="413">
        <v>3619.03</v>
      </c>
      <c r="G282" s="413">
        <v>1000.0</v>
      </c>
      <c r="H282" s="349" t="s">
        <v>3659</v>
      </c>
      <c r="I282" s="736" t="str">
        <f t="shared" si="9"/>
        <v>PARTIALLY PAID</v>
      </c>
      <c r="J282" s="402"/>
      <c r="K282" s="402"/>
      <c r="L282" s="402"/>
      <c r="M282" s="402"/>
      <c r="N282" s="402"/>
      <c r="O282" s="402"/>
      <c r="P282" s="402"/>
      <c r="Q282" s="402"/>
      <c r="R282" s="402"/>
      <c r="S282" s="402"/>
      <c r="T282" s="402"/>
      <c r="U282" s="402"/>
      <c r="V282" s="402"/>
      <c r="W282" s="402"/>
      <c r="X282" s="402"/>
      <c r="Y282" s="402"/>
      <c r="Z282" s="402"/>
      <c r="AA282" s="405"/>
      <c r="AB282" s="405"/>
      <c r="AC282" s="405"/>
      <c r="AD282" s="405"/>
      <c r="AE282" s="405"/>
      <c r="AF282" s="405"/>
      <c r="AG282" s="405"/>
      <c r="AH282" s="405"/>
      <c r="AI282" s="405"/>
      <c r="AJ282" s="405"/>
      <c r="AK282" s="405"/>
      <c r="AL282" s="405"/>
    </row>
    <row r="283" ht="14.25" customHeight="1">
      <c r="A283" s="497">
        <v>45509.0</v>
      </c>
      <c r="B283" s="349" t="s">
        <v>3718</v>
      </c>
      <c r="C283" s="349" t="s">
        <v>3719</v>
      </c>
      <c r="D283" s="349" t="s">
        <v>54</v>
      </c>
      <c r="E283" s="349" t="s">
        <v>3551</v>
      </c>
      <c r="F283" s="751">
        <v>344354.0</v>
      </c>
      <c r="G283" s="751"/>
      <c r="H283" s="349" t="s">
        <v>3803</v>
      </c>
      <c r="I283" s="736" t="str">
        <f t="shared" si="9"/>
        <v>NOT PAID</v>
      </c>
      <c r="J283" s="402"/>
      <c r="K283" s="402"/>
      <c r="L283" s="402"/>
      <c r="M283" s="402"/>
      <c r="N283" s="402"/>
      <c r="O283" s="402"/>
      <c r="P283" s="402"/>
      <c r="Q283" s="402"/>
      <c r="R283" s="402"/>
      <c r="S283" s="402"/>
      <c r="T283" s="402"/>
      <c r="U283" s="402"/>
      <c r="V283" s="402"/>
      <c r="W283" s="402"/>
      <c r="X283" s="402"/>
      <c r="Y283" s="402"/>
      <c r="Z283" s="402"/>
      <c r="AA283" s="405"/>
      <c r="AB283" s="405"/>
      <c r="AC283" s="405"/>
      <c r="AD283" s="405"/>
      <c r="AE283" s="405"/>
      <c r="AF283" s="405"/>
      <c r="AG283" s="405"/>
      <c r="AH283" s="405"/>
      <c r="AI283" s="405"/>
      <c r="AJ283" s="405"/>
      <c r="AK283" s="405"/>
      <c r="AL283" s="405"/>
    </row>
    <row r="284" ht="14.25" customHeight="1">
      <c r="A284" s="497">
        <v>45509.0</v>
      </c>
      <c r="B284" s="349" t="s">
        <v>3804</v>
      </c>
      <c r="C284" s="349" t="s">
        <v>3805</v>
      </c>
      <c r="D284" s="349" t="s">
        <v>75</v>
      </c>
      <c r="E284" s="349" t="s">
        <v>3617</v>
      </c>
      <c r="F284" s="413">
        <v>115000.0</v>
      </c>
      <c r="G284" s="413">
        <v>115000.0</v>
      </c>
      <c r="H284" s="349" t="s">
        <v>710</v>
      </c>
      <c r="I284" s="736" t="str">
        <f t="shared" si="9"/>
        <v>FULLY PAID</v>
      </c>
      <c r="J284" s="402"/>
      <c r="K284" s="402"/>
      <c r="L284" s="402"/>
      <c r="M284" s="402"/>
      <c r="N284" s="402"/>
      <c r="O284" s="402"/>
      <c r="P284" s="402"/>
      <c r="Q284" s="402"/>
      <c r="R284" s="402"/>
      <c r="S284" s="402"/>
      <c r="T284" s="402"/>
      <c r="U284" s="402"/>
      <c r="V284" s="402"/>
      <c r="W284" s="402"/>
      <c r="X284" s="402"/>
      <c r="Y284" s="402"/>
      <c r="Z284" s="402"/>
      <c r="AA284" s="405"/>
      <c r="AB284" s="405"/>
      <c r="AC284" s="405"/>
      <c r="AD284" s="405"/>
      <c r="AE284" s="405"/>
      <c r="AF284" s="405"/>
      <c r="AG284" s="405"/>
      <c r="AH284" s="405"/>
      <c r="AI284" s="405"/>
      <c r="AJ284" s="405"/>
      <c r="AK284" s="405"/>
      <c r="AL284" s="405"/>
    </row>
    <row r="285" ht="14.25" customHeight="1">
      <c r="A285" s="780">
        <v>45509.0</v>
      </c>
      <c r="B285" s="781" t="s">
        <v>3806</v>
      </c>
      <c r="C285" s="781" t="s">
        <v>3807</v>
      </c>
      <c r="D285" s="781" t="s">
        <v>75</v>
      </c>
      <c r="E285" s="781" t="s">
        <v>3617</v>
      </c>
      <c r="F285" s="782">
        <v>17250.0</v>
      </c>
      <c r="G285" s="782">
        <v>17250.0</v>
      </c>
      <c r="H285" s="781" t="s">
        <v>710</v>
      </c>
      <c r="I285" s="783" t="str">
        <f t="shared" si="9"/>
        <v>FULLY PAID</v>
      </c>
      <c r="J285" s="784"/>
      <c r="K285" s="784"/>
      <c r="L285" s="784"/>
      <c r="M285" s="784"/>
      <c r="N285" s="784"/>
      <c r="O285" s="784"/>
      <c r="P285" s="784"/>
      <c r="Q285" s="784"/>
      <c r="R285" s="784"/>
      <c r="S285" s="784"/>
      <c r="T285" s="784"/>
      <c r="U285" s="784"/>
      <c r="V285" s="784"/>
      <c r="W285" s="784"/>
      <c r="X285" s="784"/>
      <c r="Y285" s="784"/>
      <c r="Z285" s="784"/>
      <c r="AA285" s="785"/>
      <c r="AB285" s="785"/>
      <c r="AC285" s="785"/>
      <c r="AD285" s="785"/>
      <c r="AE285" s="785"/>
      <c r="AF285" s="785"/>
      <c r="AG285" s="785"/>
      <c r="AH285" s="785"/>
      <c r="AI285" s="785"/>
      <c r="AJ285" s="785"/>
      <c r="AK285" s="785"/>
      <c r="AL285" s="785"/>
    </row>
    <row r="286" ht="14.25" customHeight="1">
      <c r="A286" s="497">
        <v>45509.0</v>
      </c>
      <c r="B286" s="349" t="s">
        <v>3744</v>
      </c>
      <c r="C286" s="349" t="s">
        <v>3745</v>
      </c>
      <c r="D286" s="349" t="s">
        <v>3745</v>
      </c>
      <c r="E286" s="349" t="s">
        <v>3617</v>
      </c>
      <c r="F286" s="751">
        <v>35500.0</v>
      </c>
      <c r="G286" s="751"/>
      <c r="H286" s="349" t="s">
        <v>3808</v>
      </c>
      <c r="I286" s="736" t="str">
        <f t="shared" si="9"/>
        <v>NOT PAID</v>
      </c>
      <c r="J286" s="402"/>
      <c r="K286" s="402"/>
      <c r="L286" s="402"/>
      <c r="M286" s="402"/>
      <c r="N286" s="402"/>
      <c r="O286" s="402"/>
      <c r="P286" s="402"/>
      <c r="Q286" s="402"/>
      <c r="R286" s="402"/>
      <c r="S286" s="402"/>
      <c r="T286" s="402"/>
      <c r="U286" s="402"/>
      <c r="V286" s="402"/>
      <c r="W286" s="402"/>
      <c r="X286" s="402"/>
      <c r="Y286" s="402"/>
      <c r="Z286" s="402"/>
      <c r="AA286" s="405"/>
      <c r="AB286" s="405"/>
      <c r="AC286" s="405"/>
      <c r="AD286" s="405"/>
      <c r="AE286" s="405"/>
      <c r="AF286" s="405"/>
      <c r="AG286" s="405"/>
      <c r="AH286" s="405"/>
      <c r="AI286" s="405"/>
      <c r="AJ286" s="405"/>
      <c r="AK286" s="405"/>
      <c r="AL286" s="405"/>
    </row>
    <row r="287" ht="14.25" customHeight="1">
      <c r="A287" s="497">
        <v>45509.0</v>
      </c>
      <c r="B287" s="349" t="s">
        <v>3809</v>
      </c>
      <c r="C287" s="349" t="s">
        <v>3810</v>
      </c>
      <c r="D287" s="349" t="s">
        <v>3810</v>
      </c>
      <c r="E287" s="349" t="s">
        <v>3617</v>
      </c>
      <c r="F287" s="413">
        <v>20539.15</v>
      </c>
      <c r="G287" s="413"/>
      <c r="H287" s="349" t="s">
        <v>2184</v>
      </c>
      <c r="I287" s="736" t="str">
        <f t="shared" si="9"/>
        <v>NOT PAID</v>
      </c>
      <c r="J287" s="402"/>
      <c r="K287" s="402"/>
      <c r="L287" s="402"/>
      <c r="M287" s="402"/>
      <c r="N287" s="402"/>
      <c r="O287" s="402"/>
      <c r="P287" s="402"/>
      <c r="Q287" s="402"/>
      <c r="R287" s="402"/>
      <c r="S287" s="402"/>
      <c r="T287" s="402"/>
      <c r="U287" s="402"/>
      <c r="V287" s="402"/>
      <c r="W287" s="402"/>
      <c r="X287" s="402"/>
      <c r="Y287" s="402"/>
      <c r="Z287" s="402"/>
      <c r="AA287" s="405"/>
      <c r="AB287" s="405"/>
      <c r="AC287" s="405"/>
      <c r="AD287" s="405"/>
      <c r="AE287" s="405"/>
      <c r="AF287" s="405"/>
      <c r="AG287" s="405"/>
      <c r="AH287" s="405"/>
      <c r="AI287" s="405"/>
      <c r="AJ287" s="405"/>
      <c r="AK287" s="405"/>
      <c r="AL287" s="405"/>
    </row>
    <row r="288" ht="14.25" customHeight="1">
      <c r="A288" s="497">
        <v>45509.0</v>
      </c>
      <c r="B288" s="349" t="s">
        <v>3811</v>
      </c>
      <c r="C288" s="349" t="s">
        <v>3812</v>
      </c>
      <c r="D288" s="349" t="s">
        <v>3812</v>
      </c>
      <c r="E288" s="349" t="s">
        <v>3579</v>
      </c>
      <c r="F288" s="413">
        <v>139289.81</v>
      </c>
      <c r="G288" s="413"/>
      <c r="H288" s="455" t="s">
        <v>3813</v>
      </c>
      <c r="I288" s="736" t="str">
        <f t="shared" si="9"/>
        <v>NOT PAID</v>
      </c>
      <c r="J288" s="402"/>
      <c r="K288" s="402"/>
      <c r="L288" s="402"/>
      <c r="M288" s="402"/>
      <c r="N288" s="402"/>
      <c r="O288" s="402"/>
      <c r="P288" s="402"/>
      <c r="Q288" s="402"/>
      <c r="R288" s="402"/>
      <c r="S288" s="402"/>
      <c r="T288" s="402"/>
      <c r="U288" s="402"/>
      <c r="V288" s="402"/>
      <c r="W288" s="402"/>
      <c r="X288" s="402"/>
      <c r="Y288" s="402"/>
      <c r="Z288" s="402"/>
      <c r="AA288" s="405"/>
      <c r="AB288" s="405"/>
      <c r="AC288" s="405"/>
      <c r="AD288" s="405"/>
      <c r="AE288" s="405"/>
      <c r="AF288" s="405"/>
      <c r="AG288" s="405"/>
      <c r="AH288" s="405"/>
      <c r="AI288" s="405"/>
      <c r="AJ288" s="405"/>
      <c r="AK288" s="405"/>
      <c r="AL288" s="405"/>
    </row>
    <row r="289" ht="14.25" customHeight="1">
      <c r="A289" s="497">
        <v>45509.0</v>
      </c>
      <c r="B289" s="349" t="s">
        <v>3781</v>
      </c>
      <c r="C289" s="349" t="s">
        <v>3782</v>
      </c>
      <c r="D289" s="349" t="s">
        <v>3782</v>
      </c>
      <c r="E289" s="349" t="s">
        <v>3617</v>
      </c>
      <c r="F289" s="413">
        <v>31425.65</v>
      </c>
      <c r="G289" s="413"/>
      <c r="H289" s="349" t="s">
        <v>3803</v>
      </c>
      <c r="I289" s="736" t="str">
        <f t="shared" si="9"/>
        <v>NOT PAID</v>
      </c>
      <c r="J289" s="402"/>
      <c r="K289" s="402"/>
      <c r="L289" s="402"/>
      <c r="M289" s="402"/>
      <c r="N289" s="402"/>
      <c r="O289" s="402"/>
      <c r="P289" s="402"/>
      <c r="Q289" s="402"/>
      <c r="R289" s="402"/>
      <c r="S289" s="402"/>
      <c r="T289" s="402"/>
      <c r="U289" s="402"/>
      <c r="V289" s="402"/>
      <c r="W289" s="402"/>
      <c r="X289" s="402"/>
      <c r="Y289" s="402"/>
      <c r="Z289" s="402"/>
      <c r="AA289" s="405"/>
      <c r="AB289" s="405"/>
      <c r="AC289" s="405"/>
      <c r="AD289" s="405"/>
      <c r="AE289" s="405"/>
      <c r="AF289" s="405"/>
      <c r="AG289" s="405"/>
      <c r="AH289" s="405"/>
      <c r="AI289" s="405"/>
      <c r="AJ289" s="405"/>
      <c r="AK289" s="405"/>
      <c r="AL289" s="405"/>
    </row>
    <row r="290" ht="14.25" customHeight="1">
      <c r="A290" s="497">
        <v>45509.0</v>
      </c>
      <c r="B290" s="349" t="s">
        <v>3623</v>
      </c>
      <c r="C290" s="349" t="s">
        <v>3624</v>
      </c>
      <c r="D290" s="349" t="s">
        <v>3624</v>
      </c>
      <c r="E290" s="349" t="s">
        <v>3551</v>
      </c>
      <c r="F290" s="751">
        <v>15089.0</v>
      </c>
      <c r="G290" s="751"/>
      <c r="H290" s="349" t="s">
        <v>2184</v>
      </c>
      <c r="I290" s="736" t="str">
        <f t="shared" si="9"/>
        <v>NOT PAID</v>
      </c>
      <c r="J290" s="402"/>
      <c r="K290" s="402"/>
      <c r="L290" s="402"/>
      <c r="M290" s="402"/>
      <c r="N290" s="402"/>
      <c r="O290" s="402"/>
      <c r="P290" s="402"/>
      <c r="Q290" s="402"/>
      <c r="R290" s="402"/>
      <c r="S290" s="402"/>
      <c r="T290" s="402"/>
      <c r="U290" s="402"/>
      <c r="V290" s="402"/>
      <c r="W290" s="402"/>
      <c r="X290" s="402"/>
      <c r="Y290" s="402"/>
      <c r="Z290" s="402"/>
      <c r="AA290" s="405"/>
      <c r="AB290" s="405"/>
      <c r="AC290" s="405"/>
      <c r="AD290" s="405"/>
      <c r="AE290" s="405"/>
      <c r="AF290" s="405"/>
      <c r="AG290" s="405"/>
      <c r="AH290" s="405"/>
      <c r="AI290" s="405"/>
      <c r="AJ290" s="405"/>
      <c r="AK290" s="405"/>
      <c r="AL290" s="405"/>
    </row>
    <row r="291" ht="14.25" customHeight="1">
      <c r="A291" s="497">
        <v>45509.0</v>
      </c>
      <c r="B291" s="349" t="s">
        <v>3735</v>
      </c>
      <c r="C291" s="349" t="s">
        <v>3669</v>
      </c>
      <c r="D291" s="349" t="s">
        <v>3669</v>
      </c>
      <c r="E291" s="349" t="s">
        <v>3551</v>
      </c>
      <c r="F291" s="751">
        <v>12000.0</v>
      </c>
      <c r="G291" s="751"/>
      <c r="H291" s="349" t="s">
        <v>3803</v>
      </c>
      <c r="I291" s="736" t="str">
        <f t="shared" si="9"/>
        <v>NOT PAID</v>
      </c>
      <c r="J291" s="402"/>
      <c r="K291" s="402"/>
      <c r="L291" s="402"/>
      <c r="M291" s="402"/>
      <c r="N291" s="402"/>
      <c r="O291" s="402"/>
      <c r="P291" s="402"/>
      <c r="Q291" s="402"/>
      <c r="R291" s="402"/>
      <c r="S291" s="402"/>
      <c r="T291" s="402"/>
      <c r="U291" s="402"/>
      <c r="V291" s="402"/>
      <c r="W291" s="402"/>
      <c r="X291" s="402"/>
      <c r="Y291" s="402"/>
      <c r="Z291" s="402"/>
      <c r="AA291" s="405"/>
      <c r="AB291" s="405"/>
      <c r="AC291" s="405"/>
      <c r="AD291" s="405"/>
      <c r="AE291" s="405"/>
      <c r="AF291" s="405"/>
      <c r="AG291" s="405"/>
      <c r="AH291" s="405"/>
      <c r="AI291" s="405"/>
      <c r="AJ291" s="405"/>
      <c r="AK291" s="405"/>
      <c r="AL291" s="405"/>
    </row>
    <row r="292" ht="14.25" customHeight="1">
      <c r="A292" s="497">
        <v>45509.0</v>
      </c>
      <c r="B292" s="349" t="s">
        <v>3717</v>
      </c>
      <c r="C292" s="349" t="s">
        <v>3621</v>
      </c>
      <c r="D292" s="349" t="s">
        <v>3621</v>
      </c>
      <c r="E292" s="349" t="s">
        <v>3617</v>
      </c>
      <c r="F292" s="751">
        <v>22711.0</v>
      </c>
      <c r="G292" s="751"/>
      <c r="H292" s="349" t="s">
        <v>3814</v>
      </c>
      <c r="I292" s="736" t="str">
        <f t="shared" si="9"/>
        <v>NOT PAID</v>
      </c>
      <c r="J292" s="402"/>
      <c r="K292" s="402"/>
      <c r="L292" s="402"/>
      <c r="M292" s="402"/>
      <c r="N292" s="402"/>
      <c r="O292" s="402"/>
      <c r="P292" s="402"/>
      <c r="Q292" s="402"/>
      <c r="R292" s="402"/>
      <c r="S292" s="402"/>
      <c r="T292" s="402"/>
      <c r="U292" s="402"/>
      <c r="V292" s="402"/>
      <c r="W292" s="402"/>
      <c r="X292" s="402"/>
      <c r="Y292" s="402"/>
      <c r="Z292" s="402"/>
      <c r="AA292" s="405"/>
      <c r="AB292" s="405"/>
      <c r="AC292" s="405"/>
      <c r="AD292" s="405"/>
      <c r="AE292" s="405"/>
      <c r="AF292" s="405"/>
      <c r="AG292" s="405"/>
      <c r="AH292" s="405"/>
      <c r="AI292" s="405"/>
      <c r="AJ292" s="405"/>
      <c r="AK292" s="405"/>
      <c r="AL292" s="405"/>
    </row>
    <row r="293" ht="14.25" customHeight="1">
      <c r="A293" s="497">
        <v>45509.0</v>
      </c>
      <c r="B293" s="349" t="s">
        <v>3789</v>
      </c>
      <c r="C293" s="349" t="s">
        <v>3790</v>
      </c>
      <c r="D293" s="349" t="s">
        <v>54</v>
      </c>
      <c r="E293" s="349" t="s">
        <v>3791</v>
      </c>
      <c r="F293" s="751">
        <v>5588.55</v>
      </c>
      <c r="G293" s="751"/>
      <c r="H293" s="349" t="s">
        <v>3814</v>
      </c>
      <c r="I293" s="736" t="str">
        <f t="shared" si="9"/>
        <v>NOT PAID</v>
      </c>
      <c r="J293" s="402"/>
      <c r="K293" s="402"/>
      <c r="L293" s="402"/>
      <c r="M293" s="402"/>
      <c r="N293" s="402"/>
      <c r="O293" s="402"/>
      <c r="P293" s="402"/>
      <c r="Q293" s="402"/>
      <c r="R293" s="402"/>
      <c r="S293" s="402"/>
      <c r="T293" s="402"/>
      <c r="U293" s="402"/>
      <c r="V293" s="402"/>
      <c r="W293" s="402"/>
      <c r="X293" s="402"/>
      <c r="Y293" s="402"/>
      <c r="Z293" s="402"/>
      <c r="AA293" s="405"/>
      <c r="AB293" s="405"/>
      <c r="AC293" s="405"/>
      <c r="AD293" s="405"/>
      <c r="AE293" s="405"/>
      <c r="AF293" s="405"/>
      <c r="AG293" s="405"/>
      <c r="AH293" s="405"/>
      <c r="AI293" s="405"/>
      <c r="AJ293" s="405"/>
      <c r="AK293" s="405"/>
      <c r="AL293" s="405"/>
    </row>
    <row r="294" ht="14.25" customHeight="1">
      <c r="A294" s="497">
        <v>45509.0</v>
      </c>
      <c r="B294" s="349" t="s">
        <v>3775</v>
      </c>
      <c r="C294" s="349" t="s">
        <v>3776</v>
      </c>
      <c r="D294" s="349" t="s">
        <v>54</v>
      </c>
      <c r="E294" s="349" t="s">
        <v>3617</v>
      </c>
      <c r="F294" s="751">
        <v>92611.0</v>
      </c>
      <c r="G294" s="751">
        <v>110776.0</v>
      </c>
      <c r="H294" s="349" t="s">
        <v>710</v>
      </c>
      <c r="I294" s="736" t="str">
        <f t="shared" si="9"/>
        <v>FULLY PAID</v>
      </c>
      <c r="J294" s="402"/>
      <c r="K294" s="402"/>
      <c r="L294" s="402"/>
      <c r="M294" s="402"/>
      <c r="N294" s="402"/>
      <c r="O294" s="402"/>
      <c r="P294" s="402"/>
      <c r="Q294" s="402"/>
      <c r="R294" s="402"/>
      <c r="S294" s="402"/>
      <c r="T294" s="402"/>
      <c r="U294" s="402"/>
      <c r="V294" s="402"/>
      <c r="W294" s="402"/>
      <c r="X294" s="402"/>
      <c r="Y294" s="402"/>
      <c r="Z294" s="402"/>
      <c r="AA294" s="405"/>
      <c r="AB294" s="405"/>
      <c r="AC294" s="405"/>
      <c r="AD294" s="405"/>
      <c r="AE294" s="405"/>
      <c r="AF294" s="405"/>
      <c r="AG294" s="405"/>
      <c r="AH294" s="405"/>
      <c r="AI294" s="405"/>
      <c r="AJ294" s="405"/>
      <c r="AK294" s="405"/>
      <c r="AL294" s="405"/>
    </row>
    <row r="295" ht="14.25" customHeight="1">
      <c r="A295" s="497">
        <v>45509.0</v>
      </c>
      <c r="B295" s="349" t="s">
        <v>3784</v>
      </c>
      <c r="C295" s="349" t="s">
        <v>3624</v>
      </c>
      <c r="D295" s="349" t="s">
        <v>3785</v>
      </c>
      <c r="E295" s="349" t="s">
        <v>3551</v>
      </c>
      <c r="F295" s="751">
        <v>5121.93</v>
      </c>
      <c r="G295" s="751"/>
      <c r="H295" s="349" t="s">
        <v>2184</v>
      </c>
      <c r="I295" s="736" t="str">
        <f t="shared" si="9"/>
        <v>NOT PAID</v>
      </c>
      <c r="J295" s="402"/>
      <c r="K295" s="402"/>
      <c r="L295" s="402"/>
      <c r="M295" s="402"/>
      <c r="N295" s="402"/>
      <c r="O295" s="402"/>
      <c r="P295" s="402"/>
      <c r="Q295" s="402"/>
      <c r="R295" s="402"/>
      <c r="S295" s="402"/>
      <c r="T295" s="402"/>
      <c r="U295" s="402"/>
      <c r="V295" s="402"/>
      <c r="W295" s="402"/>
      <c r="X295" s="402"/>
      <c r="Y295" s="402"/>
      <c r="Z295" s="402"/>
      <c r="AA295" s="405"/>
      <c r="AB295" s="405"/>
      <c r="AC295" s="405"/>
      <c r="AD295" s="405"/>
      <c r="AE295" s="405"/>
      <c r="AF295" s="405"/>
      <c r="AG295" s="405"/>
      <c r="AH295" s="405"/>
      <c r="AI295" s="405"/>
      <c r="AJ295" s="405"/>
      <c r="AK295" s="405"/>
      <c r="AL295" s="405"/>
    </row>
    <row r="296" ht="14.25" customHeight="1">
      <c r="A296" s="497">
        <v>45509.0</v>
      </c>
      <c r="B296" s="349" t="s">
        <v>3689</v>
      </c>
      <c r="C296" s="349" t="s">
        <v>3690</v>
      </c>
      <c r="D296" s="349" t="s">
        <v>54</v>
      </c>
      <c r="E296" s="349" t="s">
        <v>3551</v>
      </c>
      <c r="F296" s="751">
        <v>42295.0</v>
      </c>
      <c r="G296" s="751">
        <v>68014.0</v>
      </c>
      <c r="H296" s="349" t="s">
        <v>710</v>
      </c>
      <c r="I296" s="736" t="str">
        <f t="shared" si="9"/>
        <v>FULLY PAID</v>
      </c>
      <c r="J296" s="402"/>
      <c r="K296" s="402"/>
      <c r="L296" s="402"/>
      <c r="M296" s="402"/>
      <c r="N296" s="402"/>
      <c r="O296" s="402"/>
      <c r="P296" s="402"/>
      <c r="Q296" s="402"/>
      <c r="R296" s="402"/>
      <c r="S296" s="402"/>
      <c r="T296" s="402"/>
      <c r="U296" s="402"/>
      <c r="V296" s="402"/>
      <c r="W296" s="402"/>
      <c r="X296" s="402"/>
      <c r="Y296" s="402"/>
      <c r="Z296" s="402"/>
      <c r="AA296" s="405"/>
      <c r="AB296" s="405"/>
      <c r="AC296" s="405"/>
      <c r="AD296" s="405"/>
      <c r="AE296" s="405"/>
      <c r="AF296" s="405"/>
      <c r="AG296" s="405"/>
      <c r="AH296" s="405"/>
      <c r="AI296" s="405"/>
      <c r="AJ296" s="405"/>
      <c r="AK296" s="405"/>
      <c r="AL296" s="405"/>
    </row>
    <row r="297" ht="14.25" customHeight="1">
      <c r="A297" s="497"/>
      <c r="B297" s="402"/>
      <c r="C297" s="402"/>
      <c r="D297" s="402"/>
      <c r="E297" s="402"/>
      <c r="F297" s="402"/>
      <c r="G297" s="403"/>
      <c r="H297" s="402"/>
      <c r="I297" s="736" t="str">
        <f t="shared" si="9"/>
        <v>FULLY PAID</v>
      </c>
      <c r="J297" s="402"/>
      <c r="K297" s="402"/>
      <c r="L297" s="402"/>
      <c r="M297" s="402"/>
      <c r="N297" s="402"/>
      <c r="O297" s="402"/>
      <c r="P297" s="402"/>
      <c r="Q297" s="402"/>
      <c r="R297" s="402"/>
      <c r="S297" s="402"/>
      <c r="T297" s="402"/>
      <c r="U297" s="402"/>
      <c r="V297" s="402"/>
      <c r="W297" s="402"/>
      <c r="X297" s="402"/>
      <c r="Y297" s="402"/>
      <c r="Z297" s="402"/>
      <c r="AA297" s="405"/>
      <c r="AB297" s="405"/>
      <c r="AC297" s="405"/>
      <c r="AD297" s="405"/>
      <c r="AE297" s="405"/>
      <c r="AF297" s="405"/>
      <c r="AG297" s="405"/>
      <c r="AH297" s="405"/>
      <c r="AI297" s="405"/>
      <c r="AJ297" s="405"/>
      <c r="AK297" s="405"/>
      <c r="AL297" s="405"/>
    </row>
    <row r="298" ht="14.25" customHeight="1">
      <c r="A298" s="402"/>
      <c r="B298" s="402"/>
      <c r="C298" s="402"/>
      <c r="D298" s="402"/>
      <c r="E298" s="402"/>
      <c r="F298" s="402"/>
      <c r="G298" s="403"/>
      <c r="H298" s="402"/>
      <c r="I298" s="736" t="str">
        <f t="shared" si="9"/>
        <v>FULLY PAID</v>
      </c>
      <c r="J298" s="402"/>
      <c r="K298" s="402"/>
      <c r="L298" s="402"/>
      <c r="M298" s="402"/>
      <c r="N298" s="402"/>
      <c r="O298" s="402"/>
      <c r="P298" s="402"/>
      <c r="Q298" s="402"/>
      <c r="R298" s="402"/>
      <c r="S298" s="402"/>
      <c r="T298" s="402"/>
      <c r="U298" s="402"/>
      <c r="V298" s="402"/>
      <c r="W298" s="402"/>
      <c r="X298" s="402"/>
      <c r="Y298" s="402"/>
      <c r="Z298" s="402"/>
      <c r="AA298" s="405"/>
      <c r="AB298" s="405"/>
      <c r="AC298" s="405"/>
      <c r="AD298" s="405"/>
      <c r="AE298" s="405"/>
      <c r="AF298" s="405"/>
      <c r="AG298" s="405"/>
      <c r="AH298" s="405"/>
      <c r="AI298" s="405"/>
      <c r="AJ298" s="405"/>
      <c r="AK298" s="405"/>
      <c r="AL298" s="405"/>
    </row>
    <row r="299" ht="14.25" customHeight="1">
      <c r="A299" s="497">
        <v>45509.0</v>
      </c>
      <c r="B299" s="349" t="s">
        <v>3608</v>
      </c>
      <c r="C299" s="349" t="s">
        <v>3637</v>
      </c>
      <c r="D299" s="349" t="s">
        <v>59</v>
      </c>
      <c r="E299" s="349" t="s">
        <v>3579</v>
      </c>
      <c r="F299" s="413">
        <v>500000.0</v>
      </c>
      <c r="G299" s="413"/>
      <c r="H299" s="349" t="s">
        <v>3815</v>
      </c>
      <c r="I299" s="736" t="str">
        <f t="shared" si="9"/>
        <v>NOT PAID</v>
      </c>
      <c r="J299" s="402"/>
      <c r="K299" s="402"/>
      <c r="L299" s="402"/>
      <c r="M299" s="402"/>
      <c r="N299" s="402"/>
      <c r="O299" s="402"/>
      <c r="P299" s="402"/>
      <c r="Q299" s="402"/>
      <c r="R299" s="402"/>
      <c r="S299" s="402"/>
      <c r="T299" s="402"/>
      <c r="U299" s="402"/>
      <c r="V299" s="402"/>
      <c r="W299" s="402"/>
      <c r="X299" s="402"/>
      <c r="Y299" s="402"/>
      <c r="Z299" s="402"/>
      <c r="AA299" s="405"/>
      <c r="AB299" s="405"/>
      <c r="AC299" s="405"/>
      <c r="AD299" s="405"/>
      <c r="AE299" s="405"/>
      <c r="AF299" s="405"/>
      <c r="AG299" s="405"/>
      <c r="AH299" s="405"/>
      <c r="AI299" s="405"/>
      <c r="AJ299" s="405"/>
      <c r="AK299" s="405"/>
      <c r="AL299" s="405"/>
    </row>
    <row r="300" ht="14.25" customHeight="1">
      <c r="A300" s="497">
        <v>45509.0</v>
      </c>
      <c r="B300" s="349" t="s">
        <v>3663</v>
      </c>
      <c r="C300" s="349" t="s">
        <v>3705</v>
      </c>
      <c r="D300" s="349" t="s">
        <v>54</v>
      </c>
      <c r="E300" s="349" t="s">
        <v>3579</v>
      </c>
      <c r="F300" s="413">
        <v>64847.0</v>
      </c>
      <c r="G300" s="413"/>
      <c r="H300" s="349" t="s">
        <v>3816</v>
      </c>
      <c r="I300" s="736" t="str">
        <f t="shared" si="9"/>
        <v>NOT PAID</v>
      </c>
      <c r="J300" s="402"/>
      <c r="K300" s="402"/>
      <c r="L300" s="402"/>
      <c r="M300" s="402"/>
      <c r="N300" s="402"/>
      <c r="O300" s="402"/>
      <c r="P300" s="402"/>
      <c r="Q300" s="402"/>
      <c r="R300" s="402"/>
      <c r="S300" s="402"/>
      <c r="T300" s="402"/>
      <c r="U300" s="402"/>
      <c r="V300" s="402"/>
      <c r="W300" s="402"/>
      <c r="X300" s="402"/>
      <c r="Y300" s="402"/>
      <c r="Z300" s="402"/>
      <c r="AA300" s="405"/>
      <c r="AB300" s="405"/>
      <c r="AC300" s="405"/>
      <c r="AD300" s="405"/>
      <c r="AE300" s="405"/>
      <c r="AF300" s="405"/>
      <c r="AG300" s="405"/>
      <c r="AH300" s="405"/>
      <c r="AI300" s="405"/>
      <c r="AJ300" s="405"/>
      <c r="AK300" s="405"/>
      <c r="AL300" s="405"/>
    </row>
    <row r="301" ht="14.25" customHeight="1">
      <c r="A301" s="497">
        <v>45509.0</v>
      </c>
      <c r="B301" s="349" t="s">
        <v>3631</v>
      </c>
      <c r="C301" s="349" t="s">
        <v>3799</v>
      </c>
      <c r="D301" s="349" t="s">
        <v>54</v>
      </c>
      <c r="E301" s="349" t="s">
        <v>3579</v>
      </c>
      <c r="F301" s="413">
        <v>152629.0</v>
      </c>
      <c r="G301" s="413"/>
      <c r="H301" s="349" t="s">
        <v>3817</v>
      </c>
      <c r="I301" s="736" t="str">
        <f t="shared" si="9"/>
        <v>NOT PAID</v>
      </c>
      <c r="J301" s="402"/>
      <c r="K301" s="402"/>
      <c r="L301" s="402"/>
      <c r="M301" s="402"/>
      <c r="N301" s="402"/>
      <c r="O301" s="402"/>
      <c r="P301" s="402"/>
      <c r="Q301" s="402"/>
      <c r="R301" s="402"/>
      <c r="S301" s="402"/>
      <c r="T301" s="402"/>
      <c r="U301" s="402"/>
      <c r="V301" s="402"/>
      <c r="W301" s="402"/>
      <c r="X301" s="402"/>
      <c r="Y301" s="402"/>
      <c r="Z301" s="402"/>
      <c r="AA301" s="405"/>
      <c r="AB301" s="405"/>
      <c r="AC301" s="405"/>
      <c r="AD301" s="405"/>
      <c r="AE301" s="405"/>
      <c r="AF301" s="405"/>
      <c r="AG301" s="405"/>
      <c r="AH301" s="405"/>
      <c r="AI301" s="405"/>
      <c r="AJ301" s="405"/>
      <c r="AK301" s="405"/>
      <c r="AL301" s="405"/>
    </row>
    <row r="302" ht="14.25" customHeight="1">
      <c r="A302" s="497"/>
      <c r="B302" s="402"/>
      <c r="C302" s="402"/>
      <c r="D302" s="402"/>
      <c r="E302" s="402"/>
      <c r="F302" s="751"/>
      <c r="G302" s="403"/>
      <c r="H302" s="402"/>
      <c r="I302" s="736" t="str">
        <f t="shared" si="9"/>
        <v>FULLY PAID</v>
      </c>
      <c r="J302" s="402"/>
      <c r="K302" s="402"/>
      <c r="L302" s="402"/>
      <c r="M302" s="402"/>
      <c r="N302" s="402"/>
      <c r="O302" s="402"/>
      <c r="P302" s="402"/>
      <c r="Q302" s="402"/>
      <c r="R302" s="402"/>
      <c r="S302" s="402"/>
      <c r="T302" s="402"/>
      <c r="U302" s="402"/>
      <c r="V302" s="402"/>
      <c r="W302" s="402"/>
      <c r="X302" s="402"/>
      <c r="Y302" s="402"/>
      <c r="Z302" s="402"/>
      <c r="AA302" s="405"/>
      <c r="AB302" s="405"/>
      <c r="AC302" s="405"/>
      <c r="AD302" s="405"/>
      <c r="AE302" s="405"/>
      <c r="AF302" s="405"/>
      <c r="AG302" s="405"/>
      <c r="AH302" s="405"/>
      <c r="AI302" s="405"/>
      <c r="AJ302" s="405"/>
      <c r="AK302" s="405"/>
      <c r="AL302" s="405"/>
    </row>
    <row r="303" ht="14.25" customHeight="1">
      <c r="A303" s="402"/>
      <c r="B303" s="402"/>
      <c r="C303" s="402"/>
      <c r="D303" s="402"/>
      <c r="E303" s="402"/>
      <c r="F303" s="586">
        <f t="shared" ref="F303:G303" si="11">SUM(F280:F302)</f>
        <v>1761821.37</v>
      </c>
      <c r="G303" s="586">
        <f t="shared" si="11"/>
        <v>427040</v>
      </c>
      <c r="H303" s="402"/>
      <c r="I303" s="736" t="str">
        <f t="shared" si="9"/>
        <v>PARTIALLY PAID</v>
      </c>
      <c r="J303" s="402"/>
      <c r="K303" s="402"/>
      <c r="L303" s="402"/>
      <c r="M303" s="402"/>
      <c r="N303" s="402"/>
      <c r="O303" s="402"/>
      <c r="P303" s="402"/>
      <c r="Q303" s="402"/>
      <c r="R303" s="402"/>
      <c r="S303" s="402"/>
      <c r="T303" s="402"/>
      <c r="U303" s="402"/>
      <c r="V303" s="402"/>
      <c r="W303" s="402"/>
      <c r="X303" s="402"/>
      <c r="Y303" s="402"/>
      <c r="Z303" s="402"/>
      <c r="AA303" s="405"/>
      <c r="AB303" s="405"/>
      <c r="AC303" s="405"/>
      <c r="AD303" s="405"/>
      <c r="AE303" s="405"/>
      <c r="AF303" s="405"/>
      <c r="AG303" s="405"/>
      <c r="AH303" s="405"/>
      <c r="AI303" s="405"/>
      <c r="AJ303" s="405"/>
      <c r="AK303" s="405"/>
      <c r="AL303" s="405"/>
    </row>
    <row r="304" ht="14.25" customHeight="1">
      <c r="A304" s="402"/>
      <c r="B304" s="402"/>
      <c r="C304" s="402"/>
      <c r="D304" s="402"/>
      <c r="E304" s="402"/>
      <c r="F304" s="402"/>
      <c r="G304" s="403"/>
      <c r="H304" s="402"/>
      <c r="I304" s="736" t="str">
        <f t="shared" si="9"/>
        <v>FULLY PAID</v>
      </c>
      <c r="J304" s="402"/>
      <c r="K304" s="402"/>
      <c r="L304" s="402"/>
      <c r="M304" s="402"/>
      <c r="N304" s="402"/>
      <c r="O304" s="402"/>
      <c r="P304" s="402"/>
      <c r="Q304" s="402"/>
      <c r="R304" s="402"/>
      <c r="S304" s="402"/>
      <c r="T304" s="402"/>
      <c r="U304" s="402"/>
      <c r="V304" s="402"/>
      <c r="W304" s="402"/>
      <c r="X304" s="402"/>
      <c r="Y304" s="402"/>
      <c r="Z304" s="402"/>
      <c r="AA304" s="405"/>
      <c r="AB304" s="405"/>
      <c r="AC304" s="405"/>
      <c r="AD304" s="405"/>
      <c r="AE304" s="405"/>
      <c r="AF304" s="405"/>
      <c r="AG304" s="405"/>
      <c r="AH304" s="405"/>
      <c r="AI304" s="405"/>
      <c r="AJ304" s="405"/>
      <c r="AK304" s="405"/>
      <c r="AL304" s="405"/>
    </row>
    <row r="305" ht="14.25" customHeight="1">
      <c r="A305" s="584" t="s">
        <v>2130</v>
      </c>
      <c r="B305" s="584" t="s">
        <v>39</v>
      </c>
      <c r="C305" s="584" t="s">
        <v>48</v>
      </c>
      <c r="D305" s="584" t="s">
        <v>49</v>
      </c>
      <c r="E305" s="584" t="s">
        <v>50</v>
      </c>
      <c r="F305" s="584" t="s">
        <v>2</v>
      </c>
      <c r="G305" s="586" t="s">
        <v>44</v>
      </c>
      <c r="H305" s="424" t="s">
        <v>45</v>
      </c>
      <c r="I305" s="736" t="str">
        <f t="shared" si="9"/>
        <v>FULLY PAID</v>
      </c>
      <c r="J305" s="584"/>
      <c r="K305" s="584"/>
      <c r="L305" s="584"/>
      <c r="M305" s="584"/>
      <c r="N305" s="584"/>
      <c r="O305" s="584"/>
      <c r="P305" s="584"/>
      <c r="Q305" s="584"/>
      <c r="R305" s="584"/>
      <c r="S305" s="584"/>
      <c r="T305" s="584"/>
      <c r="U305" s="584"/>
      <c r="V305" s="584"/>
      <c r="W305" s="584"/>
      <c r="X305" s="584"/>
      <c r="Y305" s="584"/>
      <c r="Z305" s="584"/>
      <c r="AA305" s="659"/>
      <c r="AB305" s="659"/>
      <c r="AC305" s="659"/>
      <c r="AD305" s="659"/>
      <c r="AE305" s="659"/>
      <c r="AF305" s="659"/>
      <c r="AG305" s="659"/>
      <c r="AH305" s="659"/>
      <c r="AI305" s="659"/>
      <c r="AJ305" s="659"/>
      <c r="AK305" s="659"/>
      <c r="AL305" s="659"/>
    </row>
    <row r="306" ht="14.25" customHeight="1">
      <c r="A306" s="497">
        <v>45510.0</v>
      </c>
      <c r="B306" s="349" t="s">
        <v>3818</v>
      </c>
      <c r="C306" s="349" t="s">
        <v>3819</v>
      </c>
      <c r="D306" s="349" t="s">
        <v>54</v>
      </c>
      <c r="E306" s="349" t="s">
        <v>3551</v>
      </c>
      <c r="F306" s="413">
        <v>125033.2</v>
      </c>
      <c r="G306" s="413"/>
      <c r="H306" s="413" t="s">
        <v>3820</v>
      </c>
      <c r="I306" s="736" t="str">
        <f t="shared" si="9"/>
        <v>NOT PAID</v>
      </c>
      <c r="J306" s="402"/>
      <c r="K306" s="402"/>
      <c r="L306" s="402"/>
      <c r="M306" s="402"/>
      <c r="N306" s="402"/>
      <c r="O306" s="402"/>
      <c r="P306" s="402"/>
      <c r="Q306" s="402"/>
      <c r="R306" s="402"/>
      <c r="S306" s="402"/>
      <c r="T306" s="402"/>
      <c r="U306" s="402"/>
      <c r="V306" s="402"/>
      <c r="W306" s="402"/>
      <c r="X306" s="402"/>
      <c r="Y306" s="402"/>
      <c r="Z306" s="402"/>
      <c r="AA306" s="405"/>
      <c r="AB306" s="405"/>
      <c r="AC306" s="405"/>
      <c r="AD306" s="405"/>
      <c r="AE306" s="405"/>
      <c r="AF306" s="405"/>
      <c r="AG306" s="405"/>
      <c r="AH306" s="405"/>
      <c r="AI306" s="405"/>
      <c r="AJ306" s="405"/>
      <c r="AK306" s="405"/>
      <c r="AL306" s="405"/>
    </row>
    <row r="307" ht="14.25" customHeight="1">
      <c r="A307" s="497">
        <v>45510.0</v>
      </c>
      <c r="B307" s="349" t="s">
        <v>3821</v>
      </c>
      <c r="C307" s="349" t="s">
        <v>3822</v>
      </c>
      <c r="D307" s="349" t="s">
        <v>54</v>
      </c>
      <c r="E307" s="349" t="s">
        <v>3551</v>
      </c>
      <c r="F307" s="413">
        <v>8139.71</v>
      </c>
      <c r="G307" s="413"/>
      <c r="H307" s="413" t="s">
        <v>3820</v>
      </c>
      <c r="I307" s="736" t="str">
        <f t="shared" si="9"/>
        <v>NOT PAID</v>
      </c>
      <c r="J307" s="402"/>
      <c r="K307" s="402"/>
      <c r="L307" s="402"/>
      <c r="M307" s="402"/>
      <c r="N307" s="402"/>
      <c r="O307" s="402"/>
      <c r="P307" s="402"/>
      <c r="Q307" s="402"/>
      <c r="R307" s="402"/>
      <c r="S307" s="402"/>
      <c r="T307" s="402"/>
      <c r="U307" s="402"/>
      <c r="V307" s="402"/>
      <c r="W307" s="402"/>
      <c r="X307" s="402"/>
      <c r="Y307" s="402"/>
      <c r="Z307" s="402"/>
      <c r="AA307" s="405"/>
      <c r="AB307" s="405"/>
      <c r="AC307" s="405"/>
      <c r="AD307" s="405"/>
      <c r="AE307" s="405"/>
      <c r="AF307" s="405"/>
      <c r="AG307" s="405"/>
      <c r="AH307" s="405"/>
      <c r="AI307" s="405"/>
      <c r="AJ307" s="405"/>
      <c r="AK307" s="405"/>
      <c r="AL307" s="405"/>
    </row>
    <row r="308" ht="14.25" customHeight="1">
      <c r="A308" s="497">
        <v>45510.0</v>
      </c>
      <c r="B308" s="349" t="s">
        <v>3601</v>
      </c>
      <c r="C308" s="349" t="s">
        <v>3602</v>
      </c>
      <c r="D308" s="349" t="s">
        <v>54</v>
      </c>
      <c r="E308" s="349" t="s">
        <v>3579</v>
      </c>
      <c r="F308" s="413">
        <v>3471.0</v>
      </c>
      <c r="G308" s="413">
        <v>5000.0</v>
      </c>
      <c r="H308" s="413" t="s">
        <v>710</v>
      </c>
      <c r="I308" s="736" t="str">
        <f t="shared" si="9"/>
        <v>FULLY PAID</v>
      </c>
      <c r="J308" s="402"/>
      <c r="K308" s="402"/>
      <c r="L308" s="402"/>
      <c r="M308" s="402"/>
      <c r="N308" s="402"/>
      <c r="O308" s="402"/>
      <c r="P308" s="402"/>
      <c r="Q308" s="402"/>
      <c r="R308" s="402"/>
      <c r="S308" s="402"/>
      <c r="T308" s="402"/>
      <c r="U308" s="402"/>
      <c r="V308" s="402"/>
      <c r="W308" s="402"/>
      <c r="X308" s="402"/>
      <c r="Y308" s="402"/>
      <c r="Z308" s="402"/>
      <c r="AA308" s="405"/>
      <c r="AB308" s="405"/>
      <c r="AC308" s="405"/>
      <c r="AD308" s="405"/>
      <c r="AE308" s="405"/>
      <c r="AF308" s="405"/>
      <c r="AG308" s="405"/>
      <c r="AH308" s="405"/>
      <c r="AI308" s="405"/>
      <c r="AJ308" s="405"/>
      <c r="AK308" s="405"/>
      <c r="AL308" s="405"/>
    </row>
    <row r="309" ht="14.25" customHeight="1">
      <c r="A309" s="497">
        <v>45510.0</v>
      </c>
      <c r="B309" s="349" t="s">
        <v>3566</v>
      </c>
      <c r="C309" s="349" t="s">
        <v>3567</v>
      </c>
      <c r="D309" s="349" t="s">
        <v>54</v>
      </c>
      <c r="E309" s="349" t="s">
        <v>3551</v>
      </c>
      <c r="F309" s="413">
        <v>61125.37</v>
      </c>
      <c r="G309" s="413"/>
      <c r="H309" s="413" t="s">
        <v>3823</v>
      </c>
      <c r="I309" s="736" t="str">
        <f t="shared" si="9"/>
        <v>NOT PAID</v>
      </c>
      <c r="J309" s="402"/>
      <c r="K309" s="402"/>
      <c r="L309" s="402"/>
      <c r="M309" s="402"/>
      <c r="N309" s="402"/>
      <c r="O309" s="402"/>
      <c r="P309" s="402"/>
      <c r="Q309" s="402"/>
      <c r="R309" s="402"/>
      <c r="S309" s="402"/>
      <c r="T309" s="402"/>
      <c r="U309" s="402"/>
      <c r="V309" s="402"/>
      <c r="W309" s="402"/>
      <c r="X309" s="402"/>
      <c r="Y309" s="402"/>
      <c r="Z309" s="402"/>
      <c r="AA309" s="405"/>
      <c r="AB309" s="405"/>
      <c r="AC309" s="405"/>
      <c r="AD309" s="405"/>
      <c r="AE309" s="405"/>
      <c r="AF309" s="405"/>
      <c r="AG309" s="405"/>
      <c r="AH309" s="405"/>
      <c r="AI309" s="405"/>
      <c r="AJ309" s="405"/>
      <c r="AK309" s="405"/>
      <c r="AL309" s="405"/>
    </row>
    <row r="310" ht="14.25" customHeight="1">
      <c r="A310" s="497">
        <v>45510.0</v>
      </c>
      <c r="B310" s="349" t="s">
        <v>3824</v>
      </c>
      <c r="C310" s="349" t="s">
        <v>3825</v>
      </c>
      <c r="D310" s="349" t="s">
        <v>54</v>
      </c>
      <c r="E310" s="349" t="s">
        <v>3551</v>
      </c>
      <c r="F310" s="413">
        <v>166852.3</v>
      </c>
      <c r="G310" s="413">
        <v>266286.0</v>
      </c>
      <c r="H310" s="413" t="s">
        <v>710</v>
      </c>
      <c r="I310" s="736" t="str">
        <f t="shared" si="9"/>
        <v>FULLY PAID</v>
      </c>
      <c r="J310" s="402"/>
      <c r="K310" s="402"/>
      <c r="L310" s="402"/>
      <c r="M310" s="402"/>
      <c r="N310" s="402"/>
      <c r="O310" s="402"/>
      <c r="P310" s="402"/>
      <c r="Q310" s="402"/>
      <c r="R310" s="402"/>
      <c r="S310" s="402"/>
      <c r="T310" s="402"/>
      <c r="U310" s="402"/>
      <c r="V310" s="402"/>
      <c r="W310" s="402"/>
      <c r="X310" s="402"/>
      <c r="Y310" s="402"/>
      <c r="Z310" s="402"/>
      <c r="AA310" s="405"/>
      <c r="AB310" s="405"/>
      <c r="AC310" s="405"/>
      <c r="AD310" s="405"/>
      <c r="AE310" s="405"/>
      <c r="AF310" s="405"/>
      <c r="AG310" s="405"/>
      <c r="AH310" s="405"/>
      <c r="AI310" s="405"/>
      <c r="AJ310" s="405"/>
      <c r="AK310" s="405"/>
      <c r="AL310" s="405"/>
    </row>
    <row r="311" ht="14.25" customHeight="1">
      <c r="A311" s="497">
        <v>45510.0</v>
      </c>
      <c r="B311" s="349" t="s">
        <v>3725</v>
      </c>
      <c r="C311" s="349" t="s">
        <v>3726</v>
      </c>
      <c r="D311" s="349" t="s">
        <v>263</v>
      </c>
      <c r="E311" s="349" t="s">
        <v>3579</v>
      </c>
      <c r="F311" s="413">
        <v>19558.47</v>
      </c>
      <c r="G311" s="413"/>
      <c r="H311" s="413" t="s">
        <v>2184</v>
      </c>
      <c r="I311" s="736" t="str">
        <f t="shared" si="9"/>
        <v>NOT PAID</v>
      </c>
      <c r="J311" s="402"/>
      <c r="K311" s="402"/>
      <c r="L311" s="402"/>
      <c r="M311" s="402"/>
      <c r="N311" s="402"/>
      <c r="O311" s="402"/>
      <c r="P311" s="402"/>
      <c r="Q311" s="402"/>
      <c r="R311" s="402"/>
      <c r="S311" s="402"/>
      <c r="T311" s="402"/>
      <c r="U311" s="402"/>
      <c r="V311" s="402"/>
      <c r="W311" s="402"/>
      <c r="X311" s="402"/>
      <c r="Y311" s="402"/>
      <c r="Z311" s="402"/>
      <c r="AA311" s="405"/>
      <c r="AB311" s="405"/>
      <c r="AC311" s="405"/>
      <c r="AD311" s="405"/>
      <c r="AE311" s="405"/>
      <c r="AF311" s="405"/>
      <c r="AG311" s="405"/>
      <c r="AH311" s="405"/>
      <c r="AI311" s="405"/>
      <c r="AJ311" s="405"/>
      <c r="AK311" s="405"/>
      <c r="AL311" s="405"/>
    </row>
    <row r="312" ht="14.25" customHeight="1">
      <c r="A312" s="497">
        <v>45510.0</v>
      </c>
      <c r="B312" s="349" t="s">
        <v>3826</v>
      </c>
      <c r="C312" s="349" t="s">
        <v>3827</v>
      </c>
      <c r="D312" s="349" t="s">
        <v>54</v>
      </c>
      <c r="E312" s="349" t="s">
        <v>3579</v>
      </c>
      <c r="F312" s="413">
        <v>66943.15</v>
      </c>
      <c r="G312" s="413"/>
      <c r="H312" s="413" t="s">
        <v>2184</v>
      </c>
      <c r="I312" s="736" t="str">
        <f t="shared" si="9"/>
        <v>NOT PAID</v>
      </c>
      <c r="J312" s="402"/>
      <c r="K312" s="402"/>
      <c r="L312" s="402"/>
      <c r="M312" s="402"/>
      <c r="N312" s="402"/>
      <c r="O312" s="402"/>
      <c r="P312" s="402"/>
      <c r="Q312" s="402"/>
      <c r="R312" s="402"/>
      <c r="S312" s="402"/>
      <c r="T312" s="402"/>
      <c r="U312" s="402"/>
      <c r="V312" s="402"/>
      <c r="W312" s="402"/>
      <c r="X312" s="402"/>
      <c r="Y312" s="402"/>
      <c r="Z312" s="402"/>
      <c r="AA312" s="405"/>
      <c r="AB312" s="405"/>
      <c r="AC312" s="405"/>
      <c r="AD312" s="405"/>
      <c r="AE312" s="405"/>
      <c r="AF312" s="405"/>
      <c r="AG312" s="405"/>
      <c r="AH312" s="405"/>
      <c r="AI312" s="405"/>
      <c r="AJ312" s="405"/>
      <c r="AK312" s="405"/>
      <c r="AL312" s="405"/>
    </row>
    <row r="313" ht="14.25" customHeight="1">
      <c r="A313" s="497">
        <v>45510.0</v>
      </c>
      <c r="B313" s="349" t="s">
        <v>3828</v>
      </c>
      <c r="C313" s="349" t="s">
        <v>3829</v>
      </c>
      <c r="D313" s="349" t="s">
        <v>54</v>
      </c>
      <c r="E313" s="349" t="s">
        <v>3579</v>
      </c>
      <c r="F313" s="413">
        <v>7662.6</v>
      </c>
      <c r="G313" s="413"/>
      <c r="H313" s="413" t="s">
        <v>2184</v>
      </c>
      <c r="I313" s="736" t="str">
        <f t="shared" si="9"/>
        <v>NOT PAID</v>
      </c>
      <c r="J313" s="402"/>
      <c r="K313" s="402"/>
      <c r="L313" s="402"/>
      <c r="M313" s="402"/>
      <c r="N313" s="402"/>
      <c r="O313" s="402"/>
      <c r="P313" s="402"/>
      <c r="Q313" s="402"/>
      <c r="R313" s="402"/>
      <c r="S313" s="402"/>
      <c r="T313" s="402"/>
      <c r="U313" s="402"/>
      <c r="V313" s="402"/>
      <c r="W313" s="402"/>
      <c r="X313" s="402"/>
      <c r="Y313" s="402"/>
      <c r="Z313" s="402"/>
      <c r="AA313" s="405"/>
      <c r="AB313" s="405"/>
      <c r="AC313" s="405"/>
      <c r="AD313" s="405"/>
      <c r="AE313" s="405"/>
      <c r="AF313" s="405"/>
      <c r="AG313" s="405"/>
      <c r="AH313" s="405"/>
      <c r="AI313" s="405"/>
      <c r="AJ313" s="405"/>
      <c r="AK313" s="405"/>
      <c r="AL313" s="405"/>
    </row>
    <row r="314" ht="14.25" customHeight="1">
      <c r="A314" s="497">
        <v>45510.0</v>
      </c>
      <c r="B314" s="349" t="s">
        <v>3830</v>
      </c>
      <c r="C314" s="349" t="s">
        <v>3829</v>
      </c>
      <c r="D314" s="349" t="s">
        <v>346</v>
      </c>
      <c r="E314" s="349" t="s">
        <v>3579</v>
      </c>
      <c r="F314" s="413">
        <v>5159.9</v>
      </c>
      <c r="G314" s="413"/>
      <c r="H314" s="413" t="s">
        <v>2184</v>
      </c>
      <c r="I314" s="736" t="str">
        <f t="shared" si="9"/>
        <v>NOT PAID</v>
      </c>
      <c r="J314" s="402"/>
      <c r="K314" s="402"/>
      <c r="L314" s="402"/>
      <c r="M314" s="402"/>
      <c r="N314" s="402"/>
      <c r="O314" s="402"/>
      <c r="P314" s="402"/>
      <c r="Q314" s="402"/>
      <c r="R314" s="402"/>
      <c r="S314" s="402"/>
      <c r="T314" s="402"/>
      <c r="U314" s="402"/>
      <c r="V314" s="402"/>
      <c r="W314" s="402"/>
      <c r="X314" s="402"/>
      <c r="Y314" s="402"/>
      <c r="Z314" s="402"/>
      <c r="AA314" s="405"/>
      <c r="AB314" s="405"/>
      <c r="AC314" s="405"/>
      <c r="AD314" s="405"/>
      <c r="AE314" s="405"/>
      <c r="AF314" s="405"/>
      <c r="AG314" s="405"/>
      <c r="AH314" s="405"/>
      <c r="AI314" s="405"/>
      <c r="AJ314" s="405"/>
      <c r="AK314" s="405"/>
      <c r="AL314" s="405"/>
    </row>
    <row r="315" ht="14.25" customHeight="1">
      <c r="A315" s="497">
        <v>45510.0</v>
      </c>
      <c r="B315" s="349" t="s">
        <v>3831</v>
      </c>
      <c r="C315" s="349" t="s">
        <v>3832</v>
      </c>
      <c r="D315" s="349" t="s">
        <v>54</v>
      </c>
      <c r="E315" s="349" t="s">
        <v>3579</v>
      </c>
      <c r="F315" s="413">
        <v>38291.42</v>
      </c>
      <c r="G315" s="413"/>
      <c r="H315" s="413" t="s">
        <v>3833</v>
      </c>
      <c r="I315" s="736" t="str">
        <f t="shared" si="9"/>
        <v>NOT PAID</v>
      </c>
      <c r="J315" s="402"/>
      <c r="K315" s="402"/>
      <c r="L315" s="402"/>
      <c r="M315" s="402"/>
      <c r="N315" s="402"/>
      <c r="O315" s="402"/>
      <c r="P315" s="402"/>
      <c r="Q315" s="402"/>
      <c r="R315" s="402"/>
      <c r="S315" s="402"/>
      <c r="T315" s="402"/>
      <c r="U315" s="402"/>
      <c r="V315" s="402"/>
      <c r="W315" s="402"/>
      <c r="X315" s="402"/>
      <c r="Y315" s="402"/>
      <c r="Z315" s="402"/>
      <c r="AA315" s="405"/>
      <c r="AB315" s="405"/>
      <c r="AC315" s="405"/>
      <c r="AD315" s="405"/>
      <c r="AE315" s="405"/>
      <c r="AF315" s="405"/>
      <c r="AG315" s="405"/>
      <c r="AH315" s="405"/>
      <c r="AI315" s="405"/>
      <c r="AJ315" s="405"/>
      <c r="AK315" s="405"/>
      <c r="AL315" s="405"/>
    </row>
    <row r="316" ht="14.25" customHeight="1">
      <c r="A316" s="497">
        <v>45510.0</v>
      </c>
      <c r="B316" s="349" t="s">
        <v>3834</v>
      </c>
      <c r="C316" s="349" t="s">
        <v>3835</v>
      </c>
      <c r="D316" s="349" t="s">
        <v>75</v>
      </c>
      <c r="E316" s="349" t="s">
        <v>3579</v>
      </c>
      <c r="F316" s="413">
        <v>124125.33</v>
      </c>
      <c r="G316" s="413"/>
      <c r="H316" s="413" t="s">
        <v>3836</v>
      </c>
      <c r="I316" s="736" t="str">
        <f t="shared" si="9"/>
        <v>NOT PAID</v>
      </c>
      <c r="J316" s="402"/>
      <c r="K316" s="402"/>
      <c r="L316" s="402"/>
      <c r="M316" s="402"/>
      <c r="N316" s="402"/>
      <c r="O316" s="402"/>
      <c r="P316" s="402"/>
      <c r="Q316" s="402"/>
      <c r="R316" s="402"/>
      <c r="S316" s="402"/>
      <c r="T316" s="402"/>
      <c r="U316" s="402"/>
      <c r="V316" s="402"/>
      <c r="W316" s="402"/>
      <c r="X316" s="402"/>
      <c r="Y316" s="402"/>
      <c r="Z316" s="402"/>
      <c r="AA316" s="405"/>
      <c r="AB316" s="405"/>
      <c r="AC316" s="405"/>
      <c r="AD316" s="405"/>
      <c r="AE316" s="405"/>
      <c r="AF316" s="405"/>
      <c r="AG316" s="405"/>
      <c r="AH316" s="405"/>
      <c r="AI316" s="405"/>
      <c r="AJ316" s="405"/>
      <c r="AK316" s="405"/>
      <c r="AL316" s="405"/>
    </row>
    <row r="317" ht="14.25" customHeight="1">
      <c r="A317" s="497">
        <v>45510.0</v>
      </c>
      <c r="B317" s="349" t="s">
        <v>3837</v>
      </c>
      <c r="C317" s="349" t="s">
        <v>3838</v>
      </c>
      <c r="D317" s="349" t="s">
        <v>54</v>
      </c>
      <c r="E317" s="349" t="s">
        <v>3551</v>
      </c>
      <c r="F317" s="413">
        <v>14595.15</v>
      </c>
      <c r="G317" s="413"/>
      <c r="H317" s="413" t="s">
        <v>3833</v>
      </c>
      <c r="I317" s="736" t="str">
        <f t="shared" si="9"/>
        <v>NOT PAID</v>
      </c>
      <c r="J317" s="402"/>
      <c r="K317" s="402"/>
      <c r="L317" s="402"/>
      <c r="M317" s="402"/>
      <c r="N317" s="402"/>
      <c r="O317" s="402"/>
      <c r="P317" s="402"/>
      <c r="Q317" s="402"/>
      <c r="R317" s="402"/>
      <c r="S317" s="402"/>
      <c r="T317" s="402"/>
      <c r="U317" s="402"/>
      <c r="V317" s="402"/>
      <c r="W317" s="402"/>
      <c r="X317" s="402"/>
      <c r="Y317" s="402"/>
      <c r="Z317" s="402"/>
      <c r="AA317" s="405"/>
      <c r="AB317" s="405"/>
      <c r="AC317" s="405"/>
      <c r="AD317" s="405"/>
      <c r="AE317" s="405"/>
      <c r="AF317" s="405"/>
      <c r="AG317" s="405"/>
      <c r="AH317" s="405"/>
      <c r="AI317" s="405"/>
      <c r="AJ317" s="405"/>
      <c r="AK317" s="405"/>
      <c r="AL317" s="405"/>
    </row>
    <row r="318" ht="14.25" customHeight="1">
      <c r="A318" s="497">
        <v>45510.0</v>
      </c>
      <c r="B318" s="349" t="s">
        <v>3744</v>
      </c>
      <c r="C318" s="349" t="s">
        <v>3745</v>
      </c>
      <c r="D318" s="349" t="s">
        <v>54</v>
      </c>
      <c r="E318" s="349" t="s">
        <v>3579</v>
      </c>
      <c r="F318" s="413">
        <v>35500.0</v>
      </c>
      <c r="G318" s="413"/>
      <c r="H318" s="413" t="s">
        <v>3839</v>
      </c>
      <c r="I318" s="736" t="str">
        <f t="shared" si="9"/>
        <v>NOT PAID</v>
      </c>
      <c r="J318" s="402"/>
      <c r="K318" s="402"/>
      <c r="L318" s="402"/>
      <c r="M318" s="402"/>
      <c r="N318" s="402"/>
      <c r="O318" s="402"/>
      <c r="P318" s="402"/>
      <c r="Q318" s="402"/>
      <c r="R318" s="402"/>
      <c r="S318" s="402"/>
      <c r="T318" s="402"/>
      <c r="U318" s="402"/>
      <c r="V318" s="402"/>
      <c r="W318" s="402"/>
      <c r="X318" s="402"/>
      <c r="Y318" s="402"/>
      <c r="Z318" s="402"/>
      <c r="AA318" s="405"/>
      <c r="AB318" s="405"/>
      <c r="AC318" s="405"/>
      <c r="AD318" s="405"/>
      <c r="AE318" s="405"/>
      <c r="AF318" s="405"/>
      <c r="AG318" s="405"/>
      <c r="AH318" s="405"/>
      <c r="AI318" s="405"/>
      <c r="AJ318" s="405"/>
      <c r="AK318" s="405"/>
      <c r="AL318" s="405"/>
    </row>
    <row r="319" ht="14.25" customHeight="1">
      <c r="A319" s="497">
        <v>45510.0</v>
      </c>
      <c r="B319" s="349" t="s">
        <v>3809</v>
      </c>
      <c r="C319" s="349" t="s">
        <v>3810</v>
      </c>
      <c r="D319" s="349" t="s">
        <v>54</v>
      </c>
      <c r="E319" s="349" t="s">
        <v>3551</v>
      </c>
      <c r="F319" s="413">
        <v>8400.0</v>
      </c>
      <c r="G319" s="413">
        <v>4000.0</v>
      </c>
      <c r="H319" s="413" t="s">
        <v>3659</v>
      </c>
      <c r="I319" s="736" t="str">
        <f t="shared" si="9"/>
        <v>PARTIALLY PAID</v>
      </c>
      <c r="J319" s="402"/>
      <c r="K319" s="402"/>
      <c r="L319" s="402"/>
      <c r="M319" s="402"/>
      <c r="N319" s="402"/>
      <c r="O319" s="402"/>
      <c r="P319" s="402"/>
      <c r="Q319" s="402"/>
      <c r="R319" s="402"/>
      <c r="S319" s="402"/>
      <c r="T319" s="402"/>
      <c r="U319" s="402"/>
      <c r="V319" s="402"/>
      <c r="W319" s="402"/>
      <c r="X319" s="402"/>
      <c r="Y319" s="402"/>
      <c r="Z319" s="402"/>
      <c r="AA319" s="405"/>
      <c r="AB319" s="405"/>
      <c r="AC319" s="405"/>
      <c r="AD319" s="405"/>
      <c r="AE319" s="405"/>
      <c r="AF319" s="405"/>
      <c r="AG319" s="405"/>
      <c r="AH319" s="405"/>
      <c r="AI319" s="405"/>
      <c r="AJ319" s="405"/>
      <c r="AK319" s="405"/>
      <c r="AL319" s="405"/>
    </row>
    <row r="320" ht="14.25" customHeight="1">
      <c r="A320" s="497">
        <v>45510.0</v>
      </c>
      <c r="B320" s="349" t="s">
        <v>3811</v>
      </c>
      <c r="C320" s="349" t="s">
        <v>3812</v>
      </c>
      <c r="D320" s="349" t="s">
        <v>54</v>
      </c>
      <c r="E320" s="349" t="s">
        <v>3579</v>
      </c>
      <c r="F320" s="413">
        <v>139289.81</v>
      </c>
      <c r="G320" s="413"/>
      <c r="H320" s="413" t="s">
        <v>3840</v>
      </c>
      <c r="I320" s="736" t="str">
        <f t="shared" si="9"/>
        <v>NOT PAID</v>
      </c>
      <c r="J320" s="402"/>
      <c r="K320" s="402"/>
      <c r="L320" s="402"/>
      <c r="M320" s="402"/>
      <c r="N320" s="402"/>
      <c r="O320" s="402"/>
      <c r="P320" s="402"/>
      <c r="Q320" s="402"/>
      <c r="R320" s="402"/>
      <c r="S320" s="402"/>
      <c r="T320" s="402"/>
      <c r="U320" s="402"/>
      <c r="V320" s="402"/>
      <c r="W320" s="402"/>
      <c r="X320" s="402"/>
      <c r="Y320" s="402"/>
      <c r="Z320" s="402"/>
      <c r="AA320" s="405"/>
      <c r="AB320" s="405"/>
      <c r="AC320" s="405"/>
      <c r="AD320" s="405"/>
      <c r="AE320" s="405"/>
      <c r="AF320" s="405"/>
      <c r="AG320" s="405"/>
      <c r="AH320" s="405"/>
      <c r="AI320" s="405"/>
      <c r="AJ320" s="405"/>
      <c r="AK320" s="405"/>
      <c r="AL320" s="405"/>
    </row>
    <row r="321" ht="14.25" customHeight="1">
      <c r="A321" s="497">
        <v>45510.0</v>
      </c>
      <c r="B321" s="349" t="s">
        <v>3781</v>
      </c>
      <c r="C321" s="349" t="s">
        <v>3782</v>
      </c>
      <c r="D321" s="349" t="s">
        <v>54</v>
      </c>
      <c r="E321" s="349" t="s">
        <v>3551</v>
      </c>
      <c r="F321" s="413">
        <v>31425.65</v>
      </c>
      <c r="G321" s="413"/>
      <c r="H321" s="413" t="s">
        <v>3833</v>
      </c>
      <c r="I321" s="736" t="str">
        <f t="shared" si="9"/>
        <v>NOT PAID</v>
      </c>
      <c r="J321" s="402"/>
      <c r="K321" s="402"/>
      <c r="L321" s="402"/>
      <c r="M321" s="402"/>
      <c r="N321" s="402"/>
      <c r="O321" s="402"/>
      <c r="P321" s="402"/>
      <c r="Q321" s="402"/>
      <c r="R321" s="402"/>
      <c r="S321" s="402"/>
      <c r="T321" s="402"/>
      <c r="U321" s="402"/>
      <c r="V321" s="402"/>
      <c r="W321" s="402"/>
      <c r="X321" s="402"/>
      <c r="Y321" s="402"/>
      <c r="Z321" s="402"/>
      <c r="AA321" s="405"/>
      <c r="AB321" s="405"/>
      <c r="AC321" s="405"/>
      <c r="AD321" s="405"/>
      <c r="AE321" s="405"/>
      <c r="AF321" s="405"/>
      <c r="AG321" s="405"/>
      <c r="AH321" s="405"/>
      <c r="AI321" s="405"/>
      <c r="AJ321" s="405"/>
      <c r="AK321" s="405"/>
      <c r="AL321" s="405"/>
    </row>
    <row r="322" ht="14.25" customHeight="1">
      <c r="A322" s="497">
        <v>45510.0</v>
      </c>
      <c r="B322" s="349" t="s">
        <v>3623</v>
      </c>
      <c r="C322" s="349" t="s">
        <v>3624</v>
      </c>
      <c r="D322" s="349" t="s">
        <v>54</v>
      </c>
      <c r="E322" s="349" t="s">
        <v>3551</v>
      </c>
      <c r="F322" s="413">
        <v>15089.0</v>
      </c>
      <c r="G322" s="413"/>
      <c r="H322" s="413" t="s">
        <v>3841</v>
      </c>
      <c r="I322" s="736" t="str">
        <f t="shared" si="9"/>
        <v>NOT PAID</v>
      </c>
      <c r="J322" s="402"/>
      <c r="K322" s="402"/>
      <c r="L322" s="402"/>
      <c r="M322" s="402"/>
      <c r="N322" s="402"/>
      <c r="O322" s="402"/>
      <c r="P322" s="402"/>
      <c r="Q322" s="402"/>
      <c r="R322" s="402"/>
      <c r="S322" s="402"/>
      <c r="T322" s="402"/>
      <c r="U322" s="402"/>
      <c r="V322" s="402"/>
      <c r="W322" s="402"/>
      <c r="X322" s="402"/>
      <c r="Y322" s="402"/>
      <c r="Z322" s="402"/>
      <c r="AA322" s="405"/>
      <c r="AB322" s="405"/>
      <c r="AC322" s="405"/>
      <c r="AD322" s="405"/>
      <c r="AE322" s="405"/>
      <c r="AF322" s="405"/>
      <c r="AG322" s="405"/>
      <c r="AH322" s="405"/>
      <c r="AI322" s="405"/>
      <c r="AJ322" s="405"/>
      <c r="AK322" s="405"/>
      <c r="AL322" s="405"/>
    </row>
    <row r="323" ht="14.25" customHeight="1">
      <c r="A323" s="497">
        <v>45510.0</v>
      </c>
      <c r="B323" s="349" t="s">
        <v>3735</v>
      </c>
      <c r="C323" s="349" t="s">
        <v>3669</v>
      </c>
      <c r="D323" s="349" t="s">
        <v>54</v>
      </c>
      <c r="E323" s="349" t="s">
        <v>3551</v>
      </c>
      <c r="F323" s="413">
        <v>12000.0</v>
      </c>
      <c r="G323" s="413">
        <v>10000.0</v>
      </c>
      <c r="H323" s="413" t="s">
        <v>3659</v>
      </c>
      <c r="I323" s="736" t="str">
        <f t="shared" si="9"/>
        <v>PARTIALLY PAID</v>
      </c>
      <c r="J323" s="402"/>
      <c r="K323" s="402"/>
      <c r="L323" s="402"/>
      <c r="M323" s="402"/>
      <c r="N323" s="402"/>
      <c r="O323" s="402"/>
      <c r="P323" s="402"/>
      <c r="Q323" s="402"/>
      <c r="R323" s="402"/>
      <c r="S323" s="402"/>
      <c r="T323" s="402"/>
      <c r="U323" s="402"/>
      <c r="V323" s="402"/>
      <c r="W323" s="402"/>
      <c r="X323" s="402"/>
      <c r="Y323" s="402"/>
      <c r="Z323" s="402"/>
      <c r="AA323" s="405"/>
      <c r="AB323" s="405"/>
      <c r="AC323" s="405"/>
      <c r="AD323" s="405"/>
      <c r="AE323" s="405"/>
      <c r="AF323" s="405"/>
      <c r="AG323" s="405"/>
      <c r="AH323" s="405"/>
      <c r="AI323" s="405"/>
      <c r="AJ323" s="405"/>
      <c r="AK323" s="405"/>
      <c r="AL323" s="405"/>
    </row>
    <row r="324" ht="14.25" customHeight="1">
      <c r="A324" s="497">
        <v>45510.0</v>
      </c>
      <c r="B324" s="349" t="s">
        <v>3717</v>
      </c>
      <c r="C324" s="349" t="s">
        <v>3621</v>
      </c>
      <c r="D324" s="349" t="s">
        <v>54</v>
      </c>
      <c r="E324" s="349" t="s">
        <v>3579</v>
      </c>
      <c r="F324" s="413">
        <v>22711.0</v>
      </c>
      <c r="G324" s="413"/>
      <c r="H324" s="413" t="s">
        <v>3841</v>
      </c>
      <c r="I324" s="736" t="str">
        <f t="shared" si="9"/>
        <v>NOT PAID</v>
      </c>
      <c r="J324" s="402"/>
      <c r="K324" s="402"/>
      <c r="L324" s="402"/>
      <c r="M324" s="402"/>
      <c r="N324" s="402"/>
      <c r="O324" s="402"/>
      <c r="P324" s="402"/>
      <c r="Q324" s="402"/>
      <c r="R324" s="402"/>
      <c r="S324" s="402"/>
      <c r="T324" s="402"/>
      <c r="U324" s="402"/>
      <c r="V324" s="402"/>
      <c r="W324" s="402"/>
      <c r="X324" s="402"/>
      <c r="Y324" s="402"/>
      <c r="Z324" s="402"/>
      <c r="AA324" s="405"/>
      <c r="AB324" s="405"/>
      <c r="AC324" s="405"/>
      <c r="AD324" s="405"/>
      <c r="AE324" s="405"/>
      <c r="AF324" s="405"/>
      <c r="AG324" s="405"/>
      <c r="AH324" s="405"/>
      <c r="AI324" s="405"/>
      <c r="AJ324" s="405"/>
      <c r="AK324" s="405"/>
      <c r="AL324" s="405"/>
    </row>
    <row r="325" ht="14.25" customHeight="1">
      <c r="A325" s="497">
        <v>45510.0</v>
      </c>
      <c r="B325" s="349" t="s">
        <v>3599</v>
      </c>
      <c r="C325" s="349" t="s">
        <v>3842</v>
      </c>
      <c r="D325" s="349" t="s">
        <v>54</v>
      </c>
      <c r="E325" s="349" t="s">
        <v>3579</v>
      </c>
      <c r="F325" s="751">
        <v>5588.55</v>
      </c>
      <c r="G325" s="751">
        <v>7000.0</v>
      </c>
      <c r="H325" s="786" t="s">
        <v>710</v>
      </c>
      <c r="I325" s="736" t="str">
        <f t="shared" si="9"/>
        <v>FULLY PAID</v>
      </c>
      <c r="J325" s="402"/>
      <c r="K325" s="402"/>
      <c r="L325" s="402"/>
      <c r="M325" s="402"/>
      <c r="N325" s="402"/>
      <c r="O325" s="402"/>
      <c r="P325" s="402"/>
      <c r="Q325" s="402"/>
      <c r="R325" s="402"/>
      <c r="S325" s="402"/>
      <c r="T325" s="402"/>
      <c r="U325" s="402"/>
      <c r="V325" s="402"/>
      <c r="W325" s="402"/>
      <c r="X325" s="402"/>
      <c r="Y325" s="402"/>
      <c r="Z325" s="402"/>
      <c r="AA325" s="405"/>
      <c r="AB325" s="405"/>
      <c r="AC325" s="405"/>
      <c r="AD325" s="405"/>
      <c r="AE325" s="405"/>
      <c r="AF325" s="405"/>
      <c r="AG325" s="405"/>
      <c r="AH325" s="405"/>
      <c r="AI325" s="405"/>
      <c r="AJ325" s="405"/>
      <c r="AK325" s="405"/>
      <c r="AL325" s="405"/>
    </row>
    <row r="326" ht="14.25" customHeight="1">
      <c r="A326" s="497">
        <v>45510.0</v>
      </c>
      <c r="B326" s="349" t="s">
        <v>3802</v>
      </c>
      <c r="C326" s="349" t="s">
        <v>3670</v>
      </c>
      <c r="D326" s="349" t="s">
        <v>54</v>
      </c>
      <c r="E326" s="349" t="s">
        <v>3579</v>
      </c>
      <c r="F326" s="413">
        <v>21450.25</v>
      </c>
      <c r="G326" s="413"/>
      <c r="H326" s="413" t="s">
        <v>3841</v>
      </c>
      <c r="I326" s="736" t="str">
        <f t="shared" si="9"/>
        <v>NOT PAID</v>
      </c>
      <c r="J326" s="402"/>
      <c r="K326" s="402"/>
      <c r="L326" s="402"/>
      <c r="M326" s="402"/>
      <c r="N326" s="402"/>
      <c r="O326" s="402"/>
      <c r="P326" s="402"/>
      <c r="Q326" s="402"/>
      <c r="R326" s="402"/>
      <c r="S326" s="402"/>
      <c r="T326" s="402"/>
      <c r="U326" s="402"/>
      <c r="V326" s="402"/>
      <c r="W326" s="402"/>
      <c r="X326" s="402"/>
      <c r="Y326" s="402"/>
      <c r="Z326" s="402"/>
      <c r="AA326" s="405"/>
      <c r="AB326" s="405"/>
      <c r="AC326" s="405"/>
      <c r="AD326" s="405"/>
      <c r="AE326" s="405"/>
      <c r="AF326" s="405"/>
      <c r="AG326" s="405"/>
      <c r="AH326" s="405"/>
      <c r="AI326" s="405"/>
      <c r="AJ326" s="405"/>
      <c r="AK326" s="405"/>
      <c r="AL326" s="405"/>
    </row>
    <row r="327" ht="14.25" customHeight="1">
      <c r="A327" s="497">
        <v>45510.0</v>
      </c>
      <c r="B327" s="349" t="s">
        <v>3554</v>
      </c>
      <c r="C327" s="349" t="s">
        <v>3555</v>
      </c>
      <c r="D327" s="349" t="s">
        <v>54</v>
      </c>
      <c r="E327" s="349" t="s">
        <v>3551</v>
      </c>
      <c r="F327" s="751">
        <v>120501.0</v>
      </c>
      <c r="G327" s="751"/>
      <c r="H327" s="413" t="s">
        <v>3841</v>
      </c>
      <c r="I327" s="736" t="str">
        <f t="shared" si="9"/>
        <v>NOT PAID</v>
      </c>
      <c r="J327" s="402"/>
      <c r="K327" s="402"/>
      <c r="L327" s="402"/>
      <c r="M327" s="402"/>
      <c r="N327" s="402"/>
      <c r="O327" s="402"/>
      <c r="P327" s="402"/>
      <c r="Q327" s="402"/>
      <c r="R327" s="402"/>
      <c r="S327" s="402"/>
      <c r="T327" s="402"/>
      <c r="U327" s="402"/>
      <c r="V327" s="402"/>
      <c r="W327" s="402"/>
      <c r="X327" s="402"/>
      <c r="Y327" s="402"/>
      <c r="Z327" s="402"/>
      <c r="AA327" s="405"/>
      <c r="AB327" s="405"/>
      <c r="AC327" s="405"/>
      <c r="AD327" s="405"/>
      <c r="AE327" s="405"/>
      <c r="AF327" s="405"/>
      <c r="AG327" s="405"/>
      <c r="AH327" s="405"/>
      <c r="AI327" s="405"/>
      <c r="AJ327" s="405"/>
      <c r="AK327" s="405"/>
      <c r="AL327" s="405"/>
    </row>
    <row r="328">
      <c r="A328" s="497"/>
      <c r="B328" s="402"/>
      <c r="C328" s="402"/>
      <c r="D328" s="402"/>
      <c r="E328" s="402"/>
      <c r="F328" s="402"/>
      <c r="G328" s="403"/>
      <c r="H328" s="402"/>
      <c r="I328" s="736" t="str">
        <f t="shared" si="9"/>
        <v>FULLY PAID</v>
      </c>
      <c r="J328" s="402"/>
      <c r="K328" s="402"/>
      <c r="L328" s="402"/>
      <c r="M328" s="402"/>
      <c r="N328" s="402"/>
      <c r="O328" s="402"/>
      <c r="P328" s="402"/>
      <c r="Q328" s="402"/>
      <c r="R328" s="402"/>
      <c r="S328" s="402"/>
      <c r="T328" s="402"/>
      <c r="U328" s="402"/>
      <c r="V328" s="402"/>
      <c r="W328" s="402"/>
      <c r="X328" s="402"/>
      <c r="Y328" s="402"/>
      <c r="Z328" s="402"/>
      <c r="AA328" s="405"/>
      <c r="AB328" s="405"/>
      <c r="AC328" s="405"/>
      <c r="AD328" s="405"/>
      <c r="AE328" s="405"/>
      <c r="AF328" s="405"/>
      <c r="AG328" s="405"/>
      <c r="AH328" s="405"/>
      <c r="AI328" s="405"/>
      <c r="AJ328" s="405"/>
      <c r="AK328" s="405"/>
      <c r="AL328" s="405"/>
    </row>
    <row r="329" ht="14.25" customHeight="1">
      <c r="A329" s="497"/>
      <c r="B329" s="402"/>
      <c r="C329" s="424" t="s">
        <v>107</v>
      </c>
      <c r="D329" s="402"/>
      <c r="E329" s="402"/>
      <c r="F329" s="402"/>
      <c r="G329" s="403"/>
      <c r="H329" s="402"/>
      <c r="I329" s="736" t="str">
        <f t="shared" si="9"/>
        <v>FULLY PAID</v>
      </c>
      <c r="J329" s="402"/>
      <c r="K329" s="402"/>
      <c r="L329" s="402"/>
      <c r="M329" s="402"/>
      <c r="N329" s="402"/>
      <c r="O329" s="402"/>
      <c r="P329" s="402"/>
      <c r="Q329" s="402"/>
      <c r="R329" s="402"/>
      <c r="S329" s="402"/>
      <c r="T329" s="402"/>
      <c r="U329" s="402"/>
      <c r="V329" s="402"/>
      <c r="W329" s="402"/>
      <c r="X329" s="402"/>
      <c r="Y329" s="402"/>
      <c r="Z329" s="402"/>
      <c r="AA329" s="405"/>
      <c r="AB329" s="405"/>
      <c r="AC329" s="405"/>
      <c r="AD329" s="405"/>
      <c r="AE329" s="405"/>
      <c r="AF329" s="405"/>
      <c r="AG329" s="405"/>
      <c r="AH329" s="405"/>
      <c r="AI329" s="405"/>
      <c r="AJ329" s="405"/>
      <c r="AK329" s="405"/>
      <c r="AL329" s="405"/>
    </row>
    <row r="330" ht="14.25" customHeight="1">
      <c r="A330" s="497">
        <v>45510.0</v>
      </c>
      <c r="B330" s="349" t="s">
        <v>3608</v>
      </c>
      <c r="C330" s="349" t="s">
        <v>3705</v>
      </c>
      <c r="D330" s="349" t="s">
        <v>54</v>
      </c>
      <c r="E330" s="349" t="s">
        <v>3579</v>
      </c>
      <c r="F330" s="413">
        <v>64847.0</v>
      </c>
      <c r="G330" s="413"/>
      <c r="H330" s="413" t="s">
        <v>3836</v>
      </c>
      <c r="I330" s="736" t="str">
        <f t="shared" si="9"/>
        <v>NOT PAID</v>
      </c>
      <c r="J330" s="402"/>
      <c r="K330" s="402"/>
      <c r="L330" s="402"/>
      <c r="M330" s="402"/>
      <c r="N330" s="402"/>
      <c r="O330" s="402"/>
      <c r="P330" s="402"/>
      <c r="Q330" s="402"/>
      <c r="R330" s="402"/>
      <c r="S330" s="402"/>
      <c r="T330" s="402"/>
      <c r="U330" s="402"/>
      <c r="V330" s="402"/>
      <c r="W330" s="402"/>
      <c r="X330" s="402"/>
      <c r="Y330" s="402"/>
      <c r="Z330" s="402"/>
      <c r="AA330" s="405"/>
      <c r="AB330" s="405"/>
      <c r="AC330" s="405"/>
      <c r="AD330" s="405"/>
      <c r="AE330" s="405"/>
      <c r="AF330" s="405"/>
      <c r="AG330" s="405"/>
      <c r="AH330" s="405"/>
      <c r="AI330" s="405"/>
      <c r="AJ330" s="405"/>
      <c r="AK330" s="405"/>
      <c r="AL330" s="405"/>
    </row>
    <row r="331" ht="14.25" customHeight="1">
      <c r="A331" s="497">
        <v>45510.0</v>
      </c>
      <c r="B331" s="349" t="s">
        <v>3663</v>
      </c>
      <c r="C331" s="349" t="s">
        <v>3799</v>
      </c>
      <c r="D331" s="349" t="s">
        <v>54</v>
      </c>
      <c r="E331" s="349" t="s">
        <v>3579</v>
      </c>
      <c r="F331" s="413">
        <v>152629.0</v>
      </c>
      <c r="G331" s="413">
        <v>35000.0</v>
      </c>
      <c r="H331" s="413" t="s">
        <v>2184</v>
      </c>
      <c r="I331" s="736" t="str">
        <f t="shared" si="9"/>
        <v>PARTIALLY PAID</v>
      </c>
      <c r="J331" s="402"/>
      <c r="K331" s="402"/>
      <c r="L331" s="402"/>
      <c r="M331" s="402"/>
      <c r="N331" s="402"/>
      <c r="O331" s="402"/>
      <c r="P331" s="402"/>
      <c r="Q331" s="402"/>
      <c r="R331" s="402"/>
      <c r="S331" s="402"/>
      <c r="T331" s="402"/>
      <c r="U331" s="402"/>
      <c r="V331" s="402"/>
      <c r="W331" s="402"/>
      <c r="X331" s="402"/>
      <c r="Y331" s="402"/>
      <c r="Z331" s="402"/>
      <c r="AA331" s="405"/>
      <c r="AB331" s="405"/>
      <c r="AC331" s="405"/>
      <c r="AD331" s="405"/>
      <c r="AE331" s="405"/>
      <c r="AF331" s="405"/>
      <c r="AG331" s="405"/>
      <c r="AH331" s="405"/>
      <c r="AI331" s="405"/>
      <c r="AJ331" s="405"/>
      <c r="AK331" s="405"/>
      <c r="AL331" s="405"/>
    </row>
    <row r="332" ht="14.25" customHeight="1">
      <c r="A332" s="402"/>
      <c r="B332" s="349"/>
      <c r="C332" s="402"/>
      <c r="D332" s="402"/>
      <c r="E332" s="402"/>
      <c r="F332" s="402"/>
      <c r="G332" s="403"/>
      <c r="H332" s="402"/>
      <c r="I332" s="736" t="str">
        <f t="shared" si="9"/>
        <v>FULLY PAID</v>
      </c>
      <c r="J332" s="402"/>
      <c r="K332" s="402"/>
      <c r="L332" s="402"/>
      <c r="M332" s="402"/>
      <c r="N332" s="402"/>
      <c r="O332" s="402"/>
      <c r="P332" s="402"/>
      <c r="Q332" s="402"/>
      <c r="R332" s="402"/>
      <c r="S332" s="402"/>
      <c r="T332" s="402"/>
      <c r="U332" s="402"/>
      <c r="V332" s="402"/>
      <c r="W332" s="402"/>
      <c r="X332" s="402"/>
      <c r="Y332" s="402"/>
      <c r="Z332" s="402"/>
      <c r="AA332" s="405"/>
      <c r="AB332" s="405"/>
      <c r="AC332" s="405"/>
      <c r="AD332" s="405"/>
      <c r="AE332" s="405"/>
      <c r="AF332" s="405"/>
      <c r="AG332" s="405"/>
      <c r="AH332" s="405"/>
      <c r="AI332" s="405"/>
      <c r="AJ332" s="405"/>
      <c r="AK332" s="405"/>
      <c r="AL332" s="405"/>
    </row>
    <row r="333" ht="14.25" customHeight="1">
      <c r="A333" s="402"/>
      <c r="B333" s="349"/>
      <c r="C333" s="402"/>
      <c r="D333" s="402"/>
      <c r="E333" s="402"/>
      <c r="F333" s="586">
        <f t="shared" ref="F333:G333" si="12">SUM(F306:F332)</f>
        <v>1270388.86</v>
      </c>
      <c r="G333" s="586">
        <f t="shared" si="12"/>
        <v>327286</v>
      </c>
      <c r="H333" s="402"/>
      <c r="I333" s="736" t="str">
        <f t="shared" si="9"/>
        <v>PARTIALLY PAID</v>
      </c>
      <c r="J333" s="402"/>
      <c r="K333" s="402"/>
      <c r="L333" s="402"/>
      <c r="M333" s="402"/>
      <c r="N333" s="402"/>
      <c r="O333" s="402"/>
      <c r="P333" s="402"/>
      <c r="Q333" s="402"/>
      <c r="R333" s="402"/>
      <c r="S333" s="402"/>
      <c r="T333" s="402"/>
      <c r="U333" s="402"/>
      <c r="V333" s="402"/>
      <c r="W333" s="402"/>
      <c r="X333" s="402"/>
      <c r="Y333" s="402"/>
      <c r="Z333" s="402"/>
      <c r="AA333" s="405"/>
      <c r="AB333" s="405"/>
      <c r="AC333" s="405"/>
      <c r="AD333" s="405"/>
      <c r="AE333" s="405"/>
      <c r="AF333" s="405"/>
      <c r="AG333" s="405"/>
      <c r="AH333" s="405"/>
      <c r="AI333" s="405"/>
      <c r="AJ333" s="405"/>
      <c r="AK333" s="405"/>
      <c r="AL333" s="405"/>
    </row>
    <row r="334" ht="14.25" customHeight="1">
      <c r="A334" s="402"/>
      <c r="B334" s="402"/>
      <c r="C334" s="402"/>
      <c r="D334" s="402"/>
      <c r="E334" s="402"/>
      <c r="F334" s="402"/>
      <c r="G334" s="403"/>
      <c r="H334" s="402"/>
      <c r="I334" s="736" t="str">
        <f t="shared" si="9"/>
        <v>FULLY PAID</v>
      </c>
      <c r="J334" s="402"/>
      <c r="K334" s="402"/>
      <c r="L334" s="402"/>
      <c r="M334" s="402"/>
      <c r="N334" s="402"/>
      <c r="O334" s="402"/>
      <c r="P334" s="402"/>
      <c r="Q334" s="402"/>
      <c r="R334" s="402"/>
      <c r="S334" s="402"/>
      <c r="T334" s="402"/>
      <c r="U334" s="402"/>
      <c r="V334" s="402"/>
      <c r="W334" s="402"/>
      <c r="X334" s="402"/>
      <c r="Y334" s="402"/>
      <c r="Z334" s="402"/>
      <c r="AA334" s="405"/>
      <c r="AB334" s="405"/>
      <c r="AC334" s="405"/>
      <c r="AD334" s="405"/>
      <c r="AE334" s="405"/>
      <c r="AF334" s="405"/>
      <c r="AG334" s="405"/>
      <c r="AH334" s="405"/>
      <c r="AI334" s="405"/>
      <c r="AJ334" s="405"/>
      <c r="AK334" s="405"/>
      <c r="AL334" s="405"/>
    </row>
    <row r="335" ht="14.25" customHeight="1">
      <c r="A335" s="584" t="s">
        <v>2130</v>
      </c>
      <c r="B335" s="584" t="s">
        <v>39</v>
      </c>
      <c r="C335" s="584" t="s">
        <v>48</v>
      </c>
      <c r="D335" s="584" t="s">
        <v>49</v>
      </c>
      <c r="E335" s="584" t="s">
        <v>50</v>
      </c>
      <c r="F335" s="584" t="s">
        <v>2</v>
      </c>
      <c r="G335" s="586" t="s">
        <v>44</v>
      </c>
      <c r="H335" s="424" t="s">
        <v>45</v>
      </c>
      <c r="I335" s="736" t="str">
        <f t="shared" si="9"/>
        <v>FULLY PAID</v>
      </c>
      <c r="J335" s="584"/>
      <c r="K335" s="584"/>
      <c r="L335" s="584"/>
      <c r="M335" s="584"/>
      <c r="N335" s="584"/>
      <c r="O335" s="584"/>
      <c r="P335" s="584"/>
      <c r="Q335" s="584"/>
      <c r="R335" s="584"/>
      <c r="S335" s="584"/>
      <c r="T335" s="584"/>
      <c r="U335" s="584"/>
      <c r="V335" s="584"/>
      <c r="W335" s="584"/>
      <c r="X335" s="584"/>
      <c r="Y335" s="584"/>
      <c r="Z335" s="584"/>
      <c r="AA335" s="659"/>
      <c r="AB335" s="659"/>
      <c r="AC335" s="659"/>
      <c r="AD335" s="659"/>
      <c r="AE335" s="659"/>
      <c r="AF335" s="659"/>
      <c r="AG335" s="659"/>
      <c r="AH335" s="659"/>
      <c r="AI335" s="659"/>
      <c r="AJ335" s="659"/>
      <c r="AK335" s="659"/>
      <c r="AL335" s="659"/>
    </row>
    <row r="336" ht="14.25" customHeight="1">
      <c r="A336" s="497">
        <v>45511.0</v>
      </c>
      <c r="B336" s="349" t="s">
        <v>3569</v>
      </c>
      <c r="C336" s="349" t="s">
        <v>3570</v>
      </c>
      <c r="D336" s="349" t="s">
        <v>54</v>
      </c>
      <c r="E336" s="349" t="s">
        <v>3551</v>
      </c>
      <c r="F336" s="413">
        <v>48334.66</v>
      </c>
      <c r="G336" s="413">
        <v>51400.0</v>
      </c>
      <c r="H336" s="349" t="s">
        <v>56</v>
      </c>
      <c r="I336" s="736" t="str">
        <f t="shared" si="9"/>
        <v>FULLY PAID</v>
      </c>
      <c r="J336" s="402"/>
      <c r="K336" s="402"/>
      <c r="L336" s="402"/>
      <c r="M336" s="402"/>
      <c r="N336" s="402"/>
      <c r="O336" s="402"/>
      <c r="P336" s="402"/>
      <c r="Q336" s="402"/>
      <c r="R336" s="402"/>
      <c r="S336" s="402"/>
      <c r="T336" s="402"/>
      <c r="U336" s="402"/>
      <c r="V336" s="402"/>
      <c r="W336" s="402"/>
      <c r="X336" s="402"/>
      <c r="Y336" s="402"/>
      <c r="Z336" s="402"/>
      <c r="AA336" s="405"/>
      <c r="AB336" s="405"/>
      <c r="AC336" s="405"/>
      <c r="AD336" s="405"/>
      <c r="AE336" s="405"/>
      <c r="AF336" s="405"/>
      <c r="AG336" s="405"/>
      <c r="AH336" s="405"/>
      <c r="AI336" s="405"/>
      <c r="AJ336" s="405"/>
      <c r="AK336" s="405"/>
      <c r="AL336" s="405"/>
    </row>
    <row r="337" ht="14.25" customHeight="1">
      <c r="A337" s="497">
        <v>45511.0</v>
      </c>
      <c r="B337" s="349" t="s">
        <v>3843</v>
      </c>
      <c r="C337" s="349" t="s">
        <v>3844</v>
      </c>
      <c r="D337" s="349" t="s">
        <v>54</v>
      </c>
      <c r="E337" s="349" t="s">
        <v>3845</v>
      </c>
      <c r="F337" s="413">
        <v>38735.32</v>
      </c>
      <c r="G337" s="413">
        <v>45418.0</v>
      </c>
      <c r="H337" s="349" t="s">
        <v>710</v>
      </c>
      <c r="I337" s="736" t="str">
        <f t="shared" si="9"/>
        <v>FULLY PAID</v>
      </c>
      <c r="J337" s="402"/>
      <c r="K337" s="402"/>
      <c r="L337" s="402"/>
      <c r="M337" s="402"/>
      <c r="N337" s="402"/>
      <c r="O337" s="402"/>
      <c r="P337" s="402"/>
      <c r="Q337" s="402"/>
      <c r="R337" s="402"/>
      <c r="S337" s="402"/>
      <c r="T337" s="402"/>
      <c r="U337" s="402"/>
      <c r="V337" s="402"/>
      <c r="W337" s="402"/>
      <c r="X337" s="402"/>
      <c r="Y337" s="402"/>
      <c r="Z337" s="402"/>
      <c r="AA337" s="405"/>
      <c r="AB337" s="405"/>
      <c r="AC337" s="405"/>
      <c r="AD337" s="405"/>
      <c r="AE337" s="405"/>
      <c r="AF337" s="405"/>
      <c r="AG337" s="405"/>
      <c r="AH337" s="405"/>
      <c r="AI337" s="405"/>
      <c r="AJ337" s="405"/>
      <c r="AK337" s="405"/>
      <c r="AL337" s="405"/>
    </row>
    <row r="338" ht="14.25" customHeight="1">
      <c r="A338" s="497">
        <v>45511.0</v>
      </c>
      <c r="B338" s="349" t="s">
        <v>3717</v>
      </c>
      <c r="C338" s="349" t="s">
        <v>3621</v>
      </c>
      <c r="D338" s="349" t="s">
        <v>54</v>
      </c>
      <c r="E338" s="349" t="s">
        <v>3579</v>
      </c>
      <c r="F338" s="413">
        <v>22711.0</v>
      </c>
      <c r="G338" s="413">
        <v>0.0</v>
      </c>
      <c r="H338" s="1" t="s">
        <v>3846</v>
      </c>
      <c r="I338" s="736" t="str">
        <f t="shared" si="9"/>
        <v>NOT PAID</v>
      </c>
      <c r="J338" s="402"/>
      <c r="K338" s="402"/>
      <c r="L338" s="402"/>
      <c r="M338" s="402"/>
      <c r="N338" s="402"/>
      <c r="O338" s="402"/>
      <c r="P338" s="402"/>
      <c r="Q338" s="402"/>
      <c r="R338" s="402"/>
      <c r="S338" s="402"/>
      <c r="T338" s="402"/>
      <c r="U338" s="402"/>
      <c r="V338" s="402"/>
      <c r="W338" s="402"/>
      <c r="X338" s="402"/>
      <c r="Y338" s="402"/>
      <c r="Z338" s="402"/>
      <c r="AA338" s="405"/>
      <c r="AB338" s="405"/>
      <c r="AC338" s="405"/>
      <c r="AD338" s="405"/>
      <c r="AE338" s="405"/>
      <c r="AF338" s="405"/>
      <c r="AG338" s="405"/>
      <c r="AH338" s="405"/>
      <c r="AI338" s="405"/>
      <c r="AJ338" s="405"/>
      <c r="AK338" s="405"/>
      <c r="AL338" s="405"/>
    </row>
    <row r="339" ht="14.25" customHeight="1">
      <c r="A339" s="497">
        <v>45511.0</v>
      </c>
      <c r="B339" s="349" t="s">
        <v>3847</v>
      </c>
      <c r="C339" s="349" t="s">
        <v>3848</v>
      </c>
      <c r="D339" s="349" t="s">
        <v>54</v>
      </c>
      <c r="E339" s="349" t="s">
        <v>3551</v>
      </c>
      <c r="F339" s="413">
        <v>31345.97</v>
      </c>
      <c r="G339" s="413">
        <v>0.0</v>
      </c>
      <c r="H339" s="349" t="s">
        <v>3817</v>
      </c>
      <c r="I339" s="736" t="str">
        <f t="shared" si="9"/>
        <v>NOT PAID</v>
      </c>
      <c r="J339" s="402"/>
      <c r="K339" s="402"/>
      <c r="L339" s="402"/>
      <c r="M339" s="402"/>
      <c r="N339" s="402"/>
      <c r="O339" s="402"/>
      <c r="P339" s="402"/>
      <c r="Q339" s="402"/>
      <c r="R339" s="402"/>
      <c r="S339" s="402"/>
      <c r="T339" s="402"/>
      <c r="U339" s="402"/>
      <c r="V339" s="402"/>
      <c r="W339" s="402"/>
      <c r="X339" s="402"/>
      <c r="Y339" s="402"/>
      <c r="Z339" s="402"/>
      <c r="AA339" s="405"/>
      <c r="AB339" s="405"/>
      <c r="AC339" s="405"/>
      <c r="AD339" s="405"/>
      <c r="AE339" s="405"/>
      <c r="AF339" s="405"/>
      <c r="AG339" s="405"/>
      <c r="AH339" s="405"/>
      <c r="AI339" s="405"/>
      <c r="AJ339" s="405"/>
      <c r="AK339" s="405"/>
      <c r="AL339" s="405"/>
    </row>
    <row r="340" ht="14.25" customHeight="1">
      <c r="A340" s="497">
        <v>45511.0</v>
      </c>
      <c r="B340" s="349" t="s">
        <v>3576</v>
      </c>
      <c r="C340" s="349" t="s">
        <v>3849</v>
      </c>
      <c r="D340" s="349" t="s">
        <v>54</v>
      </c>
      <c r="E340" s="349" t="s">
        <v>3551</v>
      </c>
      <c r="F340" s="413">
        <v>350588.0</v>
      </c>
      <c r="G340" s="413">
        <v>350588.0</v>
      </c>
      <c r="H340" s="349" t="s">
        <v>2198</v>
      </c>
      <c r="I340" s="736" t="str">
        <f t="shared" si="9"/>
        <v>FULLY PAID</v>
      </c>
      <c r="J340" s="402"/>
      <c r="K340" s="402"/>
      <c r="L340" s="402"/>
      <c r="M340" s="402"/>
      <c r="N340" s="402"/>
      <c r="O340" s="402"/>
      <c r="P340" s="402"/>
      <c r="Q340" s="402"/>
      <c r="R340" s="402"/>
      <c r="S340" s="402"/>
      <c r="T340" s="402"/>
      <c r="U340" s="402"/>
      <c r="V340" s="402"/>
      <c r="W340" s="402"/>
      <c r="X340" s="402"/>
      <c r="Y340" s="402"/>
      <c r="Z340" s="402"/>
      <c r="AA340" s="405"/>
      <c r="AB340" s="405"/>
      <c r="AC340" s="405"/>
      <c r="AD340" s="405"/>
      <c r="AE340" s="405"/>
      <c r="AF340" s="405"/>
      <c r="AG340" s="405"/>
      <c r="AH340" s="405"/>
      <c r="AI340" s="405"/>
      <c r="AJ340" s="405"/>
      <c r="AK340" s="405"/>
      <c r="AL340" s="405"/>
    </row>
    <row r="341" ht="14.25" customHeight="1">
      <c r="A341" s="497">
        <v>45511.0</v>
      </c>
      <c r="B341" s="349" t="s">
        <v>3735</v>
      </c>
      <c r="C341" s="349" t="s">
        <v>3669</v>
      </c>
      <c r="D341" s="349" t="s">
        <v>54</v>
      </c>
      <c r="E341" s="349" t="s">
        <v>3551</v>
      </c>
      <c r="F341" s="413">
        <v>5000.0</v>
      </c>
      <c r="G341" s="413">
        <v>0.0</v>
      </c>
      <c r="H341" s="349" t="s">
        <v>3817</v>
      </c>
      <c r="I341" s="736" t="str">
        <f t="shared" si="9"/>
        <v>NOT PAID</v>
      </c>
      <c r="J341" s="402"/>
      <c r="K341" s="402"/>
      <c r="L341" s="402"/>
      <c r="M341" s="402"/>
      <c r="N341" s="402"/>
      <c r="O341" s="402"/>
      <c r="P341" s="402"/>
      <c r="Q341" s="402"/>
      <c r="R341" s="402"/>
      <c r="S341" s="402"/>
      <c r="T341" s="402"/>
      <c r="U341" s="402"/>
      <c r="V341" s="402"/>
      <c r="W341" s="402"/>
      <c r="X341" s="402"/>
      <c r="Y341" s="402"/>
      <c r="Z341" s="402"/>
      <c r="AA341" s="405"/>
      <c r="AB341" s="405"/>
      <c r="AC341" s="405"/>
      <c r="AD341" s="405"/>
      <c r="AE341" s="405"/>
      <c r="AF341" s="405"/>
      <c r="AG341" s="405"/>
      <c r="AH341" s="405"/>
      <c r="AI341" s="405"/>
      <c r="AJ341" s="405"/>
      <c r="AK341" s="405"/>
      <c r="AL341" s="405"/>
    </row>
    <row r="342" ht="14.25" customHeight="1">
      <c r="A342" s="497">
        <v>45511.0</v>
      </c>
      <c r="B342" s="349" t="s">
        <v>3566</v>
      </c>
      <c r="C342" s="349" t="s">
        <v>3567</v>
      </c>
      <c r="D342" s="349" t="s">
        <v>54</v>
      </c>
      <c r="E342" s="349" t="s">
        <v>3551</v>
      </c>
      <c r="F342" s="413">
        <v>61125.37</v>
      </c>
      <c r="G342" s="413">
        <v>0.0</v>
      </c>
      <c r="H342" s="413" t="s">
        <v>3850</v>
      </c>
      <c r="I342" s="736" t="str">
        <f t="shared" si="9"/>
        <v>NOT PAID</v>
      </c>
      <c r="J342" s="402"/>
      <c r="K342" s="402"/>
      <c r="L342" s="402"/>
      <c r="M342" s="402"/>
      <c r="N342" s="402"/>
      <c r="O342" s="402"/>
      <c r="P342" s="402"/>
      <c r="Q342" s="402"/>
      <c r="R342" s="402"/>
      <c r="S342" s="402"/>
      <c r="T342" s="402"/>
      <c r="U342" s="402"/>
      <c r="V342" s="402"/>
      <c r="W342" s="402"/>
      <c r="X342" s="402"/>
      <c r="Y342" s="402"/>
      <c r="Z342" s="402"/>
      <c r="AA342" s="405"/>
      <c r="AB342" s="405"/>
      <c r="AC342" s="405"/>
      <c r="AD342" s="405"/>
      <c r="AE342" s="405"/>
      <c r="AF342" s="405"/>
      <c r="AG342" s="405"/>
      <c r="AH342" s="405"/>
      <c r="AI342" s="405"/>
      <c r="AJ342" s="405"/>
      <c r="AK342" s="405"/>
      <c r="AL342" s="405"/>
    </row>
    <row r="343" ht="13.5" customHeight="1">
      <c r="A343" s="497">
        <v>45511.0</v>
      </c>
      <c r="B343" s="349" t="s">
        <v>3725</v>
      </c>
      <c r="C343" s="349" t="s">
        <v>3726</v>
      </c>
      <c r="D343" s="349" t="s">
        <v>263</v>
      </c>
      <c r="E343" s="349" t="s">
        <v>3579</v>
      </c>
      <c r="F343" s="413">
        <v>19558.47</v>
      </c>
      <c r="G343" s="413">
        <v>19500.0</v>
      </c>
      <c r="H343" s="349" t="s">
        <v>56</v>
      </c>
      <c r="I343" s="736" t="str">
        <f t="shared" si="9"/>
        <v>PARTIALLY PAID</v>
      </c>
      <c r="J343" s="402"/>
      <c r="K343" s="402"/>
      <c r="L343" s="402"/>
      <c r="M343" s="402"/>
      <c r="N343" s="402"/>
      <c r="O343" s="402"/>
      <c r="P343" s="402"/>
      <c r="Q343" s="402"/>
      <c r="R343" s="402"/>
      <c r="S343" s="402"/>
      <c r="T343" s="402"/>
      <c r="U343" s="402"/>
      <c r="V343" s="402"/>
      <c r="W343" s="402"/>
      <c r="X343" s="402"/>
      <c r="Y343" s="402"/>
      <c r="Z343" s="402"/>
      <c r="AA343" s="405"/>
      <c r="AB343" s="405"/>
      <c r="AC343" s="405"/>
      <c r="AD343" s="405"/>
      <c r="AE343" s="405"/>
      <c r="AF343" s="405"/>
      <c r="AG343" s="405"/>
      <c r="AH343" s="405"/>
      <c r="AI343" s="405"/>
      <c r="AJ343" s="405"/>
      <c r="AK343" s="405"/>
      <c r="AL343" s="405"/>
    </row>
    <row r="344" ht="14.25" customHeight="1">
      <c r="A344" s="497">
        <v>45511.0</v>
      </c>
      <c r="B344" s="349" t="s">
        <v>3691</v>
      </c>
      <c r="C344" s="349" t="s">
        <v>3772</v>
      </c>
      <c r="D344" s="349" t="s">
        <v>54</v>
      </c>
      <c r="E344" s="349" t="s">
        <v>3579</v>
      </c>
      <c r="F344" s="751">
        <v>48614.0</v>
      </c>
      <c r="G344" s="413">
        <v>0.0</v>
      </c>
      <c r="H344" s="1" t="s">
        <v>3851</v>
      </c>
      <c r="I344" s="736" t="str">
        <f t="shared" si="9"/>
        <v>NOT PAID</v>
      </c>
      <c r="J344" s="402"/>
      <c r="K344" s="402"/>
      <c r="L344" s="402"/>
      <c r="M344" s="402"/>
      <c r="N344" s="402"/>
      <c r="O344" s="402"/>
      <c r="P344" s="402"/>
      <c r="Q344" s="402"/>
      <c r="R344" s="402"/>
      <c r="S344" s="402"/>
      <c r="T344" s="402"/>
      <c r="U344" s="402"/>
      <c r="V344" s="402"/>
      <c r="W344" s="402"/>
      <c r="X344" s="402"/>
      <c r="Y344" s="402"/>
      <c r="Z344" s="402"/>
      <c r="AA344" s="405"/>
      <c r="AB344" s="405"/>
      <c r="AC344" s="405"/>
      <c r="AD344" s="405"/>
      <c r="AE344" s="405"/>
      <c r="AF344" s="405"/>
      <c r="AG344" s="405"/>
      <c r="AH344" s="405"/>
      <c r="AI344" s="405"/>
      <c r="AJ344" s="405"/>
      <c r="AK344" s="405"/>
      <c r="AL344" s="405"/>
    </row>
    <row r="345" ht="14.25" customHeight="1">
      <c r="A345" s="497">
        <v>45511.0</v>
      </c>
      <c r="B345" s="349" t="s">
        <v>3828</v>
      </c>
      <c r="C345" s="349" t="s">
        <v>3829</v>
      </c>
      <c r="D345" s="349" t="s">
        <v>54</v>
      </c>
      <c r="E345" s="349" t="s">
        <v>3579</v>
      </c>
      <c r="F345" s="413">
        <v>7662.6</v>
      </c>
      <c r="G345" s="413">
        <v>0.0</v>
      </c>
      <c r="H345" s="349" t="s">
        <v>3852</v>
      </c>
      <c r="I345" s="736" t="str">
        <f t="shared" si="9"/>
        <v>NOT PAID</v>
      </c>
      <c r="J345" s="402"/>
      <c r="K345" s="402"/>
      <c r="L345" s="402"/>
      <c r="M345" s="402"/>
      <c r="N345" s="402"/>
      <c r="O345" s="402"/>
      <c r="P345" s="402"/>
      <c r="Q345" s="402"/>
      <c r="R345" s="402"/>
      <c r="S345" s="402"/>
      <c r="T345" s="402"/>
      <c r="U345" s="402"/>
      <c r="V345" s="402"/>
      <c r="W345" s="402"/>
      <c r="X345" s="402"/>
      <c r="Y345" s="402"/>
      <c r="Z345" s="402"/>
      <c r="AA345" s="405"/>
      <c r="AB345" s="405"/>
      <c r="AC345" s="405"/>
      <c r="AD345" s="405"/>
      <c r="AE345" s="405"/>
      <c r="AF345" s="405"/>
      <c r="AG345" s="405"/>
      <c r="AH345" s="405"/>
      <c r="AI345" s="405"/>
      <c r="AJ345" s="405"/>
      <c r="AK345" s="405"/>
      <c r="AL345" s="405"/>
    </row>
    <row r="346" ht="14.25" customHeight="1">
      <c r="A346" s="497">
        <v>45511.0</v>
      </c>
      <c r="B346" s="349" t="s">
        <v>3830</v>
      </c>
      <c r="C346" s="349" t="s">
        <v>3829</v>
      </c>
      <c r="D346" s="349" t="s">
        <v>346</v>
      </c>
      <c r="E346" s="349" t="s">
        <v>3579</v>
      </c>
      <c r="F346" s="413">
        <v>5159.9</v>
      </c>
      <c r="G346" s="413">
        <v>0.0</v>
      </c>
      <c r="H346" s="349" t="s">
        <v>3852</v>
      </c>
      <c r="I346" s="736" t="str">
        <f t="shared" si="9"/>
        <v>NOT PAID</v>
      </c>
      <c r="J346" s="402"/>
      <c r="K346" s="402"/>
      <c r="L346" s="402"/>
      <c r="M346" s="402"/>
      <c r="N346" s="402"/>
      <c r="O346" s="402"/>
      <c r="P346" s="402"/>
      <c r="Q346" s="402"/>
      <c r="R346" s="402"/>
      <c r="S346" s="402"/>
      <c r="T346" s="402"/>
      <c r="U346" s="402"/>
      <c r="V346" s="402"/>
      <c r="W346" s="402"/>
      <c r="X346" s="402"/>
      <c r="Y346" s="402"/>
      <c r="Z346" s="402"/>
      <c r="AA346" s="405"/>
      <c r="AB346" s="405"/>
      <c r="AC346" s="405"/>
      <c r="AD346" s="405"/>
      <c r="AE346" s="405"/>
      <c r="AF346" s="405"/>
      <c r="AG346" s="405"/>
      <c r="AH346" s="405"/>
      <c r="AI346" s="405"/>
      <c r="AJ346" s="405"/>
      <c r="AK346" s="405"/>
      <c r="AL346" s="405"/>
    </row>
    <row r="347" ht="14.25" customHeight="1">
      <c r="A347" s="497">
        <v>45511.0</v>
      </c>
      <c r="B347" s="349" t="s">
        <v>3831</v>
      </c>
      <c r="C347" s="349" t="s">
        <v>3832</v>
      </c>
      <c r="D347" s="349" t="s">
        <v>54</v>
      </c>
      <c r="E347" s="349" t="s">
        <v>3579</v>
      </c>
      <c r="F347" s="413">
        <v>15292.0</v>
      </c>
      <c r="G347" s="413">
        <v>2000.0</v>
      </c>
      <c r="H347" s="349" t="s">
        <v>3853</v>
      </c>
      <c r="I347" s="736" t="str">
        <f t="shared" si="9"/>
        <v>PARTIALLY PAID</v>
      </c>
      <c r="J347" s="402"/>
      <c r="K347" s="402"/>
      <c r="L347" s="402"/>
      <c r="M347" s="402"/>
      <c r="N347" s="402"/>
      <c r="O347" s="402"/>
      <c r="P347" s="402"/>
      <c r="Q347" s="402"/>
      <c r="R347" s="402"/>
      <c r="S347" s="402"/>
      <c r="T347" s="402"/>
      <c r="U347" s="402"/>
      <c r="V347" s="402"/>
      <c r="W347" s="402"/>
      <c r="X347" s="402"/>
      <c r="Y347" s="402"/>
      <c r="Z347" s="402"/>
      <c r="AA347" s="405"/>
      <c r="AB347" s="405"/>
      <c r="AC347" s="405"/>
      <c r="AD347" s="405"/>
      <c r="AE347" s="405"/>
      <c r="AF347" s="405"/>
      <c r="AG347" s="405"/>
      <c r="AH347" s="405"/>
      <c r="AI347" s="405"/>
      <c r="AJ347" s="405"/>
      <c r="AK347" s="405"/>
      <c r="AL347" s="405"/>
    </row>
    <row r="348" ht="14.25" customHeight="1">
      <c r="A348" s="497">
        <v>45511.0</v>
      </c>
      <c r="B348" s="349" t="s">
        <v>3834</v>
      </c>
      <c r="C348" s="349" t="s">
        <v>3835</v>
      </c>
      <c r="D348" s="349" t="s">
        <v>75</v>
      </c>
      <c r="E348" s="349" t="s">
        <v>3579</v>
      </c>
      <c r="F348" s="413">
        <v>124125.33</v>
      </c>
      <c r="G348" s="413">
        <v>0.0</v>
      </c>
      <c r="H348" s="349" t="s">
        <v>3854</v>
      </c>
      <c r="I348" s="736" t="str">
        <f t="shared" si="9"/>
        <v>NOT PAID</v>
      </c>
      <c r="J348" s="402"/>
      <c r="K348" s="402"/>
      <c r="L348" s="402"/>
      <c r="M348" s="402"/>
      <c r="N348" s="402"/>
      <c r="O348" s="402"/>
      <c r="P348" s="402"/>
      <c r="Q348" s="402"/>
      <c r="R348" s="402"/>
      <c r="S348" s="402"/>
      <c r="T348" s="402"/>
      <c r="U348" s="402"/>
      <c r="V348" s="402"/>
      <c r="W348" s="402"/>
      <c r="X348" s="402"/>
      <c r="Y348" s="402"/>
      <c r="Z348" s="402"/>
      <c r="AA348" s="405"/>
      <c r="AB348" s="405"/>
      <c r="AC348" s="405"/>
      <c r="AD348" s="405"/>
      <c r="AE348" s="405"/>
      <c r="AF348" s="405"/>
      <c r="AG348" s="405"/>
      <c r="AH348" s="405"/>
      <c r="AI348" s="405"/>
      <c r="AJ348" s="405"/>
      <c r="AK348" s="405"/>
      <c r="AL348" s="405"/>
    </row>
    <row r="349" ht="14.25" customHeight="1">
      <c r="A349" s="497">
        <v>45511.0</v>
      </c>
      <c r="B349" s="349" t="s">
        <v>3837</v>
      </c>
      <c r="C349" s="349" t="s">
        <v>3838</v>
      </c>
      <c r="D349" s="349" t="s">
        <v>54</v>
      </c>
      <c r="E349" s="349" t="s">
        <v>3551</v>
      </c>
      <c r="F349" s="413">
        <v>14595.15</v>
      </c>
      <c r="G349" s="413">
        <v>0.0</v>
      </c>
      <c r="H349" s="402" t="str">
        <f>H345</f>
        <v>To confirm payment on 8.8.24</v>
      </c>
      <c r="I349" s="736" t="str">
        <f t="shared" si="9"/>
        <v>NOT PAID</v>
      </c>
      <c r="J349" s="402"/>
      <c r="K349" s="402"/>
      <c r="L349" s="402"/>
      <c r="M349" s="402"/>
      <c r="N349" s="402"/>
      <c r="O349" s="402"/>
      <c r="P349" s="402"/>
      <c r="Q349" s="402"/>
      <c r="R349" s="402"/>
      <c r="S349" s="402"/>
      <c r="T349" s="402"/>
      <c r="U349" s="402"/>
      <c r="V349" s="402"/>
      <c r="W349" s="402"/>
      <c r="X349" s="402"/>
      <c r="Y349" s="402"/>
      <c r="Z349" s="402"/>
      <c r="AA349" s="405"/>
      <c r="AB349" s="405"/>
      <c r="AC349" s="405"/>
      <c r="AD349" s="405"/>
      <c r="AE349" s="405"/>
      <c r="AF349" s="405"/>
      <c r="AG349" s="405"/>
      <c r="AH349" s="405"/>
      <c r="AI349" s="405"/>
      <c r="AJ349" s="405"/>
      <c r="AK349" s="405"/>
      <c r="AL349" s="405"/>
    </row>
    <row r="350" ht="14.25" customHeight="1">
      <c r="A350" s="497">
        <v>45511.0</v>
      </c>
      <c r="B350" s="349" t="s">
        <v>3744</v>
      </c>
      <c r="C350" s="349" t="s">
        <v>3745</v>
      </c>
      <c r="D350" s="349" t="s">
        <v>54</v>
      </c>
      <c r="E350" s="349" t="s">
        <v>3579</v>
      </c>
      <c r="F350" s="413">
        <v>35500.0</v>
      </c>
      <c r="G350" s="413">
        <v>0.0</v>
      </c>
      <c r="H350" s="1" t="s">
        <v>3855</v>
      </c>
      <c r="I350" s="736" t="str">
        <f t="shared" si="9"/>
        <v>NOT PAID</v>
      </c>
      <c r="J350" s="402"/>
      <c r="K350" s="402"/>
      <c r="L350" s="402"/>
      <c r="M350" s="402"/>
      <c r="N350" s="402"/>
      <c r="O350" s="402"/>
      <c r="P350" s="402"/>
      <c r="Q350" s="402"/>
      <c r="R350" s="402"/>
      <c r="S350" s="402"/>
      <c r="T350" s="402"/>
      <c r="U350" s="402"/>
      <c r="V350" s="402"/>
      <c r="W350" s="402"/>
      <c r="X350" s="402"/>
      <c r="Y350" s="402"/>
      <c r="Z350" s="402"/>
      <c r="AA350" s="405"/>
      <c r="AB350" s="405"/>
      <c r="AC350" s="405"/>
      <c r="AD350" s="405"/>
      <c r="AE350" s="405"/>
      <c r="AF350" s="405"/>
      <c r="AG350" s="405"/>
      <c r="AH350" s="405"/>
      <c r="AI350" s="405"/>
      <c r="AJ350" s="405"/>
      <c r="AK350" s="405"/>
      <c r="AL350" s="405"/>
    </row>
    <row r="351" ht="14.25" customHeight="1">
      <c r="A351" s="497">
        <v>45511.0</v>
      </c>
      <c r="B351" s="349" t="s">
        <v>3802</v>
      </c>
      <c r="C351" s="349" t="s">
        <v>3670</v>
      </c>
      <c r="D351" s="349" t="s">
        <v>54</v>
      </c>
      <c r="E351" s="349" t="s">
        <v>3579</v>
      </c>
      <c r="F351" s="413">
        <v>21450.25</v>
      </c>
      <c r="G351" s="413">
        <v>0.0</v>
      </c>
      <c r="H351" s="349" t="s">
        <v>3853</v>
      </c>
      <c r="I351" s="736" t="str">
        <f t="shared" si="9"/>
        <v>NOT PAID</v>
      </c>
      <c r="J351" s="402"/>
      <c r="K351" s="402"/>
      <c r="L351" s="402"/>
      <c r="M351" s="402"/>
      <c r="N351" s="402"/>
      <c r="O351" s="402"/>
      <c r="P351" s="402"/>
      <c r="Q351" s="402"/>
      <c r="R351" s="402"/>
      <c r="S351" s="402"/>
      <c r="T351" s="402"/>
      <c r="U351" s="402"/>
      <c r="V351" s="402"/>
      <c r="W351" s="402"/>
      <c r="X351" s="402"/>
      <c r="Y351" s="402"/>
      <c r="Z351" s="402"/>
      <c r="AA351" s="405"/>
      <c r="AB351" s="405"/>
      <c r="AC351" s="405"/>
      <c r="AD351" s="405"/>
      <c r="AE351" s="405"/>
      <c r="AF351" s="405"/>
      <c r="AG351" s="405"/>
      <c r="AH351" s="405"/>
      <c r="AI351" s="405"/>
      <c r="AJ351" s="405"/>
      <c r="AK351" s="405"/>
      <c r="AL351" s="405"/>
    </row>
    <row r="352" ht="14.25" customHeight="1">
      <c r="A352" s="497">
        <v>45511.0</v>
      </c>
      <c r="B352" s="349" t="s">
        <v>3554</v>
      </c>
      <c r="C352" s="349" t="s">
        <v>3555</v>
      </c>
      <c r="D352" s="349" t="s">
        <v>54</v>
      </c>
      <c r="E352" s="349" t="s">
        <v>3551</v>
      </c>
      <c r="F352" s="413">
        <v>120501.0</v>
      </c>
      <c r="G352" s="413">
        <v>0.0</v>
      </c>
      <c r="H352" s="349" t="s">
        <v>3853</v>
      </c>
      <c r="I352" s="736" t="str">
        <f t="shared" si="9"/>
        <v>NOT PAID</v>
      </c>
      <c r="J352" s="402"/>
      <c r="K352" s="402"/>
      <c r="L352" s="402"/>
      <c r="M352" s="402"/>
      <c r="N352" s="402"/>
      <c r="O352" s="402"/>
      <c r="P352" s="402"/>
      <c r="Q352" s="402"/>
      <c r="R352" s="402"/>
      <c r="S352" s="402"/>
      <c r="T352" s="402"/>
      <c r="U352" s="402"/>
      <c r="V352" s="402"/>
      <c r="W352" s="402"/>
      <c r="X352" s="402"/>
      <c r="Y352" s="402"/>
      <c r="Z352" s="402"/>
      <c r="AA352" s="405"/>
      <c r="AB352" s="405"/>
      <c r="AC352" s="405"/>
      <c r="AD352" s="405"/>
      <c r="AE352" s="405"/>
      <c r="AF352" s="405"/>
      <c r="AG352" s="405"/>
      <c r="AH352" s="405"/>
      <c r="AI352" s="405"/>
      <c r="AJ352" s="405"/>
      <c r="AK352" s="405"/>
      <c r="AL352" s="405"/>
    </row>
    <row r="353" ht="14.25" customHeight="1">
      <c r="A353" s="497">
        <v>45511.0</v>
      </c>
      <c r="B353" s="349" t="s">
        <v>3781</v>
      </c>
      <c r="C353" s="349" t="s">
        <v>3782</v>
      </c>
      <c r="D353" s="349" t="s">
        <v>54</v>
      </c>
      <c r="E353" s="349" t="s">
        <v>3551</v>
      </c>
      <c r="F353" s="413">
        <v>31425.65</v>
      </c>
      <c r="G353" s="413">
        <v>0.0</v>
      </c>
      <c r="H353" s="1" t="s">
        <v>3856</v>
      </c>
      <c r="I353" s="736" t="str">
        <f t="shared" si="9"/>
        <v>NOT PAID</v>
      </c>
      <c r="J353" s="402"/>
      <c r="K353" s="402"/>
      <c r="L353" s="402"/>
      <c r="M353" s="402"/>
      <c r="N353" s="402"/>
      <c r="O353" s="402"/>
      <c r="P353" s="402"/>
      <c r="Q353" s="402"/>
      <c r="R353" s="402"/>
      <c r="S353" s="402"/>
      <c r="T353" s="402"/>
      <c r="U353" s="402"/>
      <c r="V353" s="402"/>
      <c r="W353" s="402"/>
      <c r="X353" s="402"/>
      <c r="Y353" s="402"/>
      <c r="Z353" s="402"/>
      <c r="AA353" s="405"/>
      <c r="AB353" s="405"/>
      <c r="AC353" s="405"/>
      <c r="AD353" s="405"/>
      <c r="AE353" s="405"/>
      <c r="AF353" s="405"/>
      <c r="AG353" s="405"/>
      <c r="AH353" s="405"/>
      <c r="AI353" s="405"/>
      <c r="AJ353" s="405"/>
      <c r="AK353" s="405"/>
      <c r="AL353" s="405"/>
    </row>
    <row r="354" ht="14.25" customHeight="1">
      <c r="A354" s="497">
        <v>45511.0</v>
      </c>
      <c r="B354" s="349" t="s">
        <v>3789</v>
      </c>
      <c r="C354" s="349" t="s">
        <v>3790</v>
      </c>
      <c r="D354" s="349" t="s">
        <v>54</v>
      </c>
      <c r="E354" s="349" t="s">
        <v>3551</v>
      </c>
      <c r="F354" s="413">
        <v>5588.0</v>
      </c>
      <c r="G354" s="413">
        <v>0.0</v>
      </c>
      <c r="H354" s="349" t="s">
        <v>3853</v>
      </c>
      <c r="I354" s="736" t="str">
        <f t="shared" si="9"/>
        <v>NOT PAID</v>
      </c>
      <c r="J354" s="402"/>
      <c r="K354" s="402"/>
      <c r="L354" s="402"/>
      <c r="M354" s="402"/>
      <c r="N354" s="402"/>
      <c r="O354" s="402"/>
      <c r="P354" s="402"/>
      <c r="Q354" s="402"/>
      <c r="R354" s="402"/>
      <c r="S354" s="402"/>
      <c r="T354" s="402"/>
      <c r="U354" s="402"/>
      <c r="V354" s="402"/>
      <c r="W354" s="402"/>
      <c r="X354" s="402"/>
      <c r="Y354" s="402"/>
      <c r="Z354" s="402"/>
      <c r="AA354" s="405"/>
      <c r="AB354" s="405"/>
      <c r="AC354" s="405"/>
      <c r="AD354" s="405"/>
      <c r="AE354" s="405"/>
      <c r="AF354" s="405"/>
      <c r="AG354" s="405"/>
      <c r="AH354" s="405"/>
      <c r="AI354" s="405"/>
      <c r="AJ354" s="405"/>
      <c r="AK354" s="405"/>
      <c r="AL354" s="405"/>
    </row>
    <row r="355" ht="14.25" customHeight="1">
      <c r="A355" s="497">
        <v>45511.0</v>
      </c>
      <c r="B355" s="349" t="s">
        <v>3563</v>
      </c>
      <c r="C355" s="349" t="s">
        <v>3564</v>
      </c>
      <c r="D355" s="349" t="s">
        <v>54</v>
      </c>
      <c r="E355" s="349" t="s">
        <v>3551</v>
      </c>
      <c r="F355" s="751">
        <v>42295.0</v>
      </c>
      <c r="G355" s="413">
        <v>0.0</v>
      </c>
      <c r="H355" s="1" t="s">
        <v>3857</v>
      </c>
      <c r="I355" s="736" t="str">
        <f t="shared" si="9"/>
        <v>NOT PAID</v>
      </c>
      <c r="J355" s="402"/>
      <c r="K355" s="402"/>
      <c r="L355" s="402"/>
      <c r="M355" s="402"/>
      <c r="N355" s="402"/>
      <c r="O355" s="402"/>
      <c r="P355" s="402"/>
      <c r="Q355" s="402"/>
      <c r="R355" s="402"/>
      <c r="S355" s="402"/>
      <c r="T355" s="402"/>
      <c r="U355" s="402"/>
      <c r="V355" s="402"/>
      <c r="W355" s="402"/>
      <c r="X355" s="402"/>
      <c r="Y355" s="402"/>
      <c r="Z355" s="402"/>
      <c r="AA355" s="405"/>
      <c r="AB355" s="405"/>
      <c r="AC355" s="405"/>
      <c r="AD355" s="405"/>
      <c r="AE355" s="405"/>
      <c r="AF355" s="405"/>
      <c r="AG355" s="405"/>
      <c r="AH355" s="405"/>
      <c r="AI355" s="405"/>
      <c r="AJ355" s="405"/>
      <c r="AK355" s="405"/>
      <c r="AL355" s="405"/>
    </row>
    <row r="356" ht="14.25" customHeight="1">
      <c r="A356" s="497">
        <v>45511.0</v>
      </c>
      <c r="B356" s="349" t="s">
        <v>3811</v>
      </c>
      <c r="C356" s="349" t="s">
        <v>3812</v>
      </c>
      <c r="D356" s="402" t="str">
        <f>D352</f>
        <v>Logbook</v>
      </c>
      <c r="E356" s="402" t="str">
        <f>E337</f>
        <v>Maxwell Odhiambo</v>
      </c>
      <c r="F356" s="751">
        <v>250000.0</v>
      </c>
      <c r="G356" s="413">
        <v>250000.0</v>
      </c>
      <c r="H356" s="349" t="s">
        <v>3858</v>
      </c>
      <c r="I356" s="736" t="str">
        <f t="shared" si="9"/>
        <v>FULLY PAID</v>
      </c>
      <c r="J356" s="402"/>
      <c r="K356" s="402"/>
      <c r="L356" s="402"/>
      <c r="M356" s="402"/>
      <c r="N356" s="402"/>
      <c r="O356" s="402"/>
      <c r="P356" s="402"/>
      <c r="Q356" s="402"/>
      <c r="R356" s="402"/>
      <c r="S356" s="402"/>
      <c r="T356" s="402"/>
      <c r="U356" s="402"/>
      <c r="V356" s="402"/>
      <c r="W356" s="402"/>
      <c r="X356" s="402"/>
      <c r="Y356" s="402"/>
      <c r="Z356" s="402"/>
      <c r="AA356" s="405"/>
      <c r="AB356" s="405"/>
      <c r="AC356" s="405"/>
      <c r="AD356" s="405"/>
      <c r="AE356" s="405"/>
      <c r="AF356" s="405"/>
      <c r="AG356" s="405"/>
      <c r="AH356" s="405"/>
      <c r="AI356" s="405"/>
      <c r="AJ356" s="405"/>
      <c r="AK356" s="405"/>
      <c r="AL356" s="405"/>
    </row>
    <row r="357" ht="14.25" customHeight="1">
      <c r="A357" s="497"/>
      <c r="B357" s="349"/>
      <c r="C357" s="349"/>
      <c r="D357" s="402"/>
      <c r="E357" s="402"/>
      <c r="F357" s="413"/>
      <c r="G357" s="413">
        <v>0.0</v>
      </c>
      <c r="H357" s="349"/>
      <c r="I357" s="736" t="str">
        <f t="shared" si="9"/>
        <v>FULLY PAID</v>
      </c>
      <c r="J357" s="402"/>
      <c r="K357" s="402"/>
      <c r="L357" s="402"/>
      <c r="M357" s="402"/>
      <c r="N357" s="402"/>
      <c r="O357" s="402"/>
      <c r="P357" s="402"/>
      <c r="Q357" s="402"/>
      <c r="R357" s="402"/>
      <c r="S357" s="402"/>
      <c r="T357" s="402"/>
      <c r="U357" s="402"/>
      <c r="V357" s="402"/>
      <c r="W357" s="402"/>
      <c r="X357" s="402"/>
      <c r="Y357" s="402"/>
      <c r="Z357" s="402"/>
      <c r="AA357" s="405"/>
      <c r="AB357" s="405"/>
      <c r="AC357" s="405"/>
      <c r="AD357" s="405"/>
      <c r="AE357" s="405"/>
      <c r="AF357" s="405"/>
      <c r="AG357" s="405"/>
      <c r="AH357" s="405"/>
      <c r="AI357" s="405"/>
      <c r="AJ357" s="405"/>
      <c r="AK357" s="405"/>
      <c r="AL357" s="405"/>
    </row>
    <row r="358" ht="14.25" customHeight="1">
      <c r="A358" s="497"/>
      <c r="B358" s="402"/>
      <c r="C358" s="424" t="s">
        <v>107</v>
      </c>
      <c r="D358" s="402"/>
      <c r="E358" s="402"/>
      <c r="F358" s="402"/>
      <c r="G358" s="413">
        <v>0.0</v>
      </c>
      <c r="H358" s="349"/>
      <c r="I358" s="736" t="str">
        <f t="shared" si="9"/>
        <v>FULLY PAID</v>
      </c>
      <c r="J358" s="402"/>
      <c r="K358" s="402"/>
      <c r="L358" s="402"/>
      <c r="M358" s="402"/>
      <c r="N358" s="402"/>
      <c r="O358" s="402"/>
      <c r="P358" s="402"/>
      <c r="Q358" s="402"/>
      <c r="R358" s="402"/>
      <c r="S358" s="402"/>
      <c r="T358" s="402"/>
      <c r="U358" s="402"/>
      <c r="V358" s="402"/>
      <c r="W358" s="402"/>
      <c r="X358" s="402"/>
      <c r="Y358" s="402"/>
      <c r="Z358" s="402"/>
      <c r="AA358" s="405"/>
      <c r="AB358" s="405"/>
      <c r="AC358" s="405"/>
      <c r="AD358" s="405"/>
      <c r="AE358" s="405"/>
      <c r="AF358" s="405"/>
      <c r="AG358" s="405"/>
      <c r="AH358" s="405"/>
      <c r="AI358" s="405"/>
      <c r="AJ358" s="405"/>
      <c r="AK358" s="405"/>
      <c r="AL358" s="405"/>
    </row>
    <row r="359" ht="14.25" customHeight="1">
      <c r="A359" s="497">
        <v>45511.0</v>
      </c>
      <c r="B359" s="349" t="s">
        <v>3608</v>
      </c>
      <c r="C359" s="349" t="s">
        <v>3705</v>
      </c>
      <c r="D359" s="349" t="s">
        <v>54</v>
      </c>
      <c r="E359" s="349" t="s">
        <v>3579</v>
      </c>
      <c r="F359" s="413">
        <v>64847.0</v>
      </c>
      <c r="G359" s="413">
        <v>0.0</v>
      </c>
      <c r="H359" s="1" t="s">
        <v>3859</v>
      </c>
      <c r="I359" s="736" t="str">
        <f t="shared" si="9"/>
        <v>NOT PAID</v>
      </c>
      <c r="J359" s="402"/>
      <c r="K359" s="402"/>
      <c r="L359" s="402"/>
      <c r="M359" s="402"/>
      <c r="N359" s="402"/>
      <c r="O359" s="402"/>
      <c r="P359" s="402"/>
      <c r="Q359" s="402"/>
      <c r="R359" s="402"/>
      <c r="S359" s="402"/>
      <c r="T359" s="402"/>
      <c r="U359" s="402"/>
      <c r="V359" s="402"/>
      <c r="W359" s="402"/>
      <c r="X359" s="402"/>
      <c r="Y359" s="402"/>
      <c r="Z359" s="402"/>
      <c r="AA359" s="405"/>
      <c r="AB359" s="405"/>
      <c r="AC359" s="405"/>
      <c r="AD359" s="405"/>
      <c r="AE359" s="405"/>
      <c r="AF359" s="405"/>
      <c r="AG359" s="405"/>
      <c r="AH359" s="405"/>
      <c r="AI359" s="405"/>
      <c r="AJ359" s="405"/>
      <c r="AK359" s="405"/>
      <c r="AL359" s="405"/>
    </row>
    <row r="360" ht="14.25" customHeight="1">
      <c r="A360" s="497">
        <v>45511.0</v>
      </c>
      <c r="B360" s="349" t="s">
        <v>3663</v>
      </c>
      <c r="C360" s="349" t="s">
        <v>3799</v>
      </c>
      <c r="D360" s="349" t="s">
        <v>54</v>
      </c>
      <c r="E360" s="349" t="s">
        <v>3579</v>
      </c>
      <c r="F360" s="413">
        <v>117629.0</v>
      </c>
      <c r="G360" s="413">
        <v>0.0</v>
      </c>
      <c r="H360" s="1" t="s">
        <v>3860</v>
      </c>
      <c r="I360" s="736" t="str">
        <f t="shared" si="9"/>
        <v>NOT PAID</v>
      </c>
      <c r="J360" s="402"/>
      <c r="K360" s="402"/>
      <c r="L360" s="402"/>
      <c r="M360" s="402"/>
      <c r="N360" s="402"/>
      <c r="O360" s="402"/>
      <c r="P360" s="402"/>
      <c r="Q360" s="402"/>
      <c r="R360" s="402"/>
      <c r="S360" s="402"/>
      <c r="T360" s="402"/>
      <c r="U360" s="402"/>
      <c r="V360" s="402"/>
      <c r="W360" s="402"/>
      <c r="X360" s="402"/>
      <c r="Y360" s="402"/>
      <c r="Z360" s="402"/>
      <c r="AA360" s="405"/>
      <c r="AB360" s="405"/>
      <c r="AC360" s="405"/>
      <c r="AD360" s="405"/>
      <c r="AE360" s="405"/>
      <c r="AF360" s="405"/>
      <c r="AG360" s="405"/>
      <c r="AH360" s="405"/>
      <c r="AI360" s="405"/>
      <c r="AJ360" s="405"/>
      <c r="AK360" s="405"/>
      <c r="AL360" s="405"/>
    </row>
    <row r="361" ht="14.25" customHeight="1">
      <c r="A361" s="497"/>
      <c r="B361" s="402"/>
      <c r="C361" s="402"/>
      <c r="D361" s="402"/>
      <c r="E361" s="402"/>
      <c r="F361" s="402"/>
      <c r="G361" s="403"/>
      <c r="H361" s="402"/>
      <c r="I361" s="736" t="str">
        <f t="shared" si="9"/>
        <v>FULLY PAID</v>
      </c>
      <c r="J361" s="402"/>
      <c r="K361" s="402"/>
      <c r="L361" s="402"/>
      <c r="M361" s="402"/>
      <c r="N361" s="402"/>
      <c r="O361" s="402"/>
      <c r="P361" s="402"/>
      <c r="Q361" s="402"/>
      <c r="R361" s="402"/>
      <c r="S361" s="402"/>
      <c r="T361" s="402"/>
      <c r="U361" s="402"/>
      <c r="V361" s="402"/>
      <c r="W361" s="402"/>
      <c r="X361" s="402"/>
      <c r="Y361" s="402"/>
      <c r="Z361" s="402"/>
      <c r="AA361" s="405"/>
      <c r="AB361" s="405"/>
      <c r="AC361" s="405"/>
      <c r="AD361" s="405"/>
      <c r="AE361" s="405"/>
      <c r="AF361" s="405"/>
      <c r="AG361" s="405"/>
      <c r="AH361" s="405"/>
      <c r="AI361" s="405"/>
      <c r="AJ361" s="405"/>
      <c r="AK361" s="405"/>
      <c r="AL361" s="405"/>
    </row>
    <row r="362" ht="14.25" customHeight="1">
      <c r="A362" s="497"/>
      <c r="B362" s="402"/>
      <c r="C362" s="402"/>
      <c r="D362" s="402"/>
      <c r="E362" s="402"/>
      <c r="F362" s="586">
        <f t="shared" ref="F362:G362" si="13">SUM(F336:F360)</f>
        <v>1482083.67</v>
      </c>
      <c r="G362" s="586">
        <f t="shared" si="13"/>
        <v>718906</v>
      </c>
      <c r="H362" s="402"/>
      <c r="I362" s="736" t="str">
        <f t="shared" si="9"/>
        <v>PARTIALLY PAID</v>
      </c>
      <c r="J362" s="402"/>
      <c r="K362" s="402"/>
      <c r="L362" s="402"/>
      <c r="M362" s="402"/>
      <c r="N362" s="402"/>
      <c r="O362" s="402"/>
      <c r="P362" s="402"/>
      <c r="Q362" s="402"/>
      <c r="R362" s="402"/>
      <c r="S362" s="402"/>
      <c r="T362" s="402"/>
      <c r="U362" s="402"/>
      <c r="V362" s="402"/>
      <c r="W362" s="402"/>
      <c r="X362" s="402"/>
      <c r="Y362" s="402"/>
      <c r="Z362" s="402"/>
      <c r="AA362" s="405"/>
      <c r="AB362" s="405"/>
      <c r="AC362" s="405"/>
      <c r="AD362" s="405"/>
      <c r="AE362" s="405"/>
      <c r="AF362" s="405"/>
      <c r="AG362" s="405"/>
      <c r="AH362" s="405"/>
      <c r="AI362" s="405"/>
      <c r="AJ362" s="405"/>
      <c r="AK362" s="405"/>
      <c r="AL362" s="405"/>
    </row>
    <row r="363" ht="14.25" customHeight="1">
      <c r="A363" s="497"/>
      <c r="B363" s="349"/>
      <c r="C363" s="349"/>
      <c r="D363" s="349"/>
      <c r="E363" s="402"/>
      <c r="F363" s="787"/>
      <c r="G363" s="787"/>
      <c r="H363" s="402"/>
      <c r="I363" s="736"/>
      <c r="J363" s="402"/>
      <c r="K363" s="402"/>
      <c r="L363" s="402"/>
      <c r="M363" s="402"/>
      <c r="N363" s="402"/>
      <c r="O363" s="402"/>
      <c r="P363" s="402"/>
      <c r="Q363" s="402"/>
      <c r="R363" s="402"/>
      <c r="S363" s="402"/>
      <c r="T363" s="402"/>
      <c r="U363" s="402"/>
      <c r="V363" s="402"/>
      <c r="W363" s="402"/>
      <c r="X363" s="402"/>
      <c r="Y363" s="402"/>
      <c r="Z363" s="402"/>
      <c r="AA363" s="405"/>
      <c r="AB363" s="405"/>
      <c r="AC363" s="405"/>
      <c r="AD363" s="405"/>
      <c r="AE363" s="405"/>
      <c r="AF363" s="405"/>
      <c r="AG363" s="405"/>
      <c r="AH363" s="405"/>
      <c r="AI363" s="405"/>
      <c r="AJ363" s="405"/>
      <c r="AK363" s="405"/>
      <c r="AL363" s="405"/>
    </row>
    <row r="364" ht="14.25" customHeight="1">
      <c r="A364" s="497"/>
      <c r="B364" s="349"/>
      <c r="C364" s="349"/>
      <c r="D364" s="349"/>
      <c r="E364" s="402"/>
      <c r="F364" s="787"/>
      <c r="G364" s="787"/>
      <c r="H364" s="402"/>
      <c r="I364" s="736"/>
      <c r="J364" s="402"/>
      <c r="K364" s="402"/>
      <c r="L364" s="402"/>
      <c r="M364" s="402"/>
      <c r="N364" s="402"/>
      <c r="O364" s="402"/>
      <c r="P364" s="402"/>
      <c r="Q364" s="402"/>
      <c r="R364" s="402"/>
      <c r="S364" s="402"/>
      <c r="T364" s="402"/>
      <c r="U364" s="402"/>
      <c r="V364" s="402"/>
      <c r="W364" s="402"/>
      <c r="X364" s="402"/>
      <c r="Y364" s="402"/>
      <c r="Z364" s="402"/>
      <c r="AA364" s="405"/>
      <c r="AB364" s="405"/>
      <c r="AC364" s="405"/>
      <c r="AD364" s="405"/>
      <c r="AE364" s="405"/>
      <c r="AF364" s="405"/>
      <c r="AG364" s="405"/>
      <c r="AH364" s="405"/>
      <c r="AI364" s="405"/>
      <c r="AJ364" s="405"/>
      <c r="AK364" s="405"/>
      <c r="AL364" s="405"/>
    </row>
    <row r="365" ht="14.25" customHeight="1">
      <c r="A365" s="584" t="s">
        <v>2130</v>
      </c>
      <c r="B365" s="584" t="s">
        <v>39</v>
      </c>
      <c r="C365" s="584" t="s">
        <v>48</v>
      </c>
      <c r="D365" s="584" t="s">
        <v>49</v>
      </c>
      <c r="E365" s="584" t="s">
        <v>50</v>
      </c>
      <c r="F365" s="584" t="s">
        <v>2</v>
      </c>
      <c r="G365" s="586" t="s">
        <v>44</v>
      </c>
      <c r="H365" s="424" t="s">
        <v>45</v>
      </c>
      <c r="I365" s="736"/>
      <c r="J365" s="402"/>
      <c r="K365" s="402"/>
      <c r="L365" s="402"/>
      <c r="M365" s="402"/>
      <c r="N365" s="402"/>
      <c r="O365" s="402"/>
      <c r="P365" s="402"/>
      <c r="Q365" s="402"/>
      <c r="R365" s="402"/>
      <c r="S365" s="402"/>
      <c r="T365" s="402"/>
      <c r="U365" s="402"/>
      <c r="V365" s="402"/>
      <c r="W365" s="402"/>
      <c r="X365" s="402"/>
      <c r="Y365" s="402"/>
      <c r="Z365" s="402"/>
      <c r="AA365" s="405"/>
      <c r="AB365" s="405"/>
      <c r="AC365" s="405"/>
      <c r="AD365" s="405"/>
      <c r="AE365" s="405"/>
      <c r="AF365" s="405"/>
      <c r="AG365" s="405"/>
      <c r="AH365" s="405"/>
      <c r="AI365" s="405"/>
      <c r="AJ365" s="405"/>
      <c r="AK365" s="405"/>
      <c r="AL365" s="405"/>
    </row>
    <row r="366" ht="14.25" customHeight="1">
      <c r="A366" s="497">
        <v>45512.0</v>
      </c>
      <c r="B366" s="349" t="s">
        <v>3571</v>
      </c>
      <c r="C366" s="349" t="s">
        <v>3572</v>
      </c>
      <c r="D366" s="349" t="s">
        <v>54</v>
      </c>
      <c r="E366" s="349" t="s">
        <v>3551</v>
      </c>
      <c r="F366" s="413">
        <v>66514.77</v>
      </c>
      <c r="G366" s="787">
        <v>0.0</v>
      </c>
      <c r="H366" s="349" t="s">
        <v>3861</v>
      </c>
      <c r="I366" s="736" t="str">
        <f t="shared" ref="I366:I389" si="14">IF(G366&gt;=F366,"FULLY PAID",IF(G366=0,"NOT PAID","PARTIALLY PAID"))</f>
        <v>NOT PAID</v>
      </c>
      <c r="J366" s="402"/>
      <c r="K366" s="402"/>
      <c r="L366" s="402"/>
      <c r="M366" s="402"/>
      <c r="N366" s="402"/>
      <c r="O366" s="402"/>
      <c r="P366" s="402"/>
      <c r="Q366" s="402"/>
      <c r="R366" s="402"/>
      <c r="S366" s="402"/>
      <c r="T366" s="402"/>
      <c r="U366" s="402"/>
      <c r="V366" s="402"/>
      <c r="W366" s="402"/>
      <c r="X366" s="402"/>
      <c r="Y366" s="402"/>
      <c r="Z366" s="402"/>
      <c r="AA366" s="405"/>
      <c r="AB366" s="405"/>
      <c r="AC366" s="405"/>
      <c r="AD366" s="405"/>
      <c r="AE366" s="405"/>
      <c r="AF366" s="405"/>
      <c r="AG366" s="405"/>
      <c r="AH366" s="405"/>
      <c r="AI366" s="405"/>
      <c r="AJ366" s="405"/>
      <c r="AK366" s="405"/>
      <c r="AL366" s="405"/>
    </row>
    <row r="367" ht="14.25" customHeight="1">
      <c r="A367" s="497">
        <v>45512.0</v>
      </c>
      <c r="B367" s="349" t="s">
        <v>3862</v>
      </c>
      <c r="C367" s="349" t="s">
        <v>3863</v>
      </c>
      <c r="D367" s="349" t="s">
        <v>54</v>
      </c>
      <c r="E367" s="349" t="s">
        <v>3551</v>
      </c>
      <c r="F367" s="413">
        <v>107341.0</v>
      </c>
      <c r="G367" s="787">
        <v>107350.0</v>
      </c>
      <c r="H367" s="349" t="s">
        <v>710</v>
      </c>
      <c r="I367" s="736" t="str">
        <f t="shared" si="14"/>
        <v>FULLY PAID</v>
      </c>
      <c r="J367" s="402"/>
      <c r="K367" s="402"/>
      <c r="L367" s="402"/>
      <c r="M367" s="402"/>
      <c r="N367" s="402"/>
      <c r="O367" s="402"/>
      <c r="P367" s="402"/>
      <c r="Q367" s="402"/>
      <c r="R367" s="402"/>
      <c r="S367" s="402"/>
      <c r="T367" s="402"/>
      <c r="U367" s="402"/>
      <c r="V367" s="402"/>
      <c r="W367" s="402"/>
      <c r="X367" s="402"/>
      <c r="Y367" s="402"/>
      <c r="Z367" s="402"/>
      <c r="AA367" s="405"/>
      <c r="AB367" s="405"/>
      <c r="AC367" s="405"/>
      <c r="AD367" s="405"/>
      <c r="AE367" s="405"/>
      <c r="AF367" s="405"/>
      <c r="AG367" s="405"/>
      <c r="AH367" s="405"/>
      <c r="AI367" s="405"/>
      <c r="AJ367" s="405"/>
      <c r="AK367" s="405"/>
      <c r="AL367" s="405"/>
    </row>
    <row r="368" ht="14.25" customHeight="1">
      <c r="A368" s="497">
        <v>45512.0</v>
      </c>
      <c r="B368" s="349" t="s">
        <v>3595</v>
      </c>
      <c r="C368" s="349" t="s">
        <v>3864</v>
      </c>
      <c r="D368" s="349" t="s">
        <v>54</v>
      </c>
      <c r="E368" s="349" t="s">
        <v>3551</v>
      </c>
      <c r="F368" s="413">
        <v>33791.36</v>
      </c>
      <c r="G368" s="787">
        <v>0.0</v>
      </c>
      <c r="H368" s="349" t="s">
        <v>2184</v>
      </c>
      <c r="I368" s="736" t="str">
        <f t="shared" si="14"/>
        <v>NOT PAID</v>
      </c>
      <c r="J368" s="402"/>
      <c r="K368" s="402"/>
      <c r="L368" s="402"/>
      <c r="M368" s="402"/>
      <c r="N368" s="402"/>
      <c r="O368" s="402"/>
      <c r="P368" s="402"/>
      <c r="Q368" s="402"/>
      <c r="R368" s="402"/>
      <c r="S368" s="402"/>
      <c r="T368" s="402"/>
      <c r="U368" s="402"/>
      <c r="V368" s="402"/>
      <c r="W368" s="402"/>
      <c r="X368" s="402"/>
      <c r="Y368" s="402"/>
      <c r="Z368" s="402"/>
      <c r="AA368" s="405"/>
      <c r="AB368" s="405"/>
      <c r="AC368" s="405"/>
      <c r="AD368" s="405"/>
      <c r="AE368" s="405"/>
      <c r="AF368" s="405"/>
      <c r="AG368" s="405"/>
      <c r="AH368" s="405"/>
      <c r="AI368" s="405"/>
      <c r="AJ368" s="405"/>
      <c r="AK368" s="405"/>
      <c r="AL368" s="405"/>
    </row>
    <row r="369" ht="14.25" customHeight="1">
      <c r="A369" s="497">
        <v>45512.0</v>
      </c>
      <c r="B369" s="349" t="s">
        <v>3865</v>
      </c>
      <c r="C369" s="349" t="s">
        <v>3866</v>
      </c>
      <c r="D369" s="349" t="s">
        <v>54</v>
      </c>
      <c r="E369" s="349" t="s">
        <v>3579</v>
      </c>
      <c r="F369" s="413">
        <v>40840.17</v>
      </c>
      <c r="G369" s="787">
        <v>48000.0</v>
      </c>
      <c r="H369" s="349" t="s">
        <v>710</v>
      </c>
      <c r="I369" s="736" t="str">
        <f t="shared" si="14"/>
        <v>FULLY PAID</v>
      </c>
      <c r="J369" s="402"/>
      <c r="K369" s="402"/>
      <c r="L369" s="402"/>
      <c r="M369" s="402"/>
      <c r="N369" s="402"/>
      <c r="O369" s="402"/>
      <c r="P369" s="402"/>
      <c r="Q369" s="402"/>
      <c r="R369" s="402"/>
      <c r="S369" s="402"/>
      <c r="T369" s="402"/>
      <c r="U369" s="402"/>
      <c r="V369" s="402"/>
      <c r="W369" s="402"/>
      <c r="X369" s="402"/>
      <c r="Y369" s="402"/>
      <c r="Z369" s="402"/>
      <c r="AA369" s="405"/>
      <c r="AB369" s="405"/>
      <c r="AC369" s="405"/>
      <c r="AD369" s="405"/>
      <c r="AE369" s="405"/>
      <c r="AF369" s="405"/>
      <c r="AG369" s="405"/>
      <c r="AH369" s="405"/>
      <c r="AI369" s="405"/>
      <c r="AJ369" s="405"/>
      <c r="AK369" s="405"/>
      <c r="AL369" s="405"/>
    </row>
    <row r="370" ht="14.25" customHeight="1">
      <c r="A370" s="497">
        <v>45512.0</v>
      </c>
      <c r="B370" s="349" t="s">
        <v>3867</v>
      </c>
      <c r="C370" s="349" t="s">
        <v>3868</v>
      </c>
      <c r="D370" s="349" t="s">
        <v>54</v>
      </c>
      <c r="E370" s="349" t="s">
        <v>3551</v>
      </c>
      <c r="F370" s="413">
        <v>21326.45</v>
      </c>
      <c r="G370" s="787">
        <v>0.0</v>
      </c>
      <c r="H370" s="349" t="s">
        <v>2184</v>
      </c>
      <c r="I370" s="736" t="str">
        <f t="shared" si="14"/>
        <v>NOT PAID</v>
      </c>
      <c r="J370" s="402"/>
      <c r="K370" s="402"/>
      <c r="L370" s="402"/>
      <c r="M370" s="402"/>
      <c r="N370" s="402"/>
      <c r="O370" s="402"/>
      <c r="P370" s="402"/>
      <c r="Q370" s="402"/>
      <c r="R370" s="402"/>
      <c r="S370" s="402"/>
      <c r="T370" s="402"/>
      <c r="U370" s="402"/>
      <c r="V370" s="402"/>
      <c r="W370" s="402"/>
      <c r="X370" s="402"/>
      <c r="Y370" s="402"/>
      <c r="Z370" s="402"/>
      <c r="AA370" s="405"/>
      <c r="AB370" s="405"/>
      <c r="AC370" s="405"/>
      <c r="AD370" s="405"/>
      <c r="AE370" s="405"/>
      <c r="AF370" s="405"/>
      <c r="AG370" s="405"/>
      <c r="AH370" s="405"/>
      <c r="AI370" s="405"/>
      <c r="AJ370" s="405"/>
      <c r="AK370" s="405"/>
      <c r="AL370" s="405"/>
    </row>
    <row r="371" ht="14.25" customHeight="1">
      <c r="A371" s="497">
        <v>45512.0</v>
      </c>
      <c r="B371" s="349" t="s">
        <v>3625</v>
      </c>
      <c r="C371" s="349" t="s">
        <v>3869</v>
      </c>
      <c r="D371" s="349" t="s">
        <v>54</v>
      </c>
      <c r="E371" s="349" t="s">
        <v>3579</v>
      </c>
      <c r="F371" s="413">
        <v>10977.45</v>
      </c>
      <c r="G371" s="787">
        <v>0.0</v>
      </c>
      <c r="H371" s="349" t="s">
        <v>2184</v>
      </c>
      <c r="I371" s="736" t="str">
        <f t="shared" si="14"/>
        <v>NOT PAID</v>
      </c>
      <c r="J371" s="402"/>
      <c r="K371" s="402"/>
      <c r="L371" s="402"/>
      <c r="M371" s="402"/>
      <c r="N371" s="402"/>
      <c r="O371" s="402"/>
      <c r="P371" s="402"/>
      <c r="Q371" s="402"/>
      <c r="R371" s="402"/>
      <c r="S371" s="402"/>
      <c r="T371" s="402"/>
      <c r="U371" s="402"/>
      <c r="V371" s="402"/>
      <c r="W371" s="402"/>
      <c r="X371" s="402"/>
      <c r="Y371" s="402"/>
      <c r="Z371" s="402"/>
      <c r="AA371" s="405"/>
      <c r="AB371" s="405"/>
      <c r="AC371" s="405"/>
      <c r="AD371" s="405"/>
      <c r="AE371" s="405"/>
      <c r="AF371" s="405"/>
      <c r="AG371" s="405"/>
      <c r="AH371" s="405"/>
      <c r="AI371" s="405"/>
      <c r="AJ371" s="405"/>
      <c r="AK371" s="405"/>
      <c r="AL371" s="405"/>
    </row>
    <row r="372" ht="14.25" customHeight="1">
      <c r="A372" s="497">
        <v>45512.0</v>
      </c>
      <c r="B372" s="349" t="s">
        <v>3870</v>
      </c>
      <c r="C372" s="349" t="s">
        <v>3871</v>
      </c>
      <c r="D372" s="349" t="s">
        <v>54</v>
      </c>
      <c r="E372" s="349" t="s">
        <v>3551</v>
      </c>
      <c r="F372" s="413">
        <v>104267.0</v>
      </c>
      <c r="G372" s="787">
        <v>0.0</v>
      </c>
      <c r="H372" s="349" t="s">
        <v>2184</v>
      </c>
      <c r="I372" s="736" t="str">
        <f t="shared" si="14"/>
        <v>NOT PAID</v>
      </c>
      <c r="J372" s="402"/>
      <c r="K372" s="402"/>
      <c r="L372" s="402"/>
      <c r="M372" s="402"/>
      <c r="N372" s="402"/>
      <c r="O372" s="402"/>
      <c r="P372" s="402"/>
      <c r="Q372" s="402"/>
      <c r="R372" s="402"/>
      <c r="S372" s="402"/>
      <c r="T372" s="402"/>
      <c r="U372" s="402"/>
      <c r="V372" s="402"/>
      <c r="W372" s="402"/>
      <c r="X372" s="402"/>
      <c r="Y372" s="402"/>
      <c r="Z372" s="402"/>
      <c r="AA372" s="405"/>
      <c r="AB372" s="405"/>
      <c r="AC372" s="405"/>
      <c r="AD372" s="405"/>
      <c r="AE372" s="405"/>
      <c r="AF372" s="405"/>
      <c r="AG372" s="405"/>
      <c r="AH372" s="405"/>
      <c r="AI372" s="405"/>
      <c r="AJ372" s="405"/>
      <c r="AK372" s="405"/>
      <c r="AL372" s="405"/>
    </row>
    <row r="373" ht="14.25" customHeight="1">
      <c r="A373" s="497">
        <v>45512.0</v>
      </c>
      <c r="B373" s="349" t="s">
        <v>3872</v>
      </c>
      <c r="C373" s="349" t="s">
        <v>3873</v>
      </c>
      <c r="D373" s="349" t="s">
        <v>54</v>
      </c>
      <c r="E373" s="349" t="s">
        <v>3579</v>
      </c>
      <c r="F373" s="413">
        <v>143000.0</v>
      </c>
      <c r="G373" s="787">
        <v>143000.0</v>
      </c>
      <c r="H373" s="349" t="s">
        <v>710</v>
      </c>
      <c r="I373" s="736" t="str">
        <f t="shared" si="14"/>
        <v>FULLY PAID</v>
      </c>
      <c r="J373" s="402"/>
      <c r="K373" s="402"/>
      <c r="L373" s="402"/>
      <c r="M373" s="402"/>
      <c r="N373" s="402"/>
      <c r="O373" s="402"/>
      <c r="P373" s="402"/>
      <c r="Q373" s="402"/>
      <c r="R373" s="402"/>
      <c r="S373" s="402"/>
      <c r="T373" s="402"/>
      <c r="U373" s="402"/>
      <c r="V373" s="402"/>
      <c r="W373" s="402"/>
      <c r="X373" s="402"/>
      <c r="Y373" s="402"/>
      <c r="Z373" s="402"/>
      <c r="AA373" s="405"/>
      <c r="AB373" s="405"/>
      <c r="AC373" s="405"/>
      <c r="AD373" s="405"/>
      <c r="AE373" s="405"/>
      <c r="AF373" s="405"/>
      <c r="AG373" s="405"/>
      <c r="AH373" s="405"/>
      <c r="AI373" s="405"/>
      <c r="AJ373" s="405"/>
      <c r="AK373" s="405"/>
      <c r="AL373" s="405"/>
    </row>
    <row r="374" ht="14.25" customHeight="1">
      <c r="A374" s="497">
        <v>45512.0</v>
      </c>
      <c r="B374" s="349" t="s">
        <v>3874</v>
      </c>
      <c r="C374" s="349" t="s">
        <v>3615</v>
      </c>
      <c r="D374" s="349" t="s">
        <v>54</v>
      </c>
      <c r="E374" s="349" t="s">
        <v>3551</v>
      </c>
      <c r="F374" s="413">
        <v>110000.0</v>
      </c>
      <c r="G374" s="787">
        <v>110000.0</v>
      </c>
      <c r="H374" s="349" t="s">
        <v>710</v>
      </c>
      <c r="I374" s="736" t="str">
        <f t="shared" si="14"/>
        <v>FULLY PAID</v>
      </c>
      <c r="J374" s="402"/>
      <c r="K374" s="402"/>
      <c r="L374" s="402"/>
      <c r="M374" s="402"/>
      <c r="N374" s="402"/>
      <c r="O374" s="402"/>
      <c r="P374" s="402"/>
      <c r="Q374" s="402"/>
      <c r="R374" s="402"/>
      <c r="S374" s="402"/>
      <c r="T374" s="402"/>
      <c r="U374" s="402"/>
      <c r="V374" s="402"/>
      <c r="W374" s="402"/>
      <c r="X374" s="402"/>
      <c r="Y374" s="402"/>
      <c r="Z374" s="402"/>
      <c r="AA374" s="405"/>
      <c r="AB374" s="405"/>
      <c r="AC374" s="405"/>
      <c r="AD374" s="405"/>
      <c r="AE374" s="405"/>
      <c r="AF374" s="405"/>
      <c r="AG374" s="405"/>
      <c r="AH374" s="405"/>
      <c r="AI374" s="405"/>
      <c r="AJ374" s="405"/>
      <c r="AK374" s="405"/>
      <c r="AL374" s="405"/>
    </row>
    <row r="375" ht="14.25" customHeight="1">
      <c r="A375" s="497">
        <v>45512.0</v>
      </c>
      <c r="B375" s="349" t="s">
        <v>3802</v>
      </c>
      <c r="C375" s="349" t="s">
        <v>3670</v>
      </c>
      <c r="D375" s="349" t="s">
        <v>54</v>
      </c>
      <c r="E375" s="349" t="s">
        <v>3579</v>
      </c>
      <c r="F375" s="413">
        <v>21450.25</v>
      </c>
      <c r="G375" s="787">
        <v>0.0</v>
      </c>
      <c r="H375" s="349" t="s">
        <v>3861</v>
      </c>
      <c r="I375" s="736" t="str">
        <f t="shared" si="14"/>
        <v>NOT PAID</v>
      </c>
      <c r="J375" s="402"/>
      <c r="K375" s="402"/>
      <c r="L375" s="402"/>
      <c r="M375" s="402"/>
      <c r="N375" s="402"/>
      <c r="O375" s="402"/>
      <c r="P375" s="402"/>
      <c r="Q375" s="402"/>
      <c r="R375" s="402"/>
      <c r="S375" s="402"/>
      <c r="T375" s="402"/>
      <c r="U375" s="402"/>
      <c r="V375" s="402"/>
      <c r="W375" s="402"/>
      <c r="X375" s="402"/>
      <c r="Y375" s="402"/>
      <c r="Z375" s="402"/>
      <c r="AA375" s="405"/>
      <c r="AB375" s="405"/>
      <c r="AC375" s="405"/>
      <c r="AD375" s="405"/>
      <c r="AE375" s="405"/>
      <c r="AF375" s="405"/>
      <c r="AG375" s="405"/>
      <c r="AH375" s="405"/>
      <c r="AI375" s="405"/>
      <c r="AJ375" s="405"/>
      <c r="AK375" s="405"/>
      <c r="AL375" s="405"/>
    </row>
    <row r="376" ht="14.25" customHeight="1">
      <c r="A376" s="497">
        <v>45512.0</v>
      </c>
      <c r="B376" s="349" t="s">
        <v>3789</v>
      </c>
      <c r="C376" s="349" t="s">
        <v>3790</v>
      </c>
      <c r="D376" s="349" t="s">
        <v>54</v>
      </c>
      <c r="E376" s="349" t="s">
        <v>3551</v>
      </c>
      <c r="F376" s="413">
        <v>5588.0</v>
      </c>
      <c r="G376" s="787">
        <v>0.0</v>
      </c>
      <c r="H376" s="349" t="s">
        <v>3861</v>
      </c>
      <c r="I376" s="736" t="str">
        <f t="shared" si="14"/>
        <v>NOT PAID</v>
      </c>
      <c r="J376" s="402"/>
      <c r="K376" s="402"/>
      <c r="L376" s="402"/>
      <c r="M376" s="402"/>
      <c r="N376" s="402"/>
      <c r="O376" s="402"/>
      <c r="P376" s="402"/>
      <c r="Q376" s="402"/>
      <c r="R376" s="402"/>
      <c r="S376" s="402"/>
      <c r="T376" s="402"/>
      <c r="U376" s="402"/>
      <c r="V376" s="402"/>
      <c r="W376" s="402"/>
      <c r="X376" s="402"/>
      <c r="Y376" s="402"/>
      <c r="Z376" s="402"/>
      <c r="AA376" s="405"/>
      <c r="AB376" s="405"/>
      <c r="AC376" s="405"/>
      <c r="AD376" s="405"/>
      <c r="AE376" s="405"/>
      <c r="AF376" s="405"/>
      <c r="AG376" s="405"/>
      <c r="AH376" s="405"/>
      <c r="AI376" s="405"/>
      <c r="AJ376" s="405"/>
      <c r="AK376" s="405"/>
      <c r="AL376" s="405"/>
    </row>
    <row r="377" ht="14.25" customHeight="1">
      <c r="A377" s="497">
        <v>45512.0</v>
      </c>
      <c r="B377" s="349" t="s">
        <v>3641</v>
      </c>
      <c r="C377" s="349" t="s">
        <v>3642</v>
      </c>
      <c r="D377" s="349" t="s">
        <v>54</v>
      </c>
      <c r="E377" s="349" t="s">
        <v>3551</v>
      </c>
      <c r="F377" s="413">
        <v>7662.6</v>
      </c>
      <c r="G377" s="787">
        <v>13500.0</v>
      </c>
      <c r="H377" s="349" t="s">
        <v>710</v>
      </c>
      <c r="I377" s="736" t="str">
        <f t="shared" si="14"/>
        <v>FULLY PAID</v>
      </c>
      <c r="J377" s="402"/>
      <c r="K377" s="402"/>
      <c r="L377" s="402"/>
      <c r="M377" s="402"/>
      <c r="N377" s="402"/>
      <c r="O377" s="402"/>
      <c r="P377" s="402"/>
      <c r="Q377" s="402"/>
      <c r="R377" s="402"/>
      <c r="S377" s="402"/>
      <c r="T377" s="402"/>
      <c r="U377" s="402"/>
      <c r="V377" s="402"/>
      <c r="W377" s="402"/>
      <c r="X377" s="402"/>
      <c r="Y377" s="402"/>
      <c r="Z377" s="402"/>
      <c r="AA377" s="405"/>
      <c r="AB377" s="405"/>
      <c r="AC377" s="405"/>
      <c r="AD377" s="405"/>
      <c r="AE377" s="405"/>
      <c r="AF377" s="405"/>
      <c r="AG377" s="405"/>
      <c r="AH377" s="405"/>
      <c r="AI377" s="405"/>
      <c r="AJ377" s="405"/>
      <c r="AK377" s="405"/>
      <c r="AL377" s="405"/>
    </row>
    <row r="378" ht="14.25" customHeight="1">
      <c r="A378" s="497">
        <v>45512.0</v>
      </c>
      <c r="B378" s="349" t="s">
        <v>3830</v>
      </c>
      <c r="C378" s="349" t="s">
        <v>3829</v>
      </c>
      <c r="D378" s="349" t="s">
        <v>346</v>
      </c>
      <c r="E378" s="349" t="s">
        <v>3551</v>
      </c>
      <c r="F378" s="413">
        <v>5159.9</v>
      </c>
      <c r="G378" s="787">
        <v>0.0</v>
      </c>
      <c r="H378" s="349" t="s">
        <v>3875</v>
      </c>
      <c r="I378" s="736" t="str">
        <f t="shared" si="14"/>
        <v>NOT PAID</v>
      </c>
      <c r="J378" s="402"/>
      <c r="K378" s="402"/>
      <c r="L378" s="402"/>
      <c r="M378" s="402"/>
      <c r="N378" s="402"/>
      <c r="O378" s="402"/>
      <c r="P378" s="402"/>
      <c r="Q378" s="402"/>
      <c r="R378" s="402"/>
      <c r="S378" s="402"/>
      <c r="T378" s="402"/>
      <c r="U378" s="402"/>
      <c r="V378" s="402"/>
      <c r="W378" s="402"/>
      <c r="X378" s="402"/>
      <c r="Y378" s="402"/>
      <c r="Z378" s="402"/>
      <c r="AA378" s="405"/>
      <c r="AB378" s="405"/>
      <c r="AC378" s="405"/>
      <c r="AD378" s="405"/>
      <c r="AE378" s="405"/>
      <c r="AF378" s="405"/>
      <c r="AG378" s="405"/>
      <c r="AH378" s="405"/>
      <c r="AI378" s="405"/>
      <c r="AJ378" s="405"/>
      <c r="AK378" s="405"/>
      <c r="AL378" s="405"/>
    </row>
    <row r="379" ht="14.25" customHeight="1">
      <c r="A379" s="497">
        <v>45512.0</v>
      </c>
      <c r="B379" s="349" t="s">
        <v>3735</v>
      </c>
      <c r="C379" s="349" t="s">
        <v>3669</v>
      </c>
      <c r="D379" s="349" t="s">
        <v>54</v>
      </c>
      <c r="E379" s="349" t="s">
        <v>3551</v>
      </c>
      <c r="F379" s="413">
        <v>5000.0</v>
      </c>
      <c r="G379" s="787">
        <v>0.0</v>
      </c>
      <c r="H379" s="349" t="s">
        <v>2184</v>
      </c>
      <c r="I379" s="736" t="str">
        <f t="shared" si="14"/>
        <v>NOT PAID</v>
      </c>
      <c r="J379" s="402"/>
      <c r="K379" s="402"/>
      <c r="L379" s="402"/>
      <c r="M379" s="402"/>
      <c r="N379" s="402"/>
      <c r="O379" s="402"/>
      <c r="P379" s="402"/>
      <c r="Q379" s="402"/>
      <c r="R379" s="402"/>
      <c r="S379" s="402"/>
      <c r="T379" s="402"/>
      <c r="U379" s="402"/>
      <c r="V379" s="402"/>
      <c r="W379" s="402"/>
      <c r="X379" s="402"/>
      <c r="Y379" s="402"/>
      <c r="Z379" s="402"/>
      <c r="AA379" s="405"/>
      <c r="AB379" s="405"/>
      <c r="AC379" s="405"/>
      <c r="AD379" s="405"/>
      <c r="AE379" s="405"/>
      <c r="AF379" s="405"/>
      <c r="AG379" s="405"/>
      <c r="AH379" s="405"/>
      <c r="AI379" s="405"/>
      <c r="AJ379" s="405"/>
      <c r="AK379" s="405"/>
      <c r="AL379" s="405"/>
    </row>
    <row r="380" ht="14.25" customHeight="1">
      <c r="A380" s="497">
        <v>45512.0</v>
      </c>
      <c r="B380" s="349" t="s">
        <v>3608</v>
      </c>
      <c r="C380" s="349" t="s">
        <v>3705</v>
      </c>
      <c r="D380" s="349" t="s">
        <v>54</v>
      </c>
      <c r="E380" s="349" t="s">
        <v>3579</v>
      </c>
      <c r="F380" s="413">
        <v>64847.0</v>
      </c>
      <c r="G380" s="787">
        <v>0.0</v>
      </c>
      <c r="H380" s="349" t="s">
        <v>3875</v>
      </c>
      <c r="I380" s="736" t="str">
        <f t="shared" si="14"/>
        <v>NOT PAID</v>
      </c>
      <c r="J380" s="402"/>
      <c r="K380" s="402"/>
      <c r="L380" s="402"/>
      <c r="M380" s="402"/>
      <c r="N380" s="402"/>
      <c r="O380" s="402"/>
      <c r="P380" s="402"/>
      <c r="Q380" s="402"/>
      <c r="R380" s="402"/>
      <c r="S380" s="402"/>
      <c r="T380" s="402"/>
      <c r="U380" s="402"/>
      <c r="V380" s="402"/>
      <c r="W380" s="402"/>
      <c r="X380" s="402"/>
      <c r="Y380" s="402"/>
      <c r="Z380" s="402"/>
      <c r="AA380" s="405"/>
      <c r="AB380" s="405"/>
      <c r="AC380" s="405"/>
      <c r="AD380" s="405"/>
      <c r="AE380" s="405"/>
      <c r="AF380" s="405"/>
      <c r="AG380" s="405"/>
      <c r="AH380" s="405"/>
      <c r="AI380" s="405"/>
      <c r="AJ380" s="405"/>
      <c r="AK380" s="405"/>
      <c r="AL380" s="405"/>
    </row>
    <row r="381" ht="14.25" customHeight="1">
      <c r="A381" s="497">
        <v>45512.0</v>
      </c>
      <c r="B381" s="349" t="s">
        <v>3811</v>
      </c>
      <c r="C381" s="349" t="s">
        <v>3812</v>
      </c>
      <c r="D381" s="402" t="str">
        <f>D377</f>
        <v>Logbook</v>
      </c>
      <c r="E381" s="349" t="s">
        <v>3579</v>
      </c>
      <c r="F381" s="413">
        <v>117629.0</v>
      </c>
      <c r="G381" s="787">
        <v>164616.0</v>
      </c>
      <c r="H381" s="349" t="s">
        <v>710</v>
      </c>
      <c r="I381" s="736" t="str">
        <f t="shared" si="14"/>
        <v>FULLY PAID</v>
      </c>
      <c r="J381" s="402"/>
      <c r="K381" s="402"/>
      <c r="L381" s="402"/>
      <c r="M381" s="402"/>
      <c r="N381" s="402"/>
      <c r="O381" s="402"/>
      <c r="P381" s="402"/>
      <c r="Q381" s="402"/>
      <c r="R381" s="402"/>
      <c r="S381" s="402"/>
      <c r="T381" s="402"/>
      <c r="U381" s="402"/>
      <c r="V381" s="402"/>
      <c r="W381" s="402"/>
      <c r="X381" s="402"/>
      <c r="Y381" s="402"/>
      <c r="Z381" s="402"/>
      <c r="AA381" s="405"/>
      <c r="AB381" s="405"/>
      <c r="AC381" s="405"/>
      <c r="AD381" s="405"/>
      <c r="AE381" s="405"/>
      <c r="AF381" s="405"/>
      <c r="AG381" s="405"/>
      <c r="AH381" s="405"/>
      <c r="AI381" s="405"/>
      <c r="AJ381" s="405"/>
      <c r="AK381" s="405"/>
      <c r="AL381" s="405"/>
    </row>
    <row r="382" ht="14.25" customHeight="1">
      <c r="A382" s="497">
        <v>45512.0</v>
      </c>
      <c r="B382" s="349" t="s">
        <v>3674</v>
      </c>
      <c r="C382" s="349" t="s">
        <v>3675</v>
      </c>
      <c r="D382" s="349" t="s">
        <v>54</v>
      </c>
      <c r="E382" s="349" t="s">
        <v>3551</v>
      </c>
      <c r="F382" s="413">
        <v>22711.0</v>
      </c>
      <c r="G382" s="787">
        <v>100000.0</v>
      </c>
      <c r="H382" s="349" t="s">
        <v>710</v>
      </c>
      <c r="I382" s="736" t="str">
        <f t="shared" si="14"/>
        <v>FULLY PAID</v>
      </c>
      <c r="J382" s="402"/>
      <c r="K382" s="402"/>
      <c r="L382" s="402"/>
      <c r="M382" s="402"/>
      <c r="N382" s="402"/>
      <c r="O382" s="402"/>
      <c r="P382" s="402"/>
      <c r="Q382" s="402"/>
      <c r="R382" s="402"/>
      <c r="S382" s="402"/>
      <c r="T382" s="402"/>
      <c r="U382" s="402"/>
      <c r="V382" s="402"/>
      <c r="W382" s="402"/>
      <c r="X382" s="402"/>
      <c r="Y382" s="402"/>
      <c r="Z382" s="402"/>
      <c r="AA382" s="405"/>
      <c r="AB382" s="405"/>
      <c r="AC382" s="405"/>
      <c r="AD382" s="405"/>
      <c r="AE382" s="405"/>
      <c r="AF382" s="405"/>
      <c r="AG382" s="405"/>
      <c r="AH382" s="405"/>
      <c r="AI382" s="405"/>
      <c r="AJ382" s="405"/>
      <c r="AK382" s="405"/>
      <c r="AL382" s="405"/>
    </row>
    <row r="383" ht="14.25" customHeight="1">
      <c r="A383" s="497">
        <v>45512.0</v>
      </c>
      <c r="B383" s="349" t="s">
        <v>3837</v>
      </c>
      <c r="C383" s="349" t="s">
        <v>3838</v>
      </c>
      <c r="D383" s="349" t="s">
        <v>54</v>
      </c>
      <c r="E383" s="349" t="s">
        <v>3551</v>
      </c>
      <c r="F383" s="413">
        <v>14595.15</v>
      </c>
      <c r="G383" s="787">
        <v>26281.0</v>
      </c>
      <c r="H383" s="349" t="s">
        <v>710</v>
      </c>
      <c r="I383" s="736" t="str">
        <f t="shared" si="14"/>
        <v>FULLY PAID</v>
      </c>
      <c r="J383" s="402"/>
      <c r="K383" s="402"/>
      <c r="L383" s="402"/>
      <c r="M383" s="402"/>
      <c r="N383" s="402"/>
      <c r="O383" s="402"/>
      <c r="P383" s="402"/>
      <c r="Q383" s="402"/>
      <c r="R383" s="402"/>
      <c r="S383" s="402"/>
      <c r="T383" s="402"/>
      <c r="U383" s="402"/>
      <c r="V383" s="402"/>
      <c r="W383" s="402"/>
      <c r="X383" s="402"/>
      <c r="Y383" s="402"/>
      <c r="Z383" s="402"/>
      <c r="AA383" s="405"/>
      <c r="AB383" s="405"/>
      <c r="AC383" s="405"/>
      <c r="AD383" s="405"/>
      <c r="AE383" s="405"/>
      <c r="AF383" s="405"/>
      <c r="AG383" s="405"/>
      <c r="AH383" s="405"/>
      <c r="AI383" s="405"/>
      <c r="AJ383" s="405"/>
      <c r="AK383" s="405"/>
      <c r="AL383" s="405"/>
    </row>
    <row r="384" ht="14.25" customHeight="1">
      <c r="A384" s="497">
        <v>45512.0</v>
      </c>
      <c r="B384" s="349" t="s">
        <v>3876</v>
      </c>
      <c r="C384" s="349" t="s">
        <v>3877</v>
      </c>
      <c r="D384" s="349" t="s">
        <v>3878</v>
      </c>
      <c r="E384" s="349" t="s">
        <v>3579</v>
      </c>
      <c r="F384" s="413">
        <v>500000.0</v>
      </c>
      <c r="G384" s="787">
        <v>0.0</v>
      </c>
      <c r="H384" s="349" t="s">
        <v>3875</v>
      </c>
      <c r="I384" s="736" t="str">
        <f t="shared" si="14"/>
        <v>NOT PAID</v>
      </c>
      <c r="J384" s="402"/>
      <c r="K384" s="402"/>
      <c r="L384" s="402"/>
      <c r="M384" s="402"/>
      <c r="N384" s="402"/>
      <c r="O384" s="402"/>
      <c r="P384" s="402"/>
      <c r="Q384" s="402"/>
      <c r="R384" s="402"/>
      <c r="S384" s="402"/>
      <c r="T384" s="402"/>
      <c r="U384" s="402"/>
      <c r="V384" s="402"/>
      <c r="W384" s="402"/>
      <c r="X384" s="402"/>
      <c r="Y384" s="402"/>
      <c r="Z384" s="402"/>
      <c r="AA384" s="405"/>
      <c r="AB384" s="405"/>
      <c r="AC384" s="405"/>
      <c r="AD384" s="405"/>
      <c r="AE384" s="405"/>
      <c r="AF384" s="405"/>
      <c r="AG384" s="405"/>
      <c r="AH384" s="405"/>
      <c r="AI384" s="405"/>
      <c r="AJ384" s="405"/>
      <c r="AK384" s="405"/>
      <c r="AL384" s="405"/>
    </row>
    <row r="385" ht="14.25" customHeight="1">
      <c r="A385" s="497">
        <v>45512.0</v>
      </c>
      <c r="B385" s="349" t="s">
        <v>3879</v>
      </c>
      <c r="C385" s="349" t="s">
        <v>3880</v>
      </c>
      <c r="D385" s="349" t="s">
        <v>54</v>
      </c>
      <c r="E385" s="349" t="s">
        <v>3881</v>
      </c>
      <c r="F385" s="413">
        <v>2000000.0</v>
      </c>
      <c r="G385" s="787">
        <v>0.0</v>
      </c>
      <c r="H385" s="402"/>
      <c r="I385" s="736" t="str">
        <f t="shared" si="14"/>
        <v>NOT PAID</v>
      </c>
      <c r="J385" s="402"/>
      <c r="K385" s="402"/>
      <c r="L385" s="402"/>
      <c r="M385" s="402"/>
      <c r="N385" s="402"/>
      <c r="O385" s="402"/>
      <c r="P385" s="402"/>
      <c r="Q385" s="402"/>
      <c r="R385" s="402"/>
      <c r="S385" s="402"/>
      <c r="T385" s="402"/>
      <c r="U385" s="402"/>
      <c r="V385" s="402"/>
      <c r="W385" s="402"/>
      <c r="X385" s="402"/>
      <c r="Y385" s="402"/>
      <c r="Z385" s="402"/>
      <c r="AA385" s="405"/>
      <c r="AB385" s="405"/>
      <c r="AC385" s="405"/>
      <c r="AD385" s="405"/>
      <c r="AE385" s="405"/>
      <c r="AF385" s="405"/>
      <c r="AG385" s="405"/>
      <c r="AH385" s="405"/>
      <c r="AI385" s="405"/>
      <c r="AJ385" s="405"/>
      <c r="AK385" s="405"/>
      <c r="AL385" s="405"/>
    </row>
    <row r="386" ht="14.25" customHeight="1">
      <c r="A386" s="497"/>
      <c r="B386" s="402"/>
      <c r="C386" s="402"/>
      <c r="D386" s="402"/>
      <c r="E386" s="402"/>
      <c r="F386" s="402"/>
      <c r="G386" s="403"/>
      <c r="H386" s="402"/>
      <c r="I386" s="736" t="str">
        <f t="shared" si="14"/>
        <v>FULLY PAID</v>
      </c>
      <c r="J386" s="402"/>
      <c r="K386" s="402"/>
      <c r="L386" s="402"/>
      <c r="M386" s="402"/>
      <c r="N386" s="402"/>
      <c r="O386" s="402"/>
      <c r="P386" s="402"/>
      <c r="Q386" s="402"/>
      <c r="R386" s="402"/>
      <c r="S386" s="402"/>
      <c r="T386" s="402"/>
      <c r="U386" s="402"/>
      <c r="V386" s="402"/>
      <c r="W386" s="402"/>
      <c r="X386" s="402"/>
      <c r="Y386" s="402"/>
      <c r="Z386" s="402"/>
      <c r="AA386" s="405"/>
      <c r="AB386" s="405"/>
      <c r="AC386" s="405"/>
      <c r="AD386" s="405"/>
      <c r="AE386" s="405"/>
      <c r="AF386" s="405"/>
      <c r="AG386" s="405"/>
      <c r="AH386" s="405"/>
      <c r="AI386" s="405"/>
      <c r="AJ386" s="405"/>
      <c r="AK386" s="405"/>
      <c r="AL386" s="405"/>
    </row>
    <row r="387" ht="14.25" customHeight="1">
      <c r="A387" s="497"/>
      <c r="B387" s="402"/>
      <c r="C387" s="402"/>
      <c r="D387" s="402"/>
      <c r="E387" s="402"/>
      <c r="F387" s="586">
        <f t="shared" ref="F387:G387" si="15">SUM(F366:F385)</f>
        <v>3402701.1</v>
      </c>
      <c r="G387" s="413">
        <f t="shared" si="15"/>
        <v>712747</v>
      </c>
      <c r="H387" s="402"/>
      <c r="I387" s="736" t="str">
        <f t="shared" si="14"/>
        <v>PARTIALLY PAID</v>
      </c>
      <c r="J387" s="402"/>
      <c r="K387" s="402"/>
      <c r="L387" s="402"/>
      <c r="M387" s="402"/>
      <c r="N387" s="402"/>
      <c r="O387" s="402"/>
      <c r="P387" s="402"/>
      <c r="Q387" s="402"/>
      <c r="R387" s="402"/>
      <c r="S387" s="402"/>
      <c r="T387" s="402"/>
      <c r="U387" s="402"/>
      <c r="V387" s="402"/>
      <c r="W387" s="402"/>
      <c r="X387" s="402"/>
      <c r="Y387" s="402"/>
      <c r="Z387" s="402"/>
      <c r="AA387" s="405"/>
      <c r="AB387" s="405"/>
      <c r="AC387" s="405"/>
      <c r="AD387" s="405"/>
      <c r="AE387" s="405"/>
      <c r="AF387" s="405"/>
      <c r="AG387" s="405"/>
      <c r="AH387" s="405"/>
      <c r="AI387" s="405"/>
      <c r="AJ387" s="405"/>
      <c r="AK387" s="405"/>
      <c r="AL387" s="405"/>
    </row>
    <row r="388" ht="14.25" customHeight="1">
      <c r="A388" s="402"/>
      <c r="B388" s="402"/>
      <c r="C388" s="402"/>
      <c r="D388" s="402"/>
      <c r="E388" s="402"/>
      <c r="F388" s="402"/>
      <c r="G388" s="403"/>
      <c r="H388" s="402"/>
      <c r="I388" s="736" t="str">
        <f t="shared" si="14"/>
        <v>FULLY PAID</v>
      </c>
      <c r="J388" s="402"/>
      <c r="K388" s="402"/>
      <c r="L388" s="402"/>
      <c r="M388" s="402"/>
      <c r="N388" s="402"/>
      <c r="O388" s="402"/>
      <c r="P388" s="402"/>
      <c r="Q388" s="402"/>
      <c r="R388" s="402"/>
      <c r="S388" s="402"/>
      <c r="T388" s="402"/>
      <c r="U388" s="402"/>
      <c r="V388" s="402"/>
      <c r="W388" s="402"/>
      <c r="X388" s="402"/>
      <c r="Y388" s="402"/>
      <c r="Z388" s="402"/>
      <c r="AA388" s="405"/>
      <c r="AB388" s="405"/>
      <c r="AC388" s="405"/>
      <c r="AD388" s="405"/>
      <c r="AE388" s="405"/>
      <c r="AF388" s="405"/>
      <c r="AG388" s="405"/>
      <c r="AH388" s="405"/>
      <c r="AI388" s="405"/>
      <c r="AJ388" s="405"/>
      <c r="AK388" s="405"/>
      <c r="AL388" s="405"/>
    </row>
    <row r="389" ht="14.25" customHeight="1">
      <c r="A389" s="402"/>
      <c r="B389" s="402"/>
      <c r="C389" s="402"/>
      <c r="D389" s="402"/>
      <c r="E389" s="402"/>
      <c r="F389" s="402"/>
      <c r="G389" s="403"/>
      <c r="H389" s="402"/>
      <c r="I389" s="736" t="str">
        <f t="shared" si="14"/>
        <v>FULLY PAID</v>
      </c>
      <c r="J389" s="402"/>
      <c r="K389" s="402"/>
      <c r="L389" s="402"/>
      <c r="M389" s="402"/>
      <c r="N389" s="402"/>
      <c r="O389" s="402"/>
      <c r="P389" s="402"/>
      <c r="Q389" s="402"/>
      <c r="R389" s="402"/>
      <c r="S389" s="402"/>
      <c r="T389" s="402"/>
      <c r="U389" s="402"/>
      <c r="V389" s="402"/>
      <c r="W389" s="402"/>
      <c r="X389" s="402"/>
      <c r="Y389" s="402"/>
      <c r="Z389" s="402"/>
      <c r="AA389" s="405"/>
      <c r="AB389" s="405"/>
      <c r="AC389" s="405"/>
      <c r="AD389" s="405"/>
      <c r="AE389" s="405"/>
      <c r="AF389" s="405"/>
      <c r="AG389" s="405"/>
      <c r="AH389" s="405"/>
      <c r="AI389" s="405"/>
      <c r="AJ389" s="405"/>
      <c r="AK389" s="405"/>
      <c r="AL389" s="405"/>
    </row>
    <row r="390" ht="14.25" customHeight="1">
      <c r="A390" s="584" t="s">
        <v>2130</v>
      </c>
      <c r="B390" s="584" t="s">
        <v>39</v>
      </c>
      <c r="C390" s="584" t="s">
        <v>48</v>
      </c>
      <c r="D390" s="584" t="s">
        <v>49</v>
      </c>
      <c r="E390" s="584" t="s">
        <v>50</v>
      </c>
      <c r="F390" s="584" t="s">
        <v>2</v>
      </c>
      <c r="G390" s="586" t="s">
        <v>44</v>
      </c>
      <c r="H390" s="424" t="s">
        <v>45</v>
      </c>
      <c r="I390" s="788"/>
      <c r="J390" s="584"/>
      <c r="K390" s="584"/>
      <c r="L390" s="584"/>
      <c r="M390" s="584"/>
      <c r="N390" s="584"/>
      <c r="O390" s="584"/>
      <c r="P390" s="584"/>
      <c r="Q390" s="584"/>
      <c r="R390" s="584"/>
      <c r="S390" s="584"/>
      <c r="T390" s="584"/>
      <c r="U390" s="584"/>
      <c r="V390" s="584"/>
      <c r="W390" s="584"/>
      <c r="X390" s="584"/>
      <c r="Y390" s="584"/>
      <c r="Z390" s="584"/>
      <c r="AA390" s="659"/>
      <c r="AB390" s="659"/>
      <c r="AC390" s="659"/>
      <c r="AD390" s="659"/>
      <c r="AE390" s="659"/>
      <c r="AF390" s="659"/>
      <c r="AG390" s="659"/>
      <c r="AH390" s="659"/>
      <c r="AI390" s="659"/>
      <c r="AJ390" s="659"/>
      <c r="AK390" s="659"/>
      <c r="AL390" s="659"/>
    </row>
    <row r="391" ht="14.25" customHeight="1">
      <c r="A391" s="497">
        <v>45513.0</v>
      </c>
      <c r="B391" s="349" t="s">
        <v>3882</v>
      </c>
      <c r="C391" s="349" t="s">
        <v>3883</v>
      </c>
      <c r="D391" s="349" t="s">
        <v>263</v>
      </c>
      <c r="E391" s="349" t="s">
        <v>3551</v>
      </c>
      <c r="F391" s="413">
        <v>48560.0</v>
      </c>
      <c r="G391" s="413">
        <v>57760.0</v>
      </c>
      <c r="H391" s="349" t="s">
        <v>149</v>
      </c>
      <c r="I391" s="736" t="str">
        <f t="shared" ref="I391:I491" si="16">IF(G391&gt;=F391,"FULLY PAID",IF(G391=0,"NOT PAID","PARTIALLY PAID"))</f>
        <v>FULLY PAID</v>
      </c>
      <c r="J391" s="402"/>
      <c r="K391" s="402"/>
      <c r="L391" s="402"/>
      <c r="M391" s="402"/>
      <c r="N391" s="402"/>
      <c r="O391" s="402"/>
      <c r="P391" s="402"/>
      <c r="Q391" s="402"/>
      <c r="R391" s="402"/>
      <c r="S391" s="402"/>
      <c r="T391" s="402"/>
      <c r="U391" s="402"/>
      <c r="V391" s="402"/>
      <c r="W391" s="402"/>
      <c r="X391" s="402"/>
      <c r="Y391" s="402"/>
      <c r="Z391" s="402"/>
      <c r="AA391" s="405"/>
      <c r="AB391" s="405"/>
      <c r="AC391" s="405"/>
      <c r="AD391" s="405"/>
      <c r="AE391" s="405"/>
      <c r="AF391" s="405"/>
      <c r="AG391" s="405"/>
      <c r="AH391" s="405"/>
      <c r="AI391" s="405"/>
      <c r="AJ391" s="405"/>
      <c r="AK391" s="405"/>
      <c r="AL391" s="405"/>
    </row>
    <row r="392" ht="14.25" customHeight="1">
      <c r="A392" s="497">
        <v>45513.0</v>
      </c>
      <c r="B392" s="349" t="s">
        <v>3595</v>
      </c>
      <c r="C392" s="349" t="s">
        <v>3864</v>
      </c>
      <c r="D392" s="349" t="s">
        <v>54</v>
      </c>
      <c r="E392" s="349" t="s">
        <v>3551</v>
      </c>
      <c r="F392" s="413">
        <v>33791.36</v>
      </c>
      <c r="G392" s="413">
        <v>0.0</v>
      </c>
      <c r="H392" s="349" t="s">
        <v>2184</v>
      </c>
      <c r="I392" s="736" t="str">
        <f t="shared" si="16"/>
        <v>NOT PAID</v>
      </c>
      <c r="J392" s="402"/>
      <c r="K392" s="402"/>
      <c r="L392" s="402"/>
      <c r="M392" s="402"/>
      <c r="N392" s="402"/>
      <c r="O392" s="402"/>
      <c r="P392" s="402"/>
      <c r="Q392" s="402"/>
      <c r="R392" s="402"/>
      <c r="S392" s="402"/>
      <c r="T392" s="402"/>
      <c r="U392" s="402"/>
      <c r="V392" s="402"/>
      <c r="W392" s="402"/>
      <c r="X392" s="402"/>
      <c r="Y392" s="402"/>
      <c r="Z392" s="402"/>
      <c r="AA392" s="405"/>
      <c r="AB392" s="405"/>
      <c r="AC392" s="405"/>
      <c r="AD392" s="405"/>
      <c r="AE392" s="405"/>
      <c r="AF392" s="405"/>
      <c r="AG392" s="405"/>
      <c r="AH392" s="405"/>
      <c r="AI392" s="405"/>
      <c r="AJ392" s="405"/>
      <c r="AK392" s="405"/>
      <c r="AL392" s="405"/>
    </row>
    <row r="393" ht="14.25" customHeight="1">
      <c r="A393" s="497">
        <v>45513.0</v>
      </c>
      <c r="B393" s="349" t="s">
        <v>3876</v>
      </c>
      <c r="C393" s="349" t="s">
        <v>3877</v>
      </c>
      <c r="D393" s="349" t="s">
        <v>3878</v>
      </c>
      <c r="E393" s="349" t="s">
        <v>3579</v>
      </c>
      <c r="F393" s="413">
        <v>500000.0</v>
      </c>
      <c r="G393" s="413">
        <v>0.0</v>
      </c>
      <c r="H393" s="349" t="s">
        <v>3884</v>
      </c>
      <c r="I393" s="736" t="str">
        <f t="shared" si="16"/>
        <v>NOT PAID</v>
      </c>
      <c r="J393" s="402"/>
      <c r="K393" s="402"/>
      <c r="L393" s="402"/>
      <c r="M393" s="402"/>
      <c r="N393" s="402"/>
      <c r="O393" s="402"/>
      <c r="P393" s="402"/>
      <c r="Q393" s="402"/>
      <c r="R393" s="402"/>
      <c r="S393" s="402"/>
      <c r="T393" s="402"/>
      <c r="U393" s="402"/>
      <c r="V393" s="402"/>
      <c r="W393" s="402"/>
      <c r="X393" s="402"/>
      <c r="Y393" s="402"/>
      <c r="Z393" s="402"/>
      <c r="AA393" s="405"/>
      <c r="AB393" s="405"/>
      <c r="AC393" s="405"/>
      <c r="AD393" s="405"/>
      <c r="AE393" s="405"/>
      <c r="AF393" s="405"/>
      <c r="AG393" s="405"/>
      <c r="AH393" s="405"/>
      <c r="AI393" s="405"/>
      <c r="AJ393" s="405"/>
      <c r="AK393" s="405"/>
      <c r="AL393" s="405"/>
    </row>
    <row r="394" ht="14.25" customHeight="1">
      <c r="A394" s="497">
        <v>45513.0</v>
      </c>
      <c r="B394" s="349" t="s">
        <v>3885</v>
      </c>
      <c r="C394" s="349" t="s">
        <v>3748</v>
      </c>
      <c r="D394" s="349" t="s">
        <v>54</v>
      </c>
      <c r="E394" s="349" t="s">
        <v>3551</v>
      </c>
      <c r="F394" s="413">
        <v>27893.75</v>
      </c>
      <c r="G394" s="413">
        <v>39000.0</v>
      </c>
      <c r="H394" s="349" t="s">
        <v>149</v>
      </c>
      <c r="I394" s="736" t="str">
        <f t="shared" si="16"/>
        <v>FULLY PAID</v>
      </c>
      <c r="J394" s="402"/>
      <c r="K394" s="402"/>
      <c r="L394" s="402"/>
      <c r="M394" s="402"/>
      <c r="N394" s="402"/>
      <c r="O394" s="402"/>
      <c r="P394" s="402"/>
      <c r="Q394" s="402"/>
      <c r="R394" s="402"/>
      <c r="S394" s="402"/>
      <c r="T394" s="402"/>
      <c r="U394" s="402"/>
      <c r="V394" s="402"/>
      <c r="W394" s="402"/>
      <c r="X394" s="402"/>
      <c r="Y394" s="402"/>
      <c r="Z394" s="402"/>
      <c r="AA394" s="405"/>
      <c r="AB394" s="405"/>
      <c r="AC394" s="405"/>
      <c r="AD394" s="405"/>
      <c r="AE394" s="405"/>
      <c r="AF394" s="405"/>
      <c r="AG394" s="405"/>
      <c r="AH394" s="405"/>
      <c r="AI394" s="405"/>
      <c r="AJ394" s="405"/>
      <c r="AK394" s="405"/>
      <c r="AL394" s="405"/>
    </row>
    <row r="395" ht="14.25" customHeight="1">
      <c r="A395" s="497">
        <v>45513.0</v>
      </c>
      <c r="B395" s="349" t="s">
        <v>3886</v>
      </c>
      <c r="C395" s="349" t="s">
        <v>3887</v>
      </c>
      <c r="D395" s="349" t="s">
        <v>75</v>
      </c>
      <c r="E395" s="349" t="s">
        <v>3551</v>
      </c>
      <c r="F395" s="413">
        <v>92000.0</v>
      </c>
      <c r="G395" s="413">
        <v>92000.0</v>
      </c>
      <c r="H395" s="349" t="s">
        <v>149</v>
      </c>
      <c r="I395" s="736" t="str">
        <f t="shared" si="16"/>
        <v>FULLY PAID</v>
      </c>
      <c r="J395" s="402"/>
      <c r="K395" s="402"/>
      <c r="L395" s="402"/>
      <c r="M395" s="402"/>
      <c r="N395" s="402"/>
      <c r="O395" s="402"/>
      <c r="P395" s="402"/>
      <c r="Q395" s="402"/>
      <c r="R395" s="402"/>
      <c r="S395" s="402"/>
      <c r="T395" s="402"/>
      <c r="U395" s="402"/>
      <c r="V395" s="402"/>
      <c r="W395" s="402"/>
      <c r="X395" s="402"/>
      <c r="Y395" s="402"/>
      <c r="Z395" s="402"/>
      <c r="AA395" s="405"/>
      <c r="AB395" s="405"/>
      <c r="AC395" s="405"/>
      <c r="AD395" s="405"/>
      <c r="AE395" s="405"/>
      <c r="AF395" s="405"/>
      <c r="AG395" s="405"/>
      <c r="AH395" s="405"/>
      <c r="AI395" s="405"/>
      <c r="AJ395" s="405"/>
      <c r="AK395" s="405"/>
      <c r="AL395" s="405"/>
    </row>
    <row r="396" ht="14.25" customHeight="1">
      <c r="A396" s="497">
        <v>45513.0</v>
      </c>
      <c r="B396" s="349" t="s">
        <v>3830</v>
      </c>
      <c r="C396" s="349" t="s">
        <v>3829</v>
      </c>
      <c r="D396" s="349" t="s">
        <v>346</v>
      </c>
      <c r="E396" s="349" t="s">
        <v>3551</v>
      </c>
      <c r="F396" s="413">
        <v>5159.9</v>
      </c>
      <c r="G396" s="413">
        <v>0.0</v>
      </c>
      <c r="H396" s="349" t="s">
        <v>3888</v>
      </c>
      <c r="I396" s="736" t="str">
        <f t="shared" si="16"/>
        <v>NOT PAID</v>
      </c>
      <c r="J396" s="402"/>
      <c r="K396" s="402"/>
      <c r="L396" s="402"/>
      <c r="M396" s="402"/>
      <c r="N396" s="402"/>
      <c r="O396" s="402"/>
      <c r="P396" s="402"/>
      <c r="Q396" s="402"/>
      <c r="R396" s="402"/>
      <c r="S396" s="402"/>
      <c r="T396" s="402"/>
      <c r="U396" s="402"/>
      <c r="V396" s="402"/>
      <c r="W396" s="402"/>
      <c r="X396" s="402"/>
      <c r="Y396" s="402"/>
      <c r="Z396" s="402"/>
      <c r="AA396" s="405"/>
      <c r="AB396" s="405"/>
      <c r="AC396" s="405"/>
      <c r="AD396" s="405"/>
      <c r="AE396" s="405"/>
      <c r="AF396" s="405"/>
      <c r="AG396" s="405"/>
      <c r="AH396" s="405"/>
      <c r="AI396" s="405"/>
      <c r="AJ396" s="405"/>
      <c r="AK396" s="405"/>
      <c r="AL396" s="405"/>
    </row>
    <row r="397" ht="14.25" customHeight="1">
      <c r="A397" s="497">
        <v>45513.0</v>
      </c>
      <c r="B397" s="349" t="s">
        <v>3802</v>
      </c>
      <c r="C397" s="349" t="s">
        <v>3670</v>
      </c>
      <c r="D397" s="349" t="s">
        <v>54</v>
      </c>
      <c r="E397" s="349" t="s">
        <v>3579</v>
      </c>
      <c r="F397" s="413">
        <v>21450.25</v>
      </c>
      <c r="G397" s="413">
        <v>0.0</v>
      </c>
      <c r="H397" s="349" t="s">
        <v>3889</v>
      </c>
      <c r="I397" s="736" t="str">
        <f t="shared" si="16"/>
        <v>NOT PAID</v>
      </c>
      <c r="J397" s="402"/>
      <c r="K397" s="402"/>
      <c r="L397" s="402"/>
      <c r="M397" s="402"/>
      <c r="N397" s="402"/>
      <c r="O397" s="402"/>
      <c r="P397" s="402"/>
      <c r="Q397" s="402"/>
      <c r="R397" s="402"/>
      <c r="S397" s="402"/>
      <c r="T397" s="402"/>
      <c r="U397" s="402"/>
      <c r="V397" s="402"/>
      <c r="W397" s="402"/>
      <c r="X397" s="402"/>
      <c r="Y397" s="402"/>
      <c r="Z397" s="402"/>
      <c r="AA397" s="405"/>
      <c r="AB397" s="405"/>
      <c r="AC397" s="405"/>
      <c r="AD397" s="405"/>
      <c r="AE397" s="405"/>
      <c r="AF397" s="405"/>
      <c r="AG397" s="405"/>
      <c r="AH397" s="405"/>
      <c r="AI397" s="405"/>
      <c r="AJ397" s="405"/>
      <c r="AK397" s="405"/>
      <c r="AL397" s="405"/>
    </row>
    <row r="398" ht="14.25" customHeight="1">
      <c r="A398" s="497">
        <v>45513.0</v>
      </c>
      <c r="B398" s="349" t="s">
        <v>3608</v>
      </c>
      <c r="C398" s="349" t="s">
        <v>3705</v>
      </c>
      <c r="D398" s="349" t="s">
        <v>54</v>
      </c>
      <c r="E398" s="349" t="s">
        <v>3579</v>
      </c>
      <c r="F398" s="413">
        <v>64847.0</v>
      </c>
      <c r="G398" s="413">
        <v>0.0</v>
      </c>
      <c r="H398" s="349" t="s">
        <v>3890</v>
      </c>
      <c r="I398" s="736" t="str">
        <f t="shared" si="16"/>
        <v>NOT PAID</v>
      </c>
      <c r="J398" s="402"/>
      <c r="K398" s="402"/>
      <c r="L398" s="402"/>
      <c r="M398" s="402"/>
      <c r="N398" s="402"/>
      <c r="O398" s="402"/>
      <c r="P398" s="402"/>
      <c r="Q398" s="402"/>
      <c r="R398" s="402"/>
      <c r="S398" s="402"/>
      <c r="T398" s="402"/>
      <c r="U398" s="402"/>
      <c r="V398" s="402"/>
      <c r="W398" s="402"/>
      <c r="X398" s="402"/>
      <c r="Y398" s="402"/>
      <c r="Z398" s="402"/>
      <c r="AA398" s="405"/>
      <c r="AB398" s="405"/>
      <c r="AC398" s="405"/>
      <c r="AD398" s="405"/>
      <c r="AE398" s="405"/>
      <c r="AF398" s="405"/>
      <c r="AG398" s="405"/>
      <c r="AH398" s="405"/>
      <c r="AI398" s="405"/>
      <c r="AJ398" s="405"/>
      <c r="AK398" s="405"/>
      <c r="AL398" s="405"/>
    </row>
    <row r="399" ht="14.25" customHeight="1">
      <c r="A399" s="497">
        <v>45513.0</v>
      </c>
      <c r="B399" s="349" t="s">
        <v>3789</v>
      </c>
      <c r="C399" s="349" t="s">
        <v>3790</v>
      </c>
      <c r="D399" s="349" t="s">
        <v>54</v>
      </c>
      <c r="E399" s="349" t="s">
        <v>3551</v>
      </c>
      <c r="F399" s="413">
        <v>5588.0</v>
      </c>
      <c r="G399" s="413">
        <v>0.0</v>
      </c>
      <c r="H399" s="349" t="s">
        <v>3889</v>
      </c>
      <c r="I399" s="736" t="str">
        <f t="shared" si="16"/>
        <v>NOT PAID</v>
      </c>
      <c r="J399" s="402"/>
      <c r="K399" s="402"/>
      <c r="L399" s="402"/>
      <c r="M399" s="402"/>
      <c r="N399" s="402"/>
      <c r="O399" s="402"/>
      <c r="P399" s="402"/>
      <c r="Q399" s="402"/>
      <c r="R399" s="402"/>
      <c r="S399" s="402"/>
      <c r="T399" s="402"/>
      <c r="U399" s="402"/>
      <c r="V399" s="402"/>
      <c r="W399" s="402"/>
      <c r="X399" s="402"/>
      <c r="Y399" s="402"/>
      <c r="Z399" s="402"/>
      <c r="AA399" s="405"/>
      <c r="AB399" s="405"/>
      <c r="AC399" s="405"/>
      <c r="AD399" s="405"/>
      <c r="AE399" s="405"/>
      <c r="AF399" s="405"/>
      <c r="AG399" s="405"/>
      <c r="AH399" s="405"/>
      <c r="AI399" s="405"/>
      <c r="AJ399" s="405"/>
      <c r="AK399" s="405"/>
      <c r="AL399" s="405"/>
    </row>
    <row r="400" ht="14.25" customHeight="1">
      <c r="A400" s="497">
        <v>45513.0</v>
      </c>
      <c r="B400" s="349" t="s">
        <v>3867</v>
      </c>
      <c r="C400" s="349" t="s">
        <v>3868</v>
      </c>
      <c r="D400" s="349" t="s">
        <v>54</v>
      </c>
      <c r="E400" s="349" t="s">
        <v>3551</v>
      </c>
      <c r="F400" s="413">
        <v>21326.45</v>
      </c>
      <c r="G400" s="413">
        <v>27000.0</v>
      </c>
      <c r="H400" s="349" t="s">
        <v>149</v>
      </c>
      <c r="I400" s="736" t="str">
        <f t="shared" si="16"/>
        <v>FULLY PAID</v>
      </c>
      <c r="J400" s="402"/>
      <c r="K400" s="402"/>
      <c r="L400" s="402"/>
      <c r="M400" s="402"/>
      <c r="N400" s="402"/>
      <c r="O400" s="402"/>
      <c r="P400" s="402"/>
      <c r="Q400" s="402"/>
      <c r="R400" s="402"/>
      <c r="S400" s="402"/>
      <c r="T400" s="402"/>
      <c r="U400" s="402"/>
      <c r="V400" s="402"/>
      <c r="W400" s="402"/>
      <c r="X400" s="402"/>
      <c r="Y400" s="402"/>
      <c r="Z400" s="402"/>
      <c r="AA400" s="405"/>
      <c r="AB400" s="405"/>
      <c r="AC400" s="405"/>
      <c r="AD400" s="405"/>
      <c r="AE400" s="405"/>
      <c r="AF400" s="405"/>
      <c r="AG400" s="405"/>
      <c r="AH400" s="405"/>
      <c r="AI400" s="405"/>
      <c r="AJ400" s="405"/>
      <c r="AK400" s="405"/>
      <c r="AL400" s="405"/>
    </row>
    <row r="401" ht="14.25" customHeight="1">
      <c r="A401" s="497">
        <v>45513.0</v>
      </c>
      <c r="B401" s="349" t="s">
        <v>3625</v>
      </c>
      <c r="C401" s="349" t="s">
        <v>3869</v>
      </c>
      <c r="D401" s="349" t="s">
        <v>54</v>
      </c>
      <c r="E401" s="349" t="s">
        <v>3579</v>
      </c>
      <c r="F401" s="413">
        <v>10977.45</v>
      </c>
      <c r="G401" s="413">
        <v>29000.0</v>
      </c>
      <c r="H401" s="349" t="s">
        <v>149</v>
      </c>
      <c r="I401" s="736" t="str">
        <f t="shared" si="16"/>
        <v>FULLY PAID</v>
      </c>
      <c r="J401" s="402"/>
      <c r="K401" s="402"/>
      <c r="L401" s="402"/>
      <c r="M401" s="402"/>
      <c r="N401" s="402"/>
      <c r="O401" s="402"/>
      <c r="P401" s="402"/>
      <c r="Q401" s="402"/>
      <c r="R401" s="402"/>
      <c r="S401" s="402"/>
      <c r="T401" s="402"/>
      <c r="U401" s="402"/>
      <c r="V401" s="402"/>
      <c r="W401" s="402"/>
      <c r="X401" s="402"/>
      <c r="Y401" s="402"/>
      <c r="Z401" s="402"/>
      <c r="AA401" s="405"/>
      <c r="AB401" s="405"/>
      <c r="AC401" s="405"/>
      <c r="AD401" s="405"/>
      <c r="AE401" s="405"/>
      <c r="AF401" s="405"/>
      <c r="AG401" s="405"/>
      <c r="AH401" s="405"/>
      <c r="AI401" s="405"/>
      <c r="AJ401" s="405"/>
      <c r="AK401" s="405"/>
      <c r="AL401" s="405"/>
    </row>
    <row r="402" ht="14.25" customHeight="1">
      <c r="A402" s="497">
        <v>45513.0</v>
      </c>
      <c r="B402" s="349" t="s">
        <v>3735</v>
      </c>
      <c r="C402" s="349" t="s">
        <v>3669</v>
      </c>
      <c r="D402" s="349" t="s">
        <v>54</v>
      </c>
      <c r="E402" s="349" t="s">
        <v>3551</v>
      </c>
      <c r="F402" s="413">
        <v>5000.0</v>
      </c>
      <c r="G402" s="413">
        <v>0.0</v>
      </c>
      <c r="H402" s="349" t="s">
        <v>2184</v>
      </c>
      <c r="I402" s="736" t="str">
        <f t="shared" si="16"/>
        <v>NOT PAID</v>
      </c>
      <c r="J402" s="402"/>
      <c r="K402" s="402"/>
      <c r="L402" s="402"/>
      <c r="M402" s="402"/>
      <c r="N402" s="402"/>
      <c r="O402" s="402"/>
      <c r="P402" s="402"/>
      <c r="Q402" s="402"/>
      <c r="R402" s="402"/>
      <c r="S402" s="402"/>
      <c r="T402" s="402"/>
      <c r="U402" s="402"/>
      <c r="V402" s="402"/>
      <c r="W402" s="402"/>
      <c r="X402" s="402"/>
      <c r="Y402" s="402"/>
      <c r="Z402" s="402"/>
      <c r="AA402" s="405"/>
      <c r="AB402" s="405"/>
      <c r="AC402" s="405"/>
      <c r="AD402" s="405"/>
      <c r="AE402" s="405"/>
      <c r="AF402" s="405"/>
      <c r="AG402" s="405"/>
      <c r="AH402" s="405"/>
      <c r="AI402" s="405"/>
      <c r="AJ402" s="405"/>
      <c r="AK402" s="405"/>
      <c r="AL402" s="405"/>
    </row>
    <row r="403" ht="14.25" customHeight="1">
      <c r="A403" s="497">
        <v>45513.0</v>
      </c>
      <c r="B403" s="349" t="s">
        <v>3571</v>
      </c>
      <c r="C403" s="349" t="s">
        <v>3572</v>
      </c>
      <c r="D403" s="349" t="s">
        <v>54</v>
      </c>
      <c r="E403" s="349" t="s">
        <v>3551</v>
      </c>
      <c r="F403" s="413">
        <v>41000.0</v>
      </c>
      <c r="G403" s="413">
        <v>0.0</v>
      </c>
      <c r="H403" s="349" t="s">
        <v>3889</v>
      </c>
      <c r="I403" s="736" t="str">
        <f t="shared" si="16"/>
        <v>NOT PAID</v>
      </c>
      <c r="J403" s="402"/>
      <c r="K403" s="402"/>
      <c r="L403" s="402"/>
      <c r="M403" s="402"/>
      <c r="N403" s="402"/>
      <c r="O403" s="402"/>
      <c r="P403" s="402"/>
      <c r="Q403" s="402"/>
      <c r="R403" s="402"/>
      <c r="S403" s="402"/>
      <c r="T403" s="402"/>
      <c r="U403" s="402"/>
      <c r="V403" s="402"/>
      <c r="W403" s="402"/>
      <c r="X403" s="402"/>
      <c r="Y403" s="402"/>
      <c r="Z403" s="402"/>
      <c r="AA403" s="405"/>
      <c r="AB403" s="405"/>
      <c r="AC403" s="405"/>
      <c r="AD403" s="405"/>
      <c r="AE403" s="405"/>
      <c r="AF403" s="405"/>
      <c r="AG403" s="405"/>
      <c r="AH403" s="405"/>
      <c r="AI403" s="405"/>
      <c r="AJ403" s="405"/>
      <c r="AK403" s="405"/>
      <c r="AL403" s="405"/>
    </row>
    <row r="404" ht="14.25" customHeight="1">
      <c r="A404" s="497">
        <v>45513.0</v>
      </c>
      <c r="B404" s="349" t="s">
        <v>3663</v>
      </c>
      <c r="C404" s="349" t="s">
        <v>3799</v>
      </c>
      <c r="D404" s="349" t="s">
        <v>54</v>
      </c>
      <c r="E404" s="349" t="s">
        <v>3579</v>
      </c>
      <c r="F404" s="413">
        <v>117629.0</v>
      </c>
      <c r="G404" s="413">
        <v>0.0</v>
      </c>
      <c r="H404" s="349" t="s">
        <v>3888</v>
      </c>
      <c r="I404" s="736" t="str">
        <f t="shared" si="16"/>
        <v>NOT PAID</v>
      </c>
      <c r="J404" s="402"/>
      <c r="K404" s="402"/>
      <c r="L404" s="402"/>
      <c r="M404" s="402"/>
      <c r="N404" s="402"/>
      <c r="O404" s="402"/>
      <c r="P404" s="402"/>
      <c r="Q404" s="402"/>
      <c r="R404" s="402"/>
      <c r="S404" s="402"/>
      <c r="T404" s="402"/>
      <c r="U404" s="402"/>
      <c r="V404" s="402"/>
      <c r="W404" s="402"/>
      <c r="X404" s="402"/>
      <c r="Y404" s="402"/>
      <c r="Z404" s="402"/>
      <c r="AA404" s="405"/>
      <c r="AB404" s="405"/>
      <c r="AC404" s="405"/>
      <c r="AD404" s="405"/>
      <c r="AE404" s="405"/>
      <c r="AF404" s="405"/>
      <c r="AG404" s="405"/>
      <c r="AH404" s="405"/>
      <c r="AI404" s="405"/>
      <c r="AJ404" s="405"/>
      <c r="AK404" s="405"/>
      <c r="AL404" s="405"/>
    </row>
    <row r="405" ht="14.25" customHeight="1">
      <c r="A405" s="497">
        <v>45513.0</v>
      </c>
      <c r="B405" s="349" t="s">
        <v>3561</v>
      </c>
      <c r="C405" s="349" t="s">
        <v>3562</v>
      </c>
      <c r="D405" s="349" t="s">
        <v>54</v>
      </c>
      <c r="E405" s="349" t="s">
        <v>3579</v>
      </c>
      <c r="F405" s="413">
        <v>28631.0</v>
      </c>
      <c r="G405" s="413">
        <v>0.0</v>
      </c>
      <c r="H405" s="349" t="s">
        <v>2184</v>
      </c>
      <c r="I405" s="736" t="str">
        <f t="shared" si="16"/>
        <v>NOT PAID</v>
      </c>
      <c r="J405" s="402"/>
      <c r="K405" s="402"/>
      <c r="L405" s="402"/>
      <c r="M405" s="402"/>
      <c r="N405" s="402"/>
      <c r="O405" s="402"/>
      <c r="P405" s="402"/>
      <c r="Q405" s="402"/>
      <c r="R405" s="402"/>
      <c r="S405" s="402"/>
      <c r="T405" s="402"/>
      <c r="U405" s="402"/>
      <c r="V405" s="402"/>
      <c r="W405" s="402"/>
      <c r="X405" s="402"/>
      <c r="Y405" s="402"/>
      <c r="Z405" s="402"/>
      <c r="AA405" s="405"/>
      <c r="AB405" s="405"/>
      <c r="AC405" s="405"/>
      <c r="AD405" s="405"/>
      <c r="AE405" s="405"/>
      <c r="AF405" s="405"/>
      <c r="AG405" s="405"/>
      <c r="AH405" s="405"/>
      <c r="AI405" s="405"/>
      <c r="AJ405" s="405"/>
      <c r="AK405" s="405"/>
      <c r="AL405" s="405"/>
    </row>
    <row r="406" ht="14.25" customHeight="1">
      <c r="A406" s="497">
        <v>45513.0</v>
      </c>
      <c r="B406" s="349" t="s">
        <v>3828</v>
      </c>
      <c r="C406" s="349" t="s">
        <v>3829</v>
      </c>
      <c r="D406" s="349" t="s">
        <v>54</v>
      </c>
      <c r="E406" s="349" t="s">
        <v>3579</v>
      </c>
      <c r="F406" s="413">
        <v>7662.6</v>
      </c>
      <c r="G406" s="413">
        <v>0.0</v>
      </c>
      <c r="H406" s="349" t="s">
        <v>3888</v>
      </c>
      <c r="I406" s="736" t="str">
        <f t="shared" si="16"/>
        <v>NOT PAID</v>
      </c>
      <c r="J406" s="402"/>
      <c r="K406" s="402"/>
      <c r="L406" s="402"/>
      <c r="M406" s="402"/>
      <c r="N406" s="402"/>
      <c r="O406" s="402"/>
      <c r="P406" s="402"/>
      <c r="Q406" s="402"/>
      <c r="R406" s="402"/>
      <c r="S406" s="402"/>
      <c r="T406" s="402"/>
      <c r="U406" s="402"/>
      <c r="V406" s="402"/>
      <c r="W406" s="402"/>
      <c r="X406" s="402"/>
      <c r="Y406" s="402"/>
      <c r="Z406" s="402"/>
      <c r="AA406" s="405"/>
      <c r="AB406" s="405"/>
      <c r="AC406" s="405"/>
      <c r="AD406" s="405"/>
      <c r="AE406" s="405"/>
      <c r="AF406" s="405"/>
      <c r="AG406" s="405"/>
      <c r="AH406" s="405"/>
      <c r="AI406" s="405"/>
      <c r="AJ406" s="405"/>
      <c r="AK406" s="405"/>
      <c r="AL406" s="405"/>
    </row>
    <row r="407" ht="14.25" customHeight="1">
      <c r="A407" s="497">
        <v>45513.0</v>
      </c>
      <c r="B407" s="349" t="s">
        <v>3781</v>
      </c>
      <c r="C407" s="349" t="s">
        <v>3782</v>
      </c>
      <c r="D407" s="349" t="s">
        <v>54</v>
      </c>
      <c r="E407" s="349" t="s">
        <v>3551</v>
      </c>
      <c r="F407" s="413">
        <v>31425.65</v>
      </c>
      <c r="G407" s="413">
        <v>0.0</v>
      </c>
      <c r="H407" s="349" t="s">
        <v>2184</v>
      </c>
      <c r="I407" s="736" t="str">
        <f t="shared" si="16"/>
        <v>NOT PAID</v>
      </c>
      <c r="J407" s="402"/>
      <c r="K407" s="402"/>
      <c r="L407" s="402"/>
      <c r="M407" s="402"/>
      <c r="N407" s="402"/>
      <c r="O407" s="402"/>
      <c r="P407" s="402"/>
      <c r="Q407" s="402"/>
      <c r="R407" s="402"/>
      <c r="S407" s="402"/>
      <c r="T407" s="402"/>
      <c r="U407" s="402"/>
      <c r="V407" s="402"/>
      <c r="W407" s="402"/>
      <c r="X407" s="402"/>
      <c r="Y407" s="402"/>
      <c r="Z407" s="402"/>
      <c r="AA407" s="405"/>
      <c r="AB407" s="405"/>
      <c r="AC407" s="405"/>
      <c r="AD407" s="405"/>
      <c r="AE407" s="405"/>
      <c r="AF407" s="405"/>
      <c r="AG407" s="405"/>
      <c r="AH407" s="405"/>
      <c r="AI407" s="405"/>
      <c r="AJ407" s="405"/>
      <c r="AK407" s="405"/>
      <c r="AL407" s="405"/>
    </row>
    <row r="408" ht="14.25" customHeight="1">
      <c r="A408" s="497">
        <v>45513.0</v>
      </c>
      <c r="B408" s="349" t="s">
        <v>3717</v>
      </c>
      <c r="C408" s="349" t="s">
        <v>3621</v>
      </c>
      <c r="D408" s="349" t="s">
        <v>54</v>
      </c>
      <c r="E408" s="349" t="s">
        <v>3579</v>
      </c>
      <c r="F408" s="413">
        <v>24896.0</v>
      </c>
      <c r="G408" s="413">
        <v>0.0</v>
      </c>
      <c r="H408" s="349" t="s">
        <v>3891</v>
      </c>
      <c r="I408" s="736" t="str">
        <f t="shared" si="16"/>
        <v>NOT PAID</v>
      </c>
      <c r="J408" s="402"/>
      <c r="K408" s="402"/>
      <c r="L408" s="402"/>
      <c r="M408" s="402"/>
      <c r="N408" s="402"/>
      <c r="O408" s="402"/>
      <c r="P408" s="402"/>
      <c r="Q408" s="402"/>
      <c r="R408" s="402"/>
      <c r="S408" s="402"/>
      <c r="T408" s="402"/>
      <c r="U408" s="402"/>
      <c r="V408" s="402"/>
      <c r="W408" s="402"/>
      <c r="X408" s="402"/>
      <c r="Y408" s="402"/>
      <c r="Z408" s="402"/>
      <c r="AA408" s="405"/>
      <c r="AB408" s="405"/>
      <c r="AC408" s="405"/>
      <c r="AD408" s="405"/>
      <c r="AE408" s="405"/>
      <c r="AF408" s="405"/>
      <c r="AG408" s="405"/>
      <c r="AH408" s="405"/>
      <c r="AI408" s="405"/>
      <c r="AJ408" s="405"/>
      <c r="AK408" s="405"/>
      <c r="AL408" s="405"/>
    </row>
    <row r="409" ht="14.25" customHeight="1">
      <c r="A409" s="497">
        <v>45513.0</v>
      </c>
      <c r="B409" s="349" t="s">
        <v>3649</v>
      </c>
      <c r="C409" s="349" t="s">
        <v>3650</v>
      </c>
      <c r="D409" s="349" t="s">
        <v>54</v>
      </c>
      <c r="E409" s="349" t="s">
        <v>3579</v>
      </c>
      <c r="F409" s="413">
        <v>31924.0</v>
      </c>
      <c r="G409" s="413">
        <v>0.0</v>
      </c>
      <c r="H409" s="349" t="s">
        <v>3891</v>
      </c>
      <c r="I409" s="736" t="str">
        <f t="shared" si="16"/>
        <v>NOT PAID</v>
      </c>
      <c r="J409" s="402"/>
      <c r="K409" s="402"/>
      <c r="L409" s="402"/>
      <c r="M409" s="402"/>
      <c r="N409" s="402"/>
      <c r="O409" s="402"/>
      <c r="P409" s="402"/>
      <c r="Q409" s="402"/>
      <c r="R409" s="402"/>
      <c r="S409" s="402"/>
      <c r="T409" s="402"/>
      <c r="U409" s="402"/>
      <c r="V409" s="402"/>
      <c r="W409" s="402"/>
      <c r="X409" s="402"/>
      <c r="Y409" s="402"/>
      <c r="Z409" s="402"/>
      <c r="AA409" s="405"/>
      <c r="AB409" s="405"/>
      <c r="AC409" s="405"/>
      <c r="AD409" s="405"/>
      <c r="AE409" s="405"/>
      <c r="AF409" s="405"/>
      <c r="AG409" s="405"/>
      <c r="AH409" s="405"/>
      <c r="AI409" s="405"/>
      <c r="AJ409" s="405"/>
      <c r="AK409" s="405"/>
      <c r="AL409" s="405"/>
    </row>
    <row r="410" ht="14.25" customHeight="1">
      <c r="A410" s="497">
        <v>45513.0</v>
      </c>
      <c r="B410" s="349" t="s">
        <v>3641</v>
      </c>
      <c r="C410" s="349" t="s">
        <v>3642</v>
      </c>
      <c r="D410" s="349" t="s">
        <v>54</v>
      </c>
      <c r="E410" s="349" t="s">
        <v>3551</v>
      </c>
      <c r="F410" s="413">
        <v>1721.0</v>
      </c>
      <c r="G410" s="413">
        <v>0.0</v>
      </c>
      <c r="H410" s="349" t="s">
        <v>3888</v>
      </c>
      <c r="I410" s="736" t="str">
        <f t="shared" si="16"/>
        <v>NOT PAID</v>
      </c>
      <c r="J410" s="402"/>
      <c r="K410" s="402"/>
      <c r="L410" s="402"/>
      <c r="M410" s="402"/>
      <c r="N410" s="402"/>
      <c r="O410" s="402"/>
      <c r="P410" s="402"/>
      <c r="Q410" s="402"/>
      <c r="R410" s="402"/>
      <c r="S410" s="402"/>
      <c r="T410" s="402"/>
      <c r="U410" s="402"/>
      <c r="V410" s="402"/>
      <c r="W410" s="402"/>
      <c r="X410" s="402"/>
      <c r="Y410" s="402"/>
      <c r="Z410" s="402"/>
      <c r="AA410" s="405"/>
      <c r="AB410" s="405"/>
      <c r="AC410" s="405"/>
      <c r="AD410" s="405"/>
      <c r="AE410" s="405"/>
      <c r="AF410" s="405"/>
      <c r="AG410" s="405"/>
      <c r="AH410" s="405"/>
      <c r="AI410" s="405"/>
      <c r="AJ410" s="405"/>
      <c r="AK410" s="405"/>
      <c r="AL410" s="405"/>
    </row>
    <row r="411" ht="14.25" customHeight="1">
      <c r="A411" s="497">
        <v>45513.0</v>
      </c>
      <c r="B411" s="349" t="s">
        <v>3744</v>
      </c>
      <c r="C411" s="349" t="s">
        <v>3745</v>
      </c>
      <c r="D411" s="349" t="s">
        <v>54</v>
      </c>
      <c r="E411" s="349" t="s">
        <v>3579</v>
      </c>
      <c r="F411" s="413">
        <v>35500.0</v>
      </c>
      <c r="G411" s="413">
        <v>0.0</v>
      </c>
      <c r="H411" s="349" t="s">
        <v>3892</v>
      </c>
      <c r="I411" s="736" t="str">
        <f t="shared" si="16"/>
        <v>NOT PAID</v>
      </c>
      <c r="J411" s="402"/>
      <c r="K411" s="402"/>
      <c r="L411" s="402"/>
      <c r="M411" s="402"/>
      <c r="N411" s="402"/>
      <c r="O411" s="402"/>
      <c r="P411" s="402"/>
      <c r="Q411" s="402"/>
      <c r="R411" s="402"/>
      <c r="S411" s="402"/>
      <c r="T411" s="402"/>
      <c r="U411" s="402"/>
      <c r="V411" s="402"/>
      <c r="W411" s="402"/>
      <c r="X411" s="402"/>
      <c r="Y411" s="402"/>
      <c r="Z411" s="402"/>
      <c r="AA411" s="405"/>
      <c r="AB411" s="405"/>
      <c r="AC411" s="405"/>
      <c r="AD411" s="405"/>
      <c r="AE411" s="405"/>
      <c r="AF411" s="405"/>
      <c r="AG411" s="405"/>
      <c r="AH411" s="405"/>
      <c r="AI411" s="405"/>
      <c r="AJ411" s="405"/>
      <c r="AK411" s="405"/>
      <c r="AL411" s="405"/>
    </row>
    <row r="412" ht="14.25" customHeight="1">
      <c r="A412" s="497"/>
      <c r="B412" s="402"/>
      <c r="C412" s="402"/>
      <c r="D412" s="402"/>
      <c r="E412" s="402"/>
      <c r="F412" s="402"/>
      <c r="G412" s="403"/>
      <c r="H412" s="402"/>
      <c r="I412" s="736" t="str">
        <f t="shared" si="16"/>
        <v>FULLY PAID</v>
      </c>
      <c r="J412" s="402"/>
      <c r="K412" s="402"/>
      <c r="L412" s="402"/>
      <c r="M412" s="402"/>
      <c r="N412" s="402"/>
      <c r="O412" s="402"/>
      <c r="P412" s="402"/>
      <c r="Q412" s="402"/>
      <c r="R412" s="402"/>
      <c r="S412" s="402"/>
      <c r="T412" s="402"/>
      <c r="U412" s="402"/>
      <c r="V412" s="402"/>
      <c r="W412" s="402"/>
      <c r="X412" s="402"/>
      <c r="Y412" s="402"/>
      <c r="Z412" s="402"/>
      <c r="AA412" s="405"/>
      <c r="AB412" s="405"/>
      <c r="AC412" s="405"/>
      <c r="AD412" s="405"/>
      <c r="AE412" s="405"/>
      <c r="AF412" s="405"/>
      <c r="AG412" s="405"/>
      <c r="AH412" s="405"/>
      <c r="AI412" s="405"/>
      <c r="AJ412" s="405"/>
      <c r="AK412" s="405"/>
      <c r="AL412" s="405"/>
    </row>
    <row r="413" ht="14.25" customHeight="1">
      <c r="A413" s="497"/>
      <c r="B413" s="402"/>
      <c r="C413" s="402"/>
      <c r="D413" s="402"/>
      <c r="E413" s="402"/>
      <c r="F413" s="402"/>
      <c r="G413" s="403"/>
      <c r="H413" s="402"/>
      <c r="I413" s="736" t="str">
        <f t="shared" si="16"/>
        <v>FULLY PAID</v>
      </c>
      <c r="J413" s="402"/>
      <c r="K413" s="402"/>
      <c r="L413" s="402"/>
      <c r="M413" s="402"/>
      <c r="N413" s="402"/>
      <c r="O413" s="402"/>
      <c r="P413" s="402"/>
      <c r="Q413" s="402"/>
      <c r="R413" s="402"/>
      <c r="S413" s="402"/>
      <c r="T413" s="402"/>
      <c r="U413" s="402"/>
      <c r="V413" s="402"/>
      <c r="W413" s="402"/>
      <c r="X413" s="402"/>
      <c r="Y413" s="402"/>
      <c r="Z413" s="402"/>
      <c r="AA413" s="405"/>
      <c r="AB413" s="405"/>
      <c r="AC413" s="405"/>
      <c r="AD413" s="405"/>
      <c r="AE413" s="405"/>
      <c r="AF413" s="405"/>
      <c r="AG413" s="405"/>
      <c r="AH413" s="405"/>
      <c r="AI413" s="405"/>
      <c r="AJ413" s="405"/>
      <c r="AK413" s="405"/>
      <c r="AL413" s="405"/>
    </row>
    <row r="414" ht="14.25" customHeight="1">
      <c r="A414" s="497"/>
      <c r="B414" s="402"/>
      <c r="C414" s="402"/>
      <c r="D414" s="402"/>
      <c r="E414" s="402"/>
      <c r="F414" s="586">
        <f t="shared" ref="F414:G414" si="17">SUM(F391:F413)</f>
        <v>1156983.41</v>
      </c>
      <c r="G414" s="586">
        <f t="shared" si="17"/>
        <v>244760</v>
      </c>
      <c r="H414" s="402"/>
      <c r="I414" s="736" t="str">
        <f t="shared" si="16"/>
        <v>PARTIALLY PAID</v>
      </c>
      <c r="J414" s="402"/>
      <c r="K414" s="402"/>
      <c r="L414" s="402"/>
      <c r="M414" s="402"/>
      <c r="N414" s="402"/>
      <c r="O414" s="402"/>
      <c r="P414" s="402"/>
      <c r="Q414" s="402"/>
      <c r="R414" s="402"/>
      <c r="S414" s="402"/>
      <c r="T414" s="402"/>
      <c r="U414" s="402"/>
      <c r="V414" s="402"/>
      <c r="W414" s="402"/>
      <c r="X414" s="402"/>
      <c r="Y414" s="402"/>
      <c r="Z414" s="402"/>
      <c r="AA414" s="405"/>
      <c r="AB414" s="405"/>
      <c r="AC414" s="405"/>
      <c r="AD414" s="405"/>
      <c r="AE414" s="405"/>
      <c r="AF414" s="405"/>
      <c r="AG414" s="405"/>
      <c r="AH414" s="405"/>
      <c r="AI414" s="405"/>
      <c r="AJ414" s="405"/>
      <c r="AK414" s="405"/>
      <c r="AL414" s="405"/>
    </row>
    <row r="415" ht="14.25" customHeight="1">
      <c r="A415" s="497"/>
      <c r="B415" s="402"/>
      <c r="C415" s="402"/>
      <c r="D415" s="402"/>
      <c r="E415" s="402"/>
      <c r="F415" s="402"/>
      <c r="G415" s="403"/>
      <c r="H415" s="402"/>
      <c r="I415" s="736" t="str">
        <f t="shared" si="16"/>
        <v>FULLY PAID</v>
      </c>
      <c r="J415" s="402"/>
      <c r="K415" s="402"/>
      <c r="L415" s="402"/>
      <c r="M415" s="402"/>
      <c r="N415" s="402"/>
      <c r="O415" s="402"/>
      <c r="P415" s="402"/>
      <c r="Q415" s="402"/>
      <c r="R415" s="402"/>
      <c r="S415" s="402"/>
      <c r="T415" s="402"/>
      <c r="U415" s="402"/>
      <c r="V415" s="402"/>
      <c r="W415" s="402"/>
      <c r="X415" s="402"/>
      <c r="Y415" s="402"/>
      <c r="Z415" s="402"/>
      <c r="AA415" s="405"/>
      <c r="AB415" s="405"/>
      <c r="AC415" s="405"/>
      <c r="AD415" s="405"/>
      <c r="AE415" s="405"/>
      <c r="AF415" s="405"/>
      <c r="AG415" s="405"/>
      <c r="AH415" s="405"/>
      <c r="AI415" s="405"/>
      <c r="AJ415" s="405"/>
      <c r="AK415" s="405"/>
      <c r="AL415" s="405"/>
    </row>
    <row r="416" ht="14.25" customHeight="1">
      <c r="A416" s="584" t="s">
        <v>2130</v>
      </c>
      <c r="B416" s="584" t="s">
        <v>39</v>
      </c>
      <c r="C416" s="584" t="s">
        <v>48</v>
      </c>
      <c r="D416" s="584" t="s">
        <v>49</v>
      </c>
      <c r="E416" s="584" t="s">
        <v>50</v>
      </c>
      <c r="F416" s="584" t="s">
        <v>2</v>
      </c>
      <c r="G416" s="586" t="s">
        <v>44</v>
      </c>
      <c r="H416" s="424" t="s">
        <v>45</v>
      </c>
      <c r="I416" s="736" t="str">
        <f t="shared" si="16"/>
        <v>FULLY PAID</v>
      </c>
      <c r="J416" s="584"/>
      <c r="K416" s="584"/>
      <c r="L416" s="584"/>
      <c r="M416" s="584"/>
      <c r="N416" s="584"/>
      <c r="O416" s="584"/>
      <c r="P416" s="584"/>
      <c r="Q416" s="584"/>
      <c r="R416" s="584"/>
      <c r="S416" s="584"/>
      <c r="T416" s="584"/>
      <c r="U416" s="584"/>
      <c r="V416" s="584"/>
      <c r="W416" s="584"/>
      <c r="X416" s="584"/>
      <c r="Y416" s="584"/>
      <c r="Z416" s="584"/>
      <c r="AA416" s="659"/>
      <c r="AB416" s="659"/>
      <c r="AC416" s="659"/>
      <c r="AD416" s="659"/>
      <c r="AE416" s="659"/>
      <c r="AF416" s="659"/>
      <c r="AG416" s="659"/>
      <c r="AH416" s="659"/>
      <c r="AI416" s="659"/>
      <c r="AJ416" s="659"/>
      <c r="AK416" s="659"/>
      <c r="AL416" s="659"/>
    </row>
    <row r="417" ht="14.25" customHeight="1">
      <c r="A417" s="497">
        <v>45514.0</v>
      </c>
      <c r="B417" s="349" t="s">
        <v>3599</v>
      </c>
      <c r="C417" s="349" t="s">
        <v>3842</v>
      </c>
      <c r="D417" s="349" t="s">
        <v>54</v>
      </c>
      <c r="E417" s="349" t="s">
        <v>3551</v>
      </c>
      <c r="F417" s="413">
        <v>15273.25</v>
      </c>
      <c r="G417" s="413"/>
      <c r="H417" s="349" t="s">
        <v>2184</v>
      </c>
      <c r="I417" s="736" t="str">
        <f t="shared" si="16"/>
        <v>NOT PAID</v>
      </c>
      <c r="J417" s="402"/>
      <c r="K417" s="402"/>
      <c r="L417" s="402"/>
      <c r="M417" s="402"/>
      <c r="N417" s="402"/>
      <c r="O417" s="402"/>
      <c r="P417" s="402"/>
      <c r="Q417" s="402"/>
      <c r="R417" s="402"/>
      <c r="S417" s="402"/>
      <c r="T417" s="402"/>
      <c r="U417" s="402"/>
      <c r="V417" s="402"/>
      <c r="W417" s="402"/>
      <c r="X417" s="402"/>
      <c r="Y417" s="402"/>
      <c r="Z417" s="402"/>
      <c r="AA417" s="405"/>
      <c r="AB417" s="405"/>
      <c r="AC417" s="405"/>
      <c r="AD417" s="405"/>
      <c r="AE417" s="405"/>
      <c r="AF417" s="405"/>
      <c r="AG417" s="405"/>
      <c r="AH417" s="405"/>
      <c r="AI417" s="405"/>
      <c r="AJ417" s="405"/>
      <c r="AK417" s="405"/>
      <c r="AL417" s="405"/>
    </row>
    <row r="418" ht="14.25" customHeight="1">
      <c r="A418" s="497">
        <v>45514.0</v>
      </c>
      <c r="B418" s="349" t="s">
        <v>3893</v>
      </c>
      <c r="C418" s="349" t="s">
        <v>3894</v>
      </c>
      <c r="D418" s="349" t="s">
        <v>54</v>
      </c>
      <c r="E418" s="349" t="s">
        <v>3579</v>
      </c>
      <c r="F418" s="413">
        <v>16868.4</v>
      </c>
      <c r="G418" s="413"/>
      <c r="H418" s="349" t="s">
        <v>2184</v>
      </c>
      <c r="I418" s="736" t="str">
        <f t="shared" si="16"/>
        <v>NOT PAID</v>
      </c>
      <c r="J418" s="402"/>
      <c r="K418" s="402"/>
      <c r="L418" s="402"/>
      <c r="M418" s="402"/>
      <c r="N418" s="402"/>
      <c r="O418" s="402"/>
      <c r="P418" s="402"/>
      <c r="Q418" s="402"/>
      <c r="R418" s="402"/>
      <c r="S418" s="402"/>
      <c r="T418" s="402"/>
      <c r="U418" s="402"/>
      <c r="V418" s="402"/>
      <c r="W418" s="402"/>
      <c r="X418" s="402"/>
      <c r="Y418" s="402"/>
      <c r="Z418" s="402"/>
      <c r="AA418" s="405"/>
      <c r="AB418" s="405"/>
      <c r="AC418" s="405"/>
      <c r="AD418" s="405"/>
      <c r="AE418" s="405"/>
      <c r="AF418" s="405"/>
      <c r="AG418" s="405"/>
      <c r="AH418" s="405"/>
      <c r="AI418" s="405"/>
      <c r="AJ418" s="405"/>
      <c r="AK418" s="405"/>
      <c r="AL418" s="405"/>
    </row>
    <row r="419" ht="14.25" customHeight="1">
      <c r="A419" s="497">
        <v>45514.0</v>
      </c>
      <c r="B419" s="349" t="s">
        <v>3735</v>
      </c>
      <c r="C419" s="349" t="s">
        <v>3669</v>
      </c>
      <c r="D419" s="349" t="s">
        <v>54</v>
      </c>
      <c r="E419" s="349" t="s">
        <v>3551</v>
      </c>
      <c r="F419" s="413">
        <v>5000.0</v>
      </c>
      <c r="G419" s="403"/>
      <c r="H419" s="349" t="s">
        <v>2184</v>
      </c>
      <c r="I419" s="736" t="str">
        <f t="shared" si="16"/>
        <v>NOT PAID</v>
      </c>
      <c r="J419" s="402"/>
      <c r="K419" s="402"/>
      <c r="L419" s="402"/>
      <c r="M419" s="402"/>
      <c r="N419" s="402"/>
      <c r="O419" s="402"/>
      <c r="P419" s="402"/>
      <c r="Q419" s="402"/>
      <c r="R419" s="402"/>
      <c r="S419" s="402"/>
      <c r="T419" s="402"/>
      <c r="U419" s="402"/>
      <c r="V419" s="402"/>
      <c r="W419" s="402"/>
      <c r="X419" s="402"/>
      <c r="Y419" s="402"/>
      <c r="Z419" s="402"/>
      <c r="AA419" s="405"/>
      <c r="AB419" s="405"/>
      <c r="AC419" s="405"/>
      <c r="AD419" s="405"/>
      <c r="AE419" s="405"/>
      <c r="AF419" s="405"/>
      <c r="AG419" s="405"/>
      <c r="AH419" s="405"/>
      <c r="AI419" s="405"/>
      <c r="AJ419" s="405"/>
      <c r="AK419" s="405"/>
      <c r="AL419" s="405"/>
    </row>
    <row r="420" ht="14.25" customHeight="1">
      <c r="A420" s="497">
        <v>45514.0</v>
      </c>
      <c r="B420" s="349" t="s">
        <v>3571</v>
      </c>
      <c r="C420" s="349" t="s">
        <v>3572</v>
      </c>
      <c r="D420" s="349" t="s">
        <v>54</v>
      </c>
      <c r="E420" s="349" t="s">
        <v>3551</v>
      </c>
      <c r="F420" s="413">
        <v>41000.0</v>
      </c>
      <c r="G420" s="403"/>
      <c r="H420" s="349" t="s">
        <v>3895</v>
      </c>
      <c r="I420" s="736" t="str">
        <f t="shared" si="16"/>
        <v>NOT PAID</v>
      </c>
      <c r="J420" s="402"/>
      <c r="K420" s="402"/>
      <c r="L420" s="402"/>
      <c r="M420" s="402"/>
      <c r="N420" s="402"/>
      <c r="O420" s="402"/>
      <c r="P420" s="402"/>
      <c r="Q420" s="402"/>
      <c r="R420" s="402"/>
      <c r="S420" s="402"/>
      <c r="T420" s="402"/>
      <c r="U420" s="402"/>
      <c r="V420" s="402"/>
      <c r="W420" s="402"/>
      <c r="X420" s="402"/>
      <c r="Y420" s="402"/>
      <c r="Z420" s="402"/>
      <c r="AA420" s="405"/>
      <c r="AB420" s="405"/>
      <c r="AC420" s="405"/>
      <c r="AD420" s="405"/>
      <c r="AE420" s="405"/>
      <c r="AF420" s="405"/>
      <c r="AG420" s="405"/>
      <c r="AH420" s="405"/>
      <c r="AI420" s="405"/>
      <c r="AJ420" s="405"/>
      <c r="AK420" s="405"/>
      <c r="AL420" s="405"/>
    </row>
    <row r="421" ht="14.25" customHeight="1">
      <c r="A421" s="497">
        <v>45514.0</v>
      </c>
      <c r="B421" s="349" t="s">
        <v>3663</v>
      </c>
      <c r="C421" s="349" t="s">
        <v>3799</v>
      </c>
      <c r="D421" s="349" t="s">
        <v>54</v>
      </c>
      <c r="E421" s="349" t="s">
        <v>3579</v>
      </c>
      <c r="F421" s="413">
        <v>117629.0</v>
      </c>
      <c r="G421" s="403"/>
      <c r="H421" s="349" t="s">
        <v>2184</v>
      </c>
      <c r="I421" s="736" t="str">
        <f t="shared" si="16"/>
        <v>NOT PAID</v>
      </c>
      <c r="J421" s="402"/>
      <c r="K421" s="402"/>
      <c r="L421" s="402"/>
      <c r="M421" s="402"/>
      <c r="N421" s="402"/>
      <c r="O421" s="402"/>
      <c r="P421" s="402"/>
      <c r="Q421" s="402"/>
      <c r="R421" s="402"/>
      <c r="S421" s="402"/>
      <c r="T421" s="402"/>
      <c r="U421" s="402"/>
      <c r="V421" s="402"/>
      <c r="W421" s="402"/>
      <c r="X421" s="402"/>
      <c r="Y421" s="402"/>
      <c r="Z421" s="402"/>
      <c r="AA421" s="405"/>
      <c r="AB421" s="405"/>
      <c r="AC421" s="405"/>
      <c r="AD421" s="405"/>
      <c r="AE421" s="405"/>
      <c r="AF421" s="405"/>
      <c r="AG421" s="405"/>
      <c r="AH421" s="405"/>
      <c r="AI421" s="405"/>
      <c r="AJ421" s="405"/>
      <c r="AK421" s="405"/>
      <c r="AL421" s="405"/>
    </row>
    <row r="422" ht="14.25" customHeight="1">
      <c r="A422" s="497">
        <v>45514.0</v>
      </c>
      <c r="B422" s="349" t="s">
        <v>3561</v>
      </c>
      <c r="C422" s="349" t="s">
        <v>3562</v>
      </c>
      <c r="D422" s="349" t="s">
        <v>54</v>
      </c>
      <c r="E422" s="349" t="s">
        <v>3579</v>
      </c>
      <c r="F422" s="413">
        <v>28631.0</v>
      </c>
      <c r="G422" s="403"/>
      <c r="H422" s="349" t="s">
        <v>3896</v>
      </c>
      <c r="I422" s="736" t="str">
        <f t="shared" si="16"/>
        <v>NOT PAID</v>
      </c>
      <c r="J422" s="402"/>
      <c r="K422" s="402"/>
      <c r="L422" s="402"/>
      <c r="M422" s="402"/>
      <c r="N422" s="402"/>
      <c r="O422" s="402"/>
      <c r="P422" s="402"/>
      <c r="Q422" s="402"/>
      <c r="R422" s="402"/>
      <c r="S422" s="402"/>
      <c r="T422" s="402"/>
      <c r="U422" s="402"/>
      <c r="V422" s="402"/>
      <c r="W422" s="402"/>
      <c r="X422" s="402"/>
      <c r="Y422" s="402"/>
      <c r="Z422" s="402"/>
      <c r="AA422" s="405"/>
      <c r="AB422" s="405"/>
      <c r="AC422" s="405"/>
      <c r="AD422" s="405"/>
      <c r="AE422" s="405"/>
      <c r="AF422" s="405"/>
      <c r="AG422" s="405"/>
      <c r="AH422" s="405"/>
      <c r="AI422" s="405"/>
      <c r="AJ422" s="405"/>
      <c r="AK422" s="405"/>
      <c r="AL422" s="405"/>
    </row>
    <row r="423" ht="14.25" customHeight="1">
      <c r="A423" s="497">
        <v>45514.0</v>
      </c>
      <c r="B423" s="349" t="s">
        <v>3828</v>
      </c>
      <c r="C423" s="349" t="s">
        <v>3829</v>
      </c>
      <c r="D423" s="349" t="s">
        <v>54</v>
      </c>
      <c r="E423" s="349" t="s">
        <v>3579</v>
      </c>
      <c r="F423" s="413">
        <v>7662.6</v>
      </c>
      <c r="G423" s="403"/>
      <c r="H423" s="349" t="s">
        <v>2184</v>
      </c>
      <c r="I423" s="736" t="str">
        <f t="shared" si="16"/>
        <v>NOT PAID</v>
      </c>
      <c r="J423" s="402"/>
      <c r="K423" s="402"/>
      <c r="L423" s="402"/>
      <c r="M423" s="402"/>
      <c r="N423" s="402"/>
      <c r="O423" s="402"/>
      <c r="P423" s="402"/>
      <c r="Q423" s="402"/>
      <c r="R423" s="402"/>
      <c r="S423" s="402"/>
      <c r="T423" s="402"/>
      <c r="U423" s="402"/>
      <c r="V423" s="402"/>
      <c r="W423" s="402"/>
      <c r="X423" s="402"/>
      <c r="Y423" s="402"/>
      <c r="Z423" s="402"/>
      <c r="AA423" s="405"/>
      <c r="AB423" s="405"/>
      <c r="AC423" s="405"/>
      <c r="AD423" s="405"/>
      <c r="AE423" s="405"/>
      <c r="AF423" s="405"/>
      <c r="AG423" s="405"/>
      <c r="AH423" s="405"/>
      <c r="AI423" s="405"/>
      <c r="AJ423" s="405"/>
      <c r="AK423" s="405"/>
      <c r="AL423" s="405"/>
    </row>
    <row r="424" ht="14.25" customHeight="1">
      <c r="A424" s="497">
        <v>45514.0</v>
      </c>
      <c r="B424" s="349" t="s">
        <v>3781</v>
      </c>
      <c r="C424" s="349" t="s">
        <v>3782</v>
      </c>
      <c r="D424" s="349" t="s">
        <v>54</v>
      </c>
      <c r="E424" s="349" t="s">
        <v>3551</v>
      </c>
      <c r="F424" s="413">
        <v>31425.65</v>
      </c>
      <c r="G424" s="403"/>
      <c r="H424" s="349" t="s">
        <v>2184</v>
      </c>
      <c r="I424" s="736" t="str">
        <f t="shared" si="16"/>
        <v>NOT PAID</v>
      </c>
      <c r="J424" s="402"/>
      <c r="K424" s="402"/>
      <c r="L424" s="402"/>
      <c r="M424" s="402"/>
      <c r="N424" s="402"/>
      <c r="O424" s="402"/>
      <c r="P424" s="402"/>
      <c r="Q424" s="402"/>
      <c r="R424" s="402"/>
      <c r="S424" s="402"/>
      <c r="T424" s="402"/>
      <c r="U424" s="402"/>
      <c r="V424" s="402"/>
      <c r="W424" s="402"/>
      <c r="X424" s="402"/>
      <c r="Y424" s="402"/>
      <c r="Z424" s="402"/>
      <c r="AA424" s="405"/>
      <c r="AB424" s="405"/>
      <c r="AC424" s="405"/>
      <c r="AD424" s="405"/>
      <c r="AE424" s="405"/>
      <c r="AF424" s="405"/>
      <c r="AG424" s="405"/>
      <c r="AH424" s="405"/>
      <c r="AI424" s="405"/>
      <c r="AJ424" s="405"/>
      <c r="AK424" s="405"/>
      <c r="AL424" s="405"/>
    </row>
    <row r="425" ht="14.25" customHeight="1">
      <c r="A425" s="497">
        <v>45514.0</v>
      </c>
      <c r="B425" s="349" t="s">
        <v>3717</v>
      </c>
      <c r="C425" s="349" t="s">
        <v>3621</v>
      </c>
      <c r="D425" s="349" t="s">
        <v>54</v>
      </c>
      <c r="E425" s="349" t="s">
        <v>3579</v>
      </c>
      <c r="F425" s="413">
        <v>24896.0</v>
      </c>
      <c r="G425" s="403"/>
      <c r="H425" s="349" t="s">
        <v>3896</v>
      </c>
      <c r="I425" s="736" t="str">
        <f t="shared" si="16"/>
        <v>NOT PAID</v>
      </c>
      <c r="J425" s="402"/>
      <c r="K425" s="402"/>
      <c r="L425" s="402"/>
      <c r="M425" s="402"/>
      <c r="N425" s="402"/>
      <c r="O425" s="402"/>
      <c r="P425" s="402"/>
      <c r="Q425" s="402"/>
      <c r="R425" s="402"/>
      <c r="S425" s="402"/>
      <c r="T425" s="402"/>
      <c r="U425" s="402"/>
      <c r="V425" s="402"/>
      <c r="W425" s="402"/>
      <c r="X425" s="402"/>
      <c r="Y425" s="402"/>
      <c r="Z425" s="402"/>
      <c r="AA425" s="405"/>
      <c r="AB425" s="405"/>
      <c r="AC425" s="405"/>
      <c r="AD425" s="405"/>
      <c r="AE425" s="405"/>
      <c r="AF425" s="405"/>
      <c r="AG425" s="405"/>
      <c r="AH425" s="405"/>
      <c r="AI425" s="405"/>
      <c r="AJ425" s="405"/>
      <c r="AK425" s="405"/>
      <c r="AL425" s="405"/>
    </row>
    <row r="426" ht="14.25" customHeight="1">
      <c r="A426" s="497">
        <v>45514.0</v>
      </c>
      <c r="B426" s="349" t="s">
        <v>3649</v>
      </c>
      <c r="C426" s="349" t="s">
        <v>3650</v>
      </c>
      <c r="D426" s="349" t="s">
        <v>54</v>
      </c>
      <c r="E426" s="349" t="s">
        <v>3579</v>
      </c>
      <c r="F426" s="413">
        <v>31924.0</v>
      </c>
      <c r="G426" s="403"/>
      <c r="H426" s="349" t="s">
        <v>3896</v>
      </c>
      <c r="I426" s="736" t="str">
        <f t="shared" si="16"/>
        <v>NOT PAID</v>
      </c>
      <c r="J426" s="402"/>
      <c r="K426" s="402"/>
      <c r="L426" s="402"/>
      <c r="M426" s="402"/>
      <c r="N426" s="402"/>
      <c r="O426" s="402"/>
      <c r="P426" s="402"/>
      <c r="Q426" s="402"/>
      <c r="R426" s="402"/>
      <c r="S426" s="402"/>
      <c r="T426" s="402"/>
      <c r="U426" s="402"/>
      <c r="V426" s="402"/>
      <c r="W426" s="402"/>
      <c r="X426" s="402"/>
      <c r="Y426" s="402"/>
      <c r="Z426" s="402"/>
      <c r="AA426" s="405"/>
      <c r="AB426" s="405"/>
      <c r="AC426" s="405"/>
      <c r="AD426" s="405"/>
      <c r="AE426" s="405"/>
      <c r="AF426" s="405"/>
      <c r="AG426" s="405"/>
      <c r="AH426" s="405"/>
      <c r="AI426" s="405"/>
      <c r="AJ426" s="405"/>
      <c r="AK426" s="405"/>
      <c r="AL426" s="405"/>
    </row>
    <row r="427" ht="14.25" customHeight="1">
      <c r="A427" s="497">
        <v>45514.0</v>
      </c>
      <c r="B427" s="349" t="s">
        <v>3641</v>
      </c>
      <c r="C427" s="349" t="s">
        <v>3642</v>
      </c>
      <c r="D427" s="349" t="s">
        <v>54</v>
      </c>
      <c r="E427" s="349" t="s">
        <v>3551</v>
      </c>
      <c r="F427" s="413">
        <v>1721.0</v>
      </c>
      <c r="G427" s="403"/>
      <c r="H427" s="349" t="s">
        <v>2184</v>
      </c>
      <c r="I427" s="736" t="str">
        <f t="shared" si="16"/>
        <v>NOT PAID</v>
      </c>
      <c r="J427" s="402"/>
      <c r="K427" s="402"/>
      <c r="L427" s="402"/>
      <c r="M427" s="402"/>
      <c r="N427" s="402"/>
      <c r="O427" s="402"/>
      <c r="P427" s="402"/>
      <c r="Q427" s="402"/>
      <c r="R427" s="402"/>
      <c r="S427" s="402"/>
      <c r="T427" s="402"/>
      <c r="U427" s="402"/>
      <c r="V427" s="402"/>
      <c r="W427" s="402"/>
      <c r="X427" s="402"/>
      <c r="Y427" s="402"/>
      <c r="Z427" s="402"/>
      <c r="AA427" s="405"/>
      <c r="AB427" s="405"/>
      <c r="AC427" s="405"/>
      <c r="AD427" s="405"/>
      <c r="AE427" s="405"/>
      <c r="AF427" s="405"/>
      <c r="AG427" s="405"/>
      <c r="AH427" s="405"/>
      <c r="AI427" s="405"/>
      <c r="AJ427" s="405"/>
      <c r="AK427" s="405"/>
      <c r="AL427" s="405"/>
    </row>
    <row r="428" ht="14.25" customHeight="1">
      <c r="A428" s="497">
        <v>45514.0</v>
      </c>
      <c r="B428" s="349" t="s">
        <v>3744</v>
      </c>
      <c r="C428" s="349" t="s">
        <v>3745</v>
      </c>
      <c r="D428" s="349" t="s">
        <v>54</v>
      </c>
      <c r="E428" s="349" t="s">
        <v>3579</v>
      </c>
      <c r="F428" s="413">
        <v>35500.0</v>
      </c>
      <c r="G428" s="403"/>
      <c r="H428" s="349" t="s">
        <v>3895</v>
      </c>
      <c r="I428" s="736" t="str">
        <f t="shared" si="16"/>
        <v>NOT PAID</v>
      </c>
      <c r="J428" s="402"/>
      <c r="K428" s="402"/>
      <c r="L428" s="402"/>
      <c r="M428" s="402"/>
      <c r="N428" s="402"/>
      <c r="O428" s="402"/>
      <c r="P428" s="402"/>
      <c r="Q428" s="402"/>
      <c r="R428" s="402"/>
      <c r="S428" s="402"/>
      <c r="T428" s="402"/>
      <c r="U428" s="402"/>
      <c r="V428" s="402"/>
      <c r="W428" s="402"/>
      <c r="X428" s="402"/>
      <c r="Y428" s="402"/>
      <c r="Z428" s="402"/>
      <c r="AA428" s="405"/>
      <c r="AB428" s="405"/>
      <c r="AC428" s="405"/>
      <c r="AD428" s="405"/>
      <c r="AE428" s="405"/>
      <c r="AF428" s="405"/>
      <c r="AG428" s="405"/>
      <c r="AH428" s="405"/>
      <c r="AI428" s="405"/>
      <c r="AJ428" s="405"/>
      <c r="AK428" s="405"/>
      <c r="AL428" s="405"/>
    </row>
    <row r="429" ht="14.25" customHeight="1">
      <c r="A429" s="497">
        <v>45514.0</v>
      </c>
      <c r="B429" s="349" t="s">
        <v>3876</v>
      </c>
      <c r="C429" s="349" t="s">
        <v>3877</v>
      </c>
      <c r="D429" s="349" t="s">
        <v>3878</v>
      </c>
      <c r="E429" s="349" t="s">
        <v>3579</v>
      </c>
      <c r="F429" s="413">
        <v>500000.0</v>
      </c>
      <c r="G429" s="403"/>
      <c r="H429" s="349" t="s">
        <v>3884</v>
      </c>
      <c r="I429" s="736" t="str">
        <f t="shared" si="16"/>
        <v>NOT PAID</v>
      </c>
      <c r="J429" s="402"/>
      <c r="K429" s="402"/>
      <c r="L429" s="402"/>
      <c r="M429" s="402"/>
      <c r="N429" s="402"/>
      <c r="O429" s="402"/>
      <c r="P429" s="402"/>
      <c r="Q429" s="402"/>
      <c r="R429" s="402"/>
      <c r="S429" s="402"/>
      <c r="T429" s="402"/>
      <c r="U429" s="402"/>
      <c r="V429" s="402"/>
      <c r="W429" s="402"/>
      <c r="X429" s="402"/>
      <c r="Y429" s="402"/>
      <c r="Z429" s="402"/>
      <c r="AA429" s="405"/>
      <c r="AB429" s="405"/>
      <c r="AC429" s="405"/>
      <c r="AD429" s="405"/>
      <c r="AE429" s="405"/>
      <c r="AF429" s="405"/>
      <c r="AG429" s="405"/>
      <c r="AH429" s="405"/>
      <c r="AI429" s="405"/>
      <c r="AJ429" s="405"/>
      <c r="AK429" s="405"/>
      <c r="AL429" s="405"/>
    </row>
    <row r="430" ht="14.25" customHeight="1">
      <c r="A430" s="497">
        <v>45514.0</v>
      </c>
      <c r="B430" s="349" t="s">
        <v>3595</v>
      </c>
      <c r="C430" s="349" t="s">
        <v>3864</v>
      </c>
      <c r="D430" s="349" t="s">
        <v>54</v>
      </c>
      <c r="E430" s="349" t="s">
        <v>3551</v>
      </c>
      <c r="F430" s="413">
        <v>33791.36</v>
      </c>
      <c r="G430" s="403"/>
      <c r="H430" s="349" t="s">
        <v>2184</v>
      </c>
      <c r="I430" s="736" t="str">
        <f t="shared" si="16"/>
        <v>NOT PAID</v>
      </c>
      <c r="J430" s="402"/>
      <c r="K430" s="402"/>
      <c r="L430" s="402"/>
      <c r="M430" s="402"/>
      <c r="N430" s="402"/>
      <c r="O430" s="402"/>
      <c r="P430" s="402"/>
      <c r="Q430" s="402"/>
      <c r="R430" s="402"/>
      <c r="S430" s="402"/>
      <c r="T430" s="402"/>
      <c r="U430" s="402"/>
      <c r="V430" s="402"/>
      <c r="W430" s="402"/>
      <c r="X430" s="402"/>
      <c r="Y430" s="402"/>
      <c r="Z430" s="402"/>
      <c r="AA430" s="405"/>
      <c r="AB430" s="405"/>
      <c r="AC430" s="405"/>
      <c r="AD430" s="405"/>
      <c r="AE430" s="405"/>
      <c r="AF430" s="405"/>
      <c r="AG430" s="405"/>
      <c r="AH430" s="405"/>
      <c r="AI430" s="405"/>
      <c r="AJ430" s="405"/>
      <c r="AK430" s="405"/>
      <c r="AL430" s="405"/>
    </row>
    <row r="431" ht="14.25" customHeight="1">
      <c r="A431" s="497">
        <v>45514.0</v>
      </c>
      <c r="B431" s="349" t="s">
        <v>3554</v>
      </c>
      <c r="C431" s="349" t="s">
        <v>3555</v>
      </c>
      <c r="D431" s="349" t="s">
        <v>54</v>
      </c>
      <c r="E431" s="349" t="s">
        <v>3551</v>
      </c>
      <c r="F431" s="413">
        <v>120501.0</v>
      </c>
      <c r="G431" s="403"/>
      <c r="H431" s="349" t="s">
        <v>3896</v>
      </c>
      <c r="I431" s="736" t="str">
        <f t="shared" si="16"/>
        <v>NOT PAID</v>
      </c>
      <c r="J431" s="402"/>
      <c r="K431" s="402"/>
      <c r="L431" s="402"/>
      <c r="M431" s="402"/>
      <c r="N431" s="402"/>
      <c r="O431" s="402"/>
      <c r="P431" s="402"/>
      <c r="Q431" s="402"/>
      <c r="R431" s="402"/>
      <c r="S431" s="402"/>
      <c r="T431" s="402"/>
      <c r="U431" s="402"/>
      <c r="V431" s="402"/>
      <c r="W431" s="402"/>
      <c r="X431" s="402"/>
      <c r="Y431" s="402"/>
      <c r="Z431" s="402"/>
      <c r="AA431" s="405"/>
      <c r="AB431" s="405"/>
      <c r="AC431" s="405"/>
      <c r="AD431" s="405"/>
      <c r="AE431" s="405"/>
      <c r="AF431" s="405"/>
      <c r="AG431" s="405"/>
      <c r="AH431" s="405"/>
      <c r="AI431" s="405"/>
      <c r="AJ431" s="405"/>
      <c r="AK431" s="405"/>
      <c r="AL431" s="405"/>
    </row>
    <row r="432" ht="14.25" customHeight="1">
      <c r="A432" s="497">
        <v>45514.0</v>
      </c>
      <c r="B432" s="349" t="s">
        <v>3830</v>
      </c>
      <c r="C432" s="349" t="s">
        <v>3829</v>
      </c>
      <c r="D432" s="349" t="s">
        <v>346</v>
      </c>
      <c r="E432" s="349" t="s">
        <v>3551</v>
      </c>
      <c r="F432" s="413"/>
      <c r="G432" s="403"/>
      <c r="H432" s="349" t="s">
        <v>2184</v>
      </c>
      <c r="I432" s="736" t="str">
        <f t="shared" si="16"/>
        <v>FULLY PAID</v>
      </c>
      <c r="J432" s="402"/>
      <c r="K432" s="402"/>
      <c r="L432" s="402"/>
      <c r="M432" s="402"/>
      <c r="N432" s="402"/>
      <c r="O432" s="402"/>
      <c r="P432" s="402"/>
      <c r="Q432" s="402"/>
      <c r="R432" s="402"/>
      <c r="S432" s="402"/>
      <c r="T432" s="402"/>
      <c r="U432" s="402"/>
      <c r="V432" s="402"/>
      <c r="W432" s="402"/>
      <c r="X432" s="402"/>
      <c r="Y432" s="402"/>
      <c r="Z432" s="402"/>
      <c r="AA432" s="405"/>
      <c r="AB432" s="405"/>
      <c r="AC432" s="405"/>
      <c r="AD432" s="405"/>
      <c r="AE432" s="405"/>
      <c r="AF432" s="405"/>
      <c r="AG432" s="405"/>
      <c r="AH432" s="405"/>
      <c r="AI432" s="405"/>
      <c r="AJ432" s="405"/>
      <c r="AK432" s="405"/>
      <c r="AL432" s="405"/>
    </row>
    <row r="433" ht="14.25" customHeight="1">
      <c r="A433" s="497"/>
      <c r="B433" s="402"/>
      <c r="C433" s="402"/>
      <c r="D433" s="402"/>
      <c r="E433" s="402"/>
      <c r="F433" s="403">
        <f>SUM(F417:F432)</f>
        <v>1011823.26</v>
      </c>
      <c r="G433" s="403"/>
      <c r="H433" s="402"/>
      <c r="I433" s="736" t="str">
        <f t="shared" si="16"/>
        <v>NOT PAID</v>
      </c>
      <c r="J433" s="402"/>
      <c r="K433" s="402"/>
      <c r="L433" s="402"/>
      <c r="M433" s="402"/>
      <c r="N433" s="402"/>
      <c r="O433" s="402"/>
      <c r="P433" s="402"/>
      <c r="Q433" s="402"/>
      <c r="R433" s="402"/>
      <c r="S433" s="402"/>
      <c r="T433" s="402"/>
      <c r="U433" s="402"/>
      <c r="V433" s="402"/>
      <c r="W433" s="402"/>
      <c r="X433" s="402"/>
      <c r="Y433" s="402"/>
      <c r="Z433" s="402"/>
      <c r="AA433" s="405"/>
      <c r="AB433" s="405"/>
      <c r="AC433" s="405"/>
      <c r="AD433" s="405"/>
      <c r="AE433" s="405"/>
      <c r="AF433" s="405"/>
      <c r="AG433" s="405"/>
      <c r="AH433" s="405"/>
      <c r="AI433" s="405"/>
      <c r="AJ433" s="405"/>
      <c r="AK433" s="405"/>
      <c r="AL433" s="405"/>
    </row>
    <row r="434" ht="14.25" customHeight="1">
      <c r="A434" s="402"/>
      <c r="B434" s="402"/>
      <c r="C434" s="402"/>
      <c r="D434" s="402"/>
      <c r="E434" s="402"/>
      <c r="F434" s="402"/>
      <c r="G434" s="403"/>
      <c r="H434" s="402"/>
      <c r="I434" s="736" t="str">
        <f t="shared" si="16"/>
        <v>FULLY PAID</v>
      </c>
      <c r="J434" s="402"/>
      <c r="K434" s="402"/>
      <c r="L434" s="402"/>
      <c r="M434" s="402"/>
      <c r="N434" s="402"/>
      <c r="O434" s="402"/>
      <c r="P434" s="402"/>
      <c r="Q434" s="402"/>
      <c r="R434" s="402"/>
      <c r="S434" s="402"/>
      <c r="T434" s="402"/>
      <c r="U434" s="402"/>
      <c r="V434" s="402"/>
      <c r="W434" s="402"/>
      <c r="X434" s="402"/>
      <c r="Y434" s="402"/>
      <c r="Z434" s="402"/>
      <c r="AA434" s="405"/>
      <c r="AB434" s="405"/>
      <c r="AC434" s="405"/>
      <c r="AD434" s="405"/>
      <c r="AE434" s="405"/>
      <c r="AF434" s="405"/>
      <c r="AG434" s="405"/>
      <c r="AH434" s="405"/>
      <c r="AI434" s="405"/>
      <c r="AJ434" s="405"/>
      <c r="AK434" s="405"/>
      <c r="AL434" s="405"/>
    </row>
    <row r="435" ht="14.25" customHeight="1">
      <c r="A435" s="402"/>
      <c r="B435" s="402"/>
      <c r="C435" s="402"/>
      <c r="D435" s="402"/>
      <c r="E435" s="402"/>
      <c r="F435" s="402"/>
      <c r="G435" s="403"/>
      <c r="H435" s="402"/>
      <c r="I435" s="736" t="str">
        <f t="shared" si="16"/>
        <v>FULLY PAID</v>
      </c>
      <c r="J435" s="402"/>
      <c r="K435" s="402"/>
      <c r="L435" s="402"/>
      <c r="M435" s="402"/>
      <c r="N435" s="402"/>
      <c r="O435" s="402"/>
      <c r="P435" s="402"/>
      <c r="Q435" s="402"/>
      <c r="R435" s="402"/>
      <c r="S435" s="402"/>
      <c r="T435" s="402"/>
      <c r="U435" s="402"/>
      <c r="V435" s="402"/>
      <c r="W435" s="402"/>
      <c r="X435" s="402"/>
      <c r="Y435" s="402"/>
      <c r="Z435" s="402"/>
      <c r="AA435" s="405"/>
      <c r="AB435" s="405"/>
      <c r="AC435" s="405"/>
      <c r="AD435" s="405"/>
      <c r="AE435" s="405"/>
      <c r="AF435" s="405"/>
      <c r="AG435" s="405"/>
      <c r="AH435" s="405"/>
      <c r="AI435" s="405"/>
      <c r="AJ435" s="405"/>
      <c r="AK435" s="405"/>
      <c r="AL435" s="405"/>
    </row>
    <row r="436" ht="14.25" customHeight="1">
      <c r="A436" s="584" t="s">
        <v>2130</v>
      </c>
      <c r="B436" s="584" t="s">
        <v>39</v>
      </c>
      <c r="C436" s="584" t="s">
        <v>48</v>
      </c>
      <c r="D436" s="584" t="s">
        <v>49</v>
      </c>
      <c r="E436" s="584" t="s">
        <v>50</v>
      </c>
      <c r="F436" s="584" t="s">
        <v>2</v>
      </c>
      <c r="G436" s="586" t="s">
        <v>44</v>
      </c>
      <c r="H436" s="424" t="s">
        <v>45</v>
      </c>
      <c r="I436" s="736" t="str">
        <f t="shared" si="16"/>
        <v>FULLY PAID</v>
      </c>
      <c r="J436" s="584"/>
      <c r="K436" s="584"/>
      <c r="L436" s="584"/>
      <c r="M436" s="584"/>
      <c r="N436" s="584"/>
      <c r="O436" s="584"/>
      <c r="P436" s="584"/>
      <c r="Q436" s="584"/>
      <c r="R436" s="584"/>
      <c r="S436" s="584"/>
      <c r="T436" s="584"/>
      <c r="U436" s="584"/>
      <c r="V436" s="584"/>
      <c r="W436" s="584"/>
      <c r="X436" s="584"/>
      <c r="Y436" s="584"/>
      <c r="Z436" s="584"/>
      <c r="AA436" s="659"/>
      <c r="AB436" s="659"/>
      <c r="AC436" s="659"/>
      <c r="AD436" s="659"/>
      <c r="AE436" s="659"/>
      <c r="AF436" s="659"/>
      <c r="AG436" s="659"/>
      <c r="AH436" s="659"/>
      <c r="AI436" s="659"/>
      <c r="AJ436" s="659"/>
      <c r="AK436" s="659"/>
      <c r="AL436" s="659"/>
    </row>
    <row r="437" ht="14.25" customHeight="1">
      <c r="A437" s="497">
        <v>45516.0</v>
      </c>
      <c r="B437" s="349" t="s">
        <v>3897</v>
      </c>
      <c r="C437" s="349" t="s">
        <v>3898</v>
      </c>
      <c r="D437" s="349" t="s">
        <v>54</v>
      </c>
      <c r="E437" s="349" t="s">
        <v>3551</v>
      </c>
      <c r="F437" s="413">
        <v>29618.79</v>
      </c>
      <c r="G437" s="413">
        <v>30458.0</v>
      </c>
      <c r="H437" s="349" t="s">
        <v>710</v>
      </c>
      <c r="I437" s="736" t="str">
        <f t="shared" si="16"/>
        <v>FULLY PAID</v>
      </c>
      <c r="J437" s="402"/>
      <c r="K437" s="402"/>
      <c r="L437" s="402"/>
      <c r="M437" s="402"/>
      <c r="N437" s="402"/>
      <c r="O437" s="402"/>
      <c r="P437" s="402"/>
      <c r="Q437" s="402"/>
      <c r="R437" s="402"/>
      <c r="S437" s="402"/>
      <c r="T437" s="402"/>
      <c r="U437" s="402"/>
      <c r="V437" s="402"/>
      <c r="W437" s="402"/>
      <c r="X437" s="402"/>
      <c r="Y437" s="402"/>
      <c r="Z437" s="402"/>
      <c r="AA437" s="405"/>
      <c r="AB437" s="405"/>
      <c r="AC437" s="405"/>
      <c r="AD437" s="405"/>
      <c r="AE437" s="405"/>
      <c r="AF437" s="405"/>
      <c r="AG437" s="405"/>
      <c r="AH437" s="405"/>
      <c r="AI437" s="405"/>
      <c r="AJ437" s="405"/>
      <c r="AK437" s="405"/>
      <c r="AL437" s="405"/>
    </row>
    <row r="438" ht="14.25" customHeight="1">
      <c r="A438" s="497">
        <v>45516.0</v>
      </c>
      <c r="B438" s="349" t="s">
        <v>3899</v>
      </c>
      <c r="C438" s="349" t="s">
        <v>3900</v>
      </c>
      <c r="D438" s="349" t="s">
        <v>263</v>
      </c>
      <c r="E438" s="349" t="s">
        <v>3551</v>
      </c>
      <c r="F438" s="413">
        <v>98333.0</v>
      </c>
      <c r="G438" s="413"/>
      <c r="H438" s="349" t="s">
        <v>2184</v>
      </c>
      <c r="I438" s="736" t="str">
        <f t="shared" si="16"/>
        <v>NOT PAID</v>
      </c>
      <c r="J438" s="402"/>
      <c r="K438" s="402"/>
      <c r="L438" s="402"/>
      <c r="M438" s="402"/>
      <c r="N438" s="402"/>
      <c r="O438" s="402"/>
      <c r="P438" s="402"/>
      <c r="Q438" s="402"/>
      <c r="R438" s="402"/>
      <c r="S438" s="402"/>
      <c r="T438" s="402"/>
      <c r="U438" s="402"/>
      <c r="V438" s="402"/>
      <c r="W438" s="402"/>
      <c r="X438" s="402"/>
      <c r="Y438" s="402"/>
      <c r="Z438" s="402"/>
      <c r="AA438" s="405"/>
      <c r="AB438" s="405"/>
      <c r="AC438" s="405"/>
      <c r="AD438" s="405"/>
      <c r="AE438" s="405"/>
      <c r="AF438" s="405"/>
      <c r="AG438" s="405"/>
      <c r="AH438" s="405"/>
      <c r="AI438" s="405"/>
      <c r="AJ438" s="405"/>
      <c r="AK438" s="405"/>
      <c r="AL438" s="405"/>
    </row>
    <row r="439" ht="14.25" customHeight="1">
      <c r="A439" s="497">
        <v>45516.0</v>
      </c>
      <c r="B439" s="349" t="s">
        <v>3599</v>
      </c>
      <c r="C439" s="349" t="s">
        <v>3842</v>
      </c>
      <c r="D439" s="349" t="s">
        <v>54</v>
      </c>
      <c r="E439" s="349" t="s">
        <v>3551</v>
      </c>
      <c r="F439" s="413">
        <v>15273.25</v>
      </c>
      <c r="G439" s="413"/>
      <c r="H439" s="349" t="s">
        <v>3901</v>
      </c>
      <c r="I439" s="736" t="str">
        <f t="shared" si="16"/>
        <v>NOT PAID</v>
      </c>
      <c r="J439" s="402"/>
      <c r="K439" s="402"/>
      <c r="L439" s="402"/>
      <c r="M439" s="402"/>
      <c r="N439" s="402"/>
      <c r="O439" s="402"/>
      <c r="P439" s="402"/>
      <c r="Q439" s="402"/>
      <c r="R439" s="402"/>
      <c r="S439" s="402"/>
      <c r="T439" s="402"/>
      <c r="U439" s="402"/>
      <c r="V439" s="402"/>
      <c r="W439" s="402"/>
      <c r="X439" s="402"/>
      <c r="Y439" s="402"/>
      <c r="Z439" s="402"/>
      <c r="AA439" s="405"/>
      <c r="AB439" s="405"/>
      <c r="AC439" s="405"/>
      <c r="AD439" s="405"/>
      <c r="AE439" s="405"/>
      <c r="AF439" s="405"/>
      <c r="AG439" s="405"/>
      <c r="AH439" s="405"/>
      <c r="AI439" s="405"/>
      <c r="AJ439" s="405"/>
      <c r="AK439" s="405"/>
      <c r="AL439" s="405"/>
    </row>
    <row r="440" ht="14.25" customHeight="1">
      <c r="A440" s="497">
        <v>45516.0</v>
      </c>
      <c r="B440" s="349" t="s">
        <v>3902</v>
      </c>
      <c r="C440" s="349" t="s">
        <v>3550</v>
      </c>
      <c r="D440" s="349" t="s">
        <v>263</v>
      </c>
      <c r="E440" s="349" t="s">
        <v>3551</v>
      </c>
      <c r="F440" s="413">
        <v>39304.85</v>
      </c>
      <c r="G440" s="413"/>
      <c r="H440" s="349" t="s">
        <v>3903</v>
      </c>
      <c r="I440" s="736" t="str">
        <f t="shared" si="16"/>
        <v>NOT PAID</v>
      </c>
      <c r="J440" s="402"/>
      <c r="K440" s="402"/>
      <c r="L440" s="402"/>
      <c r="M440" s="402"/>
      <c r="N440" s="402"/>
      <c r="O440" s="402"/>
      <c r="P440" s="402"/>
      <c r="Q440" s="402"/>
      <c r="R440" s="402"/>
      <c r="S440" s="402"/>
      <c r="T440" s="402"/>
      <c r="U440" s="402"/>
      <c r="V440" s="402"/>
      <c r="W440" s="402"/>
      <c r="X440" s="402"/>
      <c r="Y440" s="402"/>
      <c r="Z440" s="402"/>
      <c r="AA440" s="405"/>
      <c r="AB440" s="405"/>
      <c r="AC440" s="405"/>
      <c r="AD440" s="405"/>
      <c r="AE440" s="405"/>
      <c r="AF440" s="405"/>
      <c r="AG440" s="405"/>
      <c r="AH440" s="405"/>
      <c r="AI440" s="405"/>
      <c r="AJ440" s="405"/>
      <c r="AK440" s="405"/>
      <c r="AL440" s="405"/>
    </row>
    <row r="441" ht="14.25" customHeight="1">
      <c r="A441" s="497">
        <v>45516.0</v>
      </c>
      <c r="B441" s="349" t="s">
        <v>3549</v>
      </c>
      <c r="C441" s="349" t="s">
        <v>3550</v>
      </c>
      <c r="D441" s="349" t="s">
        <v>346</v>
      </c>
      <c r="E441" s="349" t="s">
        <v>3551</v>
      </c>
      <c r="F441" s="413">
        <v>4447.0</v>
      </c>
      <c r="G441" s="413"/>
      <c r="H441" s="349" t="s">
        <v>2184</v>
      </c>
      <c r="I441" s="736" t="str">
        <f t="shared" si="16"/>
        <v>NOT PAID</v>
      </c>
      <c r="J441" s="402"/>
      <c r="K441" s="402"/>
      <c r="L441" s="402"/>
      <c r="M441" s="402"/>
      <c r="N441" s="402"/>
      <c r="O441" s="402"/>
      <c r="P441" s="402"/>
      <c r="Q441" s="402"/>
      <c r="R441" s="402"/>
      <c r="S441" s="402"/>
      <c r="T441" s="402"/>
      <c r="U441" s="402"/>
      <c r="V441" s="402"/>
      <c r="W441" s="402"/>
      <c r="X441" s="402"/>
      <c r="Y441" s="402"/>
      <c r="Z441" s="402"/>
      <c r="AA441" s="405"/>
      <c r="AB441" s="405"/>
      <c r="AC441" s="405"/>
      <c r="AD441" s="405"/>
      <c r="AE441" s="405"/>
      <c r="AF441" s="405"/>
      <c r="AG441" s="405"/>
      <c r="AH441" s="405"/>
      <c r="AI441" s="405"/>
      <c r="AJ441" s="405"/>
      <c r="AK441" s="405"/>
      <c r="AL441" s="405"/>
    </row>
    <row r="442" ht="14.25" customHeight="1">
      <c r="A442" s="497">
        <v>45516.0</v>
      </c>
      <c r="B442" s="349" t="s">
        <v>3809</v>
      </c>
      <c r="C442" s="349" t="s">
        <v>3810</v>
      </c>
      <c r="D442" s="349" t="s">
        <v>54</v>
      </c>
      <c r="E442" s="349" t="s">
        <v>3551</v>
      </c>
      <c r="F442" s="413">
        <v>3940.0</v>
      </c>
      <c r="G442" s="413"/>
      <c r="H442" s="349" t="s">
        <v>2184</v>
      </c>
      <c r="I442" s="736" t="str">
        <f t="shared" si="16"/>
        <v>NOT PAID</v>
      </c>
      <c r="J442" s="402"/>
      <c r="K442" s="402"/>
      <c r="L442" s="402"/>
      <c r="M442" s="402"/>
      <c r="N442" s="402"/>
      <c r="O442" s="402"/>
      <c r="P442" s="402"/>
      <c r="Q442" s="402"/>
      <c r="R442" s="402"/>
      <c r="S442" s="402"/>
      <c r="T442" s="402"/>
      <c r="U442" s="402"/>
      <c r="V442" s="402"/>
      <c r="W442" s="402"/>
      <c r="X442" s="402"/>
      <c r="Y442" s="402"/>
      <c r="Z442" s="402"/>
      <c r="AA442" s="405"/>
      <c r="AB442" s="405"/>
      <c r="AC442" s="405"/>
      <c r="AD442" s="405"/>
      <c r="AE442" s="405"/>
      <c r="AF442" s="405"/>
      <c r="AG442" s="405"/>
      <c r="AH442" s="405"/>
      <c r="AI442" s="405"/>
      <c r="AJ442" s="405"/>
      <c r="AK442" s="405"/>
      <c r="AL442" s="405"/>
    </row>
    <row r="443" ht="14.25" customHeight="1">
      <c r="A443" s="497">
        <v>45516.0</v>
      </c>
      <c r="B443" s="349" t="s">
        <v>3571</v>
      </c>
      <c r="C443" s="349" t="s">
        <v>3572</v>
      </c>
      <c r="D443" s="349" t="s">
        <v>54</v>
      </c>
      <c r="E443" s="349" t="s">
        <v>3551</v>
      </c>
      <c r="F443" s="413">
        <v>41000.0</v>
      </c>
      <c r="G443" s="413"/>
      <c r="H443" s="349" t="s">
        <v>3901</v>
      </c>
      <c r="I443" s="736" t="str">
        <f t="shared" si="16"/>
        <v>NOT PAID</v>
      </c>
      <c r="J443" s="402"/>
      <c r="K443" s="402"/>
      <c r="L443" s="402"/>
      <c r="M443" s="402"/>
      <c r="N443" s="402"/>
      <c r="O443" s="402"/>
      <c r="P443" s="402"/>
      <c r="Q443" s="402"/>
      <c r="R443" s="402"/>
      <c r="S443" s="402"/>
      <c r="T443" s="402"/>
      <c r="U443" s="402"/>
      <c r="V443" s="402"/>
      <c r="W443" s="402"/>
      <c r="X443" s="402"/>
      <c r="Y443" s="402"/>
      <c r="Z443" s="402"/>
      <c r="AA443" s="405"/>
      <c r="AB443" s="405"/>
      <c r="AC443" s="405"/>
      <c r="AD443" s="405"/>
      <c r="AE443" s="405"/>
      <c r="AF443" s="405"/>
      <c r="AG443" s="405"/>
      <c r="AH443" s="405"/>
      <c r="AI443" s="405"/>
      <c r="AJ443" s="405"/>
      <c r="AK443" s="405"/>
      <c r="AL443" s="405"/>
    </row>
    <row r="444" ht="14.25" customHeight="1">
      <c r="A444" s="497">
        <v>45516.0</v>
      </c>
      <c r="B444" s="349" t="s">
        <v>3663</v>
      </c>
      <c r="C444" s="349" t="s">
        <v>3799</v>
      </c>
      <c r="D444" s="349" t="s">
        <v>54</v>
      </c>
      <c r="E444" s="349" t="s">
        <v>3579</v>
      </c>
      <c r="F444" s="413">
        <v>117629.0</v>
      </c>
      <c r="G444" s="413">
        <v>44000.0</v>
      </c>
      <c r="H444" s="349" t="s">
        <v>2184</v>
      </c>
      <c r="I444" s="736" t="str">
        <f t="shared" si="16"/>
        <v>PARTIALLY PAID</v>
      </c>
      <c r="J444" s="402"/>
      <c r="K444" s="402"/>
      <c r="L444" s="402"/>
      <c r="M444" s="402"/>
      <c r="N444" s="402"/>
      <c r="O444" s="402"/>
      <c r="P444" s="402"/>
      <c r="Q444" s="402"/>
      <c r="R444" s="402"/>
      <c r="S444" s="402"/>
      <c r="T444" s="402"/>
      <c r="U444" s="402"/>
      <c r="V444" s="402"/>
      <c r="W444" s="402"/>
      <c r="X444" s="402"/>
      <c r="Y444" s="402"/>
      <c r="Z444" s="402"/>
      <c r="AA444" s="405"/>
      <c r="AB444" s="405"/>
      <c r="AC444" s="405"/>
      <c r="AD444" s="405"/>
      <c r="AE444" s="405"/>
      <c r="AF444" s="405"/>
      <c r="AG444" s="405"/>
      <c r="AH444" s="405"/>
      <c r="AI444" s="405"/>
      <c r="AJ444" s="405"/>
      <c r="AK444" s="405"/>
      <c r="AL444" s="405"/>
    </row>
    <row r="445" ht="14.25" customHeight="1">
      <c r="A445" s="497">
        <v>45516.0</v>
      </c>
      <c r="B445" s="349" t="s">
        <v>3561</v>
      </c>
      <c r="C445" s="349" t="s">
        <v>3562</v>
      </c>
      <c r="D445" s="349" t="s">
        <v>54</v>
      </c>
      <c r="E445" s="349" t="s">
        <v>3579</v>
      </c>
      <c r="F445" s="413">
        <v>28631.0</v>
      </c>
      <c r="G445" s="413"/>
      <c r="H445" s="349" t="s">
        <v>3901</v>
      </c>
      <c r="I445" s="736" t="str">
        <f t="shared" si="16"/>
        <v>NOT PAID</v>
      </c>
      <c r="J445" s="402"/>
      <c r="K445" s="402"/>
      <c r="L445" s="402"/>
      <c r="M445" s="402"/>
      <c r="N445" s="402"/>
      <c r="O445" s="402"/>
      <c r="P445" s="402"/>
      <c r="Q445" s="402"/>
      <c r="R445" s="402"/>
      <c r="S445" s="402"/>
      <c r="T445" s="402"/>
      <c r="U445" s="402"/>
      <c r="V445" s="402"/>
      <c r="W445" s="402"/>
      <c r="X445" s="402"/>
      <c r="Y445" s="402"/>
      <c r="Z445" s="402"/>
      <c r="AA445" s="405"/>
      <c r="AB445" s="405"/>
      <c r="AC445" s="405"/>
      <c r="AD445" s="405"/>
      <c r="AE445" s="405"/>
      <c r="AF445" s="405"/>
      <c r="AG445" s="405"/>
      <c r="AH445" s="405"/>
      <c r="AI445" s="405"/>
      <c r="AJ445" s="405"/>
      <c r="AK445" s="405"/>
      <c r="AL445" s="405"/>
    </row>
    <row r="446" ht="14.25" customHeight="1">
      <c r="A446" s="497">
        <v>45516.0</v>
      </c>
      <c r="B446" s="349" t="s">
        <v>3828</v>
      </c>
      <c r="C446" s="349" t="s">
        <v>3829</v>
      </c>
      <c r="D446" s="349" t="s">
        <v>54</v>
      </c>
      <c r="E446" s="349" t="s">
        <v>3579</v>
      </c>
      <c r="F446" s="413">
        <v>7662.6</v>
      </c>
      <c r="G446" s="413"/>
      <c r="H446" s="349" t="s">
        <v>3904</v>
      </c>
      <c r="I446" s="736" t="str">
        <f t="shared" si="16"/>
        <v>NOT PAID</v>
      </c>
      <c r="J446" s="402"/>
      <c r="K446" s="402"/>
      <c r="L446" s="402"/>
      <c r="M446" s="402"/>
      <c r="N446" s="402"/>
      <c r="O446" s="402"/>
      <c r="P446" s="402"/>
      <c r="Q446" s="402"/>
      <c r="R446" s="402"/>
      <c r="S446" s="402"/>
      <c r="T446" s="402"/>
      <c r="U446" s="402"/>
      <c r="V446" s="402"/>
      <c r="W446" s="402"/>
      <c r="X446" s="402"/>
      <c r="Y446" s="402"/>
      <c r="Z446" s="402"/>
      <c r="AA446" s="405"/>
      <c r="AB446" s="405"/>
      <c r="AC446" s="405"/>
      <c r="AD446" s="405"/>
      <c r="AE446" s="405"/>
      <c r="AF446" s="405"/>
      <c r="AG446" s="405"/>
      <c r="AH446" s="405"/>
      <c r="AI446" s="405"/>
      <c r="AJ446" s="405"/>
      <c r="AK446" s="405"/>
      <c r="AL446" s="405"/>
    </row>
    <row r="447" ht="14.25" customHeight="1">
      <c r="A447" s="497">
        <v>45516.0</v>
      </c>
      <c r="B447" s="349" t="s">
        <v>3781</v>
      </c>
      <c r="C447" s="349" t="s">
        <v>3782</v>
      </c>
      <c r="D447" s="349" t="s">
        <v>54</v>
      </c>
      <c r="E447" s="349" t="s">
        <v>3551</v>
      </c>
      <c r="F447" s="413">
        <v>31425.65</v>
      </c>
      <c r="G447" s="413"/>
      <c r="H447" s="349" t="s">
        <v>3905</v>
      </c>
      <c r="I447" s="736" t="str">
        <f t="shared" si="16"/>
        <v>NOT PAID</v>
      </c>
      <c r="J447" s="402"/>
      <c r="K447" s="402"/>
      <c r="L447" s="402"/>
      <c r="M447" s="402"/>
      <c r="N447" s="402"/>
      <c r="O447" s="402"/>
      <c r="P447" s="402"/>
      <c r="Q447" s="402"/>
      <c r="R447" s="402"/>
      <c r="S447" s="402"/>
      <c r="T447" s="402"/>
      <c r="U447" s="402"/>
      <c r="V447" s="402"/>
      <c r="W447" s="402"/>
      <c r="X447" s="402"/>
      <c r="Y447" s="402"/>
      <c r="Z447" s="402"/>
      <c r="AA447" s="405"/>
      <c r="AB447" s="405"/>
      <c r="AC447" s="405"/>
      <c r="AD447" s="405"/>
      <c r="AE447" s="405"/>
      <c r="AF447" s="405"/>
      <c r="AG447" s="405"/>
      <c r="AH447" s="405"/>
      <c r="AI447" s="405"/>
      <c r="AJ447" s="405"/>
      <c r="AK447" s="405"/>
      <c r="AL447" s="405"/>
    </row>
    <row r="448" ht="14.25" customHeight="1">
      <c r="A448" s="497">
        <v>45516.0</v>
      </c>
      <c r="B448" s="349" t="s">
        <v>3717</v>
      </c>
      <c r="C448" s="349" t="s">
        <v>3621</v>
      </c>
      <c r="D448" s="349" t="s">
        <v>54</v>
      </c>
      <c r="E448" s="349" t="s">
        <v>3579</v>
      </c>
      <c r="F448" s="413">
        <v>24896.0</v>
      </c>
      <c r="G448" s="413"/>
      <c r="H448" s="349" t="s">
        <v>3901</v>
      </c>
      <c r="I448" s="736" t="str">
        <f t="shared" si="16"/>
        <v>NOT PAID</v>
      </c>
      <c r="J448" s="402"/>
      <c r="K448" s="402"/>
      <c r="L448" s="402"/>
      <c r="M448" s="402"/>
      <c r="N448" s="402"/>
      <c r="O448" s="402"/>
      <c r="P448" s="402"/>
      <c r="Q448" s="402"/>
      <c r="R448" s="402"/>
      <c r="S448" s="402"/>
      <c r="T448" s="402"/>
      <c r="U448" s="402"/>
      <c r="V448" s="402"/>
      <c r="W448" s="402"/>
      <c r="X448" s="402"/>
      <c r="Y448" s="402"/>
      <c r="Z448" s="402"/>
      <c r="AA448" s="405"/>
      <c r="AB448" s="405"/>
      <c r="AC448" s="405"/>
      <c r="AD448" s="405"/>
      <c r="AE448" s="405"/>
      <c r="AF448" s="405"/>
      <c r="AG448" s="405"/>
      <c r="AH448" s="405"/>
      <c r="AI448" s="405"/>
      <c r="AJ448" s="405"/>
      <c r="AK448" s="405"/>
      <c r="AL448" s="405"/>
    </row>
    <row r="449" ht="14.25" customHeight="1">
      <c r="A449" s="497">
        <v>45516.0</v>
      </c>
      <c r="B449" s="349" t="s">
        <v>3649</v>
      </c>
      <c r="C449" s="349" t="s">
        <v>3650</v>
      </c>
      <c r="D449" s="349" t="s">
        <v>54</v>
      </c>
      <c r="E449" s="349" t="s">
        <v>3579</v>
      </c>
      <c r="F449" s="413">
        <v>31924.0</v>
      </c>
      <c r="G449" s="413"/>
      <c r="H449" s="349" t="s">
        <v>3905</v>
      </c>
      <c r="I449" s="736" t="str">
        <f t="shared" si="16"/>
        <v>NOT PAID</v>
      </c>
      <c r="J449" s="402"/>
      <c r="K449" s="402"/>
      <c r="L449" s="402"/>
      <c r="M449" s="402"/>
      <c r="N449" s="402"/>
      <c r="O449" s="402"/>
      <c r="P449" s="402"/>
      <c r="Q449" s="402"/>
      <c r="R449" s="402"/>
      <c r="S449" s="402"/>
      <c r="T449" s="402"/>
      <c r="U449" s="402"/>
      <c r="V449" s="402"/>
      <c r="W449" s="402"/>
      <c r="X449" s="402"/>
      <c r="Y449" s="402"/>
      <c r="Z449" s="402"/>
      <c r="AA449" s="405"/>
      <c r="AB449" s="405"/>
      <c r="AC449" s="405"/>
      <c r="AD449" s="405"/>
      <c r="AE449" s="405"/>
      <c r="AF449" s="405"/>
      <c r="AG449" s="405"/>
      <c r="AH449" s="405"/>
      <c r="AI449" s="405"/>
      <c r="AJ449" s="405"/>
      <c r="AK449" s="405"/>
      <c r="AL449" s="405"/>
    </row>
    <row r="450" ht="14.25" customHeight="1">
      <c r="A450" s="497">
        <v>45516.0</v>
      </c>
      <c r="B450" s="349" t="s">
        <v>3641</v>
      </c>
      <c r="C450" s="349" t="s">
        <v>3642</v>
      </c>
      <c r="D450" s="349" t="s">
        <v>54</v>
      </c>
      <c r="E450" s="349" t="s">
        <v>3551</v>
      </c>
      <c r="F450" s="413">
        <v>1721.0</v>
      </c>
      <c r="G450" s="413"/>
      <c r="H450" s="349" t="s">
        <v>3904</v>
      </c>
      <c r="I450" s="736" t="str">
        <f t="shared" si="16"/>
        <v>NOT PAID</v>
      </c>
      <c r="J450" s="402"/>
      <c r="K450" s="402"/>
      <c r="L450" s="402"/>
      <c r="M450" s="402"/>
      <c r="N450" s="402"/>
      <c r="O450" s="402"/>
      <c r="P450" s="402"/>
      <c r="Q450" s="402"/>
      <c r="R450" s="402"/>
      <c r="S450" s="402"/>
      <c r="T450" s="402"/>
      <c r="U450" s="402"/>
      <c r="V450" s="402"/>
      <c r="W450" s="402"/>
      <c r="X450" s="402"/>
      <c r="Y450" s="402"/>
      <c r="Z450" s="402"/>
      <c r="AA450" s="405"/>
      <c r="AB450" s="405"/>
      <c r="AC450" s="405"/>
      <c r="AD450" s="405"/>
      <c r="AE450" s="405"/>
      <c r="AF450" s="405"/>
      <c r="AG450" s="405"/>
      <c r="AH450" s="405"/>
      <c r="AI450" s="405"/>
      <c r="AJ450" s="405"/>
      <c r="AK450" s="405"/>
      <c r="AL450" s="405"/>
    </row>
    <row r="451" ht="14.25" customHeight="1">
      <c r="A451" s="497">
        <v>45516.0</v>
      </c>
      <c r="B451" s="349" t="s">
        <v>3744</v>
      </c>
      <c r="C451" s="349" t="s">
        <v>3745</v>
      </c>
      <c r="D451" s="349" t="s">
        <v>54</v>
      </c>
      <c r="E451" s="349" t="s">
        <v>3579</v>
      </c>
      <c r="F451" s="413">
        <v>35500.0</v>
      </c>
      <c r="G451" s="413"/>
      <c r="H451" s="349" t="s">
        <v>3905</v>
      </c>
      <c r="I451" s="736" t="str">
        <f t="shared" si="16"/>
        <v>NOT PAID</v>
      </c>
      <c r="J451" s="402"/>
      <c r="K451" s="402"/>
      <c r="L451" s="402"/>
      <c r="M451" s="402"/>
      <c r="N451" s="402"/>
      <c r="O451" s="402"/>
      <c r="P451" s="402"/>
      <c r="Q451" s="402"/>
      <c r="R451" s="402"/>
      <c r="S451" s="402"/>
      <c r="T451" s="402"/>
      <c r="U451" s="402"/>
      <c r="V451" s="402"/>
      <c r="W451" s="402"/>
      <c r="X451" s="402"/>
      <c r="Y451" s="402"/>
      <c r="Z451" s="402"/>
      <c r="AA451" s="405"/>
      <c r="AB451" s="405"/>
      <c r="AC451" s="405"/>
      <c r="AD451" s="405"/>
      <c r="AE451" s="405"/>
      <c r="AF451" s="405"/>
      <c r="AG451" s="405"/>
      <c r="AH451" s="405"/>
      <c r="AI451" s="405"/>
      <c r="AJ451" s="405"/>
      <c r="AK451" s="405"/>
      <c r="AL451" s="405"/>
    </row>
    <row r="452" ht="14.25" customHeight="1">
      <c r="A452" s="497">
        <v>45516.0</v>
      </c>
      <c r="B452" s="349" t="s">
        <v>3876</v>
      </c>
      <c r="C452" s="349" t="s">
        <v>3877</v>
      </c>
      <c r="D452" s="349" t="s">
        <v>3878</v>
      </c>
      <c r="E452" s="349" t="s">
        <v>3579</v>
      </c>
      <c r="F452" s="413">
        <v>500000.0</v>
      </c>
      <c r="G452" s="413"/>
      <c r="H452" s="349" t="s">
        <v>3884</v>
      </c>
      <c r="I452" s="736" t="str">
        <f t="shared" si="16"/>
        <v>NOT PAID</v>
      </c>
      <c r="J452" s="402"/>
      <c r="K452" s="402"/>
      <c r="L452" s="402"/>
      <c r="M452" s="402"/>
      <c r="N452" s="402"/>
      <c r="O452" s="402"/>
      <c r="P452" s="402"/>
      <c r="Q452" s="402"/>
      <c r="R452" s="402"/>
      <c r="S452" s="402"/>
      <c r="T452" s="402"/>
      <c r="U452" s="402"/>
      <c r="V452" s="402"/>
      <c r="W452" s="402"/>
      <c r="X452" s="402"/>
      <c r="Y452" s="402"/>
      <c r="Z452" s="402"/>
      <c r="AA452" s="405"/>
      <c r="AB452" s="405"/>
      <c r="AC452" s="405"/>
      <c r="AD452" s="405"/>
      <c r="AE452" s="405"/>
      <c r="AF452" s="405"/>
      <c r="AG452" s="405"/>
      <c r="AH452" s="405"/>
      <c r="AI452" s="405"/>
      <c r="AJ452" s="405"/>
      <c r="AK452" s="405"/>
      <c r="AL452" s="405"/>
    </row>
    <row r="453" ht="14.25" customHeight="1">
      <c r="A453" s="497">
        <v>45516.0</v>
      </c>
      <c r="B453" s="349" t="s">
        <v>3595</v>
      </c>
      <c r="C453" s="349" t="s">
        <v>3864</v>
      </c>
      <c r="D453" s="349" t="s">
        <v>54</v>
      </c>
      <c r="E453" s="349" t="s">
        <v>3551</v>
      </c>
      <c r="F453" s="413">
        <v>33791.36</v>
      </c>
      <c r="G453" s="413"/>
      <c r="H453" s="349" t="s">
        <v>3901</v>
      </c>
      <c r="I453" s="736" t="str">
        <f t="shared" si="16"/>
        <v>NOT PAID</v>
      </c>
      <c r="J453" s="402"/>
      <c r="K453" s="402"/>
      <c r="L453" s="402"/>
      <c r="M453" s="402"/>
      <c r="N453" s="402"/>
      <c r="O453" s="402"/>
      <c r="P453" s="402"/>
      <c r="Q453" s="402"/>
      <c r="R453" s="402"/>
      <c r="S453" s="402"/>
      <c r="T453" s="402"/>
      <c r="U453" s="402"/>
      <c r="V453" s="402"/>
      <c r="W453" s="402"/>
      <c r="X453" s="402"/>
      <c r="Y453" s="402"/>
      <c r="Z453" s="402"/>
      <c r="AA453" s="405"/>
      <c r="AB453" s="405"/>
      <c r="AC453" s="405"/>
      <c r="AD453" s="405"/>
      <c r="AE453" s="405"/>
      <c r="AF453" s="405"/>
      <c r="AG453" s="405"/>
      <c r="AH453" s="405"/>
      <c r="AI453" s="405"/>
      <c r="AJ453" s="405"/>
      <c r="AK453" s="405"/>
      <c r="AL453" s="405"/>
    </row>
    <row r="454" ht="14.25" customHeight="1">
      <c r="A454" s="497">
        <v>45516.0</v>
      </c>
      <c r="B454" s="349" t="s">
        <v>3674</v>
      </c>
      <c r="C454" s="349" t="s">
        <v>3675</v>
      </c>
      <c r="D454" s="349" t="s">
        <v>54</v>
      </c>
      <c r="E454" s="349" t="s">
        <v>3551</v>
      </c>
      <c r="F454" s="413">
        <v>120501.0</v>
      </c>
      <c r="G454" s="413">
        <v>300000.0</v>
      </c>
      <c r="H454" s="349" t="s">
        <v>149</v>
      </c>
      <c r="I454" s="736" t="str">
        <f t="shared" si="16"/>
        <v>FULLY PAID</v>
      </c>
      <c r="J454" s="402"/>
      <c r="K454" s="402"/>
      <c r="L454" s="402"/>
      <c r="M454" s="402"/>
      <c r="N454" s="402"/>
      <c r="O454" s="402"/>
      <c r="P454" s="402"/>
      <c r="Q454" s="402"/>
      <c r="R454" s="402"/>
      <c r="S454" s="402"/>
      <c r="T454" s="402"/>
      <c r="U454" s="402"/>
      <c r="V454" s="402"/>
      <c r="W454" s="402"/>
      <c r="X454" s="402"/>
      <c r="Y454" s="402"/>
      <c r="Z454" s="402"/>
      <c r="AA454" s="405"/>
      <c r="AB454" s="405"/>
      <c r="AC454" s="405"/>
      <c r="AD454" s="405"/>
      <c r="AE454" s="405"/>
      <c r="AF454" s="405"/>
      <c r="AG454" s="405"/>
      <c r="AH454" s="405"/>
      <c r="AI454" s="405"/>
      <c r="AJ454" s="405"/>
      <c r="AK454" s="405"/>
      <c r="AL454" s="405"/>
    </row>
    <row r="455" ht="14.25" customHeight="1">
      <c r="A455" s="497">
        <v>45516.0</v>
      </c>
      <c r="B455" s="349" t="s">
        <v>3830</v>
      </c>
      <c r="C455" s="349" t="s">
        <v>3829</v>
      </c>
      <c r="D455" s="349" t="s">
        <v>346</v>
      </c>
      <c r="E455" s="349" t="s">
        <v>3551</v>
      </c>
      <c r="F455" s="413">
        <v>5159.0</v>
      </c>
      <c r="G455" s="413"/>
      <c r="H455" s="349" t="s">
        <v>3904</v>
      </c>
      <c r="I455" s="736" t="str">
        <f t="shared" si="16"/>
        <v>NOT PAID</v>
      </c>
      <c r="J455" s="402"/>
      <c r="K455" s="402"/>
      <c r="L455" s="402"/>
      <c r="M455" s="402"/>
      <c r="N455" s="402"/>
      <c r="O455" s="402"/>
      <c r="P455" s="402"/>
      <c r="Q455" s="402"/>
      <c r="R455" s="402"/>
      <c r="S455" s="402"/>
      <c r="T455" s="402"/>
      <c r="U455" s="402"/>
      <c r="V455" s="402"/>
      <c r="W455" s="402"/>
      <c r="X455" s="402"/>
      <c r="Y455" s="402"/>
      <c r="Z455" s="402"/>
      <c r="AA455" s="405"/>
      <c r="AB455" s="405"/>
      <c r="AC455" s="405"/>
      <c r="AD455" s="405"/>
      <c r="AE455" s="405"/>
      <c r="AF455" s="405"/>
      <c r="AG455" s="405"/>
      <c r="AH455" s="405"/>
      <c r="AI455" s="405"/>
      <c r="AJ455" s="405"/>
      <c r="AK455" s="405"/>
      <c r="AL455" s="405"/>
    </row>
    <row r="456" ht="14.25" customHeight="1">
      <c r="A456" s="497">
        <v>45516.0</v>
      </c>
      <c r="B456" s="349" t="s">
        <v>3802</v>
      </c>
      <c r="C456" s="349" t="s">
        <v>3670</v>
      </c>
      <c r="D456" s="349" t="s">
        <v>54</v>
      </c>
      <c r="E456" s="349" t="s">
        <v>3579</v>
      </c>
      <c r="F456" s="413">
        <v>21450.25</v>
      </c>
      <c r="G456" s="413"/>
      <c r="H456" s="349" t="s">
        <v>3901</v>
      </c>
      <c r="I456" s="736" t="str">
        <f t="shared" si="16"/>
        <v>NOT PAID</v>
      </c>
      <c r="J456" s="402"/>
      <c r="K456" s="402"/>
      <c r="L456" s="402"/>
      <c r="M456" s="402"/>
      <c r="N456" s="402"/>
      <c r="O456" s="402"/>
      <c r="P456" s="402"/>
      <c r="Q456" s="402"/>
      <c r="R456" s="402"/>
      <c r="S456" s="402"/>
      <c r="T456" s="402"/>
      <c r="U456" s="402"/>
      <c r="V456" s="402"/>
      <c r="W456" s="402"/>
      <c r="X456" s="402"/>
      <c r="Y456" s="402"/>
      <c r="Z456" s="402"/>
      <c r="AA456" s="405"/>
      <c r="AB456" s="405"/>
      <c r="AC456" s="405"/>
      <c r="AD456" s="405"/>
      <c r="AE456" s="405"/>
      <c r="AF456" s="405"/>
      <c r="AG456" s="405"/>
      <c r="AH456" s="405"/>
      <c r="AI456" s="405"/>
      <c r="AJ456" s="405"/>
      <c r="AK456" s="405"/>
      <c r="AL456" s="405"/>
    </row>
    <row r="457" ht="14.25" customHeight="1">
      <c r="A457" s="497">
        <v>45516.0</v>
      </c>
      <c r="B457" s="349" t="s">
        <v>3552</v>
      </c>
      <c r="C457" s="349" t="s">
        <v>3553</v>
      </c>
      <c r="D457" s="349" t="s">
        <v>54</v>
      </c>
      <c r="E457" s="349" t="s">
        <v>3551</v>
      </c>
      <c r="F457" s="751">
        <v>36316.0</v>
      </c>
      <c r="G457" s="751"/>
      <c r="H457" s="349" t="s">
        <v>3905</v>
      </c>
      <c r="I457" s="736" t="str">
        <f t="shared" si="16"/>
        <v>NOT PAID</v>
      </c>
      <c r="J457" s="402"/>
      <c r="K457" s="402"/>
      <c r="L457" s="402"/>
      <c r="M457" s="402"/>
      <c r="N457" s="402"/>
      <c r="O457" s="402"/>
      <c r="P457" s="402"/>
      <c r="Q457" s="402"/>
      <c r="R457" s="402"/>
      <c r="S457" s="402"/>
      <c r="T457" s="402"/>
      <c r="U457" s="402"/>
      <c r="V457" s="402"/>
      <c r="W457" s="402"/>
      <c r="X457" s="402"/>
      <c r="Y457" s="402"/>
      <c r="Z457" s="402"/>
      <c r="AA457" s="405"/>
      <c r="AB457" s="405"/>
      <c r="AC457" s="405"/>
      <c r="AD457" s="405"/>
      <c r="AE457" s="405"/>
      <c r="AF457" s="405"/>
      <c r="AG457" s="405"/>
      <c r="AH457" s="405"/>
      <c r="AI457" s="405"/>
      <c r="AJ457" s="405"/>
      <c r="AK457" s="405"/>
      <c r="AL457" s="405"/>
    </row>
    <row r="458" ht="14.25" customHeight="1">
      <c r="A458" s="497">
        <v>45516.0</v>
      </c>
      <c r="B458" s="349" t="s">
        <v>3718</v>
      </c>
      <c r="C458" s="349" t="s">
        <v>3719</v>
      </c>
      <c r="D458" s="349" t="s">
        <v>54</v>
      </c>
      <c r="E458" s="349" t="s">
        <v>3551</v>
      </c>
      <c r="F458" s="751">
        <v>344354.0</v>
      </c>
      <c r="G458" s="751"/>
      <c r="H458" s="349" t="s">
        <v>3906</v>
      </c>
      <c r="I458" s="736" t="str">
        <f t="shared" si="16"/>
        <v>NOT PAID</v>
      </c>
      <c r="J458" s="402"/>
      <c r="K458" s="402"/>
      <c r="L458" s="402"/>
      <c r="M458" s="402"/>
      <c r="N458" s="402"/>
      <c r="O458" s="402"/>
      <c r="P458" s="402"/>
      <c r="Q458" s="402"/>
      <c r="R458" s="402"/>
      <c r="S458" s="402"/>
      <c r="T458" s="402"/>
      <c r="U458" s="402"/>
      <c r="V458" s="402"/>
      <c r="W458" s="402"/>
      <c r="X458" s="402"/>
      <c r="Y458" s="402"/>
      <c r="Z458" s="402"/>
      <c r="AA458" s="405"/>
      <c r="AB458" s="405"/>
      <c r="AC458" s="405"/>
      <c r="AD458" s="405"/>
      <c r="AE458" s="405"/>
      <c r="AF458" s="405"/>
      <c r="AG458" s="405"/>
      <c r="AH458" s="405"/>
      <c r="AI458" s="405"/>
      <c r="AJ458" s="405"/>
      <c r="AK458" s="405"/>
      <c r="AL458" s="405"/>
    </row>
    <row r="459" ht="14.25" customHeight="1">
      <c r="A459" s="497">
        <v>45516.0</v>
      </c>
      <c r="B459" s="349" t="s">
        <v>3831</v>
      </c>
      <c r="C459" s="349" t="s">
        <v>3832</v>
      </c>
      <c r="D459" s="349" t="s">
        <v>54</v>
      </c>
      <c r="E459" s="349" t="s">
        <v>3551</v>
      </c>
      <c r="F459" s="751">
        <v>5000.0</v>
      </c>
      <c r="G459" s="413">
        <v>5000.0</v>
      </c>
      <c r="H459" s="349" t="s">
        <v>149</v>
      </c>
      <c r="I459" s="736" t="str">
        <f t="shared" si="16"/>
        <v>FULLY PAID</v>
      </c>
      <c r="J459" s="402"/>
      <c r="K459" s="402"/>
      <c r="L459" s="402"/>
      <c r="M459" s="402"/>
      <c r="N459" s="402"/>
      <c r="O459" s="402"/>
      <c r="P459" s="402"/>
      <c r="Q459" s="402"/>
      <c r="R459" s="402"/>
      <c r="S459" s="402"/>
      <c r="T459" s="402"/>
      <c r="U459" s="402"/>
      <c r="V459" s="402"/>
      <c r="W459" s="402"/>
      <c r="X459" s="402"/>
      <c r="Y459" s="402"/>
      <c r="Z459" s="402"/>
      <c r="AA459" s="405"/>
      <c r="AB459" s="405"/>
      <c r="AC459" s="405"/>
      <c r="AD459" s="405"/>
      <c r="AE459" s="405"/>
      <c r="AF459" s="405"/>
      <c r="AG459" s="405"/>
      <c r="AH459" s="405"/>
      <c r="AI459" s="405"/>
      <c r="AJ459" s="405"/>
      <c r="AK459" s="405"/>
      <c r="AL459" s="405"/>
    </row>
    <row r="460" ht="14.25" customHeight="1">
      <c r="A460" s="402"/>
      <c r="B460" s="402"/>
      <c r="C460" s="402"/>
      <c r="D460" s="402"/>
      <c r="E460" s="402"/>
      <c r="F460" s="402"/>
      <c r="G460" s="403"/>
      <c r="H460" s="402"/>
      <c r="I460" s="736" t="str">
        <f t="shared" si="16"/>
        <v>FULLY PAID</v>
      </c>
      <c r="J460" s="402"/>
      <c r="K460" s="402"/>
      <c r="L460" s="402"/>
      <c r="M460" s="402"/>
      <c r="N460" s="402"/>
      <c r="O460" s="402"/>
      <c r="P460" s="402"/>
      <c r="Q460" s="402"/>
      <c r="R460" s="402"/>
      <c r="S460" s="402"/>
      <c r="T460" s="402"/>
      <c r="U460" s="402"/>
      <c r="V460" s="402"/>
      <c r="W460" s="402"/>
      <c r="X460" s="402"/>
      <c r="Y460" s="402"/>
      <c r="Z460" s="402"/>
      <c r="AA460" s="405"/>
      <c r="AB460" s="405"/>
      <c r="AC460" s="405"/>
      <c r="AD460" s="405"/>
      <c r="AE460" s="405"/>
      <c r="AF460" s="405"/>
      <c r="AG460" s="405"/>
      <c r="AH460" s="405"/>
      <c r="AI460" s="405"/>
      <c r="AJ460" s="405"/>
      <c r="AK460" s="405"/>
      <c r="AL460" s="405"/>
    </row>
    <row r="461" ht="14.25" customHeight="1">
      <c r="A461" s="402"/>
      <c r="B461" s="402"/>
      <c r="C461" s="402"/>
      <c r="D461" s="402"/>
      <c r="E461" s="402"/>
      <c r="F461" s="402"/>
      <c r="G461" s="403"/>
      <c r="H461" s="402"/>
      <c r="I461" s="736" t="str">
        <f t="shared" si="16"/>
        <v>FULLY PAID</v>
      </c>
      <c r="J461" s="402"/>
      <c r="K461" s="402"/>
      <c r="L461" s="402"/>
      <c r="M461" s="402"/>
      <c r="N461" s="402"/>
      <c r="O461" s="402"/>
      <c r="P461" s="402"/>
      <c r="Q461" s="402"/>
      <c r="R461" s="402"/>
      <c r="S461" s="402"/>
      <c r="T461" s="402"/>
      <c r="U461" s="402"/>
      <c r="V461" s="402"/>
      <c r="W461" s="402"/>
      <c r="X461" s="402"/>
      <c r="Y461" s="402"/>
      <c r="Z461" s="402"/>
      <c r="AA461" s="405"/>
      <c r="AB461" s="405"/>
      <c r="AC461" s="405"/>
      <c r="AD461" s="405"/>
      <c r="AE461" s="405"/>
      <c r="AF461" s="405"/>
      <c r="AG461" s="405"/>
      <c r="AH461" s="405"/>
      <c r="AI461" s="405"/>
      <c r="AJ461" s="405"/>
      <c r="AK461" s="405"/>
      <c r="AL461" s="405"/>
    </row>
    <row r="462" ht="14.25" customHeight="1">
      <c r="A462" s="402"/>
      <c r="B462" s="402"/>
      <c r="C462" s="402"/>
      <c r="D462" s="402"/>
      <c r="E462" s="402"/>
      <c r="F462" s="586">
        <f t="shared" ref="F462:G462" si="18">SUM(F437:F461)</f>
        <v>1577877.75</v>
      </c>
      <c r="G462" s="586">
        <f t="shared" si="18"/>
        <v>379458</v>
      </c>
      <c r="H462" s="402"/>
      <c r="I462" s="736" t="str">
        <f t="shared" si="16"/>
        <v>PARTIALLY PAID</v>
      </c>
      <c r="J462" s="402"/>
      <c r="K462" s="402"/>
      <c r="L462" s="402"/>
      <c r="M462" s="402"/>
      <c r="N462" s="402"/>
      <c r="O462" s="402"/>
      <c r="P462" s="402"/>
      <c r="Q462" s="402"/>
      <c r="R462" s="402"/>
      <c r="S462" s="402"/>
      <c r="T462" s="402"/>
      <c r="U462" s="402"/>
      <c r="V462" s="402"/>
      <c r="W462" s="402"/>
      <c r="X462" s="402"/>
      <c r="Y462" s="402"/>
      <c r="Z462" s="402"/>
      <c r="AA462" s="405"/>
      <c r="AB462" s="405"/>
      <c r="AC462" s="405"/>
      <c r="AD462" s="405"/>
      <c r="AE462" s="405"/>
      <c r="AF462" s="405"/>
      <c r="AG462" s="405"/>
      <c r="AH462" s="405"/>
      <c r="AI462" s="405"/>
      <c r="AJ462" s="405"/>
      <c r="AK462" s="405"/>
      <c r="AL462" s="405"/>
    </row>
    <row r="463" ht="14.25" customHeight="1">
      <c r="A463" s="584"/>
      <c r="B463" s="584"/>
      <c r="C463" s="584"/>
      <c r="D463" s="584"/>
      <c r="E463" s="584"/>
      <c r="F463" s="584"/>
      <c r="G463" s="586"/>
      <c r="H463" s="424"/>
      <c r="I463" s="736" t="str">
        <f t="shared" si="16"/>
        <v>FULLY PAID</v>
      </c>
      <c r="J463" s="584"/>
      <c r="K463" s="584"/>
      <c r="L463" s="584"/>
      <c r="M463" s="584"/>
      <c r="N463" s="584"/>
      <c r="O463" s="584"/>
      <c r="P463" s="584"/>
      <c r="Q463" s="584"/>
      <c r="R463" s="584"/>
      <c r="S463" s="584"/>
      <c r="T463" s="584"/>
      <c r="U463" s="584"/>
      <c r="V463" s="584"/>
      <c r="W463" s="584"/>
      <c r="X463" s="584"/>
      <c r="Y463" s="584"/>
      <c r="Z463" s="584"/>
      <c r="AA463" s="659"/>
      <c r="AB463" s="659"/>
      <c r="AC463" s="659"/>
      <c r="AD463" s="659"/>
      <c r="AE463" s="659"/>
      <c r="AF463" s="659"/>
      <c r="AG463" s="659"/>
      <c r="AH463" s="659"/>
      <c r="AI463" s="659"/>
      <c r="AJ463" s="659"/>
      <c r="AK463" s="659"/>
      <c r="AL463" s="659"/>
    </row>
    <row r="464" ht="14.25" customHeight="1">
      <c r="A464" s="584"/>
      <c r="B464" s="584"/>
      <c r="C464" s="584"/>
      <c r="D464" s="584"/>
      <c r="E464" s="584"/>
      <c r="F464" s="584"/>
      <c r="G464" s="586"/>
      <c r="H464" s="424"/>
      <c r="I464" s="736" t="str">
        <f t="shared" si="16"/>
        <v>FULLY PAID</v>
      </c>
      <c r="J464" s="584"/>
      <c r="K464" s="584"/>
      <c r="L464" s="584"/>
      <c r="M464" s="584"/>
      <c r="N464" s="584"/>
      <c r="O464" s="584"/>
      <c r="P464" s="584"/>
      <c r="Q464" s="584"/>
      <c r="R464" s="584"/>
      <c r="S464" s="584"/>
      <c r="T464" s="584"/>
      <c r="U464" s="584"/>
      <c r="V464" s="584"/>
      <c r="W464" s="584"/>
      <c r="X464" s="584"/>
      <c r="Y464" s="584"/>
      <c r="Z464" s="584"/>
      <c r="AA464" s="659"/>
      <c r="AB464" s="659"/>
      <c r="AC464" s="659"/>
      <c r="AD464" s="659"/>
      <c r="AE464" s="659"/>
      <c r="AF464" s="659"/>
      <c r="AG464" s="659"/>
      <c r="AH464" s="659"/>
      <c r="AI464" s="659"/>
      <c r="AJ464" s="659"/>
      <c r="AK464" s="659"/>
      <c r="AL464" s="659"/>
    </row>
    <row r="465" ht="14.25" customHeight="1">
      <c r="A465" s="584"/>
      <c r="B465" s="584"/>
      <c r="C465" s="584"/>
      <c r="D465" s="584"/>
      <c r="E465" s="584"/>
      <c r="F465" s="584"/>
      <c r="G465" s="586"/>
      <c r="H465" s="424"/>
      <c r="I465" s="736" t="str">
        <f t="shared" si="16"/>
        <v>FULLY PAID</v>
      </c>
      <c r="J465" s="584"/>
      <c r="K465" s="584"/>
      <c r="L465" s="584"/>
      <c r="M465" s="584"/>
      <c r="N465" s="584"/>
      <c r="O465" s="584"/>
      <c r="P465" s="584"/>
      <c r="Q465" s="584"/>
      <c r="R465" s="584"/>
      <c r="S465" s="584"/>
      <c r="T465" s="584"/>
      <c r="U465" s="584"/>
      <c r="V465" s="584"/>
      <c r="W465" s="584"/>
      <c r="X465" s="584"/>
      <c r="Y465" s="584"/>
      <c r="Z465" s="584"/>
      <c r="AA465" s="659"/>
      <c r="AB465" s="659"/>
      <c r="AC465" s="659"/>
      <c r="AD465" s="659"/>
      <c r="AE465" s="659"/>
      <c r="AF465" s="659"/>
      <c r="AG465" s="659"/>
      <c r="AH465" s="659"/>
      <c r="AI465" s="659"/>
      <c r="AJ465" s="659"/>
      <c r="AK465" s="659"/>
      <c r="AL465" s="659"/>
    </row>
    <row r="466" ht="14.25" customHeight="1">
      <c r="A466" s="584" t="s">
        <v>2130</v>
      </c>
      <c r="B466" s="584" t="s">
        <v>39</v>
      </c>
      <c r="C466" s="584" t="s">
        <v>48</v>
      </c>
      <c r="D466" s="584" t="s">
        <v>49</v>
      </c>
      <c r="E466" s="584" t="s">
        <v>50</v>
      </c>
      <c r="F466" s="584" t="s">
        <v>2</v>
      </c>
      <c r="G466" s="586" t="s">
        <v>44</v>
      </c>
      <c r="H466" s="424" t="s">
        <v>45</v>
      </c>
      <c r="I466" s="736" t="str">
        <f t="shared" si="16"/>
        <v>FULLY PAID</v>
      </c>
      <c r="J466" s="584"/>
      <c r="K466" s="584"/>
      <c r="L466" s="584"/>
      <c r="M466" s="584"/>
      <c r="N466" s="584"/>
      <c r="O466" s="584"/>
      <c r="P466" s="584"/>
      <c r="Q466" s="584"/>
      <c r="R466" s="584"/>
      <c r="S466" s="584"/>
      <c r="T466" s="584"/>
      <c r="U466" s="584"/>
      <c r="V466" s="584"/>
      <c r="W466" s="584"/>
      <c r="X466" s="584"/>
      <c r="Y466" s="584"/>
      <c r="Z466" s="584"/>
      <c r="AA466" s="659"/>
      <c r="AB466" s="659"/>
      <c r="AC466" s="659"/>
      <c r="AD466" s="659"/>
      <c r="AE466" s="659"/>
      <c r="AF466" s="659"/>
      <c r="AG466" s="659"/>
      <c r="AH466" s="659"/>
      <c r="AI466" s="659"/>
      <c r="AJ466" s="659"/>
      <c r="AK466" s="659"/>
      <c r="AL466" s="659"/>
    </row>
    <row r="467" ht="14.25" customHeight="1">
      <c r="A467" s="497">
        <v>45517.0</v>
      </c>
      <c r="B467" s="349" t="s">
        <v>3907</v>
      </c>
      <c r="C467" s="349" t="s">
        <v>3908</v>
      </c>
      <c r="D467" s="349" t="s">
        <v>54</v>
      </c>
      <c r="E467" s="349" t="s">
        <v>3617</v>
      </c>
      <c r="F467" s="413">
        <v>17455.0</v>
      </c>
      <c r="G467" s="413">
        <v>0.0</v>
      </c>
      <c r="H467" s="349" t="s">
        <v>3909</v>
      </c>
      <c r="I467" s="736" t="str">
        <f t="shared" si="16"/>
        <v>NOT PAID</v>
      </c>
      <c r="J467" s="402"/>
      <c r="K467" s="402"/>
      <c r="L467" s="402"/>
      <c r="M467" s="402"/>
      <c r="N467" s="402"/>
      <c r="O467" s="402"/>
      <c r="P467" s="402"/>
      <c r="Q467" s="402"/>
      <c r="R467" s="402"/>
      <c r="S467" s="402"/>
      <c r="T467" s="402"/>
      <c r="U467" s="402"/>
      <c r="V467" s="402"/>
      <c r="W467" s="402"/>
      <c r="X467" s="402"/>
      <c r="Y467" s="402"/>
      <c r="Z467" s="402"/>
      <c r="AA467" s="405"/>
      <c r="AB467" s="405"/>
      <c r="AC467" s="405"/>
      <c r="AD467" s="405"/>
      <c r="AE467" s="405"/>
      <c r="AF467" s="405"/>
      <c r="AG467" s="405"/>
      <c r="AH467" s="405"/>
      <c r="AI467" s="405"/>
      <c r="AJ467" s="405"/>
      <c r="AK467" s="405"/>
      <c r="AL467" s="405"/>
    </row>
    <row r="468" ht="14.25" customHeight="1">
      <c r="A468" s="497">
        <v>45517.0</v>
      </c>
      <c r="B468" s="349" t="s">
        <v>3591</v>
      </c>
      <c r="C468" s="349" t="s">
        <v>3592</v>
      </c>
      <c r="D468" s="349" t="s">
        <v>54</v>
      </c>
      <c r="E468" s="349" t="s">
        <v>3579</v>
      </c>
      <c r="F468" s="413">
        <v>9286.84</v>
      </c>
      <c r="G468" s="413">
        <v>18720.0</v>
      </c>
      <c r="H468" s="349" t="s">
        <v>710</v>
      </c>
      <c r="I468" s="736" t="str">
        <f t="shared" si="16"/>
        <v>FULLY PAID</v>
      </c>
      <c r="J468" s="402"/>
      <c r="K468" s="402"/>
      <c r="L468" s="402"/>
      <c r="M468" s="402"/>
      <c r="N468" s="402"/>
      <c r="O468" s="402"/>
      <c r="P468" s="402"/>
      <c r="Q468" s="402"/>
      <c r="R468" s="402"/>
      <c r="S468" s="402"/>
      <c r="T468" s="402"/>
      <c r="U468" s="402"/>
      <c r="V468" s="402"/>
      <c r="W468" s="402"/>
      <c r="X468" s="402"/>
      <c r="Y468" s="402"/>
      <c r="Z468" s="402"/>
      <c r="AA468" s="405"/>
      <c r="AB468" s="405"/>
      <c r="AC468" s="405"/>
      <c r="AD468" s="405"/>
      <c r="AE468" s="405"/>
      <c r="AF468" s="405"/>
      <c r="AG468" s="405"/>
      <c r="AH468" s="405"/>
      <c r="AI468" s="405"/>
      <c r="AJ468" s="405"/>
      <c r="AK468" s="405"/>
      <c r="AL468" s="405"/>
    </row>
    <row r="469" ht="14.25" customHeight="1">
      <c r="A469" s="497">
        <v>45517.0</v>
      </c>
      <c r="B469" s="349" t="s">
        <v>3910</v>
      </c>
      <c r="C469" s="349" t="s">
        <v>3748</v>
      </c>
      <c r="D469" s="349" t="s">
        <v>54</v>
      </c>
      <c r="E469" s="349" t="s">
        <v>3551</v>
      </c>
      <c r="F469" s="413">
        <v>32199.2</v>
      </c>
      <c r="G469" s="413"/>
      <c r="H469" s="349" t="s">
        <v>2184</v>
      </c>
      <c r="I469" s="736" t="str">
        <f t="shared" si="16"/>
        <v>NOT PAID</v>
      </c>
      <c r="J469" s="402"/>
      <c r="K469" s="402"/>
      <c r="L469" s="402"/>
      <c r="M469" s="402"/>
      <c r="N469" s="402"/>
      <c r="O469" s="402"/>
      <c r="P469" s="402"/>
      <c r="Q469" s="402"/>
      <c r="R469" s="402"/>
      <c r="S469" s="402"/>
      <c r="T469" s="402"/>
      <c r="U469" s="402"/>
      <c r="V469" s="402"/>
      <c r="W469" s="402"/>
      <c r="X469" s="402"/>
      <c r="Y469" s="402"/>
      <c r="Z469" s="402"/>
      <c r="AA469" s="405"/>
      <c r="AB469" s="405"/>
      <c r="AC469" s="405"/>
      <c r="AD469" s="405"/>
      <c r="AE469" s="405"/>
      <c r="AF469" s="405"/>
      <c r="AG469" s="405"/>
      <c r="AH469" s="405"/>
      <c r="AI469" s="405"/>
      <c r="AJ469" s="405"/>
      <c r="AK469" s="405"/>
      <c r="AL469" s="405"/>
    </row>
    <row r="470" ht="14.25" customHeight="1">
      <c r="A470" s="497">
        <v>45517.0</v>
      </c>
      <c r="B470" s="349" t="s">
        <v>3911</v>
      </c>
      <c r="C470" s="349" t="s">
        <v>3898</v>
      </c>
      <c r="D470" s="349" t="s">
        <v>346</v>
      </c>
      <c r="E470" s="349" t="s">
        <v>3551</v>
      </c>
      <c r="F470" s="413">
        <v>4832.95</v>
      </c>
      <c r="G470" s="413"/>
      <c r="H470" s="349" t="s">
        <v>2184</v>
      </c>
      <c r="I470" s="736" t="str">
        <f t="shared" si="16"/>
        <v>NOT PAID</v>
      </c>
      <c r="J470" s="402"/>
      <c r="K470" s="402"/>
      <c r="L470" s="402"/>
      <c r="M470" s="402"/>
      <c r="N470" s="402"/>
      <c r="O470" s="402"/>
      <c r="P470" s="402"/>
      <c r="Q470" s="402"/>
      <c r="R470" s="402"/>
      <c r="S470" s="402"/>
      <c r="T470" s="402"/>
      <c r="U470" s="402"/>
      <c r="V470" s="402"/>
      <c r="W470" s="402"/>
      <c r="X470" s="402"/>
      <c r="Y470" s="402"/>
      <c r="Z470" s="402"/>
      <c r="AA470" s="405"/>
      <c r="AB470" s="405"/>
      <c r="AC470" s="405"/>
      <c r="AD470" s="405"/>
      <c r="AE470" s="405"/>
      <c r="AF470" s="405"/>
      <c r="AG470" s="405"/>
      <c r="AH470" s="405"/>
      <c r="AI470" s="405"/>
      <c r="AJ470" s="405"/>
      <c r="AK470" s="405"/>
      <c r="AL470" s="405"/>
    </row>
    <row r="471" ht="14.25" customHeight="1">
      <c r="A471" s="497">
        <v>45517.0</v>
      </c>
      <c r="B471" s="349" t="s">
        <v>3563</v>
      </c>
      <c r="C471" s="349" t="s">
        <v>3564</v>
      </c>
      <c r="D471" s="349" t="s">
        <v>54</v>
      </c>
      <c r="E471" s="349" t="s">
        <v>3579</v>
      </c>
      <c r="F471" s="413">
        <v>82867.1</v>
      </c>
      <c r="G471" s="413"/>
      <c r="H471" s="349" t="s">
        <v>3560</v>
      </c>
      <c r="I471" s="736" t="str">
        <f t="shared" si="16"/>
        <v>NOT PAID</v>
      </c>
      <c r="J471" s="402"/>
      <c r="K471" s="402"/>
      <c r="L471" s="402"/>
      <c r="M471" s="402"/>
      <c r="N471" s="402"/>
      <c r="O471" s="402"/>
      <c r="P471" s="402"/>
      <c r="Q471" s="402"/>
      <c r="R471" s="402"/>
      <c r="S471" s="402"/>
      <c r="T471" s="402"/>
      <c r="U471" s="402"/>
      <c r="V471" s="402"/>
      <c r="W471" s="402"/>
      <c r="X471" s="402"/>
      <c r="Y471" s="402"/>
      <c r="Z471" s="402"/>
      <c r="AA471" s="405"/>
      <c r="AB471" s="405"/>
      <c r="AC471" s="405"/>
      <c r="AD471" s="405"/>
      <c r="AE471" s="405"/>
      <c r="AF471" s="405"/>
      <c r="AG471" s="405"/>
      <c r="AH471" s="405"/>
      <c r="AI471" s="405"/>
      <c r="AJ471" s="405"/>
      <c r="AK471" s="405"/>
      <c r="AL471" s="405"/>
    </row>
    <row r="472" ht="14.25" customHeight="1">
      <c r="A472" s="497">
        <v>45517.0</v>
      </c>
      <c r="B472" s="349" t="s">
        <v>3912</v>
      </c>
      <c r="C472" s="349" t="s">
        <v>3635</v>
      </c>
      <c r="D472" s="349" t="s">
        <v>75</v>
      </c>
      <c r="E472" s="349" t="s">
        <v>3551</v>
      </c>
      <c r="F472" s="413">
        <v>55000.0</v>
      </c>
      <c r="G472" s="413"/>
      <c r="H472" s="349" t="s">
        <v>2184</v>
      </c>
      <c r="I472" s="736" t="str">
        <f t="shared" si="16"/>
        <v>NOT PAID</v>
      </c>
      <c r="J472" s="402"/>
      <c r="K472" s="402"/>
      <c r="L472" s="402"/>
      <c r="M472" s="402"/>
      <c r="N472" s="402"/>
      <c r="O472" s="402"/>
      <c r="P472" s="402"/>
      <c r="Q472" s="402"/>
      <c r="R472" s="402"/>
      <c r="S472" s="402"/>
      <c r="T472" s="402"/>
      <c r="U472" s="402"/>
      <c r="V472" s="402"/>
      <c r="W472" s="402"/>
      <c r="X472" s="402"/>
      <c r="Y472" s="402"/>
      <c r="Z472" s="402"/>
      <c r="AA472" s="405"/>
      <c r="AB472" s="405"/>
      <c r="AC472" s="405"/>
      <c r="AD472" s="405"/>
      <c r="AE472" s="405"/>
      <c r="AF472" s="405"/>
      <c r="AG472" s="405"/>
      <c r="AH472" s="405"/>
      <c r="AI472" s="405"/>
      <c r="AJ472" s="405"/>
      <c r="AK472" s="405"/>
      <c r="AL472" s="405"/>
    </row>
    <row r="473" ht="14.25" customHeight="1">
      <c r="A473" s="497">
        <v>45517.0</v>
      </c>
      <c r="B473" s="349" t="s">
        <v>3831</v>
      </c>
      <c r="C473" s="349" t="s">
        <v>3832</v>
      </c>
      <c r="D473" s="349" t="s">
        <v>54</v>
      </c>
      <c r="E473" s="349" t="s">
        <v>3551</v>
      </c>
      <c r="F473" s="751">
        <v>5292.0</v>
      </c>
      <c r="G473" s="751"/>
      <c r="H473" s="349" t="s">
        <v>2184</v>
      </c>
      <c r="I473" s="736" t="str">
        <f t="shared" si="16"/>
        <v>NOT PAID</v>
      </c>
      <c r="J473" s="402"/>
      <c r="K473" s="402"/>
      <c r="L473" s="402"/>
      <c r="M473" s="402"/>
      <c r="N473" s="402"/>
      <c r="O473" s="402"/>
      <c r="P473" s="402"/>
      <c r="Q473" s="402"/>
      <c r="R473" s="402"/>
      <c r="S473" s="402"/>
      <c r="T473" s="402"/>
      <c r="U473" s="402"/>
      <c r="V473" s="402"/>
      <c r="W473" s="402"/>
      <c r="X473" s="402"/>
      <c r="Y473" s="402"/>
      <c r="Z473" s="402"/>
      <c r="AA473" s="405"/>
      <c r="AB473" s="405"/>
      <c r="AC473" s="405"/>
      <c r="AD473" s="405"/>
      <c r="AE473" s="405"/>
      <c r="AF473" s="405"/>
      <c r="AG473" s="405"/>
      <c r="AH473" s="405"/>
      <c r="AI473" s="405"/>
      <c r="AJ473" s="405"/>
      <c r="AK473" s="405"/>
      <c r="AL473" s="405"/>
    </row>
    <row r="474" ht="14.25" customHeight="1">
      <c r="A474" s="497">
        <v>45517.0</v>
      </c>
      <c r="B474" s="349" t="s">
        <v>3549</v>
      </c>
      <c r="C474" s="349" t="s">
        <v>3550</v>
      </c>
      <c r="D474" s="349" t="s">
        <v>346</v>
      </c>
      <c r="E474" s="349" t="s">
        <v>3551</v>
      </c>
      <c r="F474" s="413">
        <v>5159.0</v>
      </c>
      <c r="G474" s="413">
        <v>1485.0</v>
      </c>
      <c r="H474" s="349" t="s">
        <v>3903</v>
      </c>
      <c r="I474" s="736" t="str">
        <f t="shared" si="16"/>
        <v>PARTIALLY PAID</v>
      </c>
      <c r="J474" s="402"/>
      <c r="K474" s="402"/>
      <c r="L474" s="402"/>
      <c r="M474" s="402"/>
      <c r="N474" s="402"/>
      <c r="O474" s="402"/>
      <c r="P474" s="402"/>
      <c r="Q474" s="402"/>
      <c r="R474" s="402"/>
      <c r="S474" s="402"/>
      <c r="T474" s="402"/>
      <c r="U474" s="402"/>
      <c r="V474" s="402"/>
      <c r="W474" s="402"/>
      <c r="X474" s="402"/>
      <c r="Y474" s="402"/>
      <c r="Z474" s="402"/>
      <c r="AA474" s="405"/>
      <c r="AB474" s="405"/>
      <c r="AC474" s="405"/>
      <c r="AD474" s="405"/>
      <c r="AE474" s="405"/>
      <c r="AF474" s="405"/>
      <c r="AG474" s="405"/>
      <c r="AH474" s="405"/>
      <c r="AI474" s="405"/>
      <c r="AJ474" s="405"/>
      <c r="AK474" s="405"/>
      <c r="AL474" s="405"/>
    </row>
    <row r="475" ht="14.25" customHeight="1">
      <c r="A475" s="497">
        <v>45517.0</v>
      </c>
      <c r="B475" s="349" t="s">
        <v>3802</v>
      </c>
      <c r="C475" s="349" t="s">
        <v>3670</v>
      </c>
      <c r="D475" s="349" t="s">
        <v>54</v>
      </c>
      <c r="E475" s="349" t="s">
        <v>3579</v>
      </c>
      <c r="F475" s="413">
        <v>21450.25</v>
      </c>
      <c r="G475" s="413"/>
      <c r="H475" s="349" t="s">
        <v>3913</v>
      </c>
      <c r="I475" s="736" t="str">
        <f t="shared" si="16"/>
        <v>NOT PAID</v>
      </c>
      <c r="J475" s="402"/>
      <c r="K475" s="402"/>
      <c r="L475" s="402"/>
      <c r="M475" s="402"/>
      <c r="N475" s="402"/>
      <c r="O475" s="402"/>
      <c r="P475" s="402"/>
      <c r="Q475" s="402"/>
      <c r="R475" s="402"/>
      <c r="S475" s="402"/>
      <c r="T475" s="402"/>
      <c r="U475" s="402"/>
      <c r="V475" s="402"/>
      <c r="W475" s="402"/>
      <c r="X475" s="402"/>
      <c r="Y475" s="402"/>
      <c r="Z475" s="402"/>
      <c r="AA475" s="405"/>
      <c r="AB475" s="405"/>
      <c r="AC475" s="405"/>
      <c r="AD475" s="405"/>
      <c r="AE475" s="405"/>
      <c r="AF475" s="405"/>
      <c r="AG475" s="405"/>
      <c r="AH475" s="405"/>
      <c r="AI475" s="405"/>
      <c r="AJ475" s="405"/>
      <c r="AK475" s="405"/>
      <c r="AL475" s="405"/>
    </row>
    <row r="476" ht="14.25" customHeight="1">
      <c r="A476" s="497">
        <v>45517.0</v>
      </c>
      <c r="B476" s="349" t="s">
        <v>3914</v>
      </c>
      <c r="C476" s="349" t="s">
        <v>3915</v>
      </c>
      <c r="D476" s="349" t="s">
        <v>54</v>
      </c>
      <c r="E476" s="349" t="s">
        <v>3551</v>
      </c>
      <c r="F476" s="751">
        <v>36316.0</v>
      </c>
      <c r="G476" s="751">
        <v>81345.0</v>
      </c>
      <c r="H476" s="349" t="s">
        <v>710</v>
      </c>
      <c r="I476" s="736" t="str">
        <f t="shared" si="16"/>
        <v>FULLY PAID</v>
      </c>
      <c r="J476" s="402"/>
      <c r="K476" s="402"/>
      <c r="L476" s="402"/>
      <c r="M476" s="402"/>
      <c r="N476" s="402"/>
      <c r="O476" s="402"/>
      <c r="P476" s="402"/>
      <c r="Q476" s="402"/>
      <c r="R476" s="402"/>
      <c r="S476" s="402"/>
      <c r="T476" s="402"/>
      <c r="U476" s="402"/>
      <c r="V476" s="402"/>
      <c r="W476" s="402"/>
      <c r="X476" s="402"/>
      <c r="Y476" s="402"/>
      <c r="Z476" s="402"/>
      <c r="AA476" s="405"/>
      <c r="AB476" s="405"/>
      <c r="AC476" s="405"/>
      <c r="AD476" s="405"/>
      <c r="AE476" s="405"/>
      <c r="AF476" s="405"/>
      <c r="AG476" s="405"/>
      <c r="AH476" s="405"/>
      <c r="AI476" s="405"/>
      <c r="AJ476" s="405"/>
      <c r="AK476" s="405"/>
      <c r="AL476" s="405"/>
    </row>
    <row r="477" ht="14.25" customHeight="1">
      <c r="A477" s="497">
        <v>45517.0</v>
      </c>
      <c r="B477" s="349" t="s">
        <v>3663</v>
      </c>
      <c r="C477" s="349" t="s">
        <v>3799</v>
      </c>
      <c r="D477" s="349" t="s">
        <v>54</v>
      </c>
      <c r="E477" s="349" t="s">
        <v>3579</v>
      </c>
      <c r="F477" s="413">
        <v>79511.0</v>
      </c>
      <c r="G477" s="413">
        <v>20000.0</v>
      </c>
      <c r="H477" s="349" t="s">
        <v>3916</v>
      </c>
      <c r="I477" s="736" t="str">
        <f t="shared" si="16"/>
        <v>PARTIALLY PAID</v>
      </c>
      <c r="J477" s="402"/>
      <c r="K477" s="402"/>
      <c r="L477" s="402"/>
      <c r="M477" s="402"/>
      <c r="N477" s="402"/>
      <c r="O477" s="402"/>
      <c r="P477" s="402"/>
      <c r="Q477" s="402"/>
      <c r="R477" s="402"/>
      <c r="S477" s="402"/>
      <c r="T477" s="402"/>
      <c r="U477" s="402"/>
      <c r="V477" s="402"/>
      <c r="W477" s="402"/>
      <c r="X477" s="402"/>
      <c r="Y477" s="402"/>
      <c r="Z477" s="402"/>
      <c r="AA477" s="405"/>
      <c r="AB477" s="405"/>
      <c r="AC477" s="405"/>
      <c r="AD477" s="405"/>
      <c r="AE477" s="405"/>
      <c r="AF477" s="405"/>
      <c r="AG477" s="405"/>
      <c r="AH477" s="405"/>
      <c r="AI477" s="405"/>
      <c r="AJ477" s="405"/>
      <c r="AK477" s="405"/>
      <c r="AL477" s="405"/>
    </row>
    <row r="478" ht="14.25" customHeight="1">
      <c r="A478" s="497">
        <v>45517.0</v>
      </c>
      <c r="B478" s="349" t="s">
        <v>3561</v>
      </c>
      <c r="C478" s="349" t="s">
        <v>3562</v>
      </c>
      <c r="D478" s="349" t="s">
        <v>54</v>
      </c>
      <c r="E478" s="349" t="s">
        <v>3579</v>
      </c>
      <c r="F478" s="413">
        <v>28631.0</v>
      </c>
      <c r="G478" s="413"/>
      <c r="H478" s="349" t="s">
        <v>3913</v>
      </c>
      <c r="I478" s="736" t="str">
        <f t="shared" si="16"/>
        <v>NOT PAID</v>
      </c>
      <c r="J478" s="402"/>
      <c r="K478" s="402"/>
      <c r="L478" s="402"/>
      <c r="M478" s="402"/>
      <c r="N478" s="402"/>
      <c r="O478" s="402"/>
      <c r="P478" s="402"/>
      <c r="Q478" s="402"/>
      <c r="R478" s="402"/>
      <c r="S478" s="402"/>
      <c r="T478" s="402"/>
      <c r="U478" s="402"/>
      <c r="V478" s="402"/>
      <c r="W478" s="402"/>
      <c r="X478" s="402"/>
      <c r="Y478" s="402"/>
      <c r="Z478" s="402"/>
      <c r="AA478" s="405"/>
      <c r="AB478" s="405"/>
      <c r="AC478" s="405"/>
      <c r="AD478" s="405"/>
      <c r="AE478" s="405"/>
      <c r="AF478" s="405"/>
      <c r="AG478" s="405"/>
      <c r="AH478" s="405"/>
      <c r="AI478" s="405"/>
      <c r="AJ478" s="405"/>
      <c r="AK478" s="405"/>
      <c r="AL478" s="405"/>
    </row>
    <row r="479" ht="14.25" customHeight="1">
      <c r="A479" s="497">
        <v>45517.0</v>
      </c>
      <c r="B479" s="349" t="s">
        <v>3566</v>
      </c>
      <c r="C479" s="349" t="s">
        <v>3567</v>
      </c>
      <c r="D479" s="349" t="s">
        <v>54</v>
      </c>
      <c r="E479" s="349" t="s">
        <v>3579</v>
      </c>
      <c r="F479" s="413">
        <v>7662.6</v>
      </c>
      <c r="G479" s="413">
        <v>10000.0</v>
      </c>
      <c r="H479" s="349" t="s">
        <v>710</v>
      </c>
      <c r="I479" s="736" t="str">
        <f t="shared" si="16"/>
        <v>FULLY PAID</v>
      </c>
      <c r="J479" s="402"/>
      <c r="K479" s="402"/>
      <c r="L479" s="402"/>
      <c r="M479" s="402"/>
      <c r="N479" s="402"/>
      <c r="O479" s="402"/>
      <c r="P479" s="402"/>
      <c r="Q479" s="402"/>
      <c r="R479" s="402"/>
      <c r="S479" s="402"/>
      <c r="T479" s="402"/>
      <c r="U479" s="402"/>
      <c r="V479" s="402"/>
      <c r="W479" s="402"/>
      <c r="X479" s="402"/>
      <c r="Y479" s="402"/>
      <c r="Z479" s="402"/>
      <c r="AA479" s="405"/>
      <c r="AB479" s="405"/>
      <c r="AC479" s="405"/>
      <c r="AD479" s="405"/>
      <c r="AE479" s="405"/>
      <c r="AF479" s="405"/>
      <c r="AG479" s="405"/>
      <c r="AH479" s="405"/>
      <c r="AI479" s="405"/>
      <c r="AJ479" s="405"/>
      <c r="AK479" s="405"/>
      <c r="AL479" s="405"/>
    </row>
    <row r="480" ht="14.25" customHeight="1">
      <c r="A480" s="497">
        <v>45517.0</v>
      </c>
      <c r="B480" s="349" t="s">
        <v>3781</v>
      </c>
      <c r="C480" s="349" t="s">
        <v>3782</v>
      </c>
      <c r="D480" s="349" t="s">
        <v>54</v>
      </c>
      <c r="E480" s="349" t="s">
        <v>3551</v>
      </c>
      <c r="F480" s="413">
        <v>31425.65</v>
      </c>
      <c r="G480" s="413"/>
      <c r="H480" s="349" t="s">
        <v>3913</v>
      </c>
      <c r="I480" s="736" t="str">
        <f t="shared" si="16"/>
        <v>NOT PAID</v>
      </c>
      <c r="J480" s="402"/>
      <c r="K480" s="402"/>
      <c r="L480" s="402"/>
      <c r="M480" s="402"/>
      <c r="N480" s="402"/>
      <c r="O480" s="402"/>
      <c r="P480" s="402"/>
      <c r="Q480" s="402"/>
      <c r="R480" s="402"/>
      <c r="S480" s="402"/>
      <c r="T480" s="402"/>
      <c r="U480" s="402"/>
      <c r="V480" s="402"/>
      <c r="W480" s="402"/>
      <c r="X480" s="402"/>
      <c r="Y480" s="402"/>
      <c r="Z480" s="402"/>
      <c r="AA480" s="405"/>
      <c r="AB480" s="405"/>
      <c r="AC480" s="405"/>
      <c r="AD480" s="405"/>
      <c r="AE480" s="405"/>
      <c r="AF480" s="405"/>
      <c r="AG480" s="405"/>
      <c r="AH480" s="405"/>
      <c r="AI480" s="405"/>
      <c r="AJ480" s="405"/>
      <c r="AK480" s="405"/>
      <c r="AL480" s="405"/>
    </row>
    <row r="481" ht="14.25" customHeight="1">
      <c r="A481" s="497">
        <v>45517.0</v>
      </c>
      <c r="B481" s="349" t="s">
        <v>3717</v>
      </c>
      <c r="C481" s="349" t="s">
        <v>3621</v>
      </c>
      <c r="D481" s="349" t="s">
        <v>54</v>
      </c>
      <c r="E481" s="349" t="s">
        <v>3617</v>
      </c>
      <c r="F481" s="413">
        <v>24896.0</v>
      </c>
      <c r="G481" s="413"/>
      <c r="H481" s="349" t="s">
        <v>3913</v>
      </c>
      <c r="I481" s="736" t="str">
        <f t="shared" si="16"/>
        <v>NOT PAID</v>
      </c>
      <c r="J481" s="402"/>
      <c r="K481" s="402"/>
      <c r="L481" s="402"/>
      <c r="M481" s="402"/>
      <c r="N481" s="402"/>
      <c r="O481" s="402"/>
      <c r="P481" s="402"/>
      <c r="Q481" s="402"/>
      <c r="R481" s="402"/>
      <c r="S481" s="402"/>
      <c r="T481" s="402"/>
      <c r="U481" s="402"/>
      <c r="V481" s="402"/>
      <c r="W481" s="402"/>
      <c r="X481" s="402"/>
      <c r="Y481" s="402"/>
      <c r="Z481" s="402"/>
      <c r="AA481" s="405"/>
      <c r="AB481" s="405"/>
      <c r="AC481" s="405"/>
      <c r="AD481" s="405"/>
      <c r="AE481" s="405"/>
      <c r="AF481" s="405"/>
      <c r="AG481" s="405"/>
      <c r="AH481" s="405"/>
      <c r="AI481" s="405"/>
      <c r="AJ481" s="405"/>
      <c r="AK481" s="405"/>
      <c r="AL481" s="405"/>
    </row>
    <row r="482" ht="14.25" customHeight="1">
      <c r="A482" s="497">
        <v>45517.0</v>
      </c>
      <c r="B482" s="689">
        <v>1000.0</v>
      </c>
      <c r="C482" s="349" t="s">
        <v>3917</v>
      </c>
      <c r="D482" s="349" t="s">
        <v>54</v>
      </c>
      <c r="E482" s="349" t="s">
        <v>3579</v>
      </c>
      <c r="F482" s="751">
        <v>200000.0</v>
      </c>
      <c r="G482" s="751">
        <v>200000.0</v>
      </c>
      <c r="H482" s="349" t="s">
        <v>895</v>
      </c>
      <c r="I482" s="736" t="str">
        <f t="shared" si="16"/>
        <v>FULLY PAID</v>
      </c>
      <c r="J482" s="402"/>
      <c r="K482" s="402"/>
      <c r="L482" s="402"/>
      <c r="M482" s="402"/>
      <c r="N482" s="402"/>
      <c r="O482" s="402"/>
      <c r="P482" s="402"/>
      <c r="Q482" s="402"/>
      <c r="R482" s="402"/>
      <c r="S482" s="402"/>
      <c r="T482" s="402"/>
      <c r="U482" s="402"/>
      <c r="V482" s="402"/>
      <c r="W482" s="402"/>
      <c r="X482" s="402"/>
      <c r="Y482" s="402"/>
      <c r="Z482" s="402"/>
      <c r="AA482" s="405"/>
      <c r="AB482" s="405"/>
      <c r="AC482" s="405"/>
      <c r="AD482" s="405"/>
      <c r="AE482" s="405"/>
      <c r="AF482" s="405"/>
      <c r="AG482" s="405"/>
      <c r="AH482" s="405"/>
      <c r="AI482" s="405"/>
      <c r="AJ482" s="405"/>
      <c r="AK482" s="405"/>
      <c r="AL482" s="405"/>
    </row>
    <row r="483" ht="14.25" customHeight="1">
      <c r="A483" s="497">
        <v>45517.0</v>
      </c>
      <c r="B483" s="349" t="s">
        <v>3899</v>
      </c>
      <c r="C483" s="349" t="s">
        <v>3900</v>
      </c>
      <c r="D483" s="349" t="s">
        <v>263</v>
      </c>
      <c r="E483" s="349" t="s">
        <v>3551</v>
      </c>
      <c r="F483" s="413">
        <v>98333.0</v>
      </c>
      <c r="G483" s="413">
        <v>99000.0</v>
      </c>
      <c r="H483" s="349" t="s">
        <v>710</v>
      </c>
      <c r="I483" s="736" t="str">
        <f t="shared" si="16"/>
        <v>FULLY PAID</v>
      </c>
      <c r="J483" s="402"/>
      <c r="K483" s="402"/>
      <c r="L483" s="402"/>
      <c r="M483" s="402"/>
      <c r="N483" s="402"/>
      <c r="O483" s="402"/>
      <c r="P483" s="402"/>
      <c r="Q483" s="402"/>
      <c r="R483" s="402"/>
      <c r="S483" s="402"/>
      <c r="T483" s="402"/>
      <c r="U483" s="402"/>
      <c r="V483" s="402"/>
      <c r="W483" s="402"/>
      <c r="X483" s="402"/>
      <c r="Y483" s="402"/>
      <c r="Z483" s="402"/>
      <c r="AA483" s="405"/>
      <c r="AB483" s="405"/>
      <c r="AC483" s="405"/>
      <c r="AD483" s="405"/>
      <c r="AE483" s="405"/>
      <c r="AF483" s="405"/>
      <c r="AG483" s="405"/>
      <c r="AH483" s="405"/>
      <c r="AI483" s="405"/>
      <c r="AJ483" s="405"/>
      <c r="AK483" s="405"/>
      <c r="AL483" s="405"/>
    </row>
    <row r="484" ht="14.25" customHeight="1">
      <c r="A484" s="497">
        <v>45517.0</v>
      </c>
      <c r="B484" s="349" t="s">
        <v>3594</v>
      </c>
      <c r="C484" s="349" t="s">
        <v>3592</v>
      </c>
      <c r="D484" s="349" t="s">
        <v>54</v>
      </c>
      <c r="E484" s="349" t="s">
        <v>3551</v>
      </c>
      <c r="F484" s="413">
        <v>3274.0</v>
      </c>
      <c r="G484" s="413">
        <v>4200.0</v>
      </c>
      <c r="H484" s="349" t="s">
        <v>710</v>
      </c>
      <c r="I484" s="736" t="str">
        <f t="shared" si="16"/>
        <v>FULLY PAID</v>
      </c>
      <c r="J484" s="402"/>
      <c r="K484" s="402"/>
      <c r="L484" s="402"/>
      <c r="M484" s="402"/>
      <c r="N484" s="402"/>
      <c r="O484" s="402"/>
      <c r="P484" s="402"/>
      <c r="Q484" s="402"/>
      <c r="R484" s="402"/>
      <c r="S484" s="402"/>
      <c r="T484" s="402"/>
      <c r="U484" s="402"/>
      <c r="V484" s="402"/>
      <c r="W484" s="402"/>
      <c r="X484" s="402"/>
      <c r="Y484" s="402"/>
      <c r="Z484" s="402"/>
      <c r="AA484" s="405"/>
      <c r="AB484" s="405"/>
      <c r="AC484" s="405"/>
      <c r="AD484" s="405"/>
      <c r="AE484" s="405"/>
      <c r="AF484" s="405"/>
      <c r="AG484" s="405"/>
      <c r="AH484" s="405"/>
      <c r="AI484" s="405"/>
      <c r="AJ484" s="405"/>
      <c r="AK484" s="405"/>
      <c r="AL484" s="405"/>
    </row>
    <row r="485" ht="14.25" customHeight="1">
      <c r="A485" s="497">
        <v>45517.0</v>
      </c>
      <c r="B485" s="349" t="s">
        <v>3595</v>
      </c>
      <c r="C485" s="349" t="s">
        <v>3864</v>
      </c>
      <c r="D485" s="349" t="s">
        <v>54</v>
      </c>
      <c r="E485" s="349" t="s">
        <v>3551</v>
      </c>
      <c r="F485" s="413">
        <v>33791.36</v>
      </c>
      <c r="G485" s="413"/>
      <c r="H485" s="349" t="s">
        <v>3916</v>
      </c>
      <c r="I485" s="736" t="str">
        <f t="shared" si="16"/>
        <v>NOT PAID</v>
      </c>
      <c r="J485" s="402"/>
      <c r="K485" s="402"/>
      <c r="L485" s="402"/>
      <c r="M485" s="402"/>
      <c r="N485" s="402"/>
      <c r="O485" s="402"/>
      <c r="P485" s="402"/>
      <c r="Q485" s="402"/>
      <c r="R485" s="402"/>
      <c r="S485" s="402"/>
      <c r="T485" s="402"/>
      <c r="U485" s="402"/>
      <c r="V485" s="402"/>
      <c r="W485" s="402"/>
      <c r="X485" s="402"/>
      <c r="Y485" s="402"/>
      <c r="Z485" s="402"/>
      <c r="AA485" s="405"/>
      <c r="AB485" s="405"/>
      <c r="AC485" s="405"/>
      <c r="AD485" s="405"/>
      <c r="AE485" s="405"/>
      <c r="AF485" s="405"/>
      <c r="AG485" s="405"/>
      <c r="AH485" s="405"/>
      <c r="AI485" s="405"/>
      <c r="AJ485" s="405"/>
      <c r="AK485" s="405"/>
      <c r="AL485" s="405"/>
    </row>
    <row r="486" ht="14.25" customHeight="1">
      <c r="A486" s="497">
        <v>45517.0</v>
      </c>
      <c r="B486" s="349" t="s">
        <v>3554</v>
      </c>
      <c r="C486" s="349" t="s">
        <v>3555</v>
      </c>
      <c r="D486" s="349" t="s">
        <v>54</v>
      </c>
      <c r="E486" s="349" t="s">
        <v>3551</v>
      </c>
      <c r="F486" s="413">
        <v>120501.0</v>
      </c>
      <c r="G486" s="413">
        <v>131000.0</v>
      </c>
      <c r="H486" s="349" t="s">
        <v>710</v>
      </c>
      <c r="I486" s="736" t="str">
        <f t="shared" si="16"/>
        <v>FULLY PAID</v>
      </c>
      <c r="J486" s="402"/>
      <c r="K486" s="402"/>
      <c r="L486" s="402"/>
      <c r="M486" s="402"/>
      <c r="N486" s="402"/>
      <c r="O486" s="402"/>
      <c r="P486" s="402"/>
      <c r="Q486" s="402"/>
      <c r="R486" s="402"/>
      <c r="S486" s="402"/>
      <c r="T486" s="402"/>
      <c r="U486" s="402"/>
      <c r="V486" s="402"/>
      <c r="W486" s="402"/>
      <c r="X486" s="402"/>
      <c r="Y486" s="402"/>
      <c r="Z486" s="402"/>
      <c r="AA486" s="405"/>
      <c r="AB486" s="405"/>
      <c r="AC486" s="405"/>
      <c r="AD486" s="405"/>
      <c r="AE486" s="405"/>
      <c r="AF486" s="405"/>
      <c r="AG486" s="405"/>
      <c r="AH486" s="405"/>
      <c r="AI486" s="405"/>
      <c r="AJ486" s="405"/>
      <c r="AK486" s="405"/>
      <c r="AL486" s="405"/>
    </row>
    <row r="487" ht="14.25" customHeight="1">
      <c r="A487" s="497">
        <v>45517.0</v>
      </c>
      <c r="B487" s="349" t="s">
        <v>3744</v>
      </c>
      <c r="C487" s="349" t="s">
        <v>3745</v>
      </c>
      <c r="D487" s="349" t="s">
        <v>54</v>
      </c>
      <c r="E487" s="349" t="s">
        <v>3579</v>
      </c>
      <c r="F487" s="413">
        <v>35500.0</v>
      </c>
      <c r="G487" s="413"/>
      <c r="H487" s="349" t="s">
        <v>3916</v>
      </c>
      <c r="I487" s="736" t="str">
        <f t="shared" si="16"/>
        <v>NOT PAID</v>
      </c>
      <c r="J487" s="402"/>
      <c r="K487" s="402"/>
      <c r="L487" s="402"/>
      <c r="M487" s="402"/>
      <c r="N487" s="402"/>
      <c r="O487" s="402"/>
      <c r="P487" s="402"/>
      <c r="Q487" s="402"/>
      <c r="R487" s="402"/>
      <c r="S487" s="402"/>
      <c r="T487" s="402"/>
      <c r="U487" s="402"/>
      <c r="V487" s="402"/>
      <c r="W487" s="402"/>
      <c r="X487" s="402"/>
      <c r="Y487" s="402"/>
      <c r="Z487" s="402"/>
      <c r="AA487" s="405"/>
      <c r="AB487" s="405"/>
      <c r="AC487" s="405"/>
      <c r="AD487" s="405"/>
      <c r="AE487" s="405"/>
      <c r="AF487" s="405"/>
      <c r="AG487" s="405"/>
      <c r="AH487" s="405"/>
      <c r="AI487" s="405"/>
      <c r="AJ487" s="405"/>
      <c r="AK487" s="405"/>
      <c r="AL487" s="405"/>
    </row>
    <row r="488" ht="14.25" customHeight="1">
      <c r="A488" s="497">
        <v>45517.0</v>
      </c>
      <c r="B488" s="349" t="s">
        <v>3918</v>
      </c>
      <c r="C488" s="349" t="s">
        <v>3745</v>
      </c>
      <c r="D488" s="349" t="s">
        <v>54</v>
      </c>
      <c r="E488" s="349" t="s">
        <v>3579</v>
      </c>
      <c r="F488" s="413">
        <v>14376.0</v>
      </c>
      <c r="G488" s="413"/>
      <c r="H488" s="349" t="s">
        <v>3916</v>
      </c>
      <c r="I488" s="736" t="str">
        <f t="shared" si="16"/>
        <v>NOT PAID</v>
      </c>
      <c r="J488" s="402"/>
      <c r="K488" s="402"/>
      <c r="L488" s="402"/>
      <c r="M488" s="402"/>
      <c r="N488" s="402"/>
      <c r="O488" s="402"/>
      <c r="P488" s="402"/>
      <c r="Q488" s="402"/>
      <c r="R488" s="402"/>
      <c r="S488" s="402"/>
      <c r="T488" s="402"/>
      <c r="U488" s="402"/>
      <c r="V488" s="402"/>
      <c r="W488" s="402"/>
      <c r="X488" s="402"/>
      <c r="Y488" s="402"/>
      <c r="Z488" s="402"/>
      <c r="AA488" s="405"/>
      <c r="AB488" s="405"/>
      <c r="AC488" s="405"/>
      <c r="AD488" s="405"/>
      <c r="AE488" s="405"/>
      <c r="AF488" s="405"/>
      <c r="AG488" s="405"/>
      <c r="AH488" s="405"/>
      <c r="AI488" s="405"/>
      <c r="AJ488" s="405"/>
      <c r="AK488" s="405"/>
      <c r="AL488" s="405"/>
    </row>
    <row r="489" ht="14.25" customHeight="1">
      <c r="A489" s="497">
        <v>45517.0</v>
      </c>
      <c r="B489" s="349" t="s">
        <v>3604</v>
      </c>
      <c r="C489" s="349" t="s">
        <v>3605</v>
      </c>
      <c r="D489" s="349" t="s">
        <v>3578</v>
      </c>
      <c r="E489" s="349" t="s">
        <v>3551</v>
      </c>
      <c r="F489" s="413">
        <v>475914.0</v>
      </c>
      <c r="G489" s="413"/>
      <c r="H489" s="349" t="s">
        <v>3919</v>
      </c>
      <c r="I489" s="736" t="str">
        <f t="shared" si="16"/>
        <v>NOT PAID</v>
      </c>
      <c r="J489" s="402"/>
      <c r="K489" s="402"/>
      <c r="L489" s="402"/>
      <c r="M489" s="402"/>
      <c r="N489" s="402"/>
      <c r="O489" s="402"/>
      <c r="P489" s="402"/>
      <c r="Q489" s="402"/>
      <c r="R489" s="402"/>
      <c r="S489" s="402"/>
      <c r="T489" s="402"/>
      <c r="U489" s="402"/>
      <c r="V489" s="402"/>
      <c r="W489" s="402"/>
      <c r="X489" s="402"/>
      <c r="Y489" s="402"/>
      <c r="Z489" s="402"/>
      <c r="AA489" s="405"/>
      <c r="AB489" s="405"/>
      <c r="AC489" s="405"/>
      <c r="AD489" s="405"/>
      <c r="AE489" s="405"/>
      <c r="AF489" s="405"/>
      <c r="AG489" s="405"/>
      <c r="AH489" s="405"/>
      <c r="AI489" s="405"/>
      <c r="AJ489" s="405"/>
      <c r="AK489" s="405"/>
      <c r="AL489" s="405"/>
    </row>
    <row r="490" ht="14.25" customHeight="1">
      <c r="A490" s="402"/>
      <c r="B490" s="349"/>
      <c r="C490" s="349"/>
      <c r="D490" s="349"/>
      <c r="E490" s="349"/>
      <c r="F490" s="413"/>
      <c r="G490" s="403"/>
      <c r="H490" s="402"/>
      <c r="I490" s="736" t="str">
        <f t="shared" si="16"/>
        <v>FULLY PAID</v>
      </c>
      <c r="J490" s="402"/>
      <c r="K490" s="402"/>
      <c r="L490" s="402"/>
      <c r="M490" s="402"/>
      <c r="N490" s="402"/>
      <c r="O490" s="402"/>
      <c r="P490" s="402"/>
      <c r="Q490" s="402"/>
      <c r="R490" s="402"/>
      <c r="S490" s="402"/>
      <c r="T490" s="402"/>
      <c r="U490" s="402"/>
      <c r="V490" s="402"/>
      <c r="W490" s="402"/>
      <c r="X490" s="402"/>
      <c r="Y490" s="402"/>
      <c r="Z490" s="402"/>
      <c r="AA490" s="405"/>
      <c r="AB490" s="405"/>
      <c r="AC490" s="405"/>
      <c r="AD490" s="405"/>
      <c r="AE490" s="405"/>
      <c r="AF490" s="405"/>
      <c r="AG490" s="405"/>
      <c r="AH490" s="405"/>
      <c r="AI490" s="405"/>
      <c r="AJ490" s="405"/>
      <c r="AK490" s="405"/>
      <c r="AL490" s="405"/>
    </row>
    <row r="491" ht="14.25" customHeight="1">
      <c r="A491" s="402"/>
      <c r="B491" s="402"/>
      <c r="C491" s="402"/>
      <c r="D491" s="402"/>
      <c r="E491" s="402"/>
      <c r="F491" s="586">
        <f t="shared" ref="F491:G491" si="19">SUM(F467:F490)</f>
        <v>1423673.95</v>
      </c>
      <c r="G491" s="586">
        <f t="shared" si="19"/>
        <v>565750</v>
      </c>
      <c r="H491" s="402"/>
      <c r="I491" s="736" t="str">
        <f t="shared" si="16"/>
        <v>PARTIALLY PAID</v>
      </c>
      <c r="J491" s="402"/>
      <c r="K491" s="402"/>
      <c r="L491" s="402"/>
      <c r="M491" s="402"/>
      <c r="N491" s="402"/>
      <c r="O491" s="402"/>
      <c r="P491" s="402"/>
      <c r="Q491" s="402"/>
      <c r="R491" s="402"/>
      <c r="S491" s="402"/>
      <c r="T491" s="402"/>
      <c r="U491" s="402"/>
      <c r="V491" s="402"/>
      <c r="W491" s="402"/>
      <c r="X491" s="402"/>
      <c r="Y491" s="402"/>
      <c r="Z491" s="402"/>
      <c r="AA491" s="405"/>
      <c r="AB491" s="405"/>
      <c r="AC491" s="405"/>
      <c r="AD491" s="405"/>
      <c r="AE491" s="405"/>
      <c r="AF491" s="405"/>
      <c r="AG491" s="405"/>
      <c r="AH491" s="405"/>
      <c r="AI491" s="405"/>
      <c r="AJ491" s="405"/>
      <c r="AK491" s="405"/>
      <c r="AL491" s="405"/>
    </row>
    <row r="492" ht="14.25" customHeight="1">
      <c r="A492" s="584"/>
      <c r="B492" s="584"/>
      <c r="C492" s="584"/>
      <c r="D492" s="584"/>
      <c r="E492" s="584"/>
      <c r="F492" s="584"/>
      <c r="G492" s="586"/>
      <c r="H492" s="424"/>
      <c r="I492" s="788"/>
      <c r="J492" s="584"/>
      <c r="K492" s="584"/>
      <c r="L492" s="584"/>
      <c r="M492" s="584"/>
      <c r="N492" s="584"/>
      <c r="O492" s="584"/>
      <c r="P492" s="584"/>
      <c r="Q492" s="584"/>
      <c r="R492" s="584"/>
      <c r="S492" s="584"/>
      <c r="T492" s="584"/>
      <c r="U492" s="584"/>
      <c r="V492" s="584"/>
      <c r="W492" s="584"/>
      <c r="X492" s="584"/>
      <c r="Y492" s="584"/>
      <c r="Z492" s="584"/>
      <c r="AA492" s="659"/>
      <c r="AB492" s="659"/>
      <c r="AC492" s="659"/>
      <c r="AD492" s="659"/>
      <c r="AE492" s="659"/>
      <c r="AF492" s="659"/>
      <c r="AG492" s="659"/>
      <c r="AH492" s="659"/>
      <c r="AI492" s="659"/>
      <c r="AJ492" s="659"/>
      <c r="AK492" s="659"/>
      <c r="AL492" s="659"/>
    </row>
    <row r="493" ht="14.25" customHeight="1">
      <c r="A493" s="584"/>
      <c r="B493" s="584"/>
      <c r="C493" s="584"/>
      <c r="D493" s="584"/>
      <c r="E493" s="584"/>
      <c r="F493" s="584"/>
      <c r="G493" s="586"/>
      <c r="H493" s="424"/>
      <c r="I493" s="788"/>
      <c r="J493" s="584"/>
      <c r="K493" s="584"/>
      <c r="L493" s="584"/>
      <c r="M493" s="584"/>
      <c r="N493" s="584"/>
      <c r="O493" s="584"/>
      <c r="P493" s="584"/>
      <c r="Q493" s="584"/>
      <c r="R493" s="584"/>
      <c r="S493" s="584"/>
      <c r="T493" s="584"/>
      <c r="U493" s="584"/>
      <c r="V493" s="584"/>
      <c r="W493" s="584"/>
      <c r="X493" s="584"/>
      <c r="Y493" s="584"/>
      <c r="Z493" s="584"/>
      <c r="AA493" s="659"/>
      <c r="AB493" s="659"/>
      <c r="AC493" s="659"/>
      <c r="AD493" s="659"/>
      <c r="AE493" s="659"/>
      <c r="AF493" s="659"/>
      <c r="AG493" s="659"/>
      <c r="AH493" s="659"/>
      <c r="AI493" s="659"/>
      <c r="AJ493" s="659"/>
      <c r="AK493" s="659"/>
      <c r="AL493" s="659"/>
    </row>
    <row r="494" ht="14.25" customHeight="1">
      <c r="A494" s="584"/>
      <c r="B494" s="584"/>
      <c r="C494" s="584"/>
      <c r="D494" s="584"/>
      <c r="E494" s="584"/>
      <c r="F494" s="584"/>
      <c r="G494" s="586"/>
      <c r="H494" s="424"/>
      <c r="I494" s="788"/>
      <c r="J494" s="584"/>
      <c r="K494" s="584"/>
      <c r="L494" s="584"/>
      <c r="M494" s="584"/>
      <c r="N494" s="584"/>
      <c r="O494" s="584"/>
      <c r="P494" s="584"/>
      <c r="Q494" s="584"/>
      <c r="R494" s="584"/>
      <c r="S494" s="584"/>
      <c r="T494" s="584"/>
      <c r="U494" s="584"/>
      <c r="V494" s="584"/>
      <c r="W494" s="584"/>
      <c r="X494" s="584"/>
      <c r="Y494" s="584"/>
      <c r="Z494" s="584"/>
      <c r="AA494" s="659"/>
      <c r="AB494" s="659"/>
      <c r="AC494" s="659"/>
      <c r="AD494" s="659"/>
      <c r="AE494" s="659"/>
      <c r="AF494" s="659"/>
      <c r="AG494" s="659"/>
      <c r="AH494" s="659"/>
      <c r="AI494" s="659"/>
      <c r="AJ494" s="659"/>
      <c r="AK494" s="659"/>
      <c r="AL494" s="659"/>
    </row>
    <row r="495" ht="14.25" customHeight="1">
      <c r="A495" s="584" t="s">
        <v>2130</v>
      </c>
      <c r="B495" s="584" t="s">
        <v>39</v>
      </c>
      <c r="C495" s="584" t="s">
        <v>48</v>
      </c>
      <c r="D495" s="584" t="s">
        <v>49</v>
      </c>
      <c r="E495" s="584" t="s">
        <v>50</v>
      </c>
      <c r="F495" s="584" t="s">
        <v>2</v>
      </c>
      <c r="G495" s="586" t="s">
        <v>44</v>
      </c>
      <c r="H495" s="424" t="s">
        <v>45</v>
      </c>
      <c r="I495" s="788" t="s">
        <v>8</v>
      </c>
      <c r="J495" s="584"/>
      <c r="K495" s="584"/>
      <c r="L495" s="584"/>
      <c r="M495" s="584"/>
      <c r="N495" s="584"/>
      <c r="O495" s="584"/>
      <c r="P495" s="584"/>
      <c r="Q495" s="584"/>
      <c r="R495" s="584"/>
      <c r="S495" s="584"/>
      <c r="T495" s="584"/>
      <c r="U495" s="584"/>
      <c r="V495" s="584"/>
      <c r="W495" s="584"/>
      <c r="X495" s="584"/>
      <c r="Y495" s="584"/>
      <c r="Z495" s="584"/>
      <c r="AA495" s="659"/>
      <c r="AB495" s="659"/>
      <c r="AC495" s="659"/>
      <c r="AD495" s="659"/>
      <c r="AE495" s="659"/>
      <c r="AF495" s="659"/>
      <c r="AG495" s="659"/>
      <c r="AH495" s="659"/>
      <c r="AI495" s="659"/>
      <c r="AJ495" s="659"/>
      <c r="AK495" s="659"/>
      <c r="AL495" s="659"/>
    </row>
    <row r="496" ht="14.25" customHeight="1">
      <c r="A496" s="497">
        <v>45518.0</v>
      </c>
      <c r="B496" s="349" t="s">
        <v>3920</v>
      </c>
      <c r="C496" s="349" t="s">
        <v>3921</v>
      </c>
      <c r="D496" s="349" t="s">
        <v>54</v>
      </c>
      <c r="E496" s="349" t="s">
        <v>3551</v>
      </c>
      <c r="F496" s="413">
        <v>238000.0</v>
      </c>
      <c r="G496" s="787">
        <v>238000.0</v>
      </c>
      <c r="H496" s="349" t="s">
        <v>149</v>
      </c>
      <c r="I496" s="736" t="str">
        <f t="shared" ref="I496:I895" si="20">IF(G496&gt;=F496,"FULLY PAID",IF(G496=0,"NOT PAID","PARTIALLY PAID"))</f>
        <v>FULLY PAID</v>
      </c>
      <c r="J496" s="402"/>
      <c r="K496" s="402"/>
      <c r="L496" s="402"/>
      <c r="M496" s="402"/>
      <c r="N496" s="402"/>
      <c r="O496" s="402"/>
      <c r="P496" s="402"/>
      <c r="Q496" s="402"/>
      <c r="R496" s="402"/>
      <c r="S496" s="402"/>
      <c r="T496" s="402"/>
      <c r="U496" s="402"/>
      <c r="V496" s="402"/>
      <c r="W496" s="402"/>
      <c r="X496" s="402"/>
      <c r="Y496" s="402"/>
      <c r="Z496" s="402"/>
      <c r="AA496" s="405"/>
      <c r="AB496" s="405"/>
      <c r="AC496" s="405"/>
      <c r="AD496" s="405"/>
      <c r="AE496" s="405"/>
      <c r="AF496" s="405"/>
      <c r="AG496" s="405"/>
      <c r="AH496" s="405"/>
      <c r="AI496" s="405"/>
      <c r="AJ496" s="405"/>
      <c r="AK496" s="405"/>
      <c r="AL496" s="405"/>
    </row>
    <row r="497" ht="14.25" customHeight="1">
      <c r="A497" s="497">
        <v>45518.0</v>
      </c>
      <c r="B497" s="349" t="s">
        <v>3922</v>
      </c>
      <c r="C497" s="349" t="s">
        <v>3863</v>
      </c>
      <c r="D497" s="349" t="s">
        <v>54</v>
      </c>
      <c r="E497" s="349" t="s">
        <v>3551</v>
      </c>
      <c r="F497" s="413">
        <v>89366.9</v>
      </c>
      <c r="G497" s="787"/>
      <c r="H497" s="349" t="s">
        <v>2184</v>
      </c>
      <c r="I497" s="736" t="str">
        <f t="shared" si="20"/>
        <v>NOT PAID</v>
      </c>
      <c r="J497" s="402"/>
      <c r="K497" s="402"/>
      <c r="L497" s="402"/>
      <c r="M497" s="402"/>
      <c r="N497" s="402"/>
      <c r="O497" s="402"/>
      <c r="P497" s="402"/>
      <c r="Q497" s="402"/>
      <c r="R497" s="402"/>
      <c r="S497" s="402"/>
      <c r="T497" s="402"/>
      <c r="U497" s="402"/>
      <c r="V497" s="402"/>
      <c r="W497" s="402"/>
      <c r="X497" s="402"/>
      <c r="Y497" s="402"/>
      <c r="Z497" s="402"/>
      <c r="AA497" s="405"/>
      <c r="AB497" s="405"/>
      <c r="AC497" s="405"/>
      <c r="AD497" s="405"/>
      <c r="AE497" s="405"/>
      <c r="AF497" s="405"/>
      <c r="AG497" s="405"/>
      <c r="AH497" s="405"/>
      <c r="AI497" s="405"/>
      <c r="AJ497" s="405"/>
      <c r="AK497" s="405"/>
      <c r="AL497" s="405"/>
    </row>
    <row r="498" ht="14.25" customHeight="1">
      <c r="A498" s="497">
        <v>45518.0</v>
      </c>
      <c r="B498" s="349" t="s">
        <v>3595</v>
      </c>
      <c r="C498" s="349" t="s">
        <v>3864</v>
      </c>
      <c r="D498" s="349" t="s">
        <v>54</v>
      </c>
      <c r="E498" s="349" t="s">
        <v>3551</v>
      </c>
      <c r="F498" s="413">
        <v>33791.36</v>
      </c>
      <c r="G498" s="787"/>
      <c r="H498" s="349" t="s">
        <v>2184</v>
      </c>
      <c r="I498" s="736" t="str">
        <f t="shared" si="20"/>
        <v>NOT PAID</v>
      </c>
      <c r="J498" s="402"/>
      <c r="K498" s="402"/>
      <c r="L498" s="402"/>
      <c r="M498" s="402"/>
      <c r="N498" s="402"/>
      <c r="O498" s="402"/>
      <c r="P498" s="402"/>
      <c r="Q498" s="402"/>
      <c r="R498" s="402"/>
      <c r="S498" s="402"/>
      <c r="T498" s="402"/>
      <c r="U498" s="402"/>
      <c r="V498" s="402"/>
      <c r="W498" s="402"/>
      <c r="X498" s="402"/>
      <c r="Y498" s="402"/>
      <c r="Z498" s="402"/>
      <c r="AA498" s="405"/>
      <c r="AB498" s="405"/>
      <c r="AC498" s="405"/>
      <c r="AD498" s="405"/>
      <c r="AE498" s="405"/>
      <c r="AF498" s="405"/>
      <c r="AG498" s="405"/>
      <c r="AH498" s="405"/>
      <c r="AI498" s="405"/>
      <c r="AJ498" s="405"/>
      <c r="AK498" s="405"/>
      <c r="AL498" s="405"/>
    </row>
    <row r="499" ht="14.25" customHeight="1">
      <c r="A499" s="497">
        <v>45518.0</v>
      </c>
      <c r="B499" s="349" t="s">
        <v>3588</v>
      </c>
      <c r="C499" s="349" t="s">
        <v>3589</v>
      </c>
      <c r="D499" s="349" t="s">
        <v>54</v>
      </c>
      <c r="E499" s="349" t="s">
        <v>3617</v>
      </c>
      <c r="F499" s="413">
        <v>25608.55</v>
      </c>
      <c r="G499" s="787"/>
      <c r="H499" s="349" t="s">
        <v>2184</v>
      </c>
      <c r="I499" s="736" t="str">
        <f t="shared" si="20"/>
        <v>NOT PAID</v>
      </c>
      <c r="J499" s="402"/>
      <c r="K499" s="402"/>
      <c r="L499" s="402"/>
      <c r="M499" s="402"/>
      <c r="N499" s="402"/>
      <c r="O499" s="402"/>
      <c r="P499" s="402"/>
      <c r="Q499" s="402"/>
      <c r="R499" s="402"/>
      <c r="S499" s="402"/>
      <c r="T499" s="402"/>
      <c r="U499" s="402"/>
      <c r="V499" s="402"/>
      <c r="W499" s="402"/>
      <c r="X499" s="402"/>
      <c r="Y499" s="402"/>
      <c r="Z499" s="402"/>
      <c r="AA499" s="405"/>
      <c r="AB499" s="405"/>
      <c r="AC499" s="405"/>
      <c r="AD499" s="405"/>
      <c r="AE499" s="405"/>
      <c r="AF499" s="405"/>
      <c r="AG499" s="405"/>
      <c r="AH499" s="405"/>
      <c r="AI499" s="405"/>
      <c r="AJ499" s="405"/>
      <c r="AK499" s="405"/>
      <c r="AL499" s="405"/>
    </row>
    <row r="500" ht="14.25" customHeight="1">
      <c r="A500" s="497">
        <v>45518.0</v>
      </c>
      <c r="B500" s="349" t="s">
        <v>3923</v>
      </c>
      <c r="C500" s="349" t="s">
        <v>3807</v>
      </c>
      <c r="D500" s="349" t="s">
        <v>54</v>
      </c>
      <c r="E500" s="349" t="s">
        <v>3617</v>
      </c>
      <c r="F500" s="413">
        <v>15464.9</v>
      </c>
      <c r="G500" s="787">
        <v>15467.0</v>
      </c>
      <c r="H500" s="349" t="s">
        <v>149</v>
      </c>
      <c r="I500" s="736" t="str">
        <f t="shared" si="20"/>
        <v>FULLY PAID</v>
      </c>
      <c r="J500" s="402"/>
      <c r="K500" s="402"/>
      <c r="L500" s="402"/>
      <c r="M500" s="402"/>
      <c r="N500" s="402"/>
      <c r="O500" s="402"/>
      <c r="P500" s="402"/>
      <c r="Q500" s="402"/>
      <c r="R500" s="402"/>
      <c r="S500" s="402"/>
      <c r="T500" s="402"/>
      <c r="U500" s="402"/>
      <c r="V500" s="402"/>
      <c r="W500" s="402"/>
      <c r="X500" s="402"/>
      <c r="Y500" s="402"/>
      <c r="Z500" s="402"/>
      <c r="AA500" s="405"/>
      <c r="AB500" s="405"/>
      <c r="AC500" s="405"/>
      <c r="AD500" s="405"/>
      <c r="AE500" s="405"/>
      <c r="AF500" s="405"/>
      <c r="AG500" s="405"/>
      <c r="AH500" s="405"/>
      <c r="AI500" s="405"/>
      <c r="AJ500" s="405"/>
      <c r="AK500" s="405"/>
      <c r="AL500" s="405"/>
    </row>
    <row r="501" ht="14.25" customHeight="1">
      <c r="A501" s="497">
        <v>45518.0</v>
      </c>
      <c r="B501" s="349" t="s">
        <v>3586</v>
      </c>
      <c r="C501" s="349" t="s">
        <v>3924</v>
      </c>
      <c r="D501" s="349" t="s">
        <v>54</v>
      </c>
      <c r="E501" s="349" t="s">
        <v>3617</v>
      </c>
      <c r="F501" s="413">
        <v>50000.0</v>
      </c>
      <c r="G501" s="787"/>
      <c r="H501" s="349" t="s">
        <v>3925</v>
      </c>
      <c r="I501" s="736" t="str">
        <f t="shared" si="20"/>
        <v>NOT PAID</v>
      </c>
      <c r="J501" s="402"/>
      <c r="K501" s="402"/>
      <c r="L501" s="402"/>
      <c r="M501" s="402"/>
      <c r="N501" s="402"/>
      <c r="O501" s="402"/>
      <c r="P501" s="402"/>
      <c r="Q501" s="402"/>
      <c r="R501" s="402"/>
      <c r="S501" s="402"/>
      <c r="T501" s="402"/>
      <c r="U501" s="402"/>
      <c r="V501" s="402"/>
      <c r="W501" s="402"/>
      <c r="X501" s="402"/>
      <c r="Y501" s="402"/>
      <c r="Z501" s="402"/>
      <c r="AA501" s="405"/>
      <c r="AB501" s="405"/>
      <c r="AC501" s="405"/>
      <c r="AD501" s="405"/>
      <c r="AE501" s="405"/>
      <c r="AF501" s="405"/>
      <c r="AG501" s="405"/>
      <c r="AH501" s="405"/>
      <c r="AI501" s="405"/>
      <c r="AJ501" s="405"/>
      <c r="AK501" s="405"/>
      <c r="AL501" s="405"/>
    </row>
    <row r="502" ht="14.25" customHeight="1">
      <c r="A502" s="497">
        <v>45518.0</v>
      </c>
      <c r="B502" s="349" t="s">
        <v>3717</v>
      </c>
      <c r="C502" s="349" t="s">
        <v>3621</v>
      </c>
      <c r="D502" s="349" t="s">
        <v>54</v>
      </c>
      <c r="E502" s="349" t="s">
        <v>3617</v>
      </c>
      <c r="F502" s="413">
        <v>108940.0</v>
      </c>
      <c r="G502" s="787">
        <v>108941.0</v>
      </c>
      <c r="H502" s="349" t="s">
        <v>149</v>
      </c>
      <c r="I502" s="736" t="str">
        <f t="shared" si="20"/>
        <v>FULLY PAID</v>
      </c>
      <c r="J502" s="402"/>
      <c r="K502" s="402"/>
      <c r="L502" s="402"/>
      <c r="M502" s="402"/>
      <c r="N502" s="402"/>
      <c r="O502" s="402"/>
      <c r="P502" s="402"/>
      <c r="Q502" s="402"/>
      <c r="R502" s="402"/>
      <c r="S502" s="402"/>
      <c r="T502" s="402"/>
      <c r="U502" s="402"/>
      <c r="V502" s="402"/>
      <c r="W502" s="402"/>
      <c r="X502" s="402"/>
      <c r="Y502" s="402"/>
      <c r="Z502" s="402"/>
      <c r="AA502" s="405"/>
      <c r="AB502" s="405"/>
      <c r="AC502" s="405"/>
      <c r="AD502" s="405"/>
      <c r="AE502" s="405"/>
      <c r="AF502" s="405"/>
      <c r="AG502" s="405"/>
      <c r="AH502" s="405"/>
      <c r="AI502" s="405"/>
      <c r="AJ502" s="405"/>
      <c r="AK502" s="405"/>
      <c r="AL502" s="405"/>
    </row>
    <row r="503" ht="14.25" customHeight="1">
      <c r="A503" s="497">
        <v>45518.0</v>
      </c>
      <c r="B503" s="349" t="s">
        <v>3926</v>
      </c>
      <c r="C503" s="349" t="s">
        <v>3873</v>
      </c>
      <c r="D503" s="349" t="s">
        <v>54</v>
      </c>
      <c r="E503" s="349" t="s">
        <v>3551</v>
      </c>
      <c r="F503" s="413">
        <v>31558.0</v>
      </c>
      <c r="G503" s="787">
        <v>34272.0</v>
      </c>
      <c r="H503" s="349" t="s">
        <v>149</v>
      </c>
      <c r="I503" s="736" t="str">
        <f t="shared" si="20"/>
        <v>FULLY PAID</v>
      </c>
      <c r="J503" s="402"/>
      <c r="K503" s="402"/>
      <c r="L503" s="402"/>
      <c r="M503" s="402"/>
      <c r="N503" s="402"/>
      <c r="O503" s="402"/>
      <c r="P503" s="402"/>
      <c r="Q503" s="402"/>
      <c r="R503" s="402"/>
      <c r="S503" s="402"/>
      <c r="T503" s="402"/>
      <c r="U503" s="402"/>
      <c r="V503" s="402"/>
      <c r="W503" s="402"/>
      <c r="X503" s="402"/>
      <c r="Y503" s="402"/>
      <c r="Z503" s="402"/>
      <c r="AA503" s="405"/>
      <c r="AB503" s="405"/>
      <c r="AC503" s="405"/>
      <c r="AD503" s="405"/>
      <c r="AE503" s="405"/>
      <c r="AF503" s="405"/>
      <c r="AG503" s="405"/>
      <c r="AH503" s="405"/>
      <c r="AI503" s="405"/>
      <c r="AJ503" s="405"/>
      <c r="AK503" s="405"/>
      <c r="AL503" s="405"/>
    </row>
    <row r="504" ht="14.25" customHeight="1">
      <c r="A504" s="497">
        <v>45518.0</v>
      </c>
      <c r="B504" s="349" t="s">
        <v>3744</v>
      </c>
      <c r="C504" s="349" t="s">
        <v>3745</v>
      </c>
      <c r="D504" s="349" t="s">
        <v>54</v>
      </c>
      <c r="E504" s="349" t="s">
        <v>3551</v>
      </c>
      <c r="F504" s="413">
        <v>35500.0</v>
      </c>
      <c r="G504" s="787">
        <v>39087.0</v>
      </c>
      <c r="H504" s="349" t="s">
        <v>149</v>
      </c>
      <c r="I504" s="736" t="str">
        <f t="shared" si="20"/>
        <v>FULLY PAID</v>
      </c>
      <c r="J504" s="402"/>
      <c r="K504" s="402"/>
      <c r="L504" s="402"/>
      <c r="M504" s="402"/>
      <c r="N504" s="402"/>
      <c r="O504" s="402"/>
      <c r="P504" s="402"/>
      <c r="Q504" s="402"/>
      <c r="R504" s="402"/>
      <c r="S504" s="402"/>
      <c r="T504" s="402"/>
      <c r="U504" s="402"/>
      <c r="V504" s="402"/>
      <c r="W504" s="402"/>
      <c r="X504" s="402"/>
      <c r="Y504" s="402"/>
      <c r="Z504" s="402"/>
      <c r="AA504" s="405"/>
      <c r="AB504" s="405"/>
      <c r="AC504" s="405"/>
      <c r="AD504" s="405"/>
      <c r="AE504" s="405"/>
      <c r="AF504" s="405"/>
      <c r="AG504" s="405"/>
      <c r="AH504" s="405"/>
      <c r="AI504" s="405"/>
      <c r="AJ504" s="405"/>
      <c r="AK504" s="405"/>
      <c r="AL504" s="405"/>
    </row>
    <row r="505" ht="14.25" customHeight="1">
      <c r="A505" s="497">
        <v>45518.0</v>
      </c>
      <c r="B505" s="349" t="s">
        <v>3927</v>
      </c>
      <c r="C505" s="349" t="s">
        <v>3928</v>
      </c>
      <c r="D505" s="349" t="s">
        <v>54</v>
      </c>
      <c r="E505" s="349" t="s">
        <v>3551</v>
      </c>
      <c r="F505" s="413">
        <v>14376.0</v>
      </c>
      <c r="G505" s="787">
        <v>24542.0</v>
      </c>
      <c r="H505" s="349" t="s">
        <v>149</v>
      </c>
      <c r="I505" s="736" t="str">
        <f t="shared" si="20"/>
        <v>FULLY PAID</v>
      </c>
      <c r="J505" s="402"/>
      <c r="K505" s="402"/>
      <c r="L505" s="402"/>
      <c r="M505" s="402"/>
      <c r="N505" s="402"/>
      <c r="O505" s="402"/>
      <c r="P505" s="402"/>
      <c r="Q505" s="402"/>
      <c r="R505" s="402"/>
      <c r="S505" s="402"/>
      <c r="T505" s="402"/>
      <c r="U505" s="402"/>
      <c r="V505" s="402"/>
      <c r="W505" s="402"/>
      <c r="X505" s="402"/>
      <c r="Y505" s="402"/>
      <c r="Z505" s="402"/>
      <c r="AA505" s="405"/>
      <c r="AB505" s="405"/>
      <c r="AC505" s="405"/>
      <c r="AD505" s="405"/>
      <c r="AE505" s="405"/>
      <c r="AF505" s="405"/>
      <c r="AG505" s="405"/>
      <c r="AH505" s="405"/>
      <c r="AI505" s="405"/>
      <c r="AJ505" s="405"/>
      <c r="AK505" s="405"/>
      <c r="AL505" s="405"/>
    </row>
    <row r="506" ht="14.25" customHeight="1">
      <c r="A506" s="497">
        <v>45518.0</v>
      </c>
      <c r="B506" s="349" t="s">
        <v>3663</v>
      </c>
      <c r="C506" s="349" t="s">
        <v>3799</v>
      </c>
      <c r="D506" s="349" t="s">
        <v>54</v>
      </c>
      <c r="E506" s="349" t="s">
        <v>3579</v>
      </c>
      <c r="F506" s="770">
        <v>59511.0</v>
      </c>
      <c r="G506" s="787"/>
      <c r="H506" s="349" t="s">
        <v>3925</v>
      </c>
      <c r="I506" s="736" t="str">
        <f t="shared" si="20"/>
        <v>NOT PAID</v>
      </c>
      <c r="J506" s="402"/>
      <c r="K506" s="402"/>
      <c r="L506" s="402"/>
      <c r="M506" s="402"/>
      <c r="N506" s="402"/>
      <c r="O506" s="402"/>
      <c r="P506" s="402"/>
      <c r="Q506" s="402"/>
      <c r="R506" s="402"/>
      <c r="S506" s="402"/>
      <c r="T506" s="402"/>
      <c r="U506" s="402"/>
      <c r="V506" s="402"/>
      <c r="W506" s="402"/>
      <c r="X506" s="402"/>
      <c r="Y506" s="402"/>
      <c r="Z506" s="402"/>
      <c r="AA506" s="405"/>
      <c r="AB506" s="405"/>
      <c r="AC506" s="405"/>
      <c r="AD506" s="405"/>
      <c r="AE506" s="405"/>
      <c r="AF506" s="405"/>
      <c r="AG506" s="405"/>
      <c r="AH506" s="405"/>
      <c r="AI506" s="405"/>
      <c r="AJ506" s="405"/>
      <c r="AK506" s="405"/>
      <c r="AL506" s="405"/>
    </row>
    <row r="507" ht="14.25" customHeight="1">
      <c r="A507" s="497">
        <v>45518.0</v>
      </c>
      <c r="B507" s="349" t="s">
        <v>3929</v>
      </c>
      <c r="C507" s="349" t="s">
        <v>3930</v>
      </c>
      <c r="D507" s="349" t="s">
        <v>54</v>
      </c>
      <c r="E507" s="349" t="s">
        <v>3551</v>
      </c>
      <c r="F507" s="413">
        <v>28631.0</v>
      </c>
      <c r="G507" s="787">
        <v>33110.0</v>
      </c>
      <c r="H507" s="349" t="s">
        <v>149</v>
      </c>
      <c r="I507" s="736" t="str">
        <f t="shared" si="20"/>
        <v>FULLY PAID</v>
      </c>
      <c r="J507" s="402"/>
      <c r="K507" s="402"/>
      <c r="L507" s="402"/>
      <c r="M507" s="402"/>
      <c r="N507" s="402"/>
      <c r="O507" s="402"/>
      <c r="P507" s="402"/>
      <c r="Q507" s="402"/>
      <c r="R507" s="402"/>
      <c r="S507" s="402"/>
      <c r="T507" s="402"/>
      <c r="U507" s="402"/>
      <c r="V507" s="402"/>
      <c r="W507" s="402"/>
      <c r="X507" s="402"/>
      <c r="Y507" s="402"/>
      <c r="Z507" s="402"/>
      <c r="AA507" s="405"/>
      <c r="AB507" s="405"/>
      <c r="AC507" s="405"/>
      <c r="AD507" s="405"/>
      <c r="AE507" s="405"/>
      <c r="AF507" s="405"/>
      <c r="AG507" s="405"/>
      <c r="AH507" s="405"/>
      <c r="AI507" s="405"/>
      <c r="AJ507" s="405"/>
      <c r="AK507" s="405"/>
      <c r="AL507" s="405"/>
    </row>
    <row r="508" ht="14.25" customHeight="1">
      <c r="A508" s="497">
        <v>45518.0</v>
      </c>
      <c r="B508" s="349" t="s">
        <v>3569</v>
      </c>
      <c r="C508" s="349" t="s">
        <v>3570</v>
      </c>
      <c r="D508" s="349" t="s">
        <v>54</v>
      </c>
      <c r="E508" s="349" t="s">
        <v>3579</v>
      </c>
      <c r="F508" s="413">
        <v>82867.1</v>
      </c>
      <c r="G508" s="787">
        <v>532935.0</v>
      </c>
      <c r="H508" s="349" t="s">
        <v>149</v>
      </c>
      <c r="I508" s="736" t="str">
        <f t="shared" si="20"/>
        <v>FULLY PAID</v>
      </c>
      <c r="J508" s="402"/>
      <c r="K508" s="402"/>
      <c r="L508" s="402"/>
      <c r="M508" s="402"/>
      <c r="N508" s="402"/>
      <c r="O508" s="402"/>
      <c r="P508" s="402"/>
      <c r="Q508" s="402"/>
      <c r="R508" s="402"/>
      <c r="S508" s="402"/>
      <c r="T508" s="402"/>
      <c r="U508" s="402"/>
      <c r="V508" s="402"/>
      <c r="W508" s="402"/>
      <c r="X508" s="402"/>
      <c r="Y508" s="402"/>
      <c r="Z508" s="402"/>
      <c r="AA508" s="405"/>
      <c r="AB508" s="405"/>
      <c r="AC508" s="405"/>
      <c r="AD508" s="405"/>
      <c r="AE508" s="405"/>
      <c r="AF508" s="405"/>
      <c r="AG508" s="405"/>
      <c r="AH508" s="405"/>
      <c r="AI508" s="405"/>
      <c r="AJ508" s="405"/>
      <c r="AK508" s="405"/>
      <c r="AL508" s="405"/>
    </row>
    <row r="509" ht="14.25" customHeight="1">
      <c r="A509" s="497">
        <v>45518.0</v>
      </c>
      <c r="B509" s="349" t="s">
        <v>3912</v>
      </c>
      <c r="C509" s="349" t="s">
        <v>3635</v>
      </c>
      <c r="D509" s="349" t="s">
        <v>75</v>
      </c>
      <c r="E509" s="349" t="s">
        <v>3551</v>
      </c>
      <c r="F509" s="413">
        <v>55000.0</v>
      </c>
      <c r="G509" s="586"/>
      <c r="H509" s="349" t="s">
        <v>3925</v>
      </c>
      <c r="I509" s="736" t="str">
        <f t="shared" si="20"/>
        <v>NOT PAID</v>
      </c>
      <c r="J509" s="402"/>
      <c r="K509" s="402"/>
      <c r="L509" s="402"/>
      <c r="M509" s="402"/>
      <c r="N509" s="402"/>
      <c r="O509" s="402"/>
      <c r="P509" s="402"/>
      <c r="Q509" s="402"/>
      <c r="R509" s="402"/>
      <c r="S509" s="402"/>
      <c r="T509" s="402"/>
      <c r="U509" s="402"/>
      <c r="V509" s="402"/>
      <c r="W509" s="402"/>
      <c r="X509" s="402"/>
      <c r="Y509" s="402"/>
      <c r="Z509" s="402"/>
      <c r="AA509" s="405"/>
      <c r="AB509" s="405"/>
      <c r="AC509" s="405"/>
      <c r="AD509" s="405"/>
      <c r="AE509" s="405"/>
      <c r="AF509" s="405"/>
      <c r="AG509" s="405"/>
      <c r="AH509" s="405"/>
      <c r="AI509" s="405"/>
      <c r="AJ509" s="405"/>
      <c r="AK509" s="405"/>
      <c r="AL509" s="405"/>
    </row>
    <row r="510" ht="14.25" customHeight="1">
      <c r="A510" s="497">
        <v>45518.0</v>
      </c>
      <c r="B510" s="349" t="s">
        <v>3831</v>
      </c>
      <c r="C510" s="349" t="s">
        <v>3832</v>
      </c>
      <c r="D510" s="349" t="s">
        <v>54</v>
      </c>
      <c r="E510" s="349" t="s">
        <v>3551</v>
      </c>
      <c r="F510" s="751">
        <v>5292.0</v>
      </c>
      <c r="G510" s="586"/>
      <c r="H510" s="349" t="s">
        <v>2184</v>
      </c>
      <c r="I510" s="736" t="str">
        <f t="shared" si="20"/>
        <v>NOT PAID</v>
      </c>
      <c r="J510" s="402"/>
      <c r="K510" s="402"/>
      <c r="L510" s="402"/>
      <c r="M510" s="402"/>
      <c r="N510" s="402"/>
      <c r="O510" s="402"/>
      <c r="P510" s="402"/>
      <c r="Q510" s="402"/>
      <c r="R510" s="402"/>
      <c r="S510" s="402"/>
      <c r="T510" s="402"/>
      <c r="U510" s="402"/>
      <c r="V510" s="402"/>
      <c r="W510" s="402"/>
      <c r="X510" s="402"/>
      <c r="Y510" s="402"/>
      <c r="Z510" s="402"/>
      <c r="AA510" s="405"/>
      <c r="AB510" s="405"/>
      <c r="AC510" s="405"/>
      <c r="AD510" s="405"/>
      <c r="AE510" s="405"/>
      <c r="AF510" s="405"/>
      <c r="AG510" s="405"/>
      <c r="AH510" s="405"/>
      <c r="AI510" s="405"/>
      <c r="AJ510" s="405"/>
      <c r="AK510" s="405"/>
      <c r="AL510" s="405"/>
    </row>
    <row r="511" ht="14.25" customHeight="1">
      <c r="A511" s="497">
        <v>45518.0</v>
      </c>
      <c r="B511" s="349" t="s">
        <v>3910</v>
      </c>
      <c r="C511" s="349" t="s">
        <v>3748</v>
      </c>
      <c r="D511" s="349" t="s">
        <v>54</v>
      </c>
      <c r="E511" s="349" t="s">
        <v>3551</v>
      </c>
      <c r="F511" s="413">
        <v>32199.2</v>
      </c>
      <c r="G511" s="787">
        <v>38000.0</v>
      </c>
      <c r="H511" s="349" t="s">
        <v>149</v>
      </c>
      <c r="I511" s="736" t="str">
        <f t="shared" si="20"/>
        <v>FULLY PAID</v>
      </c>
      <c r="J511" s="402"/>
      <c r="K511" s="402"/>
      <c r="L511" s="402"/>
      <c r="M511" s="402"/>
      <c r="N511" s="402"/>
      <c r="O511" s="402"/>
      <c r="P511" s="402"/>
      <c r="Q511" s="402"/>
      <c r="R511" s="402"/>
      <c r="S511" s="402"/>
      <c r="T511" s="402"/>
      <c r="U511" s="402"/>
      <c r="V511" s="402"/>
      <c r="W511" s="402"/>
      <c r="X511" s="402"/>
      <c r="Y511" s="402"/>
      <c r="Z511" s="402"/>
      <c r="AA511" s="405"/>
      <c r="AB511" s="405"/>
      <c r="AC511" s="405"/>
      <c r="AD511" s="405"/>
      <c r="AE511" s="405"/>
      <c r="AF511" s="405"/>
      <c r="AG511" s="405"/>
      <c r="AH511" s="405"/>
      <c r="AI511" s="405"/>
      <c r="AJ511" s="405"/>
      <c r="AK511" s="405"/>
      <c r="AL511" s="405"/>
    </row>
    <row r="512" ht="14.25" customHeight="1">
      <c r="A512" s="497">
        <v>45518.0</v>
      </c>
      <c r="B512" s="349" t="s">
        <v>3674</v>
      </c>
      <c r="C512" s="349" t="s">
        <v>3675</v>
      </c>
      <c r="D512" s="349" t="s">
        <v>54</v>
      </c>
      <c r="E512" s="349" t="s">
        <v>3579</v>
      </c>
      <c r="F512" s="751">
        <v>400000.0</v>
      </c>
      <c r="G512" s="787">
        <v>846578.0</v>
      </c>
      <c r="H512" s="349" t="s">
        <v>149</v>
      </c>
      <c r="I512" s="736" t="str">
        <f t="shared" si="20"/>
        <v>FULLY PAID</v>
      </c>
      <c r="J512" s="402"/>
      <c r="K512" s="402"/>
      <c r="L512" s="402"/>
      <c r="M512" s="402"/>
      <c r="N512" s="402"/>
      <c r="O512" s="402"/>
      <c r="P512" s="402"/>
      <c r="Q512" s="402"/>
      <c r="R512" s="402"/>
      <c r="S512" s="402"/>
      <c r="T512" s="402"/>
      <c r="U512" s="402"/>
      <c r="V512" s="402"/>
      <c r="W512" s="402"/>
      <c r="X512" s="402"/>
      <c r="Y512" s="402"/>
      <c r="Z512" s="402"/>
      <c r="AA512" s="405"/>
      <c r="AB512" s="405"/>
      <c r="AC512" s="405"/>
      <c r="AD512" s="405"/>
      <c r="AE512" s="405"/>
      <c r="AF512" s="405"/>
      <c r="AG512" s="405"/>
      <c r="AH512" s="405"/>
      <c r="AI512" s="405"/>
      <c r="AJ512" s="405"/>
      <c r="AK512" s="405"/>
      <c r="AL512" s="405"/>
    </row>
    <row r="513" ht="14.25" customHeight="1">
      <c r="A513" s="497">
        <v>45518.0</v>
      </c>
      <c r="B513" s="349" t="s">
        <v>3566</v>
      </c>
      <c r="C513" s="349" t="s">
        <v>3567</v>
      </c>
      <c r="D513" s="349" t="s">
        <v>54</v>
      </c>
      <c r="E513" s="349" t="s">
        <v>3579</v>
      </c>
      <c r="F513" s="751">
        <v>54182.0</v>
      </c>
      <c r="G513" s="586"/>
      <c r="H513" s="349" t="s">
        <v>2184</v>
      </c>
      <c r="I513" s="736" t="str">
        <f t="shared" si="20"/>
        <v>NOT PAID</v>
      </c>
      <c r="J513" s="402"/>
      <c r="K513" s="402"/>
      <c r="L513" s="402"/>
      <c r="M513" s="402"/>
      <c r="N513" s="402"/>
      <c r="O513" s="402"/>
      <c r="P513" s="402"/>
      <c r="Q513" s="402"/>
      <c r="R513" s="402"/>
      <c r="S513" s="402"/>
      <c r="T513" s="402"/>
      <c r="U513" s="402"/>
      <c r="V513" s="402"/>
      <c r="W513" s="402"/>
      <c r="X513" s="402"/>
      <c r="Y513" s="402"/>
      <c r="Z513" s="402"/>
      <c r="AA513" s="405"/>
      <c r="AB513" s="405"/>
      <c r="AC513" s="405"/>
      <c r="AD513" s="405"/>
      <c r="AE513" s="405"/>
      <c r="AF513" s="405"/>
      <c r="AG513" s="405"/>
      <c r="AH513" s="405"/>
      <c r="AI513" s="405"/>
      <c r="AJ513" s="405"/>
      <c r="AK513" s="405"/>
      <c r="AL513" s="405"/>
    </row>
    <row r="514" ht="14.25" customHeight="1">
      <c r="A514" s="497">
        <v>45518.0</v>
      </c>
      <c r="B514" s="349" t="s">
        <v>3608</v>
      </c>
      <c r="C514" s="349" t="s">
        <v>3705</v>
      </c>
      <c r="D514" s="349" t="s">
        <v>54</v>
      </c>
      <c r="E514" s="349" t="s">
        <v>3579</v>
      </c>
      <c r="F514" s="770">
        <v>164847.0</v>
      </c>
      <c r="G514" s="586"/>
      <c r="H514" s="402" t="str">
        <f>H501</f>
        <v>To confirm payment on 15.8.24</v>
      </c>
      <c r="I514" s="736" t="str">
        <f t="shared" si="20"/>
        <v>NOT PAID</v>
      </c>
      <c r="J514" s="402"/>
      <c r="K514" s="402"/>
      <c r="L514" s="402"/>
      <c r="M514" s="402"/>
      <c r="N514" s="402"/>
      <c r="O514" s="402"/>
      <c r="P514" s="402"/>
      <c r="Q514" s="402"/>
      <c r="R514" s="402"/>
      <c r="S514" s="402"/>
      <c r="T514" s="402"/>
      <c r="U514" s="402"/>
      <c r="V514" s="402"/>
      <c r="W514" s="402"/>
      <c r="X514" s="402"/>
      <c r="Y514" s="402"/>
      <c r="Z514" s="402"/>
      <c r="AA514" s="405"/>
      <c r="AB514" s="405"/>
      <c r="AC514" s="405"/>
      <c r="AD514" s="405"/>
      <c r="AE514" s="405"/>
      <c r="AF514" s="405"/>
      <c r="AG514" s="405"/>
      <c r="AH514" s="405"/>
      <c r="AI514" s="405"/>
      <c r="AJ514" s="405"/>
      <c r="AK514" s="405"/>
      <c r="AL514" s="405"/>
    </row>
    <row r="515" ht="14.25" customHeight="1">
      <c r="A515" s="497"/>
      <c r="B515" s="349"/>
      <c r="C515" s="349"/>
      <c r="D515" s="402"/>
      <c r="E515" s="402"/>
      <c r="F515" s="586">
        <f t="shared" ref="F515:G515" si="21">SUM(F496:F514)</f>
        <v>1525135.01</v>
      </c>
      <c r="G515" s="586">
        <f t="shared" si="21"/>
        <v>1910932</v>
      </c>
      <c r="H515" s="402"/>
      <c r="I515" s="736" t="str">
        <f t="shared" si="20"/>
        <v>FULLY PAID</v>
      </c>
      <c r="J515" s="402"/>
      <c r="K515" s="402"/>
      <c r="L515" s="402"/>
      <c r="M515" s="402"/>
      <c r="N515" s="402"/>
      <c r="O515" s="402"/>
      <c r="P515" s="402"/>
      <c r="Q515" s="402"/>
      <c r="R515" s="402"/>
      <c r="S515" s="402"/>
      <c r="T515" s="402"/>
      <c r="U515" s="402"/>
      <c r="V515" s="402"/>
      <c r="W515" s="402"/>
      <c r="X515" s="402"/>
      <c r="Y515" s="402"/>
      <c r="Z515" s="402"/>
      <c r="AA515" s="405"/>
      <c r="AB515" s="405"/>
      <c r="AC515" s="405"/>
      <c r="AD515" s="405"/>
      <c r="AE515" s="405"/>
      <c r="AF515" s="405"/>
      <c r="AG515" s="405"/>
      <c r="AH515" s="405"/>
      <c r="AI515" s="405"/>
      <c r="AJ515" s="405"/>
      <c r="AK515" s="405"/>
      <c r="AL515" s="405"/>
    </row>
    <row r="516" ht="14.25" customHeight="1">
      <c r="A516" s="402"/>
      <c r="B516" s="402"/>
      <c r="C516" s="402"/>
      <c r="D516" s="402"/>
      <c r="E516" s="402"/>
      <c r="F516" s="584"/>
      <c r="G516" s="403"/>
      <c r="H516" s="402"/>
      <c r="I516" s="736" t="str">
        <f t="shared" si="20"/>
        <v>FULLY PAID</v>
      </c>
      <c r="J516" s="402"/>
      <c r="K516" s="402"/>
      <c r="L516" s="402"/>
      <c r="M516" s="402"/>
      <c r="N516" s="402"/>
      <c r="O516" s="402"/>
      <c r="P516" s="402"/>
      <c r="Q516" s="402"/>
      <c r="R516" s="402"/>
      <c r="S516" s="402"/>
      <c r="T516" s="402"/>
      <c r="U516" s="402"/>
      <c r="V516" s="402"/>
      <c r="W516" s="402"/>
      <c r="X516" s="402"/>
      <c r="Y516" s="402"/>
      <c r="Z516" s="402"/>
      <c r="AA516" s="405"/>
      <c r="AB516" s="405"/>
      <c r="AC516" s="405"/>
      <c r="AD516" s="405"/>
      <c r="AE516" s="405"/>
      <c r="AF516" s="405"/>
      <c r="AG516" s="405"/>
      <c r="AH516" s="405"/>
      <c r="AI516" s="405"/>
      <c r="AJ516" s="405"/>
      <c r="AK516" s="405"/>
      <c r="AL516" s="405"/>
    </row>
    <row r="517" ht="14.25" customHeight="1">
      <c r="A517" s="402"/>
      <c r="B517" s="402"/>
      <c r="C517" s="402"/>
      <c r="D517" s="402"/>
      <c r="E517" s="402"/>
      <c r="F517" s="402"/>
      <c r="G517" s="403"/>
      <c r="H517" s="402"/>
      <c r="I517" s="736" t="str">
        <f t="shared" si="20"/>
        <v>FULLY PAID</v>
      </c>
      <c r="J517" s="402"/>
      <c r="K517" s="402"/>
      <c r="L517" s="402"/>
      <c r="M517" s="402"/>
      <c r="N517" s="402"/>
      <c r="O517" s="402"/>
      <c r="P517" s="402"/>
      <c r="Q517" s="402"/>
      <c r="R517" s="402"/>
      <c r="S517" s="402"/>
      <c r="T517" s="402"/>
      <c r="U517" s="402"/>
      <c r="V517" s="402"/>
      <c r="W517" s="402"/>
      <c r="X517" s="402"/>
      <c r="Y517" s="402"/>
      <c r="Z517" s="402"/>
      <c r="AA517" s="405"/>
      <c r="AB517" s="405"/>
      <c r="AC517" s="405"/>
      <c r="AD517" s="405"/>
      <c r="AE517" s="405"/>
      <c r="AF517" s="405"/>
      <c r="AG517" s="405"/>
      <c r="AH517" s="405"/>
      <c r="AI517" s="405"/>
      <c r="AJ517" s="405"/>
      <c r="AK517" s="405"/>
      <c r="AL517" s="405"/>
    </row>
    <row r="518" ht="14.25" customHeight="1">
      <c r="A518" s="584" t="s">
        <v>2130</v>
      </c>
      <c r="B518" s="584" t="s">
        <v>39</v>
      </c>
      <c r="C518" s="584" t="s">
        <v>48</v>
      </c>
      <c r="D518" s="584" t="s">
        <v>49</v>
      </c>
      <c r="E518" s="584" t="s">
        <v>50</v>
      </c>
      <c r="F518" s="584" t="s">
        <v>2</v>
      </c>
      <c r="G518" s="586" t="s">
        <v>44</v>
      </c>
      <c r="H518" s="424" t="s">
        <v>45</v>
      </c>
      <c r="I518" s="736" t="str">
        <f t="shared" si="20"/>
        <v>FULLY PAID</v>
      </c>
      <c r="J518" s="402"/>
      <c r="K518" s="402"/>
      <c r="L518" s="402"/>
      <c r="M518" s="402"/>
      <c r="N518" s="402"/>
      <c r="O518" s="402"/>
      <c r="P518" s="402"/>
      <c r="Q518" s="402"/>
      <c r="R518" s="402"/>
      <c r="S518" s="402"/>
      <c r="T518" s="402"/>
      <c r="U518" s="402"/>
      <c r="V518" s="402"/>
      <c r="W518" s="402"/>
      <c r="X518" s="402"/>
      <c r="Y518" s="402"/>
      <c r="Z518" s="402"/>
      <c r="AA518" s="405"/>
      <c r="AB518" s="405"/>
      <c r="AC518" s="405"/>
      <c r="AD518" s="405"/>
      <c r="AE518" s="405"/>
      <c r="AF518" s="405"/>
      <c r="AG518" s="405"/>
      <c r="AH518" s="405"/>
      <c r="AI518" s="405"/>
      <c r="AJ518" s="405"/>
      <c r="AK518" s="405"/>
      <c r="AL518" s="405"/>
    </row>
    <row r="519" ht="14.25" customHeight="1">
      <c r="A519" s="497">
        <v>45519.0</v>
      </c>
      <c r="B519" s="607" t="s">
        <v>3931</v>
      </c>
      <c r="C519" s="607" t="s">
        <v>3932</v>
      </c>
      <c r="D519" s="349" t="s">
        <v>54</v>
      </c>
      <c r="E519" s="349" t="s">
        <v>3617</v>
      </c>
      <c r="F519" s="756">
        <v>12043.62</v>
      </c>
      <c r="G519" s="756">
        <v>27888.0</v>
      </c>
      <c r="H519" s="1" t="s">
        <v>710</v>
      </c>
      <c r="I519" s="736" t="str">
        <f t="shared" si="20"/>
        <v>FULLY PAID</v>
      </c>
      <c r="J519" s="402"/>
      <c r="K519" s="402"/>
      <c r="L519" s="402"/>
      <c r="M519" s="402"/>
      <c r="N519" s="402"/>
      <c r="O519" s="402"/>
      <c r="P519" s="402"/>
      <c r="Q519" s="402"/>
      <c r="R519" s="402"/>
      <c r="S519" s="402"/>
      <c r="T519" s="402"/>
      <c r="U519" s="402"/>
      <c r="V519" s="402"/>
      <c r="W519" s="402"/>
      <c r="X519" s="402"/>
      <c r="Y519" s="402"/>
      <c r="Z519" s="402"/>
      <c r="AA519" s="405"/>
      <c r="AB519" s="405"/>
      <c r="AC519" s="405"/>
      <c r="AD519" s="405"/>
      <c r="AE519" s="405"/>
      <c r="AF519" s="405"/>
      <c r="AG519" s="405"/>
      <c r="AH519" s="405"/>
      <c r="AI519" s="405"/>
      <c r="AJ519" s="405"/>
      <c r="AK519" s="405"/>
      <c r="AL519" s="405"/>
    </row>
    <row r="520" ht="14.25" customHeight="1">
      <c r="A520" s="497">
        <v>45519.0</v>
      </c>
      <c r="B520" s="607" t="s">
        <v>3604</v>
      </c>
      <c r="C520" s="607" t="s">
        <v>3605</v>
      </c>
      <c r="D520" s="349" t="s">
        <v>3578</v>
      </c>
      <c r="E520" s="349" t="s">
        <v>3579</v>
      </c>
      <c r="F520" s="756">
        <v>200000.0</v>
      </c>
      <c r="G520" s="756"/>
      <c r="H520" s="349" t="s">
        <v>3933</v>
      </c>
      <c r="I520" s="736" t="str">
        <f t="shared" si="20"/>
        <v>NOT PAID</v>
      </c>
      <c r="J520" s="402"/>
      <c r="K520" s="402"/>
      <c r="L520" s="402"/>
      <c r="M520" s="402"/>
      <c r="N520" s="402"/>
      <c r="O520" s="402"/>
      <c r="P520" s="402"/>
      <c r="Q520" s="402"/>
      <c r="R520" s="402"/>
      <c r="S520" s="402"/>
      <c r="T520" s="402"/>
      <c r="U520" s="402"/>
      <c r="V520" s="402"/>
      <c r="W520" s="402"/>
      <c r="X520" s="402"/>
      <c r="Y520" s="402"/>
      <c r="Z520" s="402"/>
      <c r="AA520" s="405"/>
      <c r="AB520" s="405"/>
      <c r="AC520" s="405"/>
      <c r="AD520" s="405"/>
      <c r="AE520" s="405"/>
      <c r="AF520" s="405"/>
      <c r="AG520" s="405"/>
      <c r="AH520" s="405"/>
      <c r="AI520" s="405"/>
      <c r="AJ520" s="405"/>
      <c r="AK520" s="405"/>
      <c r="AL520" s="405"/>
    </row>
    <row r="521" ht="14.25" customHeight="1">
      <c r="A521" s="497">
        <v>45519.0</v>
      </c>
      <c r="B521" s="607" t="s">
        <v>3728</v>
      </c>
      <c r="C521" s="607" t="s">
        <v>3729</v>
      </c>
      <c r="D521" s="349" t="s">
        <v>54</v>
      </c>
      <c r="E521" s="349" t="s">
        <v>3551</v>
      </c>
      <c r="F521" s="756">
        <v>55871.15</v>
      </c>
      <c r="G521" s="756"/>
      <c r="H521" s="349" t="s">
        <v>2184</v>
      </c>
      <c r="I521" s="736" t="str">
        <f t="shared" si="20"/>
        <v>NOT PAID</v>
      </c>
      <c r="J521" s="402"/>
      <c r="K521" s="402"/>
      <c r="L521" s="402"/>
      <c r="M521" s="402"/>
      <c r="N521" s="402"/>
      <c r="O521" s="402"/>
      <c r="P521" s="402"/>
      <c r="Q521" s="402"/>
      <c r="R521" s="402"/>
      <c r="S521" s="402"/>
      <c r="T521" s="402"/>
      <c r="U521" s="402"/>
      <c r="V521" s="402"/>
      <c r="W521" s="402"/>
      <c r="X521" s="402"/>
      <c r="Y521" s="402"/>
      <c r="Z521" s="402"/>
      <c r="AA521" s="405"/>
      <c r="AB521" s="405"/>
      <c r="AC521" s="405"/>
      <c r="AD521" s="405"/>
      <c r="AE521" s="405"/>
      <c r="AF521" s="405"/>
      <c r="AG521" s="405"/>
      <c r="AH521" s="405"/>
      <c r="AI521" s="405"/>
      <c r="AJ521" s="405"/>
      <c r="AK521" s="405"/>
      <c r="AL521" s="405"/>
    </row>
    <row r="522" ht="14.25" customHeight="1">
      <c r="A522" s="497">
        <v>45519.0</v>
      </c>
      <c r="B522" s="607" t="s">
        <v>3934</v>
      </c>
      <c r="C522" s="607" t="s">
        <v>3701</v>
      </c>
      <c r="D522" s="349" t="s">
        <v>54</v>
      </c>
      <c r="E522" s="349" t="s">
        <v>3617</v>
      </c>
      <c r="F522" s="756">
        <v>60669.45</v>
      </c>
      <c r="G522" s="756">
        <v>45000.0</v>
      </c>
      <c r="H522" s="349" t="s">
        <v>3659</v>
      </c>
      <c r="I522" s="736" t="str">
        <f t="shared" si="20"/>
        <v>PARTIALLY PAID</v>
      </c>
      <c r="J522" s="402"/>
      <c r="K522" s="402"/>
      <c r="L522" s="402"/>
      <c r="M522" s="402"/>
      <c r="N522" s="402"/>
      <c r="O522" s="402"/>
      <c r="P522" s="402"/>
      <c r="Q522" s="402"/>
      <c r="R522" s="402"/>
      <c r="S522" s="402"/>
      <c r="T522" s="402"/>
      <c r="U522" s="402"/>
      <c r="V522" s="402"/>
      <c r="W522" s="402"/>
      <c r="X522" s="402"/>
      <c r="Y522" s="402"/>
      <c r="Z522" s="402"/>
      <c r="AA522" s="405"/>
      <c r="AB522" s="405"/>
      <c r="AC522" s="405"/>
      <c r="AD522" s="405"/>
      <c r="AE522" s="405"/>
      <c r="AF522" s="405"/>
      <c r="AG522" s="405"/>
      <c r="AH522" s="405"/>
      <c r="AI522" s="405"/>
      <c r="AJ522" s="405"/>
      <c r="AK522" s="405"/>
      <c r="AL522" s="405"/>
    </row>
    <row r="523" ht="14.25" customHeight="1">
      <c r="A523" s="497">
        <v>45519.0</v>
      </c>
      <c r="B523" s="607" t="s">
        <v>3558</v>
      </c>
      <c r="C523" s="607" t="s">
        <v>3559</v>
      </c>
      <c r="D523" s="349" t="s">
        <v>54</v>
      </c>
      <c r="E523" s="349" t="s">
        <v>3551</v>
      </c>
      <c r="F523" s="756">
        <v>18573.0</v>
      </c>
      <c r="G523" s="756"/>
      <c r="H523" s="349" t="s">
        <v>2184</v>
      </c>
      <c r="I523" s="736" t="str">
        <f t="shared" si="20"/>
        <v>NOT PAID</v>
      </c>
      <c r="J523" s="402"/>
      <c r="K523" s="402"/>
      <c r="L523" s="402"/>
      <c r="M523" s="402"/>
      <c r="N523" s="402"/>
      <c r="O523" s="402"/>
      <c r="P523" s="402"/>
      <c r="Q523" s="402"/>
      <c r="R523" s="402"/>
      <c r="S523" s="402"/>
      <c r="T523" s="402"/>
      <c r="U523" s="402"/>
      <c r="V523" s="402"/>
      <c r="W523" s="402"/>
      <c r="X523" s="402"/>
      <c r="Y523" s="402"/>
      <c r="Z523" s="402"/>
      <c r="AA523" s="405"/>
      <c r="AB523" s="405"/>
      <c r="AC523" s="405"/>
      <c r="AD523" s="405"/>
      <c r="AE523" s="405"/>
      <c r="AF523" s="405"/>
      <c r="AG523" s="405"/>
      <c r="AH523" s="405"/>
      <c r="AI523" s="405"/>
      <c r="AJ523" s="405"/>
      <c r="AK523" s="405"/>
      <c r="AL523" s="405"/>
    </row>
    <row r="524" ht="14.25" customHeight="1">
      <c r="A524" s="497">
        <v>45519.0</v>
      </c>
      <c r="B524" s="607" t="s">
        <v>3718</v>
      </c>
      <c r="C524" s="607" t="s">
        <v>3719</v>
      </c>
      <c r="D524" s="349" t="s">
        <v>54</v>
      </c>
      <c r="E524" s="349" t="s">
        <v>3617</v>
      </c>
      <c r="F524" s="756">
        <v>400000.0</v>
      </c>
      <c r="G524" s="756">
        <v>320000.0</v>
      </c>
      <c r="H524" s="349" t="s">
        <v>3935</v>
      </c>
      <c r="I524" s="736" t="str">
        <f t="shared" si="20"/>
        <v>PARTIALLY PAID</v>
      </c>
      <c r="J524" s="402"/>
      <c r="K524" s="402"/>
      <c r="L524" s="402"/>
      <c r="M524" s="402"/>
      <c r="N524" s="402"/>
      <c r="O524" s="402"/>
      <c r="P524" s="402"/>
      <c r="Q524" s="402"/>
      <c r="R524" s="402"/>
      <c r="S524" s="402"/>
      <c r="T524" s="402"/>
      <c r="U524" s="402"/>
      <c r="V524" s="402"/>
      <c r="W524" s="402"/>
      <c r="X524" s="402"/>
      <c r="Y524" s="402"/>
      <c r="Z524" s="402"/>
      <c r="AA524" s="405"/>
      <c r="AB524" s="405"/>
      <c r="AC524" s="405"/>
      <c r="AD524" s="405"/>
      <c r="AE524" s="405"/>
      <c r="AF524" s="405"/>
      <c r="AG524" s="405"/>
      <c r="AH524" s="405"/>
      <c r="AI524" s="405"/>
      <c r="AJ524" s="405"/>
      <c r="AK524" s="405"/>
      <c r="AL524" s="405"/>
    </row>
    <row r="525" ht="14.25" customHeight="1">
      <c r="A525" s="497">
        <v>45519.0</v>
      </c>
      <c r="B525" s="349" t="s">
        <v>3752</v>
      </c>
      <c r="C525" s="349" t="s">
        <v>3654</v>
      </c>
      <c r="D525" s="349" t="s">
        <v>54</v>
      </c>
      <c r="E525" s="349" t="s">
        <v>3551</v>
      </c>
      <c r="F525" s="756">
        <v>920000.0</v>
      </c>
      <c r="G525" s="756">
        <v>920000.0</v>
      </c>
      <c r="H525" s="349" t="s">
        <v>710</v>
      </c>
      <c r="I525" s="736" t="str">
        <f t="shared" si="20"/>
        <v>FULLY PAID</v>
      </c>
      <c r="J525" s="402"/>
      <c r="K525" s="402"/>
      <c r="L525" s="402"/>
      <c r="M525" s="402"/>
      <c r="N525" s="402"/>
      <c r="O525" s="402"/>
      <c r="P525" s="402"/>
      <c r="Q525" s="402"/>
      <c r="R525" s="402"/>
      <c r="S525" s="402"/>
      <c r="T525" s="402"/>
      <c r="U525" s="402"/>
      <c r="V525" s="402"/>
      <c r="W525" s="402"/>
      <c r="X525" s="402"/>
      <c r="Y525" s="402"/>
      <c r="Z525" s="402"/>
      <c r="AA525" s="405"/>
      <c r="AB525" s="405"/>
      <c r="AC525" s="405"/>
      <c r="AD525" s="405"/>
      <c r="AE525" s="405"/>
      <c r="AF525" s="405"/>
      <c r="AG525" s="405"/>
      <c r="AH525" s="405"/>
      <c r="AI525" s="405"/>
      <c r="AJ525" s="405"/>
      <c r="AK525" s="405"/>
      <c r="AL525" s="405"/>
    </row>
    <row r="526" ht="14.25" customHeight="1">
      <c r="A526" s="497">
        <v>45519.0</v>
      </c>
      <c r="B526" s="349" t="s">
        <v>3595</v>
      </c>
      <c r="C526" s="349" t="s">
        <v>3864</v>
      </c>
      <c r="D526" s="349" t="s">
        <v>54</v>
      </c>
      <c r="E526" s="349" t="s">
        <v>3551</v>
      </c>
      <c r="F526" s="413">
        <v>33791.36</v>
      </c>
      <c r="G526" s="413"/>
      <c r="H526" s="349" t="s">
        <v>3936</v>
      </c>
      <c r="I526" s="736" t="str">
        <f t="shared" si="20"/>
        <v>NOT PAID</v>
      </c>
      <c r="J526" s="402"/>
      <c r="K526" s="402"/>
      <c r="L526" s="402"/>
      <c r="M526" s="402"/>
      <c r="N526" s="402"/>
      <c r="O526" s="402"/>
      <c r="P526" s="402"/>
      <c r="Q526" s="402"/>
      <c r="R526" s="402"/>
      <c r="S526" s="402"/>
      <c r="T526" s="402"/>
      <c r="U526" s="402"/>
      <c r="V526" s="402"/>
      <c r="W526" s="402"/>
      <c r="X526" s="402"/>
      <c r="Y526" s="402"/>
      <c r="Z526" s="402"/>
      <c r="AA526" s="405"/>
      <c r="AB526" s="405"/>
      <c r="AC526" s="405"/>
      <c r="AD526" s="405"/>
      <c r="AE526" s="405"/>
      <c r="AF526" s="405"/>
      <c r="AG526" s="405"/>
      <c r="AH526" s="405"/>
      <c r="AI526" s="405"/>
      <c r="AJ526" s="405"/>
      <c r="AK526" s="405"/>
      <c r="AL526" s="405"/>
    </row>
    <row r="527" ht="14.25" customHeight="1">
      <c r="A527" s="497">
        <v>45519.0</v>
      </c>
      <c r="B527" s="349" t="s">
        <v>3566</v>
      </c>
      <c r="C527" s="349" t="s">
        <v>3567</v>
      </c>
      <c r="D527" s="349" t="s">
        <v>54</v>
      </c>
      <c r="E527" s="349" t="s">
        <v>3579</v>
      </c>
      <c r="F527" s="751">
        <v>54182.0</v>
      </c>
      <c r="G527" s="751"/>
      <c r="H527" s="349" t="s">
        <v>3750</v>
      </c>
      <c r="I527" s="736" t="str">
        <f t="shared" si="20"/>
        <v>NOT PAID</v>
      </c>
      <c r="J527" s="402"/>
      <c r="K527" s="402"/>
      <c r="L527" s="402"/>
      <c r="M527" s="402"/>
      <c r="N527" s="402"/>
      <c r="O527" s="402"/>
      <c r="P527" s="402"/>
      <c r="Q527" s="402"/>
      <c r="R527" s="402"/>
      <c r="S527" s="402"/>
      <c r="T527" s="402"/>
      <c r="U527" s="402"/>
      <c r="V527" s="402"/>
      <c r="W527" s="402"/>
      <c r="X527" s="402"/>
      <c r="Y527" s="402"/>
      <c r="Z527" s="402"/>
      <c r="AA527" s="405"/>
      <c r="AB527" s="405"/>
      <c r="AC527" s="405"/>
      <c r="AD527" s="405"/>
      <c r="AE527" s="405"/>
      <c r="AF527" s="405"/>
      <c r="AG527" s="405"/>
      <c r="AH527" s="405"/>
      <c r="AI527" s="405"/>
      <c r="AJ527" s="405"/>
      <c r="AK527" s="405"/>
      <c r="AL527" s="405"/>
    </row>
    <row r="528" ht="14.25" customHeight="1">
      <c r="A528" s="497">
        <v>45519.0</v>
      </c>
      <c r="B528" s="349" t="s">
        <v>3912</v>
      </c>
      <c r="C528" s="349" t="s">
        <v>3635</v>
      </c>
      <c r="D528" s="349" t="s">
        <v>75</v>
      </c>
      <c r="E528" s="349" t="s">
        <v>3551</v>
      </c>
      <c r="F528" s="413">
        <v>55000.0</v>
      </c>
      <c r="G528" s="413"/>
      <c r="H528" s="349" t="s">
        <v>3937</v>
      </c>
      <c r="I528" s="736" t="str">
        <f t="shared" si="20"/>
        <v>NOT PAID</v>
      </c>
      <c r="J528" s="402"/>
      <c r="K528" s="402"/>
      <c r="L528" s="402"/>
      <c r="M528" s="402"/>
      <c r="N528" s="402"/>
      <c r="O528" s="402"/>
      <c r="P528" s="402"/>
      <c r="Q528" s="402"/>
      <c r="R528" s="402"/>
      <c r="S528" s="402"/>
      <c r="T528" s="402"/>
      <c r="U528" s="402"/>
      <c r="V528" s="402"/>
      <c r="W528" s="402"/>
      <c r="X528" s="402"/>
      <c r="Y528" s="402"/>
      <c r="Z528" s="402"/>
      <c r="AA528" s="405"/>
      <c r="AB528" s="405"/>
      <c r="AC528" s="405"/>
      <c r="AD528" s="405"/>
      <c r="AE528" s="405"/>
      <c r="AF528" s="405"/>
      <c r="AG528" s="405"/>
      <c r="AH528" s="405"/>
      <c r="AI528" s="405"/>
      <c r="AJ528" s="405"/>
      <c r="AK528" s="405"/>
      <c r="AL528" s="405"/>
    </row>
    <row r="529" ht="14.25" customHeight="1">
      <c r="A529" s="497">
        <v>45519.0</v>
      </c>
      <c r="B529" s="349" t="s">
        <v>3938</v>
      </c>
      <c r="C529" s="349" t="s">
        <v>3688</v>
      </c>
      <c r="D529" s="349" t="s">
        <v>54</v>
      </c>
      <c r="E529" s="349" t="s">
        <v>3551</v>
      </c>
      <c r="F529" s="751">
        <v>5292.0</v>
      </c>
      <c r="G529" s="751">
        <v>10200.0</v>
      </c>
      <c r="H529" s="349" t="s">
        <v>710</v>
      </c>
      <c r="I529" s="736" t="str">
        <f t="shared" si="20"/>
        <v>FULLY PAID</v>
      </c>
      <c r="J529" s="402"/>
      <c r="K529" s="402"/>
      <c r="L529" s="402"/>
      <c r="M529" s="402"/>
      <c r="N529" s="402"/>
      <c r="O529" s="402"/>
      <c r="P529" s="402"/>
      <c r="Q529" s="402"/>
      <c r="R529" s="402"/>
      <c r="S529" s="402"/>
      <c r="T529" s="402"/>
      <c r="U529" s="402"/>
      <c r="V529" s="402"/>
      <c r="W529" s="402"/>
      <c r="X529" s="402"/>
      <c r="Y529" s="402"/>
      <c r="Z529" s="402"/>
      <c r="AA529" s="405"/>
      <c r="AB529" s="405"/>
      <c r="AC529" s="405"/>
      <c r="AD529" s="405"/>
      <c r="AE529" s="405"/>
      <c r="AF529" s="405"/>
      <c r="AG529" s="405"/>
      <c r="AH529" s="405"/>
      <c r="AI529" s="405"/>
      <c r="AJ529" s="405"/>
      <c r="AK529" s="405"/>
      <c r="AL529" s="405"/>
    </row>
    <row r="530" ht="14.25" customHeight="1">
      <c r="A530" s="497">
        <v>45519.0</v>
      </c>
      <c r="B530" s="349" t="s">
        <v>3663</v>
      </c>
      <c r="C530" s="349" t="s">
        <v>3799</v>
      </c>
      <c r="D530" s="349" t="s">
        <v>54</v>
      </c>
      <c r="E530" s="349" t="s">
        <v>3579</v>
      </c>
      <c r="F530" s="770">
        <v>49511.0</v>
      </c>
      <c r="G530" s="770">
        <v>49511.0</v>
      </c>
      <c r="H530" s="349" t="s">
        <v>710</v>
      </c>
      <c r="I530" s="736" t="str">
        <f t="shared" si="20"/>
        <v>FULLY PAID</v>
      </c>
      <c r="J530" s="402"/>
      <c r="K530" s="402"/>
      <c r="L530" s="402"/>
      <c r="M530" s="402"/>
      <c r="N530" s="402"/>
      <c r="O530" s="402"/>
      <c r="P530" s="402"/>
      <c r="Q530" s="402"/>
      <c r="R530" s="402"/>
      <c r="S530" s="402"/>
      <c r="T530" s="402"/>
      <c r="U530" s="402"/>
      <c r="V530" s="402"/>
      <c r="W530" s="402"/>
      <c r="X530" s="402"/>
      <c r="Y530" s="402"/>
      <c r="Z530" s="402"/>
      <c r="AA530" s="405"/>
      <c r="AB530" s="405"/>
      <c r="AC530" s="405"/>
      <c r="AD530" s="405"/>
      <c r="AE530" s="405"/>
      <c r="AF530" s="405"/>
      <c r="AG530" s="405"/>
      <c r="AH530" s="405"/>
      <c r="AI530" s="405"/>
      <c r="AJ530" s="405"/>
      <c r="AK530" s="405"/>
      <c r="AL530" s="405"/>
    </row>
    <row r="531" ht="14.25" customHeight="1">
      <c r="A531" s="497">
        <v>45519.0</v>
      </c>
      <c r="B531" s="349" t="s">
        <v>3802</v>
      </c>
      <c r="C531" s="349" t="s">
        <v>3670</v>
      </c>
      <c r="D531" s="349" t="s">
        <v>54</v>
      </c>
      <c r="E531" s="349" t="s">
        <v>3579</v>
      </c>
      <c r="F531" s="413">
        <v>21450.25</v>
      </c>
      <c r="G531" s="413"/>
      <c r="H531" s="349" t="s">
        <v>3936</v>
      </c>
      <c r="I531" s="736" t="str">
        <f t="shared" si="20"/>
        <v>NOT PAID</v>
      </c>
      <c r="J531" s="402"/>
      <c r="K531" s="402"/>
      <c r="L531" s="402"/>
      <c r="M531" s="402"/>
      <c r="N531" s="402"/>
      <c r="O531" s="402"/>
      <c r="P531" s="402"/>
      <c r="Q531" s="402"/>
      <c r="R531" s="402"/>
      <c r="S531" s="402"/>
      <c r="T531" s="402"/>
      <c r="U531" s="402"/>
      <c r="V531" s="402"/>
      <c r="W531" s="402"/>
      <c r="X531" s="402"/>
      <c r="Y531" s="402"/>
      <c r="Z531" s="402"/>
      <c r="AA531" s="405"/>
      <c r="AB531" s="405"/>
      <c r="AC531" s="405"/>
      <c r="AD531" s="405"/>
      <c r="AE531" s="405"/>
      <c r="AF531" s="405"/>
      <c r="AG531" s="405"/>
      <c r="AH531" s="405"/>
      <c r="AI531" s="405"/>
      <c r="AJ531" s="405"/>
      <c r="AK531" s="405"/>
      <c r="AL531" s="405"/>
    </row>
    <row r="532" ht="14.25" customHeight="1">
      <c r="A532" s="497">
        <v>45519.0</v>
      </c>
      <c r="B532" s="349" t="s">
        <v>3552</v>
      </c>
      <c r="C532" s="349" t="s">
        <v>3553</v>
      </c>
      <c r="D532" s="349" t="s">
        <v>54</v>
      </c>
      <c r="E532" s="349" t="s">
        <v>3579</v>
      </c>
      <c r="F532" s="751">
        <v>36316.0</v>
      </c>
      <c r="G532" s="751"/>
      <c r="H532" s="349" t="s">
        <v>3936</v>
      </c>
      <c r="I532" s="736" t="str">
        <f t="shared" si="20"/>
        <v>NOT PAID</v>
      </c>
      <c r="J532" s="402"/>
      <c r="K532" s="402"/>
      <c r="L532" s="402"/>
      <c r="M532" s="402"/>
      <c r="N532" s="402"/>
      <c r="O532" s="402"/>
      <c r="P532" s="402"/>
      <c r="Q532" s="402"/>
      <c r="R532" s="402"/>
      <c r="S532" s="402"/>
      <c r="T532" s="402"/>
      <c r="U532" s="402"/>
      <c r="V532" s="402"/>
      <c r="W532" s="402"/>
      <c r="X532" s="402"/>
      <c r="Y532" s="402"/>
      <c r="Z532" s="402"/>
      <c r="AA532" s="405"/>
      <c r="AB532" s="405"/>
      <c r="AC532" s="405"/>
      <c r="AD532" s="405"/>
      <c r="AE532" s="405"/>
      <c r="AF532" s="405"/>
      <c r="AG532" s="405"/>
      <c r="AH532" s="405"/>
      <c r="AI532" s="405"/>
      <c r="AJ532" s="405"/>
      <c r="AK532" s="405"/>
      <c r="AL532" s="405"/>
    </row>
    <row r="533" ht="14.25" customHeight="1">
      <c r="A533" s="497">
        <v>45519.0</v>
      </c>
      <c r="B533" s="349" t="s">
        <v>3911</v>
      </c>
      <c r="C533" s="349" t="s">
        <v>3898</v>
      </c>
      <c r="D533" s="349" t="s">
        <v>346</v>
      </c>
      <c r="E533" s="349" t="s">
        <v>3551</v>
      </c>
      <c r="F533" s="413">
        <v>4832.95</v>
      </c>
      <c r="G533" s="413"/>
      <c r="H533" s="349" t="s">
        <v>2184</v>
      </c>
      <c r="I533" s="736" t="str">
        <f t="shared" si="20"/>
        <v>NOT PAID</v>
      </c>
      <c r="J533" s="402"/>
      <c r="K533" s="402"/>
      <c r="L533" s="402"/>
      <c r="M533" s="402"/>
      <c r="N533" s="402"/>
      <c r="O533" s="402"/>
      <c r="P533" s="402"/>
      <c r="Q533" s="402"/>
      <c r="R533" s="402"/>
      <c r="S533" s="402"/>
      <c r="T533" s="402"/>
      <c r="U533" s="402"/>
      <c r="V533" s="402"/>
      <c r="W533" s="402"/>
      <c r="X533" s="402"/>
      <c r="Y533" s="402"/>
      <c r="Z533" s="402"/>
      <c r="AA533" s="405"/>
      <c r="AB533" s="405"/>
      <c r="AC533" s="405"/>
      <c r="AD533" s="405"/>
      <c r="AE533" s="405"/>
      <c r="AF533" s="405"/>
      <c r="AG533" s="405"/>
      <c r="AH533" s="405"/>
      <c r="AI533" s="405"/>
      <c r="AJ533" s="405"/>
      <c r="AK533" s="405"/>
      <c r="AL533" s="405"/>
    </row>
    <row r="534" ht="14.25" customHeight="1">
      <c r="A534" s="497">
        <v>45519.0</v>
      </c>
      <c r="B534" s="349" t="s">
        <v>3809</v>
      </c>
      <c r="C534" s="349" t="s">
        <v>3810</v>
      </c>
      <c r="D534" s="349" t="s">
        <v>54</v>
      </c>
      <c r="E534" s="349" t="s">
        <v>3551</v>
      </c>
      <c r="F534" s="413">
        <v>3940.0</v>
      </c>
      <c r="G534" s="413"/>
      <c r="H534" s="349" t="s">
        <v>3937</v>
      </c>
      <c r="I534" s="736" t="str">
        <f t="shared" si="20"/>
        <v>NOT PAID</v>
      </c>
      <c r="J534" s="402"/>
      <c r="K534" s="402"/>
      <c r="L534" s="402"/>
      <c r="M534" s="402"/>
      <c r="N534" s="402"/>
      <c r="O534" s="402"/>
      <c r="P534" s="402"/>
      <c r="Q534" s="402"/>
      <c r="R534" s="402"/>
      <c r="S534" s="402"/>
      <c r="T534" s="402"/>
      <c r="U534" s="402"/>
      <c r="V534" s="402"/>
      <c r="W534" s="402"/>
      <c r="X534" s="402"/>
      <c r="Y534" s="402"/>
      <c r="Z534" s="402"/>
      <c r="AA534" s="405"/>
      <c r="AB534" s="405"/>
      <c r="AC534" s="405"/>
      <c r="AD534" s="405"/>
      <c r="AE534" s="405"/>
      <c r="AF534" s="405"/>
      <c r="AG534" s="405"/>
      <c r="AH534" s="405"/>
      <c r="AI534" s="405"/>
      <c r="AJ534" s="405"/>
      <c r="AK534" s="405"/>
      <c r="AL534" s="405"/>
    </row>
    <row r="535" ht="14.25" customHeight="1">
      <c r="A535" s="497">
        <v>45519.0</v>
      </c>
      <c r="B535" s="349" t="s">
        <v>3687</v>
      </c>
      <c r="C535" s="349" t="s">
        <v>3688</v>
      </c>
      <c r="D535" s="349" t="s">
        <v>54</v>
      </c>
      <c r="E535" s="349" t="s">
        <v>3617</v>
      </c>
      <c r="F535" s="413">
        <v>6746.0</v>
      </c>
      <c r="G535" s="413">
        <v>6800.0</v>
      </c>
      <c r="H535" s="349" t="s">
        <v>710</v>
      </c>
      <c r="I535" s="736" t="str">
        <f t="shared" si="20"/>
        <v>FULLY PAID</v>
      </c>
      <c r="J535" s="402"/>
      <c r="K535" s="402"/>
      <c r="L535" s="402"/>
      <c r="M535" s="402"/>
      <c r="N535" s="402"/>
      <c r="O535" s="402"/>
      <c r="P535" s="402"/>
      <c r="Q535" s="402"/>
      <c r="R535" s="402"/>
      <c r="S535" s="402"/>
      <c r="T535" s="402"/>
      <c r="U535" s="402"/>
      <c r="V535" s="402"/>
      <c r="W535" s="402"/>
      <c r="X535" s="402"/>
      <c r="Y535" s="402"/>
      <c r="Z535" s="402"/>
      <c r="AA535" s="405"/>
      <c r="AB535" s="405"/>
      <c r="AC535" s="405"/>
      <c r="AD535" s="405"/>
      <c r="AE535" s="405"/>
      <c r="AF535" s="405"/>
      <c r="AG535" s="405"/>
      <c r="AH535" s="405"/>
      <c r="AI535" s="405"/>
      <c r="AJ535" s="405"/>
      <c r="AK535" s="405"/>
      <c r="AL535" s="405"/>
    </row>
    <row r="536" ht="14.25" customHeight="1">
      <c r="A536" s="497">
        <v>45519.0</v>
      </c>
      <c r="B536" s="349" t="s">
        <v>3588</v>
      </c>
      <c r="C536" s="349" t="s">
        <v>3589</v>
      </c>
      <c r="D536" s="349" t="s">
        <v>54</v>
      </c>
      <c r="E536" s="349" t="s">
        <v>3617</v>
      </c>
      <c r="F536" s="413">
        <v>25608.55</v>
      </c>
      <c r="G536" s="413"/>
      <c r="H536" s="349" t="s">
        <v>3937</v>
      </c>
      <c r="I536" s="736" t="str">
        <f t="shared" si="20"/>
        <v>NOT PAID</v>
      </c>
      <c r="J536" s="402"/>
      <c r="K536" s="402"/>
      <c r="L536" s="402"/>
      <c r="M536" s="402"/>
      <c r="N536" s="402"/>
      <c r="O536" s="402"/>
      <c r="P536" s="402"/>
      <c r="Q536" s="402"/>
      <c r="R536" s="402"/>
      <c r="S536" s="402"/>
      <c r="T536" s="402"/>
      <c r="U536" s="402"/>
      <c r="V536" s="402"/>
      <c r="W536" s="402"/>
      <c r="X536" s="402"/>
      <c r="Y536" s="402"/>
      <c r="Z536" s="402"/>
      <c r="AA536" s="405"/>
      <c r="AB536" s="405"/>
      <c r="AC536" s="405"/>
      <c r="AD536" s="405"/>
      <c r="AE536" s="405"/>
      <c r="AF536" s="405"/>
      <c r="AG536" s="405"/>
      <c r="AH536" s="405"/>
      <c r="AI536" s="405"/>
      <c r="AJ536" s="405"/>
      <c r="AK536" s="405"/>
      <c r="AL536" s="405"/>
    </row>
    <row r="537" ht="14.25" customHeight="1">
      <c r="A537" s="497">
        <v>45519.0</v>
      </c>
      <c r="B537" s="349" t="s">
        <v>3725</v>
      </c>
      <c r="C537" s="349" t="s">
        <v>3726</v>
      </c>
      <c r="D537" s="349" t="s">
        <v>54</v>
      </c>
      <c r="E537" s="349" t="s">
        <v>3617</v>
      </c>
      <c r="F537" s="413">
        <v>220.0</v>
      </c>
      <c r="G537" s="413">
        <v>220.0</v>
      </c>
      <c r="H537" s="349" t="s">
        <v>710</v>
      </c>
      <c r="I537" s="736" t="str">
        <f t="shared" si="20"/>
        <v>FULLY PAID</v>
      </c>
      <c r="J537" s="402"/>
      <c r="K537" s="402"/>
      <c r="L537" s="402"/>
      <c r="M537" s="402"/>
      <c r="N537" s="402"/>
      <c r="O537" s="402"/>
      <c r="P537" s="402"/>
      <c r="Q537" s="402"/>
      <c r="R537" s="402"/>
      <c r="S537" s="402"/>
      <c r="T537" s="402"/>
      <c r="U537" s="402"/>
      <c r="V537" s="402"/>
      <c r="W537" s="402"/>
      <c r="X537" s="402"/>
      <c r="Y537" s="402"/>
      <c r="Z537" s="402"/>
      <c r="AA537" s="405"/>
      <c r="AB537" s="405"/>
      <c r="AC537" s="405"/>
      <c r="AD537" s="405"/>
      <c r="AE537" s="405"/>
      <c r="AF537" s="405"/>
      <c r="AG537" s="405"/>
      <c r="AH537" s="405"/>
      <c r="AI537" s="405"/>
      <c r="AJ537" s="405"/>
      <c r="AK537" s="405"/>
      <c r="AL537" s="405"/>
    </row>
    <row r="538" ht="14.25" customHeight="1">
      <c r="A538" s="402"/>
      <c r="B538" s="402"/>
      <c r="C538" s="402"/>
      <c r="D538" s="402"/>
      <c r="E538" s="402"/>
      <c r="F538" s="413"/>
      <c r="G538" s="413"/>
      <c r="H538" s="402"/>
      <c r="I538" s="736" t="str">
        <f t="shared" si="20"/>
        <v>FULLY PAID</v>
      </c>
      <c r="J538" s="402"/>
      <c r="K538" s="402"/>
      <c r="L538" s="402"/>
      <c r="M538" s="402"/>
      <c r="N538" s="402"/>
      <c r="O538" s="402"/>
      <c r="P538" s="402"/>
      <c r="Q538" s="402"/>
      <c r="R538" s="402"/>
      <c r="S538" s="402"/>
      <c r="T538" s="402"/>
      <c r="U538" s="402"/>
      <c r="V538" s="402"/>
      <c r="W538" s="402"/>
      <c r="X538" s="402"/>
      <c r="Y538" s="402"/>
      <c r="Z538" s="402"/>
      <c r="AA538" s="405"/>
      <c r="AB538" s="405"/>
      <c r="AC538" s="405"/>
      <c r="AD538" s="405"/>
      <c r="AE538" s="405"/>
      <c r="AF538" s="405"/>
      <c r="AG538" s="405"/>
      <c r="AH538" s="405"/>
      <c r="AI538" s="405"/>
      <c r="AJ538" s="405"/>
      <c r="AK538" s="405"/>
      <c r="AL538" s="405"/>
    </row>
    <row r="539" ht="14.25" customHeight="1">
      <c r="A539" s="402"/>
      <c r="B539" s="402"/>
      <c r="C539" s="402"/>
      <c r="D539" s="402"/>
      <c r="E539" s="402"/>
      <c r="F539" s="413"/>
      <c r="G539" s="403"/>
      <c r="H539" s="402"/>
      <c r="I539" s="736" t="str">
        <f t="shared" si="20"/>
        <v>FULLY PAID</v>
      </c>
      <c r="J539" s="402"/>
      <c r="K539" s="402"/>
      <c r="L539" s="402"/>
      <c r="M539" s="402"/>
      <c r="N539" s="402"/>
      <c r="O539" s="402"/>
      <c r="P539" s="402"/>
      <c r="Q539" s="402"/>
      <c r="R539" s="402"/>
      <c r="S539" s="402"/>
      <c r="T539" s="402"/>
      <c r="U539" s="402"/>
      <c r="V539" s="402"/>
      <c r="W539" s="402"/>
      <c r="X539" s="402"/>
      <c r="Y539" s="402"/>
      <c r="Z539" s="402"/>
      <c r="AA539" s="405"/>
      <c r="AB539" s="405"/>
      <c r="AC539" s="405"/>
      <c r="AD539" s="405"/>
      <c r="AE539" s="405"/>
      <c r="AF539" s="405"/>
      <c r="AG539" s="405"/>
      <c r="AH539" s="405"/>
      <c r="AI539" s="405"/>
      <c r="AJ539" s="405"/>
      <c r="AK539" s="405"/>
      <c r="AL539" s="405"/>
    </row>
    <row r="540" ht="14.25" customHeight="1">
      <c r="A540" s="584" t="s">
        <v>2130</v>
      </c>
      <c r="B540" s="584" t="s">
        <v>39</v>
      </c>
      <c r="C540" s="584" t="s">
        <v>48</v>
      </c>
      <c r="D540" s="584" t="s">
        <v>49</v>
      </c>
      <c r="E540" s="584" t="s">
        <v>50</v>
      </c>
      <c r="F540" s="584" t="s">
        <v>2</v>
      </c>
      <c r="G540" s="586" t="s">
        <v>44</v>
      </c>
      <c r="H540" s="424" t="s">
        <v>45</v>
      </c>
      <c r="I540" s="736" t="str">
        <f t="shared" si="20"/>
        <v>FULLY PAID</v>
      </c>
      <c r="J540" s="402"/>
      <c r="K540" s="402"/>
      <c r="L540" s="402"/>
      <c r="M540" s="402"/>
      <c r="N540" s="402"/>
      <c r="O540" s="402"/>
      <c r="P540" s="402"/>
      <c r="Q540" s="402"/>
      <c r="R540" s="402"/>
      <c r="S540" s="402"/>
      <c r="T540" s="402"/>
      <c r="U540" s="402"/>
      <c r="V540" s="402"/>
      <c r="W540" s="402"/>
      <c r="X540" s="402"/>
      <c r="Y540" s="402"/>
      <c r="Z540" s="402"/>
      <c r="AA540" s="405"/>
      <c r="AB540" s="405"/>
      <c r="AC540" s="405"/>
      <c r="AD540" s="405"/>
      <c r="AE540" s="405"/>
      <c r="AF540" s="405"/>
      <c r="AG540" s="405"/>
      <c r="AH540" s="405"/>
      <c r="AI540" s="405"/>
      <c r="AJ540" s="405"/>
      <c r="AK540" s="405"/>
      <c r="AL540" s="405"/>
    </row>
    <row r="541" ht="14.25" customHeight="1">
      <c r="A541" s="497">
        <v>45520.0</v>
      </c>
      <c r="B541" s="349" t="s">
        <v>3554</v>
      </c>
      <c r="C541" s="349" t="s">
        <v>3939</v>
      </c>
      <c r="D541" s="349" t="s">
        <v>54</v>
      </c>
      <c r="E541" s="349" t="s">
        <v>3551</v>
      </c>
      <c r="F541" s="751">
        <v>101606.0</v>
      </c>
      <c r="G541" s="751"/>
      <c r="H541" s="349" t="s">
        <v>3940</v>
      </c>
      <c r="I541" s="736" t="str">
        <f t="shared" si="20"/>
        <v>NOT PAID</v>
      </c>
      <c r="J541" s="402"/>
      <c r="K541" s="402"/>
      <c r="L541" s="402"/>
      <c r="M541" s="402"/>
      <c r="N541" s="402"/>
      <c r="O541" s="402"/>
      <c r="P541" s="402"/>
      <c r="Q541" s="402"/>
      <c r="R541" s="402"/>
      <c r="S541" s="402"/>
      <c r="T541" s="402"/>
      <c r="U541" s="402"/>
      <c r="V541" s="402"/>
      <c r="W541" s="402"/>
      <c r="X541" s="402"/>
      <c r="Y541" s="402"/>
      <c r="Z541" s="402"/>
      <c r="AA541" s="405"/>
      <c r="AB541" s="405"/>
      <c r="AC541" s="405"/>
      <c r="AD541" s="405"/>
      <c r="AE541" s="405"/>
      <c r="AF541" s="405"/>
      <c r="AG541" s="405"/>
      <c r="AH541" s="405"/>
      <c r="AI541" s="405"/>
      <c r="AJ541" s="405"/>
      <c r="AK541" s="405"/>
      <c r="AL541" s="405"/>
    </row>
    <row r="542" ht="14.25" customHeight="1">
      <c r="A542" s="497">
        <v>45520.0</v>
      </c>
      <c r="B542" s="349" t="s">
        <v>3552</v>
      </c>
      <c r="C542" s="349" t="s">
        <v>3553</v>
      </c>
      <c r="D542" s="349" t="s">
        <v>54</v>
      </c>
      <c r="E542" s="349" t="s">
        <v>3579</v>
      </c>
      <c r="F542" s="751">
        <v>36316.0</v>
      </c>
      <c r="G542" s="751"/>
      <c r="H542" s="349" t="s">
        <v>3941</v>
      </c>
      <c r="I542" s="736" t="str">
        <f t="shared" si="20"/>
        <v>NOT PAID</v>
      </c>
      <c r="J542" s="402"/>
      <c r="K542" s="402"/>
      <c r="L542" s="402"/>
      <c r="M542" s="402"/>
      <c r="N542" s="402"/>
      <c r="O542" s="402"/>
      <c r="P542" s="402"/>
      <c r="Q542" s="402"/>
      <c r="R542" s="402"/>
      <c r="S542" s="402"/>
      <c r="T542" s="402"/>
      <c r="U542" s="402"/>
      <c r="V542" s="402"/>
      <c r="W542" s="402"/>
      <c r="X542" s="402"/>
      <c r="Y542" s="402"/>
      <c r="Z542" s="402"/>
      <c r="AA542" s="405"/>
      <c r="AB542" s="405"/>
      <c r="AC542" s="405"/>
      <c r="AD542" s="405"/>
      <c r="AE542" s="405"/>
      <c r="AF542" s="405"/>
      <c r="AG542" s="405"/>
      <c r="AH542" s="405"/>
      <c r="AI542" s="405"/>
      <c r="AJ542" s="405"/>
      <c r="AK542" s="405"/>
      <c r="AL542" s="405"/>
    </row>
    <row r="543" ht="14.25" customHeight="1">
      <c r="A543" s="497">
        <v>45520.0</v>
      </c>
      <c r="B543" s="349" t="s">
        <v>3942</v>
      </c>
      <c r="C543" s="349" t="s">
        <v>3943</v>
      </c>
      <c r="D543" s="349" t="s">
        <v>54</v>
      </c>
      <c r="E543" s="349" t="s">
        <v>3617</v>
      </c>
      <c r="F543" s="751">
        <v>59736.0</v>
      </c>
      <c r="G543" s="751"/>
      <c r="H543" s="349" t="s">
        <v>3940</v>
      </c>
      <c r="I543" s="736" t="str">
        <f t="shared" si="20"/>
        <v>NOT PAID</v>
      </c>
      <c r="J543" s="402"/>
      <c r="K543" s="402"/>
      <c r="L543" s="402"/>
      <c r="M543" s="402"/>
      <c r="N543" s="402"/>
      <c r="O543" s="402"/>
      <c r="P543" s="402"/>
      <c r="Q543" s="402"/>
      <c r="R543" s="402"/>
      <c r="S543" s="402"/>
      <c r="T543" s="402"/>
      <c r="U543" s="402"/>
      <c r="V543" s="402"/>
      <c r="W543" s="402"/>
      <c r="X543" s="402"/>
      <c r="Y543" s="402"/>
      <c r="Z543" s="402"/>
      <c r="AA543" s="405"/>
      <c r="AB543" s="405"/>
      <c r="AC543" s="405"/>
      <c r="AD543" s="405"/>
      <c r="AE543" s="405"/>
      <c r="AF543" s="405"/>
      <c r="AG543" s="405"/>
      <c r="AH543" s="405"/>
      <c r="AI543" s="405"/>
      <c r="AJ543" s="405"/>
      <c r="AK543" s="405"/>
      <c r="AL543" s="405"/>
    </row>
    <row r="544" ht="14.25" customHeight="1">
      <c r="A544" s="497">
        <v>45520.0</v>
      </c>
      <c r="B544" s="349" t="s">
        <v>3944</v>
      </c>
      <c r="C544" s="349" t="s">
        <v>3945</v>
      </c>
      <c r="D544" s="349" t="s">
        <v>54</v>
      </c>
      <c r="E544" s="349" t="s">
        <v>3617</v>
      </c>
      <c r="F544" s="751">
        <v>37461.0</v>
      </c>
      <c r="G544" s="751"/>
      <c r="H544" s="349" t="s">
        <v>3940</v>
      </c>
      <c r="I544" s="736" t="str">
        <f t="shared" si="20"/>
        <v>NOT PAID</v>
      </c>
      <c r="J544" s="402"/>
      <c r="K544" s="402"/>
      <c r="L544" s="402"/>
      <c r="M544" s="402"/>
      <c r="N544" s="402"/>
      <c r="O544" s="402"/>
      <c r="P544" s="402"/>
      <c r="Q544" s="402"/>
      <c r="R544" s="402"/>
      <c r="S544" s="402"/>
      <c r="T544" s="402"/>
      <c r="U544" s="402"/>
      <c r="V544" s="402"/>
      <c r="W544" s="402"/>
      <c r="X544" s="402"/>
      <c r="Y544" s="402"/>
      <c r="Z544" s="402"/>
      <c r="AA544" s="405"/>
      <c r="AB544" s="405"/>
      <c r="AC544" s="405"/>
      <c r="AD544" s="405"/>
      <c r="AE544" s="405"/>
      <c r="AF544" s="405"/>
      <c r="AG544" s="405"/>
      <c r="AH544" s="405"/>
      <c r="AI544" s="405"/>
      <c r="AJ544" s="405"/>
      <c r="AK544" s="405"/>
      <c r="AL544" s="405"/>
    </row>
    <row r="545" ht="14.25" customHeight="1">
      <c r="A545" s="497">
        <v>45520.0</v>
      </c>
      <c r="B545" s="349" t="s">
        <v>3606</v>
      </c>
      <c r="C545" s="349" t="s">
        <v>3607</v>
      </c>
      <c r="D545" s="349" t="s">
        <v>54</v>
      </c>
      <c r="E545" s="349" t="s">
        <v>3551</v>
      </c>
      <c r="F545" s="751">
        <v>33362.0</v>
      </c>
      <c r="G545" s="751"/>
      <c r="H545" s="349" t="s">
        <v>3946</v>
      </c>
      <c r="I545" s="736" t="str">
        <f t="shared" si="20"/>
        <v>NOT PAID</v>
      </c>
      <c r="J545" s="402"/>
      <c r="K545" s="402"/>
      <c r="L545" s="402"/>
      <c r="M545" s="402"/>
      <c r="N545" s="402"/>
      <c r="O545" s="402"/>
      <c r="P545" s="402"/>
      <c r="Q545" s="402"/>
      <c r="R545" s="402"/>
      <c r="S545" s="402"/>
      <c r="T545" s="402"/>
      <c r="U545" s="402"/>
      <c r="V545" s="402"/>
      <c r="W545" s="402"/>
      <c r="X545" s="402"/>
      <c r="Y545" s="402"/>
      <c r="Z545" s="402"/>
      <c r="AA545" s="405"/>
      <c r="AB545" s="405"/>
      <c r="AC545" s="405"/>
      <c r="AD545" s="405"/>
      <c r="AE545" s="405"/>
      <c r="AF545" s="405"/>
      <c r="AG545" s="405"/>
      <c r="AH545" s="405"/>
      <c r="AI545" s="405"/>
      <c r="AJ545" s="405"/>
      <c r="AK545" s="405"/>
      <c r="AL545" s="405"/>
    </row>
    <row r="546" ht="14.25" customHeight="1">
      <c r="A546" s="497">
        <v>45520.0</v>
      </c>
      <c r="B546" s="349" t="s">
        <v>3947</v>
      </c>
      <c r="C546" s="349" t="s">
        <v>3948</v>
      </c>
      <c r="D546" s="349" t="s">
        <v>54</v>
      </c>
      <c r="E546" s="349" t="s">
        <v>3617</v>
      </c>
      <c r="F546" s="751">
        <v>28900.0</v>
      </c>
      <c r="G546" s="751"/>
      <c r="H546" s="349" t="s">
        <v>3940</v>
      </c>
      <c r="I546" s="736" t="str">
        <f t="shared" si="20"/>
        <v>NOT PAID</v>
      </c>
      <c r="J546" s="402"/>
      <c r="K546" s="402"/>
      <c r="L546" s="402"/>
      <c r="M546" s="402"/>
      <c r="N546" s="402"/>
      <c r="O546" s="402"/>
      <c r="P546" s="402"/>
      <c r="Q546" s="402"/>
      <c r="R546" s="402"/>
      <c r="S546" s="402"/>
      <c r="T546" s="402"/>
      <c r="U546" s="402"/>
      <c r="V546" s="402"/>
      <c r="W546" s="402"/>
      <c r="X546" s="402"/>
      <c r="Y546" s="402"/>
      <c r="Z546" s="402"/>
      <c r="AA546" s="405"/>
      <c r="AB546" s="405"/>
      <c r="AC546" s="405"/>
      <c r="AD546" s="405"/>
      <c r="AE546" s="405"/>
      <c r="AF546" s="405"/>
      <c r="AG546" s="405"/>
      <c r="AH546" s="405"/>
      <c r="AI546" s="405"/>
      <c r="AJ546" s="405"/>
      <c r="AK546" s="405"/>
      <c r="AL546" s="405"/>
    </row>
    <row r="547" ht="14.25" customHeight="1">
      <c r="A547" s="497">
        <v>45520.0</v>
      </c>
      <c r="B547" s="349" t="s">
        <v>3949</v>
      </c>
      <c r="C547" s="349" t="s">
        <v>3950</v>
      </c>
      <c r="D547" s="349" t="s">
        <v>54</v>
      </c>
      <c r="E547" s="349" t="s">
        <v>3617</v>
      </c>
      <c r="F547" s="751">
        <v>26100.0</v>
      </c>
      <c r="G547" s="751">
        <v>34100.0</v>
      </c>
      <c r="H547" s="349" t="s">
        <v>710</v>
      </c>
      <c r="I547" s="736" t="str">
        <f t="shared" si="20"/>
        <v>FULLY PAID</v>
      </c>
      <c r="J547" s="402"/>
      <c r="K547" s="402"/>
      <c r="L547" s="402"/>
      <c r="M547" s="402"/>
      <c r="N547" s="402"/>
      <c r="O547" s="402"/>
      <c r="P547" s="402"/>
      <c r="Q547" s="402"/>
      <c r="R547" s="402"/>
      <c r="S547" s="402"/>
      <c r="T547" s="402"/>
      <c r="U547" s="402"/>
      <c r="V547" s="402"/>
      <c r="W547" s="402"/>
      <c r="X547" s="402"/>
      <c r="Y547" s="402"/>
      <c r="Z547" s="402"/>
      <c r="AA547" s="405"/>
      <c r="AB547" s="405"/>
      <c r="AC547" s="405"/>
      <c r="AD547" s="405"/>
      <c r="AE547" s="405"/>
      <c r="AF547" s="405"/>
      <c r="AG547" s="405"/>
      <c r="AH547" s="405"/>
      <c r="AI547" s="405"/>
      <c r="AJ547" s="405"/>
      <c r="AK547" s="405"/>
      <c r="AL547" s="405"/>
    </row>
    <row r="548" ht="14.25" customHeight="1">
      <c r="A548" s="497">
        <v>45520.0</v>
      </c>
      <c r="B548" s="349" t="s">
        <v>3802</v>
      </c>
      <c r="C548" s="349" t="s">
        <v>3670</v>
      </c>
      <c r="D548" s="349" t="s">
        <v>54</v>
      </c>
      <c r="E548" s="349" t="s">
        <v>3579</v>
      </c>
      <c r="F548" s="413">
        <v>21450.25</v>
      </c>
      <c r="G548" s="413"/>
      <c r="H548" s="349" t="s">
        <v>3946</v>
      </c>
      <c r="I548" s="736" t="str">
        <f t="shared" si="20"/>
        <v>NOT PAID</v>
      </c>
      <c r="J548" s="402"/>
      <c r="K548" s="402"/>
      <c r="L548" s="402"/>
      <c r="M548" s="402"/>
      <c r="N548" s="402"/>
      <c r="O548" s="402"/>
      <c r="P548" s="402"/>
      <c r="Q548" s="402"/>
      <c r="R548" s="402"/>
      <c r="S548" s="402"/>
      <c r="T548" s="402"/>
      <c r="U548" s="402"/>
      <c r="V548" s="402"/>
      <c r="W548" s="402"/>
      <c r="X548" s="402"/>
      <c r="Y548" s="402"/>
      <c r="Z548" s="402"/>
      <c r="AA548" s="405"/>
      <c r="AB548" s="405"/>
      <c r="AC548" s="405"/>
      <c r="AD548" s="405"/>
      <c r="AE548" s="405"/>
      <c r="AF548" s="405"/>
      <c r="AG548" s="405"/>
      <c r="AH548" s="405"/>
      <c r="AI548" s="405"/>
      <c r="AJ548" s="405"/>
      <c r="AK548" s="405"/>
      <c r="AL548" s="405"/>
    </row>
    <row r="549" ht="14.25" customHeight="1">
      <c r="A549" s="497">
        <v>45520.0</v>
      </c>
      <c r="B549" s="349" t="s">
        <v>3566</v>
      </c>
      <c r="C549" s="349" t="s">
        <v>3567</v>
      </c>
      <c r="D549" s="349" t="s">
        <v>54</v>
      </c>
      <c r="E549" s="349" t="s">
        <v>3579</v>
      </c>
      <c r="F549" s="751">
        <v>54182.0</v>
      </c>
      <c r="G549" s="751">
        <v>10000.0</v>
      </c>
      <c r="H549" s="349" t="s">
        <v>3951</v>
      </c>
      <c r="I549" s="736" t="str">
        <f t="shared" si="20"/>
        <v>PARTIALLY PAID</v>
      </c>
      <c r="J549" s="402"/>
      <c r="K549" s="402"/>
      <c r="L549" s="402"/>
      <c r="M549" s="402"/>
      <c r="N549" s="402"/>
      <c r="O549" s="402"/>
      <c r="P549" s="402"/>
      <c r="Q549" s="402"/>
      <c r="R549" s="402"/>
      <c r="S549" s="402"/>
      <c r="T549" s="402"/>
      <c r="U549" s="402"/>
      <c r="V549" s="402"/>
      <c r="W549" s="402"/>
      <c r="X549" s="402"/>
      <c r="Y549" s="402"/>
      <c r="Z549" s="402"/>
      <c r="AA549" s="405"/>
      <c r="AB549" s="405"/>
      <c r="AC549" s="405"/>
      <c r="AD549" s="405"/>
      <c r="AE549" s="405"/>
      <c r="AF549" s="405"/>
      <c r="AG549" s="405"/>
      <c r="AH549" s="405"/>
      <c r="AI549" s="405"/>
      <c r="AJ549" s="405"/>
      <c r="AK549" s="405"/>
      <c r="AL549" s="405"/>
    </row>
    <row r="550" ht="14.25" customHeight="1">
      <c r="A550" s="497">
        <v>45520.0</v>
      </c>
      <c r="B550" s="349" t="s">
        <v>3912</v>
      </c>
      <c r="C550" s="349" t="s">
        <v>3635</v>
      </c>
      <c r="D550" s="349" t="s">
        <v>75</v>
      </c>
      <c r="E550" s="349" t="s">
        <v>3551</v>
      </c>
      <c r="F550" s="413">
        <v>55000.0</v>
      </c>
      <c r="G550" s="413"/>
      <c r="H550" s="349" t="s">
        <v>3952</v>
      </c>
      <c r="I550" s="736" t="str">
        <f t="shared" si="20"/>
        <v>NOT PAID</v>
      </c>
      <c r="J550" s="402"/>
      <c r="K550" s="402"/>
      <c r="L550" s="402"/>
      <c r="M550" s="402"/>
      <c r="N550" s="402"/>
      <c r="O550" s="402"/>
      <c r="P550" s="402"/>
      <c r="Q550" s="402"/>
      <c r="R550" s="402"/>
      <c r="S550" s="402"/>
      <c r="T550" s="402"/>
      <c r="U550" s="402"/>
      <c r="V550" s="402"/>
      <c r="W550" s="402"/>
      <c r="X550" s="402"/>
      <c r="Y550" s="402"/>
      <c r="Z550" s="402"/>
      <c r="AA550" s="405"/>
      <c r="AB550" s="405"/>
      <c r="AC550" s="405"/>
      <c r="AD550" s="405"/>
      <c r="AE550" s="405"/>
      <c r="AF550" s="405"/>
      <c r="AG550" s="405"/>
      <c r="AH550" s="405"/>
      <c r="AI550" s="405"/>
      <c r="AJ550" s="405"/>
      <c r="AK550" s="405"/>
      <c r="AL550" s="405"/>
    </row>
    <row r="551" ht="14.25" customHeight="1">
      <c r="A551" s="497">
        <v>45520.0</v>
      </c>
      <c r="B551" s="349" t="s">
        <v>3588</v>
      </c>
      <c r="C551" s="349" t="s">
        <v>3589</v>
      </c>
      <c r="D551" s="349" t="s">
        <v>54</v>
      </c>
      <c r="E551" s="349" t="s">
        <v>3617</v>
      </c>
      <c r="F551" s="413">
        <v>25608.55</v>
      </c>
      <c r="G551" s="413"/>
      <c r="H551" s="349" t="s">
        <v>3946</v>
      </c>
      <c r="I551" s="736" t="str">
        <f t="shared" si="20"/>
        <v>NOT PAID</v>
      </c>
      <c r="J551" s="402"/>
      <c r="K551" s="402"/>
      <c r="L551" s="402"/>
      <c r="M551" s="402"/>
      <c r="N551" s="402"/>
      <c r="O551" s="402"/>
      <c r="P551" s="402"/>
      <c r="Q551" s="402"/>
      <c r="R551" s="402"/>
      <c r="S551" s="402"/>
      <c r="T551" s="402"/>
      <c r="U551" s="402"/>
      <c r="V551" s="402"/>
      <c r="W551" s="402"/>
      <c r="X551" s="402"/>
      <c r="Y551" s="402"/>
      <c r="Z551" s="402"/>
      <c r="AA551" s="405"/>
      <c r="AB551" s="405"/>
      <c r="AC551" s="405"/>
      <c r="AD551" s="405"/>
      <c r="AE551" s="405"/>
      <c r="AF551" s="405"/>
      <c r="AG551" s="405"/>
      <c r="AH551" s="405"/>
      <c r="AI551" s="405"/>
      <c r="AJ551" s="405"/>
      <c r="AK551" s="405"/>
      <c r="AL551" s="405"/>
    </row>
    <row r="552" ht="14.25" customHeight="1">
      <c r="A552" s="497">
        <v>45520.0</v>
      </c>
      <c r="B552" s="349" t="s">
        <v>3953</v>
      </c>
      <c r="C552" s="349" t="s">
        <v>3954</v>
      </c>
      <c r="D552" s="349" t="s">
        <v>3578</v>
      </c>
      <c r="E552" s="349" t="s">
        <v>3579</v>
      </c>
      <c r="F552" s="751">
        <v>990000.0</v>
      </c>
      <c r="G552" s="751">
        <v>1668184.0</v>
      </c>
      <c r="H552" s="349" t="s">
        <v>3955</v>
      </c>
      <c r="I552" s="736" t="str">
        <f t="shared" si="20"/>
        <v>FULLY PAID</v>
      </c>
      <c r="J552" s="402"/>
      <c r="K552" s="402"/>
      <c r="L552" s="402"/>
      <c r="M552" s="402"/>
      <c r="N552" s="402"/>
      <c r="O552" s="402"/>
      <c r="P552" s="402"/>
      <c r="Q552" s="402"/>
      <c r="R552" s="402"/>
      <c r="S552" s="402"/>
      <c r="T552" s="402"/>
      <c r="U552" s="402"/>
      <c r="V552" s="402"/>
      <c r="W552" s="402"/>
      <c r="X552" s="402"/>
      <c r="Y552" s="402"/>
      <c r="Z552" s="402"/>
      <c r="AA552" s="405"/>
      <c r="AB552" s="405"/>
      <c r="AC552" s="405"/>
      <c r="AD552" s="405"/>
      <c r="AE552" s="405"/>
      <c r="AF552" s="405"/>
      <c r="AG552" s="405"/>
      <c r="AH552" s="405"/>
      <c r="AI552" s="405"/>
      <c r="AJ552" s="405"/>
      <c r="AK552" s="405"/>
      <c r="AL552" s="405"/>
    </row>
    <row r="553" ht="14.25" customHeight="1">
      <c r="A553" s="497">
        <v>45520.0</v>
      </c>
      <c r="B553" s="349" t="s">
        <v>3809</v>
      </c>
      <c r="C553" s="349" t="s">
        <v>3956</v>
      </c>
      <c r="D553" s="349" t="s">
        <v>54</v>
      </c>
      <c r="E553" s="349" t="s">
        <v>3551</v>
      </c>
      <c r="F553" s="413">
        <v>5159.0</v>
      </c>
      <c r="G553" s="413">
        <v>1400.0</v>
      </c>
      <c r="H553" s="349" t="s">
        <v>3957</v>
      </c>
      <c r="I553" s="736" t="str">
        <f t="shared" si="20"/>
        <v>PARTIALLY PAID</v>
      </c>
      <c r="J553" s="402"/>
      <c r="K553" s="402"/>
      <c r="L553" s="402"/>
      <c r="M553" s="402"/>
      <c r="N553" s="402"/>
      <c r="O553" s="402"/>
      <c r="P553" s="402"/>
      <c r="Q553" s="402"/>
      <c r="R553" s="402"/>
      <c r="S553" s="402"/>
      <c r="T553" s="402"/>
      <c r="U553" s="402"/>
      <c r="V553" s="402"/>
      <c r="W553" s="402"/>
      <c r="X553" s="402"/>
      <c r="Y553" s="402"/>
      <c r="Z553" s="402"/>
      <c r="AA553" s="405"/>
      <c r="AB553" s="405"/>
      <c r="AC553" s="405"/>
      <c r="AD553" s="405"/>
      <c r="AE553" s="405"/>
      <c r="AF553" s="405"/>
      <c r="AG553" s="405"/>
      <c r="AH553" s="405"/>
      <c r="AI553" s="405"/>
      <c r="AJ553" s="405"/>
      <c r="AK553" s="405"/>
      <c r="AL553" s="405"/>
    </row>
    <row r="554" ht="14.25" customHeight="1">
      <c r="A554" s="497">
        <v>45520.0</v>
      </c>
      <c r="B554" s="349" t="s">
        <v>3563</v>
      </c>
      <c r="C554" s="349" t="s">
        <v>3564</v>
      </c>
      <c r="D554" s="349" t="s">
        <v>54</v>
      </c>
      <c r="E554" s="349" t="s">
        <v>3579</v>
      </c>
      <c r="F554" s="413">
        <v>82867.1</v>
      </c>
      <c r="G554" s="413"/>
      <c r="H554" s="349" t="s">
        <v>3958</v>
      </c>
      <c r="I554" s="736" t="str">
        <f t="shared" si="20"/>
        <v>NOT PAID</v>
      </c>
      <c r="J554" s="402"/>
      <c r="K554" s="402"/>
      <c r="L554" s="402"/>
      <c r="M554" s="402"/>
      <c r="N554" s="402"/>
      <c r="O554" s="402"/>
      <c r="P554" s="402"/>
      <c r="Q554" s="402"/>
      <c r="R554" s="402"/>
      <c r="S554" s="402"/>
      <c r="T554" s="402"/>
      <c r="U554" s="402"/>
      <c r="V554" s="402"/>
      <c r="W554" s="402"/>
      <c r="X554" s="402"/>
      <c r="Y554" s="402"/>
      <c r="Z554" s="402"/>
      <c r="AA554" s="405"/>
      <c r="AB554" s="405"/>
      <c r="AC554" s="405"/>
      <c r="AD554" s="405"/>
      <c r="AE554" s="405"/>
      <c r="AF554" s="405"/>
      <c r="AG554" s="405"/>
      <c r="AH554" s="405"/>
      <c r="AI554" s="405"/>
      <c r="AJ554" s="405"/>
      <c r="AK554" s="405"/>
      <c r="AL554" s="405"/>
    </row>
    <row r="555" ht="14.25" customHeight="1">
      <c r="A555" s="497">
        <v>45520.0</v>
      </c>
      <c r="B555" s="349" t="s">
        <v>3831</v>
      </c>
      <c r="C555" s="349" t="s">
        <v>3832</v>
      </c>
      <c r="D555" s="349" t="s">
        <v>54</v>
      </c>
      <c r="E555" s="349" t="s">
        <v>3551</v>
      </c>
      <c r="F555" s="751">
        <v>5292.0</v>
      </c>
      <c r="G555" s="751"/>
      <c r="H555" s="349" t="s">
        <v>3940</v>
      </c>
      <c r="I555" s="736" t="str">
        <f t="shared" si="20"/>
        <v>NOT PAID</v>
      </c>
      <c r="J555" s="402"/>
      <c r="K555" s="402"/>
      <c r="L555" s="402"/>
      <c r="M555" s="402"/>
      <c r="N555" s="402"/>
      <c r="O555" s="402"/>
      <c r="P555" s="402"/>
      <c r="Q555" s="402"/>
      <c r="R555" s="402"/>
      <c r="S555" s="402"/>
      <c r="T555" s="402"/>
      <c r="U555" s="402"/>
      <c r="V555" s="402"/>
      <c r="W555" s="402"/>
      <c r="X555" s="402"/>
      <c r="Y555" s="402"/>
      <c r="Z555" s="402"/>
      <c r="AA555" s="405"/>
      <c r="AB555" s="405"/>
      <c r="AC555" s="405"/>
      <c r="AD555" s="405"/>
      <c r="AE555" s="405"/>
      <c r="AF555" s="405"/>
      <c r="AG555" s="405"/>
      <c r="AH555" s="405"/>
      <c r="AI555" s="405"/>
      <c r="AJ555" s="405"/>
      <c r="AK555" s="405"/>
      <c r="AL555" s="405"/>
    </row>
    <row r="556" ht="14.25" customHeight="1">
      <c r="A556" s="497">
        <v>45520.0</v>
      </c>
      <c r="B556" s="349" t="s">
        <v>3802</v>
      </c>
      <c r="C556" s="349" t="s">
        <v>3670</v>
      </c>
      <c r="D556" s="349" t="s">
        <v>54</v>
      </c>
      <c r="E556" s="349" t="s">
        <v>3579</v>
      </c>
      <c r="F556" s="413">
        <v>21450.25</v>
      </c>
      <c r="G556" s="413"/>
      <c r="H556" s="349" t="s">
        <v>3946</v>
      </c>
      <c r="I556" s="736" t="str">
        <f t="shared" si="20"/>
        <v>NOT PAID</v>
      </c>
      <c r="J556" s="402"/>
      <c r="K556" s="402"/>
      <c r="L556" s="402"/>
      <c r="M556" s="402"/>
      <c r="N556" s="402"/>
      <c r="O556" s="402"/>
      <c r="P556" s="402"/>
      <c r="Q556" s="402"/>
      <c r="R556" s="402"/>
      <c r="S556" s="402"/>
      <c r="T556" s="402"/>
      <c r="U556" s="402"/>
      <c r="V556" s="402"/>
      <c r="W556" s="402"/>
      <c r="X556" s="402"/>
      <c r="Y556" s="402"/>
      <c r="Z556" s="402"/>
      <c r="AA556" s="405"/>
      <c r="AB556" s="405"/>
      <c r="AC556" s="405"/>
      <c r="AD556" s="405"/>
      <c r="AE556" s="405"/>
      <c r="AF556" s="405"/>
      <c r="AG556" s="405"/>
      <c r="AH556" s="405"/>
      <c r="AI556" s="405"/>
      <c r="AJ556" s="405"/>
      <c r="AK556" s="405"/>
      <c r="AL556" s="405"/>
    </row>
    <row r="557" ht="14.25" customHeight="1">
      <c r="A557" s="497">
        <v>45520.0</v>
      </c>
      <c r="B557" s="349" t="s">
        <v>3918</v>
      </c>
      <c r="C557" s="349" t="s">
        <v>3745</v>
      </c>
      <c r="D557" s="349" t="s">
        <v>54</v>
      </c>
      <c r="E557" s="349" t="s">
        <v>3579</v>
      </c>
      <c r="F557" s="413">
        <v>14376.0</v>
      </c>
      <c r="G557" s="413"/>
      <c r="H557" s="349" t="s">
        <v>3959</v>
      </c>
      <c r="I557" s="736" t="str">
        <f t="shared" si="20"/>
        <v>NOT PAID</v>
      </c>
      <c r="J557" s="402"/>
      <c r="K557" s="402"/>
      <c r="L557" s="402"/>
      <c r="M557" s="402"/>
      <c r="N557" s="402"/>
      <c r="O557" s="402"/>
      <c r="P557" s="402"/>
      <c r="Q557" s="402"/>
      <c r="R557" s="402"/>
      <c r="S557" s="402"/>
      <c r="T557" s="402"/>
      <c r="U557" s="402"/>
      <c r="V557" s="402"/>
      <c r="W557" s="402"/>
      <c r="X557" s="402"/>
      <c r="Y557" s="402"/>
      <c r="Z557" s="402"/>
      <c r="AA557" s="405"/>
      <c r="AB557" s="405"/>
      <c r="AC557" s="405"/>
      <c r="AD557" s="405"/>
      <c r="AE557" s="405"/>
      <c r="AF557" s="405"/>
      <c r="AG557" s="405"/>
      <c r="AH557" s="405"/>
      <c r="AI557" s="405"/>
      <c r="AJ557" s="405"/>
      <c r="AK557" s="405"/>
      <c r="AL557" s="405"/>
    </row>
    <row r="558" ht="14.25" customHeight="1">
      <c r="A558" s="497">
        <v>45520.0</v>
      </c>
      <c r="B558" s="349" t="s">
        <v>3608</v>
      </c>
      <c r="C558" s="349" t="s">
        <v>3705</v>
      </c>
      <c r="D558" s="349" t="s">
        <v>54</v>
      </c>
      <c r="E558" s="349" t="s">
        <v>3579</v>
      </c>
      <c r="F558" s="751">
        <v>99000.0</v>
      </c>
      <c r="G558" s="751"/>
      <c r="H558" s="349" t="s">
        <v>3960</v>
      </c>
      <c r="I558" s="736" t="str">
        <f t="shared" si="20"/>
        <v>NOT PAID</v>
      </c>
      <c r="J558" s="402"/>
      <c r="K558" s="402"/>
      <c r="L558" s="402"/>
      <c r="M558" s="402"/>
      <c r="N558" s="402"/>
      <c r="O558" s="402"/>
      <c r="P558" s="402"/>
      <c r="Q558" s="402"/>
      <c r="R558" s="402"/>
      <c r="S558" s="402"/>
      <c r="T558" s="402"/>
      <c r="U558" s="402"/>
      <c r="V558" s="402"/>
      <c r="W558" s="402"/>
      <c r="X558" s="402"/>
      <c r="Y558" s="402"/>
      <c r="Z558" s="402"/>
      <c r="AA558" s="405"/>
      <c r="AB558" s="405"/>
      <c r="AC558" s="405"/>
      <c r="AD558" s="405"/>
      <c r="AE558" s="405"/>
      <c r="AF558" s="405"/>
      <c r="AG558" s="405"/>
      <c r="AH558" s="405"/>
      <c r="AI558" s="405"/>
      <c r="AJ558" s="405"/>
      <c r="AK558" s="405"/>
      <c r="AL558" s="405"/>
    </row>
    <row r="559" ht="14.25" customHeight="1">
      <c r="A559" s="497">
        <v>45520.0</v>
      </c>
      <c r="B559" s="349" t="s">
        <v>3961</v>
      </c>
      <c r="C559" s="349" t="s">
        <v>3883</v>
      </c>
      <c r="D559" s="349" t="s">
        <v>54</v>
      </c>
      <c r="E559" s="349" t="s">
        <v>3617</v>
      </c>
      <c r="F559" s="413">
        <v>71500.0</v>
      </c>
      <c r="G559" s="413">
        <v>253000.0</v>
      </c>
      <c r="H559" s="349" t="s">
        <v>710</v>
      </c>
      <c r="I559" s="736" t="str">
        <f t="shared" si="20"/>
        <v>FULLY PAID</v>
      </c>
      <c r="J559" s="402"/>
      <c r="K559" s="402"/>
      <c r="L559" s="402"/>
      <c r="M559" s="402"/>
      <c r="N559" s="402"/>
      <c r="O559" s="402"/>
      <c r="P559" s="402"/>
      <c r="Q559" s="402"/>
      <c r="R559" s="402"/>
      <c r="S559" s="402"/>
      <c r="T559" s="402"/>
      <c r="U559" s="402"/>
      <c r="V559" s="402"/>
      <c r="W559" s="402"/>
      <c r="X559" s="402"/>
      <c r="Y559" s="402"/>
      <c r="Z559" s="402"/>
      <c r="AA559" s="405"/>
      <c r="AB559" s="405"/>
      <c r="AC559" s="405"/>
      <c r="AD559" s="405"/>
      <c r="AE559" s="405"/>
      <c r="AF559" s="405"/>
      <c r="AG559" s="405"/>
      <c r="AH559" s="405"/>
      <c r="AI559" s="405"/>
      <c r="AJ559" s="405"/>
      <c r="AK559" s="405"/>
      <c r="AL559" s="405"/>
    </row>
    <row r="560" ht="14.25" customHeight="1">
      <c r="A560" s="497">
        <v>45520.0</v>
      </c>
      <c r="B560" s="349" t="s">
        <v>3561</v>
      </c>
      <c r="C560" s="349" t="s">
        <v>3562</v>
      </c>
      <c r="D560" s="349" t="s">
        <v>54</v>
      </c>
      <c r="E560" s="349" t="s">
        <v>3579</v>
      </c>
      <c r="F560" s="413">
        <v>28631.0</v>
      </c>
      <c r="G560" s="413"/>
      <c r="H560" s="349" t="s">
        <v>3962</v>
      </c>
      <c r="I560" s="736" t="str">
        <f t="shared" si="20"/>
        <v>NOT PAID</v>
      </c>
      <c r="J560" s="402"/>
      <c r="K560" s="402"/>
      <c r="L560" s="402"/>
      <c r="M560" s="402"/>
      <c r="N560" s="402"/>
      <c r="O560" s="402"/>
      <c r="P560" s="402"/>
      <c r="Q560" s="402"/>
      <c r="R560" s="402"/>
      <c r="S560" s="402"/>
      <c r="T560" s="402"/>
      <c r="U560" s="402"/>
      <c r="V560" s="402"/>
      <c r="W560" s="402"/>
      <c r="X560" s="402"/>
      <c r="Y560" s="402"/>
      <c r="Z560" s="402"/>
      <c r="AA560" s="405"/>
      <c r="AB560" s="405"/>
      <c r="AC560" s="405"/>
      <c r="AD560" s="405"/>
      <c r="AE560" s="405"/>
      <c r="AF560" s="405"/>
      <c r="AG560" s="405"/>
      <c r="AH560" s="405"/>
      <c r="AI560" s="405"/>
      <c r="AJ560" s="405"/>
      <c r="AK560" s="405"/>
      <c r="AL560" s="405"/>
    </row>
    <row r="561" ht="14.25" customHeight="1">
      <c r="A561" s="497">
        <v>45520.0</v>
      </c>
      <c r="B561" s="349" t="s">
        <v>3735</v>
      </c>
      <c r="C561" s="349" t="s">
        <v>3669</v>
      </c>
      <c r="D561" s="349" t="s">
        <v>54</v>
      </c>
      <c r="E561" s="349" t="s">
        <v>3579</v>
      </c>
      <c r="F561" s="413">
        <v>7662.6</v>
      </c>
      <c r="G561" s="413">
        <v>4000.0</v>
      </c>
      <c r="H561" s="349" t="s">
        <v>3963</v>
      </c>
      <c r="I561" s="736" t="str">
        <f t="shared" si="20"/>
        <v>PARTIALLY PAID</v>
      </c>
      <c r="J561" s="402"/>
      <c r="K561" s="402"/>
      <c r="L561" s="402"/>
      <c r="M561" s="402"/>
      <c r="N561" s="402"/>
      <c r="O561" s="402"/>
      <c r="P561" s="402"/>
      <c r="Q561" s="402"/>
      <c r="R561" s="402"/>
      <c r="S561" s="402"/>
      <c r="T561" s="402"/>
      <c r="U561" s="402"/>
      <c r="V561" s="402"/>
      <c r="W561" s="402"/>
      <c r="X561" s="402"/>
      <c r="Y561" s="402"/>
      <c r="Z561" s="402"/>
      <c r="AA561" s="405"/>
      <c r="AB561" s="405"/>
      <c r="AC561" s="405"/>
      <c r="AD561" s="405"/>
      <c r="AE561" s="405"/>
      <c r="AF561" s="405"/>
      <c r="AG561" s="405"/>
      <c r="AH561" s="405"/>
      <c r="AI561" s="405"/>
      <c r="AJ561" s="405"/>
      <c r="AK561" s="405"/>
      <c r="AL561" s="405"/>
    </row>
    <row r="562" ht="14.25" customHeight="1">
      <c r="A562" s="402"/>
      <c r="B562" s="402"/>
      <c r="C562" s="402"/>
      <c r="D562" s="402"/>
      <c r="E562" s="402"/>
      <c r="F562" s="402"/>
      <c r="G562" s="403"/>
      <c r="H562" s="402"/>
      <c r="I562" s="736" t="str">
        <f t="shared" si="20"/>
        <v>FULLY PAID</v>
      </c>
      <c r="J562" s="402"/>
      <c r="K562" s="402"/>
      <c r="L562" s="402"/>
      <c r="M562" s="402"/>
      <c r="N562" s="402"/>
      <c r="O562" s="402"/>
      <c r="P562" s="402"/>
      <c r="Q562" s="402"/>
      <c r="R562" s="402"/>
      <c r="S562" s="402"/>
      <c r="T562" s="402"/>
      <c r="U562" s="402"/>
      <c r="V562" s="402"/>
      <c r="W562" s="402"/>
      <c r="X562" s="402"/>
      <c r="Y562" s="402"/>
      <c r="Z562" s="402"/>
      <c r="AA562" s="405"/>
      <c r="AB562" s="405"/>
      <c r="AC562" s="405"/>
      <c r="AD562" s="405"/>
      <c r="AE562" s="405"/>
      <c r="AF562" s="405"/>
      <c r="AG562" s="405"/>
      <c r="AH562" s="405"/>
      <c r="AI562" s="405"/>
      <c r="AJ562" s="405"/>
      <c r="AK562" s="405"/>
      <c r="AL562" s="405"/>
    </row>
    <row r="563" ht="14.25" customHeight="1">
      <c r="A563" s="402"/>
      <c r="B563" s="402"/>
      <c r="C563" s="402"/>
      <c r="D563" s="402"/>
      <c r="E563" s="402"/>
      <c r="F563" s="402"/>
      <c r="G563" s="403"/>
      <c r="H563" s="402"/>
      <c r="I563" s="736" t="str">
        <f t="shared" si="20"/>
        <v>FULLY PAID</v>
      </c>
      <c r="J563" s="402"/>
      <c r="K563" s="402"/>
      <c r="L563" s="402"/>
      <c r="M563" s="402"/>
      <c r="N563" s="402"/>
      <c r="O563" s="402"/>
      <c r="P563" s="402"/>
      <c r="Q563" s="402"/>
      <c r="R563" s="402"/>
      <c r="S563" s="402"/>
      <c r="T563" s="402"/>
      <c r="U563" s="402"/>
      <c r="V563" s="402"/>
      <c r="W563" s="402"/>
      <c r="X563" s="402"/>
      <c r="Y563" s="402"/>
      <c r="Z563" s="402"/>
      <c r="AA563" s="405"/>
      <c r="AB563" s="405"/>
      <c r="AC563" s="405"/>
      <c r="AD563" s="405"/>
      <c r="AE563" s="405"/>
      <c r="AF563" s="405"/>
      <c r="AG563" s="405"/>
      <c r="AH563" s="405"/>
      <c r="AI563" s="405"/>
      <c r="AJ563" s="405"/>
      <c r="AK563" s="405"/>
      <c r="AL563" s="405"/>
    </row>
    <row r="564" ht="14.25" customHeight="1">
      <c r="A564" s="584" t="s">
        <v>2130</v>
      </c>
      <c r="B564" s="584" t="s">
        <v>39</v>
      </c>
      <c r="C564" s="584" t="s">
        <v>48</v>
      </c>
      <c r="D564" s="584" t="s">
        <v>49</v>
      </c>
      <c r="E564" s="584" t="s">
        <v>50</v>
      </c>
      <c r="F564" s="584" t="s">
        <v>2</v>
      </c>
      <c r="G564" s="586" t="s">
        <v>44</v>
      </c>
      <c r="H564" s="424" t="s">
        <v>45</v>
      </c>
      <c r="I564" s="736" t="str">
        <f t="shared" si="20"/>
        <v>FULLY PAID</v>
      </c>
      <c r="J564" s="402"/>
      <c r="K564" s="402"/>
      <c r="L564" s="402"/>
      <c r="M564" s="402"/>
      <c r="N564" s="402"/>
      <c r="O564" s="402"/>
      <c r="P564" s="402"/>
      <c r="Q564" s="402"/>
      <c r="R564" s="402"/>
      <c r="S564" s="402"/>
      <c r="T564" s="402"/>
      <c r="U564" s="402"/>
      <c r="V564" s="402"/>
      <c r="W564" s="402"/>
      <c r="X564" s="402"/>
      <c r="Y564" s="402"/>
      <c r="Z564" s="402"/>
      <c r="AA564" s="405"/>
      <c r="AB564" s="405"/>
      <c r="AC564" s="405"/>
      <c r="AD564" s="405"/>
      <c r="AE564" s="405"/>
      <c r="AF564" s="405"/>
      <c r="AG564" s="405"/>
      <c r="AH564" s="405"/>
      <c r="AI564" s="405"/>
      <c r="AJ564" s="405"/>
      <c r="AK564" s="405"/>
      <c r="AL564" s="405"/>
    </row>
    <row r="565" ht="14.25" customHeight="1">
      <c r="A565" s="497">
        <v>45521.0</v>
      </c>
      <c r="B565" s="349" t="s">
        <v>3964</v>
      </c>
      <c r="C565" s="349" t="s">
        <v>3965</v>
      </c>
      <c r="D565" s="349" t="s">
        <v>54</v>
      </c>
      <c r="E565" s="349" t="s">
        <v>3617</v>
      </c>
      <c r="F565" s="751">
        <v>3729.0</v>
      </c>
      <c r="G565" s="751"/>
      <c r="H565" s="349" t="s">
        <v>3966</v>
      </c>
      <c r="I565" s="736" t="str">
        <f t="shared" si="20"/>
        <v>NOT PAID</v>
      </c>
      <c r="J565" s="402"/>
      <c r="K565" s="402"/>
      <c r="L565" s="402"/>
      <c r="M565" s="402"/>
      <c r="N565" s="402"/>
      <c r="O565" s="402"/>
      <c r="P565" s="402"/>
      <c r="Q565" s="402"/>
      <c r="R565" s="402"/>
      <c r="S565" s="402"/>
      <c r="T565" s="402"/>
      <c r="U565" s="402"/>
      <c r="V565" s="402"/>
      <c r="W565" s="402"/>
      <c r="X565" s="402"/>
      <c r="Y565" s="402"/>
      <c r="Z565" s="402"/>
      <c r="AA565" s="405"/>
      <c r="AB565" s="405"/>
      <c r="AC565" s="405"/>
      <c r="AD565" s="405"/>
      <c r="AE565" s="405"/>
      <c r="AF565" s="405"/>
      <c r="AG565" s="405"/>
      <c r="AH565" s="405"/>
      <c r="AI565" s="405"/>
      <c r="AJ565" s="405"/>
      <c r="AK565" s="405"/>
      <c r="AL565" s="405"/>
    </row>
    <row r="566" ht="14.25" customHeight="1">
      <c r="A566" s="497">
        <v>45521.0</v>
      </c>
      <c r="B566" s="349" t="s">
        <v>3554</v>
      </c>
      <c r="C566" s="349" t="s">
        <v>3939</v>
      </c>
      <c r="D566" s="349" t="s">
        <v>54</v>
      </c>
      <c r="E566" s="349" t="s">
        <v>3551</v>
      </c>
      <c r="F566" s="751">
        <v>101606.0</v>
      </c>
      <c r="G566" s="751"/>
      <c r="H566" s="349" t="s">
        <v>3967</v>
      </c>
      <c r="I566" s="736" t="str">
        <f t="shared" si="20"/>
        <v>NOT PAID</v>
      </c>
      <c r="J566" s="402"/>
      <c r="K566" s="402"/>
      <c r="L566" s="402"/>
      <c r="M566" s="402"/>
      <c r="N566" s="402"/>
      <c r="O566" s="402"/>
      <c r="P566" s="402"/>
      <c r="Q566" s="402"/>
      <c r="R566" s="402"/>
      <c r="S566" s="402"/>
      <c r="T566" s="402"/>
      <c r="U566" s="402"/>
      <c r="V566" s="402"/>
      <c r="W566" s="402"/>
      <c r="X566" s="402"/>
      <c r="Y566" s="402"/>
      <c r="Z566" s="402"/>
      <c r="AA566" s="405"/>
      <c r="AB566" s="405"/>
      <c r="AC566" s="405"/>
      <c r="AD566" s="405"/>
      <c r="AE566" s="405"/>
      <c r="AF566" s="405"/>
      <c r="AG566" s="405"/>
      <c r="AH566" s="405"/>
      <c r="AI566" s="405"/>
      <c r="AJ566" s="405"/>
      <c r="AK566" s="405"/>
      <c r="AL566" s="405"/>
    </row>
    <row r="567" ht="14.25" customHeight="1">
      <c r="A567" s="497">
        <v>45521.0</v>
      </c>
      <c r="B567" s="349" t="s">
        <v>3552</v>
      </c>
      <c r="C567" s="349" t="s">
        <v>3553</v>
      </c>
      <c r="D567" s="349" t="s">
        <v>54</v>
      </c>
      <c r="E567" s="349" t="s">
        <v>3579</v>
      </c>
      <c r="F567" s="751">
        <v>36316.0</v>
      </c>
      <c r="G567" s="751"/>
      <c r="H567" s="349" t="s">
        <v>3946</v>
      </c>
      <c r="I567" s="736" t="str">
        <f t="shared" si="20"/>
        <v>NOT PAID</v>
      </c>
      <c r="J567" s="402"/>
      <c r="K567" s="402"/>
      <c r="L567" s="402"/>
      <c r="M567" s="402"/>
      <c r="N567" s="402"/>
      <c r="O567" s="402"/>
      <c r="P567" s="402"/>
      <c r="Q567" s="402"/>
      <c r="R567" s="402"/>
      <c r="S567" s="402"/>
      <c r="T567" s="402"/>
      <c r="U567" s="402"/>
      <c r="V567" s="402"/>
      <c r="W567" s="402"/>
      <c r="X567" s="402"/>
      <c r="Y567" s="402"/>
      <c r="Z567" s="402"/>
      <c r="AA567" s="405"/>
      <c r="AB567" s="405"/>
      <c r="AC567" s="405"/>
      <c r="AD567" s="405"/>
      <c r="AE567" s="405"/>
      <c r="AF567" s="405"/>
      <c r="AG567" s="405"/>
      <c r="AH567" s="405"/>
      <c r="AI567" s="405"/>
      <c r="AJ567" s="405"/>
      <c r="AK567" s="405"/>
      <c r="AL567" s="405"/>
    </row>
    <row r="568" ht="14.25" customHeight="1">
      <c r="A568" s="497">
        <v>45521.0</v>
      </c>
      <c r="B568" s="349" t="s">
        <v>3831</v>
      </c>
      <c r="C568" s="349" t="s">
        <v>3832</v>
      </c>
      <c r="D568" s="349" t="s">
        <v>54</v>
      </c>
      <c r="E568" s="349" t="s">
        <v>3551</v>
      </c>
      <c r="F568" s="751">
        <v>5292.0</v>
      </c>
      <c r="G568" s="751"/>
      <c r="H568" s="349" t="s">
        <v>3966</v>
      </c>
      <c r="I568" s="736" t="str">
        <f t="shared" si="20"/>
        <v>NOT PAID</v>
      </c>
      <c r="J568" s="402"/>
      <c r="K568" s="402"/>
      <c r="L568" s="402"/>
      <c r="M568" s="402"/>
      <c r="N568" s="402"/>
      <c r="O568" s="402"/>
      <c r="P568" s="402"/>
      <c r="Q568" s="402"/>
      <c r="R568" s="402"/>
      <c r="S568" s="402"/>
      <c r="T568" s="402"/>
      <c r="U568" s="402"/>
      <c r="V568" s="402"/>
      <c r="W568" s="402"/>
      <c r="X568" s="402"/>
      <c r="Y568" s="402"/>
      <c r="Z568" s="402"/>
      <c r="AA568" s="405"/>
      <c r="AB568" s="405"/>
      <c r="AC568" s="405"/>
      <c r="AD568" s="405"/>
      <c r="AE568" s="405"/>
      <c r="AF568" s="405"/>
      <c r="AG568" s="405"/>
      <c r="AH568" s="405"/>
      <c r="AI568" s="405"/>
      <c r="AJ568" s="405"/>
      <c r="AK568" s="405"/>
      <c r="AL568" s="405"/>
    </row>
    <row r="569" ht="14.25" customHeight="1">
      <c r="A569" s="497">
        <v>45521.0</v>
      </c>
      <c r="B569" s="349" t="s">
        <v>3802</v>
      </c>
      <c r="C569" s="349" t="s">
        <v>3670</v>
      </c>
      <c r="D569" s="349" t="s">
        <v>54</v>
      </c>
      <c r="E569" s="349" t="s">
        <v>3579</v>
      </c>
      <c r="F569" s="413">
        <v>21450.25</v>
      </c>
      <c r="G569" s="413"/>
      <c r="H569" s="349" t="s">
        <v>3946</v>
      </c>
      <c r="I569" s="736" t="str">
        <f t="shared" si="20"/>
        <v>NOT PAID</v>
      </c>
      <c r="J569" s="402"/>
      <c r="K569" s="402"/>
      <c r="L569" s="402"/>
      <c r="M569" s="402"/>
      <c r="N569" s="402"/>
      <c r="O569" s="402"/>
      <c r="P569" s="402"/>
      <c r="Q569" s="402"/>
      <c r="R569" s="402"/>
      <c r="S569" s="402"/>
      <c r="T569" s="402"/>
      <c r="U569" s="402"/>
      <c r="V569" s="402"/>
      <c r="W569" s="402"/>
      <c r="X569" s="402"/>
      <c r="Y569" s="402"/>
      <c r="Z569" s="402"/>
      <c r="AA569" s="405"/>
      <c r="AB569" s="405"/>
      <c r="AC569" s="405"/>
      <c r="AD569" s="405"/>
      <c r="AE569" s="405"/>
      <c r="AF569" s="405"/>
      <c r="AG569" s="405"/>
      <c r="AH569" s="405"/>
      <c r="AI569" s="405"/>
      <c r="AJ569" s="405"/>
      <c r="AK569" s="405"/>
      <c r="AL569" s="405"/>
    </row>
    <row r="570" ht="14.25" customHeight="1">
      <c r="A570" s="497">
        <v>45521.0</v>
      </c>
      <c r="B570" s="349" t="s">
        <v>3918</v>
      </c>
      <c r="C570" s="349" t="s">
        <v>3745</v>
      </c>
      <c r="D570" s="349" t="s">
        <v>54</v>
      </c>
      <c r="E570" s="349" t="s">
        <v>3579</v>
      </c>
      <c r="F570" s="413">
        <v>14376.0</v>
      </c>
      <c r="G570" s="413"/>
      <c r="H570" s="349" t="s">
        <v>3968</v>
      </c>
      <c r="I570" s="736" t="str">
        <f t="shared" si="20"/>
        <v>NOT PAID</v>
      </c>
      <c r="J570" s="402"/>
      <c r="K570" s="402"/>
      <c r="L570" s="402"/>
      <c r="M570" s="402"/>
      <c r="N570" s="402"/>
      <c r="O570" s="402"/>
      <c r="P570" s="402"/>
      <c r="Q570" s="402"/>
      <c r="R570" s="402"/>
      <c r="S570" s="402"/>
      <c r="T570" s="402"/>
      <c r="U570" s="402"/>
      <c r="V570" s="402"/>
      <c r="W570" s="402"/>
      <c r="X570" s="402"/>
      <c r="Y570" s="402"/>
      <c r="Z570" s="402"/>
      <c r="AA570" s="405"/>
      <c r="AB570" s="405"/>
      <c r="AC570" s="405"/>
      <c r="AD570" s="405"/>
      <c r="AE570" s="405"/>
      <c r="AF570" s="405"/>
      <c r="AG570" s="405"/>
      <c r="AH570" s="405"/>
      <c r="AI570" s="405"/>
      <c r="AJ570" s="405"/>
      <c r="AK570" s="405"/>
      <c r="AL570" s="405"/>
    </row>
    <row r="571" ht="14.25" customHeight="1">
      <c r="A571" s="497">
        <v>45521.0</v>
      </c>
      <c r="B571" s="349" t="s">
        <v>3608</v>
      </c>
      <c r="C571" s="349" t="s">
        <v>3705</v>
      </c>
      <c r="D571" s="349" t="s">
        <v>54</v>
      </c>
      <c r="E571" s="349" t="s">
        <v>3579</v>
      </c>
      <c r="F571" s="751">
        <v>99000.0</v>
      </c>
      <c r="G571" s="751"/>
      <c r="H571" s="349" t="s">
        <v>3969</v>
      </c>
      <c r="I571" s="736" t="str">
        <f t="shared" si="20"/>
        <v>NOT PAID</v>
      </c>
      <c r="J571" s="402"/>
      <c r="K571" s="402"/>
      <c r="L571" s="402"/>
      <c r="M571" s="402"/>
      <c r="N571" s="402"/>
      <c r="O571" s="402"/>
      <c r="P571" s="402"/>
      <c r="Q571" s="402"/>
      <c r="R571" s="402"/>
      <c r="S571" s="402"/>
      <c r="T571" s="402"/>
      <c r="U571" s="402"/>
      <c r="V571" s="402"/>
      <c r="W571" s="402"/>
      <c r="X571" s="402"/>
      <c r="Y571" s="402"/>
      <c r="Z571" s="402"/>
      <c r="AA571" s="405"/>
      <c r="AB571" s="405"/>
      <c r="AC571" s="405"/>
      <c r="AD571" s="405"/>
      <c r="AE571" s="405"/>
      <c r="AF571" s="405"/>
      <c r="AG571" s="405"/>
      <c r="AH571" s="405"/>
      <c r="AI571" s="405"/>
      <c r="AJ571" s="405"/>
      <c r="AK571" s="405"/>
      <c r="AL571" s="405"/>
    </row>
    <row r="572" ht="14.25" customHeight="1">
      <c r="A572" s="497">
        <v>45521.0</v>
      </c>
      <c r="B572" s="349" t="s">
        <v>3561</v>
      </c>
      <c r="C572" s="349" t="s">
        <v>3562</v>
      </c>
      <c r="D572" s="349" t="s">
        <v>54</v>
      </c>
      <c r="E572" s="349" t="s">
        <v>3579</v>
      </c>
      <c r="F572" s="413">
        <v>28631.0</v>
      </c>
      <c r="G572" s="413">
        <v>6000.0</v>
      </c>
      <c r="H572" s="349" t="s">
        <v>3966</v>
      </c>
      <c r="I572" s="736" t="str">
        <f t="shared" si="20"/>
        <v>PARTIALLY PAID</v>
      </c>
      <c r="J572" s="402"/>
      <c r="K572" s="402"/>
      <c r="L572" s="402"/>
      <c r="M572" s="402"/>
      <c r="N572" s="402"/>
      <c r="O572" s="402"/>
      <c r="P572" s="402"/>
      <c r="Q572" s="402"/>
      <c r="R572" s="402"/>
      <c r="S572" s="402"/>
      <c r="T572" s="402"/>
      <c r="U572" s="402"/>
      <c r="V572" s="402"/>
      <c r="W572" s="402"/>
      <c r="X572" s="402"/>
      <c r="Y572" s="402"/>
      <c r="Z572" s="402"/>
      <c r="AA572" s="405"/>
      <c r="AB572" s="405"/>
      <c r="AC572" s="405"/>
      <c r="AD572" s="405"/>
      <c r="AE572" s="405"/>
      <c r="AF572" s="405"/>
      <c r="AG572" s="405"/>
      <c r="AH572" s="405"/>
      <c r="AI572" s="405"/>
      <c r="AJ572" s="405"/>
      <c r="AK572" s="405"/>
      <c r="AL572" s="405"/>
    </row>
    <row r="573" ht="14.25" customHeight="1">
      <c r="A573" s="497">
        <v>45521.0</v>
      </c>
      <c r="B573" s="349" t="s">
        <v>3566</v>
      </c>
      <c r="C573" s="349" t="s">
        <v>3567</v>
      </c>
      <c r="D573" s="349" t="s">
        <v>54</v>
      </c>
      <c r="E573" s="349" t="s">
        <v>3579</v>
      </c>
      <c r="F573" s="751">
        <v>44182.0</v>
      </c>
      <c r="G573" s="751"/>
      <c r="H573" s="349" t="s">
        <v>3970</v>
      </c>
      <c r="I573" s="736" t="str">
        <f t="shared" si="20"/>
        <v>NOT PAID</v>
      </c>
      <c r="J573" s="402"/>
      <c r="K573" s="402"/>
      <c r="L573" s="402"/>
      <c r="M573" s="402"/>
      <c r="N573" s="402"/>
      <c r="O573" s="402"/>
      <c r="P573" s="402"/>
      <c r="Q573" s="402"/>
      <c r="R573" s="402"/>
      <c r="S573" s="402"/>
      <c r="T573" s="402"/>
      <c r="U573" s="402"/>
      <c r="V573" s="402"/>
      <c r="W573" s="402"/>
      <c r="X573" s="402"/>
      <c r="Y573" s="402"/>
      <c r="Z573" s="402"/>
      <c r="AA573" s="405"/>
      <c r="AB573" s="405"/>
      <c r="AC573" s="405"/>
      <c r="AD573" s="405"/>
      <c r="AE573" s="405"/>
      <c r="AF573" s="405"/>
      <c r="AG573" s="405"/>
      <c r="AH573" s="405"/>
      <c r="AI573" s="405"/>
      <c r="AJ573" s="405"/>
      <c r="AK573" s="405"/>
      <c r="AL573" s="405"/>
    </row>
    <row r="574" ht="14.25" customHeight="1">
      <c r="A574" s="497">
        <v>45521.0</v>
      </c>
      <c r="B574" s="349" t="s">
        <v>3912</v>
      </c>
      <c r="C574" s="349" t="s">
        <v>3635</v>
      </c>
      <c r="D574" s="349" t="s">
        <v>75</v>
      </c>
      <c r="E574" s="349" t="s">
        <v>3551</v>
      </c>
      <c r="F574" s="413">
        <v>58750.0</v>
      </c>
      <c r="G574" s="413"/>
      <c r="H574" s="349" t="s">
        <v>3946</v>
      </c>
      <c r="I574" s="736" t="str">
        <f t="shared" si="20"/>
        <v>NOT PAID</v>
      </c>
      <c r="J574" s="402"/>
      <c r="K574" s="402"/>
      <c r="L574" s="402"/>
      <c r="M574" s="402"/>
      <c r="N574" s="402"/>
      <c r="O574" s="402"/>
      <c r="P574" s="402"/>
      <c r="Q574" s="402"/>
      <c r="R574" s="402"/>
      <c r="S574" s="402"/>
      <c r="T574" s="402"/>
      <c r="U574" s="402"/>
      <c r="V574" s="402"/>
      <c r="W574" s="402"/>
      <c r="X574" s="402"/>
      <c r="Y574" s="402"/>
      <c r="Z574" s="402"/>
      <c r="AA574" s="405"/>
      <c r="AB574" s="405"/>
      <c r="AC574" s="405"/>
      <c r="AD574" s="405"/>
      <c r="AE574" s="405"/>
      <c r="AF574" s="405"/>
      <c r="AG574" s="405"/>
      <c r="AH574" s="405"/>
      <c r="AI574" s="405"/>
      <c r="AJ574" s="405"/>
      <c r="AK574" s="405"/>
      <c r="AL574" s="405"/>
    </row>
    <row r="575" ht="14.25" customHeight="1">
      <c r="A575" s="497">
        <v>45521.0</v>
      </c>
      <c r="B575" s="349" t="s">
        <v>3588</v>
      </c>
      <c r="C575" s="349" t="s">
        <v>3589</v>
      </c>
      <c r="D575" s="349" t="s">
        <v>54</v>
      </c>
      <c r="E575" s="349" t="s">
        <v>3617</v>
      </c>
      <c r="F575" s="413">
        <v>25608.55</v>
      </c>
      <c r="G575" s="413"/>
      <c r="H575" s="349" t="s">
        <v>3967</v>
      </c>
      <c r="I575" s="736" t="str">
        <f t="shared" si="20"/>
        <v>NOT PAID</v>
      </c>
      <c r="J575" s="402"/>
      <c r="K575" s="402"/>
      <c r="L575" s="402"/>
      <c r="M575" s="402"/>
      <c r="N575" s="402"/>
      <c r="O575" s="402"/>
      <c r="P575" s="402"/>
      <c r="Q575" s="402"/>
      <c r="R575" s="402"/>
      <c r="S575" s="402"/>
      <c r="T575" s="402"/>
      <c r="U575" s="402"/>
      <c r="V575" s="402"/>
      <c r="W575" s="402"/>
      <c r="X575" s="402"/>
      <c r="Y575" s="402"/>
      <c r="Z575" s="402"/>
      <c r="AA575" s="405"/>
      <c r="AB575" s="405"/>
      <c r="AC575" s="405"/>
      <c r="AD575" s="405"/>
      <c r="AE575" s="405"/>
      <c r="AF575" s="405"/>
      <c r="AG575" s="405"/>
      <c r="AH575" s="405"/>
      <c r="AI575" s="405"/>
      <c r="AJ575" s="405"/>
      <c r="AK575" s="405"/>
      <c r="AL575" s="405"/>
    </row>
    <row r="576" ht="14.25" customHeight="1">
      <c r="A576" s="497">
        <v>45521.0</v>
      </c>
      <c r="B576" s="349" t="s">
        <v>3809</v>
      </c>
      <c r="C576" s="349" t="s">
        <v>3956</v>
      </c>
      <c r="D576" s="349" t="s">
        <v>54</v>
      </c>
      <c r="E576" s="349" t="s">
        <v>3551</v>
      </c>
      <c r="F576" s="413">
        <v>3000.0</v>
      </c>
      <c r="G576" s="413"/>
      <c r="H576" s="349" t="s">
        <v>3966</v>
      </c>
      <c r="I576" s="736" t="str">
        <f t="shared" si="20"/>
        <v>NOT PAID</v>
      </c>
      <c r="J576" s="402"/>
      <c r="K576" s="402"/>
      <c r="L576" s="402"/>
      <c r="M576" s="402"/>
      <c r="N576" s="402"/>
      <c r="O576" s="402"/>
      <c r="P576" s="402"/>
      <c r="Q576" s="402"/>
      <c r="R576" s="402"/>
      <c r="S576" s="402"/>
      <c r="T576" s="402"/>
      <c r="U576" s="402"/>
      <c r="V576" s="402"/>
      <c r="W576" s="402"/>
      <c r="X576" s="402"/>
      <c r="Y576" s="402"/>
      <c r="Z576" s="402"/>
      <c r="AA576" s="405"/>
      <c r="AB576" s="405"/>
      <c r="AC576" s="405"/>
      <c r="AD576" s="405"/>
      <c r="AE576" s="405"/>
      <c r="AF576" s="405"/>
      <c r="AG576" s="405"/>
      <c r="AH576" s="405"/>
      <c r="AI576" s="405"/>
      <c r="AJ576" s="405"/>
      <c r="AK576" s="405"/>
      <c r="AL576" s="405"/>
    </row>
    <row r="577" ht="14.25" customHeight="1">
      <c r="A577" s="497">
        <v>45521.0</v>
      </c>
      <c r="B577" s="349" t="s">
        <v>3586</v>
      </c>
      <c r="C577" s="349" t="s">
        <v>3924</v>
      </c>
      <c r="D577" s="349" t="s">
        <v>54</v>
      </c>
      <c r="E577" s="349" t="s">
        <v>3617</v>
      </c>
      <c r="F577" s="413">
        <v>71500.0</v>
      </c>
      <c r="G577" s="413"/>
      <c r="H577" s="349" t="s">
        <v>3967</v>
      </c>
      <c r="I577" s="736" t="str">
        <f t="shared" si="20"/>
        <v>NOT PAID</v>
      </c>
      <c r="J577" s="402"/>
      <c r="K577" s="402"/>
      <c r="L577" s="402"/>
      <c r="M577" s="402"/>
      <c r="N577" s="402"/>
      <c r="O577" s="402"/>
      <c r="P577" s="402"/>
      <c r="Q577" s="402"/>
      <c r="R577" s="402"/>
      <c r="S577" s="402"/>
      <c r="T577" s="402"/>
      <c r="U577" s="402"/>
      <c r="V577" s="402"/>
      <c r="W577" s="402"/>
      <c r="X577" s="402"/>
      <c r="Y577" s="402"/>
      <c r="Z577" s="402"/>
      <c r="AA577" s="405"/>
      <c r="AB577" s="405"/>
      <c r="AC577" s="405"/>
      <c r="AD577" s="405"/>
      <c r="AE577" s="405"/>
      <c r="AF577" s="405"/>
      <c r="AG577" s="405"/>
      <c r="AH577" s="405"/>
      <c r="AI577" s="405"/>
      <c r="AJ577" s="405"/>
      <c r="AK577" s="405"/>
      <c r="AL577" s="405"/>
    </row>
    <row r="578" ht="14.25" customHeight="1">
      <c r="A578" s="497">
        <v>45521.0</v>
      </c>
      <c r="B578" s="607" t="s">
        <v>3718</v>
      </c>
      <c r="C578" s="607" t="s">
        <v>3719</v>
      </c>
      <c r="D578" s="349" t="s">
        <v>54</v>
      </c>
      <c r="E578" s="349" t="s">
        <v>3617</v>
      </c>
      <c r="F578" s="751">
        <v>310121.0</v>
      </c>
      <c r="G578" s="751">
        <v>310121.0</v>
      </c>
      <c r="H578" s="349" t="s">
        <v>3909</v>
      </c>
      <c r="I578" s="736" t="str">
        <f t="shared" si="20"/>
        <v>FULLY PAID</v>
      </c>
      <c r="J578" s="402"/>
      <c r="K578" s="402"/>
      <c r="L578" s="402"/>
      <c r="M578" s="402"/>
      <c r="N578" s="402"/>
      <c r="O578" s="402"/>
      <c r="P578" s="402"/>
      <c r="Q578" s="402"/>
      <c r="R578" s="402"/>
      <c r="S578" s="402"/>
      <c r="T578" s="402"/>
      <c r="U578" s="402"/>
      <c r="V578" s="402"/>
      <c r="W578" s="402"/>
      <c r="X578" s="402"/>
      <c r="Y578" s="402"/>
      <c r="Z578" s="402"/>
      <c r="AA578" s="405"/>
      <c r="AB578" s="405"/>
      <c r="AC578" s="405"/>
      <c r="AD578" s="405"/>
      <c r="AE578" s="405"/>
      <c r="AF578" s="405"/>
      <c r="AG578" s="405"/>
      <c r="AH578" s="405"/>
      <c r="AI578" s="405"/>
      <c r="AJ578" s="405"/>
      <c r="AK578" s="405"/>
      <c r="AL578" s="405"/>
    </row>
    <row r="579" ht="14.25" customHeight="1">
      <c r="A579" s="497">
        <v>45521.0</v>
      </c>
      <c r="B579" s="349" t="s">
        <v>3563</v>
      </c>
      <c r="C579" s="349" t="s">
        <v>3564</v>
      </c>
      <c r="D579" s="349" t="s">
        <v>54</v>
      </c>
      <c r="E579" s="349" t="s">
        <v>3579</v>
      </c>
      <c r="F579" s="413">
        <v>135000.0</v>
      </c>
      <c r="G579" s="413"/>
      <c r="H579" s="349" t="s">
        <v>3971</v>
      </c>
      <c r="I579" s="736" t="str">
        <f t="shared" si="20"/>
        <v>NOT PAID</v>
      </c>
      <c r="J579" s="402"/>
      <c r="K579" s="402"/>
      <c r="L579" s="402"/>
      <c r="M579" s="402"/>
      <c r="N579" s="402"/>
      <c r="O579" s="402"/>
      <c r="P579" s="402"/>
      <c r="Q579" s="402"/>
      <c r="R579" s="402"/>
      <c r="S579" s="402"/>
      <c r="T579" s="402"/>
      <c r="U579" s="402"/>
      <c r="V579" s="402"/>
      <c r="W579" s="402"/>
      <c r="X579" s="402"/>
      <c r="Y579" s="402"/>
      <c r="Z579" s="402"/>
      <c r="AA579" s="405"/>
      <c r="AB579" s="405"/>
      <c r="AC579" s="405"/>
      <c r="AD579" s="405"/>
      <c r="AE579" s="405"/>
      <c r="AF579" s="405"/>
      <c r="AG579" s="405"/>
      <c r="AH579" s="405"/>
      <c r="AI579" s="405"/>
      <c r="AJ579" s="405"/>
      <c r="AK579" s="405"/>
      <c r="AL579" s="405"/>
    </row>
    <row r="580" ht="14.25" customHeight="1">
      <c r="A580" s="497">
        <v>45521.0</v>
      </c>
      <c r="B580" s="349" t="s">
        <v>3781</v>
      </c>
      <c r="C580" s="349" t="s">
        <v>3782</v>
      </c>
      <c r="D580" s="349" t="s">
        <v>54</v>
      </c>
      <c r="E580" s="349" t="s">
        <v>3551</v>
      </c>
      <c r="F580" s="751">
        <v>45000.0</v>
      </c>
      <c r="G580" s="751"/>
      <c r="H580" s="349" t="s">
        <v>3946</v>
      </c>
      <c r="I580" s="736" t="str">
        <f t="shared" si="20"/>
        <v>NOT PAID</v>
      </c>
      <c r="J580" s="402"/>
      <c r="K580" s="402"/>
      <c r="L580" s="402"/>
      <c r="M580" s="402"/>
      <c r="N580" s="402"/>
      <c r="O580" s="402"/>
      <c r="P580" s="402"/>
      <c r="Q580" s="402"/>
      <c r="R580" s="402"/>
      <c r="S580" s="402"/>
      <c r="T580" s="402"/>
      <c r="U580" s="402"/>
      <c r="V580" s="402"/>
      <c r="W580" s="402"/>
      <c r="X580" s="402"/>
      <c r="Y580" s="402"/>
      <c r="Z580" s="402"/>
      <c r="AA580" s="405"/>
      <c r="AB580" s="405"/>
      <c r="AC580" s="405"/>
      <c r="AD580" s="405"/>
      <c r="AE580" s="405"/>
      <c r="AF580" s="405"/>
      <c r="AG580" s="405"/>
      <c r="AH580" s="405"/>
      <c r="AI580" s="405"/>
      <c r="AJ580" s="405"/>
      <c r="AK580" s="405"/>
      <c r="AL580" s="405"/>
    </row>
    <row r="581" ht="14.25" customHeight="1">
      <c r="A581" s="497"/>
      <c r="B581" s="402"/>
      <c r="C581" s="402"/>
      <c r="D581" s="402"/>
      <c r="E581" s="402"/>
      <c r="F581" s="751"/>
      <c r="G581" s="403"/>
      <c r="H581" s="402"/>
      <c r="I581" s="736" t="str">
        <f t="shared" si="20"/>
        <v>FULLY PAID</v>
      </c>
      <c r="J581" s="402"/>
      <c r="K581" s="402"/>
      <c r="L581" s="402"/>
      <c r="M581" s="402"/>
      <c r="N581" s="402"/>
      <c r="O581" s="402"/>
      <c r="P581" s="402"/>
      <c r="Q581" s="402"/>
      <c r="R581" s="402"/>
      <c r="S581" s="402"/>
      <c r="T581" s="402"/>
      <c r="U581" s="402"/>
      <c r="V581" s="402"/>
      <c r="W581" s="402"/>
      <c r="X581" s="402"/>
      <c r="Y581" s="402"/>
      <c r="Z581" s="402"/>
      <c r="AA581" s="405"/>
      <c r="AB581" s="405"/>
      <c r="AC581" s="405"/>
      <c r="AD581" s="405"/>
      <c r="AE581" s="405"/>
      <c r="AF581" s="405"/>
      <c r="AG581" s="405"/>
      <c r="AH581" s="405"/>
      <c r="AI581" s="405"/>
      <c r="AJ581" s="405"/>
      <c r="AK581" s="405"/>
      <c r="AL581" s="405"/>
    </row>
    <row r="582" ht="14.25" customHeight="1">
      <c r="A582" s="402"/>
      <c r="B582" s="402"/>
      <c r="C582" s="402"/>
      <c r="D582" s="402"/>
      <c r="E582" s="402"/>
      <c r="F582" s="586">
        <f t="shared" ref="F582:G582" si="22">SUM(F565:F581)</f>
        <v>1003561.8</v>
      </c>
      <c r="G582" s="586">
        <f t="shared" si="22"/>
        <v>316121</v>
      </c>
      <c r="H582" s="402"/>
      <c r="I582" s="736" t="str">
        <f t="shared" si="20"/>
        <v>PARTIALLY PAID</v>
      </c>
      <c r="J582" s="402"/>
      <c r="K582" s="402"/>
      <c r="L582" s="402"/>
      <c r="M582" s="402"/>
      <c r="N582" s="402"/>
      <c r="O582" s="402"/>
      <c r="P582" s="402"/>
      <c r="Q582" s="402"/>
      <c r="R582" s="402"/>
      <c r="S582" s="402"/>
      <c r="T582" s="402"/>
      <c r="U582" s="402"/>
      <c r="V582" s="402"/>
      <c r="W582" s="402"/>
      <c r="X582" s="402"/>
      <c r="Y582" s="402"/>
      <c r="Z582" s="402"/>
      <c r="AA582" s="405"/>
      <c r="AB582" s="405"/>
      <c r="AC582" s="405"/>
      <c r="AD582" s="405"/>
      <c r="AE582" s="405"/>
      <c r="AF582" s="405"/>
      <c r="AG582" s="405"/>
      <c r="AH582" s="405"/>
      <c r="AI582" s="405"/>
      <c r="AJ582" s="405"/>
      <c r="AK582" s="405"/>
      <c r="AL582" s="405"/>
    </row>
    <row r="583" ht="14.25" customHeight="1">
      <c r="A583" s="584"/>
      <c r="B583" s="584"/>
      <c r="C583" s="584"/>
      <c r="D583" s="584"/>
      <c r="E583" s="584"/>
      <c r="F583" s="584"/>
      <c r="G583" s="586"/>
      <c r="H583" s="424"/>
      <c r="I583" s="736" t="str">
        <f t="shared" si="20"/>
        <v>FULLY PAID</v>
      </c>
      <c r="J583" s="402"/>
      <c r="K583" s="402"/>
      <c r="L583" s="402"/>
      <c r="M583" s="402"/>
      <c r="N583" s="402"/>
      <c r="O583" s="402"/>
      <c r="P583" s="402"/>
      <c r="Q583" s="402"/>
      <c r="R583" s="402"/>
      <c r="S583" s="402"/>
      <c r="T583" s="402"/>
      <c r="U583" s="402"/>
      <c r="V583" s="402"/>
      <c r="W583" s="402"/>
      <c r="X583" s="402"/>
      <c r="Y583" s="402"/>
      <c r="Z583" s="402"/>
      <c r="AA583" s="405"/>
      <c r="AB583" s="405"/>
      <c r="AC583" s="405"/>
      <c r="AD583" s="405"/>
      <c r="AE583" s="405"/>
      <c r="AF583" s="405"/>
      <c r="AG583" s="405"/>
      <c r="AH583" s="405"/>
      <c r="AI583" s="405"/>
      <c r="AJ583" s="405"/>
      <c r="AK583" s="405"/>
      <c r="AL583" s="405"/>
    </row>
    <row r="584" ht="14.25" customHeight="1">
      <c r="A584" s="584" t="s">
        <v>2130</v>
      </c>
      <c r="B584" s="584" t="s">
        <v>39</v>
      </c>
      <c r="C584" s="584" t="s">
        <v>48</v>
      </c>
      <c r="D584" s="584" t="s">
        <v>49</v>
      </c>
      <c r="E584" s="584" t="s">
        <v>50</v>
      </c>
      <c r="F584" s="584" t="s">
        <v>2</v>
      </c>
      <c r="G584" s="586" t="s">
        <v>44</v>
      </c>
      <c r="H584" s="424" t="s">
        <v>45</v>
      </c>
      <c r="I584" s="736" t="str">
        <f t="shared" si="20"/>
        <v>FULLY PAID</v>
      </c>
      <c r="J584" s="402"/>
      <c r="K584" s="402"/>
      <c r="L584" s="402"/>
      <c r="M584" s="402"/>
      <c r="N584" s="402"/>
      <c r="O584" s="402"/>
      <c r="P584" s="402"/>
      <c r="Q584" s="402"/>
      <c r="R584" s="402"/>
      <c r="S584" s="402"/>
      <c r="T584" s="402"/>
      <c r="U584" s="402"/>
      <c r="V584" s="402"/>
      <c r="W584" s="402"/>
      <c r="X584" s="402"/>
      <c r="Y584" s="402"/>
      <c r="Z584" s="402"/>
      <c r="AA584" s="405"/>
      <c r="AB584" s="405"/>
      <c r="AC584" s="405"/>
      <c r="AD584" s="405"/>
      <c r="AE584" s="405"/>
      <c r="AF584" s="405"/>
      <c r="AG584" s="405"/>
      <c r="AH584" s="405"/>
      <c r="AI584" s="405"/>
      <c r="AJ584" s="405"/>
      <c r="AK584" s="405"/>
      <c r="AL584" s="405"/>
    </row>
    <row r="585" ht="14.25" customHeight="1">
      <c r="A585" s="497">
        <v>45523.0</v>
      </c>
      <c r="B585" s="349" t="s">
        <v>3938</v>
      </c>
      <c r="C585" s="349" t="s">
        <v>3688</v>
      </c>
      <c r="D585" s="349" t="s">
        <v>54</v>
      </c>
      <c r="E585" s="349" t="s">
        <v>3617</v>
      </c>
      <c r="F585" s="559">
        <v>40380.65</v>
      </c>
      <c r="G585" s="559"/>
      <c r="H585" s="349" t="s">
        <v>3972</v>
      </c>
      <c r="I585" s="736" t="str">
        <f t="shared" si="20"/>
        <v>NOT PAID</v>
      </c>
      <c r="J585" s="402"/>
      <c r="K585" s="402"/>
      <c r="L585" s="402"/>
      <c r="M585" s="402"/>
      <c r="N585" s="402"/>
      <c r="O585" s="402"/>
      <c r="P585" s="402"/>
      <c r="Q585" s="402"/>
      <c r="R585" s="402"/>
      <c r="S585" s="402"/>
      <c r="T585" s="402"/>
      <c r="U585" s="402"/>
      <c r="V585" s="402"/>
      <c r="W585" s="402"/>
      <c r="X585" s="402"/>
      <c r="Y585" s="402"/>
      <c r="Z585" s="402"/>
      <c r="AA585" s="405"/>
      <c r="AB585" s="405"/>
      <c r="AC585" s="405"/>
      <c r="AD585" s="405"/>
      <c r="AE585" s="405"/>
      <c r="AF585" s="405"/>
      <c r="AG585" s="405"/>
      <c r="AH585" s="405"/>
      <c r="AI585" s="405"/>
      <c r="AJ585" s="405"/>
      <c r="AK585" s="405"/>
      <c r="AL585" s="405"/>
    </row>
    <row r="586" ht="14.25" customHeight="1">
      <c r="A586" s="497">
        <v>45523.0</v>
      </c>
      <c r="B586" s="349" t="s">
        <v>3781</v>
      </c>
      <c r="C586" s="349" t="s">
        <v>3782</v>
      </c>
      <c r="D586" s="349" t="s">
        <v>54</v>
      </c>
      <c r="E586" s="349" t="s">
        <v>3551</v>
      </c>
      <c r="F586" s="751">
        <v>45000.0</v>
      </c>
      <c r="G586" s="751"/>
      <c r="H586" s="349" t="s">
        <v>3973</v>
      </c>
      <c r="I586" s="736" t="str">
        <f t="shared" si="20"/>
        <v>NOT PAID</v>
      </c>
      <c r="J586" s="402"/>
      <c r="K586" s="402"/>
      <c r="L586" s="402"/>
      <c r="M586" s="402"/>
      <c r="N586" s="402"/>
      <c r="O586" s="402"/>
      <c r="P586" s="402"/>
      <c r="Q586" s="402"/>
      <c r="R586" s="402"/>
      <c r="S586" s="402"/>
      <c r="T586" s="402"/>
      <c r="U586" s="402"/>
      <c r="V586" s="402"/>
      <c r="W586" s="402"/>
      <c r="X586" s="402"/>
      <c r="Y586" s="402"/>
      <c r="Z586" s="402"/>
      <c r="AA586" s="405"/>
      <c r="AB586" s="405"/>
      <c r="AC586" s="405"/>
      <c r="AD586" s="405"/>
      <c r="AE586" s="405"/>
      <c r="AF586" s="405"/>
      <c r="AG586" s="405"/>
      <c r="AH586" s="405"/>
      <c r="AI586" s="405"/>
      <c r="AJ586" s="405"/>
      <c r="AK586" s="405"/>
      <c r="AL586" s="405"/>
    </row>
    <row r="587" ht="14.25" customHeight="1">
      <c r="A587" s="497">
        <v>45523.0</v>
      </c>
      <c r="B587" s="349" t="s">
        <v>3974</v>
      </c>
      <c r="C587" s="349" t="s">
        <v>3975</v>
      </c>
      <c r="D587" s="349" t="s">
        <v>54</v>
      </c>
      <c r="E587" s="349" t="s">
        <v>3617</v>
      </c>
      <c r="F587" s="559">
        <v>4360.37</v>
      </c>
      <c r="G587" s="559">
        <v>4000.0</v>
      </c>
      <c r="H587" s="349" t="s">
        <v>3627</v>
      </c>
      <c r="I587" s="736" t="str">
        <f t="shared" si="20"/>
        <v>PARTIALLY PAID</v>
      </c>
      <c r="J587" s="402"/>
      <c r="K587" s="402"/>
      <c r="L587" s="402"/>
      <c r="M587" s="402"/>
      <c r="N587" s="402"/>
      <c r="O587" s="402"/>
      <c r="P587" s="402"/>
      <c r="Q587" s="402"/>
      <c r="R587" s="402"/>
      <c r="S587" s="402"/>
      <c r="T587" s="402"/>
      <c r="U587" s="402"/>
      <c r="V587" s="402"/>
      <c r="W587" s="402"/>
      <c r="X587" s="402"/>
      <c r="Y587" s="402"/>
      <c r="Z587" s="402"/>
      <c r="AA587" s="405"/>
      <c r="AB587" s="405"/>
      <c r="AC587" s="405"/>
      <c r="AD587" s="405"/>
      <c r="AE587" s="405"/>
      <c r="AF587" s="405"/>
      <c r="AG587" s="405"/>
      <c r="AH587" s="405"/>
      <c r="AI587" s="405"/>
      <c r="AJ587" s="405"/>
      <c r="AK587" s="405"/>
      <c r="AL587" s="405"/>
    </row>
    <row r="588" ht="14.25" customHeight="1">
      <c r="A588" s="497">
        <v>45523.0</v>
      </c>
      <c r="B588" s="349" t="s">
        <v>3949</v>
      </c>
      <c r="C588" s="349" t="s">
        <v>3976</v>
      </c>
      <c r="D588" s="349" t="s">
        <v>54</v>
      </c>
      <c r="E588" s="349" t="s">
        <v>3617</v>
      </c>
      <c r="F588" s="559">
        <v>16255.0</v>
      </c>
      <c r="G588" s="559">
        <v>20255.0</v>
      </c>
      <c r="H588" s="349" t="s">
        <v>710</v>
      </c>
      <c r="I588" s="736" t="str">
        <f t="shared" si="20"/>
        <v>FULLY PAID</v>
      </c>
      <c r="J588" s="402"/>
      <c r="K588" s="402"/>
      <c r="L588" s="402"/>
      <c r="M588" s="402"/>
      <c r="N588" s="402"/>
      <c r="O588" s="402"/>
      <c r="P588" s="402"/>
      <c r="Q588" s="402"/>
      <c r="R588" s="402"/>
      <c r="S588" s="402"/>
      <c r="T588" s="402"/>
      <c r="U588" s="402"/>
      <c r="V588" s="402"/>
      <c r="W588" s="402"/>
      <c r="X588" s="402"/>
      <c r="Y588" s="402"/>
      <c r="Z588" s="402"/>
      <c r="AA588" s="405"/>
      <c r="AB588" s="405"/>
      <c r="AC588" s="405"/>
      <c r="AD588" s="405"/>
      <c r="AE588" s="405"/>
      <c r="AF588" s="405"/>
      <c r="AG588" s="405"/>
      <c r="AH588" s="405"/>
      <c r="AI588" s="405"/>
      <c r="AJ588" s="405"/>
      <c r="AK588" s="405"/>
      <c r="AL588" s="405"/>
    </row>
    <row r="589" ht="14.25" customHeight="1">
      <c r="A589" s="497">
        <v>45523.0</v>
      </c>
      <c r="B589" s="349" t="s">
        <v>3912</v>
      </c>
      <c r="C589" s="349" t="s">
        <v>3635</v>
      </c>
      <c r="D589" s="349" t="s">
        <v>75</v>
      </c>
      <c r="E589" s="349" t="s">
        <v>3551</v>
      </c>
      <c r="F589" s="413">
        <v>58750.0</v>
      </c>
      <c r="G589" s="413"/>
      <c r="H589" s="349" t="s">
        <v>3973</v>
      </c>
      <c r="I589" s="736" t="str">
        <f t="shared" si="20"/>
        <v>NOT PAID</v>
      </c>
      <c r="J589" s="402"/>
      <c r="K589" s="402"/>
      <c r="L589" s="402"/>
      <c r="M589" s="402"/>
      <c r="N589" s="402"/>
      <c r="O589" s="402"/>
      <c r="P589" s="402"/>
      <c r="Q589" s="402"/>
      <c r="R589" s="402"/>
      <c r="S589" s="402"/>
      <c r="T589" s="402"/>
      <c r="U589" s="402"/>
      <c r="V589" s="402"/>
      <c r="W589" s="402"/>
      <c r="X589" s="402"/>
      <c r="Y589" s="402"/>
      <c r="Z589" s="402"/>
      <c r="AA589" s="405"/>
      <c r="AB589" s="405"/>
      <c r="AC589" s="405"/>
      <c r="AD589" s="405"/>
      <c r="AE589" s="405"/>
      <c r="AF589" s="405"/>
      <c r="AG589" s="405"/>
      <c r="AH589" s="405"/>
      <c r="AI589" s="405"/>
      <c r="AJ589" s="405"/>
      <c r="AK589" s="405"/>
      <c r="AL589" s="405"/>
    </row>
    <row r="590" ht="14.25" customHeight="1">
      <c r="A590" s="497">
        <v>45523.0</v>
      </c>
      <c r="B590" s="349" t="s">
        <v>3649</v>
      </c>
      <c r="C590" s="349" t="s">
        <v>3650</v>
      </c>
      <c r="D590" s="349" t="s">
        <v>54</v>
      </c>
      <c r="E590" s="349" t="s">
        <v>3579</v>
      </c>
      <c r="F590" s="559">
        <v>56310.52</v>
      </c>
      <c r="G590" s="559"/>
      <c r="H590" s="349" t="s">
        <v>3977</v>
      </c>
      <c r="I590" s="736" t="str">
        <f t="shared" si="20"/>
        <v>NOT PAID</v>
      </c>
      <c r="J590" s="402"/>
      <c r="K590" s="402"/>
      <c r="L590" s="402"/>
      <c r="M590" s="402"/>
      <c r="N590" s="402"/>
      <c r="O590" s="402"/>
      <c r="P590" s="402"/>
      <c r="Q590" s="402"/>
      <c r="R590" s="402"/>
      <c r="S590" s="402"/>
      <c r="T590" s="402"/>
      <c r="U590" s="402"/>
      <c r="V590" s="402"/>
      <c r="W590" s="402"/>
      <c r="X590" s="402"/>
      <c r="Y590" s="402"/>
      <c r="Z590" s="402"/>
      <c r="AA590" s="405"/>
      <c r="AB590" s="405"/>
      <c r="AC590" s="405"/>
      <c r="AD590" s="405"/>
      <c r="AE590" s="405"/>
      <c r="AF590" s="405"/>
      <c r="AG590" s="405"/>
      <c r="AH590" s="405"/>
      <c r="AI590" s="405"/>
      <c r="AJ590" s="405"/>
      <c r="AK590" s="405"/>
      <c r="AL590" s="405"/>
    </row>
    <row r="591" ht="14.25" customHeight="1">
      <c r="A591" s="497">
        <v>45523.0</v>
      </c>
      <c r="B591" s="349" t="s">
        <v>3718</v>
      </c>
      <c r="C591" s="349" t="s">
        <v>3719</v>
      </c>
      <c r="D591" s="349" t="s">
        <v>54</v>
      </c>
      <c r="E591" s="349" t="s">
        <v>3579</v>
      </c>
      <c r="F591" s="559">
        <v>215883.69</v>
      </c>
      <c r="G591" s="559">
        <v>310121.0</v>
      </c>
      <c r="H591" s="402" t="str">
        <f t="shared" ref="H591:H592" si="23">H600</f>
        <v>Field visit on 20.8.24 for full arrears collection</v>
      </c>
      <c r="I591" s="736" t="str">
        <f t="shared" si="20"/>
        <v>FULLY PAID</v>
      </c>
      <c r="J591" s="402"/>
      <c r="K591" s="402"/>
      <c r="L591" s="402"/>
      <c r="M591" s="402"/>
      <c r="N591" s="402"/>
      <c r="O591" s="402"/>
      <c r="P591" s="402"/>
      <c r="Q591" s="402"/>
      <c r="R591" s="402"/>
      <c r="S591" s="402"/>
      <c r="T591" s="402"/>
      <c r="U591" s="402"/>
      <c r="V591" s="402"/>
      <c r="W591" s="402"/>
      <c r="X591" s="402"/>
      <c r="Y591" s="402"/>
      <c r="Z591" s="402"/>
      <c r="AA591" s="405"/>
      <c r="AB591" s="405"/>
      <c r="AC591" s="405"/>
      <c r="AD591" s="405"/>
      <c r="AE591" s="405"/>
      <c r="AF591" s="405"/>
      <c r="AG591" s="405"/>
      <c r="AH591" s="405"/>
      <c r="AI591" s="405"/>
      <c r="AJ591" s="405"/>
      <c r="AK591" s="405"/>
      <c r="AL591" s="405"/>
    </row>
    <row r="592" ht="14.25" customHeight="1">
      <c r="A592" s="497">
        <v>45523.0</v>
      </c>
      <c r="B592" s="349" t="s">
        <v>3561</v>
      </c>
      <c r="C592" s="349" t="s">
        <v>3562</v>
      </c>
      <c r="D592" s="349" t="s">
        <v>54</v>
      </c>
      <c r="E592" s="349" t="s">
        <v>3551</v>
      </c>
      <c r="F592" s="559">
        <v>129518.68</v>
      </c>
      <c r="G592" s="559"/>
      <c r="H592" s="402" t="str">
        <f t="shared" si="23"/>
        <v>Paid</v>
      </c>
      <c r="I592" s="736" t="str">
        <f t="shared" si="20"/>
        <v>NOT PAID</v>
      </c>
      <c r="J592" s="402"/>
      <c r="K592" s="402"/>
      <c r="L592" s="402"/>
      <c r="M592" s="402"/>
      <c r="N592" s="402"/>
      <c r="O592" s="402"/>
      <c r="P592" s="402"/>
      <c r="Q592" s="402"/>
      <c r="R592" s="402"/>
      <c r="S592" s="402"/>
      <c r="T592" s="402"/>
      <c r="U592" s="402"/>
      <c r="V592" s="402"/>
      <c r="W592" s="402"/>
      <c r="X592" s="402"/>
      <c r="Y592" s="402"/>
      <c r="Z592" s="402"/>
      <c r="AA592" s="405"/>
      <c r="AB592" s="405"/>
      <c r="AC592" s="405"/>
      <c r="AD592" s="405"/>
      <c r="AE592" s="405"/>
      <c r="AF592" s="405"/>
      <c r="AG592" s="405"/>
      <c r="AH592" s="405"/>
      <c r="AI592" s="405"/>
      <c r="AJ592" s="405"/>
      <c r="AK592" s="405"/>
      <c r="AL592" s="405"/>
    </row>
    <row r="593" ht="14.25" customHeight="1">
      <c r="A593" s="497">
        <v>45523.0</v>
      </c>
      <c r="B593" s="349" t="s">
        <v>3978</v>
      </c>
      <c r="C593" s="349" t="s">
        <v>3979</v>
      </c>
      <c r="D593" s="349" t="s">
        <v>54</v>
      </c>
      <c r="E593" s="349" t="s">
        <v>3551</v>
      </c>
      <c r="F593" s="559">
        <v>56441.0</v>
      </c>
      <c r="G593" s="559"/>
      <c r="H593" s="349" t="s">
        <v>3972</v>
      </c>
      <c r="I593" s="736" t="str">
        <f t="shared" si="20"/>
        <v>NOT PAID</v>
      </c>
      <c r="J593" s="402"/>
      <c r="K593" s="402"/>
      <c r="L593" s="402"/>
      <c r="M593" s="402"/>
      <c r="N593" s="402"/>
      <c r="O593" s="402"/>
      <c r="P593" s="402"/>
      <c r="Q593" s="402"/>
      <c r="R593" s="402"/>
      <c r="S593" s="402"/>
      <c r="T593" s="402"/>
      <c r="U593" s="402"/>
      <c r="V593" s="402"/>
      <c r="W593" s="402"/>
      <c r="X593" s="402"/>
      <c r="Y593" s="402"/>
      <c r="Z593" s="402"/>
      <c r="AA593" s="405"/>
      <c r="AB593" s="405"/>
      <c r="AC593" s="405"/>
      <c r="AD593" s="405"/>
      <c r="AE593" s="405"/>
      <c r="AF593" s="405"/>
      <c r="AG593" s="405"/>
      <c r="AH593" s="405"/>
      <c r="AI593" s="405"/>
      <c r="AJ593" s="405"/>
      <c r="AK593" s="405"/>
      <c r="AL593" s="405"/>
    </row>
    <row r="594" ht="14.25" customHeight="1">
      <c r="A594" s="497">
        <v>45523.0</v>
      </c>
      <c r="B594" s="349" t="s">
        <v>3980</v>
      </c>
      <c r="C594" s="349" t="s">
        <v>3981</v>
      </c>
      <c r="D594" s="349" t="s">
        <v>54</v>
      </c>
      <c r="E594" s="349" t="s">
        <v>3551</v>
      </c>
      <c r="F594" s="559">
        <v>26258.5</v>
      </c>
      <c r="G594" s="559">
        <v>20000.0</v>
      </c>
      <c r="H594" s="349" t="s">
        <v>710</v>
      </c>
      <c r="I594" s="736" t="str">
        <f t="shared" si="20"/>
        <v>PARTIALLY PAID</v>
      </c>
      <c r="J594" s="402"/>
      <c r="K594" s="402"/>
      <c r="L594" s="402"/>
      <c r="M594" s="402"/>
      <c r="N594" s="402"/>
      <c r="O594" s="402"/>
      <c r="P594" s="402"/>
      <c r="Q594" s="402"/>
      <c r="R594" s="402"/>
      <c r="S594" s="402"/>
      <c r="T594" s="402"/>
      <c r="U594" s="402"/>
      <c r="V594" s="402"/>
      <c r="W594" s="402"/>
      <c r="X594" s="402"/>
      <c r="Y594" s="402"/>
      <c r="Z594" s="402"/>
      <c r="AA594" s="405"/>
      <c r="AB594" s="405"/>
      <c r="AC594" s="405"/>
      <c r="AD594" s="405"/>
      <c r="AE594" s="405"/>
      <c r="AF594" s="405"/>
      <c r="AG594" s="405"/>
      <c r="AH594" s="405"/>
      <c r="AI594" s="405"/>
      <c r="AJ594" s="405"/>
      <c r="AK594" s="405"/>
      <c r="AL594" s="405"/>
    </row>
    <row r="595" ht="14.25" customHeight="1">
      <c r="A595" s="497">
        <v>45523.0</v>
      </c>
      <c r="B595" s="349" t="s">
        <v>3982</v>
      </c>
      <c r="C595" s="349" t="s">
        <v>3983</v>
      </c>
      <c r="D595" s="349" t="s">
        <v>54</v>
      </c>
      <c r="E595" s="349" t="s">
        <v>3551</v>
      </c>
      <c r="F595" s="559">
        <v>68000.0</v>
      </c>
      <c r="G595" s="559"/>
      <c r="H595" s="349" t="s">
        <v>3972</v>
      </c>
      <c r="I595" s="736" t="str">
        <f t="shared" si="20"/>
        <v>NOT PAID</v>
      </c>
      <c r="J595" s="402"/>
      <c r="K595" s="402"/>
      <c r="L595" s="402"/>
      <c r="M595" s="402"/>
      <c r="N595" s="402"/>
      <c r="O595" s="402"/>
      <c r="P595" s="402"/>
      <c r="Q595" s="402"/>
      <c r="R595" s="402"/>
      <c r="S595" s="402"/>
      <c r="T595" s="402"/>
      <c r="U595" s="402"/>
      <c r="V595" s="402"/>
      <c r="W595" s="402"/>
      <c r="X595" s="402"/>
      <c r="Y595" s="402"/>
      <c r="Z595" s="402"/>
      <c r="AA595" s="405"/>
      <c r="AB595" s="405"/>
      <c r="AC595" s="405"/>
      <c r="AD595" s="405"/>
      <c r="AE595" s="405"/>
      <c r="AF595" s="405"/>
      <c r="AG595" s="405"/>
      <c r="AH595" s="405"/>
      <c r="AI595" s="405"/>
      <c r="AJ595" s="405"/>
      <c r="AK595" s="405"/>
      <c r="AL595" s="405"/>
    </row>
    <row r="596" ht="14.25" customHeight="1">
      <c r="A596" s="497">
        <v>45523.0</v>
      </c>
      <c r="B596" s="349" t="s">
        <v>3984</v>
      </c>
      <c r="C596" s="349" t="s">
        <v>3985</v>
      </c>
      <c r="D596" s="349" t="s">
        <v>75</v>
      </c>
      <c r="E596" s="349" t="s">
        <v>3617</v>
      </c>
      <c r="F596" s="559">
        <v>23000.0</v>
      </c>
      <c r="G596" s="559">
        <v>23000.0</v>
      </c>
      <c r="H596" s="349" t="s">
        <v>710</v>
      </c>
      <c r="I596" s="736" t="str">
        <f t="shared" si="20"/>
        <v>FULLY PAID</v>
      </c>
      <c r="J596" s="402"/>
      <c r="K596" s="402"/>
      <c r="L596" s="402"/>
      <c r="M596" s="402"/>
      <c r="N596" s="402"/>
      <c r="O596" s="402"/>
      <c r="P596" s="402"/>
      <c r="Q596" s="402"/>
      <c r="R596" s="402"/>
      <c r="S596" s="402"/>
      <c r="T596" s="402"/>
      <c r="U596" s="402"/>
      <c r="V596" s="402"/>
      <c r="W596" s="402"/>
      <c r="X596" s="402"/>
      <c r="Y596" s="402"/>
      <c r="Z596" s="402"/>
      <c r="AA596" s="405"/>
      <c r="AB596" s="405"/>
      <c r="AC596" s="405"/>
      <c r="AD596" s="405"/>
      <c r="AE596" s="405"/>
      <c r="AF596" s="405"/>
      <c r="AG596" s="405"/>
      <c r="AH596" s="405"/>
      <c r="AI596" s="405"/>
      <c r="AJ596" s="405"/>
      <c r="AK596" s="405"/>
      <c r="AL596" s="405"/>
    </row>
    <row r="597" ht="14.25" customHeight="1">
      <c r="A597" s="497">
        <v>45523.0</v>
      </c>
      <c r="B597" s="349" t="s">
        <v>3986</v>
      </c>
      <c r="C597" s="349" t="s">
        <v>3987</v>
      </c>
      <c r="D597" s="349" t="s">
        <v>54</v>
      </c>
      <c r="E597" s="349" t="s">
        <v>3551</v>
      </c>
      <c r="F597" s="413">
        <v>43022.0</v>
      </c>
      <c r="G597" s="413">
        <v>43022.0</v>
      </c>
      <c r="H597" s="349" t="s">
        <v>710</v>
      </c>
      <c r="I597" s="736" t="str">
        <f t="shared" si="20"/>
        <v>FULLY PAID</v>
      </c>
      <c r="J597" s="402"/>
      <c r="K597" s="402"/>
      <c r="L597" s="402"/>
      <c r="M597" s="402"/>
      <c r="N597" s="402"/>
      <c r="O597" s="402"/>
      <c r="P597" s="402"/>
      <c r="Q597" s="402"/>
      <c r="R597" s="402"/>
      <c r="S597" s="402"/>
      <c r="T597" s="402"/>
      <c r="U597" s="402"/>
      <c r="V597" s="402"/>
      <c r="W597" s="402"/>
      <c r="X597" s="402"/>
      <c r="Y597" s="402"/>
      <c r="Z597" s="402"/>
      <c r="AA597" s="405"/>
      <c r="AB597" s="405"/>
      <c r="AC597" s="405"/>
      <c r="AD597" s="405"/>
      <c r="AE597" s="405"/>
      <c r="AF597" s="405"/>
      <c r="AG597" s="405"/>
      <c r="AH597" s="405"/>
      <c r="AI597" s="405"/>
      <c r="AJ597" s="405"/>
      <c r="AK597" s="405"/>
      <c r="AL597" s="405"/>
    </row>
    <row r="598" ht="14.25" customHeight="1">
      <c r="A598" s="497">
        <v>45523.0</v>
      </c>
      <c r="B598" s="349" t="s">
        <v>3947</v>
      </c>
      <c r="C598" s="349" t="s">
        <v>3948</v>
      </c>
      <c r="D598" s="349" t="s">
        <v>54</v>
      </c>
      <c r="E598" s="349" t="s">
        <v>3551</v>
      </c>
      <c r="F598" s="413">
        <v>25608.55</v>
      </c>
      <c r="G598" s="413">
        <v>33000.0</v>
      </c>
      <c r="H598" s="349" t="s">
        <v>710</v>
      </c>
      <c r="I598" s="736" t="str">
        <f t="shared" si="20"/>
        <v>FULLY PAID</v>
      </c>
      <c r="J598" s="402"/>
      <c r="K598" s="402"/>
      <c r="L598" s="402"/>
      <c r="M598" s="402"/>
      <c r="N598" s="402"/>
      <c r="O598" s="402"/>
      <c r="P598" s="402"/>
      <c r="Q598" s="402"/>
      <c r="R598" s="402"/>
      <c r="S598" s="402"/>
      <c r="T598" s="402"/>
      <c r="U598" s="402"/>
      <c r="V598" s="402"/>
      <c r="W598" s="402"/>
      <c r="X598" s="402"/>
      <c r="Y598" s="402"/>
      <c r="Z598" s="402"/>
      <c r="AA598" s="405"/>
      <c r="AB598" s="405"/>
      <c r="AC598" s="405"/>
      <c r="AD598" s="405"/>
      <c r="AE598" s="405"/>
      <c r="AF598" s="405"/>
      <c r="AG598" s="405"/>
      <c r="AH598" s="405"/>
      <c r="AI598" s="405"/>
      <c r="AJ598" s="405"/>
      <c r="AK598" s="405"/>
      <c r="AL598" s="405"/>
    </row>
    <row r="599" ht="14.25" customHeight="1">
      <c r="A599" s="497">
        <v>45523.0</v>
      </c>
      <c r="B599" s="349" t="s">
        <v>3988</v>
      </c>
      <c r="C599" s="349" t="s">
        <v>3835</v>
      </c>
      <c r="D599" s="349" t="s">
        <v>54</v>
      </c>
      <c r="E599" s="349" t="s">
        <v>3579</v>
      </c>
      <c r="F599" s="413">
        <v>237786.74</v>
      </c>
      <c r="G599" s="413"/>
      <c r="H599" s="349" t="s">
        <v>3989</v>
      </c>
      <c r="I599" s="736" t="str">
        <f t="shared" si="20"/>
        <v>NOT PAID</v>
      </c>
      <c r="J599" s="402"/>
      <c r="K599" s="402"/>
      <c r="L599" s="402"/>
      <c r="M599" s="402"/>
      <c r="N599" s="402"/>
      <c r="O599" s="402"/>
      <c r="P599" s="402"/>
      <c r="Q599" s="402"/>
      <c r="R599" s="402"/>
      <c r="S599" s="402"/>
      <c r="T599" s="402"/>
      <c r="U599" s="402"/>
      <c r="V599" s="402"/>
      <c r="W599" s="402"/>
      <c r="X599" s="402"/>
      <c r="Y599" s="402"/>
      <c r="Z599" s="402"/>
      <c r="AA599" s="405"/>
      <c r="AB599" s="405"/>
      <c r="AC599" s="405"/>
      <c r="AD599" s="405"/>
      <c r="AE599" s="405"/>
      <c r="AF599" s="405"/>
      <c r="AG599" s="405"/>
      <c r="AH599" s="405"/>
      <c r="AI599" s="405"/>
      <c r="AJ599" s="405"/>
      <c r="AK599" s="405"/>
      <c r="AL599" s="405"/>
    </row>
    <row r="600" ht="14.25" customHeight="1">
      <c r="A600" s="497">
        <v>45523.0</v>
      </c>
      <c r="B600" s="349" t="s">
        <v>3918</v>
      </c>
      <c r="C600" s="349" t="s">
        <v>3745</v>
      </c>
      <c r="D600" s="349" t="s">
        <v>54</v>
      </c>
      <c r="E600" s="349" t="s">
        <v>3579</v>
      </c>
      <c r="F600" s="413">
        <v>14376.0</v>
      </c>
      <c r="G600" s="413"/>
      <c r="H600" s="349" t="s">
        <v>3973</v>
      </c>
      <c r="I600" s="736" t="str">
        <f t="shared" si="20"/>
        <v>NOT PAID</v>
      </c>
      <c r="J600" s="402"/>
      <c r="K600" s="402"/>
      <c r="L600" s="402"/>
      <c r="M600" s="402"/>
      <c r="N600" s="402"/>
      <c r="O600" s="402"/>
      <c r="P600" s="402"/>
      <c r="Q600" s="402"/>
      <c r="R600" s="402"/>
      <c r="S600" s="402"/>
      <c r="T600" s="402"/>
      <c r="U600" s="402"/>
      <c r="V600" s="402"/>
      <c r="W600" s="402"/>
      <c r="X600" s="402"/>
      <c r="Y600" s="402"/>
      <c r="Z600" s="402"/>
      <c r="AA600" s="405"/>
      <c r="AB600" s="405"/>
      <c r="AC600" s="405"/>
      <c r="AD600" s="405"/>
      <c r="AE600" s="405"/>
      <c r="AF600" s="405"/>
      <c r="AG600" s="405"/>
      <c r="AH600" s="405"/>
      <c r="AI600" s="405"/>
      <c r="AJ600" s="405"/>
      <c r="AK600" s="405"/>
      <c r="AL600" s="405"/>
    </row>
    <row r="601" ht="14.25" customHeight="1">
      <c r="A601" s="497">
        <v>45523.0</v>
      </c>
      <c r="B601" s="349" t="s">
        <v>3990</v>
      </c>
      <c r="C601" s="349" t="s">
        <v>3976</v>
      </c>
      <c r="D601" s="349" t="s">
        <v>54</v>
      </c>
      <c r="E601" s="349" t="s">
        <v>3551</v>
      </c>
      <c r="F601" s="413">
        <v>4081.9</v>
      </c>
      <c r="G601" s="413">
        <v>4200.0</v>
      </c>
      <c r="H601" s="349" t="s">
        <v>710</v>
      </c>
      <c r="I601" s="736" t="str">
        <f t="shared" si="20"/>
        <v>FULLY PAID</v>
      </c>
      <c r="J601" s="402"/>
      <c r="K601" s="402"/>
      <c r="L601" s="402"/>
      <c r="M601" s="402"/>
      <c r="N601" s="402"/>
      <c r="O601" s="402"/>
      <c r="P601" s="402"/>
      <c r="Q601" s="402"/>
      <c r="R601" s="402"/>
      <c r="S601" s="402"/>
      <c r="T601" s="402"/>
      <c r="U601" s="402"/>
      <c r="V601" s="402"/>
      <c r="W601" s="402"/>
      <c r="X601" s="402"/>
      <c r="Y601" s="402"/>
      <c r="Z601" s="402"/>
      <c r="AA601" s="405"/>
      <c r="AB601" s="405"/>
      <c r="AC601" s="405"/>
      <c r="AD601" s="405"/>
      <c r="AE601" s="405"/>
      <c r="AF601" s="405"/>
      <c r="AG601" s="405"/>
      <c r="AH601" s="405"/>
      <c r="AI601" s="405"/>
      <c r="AJ601" s="405"/>
      <c r="AK601" s="405"/>
      <c r="AL601" s="405"/>
    </row>
    <row r="602" ht="14.25" customHeight="1">
      <c r="A602" s="497">
        <v>45523.0</v>
      </c>
      <c r="B602" s="349" t="s">
        <v>3735</v>
      </c>
      <c r="C602" s="349" t="s">
        <v>3669</v>
      </c>
      <c r="D602" s="349" t="s">
        <v>54</v>
      </c>
      <c r="E602" s="349" t="s">
        <v>3551</v>
      </c>
      <c r="F602" s="413">
        <v>5333.0</v>
      </c>
      <c r="G602" s="413">
        <v>5500.0</v>
      </c>
      <c r="H602" s="349" t="s">
        <v>149</v>
      </c>
      <c r="I602" s="736" t="str">
        <f t="shared" si="20"/>
        <v>FULLY PAID</v>
      </c>
      <c r="J602" s="402"/>
      <c r="K602" s="402"/>
      <c r="L602" s="402"/>
      <c r="M602" s="402"/>
      <c r="N602" s="402"/>
      <c r="O602" s="402"/>
      <c r="P602" s="402"/>
      <c r="Q602" s="402"/>
      <c r="R602" s="402"/>
      <c r="S602" s="402"/>
      <c r="T602" s="402"/>
      <c r="U602" s="402"/>
      <c r="V602" s="402"/>
      <c r="W602" s="402"/>
      <c r="X602" s="402"/>
      <c r="Y602" s="402"/>
      <c r="Z602" s="402"/>
      <c r="AA602" s="405"/>
      <c r="AB602" s="405"/>
      <c r="AC602" s="405"/>
      <c r="AD602" s="405"/>
      <c r="AE602" s="405"/>
      <c r="AF602" s="405"/>
      <c r="AG602" s="405"/>
      <c r="AH602" s="405"/>
      <c r="AI602" s="405"/>
      <c r="AJ602" s="405"/>
      <c r="AK602" s="405"/>
      <c r="AL602" s="405"/>
    </row>
    <row r="603" ht="14.25" customHeight="1">
      <c r="A603" s="497">
        <v>45523.0</v>
      </c>
      <c r="B603" s="349" t="s">
        <v>3991</v>
      </c>
      <c r="C603" s="349" t="s">
        <v>3992</v>
      </c>
      <c r="D603" s="349" t="s">
        <v>346</v>
      </c>
      <c r="E603" s="349" t="s">
        <v>3617</v>
      </c>
      <c r="F603" s="413">
        <v>7200.0</v>
      </c>
      <c r="G603" s="413">
        <v>7200.0</v>
      </c>
      <c r="H603" s="349" t="s">
        <v>710</v>
      </c>
      <c r="I603" s="736" t="str">
        <f t="shared" si="20"/>
        <v>FULLY PAID</v>
      </c>
      <c r="J603" s="402"/>
      <c r="K603" s="402"/>
      <c r="L603" s="402"/>
      <c r="M603" s="402"/>
      <c r="N603" s="402"/>
      <c r="O603" s="402"/>
      <c r="P603" s="402"/>
      <c r="Q603" s="402"/>
      <c r="R603" s="402"/>
      <c r="S603" s="402"/>
      <c r="T603" s="402"/>
      <c r="U603" s="402"/>
      <c r="V603" s="402"/>
      <c r="W603" s="402"/>
      <c r="X603" s="402"/>
      <c r="Y603" s="402"/>
      <c r="Z603" s="402"/>
      <c r="AA603" s="405"/>
      <c r="AB603" s="405"/>
      <c r="AC603" s="405"/>
      <c r="AD603" s="405"/>
      <c r="AE603" s="405"/>
      <c r="AF603" s="405"/>
      <c r="AG603" s="405"/>
      <c r="AH603" s="405"/>
      <c r="AI603" s="405"/>
      <c r="AJ603" s="405"/>
      <c r="AK603" s="405"/>
      <c r="AL603" s="405"/>
    </row>
    <row r="604" ht="14.25" customHeight="1">
      <c r="A604" s="497">
        <v>45523.0</v>
      </c>
      <c r="B604" s="349" t="s">
        <v>3554</v>
      </c>
      <c r="C604" s="349" t="s">
        <v>3939</v>
      </c>
      <c r="D604" s="349" t="s">
        <v>54</v>
      </c>
      <c r="E604" s="349" t="s">
        <v>3551</v>
      </c>
      <c r="F604" s="751">
        <v>101606.0</v>
      </c>
      <c r="G604" s="751"/>
      <c r="H604" s="349" t="s">
        <v>3973</v>
      </c>
      <c r="I604" s="736" t="str">
        <f t="shared" si="20"/>
        <v>NOT PAID</v>
      </c>
      <c r="J604" s="402"/>
      <c r="K604" s="402"/>
      <c r="L604" s="402"/>
      <c r="M604" s="402"/>
      <c r="N604" s="402"/>
      <c r="O604" s="402"/>
      <c r="P604" s="402"/>
      <c r="Q604" s="402"/>
      <c r="R604" s="402"/>
      <c r="S604" s="402"/>
      <c r="T604" s="402"/>
      <c r="U604" s="402"/>
      <c r="V604" s="402"/>
      <c r="W604" s="402"/>
      <c r="X604" s="402"/>
      <c r="Y604" s="402"/>
      <c r="Z604" s="402"/>
      <c r="AA604" s="405"/>
      <c r="AB604" s="405"/>
      <c r="AC604" s="405"/>
      <c r="AD604" s="405"/>
      <c r="AE604" s="405"/>
      <c r="AF604" s="405"/>
      <c r="AG604" s="405"/>
      <c r="AH604" s="405"/>
      <c r="AI604" s="405"/>
      <c r="AJ604" s="405"/>
      <c r="AK604" s="405"/>
      <c r="AL604" s="405"/>
    </row>
    <row r="605" ht="14.25" customHeight="1">
      <c r="A605" s="497">
        <v>45523.0</v>
      </c>
      <c r="B605" s="349" t="s">
        <v>3552</v>
      </c>
      <c r="C605" s="349" t="s">
        <v>3553</v>
      </c>
      <c r="D605" s="349" t="s">
        <v>54</v>
      </c>
      <c r="E605" s="349" t="s">
        <v>3551</v>
      </c>
      <c r="F605" s="751">
        <v>36316.0</v>
      </c>
      <c r="G605" s="751"/>
      <c r="H605" s="349" t="s">
        <v>3973</v>
      </c>
      <c r="I605" s="736" t="str">
        <f t="shared" si="20"/>
        <v>NOT PAID</v>
      </c>
      <c r="J605" s="402"/>
      <c r="K605" s="402"/>
      <c r="L605" s="402"/>
      <c r="M605" s="402"/>
      <c r="N605" s="402"/>
      <c r="O605" s="402"/>
      <c r="P605" s="402"/>
      <c r="Q605" s="402"/>
      <c r="R605" s="402"/>
      <c r="S605" s="402"/>
      <c r="T605" s="402"/>
      <c r="U605" s="402"/>
      <c r="V605" s="402"/>
      <c r="W605" s="402"/>
      <c r="X605" s="402"/>
      <c r="Y605" s="402"/>
      <c r="Z605" s="402"/>
      <c r="AA605" s="405"/>
      <c r="AB605" s="405"/>
      <c r="AC605" s="405"/>
      <c r="AD605" s="405"/>
      <c r="AE605" s="405"/>
      <c r="AF605" s="405"/>
      <c r="AG605" s="405"/>
      <c r="AH605" s="405"/>
      <c r="AI605" s="405"/>
      <c r="AJ605" s="405"/>
      <c r="AK605" s="405"/>
      <c r="AL605" s="405"/>
    </row>
    <row r="606" ht="14.25" customHeight="1">
      <c r="A606" s="497">
        <v>45523.0</v>
      </c>
      <c r="B606" s="349" t="s">
        <v>3558</v>
      </c>
      <c r="C606" s="349" t="s">
        <v>3559</v>
      </c>
      <c r="D606" s="349" t="s">
        <v>54</v>
      </c>
      <c r="E606" s="349" t="s">
        <v>3551</v>
      </c>
      <c r="F606" s="751">
        <v>19573.0</v>
      </c>
      <c r="G606" s="751">
        <v>10000.0</v>
      </c>
      <c r="H606" s="349" t="s">
        <v>3993</v>
      </c>
      <c r="I606" s="736" t="str">
        <f t="shared" si="20"/>
        <v>PARTIALLY PAID</v>
      </c>
      <c r="J606" s="402"/>
      <c r="K606" s="402"/>
      <c r="L606" s="402"/>
      <c r="M606" s="402"/>
      <c r="N606" s="402"/>
      <c r="O606" s="402"/>
      <c r="P606" s="402"/>
      <c r="Q606" s="402"/>
      <c r="R606" s="402"/>
      <c r="S606" s="402"/>
      <c r="T606" s="402"/>
      <c r="U606" s="402"/>
      <c r="V606" s="402"/>
      <c r="W606" s="402"/>
      <c r="X606" s="402"/>
      <c r="Y606" s="402"/>
      <c r="Z606" s="402"/>
      <c r="AA606" s="405"/>
      <c r="AB606" s="405"/>
      <c r="AC606" s="405"/>
      <c r="AD606" s="405"/>
      <c r="AE606" s="405"/>
      <c r="AF606" s="405"/>
      <c r="AG606" s="405"/>
      <c r="AH606" s="405"/>
      <c r="AI606" s="405"/>
      <c r="AJ606" s="405"/>
      <c r="AK606" s="405"/>
      <c r="AL606" s="405"/>
    </row>
    <row r="607" ht="14.25" customHeight="1">
      <c r="A607" s="402"/>
      <c r="B607" s="402"/>
      <c r="C607" s="402"/>
      <c r="D607" s="402"/>
      <c r="E607" s="402"/>
      <c r="F607" s="402"/>
      <c r="G607" s="403"/>
      <c r="H607" s="402"/>
      <c r="I607" s="736" t="str">
        <f t="shared" si="20"/>
        <v>FULLY PAID</v>
      </c>
      <c r="J607" s="402"/>
      <c r="K607" s="402"/>
      <c r="L607" s="402"/>
      <c r="M607" s="402"/>
      <c r="N607" s="402"/>
      <c r="O607" s="402"/>
      <c r="P607" s="402"/>
      <c r="Q607" s="402"/>
      <c r="R607" s="402"/>
      <c r="S607" s="402"/>
      <c r="T607" s="402"/>
      <c r="U607" s="402"/>
      <c r="V607" s="402"/>
      <c r="W607" s="402"/>
      <c r="X607" s="402"/>
      <c r="Y607" s="402"/>
      <c r="Z607" s="402"/>
      <c r="AA607" s="405"/>
      <c r="AB607" s="405"/>
      <c r="AC607" s="405"/>
      <c r="AD607" s="405"/>
      <c r="AE607" s="405"/>
      <c r="AF607" s="405"/>
      <c r="AG607" s="405"/>
      <c r="AH607" s="405"/>
      <c r="AI607" s="405"/>
      <c r="AJ607" s="405"/>
      <c r="AK607" s="405"/>
      <c r="AL607" s="405"/>
    </row>
    <row r="608" ht="14.25" customHeight="1">
      <c r="A608" s="402"/>
      <c r="B608" s="402"/>
      <c r="C608" s="402"/>
      <c r="D608" s="402"/>
      <c r="E608" s="402"/>
      <c r="F608" s="402"/>
      <c r="G608" s="403"/>
      <c r="H608" s="402"/>
      <c r="I608" s="736" t="str">
        <f t="shared" si="20"/>
        <v>FULLY PAID</v>
      </c>
      <c r="J608" s="402"/>
      <c r="K608" s="402"/>
      <c r="L608" s="402"/>
      <c r="M608" s="402"/>
      <c r="N608" s="402"/>
      <c r="O608" s="402"/>
      <c r="P608" s="402"/>
      <c r="Q608" s="402"/>
      <c r="R608" s="402"/>
      <c r="S608" s="402"/>
      <c r="T608" s="402"/>
      <c r="U608" s="402"/>
      <c r="V608" s="402"/>
      <c r="W608" s="402"/>
      <c r="X608" s="402"/>
      <c r="Y608" s="402"/>
      <c r="Z608" s="402"/>
      <c r="AA608" s="405"/>
      <c r="AB608" s="405"/>
      <c r="AC608" s="405"/>
      <c r="AD608" s="405"/>
      <c r="AE608" s="405"/>
      <c r="AF608" s="405"/>
      <c r="AG608" s="405"/>
      <c r="AH608" s="405"/>
      <c r="AI608" s="405"/>
      <c r="AJ608" s="405"/>
      <c r="AK608" s="405"/>
      <c r="AL608" s="405"/>
    </row>
    <row r="609" ht="14.25" customHeight="1">
      <c r="A609" s="497">
        <v>45523.0</v>
      </c>
      <c r="B609" s="599" t="s">
        <v>3608</v>
      </c>
      <c r="C609" s="599" t="s">
        <v>3637</v>
      </c>
      <c r="D609" s="599" t="s">
        <v>59</v>
      </c>
      <c r="E609" s="599" t="s">
        <v>3579</v>
      </c>
      <c r="F609" s="768">
        <v>500000.0</v>
      </c>
      <c r="G609" s="768"/>
      <c r="H609" s="599" t="s">
        <v>3994</v>
      </c>
      <c r="I609" s="736" t="str">
        <f t="shared" si="20"/>
        <v>NOT PAID</v>
      </c>
      <c r="J609" s="402"/>
      <c r="K609" s="402"/>
      <c r="L609" s="402"/>
      <c r="M609" s="402"/>
      <c r="N609" s="402"/>
      <c r="O609" s="402"/>
      <c r="P609" s="402"/>
      <c r="Q609" s="402"/>
      <c r="R609" s="402"/>
      <c r="S609" s="402"/>
      <c r="T609" s="402"/>
      <c r="U609" s="402"/>
      <c r="V609" s="402"/>
      <c r="W609" s="402"/>
      <c r="X609" s="402"/>
      <c r="Y609" s="402"/>
      <c r="Z609" s="402"/>
      <c r="AA609" s="405"/>
      <c r="AB609" s="405"/>
      <c r="AC609" s="405"/>
      <c r="AD609" s="405"/>
      <c r="AE609" s="405"/>
      <c r="AF609" s="405"/>
      <c r="AG609" s="405"/>
      <c r="AH609" s="405"/>
      <c r="AI609" s="405"/>
      <c r="AJ609" s="405"/>
      <c r="AK609" s="405"/>
      <c r="AL609" s="405"/>
    </row>
    <row r="610" ht="14.25" customHeight="1">
      <c r="A610" s="497">
        <v>45523.0</v>
      </c>
      <c r="B610" s="569" t="s">
        <v>3663</v>
      </c>
      <c r="C610" s="569" t="s">
        <v>3705</v>
      </c>
      <c r="D610" s="599" t="s">
        <v>54</v>
      </c>
      <c r="E610" s="569" t="s">
        <v>3579</v>
      </c>
      <c r="F610" s="770">
        <v>164847.0</v>
      </c>
      <c r="G610" s="770"/>
      <c r="H610" s="349" t="s">
        <v>3989</v>
      </c>
      <c r="I610" s="736" t="str">
        <f t="shared" si="20"/>
        <v>NOT PAID</v>
      </c>
      <c r="J610" s="402"/>
      <c r="K610" s="402"/>
      <c r="L610" s="402"/>
      <c r="M610" s="402"/>
      <c r="N610" s="402"/>
      <c r="O610" s="402"/>
      <c r="P610" s="402"/>
      <c r="Q610" s="402"/>
      <c r="R610" s="402"/>
      <c r="S610" s="402"/>
      <c r="T610" s="402"/>
      <c r="U610" s="402"/>
      <c r="V610" s="402"/>
      <c r="W610" s="402"/>
      <c r="X610" s="402"/>
      <c r="Y610" s="402"/>
      <c r="Z610" s="402"/>
      <c r="AA610" s="405"/>
      <c r="AB610" s="405"/>
      <c r="AC610" s="405"/>
      <c r="AD610" s="405"/>
      <c r="AE610" s="405"/>
      <c r="AF610" s="405"/>
      <c r="AG610" s="405"/>
      <c r="AH610" s="405"/>
      <c r="AI610" s="405"/>
      <c r="AJ610" s="405"/>
      <c r="AK610" s="405"/>
      <c r="AL610" s="405"/>
    </row>
    <row r="611" ht="14.25" customHeight="1">
      <c r="A611" s="497">
        <v>45523.0</v>
      </c>
      <c r="B611" s="569" t="s">
        <v>3566</v>
      </c>
      <c r="C611" s="569" t="s">
        <v>3995</v>
      </c>
      <c r="D611" s="599" t="s">
        <v>54</v>
      </c>
      <c r="E611" s="569" t="s">
        <v>3579</v>
      </c>
      <c r="F611" s="770">
        <v>40000.0</v>
      </c>
      <c r="G611" s="770"/>
      <c r="H611" s="349" t="s">
        <v>3970</v>
      </c>
      <c r="I611" s="736" t="str">
        <f t="shared" si="20"/>
        <v>NOT PAID</v>
      </c>
      <c r="J611" s="402"/>
      <c r="K611" s="402"/>
      <c r="L611" s="402"/>
      <c r="M611" s="402"/>
      <c r="N611" s="402"/>
      <c r="O611" s="402"/>
      <c r="P611" s="402"/>
      <c r="Q611" s="402"/>
      <c r="R611" s="402"/>
      <c r="S611" s="402"/>
      <c r="T611" s="402"/>
      <c r="U611" s="402"/>
      <c r="V611" s="402"/>
      <c r="W611" s="402"/>
      <c r="X611" s="402"/>
      <c r="Y611" s="402"/>
      <c r="Z611" s="402"/>
      <c r="AA611" s="405"/>
      <c r="AB611" s="405"/>
      <c r="AC611" s="405"/>
      <c r="AD611" s="405"/>
      <c r="AE611" s="405"/>
      <c r="AF611" s="405"/>
      <c r="AG611" s="405"/>
      <c r="AH611" s="405"/>
      <c r="AI611" s="405"/>
      <c r="AJ611" s="405"/>
      <c r="AK611" s="405"/>
      <c r="AL611" s="405"/>
    </row>
    <row r="612" ht="14.25" customHeight="1">
      <c r="A612" s="402"/>
      <c r="B612" s="402"/>
      <c r="C612" s="402"/>
      <c r="D612" s="402"/>
      <c r="E612" s="402"/>
      <c r="F612" s="559"/>
      <c r="G612" s="403"/>
      <c r="H612" s="402"/>
      <c r="I612" s="736" t="str">
        <f t="shared" si="20"/>
        <v>FULLY PAID</v>
      </c>
      <c r="J612" s="402"/>
      <c r="K612" s="402"/>
      <c r="L612" s="402"/>
      <c r="M612" s="402"/>
      <c r="N612" s="402"/>
      <c r="O612" s="402"/>
      <c r="P612" s="402"/>
      <c r="Q612" s="402"/>
      <c r="R612" s="402"/>
      <c r="S612" s="402"/>
      <c r="T612" s="402"/>
      <c r="U612" s="402"/>
      <c r="V612" s="402"/>
      <c r="W612" s="402"/>
      <c r="X612" s="402"/>
      <c r="Y612" s="402"/>
      <c r="Z612" s="402"/>
      <c r="AA612" s="405"/>
      <c r="AB612" s="405"/>
      <c r="AC612" s="405"/>
      <c r="AD612" s="405"/>
      <c r="AE612" s="405"/>
      <c r="AF612" s="405"/>
      <c r="AG612" s="405"/>
      <c r="AH612" s="405"/>
      <c r="AI612" s="405"/>
      <c r="AJ612" s="405"/>
      <c r="AK612" s="405"/>
      <c r="AL612" s="405"/>
    </row>
    <row r="613" ht="14.25" customHeight="1">
      <c r="A613" s="402"/>
      <c r="B613" s="402"/>
      <c r="C613" s="402"/>
      <c r="D613" s="402"/>
      <c r="E613" s="402"/>
      <c r="F613" s="402"/>
      <c r="G613" s="403"/>
      <c r="H613" s="402"/>
      <c r="I613" s="736" t="str">
        <f t="shared" si="20"/>
        <v>FULLY PAID</v>
      </c>
      <c r="J613" s="402"/>
      <c r="K613" s="402"/>
      <c r="L613" s="402"/>
      <c r="M613" s="402"/>
      <c r="N613" s="402"/>
      <c r="O613" s="402"/>
      <c r="P613" s="402"/>
      <c r="Q613" s="402"/>
      <c r="R613" s="402"/>
      <c r="S613" s="402"/>
      <c r="T613" s="402"/>
      <c r="U613" s="402"/>
      <c r="V613" s="402"/>
      <c r="W613" s="402"/>
      <c r="X613" s="402"/>
      <c r="Y613" s="402"/>
      <c r="Z613" s="402"/>
      <c r="AA613" s="405"/>
      <c r="AB613" s="405"/>
      <c r="AC613" s="405"/>
      <c r="AD613" s="405"/>
      <c r="AE613" s="405"/>
      <c r="AF613" s="405"/>
      <c r="AG613" s="405"/>
      <c r="AH613" s="405"/>
      <c r="AI613" s="405"/>
      <c r="AJ613" s="405"/>
      <c r="AK613" s="405"/>
      <c r="AL613" s="405"/>
    </row>
    <row r="614" ht="14.25" customHeight="1">
      <c r="A614" s="402"/>
      <c r="B614" s="402"/>
      <c r="C614" s="402"/>
      <c r="D614" s="402"/>
      <c r="E614" s="402"/>
      <c r="F614" s="586">
        <f t="shared" ref="F614:G614" si="24">SUM(F585:F613)</f>
        <v>1939908.6</v>
      </c>
      <c r="G614" s="586">
        <f t="shared" si="24"/>
        <v>480298</v>
      </c>
      <c r="H614" s="402"/>
      <c r="I614" s="736" t="str">
        <f t="shared" si="20"/>
        <v>PARTIALLY PAID</v>
      </c>
      <c r="J614" s="402"/>
      <c r="K614" s="402"/>
      <c r="L614" s="402"/>
      <c r="M614" s="402"/>
      <c r="N614" s="402"/>
      <c r="O614" s="402"/>
      <c r="P614" s="402"/>
      <c r="Q614" s="402"/>
      <c r="R614" s="402"/>
      <c r="S614" s="402"/>
      <c r="T614" s="402"/>
      <c r="U614" s="402"/>
      <c r="V614" s="402"/>
      <c r="W614" s="402"/>
      <c r="X614" s="402"/>
      <c r="Y614" s="402"/>
      <c r="Z614" s="402"/>
      <c r="AA614" s="405"/>
      <c r="AB614" s="405"/>
      <c r="AC614" s="405"/>
      <c r="AD614" s="405"/>
      <c r="AE614" s="405"/>
      <c r="AF614" s="405"/>
      <c r="AG614" s="405"/>
      <c r="AH614" s="405"/>
      <c r="AI614" s="405"/>
      <c r="AJ614" s="405"/>
      <c r="AK614" s="405"/>
      <c r="AL614" s="405"/>
    </row>
    <row r="615" ht="14.25" customHeight="1">
      <c r="A615" s="402"/>
      <c r="B615" s="402"/>
      <c r="C615" s="402"/>
      <c r="D615" s="402"/>
      <c r="E615" s="402"/>
      <c r="F615" s="402"/>
      <c r="G615" s="403"/>
      <c r="H615" s="402"/>
      <c r="I615" s="736" t="str">
        <f t="shared" si="20"/>
        <v>FULLY PAID</v>
      </c>
      <c r="J615" s="402"/>
      <c r="K615" s="402"/>
      <c r="L615" s="402"/>
      <c r="M615" s="402"/>
      <c r="N615" s="402"/>
      <c r="O615" s="402"/>
      <c r="P615" s="402"/>
      <c r="Q615" s="402"/>
      <c r="R615" s="402"/>
      <c r="S615" s="402"/>
      <c r="T615" s="402"/>
      <c r="U615" s="402"/>
      <c r="V615" s="402"/>
      <c r="W615" s="402"/>
      <c r="X615" s="402"/>
      <c r="Y615" s="402"/>
      <c r="Z615" s="402"/>
      <c r="AA615" s="405"/>
      <c r="AB615" s="405"/>
      <c r="AC615" s="405"/>
      <c r="AD615" s="405"/>
      <c r="AE615" s="405"/>
      <c r="AF615" s="405"/>
      <c r="AG615" s="405"/>
      <c r="AH615" s="405"/>
      <c r="AI615" s="405"/>
      <c r="AJ615" s="405"/>
      <c r="AK615" s="405"/>
      <c r="AL615" s="405"/>
    </row>
    <row r="616" ht="14.25" customHeight="1">
      <c r="A616" s="402"/>
      <c r="B616" s="402"/>
      <c r="C616" s="402"/>
      <c r="D616" s="402"/>
      <c r="E616" s="402"/>
      <c r="F616" s="402"/>
      <c r="G616" s="403"/>
      <c r="H616" s="402"/>
      <c r="I616" s="736" t="str">
        <f t="shared" si="20"/>
        <v>FULLY PAID</v>
      </c>
      <c r="J616" s="402"/>
      <c r="K616" s="402"/>
      <c r="L616" s="402"/>
      <c r="M616" s="402"/>
      <c r="N616" s="402"/>
      <c r="O616" s="402"/>
      <c r="P616" s="402"/>
      <c r="Q616" s="402"/>
      <c r="R616" s="402"/>
      <c r="S616" s="402"/>
      <c r="T616" s="402"/>
      <c r="U616" s="402"/>
      <c r="V616" s="402"/>
      <c r="W616" s="402"/>
      <c r="X616" s="402"/>
      <c r="Y616" s="402"/>
      <c r="Z616" s="402"/>
      <c r="AA616" s="405"/>
      <c r="AB616" s="405"/>
      <c r="AC616" s="405"/>
      <c r="AD616" s="405"/>
      <c r="AE616" s="405"/>
      <c r="AF616" s="405"/>
      <c r="AG616" s="405"/>
      <c r="AH616" s="405"/>
      <c r="AI616" s="405"/>
      <c r="AJ616" s="405"/>
      <c r="AK616" s="405"/>
      <c r="AL616" s="405"/>
    </row>
    <row r="617" ht="14.25" customHeight="1">
      <c r="A617" s="584" t="s">
        <v>2130</v>
      </c>
      <c r="B617" s="584" t="s">
        <v>39</v>
      </c>
      <c r="C617" s="584" t="s">
        <v>48</v>
      </c>
      <c r="D617" s="584" t="s">
        <v>49</v>
      </c>
      <c r="E617" s="584" t="s">
        <v>50</v>
      </c>
      <c r="F617" s="584" t="s">
        <v>2</v>
      </c>
      <c r="G617" s="586" t="s">
        <v>44</v>
      </c>
      <c r="H617" s="424" t="s">
        <v>45</v>
      </c>
      <c r="I617" s="736" t="str">
        <f t="shared" si="20"/>
        <v>FULLY PAID</v>
      </c>
      <c r="J617" s="402"/>
      <c r="K617" s="402"/>
      <c r="L617" s="402"/>
      <c r="M617" s="402"/>
      <c r="N617" s="402"/>
      <c r="O617" s="402"/>
      <c r="P617" s="402"/>
      <c r="Q617" s="402"/>
      <c r="R617" s="402"/>
      <c r="S617" s="402"/>
      <c r="T617" s="402"/>
      <c r="U617" s="402"/>
      <c r="V617" s="402"/>
      <c r="W617" s="402"/>
      <c r="X617" s="402"/>
      <c r="Y617" s="402"/>
      <c r="Z617" s="402"/>
      <c r="AA617" s="405"/>
      <c r="AB617" s="405"/>
      <c r="AC617" s="405"/>
      <c r="AD617" s="405"/>
      <c r="AE617" s="405"/>
      <c r="AF617" s="405"/>
      <c r="AG617" s="405"/>
      <c r="AH617" s="405"/>
      <c r="AI617" s="405"/>
      <c r="AJ617" s="405"/>
      <c r="AK617" s="405"/>
      <c r="AL617" s="405"/>
    </row>
    <row r="618" ht="14.25" customHeight="1">
      <c r="A618" s="497">
        <v>45524.0</v>
      </c>
      <c r="B618" s="349" t="s">
        <v>3988</v>
      </c>
      <c r="C618" s="349" t="s">
        <v>3835</v>
      </c>
      <c r="D618" s="349" t="s">
        <v>54</v>
      </c>
      <c r="E618" s="349" t="s">
        <v>3579</v>
      </c>
      <c r="F618" s="413">
        <v>237786.74</v>
      </c>
      <c r="G618" s="413"/>
      <c r="H618" s="349" t="s">
        <v>3996</v>
      </c>
      <c r="I618" s="736" t="str">
        <f t="shared" si="20"/>
        <v>NOT PAID</v>
      </c>
      <c r="J618" s="402"/>
      <c r="K618" s="402"/>
      <c r="L618" s="402"/>
      <c r="M618" s="402"/>
      <c r="N618" s="402"/>
      <c r="O618" s="402"/>
      <c r="P618" s="402"/>
      <c r="Q618" s="402"/>
      <c r="R618" s="402"/>
      <c r="S618" s="402"/>
      <c r="T618" s="402"/>
      <c r="U618" s="402"/>
      <c r="V618" s="402"/>
      <c r="W618" s="402"/>
      <c r="X618" s="402"/>
      <c r="Y618" s="402"/>
      <c r="Z618" s="402"/>
      <c r="AA618" s="405"/>
      <c r="AB618" s="405"/>
      <c r="AC618" s="405"/>
      <c r="AD618" s="405"/>
      <c r="AE618" s="405"/>
      <c r="AF618" s="405"/>
      <c r="AG618" s="405"/>
      <c r="AH618" s="405"/>
      <c r="AI618" s="405"/>
      <c r="AJ618" s="405"/>
      <c r="AK618" s="405"/>
      <c r="AL618" s="405"/>
    </row>
    <row r="619" ht="14.25" customHeight="1">
      <c r="A619" s="497">
        <v>45524.0</v>
      </c>
      <c r="B619" s="349" t="s">
        <v>3953</v>
      </c>
      <c r="C619" s="349" t="s">
        <v>3954</v>
      </c>
      <c r="D619" s="349" t="s">
        <v>54</v>
      </c>
      <c r="E619" s="349" t="s">
        <v>273</v>
      </c>
      <c r="F619" s="751">
        <v>101606.0</v>
      </c>
      <c r="G619" s="751">
        <v>1668000.0</v>
      </c>
      <c r="H619" s="349" t="s">
        <v>710</v>
      </c>
      <c r="I619" s="736" t="str">
        <f t="shared" si="20"/>
        <v>FULLY PAID</v>
      </c>
      <c r="J619" s="402"/>
      <c r="K619" s="402"/>
      <c r="L619" s="402"/>
      <c r="M619" s="402"/>
      <c r="N619" s="402"/>
      <c r="O619" s="402"/>
      <c r="P619" s="402"/>
      <c r="Q619" s="402"/>
      <c r="R619" s="402"/>
      <c r="S619" s="402"/>
      <c r="T619" s="402"/>
      <c r="U619" s="402"/>
      <c r="V619" s="402"/>
      <c r="W619" s="402"/>
      <c r="X619" s="402"/>
      <c r="Y619" s="402"/>
      <c r="Z619" s="402"/>
      <c r="AA619" s="405"/>
      <c r="AB619" s="405"/>
      <c r="AC619" s="405"/>
      <c r="AD619" s="405"/>
      <c r="AE619" s="405"/>
      <c r="AF619" s="405"/>
      <c r="AG619" s="405"/>
      <c r="AH619" s="405"/>
      <c r="AI619" s="405"/>
      <c r="AJ619" s="405"/>
      <c r="AK619" s="405"/>
      <c r="AL619" s="405"/>
    </row>
    <row r="620" ht="14.25" customHeight="1">
      <c r="A620" s="497">
        <v>45524.0</v>
      </c>
      <c r="B620" s="349" t="s">
        <v>3997</v>
      </c>
      <c r="C620" s="349" t="s">
        <v>3998</v>
      </c>
      <c r="D620" s="349" t="s">
        <v>54</v>
      </c>
      <c r="E620" s="349" t="s">
        <v>3617</v>
      </c>
      <c r="F620" s="413">
        <v>37052.0</v>
      </c>
      <c r="G620" s="413">
        <v>37052.0</v>
      </c>
      <c r="H620" s="349" t="s">
        <v>710</v>
      </c>
      <c r="I620" s="736" t="str">
        <f t="shared" si="20"/>
        <v>FULLY PAID</v>
      </c>
      <c r="J620" s="402"/>
      <c r="K620" s="402"/>
      <c r="L620" s="402"/>
      <c r="M620" s="402"/>
      <c r="N620" s="402"/>
      <c r="O620" s="402"/>
      <c r="P620" s="402"/>
      <c r="Q620" s="402"/>
      <c r="R620" s="402"/>
      <c r="S620" s="402"/>
      <c r="T620" s="402"/>
      <c r="U620" s="402"/>
      <c r="V620" s="402"/>
      <c r="W620" s="402"/>
      <c r="X620" s="402"/>
      <c r="Y620" s="402"/>
      <c r="Z620" s="402"/>
      <c r="AA620" s="405"/>
      <c r="AB620" s="405"/>
      <c r="AC620" s="405"/>
      <c r="AD620" s="405"/>
      <c r="AE620" s="405"/>
      <c r="AF620" s="405"/>
      <c r="AG620" s="405"/>
      <c r="AH620" s="405"/>
      <c r="AI620" s="405"/>
      <c r="AJ620" s="405"/>
      <c r="AK620" s="405"/>
      <c r="AL620" s="405"/>
    </row>
    <row r="621" ht="14.25" customHeight="1">
      <c r="A621" s="497">
        <v>45524.0</v>
      </c>
      <c r="B621" s="349" t="s">
        <v>3999</v>
      </c>
      <c r="C621" s="349" t="s">
        <v>3998</v>
      </c>
      <c r="D621" s="349" t="s">
        <v>346</v>
      </c>
      <c r="E621" s="349" t="s">
        <v>3617</v>
      </c>
      <c r="F621" s="413">
        <v>6270.0</v>
      </c>
      <c r="G621" s="413">
        <v>6270.0</v>
      </c>
      <c r="H621" s="349" t="s">
        <v>710</v>
      </c>
      <c r="I621" s="736" t="str">
        <f t="shared" si="20"/>
        <v>FULLY PAID</v>
      </c>
      <c r="J621" s="402"/>
      <c r="K621" s="402"/>
      <c r="L621" s="402"/>
      <c r="M621" s="402"/>
      <c r="N621" s="402"/>
      <c r="O621" s="402"/>
      <c r="P621" s="402"/>
      <c r="Q621" s="402"/>
      <c r="R621" s="402"/>
      <c r="S621" s="402"/>
      <c r="T621" s="402"/>
      <c r="U621" s="402"/>
      <c r="V621" s="402"/>
      <c r="W621" s="402"/>
      <c r="X621" s="402"/>
      <c r="Y621" s="402"/>
      <c r="Z621" s="402"/>
      <c r="AA621" s="405"/>
      <c r="AB621" s="405"/>
      <c r="AC621" s="405"/>
      <c r="AD621" s="405"/>
      <c r="AE621" s="405"/>
      <c r="AF621" s="405"/>
      <c r="AG621" s="405"/>
      <c r="AH621" s="405"/>
      <c r="AI621" s="405"/>
      <c r="AJ621" s="405"/>
      <c r="AK621" s="405"/>
      <c r="AL621" s="405"/>
    </row>
    <row r="622" ht="14.25" customHeight="1">
      <c r="A622" s="497">
        <v>45524.0</v>
      </c>
      <c r="B622" s="349" t="s">
        <v>3558</v>
      </c>
      <c r="C622" s="349" t="s">
        <v>3559</v>
      </c>
      <c r="D622" s="349" t="s">
        <v>54</v>
      </c>
      <c r="E622" s="349" t="s">
        <v>3551</v>
      </c>
      <c r="F622" s="751">
        <v>9573.0</v>
      </c>
      <c r="G622" s="751">
        <v>21000.0</v>
      </c>
      <c r="H622" s="349" t="s">
        <v>710</v>
      </c>
      <c r="I622" s="736" t="str">
        <f t="shared" si="20"/>
        <v>FULLY PAID</v>
      </c>
      <c r="J622" s="402"/>
      <c r="K622" s="402"/>
      <c r="L622" s="402"/>
      <c r="M622" s="402"/>
      <c r="N622" s="402"/>
      <c r="O622" s="402"/>
      <c r="P622" s="402"/>
      <c r="Q622" s="402"/>
      <c r="R622" s="402"/>
      <c r="S622" s="402"/>
      <c r="T622" s="402"/>
      <c r="U622" s="402"/>
      <c r="V622" s="402"/>
      <c r="W622" s="402"/>
      <c r="X622" s="402"/>
      <c r="Y622" s="402"/>
      <c r="Z622" s="402"/>
      <c r="AA622" s="405"/>
      <c r="AB622" s="405"/>
      <c r="AC622" s="405"/>
      <c r="AD622" s="405"/>
      <c r="AE622" s="405"/>
      <c r="AF622" s="405"/>
      <c r="AG622" s="405"/>
      <c r="AH622" s="405"/>
      <c r="AI622" s="405"/>
      <c r="AJ622" s="405"/>
      <c r="AK622" s="405"/>
      <c r="AL622" s="405"/>
    </row>
    <row r="623" ht="14.25" customHeight="1">
      <c r="A623" s="497">
        <v>45524.0</v>
      </c>
      <c r="B623" s="349" t="s">
        <v>3552</v>
      </c>
      <c r="C623" s="349" t="s">
        <v>3553</v>
      </c>
      <c r="D623" s="349" t="s">
        <v>54</v>
      </c>
      <c r="E623" s="349" t="s">
        <v>3551</v>
      </c>
      <c r="F623" s="751">
        <v>36316.0</v>
      </c>
      <c r="G623" s="751"/>
      <c r="H623" s="349" t="s">
        <v>4000</v>
      </c>
      <c r="I623" s="736" t="str">
        <f t="shared" si="20"/>
        <v>NOT PAID</v>
      </c>
      <c r="J623" s="402"/>
      <c r="K623" s="402"/>
      <c r="L623" s="402"/>
      <c r="M623" s="402"/>
      <c r="N623" s="402"/>
      <c r="O623" s="402"/>
      <c r="P623" s="402"/>
      <c r="Q623" s="402"/>
      <c r="R623" s="402"/>
      <c r="S623" s="402"/>
      <c r="T623" s="402"/>
      <c r="U623" s="402"/>
      <c r="V623" s="402"/>
      <c r="W623" s="402"/>
      <c r="X623" s="402"/>
      <c r="Y623" s="402"/>
      <c r="Z623" s="402"/>
      <c r="AA623" s="405"/>
      <c r="AB623" s="405"/>
      <c r="AC623" s="405"/>
      <c r="AD623" s="405"/>
      <c r="AE623" s="405"/>
      <c r="AF623" s="405"/>
      <c r="AG623" s="405"/>
      <c r="AH623" s="405"/>
      <c r="AI623" s="405"/>
      <c r="AJ623" s="405"/>
      <c r="AK623" s="405"/>
      <c r="AL623" s="405"/>
    </row>
    <row r="624" ht="14.25" customHeight="1">
      <c r="A624" s="497">
        <v>45524.0</v>
      </c>
      <c r="B624" s="349" t="s">
        <v>3918</v>
      </c>
      <c r="C624" s="349" t="s">
        <v>3745</v>
      </c>
      <c r="D624" s="349" t="s">
        <v>54</v>
      </c>
      <c r="E624" s="349" t="s">
        <v>3556</v>
      </c>
      <c r="F624" s="413">
        <v>14376.0</v>
      </c>
      <c r="G624" s="413"/>
      <c r="H624" s="349" t="s">
        <v>4000</v>
      </c>
      <c r="I624" s="736" t="str">
        <f t="shared" si="20"/>
        <v>NOT PAID</v>
      </c>
      <c r="J624" s="402"/>
      <c r="K624" s="402"/>
      <c r="L624" s="402"/>
      <c r="M624" s="402"/>
      <c r="N624" s="402"/>
      <c r="O624" s="402"/>
      <c r="P624" s="402"/>
      <c r="Q624" s="402"/>
      <c r="R624" s="402"/>
      <c r="S624" s="402"/>
      <c r="T624" s="402"/>
      <c r="U624" s="402"/>
      <c r="V624" s="402"/>
      <c r="W624" s="402"/>
      <c r="X624" s="402"/>
      <c r="Y624" s="402"/>
      <c r="Z624" s="402"/>
      <c r="AA624" s="405"/>
      <c r="AB624" s="405"/>
      <c r="AC624" s="405"/>
      <c r="AD624" s="405"/>
      <c r="AE624" s="405"/>
      <c r="AF624" s="405"/>
      <c r="AG624" s="405"/>
      <c r="AH624" s="405"/>
      <c r="AI624" s="405"/>
      <c r="AJ624" s="405"/>
      <c r="AK624" s="405"/>
      <c r="AL624" s="405"/>
    </row>
    <row r="625" ht="14.25" customHeight="1">
      <c r="A625" s="497">
        <v>45524.0</v>
      </c>
      <c r="B625" s="349" t="s">
        <v>3982</v>
      </c>
      <c r="C625" s="349" t="s">
        <v>3983</v>
      </c>
      <c r="D625" s="349" t="s">
        <v>54</v>
      </c>
      <c r="E625" s="349" t="s">
        <v>3617</v>
      </c>
      <c r="F625" s="559">
        <v>68000.0</v>
      </c>
      <c r="G625" s="559"/>
      <c r="H625" s="349" t="s">
        <v>4001</v>
      </c>
      <c r="I625" s="736" t="str">
        <f t="shared" si="20"/>
        <v>NOT PAID</v>
      </c>
      <c r="J625" s="402"/>
      <c r="K625" s="402"/>
      <c r="L625" s="402"/>
      <c r="M625" s="402"/>
      <c r="N625" s="402"/>
      <c r="O625" s="402"/>
      <c r="P625" s="402"/>
      <c r="Q625" s="402"/>
      <c r="R625" s="402"/>
      <c r="S625" s="402"/>
      <c r="T625" s="402"/>
      <c r="U625" s="402"/>
      <c r="V625" s="402"/>
      <c r="W625" s="402"/>
      <c r="X625" s="402"/>
      <c r="Y625" s="402"/>
      <c r="Z625" s="402"/>
      <c r="AA625" s="405"/>
      <c r="AB625" s="405"/>
      <c r="AC625" s="405"/>
      <c r="AD625" s="405"/>
      <c r="AE625" s="405"/>
      <c r="AF625" s="405"/>
      <c r="AG625" s="405"/>
      <c r="AH625" s="405"/>
      <c r="AI625" s="405"/>
      <c r="AJ625" s="405"/>
      <c r="AK625" s="405"/>
      <c r="AL625" s="405"/>
    </row>
    <row r="626" ht="14.25" customHeight="1">
      <c r="A626" s="497">
        <v>45524.0</v>
      </c>
      <c r="B626" s="349" t="s">
        <v>3561</v>
      </c>
      <c r="C626" s="349" t="s">
        <v>3562</v>
      </c>
      <c r="D626" s="349" t="s">
        <v>54</v>
      </c>
      <c r="E626" s="349" t="s">
        <v>3579</v>
      </c>
      <c r="F626" s="559">
        <v>231519.0</v>
      </c>
      <c r="G626" s="559">
        <v>27000.0</v>
      </c>
      <c r="H626" s="349" t="s">
        <v>4002</v>
      </c>
      <c r="I626" s="736" t="str">
        <f t="shared" si="20"/>
        <v>PARTIALLY PAID</v>
      </c>
      <c r="J626" s="402"/>
      <c r="K626" s="402"/>
      <c r="L626" s="402"/>
      <c r="M626" s="402"/>
      <c r="N626" s="402"/>
      <c r="O626" s="402"/>
      <c r="P626" s="402"/>
      <c r="Q626" s="402"/>
      <c r="R626" s="402"/>
      <c r="S626" s="402"/>
      <c r="T626" s="402"/>
      <c r="U626" s="402"/>
      <c r="V626" s="402"/>
      <c r="W626" s="402"/>
      <c r="X626" s="402"/>
      <c r="Y626" s="402"/>
      <c r="Z626" s="402"/>
      <c r="AA626" s="405"/>
      <c r="AB626" s="405"/>
      <c r="AC626" s="405"/>
      <c r="AD626" s="405"/>
      <c r="AE626" s="405"/>
      <c r="AF626" s="405"/>
      <c r="AG626" s="405"/>
      <c r="AH626" s="405"/>
      <c r="AI626" s="405"/>
      <c r="AJ626" s="405"/>
      <c r="AK626" s="405"/>
      <c r="AL626" s="405"/>
    </row>
    <row r="627" ht="14.25" customHeight="1">
      <c r="A627" s="497">
        <v>45524.0</v>
      </c>
      <c r="B627" s="349" t="s">
        <v>3978</v>
      </c>
      <c r="C627" s="349" t="s">
        <v>3979</v>
      </c>
      <c r="D627" s="349" t="s">
        <v>54</v>
      </c>
      <c r="E627" s="349" t="s">
        <v>3551</v>
      </c>
      <c r="F627" s="559">
        <v>56441.0</v>
      </c>
      <c r="G627" s="559"/>
      <c r="H627" s="349" t="s">
        <v>4001</v>
      </c>
      <c r="I627" s="736" t="str">
        <f t="shared" si="20"/>
        <v>NOT PAID</v>
      </c>
      <c r="J627" s="402"/>
      <c r="K627" s="402"/>
      <c r="L627" s="402"/>
      <c r="M627" s="402"/>
      <c r="N627" s="402"/>
      <c r="O627" s="402"/>
      <c r="P627" s="402"/>
      <c r="Q627" s="402"/>
      <c r="R627" s="402"/>
      <c r="S627" s="402"/>
      <c r="T627" s="402"/>
      <c r="U627" s="402"/>
      <c r="V627" s="402"/>
      <c r="W627" s="402"/>
      <c r="X627" s="402"/>
      <c r="Y627" s="402"/>
      <c r="Z627" s="402"/>
      <c r="AA627" s="405"/>
      <c r="AB627" s="405"/>
      <c r="AC627" s="405"/>
      <c r="AD627" s="405"/>
      <c r="AE627" s="405"/>
      <c r="AF627" s="405"/>
      <c r="AG627" s="405"/>
      <c r="AH627" s="405"/>
      <c r="AI627" s="405"/>
      <c r="AJ627" s="405"/>
      <c r="AK627" s="405"/>
      <c r="AL627" s="405"/>
    </row>
    <row r="628" ht="14.25" customHeight="1">
      <c r="A628" s="497">
        <v>45524.0</v>
      </c>
      <c r="B628" s="349" t="s">
        <v>3781</v>
      </c>
      <c r="C628" s="349" t="s">
        <v>3782</v>
      </c>
      <c r="D628" s="349" t="s">
        <v>54</v>
      </c>
      <c r="E628" s="349" t="s">
        <v>3551</v>
      </c>
      <c r="F628" s="751">
        <v>45000.0</v>
      </c>
      <c r="G628" s="751"/>
      <c r="H628" s="349" t="s">
        <v>4002</v>
      </c>
      <c r="I628" s="736" t="str">
        <f t="shared" si="20"/>
        <v>NOT PAID</v>
      </c>
      <c r="J628" s="402"/>
      <c r="K628" s="402"/>
      <c r="L628" s="402"/>
      <c r="M628" s="402"/>
      <c r="N628" s="402"/>
      <c r="O628" s="402"/>
      <c r="P628" s="402"/>
      <c r="Q628" s="402"/>
      <c r="R628" s="402"/>
      <c r="S628" s="402"/>
      <c r="T628" s="402"/>
      <c r="U628" s="402"/>
      <c r="V628" s="402"/>
      <c r="W628" s="402"/>
      <c r="X628" s="402"/>
      <c r="Y628" s="402"/>
      <c r="Z628" s="402"/>
      <c r="AA628" s="405"/>
      <c r="AB628" s="405"/>
      <c r="AC628" s="405"/>
      <c r="AD628" s="405"/>
      <c r="AE628" s="405"/>
      <c r="AF628" s="405"/>
      <c r="AG628" s="405"/>
      <c r="AH628" s="405"/>
      <c r="AI628" s="405"/>
      <c r="AJ628" s="405"/>
      <c r="AK628" s="405"/>
      <c r="AL628" s="405"/>
    </row>
    <row r="629" ht="14.25" customHeight="1">
      <c r="A629" s="497">
        <v>45524.0</v>
      </c>
      <c r="B629" s="349" t="s">
        <v>3912</v>
      </c>
      <c r="C629" s="349" t="s">
        <v>3635</v>
      </c>
      <c r="D629" s="349" t="s">
        <v>75</v>
      </c>
      <c r="E629" s="349" t="s">
        <v>3556</v>
      </c>
      <c r="F629" s="413">
        <v>58750.0</v>
      </c>
      <c r="G629" s="413"/>
      <c r="H629" s="349" t="s">
        <v>4001</v>
      </c>
      <c r="I629" s="736" t="str">
        <f t="shared" si="20"/>
        <v>NOT PAID</v>
      </c>
      <c r="J629" s="402"/>
      <c r="K629" s="402"/>
      <c r="L629" s="402"/>
      <c r="M629" s="402"/>
      <c r="N629" s="402"/>
      <c r="O629" s="402"/>
      <c r="P629" s="402"/>
      <c r="Q629" s="402"/>
      <c r="R629" s="402"/>
      <c r="S629" s="402"/>
      <c r="T629" s="402"/>
      <c r="U629" s="402"/>
      <c r="V629" s="402"/>
      <c r="W629" s="402"/>
      <c r="X629" s="402"/>
      <c r="Y629" s="402"/>
      <c r="Z629" s="402"/>
      <c r="AA629" s="405"/>
      <c r="AB629" s="405"/>
      <c r="AC629" s="405"/>
      <c r="AD629" s="405"/>
      <c r="AE629" s="405"/>
      <c r="AF629" s="405"/>
      <c r="AG629" s="405"/>
      <c r="AH629" s="405"/>
      <c r="AI629" s="405"/>
      <c r="AJ629" s="405"/>
      <c r="AK629" s="405"/>
      <c r="AL629" s="405"/>
    </row>
    <row r="630" ht="14.25" customHeight="1">
      <c r="A630" s="497">
        <v>45524.0</v>
      </c>
      <c r="B630" s="349" t="s">
        <v>3649</v>
      </c>
      <c r="C630" s="349" t="s">
        <v>3650</v>
      </c>
      <c r="D630" s="349" t="s">
        <v>54</v>
      </c>
      <c r="E630" s="349" t="s">
        <v>3579</v>
      </c>
      <c r="F630" s="559">
        <v>56310.52</v>
      </c>
      <c r="G630" s="559"/>
      <c r="H630" s="349" t="s">
        <v>4003</v>
      </c>
      <c r="I630" s="736" t="str">
        <f t="shared" si="20"/>
        <v>NOT PAID</v>
      </c>
      <c r="J630" s="402"/>
      <c r="K630" s="402"/>
      <c r="L630" s="402"/>
      <c r="M630" s="402"/>
      <c r="N630" s="402"/>
      <c r="O630" s="402"/>
      <c r="P630" s="402"/>
      <c r="Q630" s="402"/>
      <c r="R630" s="402"/>
      <c r="S630" s="402"/>
      <c r="T630" s="402"/>
      <c r="U630" s="402"/>
      <c r="V630" s="402"/>
      <c r="W630" s="402"/>
      <c r="X630" s="402"/>
      <c r="Y630" s="402"/>
      <c r="Z630" s="402"/>
      <c r="AA630" s="405"/>
      <c r="AB630" s="405"/>
      <c r="AC630" s="405"/>
      <c r="AD630" s="405"/>
      <c r="AE630" s="405"/>
      <c r="AF630" s="405"/>
      <c r="AG630" s="405"/>
      <c r="AH630" s="405"/>
      <c r="AI630" s="405"/>
      <c r="AJ630" s="405"/>
      <c r="AK630" s="405"/>
      <c r="AL630" s="405"/>
    </row>
    <row r="631" ht="14.25" customHeight="1">
      <c r="A631" s="497">
        <v>45524.0</v>
      </c>
      <c r="B631" s="349" t="s">
        <v>3718</v>
      </c>
      <c r="C631" s="349" t="s">
        <v>3719</v>
      </c>
      <c r="D631" s="349" t="s">
        <v>54</v>
      </c>
      <c r="E631" s="349" t="s">
        <v>3551</v>
      </c>
      <c r="F631" s="559">
        <v>150000.0</v>
      </c>
      <c r="G631" s="559"/>
      <c r="H631" s="349" t="s">
        <v>4004</v>
      </c>
      <c r="I631" s="736" t="str">
        <f t="shared" si="20"/>
        <v>NOT PAID</v>
      </c>
      <c r="J631" s="402"/>
      <c r="K631" s="402"/>
      <c r="L631" s="402"/>
      <c r="M631" s="402"/>
      <c r="N631" s="402"/>
      <c r="O631" s="402"/>
      <c r="P631" s="402"/>
      <c r="Q631" s="402"/>
      <c r="R631" s="402"/>
      <c r="S631" s="402"/>
      <c r="T631" s="402"/>
      <c r="U631" s="402"/>
      <c r="V631" s="402"/>
      <c r="W631" s="402"/>
      <c r="X631" s="402"/>
      <c r="Y631" s="402"/>
      <c r="Z631" s="402"/>
      <c r="AA631" s="405"/>
      <c r="AB631" s="405"/>
      <c r="AC631" s="405"/>
      <c r="AD631" s="405"/>
      <c r="AE631" s="405"/>
      <c r="AF631" s="405"/>
      <c r="AG631" s="405"/>
      <c r="AH631" s="405"/>
      <c r="AI631" s="405"/>
      <c r="AJ631" s="405"/>
      <c r="AK631" s="405"/>
      <c r="AL631" s="405"/>
    </row>
    <row r="632" ht="14.25" customHeight="1">
      <c r="A632" s="497">
        <v>45524.0</v>
      </c>
      <c r="B632" s="689">
        <v>1000.0</v>
      </c>
      <c r="C632" s="349" t="s">
        <v>3917</v>
      </c>
      <c r="D632" s="349" t="s">
        <v>54</v>
      </c>
      <c r="E632" s="349" t="s">
        <v>3551</v>
      </c>
      <c r="F632" s="413">
        <v>135000.0</v>
      </c>
      <c r="G632" s="413">
        <v>700000.0</v>
      </c>
      <c r="H632" s="349" t="s">
        <v>710</v>
      </c>
      <c r="I632" s="736" t="str">
        <f t="shared" si="20"/>
        <v>FULLY PAID</v>
      </c>
      <c r="J632" s="402"/>
      <c r="K632" s="402"/>
      <c r="L632" s="402"/>
      <c r="M632" s="402"/>
      <c r="N632" s="402"/>
      <c r="O632" s="402"/>
      <c r="P632" s="402"/>
      <c r="Q632" s="402"/>
      <c r="R632" s="402"/>
      <c r="S632" s="402"/>
      <c r="T632" s="402"/>
      <c r="U632" s="402"/>
      <c r="V632" s="402"/>
      <c r="W632" s="402"/>
      <c r="X632" s="402"/>
      <c r="Y632" s="402"/>
      <c r="Z632" s="402"/>
      <c r="AA632" s="405"/>
      <c r="AB632" s="405"/>
      <c r="AC632" s="405"/>
      <c r="AD632" s="405"/>
      <c r="AE632" s="405"/>
      <c r="AF632" s="405"/>
      <c r="AG632" s="405"/>
      <c r="AH632" s="405"/>
      <c r="AI632" s="405"/>
      <c r="AJ632" s="405"/>
      <c r="AK632" s="405"/>
      <c r="AL632" s="405"/>
    </row>
    <row r="633" ht="14.25" customHeight="1">
      <c r="A633" s="497">
        <v>45524.0</v>
      </c>
      <c r="B633" s="349" t="s">
        <v>3586</v>
      </c>
      <c r="C633" s="349" t="s">
        <v>3924</v>
      </c>
      <c r="D633" s="349" t="s">
        <v>54</v>
      </c>
      <c r="E633" s="349" t="s">
        <v>3551</v>
      </c>
      <c r="F633" s="413">
        <v>71500.0</v>
      </c>
      <c r="G633" s="413"/>
      <c r="H633" s="349" t="s">
        <v>4005</v>
      </c>
      <c r="I633" s="736" t="str">
        <f t="shared" si="20"/>
        <v>NOT PAID</v>
      </c>
      <c r="J633" s="402"/>
      <c r="K633" s="402"/>
      <c r="L633" s="402"/>
      <c r="M633" s="402"/>
      <c r="N633" s="402"/>
      <c r="O633" s="402"/>
      <c r="P633" s="402"/>
      <c r="Q633" s="402"/>
      <c r="R633" s="402"/>
      <c r="S633" s="402"/>
      <c r="T633" s="402"/>
      <c r="U633" s="402"/>
      <c r="V633" s="402"/>
      <c r="W633" s="402"/>
      <c r="X633" s="402"/>
      <c r="Y633" s="402"/>
      <c r="Z633" s="402"/>
      <c r="AA633" s="405"/>
      <c r="AB633" s="405"/>
      <c r="AC633" s="405"/>
      <c r="AD633" s="405"/>
      <c r="AE633" s="405"/>
      <c r="AF633" s="405"/>
      <c r="AG633" s="405"/>
      <c r="AH633" s="405"/>
      <c r="AI633" s="405"/>
      <c r="AJ633" s="405"/>
      <c r="AK633" s="405"/>
      <c r="AL633" s="405"/>
    </row>
    <row r="634" ht="14.25" customHeight="1">
      <c r="A634" s="497">
        <v>45524.0</v>
      </c>
      <c r="B634" s="349" t="s">
        <v>3728</v>
      </c>
      <c r="C634" s="349" t="s">
        <v>3729</v>
      </c>
      <c r="D634" s="349" t="s">
        <v>54</v>
      </c>
      <c r="E634" s="349" t="s">
        <v>3556</v>
      </c>
      <c r="F634" s="413">
        <v>40872.0</v>
      </c>
      <c r="G634" s="413"/>
      <c r="H634" s="349" t="s">
        <v>4005</v>
      </c>
      <c r="I634" s="736" t="str">
        <f t="shared" si="20"/>
        <v>NOT PAID</v>
      </c>
      <c r="J634" s="402"/>
      <c r="K634" s="402"/>
      <c r="L634" s="402"/>
      <c r="M634" s="402"/>
      <c r="N634" s="402"/>
      <c r="O634" s="402"/>
      <c r="P634" s="402"/>
      <c r="Q634" s="402"/>
      <c r="R634" s="402"/>
      <c r="S634" s="402"/>
      <c r="T634" s="402"/>
      <c r="U634" s="402"/>
      <c r="V634" s="402"/>
      <c r="W634" s="402"/>
      <c r="X634" s="402"/>
      <c r="Y634" s="402"/>
      <c r="Z634" s="402"/>
      <c r="AA634" s="405"/>
      <c r="AB634" s="405"/>
      <c r="AC634" s="405"/>
      <c r="AD634" s="405"/>
      <c r="AE634" s="405"/>
      <c r="AF634" s="405"/>
      <c r="AG634" s="405"/>
      <c r="AH634" s="405"/>
      <c r="AI634" s="405"/>
      <c r="AJ634" s="405"/>
      <c r="AK634" s="405"/>
      <c r="AL634" s="405"/>
    </row>
    <row r="635" ht="14.25" customHeight="1">
      <c r="A635" s="497">
        <v>45524.0</v>
      </c>
      <c r="B635" s="349" t="s">
        <v>3606</v>
      </c>
      <c r="C635" s="349" t="s">
        <v>3607</v>
      </c>
      <c r="D635" s="349" t="s">
        <v>54</v>
      </c>
      <c r="E635" s="349" t="s">
        <v>3551</v>
      </c>
      <c r="F635" s="413">
        <v>33362.0</v>
      </c>
      <c r="G635" s="413"/>
      <c r="H635" s="349" t="s">
        <v>4001</v>
      </c>
      <c r="I635" s="736" t="str">
        <f t="shared" si="20"/>
        <v>NOT PAID</v>
      </c>
      <c r="J635" s="402"/>
      <c r="K635" s="402"/>
      <c r="L635" s="402"/>
      <c r="M635" s="402"/>
      <c r="N635" s="402"/>
      <c r="O635" s="402"/>
      <c r="P635" s="402"/>
      <c r="Q635" s="402"/>
      <c r="R635" s="402"/>
      <c r="S635" s="402"/>
      <c r="T635" s="402"/>
      <c r="U635" s="402"/>
      <c r="V635" s="402"/>
      <c r="W635" s="402"/>
      <c r="X635" s="402"/>
      <c r="Y635" s="402"/>
      <c r="Z635" s="402"/>
      <c r="AA635" s="405"/>
      <c r="AB635" s="405"/>
      <c r="AC635" s="405"/>
      <c r="AD635" s="405"/>
      <c r="AE635" s="405"/>
      <c r="AF635" s="405"/>
      <c r="AG635" s="405"/>
      <c r="AH635" s="405"/>
      <c r="AI635" s="405"/>
      <c r="AJ635" s="405"/>
      <c r="AK635" s="405"/>
      <c r="AL635" s="405"/>
    </row>
    <row r="636" ht="14.25" customHeight="1">
      <c r="A636" s="497">
        <v>45524.0</v>
      </c>
      <c r="B636" s="349" t="s">
        <v>3831</v>
      </c>
      <c r="C636" s="349" t="s">
        <v>3832</v>
      </c>
      <c r="D636" s="349" t="s">
        <v>54</v>
      </c>
      <c r="E636" s="349" t="s">
        <v>3551</v>
      </c>
      <c r="F636" s="413">
        <v>6359.0</v>
      </c>
      <c r="G636" s="413">
        <v>6000.0</v>
      </c>
      <c r="H636" s="349" t="s">
        <v>3627</v>
      </c>
      <c r="I636" s="736" t="str">
        <f t="shared" si="20"/>
        <v>PARTIALLY PAID</v>
      </c>
      <c r="J636" s="402"/>
      <c r="K636" s="402"/>
      <c r="L636" s="402"/>
      <c r="M636" s="402"/>
      <c r="N636" s="402"/>
      <c r="O636" s="402"/>
      <c r="P636" s="402"/>
      <c r="Q636" s="402"/>
      <c r="R636" s="402"/>
      <c r="S636" s="402"/>
      <c r="T636" s="402"/>
      <c r="U636" s="402"/>
      <c r="V636" s="402"/>
      <c r="W636" s="402"/>
      <c r="X636" s="402"/>
      <c r="Y636" s="402"/>
      <c r="Z636" s="402"/>
      <c r="AA636" s="405"/>
      <c r="AB636" s="405"/>
      <c r="AC636" s="405"/>
      <c r="AD636" s="405"/>
      <c r="AE636" s="405"/>
      <c r="AF636" s="405"/>
      <c r="AG636" s="405"/>
      <c r="AH636" s="405"/>
      <c r="AI636" s="405"/>
      <c r="AJ636" s="405"/>
      <c r="AK636" s="405"/>
      <c r="AL636" s="405"/>
    </row>
    <row r="637" ht="14.25" customHeight="1">
      <c r="A637" s="497">
        <v>45524.0</v>
      </c>
      <c r="B637" s="349" t="s">
        <v>3899</v>
      </c>
      <c r="C637" s="349" t="s">
        <v>3900</v>
      </c>
      <c r="D637" s="349" t="s">
        <v>54</v>
      </c>
      <c r="E637" s="349" t="s">
        <v>3551</v>
      </c>
      <c r="F637" s="413">
        <v>4286.0</v>
      </c>
      <c r="G637" s="413">
        <v>4251.0</v>
      </c>
      <c r="H637" s="349" t="s">
        <v>3627</v>
      </c>
      <c r="I637" s="736" t="str">
        <f t="shared" si="20"/>
        <v>PARTIALLY PAID</v>
      </c>
      <c r="J637" s="402"/>
      <c r="K637" s="402"/>
      <c r="L637" s="402"/>
      <c r="M637" s="402"/>
      <c r="N637" s="402"/>
      <c r="O637" s="402"/>
      <c r="P637" s="402"/>
      <c r="Q637" s="402"/>
      <c r="R637" s="402"/>
      <c r="S637" s="402"/>
      <c r="T637" s="402"/>
      <c r="U637" s="402"/>
      <c r="V637" s="402"/>
      <c r="W637" s="402"/>
      <c r="X637" s="402"/>
      <c r="Y637" s="402"/>
      <c r="Z637" s="402"/>
      <c r="AA637" s="405"/>
      <c r="AB637" s="405"/>
      <c r="AC637" s="405"/>
      <c r="AD637" s="405"/>
      <c r="AE637" s="405"/>
      <c r="AF637" s="405"/>
      <c r="AG637" s="405"/>
      <c r="AH637" s="405"/>
      <c r="AI637" s="405"/>
      <c r="AJ637" s="405"/>
      <c r="AK637" s="405"/>
      <c r="AL637" s="405"/>
    </row>
    <row r="638" ht="14.25" customHeight="1">
      <c r="A638" s="497">
        <v>45524.0</v>
      </c>
      <c r="B638" s="349" t="s">
        <v>3789</v>
      </c>
      <c r="C638" s="349" t="s">
        <v>3790</v>
      </c>
      <c r="D638" s="349" t="s">
        <v>54</v>
      </c>
      <c r="E638" s="349" t="s">
        <v>3617</v>
      </c>
      <c r="F638" s="413">
        <v>6589.0</v>
      </c>
      <c r="G638" s="413"/>
      <c r="H638" s="349" t="s">
        <v>4001</v>
      </c>
      <c r="I638" s="736" t="str">
        <f t="shared" si="20"/>
        <v>NOT PAID</v>
      </c>
      <c r="J638" s="402"/>
      <c r="K638" s="402"/>
      <c r="L638" s="402"/>
      <c r="M638" s="402"/>
      <c r="N638" s="402"/>
      <c r="O638" s="402"/>
      <c r="P638" s="402"/>
      <c r="Q638" s="402"/>
      <c r="R638" s="402"/>
      <c r="S638" s="402"/>
      <c r="T638" s="402"/>
      <c r="U638" s="402"/>
      <c r="V638" s="402"/>
      <c r="W638" s="402"/>
      <c r="X638" s="402"/>
      <c r="Y638" s="402"/>
      <c r="Z638" s="402"/>
      <c r="AA638" s="405"/>
      <c r="AB638" s="405"/>
      <c r="AC638" s="405"/>
      <c r="AD638" s="405"/>
      <c r="AE638" s="405"/>
      <c r="AF638" s="405"/>
      <c r="AG638" s="405"/>
      <c r="AH638" s="405"/>
      <c r="AI638" s="405"/>
      <c r="AJ638" s="405"/>
      <c r="AK638" s="405"/>
      <c r="AL638" s="405"/>
    </row>
    <row r="639" ht="14.25" customHeight="1">
      <c r="A639" s="497"/>
      <c r="B639" s="402"/>
      <c r="C639" s="402"/>
      <c r="D639" s="402"/>
      <c r="E639" s="402"/>
      <c r="F639" s="413"/>
      <c r="G639" s="403"/>
      <c r="H639" s="402"/>
      <c r="I639" s="736" t="str">
        <f t="shared" si="20"/>
        <v>FULLY PAID</v>
      </c>
      <c r="J639" s="402"/>
      <c r="K639" s="402"/>
      <c r="L639" s="402"/>
      <c r="M639" s="402"/>
      <c r="N639" s="402"/>
      <c r="O639" s="402"/>
      <c r="P639" s="402"/>
      <c r="Q639" s="402"/>
      <c r="R639" s="402"/>
      <c r="S639" s="402"/>
      <c r="T639" s="402"/>
      <c r="U639" s="402"/>
      <c r="V639" s="402"/>
      <c r="W639" s="402"/>
      <c r="X639" s="402"/>
      <c r="Y639" s="402"/>
      <c r="Z639" s="402"/>
      <c r="AA639" s="405"/>
      <c r="AB639" s="405"/>
      <c r="AC639" s="405"/>
      <c r="AD639" s="405"/>
      <c r="AE639" s="405"/>
      <c r="AF639" s="405"/>
      <c r="AG639" s="405"/>
      <c r="AH639" s="405"/>
      <c r="AI639" s="405"/>
      <c r="AJ639" s="405"/>
      <c r="AK639" s="405"/>
      <c r="AL639" s="405"/>
    </row>
    <row r="640" ht="14.25" customHeight="1">
      <c r="A640" s="497"/>
      <c r="B640" s="402"/>
      <c r="C640" s="402"/>
      <c r="D640" s="402"/>
      <c r="E640" s="402"/>
      <c r="F640" s="413">
        <f t="shared" ref="F640:G640" si="25">SUM(F618:F639)</f>
        <v>1406968.26</v>
      </c>
      <c r="G640" s="403">
        <f t="shared" si="25"/>
        <v>2469573</v>
      </c>
      <c r="H640" s="402"/>
      <c r="I640" s="736" t="str">
        <f t="shared" si="20"/>
        <v>FULLY PAID</v>
      </c>
      <c r="J640" s="402"/>
      <c r="K640" s="402"/>
      <c r="L640" s="402"/>
      <c r="M640" s="402"/>
      <c r="N640" s="402"/>
      <c r="O640" s="402"/>
      <c r="P640" s="402"/>
      <c r="Q640" s="402"/>
      <c r="R640" s="402"/>
      <c r="S640" s="402"/>
      <c r="T640" s="402"/>
      <c r="U640" s="402"/>
      <c r="V640" s="402"/>
      <c r="W640" s="402"/>
      <c r="X640" s="402"/>
      <c r="Y640" s="402"/>
      <c r="Z640" s="402"/>
      <c r="AA640" s="405"/>
      <c r="AB640" s="405"/>
      <c r="AC640" s="405"/>
      <c r="AD640" s="405"/>
      <c r="AE640" s="405"/>
      <c r="AF640" s="405"/>
      <c r="AG640" s="405"/>
      <c r="AH640" s="405"/>
      <c r="AI640" s="405"/>
      <c r="AJ640" s="405"/>
      <c r="AK640" s="405"/>
      <c r="AL640" s="405"/>
    </row>
    <row r="641" ht="14.25" customHeight="1">
      <c r="A641" s="497"/>
      <c r="B641" s="402"/>
      <c r="C641" s="402"/>
      <c r="D641" s="402"/>
      <c r="E641" s="402"/>
      <c r="F641" s="402"/>
      <c r="G641" s="403"/>
      <c r="H641" s="402"/>
      <c r="I641" s="736" t="str">
        <f t="shared" si="20"/>
        <v>FULLY PAID</v>
      </c>
      <c r="J641" s="402"/>
      <c r="K641" s="402"/>
      <c r="L641" s="402"/>
      <c r="M641" s="402"/>
      <c r="N641" s="402"/>
      <c r="O641" s="402"/>
      <c r="P641" s="402"/>
      <c r="Q641" s="402"/>
      <c r="R641" s="402"/>
      <c r="S641" s="402"/>
      <c r="T641" s="402"/>
      <c r="U641" s="402"/>
      <c r="V641" s="402"/>
      <c r="W641" s="402"/>
      <c r="X641" s="402"/>
      <c r="Y641" s="402"/>
      <c r="Z641" s="402"/>
      <c r="AA641" s="405"/>
      <c r="AB641" s="405"/>
      <c r="AC641" s="405"/>
      <c r="AD641" s="405"/>
      <c r="AE641" s="405"/>
      <c r="AF641" s="405"/>
      <c r="AG641" s="405"/>
      <c r="AH641" s="405"/>
      <c r="AI641" s="405"/>
      <c r="AJ641" s="405"/>
      <c r="AK641" s="405"/>
      <c r="AL641" s="405"/>
    </row>
    <row r="642" ht="14.25" customHeight="1">
      <c r="A642" s="497"/>
      <c r="B642" s="402"/>
      <c r="C642" s="402"/>
      <c r="D642" s="402"/>
      <c r="E642" s="402"/>
      <c r="F642" s="402"/>
      <c r="G642" s="403"/>
      <c r="H642" s="402"/>
      <c r="I642" s="736" t="str">
        <f t="shared" si="20"/>
        <v>FULLY PAID</v>
      </c>
      <c r="J642" s="402"/>
      <c r="K642" s="402"/>
      <c r="L642" s="402"/>
      <c r="M642" s="402"/>
      <c r="N642" s="402"/>
      <c r="O642" s="402"/>
      <c r="P642" s="402"/>
      <c r="Q642" s="402"/>
      <c r="R642" s="402"/>
      <c r="S642" s="402"/>
      <c r="T642" s="402"/>
      <c r="U642" s="402"/>
      <c r="V642" s="402"/>
      <c r="W642" s="402"/>
      <c r="X642" s="402"/>
      <c r="Y642" s="402"/>
      <c r="Z642" s="402"/>
      <c r="AA642" s="405"/>
      <c r="AB642" s="405"/>
      <c r="AC642" s="405"/>
      <c r="AD642" s="405"/>
      <c r="AE642" s="405"/>
      <c r="AF642" s="405"/>
      <c r="AG642" s="405"/>
      <c r="AH642" s="405"/>
      <c r="AI642" s="405"/>
      <c r="AJ642" s="405"/>
      <c r="AK642" s="405"/>
      <c r="AL642" s="405"/>
    </row>
    <row r="643" ht="14.25" customHeight="1">
      <c r="A643" s="584" t="s">
        <v>2130</v>
      </c>
      <c r="B643" s="584" t="s">
        <v>39</v>
      </c>
      <c r="C643" s="584" t="s">
        <v>48</v>
      </c>
      <c r="D643" s="584" t="s">
        <v>49</v>
      </c>
      <c r="E643" s="584" t="s">
        <v>50</v>
      </c>
      <c r="F643" s="584" t="s">
        <v>2</v>
      </c>
      <c r="G643" s="586" t="s">
        <v>44</v>
      </c>
      <c r="H643" s="424" t="s">
        <v>45</v>
      </c>
      <c r="I643" s="736" t="str">
        <f t="shared" si="20"/>
        <v>FULLY PAID</v>
      </c>
      <c r="J643" s="402"/>
      <c r="K643" s="402"/>
      <c r="L643" s="402"/>
      <c r="M643" s="402"/>
      <c r="N643" s="402"/>
      <c r="O643" s="402"/>
      <c r="P643" s="402"/>
      <c r="Q643" s="402"/>
      <c r="R643" s="402"/>
      <c r="S643" s="402"/>
      <c r="T643" s="402"/>
      <c r="U643" s="402"/>
      <c r="V643" s="402"/>
      <c r="W643" s="402"/>
      <c r="X643" s="402"/>
      <c r="Y643" s="402"/>
      <c r="Z643" s="402"/>
      <c r="AA643" s="405"/>
      <c r="AB643" s="405"/>
      <c r="AC643" s="405"/>
      <c r="AD643" s="405"/>
      <c r="AE643" s="405"/>
      <c r="AF643" s="405"/>
      <c r="AG643" s="405"/>
      <c r="AH643" s="405"/>
      <c r="AI643" s="405"/>
      <c r="AJ643" s="405"/>
      <c r="AK643" s="405"/>
      <c r="AL643" s="405"/>
    </row>
    <row r="644" ht="14.25" customHeight="1">
      <c r="A644" s="497">
        <v>45525.0</v>
      </c>
      <c r="B644" s="349" t="s">
        <v>3552</v>
      </c>
      <c r="C644" s="349" t="s">
        <v>3553</v>
      </c>
      <c r="D644" s="349" t="s">
        <v>54</v>
      </c>
      <c r="E644" s="349" t="s">
        <v>3551</v>
      </c>
      <c r="F644" s="751">
        <v>36316.0</v>
      </c>
      <c r="G644" s="751"/>
      <c r="H644" s="349" t="s">
        <v>4006</v>
      </c>
      <c r="I644" s="736" t="str">
        <f t="shared" si="20"/>
        <v>NOT PAID</v>
      </c>
      <c r="J644" s="402"/>
      <c r="K644" s="402"/>
      <c r="L644" s="402"/>
      <c r="M644" s="402"/>
      <c r="N644" s="402"/>
      <c r="O644" s="402"/>
      <c r="P644" s="402"/>
      <c r="Q644" s="402"/>
      <c r="R644" s="402"/>
      <c r="S644" s="402"/>
      <c r="T644" s="402"/>
      <c r="U644" s="402"/>
      <c r="V644" s="402"/>
      <c r="W644" s="402"/>
      <c r="X644" s="402"/>
      <c r="Y644" s="402"/>
      <c r="Z644" s="402"/>
      <c r="AA644" s="405"/>
      <c r="AB644" s="405"/>
      <c r="AC644" s="405"/>
      <c r="AD644" s="405"/>
      <c r="AE644" s="405"/>
      <c r="AF644" s="405"/>
      <c r="AG644" s="405"/>
      <c r="AH644" s="405"/>
      <c r="AI644" s="405"/>
      <c r="AJ644" s="405"/>
      <c r="AK644" s="405"/>
      <c r="AL644" s="405"/>
    </row>
    <row r="645" ht="14.25" customHeight="1">
      <c r="A645" s="497">
        <v>45525.0</v>
      </c>
      <c r="B645" s="349" t="s">
        <v>3918</v>
      </c>
      <c r="C645" s="349" t="s">
        <v>3745</v>
      </c>
      <c r="D645" s="349" t="s">
        <v>54</v>
      </c>
      <c r="E645" s="349" t="s">
        <v>3556</v>
      </c>
      <c r="F645" s="413">
        <v>14376.0</v>
      </c>
      <c r="G645" s="413"/>
      <c r="H645" s="349" t="s">
        <v>4006</v>
      </c>
      <c r="I645" s="736" t="str">
        <f t="shared" si="20"/>
        <v>NOT PAID</v>
      </c>
      <c r="J645" s="402"/>
      <c r="K645" s="402"/>
      <c r="L645" s="402"/>
      <c r="M645" s="402"/>
      <c r="N645" s="402"/>
      <c r="O645" s="402"/>
      <c r="P645" s="402"/>
      <c r="Q645" s="402"/>
      <c r="R645" s="402"/>
      <c r="S645" s="402"/>
      <c r="T645" s="402"/>
      <c r="U645" s="402"/>
      <c r="V645" s="402"/>
      <c r="W645" s="402"/>
      <c r="X645" s="402"/>
      <c r="Y645" s="402"/>
      <c r="Z645" s="402"/>
      <c r="AA645" s="405"/>
      <c r="AB645" s="405"/>
      <c r="AC645" s="405"/>
      <c r="AD645" s="405"/>
      <c r="AE645" s="405"/>
      <c r="AF645" s="405"/>
      <c r="AG645" s="405"/>
      <c r="AH645" s="405"/>
      <c r="AI645" s="405"/>
      <c r="AJ645" s="405"/>
      <c r="AK645" s="405"/>
      <c r="AL645" s="405"/>
    </row>
    <row r="646" ht="14.25" customHeight="1">
      <c r="A646" s="497">
        <v>45525.0</v>
      </c>
      <c r="B646" s="349" t="s">
        <v>3982</v>
      </c>
      <c r="C646" s="349" t="s">
        <v>3983</v>
      </c>
      <c r="D646" s="349" t="s">
        <v>54</v>
      </c>
      <c r="E646" s="349" t="s">
        <v>3617</v>
      </c>
      <c r="F646" s="559">
        <v>68000.0</v>
      </c>
      <c r="G646" s="559"/>
      <c r="H646" s="349" t="s">
        <v>4007</v>
      </c>
      <c r="I646" s="736" t="str">
        <f t="shared" si="20"/>
        <v>NOT PAID</v>
      </c>
      <c r="J646" s="402"/>
      <c r="K646" s="402"/>
      <c r="L646" s="402"/>
      <c r="M646" s="402"/>
      <c r="N646" s="402"/>
      <c r="O646" s="402"/>
      <c r="P646" s="402"/>
      <c r="Q646" s="402"/>
      <c r="R646" s="402"/>
      <c r="S646" s="402"/>
      <c r="T646" s="402"/>
      <c r="U646" s="402"/>
      <c r="V646" s="402"/>
      <c r="W646" s="402"/>
      <c r="X646" s="402"/>
      <c r="Y646" s="402"/>
      <c r="Z646" s="402"/>
      <c r="AA646" s="405"/>
      <c r="AB646" s="405"/>
      <c r="AC646" s="405"/>
      <c r="AD646" s="405"/>
      <c r="AE646" s="405"/>
      <c r="AF646" s="405"/>
      <c r="AG646" s="405"/>
      <c r="AH646" s="405"/>
      <c r="AI646" s="405"/>
      <c r="AJ646" s="405"/>
      <c r="AK646" s="405"/>
      <c r="AL646" s="405"/>
    </row>
    <row r="647" ht="14.25" customHeight="1">
      <c r="A647" s="497">
        <v>45525.0</v>
      </c>
      <c r="B647" s="349" t="s">
        <v>3978</v>
      </c>
      <c r="C647" s="349" t="s">
        <v>3979</v>
      </c>
      <c r="D647" s="349" t="s">
        <v>54</v>
      </c>
      <c r="E647" s="349" t="s">
        <v>3551</v>
      </c>
      <c r="F647" s="559">
        <v>56441.0</v>
      </c>
      <c r="G647" s="559"/>
      <c r="H647" s="349" t="s">
        <v>4008</v>
      </c>
      <c r="I647" s="736" t="str">
        <f t="shared" si="20"/>
        <v>NOT PAID</v>
      </c>
      <c r="J647" s="402"/>
      <c r="K647" s="402"/>
      <c r="L647" s="402"/>
      <c r="M647" s="402"/>
      <c r="N647" s="402"/>
      <c r="O647" s="402"/>
      <c r="P647" s="402"/>
      <c r="Q647" s="402"/>
      <c r="R647" s="402"/>
      <c r="S647" s="402"/>
      <c r="T647" s="402"/>
      <c r="U647" s="402"/>
      <c r="V647" s="402"/>
      <c r="W647" s="402"/>
      <c r="X647" s="402"/>
      <c r="Y647" s="402"/>
      <c r="Z647" s="402"/>
      <c r="AA647" s="405"/>
      <c r="AB647" s="405"/>
      <c r="AC647" s="405"/>
      <c r="AD647" s="405"/>
      <c r="AE647" s="405"/>
      <c r="AF647" s="405"/>
      <c r="AG647" s="405"/>
      <c r="AH647" s="405"/>
      <c r="AI647" s="405"/>
      <c r="AJ647" s="405"/>
      <c r="AK647" s="405"/>
      <c r="AL647" s="405"/>
    </row>
    <row r="648" ht="14.25" customHeight="1">
      <c r="A648" s="497">
        <v>45525.0</v>
      </c>
      <c r="B648" s="349" t="s">
        <v>3781</v>
      </c>
      <c r="C648" s="349" t="s">
        <v>3782</v>
      </c>
      <c r="D648" s="349" t="s">
        <v>54</v>
      </c>
      <c r="E648" s="349" t="s">
        <v>3551</v>
      </c>
      <c r="F648" s="751">
        <v>45000.0</v>
      </c>
      <c r="G648" s="751"/>
      <c r="H648" s="349" t="s">
        <v>4007</v>
      </c>
      <c r="I648" s="736" t="str">
        <f t="shared" si="20"/>
        <v>NOT PAID</v>
      </c>
      <c r="J648" s="402"/>
      <c r="K648" s="402"/>
      <c r="L648" s="402"/>
      <c r="M648" s="402"/>
      <c r="N648" s="402"/>
      <c r="O648" s="402"/>
      <c r="P648" s="402"/>
      <c r="Q648" s="402"/>
      <c r="R648" s="402"/>
      <c r="S648" s="402"/>
      <c r="T648" s="402"/>
      <c r="U648" s="402"/>
      <c r="V648" s="402"/>
      <c r="W648" s="402"/>
      <c r="X648" s="402"/>
      <c r="Y648" s="402"/>
      <c r="Z648" s="402"/>
      <c r="AA648" s="405"/>
      <c r="AB648" s="405"/>
      <c r="AC648" s="405"/>
      <c r="AD648" s="405"/>
      <c r="AE648" s="405"/>
      <c r="AF648" s="405"/>
      <c r="AG648" s="405"/>
      <c r="AH648" s="405"/>
      <c r="AI648" s="405"/>
      <c r="AJ648" s="405"/>
      <c r="AK648" s="405"/>
      <c r="AL648" s="405"/>
    </row>
    <row r="649" ht="14.25" customHeight="1">
      <c r="A649" s="497">
        <v>45525.0</v>
      </c>
      <c r="B649" s="349" t="s">
        <v>3912</v>
      </c>
      <c r="C649" s="349" t="s">
        <v>3635</v>
      </c>
      <c r="D649" s="349" t="s">
        <v>75</v>
      </c>
      <c r="E649" s="349" t="s">
        <v>3556</v>
      </c>
      <c r="F649" s="413">
        <v>58750.0</v>
      </c>
      <c r="G649" s="413">
        <v>61688.0</v>
      </c>
      <c r="H649" s="349" t="s">
        <v>710</v>
      </c>
      <c r="I649" s="736" t="str">
        <f t="shared" si="20"/>
        <v>FULLY PAID</v>
      </c>
      <c r="J649" s="402"/>
      <c r="K649" s="402"/>
      <c r="L649" s="402"/>
      <c r="M649" s="402"/>
      <c r="N649" s="402"/>
      <c r="O649" s="402"/>
      <c r="P649" s="402"/>
      <c r="Q649" s="402"/>
      <c r="R649" s="402"/>
      <c r="S649" s="402"/>
      <c r="T649" s="402"/>
      <c r="U649" s="402"/>
      <c r="V649" s="402"/>
      <c r="W649" s="402"/>
      <c r="X649" s="402"/>
      <c r="Y649" s="402"/>
      <c r="Z649" s="402"/>
      <c r="AA649" s="405"/>
      <c r="AB649" s="405"/>
      <c r="AC649" s="405"/>
      <c r="AD649" s="405"/>
      <c r="AE649" s="405"/>
      <c r="AF649" s="405"/>
      <c r="AG649" s="405"/>
      <c r="AH649" s="405"/>
      <c r="AI649" s="405"/>
      <c r="AJ649" s="405"/>
      <c r="AK649" s="405"/>
      <c r="AL649" s="405"/>
    </row>
    <row r="650" ht="14.25" customHeight="1">
      <c r="A650" s="497">
        <v>45525.0</v>
      </c>
      <c r="B650" s="349" t="s">
        <v>3649</v>
      </c>
      <c r="C650" s="349" t="s">
        <v>3650</v>
      </c>
      <c r="D650" s="349" t="s">
        <v>54</v>
      </c>
      <c r="E650" s="349" t="s">
        <v>3579</v>
      </c>
      <c r="F650" s="559">
        <v>56310.52</v>
      </c>
      <c r="G650" s="559"/>
      <c r="H650" s="349" t="s">
        <v>4003</v>
      </c>
      <c r="I650" s="736" t="str">
        <f t="shared" si="20"/>
        <v>NOT PAID</v>
      </c>
      <c r="J650" s="402"/>
      <c r="K650" s="402"/>
      <c r="L650" s="402"/>
      <c r="M650" s="402"/>
      <c r="N650" s="402"/>
      <c r="O650" s="402"/>
      <c r="P650" s="402"/>
      <c r="Q650" s="402"/>
      <c r="R650" s="402"/>
      <c r="S650" s="402"/>
      <c r="T650" s="402"/>
      <c r="U650" s="402"/>
      <c r="V650" s="402"/>
      <c r="W650" s="402"/>
      <c r="X650" s="402"/>
      <c r="Y650" s="402"/>
      <c r="Z650" s="402"/>
      <c r="AA650" s="405"/>
      <c r="AB650" s="405"/>
      <c r="AC650" s="405"/>
      <c r="AD650" s="405"/>
      <c r="AE650" s="405"/>
      <c r="AF650" s="405"/>
      <c r="AG650" s="405"/>
      <c r="AH650" s="405"/>
      <c r="AI650" s="405"/>
      <c r="AJ650" s="405"/>
      <c r="AK650" s="405"/>
      <c r="AL650" s="405"/>
    </row>
    <row r="651" ht="14.25" customHeight="1">
      <c r="A651" s="497">
        <v>45525.0</v>
      </c>
      <c r="B651" s="349" t="s">
        <v>3718</v>
      </c>
      <c r="C651" s="349" t="s">
        <v>3719</v>
      </c>
      <c r="D651" s="349" t="s">
        <v>54</v>
      </c>
      <c r="E651" s="349" t="s">
        <v>3617</v>
      </c>
      <c r="F651" s="559">
        <v>150000.0</v>
      </c>
      <c r="G651" s="559"/>
      <c r="H651" s="349" t="s">
        <v>4007</v>
      </c>
      <c r="I651" s="736" t="str">
        <f t="shared" si="20"/>
        <v>NOT PAID</v>
      </c>
      <c r="J651" s="402"/>
      <c r="K651" s="402"/>
      <c r="L651" s="402"/>
      <c r="M651" s="402"/>
      <c r="N651" s="402"/>
      <c r="O651" s="402"/>
      <c r="P651" s="402"/>
      <c r="Q651" s="402"/>
      <c r="R651" s="402"/>
      <c r="S651" s="402"/>
      <c r="T651" s="402"/>
      <c r="U651" s="402"/>
      <c r="V651" s="402"/>
      <c r="W651" s="402"/>
      <c r="X651" s="402"/>
      <c r="Y651" s="402"/>
      <c r="Z651" s="402"/>
      <c r="AA651" s="405"/>
      <c r="AB651" s="405"/>
      <c r="AC651" s="405"/>
      <c r="AD651" s="405"/>
      <c r="AE651" s="405"/>
      <c r="AF651" s="405"/>
      <c r="AG651" s="405"/>
      <c r="AH651" s="405"/>
      <c r="AI651" s="405"/>
      <c r="AJ651" s="405"/>
      <c r="AK651" s="405"/>
      <c r="AL651" s="405"/>
    </row>
    <row r="652" ht="14.25" customHeight="1">
      <c r="A652" s="497">
        <v>45525.0</v>
      </c>
      <c r="B652" s="349" t="s">
        <v>3586</v>
      </c>
      <c r="C652" s="349" t="s">
        <v>3924</v>
      </c>
      <c r="D652" s="349" t="s">
        <v>54</v>
      </c>
      <c r="E652" s="349" t="s">
        <v>3551</v>
      </c>
      <c r="F652" s="413">
        <v>71500.0</v>
      </c>
      <c r="G652" s="413"/>
      <c r="H652" s="349" t="s">
        <v>4008</v>
      </c>
      <c r="I652" s="736" t="str">
        <f t="shared" si="20"/>
        <v>NOT PAID</v>
      </c>
      <c r="J652" s="402"/>
      <c r="K652" s="402"/>
      <c r="L652" s="402"/>
      <c r="M652" s="402"/>
      <c r="N652" s="402"/>
      <c r="O652" s="402"/>
      <c r="P652" s="402"/>
      <c r="Q652" s="402"/>
      <c r="R652" s="402"/>
      <c r="S652" s="402"/>
      <c r="T652" s="402"/>
      <c r="U652" s="402"/>
      <c r="V652" s="402"/>
      <c r="W652" s="402"/>
      <c r="X652" s="402"/>
      <c r="Y652" s="402"/>
      <c r="Z652" s="402"/>
      <c r="AA652" s="405"/>
      <c r="AB652" s="405"/>
      <c r="AC652" s="405"/>
      <c r="AD652" s="405"/>
      <c r="AE652" s="405"/>
      <c r="AF652" s="405"/>
      <c r="AG652" s="405"/>
      <c r="AH652" s="405"/>
      <c r="AI652" s="405"/>
      <c r="AJ652" s="405"/>
      <c r="AK652" s="405"/>
      <c r="AL652" s="405"/>
    </row>
    <row r="653" ht="14.25" customHeight="1">
      <c r="A653" s="497">
        <v>45525.0</v>
      </c>
      <c r="B653" s="349" t="s">
        <v>3728</v>
      </c>
      <c r="C653" s="349" t="s">
        <v>3729</v>
      </c>
      <c r="D653" s="349" t="s">
        <v>54</v>
      </c>
      <c r="E653" s="349" t="s">
        <v>3556</v>
      </c>
      <c r="F653" s="413">
        <v>40872.0</v>
      </c>
      <c r="G653" s="413"/>
      <c r="H653" s="349" t="s">
        <v>4008</v>
      </c>
      <c r="I653" s="736" t="str">
        <f t="shared" si="20"/>
        <v>NOT PAID</v>
      </c>
      <c r="J653" s="402"/>
      <c r="K653" s="402"/>
      <c r="L653" s="402"/>
      <c r="M653" s="402"/>
      <c r="N653" s="402"/>
      <c r="O653" s="402"/>
      <c r="P653" s="402"/>
      <c r="Q653" s="402"/>
      <c r="R653" s="402"/>
      <c r="S653" s="402"/>
      <c r="T653" s="402"/>
      <c r="U653" s="402"/>
      <c r="V653" s="402"/>
      <c r="W653" s="402"/>
      <c r="X653" s="402"/>
      <c r="Y653" s="402"/>
      <c r="Z653" s="402"/>
      <c r="AA653" s="405"/>
      <c r="AB653" s="405"/>
      <c r="AC653" s="405"/>
      <c r="AD653" s="405"/>
      <c r="AE653" s="405"/>
      <c r="AF653" s="405"/>
      <c r="AG653" s="405"/>
      <c r="AH653" s="405"/>
      <c r="AI653" s="405"/>
      <c r="AJ653" s="405"/>
      <c r="AK653" s="405"/>
      <c r="AL653" s="405"/>
    </row>
    <row r="654" ht="14.25" customHeight="1">
      <c r="A654" s="497">
        <v>45525.0</v>
      </c>
      <c r="B654" s="349" t="s">
        <v>3606</v>
      </c>
      <c r="C654" s="349" t="s">
        <v>3607</v>
      </c>
      <c r="D654" s="349" t="s">
        <v>54</v>
      </c>
      <c r="E654" s="349" t="s">
        <v>3551</v>
      </c>
      <c r="F654" s="413">
        <v>33362.0</v>
      </c>
      <c r="G654" s="413"/>
      <c r="H654" s="349" t="s">
        <v>4009</v>
      </c>
      <c r="I654" s="736" t="str">
        <f t="shared" si="20"/>
        <v>NOT PAID</v>
      </c>
      <c r="J654" s="402"/>
      <c r="K654" s="402"/>
      <c r="L654" s="402"/>
      <c r="M654" s="402"/>
      <c r="N654" s="402"/>
      <c r="O654" s="402"/>
      <c r="P654" s="402"/>
      <c r="Q654" s="402"/>
      <c r="R654" s="402"/>
      <c r="S654" s="402"/>
      <c r="T654" s="402"/>
      <c r="U654" s="402"/>
      <c r="V654" s="402"/>
      <c r="W654" s="402"/>
      <c r="X654" s="402"/>
      <c r="Y654" s="402"/>
      <c r="Z654" s="402"/>
      <c r="AA654" s="405"/>
      <c r="AB654" s="405"/>
      <c r="AC654" s="405"/>
      <c r="AD654" s="405"/>
      <c r="AE654" s="405"/>
      <c r="AF654" s="405"/>
      <c r="AG654" s="405"/>
      <c r="AH654" s="405"/>
      <c r="AI654" s="405"/>
      <c r="AJ654" s="405"/>
      <c r="AK654" s="405"/>
      <c r="AL654" s="405"/>
    </row>
    <row r="655" ht="14.25" customHeight="1">
      <c r="A655" s="497">
        <v>45525.0</v>
      </c>
      <c r="B655" s="349" t="s">
        <v>3789</v>
      </c>
      <c r="C655" s="349" t="s">
        <v>3790</v>
      </c>
      <c r="D655" s="349" t="s">
        <v>54</v>
      </c>
      <c r="E655" s="349" t="s">
        <v>3617</v>
      </c>
      <c r="F655" s="413">
        <v>6589.0</v>
      </c>
      <c r="G655" s="413"/>
      <c r="H655" s="349" t="s">
        <v>4007</v>
      </c>
      <c r="I655" s="736" t="str">
        <f t="shared" si="20"/>
        <v>NOT PAID</v>
      </c>
      <c r="J655" s="402"/>
      <c r="K655" s="402"/>
      <c r="L655" s="402"/>
      <c r="M655" s="402"/>
      <c r="N655" s="402"/>
      <c r="O655" s="402"/>
      <c r="P655" s="402"/>
      <c r="Q655" s="402"/>
      <c r="R655" s="402"/>
      <c r="S655" s="402"/>
      <c r="T655" s="402"/>
      <c r="U655" s="402"/>
      <c r="V655" s="402"/>
      <c r="W655" s="402"/>
      <c r="X655" s="402"/>
      <c r="Y655" s="402"/>
      <c r="Z655" s="402"/>
      <c r="AA655" s="405"/>
      <c r="AB655" s="405"/>
      <c r="AC655" s="405"/>
      <c r="AD655" s="405"/>
      <c r="AE655" s="405"/>
      <c r="AF655" s="405"/>
      <c r="AG655" s="405"/>
      <c r="AH655" s="405"/>
      <c r="AI655" s="405"/>
      <c r="AJ655" s="405"/>
      <c r="AK655" s="405"/>
      <c r="AL655" s="405"/>
    </row>
    <row r="656" ht="14.25" customHeight="1">
      <c r="A656" s="497">
        <v>45525.0</v>
      </c>
      <c r="B656" s="349" t="s">
        <v>3988</v>
      </c>
      <c r="C656" s="349" t="s">
        <v>3835</v>
      </c>
      <c r="D656" s="349" t="s">
        <v>54</v>
      </c>
      <c r="E656" s="349" t="s">
        <v>3579</v>
      </c>
      <c r="F656" s="413">
        <v>237786.74</v>
      </c>
      <c r="G656" s="413"/>
      <c r="H656" s="349" t="s">
        <v>4010</v>
      </c>
      <c r="I656" s="736" t="str">
        <f t="shared" si="20"/>
        <v>NOT PAID</v>
      </c>
      <c r="J656" s="402"/>
      <c r="K656" s="402"/>
      <c r="L656" s="402"/>
      <c r="M656" s="402"/>
      <c r="N656" s="402"/>
      <c r="O656" s="402"/>
      <c r="P656" s="402"/>
      <c r="Q656" s="402"/>
      <c r="R656" s="402"/>
      <c r="S656" s="402"/>
      <c r="T656" s="402"/>
      <c r="U656" s="402"/>
      <c r="V656" s="402"/>
      <c r="W656" s="402"/>
      <c r="X656" s="402"/>
      <c r="Y656" s="402"/>
      <c r="Z656" s="402"/>
      <c r="AA656" s="405"/>
      <c r="AB656" s="405"/>
      <c r="AC656" s="405"/>
      <c r="AD656" s="405"/>
      <c r="AE656" s="405"/>
      <c r="AF656" s="405"/>
      <c r="AG656" s="405"/>
      <c r="AH656" s="405"/>
      <c r="AI656" s="405"/>
      <c r="AJ656" s="405"/>
      <c r="AK656" s="405"/>
      <c r="AL656" s="405"/>
    </row>
    <row r="657" ht="14.25" customHeight="1">
      <c r="A657" s="497">
        <v>45525.0</v>
      </c>
      <c r="B657" s="789" t="s">
        <v>3663</v>
      </c>
      <c r="C657" s="789" t="s">
        <v>3705</v>
      </c>
      <c r="D657" s="790" t="s">
        <v>54</v>
      </c>
      <c r="E657" s="789" t="s">
        <v>3579</v>
      </c>
      <c r="F657" s="751">
        <v>164847.0</v>
      </c>
      <c r="G657" s="751"/>
      <c r="H657" s="349" t="s">
        <v>4011</v>
      </c>
      <c r="I657" s="736" t="str">
        <f t="shared" si="20"/>
        <v>NOT PAID</v>
      </c>
      <c r="J657" s="402"/>
      <c r="K657" s="402"/>
      <c r="L657" s="402"/>
      <c r="M657" s="402"/>
      <c r="N657" s="402"/>
      <c r="O657" s="402"/>
      <c r="P657" s="402"/>
      <c r="Q657" s="402"/>
      <c r="R657" s="402"/>
      <c r="S657" s="402"/>
      <c r="T657" s="402"/>
      <c r="U657" s="402"/>
      <c r="V657" s="402"/>
      <c r="W657" s="402"/>
      <c r="X657" s="402"/>
      <c r="Y657" s="402"/>
      <c r="Z657" s="402"/>
      <c r="AA657" s="405"/>
      <c r="AB657" s="405"/>
      <c r="AC657" s="405"/>
      <c r="AD657" s="405"/>
      <c r="AE657" s="405"/>
      <c r="AF657" s="405"/>
      <c r="AG657" s="405"/>
      <c r="AH657" s="405"/>
      <c r="AI657" s="405"/>
      <c r="AJ657" s="405"/>
      <c r="AK657" s="405"/>
      <c r="AL657" s="405"/>
    </row>
    <row r="658" ht="14.25" customHeight="1">
      <c r="A658" s="497">
        <v>45525.0</v>
      </c>
      <c r="B658" s="789" t="s">
        <v>3566</v>
      </c>
      <c r="C658" s="789" t="s">
        <v>3995</v>
      </c>
      <c r="D658" s="790" t="s">
        <v>54</v>
      </c>
      <c r="E658" s="789" t="s">
        <v>3579</v>
      </c>
      <c r="F658" s="751">
        <v>40000.0</v>
      </c>
      <c r="G658" s="751"/>
      <c r="H658" s="349" t="s">
        <v>4006</v>
      </c>
      <c r="I658" s="736" t="str">
        <f t="shared" si="20"/>
        <v>NOT PAID</v>
      </c>
      <c r="J658" s="402"/>
      <c r="K658" s="402"/>
      <c r="L658" s="402"/>
      <c r="M658" s="402"/>
      <c r="N658" s="402"/>
      <c r="O658" s="402"/>
      <c r="P658" s="402"/>
      <c r="Q658" s="402"/>
      <c r="R658" s="402"/>
      <c r="S658" s="402"/>
      <c r="T658" s="402"/>
      <c r="U658" s="402"/>
      <c r="V658" s="402"/>
      <c r="W658" s="402"/>
      <c r="X658" s="402"/>
      <c r="Y658" s="402"/>
      <c r="Z658" s="402"/>
      <c r="AA658" s="405"/>
      <c r="AB658" s="405"/>
      <c r="AC658" s="405"/>
      <c r="AD658" s="405"/>
      <c r="AE658" s="405"/>
      <c r="AF658" s="405"/>
      <c r="AG658" s="405"/>
      <c r="AH658" s="405"/>
      <c r="AI658" s="405"/>
      <c r="AJ658" s="405"/>
      <c r="AK658" s="405"/>
      <c r="AL658" s="405"/>
    </row>
    <row r="659" ht="14.25" customHeight="1">
      <c r="A659" s="497">
        <v>45525.0</v>
      </c>
      <c r="B659" s="349" t="s">
        <v>3938</v>
      </c>
      <c r="C659" s="349" t="s">
        <v>3688</v>
      </c>
      <c r="D659" s="349" t="s">
        <v>54</v>
      </c>
      <c r="E659" s="349" t="s">
        <v>3617</v>
      </c>
      <c r="F659" s="559">
        <v>40380.65</v>
      </c>
      <c r="G659" s="559"/>
      <c r="H659" s="349" t="s">
        <v>4007</v>
      </c>
      <c r="I659" s="736" t="str">
        <f t="shared" si="20"/>
        <v>NOT PAID</v>
      </c>
      <c r="J659" s="402"/>
      <c r="K659" s="402"/>
      <c r="L659" s="402"/>
      <c r="M659" s="402"/>
      <c r="N659" s="402"/>
      <c r="O659" s="402"/>
      <c r="P659" s="402"/>
      <c r="Q659" s="402"/>
      <c r="R659" s="402"/>
      <c r="S659" s="402"/>
      <c r="T659" s="402"/>
      <c r="U659" s="402"/>
      <c r="V659" s="402"/>
      <c r="W659" s="402"/>
      <c r="X659" s="402"/>
      <c r="Y659" s="402"/>
      <c r="Z659" s="402"/>
      <c r="AA659" s="405"/>
      <c r="AB659" s="405"/>
      <c r="AC659" s="405"/>
      <c r="AD659" s="405"/>
      <c r="AE659" s="405"/>
      <c r="AF659" s="405"/>
      <c r="AG659" s="405"/>
      <c r="AH659" s="405"/>
      <c r="AI659" s="405"/>
      <c r="AJ659" s="405"/>
      <c r="AK659" s="405"/>
      <c r="AL659" s="405"/>
    </row>
    <row r="660" ht="14.25" customHeight="1">
      <c r="A660" s="497">
        <v>45525.0</v>
      </c>
      <c r="B660" s="349" t="s">
        <v>3554</v>
      </c>
      <c r="C660" s="349" t="s">
        <v>3939</v>
      </c>
      <c r="D660" s="349" t="s">
        <v>54</v>
      </c>
      <c r="E660" s="349" t="s">
        <v>3556</v>
      </c>
      <c r="F660" s="751">
        <v>101606.0</v>
      </c>
      <c r="G660" s="751"/>
      <c r="H660" s="349" t="s">
        <v>4007</v>
      </c>
      <c r="I660" s="736" t="str">
        <f t="shared" si="20"/>
        <v>NOT PAID</v>
      </c>
      <c r="J660" s="402"/>
      <c r="K660" s="402"/>
      <c r="L660" s="402"/>
      <c r="M660" s="402"/>
      <c r="N660" s="402"/>
      <c r="O660" s="402"/>
      <c r="P660" s="402"/>
      <c r="Q660" s="402"/>
      <c r="R660" s="402"/>
      <c r="S660" s="402"/>
      <c r="T660" s="402"/>
      <c r="U660" s="402"/>
      <c r="V660" s="402"/>
      <c r="W660" s="402"/>
      <c r="X660" s="402"/>
      <c r="Y660" s="402"/>
      <c r="Z660" s="402"/>
      <c r="AA660" s="405"/>
      <c r="AB660" s="405"/>
      <c r="AC660" s="405"/>
      <c r="AD660" s="405"/>
      <c r="AE660" s="405"/>
      <c r="AF660" s="405"/>
      <c r="AG660" s="405"/>
      <c r="AH660" s="405"/>
      <c r="AI660" s="405"/>
      <c r="AJ660" s="405"/>
      <c r="AK660" s="405"/>
      <c r="AL660" s="405"/>
    </row>
    <row r="661" ht="14.25" customHeight="1">
      <c r="A661" s="497">
        <v>45525.0</v>
      </c>
      <c r="B661" s="349" t="s">
        <v>3558</v>
      </c>
      <c r="C661" s="349" t="s">
        <v>3559</v>
      </c>
      <c r="D661" s="349" t="s">
        <v>54</v>
      </c>
      <c r="E661" s="349" t="s">
        <v>3551</v>
      </c>
      <c r="F661" s="751">
        <v>4286.0</v>
      </c>
      <c r="G661" s="751">
        <v>3000.0</v>
      </c>
      <c r="H661" s="349" t="s">
        <v>4012</v>
      </c>
      <c r="I661" s="736" t="str">
        <f t="shared" si="20"/>
        <v>PARTIALLY PAID</v>
      </c>
      <c r="J661" s="402"/>
      <c r="K661" s="402"/>
      <c r="L661" s="402"/>
      <c r="M661" s="402"/>
      <c r="N661" s="402"/>
      <c r="O661" s="402"/>
      <c r="P661" s="402"/>
      <c r="Q661" s="402"/>
      <c r="R661" s="402"/>
      <c r="S661" s="402"/>
      <c r="T661" s="402"/>
      <c r="U661" s="402"/>
      <c r="V661" s="402"/>
      <c r="W661" s="402"/>
      <c r="X661" s="402"/>
      <c r="Y661" s="402"/>
      <c r="Z661" s="402"/>
      <c r="AA661" s="405"/>
      <c r="AB661" s="405"/>
      <c r="AC661" s="405"/>
      <c r="AD661" s="405"/>
      <c r="AE661" s="405"/>
      <c r="AF661" s="405"/>
      <c r="AG661" s="405"/>
      <c r="AH661" s="405"/>
      <c r="AI661" s="405"/>
      <c r="AJ661" s="405"/>
      <c r="AK661" s="405"/>
      <c r="AL661" s="405"/>
    </row>
    <row r="662" ht="14.25" customHeight="1">
      <c r="A662" s="497">
        <v>45525.0</v>
      </c>
      <c r="B662" s="349" t="s">
        <v>3911</v>
      </c>
      <c r="C662" s="349" t="s">
        <v>4013</v>
      </c>
      <c r="D662" s="349" t="s">
        <v>54</v>
      </c>
      <c r="E662" s="349" t="s">
        <v>3556</v>
      </c>
      <c r="F662" s="751">
        <v>4833.0</v>
      </c>
      <c r="G662" s="751"/>
      <c r="H662" s="349" t="s">
        <v>4008</v>
      </c>
      <c r="I662" s="736" t="str">
        <f t="shared" si="20"/>
        <v>NOT PAID</v>
      </c>
      <c r="J662" s="402"/>
      <c r="K662" s="402"/>
      <c r="L662" s="402"/>
      <c r="M662" s="402"/>
      <c r="N662" s="402"/>
      <c r="O662" s="402"/>
      <c r="P662" s="402"/>
      <c r="Q662" s="402"/>
      <c r="R662" s="402"/>
      <c r="S662" s="402"/>
      <c r="T662" s="402"/>
      <c r="U662" s="402"/>
      <c r="V662" s="402"/>
      <c r="W662" s="402"/>
      <c r="X662" s="402"/>
      <c r="Y662" s="402"/>
      <c r="Z662" s="402"/>
      <c r="AA662" s="405"/>
      <c r="AB662" s="405"/>
      <c r="AC662" s="405"/>
      <c r="AD662" s="405"/>
      <c r="AE662" s="405"/>
      <c r="AF662" s="405"/>
      <c r="AG662" s="405"/>
      <c r="AH662" s="405"/>
      <c r="AI662" s="405"/>
      <c r="AJ662" s="405"/>
      <c r="AK662" s="405"/>
      <c r="AL662" s="405"/>
    </row>
    <row r="663" ht="14.25" customHeight="1">
      <c r="A663" s="497">
        <v>45525.0</v>
      </c>
      <c r="B663" s="349" t="s">
        <v>3573</v>
      </c>
      <c r="C663" s="349" t="s">
        <v>3574</v>
      </c>
      <c r="D663" s="349" t="s">
        <v>54</v>
      </c>
      <c r="E663" s="349" t="s">
        <v>3551</v>
      </c>
      <c r="F663" s="751">
        <v>216000.0</v>
      </c>
      <c r="G663" s="751"/>
      <c r="H663" s="349" t="s">
        <v>3706</v>
      </c>
      <c r="I663" s="736" t="str">
        <f t="shared" si="20"/>
        <v>NOT PAID</v>
      </c>
      <c r="J663" s="402"/>
      <c r="K663" s="402"/>
      <c r="L663" s="402"/>
      <c r="M663" s="402"/>
      <c r="N663" s="402"/>
      <c r="O663" s="402"/>
      <c r="P663" s="402"/>
      <c r="Q663" s="402"/>
      <c r="R663" s="402"/>
      <c r="S663" s="402"/>
      <c r="T663" s="402"/>
      <c r="U663" s="402"/>
      <c r="V663" s="402"/>
      <c r="W663" s="402"/>
      <c r="X663" s="402"/>
      <c r="Y663" s="402"/>
      <c r="Z663" s="402"/>
      <c r="AA663" s="405"/>
      <c r="AB663" s="405"/>
      <c r="AC663" s="405"/>
      <c r="AD663" s="405"/>
      <c r="AE663" s="405"/>
      <c r="AF663" s="405"/>
      <c r="AG663" s="405"/>
      <c r="AH663" s="405"/>
      <c r="AI663" s="405"/>
      <c r="AJ663" s="405"/>
      <c r="AK663" s="405"/>
      <c r="AL663" s="405"/>
    </row>
    <row r="664" ht="14.25" customHeight="1">
      <c r="A664" s="402"/>
      <c r="B664" s="402"/>
      <c r="C664" s="402"/>
      <c r="D664" s="402"/>
      <c r="E664" s="402"/>
      <c r="F664" s="402"/>
      <c r="G664" s="403"/>
      <c r="H664" s="402"/>
      <c r="I664" s="736" t="str">
        <f t="shared" si="20"/>
        <v>FULLY PAID</v>
      </c>
      <c r="J664" s="402"/>
      <c r="K664" s="402"/>
      <c r="L664" s="402"/>
      <c r="M664" s="402"/>
      <c r="N664" s="402"/>
      <c r="O664" s="402"/>
      <c r="P664" s="402"/>
      <c r="Q664" s="402"/>
      <c r="R664" s="402"/>
      <c r="S664" s="402"/>
      <c r="T664" s="402"/>
      <c r="U664" s="402"/>
      <c r="V664" s="402"/>
      <c r="W664" s="402"/>
      <c r="X664" s="402"/>
      <c r="Y664" s="402"/>
      <c r="Z664" s="402"/>
      <c r="AA664" s="405"/>
      <c r="AB664" s="405"/>
      <c r="AC664" s="405"/>
      <c r="AD664" s="405"/>
      <c r="AE664" s="405"/>
      <c r="AF664" s="405"/>
      <c r="AG664" s="405"/>
      <c r="AH664" s="405"/>
      <c r="AI664" s="405"/>
      <c r="AJ664" s="405"/>
      <c r="AK664" s="405"/>
      <c r="AL664" s="405"/>
    </row>
    <row r="665" ht="14.25" customHeight="1">
      <c r="A665" s="402"/>
      <c r="B665" s="402"/>
      <c r="C665" s="402"/>
      <c r="D665" s="402"/>
      <c r="E665" s="402"/>
      <c r="F665" s="586">
        <f t="shared" ref="F665:G665" si="26">SUM(F644:F664)</f>
        <v>1447255.91</v>
      </c>
      <c r="G665" s="586">
        <f t="shared" si="26"/>
        <v>64688</v>
      </c>
      <c r="H665" s="402"/>
      <c r="I665" s="736" t="str">
        <f t="shared" si="20"/>
        <v>PARTIALLY PAID</v>
      </c>
      <c r="J665" s="402"/>
      <c r="K665" s="402"/>
      <c r="L665" s="402"/>
      <c r="M665" s="402"/>
      <c r="N665" s="402"/>
      <c r="O665" s="402"/>
      <c r="P665" s="402"/>
      <c r="Q665" s="402"/>
      <c r="R665" s="402"/>
      <c r="S665" s="402"/>
      <c r="T665" s="402"/>
      <c r="U665" s="402"/>
      <c r="V665" s="402"/>
      <c r="W665" s="402"/>
      <c r="X665" s="402"/>
      <c r="Y665" s="402"/>
      <c r="Z665" s="402"/>
      <c r="AA665" s="405"/>
      <c r="AB665" s="405"/>
      <c r="AC665" s="405"/>
      <c r="AD665" s="405"/>
      <c r="AE665" s="405"/>
      <c r="AF665" s="405"/>
      <c r="AG665" s="405"/>
      <c r="AH665" s="405"/>
      <c r="AI665" s="405"/>
      <c r="AJ665" s="405"/>
      <c r="AK665" s="405"/>
      <c r="AL665" s="405"/>
    </row>
    <row r="666" ht="14.25" customHeight="1">
      <c r="A666" s="402"/>
      <c r="B666" s="402"/>
      <c r="C666" s="402"/>
      <c r="D666" s="402"/>
      <c r="E666" s="402"/>
      <c r="F666" s="402"/>
      <c r="G666" s="403"/>
      <c r="H666" s="402"/>
      <c r="I666" s="736" t="str">
        <f t="shared" si="20"/>
        <v>FULLY PAID</v>
      </c>
      <c r="J666" s="402"/>
      <c r="K666" s="402"/>
      <c r="L666" s="402"/>
      <c r="M666" s="402"/>
      <c r="N666" s="402"/>
      <c r="O666" s="402"/>
      <c r="P666" s="402"/>
      <c r="Q666" s="402"/>
      <c r="R666" s="402"/>
      <c r="S666" s="402"/>
      <c r="T666" s="402"/>
      <c r="U666" s="402"/>
      <c r="V666" s="402"/>
      <c r="W666" s="402"/>
      <c r="X666" s="402"/>
      <c r="Y666" s="402"/>
      <c r="Z666" s="402"/>
      <c r="AA666" s="405"/>
      <c r="AB666" s="405"/>
      <c r="AC666" s="405"/>
      <c r="AD666" s="405"/>
      <c r="AE666" s="405"/>
      <c r="AF666" s="405"/>
      <c r="AG666" s="405"/>
      <c r="AH666" s="405"/>
      <c r="AI666" s="405"/>
      <c r="AJ666" s="405"/>
      <c r="AK666" s="405"/>
      <c r="AL666" s="405"/>
    </row>
    <row r="667" ht="14.25" customHeight="1">
      <c r="A667" s="584" t="s">
        <v>2130</v>
      </c>
      <c r="B667" s="584" t="s">
        <v>39</v>
      </c>
      <c r="C667" s="584" t="s">
        <v>48</v>
      </c>
      <c r="D667" s="584" t="s">
        <v>49</v>
      </c>
      <c r="E667" s="584" t="s">
        <v>50</v>
      </c>
      <c r="F667" s="584" t="s">
        <v>2</v>
      </c>
      <c r="G667" s="586" t="s">
        <v>44</v>
      </c>
      <c r="H667" s="424" t="s">
        <v>45</v>
      </c>
      <c r="I667" s="736" t="str">
        <f t="shared" si="20"/>
        <v>FULLY PAID</v>
      </c>
      <c r="J667" s="402"/>
      <c r="K667" s="402"/>
      <c r="L667" s="402"/>
      <c r="M667" s="402"/>
      <c r="N667" s="402"/>
      <c r="O667" s="402"/>
      <c r="P667" s="402"/>
      <c r="Q667" s="402"/>
      <c r="R667" s="402"/>
      <c r="S667" s="402"/>
      <c r="T667" s="402"/>
      <c r="U667" s="402"/>
      <c r="V667" s="402"/>
      <c r="W667" s="402"/>
      <c r="X667" s="402"/>
      <c r="Y667" s="402"/>
      <c r="Z667" s="402"/>
      <c r="AA667" s="405"/>
      <c r="AB667" s="405"/>
      <c r="AC667" s="405"/>
      <c r="AD667" s="405"/>
      <c r="AE667" s="405"/>
      <c r="AF667" s="405"/>
      <c r="AG667" s="405"/>
      <c r="AH667" s="405"/>
      <c r="AI667" s="405"/>
      <c r="AJ667" s="405"/>
      <c r="AK667" s="405"/>
      <c r="AL667" s="405"/>
    </row>
    <row r="668" ht="14.25" customHeight="1">
      <c r="A668" s="497">
        <v>45526.0</v>
      </c>
      <c r="B668" s="349" t="s">
        <v>3728</v>
      </c>
      <c r="C668" s="349" t="s">
        <v>3729</v>
      </c>
      <c r="D668" s="349" t="s">
        <v>54</v>
      </c>
      <c r="E668" s="349" t="s">
        <v>3556</v>
      </c>
      <c r="F668" s="413">
        <v>40872.0</v>
      </c>
      <c r="G668" s="787"/>
      <c r="H668" s="349" t="s">
        <v>4014</v>
      </c>
      <c r="I668" s="736" t="str">
        <f t="shared" si="20"/>
        <v>NOT PAID</v>
      </c>
      <c r="J668" s="402"/>
      <c r="K668" s="402"/>
      <c r="L668" s="402"/>
      <c r="M668" s="402"/>
      <c r="N668" s="402"/>
      <c r="O668" s="402"/>
      <c r="P668" s="402"/>
      <c r="Q668" s="402"/>
      <c r="R668" s="402"/>
      <c r="S668" s="402"/>
      <c r="T668" s="402"/>
      <c r="U668" s="402"/>
      <c r="V668" s="402"/>
      <c r="W668" s="402"/>
      <c r="X668" s="402"/>
      <c r="Y668" s="402"/>
      <c r="Z668" s="402"/>
      <c r="AA668" s="405"/>
      <c r="AB668" s="405"/>
      <c r="AC668" s="405"/>
      <c r="AD668" s="405"/>
      <c r="AE668" s="405"/>
      <c r="AF668" s="405"/>
      <c r="AG668" s="405"/>
      <c r="AH668" s="405"/>
      <c r="AI668" s="405"/>
      <c r="AJ668" s="405"/>
      <c r="AK668" s="405"/>
      <c r="AL668" s="405"/>
    </row>
    <row r="669" ht="14.25" customHeight="1">
      <c r="A669" s="497">
        <v>45526.0</v>
      </c>
      <c r="B669" s="349" t="s">
        <v>3606</v>
      </c>
      <c r="C669" s="349" t="s">
        <v>3607</v>
      </c>
      <c r="D669" s="349" t="s">
        <v>54</v>
      </c>
      <c r="E669" s="349" t="s">
        <v>3551</v>
      </c>
      <c r="F669" s="413">
        <v>33362.0</v>
      </c>
      <c r="G669" s="787"/>
      <c r="H669" s="349" t="s">
        <v>4015</v>
      </c>
      <c r="I669" s="736" t="str">
        <f t="shared" si="20"/>
        <v>NOT PAID</v>
      </c>
      <c r="J669" s="402"/>
      <c r="K669" s="402"/>
      <c r="L669" s="402"/>
      <c r="M669" s="402"/>
      <c r="N669" s="402"/>
      <c r="O669" s="402"/>
      <c r="P669" s="402"/>
      <c r="Q669" s="402"/>
      <c r="R669" s="402"/>
      <c r="S669" s="402"/>
      <c r="T669" s="402"/>
      <c r="U669" s="402"/>
      <c r="V669" s="402"/>
      <c r="W669" s="402"/>
      <c r="X669" s="402"/>
      <c r="Y669" s="402"/>
      <c r="Z669" s="402"/>
      <c r="AA669" s="405"/>
      <c r="AB669" s="405"/>
      <c r="AC669" s="405"/>
      <c r="AD669" s="405"/>
      <c r="AE669" s="405"/>
      <c r="AF669" s="405"/>
      <c r="AG669" s="405"/>
      <c r="AH669" s="405"/>
      <c r="AI669" s="405"/>
      <c r="AJ669" s="405"/>
      <c r="AK669" s="405"/>
      <c r="AL669" s="405"/>
    </row>
    <row r="670" ht="14.25" customHeight="1">
      <c r="A670" s="497">
        <v>45526.0</v>
      </c>
      <c r="B670" s="349" t="s">
        <v>3789</v>
      </c>
      <c r="C670" s="349" t="s">
        <v>3790</v>
      </c>
      <c r="D670" s="349" t="s">
        <v>54</v>
      </c>
      <c r="E670" s="349" t="s">
        <v>3617</v>
      </c>
      <c r="F670" s="413">
        <v>6589.0</v>
      </c>
      <c r="G670" s="787"/>
      <c r="H670" s="349" t="s">
        <v>4015</v>
      </c>
      <c r="I670" s="736" t="str">
        <f t="shared" si="20"/>
        <v>NOT PAID</v>
      </c>
      <c r="J670" s="402"/>
      <c r="K670" s="402"/>
      <c r="L670" s="402"/>
      <c r="M670" s="402"/>
      <c r="N670" s="402"/>
      <c r="O670" s="402"/>
      <c r="P670" s="402"/>
      <c r="Q670" s="402"/>
      <c r="R670" s="402"/>
      <c r="S670" s="402"/>
      <c r="T670" s="402"/>
      <c r="U670" s="402"/>
      <c r="V670" s="402"/>
      <c r="W670" s="402"/>
      <c r="X670" s="402"/>
      <c r="Y670" s="402"/>
      <c r="Z670" s="402"/>
      <c r="AA670" s="405"/>
      <c r="AB670" s="405"/>
      <c r="AC670" s="405"/>
      <c r="AD670" s="405"/>
      <c r="AE670" s="405"/>
      <c r="AF670" s="405"/>
      <c r="AG670" s="405"/>
      <c r="AH670" s="405"/>
      <c r="AI670" s="405"/>
      <c r="AJ670" s="405"/>
      <c r="AK670" s="405"/>
      <c r="AL670" s="405"/>
    </row>
    <row r="671" ht="14.25" customHeight="1">
      <c r="A671" s="497">
        <v>45526.0</v>
      </c>
      <c r="B671" s="349" t="s">
        <v>3918</v>
      </c>
      <c r="C671" s="349" t="s">
        <v>3745</v>
      </c>
      <c r="D671" s="349" t="s">
        <v>54</v>
      </c>
      <c r="E671" s="349" t="s">
        <v>3556</v>
      </c>
      <c r="F671" s="413">
        <v>14376.0</v>
      </c>
      <c r="G671" s="787"/>
      <c r="H671" s="349" t="s">
        <v>4016</v>
      </c>
      <c r="I671" s="736" t="str">
        <f t="shared" si="20"/>
        <v>NOT PAID</v>
      </c>
      <c r="J671" s="402"/>
      <c r="K671" s="402"/>
      <c r="L671" s="402"/>
      <c r="M671" s="402"/>
      <c r="N671" s="402"/>
      <c r="O671" s="402"/>
      <c r="P671" s="402"/>
      <c r="Q671" s="402"/>
      <c r="R671" s="402"/>
      <c r="S671" s="402"/>
      <c r="T671" s="402"/>
      <c r="U671" s="402"/>
      <c r="V671" s="402"/>
      <c r="W671" s="402"/>
      <c r="X671" s="402"/>
      <c r="Y671" s="402"/>
      <c r="Z671" s="402"/>
      <c r="AA671" s="405"/>
      <c r="AB671" s="405"/>
      <c r="AC671" s="405"/>
      <c r="AD671" s="405"/>
      <c r="AE671" s="405"/>
      <c r="AF671" s="405"/>
      <c r="AG671" s="405"/>
      <c r="AH671" s="405"/>
      <c r="AI671" s="405"/>
      <c r="AJ671" s="405"/>
      <c r="AK671" s="405"/>
      <c r="AL671" s="405"/>
    </row>
    <row r="672" ht="14.25" customHeight="1">
      <c r="A672" s="497">
        <v>45526.0</v>
      </c>
      <c r="B672" s="349" t="s">
        <v>4017</v>
      </c>
      <c r="C672" s="349" t="s">
        <v>3763</v>
      </c>
      <c r="D672" s="349" t="s">
        <v>54</v>
      </c>
      <c r="E672" s="349" t="s">
        <v>3617</v>
      </c>
      <c r="F672" s="559">
        <v>68000.0</v>
      </c>
      <c r="G672" s="791">
        <v>92000.0</v>
      </c>
      <c r="H672" s="349" t="s">
        <v>710</v>
      </c>
      <c r="I672" s="736" t="str">
        <f t="shared" si="20"/>
        <v>FULLY PAID</v>
      </c>
      <c r="J672" s="402"/>
      <c r="K672" s="402"/>
      <c r="L672" s="402"/>
      <c r="M672" s="402"/>
      <c r="N672" s="402"/>
      <c r="O672" s="402"/>
      <c r="P672" s="402"/>
      <c r="Q672" s="402"/>
      <c r="R672" s="402"/>
      <c r="S672" s="402"/>
      <c r="T672" s="402"/>
      <c r="U672" s="402"/>
      <c r="V672" s="402"/>
      <c r="W672" s="402"/>
      <c r="X672" s="402"/>
      <c r="Y672" s="402"/>
      <c r="Z672" s="402"/>
      <c r="AA672" s="405"/>
      <c r="AB672" s="405"/>
      <c r="AC672" s="405"/>
      <c r="AD672" s="405"/>
      <c r="AE672" s="405"/>
      <c r="AF672" s="405"/>
      <c r="AG672" s="405"/>
      <c r="AH672" s="405"/>
      <c r="AI672" s="405"/>
      <c r="AJ672" s="405"/>
      <c r="AK672" s="405"/>
      <c r="AL672" s="405"/>
    </row>
    <row r="673" ht="14.25" customHeight="1">
      <c r="A673" s="497">
        <v>45526.0</v>
      </c>
      <c r="B673" s="349" t="s">
        <v>3978</v>
      </c>
      <c r="C673" s="349" t="s">
        <v>3979</v>
      </c>
      <c r="D673" s="349" t="s">
        <v>54</v>
      </c>
      <c r="E673" s="349" t="s">
        <v>3551</v>
      </c>
      <c r="F673" s="559">
        <v>56441.0</v>
      </c>
      <c r="G673" s="791"/>
      <c r="H673" s="349" t="s">
        <v>4014</v>
      </c>
      <c r="I673" s="736" t="str">
        <f t="shared" si="20"/>
        <v>NOT PAID</v>
      </c>
      <c r="J673" s="402"/>
      <c r="K673" s="402"/>
      <c r="L673" s="402"/>
      <c r="M673" s="402"/>
      <c r="N673" s="402"/>
      <c r="O673" s="402"/>
      <c r="P673" s="402"/>
      <c r="Q673" s="402"/>
      <c r="R673" s="402"/>
      <c r="S673" s="402"/>
      <c r="T673" s="402"/>
      <c r="U673" s="402"/>
      <c r="V673" s="402"/>
      <c r="W673" s="402"/>
      <c r="X673" s="402"/>
      <c r="Y673" s="402"/>
      <c r="Z673" s="402"/>
      <c r="AA673" s="405"/>
      <c r="AB673" s="405"/>
      <c r="AC673" s="405"/>
      <c r="AD673" s="405"/>
      <c r="AE673" s="405"/>
      <c r="AF673" s="405"/>
      <c r="AG673" s="405"/>
      <c r="AH673" s="405"/>
      <c r="AI673" s="405"/>
      <c r="AJ673" s="405"/>
      <c r="AK673" s="405"/>
      <c r="AL673" s="405"/>
    </row>
    <row r="674" ht="14.25" customHeight="1">
      <c r="A674" s="497">
        <v>45526.0</v>
      </c>
      <c r="B674" s="349" t="s">
        <v>3781</v>
      </c>
      <c r="C674" s="349" t="s">
        <v>3782</v>
      </c>
      <c r="D674" s="349" t="s">
        <v>54</v>
      </c>
      <c r="E674" s="349" t="s">
        <v>3551</v>
      </c>
      <c r="F674" s="751">
        <v>45000.0</v>
      </c>
      <c r="G674" s="792"/>
      <c r="H674" s="349" t="s">
        <v>4016</v>
      </c>
      <c r="I674" s="736" t="str">
        <f t="shared" si="20"/>
        <v>NOT PAID</v>
      </c>
      <c r="J674" s="402"/>
      <c r="K674" s="402"/>
      <c r="L674" s="402"/>
      <c r="M674" s="402"/>
      <c r="N674" s="402"/>
      <c r="O674" s="402"/>
      <c r="P674" s="402"/>
      <c r="Q674" s="402"/>
      <c r="R674" s="402"/>
      <c r="S674" s="402"/>
      <c r="T674" s="402"/>
      <c r="U674" s="402"/>
      <c r="V674" s="402"/>
      <c r="W674" s="402"/>
      <c r="X674" s="402"/>
      <c r="Y674" s="402"/>
      <c r="Z674" s="402"/>
      <c r="AA674" s="405"/>
      <c r="AB674" s="405"/>
      <c r="AC674" s="405"/>
      <c r="AD674" s="405"/>
      <c r="AE674" s="405"/>
      <c r="AF674" s="405"/>
      <c r="AG674" s="405"/>
      <c r="AH674" s="405"/>
      <c r="AI674" s="405"/>
      <c r="AJ674" s="405"/>
      <c r="AK674" s="405"/>
      <c r="AL674" s="405"/>
    </row>
    <row r="675" ht="14.25" customHeight="1">
      <c r="A675" s="497">
        <v>45526.0</v>
      </c>
      <c r="B675" s="349" t="s">
        <v>3561</v>
      </c>
      <c r="C675" s="349" t="s">
        <v>3562</v>
      </c>
      <c r="D675" s="349" t="s">
        <v>54</v>
      </c>
      <c r="E675" s="349" t="s">
        <v>3617</v>
      </c>
      <c r="F675" s="559">
        <v>150000.0</v>
      </c>
      <c r="G675" s="791">
        <v>195000.0</v>
      </c>
      <c r="H675" s="349" t="s">
        <v>710</v>
      </c>
      <c r="I675" s="736" t="str">
        <f t="shared" si="20"/>
        <v>FULLY PAID</v>
      </c>
      <c r="J675" s="402"/>
      <c r="K675" s="402"/>
      <c r="L675" s="402"/>
      <c r="M675" s="402"/>
      <c r="N675" s="402"/>
      <c r="O675" s="402"/>
      <c r="P675" s="402"/>
      <c r="Q675" s="402"/>
      <c r="R675" s="402"/>
      <c r="S675" s="402"/>
      <c r="T675" s="402"/>
      <c r="U675" s="402"/>
      <c r="V675" s="402"/>
      <c r="W675" s="402"/>
      <c r="X675" s="402"/>
      <c r="Y675" s="402"/>
      <c r="Z675" s="402"/>
      <c r="AA675" s="405"/>
      <c r="AB675" s="405"/>
      <c r="AC675" s="405"/>
      <c r="AD675" s="405"/>
      <c r="AE675" s="405"/>
      <c r="AF675" s="405"/>
      <c r="AG675" s="405"/>
      <c r="AH675" s="405"/>
      <c r="AI675" s="405"/>
      <c r="AJ675" s="405"/>
      <c r="AK675" s="405"/>
      <c r="AL675" s="405"/>
    </row>
    <row r="676" ht="14.25" customHeight="1">
      <c r="A676" s="497">
        <v>45526.0</v>
      </c>
      <c r="B676" s="789" t="s">
        <v>3663</v>
      </c>
      <c r="C676" s="789" t="s">
        <v>3705</v>
      </c>
      <c r="D676" s="790" t="s">
        <v>54</v>
      </c>
      <c r="E676" s="789" t="s">
        <v>3579</v>
      </c>
      <c r="F676" s="751">
        <v>164847.0</v>
      </c>
      <c r="G676" s="792"/>
      <c r="H676" s="349" t="s">
        <v>4018</v>
      </c>
      <c r="I676" s="736" t="str">
        <f t="shared" si="20"/>
        <v>NOT PAID</v>
      </c>
      <c r="J676" s="402"/>
      <c r="K676" s="402"/>
      <c r="L676" s="402"/>
      <c r="M676" s="402"/>
      <c r="N676" s="402"/>
      <c r="O676" s="402"/>
      <c r="P676" s="402"/>
      <c r="Q676" s="402"/>
      <c r="R676" s="402"/>
      <c r="S676" s="402"/>
      <c r="T676" s="402"/>
      <c r="U676" s="402"/>
      <c r="V676" s="402"/>
      <c r="W676" s="402"/>
      <c r="X676" s="402"/>
      <c r="Y676" s="402"/>
      <c r="Z676" s="402"/>
      <c r="AA676" s="405"/>
      <c r="AB676" s="405"/>
      <c r="AC676" s="405"/>
      <c r="AD676" s="405"/>
      <c r="AE676" s="405"/>
      <c r="AF676" s="405"/>
      <c r="AG676" s="405"/>
      <c r="AH676" s="405"/>
      <c r="AI676" s="405"/>
      <c r="AJ676" s="405"/>
      <c r="AK676" s="405"/>
      <c r="AL676" s="405"/>
    </row>
    <row r="677" ht="14.25" customHeight="1">
      <c r="A677" s="497">
        <v>45526.0</v>
      </c>
      <c r="B677" s="789" t="s">
        <v>3566</v>
      </c>
      <c r="C677" s="789" t="s">
        <v>3995</v>
      </c>
      <c r="D677" s="790" t="s">
        <v>54</v>
      </c>
      <c r="E677" s="789" t="s">
        <v>3579</v>
      </c>
      <c r="F677" s="751">
        <v>40000.0</v>
      </c>
      <c r="G677" s="792"/>
      <c r="H677" s="349" t="s">
        <v>4016</v>
      </c>
      <c r="I677" s="736" t="str">
        <f t="shared" si="20"/>
        <v>NOT PAID</v>
      </c>
      <c r="J677" s="402"/>
      <c r="K677" s="402"/>
      <c r="L677" s="402"/>
      <c r="M677" s="402"/>
      <c r="N677" s="402"/>
      <c r="O677" s="402"/>
      <c r="P677" s="402"/>
      <c r="Q677" s="402"/>
      <c r="R677" s="402"/>
      <c r="S677" s="402"/>
      <c r="T677" s="402"/>
      <c r="U677" s="402"/>
      <c r="V677" s="402"/>
      <c r="W677" s="402"/>
      <c r="X677" s="402"/>
      <c r="Y677" s="402"/>
      <c r="Z677" s="402"/>
      <c r="AA677" s="405"/>
      <c r="AB677" s="405"/>
      <c r="AC677" s="405"/>
      <c r="AD677" s="405"/>
      <c r="AE677" s="405"/>
      <c r="AF677" s="405"/>
      <c r="AG677" s="405"/>
      <c r="AH677" s="405"/>
      <c r="AI677" s="405"/>
      <c r="AJ677" s="405"/>
      <c r="AK677" s="405"/>
      <c r="AL677" s="405"/>
    </row>
    <row r="678" ht="14.25" customHeight="1">
      <c r="A678" s="497">
        <v>45526.0</v>
      </c>
      <c r="B678" s="349" t="s">
        <v>3938</v>
      </c>
      <c r="C678" s="349" t="s">
        <v>3688</v>
      </c>
      <c r="D678" s="349" t="s">
        <v>54</v>
      </c>
      <c r="E678" s="349" t="s">
        <v>3617</v>
      </c>
      <c r="F678" s="559">
        <v>40380.65</v>
      </c>
      <c r="G678" s="791">
        <v>41747.0</v>
      </c>
      <c r="H678" s="349" t="s">
        <v>710</v>
      </c>
      <c r="I678" s="736" t="str">
        <f t="shared" si="20"/>
        <v>FULLY PAID</v>
      </c>
      <c r="J678" s="402"/>
      <c r="K678" s="402"/>
      <c r="L678" s="402"/>
      <c r="M678" s="402"/>
      <c r="N678" s="402"/>
      <c r="O678" s="402"/>
      <c r="P678" s="402"/>
      <c r="Q678" s="402"/>
      <c r="R678" s="402"/>
      <c r="S678" s="402"/>
      <c r="T678" s="402"/>
      <c r="U678" s="402"/>
      <c r="V678" s="402"/>
      <c r="W678" s="402"/>
      <c r="X678" s="402"/>
      <c r="Y678" s="402"/>
      <c r="Z678" s="402"/>
      <c r="AA678" s="405"/>
      <c r="AB678" s="405"/>
      <c r="AC678" s="405"/>
      <c r="AD678" s="405"/>
      <c r="AE678" s="405"/>
      <c r="AF678" s="405"/>
      <c r="AG678" s="405"/>
      <c r="AH678" s="405"/>
      <c r="AI678" s="405"/>
      <c r="AJ678" s="405"/>
      <c r="AK678" s="405"/>
      <c r="AL678" s="405"/>
    </row>
    <row r="679" ht="14.25" customHeight="1">
      <c r="A679" s="497">
        <v>45526.0</v>
      </c>
      <c r="B679" s="349" t="s">
        <v>3834</v>
      </c>
      <c r="C679" s="349" t="s">
        <v>3835</v>
      </c>
      <c r="D679" s="349" t="s">
        <v>75</v>
      </c>
      <c r="E679" s="349" t="s">
        <v>3551</v>
      </c>
      <c r="F679" s="751">
        <v>101606.0</v>
      </c>
      <c r="G679" s="792">
        <v>125126.0</v>
      </c>
      <c r="H679" s="349" t="s">
        <v>710</v>
      </c>
      <c r="I679" s="736" t="str">
        <f t="shared" si="20"/>
        <v>FULLY PAID</v>
      </c>
      <c r="J679" s="402"/>
      <c r="K679" s="402"/>
      <c r="L679" s="402"/>
      <c r="M679" s="402"/>
      <c r="N679" s="402"/>
      <c r="O679" s="402"/>
      <c r="P679" s="402"/>
      <c r="Q679" s="402"/>
      <c r="R679" s="402"/>
      <c r="S679" s="402"/>
      <c r="T679" s="402"/>
      <c r="U679" s="402"/>
      <c r="V679" s="402"/>
      <c r="W679" s="402"/>
      <c r="X679" s="402"/>
      <c r="Y679" s="402"/>
      <c r="Z679" s="402"/>
      <c r="AA679" s="405"/>
      <c r="AB679" s="405"/>
      <c r="AC679" s="405"/>
      <c r="AD679" s="405"/>
      <c r="AE679" s="405"/>
      <c r="AF679" s="405"/>
      <c r="AG679" s="405"/>
      <c r="AH679" s="405"/>
      <c r="AI679" s="405"/>
      <c r="AJ679" s="405"/>
      <c r="AK679" s="405"/>
      <c r="AL679" s="405"/>
    </row>
    <row r="680" ht="14.25" customHeight="1">
      <c r="A680" s="497">
        <v>45526.0</v>
      </c>
      <c r="B680" s="349" t="s">
        <v>3821</v>
      </c>
      <c r="C680" s="349" t="s">
        <v>3822</v>
      </c>
      <c r="D680" s="349" t="s">
        <v>54</v>
      </c>
      <c r="E680" s="349" t="s">
        <v>3556</v>
      </c>
      <c r="F680" s="686">
        <v>30479.0</v>
      </c>
      <c r="G680" s="787"/>
      <c r="H680" s="349" t="s">
        <v>4016</v>
      </c>
      <c r="I680" s="736" t="str">
        <f t="shared" si="20"/>
        <v>NOT PAID</v>
      </c>
      <c r="J680" s="402"/>
      <c r="K680" s="402"/>
      <c r="L680" s="402"/>
      <c r="M680" s="402"/>
      <c r="N680" s="402"/>
      <c r="O680" s="402"/>
      <c r="P680" s="402"/>
      <c r="Q680" s="402"/>
      <c r="R680" s="402"/>
      <c r="S680" s="402"/>
      <c r="T680" s="402"/>
      <c r="U680" s="402"/>
      <c r="V680" s="402"/>
      <c r="W680" s="402"/>
      <c r="X680" s="402"/>
      <c r="Y680" s="402"/>
      <c r="Z680" s="402"/>
      <c r="AA680" s="405"/>
      <c r="AB680" s="405"/>
      <c r="AC680" s="405"/>
      <c r="AD680" s="405"/>
      <c r="AE680" s="405"/>
      <c r="AF680" s="405"/>
      <c r="AG680" s="405"/>
      <c r="AH680" s="405"/>
      <c r="AI680" s="405"/>
      <c r="AJ680" s="405"/>
      <c r="AK680" s="405"/>
      <c r="AL680" s="405"/>
    </row>
    <row r="681" ht="14.25" customHeight="1">
      <c r="A681" s="497">
        <v>45526.0</v>
      </c>
      <c r="B681" s="349" t="s">
        <v>3573</v>
      </c>
      <c r="C681" s="349" t="s">
        <v>3574</v>
      </c>
      <c r="D681" s="349" t="s">
        <v>54</v>
      </c>
      <c r="E681" s="349" t="s">
        <v>3551</v>
      </c>
      <c r="F681" s="751">
        <v>216000.0</v>
      </c>
      <c r="G681" s="792"/>
      <c r="H681" s="349" t="s">
        <v>4019</v>
      </c>
      <c r="I681" s="736" t="str">
        <f t="shared" si="20"/>
        <v>NOT PAID</v>
      </c>
      <c r="J681" s="402"/>
      <c r="K681" s="402"/>
      <c r="L681" s="402"/>
      <c r="M681" s="402"/>
      <c r="N681" s="402"/>
      <c r="O681" s="402"/>
      <c r="P681" s="402"/>
      <c r="Q681" s="402"/>
      <c r="R681" s="402"/>
      <c r="S681" s="402"/>
      <c r="T681" s="402"/>
      <c r="U681" s="402"/>
      <c r="V681" s="402"/>
      <c r="W681" s="402"/>
      <c r="X681" s="402"/>
      <c r="Y681" s="402"/>
      <c r="Z681" s="402"/>
      <c r="AA681" s="405"/>
      <c r="AB681" s="405"/>
      <c r="AC681" s="405"/>
      <c r="AD681" s="405"/>
      <c r="AE681" s="405"/>
      <c r="AF681" s="405"/>
      <c r="AG681" s="405"/>
      <c r="AH681" s="405"/>
      <c r="AI681" s="405"/>
      <c r="AJ681" s="405"/>
      <c r="AK681" s="405"/>
      <c r="AL681" s="405"/>
    </row>
    <row r="682" ht="14.25" customHeight="1">
      <c r="A682" s="497">
        <v>45526.0</v>
      </c>
      <c r="B682" s="349" t="s">
        <v>3988</v>
      </c>
      <c r="C682" s="349" t="s">
        <v>3835</v>
      </c>
      <c r="D682" s="349" t="s">
        <v>54</v>
      </c>
      <c r="E682" s="349" t="s">
        <v>3579</v>
      </c>
      <c r="F682" s="413">
        <v>300000.0</v>
      </c>
      <c r="G682" s="787">
        <v>724874.0</v>
      </c>
      <c r="H682" s="349" t="s">
        <v>710</v>
      </c>
      <c r="I682" s="736" t="str">
        <f t="shared" si="20"/>
        <v>FULLY PAID</v>
      </c>
      <c r="J682" s="402"/>
      <c r="K682" s="402"/>
      <c r="L682" s="402"/>
      <c r="M682" s="402"/>
      <c r="N682" s="402"/>
      <c r="O682" s="402"/>
      <c r="P682" s="402"/>
      <c r="Q682" s="402"/>
      <c r="R682" s="402"/>
      <c r="S682" s="402"/>
      <c r="T682" s="402"/>
      <c r="U682" s="402"/>
      <c r="V682" s="402"/>
      <c r="W682" s="402"/>
      <c r="X682" s="402"/>
      <c r="Y682" s="402"/>
      <c r="Z682" s="402"/>
      <c r="AA682" s="405"/>
      <c r="AB682" s="405"/>
      <c r="AC682" s="405"/>
      <c r="AD682" s="405"/>
      <c r="AE682" s="405"/>
      <c r="AF682" s="405"/>
      <c r="AG682" s="405"/>
      <c r="AH682" s="405"/>
      <c r="AI682" s="405"/>
      <c r="AJ682" s="405"/>
      <c r="AK682" s="405"/>
      <c r="AL682" s="405"/>
    </row>
    <row r="683" ht="14.25" customHeight="1">
      <c r="A683" s="497">
        <v>45526.0</v>
      </c>
      <c r="B683" s="349" t="s">
        <v>3911</v>
      </c>
      <c r="C683" s="349" t="s">
        <v>4013</v>
      </c>
      <c r="D683" s="349" t="s">
        <v>54</v>
      </c>
      <c r="E683" s="349" t="s">
        <v>3556</v>
      </c>
      <c r="F683" s="751">
        <v>4833.0</v>
      </c>
      <c r="G683" s="792"/>
      <c r="H683" s="349" t="s">
        <v>4014</v>
      </c>
      <c r="I683" s="736" t="str">
        <f t="shared" si="20"/>
        <v>NOT PAID</v>
      </c>
      <c r="J683" s="402"/>
      <c r="K683" s="402"/>
      <c r="L683" s="402"/>
      <c r="M683" s="402"/>
      <c r="N683" s="402"/>
      <c r="O683" s="402"/>
      <c r="P683" s="402"/>
      <c r="Q683" s="402"/>
      <c r="R683" s="402"/>
      <c r="S683" s="402"/>
      <c r="T683" s="402"/>
      <c r="U683" s="402"/>
      <c r="V683" s="402"/>
      <c r="W683" s="402"/>
      <c r="X683" s="402"/>
      <c r="Y683" s="402"/>
      <c r="Z683" s="402"/>
      <c r="AA683" s="405"/>
      <c r="AB683" s="405"/>
      <c r="AC683" s="405"/>
      <c r="AD683" s="405"/>
      <c r="AE683" s="405"/>
      <c r="AF683" s="405"/>
      <c r="AG683" s="405"/>
      <c r="AH683" s="405"/>
      <c r="AI683" s="405"/>
      <c r="AJ683" s="405"/>
      <c r="AK683" s="405"/>
      <c r="AL683" s="405"/>
    </row>
    <row r="684" ht="14.25" customHeight="1">
      <c r="A684" s="497">
        <v>45526.0</v>
      </c>
      <c r="B684" s="349" t="s">
        <v>3974</v>
      </c>
      <c r="C684" s="349" t="s">
        <v>4020</v>
      </c>
      <c r="D684" s="349" t="s">
        <v>3785</v>
      </c>
      <c r="E684" s="349" t="s">
        <v>3556</v>
      </c>
      <c r="F684" s="413">
        <v>4579.0</v>
      </c>
      <c r="G684" s="787"/>
      <c r="H684" s="349" t="s">
        <v>4021</v>
      </c>
      <c r="I684" s="736" t="str">
        <f t="shared" si="20"/>
        <v>NOT PAID</v>
      </c>
      <c r="J684" s="402"/>
      <c r="K684" s="402"/>
      <c r="L684" s="402"/>
      <c r="M684" s="402"/>
      <c r="N684" s="402"/>
      <c r="O684" s="402"/>
      <c r="P684" s="402"/>
      <c r="Q684" s="402"/>
      <c r="R684" s="402"/>
      <c r="S684" s="402"/>
      <c r="T684" s="402"/>
      <c r="U684" s="402"/>
      <c r="V684" s="402"/>
      <c r="W684" s="402"/>
      <c r="X684" s="402"/>
      <c r="Y684" s="402"/>
      <c r="Z684" s="402"/>
      <c r="AA684" s="405"/>
      <c r="AB684" s="405"/>
      <c r="AC684" s="405"/>
      <c r="AD684" s="405"/>
      <c r="AE684" s="405"/>
      <c r="AF684" s="405"/>
      <c r="AG684" s="405"/>
      <c r="AH684" s="405"/>
      <c r="AI684" s="405"/>
      <c r="AJ684" s="405"/>
      <c r="AK684" s="405"/>
      <c r="AL684" s="405"/>
    </row>
    <row r="685" ht="14.25" customHeight="1">
      <c r="A685" s="497">
        <v>45526.0</v>
      </c>
      <c r="B685" s="349" t="s">
        <v>3964</v>
      </c>
      <c r="C685" s="349" t="s">
        <v>3965</v>
      </c>
      <c r="D685" s="349" t="s">
        <v>3785</v>
      </c>
      <c r="E685" s="349" t="s">
        <v>3556</v>
      </c>
      <c r="F685" s="413">
        <v>3915.0</v>
      </c>
      <c r="G685" s="787"/>
      <c r="H685" s="349" t="s">
        <v>4021</v>
      </c>
      <c r="I685" s="736" t="str">
        <f t="shared" si="20"/>
        <v>NOT PAID</v>
      </c>
      <c r="J685" s="402"/>
      <c r="K685" s="402"/>
      <c r="L685" s="402"/>
      <c r="M685" s="402"/>
      <c r="N685" s="402"/>
      <c r="O685" s="402"/>
      <c r="P685" s="402"/>
      <c r="Q685" s="402"/>
      <c r="R685" s="402"/>
      <c r="S685" s="402"/>
      <c r="T685" s="402"/>
      <c r="U685" s="402"/>
      <c r="V685" s="402"/>
      <c r="W685" s="402"/>
      <c r="X685" s="402"/>
      <c r="Y685" s="402"/>
      <c r="Z685" s="402"/>
      <c r="AA685" s="405"/>
      <c r="AB685" s="405"/>
      <c r="AC685" s="405"/>
      <c r="AD685" s="405"/>
      <c r="AE685" s="405"/>
      <c r="AF685" s="405"/>
      <c r="AG685" s="405"/>
      <c r="AH685" s="405"/>
      <c r="AI685" s="405"/>
      <c r="AJ685" s="405"/>
      <c r="AK685" s="405"/>
      <c r="AL685" s="405"/>
    </row>
    <row r="686" ht="14.25" customHeight="1">
      <c r="A686" s="497">
        <v>45526.0</v>
      </c>
      <c r="B686" s="349" t="s">
        <v>3623</v>
      </c>
      <c r="C686" s="349" t="s">
        <v>3624</v>
      </c>
      <c r="D686" s="349" t="s">
        <v>54</v>
      </c>
      <c r="E686" s="349" t="s">
        <v>3617</v>
      </c>
      <c r="F686" s="413">
        <v>12557.0</v>
      </c>
      <c r="G686" s="787"/>
      <c r="H686" s="349" t="s">
        <v>4015</v>
      </c>
      <c r="I686" s="736" t="str">
        <f t="shared" si="20"/>
        <v>NOT PAID</v>
      </c>
      <c r="J686" s="402"/>
      <c r="K686" s="402"/>
      <c r="L686" s="402"/>
      <c r="M686" s="402"/>
      <c r="N686" s="402"/>
      <c r="O686" s="402"/>
      <c r="P686" s="402"/>
      <c r="Q686" s="402"/>
      <c r="R686" s="402"/>
      <c r="S686" s="402"/>
      <c r="T686" s="402"/>
      <c r="U686" s="402"/>
      <c r="V686" s="402"/>
      <c r="W686" s="402"/>
      <c r="X686" s="402"/>
      <c r="Y686" s="402"/>
      <c r="Z686" s="402"/>
      <c r="AA686" s="405"/>
      <c r="AB686" s="405"/>
      <c r="AC686" s="405"/>
      <c r="AD686" s="405"/>
      <c r="AE686" s="405"/>
      <c r="AF686" s="405"/>
      <c r="AG686" s="405"/>
      <c r="AH686" s="405"/>
      <c r="AI686" s="405"/>
      <c r="AJ686" s="405"/>
      <c r="AK686" s="405"/>
      <c r="AL686" s="405"/>
    </row>
    <row r="687" ht="14.25" customHeight="1">
      <c r="A687" s="497">
        <v>45526.0</v>
      </c>
      <c r="B687" s="349" t="s">
        <v>3802</v>
      </c>
      <c r="C687" s="349" t="s">
        <v>3670</v>
      </c>
      <c r="D687" s="349" t="s">
        <v>54</v>
      </c>
      <c r="E687" s="349" t="s">
        <v>3617</v>
      </c>
      <c r="F687" s="413">
        <v>23649.0</v>
      </c>
      <c r="G687" s="787"/>
      <c r="H687" s="349" t="s">
        <v>4015</v>
      </c>
      <c r="I687" s="736" t="str">
        <f t="shared" si="20"/>
        <v>NOT PAID</v>
      </c>
      <c r="J687" s="402"/>
      <c r="K687" s="402"/>
      <c r="L687" s="402"/>
      <c r="M687" s="402"/>
      <c r="N687" s="402"/>
      <c r="O687" s="402"/>
      <c r="P687" s="402"/>
      <c r="Q687" s="402"/>
      <c r="R687" s="402"/>
      <c r="S687" s="402"/>
      <c r="T687" s="402"/>
      <c r="U687" s="402"/>
      <c r="V687" s="402"/>
      <c r="W687" s="402"/>
      <c r="X687" s="402"/>
      <c r="Y687" s="402"/>
      <c r="Z687" s="402"/>
      <c r="AA687" s="405"/>
      <c r="AB687" s="405"/>
      <c r="AC687" s="405"/>
      <c r="AD687" s="405"/>
      <c r="AE687" s="405"/>
      <c r="AF687" s="405"/>
      <c r="AG687" s="405"/>
      <c r="AH687" s="405"/>
      <c r="AI687" s="405"/>
      <c r="AJ687" s="405"/>
      <c r="AK687" s="405"/>
      <c r="AL687" s="405"/>
    </row>
    <row r="688" ht="14.25" customHeight="1">
      <c r="A688" s="497">
        <v>45526.0</v>
      </c>
      <c r="B688" s="599" t="s">
        <v>3608</v>
      </c>
      <c r="C688" s="599" t="s">
        <v>3637</v>
      </c>
      <c r="D688" s="599" t="s">
        <v>59</v>
      </c>
      <c r="E688" s="599" t="s">
        <v>3579</v>
      </c>
      <c r="F688" s="768">
        <v>500000.0</v>
      </c>
      <c r="G688" s="793"/>
      <c r="H688" s="349" t="s">
        <v>3994</v>
      </c>
      <c r="I688" s="736" t="str">
        <f t="shared" si="20"/>
        <v>NOT PAID</v>
      </c>
      <c r="J688" s="402"/>
      <c r="K688" s="402"/>
      <c r="L688" s="402"/>
      <c r="M688" s="402"/>
      <c r="N688" s="402"/>
      <c r="O688" s="402"/>
      <c r="P688" s="402"/>
      <c r="Q688" s="402"/>
      <c r="R688" s="402"/>
      <c r="S688" s="402"/>
      <c r="T688" s="402"/>
      <c r="U688" s="402"/>
      <c r="V688" s="402"/>
      <c r="W688" s="402"/>
      <c r="X688" s="402"/>
      <c r="Y688" s="402"/>
      <c r="Z688" s="402"/>
      <c r="AA688" s="405"/>
      <c r="AB688" s="405"/>
      <c r="AC688" s="405"/>
      <c r="AD688" s="405"/>
      <c r="AE688" s="405"/>
      <c r="AF688" s="405"/>
      <c r="AG688" s="405"/>
      <c r="AH688" s="405"/>
      <c r="AI688" s="405"/>
      <c r="AJ688" s="405"/>
      <c r="AK688" s="405"/>
      <c r="AL688" s="405"/>
    </row>
    <row r="689" ht="14.25" customHeight="1">
      <c r="A689" s="497"/>
      <c r="B689" s="402"/>
      <c r="C689" s="402"/>
      <c r="D689" s="402"/>
      <c r="E689" s="402"/>
      <c r="F689" s="586">
        <f t="shared" ref="F689:G689" si="27">SUM(F668:F688)</f>
        <v>1857485.65</v>
      </c>
      <c r="G689" s="586">
        <f t="shared" si="27"/>
        <v>1178747</v>
      </c>
      <c r="H689" s="402"/>
      <c r="I689" s="736" t="str">
        <f t="shared" si="20"/>
        <v>PARTIALLY PAID</v>
      </c>
      <c r="J689" s="402"/>
      <c r="K689" s="402"/>
      <c r="L689" s="402"/>
      <c r="M689" s="402"/>
      <c r="N689" s="402"/>
      <c r="O689" s="402"/>
      <c r="P689" s="402"/>
      <c r="Q689" s="402"/>
      <c r="R689" s="402"/>
      <c r="S689" s="402"/>
      <c r="T689" s="402"/>
      <c r="U689" s="402"/>
      <c r="V689" s="402"/>
      <c r="W689" s="402"/>
      <c r="X689" s="402"/>
      <c r="Y689" s="402"/>
      <c r="Z689" s="402"/>
      <c r="AA689" s="405"/>
      <c r="AB689" s="405"/>
      <c r="AC689" s="405"/>
      <c r="AD689" s="405"/>
      <c r="AE689" s="405"/>
      <c r="AF689" s="405"/>
      <c r="AG689" s="405"/>
      <c r="AH689" s="405"/>
      <c r="AI689" s="405"/>
      <c r="AJ689" s="405"/>
      <c r="AK689" s="405"/>
      <c r="AL689" s="405"/>
    </row>
    <row r="690" ht="14.25" customHeight="1">
      <c r="A690" s="497"/>
      <c r="B690" s="402"/>
      <c r="C690" s="402"/>
      <c r="D690" s="402"/>
      <c r="E690" s="402"/>
      <c r="F690" s="402"/>
      <c r="G690" s="403"/>
      <c r="H690" s="402"/>
      <c r="I690" s="736" t="str">
        <f t="shared" si="20"/>
        <v>FULLY PAID</v>
      </c>
      <c r="J690" s="402"/>
      <c r="K690" s="402"/>
      <c r="L690" s="402"/>
      <c r="M690" s="402"/>
      <c r="N690" s="402"/>
      <c r="O690" s="402"/>
      <c r="P690" s="402"/>
      <c r="Q690" s="402"/>
      <c r="R690" s="402"/>
      <c r="S690" s="402"/>
      <c r="T690" s="402"/>
      <c r="U690" s="402"/>
      <c r="V690" s="402"/>
      <c r="W690" s="402"/>
      <c r="X690" s="402"/>
      <c r="Y690" s="402"/>
      <c r="Z690" s="402"/>
      <c r="AA690" s="405"/>
      <c r="AB690" s="405"/>
      <c r="AC690" s="405"/>
      <c r="AD690" s="405"/>
      <c r="AE690" s="405"/>
      <c r="AF690" s="405"/>
      <c r="AG690" s="405"/>
      <c r="AH690" s="405"/>
      <c r="AI690" s="405"/>
      <c r="AJ690" s="405"/>
      <c r="AK690" s="405"/>
      <c r="AL690" s="405"/>
    </row>
    <row r="691" ht="14.25" customHeight="1">
      <c r="A691" s="402"/>
      <c r="B691" s="402"/>
      <c r="C691" s="402"/>
      <c r="D691" s="402"/>
      <c r="E691" s="402"/>
      <c r="F691" s="402"/>
      <c r="G691" s="403"/>
      <c r="H691" s="402"/>
      <c r="I691" s="736" t="str">
        <f t="shared" si="20"/>
        <v>FULLY PAID</v>
      </c>
      <c r="J691" s="402"/>
      <c r="K691" s="402"/>
      <c r="L691" s="402"/>
      <c r="M691" s="402"/>
      <c r="N691" s="402"/>
      <c r="O691" s="402"/>
      <c r="P691" s="402"/>
      <c r="Q691" s="402"/>
      <c r="R691" s="402"/>
      <c r="S691" s="402"/>
      <c r="T691" s="402"/>
      <c r="U691" s="402"/>
      <c r="V691" s="402"/>
      <c r="W691" s="402"/>
      <c r="X691" s="402"/>
      <c r="Y691" s="402"/>
      <c r="Z691" s="402"/>
      <c r="AA691" s="405"/>
      <c r="AB691" s="405"/>
      <c r="AC691" s="405"/>
      <c r="AD691" s="405"/>
      <c r="AE691" s="405"/>
      <c r="AF691" s="405"/>
      <c r="AG691" s="405"/>
      <c r="AH691" s="405"/>
      <c r="AI691" s="405"/>
      <c r="AJ691" s="405"/>
      <c r="AK691" s="405"/>
      <c r="AL691" s="405"/>
    </row>
    <row r="692" ht="14.25" customHeight="1">
      <c r="A692" s="584" t="s">
        <v>2130</v>
      </c>
      <c r="B692" s="584" t="s">
        <v>39</v>
      </c>
      <c r="C692" s="584" t="s">
        <v>48</v>
      </c>
      <c r="D692" s="584" t="s">
        <v>49</v>
      </c>
      <c r="E692" s="584" t="s">
        <v>50</v>
      </c>
      <c r="F692" s="584" t="s">
        <v>2</v>
      </c>
      <c r="G692" s="586" t="s">
        <v>44</v>
      </c>
      <c r="H692" s="424" t="s">
        <v>45</v>
      </c>
      <c r="I692" s="736" t="str">
        <f t="shared" si="20"/>
        <v>FULLY PAID</v>
      </c>
      <c r="J692" s="402"/>
      <c r="K692" s="402"/>
      <c r="L692" s="402"/>
      <c r="M692" s="402"/>
      <c r="N692" s="402"/>
      <c r="O692" s="402"/>
      <c r="P692" s="402"/>
      <c r="Q692" s="402"/>
      <c r="R692" s="402"/>
      <c r="S692" s="402"/>
      <c r="T692" s="402"/>
      <c r="U692" s="402"/>
      <c r="V692" s="402"/>
      <c r="W692" s="402"/>
      <c r="X692" s="402"/>
      <c r="Y692" s="402"/>
      <c r="Z692" s="402"/>
      <c r="AA692" s="405"/>
      <c r="AB692" s="405"/>
      <c r="AC692" s="405"/>
      <c r="AD692" s="405"/>
      <c r="AE692" s="405"/>
      <c r="AF692" s="405"/>
      <c r="AG692" s="405"/>
      <c r="AH692" s="405"/>
      <c r="AI692" s="405"/>
      <c r="AJ692" s="405"/>
      <c r="AK692" s="405"/>
      <c r="AL692" s="405"/>
    </row>
    <row r="693" ht="14.25" customHeight="1">
      <c r="A693" s="497">
        <v>45527.0</v>
      </c>
      <c r="B693" s="349" t="s">
        <v>3628</v>
      </c>
      <c r="C693" s="349" t="s">
        <v>3629</v>
      </c>
      <c r="D693" s="349" t="s">
        <v>54</v>
      </c>
      <c r="E693" s="349" t="s">
        <v>3551</v>
      </c>
      <c r="F693" s="751">
        <v>45000.0</v>
      </c>
      <c r="G693" s="413">
        <v>57079.0</v>
      </c>
      <c r="H693" s="349" t="s">
        <v>710</v>
      </c>
      <c r="I693" s="736" t="str">
        <f t="shared" si="20"/>
        <v>FULLY PAID</v>
      </c>
      <c r="J693" s="402"/>
      <c r="K693" s="402"/>
      <c r="L693" s="402"/>
      <c r="M693" s="402"/>
      <c r="N693" s="402"/>
      <c r="O693" s="402"/>
      <c r="P693" s="402"/>
      <c r="Q693" s="402"/>
      <c r="R693" s="402"/>
      <c r="S693" s="402"/>
      <c r="T693" s="402"/>
      <c r="U693" s="402"/>
      <c r="V693" s="402"/>
      <c r="W693" s="402"/>
      <c r="X693" s="402"/>
      <c r="Y693" s="402"/>
      <c r="Z693" s="402"/>
      <c r="AA693" s="405"/>
      <c r="AB693" s="405"/>
      <c r="AC693" s="405"/>
      <c r="AD693" s="405"/>
      <c r="AE693" s="405"/>
      <c r="AF693" s="405"/>
      <c r="AG693" s="405"/>
      <c r="AH693" s="405"/>
      <c r="AI693" s="405"/>
      <c r="AJ693" s="405"/>
      <c r="AK693" s="405"/>
      <c r="AL693" s="405"/>
    </row>
    <row r="694" ht="14.25" customHeight="1">
      <c r="A694" s="497">
        <v>45527.0</v>
      </c>
      <c r="B694" s="789" t="s">
        <v>3663</v>
      </c>
      <c r="C694" s="789" t="s">
        <v>3705</v>
      </c>
      <c r="D694" s="790" t="s">
        <v>54</v>
      </c>
      <c r="E694" s="789" t="s">
        <v>3579</v>
      </c>
      <c r="F694" s="751">
        <v>275055.0</v>
      </c>
      <c r="G694" s="403"/>
      <c r="H694" s="349" t="s">
        <v>4022</v>
      </c>
      <c r="I694" s="736" t="str">
        <f t="shared" si="20"/>
        <v>NOT PAID</v>
      </c>
      <c r="J694" s="402"/>
      <c r="K694" s="402"/>
      <c r="L694" s="402"/>
      <c r="M694" s="402"/>
      <c r="N694" s="402"/>
      <c r="O694" s="402"/>
      <c r="P694" s="402"/>
      <c r="Q694" s="402"/>
      <c r="R694" s="402"/>
      <c r="S694" s="402"/>
      <c r="T694" s="402"/>
      <c r="U694" s="402"/>
      <c r="V694" s="402"/>
      <c r="W694" s="402"/>
      <c r="X694" s="402"/>
      <c r="Y694" s="402"/>
      <c r="Z694" s="402"/>
      <c r="AA694" s="405"/>
      <c r="AB694" s="405"/>
      <c r="AC694" s="405"/>
      <c r="AD694" s="405"/>
      <c r="AE694" s="405"/>
      <c r="AF694" s="405"/>
      <c r="AG694" s="405"/>
      <c r="AH694" s="405"/>
      <c r="AI694" s="405"/>
      <c r="AJ694" s="405"/>
      <c r="AK694" s="405"/>
      <c r="AL694" s="405"/>
    </row>
    <row r="695" ht="14.25" customHeight="1">
      <c r="A695" s="497">
        <v>45527.0</v>
      </c>
      <c r="B695" s="789" t="s">
        <v>3630</v>
      </c>
      <c r="C695" s="789" t="s">
        <v>3629</v>
      </c>
      <c r="D695" s="790" t="s">
        <v>54</v>
      </c>
      <c r="E695" s="789" t="s">
        <v>3579</v>
      </c>
      <c r="F695" s="751">
        <v>40000.0</v>
      </c>
      <c r="G695" s="413">
        <v>40379.0</v>
      </c>
      <c r="H695" s="349" t="s">
        <v>710</v>
      </c>
      <c r="I695" s="736" t="str">
        <f t="shared" si="20"/>
        <v>FULLY PAID</v>
      </c>
      <c r="J695" s="402"/>
      <c r="K695" s="402"/>
      <c r="L695" s="402"/>
      <c r="M695" s="402"/>
      <c r="N695" s="402"/>
      <c r="O695" s="402"/>
      <c r="P695" s="402"/>
      <c r="Q695" s="402"/>
      <c r="R695" s="402"/>
      <c r="S695" s="402"/>
      <c r="T695" s="402"/>
      <c r="U695" s="402"/>
      <c r="V695" s="402"/>
      <c r="W695" s="402"/>
      <c r="X695" s="402"/>
      <c r="Y695" s="402"/>
      <c r="Z695" s="402"/>
      <c r="AA695" s="405"/>
      <c r="AB695" s="405"/>
      <c r="AC695" s="405"/>
      <c r="AD695" s="405"/>
      <c r="AE695" s="405"/>
      <c r="AF695" s="405"/>
      <c r="AG695" s="405"/>
      <c r="AH695" s="405"/>
      <c r="AI695" s="405"/>
      <c r="AJ695" s="405"/>
      <c r="AK695" s="405"/>
      <c r="AL695" s="405"/>
    </row>
    <row r="696" ht="14.25" customHeight="1">
      <c r="A696" s="497">
        <v>45527.0</v>
      </c>
      <c r="B696" s="349" t="s">
        <v>3821</v>
      </c>
      <c r="C696" s="349" t="s">
        <v>3822</v>
      </c>
      <c r="D696" s="349" t="s">
        <v>54</v>
      </c>
      <c r="E696" s="349" t="s">
        <v>3556</v>
      </c>
      <c r="F696" s="686">
        <v>30479.0</v>
      </c>
      <c r="G696" s="403"/>
      <c r="H696" s="349" t="s">
        <v>4023</v>
      </c>
      <c r="I696" s="736" t="str">
        <f t="shared" si="20"/>
        <v>NOT PAID</v>
      </c>
      <c r="J696" s="402"/>
      <c r="K696" s="402"/>
      <c r="L696" s="402"/>
      <c r="M696" s="402"/>
      <c r="N696" s="402"/>
      <c r="O696" s="402"/>
      <c r="P696" s="402"/>
      <c r="Q696" s="402"/>
      <c r="R696" s="402"/>
      <c r="S696" s="402"/>
      <c r="T696" s="402"/>
      <c r="U696" s="402"/>
      <c r="V696" s="402"/>
      <c r="W696" s="402"/>
      <c r="X696" s="402"/>
      <c r="Y696" s="402"/>
      <c r="Z696" s="402"/>
      <c r="AA696" s="405"/>
      <c r="AB696" s="405"/>
      <c r="AC696" s="405"/>
      <c r="AD696" s="405"/>
      <c r="AE696" s="405"/>
      <c r="AF696" s="405"/>
      <c r="AG696" s="405"/>
      <c r="AH696" s="405"/>
      <c r="AI696" s="405"/>
      <c r="AJ696" s="405"/>
      <c r="AK696" s="405"/>
      <c r="AL696" s="405"/>
    </row>
    <row r="697" ht="14.25" customHeight="1">
      <c r="A697" s="497">
        <v>45527.0</v>
      </c>
      <c r="B697" s="349" t="s">
        <v>3573</v>
      </c>
      <c r="C697" s="349" t="s">
        <v>3574</v>
      </c>
      <c r="D697" s="349" t="s">
        <v>54</v>
      </c>
      <c r="E697" s="349" t="s">
        <v>3551</v>
      </c>
      <c r="F697" s="751">
        <v>216000.0</v>
      </c>
      <c r="G697" s="403"/>
      <c r="H697" s="349" t="s">
        <v>4024</v>
      </c>
      <c r="I697" s="736" t="str">
        <f t="shared" si="20"/>
        <v>NOT PAID</v>
      </c>
      <c r="J697" s="402"/>
      <c r="K697" s="402"/>
      <c r="L697" s="402"/>
      <c r="M697" s="402"/>
      <c r="N697" s="402"/>
      <c r="O697" s="402"/>
      <c r="P697" s="402"/>
      <c r="Q697" s="402"/>
      <c r="R697" s="402"/>
      <c r="S697" s="402"/>
      <c r="T697" s="402"/>
      <c r="U697" s="402"/>
      <c r="V697" s="402"/>
      <c r="W697" s="402"/>
      <c r="X697" s="402"/>
      <c r="Y697" s="402"/>
      <c r="Z697" s="402"/>
      <c r="AA697" s="405"/>
      <c r="AB697" s="405"/>
      <c r="AC697" s="405"/>
      <c r="AD697" s="405"/>
      <c r="AE697" s="405"/>
      <c r="AF697" s="405"/>
      <c r="AG697" s="405"/>
      <c r="AH697" s="405"/>
      <c r="AI697" s="405"/>
      <c r="AJ697" s="405"/>
      <c r="AK697" s="405"/>
      <c r="AL697" s="405"/>
    </row>
    <row r="698" ht="14.25" customHeight="1">
      <c r="A698" s="497">
        <v>45527.0</v>
      </c>
      <c r="B698" s="349" t="s">
        <v>3911</v>
      </c>
      <c r="C698" s="349" t="s">
        <v>4013</v>
      </c>
      <c r="D698" s="349" t="s">
        <v>54</v>
      </c>
      <c r="E698" s="349" t="s">
        <v>3556</v>
      </c>
      <c r="F698" s="751">
        <v>4833.0</v>
      </c>
      <c r="G698" s="403"/>
      <c r="H698" s="349" t="s">
        <v>4025</v>
      </c>
      <c r="I698" s="736" t="str">
        <f t="shared" si="20"/>
        <v>NOT PAID</v>
      </c>
      <c r="J698" s="402"/>
      <c r="K698" s="402"/>
      <c r="L698" s="402"/>
      <c r="M698" s="402"/>
      <c r="N698" s="402"/>
      <c r="O698" s="402"/>
      <c r="P698" s="402"/>
      <c r="Q698" s="402"/>
      <c r="R698" s="402"/>
      <c r="S698" s="402"/>
      <c r="T698" s="402"/>
      <c r="U698" s="402"/>
      <c r="V698" s="402"/>
      <c r="W698" s="402"/>
      <c r="X698" s="402"/>
      <c r="Y698" s="402"/>
      <c r="Z698" s="402"/>
      <c r="AA698" s="405"/>
      <c r="AB698" s="405"/>
      <c r="AC698" s="405"/>
      <c r="AD698" s="405"/>
      <c r="AE698" s="405"/>
      <c r="AF698" s="405"/>
      <c r="AG698" s="405"/>
      <c r="AH698" s="405"/>
      <c r="AI698" s="405"/>
      <c r="AJ698" s="405"/>
      <c r="AK698" s="405"/>
      <c r="AL698" s="405"/>
    </row>
    <row r="699" ht="14.25" customHeight="1">
      <c r="A699" s="497">
        <v>45527.0</v>
      </c>
      <c r="B699" s="349" t="s">
        <v>3974</v>
      </c>
      <c r="C699" s="349" t="s">
        <v>4020</v>
      </c>
      <c r="D699" s="349" t="s">
        <v>3785</v>
      </c>
      <c r="E699" s="349" t="s">
        <v>3556</v>
      </c>
      <c r="F699" s="413">
        <v>4579.0</v>
      </c>
      <c r="G699" s="403"/>
      <c r="H699" s="349" t="s">
        <v>4025</v>
      </c>
      <c r="I699" s="736" t="str">
        <f t="shared" si="20"/>
        <v>NOT PAID</v>
      </c>
      <c r="J699" s="402"/>
      <c r="K699" s="402"/>
      <c r="L699" s="402"/>
      <c r="M699" s="402"/>
      <c r="N699" s="402"/>
      <c r="O699" s="402"/>
      <c r="P699" s="402"/>
      <c r="Q699" s="402"/>
      <c r="R699" s="402"/>
      <c r="S699" s="402"/>
      <c r="T699" s="402"/>
      <c r="U699" s="402"/>
      <c r="V699" s="402"/>
      <c r="W699" s="402"/>
      <c r="X699" s="402"/>
      <c r="Y699" s="402"/>
      <c r="Z699" s="402"/>
      <c r="AA699" s="405"/>
      <c r="AB699" s="405"/>
      <c r="AC699" s="405"/>
      <c r="AD699" s="405"/>
      <c r="AE699" s="405"/>
      <c r="AF699" s="405"/>
      <c r="AG699" s="405"/>
      <c r="AH699" s="405"/>
      <c r="AI699" s="405"/>
      <c r="AJ699" s="405"/>
      <c r="AK699" s="405"/>
      <c r="AL699" s="405"/>
    </row>
    <row r="700" ht="14.25" customHeight="1">
      <c r="A700" s="497">
        <v>45527.0</v>
      </c>
      <c r="B700" s="349" t="s">
        <v>3964</v>
      </c>
      <c r="C700" s="349" t="s">
        <v>3965</v>
      </c>
      <c r="D700" s="349" t="s">
        <v>3785</v>
      </c>
      <c r="E700" s="349" t="s">
        <v>3556</v>
      </c>
      <c r="F700" s="413">
        <v>3915.0</v>
      </c>
      <c r="G700" s="403"/>
      <c r="H700" s="349" t="s">
        <v>4026</v>
      </c>
      <c r="I700" s="736" t="str">
        <f t="shared" si="20"/>
        <v>NOT PAID</v>
      </c>
      <c r="J700" s="402"/>
      <c r="K700" s="402"/>
      <c r="L700" s="402"/>
      <c r="M700" s="402"/>
      <c r="N700" s="402"/>
      <c r="O700" s="402"/>
      <c r="P700" s="402"/>
      <c r="Q700" s="402"/>
      <c r="R700" s="402"/>
      <c r="S700" s="402"/>
      <c r="T700" s="402"/>
      <c r="U700" s="402"/>
      <c r="V700" s="402"/>
      <c r="W700" s="402"/>
      <c r="X700" s="402"/>
      <c r="Y700" s="402"/>
      <c r="Z700" s="402"/>
      <c r="AA700" s="405"/>
      <c r="AB700" s="405"/>
      <c r="AC700" s="405"/>
      <c r="AD700" s="405"/>
      <c r="AE700" s="405"/>
      <c r="AF700" s="405"/>
      <c r="AG700" s="405"/>
      <c r="AH700" s="405"/>
      <c r="AI700" s="405"/>
      <c r="AJ700" s="405"/>
      <c r="AK700" s="405"/>
      <c r="AL700" s="405"/>
    </row>
    <row r="701" ht="14.25" customHeight="1">
      <c r="A701" s="497">
        <v>45527.0</v>
      </c>
      <c r="B701" s="349" t="s">
        <v>3623</v>
      </c>
      <c r="C701" s="349" t="s">
        <v>3624</v>
      </c>
      <c r="D701" s="349" t="s">
        <v>54</v>
      </c>
      <c r="E701" s="349" t="s">
        <v>3617</v>
      </c>
      <c r="F701" s="413">
        <v>12557.0</v>
      </c>
      <c r="G701" s="403"/>
      <c r="H701" s="349" t="s">
        <v>4027</v>
      </c>
      <c r="I701" s="736" t="str">
        <f t="shared" si="20"/>
        <v>NOT PAID</v>
      </c>
      <c r="J701" s="402"/>
      <c r="K701" s="402"/>
      <c r="L701" s="402"/>
      <c r="M701" s="402"/>
      <c r="N701" s="402"/>
      <c r="O701" s="402"/>
      <c r="P701" s="402"/>
      <c r="Q701" s="402"/>
      <c r="R701" s="402"/>
      <c r="S701" s="402"/>
      <c r="T701" s="402"/>
      <c r="U701" s="402"/>
      <c r="V701" s="402"/>
      <c r="W701" s="402"/>
      <c r="X701" s="402"/>
      <c r="Y701" s="402"/>
      <c r="Z701" s="402"/>
      <c r="AA701" s="405"/>
      <c r="AB701" s="405"/>
      <c r="AC701" s="405"/>
      <c r="AD701" s="405"/>
      <c r="AE701" s="405"/>
      <c r="AF701" s="405"/>
      <c r="AG701" s="405"/>
      <c r="AH701" s="405"/>
      <c r="AI701" s="405"/>
      <c r="AJ701" s="405"/>
      <c r="AK701" s="405"/>
      <c r="AL701" s="405"/>
    </row>
    <row r="702" ht="14.25" customHeight="1">
      <c r="A702" s="497">
        <v>45527.0</v>
      </c>
      <c r="B702" s="349" t="s">
        <v>3802</v>
      </c>
      <c r="C702" s="349" t="s">
        <v>3670</v>
      </c>
      <c r="D702" s="349" t="s">
        <v>54</v>
      </c>
      <c r="E702" s="349" t="s">
        <v>3617</v>
      </c>
      <c r="F702" s="413">
        <v>23649.0</v>
      </c>
      <c r="G702" s="403"/>
      <c r="H702" s="349" t="s">
        <v>4028</v>
      </c>
      <c r="I702" s="736" t="str">
        <f t="shared" si="20"/>
        <v>NOT PAID</v>
      </c>
      <c r="J702" s="402"/>
      <c r="K702" s="402"/>
      <c r="L702" s="402"/>
      <c r="M702" s="402"/>
      <c r="N702" s="402"/>
      <c r="O702" s="402"/>
      <c r="P702" s="402"/>
      <c r="Q702" s="402"/>
      <c r="R702" s="402"/>
      <c r="S702" s="402"/>
      <c r="T702" s="402"/>
      <c r="U702" s="402"/>
      <c r="V702" s="402"/>
      <c r="W702" s="402"/>
      <c r="X702" s="402"/>
      <c r="Y702" s="402"/>
      <c r="Z702" s="402"/>
      <c r="AA702" s="405"/>
      <c r="AB702" s="405"/>
      <c r="AC702" s="405"/>
      <c r="AD702" s="405"/>
      <c r="AE702" s="405"/>
      <c r="AF702" s="405"/>
      <c r="AG702" s="405"/>
      <c r="AH702" s="405"/>
      <c r="AI702" s="405"/>
      <c r="AJ702" s="405"/>
      <c r="AK702" s="405"/>
      <c r="AL702" s="405"/>
    </row>
    <row r="703" ht="14.25" customHeight="1">
      <c r="A703" s="497">
        <v>45527.0</v>
      </c>
      <c r="B703" s="349" t="s">
        <v>3728</v>
      </c>
      <c r="C703" s="349" t="s">
        <v>3729</v>
      </c>
      <c r="D703" s="349" t="s">
        <v>54</v>
      </c>
      <c r="E703" s="349" t="s">
        <v>3556</v>
      </c>
      <c r="F703" s="413">
        <v>40872.0</v>
      </c>
      <c r="G703" s="403"/>
      <c r="H703" s="349" t="s">
        <v>4029</v>
      </c>
      <c r="I703" s="736" t="str">
        <f t="shared" si="20"/>
        <v>NOT PAID</v>
      </c>
      <c r="J703" s="402"/>
      <c r="K703" s="402"/>
      <c r="L703" s="402"/>
      <c r="M703" s="402"/>
      <c r="N703" s="402"/>
      <c r="O703" s="402"/>
      <c r="P703" s="402"/>
      <c r="Q703" s="402"/>
      <c r="R703" s="402"/>
      <c r="S703" s="402"/>
      <c r="T703" s="402"/>
      <c r="U703" s="402"/>
      <c r="V703" s="402"/>
      <c r="W703" s="402"/>
      <c r="X703" s="402"/>
      <c r="Y703" s="402"/>
      <c r="Z703" s="402"/>
      <c r="AA703" s="405"/>
      <c r="AB703" s="405"/>
      <c r="AC703" s="405"/>
      <c r="AD703" s="405"/>
      <c r="AE703" s="405"/>
      <c r="AF703" s="405"/>
      <c r="AG703" s="405"/>
      <c r="AH703" s="405"/>
      <c r="AI703" s="405"/>
      <c r="AJ703" s="405"/>
      <c r="AK703" s="405"/>
      <c r="AL703" s="405"/>
    </row>
    <row r="704" ht="14.25" customHeight="1">
      <c r="A704" s="497">
        <v>45527.0</v>
      </c>
      <c r="B704" s="349" t="s">
        <v>3606</v>
      </c>
      <c r="C704" s="349" t="s">
        <v>3607</v>
      </c>
      <c r="D704" s="349" t="s">
        <v>54</v>
      </c>
      <c r="E704" s="349" t="s">
        <v>3551</v>
      </c>
      <c r="F704" s="413">
        <v>33362.0</v>
      </c>
      <c r="G704" s="403"/>
      <c r="H704" s="349" t="s">
        <v>4029</v>
      </c>
      <c r="I704" s="736" t="str">
        <f t="shared" si="20"/>
        <v>NOT PAID</v>
      </c>
      <c r="J704" s="402"/>
      <c r="K704" s="402"/>
      <c r="L704" s="402"/>
      <c r="M704" s="402"/>
      <c r="N704" s="402"/>
      <c r="O704" s="402"/>
      <c r="P704" s="402"/>
      <c r="Q704" s="402"/>
      <c r="R704" s="402"/>
      <c r="S704" s="402"/>
      <c r="T704" s="402"/>
      <c r="U704" s="402"/>
      <c r="V704" s="402"/>
      <c r="W704" s="402"/>
      <c r="X704" s="402"/>
      <c r="Y704" s="402"/>
      <c r="Z704" s="402"/>
      <c r="AA704" s="405"/>
      <c r="AB704" s="405"/>
      <c r="AC704" s="405"/>
      <c r="AD704" s="405"/>
      <c r="AE704" s="405"/>
      <c r="AF704" s="405"/>
      <c r="AG704" s="405"/>
      <c r="AH704" s="405"/>
      <c r="AI704" s="405"/>
      <c r="AJ704" s="405"/>
      <c r="AK704" s="405"/>
      <c r="AL704" s="405"/>
    </row>
    <row r="705" ht="14.25" customHeight="1">
      <c r="A705" s="497">
        <v>45527.0</v>
      </c>
      <c r="B705" s="349" t="s">
        <v>3789</v>
      </c>
      <c r="C705" s="349" t="s">
        <v>3790</v>
      </c>
      <c r="D705" s="349" t="s">
        <v>54</v>
      </c>
      <c r="E705" s="349" t="s">
        <v>3617</v>
      </c>
      <c r="F705" s="413">
        <v>6589.0</v>
      </c>
      <c r="G705" s="403"/>
      <c r="H705" s="349" t="s">
        <v>4028</v>
      </c>
      <c r="I705" s="736" t="str">
        <f t="shared" si="20"/>
        <v>NOT PAID</v>
      </c>
      <c r="J705" s="402"/>
      <c r="K705" s="402"/>
      <c r="L705" s="402"/>
      <c r="M705" s="402"/>
      <c r="N705" s="402"/>
      <c r="O705" s="402"/>
      <c r="P705" s="402"/>
      <c r="Q705" s="402"/>
      <c r="R705" s="402"/>
      <c r="S705" s="402"/>
      <c r="T705" s="402"/>
      <c r="U705" s="402"/>
      <c r="V705" s="402"/>
      <c r="W705" s="402"/>
      <c r="X705" s="402"/>
      <c r="Y705" s="402"/>
      <c r="Z705" s="402"/>
      <c r="AA705" s="405"/>
      <c r="AB705" s="405"/>
      <c r="AC705" s="405"/>
      <c r="AD705" s="405"/>
      <c r="AE705" s="405"/>
      <c r="AF705" s="405"/>
      <c r="AG705" s="405"/>
      <c r="AH705" s="405"/>
      <c r="AI705" s="405"/>
      <c r="AJ705" s="405"/>
      <c r="AK705" s="405"/>
      <c r="AL705" s="405"/>
    </row>
    <row r="706" ht="14.25" customHeight="1">
      <c r="A706" s="497">
        <v>45527.0</v>
      </c>
      <c r="B706" s="349" t="s">
        <v>3918</v>
      </c>
      <c r="C706" s="349" t="s">
        <v>3745</v>
      </c>
      <c r="D706" s="349" t="s">
        <v>54</v>
      </c>
      <c r="E706" s="349" t="s">
        <v>3556</v>
      </c>
      <c r="F706" s="413">
        <v>14376.0</v>
      </c>
      <c r="G706" s="403"/>
      <c r="H706" s="349" t="s">
        <v>4030</v>
      </c>
      <c r="I706" s="736" t="str">
        <f t="shared" si="20"/>
        <v>NOT PAID</v>
      </c>
      <c r="J706" s="402"/>
      <c r="K706" s="402"/>
      <c r="L706" s="402"/>
      <c r="M706" s="402"/>
      <c r="N706" s="402"/>
      <c r="O706" s="402"/>
      <c r="P706" s="402"/>
      <c r="Q706" s="402"/>
      <c r="R706" s="402"/>
      <c r="S706" s="402"/>
      <c r="T706" s="402"/>
      <c r="U706" s="402"/>
      <c r="V706" s="402"/>
      <c r="W706" s="402"/>
      <c r="X706" s="402"/>
      <c r="Y706" s="402"/>
      <c r="Z706" s="402"/>
      <c r="AA706" s="405"/>
      <c r="AB706" s="405"/>
      <c r="AC706" s="405"/>
      <c r="AD706" s="405"/>
      <c r="AE706" s="405"/>
      <c r="AF706" s="405"/>
      <c r="AG706" s="405"/>
      <c r="AH706" s="405"/>
      <c r="AI706" s="405"/>
      <c r="AJ706" s="405"/>
      <c r="AK706" s="405"/>
      <c r="AL706" s="405"/>
    </row>
    <row r="707" ht="14.25" customHeight="1">
      <c r="A707" s="497">
        <v>45527.0</v>
      </c>
      <c r="B707" s="349" t="s">
        <v>3978</v>
      </c>
      <c r="C707" s="349" t="s">
        <v>3979</v>
      </c>
      <c r="D707" s="349" t="s">
        <v>54</v>
      </c>
      <c r="E707" s="349" t="s">
        <v>3551</v>
      </c>
      <c r="F707" s="559">
        <v>56441.0</v>
      </c>
      <c r="G707" s="403"/>
      <c r="H707" s="349" t="s">
        <v>4028</v>
      </c>
      <c r="I707" s="736" t="str">
        <f t="shared" si="20"/>
        <v>NOT PAID</v>
      </c>
      <c r="J707" s="402"/>
      <c r="K707" s="402"/>
      <c r="L707" s="402"/>
      <c r="M707" s="402"/>
      <c r="N707" s="402"/>
      <c r="O707" s="402"/>
      <c r="P707" s="402"/>
      <c r="Q707" s="402"/>
      <c r="R707" s="402"/>
      <c r="S707" s="402"/>
      <c r="T707" s="402"/>
      <c r="U707" s="402"/>
      <c r="V707" s="402"/>
      <c r="W707" s="402"/>
      <c r="X707" s="402"/>
      <c r="Y707" s="402"/>
      <c r="Z707" s="402"/>
      <c r="AA707" s="405"/>
      <c r="AB707" s="405"/>
      <c r="AC707" s="405"/>
      <c r="AD707" s="405"/>
      <c r="AE707" s="405"/>
      <c r="AF707" s="405"/>
      <c r="AG707" s="405"/>
      <c r="AH707" s="405"/>
      <c r="AI707" s="405"/>
      <c r="AJ707" s="405"/>
      <c r="AK707" s="405"/>
      <c r="AL707" s="405"/>
    </row>
    <row r="708" ht="14.25" customHeight="1">
      <c r="A708" s="497">
        <v>45527.0</v>
      </c>
      <c r="B708" s="349" t="s">
        <v>3982</v>
      </c>
      <c r="C708" s="349" t="s">
        <v>3983</v>
      </c>
      <c r="D708" s="349" t="s">
        <v>54</v>
      </c>
      <c r="E708" s="349" t="s">
        <v>3617</v>
      </c>
      <c r="F708" s="559">
        <v>68000.0</v>
      </c>
      <c r="G708" s="403"/>
      <c r="H708" s="349" t="s">
        <v>4028</v>
      </c>
      <c r="I708" s="736" t="str">
        <f t="shared" si="20"/>
        <v>NOT PAID</v>
      </c>
      <c r="J708" s="402"/>
      <c r="K708" s="402"/>
      <c r="L708" s="402"/>
      <c r="M708" s="402"/>
      <c r="N708" s="402"/>
      <c r="O708" s="402"/>
      <c r="P708" s="402"/>
      <c r="Q708" s="402"/>
      <c r="R708" s="402"/>
      <c r="S708" s="402"/>
      <c r="T708" s="402"/>
      <c r="U708" s="402"/>
      <c r="V708" s="402"/>
      <c r="W708" s="402"/>
      <c r="X708" s="402"/>
      <c r="Y708" s="402"/>
      <c r="Z708" s="402"/>
      <c r="AA708" s="405"/>
      <c r="AB708" s="405"/>
      <c r="AC708" s="405"/>
      <c r="AD708" s="405"/>
      <c r="AE708" s="405"/>
      <c r="AF708" s="405"/>
      <c r="AG708" s="405"/>
      <c r="AH708" s="405"/>
      <c r="AI708" s="405"/>
      <c r="AJ708" s="405"/>
      <c r="AK708" s="405"/>
      <c r="AL708" s="405"/>
    </row>
    <row r="709" ht="14.25" customHeight="1">
      <c r="A709" s="497">
        <v>45527.0</v>
      </c>
      <c r="B709" s="349" t="s">
        <v>4031</v>
      </c>
      <c r="C709" s="349" t="s">
        <v>3863</v>
      </c>
      <c r="D709" s="349" t="s">
        <v>54</v>
      </c>
      <c r="E709" s="349" t="s">
        <v>3556</v>
      </c>
      <c r="F709" s="751">
        <v>101606.0</v>
      </c>
      <c r="G709" s="413">
        <v>600000.0</v>
      </c>
      <c r="H709" s="349" t="s">
        <v>56</v>
      </c>
      <c r="I709" s="736" t="str">
        <f t="shared" si="20"/>
        <v>FULLY PAID</v>
      </c>
      <c r="J709" s="402"/>
      <c r="K709" s="402"/>
      <c r="L709" s="402"/>
      <c r="M709" s="402"/>
      <c r="N709" s="402"/>
      <c r="O709" s="402"/>
      <c r="P709" s="402"/>
      <c r="Q709" s="402"/>
      <c r="R709" s="402"/>
      <c r="S709" s="402"/>
      <c r="T709" s="402"/>
      <c r="U709" s="402"/>
      <c r="V709" s="402"/>
      <c r="W709" s="402"/>
      <c r="X709" s="402"/>
      <c r="Y709" s="402"/>
      <c r="Z709" s="402"/>
      <c r="AA709" s="405"/>
      <c r="AB709" s="405"/>
      <c r="AC709" s="405"/>
      <c r="AD709" s="405"/>
      <c r="AE709" s="405"/>
      <c r="AF709" s="405"/>
      <c r="AG709" s="405"/>
      <c r="AH709" s="405"/>
      <c r="AI709" s="405"/>
      <c r="AJ709" s="405"/>
      <c r="AK709" s="405"/>
      <c r="AL709" s="405"/>
    </row>
    <row r="710" ht="14.25" customHeight="1">
      <c r="A710" s="497">
        <v>45527.0</v>
      </c>
      <c r="B710" s="349" t="s">
        <v>3563</v>
      </c>
      <c r="C710" s="349" t="s">
        <v>3564</v>
      </c>
      <c r="D710" s="349" t="s">
        <v>54</v>
      </c>
      <c r="E710" s="349" t="s">
        <v>3579</v>
      </c>
      <c r="F710" s="413">
        <v>135000.0</v>
      </c>
      <c r="G710" s="403"/>
      <c r="H710" s="349" t="s">
        <v>4032</v>
      </c>
      <c r="I710" s="736" t="str">
        <f t="shared" si="20"/>
        <v>NOT PAID</v>
      </c>
      <c r="J710" s="402"/>
      <c r="K710" s="402"/>
      <c r="L710" s="402"/>
      <c r="M710" s="402"/>
      <c r="N710" s="402"/>
      <c r="O710" s="402"/>
      <c r="P710" s="402"/>
      <c r="Q710" s="402"/>
      <c r="R710" s="402"/>
      <c r="S710" s="402"/>
      <c r="T710" s="402"/>
      <c r="U710" s="402"/>
      <c r="V710" s="402"/>
      <c r="W710" s="402"/>
      <c r="X710" s="402"/>
      <c r="Y710" s="402"/>
      <c r="Z710" s="402"/>
      <c r="AA710" s="405"/>
      <c r="AB710" s="405"/>
      <c r="AC710" s="405"/>
      <c r="AD710" s="405"/>
      <c r="AE710" s="405"/>
      <c r="AF710" s="405"/>
      <c r="AG710" s="405"/>
      <c r="AH710" s="405"/>
      <c r="AI710" s="405"/>
      <c r="AJ710" s="405"/>
      <c r="AK710" s="405"/>
      <c r="AL710" s="405"/>
    </row>
    <row r="711" ht="14.25" customHeight="1">
      <c r="A711" s="497">
        <v>45527.0</v>
      </c>
      <c r="B711" s="349" t="s">
        <v>3691</v>
      </c>
      <c r="C711" s="349" t="s">
        <v>3772</v>
      </c>
      <c r="D711" s="349" t="s">
        <v>54</v>
      </c>
      <c r="E711" s="349" t="s">
        <v>3579</v>
      </c>
      <c r="F711" s="751">
        <v>150000.0</v>
      </c>
      <c r="G711" s="403"/>
      <c r="H711" s="349" t="s">
        <v>4022</v>
      </c>
      <c r="I711" s="736" t="str">
        <f t="shared" si="20"/>
        <v>NOT PAID</v>
      </c>
      <c r="J711" s="402"/>
      <c r="K711" s="402"/>
      <c r="L711" s="402"/>
      <c r="M711" s="402"/>
      <c r="N711" s="402"/>
      <c r="O711" s="402"/>
      <c r="P711" s="402"/>
      <c r="Q711" s="402"/>
      <c r="R711" s="402"/>
      <c r="S711" s="402"/>
      <c r="T711" s="402"/>
      <c r="U711" s="402"/>
      <c r="V711" s="402"/>
      <c r="W711" s="402"/>
      <c r="X711" s="402"/>
      <c r="Y711" s="402"/>
      <c r="Z711" s="402"/>
      <c r="AA711" s="405"/>
      <c r="AB711" s="405"/>
      <c r="AC711" s="405"/>
      <c r="AD711" s="405"/>
      <c r="AE711" s="405"/>
      <c r="AF711" s="405"/>
      <c r="AG711" s="405"/>
      <c r="AH711" s="405"/>
      <c r="AI711" s="405"/>
      <c r="AJ711" s="405"/>
      <c r="AK711" s="405"/>
      <c r="AL711" s="405"/>
    </row>
    <row r="712" ht="14.25" customHeight="1">
      <c r="A712" s="497">
        <v>45527.0</v>
      </c>
      <c r="B712" s="349" t="s">
        <v>3991</v>
      </c>
      <c r="C712" s="349" t="s">
        <v>3975</v>
      </c>
      <c r="D712" s="349" t="s">
        <v>3785</v>
      </c>
      <c r="E712" s="349" t="s">
        <v>3617</v>
      </c>
      <c r="F712" s="413">
        <v>360.0</v>
      </c>
      <c r="G712" s="413">
        <v>360.0</v>
      </c>
      <c r="H712" s="349" t="s">
        <v>710</v>
      </c>
      <c r="I712" s="736" t="str">
        <f t="shared" si="20"/>
        <v>FULLY PAID</v>
      </c>
      <c r="J712" s="402"/>
      <c r="K712" s="402"/>
      <c r="L712" s="402"/>
      <c r="M712" s="402"/>
      <c r="N712" s="402"/>
      <c r="O712" s="402"/>
      <c r="P712" s="402"/>
      <c r="Q712" s="402"/>
      <c r="R712" s="402"/>
      <c r="S712" s="402"/>
      <c r="T712" s="402"/>
      <c r="U712" s="402"/>
      <c r="V712" s="402"/>
      <c r="W712" s="402"/>
      <c r="X712" s="402"/>
      <c r="Y712" s="402"/>
      <c r="Z712" s="402"/>
      <c r="AA712" s="405"/>
      <c r="AB712" s="405"/>
      <c r="AC712" s="405"/>
      <c r="AD712" s="405"/>
      <c r="AE712" s="405"/>
      <c r="AF712" s="405"/>
      <c r="AG712" s="405"/>
      <c r="AH712" s="405"/>
      <c r="AI712" s="405"/>
      <c r="AJ712" s="405"/>
      <c r="AK712" s="405"/>
      <c r="AL712" s="405"/>
    </row>
    <row r="713" ht="14.25" customHeight="1">
      <c r="A713" s="402"/>
      <c r="B713" s="402"/>
      <c r="C713" s="402"/>
      <c r="D713" s="402"/>
      <c r="E713" s="402"/>
      <c r="F713" s="402"/>
      <c r="G713" s="403"/>
      <c r="H713" s="402"/>
      <c r="I713" s="736" t="str">
        <f t="shared" si="20"/>
        <v>FULLY PAID</v>
      </c>
      <c r="J713" s="402"/>
      <c r="K713" s="402"/>
      <c r="L713" s="402"/>
      <c r="M713" s="402"/>
      <c r="N713" s="402"/>
      <c r="O713" s="402"/>
      <c r="P713" s="402"/>
      <c r="Q713" s="402"/>
      <c r="R713" s="402"/>
      <c r="S713" s="402"/>
      <c r="T713" s="402"/>
      <c r="U713" s="402"/>
      <c r="V713" s="402"/>
      <c r="W713" s="402"/>
      <c r="X713" s="402"/>
      <c r="Y713" s="402"/>
      <c r="Z713" s="402"/>
      <c r="AA713" s="405"/>
      <c r="AB713" s="405"/>
      <c r="AC713" s="405"/>
      <c r="AD713" s="405"/>
      <c r="AE713" s="405"/>
      <c r="AF713" s="405"/>
      <c r="AG713" s="405"/>
      <c r="AH713" s="405"/>
      <c r="AI713" s="405"/>
      <c r="AJ713" s="405"/>
      <c r="AK713" s="405"/>
      <c r="AL713" s="405"/>
    </row>
    <row r="714" ht="14.25" customHeight="1">
      <c r="A714" s="497">
        <v>45527.0</v>
      </c>
      <c r="B714" s="599" t="s">
        <v>3608</v>
      </c>
      <c r="C714" s="471" t="s">
        <v>3637</v>
      </c>
      <c r="D714" s="471" t="s">
        <v>59</v>
      </c>
      <c r="E714" s="471" t="s">
        <v>3579</v>
      </c>
      <c r="F714" s="600">
        <v>500000.0</v>
      </c>
      <c r="G714" s="470"/>
      <c r="H714" s="471"/>
      <c r="I714" s="736" t="str">
        <f t="shared" si="20"/>
        <v>NOT PAID</v>
      </c>
      <c r="J714" s="402"/>
      <c r="K714" s="402"/>
      <c r="L714" s="402"/>
      <c r="M714" s="402"/>
      <c r="N714" s="402"/>
      <c r="O714" s="402"/>
      <c r="P714" s="402"/>
      <c r="Q714" s="402"/>
      <c r="R714" s="402"/>
      <c r="S714" s="402"/>
      <c r="T714" s="402"/>
      <c r="U714" s="402"/>
      <c r="V714" s="402"/>
      <c r="W714" s="402"/>
      <c r="X714" s="402"/>
      <c r="Y714" s="402"/>
      <c r="Z714" s="402"/>
      <c r="AA714" s="405"/>
      <c r="AB714" s="405"/>
      <c r="AC714" s="405"/>
      <c r="AD714" s="405"/>
      <c r="AE714" s="405"/>
      <c r="AF714" s="405"/>
      <c r="AG714" s="405"/>
      <c r="AH714" s="405"/>
      <c r="AI714" s="405"/>
      <c r="AJ714" s="405"/>
      <c r="AK714" s="405"/>
      <c r="AL714" s="405"/>
    </row>
    <row r="715" ht="14.25" customHeight="1">
      <c r="A715" s="402"/>
      <c r="B715" s="402"/>
      <c r="C715" s="402"/>
      <c r="D715" s="402"/>
      <c r="E715" s="402"/>
      <c r="F715" s="402"/>
      <c r="G715" s="403"/>
      <c r="H715" s="402"/>
      <c r="I715" s="736" t="str">
        <f t="shared" si="20"/>
        <v>FULLY PAID</v>
      </c>
      <c r="J715" s="402"/>
      <c r="K715" s="402"/>
      <c r="L715" s="402"/>
      <c r="M715" s="402"/>
      <c r="N715" s="402"/>
      <c r="O715" s="402"/>
      <c r="P715" s="402"/>
      <c r="Q715" s="402"/>
      <c r="R715" s="402"/>
      <c r="S715" s="402"/>
      <c r="T715" s="402"/>
      <c r="U715" s="402"/>
      <c r="V715" s="402"/>
      <c r="W715" s="402"/>
      <c r="X715" s="402"/>
      <c r="Y715" s="402"/>
      <c r="Z715" s="402"/>
      <c r="AA715" s="405"/>
      <c r="AB715" s="405"/>
      <c r="AC715" s="405"/>
      <c r="AD715" s="405"/>
      <c r="AE715" s="405"/>
      <c r="AF715" s="405"/>
      <c r="AG715" s="405"/>
      <c r="AH715" s="405"/>
      <c r="AI715" s="405"/>
      <c r="AJ715" s="405"/>
      <c r="AK715" s="405"/>
      <c r="AL715" s="405"/>
    </row>
    <row r="716" ht="14.25" customHeight="1">
      <c r="A716" s="402"/>
      <c r="B716" s="402"/>
      <c r="C716" s="402"/>
      <c r="D716" s="402"/>
      <c r="E716" s="402"/>
      <c r="F716" s="403">
        <f t="shared" ref="F716:G716" si="28">SUM(F693:F715)</f>
        <v>1762673</v>
      </c>
      <c r="G716" s="403">
        <f t="shared" si="28"/>
        <v>697818</v>
      </c>
      <c r="H716" s="402"/>
      <c r="I716" s="736" t="str">
        <f t="shared" si="20"/>
        <v>PARTIALLY PAID</v>
      </c>
      <c r="J716" s="402"/>
      <c r="K716" s="402"/>
      <c r="L716" s="402"/>
      <c r="M716" s="402"/>
      <c r="N716" s="402"/>
      <c r="O716" s="402"/>
      <c r="P716" s="402"/>
      <c r="Q716" s="402"/>
      <c r="R716" s="402"/>
      <c r="S716" s="402"/>
      <c r="T716" s="402"/>
      <c r="U716" s="402"/>
      <c r="V716" s="402"/>
      <c r="W716" s="402"/>
      <c r="X716" s="402"/>
      <c r="Y716" s="402"/>
      <c r="Z716" s="402"/>
      <c r="AA716" s="405"/>
      <c r="AB716" s="405"/>
      <c r="AC716" s="405"/>
      <c r="AD716" s="405"/>
      <c r="AE716" s="405"/>
      <c r="AF716" s="405"/>
      <c r="AG716" s="405"/>
      <c r="AH716" s="405"/>
      <c r="AI716" s="405"/>
      <c r="AJ716" s="405"/>
      <c r="AK716" s="405"/>
      <c r="AL716" s="405"/>
    </row>
    <row r="717" ht="14.25" customHeight="1">
      <c r="A717" s="402"/>
      <c r="B717" s="402"/>
      <c r="C717" s="402"/>
      <c r="D717" s="402"/>
      <c r="E717" s="402"/>
      <c r="F717" s="402"/>
      <c r="G717" s="403"/>
      <c r="H717" s="402"/>
      <c r="I717" s="736" t="str">
        <f t="shared" si="20"/>
        <v>FULLY PAID</v>
      </c>
      <c r="J717" s="402"/>
      <c r="K717" s="402"/>
      <c r="L717" s="402"/>
      <c r="M717" s="402"/>
      <c r="N717" s="402"/>
      <c r="O717" s="402"/>
      <c r="P717" s="402"/>
      <c r="Q717" s="402"/>
      <c r="R717" s="402"/>
      <c r="S717" s="402"/>
      <c r="T717" s="402"/>
      <c r="U717" s="402"/>
      <c r="V717" s="402"/>
      <c r="W717" s="402"/>
      <c r="X717" s="402"/>
      <c r="Y717" s="402"/>
      <c r="Z717" s="402"/>
      <c r="AA717" s="405"/>
      <c r="AB717" s="405"/>
      <c r="AC717" s="405"/>
      <c r="AD717" s="405"/>
      <c r="AE717" s="405"/>
      <c r="AF717" s="405"/>
      <c r="AG717" s="405"/>
      <c r="AH717" s="405"/>
      <c r="AI717" s="405"/>
      <c r="AJ717" s="405"/>
      <c r="AK717" s="405"/>
      <c r="AL717" s="405"/>
    </row>
    <row r="718" ht="14.25" customHeight="1">
      <c r="A718" s="402"/>
      <c r="B718" s="402"/>
      <c r="C718" s="402"/>
      <c r="D718" s="402"/>
      <c r="E718" s="402"/>
      <c r="F718" s="402"/>
      <c r="G718" s="403"/>
      <c r="H718" s="402"/>
      <c r="I718" s="736" t="str">
        <f t="shared" si="20"/>
        <v>FULLY PAID</v>
      </c>
      <c r="J718" s="402"/>
      <c r="K718" s="402"/>
      <c r="L718" s="402"/>
      <c r="M718" s="402"/>
      <c r="N718" s="402"/>
      <c r="O718" s="402"/>
      <c r="P718" s="402"/>
      <c r="Q718" s="402"/>
      <c r="R718" s="402"/>
      <c r="S718" s="402"/>
      <c r="T718" s="402"/>
      <c r="U718" s="402"/>
      <c r="V718" s="402"/>
      <c r="W718" s="402"/>
      <c r="X718" s="402"/>
      <c r="Y718" s="402"/>
      <c r="Z718" s="402"/>
      <c r="AA718" s="405"/>
      <c r="AB718" s="405"/>
      <c r="AC718" s="405"/>
      <c r="AD718" s="405"/>
      <c r="AE718" s="405"/>
      <c r="AF718" s="405"/>
      <c r="AG718" s="405"/>
      <c r="AH718" s="405"/>
      <c r="AI718" s="405"/>
      <c r="AJ718" s="405"/>
      <c r="AK718" s="405"/>
      <c r="AL718" s="405"/>
    </row>
    <row r="719" ht="14.25" customHeight="1">
      <c r="A719" s="584" t="s">
        <v>2130</v>
      </c>
      <c r="B719" s="584" t="s">
        <v>39</v>
      </c>
      <c r="C719" s="584" t="s">
        <v>48</v>
      </c>
      <c r="D719" s="584" t="s">
        <v>49</v>
      </c>
      <c r="E719" s="584" t="s">
        <v>50</v>
      </c>
      <c r="F719" s="584" t="s">
        <v>2</v>
      </c>
      <c r="G719" s="586" t="s">
        <v>44</v>
      </c>
      <c r="H719" s="424" t="s">
        <v>45</v>
      </c>
      <c r="I719" s="736" t="str">
        <f t="shared" si="20"/>
        <v>FULLY PAID</v>
      </c>
      <c r="J719" s="402"/>
      <c r="K719" s="402"/>
      <c r="L719" s="402"/>
      <c r="M719" s="402"/>
      <c r="N719" s="402"/>
      <c r="O719" s="402"/>
      <c r="P719" s="402"/>
      <c r="Q719" s="402"/>
      <c r="R719" s="402"/>
      <c r="S719" s="402"/>
      <c r="T719" s="402"/>
      <c r="U719" s="402"/>
      <c r="V719" s="402"/>
      <c r="W719" s="402"/>
      <c r="X719" s="402"/>
      <c r="Y719" s="402"/>
      <c r="Z719" s="402"/>
      <c r="AA719" s="405"/>
      <c r="AB719" s="405"/>
      <c r="AC719" s="405"/>
      <c r="AD719" s="405"/>
      <c r="AE719" s="405"/>
      <c r="AF719" s="405"/>
      <c r="AG719" s="405"/>
      <c r="AH719" s="405"/>
      <c r="AI719" s="405"/>
      <c r="AJ719" s="405"/>
      <c r="AK719" s="405"/>
      <c r="AL719" s="405"/>
    </row>
    <row r="720" ht="14.25" customHeight="1">
      <c r="A720" s="497">
        <v>45528.0</v>
      </c>
      <c r="B720" s="349" t="s">
        <v>3641</v>
      </c>
      <c r="C720" s="349" t="s">
        <v>3642</v>
      </c>
      <c r="D720" s="349" t="s">
        <v>54</v>
      </c>
      <c r="E720" s="349" t="s">
        <v>3556</v>
      </c>
      <c r="F720" s="413">
        <v>14376.0</v>
      </c>
      <c r="G720" s="413">
        <v>19500.0</v>
      </c>
      <c r="H720" s="349" t="s">
        <v>710</v>
      </c>
      <c r="I720" s="736" t="str">
        <f t="shared" si="20"/>
        <v>FULLY PAID</v>
      </c>
      <c r="J720" s="402"/>
      <c r="K720" s="402"/>
      <c r="L720" s="402"/>
      <c r="M720" s="402"/>
      <c r="N720" s="402"/>
      <c r="O720" s="402"/>
      <c r="P720" s="402"/>
      <c r="Q720" s="402"/>
      <c r="R720" s="402"/>
      <c r="S720" s="402"/>
      <c r="T720" s="402"/>
      <c r="U720" s="402"/>
      <c r="V720" s="402"/>
      <c r="W720" s="402"/>
      <c r="X720" s="402"/>
      <c r="Y720" s="402"/>
      <c r="Z720" s="402"/>
      <c r="AA720" s="405"/>
      <c r="AB720" s="405"/>
      <c r="AC720" s="405"/>
      <c r="AD720" s="405"/>
      <c r="AE720" s="405"/>
      <c r="AF720" s="405"/>
      <c r="AG720" s="405"/>
      <c r="AH720" s="405"/>
      <c r="AI720" s="405"/>
      <c r="AJ720" s="405"/>
      <c r="AK720" s="405"/>
      <c r="AL720" s="405"/>
    </row>
    <row r="721" ht="14.25" customHeight="1">
      <c r="A721" s="497">
        <v>45528.0</v>
      </c>
      <c r="B721" s="349" t="s">
        <v>3614</v>
      </c>
      <c r="C721" s="349" t="s">
        <v>3615</v>
      </c>
      <c r="D721" s="349" t="s">
        <v>54</v>
      </c>
      <c r="E721" s="349" t="s">
        <v>3617</v>
      </c>
      <c r="F721" s="413">
        <v>9443.18</v>
      </c>
      <c r="G721" s="413">
        <v>15936.0</v>
      </c>
      <c r="H721" s="349" t="s">
        <v>2111</v>
      </c>
      <c r="I721" s="736" t="str">
        <f t="shared" si="20"/>
        <v>FULLY PAID</v>
      </c>
      <c r="J721" s="402"/>
      <c r="K721" s="402"/>
      <c r="L721" s="402"/>
      <c r="M721" s="402"/>
      <c r="N721" s="402"/>
      <c r="O721" s="402"/>
      <c r="P721" s="402"/>
      <c r="Q721" s="402"/>
      <c r="R721" s="402"/>
      <c r="S721" s="402"/>
      <c r="T721" s="402"/>
      <c r="U721" s="402"/>
      <c r="V721" s="402"/>
      <c r="W721" s="402"/>
      <c r="X721" s="402"/>
      <c r="Y721" s="402"/>
      <c r="Z721" s="402"/>
      <c r="AA721" s="405"/>
      <c r="AB721" s="405"/>
      <c r="AC721" s="405"/>
      <c r="AD721" s="405"/>
      <c r="AE721" s="405"/>
      <c r="AF721" s="405"/>
      <c r="AG721" s="405"/>
      <c r="AH721" s="405"/>
      <c r="AI721" s="405"/>
      <c r="AJ721" s="405"/>
      <c r="AK721" s="405"/>
      <c r="AL721" s="405"/>
    </row>
    <row r="722" ht="14.25" customHeight="1">
      <c r="A722" s="497">
        <v>45528.0</v>
      </c>
      <c r="B722" s="349" t="s">
        <v>3789</v>
      </c>
      <c r="C722" s="349" t="s">
        <v>3790</v>
      </c>
      <c r="D722" s="349" t="s">
        <v>54</v>
      </c>
      <c r="E722" s="349" t="s">
        <v>3617</v>
      </c>
      <c r="F722" s="413">
        <v>6589.0</v>
      </c>
      <c r="G722" s="413"/>
      <c r="H722" s="349" t="s">
        <v>4033</v>
      </c>
      <c r="I722" s="736" t="str">
        <f t="shared" si="20"/>
        <v>NOT PAID</v>
      </c>
      <c r="J722" s="402"/>
      <c r="K722" s="402"/>
      <c r="L722" s="402"/>
      <c r="M722" s="402"/>
      <c r="N722" s="402"/>
      <c r="O722" s="402"/>
      <c r="P722" s="402"/>
      <c r="Q722" s="402"/>
      <c r="R722" s="402"/>
      <c r="S722" s="402"/>
      <c r="T722" s="402"/>
      <c r="U722" s="402"/>
      <c r="V722" s="402"/>
      <c r="W722" s="402"/>
      <c r="X722" s="402"/>
      <c r="Y722" s="402"/>
      <c r="Z722" s="402"/>
      <c r="AA722" s="405"/>
      <c r="AB722" s="405"/>
      <c r="AC722" s="405"/>
      <c r="AD722" s="405"/>
      <c r="AE722" s="405"/>
      <c r="AF722" s="405"/>
      <c r="AG722" s="405"/>
      <c r="AH722" s="405"/>
      <c r="AI722" s="405"/>
      <c r="AJ722" s="405"/>
      <c r="AK722" s="405"/>
      <c r="AL722" s="405"/>
    </row>
    <row r="723" ht="14.25" customHeight="1">
      <c r="A723" s="497">
        <v>45528.0</v>
      </c>
      <c r="B723" s="349" t="s">
        <v>3597</v>
      </c>
      <c r="C723" s="349" t="s">
        <v>3616</v>
      </c>
      <c r="D723" s="349" t="s">
        <v>54</v>
      </c>
      <c r="E723" s="349" t="s">
        <v>3617</v>
      </c>
      <c r="F723" s="413">
        <v>32716.09</v>
      </c>
      <c r="G723" s="413">
        <v>16000.0</v>
      </c>
      <c r="H723" s="349" t="s">
        <v>149</v>
      </c>
      <c r="I723" s="736" t="str">
        <f t="shared" si="20"/>
        <v>PARTIALLY PAID</v>
      </c>
      <c r="J723" s="402"/>
      <c r="K723" s="402"/>
      <c r="L723" s="402"/>
      <c r="M723" s="402"/>
      <c r="N723" s="402"/>
      <c r="O723" s="402"/>
      <c r="P723" s="402"/>
      <c r="Q723" s="402"/>
      <c r="R723" s="402"/>
      <c r="S723" s="402"/>
      <c r="T723" s="402"/>
      <c r="U723" s="402"/>
      <c r="V723" s="402"/>
      <c r="W723" s="402"/>
      <c r="X723" s="402"/>
      <c r="Y723" s="402"/>
      <c r="Z723" s="402"/>
      <c r="AA723" s="405"/>
      <c r="AB723" s="405"/>
      <c r="AC723" s="405"/>
      <c r="AD723" s="405"/>
      <c r="AE723" s="405"/>
      <c r="AF723" s="405"/>
      <c r="AG723" s="405"/>
      <c r="AH723" s="405"/>
      <c r="AI723" s="405"/>
      <c r="AJ723" s="405"/>
      <c r="AK723" s="405"/>
      <c r="AL723" s="405"/>
    </row>
    <row r="724" ht="14.25" customHeight="1">
      <c r="A724" s="497">
        <v>45528.0</v>
      </c>
      <c r="B724" s="349" t="s">
        <v>3620</v>
      </c>
      <c r="C724" s="349" t="s">
        <v>3621</v>
      </c>
      <c r="D724" s="349" t="s">
        <v>54</v>
      </c>
      <c r="E724" s="349" t="s">
        <v>3617</v>
      </c>
      <c r="F724" s="413">
        <v>39333.0</v>
      </c>
      <c r="G724" s="413"/>
      <c r="H724" s="349" t="s">
        <v>4033</v>
      </c>
      <c r="I724" s="736" t="str">
        <f t="shared" si="20"/>
        <v>NOT PAID</v>
      </c>
      <c r="J724" s="402"/>
      <c r="K724" s="402"/>
      <c r="L724" s="402"/>
      <c r="M724" s="402"/>
      <c r="N724" s="402"/>
      <c r="O724" s="402"/>
      <c r="P724" s="402"/>
      <c r="Q724" s="402"/>
      <c r="R724" s="402"/>
      <c r="S724" s="402"/>
      <c r="T724" s="402"/>
      <c r="U724" s="402"/>
      <c r="V724" s="402"/>
      <c r="W724" s="402"/>
      <c r="X724" s="402"/>
      <c r="Y724" s="402"/>
      <c r="Z724" s="402"/>
      <c r="AA724" s="405"/>
      <c r="AB724" s="405"/>
      <c r="AC724" s="405"/>
      <c r="AD724" s="405"/>
      <c r="AE724" s="405"/>
      <c r="AF724" s="405"/>
      <c r="AG724" s="405"/>
      <c r="AH724" s="405"/>
      <c r="AI724" s="405"/>
      <c r="AJ724" s="405"/>
      <c r="AK724" s="405"/>
      <c r="AL724" s="405"/>
    </row>
    <row r="725" ht="14.25" customHeight="1">
      <c r="A725" s="497">
        <v>45528.0</v>
      </c>
      <c r="B725" s="349" t="s">
        <v>4031</v>
      </c>
      <c r="C725" s="349" t="s">
        <v>3863</v>
      </c>
      <c r="D725" s="349" t="s">
        <v>75</v>
      </c>
      <c r="E725" s="349" t="s">
        <v>3556</v>
      </c>
      <c r="F725" s="413">
        <v>550000.0</v>
      </c>
      <c r="G725" s="413">
        <v>550000.0</v>
      </c>
      <c r="H725" s="349" t="s">
        <v>149</v>
      </c>
      <c r="I725" s="736" t="str">
        <f t="shared" si="20"/>
        <v>FULLY PAID</v>
      </c>
      <c r="J725" s="402"/>
      <c r="K725" s="402"/>
      <c r="L725" s="402"/>
      <c r="M725" s="402"/>
      <c r="N725" s="402"/>
      <c r="O725" s="402"/>
      <c r="P725" s="402"/>
      <c r="Q725" s="402"/>
      <c r="R725" s="402"/>
      <c r="S725" s="402"/>
      <c r="T725" s="402"/>
      <c r="U725" s="402"/>
      <c r="V725" s="402"/>
      <c r="W725" s="402"/>
      <c r="X725" s="402"/>
      <c r="Y725" s="402"/>
      <c r="Z725" s="402"/>
      <c r="AA725" s="405"/>
      <c r="AB725" s="405"/>
      <c r="AC725" s="405"/>
      <c r="AD725" s="405"/>
      <c r="AE725" s="405"/>
      <c r="AF725" s="405"/>
      <c r="AG725" s="405"/>
      <c r="AH725" s="405"/>
      <c r="AI725" s="405"/>
      <c r="AJ725" s="405"/>
      <c r="AK725" s="405"/>
      <c r="AL725" s="405"/>
    </row>
    <row r="726" ht="14.25" customHeight="1">
      <c r="A726" s="497">
        <v>45528.0</v>
      </c>
      <c r="B726" s="349" t="s">
        <v>4034</v>
      </c>
      <c r="C726" s="349" t="s">
        <v>3559</v>
      </c>
      <c r="D726" s="349" t="s">
        <v>75</v>
      </c>
      <c r="E726" s="349" t="s">
        <v>3551</v>
      </c>
      <c r="F726" s="413">
        <v>46000.0</v>
      </c>
      <c r="G726" s="413"/>
      <c r="H726" s="349" t="s">
        <v>4033</v>
      </c>
      <c r="I726" s="736" t="str">
        <f t="shared" si="20"/>
        <v>NOT PAID</v>
      </c>
      <c r="J726" s="402"/>
      <c r="K726" s="402"/>
      <c r="L726" s="402"/>
      <c r="M726" s="402"/>
      <c r="N726" s="402"/>
      <c r="O726" s="402"/>
      <c r="P726" s="402"/>
      <c r="Q726" s="402"/>
      <c r="R726" s="402"/>
      <c r="S726" s="402"/>
      <c r="T726" s="402"/>
      <c r="U726" s="402"/>
      <c r="V726" s="402"/>
      <c r="W726" s="402"/>
      <c r="X726" s="402"/>
      <c r="Y726" s="402"/>
      <c r="Z726" s="402"/>
      <c r="AA726" s="405"/>
      <c r="AB726" s="405"/>
      <c r="AC726" s="405"/>
      <c r="AD726" s="405"/>
      <c r="AE726" s="405"/>
      <c r="AF726" s="405"/>
      <c r="AG726" s="405"/>
      <c r="AH726" s="405"/>
      <c r="AI726" s="405"/>
      <c r="AJ726" s="405"/>
      <c r="AK726" s="405"/>
      <c r="AL726" s="405"/>
    </row>
    <row r="727" ht="14.25" customHeight="1">
      <c r="A727" s="497">
        <v>45528.0</v>
      </c>
      <c r="B727" s="349" t="s">
        <v>3911</v>
      </c>
      <c r="C727" s="349" t="s">
        <v>4013</v>
      </c>
      <c r="D727" s="349" t="s">
        <v>54</v>
      </c>
      <c r="E727" s="349" t="s">
        <v>3556</v>
      </c>
      <c r="F727" s="751">
        <v>4833.0</v>
      </c>
      <c r="G727" s="751"/>
      <c r="H727" s="349" t="s">
        <v>4035</v>
      </c>
      <c r="I727" s="736" t="str">
        <f t="shared" si="20"/>
        <v>NOT PAID</v>
      </c>
      <c r="J727" s="402"/>
      <c r="K727" s="402"/>
      <c r="L727" s="402"/>
      <c r="M727" s="402"/>
      <c r="N727" s="402"/>
      <c r="O727" s="402"/>
      <c r="P727" s="402"/>
      <c r="Q727" s="402"/>
      <c r="R727" s="402"/>
      <c r="S727" s="402"/>
      <c r="T727" s="402"/>
      <c r="U727" s="402"/>
      <c r="V727" s="402"/>
      <c r="W727" s="402"/>
      <c r="X727" s="402"/>
      <c r="Y727" s="402"/>
      <c r="Z727" s="402"/>
      <c r="AA727" s="405"/>
      <c r="AB727" s="405"/>
      <c r="AC727" s="405"/>
      <c r="AD727" s="405"/>
      <c r="AE727" s="405"/>
      <c r="AF727" s="405"/>
      <c r="AG727" s="405"/>
      <c r="AH727" s="405"/>
      <c r="AI727" s="405"/>
      <c r="AJ727" s="405"/>
      <c r="AK727" s="405"/>
      <c r="AL727" s="405"/>
    </row>
    <row r="728" ht="14.25" customHeight="1">
      <c r="A728" s="497">
        <v>45528.0</v>
      </c>
      <c r="B728" s="349" t="s">
        <v>3974</v>
      </c>
      <c r="C728" s="349" t="s">
        <v>4020</v>
      </c>
      <c r="D728" s="349" t="s">
        <v>3785</v>
      </c>
      <c r="E728" s="349" t="s">
        <v>3556</v>
      </c>
      <c r="F728" s="413">
        <v>4579.0</v>
      </c>
      <c r="G728" s="413"/>
      <c r="H728" s="349" t="s">
        <v>4035</v>
      </c>
      <c r="I728" s="736" t="str">
        <f t="shared" si="20"/>
        <v>NOT PAID</v>
      </c>
      <c r="J728" s="402"/>
      <c r="K728" s="402"/>
      <c r="L728" s="402"/>
      <c r="M728" s="402"/>
      <c r="N728" s="402"/>
      <c r="O728" s="402"/>
      <c r="P728" s="402"/>
      <c r="Q728" s="402"/>
      <c r="R728" s="402"/>
      <c r="S728" s="402"/>
      <c r="T728" s="402"/>
      <c r="U728" s="402"/>
      <c r="V728" s="402"/>
      <c r="W728" s="402"/>
      <c r="X728" s="402"/>
      <c r="Y728" s="402"/>
      <c r="Z728" s="402"/>
      <c r="AA728" s="405"/>
      <c r="AB728" s="405"/>
      <c r="AC728" s="405"/>
      <c r="AD728" s="405"/>
      <c r="AE728" s="405"/>
      <c r="AF728" s="405"/>
      <c r="AG728" s="405"/>
      <c r="AH728" s="405"/>
      <c r="AI728" s="405"/>
      <c r="AJ728" s="405"/>
      <c r="AK728" s="405"/>
      <c r="AL728" s="405"/>
    </row>
    <row r="729" ht="14.25" customHeight="1">
      <c r="A729" s="497">
        <v>45528.0</v>
      </c>
      <c r="B729" s="349" t="s">
        <v>3623</v>
      </c>
      <c r="C729" s="349" t="s">
        <v>3624</v>
      </c>
      <c r="D729" s="349" t="s">
        <v>54</v>
      </c>
      <c r="E729" s="349" t="s">
        <v>3551</v>
      </c>
      <c r="F729" s="413">
        <v>12557.0</v>
      </c>
      <c r="G729" s="413"/>
      <c r="H729" s="349" t="s">
        <v>4036</v>
      </c>
      <c r="I729" s="736" t="str">
        <f t="shared" si="20"/>
        <v>NOT PAID</v>
      </c>
      <c r="J729" s="402"/>
      <c r="K729" s="402"/>
      <c r="L729" s="402"/>
      <c r="M729" s="402"/>
      <c r="N729" s="402"/>
      <c r="O729" s="402"/>
      <c r="P729" s="402"/>
      <c r="Q729" s="402"/>
      <c r="R729" s="402"/>
      <c r="S729" s="402"/>
      <c r="T729" s="402"/>
      <c r="U729" s="402"/>
      <c r="V729" s="402"/>
      <c r="W729" s="402"/>
      <c r="X729" s="402"/>
      <c r="Y729" s="402"/>
      <c r="Z729" s="402"/>
      <c r="AA729" s="405"/>
      <c r="AB729" s="405"/>
      <c r="AC729" s="405"/>
      <c r="AD729" s="405"/>
      <c r="AE729" s="405"/>
      <c r="AF729" s="405"/>
      <c r="AG729" s="405"/>
      <c r="AH729" s="405"/>
      <c r="AI729" s="405"/>
      <c r="AJ729" s="405"/>
      <c r="AK729" s="405"/>
      <c r="AL729" s="405"/>
    </row>
    <row r="730" ht="14.25" customHeight="1">
      <c r="A730" s="497">
        <v>45528.0</v>
      </c>
      <c r="B730" s="349" t="s">
        <v>3649</v>
      </c>
      <c r="C730" s="349" t="s">
        <v>3650</v>
      </c>
      <c r="D730" s="349" t="s">
        <v>54</v>
      </c>
      <c r="E730" s="349" t="s">
        <v>3551</v>
      </c>
      <c r="F730" s="413">
        <v>23649.0</v>
      </c>
      <c r="G730" s="413">
        <v>25115.0</v>
      </c>
      <c r="H730" s="349" t="s">
        <v>2111</v>
      </c>
      <c r="I730" s="736" t="str">
        <f t="shared" si="20"/>
        <v>FULLY PAID</v>
      </c>
      <c r="J730" s="402"/>
      <c r="K730" s="402"/>
      <c r="L730" s="402"/>
      <c r="M730" s="402"/>
      <c r="N730" s="402"/>
      <c r="O730" s="402"/>
      <c r="P730" s="402"/>
      <c r="Q730" s="402"/>
      <c r="R730" s="402"/>
      <c r="S730" s="402"/>
      <c r="T730" s="402"/>
      <c r="U730" s="402"/>
      <c r="V730" s="402"/>
      <c r="W730" s="402"/>
      <c r="X730" s="402"/>
      <c r="Y730" s="402"/>
      <c r="Z730" s="402"/>
      <c r="AA730" s="405"/>
      <c r="AB730" s="405"/>
      <c r="AC730" s="405"/>
      <c r="AD730" s="405"/>
      <c r="AE730" s="405"/>
      <c r="AF730" s="405"/>
      <c r="AG730" s="405"/>
      <c r="AH730" s="405"/>
      <c r="AI730" s="405"/>
      <c r="AJ730" s="405"/>
      <c r="AK730" s="405"/>
      <c r="AL730" s="405"/>
    </row>
    <row r="731" ht="14.25" customHeight="1">
      <c r="A731" s="497">
        <v>45528.0</v>
      </c>
      <c r="B731" s="349" t="s">
        <v>3728</v>
      </c>
      <c r="C731" s="349" t="s">
        <v>3729</v>
      </c>
      <c r="D731" s="349" t="s">
        <v>54</v>
      </c>
      <c r="E731" s="349" t="s">
        <v>3556</v>
      </c>
      <c r="F731" s="413">
        <v>40872.0</v>
      </c>
      <c r="G731" s="413"/>
      <c r="H731" s="349" t="s">
        <v>4035</v>
      </c>
      <c r="I731" s="736" t="str">
        <f t="shared" si="20"/>
        <v>NOT PAID</v>
      </c>
      <c r="J731" s="402"/>
      <c r="K731" s="402"/>
      <c r="L731" s="402"/>
      <c r="M731" s="402"/>
      <c r="N731" s="402"/>
      <c r="O731" s="402"/>
      <c r="P731" s="402"/>
      <c r="Q731" s="402"/>
      <c r="R731" s="402"/>
      <c r="S731" s="402"/>
      <c r="T731" s="402"/>
      <c r="U731" s="402"/>
      <c r="V731" s="402"/>
      <c r="W731" s="402"/>
      <c r="X731" s="402"/>
      <c r="Y731" s="402"/>
      <c r="Z731" s="402"/>
      <c r="AA731" s="405"/>
      <c r="AB731" s="405"/>
      <c r="AC731" s="405"/>
      <c r="AD731" s="405"/>
      <c r="AE731" s="405"/>
      <c r="AF731" s="405"/>
      <c r="AG731" s="405"/>
      <c r="AH731" s="405"/>
      <c r="AI731" s="405"/>
      <c r="AJ731" s="405"/>
      <c r="AK731" s="405"/>
      <c r="AL731" s="405"/>
    </row>
    <row r="732" ht="14.25" customHeight="1">
      <c r="A732" s="497">
        <v>45528.0</v>
      </c>
      <c r="B732" s="349" t="s">
        <v>3606</v>
      </c>
      <c r="C732" s="349" t="s">
        <v>3607</v>
      </c>
      <c r="D732" s="349" t="s">
        <v>54</v>
      </c>
      <c r="E732" s="349" t="s">
        <v>3551</v>
      </c>
      <c r="F732" s="413">
        <v>33362.0</v>
      </c>
      <c r="G732" s="413"/>
      <c r="H732" s="349" t="s">
        <v>4036</v>
      </c>
      <c r="I732" s="736" t="str">
        <f t="shared" si="20"/>
        <v>NOT PAID</v>
      </c>
      <c r="J732" s="402"/>
      <c r="K732" s="402"/>
      <c r="L732" s="402"/>
      <c r="M732" s="402"/>
      <c r="N732" s="402"/>
      <c r="O732" s="402"/>
      <c r="P732" s="402"/>
      <c r="Q732" s="402"/>
      <c r="R732" s="402"/>
      <c r="S732" s="402"/>
      <c r="T732" s="402"/>
      <c r="U732" s="402"/>
      <c r="V732" s="402"/>
      <c r="W732" s="402"/>
      <c r="X732" s="402"/>
      <c r="Y732" s="402"/>
      <c r="Z732" s="402"/>
      <c r="AA732" s="405"/>
      <c r="AB732" s="405"/>
      <c r="AC732" s="405"/>
      <c r="AD732" s="405"/>
      <c r="AE732" s="405"/>
      <c r="AF732" s="405"/>
      <c r="AG732" s="405"/>
      <c r="AH732" s="405"/>
      <c r="AI732" s="405"/>
      <c r="AJ732" s="405"/>
      <c r="AK732" s="405"/>
      <c r="AL732" s="405"/>
    </row>
    <row r="733" ht="14.25" customHeight="1">
      <c r="A733" s="497">
        <v>45528.0</v>
      </c>
      <c r="B733" s="349" t="s">
        <v>3821</v>
      </c>
      <c r="C733" s="349" t="s">
        <v>3822</v>
      </c>
      <c r="D733" s="349" t="s">
        <v>54</v>
      </c>
      <c r="E733" s="349" t="s">
        <v>3556</v>
      </c>
      <c r="F733" s="686">
        <v>30479.0</v>
      </c>
      <c r="G733" s="413"/>
      <c r="H733" s="349" t="s">
        <v>4037</v>
      </c>
      <c r="I733" s="736" t="str">
        <f t="shared" si="20"/>
        <v>NOT PAID</v>
      </c>
      <c r="J733" s="402"/>
      <c r="K733" s="402"/>
      <c r="L733" s="402"/>
      <c r="M733" s="402"/>
      <c r="N733" s="402"/>
      <c r="O733" s="402"/>
      <c r="P733" s="402"/>
      <c r="Q733" s="402"/>
      <c r="R733" s="402"/>
      <c r="S733" s="402"/>
      <c r="T733" s="402"/>
      <c r="U733" s="402"/>
      <c r="V733" s="402"/>
      <c r="W733" s="402"/>
      <c r="X733" s="402"/>
      <c r="Y733" s="402"/>
      <c r="Z733" s="402"/>
      <c r="AA733" s="405"/>
      <c r="AB733" s="405"/>
      <c r="AC733" s="405"/>
      <c r="AD733" s="405"/>
      <c r="AE733" s="405"/>
      <c r="AF733" s="405"/>
      <c r="AG733" s="405"/>
      <c r="AH733" s="405"/>
      <c r="AI733" s="405"/>
      <c r="AJ733" s="405"/>
      <c r="AK733" s="405"/>
      <c r="AL733" s="405"/>
    </row>
    <row r="734" ht="14.25" customHeight="1">
      <c r="A734" s="497">
        <v>45528.0</v>
      </c>
      <c r="B734" s="789" t="s">
        <v>3663</v>
      </c>
      <c r="C734" s="789" t="s">
        <v>3705</v>
      </c>
      <c r="D734" s="790" t="s">
        <v>54</v>
      </c>
      <c r="E734" s="789" t="s">
        <v>3579</v>
      </c>
      <c r="F734" s="751">
        <v>275055.0</v>
      </c>
      <c r="G734" s="751"/>
      <c r="H734" s="349" t="s">
        <v>4038</v>
      </c>
      <c r="I734" s="736" t="str">
        <f t="shared" si="20"/>
        <v>NOT PAID</v>
      </c>
      <c r="J734" s="402"/>
      <c r="K734" s="402"/>
      <c r="L734" s="402"/>
      <c r="M734" s="402"/>
      <c r="N734" s="402"/>
      <c r="O734" s="402"/>
      <c r="P734" s="402"/>
      <c r="Q734" s="402"/>
      <c r="R734" s="402"/>
      <c r="S734" s="402"/>
      <c r="T734" s="402"/>
      <c r="U734" s="402"/>
      <c r="V734" s="402"/>
      <c r="W734" s="402"/>
      <c r="X734" s="402"/>
      <c r="Y734" s="402"/>
      <c r="Z734" s="402"/>
      <c r="AA734" s="405"/>
      <c r="AB734" s="405"/>
      <c r="AC734" s="405"/>
      <c r="AD734" s="405"/>
      <c r="AE734" s="405"/>
      <c r="AF734" s="405"/>
      <c r="AG734" s="405"/>
      <c r="AH734" s="405"/>
      <c r="AI734" s="405"/>
      <c r="AJ734" s="405"/>
      <c r="AK734" s="405"/>
      <c r="AL734" s="405"/>
    </row>
    <row r="735" ht="14.25" customHeight="1">
      <c r="A735" s="497">
        <v>45528.0</v>
      </c>
      <c r="B735" s="349" t="s">
        <v>3623</v>
      </c>
      <c r="C735" s="349" t="s">
        <v>3624</v>
      </c>
      <c r="D735" s="349" t="s">
        <v>54</v>
      </c>
      <c r="E735" s="349" t="s">
        <v>3617</v>
      </c>
      <c r="F735" s="413">
        <v>12557.0</v>
      </c>
      <c r="G735" s="413"/>
      <c r="H735" s="349" t="s">
        <v>4036</v>
      </c>
      <c r="I735" s="736" t="str">
        <f t="shared" si="20"/>
        <v>NOT PAID</v>
      </c>
      <c r="J735" s="402"/>
      <c r="K735" s="402"/>
      <c r="L735" s="402"/>
      <c r="M735" s="402"/>
      <c r="N735" s="402"/>
      <c r="O735" s="402"/>
      <c r="P735" s="402"/>
      <c r="Q735" s="402"/>
      <c r="R735" s="402"/>
      <c r="S735" s="402"/>
      <c r="T735" s="402"/>
      <c r="U735" s="402"/>
      <c r="V735" s="402"/>
      <c r="W735" s="402"/>
      <c r="X735" s="402"/>
      <c r="Y735" s="402"/>
      <c r="Z735" s="402"/>
      <c r="AA735" s="405"/>
      <c r="AB735" s="405"/>
      <c r="AC735" s="405"/>
      <c r="AD735" s="405"/>
      <c r="AE735" s="405"/>
      <c r="AF735" s="405"/>
      <c r="AG735" s="405"/>
      <c r="AH735" s="405"/>
      <c r="AI735" s="405"/>
      <c r="AJ735" s="405"/>
      <c r="AK735" s="405"/>
      <c r="AL735" s="405"/>
    </row>
    <row r="736" ht="14.25" customHeight="1">
      <c r="A736" s="497"/>
      <c r="B736" s="402"/>
      <c r="C736" s="402"/>
      <c r="D736" s="402"/>
      <c r="E736" s="402"/>
      <c r="F736" s="402"/>
      <c r="G736" s="403"/>
      <c r="H736" s="402"/>
      <c r="I736" s="736" t="str">
        <f t="shared" si="20"/>
        <v>FULLY PAID</v>
      </c>
      <c r="J736" s="402"/>
      <c r="K736" s="402"/>
      <c r="L736" s="402"/>
      <c r="M736" s="402"/>
      <c r="N736" s="402"/>
      <c r="O736" s="402"/>
      <c r="P736" s="402"/>
      <c r="Q736" s="402"/>
      <c r="R736" s="402"/>
      <c r="S736" s="402"/>
      <c r="T736" s="402"/>
      <c r="U736" s="402"/>
      <c r="V736" s="402"/>
      <c r="W736" s="402"/>
      <c r="X736" s="402"/>
      <c r="Y736" s="402"/>
      <c r="Z736" s="402"/>
      <c r="AA736" s="405"/>
      <c r="AB736" s="405"/>
      <c r="AC736" s="405"/>
      <c r="AD736" s="405"/>
      <c r="AE736" s="405"/>
      <c r="AF736" s="405"/>
      <c r="AG736" s="405"/>
      <c r="AH736" s="405"/>
      <c r="AI736" s="405"/>
      <c r="AJ736" s="405"/>
      <c r="AK736" s="405"/>
      <c r="AL736" s="405"/>
    </row>
    <row r="737" ht="14.25" customHeight="1">
      <c r="A737" s="497"/>
      <c r="B737" s="402"/>
      <c r="C737" s="402"/>
      <c r="D737" s="402"/>
      <c r="E737" s="402"/>
      <c r="F737" s="402"/>
      <c r="G737" s="403">
        <f>SUM(G720:G736)</f>
        <v>626551</v>
      </c>
      <c r="H737" s="402"/>
      <c r="I737" s="736" t="str">
        <f t="shared" si="20"/>
        <v>FULLY PAID</v>
      </c>
      <c r="J737" s="402"/>
      <c r="K737" s="402"/>
      <c r="L737" s="402"/>
      <c r="M737" s="402"/>
      <c r="N737" s="402"/>
      <c r="O737" s="402"/>
      <c r="P737" s="402"/>
      <c r="Q737" s="402"/>
      <c r="R737" s="402"/>
      <c r="S737" s="402"/>
      <c r="T737" s="402"/>
      <c r="U737" s="402"/>
      <c r="V737" s="402"/>
      <c r="W737" s="402"/>
      <c r="X737" s="402"/>
      <c r="Y737" s="402"/>
      <c r="Z737" s="402"/>
      <c r="AA737" s="405"/>
      <c r="AB737" s="405"/>
      <c r="AC737" s="405"/>
      <c r="AD737" s="405"/>
      <c r="AE737" s="405"/>
      <c r="AF737" s="405"/>
      <c r="AG737" s="405"/>
      <c r="AH737" s="405"/>
      <c r="AI737" s="405"/>
      <c r="AJ737" s="405"/>
      <c r="AK737" s="405"/>
      <c r="AL737" s="405"/>
    </row>
    <row r="738" ht="14.25" customHeight="1">
      <c r="A738" s="497"/>
      <c r="B738" s="402"/>
      <c r="C738" s="402"/>
      <c r="D738" s="402"/>
      <c r="E738" s="402"/>
      <c r="F738" s="402"/>
      <c r="G738" s="403"/>
      <c r="H738" s="402"/>
      <c r="I738" s="736" t="str">
        <f t="shared" si="20"/>
        <v>FULLY PAID</v>
      </c>
      <c r="J738" s="402"/>
      <c r="K738" s="402"/>
      <c r="L738" s="402"/>
      <c r="M738" s="402"/>
      <c r="N738" s="402"/>
      <c r="O738" s="402"/>
      <c r="P738" s="402"/>
      <c r="Q738" s="402"/>
      <c r="R738" s="402"/>
      <c r="S738" s="402"/>
      <c r="T738" s="402"/>
      <c r="U738" s="402"/>
      <c r="V738" s="402"/>
      <c r="W738" s="402"/>
      <c r="X738" s="402"/>
      <c r="Y738" s="402"/>
      <c r="Z738" s="402"/>
      <c r="AA738" s="405"/>
      <c r="AB738" s="405"/>
      <c r="AC738" s="405"/>
      <c r="AD738" s="405"/>
      <c r="AE738" s="405"/>
      <c r="AF738" s="405"/>
      <c r="AG738" s="405"/>
      <c r="AH738" s="405"/>
      <c r="AI738" s="405"/>
      <c r="AJ738" s="405"/>
      <c r="AK738" s="405"/>
      <c r="AL738" s="405"/>
    </row>
    <row r="739" ht="14.25" customHeight="1">
      <c r="A739" s="497"/>
      <c r="B739" s="402"/>
      <c r="C739" s="402"/>
      <c r="D739" s="402"/>
      <c r="E739" s="402"/>
      <c r="F739" s="402"/>
      <c r="G739" s="403"/>
      <c r="H739" s="402"/>
      <c r="I739" s="736" t="str">
        <f t="shared" si="20"/>
        <v>FULLY PAID</v>
      </c>
      <c r="J739" s="402"/>
      <c r="K739" s="402"/>
      <c r="L739" s="402"/>
      <c r="M739" s="402"/>
      <c r="N739" s="402"/>
      <c r="O739" s="402"/>
      <c r="P739" s="402"/>
      <c r="Q739" s="402"/>
      <c r="R739" s="402"/>
      <c r="S739" s="402"/>
      <c r="T739" s="402"/>
      <c r="U739" s="402"/>
      <c r="V739" s="402"/>
      <c r="W739" s="402"/>
      <c r="X739" s="402"/>
      <c r="Y739" s="402"/>
      <c r="Z739" s="402"/>
      <c r="AA739" s="405"/>
      <c r="AB739" s="405"/>
      <c r="AC739" s="405"/>
      <c r="AD739" s="405"/>
      <c r="AE739" s="405"/>
      <c r="AF739" s="405"/>
      <c r="AG739" s="405"/>
      <c r="AH739" s="405"/>
      <c r="AI739" s="405"/>
      <c r="AJ739" s="405"/>
      <c r="AK739" s="405"/>
      <c r="AL739" s="405"/>
    </row>
    <row r="740" ht="14.25" customHeight="1">
      <c r="A740" s="584" t="s">
        <v>2130</v>
      </c>
      <c r="B740" s="584" t="s">
        <v>39</v>
      </c>
      <c r="C740" s="584" t="s">
        <v>48</v>
      </c>
      <c r="D740" s="584" t="s">
        <v>49</v>
      </c>
      <c r="E740" s="584" t="s">
        <v>50</v>
      </c>
      <c r="F740" s="584" t="s">
        <v>2</v>
      </c>
      <c r="G740" s="586" t="s">
        <v>44</v>
      </c>
      <c r="H740" s="424" t="s">
        <v>45</v>
      </c>
      <c r="I740" s="736" t="str">
        <f t="shared" si="20"/>
        <v>FULLY PAID</v>
      </c>
      <c r="J740" s="402"/>
      <c r="K740" s="402"/>
      <c r="L740" s="402"/>
      <c r="M740" s="402"/>
      <c r="N740" s="402"/>
      <c r="O740" s="402"/>
      <c r="P740" s="402"/>
      <c r="Q740" s="402"/>
      <c r="R740" s="402"/>
      <c r="S740" s="402"/>
      <c r="T740" s="402"/>
      <c r="U740" s="402"/>
      <c r="V740" s="402"/>
      <c r="W740" s="402"/>
      <c r="X740" s="402"/>
      <c r="Y740" s="402"/>
      <c r="Z740" s="402"/>
      <c r="AA740" s="405"/>
      <c r="AB740" s="405"/>
      <c r="AC740" s="405"/>
      <c r="AD740" s="405"/>
      <c r="AE740" s="405"/>
      <c r="AF740" s="405"/>
      <c r="AG740" s="405"/>
      <c r="AH740" s="405"/>
      <c r="AI740" s="405"/>
      <c r="AJ740" s="405"/>
      <c r="AK740" s="405"/>
      <c r="AL740" s="405"/>
    </row>
    <row r="741" ht="14.25" customHeight="1">
      <c r="A741" s="497">
        <v>45530.0</v>
      </c>
      <c r="B741" s="349" t="s">
        <v>3667</v>
      </c>
      <c r="C741" s="349" t="s">
        <v>3668</v>
      </c>
      <c r="D741" s="349" t="s">
        <v>54</v>
      </c>
      <c r="E741" s="349" t="s">
        <v>3556</v>
      </c>
      <c r="F741" s="413">
        <v>40872.0</v>
      </c>
      <c r="G741" s="413">
        <v>52440.0</v>
      </c>
      <c r="H741" s="349" t="s">
        <v>710</v>
      </c>
      <c r="I741" s="736" t="str">
        <f t="shared" si="20"/>
        <v>FULLY PAID</v>
      </c>
      <c r="J741" s="402"/>
      <c r="K741" s="402"/>
      <c r="L741" s="402"/>
      <c r="M741" s="402"/>
      <c r="N741" s="402"/>
      <c r="O741" s="402"/>
      <c r="P741" s="402"/>
      <c r="Q741" s="402"/>
      <c r="R741" s="402"/>
      <c r="S741" s="402"/>
      <c r="T741" s="402"/>
      <c r="U741" s="402"/>
      <c r="V741" s="402"/>
      <c r="W741" s="402"/>
      <c r="X741" s="402"/>
      <c r="Y741" s="402"/>
      <c r="Z741" s="402"/>
      <c r="AA741" s="405"/>
      <c r="AB741" s="405"/>
      <c r="AC741" s="405"/>
      <c r="AD741" s="405"/>
      <c r="AE741" s="405"/>
      <c r="AF741" s="405"/>
      <c r="AG741" s="405"/>
      <c r="AH741" s="405"/>
      <c r="AI741" s="405"/>
      <c r="AJ741" s="405"/>
      <c r="AK741" s="405"/>
      <c r="AL741" s="405"/>
    </row>
    <row r="742" ht="14.25" customHeight="1">
      <c r="A742" s="497">
        <v>45530.0</v>
      </c>
      <c r="B742" s="349" t="s">
        <v>3649</v>
      </c>
      <c r="C742" s="349" t="s">
        <v>3650</v>
      </c>
      <c r="D742" s="349" t="s">
        <v>54</v>
      </c>
      <c r="E742" s="349" t="s">
        <v>3551</v>
      </c>
      <c r="F742" s="413">
        <v>33362.0</v>
      </c>
      <c r="G742" s="413">
        <v>25115.0</v>
      </c>
      <c r="H742" s="349" t="s">
        <v>4039</v>
      </c>
      <c r="I742" s="736" t="str">
        <f t="shared" si="20"/>
        <v>PARTIALLY PAID</v>
      </c>
      <c r="J742" s="402"/>
      <c r="K742" s="402"/>
      <c r="L742" s="402"/>
      <c r="M742" s="402"/>
      <c r="N742" s="402"/>
      <c r="O742" s="402"/>
      <c r="P742" s="402"/>
      <c r="Q742" s="402"/>
      <c r="R742" s="402"/>
      <c r="S742" s="402"/>
      <c r="T742" s="402"/>
      <c r="U742" s="402"/>
      <c r="V742" s="402"/>
      <c r="W742" s="402"/>
      <c r="X742" s="402"/>
      <c r="Y742" s="402"/>
      <c r="Z742" s="402"/>
      <c r="AA742" s="405"/>
      <c r="AB742" s="405"/>
      <c r="AC742" s="405"/>
      <c r="AD742" s="405"/>
      <c r="AE742" s="405"/>
      <c r="AF742" s="405"/>
      <c r="AG742" s="405"/>
      <c r="AH742" s="405"/>
      <c r="AI742" s="405"/>
      <c r="AJ742" s="405"/>
      <c r="AK742" s="405"/>
      <c r="AL742" s="405"/>
    </row>
    <row r="743" ht="14.25" customHeight="1">
      <c r="A743" s="497">
        <v>45530.0</v>
      </c>
      <c r="B743" s="349" t="s">
        <v>3588</v>
      </c>
      <c r="C743" s="349" t="s">
        <v>3589</v>
      </c>
      <c r="D743" s="349" t="s">
        <v>54</v>
      </c>
      <c r="E743" s="349" t="s">
        <v>3556</v>
      </c>
      <c r="F743" s="686">
        <v>30479.0</v>
      </c>
      <c r="G743" s="413">
        <v>51944.0</v>
      </c>
      <c r="H743" s="349" t="s">
        <v>710</v>
      </c>
      <c r="I743" s="736" t="str">
        <f t="shared" si="20"/>
        <v>FULLY PAID</v>
      </c>
      <c r="J743" s="402"/>
      <c r="K743" s="402"/>
      <c r="L743" s="402"/>
      <c r="M743" s="402"/>
      <c r="N743" s="402"/>
      <c r="O743" s="402"/>
      <c r="P743" s="402"/>
      <c r="Q743" s="402"/>
      <c r="R743" s="402"/>
      <c r="S743" s="402"/>
      <c r="T743" s="402"/>
      <c r="U743" s="402"/>
      <c r="V743" s="402"/>
      <c r="W743" s="402"/>
      <c r="X743" s="402"/>
      <c r="Y743" s="402"/>
      <c r="Z743" s="402"/>
      <c r="AA743" s="405"/>
      <c r="AB743" s="405"/>
      <c r="AC743" s="405"/>
      <c r="AD743" s="405"/>
      <c r="AE743" s="405"/>
      <c r="AF743" s="405"/>
      <c r="AG743" s="405"/>
      <c r="AH743" s="405"/>
      <c r="AI743" s="405"/>
      <c r="AJ743" s="405"/>
      <c r="AK743" s="405"/>
      <c r="AL743" s="405"/>
    </row>
    <row r="744" ht="14.25" customHeight="1">
      <c r="A744" s="497">
        <v>45530.0</v>
      </c>
      <c r="B744" s="349" t="s">
        <v>3614</v>
      </c>
      <c r="C744" s="349" t="s">
        <v>4040</v>
      </c>
      <c r="D744" s="349" t="s">
        <v>54</v>
      </c>
      <c r="E744" s="349" t="s">
        <v>3617</v>
      </c>
      <c r="F744" s="413">
        <v>6589.0</v>
      </c>
      <c r="G744" s="413">
        <v>15936.0</v>
      </c>
      <c r="H744" s="349" t="s">
        <v>710</v>
      </c>
      <c r="I744" s="736" t="str">
        <f t="shared" si="20"/>
        <v>FULLY PAID</v>
      </c>
      <c r="J744" s="402"/>
      <c r="K744" s="402"/>
      <c r="L744" s="402"/>
      <c r="M744" s="402"/>
      <c r="N744" s="402"/>
      <c r="O744" s="402"/>
      <c r="P744" s="402"/>
      <c r="Q744" s="402"/>
      <c r="R744" s="402"/>
      <c r="S744" s="402"/>
      <c r="T744" s="402"/>
      <c r="U744" s="402"/>
      <c r="V744" s="402"/>
      <c r="W744" s="402"/>
      <c r="X744" s="402"/>
      <c r="Y744" s="402"/>
      <c r="Z744" s="402"/>
      <c r="AA744" s="405"/>
      <c r="AB744" s="405"/>
      <c r="AC744" s="405"/>
      <c r="AD744" s="405"/>
      <c r="AE744" s="405"/>
      <c r="AF744" s="405"/>
      <c r="AG744" s="405"/>
      <c r="AH744" s="405"/>
      <c r="AI744" s="405"/>
      <c r="AJ744" s="405"/>
      <c r="AK744" s="405"/>
      <c r="AL744" s="405"/>
    </row>
    <row r="745" ht="14.25" customHeight="1">
      <c r="A745" s="497">
        <v>45530.0</v>
      </c>
      <c r="B745" s="349" t="s">
        <v>3620</v>
      </c>
      <c r="C745" s="349" t="s">
        <v>3621</v>
      </c>
      <c r="D745" s="349" t="s">
        <v>54</v>
      </c>
      <c r="E745" s="349" t="s">
        <v>3617</v>
      </c>
      <c r="F745" s="413">
        <v>39333.0</v>
      </c>
      <c r="G745" s="413"/>
      <c r="H745" s="349" t="s">
        <v>4041</v>
      </c>
      <c r="I745" s="736" t="str">
        <f t="shared" si="20"/>
        <v>NOT PAID</v>
      </c>
      <c r="J745" s="402"/>
      <c r="K745" s="402"/>
      <c r="L745" s="402"/>
      <c r="M745" s="402"/>
      <c r="N745" s="402"/>
      <c r="O745" s="402"/>
      <c r="P745" s="402"/>
      <c r="Q745" s="402"/>
      <c r="R745" s="402"/>
      <c r="S745" s="402"/>
      <c r="T745" s="402"/>
      <c r="U745" s="402"/>
      <c r="V745" s="402"/>
      <c r="W745" s="402"/>
      <c r="X745" s="402"/>
      <c r="Y745" s="402"/>
      <c r="Z745" s="402"/>
      <c r="AA745" s="405"/>
      <c r="AB745" s="405"/>
      <c r="AC745" s="405"/>
      <c r="AD745" s="405"/>
      <c r="AE745" s="405"/>
      <c r="AF745" s="405"/>
      <c r="AG745" s="405"/>
      <c r="AH745" s="405"/>
      <c r="AI745" s="405"/>
      <c r="AJ745" s="405"/>
      <c r="AK745" s="405"/>
      <c r="AL745" s="405"/>
    </row>
    <row r="746" ht="14.25" customHeight="1">
      <c r="A746" s="497">
        <v>45530.0</v>
      </c>
      <c r="B746" s="349" t="s">
        <v>4034</v>
      </c>
      <c r="C746" s="349" t="s">
        <v>3559</v>
      </c>
      <c r="D746" s="349" t="s">
        <v>75</v>
      </c>
      <c r="E746" s="349" t="s">
        <v>3617</v>
      </c>
      <c r="F746" s="413">
        <v>46000.0</v>
      </c>
      <c r="G746" s="413"/>
      <c r="H746" s="349" t="s">
        <v>4041</v>
      </c>
      <c r="I746" s="736" t="str">
        <f t="shared" si="20"/>
        <v>NOT PAID</v>
      </c>
      <c r="J746" s="402"/>
      <c r="K746" s="402"/>
      <c r="L746" s="402"/>
      <c r="M746" s="402"/>
      <c r="N746" s="402"/>
      <c r="O746" s="402"/>
      <c r="P746" s="402"/>
      <c r="Q746" s="402"/>
      <c r="R746" s="402"/>
      <c r="S746" s="402"/>
      <c r="T746" s="402"/>
      <c r="U746" s="402"/>
      <c r="V746" s="402"/>
      <c r="W746" s="402"/>
      <c r="X746" s="402"/>
      <c r="Y746" s="402"/>
      <c r="Z746" s="402"/>
      <c r="AA746" s="405"/>
      <c r="AB746" s="405"/>
      <c r="AC746" s="405"/>
      <c r="AD746" s="405"/>
      <c r="AE746" s="405"/>
      <c r="AF746" s="405"/>
      <c r="AG746" s="405"/>
      <c r="AH746" s="405"/>
      <c r="AI746" s="405"/>
      <c r="AJ746" s="405"/>
      <c r="AK746" s="405"/>
      <c r="AL746" s="405"/>
    </row>
    <row r="747" ht="14.25" customHeight="1">
      <c r="A747" s="497">
        <v>45530.0</v>
      </c>
      <c r="B747" s="349" t="s">
        <v>3911</v>
      </c>
      <c r="C747" s="349" t="s">
        <v>4013</v>
      </c>
      <c r="D747" s="349" t="s">
        <v>54</v>
      </c>
      <c r="E747" s="349" t="s">
        <v>3556</v>
      </c>
      <c r="F747" s="751">
        <v>4833.0</v>
      </c>
      <c r="G747" s="751"/>
      <c r="H747" s="349" t="s">
        <v>4042</v>
      </c>
      <c r="I747" s="736" t="str">
        <f t="shared" si="20"/>
        <v>NOT PAID</v>
      </c>
      <c r="J747" s="402"/>
      <c r="K747" s="402"/>
      <c r="L747" s="402"/>
      <c r="M747" s="402"/>
      <c r="N747" s="402"/>
      <c r="O747" s="402"/>
      <c r="P747" s="402"/>
      <c r="Q747" s="402"/>
      <c r="R747" s="402"/>
      <c r="S747" s="402"/>
      <c r="T747" s="402"/>
      <c r="U747" s="402"/>
      <c r="V747" s="402"/>
      <c r="W747" s="402"/>
      <c r="X747" s="402"/>
      <c r="Y747" s="402"/>
      <c r="Z747" s="402"/>
      <c r="AA747" s="405"/>
      <c r="AB747" s="405"/>
      <c r="AC747" s="405"/>
      <c r="AD747" s="405"/>
      <c r="AE747" s="405"/>
      <c r="AF747" s="405"/>
      <c r="AG747" s="405"/>
      <c r="AH747" s="405"/>
      <c r="AI747" s="405"/>
      <c r="AJ747" s="405"/>
      <c r="AK747" s="405"/>
      <c r="AL747" s="405"/>
    </row>
    <row r="748" ht="14.25" customHeight="1">
      <c r="A748" s="497">
        <v>45530.0</v>
      </c>
      <c r="B748" s="349" t="s">
        <v>3974</v>
      </c>
      <c r="C748" s="349" t="s">
        <v>4020</v>
      </c>
      <c r="D748" s="349" t="s">
        <v>3785</v>
      </c>
      <c r="E748" s="349" t="s">
        <v>3556</v>
      </c>
      <c r="F748" s="413">
        <v>4579.0</v>
      </c>
      <c r="G748" s="413"/>
      <c r="H748" s="349" t="s">
        <v>3903</v>
      </c>
      <c r="I748" s="736" t="str">
        <f t="shared" si="20"/>
        <v>NOT PAID</v>
      </c>
      <c r="J748" s="402"/>
      <c r="K748" s="402"/>
      <c r="L748" s="402"/>
      <c r="M748" s="402"/>
      <c r="N748" s="402"/>
      <c r="O748" s="402"/>
      <c r="P748" s="402"/>
      <c r="Q748" s="402"/>
      <c r="R748" s="402"/>
      <c r="S748" s="402"/>
      <c r="T748" s="402"/>
      <c r="U748" s="402"/>
      <c r="V748" s="402"/>
      <c r="W748" s="402"/>
      <c r="X748" s="402"/>
      <c r="Y748" s="402"/>
      <c r="Z748" s="402"/>
      <c r="AA748" s="405"/>
      <c r="AB748" s="405"/>
      <c r="AC748" s="405"/>
      <c r="AD748" s="405"/>
      <c r="AE748" s="405"/>
      <c r="AF748" s="405"/>
      <c r="AG748" s="405"/>
      <c r="AH748" s="405"/>
      <c r="AI748" s="405"/>
      <c r="AJ748" s="405"/>
      <c r="AK748" s="405"/>
      <c r="AL748" s="405"/>
    </row>
    <row r="749" ht="14.25" customHeight="1">
      <c r="A749" s="497">
        <v>45530.0</v>
      </c>
      <c r="B749" s="349" t="s">
        <v>3563</v>
      </c>
      <c r="C749" s="349" t="s">
        <v>3564</v>
      </c>
      <c r="D749" s="349" t="s">
        <v>54</v>
      </c>
      <c r="E749" s="349" t="s">
        <v>3556</v>
      </c>
      <c r="F749" s="413">
        <v>135000.0</v>
      </c>
      <c r="G749" s="413"/>
      <c r="H749" s="349" t="s">
        <v>4032</v>
      </c>
      <c r="I749" s="736" t="str">
        <f t="shared" si="20"/>
        <v>NOT PAID</v>
      </c>
      <c r="J749" s="402"/>
      <c r="K749" s="402"/>
      <c r="L749" s="402"/>
      <c r="M749" s="402"/>
      <c r="N749" s="402"/>
      <c r="O749" s="402"/>
      <c r="P749" s="402"/>
      <c r="Q749" s="402"/>
      <c r="R749" s="402"/>
      <c r="S749" s="402"/>
      <c r="T749" s="402"/>
      <c r="U749" s="402"/>
      <c r="V749" s="402"/>
      <c r="W749" s="402"/>
      <c r="X749" s="402"/>
      <c r="Y749" s="402"/>
      <c r="Z749" s="402"/>
      <c r="AA749" s="405"/>
      <c r="AB749" s="405"/>
      <c r="AC749" s="405"/>
      <c r="AD749" s="405"/>
      <c r="AE749" s="405"/>
      <c r="AF749" s="405"/>
      <c r="AG749" s="405"/>
      <c r="AH749" s="405"/>
      <c r="AI749" s="405"/>
      <c r="AJ749" s="405"/>
      <c r="AK749" s="405"/>
      <c r="AL749" s="405"/>
    </row>
    <row r="750" ht="14.25" customHeight="1">
      <c r="A750" s="497">
        <v>45530.0</v>
      </c>
      <c r="B750" s="349" t="s">
        <v>3802</v>
      </c>
      <c r="C750" s="349" t="s">
        <v>3670</v>
      </c>
      <c r="D750" s="349" t="s">
        <v>54</v>
      </c>
      <c r="E750" s="349" t="s">
        <v>3617</v>
      </c>
      <c r="F750" s="413">
        <v>23649.0</v>
      </c>
      <c r="G750" s="413">
        <v>7500.0</v>
      </c>
      <c r="H750" s="349" t="s">
        <v>4041</v>
      </c>
      <c r="I750" s="736" t="str">
        <f t="shared" si="20"/>
        <v>PARTIALLY PAID</v>
      </c>
      <c r="J750" s="402"/>
      <c r="K750" s="402"/>
      <c r="L750" s="402"/>
      <c r="M750" s="402"/>
      <c r="N750" s="402"/>
      <c r="O750" s="402"/>
      <c r="P750" s="402"/>
      <c r="Q750" s="402"/>
      <c r="R750" s="402"/>
      <c r="S750" s="402"/>
      <c r="T750" s="402"/>
      <c r="U750" s="402"/>
      <c r="V750" s="402"/>
      <c r="W750" s="402"/>
      <c r="X750" s="402"/>
      <c r="Y750" s="402"/>
      <c r="Z750" s="402"/>
      <c r="AA750" s="405"/>
      <c r="AB750" s="405"/>
      <c r="AC750" s="405"/>
      <c r="AD750" s="405"/>
      <c r="AE750" s="405"/>
      <c r="AF750" s="405"/>
      <c r="AG750" s="405"/>
      <c r="AH750" s="405"/>
      <c r="AI750" s="405"/>
      <c r="AJ750" s="405"/>
      <c r="AK750" s="405"/>
      <c r="AL750" s="405"/>
    </row>
    <row r="751" ht="14.25" customHeight="1">
      <c r="A751" s="497">
        <v>45530.0</v>
      </c>
      <c r="B751" s="349" t="s">
        <v>3982</v>
      </c>
      <c r="C751" s="349" t="s">
        <v>3983</v>
      </c>
      <c r="D751" s="349" t="s">
        <v>54</v>
      </c>
      <c r="E751" s="349" t="s">
        <v>3617</v>
      </c>
      <c r="F751" s="559">
        <v>68000.0</v>
      </c>
      <c r="G751" s="559"/>
      <c r="H751" s="349" t="s">
        <v>4041</v>
      </c>
      <c r="I751" s="736" t="str">
        <f t="shared" si="20"/>
        <v>NOT PAID</v>
      </c>
      <c r="J751" s="402"/>
      <c r="K751" s="402"/>
      <c r="L751" s="402"/>
      <c r="M751" s="402"/>
      <c r="N751" s="402"/>
      <c r="O751" s="402"/>
      <c r="P751" s="402"/>
      <c r="Q751" s="402"/>
      <c r="R751" s="402"/>
      <c r="S751" s="402"/>
      <c r="T751" s="402"/>
      <c r="U751" s="402"/>
      <c r="V751" s="402"/>
      <c r="W751" s="402"/>
      <c r="X751" s="402"/>
      <c r="Y751" s="402"/>
      <c r="Z751" s="402"/>
      <c r="AA751" s="405"/>
      <c r="AB751" s="405"/>
      <c r="AC751" s="405"/>
      <c r="AD751" s="405"/>
      <c r="AE751" s="405"/>
      <c r="AF751" s="405"/>
      <c r="AG751" s="405"/>
      <c r="AH751" s="405"/>
      <c r="AI751" s="405"/>
      <c r="AJ751" s="405"/>
      <c r="AK751" s="405"/>
      <c r="AL751" s="405"/>
    </row>
    <row r="752" ht="14.25" customHeight="1">
      <c r="A752" s="497">
        <v>45530.0</v>
      </c>
      <c r="B752" s="349" t="s">
        <v>3978</v>
      </c>
      <c r="C752" s="349" t="s">
        <v>3979</v>
      </c>
      <c r="D752" s="349" t="s">
        <v>54</v>
      </c>
      <c r="E752" s="349" t="s">
        <v>3551</v>
      </c>
      <c r="F752" s="559">
        <v>56441.0</v>
      </c>
      <c r="G752" s="559"/>
      <c r="H752" s="349" t="s">
        <v>4041</v>
      </c>
      <c r="I752" s="736" t="str">
        <f t="shared" si="20"/>
        <v>NOT PAID</v>
      </c>
      <c r="J752" s="402"/>
      <c r="K752" s="402"/>
      <c r="L752" s="402"/>
      <c r="M752" s="402"/>
      <c r="N752" s="402"/>
      <c r="O752" s="402"/>
      <c r="P752" s="402"/>
      <c r="Q752" s="402"/>
      <c r="R752" s="402"/>
      <c r="S752" s="402"/>
      <c r="T752" s="402"/>
      <c r="U752" s="402"/>
      <c r="V752" s="402"/>
      <c r="W752" s="402"/>
      <c r="X752" s="402"/>
      <c r="Y752" s="402"/>
      <c r="Z752" s="402"/>
      <c r="AA752" s="405"/>
      <c r="AB752" s="405"/>
      <c r="AC752" s="405"/>
      <c r="AD752" s="405"/>
      <c r="AE752" s="405"/>
      <c r="AF752" s="405"/>
      <c r="AG752" s="405"/>
      <c r="AH752" s="405"/>
      <c r="AI752" s="405"/>
      <c r="AJ752" s="405"/>
      <c r="AK752" s="405"/>
      <c r="AL752" s="405"/>
    </row>
    <row r="753" ht="14.25" customHeight="1">
      <c r="A753" s="497">
        <v>45530.0</v>
      </c>
      <c r="B753" s="349" t="s">
        <v>3781</v>
      </c>
      <c r="C753" s="349" t="s">
        <v>3782</v>
      </c>
      <c r="D753" s="349" t="s">
        <v>54</v>
      </c>
      <c r="E753" s="349" t="s">
        <v>3551</v>
      </c>
      <c r="F753" s="751">
        <v>54675.0</v>
      </c>
      <c r="G753" s="751"/>
      <c r="H753" s="349" t="s">
        <v>4041</v>
      </c>
      <c r="I753" s="736" t="str">
        <f t="shared" si="20"/>
        <v>NOT PAID</v>
      </c>
      <c r="J753" s="402"/>
      <c r="K753" s="402"/>
      <c r="L753" s="402"/>
      <c r="M753" s="402"/>
      <c r="N753" s="402"/>
      <c r="O753" s="402"/>
      <c r="P753" s="402"/>
      <c r="Q753" s="402"/>
      <c r="R753" s="402"/>
      <c r="S753" s="402"/>
      <c r="T753" s="402"/>
      <c r="U753" s="402"/>
      <c r="V753" s="402"/>
      <c r="W753" s="402"/>
      <c r="X753" s="402"/>
      <c r="Y753" s="402"/>
      <c r="Z753" s="402"/>
      <c r="AA753" s="405"/>
      <c r="AB753" s="405"/>
      <c r="AC753" s="405"/>
      <c r="AD753" s="405"/>
      <c r="AE753" s="405"/>
      <c r="AF753" s="405"/>
      <c r="AG753" s="405"/>
      <c r="AH753" s="405"/>
      <c r="AI753" s="405"/>
      <c r="AJ753" s="405"/>
      <c r="AK753" s="405"/>
      <c r="AL753" s="405"/>
    </row>
    <row r="754" ht="14.25" customHeight="1">
      <c r="A754" s="497">
        <v>45530.0</v>
      </c>
      <c r="B754" s="608" t="s">
        <v>3663</v>
      </c>
      <c r="C754" s="608" t="s">
        <v>3664</v>
      </c>
      <c r="D754" s="608" t="s">
        <v>54</v>
      </c>
      <c r="E754" s="349" t="s">
        <v>3579</v>
      </c>
      <c r="F754" s="794">
        <v>164654.9</v>
      </c>
      <c r="G754" s="794"/>
      <c r="H754" s="349" t="s">
        <v>4043</v>
      </c>
      <c r="I754" s="736" t="str">
        <f t="shared" si="20"/>
        <v>NOT PAID</v>
      </c>
      <c r="J754" s="402"/>
      <c r="K754" s="402"/>
      <c r="L754" s="402"/>
      <c r="M754" s="402"/>
      <c r="N754" s="402"/>
      <c r="O754" s="402"/>
      <c r="P754" s="402"/>
      <c r="Q754" s="402"/>
      <c r="R754" s="402"/>
      <c r="S754" s="402"/>
      <c r="T754" s="402"/>
      <c r="U754" s="402"/>
      <c r="V754" s="402"/>
      <c r="W754" s="402"/>
      <c r="X754" s="402"/>
      <c r="Y754" s="402"/>
      <c r="Z754" s="402"/>
      <c r="AA754" s="405"/>
      <c r="AB754" s="405"/>
      <c r="AC754" s="405"/>
      <c r="AD754" s="405"/>
      <c r="AE754" s="405"/>
      <c r="AF754" s="405"/>
      <c r="AG754" s="405"/>
      <c r="AH754" s="405"/>
      <c r="AI754" s="405"/>
      <c r="AJ754" s="405"/>
      <c r="AK754" s="405"/>
      <c r="AL754" s="405"/>
    </row>
    <row r="755" ht="14.25" customHeight="1">
      <c r="A755" s="497">
        <v>45530.0</v>
      </c>
      <c r="B755" s="608" t="s">
        <v>3641</v>
      </c>
      <c r="C755" s="608" t="s">
        <v>3642</v>
      </c>
      <c r="D755" s="608" t="s">
        <v>54</v>
      </c>
      <c r="E755" s="349" t="s">
        <v>3551</v>
      </c>
      <c r="F755" s="794">
        <v>5995.66</v>
      </c>
      <c r="G755" s="794">
        <v>10300.0</v>
      </c>
      <c r="H755" s="349" t="s">
        <v>710</v>
      </c>
      <c r="I755" s="736" t="str">
        <f t="shared" si="20"/>
        <v>FULLY PAID</v>
      </c>
      <c r="J755" s="402"/>
      <c r="K755" s="402"/>
      <c r="L755" s="402"/>
      <c r="M755" s="402"/>
      <c r="N755" s="402"/>
      <c r="O755" s="402"/>
      <c r="P755" s="402"/>
      <c r="Q755" s="402"/>
      <c r="R755" s="402"/>
      <c r="S755" s="402"/>
      <c r="T755" s="402"/>
      <c r="U755" s="402"/>
      <c r="V755" s="402"/>
      <c r="W755" s="402"/>
      <c r="X755" s="402"/>
      <c r="Y755" s="402"/>
      <c r="Z755" s="402"/>
      <c r="AA755" s="405"/>
      <c r="AB755" s="405"/>
      <c r="AC755" s="405"/>
      <c r="AD755" s="405"/>
      <c r="AE755" s="405"/>
      <c r="AF755" s="405"/>
      <c r="AG755" s="405"/>
      <c r="AH755" s="405"/>
      <c r="AI755" s="405"/>
      <c r="AJ755" s="405"/>
      <c r="AK755" s="405"/>
      <c r="AL755" s="405"/>
    </row>
    <row r="756" ht="14.25" customHeight="1">
      <c r="A756" s="497">
        <v>45530.0</v>
      </c>
      <c r="B756" s="608" t="s">
        <v>3552</v>
      </c>
      <c r="C756" s="608" t="s">
        <v>3553</v>
      </c>
      <c r="D756" s="608" t="s">
        <v>54</v>
      </c>
      <c r="E756" s="349" t="s">
        <v>3579</v>
      </c>
      <c r="F756" s="794">
        <v>34879.29</v>
      </c>
      <c r="G756" s="794"/>
      <c r="H756" s="349" t="s">
        <v>4044</v>
      </c>
      <c r="I756" s="736" t="str">
        <f t="shared" si="20"/>
        <v>NOT PAID</v>
      </c>
      <c r="J756" s="402"/>
      <c r="K756" s="402"/>
      <c r="L756" s="402"/>
      <c r="M756" s="402"/>
      <c r="N756" s="402"/>
      <c r="O756" s="402"/>
      <c r="P756" s="402"/>
      <c r="Q756" s="402"/>
      <c r="R756" s="402"/>
      <c r="S756" s="402"/>
      <c r="T756" s="402"/>
      <c r="U756" s="402"/>
      <c r="V756" s="402"/>
      <c r="W756" s="402"/>
      <c r="X756" s="402"/>
      <c r="Y756" s="402"/>
      <c r="Z756" s="402"/>
      <c r="AA756" s="405"/>
      <c r="AB756" s="405"/>
      <c r="AC756" s="405"/>
      <c r="AD756" s="405"/>
      <c r="AE756" s="405"/>
      <c r="AF756" s="405"/>
      <c r="AG756" s="405"/>
      <c r="AH756" s="405"/>
      <c r="AI756" s="405"/>
      <c r="AJ756" s="405"/>
      <c r="AK756" s="405"/>
      <c r="AL756" s="405"/>
    </row>
    <row r="757" ht="14.25" customHeight="1">
      <c r="A757" s="497">
        <v>45530.0</v>
      </c>
      <c r="B757" s="608" t="s">
        <v>3623</v>
      </c>
      <c r="C757" s="608" t="s">
        <v>3624</v>
      </c>
      <c r="D757" s="608" t="s">
        <v>54</v>
      </c>
      <c r="E757" s="349" t="s">
        <v>3551</v>
      </c>
      <c r="F757" s="794">
        <v>31816.87</v>
      </c>
      <c r="G757" s="794">
        <v>13200.0</v>
      </c>
      <c r="H757" s="349" t="s">
        <v>4045</v>
      </c>
      <c r="I757" s="736" t="str">
        <f t="shared" si="20"/>
        <v>PARTIALLY PAID</v>
      </c>
      <c r="J757" s="402"/>
      <c r="K757" s="402"/>
      <c r="L757" s="402"/>
      <c r="M757" s="402"/>
      <c r="N757" s="402"/>
      <c r="O757" s="402"/>
      <c r="P757" s="402"/>
      <c r="Q757" s="402"/>
      <c r="R757" s="402"/>
      <c r="S757" s="402"/>
      <c r="T757" s="402"/>
      <c r="U757" s="402"/>
      <c r="V757" s="402"/>
      <c r="W757" s="402"/>
      <c r="X757" s="402"/>
      <c r="Y757" s="402"/>
      <c r="Z757" s="402"/>
      <c r="AA757" s="405"/>
      <c r="AB757" s="405"/>
      <c r="AC757" s="405"/>
      <c r="AD757" s="405"/>
      <c r="AE757" s="405"/>
      <c r="AF757" s="405"/>
      <c r="AG757" s="405"/>
      <c r="AH757" s="405"/>
      <c r="AI757" s="405"/>
      <c r="AJ757" s="405"/>
      <c r="AK757" s="405"/>
      <c r="AL757" s="405"/>
    </row>
    <row r="758" ht="14.25" customHeight="1">
      <c r="A758" s="497">
        <v>45530.0</v>
      </c>
      <c r="B758" s="608" t="s">
        <v>4046</v>
      </c>
      <c r="C758" s="608" t="s">
        <v>3648</v>
      </c>
      <c r="D758" s="608" t="s">
        <v>75</v>
      </c>
      <c r="E758" s="349" t="s">
        <v>3617</v>
      </c>
      <c r="F758" s="794">
        <v>34500.0</v>
      </c>
      <c r="G758" s="794">
        <v>8000.0</v>
      </c>
      <c r="H758" s="349" t="s">
        <v>4045</v>
      </c>
      <c r="I758" s="736" t="str">
        <f t="shared" si="20"/>
        <v>PARTIALLY PAID</v>
      </c>
      <c r="J758" s="402"/>
      <c r="K758" s="402"/>
      <c r="L758" s="402"/>
      <c r="M758" s="402"/>
      <c r="N758" s="402"/>
      <c r="O758" s="402"/>
      <c r="P758" s="402"/>
      <c r="Q758" s="402"/>
      <c r="R758" s="402"/>
      <c r="S758" s="402"/>
      <c r="T758" s="402"/>
      <c r="U758" s="402"/>
      <c r="V758" s="402"/>
      <c r="W758" s="402"/>
      <c r="X758" s="402"/>
      <c r="Y758" s="402"/>
      <c r="Z758" s="402"/>
      <c r="AA758" s="405"/>
      <c r="AB758" s="405"/>
      <c r="AC758" s="405"/>
      <c r="AD758" s="405"/>
      <c r="AE758" s="405"/>
      <c r="AF758" s="405"/>
      <c r="AG758" s="405"/>
      <c r="AH758" s="405"/>
      <c r="AI758" s="405"/>
      <c r="AJ758" s="405"/>
      <c r="AK758" s="405"/>
      <c r="AL758" s="405"/>
    </row>
    <row r="759" ht="14.25" customHeight="1">
      <c r="A759" s="497">
        <v>45530.0</v>
      </c>
      <c r="B759" s="608" t="s">
        <v>3714</v>
      </c>
      <c r="C759" s="608" t="s">
        <v>3715</v>
      </c>
      <c r="D759" s="608" t="s">
        <v>54</v>
      </c>
      <c r="E759" s="349" t="s">
        <v>3551</v>
      </c>
      <c r="F759" s="794">
        <v>15220.0</v>
      </c>
      <c r="G759" s="794"/>
      <c r="H759" s="349" t="s">
        <v>4044</v>
      </c>
      <c r="I759" s="736" t="str">
        <f t="shared" si="20"/>
        <v>NOT PAID</v>
      </c>
      <c r="J759" s="402"/>
      <c r="K759" s="402"/>
      <c r="L759" s="402"/>
      <c r="M759" s="402"/>
      <c r="N759" s="402"/>
      <c r="O759" s="402"/>
      <c r="P759" s="402"/>
      <c r="Q759" s="402"/>
      <c r="R759" s="402"/>
      <c r="S759" s="402"/>
      <c r="T759" s="402"/>
      <c r="U759" s="402"/>
      <c r="V759" s="402"/>
      <c r="W759" s="402"/>
      <c r="X759" s="402"/>
      <c r="Y759" s="402"/>
      <c r="Z759" s="402"/>
      <c r="AA759" s="405"/>
      <c r="AB759" s="405"/>
      <c r="AC759" s="405"/>
      <c r="AD759" s="405"/>
      <c r="AE759" s="405"/>
      <c r="AF759" s="405"/>
      <c r="AG759" s="405"/>
      <c r="AH759" s="405"/>
      <c r="AI759" s="405"/>
      <c r="AJ759" s="405"/>
      <c r="AK759" s="405"/>
      <c r="AL759" s="405"/>
    </row>
    <row r="760" ht="14.25" customHeight="1">
      <c r="A760" s="497">
        <v>45530.0</v>
      </c>
      <c r="B760" s="608" t="s">
        <v>3657</v>
      </c>
      <c r="C760" s="608" t="s">
        <v>3658</v>
      </c>
      <c r="D760" s="608" t="s">
        <v>54</v>
      </c>
      <c r="E760" s="349" t="s">
        <v>3556</v>
      </c>
      <c r="F760" s="794">
        <v>47779.0</v>
      </c>
      <c r="G760" s="794">
        <v>47809.0</v>
      </c>
      <c r="H760" s="349" t="s">
        <v>149</v>
      </c>
      <c r="I760" s="736" t="str">
        <f t="shared" si="20"/>
        <v>FULLY PAID</v>
      </c>
      <c r="J760" s="402"/>
      <c r="K760" s="402"/>
      <c r="L760" s="402"/>
      <c r="M760" s="402"/>
      <c r="N760" s="402"/>
      <c r="O760" s="402"/>
      <c r="P760" s="402"/>
      <c r="Q760" s="402"/>
      <c r="R760" s="402"/>
      <c r="S760" s="402"/>
      <c r="T760" s="402"/>
      <c r="U760" s="402"/>
      <c r="V760" s="402"/>
      <c r="W760" s="402"/>
      <c r="X760" s="402"/>
      <c r="Y760" s="402"/>
      <c r="Z760" s="402"/>
      <c r="AA760" s="405"/>
      <c r="AB760" s="405"/>
      <c r="AC760" s="405"/>
      <c r="AD760" s="405"/>
      <c r="AE760" s="405"/>
      <c r="AF760" s="405"/>
      <c r="AG760" s="405"/>
      <c r="AH760" s="405"/>
      <c r="AI760" s="405"/>
      <c r="AJ760" s="405"/>
      <c r="AK760" s="405"/>
      <c r="AL760" s="405"/>
    </row>
    <row r="761" ht="14.25" customHeight="1">
      <c r="A761" s="497">
        <v>45530.0</v>
      </c>
      <c r="B761" s="608" t="s">
        <v>4047</v>
      </c>
      <c r="C761" s="608" t="s">
        <v>3699</v>
      </c>
      <c r="D761" s="608" t="s">
        <v>54</v>
      </c>
      <c r="E761" s="349" t="s">
        <v>3556</v>
      </c>
      <c r="F761" s="794">
        <v>26599.0</v>
      </c>
      <c r="G761" s="794"/>
      <c r="H761" s="349" t="s">
        <v>4044</v>
      </c>
      <c r="I761" s="736" t="str">
        <f t="shared" si="20"/>
        <v>NOT PAID</v>
      </c>
      <c r="J761" s="402"/>
      <c r="K761" s="402"/>
      <c r="L761" s="402"/>
      <c r="M761" s="402"/>
      <c r="N761" s="402"/>
      <c r="O761" s="402"/>
      <c r="P761" s="402"/>
      <c r="Q761" s="402"/>
      <c r="R761" s="402"/>
      <c r="S761" s="402"/>
      <c r="T761" s="402"/>
      <c r="U761" s="402"/>
      <c r="V761" s="402"/>
      <c r="W761" s="402"/>
      <c r="X761" s="402"/>
      <c r="Y761" s="402"/>
      <c r="Z761" s="402"/>
      <c r="AA761" s="405"/>
      <c r="AB761" s="405"/>
      <c r="AC761" s="405"/>
      <c r="AD761" s="405"/>
      <c r="AE761" s="405"/>
      <c r="AF761" s="405"/>
      <c r="AG761" s="405"/>
      <c r="AH761" s="405"/>
      <c r="AI761" s="405"/>
      <c r="AJ761" s="405"/>
      <c r="AK761" s="405"/>
      <c r="AL761" s="405"/>
    </row>
    <row r="762" ht="14.25" customHeight="1">
      <c r="A762" s="497">
        <v>45530.0</v>
      </c>
      <c r="B762" s="599" t="s">
        <v>3608</v>
      </c>
      <c r="C762" s="471" t="s">
        <v>3637</v>
      </c>
      <c r="D762" s="471" t="s">
        <v>59</v>
      </c>
      <c r="E762" s="471" t="s">
        <v>3579</v>
      </c>
      <c r="F762" s="600">
        <v>500000.0</v>
      </c>
      <c r="G762" s="600"/>
      <c r="H762" s="349" t="s">
        <v>4048</v>
      </c>
      <c r="I762" s="736" t="str">
        <f t="shared" si="20"/>
        <v>NOT PAID</v>
      </c>
      <c r="J762" s="402"/>
      <c r="K762" s="402"/>
      <c r="L762" s="402"/>
      <c r="M762" s="402"/>
      <c r="N762" s="402"/>
      <c r="O762" s="402"/>
      <c r="P762" s="402"/>
      <c r="Q762" s="402"/>
      <c r="R762" s="402"/>
      <c r="S762" s="402"/>
      <c r="T762" s="402"/>
      <c r="U762" s="402"/>
      <c r="V762" s="402"/>
      <c r="W762" s="402"/>
      <c r="X762" s="402"/>
      <c r="Y762" s="402"/>
      <c r="Z762" s="402"/>
      <c r="AA762" s="405"/>
      <c r="AB762" s="405"/>
      <c r="AC762" s="405"/>
      <c r="AD762" s="405"/>
      <c r="AE762" s="405"/>
      <c r="AF762" s="405"/>
      <c r="AG762" s="405"/>
      <c r="AH762" s="405"/>
      <c r="AI762" s="405"/>
      <c r="AJ762" s="405"/>
      <c r="AK762" s="405"/>
      <c r="AL762" s="405"/>
    </row>
    <row r="763" ht="14.25" customHeight="1">
      <c r="A763" s="497"/>
      <c r="B763" s="349" t="s">
        <v>3809</v>
      </c>
      <c r="C763" s="349" t="s">
        <v>3956</v>
      </c>
      <c r="D763" s="349" t="s">
        <v>54</v>
      </c>
      <c r="E763" s="349" t="s">
        <v>3556</v>
      </c>
      <c r="F763" s="794">
        <v>700.0</v>
      </c>
      <c r="G763" s="794">
        <v>700.0</v>
      </c>
      <c r="H763" s="349" t="s">
        <v>710</v>
      </c>
      <c r="I763" s="736" t="str">
        <f t="shared" si="20"/>
        <v>FULLY PAID</v>
      </c>
      <c r="J763" s="402"/>
      <c r="K763" s="402"/>
      <c r="L763" s="402"/>
      <c r="M763" s="402"/>
      <c r="N763" s="402"/>
      <c r="O763" s="402"/>
      <c r="P763" s="402"/>
      <c r="Q763" s="402"/>
      <c r="R763" s="402"/>
      <c r="S763" s="402"/>
      <c r="T763" s="402"/>
      <c r="U763" s="402"/>
      <c r="V763" s="402"/>
      <c r="W763" s="402"/>
      <c r="X763" s="402"/>
      <c r="Y763" s="402"/>
      <c r="Z763" s="402"/>
      <c r="AA763" s="405"/>
      <c r="AB763" s="405"/>
      <c r="AC763" s="405"/>
      <c r="AD763" s="405"/>
      <c r="AE763" s="405"/>
      <c r="AF763" s="405"/>
      <c r="AG763" s="405"/>
      <c r="AH763" s="405"/>
      <c r="AI763" s="405"/>
      <c r="AJ763" s="405"/>
      <c r="AK763" s="405"/>
      <c r="AL763" s="405"/>
    </row>
    <row r="764" ht="14.25" customHeight="1">
      <c r="A764" s="497"/>
      <c r="B764" s="402"/>
      <c r="C764" s="402"/>
      <c r="D764" s="402"/>
      <c r="E764" s="402"/>
      <c r="F764" s="402"/>
      <c r="G764" s="403"/>
      <c r="H764" s="402"/>
      <c r="I764" s="736" t="str">
        <f t="shared" si="20"/>
        <v>FULLY PAID</v>
      </c>
      <c r="J764" s="402"/>
      <c r="K764" s="402"/>
      <c r="L764" s="402"/>
      <c r="M764" s="402"/>
      <c r="N764" s="402"/>
      <c r="O764" s="402"/>
      <c r="P764" s="402"/>
      <c r="Q764" s="402"/>
      <c r="R764" s="402"/>
      <c r="S764" s="402"/>
      <c r="T764" s="402"/>
      <c r="U764" s="402"/>
      <c r="V764" s="402"/>
      <c r="W764" s="402"/>
      <c r="X764" s="402"/>
      <c r="Y764" s="402"/>
      <c r="Z764" s="402"/>
      <c r="AA764" s="405"/>
      <c r="AB764" s="405"/>
      <c r="AC764" s="405"/>
      <c r="AD764" s="405"/>
      <c r="AE764" s="405"/>
      <c r="AF764" s="405"/>
      <c r="AG764" s="405"/>
      <c r="AH764" s="405"/>
      <c r="AI764" s="405"/>
      <c r="AJ764" s="405"/>
      <c r="AK764" s="405"/>
      <c r="AL764" s="405"/>
    </row>
    <row r="765" ht="14.25" customHeight="1">
      <c r="A765" s="402"/>
      <c r="B765" s="402"/>
      <c r="C765" s="402"/>
      <c r="D765" s="402"/>
      <c r="E765" s="402"/>
      <c r="F765" s="403">
        <f t="shared" ref="F765:G765" si="29">SUM(F741:F764)</f>
        <v>1405956.72</v>
      </c>
      <c r="G765" s="403">
        <f t="shared" si="29"/>
        <v>232944</v>
      </c>
      <c r="H765" s="402"/>
      <c r="I765" s="736" t="str">
        <f t="shared" si="20"/>
        <v>PARTIALLY PAID</v>
      </c>
      <c r="J765" s="402"/>
      <c r="K765" s="402"/>
      <c r="L765" s="402"/>
      <c r="M765" s="402"/>
      <c r="N765" s="402"/>
      <c r="O765" s="402"/>
      <c r="P765" s="402"/>
      <c r="Q765" s="402"/>
      <c r="R765" s="402"/>
      <c r="S765" s="402"/>
      <c r="T765" s="402"/>
      <c r="U765" s="402"/>
      <c r="V765" s="402"/>
      <c r="W765" s="402"/>
      <c r="X765" s="402"/>
      <c r="Y765" s="402"/>
      <c r="Z765" s="402"/>
      <c r="AA765" s="405"/>
      <c r="AB765" s="405"/>
      <c r="AC765" s="405"/>
      <c r="AD765" s="405"/>
      <c r="AE765" s="405"/>
      <c r="AF765" s="405"/>
      <c r="AG765" s="405"/>
      <c r="AH765" s="405"/>
      <c r="AI765" s="405"/>
      <c r="AJ765" s="405"/>
      <c r="AK765" s="405"/>
      <c r="AL765" s="405"/>
    </row>
    <row r="766" ht="14.25" customHeight="1">
      <c r="A766" s="402"/>
      <c r="B766" s="402"/>
      <c r="C766" s="402"/>
      <c r="D766" s="402"/>
      <c r="E766" s="402"/>
      <c r="F766" s="402"/>
      <c r="G766" s="403"/>
      <c r="H766" s="402"/>
      <c r="I766" s="736" t="str">
        <f t="shared" si="20"/>
        <v>FULLY PAID</v>
      </c>
      <c r="J766" s="402"/>
      <c r="K766" s="402"/>
      <c r="L766" s="402"/>
      <c r="M766" s="402"/>
      <c r="N766" s="402"/>
      <c r="O766" s="402"/>
      <c r="P766" s="402"/>
      <c r="Q766" s="402"/>
      <c r="R766" s="402"/>
      <c r="S766" s="402"/>
      <c r="T766" s="402"/>
      <c r="U766" s="402"/>
      <c r="V766" s="402"/>
      <c r="W766" s="402"/>
      <c r="X766" s="402"/>
      <c r="Y766" s="402"/>
      <c r="Z766" s="402"/>
      <c r="AA766" s="405"/>
      <c r="AB766" s="405"/>
      <c r="AC766" s="405"/>
      <c r="AD766" s="405"/>
      <c r="AE766" s="405"/>
      <c r="AF766" s="405"/>
      <c r="AG766" s="405"/>
      <c r="AH766" s="405"/>
      <c r="AI766" s="405"/>
      <c r="AJ766" s="405"/>
      <c r="AK766" s="405"/>
      <c r="AL766" s="405"/>
    </row>
    <row r="767" ht="14.25" customHeight="1">
      <c r="A767" s="402"/>
      <c r="B767" s="402"/>
      <c r="C767" s="402"/>
      <c r="D767" s="402"/>
      <c r="E767" s="402"/>
      <c r="F767" s="402"/>
      <c r="G767" s="403"/>
      <c r="H767" s="402"/>
      <c r="I767" s="736" t="str">
        <f t="shared" si="20"/>
        <v>FULLY PAID</v>
      </c>
      <c r="J767" s="402"/>
      <c r="K767" s="402"/>
      <c r="L767" s="402"/>
      <c r="M767" s="402"/>
      <c r="N767" s="402"/>
      <c r="O767" s="402"/>
      <c r="P767" s="402"/>
      <c r="Q767" s="402"/>
      <c r="R767" s="402"/>
      <c r="S767" s="402"/>
      <c r="T767" s="402"/>
      <c r="U767" s="402"/>
      <c r="V767" s="402"/>
      <c r="W767" s="402"/>
      <c r="X767" s="402"/>
      <c r="Y767" s="402"/>
      <c r="Z767" s="402"/>
      <c r="AA767" s="405"/>
      <c r="AB767" s="405"/>
      <c r="AC767" s="405"/>
      <c r="AD767" s="405"/>
      <c r="AE767" s="405"/>
      <c r="AF767" s="405"/>
      <c r="AG767" s="405"/>
      <c r="AH767" s="405"/>
      <c r="AI767" s="405"/>
      <c r="AJ767" s="405"/>
      <c r="AK767" s="405"/>
      <c r="AL767" s="405"/>
    </row>
    <row r="768" ht="14.25" customHeight="1">
      <c r="A768" s="584" t="s">
        <v>2130</v>
      </c>
      <c r="B768" s="584" t="s">
        <v>39</v>
      </c>
      <c r="C768" s="584" t="s">
        <v>48</v>
      </c>
      <c r="D768" s="584" t="s">
        <v>49</v>
      </c>
      <c r="E768" s="584" t="s">
        <v>50</v>
      </c>
      <c r="F768" s="584" t="s">
        <v>2</v>
      </c>
      <c r="G768" s="586" t="s">
        <v>44</v>
      </c>
      <c r="H768" s="424" t="s">
        <v>45</v>
      </c>
      <c r="I768" s="736" t="str">
        <f t="shared" si="20"/>
        <v>FULLY PAID</v>
      </c>
      <c r="J768" s="402"/>
      <c r="K768" s="402"/>
      <c r="L768" s="402"/>
      <c r="M768" s="402"/>
      <c r="N768" s="402"/>
      <c r="O768" s="402"/>
      <c r="P768" s="402"/>
      <c r="Q768" s="402"/>
      <c r="R768" s="402"/>
      <c r="S768" s="402"/>
      <c r="T768" s="402"/>
      <c r="U768" s="402"/>
      <c r="V768" s="402"/>
      <c r="W768" s="402"/>
      <c r="X768" s="402"/>
      <c r="Y768" s="402"/>
      <c r="Z768" s="402"/>
      <c r="AA768" s="405"/>
      <c r="AB768" s="405"/>
      <c r="AC768" s="405"/>
      <c r="AD768" s="405"/>
      <c r="AE768" s="405"/>
      <c r="AF768" s="405"/>
      <c r="AG768" s="405"/>
      <c r="AH768" s="405"/>
      <c r="AI768" s="405"/>
      <c r="AJ768" s="405"/>
      <c r="AK768" s="405"/>
      <c r="AL768" s="405"/>
    </row>
    <row r="769" ht="14.25" customHeight="1">
      <c r="A769" s="497">
        <v>45531.0</v>
      </c>
      <c r="B769" s="607" t="s">
        <v>3676</v>
      </c>
      <c r="C769" s="607" t="s">
        <v>3677</v>
      </c>
      <c r="D769" s="607" t="s">
        <v>54</v>
      </c>
      <c r="E769" s="349" t="s">
        <v>3556</v>
      </c>
      <c r="F769" s="756">
        <v>139359.08</v>
      </c>
      <c r="G769" s="403"/>
      <c r="H769" s="349" t="s">
        <v>4049</v>
      </c>
      <c r="I769" s="736" t="str">
        <f t="shared" si="20"/>
        <v>NOT PAID</v>
      </c>
      <c r="J769" s="402"/>
      <c r="K769" s="402"/>
      <c r="L769" s="402"/>
      <c r="M769" s="402"/>
      <c r="N769" s="402"/>
      <c r="O769" s="402"/>
      <c r="P769" s="402"/>
      <c r="Q769" s="402"/>
      <c r="R769" s="402"/>
      <c r="S769" s="402"/>
      <c r="T769" s="402"/>
      <c r="U769" s="402"/>
      <c r="V769" s="402"/>
      <c r="W769" s="402"/>
      <c r="X769" s="402"/>
      <c r="Y769" s="402"/>
      <c r="Z769" s="402"/>
      <c r="AA769" s="405"/>
      <c r="AB769" s="405"/>
      <c r="AC769" s="405"/>
      <c r="AD769" s="405"/>
      <c r="AE769" s="405"/>
      <c r="AF769" s="405"/>
      <c r="AG769" s="405"/>
      <c r="AH769" s="405"/>
      <c r="AI769" s="405"/>
      <c r="AJ769" s="405"/>
      <c r="AK769" s="405"/>
      <c r="AL769" s="405"/>
    </row>
    <row r="770" ht="14.25" customHeight="1">
      <c r="A770" s="497">
        <v>45531.0</v>
      </c>
      <c r="B770" s="349" t="s">
        <v>3876</v>
      </c>
      <c r="C770" s="349" t="s">
        <v>3672</v>
      </c>
      <c r="D770" s="607" t="s">
        <v>3793</v>
      </c>
      <c r="E770" s="349" t="s">
        <v>3551</v>
      </c>
      <c r="F770" s="756">
        <v>400000.0</v>
      </c>
      <c r="G770" s="403"/>
      <c r="H770" s="349" t="s">
        <v>3994</v>
      </c>
      <c r="I770" s="736" t="str">
        <f t="shared" si="20"/>
        <v>NOT PAID</v>
      </c>
      <c r="J770" s="402"/>
      <c r="K770" s="402"/>
      <c r="L770" s="402"/>
      <c r="M770" s="402"/>
      <c r="N770" s="402"/>
      <c r="O770" s="402"/>
      <c r="P770" s="402"/>
      <c r="Q770" s="402"/>
      <c r="R770" s="402"/>
      <c r="S770" s="402"/>
      <c r="T770" s="402"/>
      <c r="U770" s="402"/>
      <c r="V770" s="402"/>
      <c r="W770" s="402"/>
      <c r="X770" s="402"/>
      <c r="Y770" s="402"/>
      <c r="Z770" s="402"/>
      <c r="AA770" s="405"/>
      <c r="AB770" s="405"/>
      <c r="AC770" s="405"/>
      <c r="AD770" s="405"/>
      <c r="AE770" s="405"/>
      <c r="AF770" s="405"/>
      <c r="AG770" s="405"/>
      <c r="AH770" s="405"/>
      <c r="AI770" s="405"/>
      <c r="AJ770" s="405"/>
      <c r="AK770" s="405"/>
      <c r="AL770" s="405"/>
    </row>
    <row r="771" ht="14.25" customHeight="1">
      <c r="A771" s="497">
        <v>45531.0</v>
      </c>
      <c r="B771" s="349" t="s">
        <v>3620</v>
      </c>
      <c r="C771" s="349" t="s">
        <v>3621</v>
      </c>
      <c r="D771" s="349" t="s">
        <v>54</v>
      </c>
      <c r="E771" s="349" t="s">
        <v>3617</v>
      </c>
      <c r="F771" s="413">
        <v>39333.0</v>
      </c>
      <c r="G771" s="403"/>
      <c r="H771" s="349" t="s">
        <v>4050</v>
      </c>
      <c r="I771" s="736" t="str">
        <f t="shared" si="20"/>
        <v>NOT PAID</v>
      </c>
      <c r="J771" s="402"/>
      <c r="K771" s="402"/>
      <c r="L771" s="402"/>
      <c r="M771" s="402"/>
      <c r="N771" s="402"/>
      <c r="O771" s="402"/>
      <c r="P771" s="402"/>
      <c r="Q771" s="402"/>
      <c r="R771" s="402"/>
      <c r="S771" s="402"/>
      <c r="T771" s="402"/>
      <c r="U771" s="402"/>
      <c r="V771" s="402"/>
      <c r="W771" s="402"/>
      <c r="X771" s="402"/>
      <c r="Y771" s="402"/>
      <c r="Z771" s="402"/>
      <c r="AA771" s="405"/>
      <c r="AB771" s="405"/>
      <c r="AC771" s="405"/>
      <c r="AD771" s="405"/>
      <c r="AE771" s="405"/>
      <c r="AF771" s="405"/>
      <c r="AG771" s="405"/>
      <c r="AH771" s="405"/>
      <c r="AI771" s="405"/>
      <c r="AJ771" s="405"/>
      <c r="AK771" s="405"/>
      <c r="AL771" s="405"/>
    </row>
    <row r="772" ht="14.25" customHeight="1">
      <c r="A772" s="497">
        <v>45531.0</v>
      </c>
      <c r="B772" s="349" t="s">
        <v>4034</v>
      </c>
      <c r="C772" s="349" t="s">
        <v>3559</v>
      </c>
      <c r="D772" s="349" t="s">
        <v>75</v>
      </c>
      <c r="E772" s="349" t="s">
        <v>3617</v>
      </c>
      <c r="F772" s="413">
        <v>36000.0</v>
      </c>
      <c r="G772" s="413">
        <v>38300.0</v>
      </c>
      <c r="H772" s="349" t="s">
        <v>4051</v>
      </c>
      <c r="I772" s="736" t="str">
        <f t="shared" si="20"/>
        <v>FULLY PAID</v>
      </c>
      <c r="J772" s="402"/>
      <c r="K772" s="402"/>
      <c r="L772" s="402"/>
      <c r="M772" s="402"/>
      <c r="N772" s="402"/>
      <c r="O772" s="402"/>
      <c r="P772" s="402"/>
      <c r="Q772" s="402"/>
      <c r="R772" s="402"/>
      <c r="S772" s="402"/>
      <c r="T772" s="402"/>
      <c r="U772" s="402"/>
      <c r="V772" s="402"/>
      <c r="W772" s="402"/>
      <c r="X772" s="402"/>
      <c r="Y772" s="402"/>
      <c r="Z772" s="402"/>
      <c r="AA772" s="405"/>
      <c r="AB772" s="405"/>
      <c r="AC772" s="405"/>
      <c r="AD772" s="405"/>
      <c r="AE772" s="405"/>
      <c r="AF772" s="405"/>
      <c r="AG772" s="405"/>
      <c r="AH772" s="405"/>
      <c r="AI772" s="405"/>
      <c r="AJ772" s="405"/>
      <c r="AK772" s="405"/>
      <c r="AL772" s="405"/>
    </row>
    <row r="773" ht="14.25" customHeight="1">
      <c r="A773" s="497">
        <v>45531.0</v>
      </c>
      <c r="B773" s="349" t="s">
        <v>3911</v>
      </c>
      <c r="C773" s="349" t="s">
        <v>4013</v>
      </c>
      <c r="D773" s="349" t="s">
        <v>54</v>
      </c>
      <c r="E773" s="349" t="s">
        <v>3556</v>
      </c>
      <c r="F773" s="751">
        <v>4833.0</v>
      </c>
      <c r="G773" s="403"/>
      <c r="H773" s="349" t="s">
        <v>4050</v>
      </c>
      <c r="I773" s="736" t="str">
        <f t="shared" si="20"/>
        <v>NOT PAID</v>
      </c>
      <c r="J773" s="402"/>
      <c r="K773" s="402"/>
      <c r="L773" s="402"/>
      <c r="M773" s="402"/>
      <c r="N773" s="402"/>
      <c r="O773" s="402"/>
      <c r="P773" s="402"/>
      <c r="Q773" s="402"/>
      <c r="R773" s="402"/>
      <c r="S773" s="402"/>
      <c r="T773" s="402"/>
      <c r="U773" s="402"/>
      <c r="V773" s="402"/>
      <c r="W773" s="402"/>
      <c r="X773" s="402"/>
      <c r="Y773" s="402"/>
      <c r="Z773" s="402"/>
      <c r="AA773" s="405"/>
      <c r="AB773" s="405"/>
      <c r="AC773" s="405"/>
      <c r="AD773" s="405"/>
      <c r="AE773" s="405"/>
      <c r="AF773" s="405"/>
      <c r="AG773" s="405"/>
      <c r="AH773" s="405"/>
      <c r="AI773" s="405"/>
      <c r="AJ773" s="405"/>
      <c r="AK773" s="405"/>
      <c r="AL773" s="405"/>
    </row>
    <row r="774" ht="14.25" customHeight="1">
      <c r="A774" s="497">
        <v>45531.0</v>
      </c>
      <c r="B774" s="349" t="s">
        <v>3563</v>
      </c>
      <c r="C774" s="349" t="s">
        <v>3564</v>
      </c>
      <c r="D774" s="349" t="s">
        <v>54</v>
      </c>
      <c r="E774" s="349" t="s">
        <v>3556</v>
      </c>
      <c r="F774" s="413">
        <v>135000.0</v>
      </c>
      <c r="G774" s="403"/>
      <c r="H774" s="349" t="s">
        <v>4052</v>
      </c>
      <c r="I774" s="736" t="str">
        <f t="shared" si="20"/>
        <v>NOT PAID</v>
      </c>
      <c r="J774" s="402"/>
      <c r="K774" s="402"/>
      <c r="L774" s="402"/>
      <c r="M774" s="402"/>
      <c r="N774" s="402"/>
      <c r="O774" s="402"/>
      <c r="P774" s="402"/>
      <c r="Q774" s="402"/>
      <c r="R774" s="402"/>
      <c r="S774" s="402"/>
      <c r="T774" s="402"/>
      <c r="U774" s="402"/>
      <c r="V774" s="402"/>
      <c r="W774" s="402"/>
      <c r="X774" s="402"/>
      <c r="Y774" s="402"/>
      <c r="Z774" s="402"/>
      <c r="AA774" s="405"/>
      <c r="AB774" s="405"/>
      <c r="AC774" s="405"/>
      <c r="AD774" s="405"/>
      <c r="AE774" s="405"/>
      <c r="AF774" s="405"/>
      <c r="AG774" s="405"/>
      <c r="AH774" s="405"/>
      <c r="AI774" s="405"/>
      <c r="AJ774" s="405"/>
      <c r="AK774" s="405"/>
      <c r="AL774" s="405"/>
    </row>
    <row r="775" ht="14.25" customHeight="1">
      <c r="A775" s="497">
        <v>45531.0</v>
      </c>
      <c r="B775" s="349" t="s">
        <v>3802</v>
      </c>
      <c r="C775" s="349" t="s">
        <v>3670</v>
      </c>
      <c r="D775" s="349" t="s">
        <v>54</v>
      </c>
      <c r="E775" s="349" t="s">
        <v>3617</v>
      </c>
      <c r="F775" s="413">
        <v>17649.0</v>
      </c>
      <c r="G775" s="403"/>
      <c r="H775" s="349" t="s">
        <v>4049</v>
      </c>
      <c r="I775" s="736" t="str">
        <f t="shared" si="20"/>
        <v>NOT PAID</v>
      </c>
      <c r="J775" s="402"/>
      <c r="K775" s="402"/>
      <c r="L775" s="402"/>
      <c r="M775" s="402"/>
      <c r="N775" s="402"/>
      <c r="O775" s="402"/>
      <c r="P775" s="402"/>
      <c r="Q775" s="402"/>
      <c r="R775" s="402"/>
      <c r="S775" s="402"/>
      <c r="T775" s="402"/>
      <c r="U775" s="402"/>
      <c r="V775" s="402"/>
      <c r="W775" s="402"/>
      <c r="X775" s="402"/>
      <c r="Y775" s="402"/>
      <c r="Z775" s="402"/>
      <c r="AA775" s="405"/>
      <c r="AB775" s="405"/>
      <c r="AC775" s="405"/>
      <c r="AD775" s="405"/>
      <c r="AE775" s="405"/>
      <c r="AF775" s="405"/>
      <c r="AG775" s="405"/>
      <c r="AH775" s="405"/>
      <c r="AI775" s="405"/>
      <c r="AJ775" s="405"/>
      <c r="AK775" s="405"/>
      <c r="AL775" s="405"/>
    </row>
    <row r="776" ht="14.25" customHeight="1">
      <c r="A776" s="497">
        <v>45531.0</v>
      </c>
      <c r="B776" s="349" t="s">
        <v>3982</v>
      </c>
      <c r="C776" s="349" t="s">
        <v>3983</v>
      </c>
      <c r="D776" s="349" t="s">
        <v>54</v>
      </c>
      <c r="E776" s="349" t="s">
        <v>3617</v>
      </c>
      <c r="F776" s="559">
        <v>68000.0</v>
      </c>
      <c r="G776" s="403"/>
      <c r="H776" s="349" t="s">
        <v>4049</v>
      </c>
      <c r="I776" s="736" t="str">
        <f t="shared" si="20"/>
        <v>NOT PAID</v>
      </c>
      <c r="J776" s="402"/>
      <c r="K776" s="402"/>
      <c r="L776" s="402"/>
      <c r="M776" s="402"/>
      <c r="N776" s="402"/>
      <c r="O776" s="402"/>
      <c r="P776" s="402"/>
      <c r="Q776" s="402"/>
      <c r="R776" s="402"/>
      <c r="S776" s="402"/>
      <c r="T776" s="402"/>
      <c r="U776" s="402"/>
      <c r="V776" s="402"/>
      <c r="W776" s="402"/>
      <c r="X776" s="402"/>
      <c r="Y776" s="402"/>
      <c r="Z776" s="402"/>
      <c r="AA776" s="405"/>
      <c r="AB776" s="405"/>
      <c r="AC776" s="405"/>
      <c r="AD776" s="405"/>
      <c r="AE776" s="405"/>
      <c r="AF776" s="405"/>
      <c r="AG776" s="405"/>
      <c r="AH776" s="405"/>
      <c r="AI776" s="405"/>
      <c r="AJ776" s="405"/>
      <c r="AK776" s="405"/>
      <c r="AL776" s="405"/>
    </row>
    <row r="777" ht="14.25" customHeight="1">
      <c r="A777" s="497">
        <v>45531.0</v>
      </c>
      <c r="B777" s="349" t="s">
        <v>3978</v>
      </c>
      <c r="C777" s="349" t="s">
        <v>3979</v>
      </c>
      <c r="D777" s="349" t="s">
        <v>54</v>
      </c>
      <c r="E777" s="349" t="s">
        <v>3551</v>
      </c>
      <c r="F777" s="559">
        <v>56441.0</v>
      </c>
      <c r="G777" s="403"/>
      <c r="H777" s="349" t="s">
        <v>4050</v>
      </c>
      <c r="I777" s="736" t="str">
        <f t="shared" si="20"/>
        <v>NOT PAID</v>
      </c>
      <c r="J777" s="402"/>
      <c r="K777" s="402"/>
      <c r="L777" s="402"/>
      <c r="M777" s="402"/>
      <c r="N777" s="402"/>
      <c r="O777" s="402"/>
      <c r="P777" s="402"/>
      <c r="Q777" s="402"/>
      <c r="R777" s="402"/>
      <c r="S777" s="402"/>
      <c r="T777" s="402"/>
      <c r="U777" s="402"/>
      <c r="V777" s="402"/>
      <c r="W777" s="402"/>
      <c r="X777" s="402"/>
      <c r="Y777" s="402"/>
      <c r="Z777" s="402"/>
      <c r="AA777" s="405"/>
      <c r="AB777" s="405"/>
      <c r="AC777" s="405"/>
      <c r="AD777" s="405"/>
      <c r="AE777" s="405"/>
      <c r="AF777" s="405"/>
      <c r="AG777" s="405"/>
      <c r="AH777" s="405"/>
      <c r="AI777" s="405"/>
      <c r="AJ777" s="405"/>
      <c r="AK777" s="405"/>
      <c r="AL777" s="405"/>
    </row>
    <row r="778" ht="14.25" customHeight="1">
      <c r="A778" s="497">
        <v>45531.0</v>
      </c>
      <c r="B778" s="349" t="s">
        <v>3781</v>
      </c>
      <c r="C778" s="349" t="s">
        <v>3782</v>
      </c>
      <c r="D778" s="349" t="s">
        <v>54</v>
      </c>
      <c r="E778" s="349" t="s">
        <v>3551</v>
      </c>
      <c r="F778" s="751">
        <v>54675.0</v>
      </c>
      <c r="G778" s="413">
        <v>15500.0</v>
      </c>
      <c r="H778" s="349" t="s">
        <v>149</v>
      </c>
      <c r="I778" s="736" t="str">
        <f t="shared" si="20"/>
        <v>PARTIALLY PAID</v>
      </c>
      <c r="J778" s="402"/>
      <c r="K778" s="402"/>
      <c r="L778" s="402"/>
      <c r="M778" s="402"/>
      <c r="N778" s="402"/>
      <c r="O778" s="402"/>
      <c r="P778" s="402"/>
      <c r="Q778" s="402"/>
      <c r="R778" s="402"/>
      <c r="S778" s="402"/>
      <c r="T778" s="402"/>
      <c r="U778" s="402"/>
      <c r="V778" s="402"/>
      <c r="W778" s="402"/>
      <c r="X778" s="402"/>
      <c r="Y778" s="402"/>
      <c r="Z778" s="402"/>
      <c r="AA778" s="405"/>
      <c r="AB778" s="405"/>
      <c r="AC778" s="405"/>
      <c r="AD778" s="405"/>
      <c r="AE778" s="405"/>
      <c r="AF778" s="405"/>
      <c r="AG778" s="405"/>
      <c r="AH778" s="405"/>
      <c r="AI778" s="405"/>
      <c r="AJ778" s="405"/>
      <c r="AK778" s="405"/>
      <c r="AL778" s="405"/>
    </row>
    <row r="779" ht="14.25" customHeight="1">
      <c r="A779" s="497">
        <v>45531.0</v>
      </c>
      <c r="B779" s="608" t="s">
        <v>3663</v>
      </c>
      <c r="C779" s="608" t="s">
        <v>3664</v>
      </c>
      <c r="D779" s="608" t="s">
        <v>54</v>
      </c>
      <c r="E779" s="349" t="s">
        <v>3579</v>
      </c>
      <c r="F779" s="794">
        <v>164654.9</v>
      </c>
      <c r="G779" s="403"/>
      <c r="H779" s="402" t="str">
        <f>H769</f>
        <v>To confirm payment on 28.8.24 morning</v>
      </c>
      <c r="I779" s="736" t="str">
        <f t="shared" si="20"/>
        <v>NOT PAID</v>
      </c>
      <c r="J779" s="402"/>
      <c r="K779" s="402"/>
      <c r="L779" s="402"/>
      <c r="M779" s="402"/>
      <c r="N779" s="402"/>
      <c r="O779" s="402"/>
      <c r="P779" s="402"/>
      <c r="Q779" s="402"/>
      <c r="R779" s="402"/>
      <c r="S779" s="402"/>
      <c r="T779" s="402"/>
      <c r="U779" s="402"/>
      <c r="V779" s="402"/>
      <c r="W779" s="402"/>
      <c r="X779" s="402"/>
      <c r="Y779" s="402"/>
      <c r="Z779" s="402"/>
      <c r="AA779" s="405"/>
      <c r="AB779" s="405"/>
      <c r="AC779" s="405"/>
      <c r="AD779" s="405"/>
      <c r="AE779" s="405"/>
      <c r="AF779" s="405"/>
      <c r="AG779" s="405"/>
      <c r="AH779" s="405"/>
      <c r="AI779" s="405"/>
      <c r="AJ779" s="405"/>
      <c r="AK779" s="405"/>
      <c r="AL779" s="405"/>
    </row>
    <row r="780" ht="14.25" customHeight="1">
      <c r="A780" s="497">
        <v>45531.0</v>
      </c>
      <c r="B780" s="608" t="s">
        <v>3552</v>
      </c>
      <c r="C780" s="608" t="s">
        <v>3553</v>
      </c>
      <c r="D780" s="608" t="s">
        <v>54</v>
      </c>
      <c r="E780" s="349" t="s">
        <v>3579</v>
      </c>
      <c r="F780" s="794">
        <v>34879.29</v>
      </c>
      <c r="G780" s="413">
        <v>29000.0</v>
      </c>
      <c r="H780" s="349" t="s">
        <v>4050</v>
      </c>
      <c r="I780" s="736" t="str">
        <f t="shared" si="20"/>
        <v>PARTIALLY PAID</v>
      </c>
      <c r="J780" s="402"/>
      <c r="K780" s="402"/>
      <c r="L780" s="402"/>
      <c r="M780" s="402"/>
      <c r="N780" s="402"/>
      <c r="O780" s="402"/>
      <c r="P780" s="402"/>
      <c r="Q780" s="402"/>
      <c r="R780" s="402"/>
      <c r="S780" s="402"/>
      <c r="T780" s="402"/>
      <c r="U780" s="402"/>
      <c r="V780" s="402"/>
      <c r="W780" s="402"/>
      <c r="X780" s="402"/>
      <c r="Y780" s="402"/>
      <c r="Z780" s="402"/>
      <c r="AA780" s="405"/>
      <c r="AB780" s="405"/>
      <c r="AC780" s="405"/>
      <c r="AD780" s="405"/>
      <c r="AE780" s="405"/>
      <c r="AF780" s="405"/>
      <c r="AG780" s="405"/>
      <c r="AH780" s="405"/>
      <c r="AI780" s="405"/>
      <c r="AJ780" s="405"/>
      <c r="AK780" s="405"/>
      <c r="AL780" s="405"/>
    </row>
    <row r="781" ht="14.25" customHeight="1">
      <c r="A781" s="497">
        <v>45531.0</v>
      </c>
      <c r="B781" s="608" t="s">
        <v>3623</v>
      </c>
      <c r="C781" s="608" t="s">
        <v>3624</v>
      </c>
      <c r="D781" s="608" t="s">
        <v>54</v>
      </c>
      <c r="E781" s="349" t="s">
        <v>3551</v>
      </c>
      <c r="F781" s="794">
        <v>18617.0</v>
      </c>
      <c r="G781" s="403"/>
      <c r="H781" s="349" t="s">
        <v>4049</v>
      </c>
      <c r="I781" s="736" t="str">
        <f t="shared" si="20"/>
        <v>NOT PAID</v>
      </c>
      <c r="J781" s="402"/>
      <c r="K781" s="402"/>
      <c r="L781" s="402"/>
      <c r="M781" s="402"/>
      <c r="N781" s="402"/>
      <c r="O781" s="402"/>
      <c r="P781" s="402"/>
      <c r="Q781" s="402"/>
      <c r="R781" s="402"/>
      <c r="S781" s="402"/>
      <c r="T781" s="402"/>
      <c r="U781" s="402"/>
      <c r="V781" s="402"/>
      <c r="W781" s="402"/>
      <c r="X781" s="402"/>
      <c r="Y781" s="402"/>
      <c r="Z781" s="402"/>
      <c r="AA781" s="405"/>
      <c r="AB781" s="405"/>
      <c r="AC781" s="405"/>
      <c r="AD781" s="405"/>
      <c r="AE781" s="405"/>
      <c r="AF781" s="405"/>
      <c r="AG781" s="405"/>
      <c r="AH781" s="405"/>
      <c r="AI781" s="405"/>
      <c r="AJ781" s="405"/>
      <c r="AK781" s="405"/>
      <c r="AL781" s="405"/>
    </row>
    <row r="782" ht="14.25" customHeight="1">
      <c r="A782" s="497">
        <v>45531.0</v>
      </c>
      <c r="B782" s="608" t="s">
        <v>4046</v>
      </c>
      <c r="C782" s="608" t="s">
        <v>3648</v>
      </c>
      <c r="D782" s="608" t="s">
        <v>75</v>
      </c>
      <c r="E782" s="349" t="s">
        <v>3617</v>
      </c>
      <c r="F782" s="794">
        <v>26500.0</v>
      </c>
      <c r="G782" s="413">
        <v>28225.0</v>
      </c>
      <c r="H782" s="402" t="str">
        <f>H775</f>
        <v>To confirm payment on 28.8.24 morning</v>
      </c>
      <c r="I782" s="736" t="str">
        <f t="shared" si="20"/>
        <v>FULLY PAID</v>
      </c>
      <c r="J782" s="402"/>
      <c r="K782" s="402"/>
      <c r="L782" s="402"/>
      <c r="M782" s="402"/>
      <c r="N782" s="402"/>
      <c r="O782" s="402"/>
      <c r="P782" s="402"/>
      <c r="Q782" s="402"/>
      <c r="R782" s="402"/>
      <c r="S782" s="402"/>
      <c r="T782" s="402"/>
      <c r="U782" s="402"/>
      <c r="V782" s="402"/>
      <c r="W782" s="402"/>
      <c r="X782" s="402"/>
      <c r="Y782" s="402"/>
      <c r="Z782" s="402"/>
      <c r="AA782" s="405"/>
      <c r="AB782" s="405"/>
      <c r="AC782" s="405"/>
      <c r="AD782" s="405"/>
      <c r="AE782" s="405"/>
      <c r="AF782" s="405"/>
      <c r="AG782" s="405"/>
      <c r="AH782" s="405"/>
      <c r="AI782" s="405"/>
      <c r="AJ782" s="405"/>
      <c r="AK782" s="405"/>
      <c r="AL782" s="405"/>
    </row>
    <row r="783" ht="14.25" customHeight="1">
      <c r="A783" s="497">
        <v>45531.0</v>
      </c>
      <c r="B783" s="349" t="s">
        <v>3647</v>
      </c>
      <c r="C783" s="349" t="s">
        <v>4053</v>
      </c>
      <c r="D783" s="349" t="s">
        <v>54</v>
      </c>
      <c r="E783" s="349" t="s">
        <v>3551</v>
      </c>
      <c r="F783" s="413">
        <v>33362.0</v>
      </c>
      <c r="G783" s="413">
        <v>35834.0</v>
      </c>
      <c r="H783" s="349" t="s">
        <v>149</v>
      </c>
      <c r="I783" s="736" t="str">
        <f t="shared" si="20"/>
        <v>FULLY PAID</v>
      </c>
      <c r="J783" s="402"/>
      <c r="K783" s="402"/>
      <c r="L783" s="402"/>
      <c r="M783" s="402"/>
      <c r="N783" s="402"/>
      <c r="O783" s="402"/>
      <c r="P783" s="402"/>
      <c r="Q783" s="402"/>
      <c r="R783" s="402"/>
      <c r="S783" s="402"/>
      <c r="T783" s="402"/>
      <c r="U783" s="402"/>
      <c r="V783" s="402"/>
      <c r="W783" s="402"/>
      <c r="X783" s="402"/>
      <c r="Y783" s="402"/>
      <c r="Z783" s="402"/>
      <c r="AA783" s="405"/>
      <c r="AB783" s="405"/>
      <c r="AC783" s="405"/>
      <c r="AD783" s="405"/>
      <c r="AE783" s="405"/>
      <c r="AF783" s="405"/>
      <c r="AG783" s="405"/>
      <c r="AH783" s="405"/>
      <c r="AI783" s="405"/>
      <c r="AJ783" s="405"/>
      <c r="AK783" s="405"/>
      <c r="AL783" s="405"/>
    </row>
    <row r="784" ht="14.25" customHeight="1">
      <c r="A784" s="497">
        <v>45531.0</v>
      </c>
      <c r="B784" s="349" t="s">
        <v>3789</v>
      </c>
      <c r="C784" s="349" t="s">
        <v>3790</v>
      </c>
      <c r="D784" s="349" t="s">
        <v>54</v>
      </c>
      <c r="E784" s="349" t="s">
        <v>3617</v>
      </c>
      <c r="F784" s="413">
        <v>6589.0</v>
      </c>
      <c r="G784" s="403"/>
      <c r="H784" s="349" t="s">
        <v>4054</v>
      </c>
      <c r="I784" s="736" t="str">
        <f t="shared" si="20"/>
        <v>NOT PAID</v>
      </c>
      <c r="J784" s="402"/>
      <c r="K784" s="402"/>
      <c r="L784" s="402"/>
      <c r="M784" s="402"/>
      <c r="N784" s="402"/>
      <c r="O784" s="402"/>
      <c r="P784" s="402"/>
      <c r="Q784" s="402"/>
      <c r="R784" s="402"/>
      <c r="S784" s="402"/>
      <c r="T784" s="402"/>
      <c r="U784" s="402"/>
      <c r="V784" s="402"/>
      <c r="W784" s="402"/>
      <c r="X784" s="402"/>
      <c r="Y784" s="402"/>
      <c r="Z784" s="402"/>
      <c r="AA784" s="405"/>
      <c r="AB784" s="405"/>
      <c r="AC784" s="405"/>
      <c r="AD784" s="405"/>
      <c r="AE784" s="405"/>
      <c r="AF784" s="405"/>
      <c r="AG784" s="405"/>
      <c r="AH784" s="405"/>
      <c r="AI784" s="405"/>
      <c r="AJ784" s="405"/>
      <c r="AK784" s="405"/>
      <c r="AL784" s="405"/>
    </row>
    <row r="785" ht="14.25" customHeight="1">
      <c r="A785" s="497">
        <v>45531.0</v>
      </c>
      <c r="B785" s="349" t="s">
        <v>3918</v>
      </c>
      <c r="C785" s="349" t="s">
        <v>3745</v>
      </c>
      <c r="D785" s="349" t="s">
        <v>54</v>
      </c>
      <c r="E785" s="349" t="s">
        <v>3556</v>
      </c>
      <c r="F785" s="413">
        <v>14376.0</v>
      </c>
      <c r="G785" s="403"/>
      <c r="H785" s="349" t="s">
        <v>4054</v>
      </c>
      <c r="I785" s="736" t="str">
        <f t="shared" si="20"/>
        <v>NOT PAID</v>
      </c>
      <c r="J785" s="402"/>
      <c r="K785" s="402"/>
      <c r="L785" s="402"/>
      <c r="M785" s="402"/>
      <c r="N785" s="402"/>
      <c r="O785" s="402"/>
      <c r="P785" s="402"/>
      <c r="Q785" s="402"/>
      <c r="R785" s="402"/>
      <c r="S785" s="402"/>
      <c r="T785" s="402"/>
      <c r="U785" s="402"/>
      <c r="V785" s="402"/>
      <c r="W785" s="402"/>
      <c r="X785" s="402"/>
      <c r="Y785" s="402"/>
      <c r="Z785" s="402"/>
      <c r="AA785" s="405"/>
      <c r="AB785" s="405"/>
      <c r="AC785" s="405"/>
      <c r="AD785" s="405"/>
      <c r="AE785" s="405"/>
      <c r="AF785" s="405"/>
      <c r="AG785" s="405"/>
      <c r="AH785" s="405"/>
      <c r="AI785" s="405"/>
      <c r="AJ785" s="405"/>
      <c r="AK785" s="405"/>
      <c r="AL785" s="405"/>
    </row>
    <row r="786" ht="14.25" customHeight="1">
      <c r="A786" s="497">
        <v>45531.0</v>
      </c>
      <c r="B786" s="349" t="s">
        <v>3911</v>
      </c>
      <c r="C786" s="349" t="s">
        <v>4013</v>
      </c>
      <c r="D786" s="349" t="s">
        <v>54</v>
      </c>
      <c r="E786" s="349" t="s">
        <v>3556</v>
      </c>
      <c r="F786" s="751">
        <v>4833.0</v>
      </c>
      <c r="G786" s="403"/>
      <c r="H786" s="349" t="s">
        <v>4050</v>
      </c>
      <c r="I786" s="736" t="str">
        <f t="shared" si="20"/>
        <v>NOT PAID</v>
      </c>
      <c r="J786" s="402"/>
      <c r="K786" s="402"/>
      <c r="L786" s="402"/>
      <c r="M786" s="402"/>
      <c r="N786" s="402"/>
      <c r="O786" s="402"/>
      <c r="P786" s="402"/>
      <c r="Q786" s="402"/>
      <c r="R786" s="402"/>
      <c r="S786" s="402"/>
      <c r="T786" s="402"/>
      <c r="U786" s="402"/>
      <c r="V786" s="402"/>
      <c r="W786" s="402"/>
      <c r="X786" s="402"/>
      <c r="Y786" s="402"/>
      <c r="Z786" s="402"/>
      <c r="AA786" s="405"/>
      <c r="AB786" s="405"/>
      <c r="AC786" s="405"/>
      <c r="AD786" s="405"/>
      <c r="AE786" s="405"/>
      <c r="AF786" s="405"/>
      <c r="AG786" s="405"/>
      <c r="AH786" s="405"/>
      <c r="AI786" s="405"/>
      <c r="AJ786" s="405"/>
      <c r="AK786" s="405"/>
      <c r="AL786" s="405"/>
    </row>
    <row r="787" ht="14.25" customHeight="1">
      <c r="A787" s="497">
        <v>45531.0</v>
      </c>
      <c r="B787" s="349" t="s">
        <v>4055</v>
      </c>
      <c r="C787" s="349" t="s">
        <v>3732</v>
      </c>
      <c r="D787" s="349" t="s">
        <v>54</v>
      </c>
      <c r="E787" s="349" t="s">
        <v>3617</v>
      </c>
      <c r="F787" s="751">
        <v>6457.0</v>
      </c>
      <c r="G787" s="403"/>
      <c r="H787" s="402" t="str">
        <f>H784</f>
        <v>Field visit on 28.8.24 to collect full arrears</v>
      </c>
      <c r="I787" s="736" t="str">
        <f t="shared" si="20"/>
        <v>NOT PAID</v>
      </c>
      <c r="J787" s="402"/>
      <c r="K787" s="402"/>
      <c r="L787" s="402"/>
      <c r="M787" s="402"/>
      <c r="N787" s="402"/>
      <c r="O787" s="402"/>
      <c r="P787" s="402"/>
      <c r="Q787" s="402"/>
      <c r="R787" s="402"/>
      <c r="S787" s="402"/>
      <c r="T787" s="402"/>
      <c r="U787" s="402"/>
      <c r="V787" s="402"/>
      <c r="W787" s="402"/>
      <c r="X787" s="402"/>
      <c r="Y787" s="402"/>
      <c r="Z787" s="402"/>
      <c r="AA787" s="405"/>
      <c r="AB787" s="405"/>
      <c r="AC787" s="405"/>
      <c r="AD787" s="405"/>
      <c r="AE787" s="405"/>
      <c r="AF787" s="405"/>
      <c r="AG787" s="405"/>
      <c r="AH787" s="405"/>
      <c r="AI787" s="405"/>
      <c r="AJ787" s="405"/>
      <c r="AK787" s="405"/>
      <c r="AL787" s="405"/>
    </row>
    <row r="788" ht="14.25" customHeight="1">
      <c r="A788" s="497">
        <v>45531.0</v>
      </c>
      <c r="B788" s="349" t="s">
        <v>3731</v>
      </c>
      <c r="C788" s="349" t="s">
        <v>3732</v>
      </c>
      <c r="D788" s="349" t="s">
        <v>346</v>
      </c>
      <c r="E788" s="349" t="s">
        <v>3617</v>
      </c>
      <c r="F788" s="751">
        <v>4860.0</v>
      </c>
      <c r="G788" s="403"/>
      <c r="H788" s="402" t="str">
        <f>H784</f>
        <v>Field visit on 28.8.24 to collect full arrears</v>
      </c>
      <c r="I788" s="736" t="str">
        <f t="shared" si="20"/>
        <v>NOT PAID</v>
      </c>
      <c r="J788" s="402"/>
      <c r="K788" s="402"/>
      <c r="L788" s="402"/>
      <c r="M788" s="402"/>
      <c r="N788" s="402"/>
      <c r="O788" s="402"/>
      <c r="P788" s="402"/>
      <c r="Q788" s="402"/>
      <c r="R788" s="402"/>
      <c r="S788" s="402"/>
      <c r="T788" s="402"/>
      <c r="U788" s="402"/>
      <c r="V788" s="402"/>
      <c r="W788" s="402"/>
      <c r="X788" s="402"/>
      <c r="Y788" s="402"/>
      <c r="Z788" s="402"/>
      <c r="AA788" s="405"/>
      <c r="AB788" s="405"/>
      <c r="AC788" s="405"/>
      <c r="AD788" s="405"/>
      <c r="AE788" s="405"/>
      <c r="AF788" s="405"/>
      <c r="AG788" s="405"/>
      <c r="AH788" s="405"/>
      <c r="AI788" s="405"/>
      <c r="AJ788" s="405"/>
      <c r="AK788" s="405"/>
      <c r="AL788" s="405"/>
    </row>
    <row r="789" ht="14.25" customHeight="1">
      <c r="A789" s="497">
        <v>45531.0</v>
      </c>
      <c r="B789" s="349" t="s">
        <v>3554</v>
      </c>
      <c r="C789" s="349" t="s">
        <v>3555</v>
      </c>
      <c r="D789" s="349" t="s">
        <v>54</v>
      </c>
      <c r="E789" s="349" t="s">
        <v>3556</v>
      </c>
      <c r="F789" s="751">
        <v>102606.0</v>
      </c>
      <c r="G789" s="403"/>
      <c r="H789" s="402" t="str">
        <f>H786</f>
        <v>To confirm payment on 28.8.24</v>
      </c>
      <c r="I789" s="736" t="str">
        <f t="shared" si="20"/>
        <v>NOT PAID</v>
      </c>
      <c r="J789" s="402"/>
      <c r="K789" s="402"/>
      <c r="L789" s="402"/>
      <c r="M789" s="402"/>
      <c r="N789" s="402"/>
      <c r="O789" s="402"/>
      <c r="P789" s="402"/>
      <c r="Q789" s="402"/>
      <c r="R789" s="402"/>
      <c r="S789" s="402"/>
      <c r="T789" s="402"/>
      <c r="U789" s="402"/>
      <c r="V789" s="402"/>
      <c r="W789" s="402"/>
      <c r="X789" s="402"/>
      <c r="Y789" s="402"/>
      <c r="Z789" s="402"/>
      <c r="AA789" s="405"/>
      <c r="AB789" s="405"/>
      <c r="AC789" s="405"/>
      <c r="AD789" s="405"/>
      <c r="AE789" s="405"/>
      <c r="AF789" s="405"/>
      <c r="AG789" s="405"/>
      <c r="AH789" s="405"/>
      <c r="AI789" s="405"/>
      <c r="AJ789" s="405"/>
      <c r="AK789" s="405"/>
      <c r="AL789" s="405"/>
    </row>
    <row r="790" ht="14.25" customHeight="1">
      <c r="A790" s="402"/>
      <c r="B790" s="402"/>
      <c r="C790" s="402"/>
      <c r="D790" s="402"/>
      <c r="E790" s="402"/>
      <c r="F790" s="402"/>
      <c r="G790" s="403"/>
      <c r="H790" s="402"/>
      <c r="I790" s="736" t="str">
        <f t="shared" si="20"/>
        <v>FULLY PAID</v>
      </c>
      <c r="J790" s="402"/>
      <c r="K790" s="402"/>
      <c r="L790" s="402"/>
      <c r="M790" s="402"/>
      <c r="N790" s="402"/>
      <c r="O790" s="402"/>
      <c r="P790" s="402"/>
      <c r="Q790" s="402"/>
      <c r="R790" s="402"/>
      <c r="S790" s="402"/>
      <c r="T790" s="402"/>
      <c r="U790" s="402"/>
      <c r="V790" s="402"/>
      <c r="W790" s="402"/>
      <c r="X790" s="402"/>
      <c r="Y790" s="402"/>
      <c r="Z790" s="402"/>
      <c r="AA790" s="405"/>
      <c r="AB790" s="405"/>
      <c r="AC790" s="405"/>
      <c r="AD790" s="405"/>
      <c r="AE790" s="405"/>
      <c r="AF790" s="405"/>
      <c r="AG790" s="405"/>
      <c r="AH790" s="405"/>
      <c r="AI790" s="405"/>
      <c r="AJ790" s="405"/>
      <c r="AK790" s="405"/>
      <c r="AL790" s="405"/>
    </row>
    <row r="791" ht="14.25" customHeight="1">
      <c r="A791" s="402"/>
      <c r="B791" s="402"/>
      <c r="C791" s="402"/>
      <c r="D791" s="402"/>
      <c r="E791" s="402"/>
      <c r="F791" s="403">
        <f t="shared" ref="F791:G791" si="30">SUM(F769:F790)</f>
        <v>1369024.27</v>
      </c>
      <c r="G791" s="403">
        <f t="shared" si="30"/>
        <v>146859</v>
      </c>
      <c r="H791" s="402"/>
      <c r="I791" s="736" t="str">
        <f t="shared" si="20"/>
        <v>PARTIALLY PAID</v>
      </c>
      <c r="J791" s="402"/>
      <c r="K791" s="402"/>
      <c r="L791" s="402"/>
      <c r="M791" s="402"/>
      <c r="N791" s="402"/>
      <c r="O791" s="402"/>
      <c r="P791" s="402"/>
      <c r="Q791" s="402"/>
      <c r="R791" s="402"/>
      <c r="S791" s="402"/>
      <c r="T791" s="402"/>
      <c r="U791" s="402"/>
      <c r="V791" s="402"/>
      <c r="W791" s="402"/>
      <c r="X791" s="402"/>
      <c r="Y791" s="402"/>
      <c r="Z791" s="402"/>
      <c r="AA791" s="405"/>
      <c r="AB791" s="405"/>
      <c r="AC791" s="405"/>
      <c r="AD791" s="405"/>
      <c r="AE791" s="405"/>
      <c r="AF791" s="405"/>
      <c r="AG791" s="405"/>
      <c r="AH791" s="405"/>
      <c r="AI791" s="405"/>
      <c r="AJ791" s="405"/>
      <c r="AK791" s="405"/>
      <c r="AL791" s="405"/>
    </row>
    <row r="792" ht="14.25" customHeight="1">
      <c r="A792" s="402"/>
      <c r="B792" s="402"/>
      <c r="C792" s="402"/>
      <c r="D792" s="402"/>
      <c r="E792" s="402"/>
      <c r="F792" s="402"/>
      <c r="G792" s="403"/>
      <c r="H792" s="402"/>
      <c r="I792" s="736" t="str">
        <f t="shared" si="20"/>
        <v>FULLY PAID</v>
      </c>
      <c r="J792" s="402"/>
      <c r="K792" s="402"/>
      <c r="L792" s="402"/>
      <c r="M792" s="402"/>
      <c r="N792" s="402"/>
      <c r="O792" s="402"/>
      <c r="P792" s="402"/>
      <c r="Q792" s="402"/>
      <c r="R792" s="402"/>
      <c r="S792" s="402"/>
      <c r="T792" s="402"/>
      <c r="U792" s="402"/>
      <c r="V792" s="402"/>
      <c r="W792" s="402"/>
      <c r="X792" s="402"/>
      <c r="Y792" s="402"/>
      <c r="Z792" s="402"/>
      <c r="AA792" s="405"/>
      <c r="AB792" s="405"/>
      <c r="AC792" s="405"/>
      <c r="AD792" s="405"/>
      <c r="AE792" s="405"/>
      <c r="AF792" s="405"/>
      <c r="AG792" s="405"/>
      <c r="AH792" s="405"/>
      <c r="AI792" s="405"/>
      <c r="AJ792" s="405"/>
      <c r="AK792" s="405"/>
      <c r="AL792" s="405"/>
    </row>
    <row r="793" ht="14.25" customHeight="1">
      <c r="A793" s="402"/>
      <c r="B793" s="402"/>
      <c r="C793" s="402"/>
      <c r="D793" s="402"/>
      <c r="E793" s="402"/>
      <c r="F793" s="402"/>
      <c r="G793" s="403"/>
      <c r="H793" s="402"/>
      <c r="I793" s="736" t="str">
        <f t="shared" si="20"/>
        <v>FULLY PAID</v>
      </c>
      <c r="J793" s="402"/>
      <c r="K793" s="402"/>
      <c r="L793" s="402"/>
      <c r="M793" s="402"/>
      <c r="N793" s="402"/>
      <c r="O793" s="402"/>
      <c r="P793" s="402"/>
      <c r="Q793" s="402"/>
      <c r="R793" s="402"/>
      <c r="S793" s="402"/>
      <c r="T793" s="402"/>
      <c r="U793" s="402"/>
      <c r="V793" s="402"/>
      <c r="W793" s="402"/>
      <c r="X793" s="402"/>
      <c r="Y793" s="402"/>
      <c r="Z793" s="402"/>
      <c r="AA793" s="405"/>
      <c r="AB793" s="405"/>
      <c r="AC793" s="405"/>
      <c r="AD793" s="405"/>
      <c r="AE793" s="405"/>
      <c r="AF793" s="405"/>
      <c r="AG793" s="405"/>
      <c r="AH793" s="405"/>
      <c r="AI793" s="405"/>
      <c r="AJ793" s="405"/>
      <c r="AK793" s="405"/>
      <c r="AL793" s="405"/>
    </row>
    <row r="794" ht="14.25" customHeight="1">
      <c r="A794" s="584" t="s">
        <v>2130</v>
      </c>
      <c r="B794" s="584" t="s">
        <v>39</v>
      </c>
      <c r="C794" s="584" t="s">
        <v>48</v>
      </c>
      <c r="D794" s="584" t="s">
        <v>49</v>
      </c>
      <c r="E794" s="584" t="s">
        <v>50</v>
      </c>
      <c r="F794" s="584" t="s">
        <v>2</v>
      </c>
      <c r="G794" s="586" t="s">
        <v>44</v>
      </c>
      <c r="H794" s="424" t="s">
        <v>45</v>
      </c>
      <c r="I794" s="736" t="str">
        <f t="shared" si="20"/>
        <v>FULLY PAID</v>
      </c>
      <c r="J794" s="402"/>
      <c r="K794" s="402"/>
      <c r="L794" s="402"/>
      <c r="M794" s="402"/>
      <c r="N794" s="402"/>
      <c r="O794" s="402"/>
      <c r="P794" s="402"/>
      <c r="Q794" s="402"/>
      <c r="R794" s="402"/>
      <c r="S794" s="402"/>
      <c r="T794" s="402"/>
      <c r="U794" s="402"/>
      <c r="V794" s="402"/>
      <c r="W794" s="402"/>
      <c r="X794" s="402"/>
      <c r="Y794" s="402"/>
      <c r="Z794" s="402"/>
      <c r="AA794" s="405"/>
      <c r="AB794" s="405"/>
      <c r="AC794" s="405"/>
      <c r="AD794" s="405"/>
      <c r="AE794" s="405"/>
      <c r="AF794" s="405"/>
      <c r="AG794" s="405"/>
      <c r="AH794" s="405"/>
      <c r="AI794" s="405"/>
      <c r="AJ794" s="405"/>
      <c r="AK794" s="405"/>
      <c r="AL794" s="405"/>
    </row>
    <row r="795" ht="14.25" customHeight="1">
      <c r="A795" s="497">
        <v>45532.0</v>
      </c>
      <c r="B795" s="349" t="s">
        <v>3789</v>
      </c>
      <c r="C795" s="349" t="s">
        <v>3790</v>
      </c>
      <c r="D795" s="349" t="s">
        <v>54</v>
      </c>
      <c r="E795" s="349" t="s">
        <v>3617</v>
      </c>
      <c r="F795" s="413">
        <v>6589.0</v>
      </c>
      <c r="G795" s="413"/>
      <c r="H795" s="349" t="s">
        <v>4056</v>
      </c>
      <c r="I795" s="736" t="str">
        <f t="shared" si="20"/>
        <v>NOT PAID</v>
      </c>
      <c r="J795" s="402"/>
      <c r="K795" s="402"/>
      <c r="L795" s="402"/>
      <c r="M795" s="402"/>
      <c r="N795" s="402"/>
      <c r="O795" s="402"/>
      <c r="P795" s="402"/>
      <c r="Q795" s="402"/>
      <c r="R795" s="402"/>
      <c r="S795" s="402"/>
      <c r="T795" s="402"/>
      <c r="U795" s="402"/>
      <c r="V795" s="402"/>
      <c r="W795" s="402"/>
      <c r="X795" s="402"/>
      <c r="Y795" s="402"/>
      <c r="Z795" s="402"/>
      <c r="AA795" s="405"/>
      <c r="AB795" s="405"/>
      <c r="AC795" s="405"/>
      <c r="AD795" s="405"/>
      <c r="AE795" s="405"/>
      <c r="AF795" s="405"/>
      <c r="AG795" s="405"/>
      <c r="AH795" s="405"/>
      <c r="AI795" s="405"/>
      <c r="AJ795" s="405"/>
      <c r="AK795" s="405"/>
      <c r="AL795" s="405"/>
    </row>
    <row r="796" ht="14.25" customHeight="1">
      <c r="A796" s="497">
        <v>45532.0</v>
      </c>
      <c r="B796" s="349" t="s">
        <v>3918</v>
      </c>
      <c r="C796" s="349" t="s">
        <v>3745</v>
      </c>
      <c r="D796" s="349" t="s">
        <v>54</v>
      </c>
      <c r="E796" s="349" t="s">
        <v>3556</v>
      </c>
      <c r="F796" s="413">
        <v>14376.0</v>
      </c>
      <c r="G796" s="413"/>
      <c r="H796" s="349" t="s">
        <v>4057</v>
      </c>
      <c r="I796" s="736" t="str">
        <f t="shared" si="20"/>
        <v>NOT PAID</v>
      </c>
      <c r="J796" s="402"/>
      <c r="K796" s="402"/>
      <c r="L796" s="402"/>
      <c r="M796" s="402"/>
      <c r="N796" s="402"/>
      <c r="O796" s="402"/>
      <c r="P796" s="402"/>
      <c r="Q796" s="402"/>
      <c r="R796" s="402"/>
      <c r="S796" s="402"/>
      <c r="T796" s="402"/>
      <c r="U796" s="402"/>
      <c r="V796" s="402"/>
      <c r="W796" s="402"/>
      <c r="X796" s="402"/>
      <c r="Y796" s="402"/>
      <c r="Z796" s="402"/>
      <c r="AA796" s="405"/>
      <c r="AB796" s="405"/>
      <c r="AC796" s="405"/>
      <c r="AD796" s="405"/>
      <c r="AE796" s="405"/>
      <c r="AF796" s="405"/>
      <c r="AG796" s="405"/>
      <c r="AH796" s="405"/>
      <c r="AI796" s="405"/>
      <c r="AJ796" s="405"/>
      <c r="AK796" s="405"/>
      <c r="AL796" s="405"/>
    </row>
    <row r="797" ht="14.25" customHeight="1">
      <c r="A797" s="497">
        <v>45532.0</v>
      </c>
      <c r="B797" s="349" t="s">
        <v>3911</v>
      </c>
      <c r="C797" s="349" t="s">
        <v>4013</v>
      </c>
      <c r="D797" s="349" t="s">
        <v>54</v>
      </c>
      <c r="E797" s="349" t="s">
        <v>3556</v>
      </c>
      <c r="F797" s="751">
        <v>4833.0</v>
      </c>
      <c r="G797" s="751"/>
      <c r="H797" s="349" t="s">
        <v>4058</v>
      </c>
      <c r="I797" s="736" t="str">
        <f t="shared" si="20"/>
        <v>NOT PAID</v>
      </c>
      <c r="J797" s="402"/>
      <c r="K797" s="402"/>
      <c r="L797" s="402"/>
      <c r="M797" s="402"/>
      <c r="N797" s="402"/>
      <c r="O797" s="402"/>
      <c r="P797" s="402"/>
      <c r="Q797" s="402"/>
      <c r="R797" s="402"/>
      <c r="S797" s="402"/>
      <c r="T797" s="402"/>
      <c r="U797" s="402"/>
      <c r="V797" s="402"/>
      <c r="W797" s="402"/>
      <c r="X797" s="402"/>
      <c r="Y797" s="402"/>
      <c r="Z797" s="402"/>
      <c r="AA797" s="405"/>
      <c r="AB797" s="405"/>
      <c r="AC797" s="405"/>
      <c r="AD797" s="405"/>
      <c r="AE797" s="405"/>
      <c r="AF797" s="405"/>
      <c r="AG797" s="405"/>
      <c r="AH797" s="405"/>
      <c r="AI797" s="405"/>
      <c r="AJ797" s="405"/>
      <c r="AK797" s="405"/>
      <c r="AL797" s="405"/>
    </row>
    <row r="798" ht="14.25" customHeight="1">
      <c r="A798" s="497">
        <v>45532.0</v>
      </c>
      <c r="B798" s="349" t="s">
        <v>4055</v>
      </c>
      <c r="C798" s="349" t="s">
        <v>3732</v>
      </c>
      <c r="D798" s="349" t="s">
        <v>54</v>
      </c>
      <c r="E798" s="349" t="s">
        <v>3617</v>
      </c>
      <c r="F798" s="751">
        <v>6457.0</v>
      </c>
      <c r="G798" s="751"/>
      <c r="H798" s="349" t="s">
        <v>4056</v>
      </c>
      <c r="I798" s="736" t="str">
        <f t="shared" si="20"/>
        <v>NOT PAID</v>
      </c>
      <c r="J798" s="402"/>
      <c r="K798" s="402"/>
      <c r="L798" s="402"/>
      <c r="M798" s="402"/>
      <c r="N798" s="402"/>
      <c r="O798" s="402"/>
      <c r="P798" s="402"/>
      <c r="Q798" s="402"/>
      <c r="R798" s="402"/>
      <c r="S798" s="402"/>
      <c r="T798" s="402"/>
      <c r="U798" s="402"/>
      <c r="V798" s="402"/>
      <c r="W798" s="402"/>
      <c r="X798" s="402"/>
      <c r="Y798" s="402"/>
      <c r="Z798" s="402"/>
      <c r="AA798" s="405"/>
      <c r="AB798" s="405"/>
      <c r="AC798" s="405"/>
      <c r="AD798" s="405"/>
      <c r="AE798" s="405"/>
      <c r="AF798" s="405"/>
      <c r="AG798" s="405"/>
      <c r="AH798" s="405"/>
      <c r="AI798" s="405"/>
      <c r="AJ798" s="405"/>
      <c r="AK798" s="405"/>
      <c r="AL798" s="405"/>
    </row>
    <row r="799" ht="14.25" customHeight="1">
      <c r="A799" s="497">
        <v>45532.0</v>
      </c>
      <c r="B799" s="349" t="s">
        <v>3731</v>
      </c>
      <c r="C799" s="349" t="s">
        <v>3732</v>
      </c>
      <c r="D799" s="349" t="s">
        <v>346</v>
      </c>
      <c r="E799" s="349" t="s">
        <v>3617</v>
      </c>
      <c r="F799" s="751">
        <v>4860.0</v>
      </c>
      <c r="G799" s="751"/>
      <c r="H799" s="349" t="s">
        <v>4056</v>
      </c>
      <c r="I799" s="736" t="str">
        <f t="shared" si="20"/>
        <v>NOT PAID</v>
      </c>
      <c r="J799" s="402"/>
      <c r="K799" s="402"/>
      <c r="L799" s="402"/>
      <c r="M799" s="402"/>
      <c r="N799" s="402"/>
      <c r="O799" s="402"/>
      <c r="P799" s="402"/>
      <c r="Q799" s="402"/>
      <c r="R799" s="402"/>
      <c r="S799" s="402"/>
      <c r="T799" s="402"/>
      <c r="U799" s="402"/>
      <c r="V799" s="402"/>
      <c r="W799" s="402"/>
      <c r="X799" s="402"/>
      <c r="Y799" s="402"/>
      <c r="Z799" s="402"/>
      <c r="AA799" s="405"/>
      <c r="AB799" s="405"/>
      <c r="AC799" s="405"/>
      <c r="AD799" s="405"/>
      <c r="AE799" s="405"/>
      <c r="AF799" s="405"/>
      <c r="AG799" s="405"/>
      <c r="AH799" s="405"/>
      <c r="AI799" s="405"/>
      <c r="AJ799" s="405"/>
      <c r="AK799" s="405"/>
      <c r="AL799" s="405"/>
    </row>
    <row r="800" ht="14.25" customHeight="1">
      <c r="A800" s="497">
        <v>45532.0</v>
      </c>
      <c r="B800" s="349" t="s">
        <v>3554</v>
      </c>
      <c r="C800" s="349" t="s">
        <v>3555</v>
      </c>
      <c r="D800" s="349" t="s">
        <v>54</v>
      </c>
      <c r="E800" s="349" t="s">
        <v>3556</v>
      </c>
      <c r="F800" s="751">
        <v>102606.0</v>
      </c>
      <c r="G800" s="751"/>
      <c r="H800" s="349" t="s">
        <v>4056</v>
      </c>
      <c r="I800" s="736" t="str">
        <f t="shared" si="20"/>
        <v>NOT PAID</v>
      </c>
      <c r="J800" s="402"/>
      <c r="K800" s="402"/>
      <c r="L800" s="402"/>
      <c r="M800" s="402"/>
      <c r="N800" s="402"/>
      <c r="O800" s="402"/>
      <c r="P800" s="402"/>
      <c r="Q800" s="402"/>
      <c r="R800" s="402"/>
      <c r="S800" s="402"/>
      <c r="T800" s="402"/>
      <c r="U800" s="402"/>
      <c r="V800" s="402"/>
      <c r="W800" s="402"/>
      <c r="X800" s="402"/>
      <c r="Y800" s="402"/>
      <c r="Z800" s="402"/>
      <c r="AA800" s="405"/>
      <c r="AB800" s="405"/>
      <c r="AC800" s="405"/>
      <c r="AD800" s="405"/>
      <c r="AE800" s="405"/>
      <c r="AF800" s="405"/>
      <c r="AG800" s="405"/>
      <c r="AH800" s="405"/>
      <c r="AI800" s="405"/>
      <c r="AJ800" s="405"/>
      <c r="AK800" s="405"/>
      <c r="AL800" s="405"/>
    </row>
    <row r="801" ht="14.25" customHeight="1">
      <c r="A801" s="497">
        <v>45532.0</v>
      </c>
      <c r="B801" s="349" t="s">
        <v>3623</v>
      </c>
      <c r="C801" s="349" t="s">
        <v>4059</v>
      </c>
      <c r="D801" s="349" t="s">
        <v>54</v>
      </c>
      <c r="E801" s="349" t="s">
        <v>3551</v>
      </c>
      <c r="F801" s="751">
        <v>28226.0</v>
      </c>
      <c r="G801" s="751">
        <v>18600.0</v>
      </c>
      <c r="H801" s="349" t="s">
        <v>4060</v>
      </c>
      <c r="I801" s="736" t="str">
        <f t="shared" si="20"/>
        <v>PARTIALLY PAID</v>
      </c>
      <c r="J801" s="402"/>
      <c r="K801" s="402"/>
      <c r="L801" s="402"/>
      <c r="M801" s="402"/>
      <c r="N801" s="402"/>
      <c r="O801" s="402"/>
      <c r="P801" s="402"/>
      <c r="Q801" s="402"/>
      <c r="R801" s="402"/>
      <c r="S801" s="402"/>
      <c r="T801" s="402"/>
      <c r="U801" s="402"/>
      <c r="V801" s="402"/>
      <c r="W801" s="402"/>
      <c r="X801" s="402"/>
      <c r="Y801" s="402"/>
      <c r="Z801" s="402"/>
      <c r="AA801" s="405"/>
      <c r="AB801" s="405"/>
      <c r="AC801" s="405"/>
      <c r="AD801" s="405"/>
      <c r="AE801" s="405"/>
      <c r="AF801" s="405"/>
      <c r="AG801" s="405"/>
      <c r="AH801" s="405"/>
      <c r="AI801" s="405"/>
      <c r="AJ801" s="405"/>
      <c r="AK801" s="405"/>
      <c r="AL801" s="405"/>
    </row>
    <row r="802" ht="14.25" customHeight="1">
      <c r="A802" s="497">
        <v>45532.0</v>
      </c>
      <c r="B802" s="349" t="s">
        <v>3620</v>
      </c>
      <c r="C802" s="349" t="s">
        <v>3621</v>
      </c>
      <c r="D802" s="349" t="s">
        <v>54</v>
      </c>
      <c r="E802" s="349" t="s">
        <v>3617</v>
      </c>
      <c r="F802" s="413">
        <v>39333.0</v>
      </c>
      <c r="G802" s="413"/>
      <c r="H802" s="349" t="s">
        <v>4057</v>
      </c>
      <c r="I802" s="736" t="str">
        <f t="shared" si="20"/>
        <v>NOT PAID</v>
      </c>
      <c r="J802" s="402"/>
      <c r="K802" s="402"/>
      <c r="L802" s="402"/>
      <c r="M802" s="402"/>
      <c r="N802" s="402"/>
      <c r="O802" s="402"/>
      <c r="P802" s="402"/>
      <c r="Q802" s="402"/>
      <c r="R802" s="402"/>
      <c r="S802" s="402"/>
      <c r="T802" s="402"/>
      <c r="U802" s="402"/>
      <c r="V802" s="402"/>
      <c r="W802" s="402"/>
      <c r="X802" s="402"/>
      <c r="Y802" s="402"/>
      <c r="Z802" s="402"/>
      <c r="AA802" s="405"/>
      <c r="AB802" s="405"/>
      <c r="AC802" s="405"/>
      <c r="AD802" s="405"/>
      <c r="AE802" s="405"/>
      <c r="AF802" s="405"/>
      <c r="AG802" s="405"/>
      <c r="AH802" s="405"/>
      <c r="AI802" s="405"/>
      <c r="AJ802" s="405"/>
      <c r="AK802" s="405"/>
      <c r="AL802" s="405"/>
    </row>
    <row r="803" ht="14.25" customHeight="1">
      <c r="A803" s="497">
        <v>45532.0</v>
      </c>
      <c r="B803" s="608" t="s">
        <v>3691</v>
      </c>
      <c r="C803" s="608" t="s">
        <v>3692</v>
      </c>
      <c r="D803" s="608" t="s">
        <v>54</v>
      </c>
      <c r="E803" s="349" t="s">
        <v>4061</v>
      </c>
      <c r="F803" s="794">
        <v>175197.56</v>
      </c>
      <c r="G803" s="794"/>
      <c r="H803" s="349" t="s">
        <v>4062</v>
      </c>
      <c r="I803" s="736" t="str">
        <f t="shared" si="20"/>
        <v>NOT PAID</v>
      </c>
      <c r="J803" s="402"/>
      <c r="K803" s="402"/>
      <c r="L803" s="402"/>
      <c r="M803" s="402"/>
      <c r="N803" s="402"/>
      <c r="O803" s="402"/>
      <c r="P803" s="402"/>
      <c r="Q803" s="402"/>
      <c r="R803" s="402"/>
      <c r="S803" s="402"/>
      <c r="T803" s="402"/>
      <c r="U803" s="402"/>
      <c r="V803" s="402"/>
      <c r="W803" s="402"/>
      <c r="X803" s="402"/>
      <c r="Y803" s="402"/>
      <c r="Z803" s="402"/>
      <c r="AA803" s="405"/>
      <c r="AB803" s="405"/>
      <c r="AC803" s="405"/>
      <c r="AD803" s="405"/>
      <c r="AE803" s="405"/>
      <c r="AF803" s="405"/>
      <c r="AG803" s="405"/>
      <c r="AH803" s="405"/>
      <c r="AI803" s="405"/>
      <c r="AJ803" s="405"/>
      <c r="AK803" s="405"/>
      <c r="AL803" s="405"/>
    </row>
    <row r="804" ht="14.25" customHeight="1">
      <c r="A804" s="497">
        <v>45532.0</v>
      </c>
      <c r="B804" s="349" t="s">
        <v>3911</v>
      </c>
      <c r="C804" s="349" t="s">
        <v>4013</v>
      </c>
      <c r="D804" s="349" t="s">
        <v>54</v>
      </c>
      <c r="E804" s="349" t="s">
        <v>3556</v>
      </c>
      <c r="F804" s="751">
        <v>4833.0</v>
      </c>
      <c r="G804" s="751"/>
      <c r="H804" s="349" t="s">
        <v>4058</v>
      </c>
      <c r="I804" s="736" t="str">
        <f t="shared" si="20"/>
        <v>NOT PAID</v>
      </c>
      <c r="J804" s="402"/>
      <c r="K804" s="402"/>
      <c r="L804" s="402"/>
      <c r="M804" s="402"/>
      <c r="N804" s="402"/>
      <c r="O804" s="402"/>
      <c r="P804" s="402"/>
      <c r="Q804" s="402"/>
      <c r="R804" s="402"/>
      <c r="S804" s="402"/>
      <c r="T804" s="402"/>
      <c r="U804" s="402"/>
      <c r="V804" s="402"/>
      <c r="W804" s="402"/>
      <c r="X804" s="402"/>
      <c r="Y804" s="402"/>
      <c r="Z804" s="402"/>
      <c r="AA804" s="405"/>
      <c r="AB804" s="405"/>
      <c r="AC804" s="405"/>
      <c r="AD804" s="405"/>
      <c r="AE804" s="405"/>
      <c r="AF804" s="405"/>
      <c r="AG804" s="405"/>
      <c r="AH804" s="405"/>
      <c r="AI804" s="405"/>
      <c r="AJ804" s="405"/>
      <c r="AK804" s="405"/>
      <c r="AL804" s="405"/>
    </row>
    <row r="805" ht="14.25" customHeight="1">
      <c r="A805" s="497">
        <v>45532.0</v>
      </c>
      <c r="B805" s="608" t="s">
        <v>3784</v>
      </c>
      <c r="C805" s="608" t="s">
        <v>3624</v>
      </c>
      <c r="D805" s="608" t="s">
        <v>346</v>
      </c>
      <c r="E805" s="349" t="s">
        <v>3551</v>
      </c>
      <c r="F805" s="794">
        <v>5491.93</v>
      </c>
      <c r="G805" s="794"/>
      <c r="H805" s="349" t="s">
        <v>4058</v>
      </c>
      <c r="I805" s="736" t="str">
        <f t="shared" si="20"/>
        <v>NOT PAID</v>
      </c>
      <c r="J805" s="402"/>
      <c r="K805" s="402"/>
      <c r="L805" s="402"/>
      <c r="M805" s="402"/>
      <c r="N805" s="402"/>
      <c r="O805" s="402"/>
      <c r="P805" s="402"/>
      <c r="Q805" s="402"/>
      <c r="R805" s="402"/>
      <c r="S805" s="402"/>
      <c r="T805" s="402"/>
      <c r="U805" s="402"/>
      <c r="V805" s="402"/>
      <c r="W805" s="402"/>
      <c r="X805" s="402"/>
      <c r="Y805" s="402"/>
      <c r="Z805" s="402"/>
      <c r="AA805" s="405"/>
      <c r="AB805" s="405"/>
      <c r="AC805" s="405"/>
      <c r="AD805" s="405"/>
      <c r="AE805" s="405"/>
      <c r="AF805" s="405"/>
      <c r="AG805" s="405"/>
      <c r="AH805" s="405"/>
      <c r="AI805" s="405"/>
      <c r="AJ805" s="405"/>
      <c r="AK805" s="405"/>
      <c r="AL805" s="405"/>
    </row>
    <row r="806" ht="14.25" customHeight="1">
      <c r="A806" s="497">
        <v>45532.0</v>
      </c>
      <c r="B806" s="608" t="s">
        <v>3684</v>
      </c>
      <c r="C806" s="608" t="s">
        <v>4063</v>
      </c>
      <c r="D806" s="608" t="s">
        <v>54</v>
      </c>
      <c r="E806" s="349" t="s">
        <v>3617</v>
      </c>
      <c r="F806" s="794">
        <v>89440.0</v>
      </c>
      <c r="G806" s="794"/>
      <c r="H806" s="349" t="s">
        <v>4058</v>
      </c>
      <c r="I806" s="736" t="str">
        <f t="shared" si="20"/>
        <v>NOT PAID</v>
      </c>
      <c r="J806" s="402"/>
      <c r="K806" s="402"/>
      <c r="L806" s="402"/>
      <c r="M806" s="402"/>
      <c r="N806" s="402"/>
      <c r="O806" s="402"/>
      <c r="P806" s="402"/>
      <c r="Q806" s="402"/>
      <c r="R806" s="402"/>
      <c r="S806" s="402"/>
      <c r="T806" s="402"/>
      <c r="U806" s="402"/>
      <c r="V806" s="402"/>
      <c r="W806" s="402"/>
      <c r="X806" s="402"/>
      <c r="Y806" s="402"/>
      <c r="Z806" s="402"/>
      <c r="AA806" s="405"/>
      <c r="AB806" s="405"/>
      <c r="AC806" s="405"/>
      <c r="AD806" s="405"/>
      <c r="AE806" s="405"/>
      <c r="AF806" s="405"/>
      <c r="AG806" s="405"/>
      <c r="AH806" s="405"/>
      <c r="AI806" s="405"/>
      <c r="AJ806" s="405"/>
      <c r="AK806" s="405"/>
      <c r="AL806" s="405"/>
    </row>
    <row r="807" ht="14.25" customHeight="1">
      <c r="A807" s="497">
        <v>45532.0</v>
      </c>
      <c r="B807" s="608" t="s">
        <v>4064</v>
      </c>
      <c r="C807" s="608" t="s">
        <v>4065</v>
      </c>
      <c r="D807" s="608" t="s">
        <v>54</v>
      </c>
      <c r="E807" s="349" t="s">
        <v>3556</v>
      </c>
      <c r="F807" s="794">
        <v>28328.0</v>
      </c>
      <c r="G807" s="794"/>
      <c r="H807" s="349" t="s">
        <v>4058</v>
      </c>
      <c r="I807" s="736" t="str">
        <f t="shared" si="20"/>
        <v>NOT PAID</v>
      </c>
      <c r="J807" s="402"/>
      <c r="K807" s="402"/>
      <c r="L807" s="402"/>
      <c r="M807" s="402"/>
      <c r="N807" s="402"/>
      <c r="O807" s="402"/>
      <c r="P807" s="402"/>
      <c r="Q807" s="402"/>
      <c r="R807" s="402"/>
      <c r="S807" s="402"/>
      <c r="T807" s="402"/>
      <c r="U807" s="402"/>
      <c r="V807" s="402"/>
      <c r="W807" s="402"/>
      <c r="X807" s="402"/>
      <c r="Y807" s="402"/>
      <c r="Z807" s="402"/>
      <c r="AA807" s="405"/>
      <c r="AB807" s="405"/>
      <c r="AC807" s="405"/>
      <c r="AD807" s="405"/>
      <c r="AE807" s="405"/>
      <c r="AF807" s="405"/>
      <c r="AG807" s="405"/>
      <c r="AH807" s="405"/>
      <c r="AI807" s="405"/>
      <c r="AJ807" s="405"/>
      <c r="AK807" s="405"/>
      <c r="AL807" s="405"/>
    </row>
    <row r="808" ht="14.25" customHeight="1">
      <c r="A808" s="497">
        <v>45532.0</v>
      </c>
      <c r="B808" s="607" t="s">
        <v>3676</v>
      </c>
      <c r="C808" s="607" t="s">
        <v>3677</v>
      </c>
      <c r="D808" s="607" t="s">
        <v>54</v>
      </c>
      <c r="E808" s="349" t="s">
        <v>3556</v>
      </c>
      <c r="F808" s="756">
        <v>139359.08</v>
      </c>
      <c r="G808" s="756"/>
      <c r="H808" s="349" t="s">
        <v>4066</v>
      </c>
      <c r="I808" s="736" t="str">
        <f t="shared" si="20"/>
        <v>NOT PAID</v>
      </c>
      <c r="J808" s="402"/>
      <c r="K808" s="402"/>
      <c r="L808" s="402"/>
      <c r="M808" s="402"/>
      <c r="N808" s="402"/>
      <c r="O808" s="402"/>
      <c r="P808" s="402"/>
      <c r="Q808" s="402"/>
      <c r="R808" s="402"/>
      <c r="S808" s="402"/>
      <c r="T808" s="402"/>
      <c r="U808" s="402"/>
      <c r="V808" s="402"/>
      <c r="W808" s="402"/>
      <c r="X808" s="402"/>
      <c r="Y808" s="402"/>
      <c r="Z808" s="402"/>
      <c r="AA808" s="405"/>
      <c r="AB808" s="405"/>
      <c r="AC808" s="405"/>
      <c r="AD808" s="405"/>
      <c r="AE808" s="405"/>
      <c r="AF808" s="405"/>
      <c r="AG808" s="405"/>
      <c r="AH808" s="405"/>
      <c r="AI808" s="405"/>
      <c r="AJ808" s="405"/>
      <c r="AK808" s="405"/>
      <c r="AL808" s="405"/>
    </row>
    <row r="809" ht="14.25" customHeight="1">
      <c r="A809" s="497">
        <v>45532.0</v>
      </c>
      <c r="B809" s="608" t="s">
        <v>3647</v>
      </c>
      <c r="C809" s="608" t="s">
        <v>3648</v>
      </c>
      <c r="D809" s="608" t="s">
        <v>54</v>
      </c>
      <c r="E809" s="349" t="s">
        <v>3617</v>
      </c>
      <c r="F809" s="794">
        <v>28226.0</v>
      </c>
      <c r="G809" s="794">
        <v>3100.0</v>
      </c>
      <c r="H809" s="349" t="s">
        <v>4067</v>
      </c>
      <c r="I809" s="736" t="str">
        <f t="shared" si="20"/>
        <v>PARTIALLY PAID</v>
      </c>
      <c r="J809" s="402"/>
      <c r="K809" s="402"/>
      <c r="L809" s="402"/>
      <c r="M809" s="402"/>
      <c r="N809" s="402"/>
      <c r="O809" s="402"/>
      <c r="P809" s="402"/>
      <c r="Q809" s="402"/>
      <c r="R809" s="402"/>
      <c r="S809" s="402"/>
      <c r="T809" s="402"/>
      <c r="U809" s="402"/>
      <c r="V809" s="402"/>
      <c r="W809" s="402"/>
      <c r="X809" s="402"/>
      <c r="Y809" s="402"/>
      <c r="Z809" s="402"/>
      <c r="AA809" s="405"/>
      <c r="AB809" s="405"/>
      <c r="AC809" s="405"/>
      <c r="AD809" s="405"/>
      <c r="AE809" s="405"/>
      <c r="AF809" s="405"/>
      <c r="AG809" s="405"/>
      <c r="AH809" s="405"/>
      <c r="AI809" s="405"/>
      <c r="AJ809" s="405"/>
      <c r="AK809" s="405"/>
      <c r="AL809" s="405"/>
    </row>
    <row r="810" ht="14.25" customHeight="1">
      <c r="A810" s="497">
        <v>45532.0</v>
      </c>
      <c r="B810" s="349" t="s">
        <v>3978</v>
      </c>
      <c r="C810" s="349" t="s">
        <v>3979</v>
      </c>
      <c r="D810" s="349" t="s">
        <v>54</v>
      </c>
      <c r="E810" s="349" t="s">
        <v>3551</v>
      </c>
      <c r="F810" s="559">
        <v>56441.0</v>
      </c>
      <c r="G810" s="559"/>
      <c r="H810" s="349" t="s">
        <v>4058</v>
      </c>
      <c r="I810" s="736" t="str">
        <f t="shared" si="20"/>
        <v>NOT PAID</v>
      </c>
      <c r="J810" s="402"/>
      <c r="K810" s="402"/>
      <c r="L810" s="402"/>
      <c r="M810" s="402"/>
      <c r="N810" s="402"/>
      <c r="O810" s="402"/>
      <c r="P810" s="402"/>
      <c r="Q810" s="402"/>
      <c r="R810" s="402"/>
      <c r="S810" s="402"/>
      <c r="T810" s="402"/>
      <c r="U810" s="402"/>
      <c r="V810" s="402"/>
      <c r="W810" s="402"/>
      <c r="X810" s="402"/>
      <c r="Y810" s="402"/>
      <c r="Z810" s="402"/>
      <c r="AA810" s="405"/>
      <c r="AB810" s="405"/>
      <c r="AC810" s="405"/>
      <c r="AD810" s="405"/>
      <c r="AE810" s="405"/>
      <c r="AF810" s="405"/>
      <c r="AG810" s="405"/>
      <c r="AH810" s="405"/>
      <c r="AI810" s="405"/>
      <c r="AJ810" s="405"/>
      <c r="AK810" s="405"/>
      <c r="AL810" s="405"/>
    </row>
    <row r="811" ht="14.25" customHeight="1">
      <c r="A811" s="497">
        <v>45532.0</v>
      </c>
      <c r="B811" s="349" t="s">
        <v>3563</v>
      </c>
      <c r="C811" s="349" t="s">
        <v>3564</v>
      </c>
      <c r="D811" s="349" t="s">
        <v>54</v>
      </c>
      <c r="E811" s="349" t="s">
        <v>3556</v>
      </c>
      <c r="F811" s="413">
        <v>135000.0</v>
      </c>
      <c r="G811" s="413"/>
      <c r="H811" s="349" t="s">
        <v>4057</v>
      </c>
      <c r="I811" s="736" t="str">
        <f t="shared" si="20"/>
        <v>NOT PAID</v>
      </c>
      <c r="J811" s="402"/>
      <c r="K811" s="402"/>
      <c r="L811" s="402"/>
      <c r="M811" s="402"/>
      <c r="N811" s="402"/>
      <c r="O811" s="402"/>
      <c r="P811" s="402"/>
      <c r="Q811" s="402"/>
      <c r="R811" s="402"/>
      <c r="S811" s="402"/>
      <c r="T811" s="402"/>
      <c r="U811" s="402"/>
      <c r="V811" s="402"/>
      <c r="W811" s="402"/>
      <c r="X811" s="402"/>
      <c r="Y811" s="402"/>
      <c r="Z811" s="402"/>
      <c r="AA811" s="405"/>
      <c r="AB811" s="405"/>
      <c r="AC811" s="405"/>
      <c r="AD811" s="405"/>
      <c r="AE811" s="405"/>
      <c r="AF811" s="405"/>
      <c r="AG811" s="405"/>
      <c r="AH811" s="405"/>
      <c r="AI811" s="405"/>
      <c r="AJ811" s="405"/>
      <c r="AK811" s="405"/>
      <c r="AL811" s="405"/>
    </row>
    <row r="812" ht="14.25" customHeight="1">
      <c r="A812" s="497">
        <v>45532.0</v>
      </c>
      <c r="B812" s="349" t="s">
        <v>3714</v>
      </c>
      <c r="C812" s="349" t="s">
        <v>3715</v>
      </c>
      <c r="D812" s="349" t="s">
        <v>54</v>
      </c>
      <c r="E812" s="349" t="s">
        <v>3617</v>
      </c>
      <c r="F812" s="413">
        <v>17649.0</v>
      </c>
      <c r="G812" s="413">
        <v>19767.0</v>
      </c>
      <c r="H812" s="349" t="s">
        <v>710</v>
      </c>
      <c r="I812" s="736" t="str">
        <f t="shared" si="20"/>
        <v>FULLY PAID</v>
      </c>
      <c r="J812" s="402"/>
      <c r="K812" s="402"/>
      <c r="L812" s="402"/>
      <c r="M812" s="402"/>
      <c r="N812" s="402"/>
      <c r="O812" s="402"/>
      <c r="P812" s="402"/>
      <c r="Q812" s="402"/>
      <c r="R812" s="402"/>
      <c r="S812" s="402"/>
      <c r="T812" s="402"/>
      <c r="U812" s="402"/>
      <c r="V812" s="402"/>
      <c r="W812" s="402"/>
      <c r="X812" s="402"/>
      <c r="Y812" s="402"/>
      <c r="Z812" s="402"/>
      <c r="AA812" s="405"/>
      <c r="AB812" s="405"/>
      <c r="AC812" s="405"/>
      <c r="AD812" s="405"/>
      <c r="AE812" s="405"/>
      <c r="AF812" s="405"/>
      <c r="AG812" s="405"/>
      <c r="AH812" s="405"/>
      <c r="AI812" s="405"/>
      <c r="AJ812" s="405"/>
      <c r="AK812" s="405"/>
      <c r="AL812" s="405"/>
    </row>
    <row r="813" ht="14.25" customHeight="1">
      <c r="A813" s="497">
        <v>45532.0</v>
      </c>
      <c r="B813" s="349" t="s">
        <v>3573</v>
      </c>
      <c r="C813" s="349" t="s">
        <v>3574</v>
      </c>
      <c r="D813" s="349" t="s">
        <v>54</v>
      </c>
      <c r="E813" s="349" t="s">
        <v>3551</v>
      </c>
      <c r="F813" s="686">
        <v>226678.0</v>
      </c>
      <c r="G813" s="686"/>
      <c r="H813" s="349" t="s">
        <v>4019</v>
      </c>
      <c r="I813" s="736" t="str">
        <f t="shared" si="20"/>
        <v>NOT PAID</v>
      </c>
      <c r="J813" s="402"/>
      <c r="K813" s="402"/>
      <c r="L813" s="402"/>
      <c r="M813" s="402"/>
      <c r="N813" s="402"/>
      <c r="O813" s="402"/>
      <c r="P813" s="402"/>
      <c r="Q813" s="402"/>
      <c r="R813" s="402"/>
      <c r="S813" s="402"/>
      <c r="T813" s="402"/>
      <c r="U813" s="402"/>
      <c r="V813" s="402"/>
      <c r="W813" s="402"/>
      <c r="X813" s="402"/>
      <c r="Y813" s="402"/>
      <c r="Z813" s="402"/>
      <c r="AA813" s="405"/>
      <c r="AB813" s="405"/>
      <c r="AC813" s="405"/>
      <c r="AD813" s="405"/>
      <c r="AE813" s="405"/>
      <c r="AF813" s="405"/>
      <c r="AG813" s="405"/>
      <c r="AH813" s="405"/>
      <c r="AI813" s="405"/>
      <c r="AJ813" s="405"/>
      <c r="AK813" s="405"/>
      <c r="AL813" s="405"/>
    </row>
    <row r="814" ht="14.25" customHeight="1">
      <c r="A814" s="402"/>
      <c r="B814" s="402"/>
      <c r="C814" s="402"/>
      <c r="D814" s="402"/>
      <c r="E814" s="402"/>
      <c r="F814" s="402"/>
      <c r="G814" s="402"/>
      <c r="H814" s="402"/>
      <c r="I814" s="736" t="str">
        <f t="shared" si="20"/>
        <v>FULLY PAID</v>
      </c>
      <c r="J814" s="402"/>
      <c r="K814" s="402"/>
      <c r="L814" s="402"/>
      <c r="M814" s="402"/>
      <c r="N814" s="402"/>
      <c r="O814" s="402"/>
      <c r="P814" s="402"/>
      <c r="Q814" s="402"/>
      <c r="R814" s="402"/>
      <c r="S814" s="402"/>
      <c r="T814" s="402"/>
      <c r="U814" s="402"/>
      <c r="V814" s="402"/>
      <c r="W814" s="402"/>
      <c r="X814" s="402"/>
      <c r="Y814" s="402"/>
      <c r="Z814" s="402"/>
      <c r="AA814" s="405"/>
      <c r="AB814" s="405"/>
      <c r="AC814" s="405"/>
      <c r="AD814" s="405"/>
      <c r="AE814" s="405"/>
      <c r="AF814" s="405"/>
      <c r="AG814" s="405"/>
      <c r="AH814" s="405"/>
      <c r="AI814" s="405"/>
      <c r="AJ814" s="405"/>
      <c r="AK814" s="405"/>
      <c r="AL814" s="405"/>
    </row>
    <row r="815" ht="14.25" customHeight="1">
      <c r="A815" s="402"/>
      <c r="B815" s="402"/>
      <c r="C815" s="402"/>
      <c r="D815" s="402"/>
      <c r="E815" s="402"/>
      <c r="F815" s="402"/>
      <c r="G815" s="402"/>
      <c r="H815" s="402"/>
      <c r="I815" s="736" t="str">
        <f t="shared" si="20"/>
        <v>FULLY PAID</v>
      </c>
      <c r="J815" s="402"/>
      <c r="K815" s="402"/>
      <c r="L815" s="402"/>
      <c r="M815" s="402"/>
      <c r="N815" s="402"/>
      <c r="O815" s="402"/>
      <c r="P815" s="402"/>
      <c r="Q815" s="402"/>
      <c r="R815" s="402"/>
      <c r="S815" s="402"/>
      <c r="T815" s="402"/>
      <c r="U815" s="402"/>
      <c r="V815" s="402"/>
      <c r="W815" s="402"/>
      <c r="X815" s="402"/>
      <c r="Y815" s="402"/>
      <c r="Z815" s="402"/>
      <c r="AA815" s="405"/>
      <c r="AB815" s="405"/>
      <c r="AC815" s="405"/>
      <c r="AD815" s="405"/>
      <c r="AE815" s="405"/>
      <c r="AF815" s="405"/>
      <c r="AG815" s="405"/>
      <c r="AH815" s="405"/>
      <c r="AI815" s="405"/>
      <c r="AJ815" s="405"/>
      <c r="AK815" s="405"/>
      <c r="AL815" s="405"/>
    </row>
    <row r="816" ht="14.25" customHeight="1">
      <c r="A816" s="497">
        <v>45532.0</v>
      </c>
      <c r="B816" s="599" t="s">
        <v>3608</v>
      </c>
      <c r="C816" s="471" t="s">
        <v>3637</v>
      </c>
      <c r="D816" s="471" t="s">
        <v>59</v>
      </c>
      <c r="E816" s="471" t="s">
        <v>3579</v>
      </c>
      <c r="F816" s="600">
        <v>500000.0</v>
      </c>
      <c r="G816" s="600"/>
      <c r="H816" s="349" t="s">
        <v>3994</v>
      </c>
      <c r="I816" s="736" t="str">
        <f t="shared" si="20"/>
        <v>NOT PAID</v>
      </c>
      <c r="J816" s="402"/>
      <c r="K816" s="402"/>
      <c r="L816" s="402"/>
      <c r="M816" s="402"/>
      <c r="N816" s="402"/>
      <c r="O816" s="402"/>
      <c r="P816" s="402"/>
      <c r="Q816" s="402"/>
      <c r="R816" s="402"/>
      <c r="S816" s="402"/>
      <c r="T816" s="402"/>
      <c r="U816" s="402"/>
      <c r="V816" s="402"/>
      <c r="W816" s="402"/>
      <c r="X816" s="402"/>
      <c r="Y816" s="402"/>
      <c r="Z816" s="402"/>
      <c r="AA816" s="405"/>
      <c r="AB816" s="405"/>
      <c r="AC816" s="405"/>
      <c r="AD816" s="405"/>
      <c r="AE816" s="405"/>
      <c r="AF816" s="405"/>
      <c r="AG816" s="405"/>
      <c r="AH816" s="405"/>
      <c r="AI816" s="405"/>
      <c r="AJ816" s="405"/>
      <c r="AK816" s="405"/>
      <c r="AL816" s="405"/>
    </row>
    <row r="817" ht="14.25" customHeight="1">
      <c r="A817" s="497">
        <v>45532.0</v>
      </c>
      <c r="B817" s="458" t="s">
        <v>3663</v>
      </c>
      <c r="C817" s="398" t="s">
        <v>3705</v>
      </c>
      <c r="D817" s="395" t="s">
        <v>54</v>
      </c>
      <c r="E817" s="398" t="s">
        <v>3579</v>
      </c>
      <c r="F817" s="795">
        <v>164847.0</v>
      </c>
      <c r="G817" s="795"/>
      <c r="H817" s="398" t="s">
        <v>4062</v>
      </c>
      <c r="I817" s="736" t="str">
        <f t="shared" si="20"/>
        <v>NOT PAID</v>
      </c>
      <c r="J817" s="402"/>
      <c r="K817" s="402"/>
      <c r="L817" s="402"/>
      <c r="M817" s="402"/>
      <c r="N817" s="402"/>
      <c r="O817" s="402"/>
      <c r="P817" s="402"/>
      <c r="Q817" s="402"/>
      <c r="R817" s="402"/>
      <c r="S817" s="402"/>
      <c r="T817" s="402"/>
      <c r="U817" s="402"/>
      <c r="V817" s="402"/>
      <c r="W817" s="402"/>
      <c r="X817" s="402"/>
      <c r="Y817" s="402"/>
      <c r="Z817" s="402"/>
      <c r="AA817" s="405"/>
      <c r="AB817" s="405"/>
      <c r="AC817" s="405"/>
      <c r="AD817" s="405"/>
      <c r="AE817" s="405"/>
      <c r="AF817" s="405"/>
      <c r="AG817" s="405"/>
      <c r="AH817" s="405"/>
      <c r="AI817" s="405"/>
      <c r="AJ817" s="405"/>
      <c r="AK817" s="405"/>
      <c r="AL817" s="405"/>
    </row>
    <row r="818" ht="14.25" customHeight="1">
      <c r="A818" s="497">
        <v>45532.0</v>
      </c>
      <c r="B818" s="458" t="s">
        <v>3566</v>
      </c>
      <c r="C818" s="398" t="s">
        <v>3995</v>
      </c>
      <c r="D818" s="395" t="s">
        <v>54</v>
      </c>
      <c r="E818" s="398" t="s">
        <v>3579</v>
      </c>
      <c r="F818" s="795">
        <v>40000.0</v>
      </c>
      <c r="G818" s="795"/>
      <c r="H818" s="349" t="s">
        <v>4057</v>
      </c>
      <c r="I818" s="736" t="str">
        <f t="shared" si="20"/>
        <v>NOT PAID</v>
      </c>
      <c r="J818" s="402"/>
      <c r="K818" s="402"/>
      <c r="L818" s="402"/>
      <c r="M818" s="402"/>
      <c r="N818" s="402"/>
      <c r="O818" s="402"/>
      <c r="P818" s="402"/>
      <c r="Q818" s="402"/>
      <c r="R818" s="402"/>
      <c r="S818" s="402"/>
      <c r="T818" s="402"/>
      <c r="U818" s="402"/>
      <c r="V818" s="402"/>
      <c r="W818" s="402"/>
      <c r="X818" s="402"/>
      <c r="Y818" s="402"/>
      <c r="Z818" s="402"/>
      <c r="AA818" s="405"/>
      <c r="AB818" s="405"/>
      <c r="AC818" s="405"/>
      <c r="AD818" s="405"/>
      <c r="AE818" s="405"/>
      <c r="AF818" s="405"/>
      <c r="AG818" s="405"/>
      <c r="AH818" s="405"/>
      <c r="AI818" s="405"/>
      <c r="AJ818" s="405"/>
      <c r="AK818" s="405"/>
      <c r="AL818" s="405"/>
    </row>
    <row r="819" ht="14.25" customHeight="1">
      <c r="A819" s="402"/>
      <c r="B819" s="402"/>
      <c r="C819" s="402"/>
      <c r="D819" s="402"/>
      <c r="E819" s="402"/>
      <c r="F819" s="402"/>
      <c r="G819" s="403"/>
      <c r="H819" s="402"/>
      <c r="I819" s="736" t="str">
        <f t="shared" si="20"/>
        <v>FULLY PAID</v>
      </c>
      <c r="J819" s="402"/>
      <c r="K819" s="402"/>
      <c r="L819" s="402"/>
      <c r="M819" s="402"/>
      <c r="N819" s="402"/>
      <c r="O819" s="402"/>
      <c r="P819" s="402"/>
      <c r="Q819" s="402"/>
      <c r="R819" s="402"/>
      <c r="S819" s="402"/>
      <c r="T819" s="402"/>
      <c r="U819" s="402"/>
      <c r="V819" s="402"/>
      <c r="W819" s="402"/>
      <c r="X819" s="402"/>
      <c r="Y819" s="402"/>
      <c r="Z819" s="402"/>
      <c r="AA819" s="405"/>
      <c r="AB819" s="405"/>
      <c r="AC819" s="405"/>
      <c r="AD819" s="405"/>
      <c r="AE819" s="405"/>
      <c r="AF819" s="405"/>
      <c r="AG819" s="405"/>
      <c r="AH819" s="405"/>
      <c r="AI819" s="405"/>
      <c r="AJ819" s="405"/>
      <c r="AK819" s="405"/>
      <c r="AL819" s="405"/>
    </row>
    <row r="820" ht="14.25" customHeight="1">
      <c r="A820" s="402"/>
      <c r="B820" s="402"/>
      <c r="C820" s="402"/>
      <c r="D820" s="402"/>
      <c r="E820" s="402"/>
      <c r="F820" s="402"/>
      <c r="G820" s="403"/>
      <c r="H820" s="402"/>
      <c r="I820" s="736" t="str">
        <f t="shared" si="20"/>
        <v>FULLY PAID</v>
      </c>
      <c r="J820" s="402"/>
      <c r="K820" s="402"/>
      <c r="L820" s="402"/>
      <c r="M820" s="402"/>
      <c r="N820" s="402"/>
      <c r="O820" s="402"/>
      <c r="P820" s="402"/>
      <c r="Q820" s="402"/>
      <c r="R820" s="402"/>
      <c r="S820" s="402"/>
      <c r="T820" s="402"/>
      <c r="U820" s="402"/>
      <c r="V820" s="402"/>
      <c r="W820" s="402"/>
      <c r="X820" s="402"/>
      <c r="Y820" s="402"/>
      <c r="Z820" s="402"/>
      <c r="AA820" s="405"/>
      <c r="AB820" s="405"/>
      <c r="AC820" s="405"/>
      <c r="AD820" s="405"/>
      <c r="AE820" s="405"/>
      <c r="AF820" s="405"/>
      <c r="AG820" s="405"/>
      <c r="AH820" s="405"/>
      <c r="AI820" s="405"/>
      <c r="AJ820" s="405"/>
      <c r="AK820" s="405"/>
      <c r="AL820" s="405"/>
    </row>
    <row r="821" ht="14.25" customHeight="1">
      <c r="A821" s="402"/>
      <c r="B821" s="402"/>
      <c r="C821" s="402"/>
      <c r="D821" s="402"/>
      <c r="E821" s="402"/>
      <c r="F821" s="402"/>
      <c r="G821" s="403"/>
      <c r="H821" s="402"/>
      <c r="I821" s="736" t="str">
        <f t="shared" si="20"/>
        <v>FULLY PAID</v>
      </c>
      <c r="J821" s="402"/>
      <c r="K821" s="402"/>
      <c r="L821" s="402"/>
      <c r="M821" s="402"/>
      <c r="N821" s="402"/>
      <c r="O821" s="402"/>
      <c r="P821" s="402"/>
      <c r="Q821" s="402"/>
      <c r="R821" s="402"/>
      <c r="S821" s="402"/>
      <c r="T821" s="402"/>
      <c r="U821" s="402"/>
      <c r="V821" s="402"/>
      <c r="W821" s="402"/>
      <c r="X821" s="402"/>
      <c r="Y821" s="402"/>
      <c r="Z821" s="402"/>
      <c r="AA821" s="405"/>
      <c r="AB821" s="405"/>
      <c r="AC821" s="405"/>
      <c r="AD821" s="405"/>
      <c r="AE821" s="405"/>
      <c r="AF821" s="405"/>
      <c r="AG821" s="405"/>
      <c r="AH821" s="405"/>
      <c r="AI821" s="405"/>
      <c r="AJ821" s="405"/>
      <c r="AK821" s="405"/>
      <c r="AL821" s="405"/>
    </row>
    <row r="822" ht="14.25" customHeight="1">
      <c r="A822" s="402"/>
      <c r="B822" s="402"/>
      <c r="C822" s="402"/>
      <c r="D822" s="402"/>
      <c r="E822" s="402"/>
      <c r="F822" s="402"/>
      <c r="G822" s="403"/>
      <c r="H822" s="402"/>
      <c r="I822" s="736" t="str">
        <f t="shared" si="20"/>
        <v>FULLY PAID</v>
      </c>
      <c r="J822" s="402"/>
      <c r="K822" s="402"/>
      <c r="L822" s="402"/>
      <c r="M822" s="402"/>
      <c r="N822" s="402"/>
      <c r="O822" s="402"/>
      <c r="P822" s="402"/>
      <c r="Q822" s="402"/>
      <c r="R822" s="402"/>
      <c r="S822" s="402"/>
      <c r="T822" s="402"/>
      <c r="U822" s="402"/>
      <c r="V822" s="402"/>
      <c r="W822" s="402"/>
      <c r="X822" s="402"/>
      <c r="Y822" s="402"/>
      <c r="Z822" s="402"/>
      <c r="AA822" s="405"/>
      <c r="AB822" s="405"/>
      <c r="AC822" s="405"/>
      <c r="AD822" s="405"/>
      <c r="AE822" s="405"/>
      <c r="AF822" s="405"/>
      <c r="AG822" s="405"/>
      <c r="AH822" s="405"/>
      <c r="AI822" s="405"/>
      <c r="AJ822" s="405"/>
      <c r="AK822" s="405"/>
      <c r="AL822" s="405"/>
    </row>
    <row r="823" ht="14.25" customHeight="1">
      <c r="A823" s="584" t="s">
        <v>2130</v>
      </c>
      <c r="B823" s="584" t="s">
        <v>39</v>
      </c>
      <c r="C823" s="584" t="s">
        <v>48</v>
      </c>
      <c r="D823" s="584" t="s">
        <v>49</v>
      </c>
      <c r="E823" s="584" t="s">
        <v>50</v>
      </c>
      <c r="F823" s="584" t="s">
        <v>2</v>
      </c>
      <c r="G823" s="586" t="s">
        <v>44</v>
      </c>
      <c r="H823" s="424" t="s">
        <v>45</v>
      </c>
      <c r="I823" s="736" t="str">
        <f t="shared" si="20"/>
        <v>FULLY PAID</v>
      </c>
      <c r="J823" s="402"/>
      <c r="K823" s="402"/>
      <c r="L823" s="402"/>
      <c r="M823" s="402"/>
      <c r="N823" s="402"/>
      <c r="O823" s="402"/>
      <c r="P823" s="402"/>
      <c r="Q823" s="402"/>
      <c r="R823" s="402"/>
      <c r="S823" s="402"/>
      <c r="T823" s="402"/>
      <c r="U823" s="402"/>
      <c r="V823" s="402"/>
      <c r="W823" s="402"/>
      <c r="X823" s="402"/>
      <c r="Y823" s="402"/>
      <c r="Z823" s="402"/>
      <c r="AA823" s="405"/>
      <c r="AB823" s="405"/>
      <c r="AC823" s="405"/>
      <c r="AD823" s="405"/>
      <c r="AE823" s="405"/>
      <c r="AF823" s="405"/>
      <c r="AG823" s="405"/>
      <c r="AH823" s="405"/>
      <c r="AI823" s="405"/>
      <c r="AJ823" s="405"/>
      <c r="AK823" s="405"/>
      <c r="AL823" s="405"/>
    </row>
    <row r="824" ht="14.25" customHeight="1">
      <c r="A824" s="497">
        <v>45533.0</v>
      </c>
      <c r="B824" s="349" t="s">
        <v>3573</v>
      </c>
      <c r="C824" s="349" t="s">
        <v>3574</v>
      </c>
      <c r="D824" s="349" t="s">
        <v>54</v>
      </c>
      <c r="E824" s="349" t="s">
        <v>3551</v>
      </c>
      <c r="F824" s="686">
        <v>226678.0</v>
      </c>
      <c r="G824" s="403"/>
      <c r="H824" s="349" t="s">
        <v>4019</v>
      </c>
      <c r="I824" s="736" t="str">
        <f t="shared" si="20"/>
        <v>NOT PAID</v>
      </c>
      <c r="J824" s="402"/>
      <c r="K824" s="402"/>
      <c r="L824" s="402"/>
      <c r="M824" s="402"/>
      <c r="N824" s="402"/>
      <c r="O824" s="402"/>
      <c r="P824" s="402"/>
      <c r="Q824" s="402"/>
      <c r="R824" s="402"/>
      <c r="S824" s="402"/>
      <c r="T824" s="402"/>
      <c r="U824" s="402"/>
      <c r="V824" s="402"/>
      <c r="W824" s="402"/>
      <c r="X824" s="402"/>
      <c r="Y824" s="402"/>
      <c r="Z824" s="402"/>
      <c r="AA824" s="405"/>
      <c r="AB824" s="405"/>
      <c r="AC824" s="405"/>
      <c r="AD824" s="405"/>
      <c r="AE824" s="405"/>
      <c r="AF824" s="405"/>
      <c r="AG824" s="405"/>
      <c r="AH824" s="405"/>
      <c r="AI824" s="405"/>
      <c r="AJ824" s="405"/>
      <c r="AK824" s="405"/>
      <c r="AL824" s="405"/>
    </row>
    <row r="825" ht="14.25" customHeight="1">
      <c r="A825" s="497">
        <v>45533.0</v>
      </c>
      <c r="B825" s="349" t="s">
        <v>3978</v>
      </c>
      <c r="C825" s="349" t="s">
        <v>3979</v>
      </c>
      <c r="D825" s="349" t="s">
        <v>54</v>
      </c>
      <c r="E825" s="349" t="s">
        <v>3551</v>
      </c>
      <c r="F825" s="559">
        <v>56441.0</v>
      </c>
      <c r="G825" s="403"/>
      <c r="H825" s="349" t="s">
        <v>4068</v>
      </c>
      <c r="I825" s="736" t="str">
        <f t="shared" si="20"/>
        <v>NOT PAID</v>
      </c>
      <c r="J825" s="402"/>
      <c r="K825" s="402"/>
      <c r="L825" s="402"/>
      <c r="M825" s="402"/>
      <c r="N825" s="402"/>
      <c r="O825" s="402"/>
      <c r="P825" s="402"/>
      <c r="Q825" s="402"/>
      <c r="R825" s="402"/>
      <c r="S825" s="402"/>
      <c r="T825" s="402"/>
      <c r="U825" s="402"/>
      <c r="V825" s="402"/>
      <c r="W825" s="402"/>
      <c r="X825" s="402"/>
      <c r="Y825" s="402"/>
      <c r="Z825" s="402"/>
      <c r="AA825" s="405"/>
      <c r="AB825" s="405"/>
      <c r="AC825" s="405"/>
      <c r="AD825" s="405"/>
      <c r="AE825" s="405"/>
      <c r="AF825" s="405"/>
      <c r="AG825" s="405"/>
      <c r="AH825" s="405"/>
      <c r="AI825" s="405"/>
      <c r="AJ825" s="405"/>
      <c r="AK825" s="405"/>
      <c r="AL825" s="405"/>
    </row>
    <row r="826" ht="14.25" customHeight="1">
      <c r="A826" s="497">
        <v>45533.0</v>
      </c>
      <c r="B826" s="349" t="s">
        <v>3563</v>
      </c>
      <c r="C826" s="349" t="s">
        <v>3564</v>
      </c>
      <c r="D826" s="349" t="s">
        <v>54</v>
      </c>
      <c r="E826" s="349" t="s">
        <v>3556</v>
      </c>
      <c r="F826" s="413">
        <v>135000.0</v>
      </c>
      <c r="G826" s="403"/>
      <c r="H826" s="349" t="s">
        <v>4057</v>
      </c>
      <c r="I826" s="736" t="str">
        <f t="shared" si="20"/>
        <v>NOT PAID</v>
      </c>
      <c r="J826" s="402"/>
      <c r="K826" s="402"/>
      <c r="L826" s="402"/>
      <c r="M826" s="402"/>
      <c r="N826" s="402"/>
      <c r="O826" s="402"/>
      <c r="P826" s="402"/>
      <c r="Q826" s="402"/>
      <c r="R826" s="402"/>
      <c r="S826" s="402"/>
      <c r="T826" s="402"/>
      <c r="U826" s="402"/>
      <c r="V826" s="402"/>
      <c r="W826" s="402"/>
      <c r="X826" s="402"/>
      <c r="Y826" s="402"/>
      <c r="Z826" s="402"/>
      <c r="AA826" s="405"/>
      <c r="AB826" s="405"/>
      <c r="AC826" s="405"/>
      <c r="AD826" s="405"/>
      <c r="AE826" s="405"/>
      <c r="AF826" s="405"/>
      <c r="AG826" s="405"/>
      <c r="AH826" s="405"/>
      <c r="AI826" s="405"/>
      <c r="AJ826" s="405"/>
      <c r="AK826" s="405"/>
      <c r="AL826" s="405"/>
    </row>
    <row r="827" ht="14.25" customHeight="1">
      <c r="A827" s="497">
        <v>45533.0</v>
      </c>
      <c r="B827" s="349" t="s">
        <v>3620</v>
      </c>
      <c r="C827" s="349" t="s">
        <v>3621</v>
      </c>
      <c r="D827" s="349" t="s">
        <v>54</v>
      </c>
      <c r="E827" s="349" t="s">
        <v>3617</v>
      </c>
      <c r="F827" s="413">
        <v>39333.0</v>
      </c>
      <c r="G827" s="403"/>
      <c r="H827" s="349" t="s">
        <v>4068</v>
      </c>
      <c r="I827" s="736" t="str">
        <f t="shared" si="20"/>
        <v>NOT PAID</v>
      </c>
      <c r="J827" s="402"/>
      <c r="K827" s="402"/>
      <c r="L827" s="402"/>
      <c r="M827" s="402"/>
      <c r="N827" s="402"/>
      <c r="O827" s="402"/>
      <c r="P827" s="402"/>
      <c r="Q827" s="402"/>
      <c r="R827" s="402"/>
      <c r="S827" s="402"/>
      <c r="T827" s="402"/>
      <c r="U827" s="402"/>
      <c r="V827" s="402"/>
      <c r="W827" s="402"/>
      <c r="X827" s="402"/>
      <c r="Y827" s="402"/>
      <c r="Z827" s="402"/>
      <c r="AA827" s="405"/>
      <c r="AB827" s="405"/>
      <c r="AC827" s="405"/>
      <c r="AD827" s="405"/>
      <c r="AE827" s="405"/>
      <c r="AF827" s="405"/>
      <c r="AG827" s="405"/>
      <c r="AH827" s="405"/>
      <c r="AI827" s="405"/>
      <c r="AJ827" s="405"/>
      <c r="AK827" s="405"/>
      <c r="AL827" s="405"/>
    </row>
    <row r="828" ht="14.25" customHeight="1">
      <c r="A828" s="497">
        <v>45533.0</v>
      </c>
      <c r="B828" s="608" t="s">
        <v>3691</v>
      </c>
      <c r="C828" s="608" t="s">
        <v>3692</v>
      </c>
      <c r="D828" s="608" t="s">
        <v>54</v>
      </c>
      <c r="E828" s="349" t="s">
        <v>3579</v>
      </c>
      <c r="F828" s="794">
        <v>175197.56</v>
      </c>
      <c r="G828" s="403"/>
      <c r="H828" s="349" t="s">
        <v>4062</v>
      </c>
      <c r="I828" s="736" t="str">
        <f t="shared" si="20"/>
        <v>NOT PAID</v>
      </c>
      <c r="J828" s="402"/>
      <c r="K828" s="402"/>
      <c r="L828" s="402"/>
      <c r="M828" s="402"/>
      <c r="N828" s="402"/>
      <c r="O828" s="402"/>
      <c r="P828" s="402"/>
      <c r="Q828" s="402"/>
      <c r="R828" s="402"/>
      <c r="S828" s="402"/>
      <c r="T828" s="402"/>
      <c r="U828" s="402"/>
      <c r="V828" s="402"/>
      <c r="W828" s="402"/>
      <c r="X828" s="402"/>
      <c r="Y828" s="402"/>
      <c r="Z828" s="402"/>
      <c r="AA828" s="405"/>
      <c r="AB828" s="405"/>
      <c r="AC828" s="405"/>
      <c r="AD828" s="405"/>
      <c r="AE828" s="405"/>
      <c r="AF828" s="405"/>
      <c r="AG828" s="405"/>
      <c r="AH828" s="405"/>
      <c r="AI828" s="405"/>
      <c r="AJ828" s="405"/>
      <c r="AK828" s="405"/>
      <c r="AL828" s="405"/>
    </row>
    <row r="829" ht="14.25" customHeight="1">
      <c r="A829" s="497">
        <v>45533.0</v>
      </c>
      <c r="B829" s="349" t="s">
        <v>4047</v>
      </c>
      <c r="C829" s="349" t="s">
        <v>3797</v>
      </c>
      <c r="D829" s="349" t="s">
        <v>54</v>
      </c>
      <c r="E829" s="349" t="s">
        <v>3556</v>
      </c>
      <c r="F829" s="751">
        <v>4833.0</v>
      </c>
      <c r="G829" s="413">
        <v>2750.0</v>
      </c>
      <c r="H829" s="349" t="s">
        <v>4069</v>
      </c>
      <c r="I829" s="736" t="str">
        <f t="shared" si="20"/>
        <v>PARTIALLY PAID</v>
      </c>
      <c r="J829" s="402"/>
      <c r="K829" s="402"/>
      <c r="L829" s="402"/>
      <c r="M829" s="402"/>
      <c r="N829" s="402"/>
      <c r="O829" s="402"/>
      <c r="P829" s="402"/>
      <c r="Q829" s="402"/>
      <c r="R829" s="402"/>
      <c r="S829" s="402"/>
      <c r="T829" s="402"/>
      <c r="U829" s="402"/>
      <c r="V829" s="402"/>
      <c r="W829" s="402"/>
      <c r="X829" s="402"/>
      <c r="Y829" s="402"/>
      <c r="Z829" s="402"/>
      <c r="AA829" s="405"/>
      <c r="AB829" s="405"/>
      <c r="AC829" s="405"/>
      <c r="AD829" s="405"/>
      <c r="AE829" s="405"/>
      <c r="AF829" s="405"/>
      <c r="AG829" s="405"/>
      <c r="AH829" s="405"/>
      <c r="AI829" s="405"/>
      <c r="AJ829" s="405"/>
      <c r="AK829" s="405"/>
      <c r="AL829" s="405"/>
    </row>
    <row r="830" ht="14.25" customHeight="1">
      <c r="A830" s="497">
        <v>45533.0</v>
      </c>
      <c r="B830" s="608" t="s">
        <v>3784</v>
      </c>
      <c r="C830" s="608" t="s">
        <v>3624</v>
      </c>
      <c r="D830" s="608" t="s">
        <v>346</v>
      </c>
      <c r="E830" s="349" t="s">
        <v>3551</v>
      </c>
      <c r="F830" s="794">
        <v>5491.93</v>
      </c>
      <c r="G830" s="403"/>
      <c r="H830" s="349" t="s">
        <v>4070</v>
      </c>
      <c r="I830" s="736" t="str">
        <f t="shared" si="20"/>
        <v>NOT PAID</v>
      </c>
      <c r="J830" s="402"/>
      <c r="K830" s="402"/>
      <c r="L830" s="402"/>
      <c r="M830" s="402"/>
      <c r="N830" s="402"/>
      <c r="O830" s="402"/>
      <c r="P830" s="402"/>
      <c r="Q830" s="402"/>
      <c r="R830" s="402"/>
      <c r="S830" s="402"/>
      <c r="T830" s="402"/>
      <c r="U830" s="402"/>
      <c r="V830" s="402"/>
      <c r="W830" s="402"/>
      <c r="X830" s="402"/>
      <c r="Y830" s="402"/>
      <c r="Z830" s="402"/>
      <c r="AA830" s="405"/>
      <c r="AB830" s="405"/>
      <c r="AC830" s="405"/>
      <c r="AD830" s="405"/>
      <c r="AE830" s="405"/>
      <c r="AF830" s="405"/>
      <c r="AG830" s="405"/>
      <c r="AH830" s="405"/>
      <c r="AI830" s="405"/>
      <c r="AJ830" s="405"/>
      <c r="AK830" s="405"/>
      <c r="AL830" s="405"/>
    </row>
    <row r="831" ht="14.25" customHeight="1">
      <c r="A831" s="497">
        <v>45533.0</v>
      </c>
      <c r="B831" s="608" t="s">
        <v>3684</v>
      </c>
      <c r="C831" s="608" t="s">
        <v>4063</v>
      </c>
      <c r="D831" s="608" t="s">
        <v>54</v>
      </c>
      <c r="E831" s="349" t="s">
        <v>3617</v>
      </c>
      <c r="F831" s="794">
        <v>89440.0</v>
      </c>
      <c r="G831" s="403"/>
      <c r="H831" s="349" t="s">
        <v>4070</v>
      </c>
      <c r="I831" s="736" t="str">
        <f t="shared" si="20"/>
        <v>NOT PAID</v>
      </c>
      <c r="J831" s="402"/>
      <c r="K831" s="402"/>
      <c r="L831" s="402"/>
      <c r="M831" s="402"/>
      <c r="N831" s="402"/>
      <c r="O831" s="402"/>
      <c r="P831" s="402"/>
      <c r="Q831" s="402"/>
      <c r="R831" s="402"/>
      <c r="S831" s="402"/>
      <c r="T831" s="402"/>
      <c r="U831" s="402"/>
      <c r="V831" s="402"/>
      <c r="W831" s="402"/>
      <c r="X831" s="402"/>
      <c r="Y831" s="402"/>
      <c r="Z831" s="402"/>
      <c r="AA831" s="405"/>
      <c r="AB831" s="405"/>
      <c r="AC831" s="405"/>
      <c r="AD831" s="405"/>
      <c r="AE831" s="405"/>
      <c r="AF831" s="405"/>
      <c r="AG831" s="405"/>
      <c r="AH831" s="405"/>
      <c r="AI831" s="405"/>
      <c r="AJ831" s="405"/>
      <c r="AK831" s="405"/>
      <c r="AL831" s="405"/>
    </row>
    <row r="832" ht="14.25" customHeight="1">
      <c r="A832" s="497">
        <v>45533.0</v>
      </c>
      <c r="B832" s="349" t="s">
        <v>3789</v>
      </c>
      <c r="C832" s="349" t="s">
        <v>3790</v>
      </c>
      <c r="D832" s="349" t="s">
        <v>54</v>
      </c>
      <c r="E832" s="349" t="s">
        <v>3617</v>
      </c>
      <c r="F832" s="413">
        <v>6589.0</v>
      </c>
      <c r="G832" s="403"/>
      <c r="H832" s="349" t="s">
        <v>4057</v>
      </c>
      <c r="I832" s="736" t="str">
        <f t="shared" si="20"/>
        <v>NOT PAID</v>
      </c>
      <c r="J832" s="402"/>
      <c r="K832" s="402"/>
      <c r="L832" s="402"/>
      <c r="M832" s="402"/>
      <c r="N832" s="402"/>
      <c r="O832" s="402"/>
      <c r="P832" s="402"/>
      <c r="Q832" s="402"/>
      <c r="R832" s="402"/>
      <c r="S832" s="402"/>
      <c r="T832" s="402"/>
      <c r="U832" s="402"/>
      <c r="V832" s="402"/>
      <c r="W832" s="402"/>
      <c r="X832" s="402"/>
      <c r="Y832" s="402"/>
      <c r="Z832" s="402"/>
      <c r="AA832" s="405"/>
      <c r="AB832" s="405"/>
      <c r="AC832" s="405"/>
      <c r="AD832" s="405"/>
      <c r="AE832" s="405"/>
      <c r="AF832" s="405"/>
      <c r="AG832" s="405"/>
      <c r="AH832" s="405"/>
      <c r="AI832" s="405"/>
      <c r="AJ832" s="405"/>
      <c r="AK832" s="405"/>
      <c r="AL832" s="405"/>
    </row>
    <row r="833" ht="14.25" customHeight="1">
      <c r="A833" s="497">
        <v>45533.0</v>
      </c>
      <c r="B833" s="349" t="s">
        <v>3918</v>
      </c>
      <c r="C833" s="349" t="s">
        <v>3745</v>
      </c>
      <c r="D833" s="349" t="s">
        <v>54</v>
      </c>
      <c r="E833" s="349" t="s">
        <v>3556</v>
      </c>
      <c r="F833" s="413">
        <v>14376.0</v>
      </c>
      <c r="G833" s="403"/>
      <c r="H833" s="349" t="s">
        <v>4057</v>
      </c>
      <c r="I833" s="736" t="str">
        <f t="shared" si="20"/>
        <v>NOT PAID</v>
      </c>
      <c r="J833" s="402"/>
      <c r="K833" s="402"/>
      <c r="L833" s="402"/>
      <c r="M833" s="402"/>
      <c r="N833" s="402"/>
      <c r="O833" s="402"/>
      <c r="P833" s="402"/>
      <c r="Q833" s="402"/>
      <c r="R833" s="402"/>
      <c r="S833" s="402"/>
      <c r="T833" s="402"/>
      <c r="U833" s="402"/>
      <c r="V833" s="402"/>
      <c r="W833" s="402"/>
      <c r="X833" s="402"/>
      <c r="Y833" s="402"/>
      <c r="Z833" s="402"/>
      <c r="AA833" s="405"/>
      <c r="AB833" s="405"/>
      <c r="AC833" s="405"/>
      <c r="AD833" s="405"/>
      <c r="AE833" s="405"/>
      <c r="AF833" s="405"/>
      <c r="AG833" s="405"/>
      <c r="AH833" s="405"/>
      <c r="AI833" s="405"/>
      <c r="AJ833" s="405"/>
      <c r="AK833" s="405"/>
      <c r="AL833" s="405"/>
    </row>
    <row r="834" ht="14.25" customHeight="1">
      <c r="A834" s="497">
        <v>45533.0</v>
      </c>
      <c r="B834" s="349" t="s">
        <v>4055</v>
      </c>
      <c r="C834" s="349" t="s">
        <v>3732</v>
      </c>
      <c r="D834" s="349" t="s">
        <v>54</v>
      </c>
      <c r="E834" s="349" t="s">
        <v>3617</v>
      </c>
      <c r="F834" s="751">
        <v>6457.0</v>
      </c>
      <c r="G834" s="403"/>
      <c r="H834" s="349" t="s">
        <v>4068</v>
      </c>
      <c r="I834" s="736" t="str">
        <f t="shared" si="20"/>
        <v>NOT PAID</v>
      </c>
      <c r="J834" s="402"/>
      <c r="K834" s="402"/>
      <c r="L834" s="402"/>
      <c r="M834" s="402"/>
      <c r="N834" s="402"/>
      <c r="O834" s="402"/>
      <c r="P834" s="402"/>
      <c r="Q834" s="402"/>
      <c r="R834" s="402"/>
      <c r="S834" s="402"/>
      <c r="T834" s="402"/>
      <c r="U834" s="402"/>
      <c r="V834" s="402"/>
      <c r="W834" s="402"/>
      <c r="X834" s="402"/>
      <c r="Y834" s="402"/>
      <c r="Z834" s="402"/>
      <c r="AA834" s="405"/>
      <c r="AB834" s="405"/>
      <c r="AC834" s="405"/>
      <c r="AD834" s="405"/>
      <c r="AE834" s="405"/>
      <c r="AF834" s="405"/>
      <c r="AG834" s="405"/>
      <c r="AH834" s="405"/>
      <c r="AI834" s="405"/>
      <c r="AJ834" s="405"/>
      <c r="AK834" s="405"/>
      <c r="AL834" s="405"/>
    </row>
    <row r="835" ht="14.25" customHeight="1">
      <c r="A835" s="497">
        <v>45533.0</v>
      </c>
      <c r="B835" s="608" t="s">
        <v>3647</v>
      </c>
      <c r="C835" s="608" t="s">
        <v>3648</v>
      </c>
      <c r="D835" s="608" t="s">
        <v>54</v>
      </c>
      <c r="E835" s="349" t="s">
        <v>3617</v>
      </c>
      <c r="F835" s="794">
        <v>18050.0</v>
      </c>
      <c r="G835" s="403"/>
      <c r="H835" s="349" t="s">
        <v>4068</v>
      </c>
      <c r="I835" s="736" t="str">
        <f t="shared" si="20"/>
        <v>NOT PAID</v>
      </c>
      <c r="J835" s="402"/>
      <c r="K835" s="402"/>
      <c r="L835" s="402"/>
      <c r="M835" s="402"/>
      <c r="N835" s="402"/>
      <c r="O835" s="402"/>
      <c r="P835" s="402"/>
      <c r="Q835" s="402"/>
      <c r="R835" s="402"/>
      <c r="S835" s="402"/>
      <c r="T835" s="402"/>
      <c r="U835" s="402"/>
      <c r="V835" s="402"/>
      <c r="W835" s="402"/>
      <c r="X835" s="402"/>
      <c r="Y835" s="402"/>
      <c r="Z835" s="402"/>
      <c r="AA835" s="405"/>
      <c r="AB835" s="405"/>
      <c r="AC835" s="405"/>
      <c r="AD835" s="405"/>
      <c r="AE835" s="405"/>
      <c r="AF835" s="405"/>
      <c r="AG835" s="405"/>
      <c r="AH835" s="405"/>
      <c r="AI835" s="405"/>
      <c r="AJ835" s="405"/>
      <c r="AK835" s="405"/>
      <c r="AL835" s="405"/>
    </row>
    <row r="836" ht="14.25" customHeight="1">
      <c r="A836" s="497">
        <v>45533.0</v>
      </c>
      <c r="B836" s="349" t="s">
        <v>3934</v>
      </c>
      <c r="C836" s="349" t="s">
        <v>3701</v>
      </c>
      <c r="D836" s="349" t="s">
        <v>54</v>
      </c>
      <c r="E836" s="349" t="s">
        <v>3556</v>
      </c>
      <c r="F836" s="751">
        <v>102606.0</v>
      </c>
      <c r="G836" s="413">
        <v>115000.0</v>
      </c>
      <c r="H836" s="349" t="s">
        <v>710</v>
      </c>
      <c r="I836" s="736" t="str">
        <f t="shared" si="20"/>
        <v>FULLY PAID</v>
      </c>
      <c r="J836" s="402"/>
      <c r="K836" s="402"/>
      <c r="L836" s="402"/>
      <c r="M836" s="402"/>
      <c r="N836" s="402"/>
      <c r="O836" s="402"/>
      <c r="P836" s="402"/>
      <c r="Q836" s="402"/>
      <c r="R836" s="402"/>
      <c r="S836" s="402"/>
      <c r="T836" s="402"/>
      <c r="U836" s="402"/>
      <c r="V836" s="402"/>
      <c r="W836" s="402"/>
      <c r="X836" s="402"/>
      <c r="Y836" s="402"/>
      <c r="Z836" s="402"/>
      <c r="AA836" s="405"/>
      <c r="AB836" s="405"/>
      <c r="AC836" s="405"/>
      <c r="AD836" s="405"/>
      <c r="AE836" s="405"/>
      <c r="AF836" s="405"/>
      <c r="AG836" s="405"/>
      <c r="AH836" s="405"/>
      <c r="AI836" s="405"/>
      <c r="AJ836" s="405"/>
      <c r="AK836" s="405"/>
      <c r="AL836" s="405"/>
    </row>
    <row r="837" ht="14.25" customHeight="1">
      <c r="A837" s="497">
        <v>45533.0</v>
      </c>
      <c r="B837" s="349" t="s">
        <v>3689</v>
      </c>
      <c r="C837" s="349" t="s">
        <v>3690</v>
      </c>
      <c r="D837" s="349" t="s">
        <v>54</v>
      </c>
      <c r="E837" s="349" t="s">
        <v>3551</v>
      </c>
      <c r="F837" s="413">
        <v>62784.98</v>
      </c>
      <c r="G837" s="403"/>
      <c r="H837" s="349" t="s">
        <v>4071</v>
      </c>
      <c r="I837" s="736" t="str">
        <f t="shared" si="20"/>
        <v>NOT PAID</v>
      </c>
      <c r="J837" s="402"/>
      <c r="K837" s="402"/>
      <c r="L837" s="402"/>
      <c r="M837" s="402"/>
      <c r="N837" s="402"/>
      <c r="O837" s="402"/>
      <c r="P837" s="402"/>
      <c r="Q837" s="402"/>
      <c r="R837" s="402"/>
      <c r="S837" s="402"/>
      <c r="T837" s="402"/>
      <c r="U837" s="402"/>
      <c r="V837" s="402"/>
      <c r="W837" s="402"/>
      <c r="X837" s="402"/>
      <c r="Y837" s="402"/>
      <c r="Z837" s="402"/>
      <c r="AA837" s="405"/>
      <c r="AB837" s="405"/>
      <c r="AC837" s="405"/>
      <c r="AD837" s="405"/>
      <c r="AE837" s="405"/>
      <c r="AF837" s="405"/>
      <c r="AG837" s="405"/>
      <c r="AH837" s="405"/>
      <c r="AI837" s="405"/>
      <c r="AJ837" s="405"/>
      <c r="AK837" s="405"/>
      <c r="AL837" s="405"/>
    </row>
    <row r="838" ht="14.25" customHeight="1">
      <c r="A838" s="497">
        <v>45533.0</v>
      </c>
      <c r="B838" s="349" t="s">
        <v>3687</v>
      </c>
      <c r="C838" s="349" t="s">
        <v>3688</v>
      </c>
      <c r="D838" s="349" t="s">
        <v>54</v>
      </c>
      <c r="E838" s="349" t="s">
        <v>3617</v>
      </c>
      <c r="F838" s="413">
        <v>99612.46</v>
      </c>
      <c r="G838" s="403"/>
      <c r="H838" s="349" t="s">
        <v>4071</v>
      </c>
      <c r="I838" s="736" t="str">
        <f t="shared" si="20"/>
        <v>NOT PAID</v>
      </c>
      <c r="J838" s="402"/>
      <c r="K838" s="402"/>
      <c r="L838" s="402"/>
      <c r="M838" s="402"/>
      <c r="N838" s="402"/>
      <c r="O838" s="402"/>
      <c r="P838" s="402"/>
      <c r="Q838" s="402"/>
      <c r="R838" s="402"/>
      <c r="S838" s="402"/>
      <c r="T838" s="402"/>
      <c r="U838" s="402"/>
      <c r="V838" s="402"/>
      <c r="W838" s="402"/>
      <c r="X838" s="402"/>
      <c r="Y838" s="402"/>
      <c r="Z838" s="402"/>
      <c r="AA838" s="405"/>
      <c r="AB838" s="405"/>
      <c r="AC838" s="405"/>
      <c r="AD838" s="405"/>
      <c r="AE838" s="405"/>
      <c r="AF838" s="405"/>
      <c r="AG838" s="405"/>
      <c r="AH838" s="405"/>
      <c r="AI838" s="405"/>
      <c r="AJ838" s="405"/>
      <c r="AK838" s="405"/>
      <c r="AL838" s="405"/>
    </row>
    <row r="839" ht="14.25" customHeight="1">
      <c r="A839" s="497">
        <v>45533.0</v>
      </c>
      <c r="B839" s="349" t="s">
        <v>4072</v>
      </c>
      <c r="C839" s="349" t="s">
        <v>4073</v>
      </c>
      <c r="D839" s="349" t="s">
        <v>54</v>
      </c>
      <c r="E839" s="349" t="s">
        <v>3551</v>
      </c>
      <c r="F839" s="413">
        <v>12842.0</v>
      </c>
      <c r="G839" s="413">
        <v>20842.0</v>
      </c>
      <c r="H839" s="349" t="s">
        <v>710</v>
      </c>
      <c r="I839" s="736" t="str">
        <f t="shared" si="20"/>
        <v>FULLY PAID</v>
      </c>
      <c r="J839" s="402"/>
      <c r="K839" s="402"/>
      <c r="L839" s="402"/>
      <c r="M839" s="402"/>
      <c r="N839" s="402"/>
      <c r="O839" s="402"/>
      <c r="P839" s="402"/>
      <c r="Q839" s="402"/>
      <c r="R839" s="402"/>
      <c r="S839" s="402"/>
      <c r="T839" s="402"/>
      <c r="U839" s="402"/>
      <c r="V839" s="402"/>
      <c r="W839" s="402"/>
      <c r="X839" s="402"/>
      <c r="Y839" s="402"/>
      <c r="Z839" s="402"/>
      <c r="AA839" s="405"/>
      <c r="AB839" s="405"/>
      <c r="AC839" s="405"/>
      <c r="AD839" s="405"/>
      <c r="AE839" s="405"/>
      <c r="AF839" s="405"/>
      <c r="AG839" s="405"/>
      <c r="AH839" s="405"/>
      <c r="AI839" s="405"/>
      <c r="AJ839" s="405"/>
      <c r="AK839" s="405"/>
      <c r="AL839" s="405"/>
    </row>
    <row r="840" ht="14.25" customHeight="1">
      <c r="A840" s="497">
        <v>45533.0</v>
      </c>
      <c r="B840" s="349" t="s">
        <v>3731</v>
      </c>
      <c r="C840" s="349" t="s">
        <v>3732</v>
      </c>
      <c r="D840" s="349" t="s">
        <v>346</v>
      </c>
      <c r="E840" s="349" t="s">
        <v>3617</v>
      </c>
      <c r="F840" s="413">
        <v>9479.28</v>
      </c>
      <c r="G840" s="403"/>
      <c r="H840" s="349" t="s">
        <v>4068</v>
      </c>
      <c r="I840" s="736" t="str">
        <f t="shared" si="20"/>
        <v>NOT PAID</v>
      </c>
      <c r="J840" s="402"/>
      <c r="K840" s="402"/>
      <c r="L840" s="402"/>
      <c r="M840" s="402"/>
      <c r="N840" s="402"/>
      <c r="O840" s="402"/>
      <c r="P840" s="402"/>
      <c r="Q840" s="402"/>
      <c r="R840" s="402"/>
      <c r="S840" s="402"/>
      <c r="T840" s="402"/>
      <c r="U840" s="402"/>
      <c r="V840" s="402"/>
      <c r="W840" s="402"/>
      <c r="X840" s="402"/>
      <c r="Y840" s="402"/>
      <c r="Z840" s="402"/>
      <c r="AA840" s="405"/>
      <c r="AB840" s="405"/>
      <c r="AC840" s="405"/>
      <c r="AD840" s="405"/>
      <c r="AE840" s="405"/>
      <c r="AF840" s="405"/>
      <c r="AG840" s="405"/>
      <c r="AH840" s="405"/>
      <c r="AI840" s="405"/>
      <c r="AJ840" s="405"/>
      <c r="AK840" s="405"/>
      <c r="AL840" s="405"/>
    </row>
    <row r="841" ht="14.25" customHeight="1">
      <c r="A841" s="497">
        <v>45533.0</v>
      </c>
      <c r="B841" s="349" t="s">
        <v>4074</v>
      </c>
      <c r="C841" s="349" t="s">
        <v>4075</v>
      </c>
      <c r="D841" s="349" t="s">
        <v>54</v>
      </c>
      <c r="E841" s="349" t="s">
        <v>3551</v>
      </c>
      <c r="F841" s="413">
        <v>8220.26</v>
      </c>
      <c r="G841" s="413">
        <v>24700.0</v>
      </c>
      <c r="H841" s="349" t="s">
        <v>710</v>
      </c>
      <c r="I841" s="736" t="str">
        <f t="shared" si="20"/>
        <v>FULLY PAID</v>
      </c>
      <c r="J841" s="402"/>
      <c r="K841" s="402"/>
      <c r="L841" s="402"/>
      <c r="M841" s="402"/>
      <c r="N841" s="402"/>
      <c r="O841" s="402"/>
      <c r="P841" s="402"/>
      <c r="Q841" s="402"/>
      <c r="R841" s="402"/>
      <c r="S841" s="402"/>
      <c r="T841" s="402"/>
      <c r="U841" s="402"/>
      <c r="V841" s="402"/>
      <c r="W841" s="402"/>
      <c r="X841" s="402"/>
      <c r="Y841" s="402"/>
      <c r="Z841" s="402"/>
      <c r="AA841" s="405"/>
      <c r="AB841" s="405"/>
      <c r="AC841" s="405"/>
      <c r="AD841" s="405"/>
      <c r="AE841" s="405"/>
      <c r="AF841" s="405"/>
      <c r="AG841" s="405"/>
      <c r="AH841" s="405"/>
      <c r="AI841" s="405"/>
      <c r="AJ841" s="405"/>
      <c r="AK841" s="405"/>
      <c r="AL841" s="405"/>
    </row>
    <row r="842" ht="14.25" customHeight="1">
      <c r="A842" s="497">
        <v>45533.0</v>
      </c>
      <c r="B842" s="349" t="s">
        <v>3693</v>
      </c>
      <c r="C842" s="349" t="s">
        <v>3694</v>
      </c>
      <c r="D842" s="349" t="s">
        <v>54</v>
      </c>
      <c r="E842" s="349" t="s">
        <v>3617</v>
      </c>
      <c r="F842" s="413">
        <v>39267.01</v>
      </c>
      <c r="G842" s="403"/>
      <c r="H842" s="349" t="s">
        <v>4071</v>
      </c>
      <c r="I842" s="736" t="str">
        <f t="shared" si="20"/>
        <v>NOT PAID</v>
      </c>
      <c r="J842" s="402"/>
      <c r="K842" s="402"/>
      <c r="L842" s="402"/>
      <c r="M842" s="402"/>
      <c r="N842" s="402"/>
      <c r="O842" s="402"/>
      <c r="P842" s="402"/>
      <c r="Q842" s="402"/>
      <c r="R842" s="402"/>
      <c r="S842" s="402"/>
      <c r="T842" s="402"/>
      <c r="U842" s="402"/>
      <c r="V842" s="402"/>
      <c r="W842" s="402"/>
      <c r="X842" s="402"/>
      <c r="Y842" s="402"/>
      <c r="Z842" s="402"/>
      <c r="AA842" s="405"/>
      <c r="AB842" s="405"/>
      <c r="AC842" s="405"/>
      <c r="AD842" s="405"/>
      <c r="AE842" s="405"/>
      <c r="AF842" s="405"/>
      <c r="AG842" s="405"/>
      <c r="AH842" s="405"/>
      <c r="AI842" s="405"/>
      <c r="AJ842" s="405"/>
      <c r="AK842" s="405"/>
      <c r="AL842" s="405"/>
    </row>
    <row r="843" ht="14.25" customHeight="1">
      <c r="A843" s="497">
        <v>45533.0</v>
      </c>
      <c r="B843" s="349" t="s">
        <v>3695</v>
      </c>
      <c r="C843" s="349" t="s">
        <v>3733</v>
      </c>
      <c r="D843" s="349" t="s">
        <v>263</v>
      </c>
      <c r="E843" s="349" t="s">
        <v>3551</v>
      </c>
      <c r="F843" s="413">
        <v>33618.64</v>
      </c>
      <c r="G843" s="403"/>
      <c r="H843" s="349" t="s">
        <v>4071</v>
      </c>
      <c r="I843" s="736" t="str">
        <f t="shared" si="20"/>
        <v>NOT PAID</v>
      </c>
      <c r="J843" s="402"/>
      <c r="K843" s="402"/>
      <c r="L843" s="402"/>
      <c r="M843" s="402"/>
      <c r="N843" s="402"/>
      <c r="O843" s="402"/>
      <c r="P843" s="402"/>
      <c r="Q843" s="402"/>
      <c r="R843" s="402"/>
      <c r="S843" s="402"/>
      <c r="T843" s="402"/>
      <c r="U843" s="402"/>
      <c r="V843" s="402"/>
      <c r="W843" s="402"/>
      <c r="X843" s="402"/>
      <c r="Y843" s="402"/>
      <c r="Z843" s="402"/>
      <c r="AA843" s="405"/>
      <c r="AB843" s="405"/>
      <c r="AC843" s="405"/>
      <c r="AD843" s="405"/>
      <c r="AE843" s="405"/>
      <c r="AF843" s="405"/>
      <c r="AG843" s="405"/>
      <c r="AH843" s="405"/>
      <c r="AI843" s="405"/>
      <c r="AJ843" s="405"/>
      <c r="AK843" s="405"/>
      <c r="AL843" s="405"/>
    </row>
    <row r="844" ht="14.25" customHeight="1">
      <c r="A844" s="497">
        <v>45533.0</v>
      </c>
      <c r="B844" s="349" t="s">
        <v>4076</v>
      </c>
      <c r="C844" s="349" t="s">
        <v>3733</v>
      </c>
      <c r="D844" s="349" t="s">
        <v>346</v>
      </c>
      <c r="E844" s="349" t="s">
        <v>3551</v>
      </c>
      <c r="F844" s="413">
        <v>7695.36</v>
      </c>
      <c r="G844" s="403"/>
      <c r="H844" s="349" t="s">
        <v>4071</v>
      </c>
      <c r="I844" s="736" t="str">
        <f t="shared" si="20"/>
        <v>NOT PAID</v>
      </c>
      <c r="J844" s="402"/>
      <c r="K844" s="402"/>
      <c r="L844" s="402"/>
      <c r="M844" s="402"/>
      <c r="N844" s="402"/>
      <c r="O844" s="402"/>
      <c r="P844" s="402"/>
      <c r="Q844" s="402"/>
      <c r="R844" s="402"/>
      <c r="S844" s="402"/>
      <c r="T844" s="402"/>
      <c r="U844" s="402"/>
      <c r="V844" s="402"/>
      <c r="W844" s="402"/>
      <c r="X844" s="402"/>
      <c r="Y844" s="402"/>
      <c r="Z844" s="402"/>
      <c r="AA844" s="405"/>
      <c r="AB844" s="405"/>
      <c r="AC844" s="405"/>
      <c r="AD844" s="405"/>
      <c r="AE844" s="405"/>
      <c r="AF844" s="405"/>
      <c r="AG844" s="405"/>
      <c r="AH844" s="405"/>
      <c r="AI844" s="405"/>
      <c r="AJ844" s="405"/>
      <c r="AK844" s="405"/>
      <c r="AL844" s="405"/>
    </row>
    <row r="845" ht="14.25" customHeight="1">
      <c r="A845" s="497">
        <v>45533.0</v>
      </c>
      <c r="B845" s="458" t="s">
        <v>3663</v>
      </c>
      <c r="C845" s="398" t="s">
        <v>3705</v>
      </c>
      <c r="D845" s="395" t="s">
        <v>54</v>
      </c>
      <c r="E845" s="398" t="s">
        <v>3579</v>
      </c>
      <c r="F845" s="795">
        <v>164847.0</v>
      </c>
      <c r="G845" s="413">
        <v>39000.0</v>
      </c>
      <c r="H845" s="398" t="s">
        <v>4062</v>
      </c>
      <c r="I845" s="736" t="str">
        <f t="shared" si="20"/>
        <v>PARTIALLY PAID</v>
      </c>
      <c r="J845" s="402"/>
      <c r="K845" s="402"/>
      <c r="L845" s="402"/>
      <c r="M845" s="402"/>
      <c r="N845" s="402"/>
      <c r="O845" s="402"/>
      <c r="P845" s="402"/>
      <c r="Q845" s="402"/>
      <c r="R845" s="402"/>
      <c r="S845" s="402"/>
      <c r="T845" s="402"/>
      <c r="U845" s="402"/>
      <c r="V845" s="402"/>
      <c r="W845" s="402"/>
      <c r="X845" s="402"/>
      <c r="Y845" s="402"/>
      <c r="Z845" s="402"/>
      <c r="AA845" s="405"/>
      <c r="AB845" s="405"/>
      <c r="AC845" s="405"/>
      <c r="AD845" s="405"/>
      <c r="AE845" s="405"/>
      <c r="AF845" s="405"/>
      <c r="AG845" s="405"/>
      <c r="AH845" s="405"/>
      <c r="AI845" s="405"/>
      <c r="AJ845" s="405"/>
      <c r="AK845" s="405"/>
      <c r="AL845" s="405"/>
    </row>
    <row r="846" ht="14.25" customHeight="1">
      <c r="A846" s="497">
        <v>45533.0</v>
      </c>
      <c r="B846" s="458" t="s">
        <v>3566</v>
      </c>
      <c r="C846" s="398" t="s">
        <v>3995</v>
      </c>
      <c r="D846" s="395" t="s">
        <v>54</v>
      </c>
      <c r="E846" s="398" t="s">
        <v>3579</v>
      </c>
      <c r="F846" s="795">
        <v>40000.0</v>
      </c>
      <c r="G846" s="403"/>
      <c r="H846" s="349" t="s">
        <v>4057</v>
      </c>
      <c r="I846" s="736" t="str">
        <f t="shared" si="20"/>
        <v>NOT PAID</v>
      </c>
      <c r="J846" s="402"/>
      <c r="K846" s="402"/>
      <c r="L846" s="402"/>
      <c r="M846" s="402"/>
      <c r="N846" s="402"/>
      <c r="O846" s="402"/>
      <c r="P846" s="402"/>
      <c r="Q846" s="402"/>
      <c r="R846" s="402"/>
      <c r="S846" s="402"/>
      <c r="T846" s="402"/>
      <c r="U846" s="402"/>
      <c r="V846" s="402"/>
      <c r="W846" s="402"/>
      <c r="X846" s="402"/>
      <c r="Y846" s="402"/>
      <c r="Z846" s="402"/>
      <c r="AA846" s="405"/>
      <c r="AB846" s="405"/>
      <c r="AC846" s="405"/>
      <c r="AD846" s="405"/>
      <c r="AE846" s="405"/>
      <c r="AF846" s="405"/>
      <c r="AG846" s="405"/>
      <c r="AH846" s="405"/>
      <c r="AI846" s="405"/>
      <c r="AJ846" s="405"/>
      <c r="AK846" s="405"/>
      <c r="AL846" s="405"/>
    </row>
    <row r="847" ht="14.25" customHeight="1">
      <c r="A847" s="497">
        <v>45533.0</v>
      </c>
      <c r="B847" s="349" t="s">
        <v>3573</v>
      </c>
      <c r="C847" s="349" t="s">
        <v>4077</v>
      </c>
      <c r="D847" s="349" t="s">
        <v>54</v>
      </c>
      <c r="E847" s="349" t="s">
        <v>3579</v>
      </c>
      <c r="F847" s="413">
        <v>250000.0</v>
      </c>
      <c r="G847" s="403"/>
      <c r="H847" s="349" t="s">
        <v>4019</v>
      </c>
      <c r="I847" s="736" t="str">
        <f t="shared" si="20"/>
        <v>NOT PAID</v>
      </c>
      <c r="J847" s="402"/>
      <c r="K847" s="402"/>
      <c r="L847" s="402"/>
      <c r="M847" s="402"/>
      <c r="N847" s="402"/>
      <c r="O847" s="402"/>
      <c r="P847" s="402"/>
      <c r="Q847" s="402"/>
      <c r="R847" s="402"/>
      <c r="S847" s="402"/>
      <c r="T847" s="402"/>
      <c r="U847" s="402"/>
      <c r="V847" s="402"/>
      <c r="W847" s="402"/>
      <c r="X847" s="402"/>
      <c r="Y847" s="402"/>
      <c r="Z847" s="402"/>
      <c r="AA847" s="405"/>
      <c r="AB847" s="405"/>
      <c r="AC847" s="405"/>
      <c r="AD847" s="405"/>
      <c r="AE847" s="405"/>
      <c r="AF847" s="405"/>
      <c r="AG847" s="405"/>
      <c r="AH847" s="405"/>
      <c r="AI847" s="405"/>
      <c r="AJ847" s="405"/>
      <c r="AK847" s="405"/>
      <c r="AL847" s="405"/>
    </row>
    <row r="848" ht="14.25" customHeight="1">
      <c r="A848" s="497">
        <v>45533.0</v>
      </c>
      <c r="B848" s="349" t="s">
        <v>3718</v>
      </c>
      <c r="C848" s="349" t="s">
        <v>4078</v>
      </c>
      <c r="D848" s="349" t="s">
        <v>54</v>
      </c>
      <c r="E848" s="349" t="s">
        <v>3579</v>
      </c>
      <c r="F848" s="413">
        <v>250000.0</v>
      </c>
      <c r="G848" s="403"/>
      <c r="H848" s="349" t="s">
        <v>4057</v>
      </c>
      <c r="I848" s="736" t="str">
        <f t="shared" si="20"/>
        <v>NOT PAID</v>
      </c>
      <c r="J848" s="402"/>
      <c r="K848" s="402"/>
      <c r="L848" s="402"/>
      <c r="M848" s="402"/>
      <c r="N848" s="402"/>
      <c r="O848" s="402"/>
      <c r="P848" s="402"/>
      <c r="Q848" s="402"/>
      <c r="R848" s="402"/>
      <c r="S848" s="402"/>
      <c r="T848" s="402"/>
      <c r="U848" s="402"/>
      <c r="V848" s="402"/>
      <c r="W848" s="402"/>
      <c r="X848" s="402"/>
      <c r="Y848" s="402"/>
      <c r="Z848" s="402"/>
      <c r="AA848" s="405"/>
      <c r="AB848" s="405"/>
      <c r="AC848" s="405"/>
      <c r="AD848" s="405"/>
      <c r="AE848" s="405"/>
      <c r="AF848" s="405"/>
      <c r="AG848" s="405"/>
      <c r="AH848" s="405"/>
      <c r="AI848" s="405"/>
      <c r="AJ848" s="405"/>
      <c r="AK848" s="405"/>
      <c r="AL848" s="405"/>
    </row>
    <row r="849" ht="14.25" customHeight="1">
      <c r="A849" s="497"/>
      <c r="B849" s="349"/>
      <c r="C849" s="349"/>
      <c r="D849" s="349"/>
      <c r="E849" s="349"/>
      <c r="F849" s="413"/>
      <c r="G849" s="403"/>
      <c r="H849" s="402"/>
      <c r="I849" s="736" t="str">
        <f t="shared" si="20"/>
        <v>FULLY PAID</v>
      </c>
      <c r="J849" s="402"/>
      <c r="K849" s="402"/>
      <c r="L849" s="402"/>
      <c r="M849" s="402"/>
      <c r="N849" s="402"/>
      <c r="O849" s="402"/>
      <c r="P849" s="402"/>
      <c r="Q849" s="402"/>
      <c r="R849" s="402"/>
      <c r="S849" s="402"/>
      <c r="T849" s="402"/>
      <c r="U849" s="402"/>
      <c r="V849" s="402"/>
      <c r="W849" s="402"/>
      <c r="X849" s="402"/>
      <c r="Y849" s="402"/>
      <c r="Z849" s="402"/>
      <c r="AA849" s="405"/>
      <c r="AB849" s="405"/>
      <c r="AC849" s="405"/>
      <c r="AD849" s="405"/>
      <c r="AE849" s="405"/>
      <c r="AF849" s="405"/>
      <c r="AG849" s="405"/>
      <c r="AH849" s="405"/>
      <c r="AI849" s="405"/>
      <c r="AJ849" s="405"/>
      <c r="AK849" s="405"/>
      <c r="AL849" s="405"/>
    </row>
    <row r="850" ht="14.25" customHeight="1">
      <c r="A850" s="497"/>
      <c r="B850" s="349"/>
      <c r="C850" s="349"/>
      <c r="D850" s="349"/>
      <c r="E850" s="349"/>
      <c r="F850" s="413"/>
      <c r="G850" s="403"/>
      <c r="H850" s="402"/>
      <c r="I850" s="736" t="str">
        <f t="shared" si="20"/>
        <v>FULLY PAID</v>
      </c>
      <c r="J850" s="402"/>
      <c r="K850" s="402"/>
      <c r="L850" s="402"/>
      <c r="M850" s="402"/>
      <c r="N850" s="402"/>
      <c r="O850" s="402"/>
      <c r="P850" s="402"/>
      <c r="Q850" s="402"/>
      <c r="R850" s="402"/>
      <c r="S850" s="402"/>
      <c r="T850" s="402"/>
      <c r="U850" s="402"/>
      <c r="V850" s="402"/>
      <c r="W850" s="402"/>
      <c r="X850" s="402"/>
      <c r="Y850" s="402"/>
      <c r="Z850" s="402"/>
      <c r="AA850" s="405"/>
      <c r="AB850" s="405"/>
      <c r="AC850" s="405"/>
      <c r="AD850" s="405"/>
      <c r="AE850" s="405"/>
      <c r="AF850" s="405"/>
      <c r="AG850" s="405"/>
      <c r="AH850" s="405"/>
      <c r="AI850" s="405"/>
      <c r="AJ850" s="405"/>
      <c r="AK850" s="405"/>
      <c r="AL850" s="405"/>
    </row>
    <row r="851" ht="14.25" customHeight="1">
      <c r="A851" s="402"/>
      <c r="B851" s="402"/>
      <c r="C851" s="402"/>
      <c r="D851" s="402"/>
      <c r="E851" s="402"/>
      <c r="F851" s="402"/>
      <c r="G851" s="403"/>
      <c r="H851" s="402"/>
      <c r="I851" s="736" t="str">
        <f t="shared" si="20"/>
        <v>FULLY PAID</v>
      </c>
      <c r="J851" s="402"/>
      <c r="K851" s="402"/>
      <c r="L851" s="402"/>
      <c r="M851" s="402"/>
      <c r="N851" s="402"/>
      <c r="O851" s="402"/>
      <c r="P851" s="402"/>
      <c r="Q851" s="402"/>
      <c r="R851" s="402"/>
      <c r="S851" s="402"/>
      <c r="T851" s="402"/>
      <c r="U851" s="402"/>
      <c r="V851" s="402"/>
      <c r="W851" s="402"/>
      <c r="X851" s="402"/>
      <c r="Y851" s="402"/>
      <c r="Z851" s="402"/>
      <c r="AA851" s="405"/>
      <c r="AB851" s="405"/>
      <c r="AC851" s="405"/>
      <c r="AD851" s="405"/>
      <c r="AE851" s="405"/>
      <c r="AF851" s="405"/>
      <c r="AG851" s="405"/>
      <c r="AH851" s="405"/>
      <c r="AI851" s="405"/>
      <c r="AJ851" s="405"/>
      <c r="AK851" s="405"/>
      <c r="AL851" s="405"/>
    </row>
    <row r="852" ht="14.25" customHeight="1">
      <c r="A852" s="584" t="s">
        <v>2130</v>
      </c>
      <c r="B852" s="584" t="s">
        <v>39</v>
      </c>
      <c r="C852" s="584" t="s">
        <v>48</v>
      </c>
      <c r="D852" s="584" t="s">
        <v>49</v>
      </c>
      <c r="E852" s="584" t="s">
        <v>50</v>
      </c>
      <c r="F852" s="584" t="s">
        <v>2</v>
      </c>
      <c r="G852" s="586" t="s">
        <v>44</v>
      </c>
      <c r="H852" s="424" t="s">
        <v>45</v>
      </c>
      <c r="I852" s="736" t="str">
        <f t="shared" si="20"/>
        <v>FULLY PAID</v>
      </c>
      <c r="J852" s="402"/>
      <c r="K852" s="402"/>
      <c r="L852" s="402"/>
      <c r="M852" s="402"/>
      <c r="N852" s="402"/>
      <c r="O852" s="402"/>
      <c r="P852" s="402"/>
      <c r="Q852" s="402"/>
      <c r="R852" s="402"/>
      <c r="S852" s="402"/>
      <c r="T852" s="402"/>
      <c r="U852" s="402"/>
      <c r="V852" s="402"/>
      <c r="W852" s="402"/>
      <c r="X852" s="402"/>
      <c r="Y852" s="402"/>
      <c r="Z852" s="402"/>
      <c r="AA852" s="405"/>
      <c r="AB852" s="405"/>
      <c r="AC852" s="405"/>
      <c r="AD852" s="405"/>
      <c r="AE852" s="405"/>
      <c r="AF852" s="405"/>
      <c r="AG852" s="405"/>
      <c r="AH852" s="405"/>
      <c r="AI852" s="405"/>
      <c r="AJ852" s="405"/>
      <c r="AK852" s="405"/>
      <c r="AL852" s="405"/>
    </row>
    <row r="853" ht="14.25" customHeight="1">
      <c r="A853" s="497">
        <v>45534.0</v>
      </c>
      <c r="B853" s="349" t="s">
        <v>3953</v>
      </c>
      <c r="C853" s="349" t="s">
        <v>4079</v>
      </c>
      <c r="D853" s="349" t="s">
        <v>59</v>
      </c>
      <c r="E853" s="349" t="s">
        <v>3551</v>
      </c>
      <c r="F853" s="413">
        <v>990000.0</v>
      </c>
      <c r="G853" s="413">
        <v>1668184.0</v>
      </c>
      <c r="H853" s="349" t="s">
        <v>4080</v>
      </c>
      <c r="I853" s="736" t="str">
        <f t="shared" si="20"/>
        <v>FULLY PAID</v>
      </c>
      <c r="J853" s="402"/>
      <c r="K853" s="402"/>
      <c r="L853" s="402"/>
      <c r="M853" s="402"/>
      <c r="N853" s="402"/>
      <c r="O853" s="402"/>
      <c r="P853" s="402"/>
      <c r="Q853" s="402"/>
      <c r="R853" s="402"/>
      <c r="S853" s="402"/>
      <c r="T853" s="402"/>
      <c r="U853" s="402"/>
      <c r="V853" s="402"/>
      <c r="W853" s="402"/>
      <c r="X853" s="402"/>
      <c r="Y853" s="402"/>
      <c r="Z853" s="402"/>
      <c r="AA853" s="405"/>
      <c r="AB853" s="405"/>
      <c r="AC853" s="405"/>
      <c r="AD853" s="405"/>
      <c r="AE853" s="405"/>
      <c r="AF853" s="405"/>
      <c r="AG853" s="405"/>
      <c r="AH853" s="405"/>
      <c r="AI853" s="405"/>
      <c r="AJ853" s="405"/>
      <c r="AK853" s="405"/>
      <c r="AL853" s="405"/>
    </row>
    <row r="854" ht="14.25" customHeight="1">
      <c r="A854" s="497">
        <v>45534.0</v>
      </c>
      <c r="B854" s="349" t="s">
        <v>3710</v>
      </c>
      <c r="C854" s="349" t="s">
        <v>3711</v>
      </c>
      <c r="D854" s="349" t="s">
        <v>54</v>
      </c>
      <c r="E854" s="349" t="s">
        <v>3556</v>
      </c>
      <c r="F854" s="413">
        <v>37617.69</v>
      </c>
      <c r="G854" s="403"/>
      <c r="H854" s="349" t="s">
        <v>4081</v>
      </c>
      <c r="I854" s="736" t="str">
        <f t="shared" si="20"/>
        <v>NOT PAID</v>
      </c>
      <c r="J854" s="402"/>
      <c r="K854" s="402"/>
      <c r="L854" s="402"/>
      <c r="M854" s="402"/>
      <c r="N854" s="402"/>
      <c r="O854" s="402"/>
      <c r="P854" s="402"/>
      <c r="Q854" s="402"/>
      <c r="R854" s="402"/>
      <c r="S854" s="402"/>
      <c r="T854" s="402"/>
      <c r="U854" s="402"/>
      <c r="V854" s="402"/>
      <c r="W854" s="402"/>
      <c r="X854" s="402"/>
      <c r="Y854" s="402"/>
      <c r="Z854" s="402"/>
      <c r="AA854" s="405"/>
      <c r="AB854" s="405"/>
      <c r="AC854" s="405"/>
      <c r="AD854" s="405"/>
      <c r="AE854" s="405"/>
      <c r="AF854" s="405"/>
      <c r="AG854" s="405"/>
      <c r="AH854" s="405"/>
      <c r="AI854" s="405"/>
      <c r="AJ854" s="405"/>
      <c r="AK854" s="405"/>
      <c r="AL854" s="405"/>
    </row>
    <row r="855" ht="14.25" customHeight="1">
      <c r="A855" s="497">
        <v>45534.0</v>
      </c>
      <c r="B855" s="349" t="s">
        <v>4055</v>
      </c>
      <c r="C855" s="349" t="s">
        <v>3732</v>
      </c>
      <c r="D855" s="349" t="s">
        <v>54</v>
      </c>
      <c r="E855" s="349" t="s">
        <v>3617</v>
      </c>
      <c r="F855" s="413">
        <v>18731.84</v>
      </c>
      <c r="G855" s="403"/>
      <c r="H855" s="349" t="s">
        <v>4081</v>
      </c>
      <c r="I855" s="736" t="str">
        <f t="shared" si="20"/>
        <v>NOT PAID</v>
      </c>
      <c r="J855" s="402"/>
      <c r="K855" s="402"/>
      <c r="L855" s="402"/>
      <c r="M855" s="402"/>
      <c r="N855" s="402"/>
      <c r="O855" s="402"/>
      <c r="P855" s="402"/>
      <c r="Q855" s="402"/>
      <c r="R855" s="402"/>
      <c r="S855" s="402"/>
      <c r="T855" s="402"/>
      <c r="U855" s="402"/>
      <c r="V855" s="402"/>
      <c r="W855" s="402"/>
      <c r="X855" s="402"/>
      <c r="Y855" s="402"/>
      <c r="Z855" s="402"/>
      <c r="AA855" s="405"/>
      <c r="AB855" s="405"/>
      <c r="AC855" s="405"/>
      <c r="AD855" s="405"/>
      <c r="AE855" s="405"/>
      <c r="AF855" s="405"/>
      <c r="AG855" s="405"/>
      <c r="AH855" s="405"/>
      <c r="AI855" s="405"/>
      <c r="AJ855" s="405"/>
      <c r="AK855" s="405"/>
      <c r="AL855" s="405"/>
    </row>
    <row r="856" ht="14.25" customHeight="1">
      <c r="A856" s="497">
        <v>45534.0</v>
      </c>
      <c r="B856" s="349" t="s">
        <v>3687</v>
      </c>
      <c r="C856" s="349" t="s">
        <v>3688</v>
      </c>
      <c r="D856" s="349" t="s">
        <v>54</v>
      </c>
      <c r="E856" s="349" t="s">
        <v>3617</v>
      </c>
      <c r="F856" s="413">
        <v>99612.46</v>
      </c>
      <c r="G856" s="403"/>
      <c r="H856" s="349" t="s">
        <v>4081</v>
      </c>
      <c r="I856" s="736" t="str">
        <f t="shared" si="20"/>
        <v>NOT PAID</v>
      </c>
      <c r="J856" s="402"/>
      <c r="K856" s="402"/>
      <c r="L856" s="402"/>
      <c r="M856" s="402"/>
      <c r="N856" s="402"/>
      <c r="O856" s="402"/>
      <c r="P856" s="402"/>
      <c r="Q856" s="402"/>
      <c r="R856" s="402"/>
      <c r="S856" s="402"/>
      <c r="T856" s="402"/>
      <c r="U856" s="402"/>
      <c r="V856" s="402"/>
      <c r="W856" s="402"/>
      <c r="X856" s="402"/>
      <c r="Y856" s="402"/>
      <c r="Z856" s="402"/>
      <c r="AA856" s="405"/>
      <c r="AB856" s="405"/>
      <c r="AC856" s="405"/>
      <c r="AD856" s="405"/>
      <c r="AE856" s="405"/>
      <c r="AF856" s="405"/>
      <c r="AG856" s="405"/>
      <c r="AH856" s="405"/>
      <c r="AI856" s="405"/>
      <c r="AJ856" s="405"/>
      <c r="AK856" s="405"/>
      <c r="AL856" s="405"/>
    </row>
    <row r="857" ht="14.25" customHeight="1">
      <c r="A857" s="497">
        <v>45534.0</v>
      </c>
      <c r="B857" s="349" t="s">
        <v>3830</v>
      </c>
      <c r="C857" s="349" t="s">
        <v>3829</v>
      </c>
      <c r="D857" s="349" t="s">
        <v>346</v>
      </c>
      <c r="E857" s="349" t="s">
        <v>3579</v>
      </c>
      <c r="F857" s="413">
        <v>5159.9</v>
      </c>
      <c r="G857" s="403"/>
      <c r="H857" s="349" t="s">
        <v>4082</v>
      </c>
      <c r="I857" s="736" t="str">
        <f t="shared" si="20"/>
        <v>NOT PAID</v>
      </c>
      <c r="J857" s="402"/>
      <c r="K857" s="402"/>
      <c r="L857" s="402"/>
      <c r="M857" s="402"/>
      <c r="N857" s="402"/>
      <c r="O857" s="402"/>
      <c r="P857" s="402"/>
      <c r="Q857" s="402"/>
      <c r="R857" s="402"/>
      <c r="S857" s="402"/>
      <c r="T857" s="402"/>
      <c r="U857" s="402"/>
      <c r="V857" s="402"/>
      <c r="W857" s="402"/>
      <c r="X857" s="402"/>
      <c r="Y857" s="402"/>
      <c r="Z857" s="402"/>
      <c r="AA857" s="405"/>
      <c r="AB857" s="405"/>
      <c r="AC857" s="405"/>
      <c r="AD857" s="405"/>
      <c r="AE857" s="405"/>
      <c r="AF857" s="405"/>
      <c r="AG857" s="405"/>
      <c r="AH857" s="405"/>
      <c r="AI857" s="405"/>
      <c r="AJ857" s="405"/>
      <c r="AK857" s="405"/>
      <c r="AL857" s="405"/>
    </row>
    <row r="858" ht="14.25" customHeight="1">
      <c r="A858" s="497">
        <v>45534.0</v>
      </c>
      <c r="B858" s="349" t="s">
        <v>3712</v>
      </c>
      <c r="C858" s="349" t="s">
        <v>3727</v>
      </c>
      <c r="D858" s="349" t="s">
        <v>54</v>
      </c>
      <c r="E858" s="349" t="s">
        <v>3617</v>
      </c>
      <c r="F858" s="413">
        <v>14410.78</v>
      </c>
      <c r="G858" s="403"/>
      <c r="H858" s="349" t="s">
        <v>4081</v>
      </c>
      <c r="I858" s="736" t="str">
        <f t="shared" si="20"/>
        <v>NOT PAID</v>
      </c>
      <c r="J858" s="402"/>
      <c r="K858" s="402"/>
      <c r="L858" s="402"/>
      <c r="M858" s="402"/>
      <c r="N858" s="402"/>
      <c r="O858" s="402"/>
      <c r="P858" s="402"/>
      <c r="Q858" s="402"/>
      <c r="R858" s="402"/>
      <c r="S858" s="402"/>
      <c r="T858" s="402"/>
      <c r="U858" s="402"/>
      <c r="V858" s="402"/>
      <c r="W858" s="402"/>
      <c r="X858" s="402"/>
      <c r="Y858" s="402"/>
      <c r="Z858" s="402"/>
      <c r="AA858" s="405"/>
      <c r="AB858" s="405"/>
      <c r="AC858" s="405"/>
      <c r="AD858" s="405"/>
      <c r="AE858" s="405"/>
      <c r="AF858" s="405"/>
      <c r="AG858" s="405"/>
      <c r="AH858" s="405"/>
      <c r="AI858" s="405"/>
      <c r="AJ858" s="405"/>
      <c r="AK858" s="405"/>
      <c r="AL858" s="405"/>
    </row>
    <row r="859" ht="14.25" customHeight="1">
      <c r="A859" s="497">
        <v>45534.0</v>
      </c>
      <c r="B859" s="349" t="s">
        <v>3680</v>
      </c>
      <c r="C859" s="349" t="s">
        <v>3681</v>
      </c>
      <c r="D859" s="349" t="s">
        <v>54</v>
      </c>
      <c r="E859" s="349" t="s">
        <v>3556</v>
      </c>
      <c r="F859" s="413">
        <v>52200.0</v>
      </c>
      <c r="G859" s="413">
        <v>52200.0</v>
      </c>
      <c r="H859" s="349" t="s">
        <v>710</v>
      </c>
      <c r="I859" s="736" t="str">
        <f t="shared" si="20"/>
        <v>FULLY PAID</v>
      </c>
      <c r="J859" s="402"/>
      <c r="K859" s="402"/>
      <c r="L859" s="402"/>
      <c r="M859" s="402"/>
      <c r="N859" s="402"/>
      <c r="O859" s="402"/>
      <c r="P859" s="402"/>
      <c r="Q859" s="402"/>
      <c r="R859" s="402"/>
      <c r="S859" s="402"/>
      <c r="T859" s="402"/>
      <c r="U859" s="402"/>
      <c r="V859" s="402"/>
      <c r="W859" s="402"/>
      <c r="X859" s="402"/>
      <c r="Y859" s="402"/>
      <c r="Z859" s="402"/>
      <c r="AA859" s="405"/>
      <c r="AB859" s="405"/>
      <c r="AC859" s="405"/>
      <c r="AD859" s="405"/>
      <c r="AE859" s="405"/>
      <c r="AF859" s="405"/>
      <c r="AG859" s="405"/>
      <c r="AH859" s="405"/>
      <c r="AI859" s="405"/>
      <c r="AJ859" s="405"/>
      <c r="AK859" s="405"/>
      <c r="AL859" s="405"/>
    </row>
    <row r="860" ht="14.25" customHeight="1">
      <c r="A860" s="497">
        <v>45534.0</v>
      </c>
      <c r="B860" s="349" t="s">
        <v>3573</v>
      </c>
      <c r="C860" s="349" t="s">
        <v>3574</v>
      </c>
      <c r="D860" s="349" t="s">
        <v>54</v>
      </c>
      <c r="E860" s="349" t="s">
        <v>3551</v>
      </c>
      <c r="F860" s="686">
        <v>226678.0</v>
      </c>
      <c r="G860" s="403"/>
      <c r="H860" s="349" t="s">
        <v>4019</v>
      </c>
      <c r="I860" s="736" t="str">
        <f t="shared" si="20"/>
        <v>NOT PAID</v>
      </c>
      <c r="J860" s="402"/>
      <c r="K860" s="402"/>
      <c r="L860" s="402"/>
      <c r="M860" s="402"/>
      <c r="N860" s="402"/>
      <c r="O860" s="402"/>
      <c r="P860" s="402"/>
      <c r="Q860" s="402"/>
      <c r="R860" s="402"/>
      <c r="S860" s="402"/>
      <c r="T860" s="402"/>
      <c r="U860" s="402"/>
      <c r="V860" s="402"/>
      <c r="W860" s="402"/>
      <c r="X860" s="402"/>
      <c r="Y860" s="402"/>
      <c r="Z860" s="402"/>
      <c r="AA860" s="405"/>
      <c r="AB860" s="405"/>
      <c r="AC860" s="405"/>
      <c r="AD860" s="405"/>
      <c r="AE860" s="405"/>
      <c r="AF860" s="405"/>
      <c r="AG860" s="405"/>
      <c r="AH860" s="405"/>
      <c r="AI860" s="405"/>
      <c r="AJ860" s="405"/>
      <c r="AK860" s="405"/>
      <c r="AL860" s="405"/>
    </row>
    <row r="861" ht="14.25" customHeight="1">
      <c r="A861" s="497">
        <v>45534.0</v>
      </c>
      <c r="B861" s="349" t="s">
        <v>3756</v>
      </c>
      <c r="C861" s="349" t="s">
        <v>3757</v>
      </c>
      <c r="D861" s="349" t="s">
        <v>54</v>
      </c>
      <c r="E861" s="349" t="s">
        <v>3551</v>
      </c>
      <c r="F861" s="413">
        <v>56441.0</v>
      </c>
      <c r="G861" s="413">
        <v>60917.0</v>
      </c>
      <c r="H861" s="349" t="s">
        <v>710</v>
      </c>
      <c r="I861" s="736" t="str">
        <f t="shared" si="20"/>
        <v>FULLY PAID</v>
      </c>
      <c r="J861" s="402"/>
      <c r="K861" s="402"/>
      <c r="L861" s="402"/>
      <c r="M861" s="402"/>
      <c r="N861" s="402"/>
      <c r="O861" s="402"/>
      <c r="P861" s="402"/>
      <c r="Q861" s="402"/>
      <c r="R861" s="402"/>
      <c r="S861" s="402"/>
      <c r="T861" s="402"/>
      <c r="U861" s="402"/>
      <c r="V861" s="402"/>
      <c r="W861" s="402"/>
      <c r="X861" s="402"/>
      <c r="Y861" s="402"/>
      <c r="Z861" s="402"/>
      <c r="AA861" s="405"/>
      <c r="AB861" s="405"/>
      <c r="AC861" s="405"/>
      <c r="AD861" s="405"/>
      <c r="AE861" s="405"/>
      <c r="AF861" s="405"/>
      <c r="AG861" s="405"/>
      <c r="AH861" s="405"/>
      <c r="AI861" s="405"/>
      <c r="AJ861" s="405"/>
      <c r="AK861" s="405"/>
      <c r="AL861" s="405"/>
    </row>
    <row r="862" ht="14.25" customHeight="1">
      <c r="A862" s="497">
        <v>45534.0</v>
      </c>
      <c r="B862" s="689">
        <v>1000.0</v>
      </c>
      <c r="C862" s="349" t="s">
        <v>3917</v>
      </c>
      <c r="D862" s="349" t="s">
        <v>54</v>
      </c>
      <c r="E862" s="349" t="s">
        <v>4083</v>
      </c>
      <c r="F862" s="413">
        <v>135000.0</v>
      </c>
      <c r="G862" s="413">
        <v>100000.0</v>
      </c>
      <c r="H862" s="349" t="s">
        <v>4084</v>
      </c>
      <c r="I862" s="736" t="str">
        <f t="shared" si="20"/>
        <v>PARTIALLY PAID</v>
      </c>
      <c r="J862" s="402"/>
      <c r="K862" s="402"/>
      <c r="L862" s="402"/>
      <c r="M862" s="402"/>
      <c r="N862" s="402"/>
      <c r="O862" s="402"/>
      <c r="P862" s="402"/>
      <c r="Q862" s="402"/>
      <c r="R862" s="402"/>
      <c r="S862" s="402"/>
      <c r="T862" s="402"/>
      <c r="U862" s="402"/>
      <c r="V862" s="402"/>
      <c r="W862" s="402"/>
      <c r="X862" s="402"/>
      <c r="Y862" s="402"/>
      <c r="Z862" s="402"/>
      <c r="AA862" s="405"/>
      <c r="AB862" s="405"/>
      <c r="AC862" s="405"/>
      <c r="AD862" s="405"/>
      <c r="AE862" s="405"/>
      <c r="AF862" s="405"/>
      <c r="AG862" s="405"/>
      <c r="AH862" s="405"/>
      <c r="AI862" s="405"/>
      <c r="AJ862" s="405"/>
      <c r="AK862" s="405"/>
      <c r="AL862" s="405"/>
    </row>
    <row r="863" ht="14.25" customHeight="1">
      <c r="A863" s="497">
        <v>45534.0</v>
      </c>
      <c r="B863" s="349" t="s">
        <v>3620</v>
      </c>
      <c r="C863" s="349" t="s">
        <v>3621</v>
      </c>
      <c r="D863" s="349" t="s">
        <v>54</v>
      </c>
      <c r="E863" s="349" t="s">
        <v>3617</v>
      </c>
      <c r="F863" s="413">
        <v>39333.0</v>
      </c>
      <c r="G863" s="403"/>
      <c r="H863" s="349" t="s">
        <v>4070</v>
      </c>
      <c r="I863" s="736" t="str">
        <f t="shared" si="20"/>
        <v>NOT PAID</v>
      </c>
      <c r="J863" s="402"/>
      <c r="K863" s="402"/>
      <c r="L863" s="402"/>
      <c r="M863" s="402"/>
      <c r="N863" s="402"/>
      <c r="O863" s="402"/>
      <c r="P863" s="402"/>
      <c r="Q863" s="402"/>
      <c r="R863" s="402"/>
      <c r="S863" s="402"/>
      <c r="T863" s="402"/>
      <c r="U863" s="402"/>
      <c r="V863" s="402"/>
      <c r="W863" s="402"/>
      <c r="X863" s="402"/>
      <c r="Y863" s="402"/>
      <c r="Z863" s="402"/>
      <c r="AA863" s="405"/>
      <c r="AB863" s="405"/>
      <c r="AC863" s="405"/>
      <c r="AD863" s="405"/>
      <c r="AE863" s="405"/>
      <c r="AF863" s="405"/>
      <c r="AG863" s="405"/>
      <c r="AH863" s="405"/>
      <c r="AI863" s="405"/>
      <c r="AJ863" s="405"/>
      <c r="AK863" s="405"/>
      <c r="AL863" s="405"/>
    </row>
    <row r="864" ht="14.25" customHeight="1">
      <c r="A864" s="497">
        <v>45534.0</v>
      </c>
      <c r="B864" s="349" t="s">
        <v>3691</v>
      </c>
      <c r="C864" s="349" t="s">
        <v>3692</v>
      </c>
      <c r="D864" s="349" t="s">
        <v>54</v>
      </c>
      <c r="E864" s="349" t="s">
        <v>3579</v>
      </c>
      <c r="F864" s="413">
        <v>175197.56</v>
      </c>
      <c r="G864" s="403"/>
      <c r="H864" s="349" t="s">
        <v>4085</v>
      </c>
      <c r="I864" s="736" t="str">
        <f t="shared" si="20"/>
        <v>NOT PAID</v>
      </c>
      <c r="J864" s="402"/>
      <c r="K864" s="402"/>
      <c r="L864" s="402"/>
      <c r="M864" s="402"/>
      <c r="N864" s="402"/>
      <c r="O864" s="402"/>
      <c r="P864" s="402"/>
      <c r="Q864" s="402"/>
      <c r="R864" s="402"/>
      <c r="S864" s="402"/>
      <c r="T864" s="402"/>
      <c r="U864" s="402"/>
      <c r="V864" s="402"/>
      <c r="W864" s="402"/>
      <c r="X864" s="402"/>
      <c r="Y864" s="402"/>
      <c r="Z864" s="402"/>
      <c r="AA864" s="405"/>
      <c r="AB864" s="405"/>
      <c r="AC864" s="405"/>
      <c r="AD864" s="405"/>
      <c r="AE864" s="405"/>
      <c r="AF864" s="405"/>
      <c r="AG864" s="405"/>
      <c r="AH864" s="405"/>
      <c r="AI864" s="405"/>
      <c r="AJ864" s="405"/>
      <c r="AK864" s="405"/>
      <c r="AL864" s="405"/>
    </row>
    <row r="865" ht="14.25" customHeight="1">
      <c r="A865" s="497">
        <v>45534.0</v>
      </c>
      <c r="B865" s="349" t="s">
        <v>3784</v>
      </c>
      <c r="C865" s="349" t="s">
        <v>3624</v>
      </c>
      <c r="D865" s="349" t="s">
        <v>346</v>
      </c>
      <c r="E865" s="349" t="s">
        <v>3551</v>
      </c>
      <c r="F865" s="413">
        <v>5491.93</v>
      </c>
      <c r="G865" s="403"/>
      <c r="H865" s="349" t="s">
        <v>4070</v>
      </c>
      <c r="I865" s="736" t="str">
        <f t="shared" si="20"/>
        <v>NOT PAID</v>
      </c>
      <c r="J865" s="402"/>
      <c r="K865" s="402"/>
      <c r="L865" s="402"/>
      <c r="M865" s="402"/>
      <c r="N865" s="402"/>
      <c r="O865" s="402"/>
      <c r="P865" s="402"/>
      <c r="Q865" s="402"/>
      <c r="R865" s="402"/>
      <c r="S865" s="402"/>
      <c r="T865" s="402"/>
      <c r="U865" s="402"/>
      <c r="V865" s="402"/>
      <c r="W865" s="402"/>
      <c r="X865" s="402"/>
      <c r="Y865" s="402"/>
      <c r="Z865" s="402"/>
      <c r="AA865" s="405"/>
      <c r="AB865" s="405"/>
      <c r="AC865" s="405"/>
      <c r="AD865" s="405"/>
      <c r="AE865" s="405"/>
      <c r="AF865" s="405"/>
      <c r="AG865" s="405"/>
      <c r="AH865" s="405"/>
      <c r="AI865" s="405"/>
      <c r="AJ865" s="405"/>
      <c r="AK865" s="405"/>
      <c r="AL865" s="405"/>
    </row>
    <row r="866" ht="14.25" customHeight="1">
      <c r="A866" s="497">
        <v>45534.0</v>
      </c>
      <c r="B866" s="349" t="s">
        <v>3684</v>
      </c>
      <c r="C866" s="349" t="s">
        <v>4063</v>
      </c>
      <c r="D866" s="349" t="s">
        <v>54</v>
      </c>
      <c r="E866" s="349" t="s">
        <v>3617</v>
      </c>
      <c r="F866" s="413">
        <v>89440.0</v>
      </c>
      <c r="G866" s="413">
        <v>95200.0</v>
      </c>
      <c r="H866" s="349" t="s">
        <v>2111</v>
      </c>
      <c r="I866" s="736" t="str">
        <f t="shared" si="20"/>
        <v>FULLY PAID</v>
      </c>
      <c r="J866" s="402"/>
      <c r="K866" s="402"/>
      <c r="L866" s="402"/>
      <c r="M866" s="402"/>
      <c r="N866" s="402"/>
      <c r="O866" s="402"/>
      <c r="P866" s="402"/>
      <c r="Q866" s="402"/>
      <c r="R866" s="402"/>
      <c r="S866" s="402"/>
      <c r="T866" s="402"/>
      <c r="U866" s="402"/>
      <c r="V866" s="402"/>
      <c r="W866" s="402"/>
      <c r="X866" s="402"/>
      <c r="Y866" s="402"/>
      <c r="Z866" s="402"/>
      <c r="AA866" s="405"/>
      <c r="AB866" s="405"/>
      <c r="AC866" s="405"/>
      <c r="AD866" s="405"/>
      <c r="AE866" s="405"/>
      <c r="AF866" s="405"/>
      <c r="AG866" s="405"/>
      <c r="AH866" s="405"/>
      <c r="AI866" s="405"/>
      <c r="AJ866" s="405"/>
      <c r="AK866" s="405"/>
      <c r="AL866" s="405"/>
    </row>
    <row r="867" ht="14.25" customHeight="1">
      <c r="A867" s="497">
        <v>45534.0</v>
      </c>
      <c r="B867" s="349" t="s">
        <v>3789</v>
      </c>
      <c r="C867" s="349" t="s">
        <v>3790</v>
      </c>
      <c r="D867" s="349" t="s">
        <v>54</v>
      </c>
      <c r="E867" s="349" t="s">
        <v>3617</v>
      </c>
      <c r="F867" s="413">
        <v>6589.0</v>
      </c>
      <c r="G867" s="403"/>
      <c r="H867" s="349" t="s">
        <v>4082</v>
      </c>
      <c r="I867" s="736" t="str">
        <f t="shared" si="20"/>
        <v>NOT PAID</v>
      </c>
      <c r="J867" s="402"/>
      <c r="K867" s="402"/>
      <c r="L867" s="402"/>
      <c r="M867" s="402"/>
      <c r="N867" s="402"/>
      <c r="O867" s="402"/>
      <c r="P867" s="402"/>
      <c r="Q867" s="402"/>
      <c r="R867" s="402"/>
      <c r="S867" s="402"/>
      <c r="T867" s="402"/>
      <c r="U867" s="402"/>
      <c r="V867" s="402"/>
      <c r="W867" s="402"/>
      <c r="X867" s="402"/>
      <c r="Y867" s="402"/>
      <c r="Z867" s="402"/>
      <c r="AA867" s="405"/>
      <c r="AB867" s="405"/>
      <c r="AC867" s="405"/>
      <c r="AD867" s="405"/>
      <c r="AE867" s="405"/>
      <c r="AF867" s="405"/>
      <c r="AG867" s="405"/>
      <c r="AH867" s="405"/>
      <c r="AI867" s="405"/>
      <c r="AJ867" s="405"/>
      <c r="AK867" s="405"/>
      <c r="AL867" s="405"/>
    </row>
    <row r="868" ht="14.25" customHeight="1">
      <c r="A868" s="497">
        <v>45534.0</v>
      </c>
      <c r="B868" s="349" t="s">
        <v>3918</v>
      </c>
      <c r="C868" s="349" t="s">
        <v>3745</v>
      </c>
      <c r="D868" s="349" t="s">
        <v>54</v>
      </c>
      <c r="E868" s="349" t="s">
        <v>3556</v>
      </c>
      <c r="F868" s="413">
        <v>14376.0</v>
      </c>
      <c r="G868" s="403"/>
      <c r="H868" s="349" t="s">
        <v>4086</v>
      </c>
      <c r="I868" s="736" t="str">
        <f t="shared" si="20"/>
        <v>NOT PAID</v>
      </c>
      <c r="J868" s="402"/>
      <c r="K868" s="402"/>
      <c r="L868" s="402"/>
      <c r="M868" s="402"/>
      <c r="N868" s="402"/>
      <c r="O868" s="402"/>
      <c r="P868" s="402"/>
      <c r="Q868" s="402"/>
      <c r="R868" s="402"/>
      <c r="S868" s="402"/>
      <c r="T868" s="402"/>
      <c r="U868" s="402"/>
      <c r="V868" s="402"/>
      <c r="W868" s="402"/>
      <c r="X868" s="402"/>
      <c r="Y868" s="402"/>
      <c r="Z868" s="402"/>
      <c r="AA868" s="405"/>
      <c r="AB868" s="405"/>
      <c r="AC868" s="405"/>
      <c r="AD868" s="405"/>
      <c r="AE868" s="405"/>
      <c r="AF868" s="405"/>
      <c r="AG868" s="405"/>
      <c r="AH868" s="405"/>
      <c r="AI868" s="405"/>
      <c r="AJ868" s="405"/>
      <c r="AK868" s="405"/>
      <c r="AL868" s="405"/>
    </row>
    <row r="869" ht="14.25" customHeight="1">
      <c r="A869" s="497">
        <v>45534.0</v>
      </c>
      <c r="B869" s="349" t="s">
        <v>3702</v>
      </c>
      <c r="C869" s="349" t="s">
        <v>3703</v>
      </c>
      <c r="D869" s="349" t="s">
        <v>346</v>
      </c>
      <c r="E869" s="349" t="s">
        <v>3617</v>
      </c>
      <c r="F869" s="751">
        <v>4860.0</v>
      </c>
      <c r="G869" s="413">
        <v>4900.0</v>
      </c>
      <c r="H869" s="349" t="s">
        <v>4087</v>
      </c>
      <c r="I869" s="736" t="str">
        <f t="shared" si="20"/>
        <v>FULLY PAID</v>
      </c>
      <c r="J869" s="402"/>
      <c r="K869" s="402"/>
      <c r="L869" s="402"/>
      <c r="M869" s="402"/>
      <c r="N869" s="402"/>
      <c r="O869" s="402"/>
      <c r="P869" s="402"/>
      <c r="Q869" s="402"/>
      <c r="R869" s="402"/>
      <c r="S869" s="402"/>
      <c r="T869" s="402"/>
      <c r="U869" s="402"/>
      <c r="V869" s="402"/>
      <c r="W869" s="402"/>
      <c r="X869" s="402"/>
      <c r="Y869" s="402"/>
      <c r="Z869" s="402"/>
      <c r="AA869" s="405"/>
      <c r="AB869" s="405"/>
      <c r="AC869" s="405"/>
      <c r="AD869" s="405"/>
      <c r="AE869" s="405"/>
      <c r="AF869" s="405"/>
      <c r="AG869" s="405"/>
      <c r="AH869" s="405"/>
      <c r="AI869" s="405"/>
      <c r="AJ869" s="405"/>
      <c r="AK869" s="405"/>
      <c r="AL869" s="405"/>
    </row>
    <row r="870" ht="14.25" customHeight="1">
      <c r="A870" s="497">
        <v>45534.0</v>
      </c>
      <c r="B870" s="349" t="s">
        <v>3647</v>
      </c>
      <c r="C870" s="349" t="s">
        <v>3648</v>
      </c>
      <c r="D870" s="349" t="s">
        <v>54</v>
      </c>
      <c r="E870" s="349" t="s">
        <v>3551</v>
      </c>
      <c r="F870" s="413">
        <v>18050.0</v>
      </c>
      <c r="G870" s="403"/>
      <c r="H870" s="349" t="s">
        <v>4082</v>
      </c>
      <c r="I870" s="736" t="str">
        <f t="shared" si="20"/>
        <v>NOT PAID</v>
      </c>
      <c r="J870" s="402"/>
      <c r="K870" s="402"/>
      <c r="L870" s="402"/>
      <c r="M870" s="402"/>
      <c r="N870" s="402"/>
      <c r="O870" s="402"/>
      <c r="P870" s="402"/>
      <c r="Q870" s="402"/>
      <c r="R870" s="402"/>
      <c r="S870" s="402"/>
      <c r="T870" s="402"/>
      <c r="U870" s="402"/>
      <c r="V870" s="402"/>
      <c r="W870" s="402"/>
      <c r="X870" s="402"/>
      <c r="Y870" s="402"/>
      <c r="Z870" s="402"/>
      <c r="AA870" s="405"/>
      <c r="AB870" s="405"/>
      <c r="AC870" s="405"/>
      <c r="AD870" s="405"/>
      <c r="AE870" s="405"/>
      <c r="AF870" s="405"/>
      <c r="AG870" s="405"/>
      <c r="AH870" s="405"/>
      <c r="AI870" s="405"/>
      <c r="AJ870" s="405"/>
      <c r="AK870" s="405"/>
      <c r="AL870" s="405"/>
    </row>
    <row r="871" ht="14.25" customHeight="1">
      <c r="A871" s="497">
        <v>45534.0</v>
      </c>
      <c r="B871" s="349" t="s">
        <v>3828</v>
      </c>
      <c r="C871" s="349" t="s">
        <v>3829</v>
      </c>
      <c r="D871" s="349" t="s">
        <v>54</v>
      </c>
      <c r="E871" s="349" t="s">
        <v>3579</v>
      </c>
      <c r="F871" s="413">
        <v>7662.6</v>
      </c>
      <c r="G871" s="403"/>
      <c r="H871" s="349" t="s">
        <v>4082</v>
      </c>
      <c r="I871" s="736" t="str">
        <f t="shared" si="20"/>
        <v>NOT PAID</v>
      </c>
      <c r="J871" s="402"/>
      <c r="K871" s="402"/>
      <c r="L871" s="402"/>
      <c r="M871" s="402"/>
      <c r="N871" s="402"/>
      <c r="O871" s="402"/>
      <c r="P871" s="402"/>
      <c r="Q871" s="402"/>
      <c r="R871" s="402"/>
      <c r="S871" s="402"/>
      <c r="T871" s="402"/>
      <c r="U871" s="402"/>
      <c r="V871" s="402"/>
      <c r="W871" s="402"/>
      <c r="X871" s="402"/>
      <c r="Y871" s="402"/>
      <c r="Z871" s="402"/>
      <c r="AA871" s="405"/>
      <c r="AB871" s="405"/>
      <c r="AC871" s="405"/>
      <c r="AD871" s="405"/>
      <c r="AE871" s="405"/>
      <c r="AF871" s="405"/>
      <c r="AG871" s="405"/>
      <c r="AH871" s="405"/>
      <c r="AI871" s="405"/>
      <c r="AJ871" s="405"/>
      <c r="AK871" s="405"/>
      <c r="AL871" s="405"/>
    </row>
    <row r="872" ht="14.25" customHeight="1">
      <c r="A872" s="497">
        <v>45534.0</v>
      </c>
      <c r="B872" s="349" t="s">
        <v>4088</v>
      </c>
      <c r="C872" s="349" t="s">
        <v>4089</v>
      </c>
      <c r="D872" s="349" t="s">
        <v>54</v>
      </c>
      <c r="E872" s="349" t="s">
        <v>3579</v>
      </c>
      <c r="F872" s="413">
        <v>19920.0</v>
      </c>
      <c r="G872" s="413">
        <v>19920.0</v>
      </c>
      <c r="H872" s="349" t="s">
        <v>772</v>
      </c>
      <c r="I872" s="736" t="str">
        <f t="shared" si="20"/>
        <v>FULLY PAID</v>
      </c>
      <c r="J872" s="402"/>
      <c r="K872" s="402"/>
      <c r="L872" s="402"/>
      <c r="M872" s="402"/>
      <c r="N872" s="402"/>
      <c r="O872" s="402"/>
      <c r="P872" s="402"/>
      <c r="Q872" s="402"/>
      <c r="R872" s="402"/>
      <c r="S872" s="402"/>
      <c r="T872" s="402"/>
      <c r="U872" s="402"/>
      <c r="V872" s="402"/>
      <c r="W872" s="402"/>
      <c r="X872" s="402"/>
      <c r="Y872" s="402"/>
      <c r="Z872" s="402"/>
      <c r="AA872" s="405"/>
      <c r="AB872" s="405"/>
      <c r="AC872" s="405"/>
      <c r="AD872" s="405"/>
      <c r="AE872" s="405"/>
      <c r="AF872" s="405"/>
      <c r="AG872" s="405"/>
      <c r="AH872" s="405"/>
      <c r="AI872" s="405"/>
      <c r="AJ872" s="405"/>
      <c r="AK872" s="405"/>
      <c r="AL872" s="405"/>
    </row>
    <row r="873" ht="14.25" customHeight="1">
      <c r="A873" s="497">
        <v>45534.0</v>
      </c>
      <c r="B873" s="402"/>
      <c r="C873" s="402"/>
      <c r="D873" s="402"/>
      <c r="E873" s="402"/>
      <c r="F873" s="402"/>
      <c r="G873" s="403"/>
      <c r="H873" s="402"/>
      <c r="I873" s="736" t="str">
        <f t="shared" si="20"/>
        <v>FULLY PAID</v>
      </c>
      <c r="J873" s="402"/>
      <c r="K873" s="402"/>
      <c r="L873" s="402"/>
      <c r="M873" s="402"/>
      <c r="N873" s="402"/>
      <c r="O873" s="402"/>
      <c r="P873" s="402"/>
      <c r="Q873" s="402"/>
      <c r="R873" s="402"/>
      <c r="S873" s="402"/>
      <c r="T873" s="402"/>
      <c r="U873" s="402"/>
      <c r="V873" s="402"/>
      <c r="W873" s="402"/>
      <c r="X873" s="402"/>
      <c r="Y873" s="402"/>
      <c r="Z873" s="402"/>
      <c r="AA873" s="405"/>
      <c r="AB873" s="405"/>
      <c r="AC873" s="405"/>
      <c r="AD873" s="405"/>
      <c r="AE873" s="405"/>
      <c r="AF873" s="405"/>
      <c r="AG873" s="405"/>
      <c r="AH873" s="405"/>
      <c r="AI873" s="405"/>
      <c r="AJ873" s="405"/>
      <c r="AK873" s="405"/>
      <c r="AL873" s="405"/>
    </row>
    <row r="874" ht="14.25" customHeight="1">
      <c r="A874" s="497">
        <v>45534.0</v>
      </c>
      <c r="B874" s="467" t="s">
        <v>3608</v>
      </c>
      <c r="C874" s="468" t="s">
        <v>3637</v>
      </c>
      <c r="D874" s="468" t="s">
        <v>59</v>
      </c>
      <c r="E874" s="796" t="s">
        <v>3579</v>
      </c>
      <c r="F874" s="727">
        <v>500000.0</v>
      </c>
      <c r="G874" s="470"/>
      <c r="H874" s="349" t="s">
        <v>3994</v>
      </c>
      <c r="I874" s="736" t="str">
        <f t="shared" si="20"/>
        <v>NOT PAID</v>
      </c>
      <c r="J874" s="402"/>
      <c r="K874" s="402"/>
      <c r="L874" s="402"/>
      <c r="M874" s="402"/>
      <c r="N874" s="402"/>
      <c r="O874" s="402"/>
      <c r="P874" s="402"/>
      <c r="Q874" s="402"/>
      <c r="R874" s="402"/>
      <c r="S874" s="402"/>
      <c r="T874" s="402"/>
      <c r="U874" s="402"/>
      <c r="V874" s="402"/>
      <c r="W874" s="402"/>
      <c r="X874" s="402"/>
      <c r="Y874" s="402"/>
      <c r="Z874" s="402"/>
      <c r="AA874" s="405"/>
      <c r="AB874" s="405"/>
      <c r="AC874" s="405"/>
      <c r="AD874" s="405"/>
      <c r="AE874" s="405"/>
      <c r="AF874" s="405"/>
      <c r="AG874" s="405"/>
      <c r="AH874" s="405"/>
      <c r="AI874" s="405"/>
      <c r="AJ874" s="405"/>
      <c r="AK874" s="405"/>
      <c r="AL874" s="405"/>
    </row>
    <row r="875" ht="14.25" customHeight="1">
      <c r="A875" s="497">
        <v>45534.0</v>
      </c>
      <c r="B875" s="472" t="s">
        <v>3663</v>
      </c>
      <c r="C875" s="396" t="s">
        <v>3705</v>
      </c>
      <c r="D875" s="352" t="s">
        <v>54</v>
      </c>
      <c r="E875" s="353" t="s">
        <v>3579</v>
      </c>
      <c r="F875" s="394">
        <v>164847.0</v>
      </c>
      <c r="G875" s="355"/>
      <c r="H875" s="349" t="s">
        <v>4090</v>
      </c>
      <c r="I875" s="736" t="str">
        <f t="shared" si="20"/>
        <v>NOT PAID</v>
      </c>
      <c r="J875" s="402"/>
      <c r="K875" s="402"/>
      <c r="L875" s="402"/>
      <c r="M875" s="402"/>
      <c r="N875" s="402"/>
      <c r="O875" s="402"/>
      <c r="P875" s="402"/>
      <c r="Q875" s="402"/>
      <c r="R875" s="402"/>
      <c r="S875" s="402"/>
      <c r="T875" s="402"/>
      <c r="U875" s="402"/>
      <c r="V875" s="402"/>
      <c r="W875" s="402"/>
      <c r="X875" s="402"/>
      <c r="Y875" s="402"/>
      <c r="Z875" s="402"/>
      <c r="AA875" s="405"/>
      <c r="AB875" s="405"/>
      <c r="AC875" s="405"/>
      <c r="AD875" s="405"/>
      <c r="AE875" s="405"/>
      <c r="AF875" s="405"/>
      <c r="AG875" s="405"/>
      <c r="AH875" s="405"/>
      <c r="AI875" s="405"/>
      <c r="AJ875" s="405"/>
      <c r="AK875" s="405"/>
      <c r="AL875" s="405"/>
    </row>
    <row r="876" ht="14.25" customHeight="1">
      <c r="A876" s="497">
        <v>45534.0</v>
      </c>
      <c r="B876" s="472" t="s">
        <v>3566</v>
      </c>
      <c r="C876" s="396" t="s">
        <v>3995</v>
      </c>
      <c r="D876" s="352" t="s">
        <v>54</v>
      </c>
      <c r="E876" s="353" t="s">
        <v>3579</v>
      </c>
      <c r="F876" s="394">
        <v>40000.0</v>
      </c>
      <c r="G876" s="355"/>
      <c r="H876" s="349" t="s">
        <v>4057</v>
      </c>
      <c r="I876" s="736" t="str">
        <f t="shared" si="20"/>
        <v>NOT PAID</v>
      </c>
      <c r="J876" s="402"/>
      <c r="K876" s="402"/>
      <c r="L876" s="402"/>
      <c r="M876" s="402"/>
      <c r="N876" s="402"/>
      <c r="O876" s="402"/>
      <c r="P876" s="402"/>
      <c r="Q876" s="402"/>
      <c r="R876" s="402"/>
      <c r="S876" s="402"/>
      <c r="T876" s="402"/>
      <c r="U876" s="402"/>
      <c r="V876" s="402"/>
      <c r="W876" s="402"/>
      <c r="X876" s="402"/>
      <c r="Y876" s="402"/>
      <c r="Z876" s="402"/>
      <c r="AA876" s="405"/>
      <c r="AB876" s="405"/>
      <c r="AC876" s="405"/>
      <c r="AD876" s="405"/>
      <c r="AE876" s="405"/>
      <c r="AF876" s="405"/>
      <c r="AG876" s="405"/>
      <c r="AH876" s="405"/>
      <c r="AI876" s="405"/>
      <c r="AJ876" s="405"/>
      <c r="AK876" s="405"/>
      <c r="AL876" s="405"/>
    </row>
    <row r="877" ht="14.25" customHeight="1">
      <c r="A877" s="402"/>
      <c r="B877" s="797"/>
      <c r="C877" s="797"/>
      <c r="D877" s="797"/>
      <c r="E877" s="797"/>
      <c r="F877" s="797"/>
      <c r="G877" s="403"/>
      <c r="H877" s="402"/>
      <c r="I877" s="736" t="str">
        <f t="shared" si="20"/>
        <v>FULLY PAID</v>
      </c>
      <c r="J877" s="402"/>
      <c r="K877" s="402"/>
      <c r="L877" s="402"/>
      <c r="M877" s="402"/>
      <c r="N877" s="402"/>
      <c r="O877" s="402"/>
      <c r="P877" s="402"/>
      <c r="Q877" s="402"/>
      <c r="R877" s="402"/>
      <c r="S877" s="402"/>
      <c r="T877" s="402"/>
      <c r="U877" s="402"/>
      <c r="V877" s="402"/>
      <c r="W877" s="402"/>
      <c r="X877" s="402"/>
      <c r="Y877" s="402"/>
      <c r="Z877" s="402"/>
      <c r="AA877" s="405"/>
      <c r="AB877" s="405"/>
      <c r="AC877" s="405"/>
      <c r="AD877" s="405"/>
      <c r="AE877" s="405"/>
      <c r="AF877" s="405"/>
      <c r="AG877" s="405"/>
      <c r="AH877" s="405"/>
      <c r="AI877" s="405"/>
      <c r="AJ877" s="405"/>
      <c r="AK877" s="405"/>
      <c r="AL877" s="405"/>
    </row>
    <row r="878" ht="14.25" customHeight="1">
      <c r="A878" s="402"/>
      <c r="B878" s="402"/>
      <c r="C878" s="402"/>
      <c r="D878" s="402"/>
      <c r="E878" s="402"/>
      <c r="F878" s="402"/>
      <c r="G878" s="403"/>
      <c r="H878" s="402"/>
      <c r="I878" s="736" t="str">
        <f t="shared" si="20"/>
        <v>FULLY PAID</v>
      </c>
      <c r="J878" s="402"/>
      <c r="K878" s="402"/>
      <c r="L878" s="402"/>
      <c r="M878" s="402"/>
      <c r="N878" s="402"/>
      <c r="O878" s="402"/>
      <c r="P878" s="402"/>
      <c r="Q878" s="402"/>
      <c r="R878" s="402"/>
      <c r="S878" s="402"/>
      <c r="T878" s="402"/>
      <c r="U878" s="402"/>
      <c r="V878" s="402"/>
      <c r="W878" s="402"/>
      <c r="X878" s="402"/>
      <c r="Y878" s="402"/>
      <c r="Z878" s="402"/>
      <c r="AA878" s="405"/>
      <c r="AB878" s="405"/>
      <c r="AC878" s="405"/>
      <c r="AD878" s="405"/>
      <c r="AE878" s="405"/>
      <c r="AF878" s="405"/>
      <c r="AG878" s="405"/>
      <c r="AH878" s="405"/>
      <c r="AI878" s="405"/>
      <c r="AJ878" s="405"/>
      <c r="AK878" s="405"/>
      <c r="AL878" s="405"/>
    </row>
    <row r="879" ht="14.25" customHeight="1">
      <c r="A879" s="584" t="s">
        <v>2130</v>
      </c>
      <c r="B879" s="584" t="s">
        <v>39</v>
      </c>
      <c r="C879" s="584" t="s">
        <v>48</v>
      </c>
      <c r="D879" s="584" t="s">
        <v>49</v>
      </c>
      <c r="E879" s="584" t="s">
        <v>50</v>
      </c>
      <c r="F879" s="584" t="s">
        <v>2</v>
      </c>
      <c r="G879" s="586" t="s">
        <v>44</v>
      </c>
      <c r="H879" s="424" t="s">
        <v>45</v>
      </c>
      <c r="I879" s="736" t="str">
        <f t="shared" si="20"/>
        <v>FULLY PAID</v>
      </c>
      <c r="J879" s="402"/>
      <c r="K879" s="402"/>
      <c r="L879" s="402"/>
      <c r="M879" s="402"/>
      <c r="N879" s="402"/>
      <c r="O879" s="402"/>
      <c r="P879" s="402"/>
      <c r="Q879" s="402"/>
      <c r="R879" s="402"/>
      <c r="S879" s="402"/>
      <c r="T879" s="402"/>
      <c r="U879" s="402"/>
      <c r="V879" s="402"/>
      <c r="W879" s="402"/>
      <c r="X879" s="402"/>
      <c r="Y879" s="402"/>
      <c r="Z879" s="402"/>
      <c r="AA879" s="405"/>
      <c r="AB879" s="405"/>
      <c r="AC879" s="405"/>
      <c r="AD879" s="405"/>
      <c r="AE879" s="405"/>
      <c r="AF879" s="405"/>
      <c r="AG879" s="405"/>
      <c r="AH879" s="405"/>
      <c r="AI879" s="405"/>
      <c r="AJ879" s="405"/>
      <c r="AK879" s="405"/>
      <c r="AL879" s="405"/>
    </row>
    <row r="880" ht="14.25" customHeight="1">
      <c r="A880" s="497">
        <v>45535.0</v>
      </c>
      <c r="B880" s="349" t="s">
        <v>3647</v>
      </c>
      <c r="C880" s="349" t="s">
        <v>3648</v>
      </c>
      <c r="D880" s="349" t="s">
        <v>54</v>
      </c>
      <c r="E880" s="349" t="s">
        <v>3551</v>
      </c>
      <c r="F880" s="413">
        <v>18050.0</v>
      </c>
      <c r="G880" s="403"/>
      <c r="H880" s="349" t="s">
        <v>4091</v>
      </c>
      <c r="I880" s="736" t="str">
        <f t="shared" si="20"/>
        <v>NOT PAID</v>
      </c>
      <c r="J880" s="402"/>
      <c r="K880" s="402"/>
      <c r="L880" s="402"/>
      <c r="M880" s="402"/>
      <c r="N880" s="402"/>
      <c r="O880" s="402"/>
      <c r="P880" s="402"/>
      <c r="Q880" s="402"/>
      <c r="R880" s="402"/>
      <c r="S880" s="402"/>
      <c r="T880" s="402"/>
      <c r="U880" s="402"/>
      <c r="V880" s="402"/>
      <c r="W880" s="402"/>
      <c r="X880" s="402"/>
      <c r="Y880" s="402"/>
      <c r="Z880" s="402"/>
      <c r="AA880" s="405"/>
      <c r="AB880" s="405"/>
      <c r="AC880" s="405"/>
      <c r="AD880" s="405"/>
      <c r="AE880" s="405"/>
      <c r="AF880" s="405"/>
      <c r="AG880" s="405"/>
      <c r="AH880" s="405"/>
      <c r="AI880" s="405"/>
      <c r="AJ880" s="405"/>
      <c r="AK880" s="405"/>
      <c r="AL880" s="405"/>
    </row>
    <row r="881" ht="14.25" customHeight="1">
      <c r="A881" s="497">
        <v>45535.0</v>
      </c>
      <c r="B881" s="349" t="s">
        <v>3571</v>
      </c>
      <c r="C881" s="349" t="s">
        <v>3572</v>
      </c>
      <c r="D881" s="349" t="s">
        <v>54</v>
      </c>
      <c r="E881" s="349" t="s">
        <v>3579</v>
      </c>
      <c r="F881" s="413">
        <v>7662.6</v>
      </c>
      <c r="G881" s="413">
        <v>10000.0</v>
      </c>
      <c r="H881" s="349" t="s">
        <v>267</v>
      </c>
      <c r="I881" s="736" t="str">
        <f t="shared" si="20"/>
        <v>FULLY PAID</v>
      </c>
      <c r="J881" s="402"/>
      <c r="K881" s="402"/>
      <c r="L881" s="402"/>
      <c r="M881" s="402"/>
      <c r="N881" s="402"/>
      <c r="O881" s="402"/>
      <c r="P881" s="402"/>
      <c r="Q881" s="402"/>
      <c r="R881" s="402"/>
      <c r="S881" s="402"/>
      <c r="T881" s="402"/>
      <c r="U881" s="402"/>
      <c r="V881" s="402"/>
      <c r="W881" s="402"/>
      <c r="X881" s="402"/>
      <c r="Y881" s="402"/>
      <c r="Z881" s="402"/>
      <c r="AA881" s="405"/>
      <c r="AB881" s="405"/>
      <c r="AC881" s="405"/>
      <c r="AD881" s="405"/>
      <c r="AE881" s="405"/>
      <c r="AF881" s="405"/>
      <c r="AG881" s="405"/>
      <c r="AH881" s="405"/>
      <c r="AI881" s="405"/>
      <c r="AJ881" s="405"/>
      <c r="AK881" s="405"/>
      <c r="AL881" s="405"/>
    </row>
    <row r="882" ht="14.25" customHeight="1">
      <c r="A882" s="497">
        <v>45535.0</v>
      </c>
      <c r="B882" s="349" t="s">
        <v>3784</v>
      </c>
      <c r="C882" s="349" t="s">
        <v>3624</v>
      </c>
      <c r="D882" s="349" t="s">
        <v>346</v>
      </c>
      <c r="E882" s="349" t="s">
        <v>3551</v>
      </c>
      <c r="F882" s="413">
        <v>5491.93</v>
      </c>
      <c r="G882" s="403"/>
      <c r="H882" s="349" t="s">
        <v>4092</v>
      </c>
      <c r="I882" s="736" t="str">
        <f t="shared" si="20"/>
        <v>NOT PAID</v>
      </c>
      <c r="J882" s="402"/>
      <c r="K882" s="402"/>
      <c r="L882" s="402"/>
      <c r="M882" s="402"/>
      <c r="N882" s="402"/>
      <c r="O882" s="402"/>
      <c r="P882" s="402"/>
      <c r="Q882" s="402"/>
      <c r="R882" s="402"/>
      <c r="S882" s="402"/>
      <c r="T882" s="402"/>
      <c r="U882" s="402"/>
      <c r="V882" s="402"/>
      <c r="W882" s="402"/>
      <c r="X882" s="402"/>
      <c r="Y882" s="402"/>
      <c r="Z882" s="402"/>
      <c r="AA882" s="405"/>
      <c r="AB882" s="405"/>
      <c r="AC882" s="405"/>
      <c r="AD882" s="405"/>
      <c r="AE882" s="405"/>
      <c r="AF882" s="405"/>
      <c r="AG882" s="405"/>
      <c r="AH882" s="405"/>
      <c r="AI882" s="405"/>
      <c r="AJ882" s="405"/>
      <c r="AK882" s="405"/>
      <c r="AL882" s="405"/>
    </row>
    <row r="883" ht="14.25" customHeight="1">
      <c r="A883" s="497">
        <v>45535.0</v>
      </c>
      <c r="B883" s="349" t="s">
        <v>3789</v>
      </c>
      <c r="C883" s="349" t="s">
        <v>3790</v>
      </c>
      <c r="D883" s="349" t="s">
        <v>54</v>
      </c>
      <c r="E883" s="349" t="s">
        <v>3617</v>
      </c>
      <c r="F883" s="413">
        <v>6589.0</v>
      </c>
      <c r="G883" s="403"/>
      <c r="H883" s="349" t="s">
        <v>4091</v>
      </c>
      <c r="I883" s="736" t="str">
        <f t="shared" si="20"/>
        <v>NOT PAID</v>
      </c>
      <c r="J883" s="402"/>
      <c r="K883" s="402"/>
      <c r="L883" s="402"/>
      <c r="M883" s="402"/>
      <c r="N883" s="402"/>
      <c r="O883" s="402"/>
      <c r="P883" s="402"/>
      <c r="Q883" s="402"/>
      <c r="R883" s="402"/>
      <c r="S883" s="402"/>
      <c r="T883" s="402"/>
      <c r="U883" s="402"/>
      <c r="V883" s="402"/>
      <c r="W883" s="402"/>
      <c r="X883" s="402"/>
      <c r="Y883" s="402"/>
      <c r="Z883" s="402"/>
      <c r="AA883" s="405"/>
      <c r="AB883" s="405"/>
      <c r="AC883" s="405"/>
      <c r="AD883" s="405"/>
      <c r="AE883" s="405"/>
      <c r="AF883" s="405"/>
      <c r="AG883" s="405"/>
      <c r="AH883" s="405"/>
      <c r="AI883" s="405"/>
      <c r="AJ883" s="405"/>
      <c r="AK883" s="405"/>
      <c r="AL883" s="405"/>
    </row>
    <row r="884" ht="14.25" customHeight="1">
      <c r="A884" s="497">
        <v>45535.0</v>
      </c>
      <c r="B884" s="349" t="s">
        <v>3710</v>
      </c>
      <c r="C884" s="349" t="s">
        <v>3711</v>
      </c>
      <c r="D884" s="349" t="s">
        <v>54</v>
      </c>
      <c r="E884" s="349" t="s">
        <v>3556</v>
      </c>
      <c r="F884" s="413">
        <v>37617.69</v>
      </c>
      <c r="G884" s="403"/>
      <c r="H884" s="349" t="s">
        <v>4092</v>
      </c>
      <c r="I884" s="736" t="str">
        <f t="shared" si="20"/>
        <v>NOT PAID</v>
      </c>
      <c r="J884" s="402"/>
      <c r="K884" s="402"/>
      <c r="L884" s="402"/>
      <c r="M884" s="402"/>
      <c r="N884" s="402"/>
      <c r="O884" s="402"/>
      <c r="P884" s="402"/>
      <c r="Q884" s="402"/>
      <c r="R884" s="402"/>
      <c r="S884" s="402"/>
      <c r="T884" s="402"/>
      <c r="U884" s="402"/>
      <c r="V884" s="402"/>
      <c r="W884" s="402"/>
      <c r="X884" s="402"/>
      <c r="Y884" s="402"/>
      <c r="Z884" s="402"/>
      <c r="AA884" s="405"/>
      <c r="AB884" s="405"/>
      <c r="AC884" s="405"/>
      <c r="AD884" s="405"/>
      <c r="AE884" s="405"/>
      <c r="AF884" s="405"/>
      <c r="AG884" s="405"/>
      <c r="AH884" s="405"/>
      <c r="AI884" s="405"/>
      <c r="AJ884" s="405"/>
      <c r="AK884" s="405"/>
      <c r="AL884" s="405"/>
    </row>
    <row r="885" ht="14.25" customHeight="1">
      <c r="A885" s="497">
        <v>45535.0</v>
      </c>
      <c r="B885" s="349" t="s">
        <v>4055</v>
      </c>
      <c r="C885" s="349" t="s">
        <v>3732</v>
      </c>
      <c r="D885" s="349" t="s">
        <v>54</v>
      </c>
      <c r="E885" s="349" t="s">
        <v>3617</v>
      </c>
      <c r="F885" s="413">
        <v>18731.84</v>
      </c>
      <c r="G885" s="403"/>
      <c r="H885" s="349" t="s">
        <v>4093</v>
      </c>
      <c r="I885" s="736" t="str">
        <f t="shared" si="20"/>
        <v>NOT PAID</v>
      </c>
      <c r="J885" s="402"/>
      <c r="K885" s="402"/>
      <c r="L885" s="402"/>
      <c r="M885" s="402"/>
      <c r="N885" s="402"/>
      <c r="O885" s="402"/>
      <c r="P885" s="402"/>
      <c r="Q885" s="402"/>
      <c r="R885" s="402"/>
      <c r="S885" s="402"/>
      <c r="T885" s="402"/>
      <c r="U885" s="402"/>
      <c r="V885" s="402"/>
      <c r="W885" s="402"/>
      <c r="X885" s="402"/>
      <c r="Y885" s="402"/>
      <c r="Z885" s="402"/>
      <c r="AA885" s="405"/>
      <c r="AB885" s="405"/>
      <c r="AC885" s="405"/>
      <c r="AD885" s="405"/>
      <c r="AE885" s="405"/>
      <c r="AF885" s="405"/>
      <c r="AG885" s="405"/>
      <c r="AH885" s="405"/>
      <c r="AI885" s="405"/>
      <c r="AJ885" s="405"/>
      <c r="AK885" s="405"/>
      <c r="AL885" s="405"/>
    </row>
    <row r="886" ht="14.25" customHeight="1">
      <c r="A886" s="497">
        <v>45535.0</v>
      </c>
      <c r="B886" s="349" t="s">
        <v>3687</v>
      </c>
      <c r="C886" s="349" t="s">
        <v>3688</v>
      </c>
      <c r="D886" s="349" t="s">
        <v>54</v>
      </c>
      <c r="E886" s="349" t="s">
        <v>3617</v>
      </c>
      <c r="F886" s="413">
        <v>99612.46</v>
      </c>
      <c r="G886" s="403"/>
      <c r="H886" s="349" t="s">
        <v>4093</v>
      </c>
      <c r="I886" s="736" t="str">
        <f t="shared" si="20"/>
        <v>NOT PAID</v>
      </c>
      <c r="J886" s="402"/>
      <c r="K886" s="402"/>
      <c r="L886" s="402"/>
      <c r="M886" s="402"/>
      <c r="N886" s="402"/>
      <c r="O886" s="402"/>
      <c r="P886" s="402"/>
      <c r="Q886" s="402"/>
      <c r="R886" s="402"/>
      <c r="S886" s="402"/>
      <c r="T886" s="402"/>
      <c r="U886" s="402"/>
      <c r="V886" s="402"/>
      <c r="W886" s="402"/>
      <c r="X886" s="402"/>
      <c r="Y886" s="402"/>
      <c r="Z886" s="402"/>
      <c r="AA886" s="405"/>
      <c r="AB886" s="405"/>
      <c r="AC886" s="405"/>
      <c r="AD886" s="405"/>
      <c r="AE886" s="405"/>
      <c r="AF886" s="405"/>
      <c r="AG886" s="405"/>
      <c r="AH886" s="405"/>
      <c r="AI886" s="405"/>
      <c r="AJ886" s="405"/>
      <c r="AK886" s="405"/>
      <c r="AL886" s="405"/>
    </row>
    <row r="887" ht="14.25" customHeight="1">
      <c r="A887" s="497">
        <v>45535.0</v>
      </c>
      <c r="B887" s="349" t="s">
        <v>3830</v>
      </c>
      <c r="C887" s="349" t="s">
        <v>3829</v>
      </c>
      <c r="D887" s="349" t="s">
        <v>346</v>
      </c>
      <c r="E887" s="349" t="s">
        <v>3579</v>
      </c>
      <c r="F887" s="413">
        <v>5159.9</v>
      </c>
      <c r="G887" s="403"/>
      <c r="H887" s="349" t="s">
        <v>4092</v>
      </c>
      <c r="I887" s="736" t="str">
        <f t="shared" si="20"/>
        <v>NOT PAID</v>
      </c>
      <c r="J887" s="402"/>
      <c r="K887" s="402"/>
      <c r="L887" s="402"/>
      <c r="M887" s="402"/>
      <c r="N887" s="402"/>
      <c r="O887" s="402"/>
      <c r="P887" s="402"/>
      <c r="Q887" s="402"/>
      <c r="R887" s="402"/>
      <c r="S887" s="402"/>
      <c r="T887" s="402"/>
      <c r="U887" s="402"/>
      <c r="V887" s="402"/>
      <c r="W887" s="402"/>
      <c r="X887" s="402"/>
      <c r="Y887" s="402"/>
      <c r="Z887" s="402"/>
      <c r="AA887" s="405"/>
      <c r="AB887" s="405"/>
      <c r="AC887" s="405"/>
      <c r="AD887" s="405"/>
      <c r="AE887" s="405"/>
      <c r="AF887" s="405"/>
      <c r="AG887" s="405"/>
      <c r="AH887" s="405"/>
      <c r="AI887" s="405"/>
      <c r="AJ887" s="405"/>
      <c r="AK887" s="405"/>
      <c r="AL887" s="405"/>
    </row>
    <row r="888" ht="14.25" customHeight="1">
      <c r="A888" s="497">
        <v>45535.0</v>
      </c>
      <c r="B888" s="349" t="s">
        <v>3620</v>
      </c>
      <c r="C888" s="349" t="s">
        <v>3621</v>
      </c>
      <c r="D888" s="349" t="s">
        <v>54</v>
      </c>
      <c r="E888" s="349" t="s">
        <v>3617</v>
      </c>
      <c r="F888" s="413">
        <v>39333.0</v>
      </c>
      <c r="G888" s="403"/>
      <c r="H888" s="349" t="s">
        <v>4092</v>
      </c>
      <c r="I888" s="736" t="str">
        <f t="shared" si="20"/>
        <v>NOT PAID</v>
      </c>
      <c r="J888" s="402"/>
      <c r="K888" s="402"/>
      <c r="L888" s="402"/>
      <c r="M888" s="402"/>
      <c r="N888" s="402"/>
      <c r="O888" s="402"/>
      <c r="P888" s="402"/>
      <c r="Q888" s="402"/>
      <c r="R888" s="402"/>
      <c r="S888" s="402"/>
      <c r="T888" s="402"/>
      <c r="U888" s="402"/>
      <c r="V888" s="402"/>
      <c r="W888" s="402"/>
      <c r="X888" s="402"/>
      <c r="Y888" s="402"/>
      <c r="Z888" s="402"/>
      <c r="AA888" s="405"/>
      <c r="AB888" s="405"/>
      <c r="AC888" s="405"/>
      <c r="AD888" s="405"/>
      <c r="AE888" s="405"/>
      <c r="AF888" s="405"/>
      <c r="AG888" s="405"/>
      <c r="AH888" s="405"/>
      <c r="AI888" s="405"/>
      <c r="AJ888" s="405"/>
      <c r="AK888" s="405"/>
      <c r="AL888" s="405"/>
    </row>
    <row r="889" ht="14.25" customHeight="1">
      <c r="A889" s="497">
        <v>45535.0</v>
      </c>
      <c r="B889" s="349" t="s">
        <v>3573</v>
      </c>
      <c r="C889" s="349" t="s">
        <v>3574</v>
      </c>
      <c r="D889" s="349" t="s">
        <v>54</v>
      </c>
      <c r="E889" s="349" t="s">
        <v>3551</v>
      </c>
      <c r="F889" s="686">
        <v>239012.0</v>
      </c>
      <c r="G889" s="403"/>
      <c r="H889" s="349" t="s">
        <v>3706</v>
      </c>
      <c r="I889" s="736" t="str">
        <f t="shared" si="20"/>
        <v>NOT PAID</v>
      </c>
      <c r="J889" s="402"/>
      <c r="K889" s="402"/>
      <c r="L889" s="402"/>
      <c r="M889" s="402"/>
      <c r="N889" s="402"/>
      <c r="O889" s="402"/>
      <c r="P889" s="402"/>
      <c r="Q889" s="402"/>
      <c r="R889" s="402"/>
      <c r="S889" s="402"/>
      <c r="T889" s="402"/>
      <c r="U889" s="402"/>
      <c r="V889" s="402"/>
      <c r="W889" s="402"/>
      <c r="X889" s="402"/>
      <c r="Y889" s="402"/>
      <c r="Z889" s="402"/>
      <c r="AA889" s="405"/>
      <c r="AB889" s="405"/>
      <c r="AC889" s="405"/>
      <c r="AD889" s="405"/>
      <c r="AE889" s="405"/>
      <c r="AF889" s="405"/>
      <c r="AG889" s="405"/>
      <c r="AH889" s="405"/>
      <c r="AI889" s="405"/>
      <c r="AJ889" s="405"/>
      <c r="AK889" s="405"/>
      <c r="AL889" s="405"/>
    </row>
    <row r="890" ht="14.25" customHeight="1">
      <c r="A890" s="497">
        <v>45535.0</v>
      </c>
      <c r="B890" s="349" t="s">
        <v>3684</v>
      </c>
      <c r="C890" s="349" t="s">
        <v>4063</v>
      </c>
      <c r="D890" s="349" t="s">
        <v>54</v>
      </c>
      <c r="E890" s="349" t="s">
        <v>3617</v>
      </c>
      <c r="F890" s="413">
        <v>62784.98</v>
      </c>
      <c r="G890" s="413">
        <v>0.0</v>
      </c>
      <c r="H890" s="349" t="s">
        <v>2198</v>
      </c>
      <c r="I890" s="736" t="str">
        <f t="shared" si="20"/>
        <v>NOT PAID</v>
      </c>
      <c r="J890" s="402"/>
      <c r="K890" s="402"/>
      <c r="L890" s="402"/>
      <c r="M890" s="402"/>
      <c r="N890" s="402"/>
      <c r="O890" s="402"/>
      <c r="P890" s="402"/>
      <c r="Q890" s="402"/>
      <c r="R890" s="402"/>
      <c r="S890" s="402"/>
      <c r="T890" s="402"/>
      <c r="U890" s="402"/>
      <c r="V890" s="402"/>
      <c r="W890" s="402"/>
      <c r="X890" s="402"/>
      <c r="Y890" s="402"/>
      <c r="Z890" s="402"/>
      <c r="AA890" s="405"/>
      <c r="AB890" s="405"/>
      <c r="AC890" s="405"/>
      <c r="AD890" s="405"/>
      <c r="AE890" s="405"/>
      <c r="AF890" s="405"/>
      <c r="AG890" s="405"/>
      <c r="AH890" s="405"/>
      <c r="AI890" s="405"/>
      <c r="AJ890" s="405"/>
      <c r="AK890" s="405"/>
      <c r="AL890" s="405"/>
    </row>
    <row r="891" ht="14.25" customHeight="1">
      <c r="A891" s="497">
        <v>45535.0</v>
      </c>
      <c r="B891" s="349" t="s">
        <v>3676</v>
      </c>
      <c r="C891" s="349" t="s">
        <v>3677</v>
      </c>
      <c r="D891" s="349" t="s">
        <v>54</v>
      </c>
      <c r="E891" s="349" t="s">
        <v>3556</v>
      </c>
      <c r="F891" s="686">
        <v>146328.0</v>
      </c>
      <c r="G891" s="403"/>
      <c r="H891" s="349" t="s">
        <v>4094</v>
      </c>
      <c r="I891" s="736" t="str">
        <f t="shared" si="20"/>
        <v>NOT PAID</v>
      </c>
      <c r="J891" s="402"/>
      <c r="K891" s="402"/>
      <c r="L891" s="402"/>
      <c r="M891" s="402"/>
      <c r="N891" s="402"/>
      <c r="O891" s="402"/>
      <c r="P891" s="402"/>
      <c r="Q891" s="402"/>
      <c r="R891" s="402"/>
      <c r="S891" s="402"/>
      <c r="T891" s="402"/>
      <c r="U891" s="402"/>
      <c r="V891" s="402"/>
      <c r="W891" s="402"/>
      <c r="X891" s="402"/>
      <c r="Y891" s="402"/>
      <c r="Z891" s="402"/>
      <c r="AA891" s="405"/>
      <c r="AB891" s="405"/>
      <c r="AC891" s="405"/>
      <c r="AD891" s="405"/>
      <c r="AE891" s="405"/>
      <c r="AF891" s="405"/>
      <c r="AG891" s="405"/>
      <c r="AH891" s="405"/>
      <c r="AI891" s="405"/>
      <c r="AJ891" s="405"/>
      <c r="AK891" s="405"/>
      <c r="AL891" s="405"/>
    </row>
    <row r="892" ht="14.25" customHeight="1">
      <c r="A892" s="497">
        <v>45535.0</v>
      </c>
      <c r="B892" s="349" t="s">
        <v>3554</v>
      </c>
      <c r="C892" s="349" t="s">
        <v>3555</v>
      </c>
      <c r="D892" s="349" t="s">
        <v>54</v>
      </c>
      <c r="E892" s="349" t="s">
        <v>3556</v>
      </c>
      <c r="F892" s="686">
        <v>118622.0</v>
      </c>
      <c r="G892" s="403"/>
      <c r="H892" s="349" t="s">
        <v>4093</v>
      </c>
      <c r="I892" s="736" t="str">
        <f t="shared" si="20"/>
        <v>NOT PAID</v>
      </c>
      <c r="J892" s="402"/>
      <c r="K892" s="402"/>
      <c r="L892" s="402"/>
      <c r="M892" s="402"/>
      <c r="N892" s="402"/>
      <c r="O892" s="402"/>
      <c r="P892" s="402"/>
      <c r="Q892" s="402"/>
      <c r="R892" s="402"/>
      <c r="S892" s="402"/>
      <c r="T892" s="402"/>
      <c r="U892" s="402"/>
      <c r="V892" s="402"/>
      <c r="W892" s="402"/>
      <c r="X892" s="402"/>
      <c r="Y892" s="402"/>
      <c r="Z892" s="402"/>
      <c r="AA892" s="405"/>
      <c r="AB892" s="405"/>
      <c r="AC892" s="405"/>
      <c r="AD892" s="405"/>
      <c r="AE892" s="405"/>
      <c r="AF892" s="405"/>
      <c r="AG892" s="405"/>
      <c r="AH892" s="405"/>
      <c r="AI892" s="405"/>
      <c r="AJ892" s="405"/>
      <c r="AK892" s="405"/>
      <c r="AL892" s="405"/>
    </row>
    <row r="893" ht="14.25" customHeight="1">
      <c r="A893" s="497">
        <v>45535.0</v>
      </c>
      <c r="B893" s="349" t="s">
        <v>3718</v>
      </c>
      <c r="C893" s="349" t="s">
        <v>3719</v>
      </c>
      <c r="D893" s="349" t="s">
        <v>54</v>
      </c>
      <c r="E893" s="349" t="s">
        <v>3579</v>
      </c>
      <c r="F893" s="686">
        <v>132596.0</v>
      </c>
      <c r="G893" s="403"/>
      <c r="H893" s="349" t="s">
        <v>4093</v>
      </c>
      <c r="I893" s="736" t="str">
        <f t="shared" si="20"/>
        <v>NOT PAID</v>
      </c>
      <c r="J893" s="402"/>
      <c r="K893" s="402"/>
      <c r="L893" s="402"/>
      <c r="M893" s="402"/>
      <c r="N893" s="402"/>
      <c r="O893" s="402"/>
      <c r="P893" s="402"/>
      <c r="Q893" s="402"/>
      <c r="R893" s="402"/>
      <c r="S893" s="402"/>
      <c r="T893" s="402"/>
      <c r="U893" s="402"/>
      <c r="V893" s="402"/>
      <c r="W893" s="402"/>
      <c r="X893" s="402"/>
      <c r="Y893" s="402"/>
      <c r="Z893" s="402"/>
      <c r="AA893" s="405"/>
      <c r="AB893" s="405"/>
      <c r="AC893" s="405"/>
      <c r="AD893" s="405"/>
      <c r="AE893" s="405"/>
      <c r="AF893" s="405"/>
      <c r="AG893" s="405"/>
      <c r="AH893" s="405"/>
      <c r="AI893" s="405"/>
      <c r="AJ893" s="405"/>
      <c r="AK893" s="405"/>
      <c r="AL893" s="405"/>
    </row>
    <row r="894" ht="14.25" customHeight="1">
      <c r="A894" s="497">
        <v>45535.0</v>
      </c>
      <c r="B894" s="349" t="s">
        <v>3649</v>
      </c>
      <c r="C894" s="349" t="s">
        <v>3650</v>
      </c>
      <c r="D894" s="349" t="s">
        <v>54</v>
      </c>
      <c r="E894" s="349" t="s">
        <v>3551</v>
      </c>
      <c r="F894" s="686">
        <v>74382.0</v>
      </c>
      <c r="G894" s="403"/>
      <c r="H894" s="349" t="s">
        <v>4095</v>
      </c>
      <c r="I894" s="736" t="str">
        <f t="shared" si="20"/>
        <v>NOT PAID</v>
      </c>
      <c r="J894" s="402"/>
      <c r="K894" s="402"/>
      <c r="L894" s="402"/>
      <c r="M894" s="402"/>
      <c r="N894" s="402"/>
      <c r="O894" s="402"/>
      <c r="P894" s="402"/>
      <c r="Q894" s="402"/>
      <c r="R894" s="402"/>
      <c r="S894" s="402"/>
      <c r="T894" s="402"/>
      <c r="U894" s="402"/>
      <c r="V894" s="402"/>
      <c r="W894" s="402"/>
      <c r="X894" s="402"/>
      <c r="Y894" s="402"/>
      <c r="Z894" s="402"/>
      <c r="AA894" s="405"/>
      <c r="AB894" s="405"/>
      <c r="AC894" s="405"/>
      <c r="AD894" s="405"/>
      <c r="AE894" s="405"/>
      <c r="AF894" s="405"/>
      <c r="AG894" s="405"/>
      <c r="AH894" s="405"/>
      <c r="AI894" s="405"/>
      <c r="AJ894" s="405"/>
      <c r="AK894" s="405"/>
      <c r="AL894" s="405"/>
    </row>
    <row r="895" ht="14.25" customHeight="1">
      <c r="A895" s="497"/>
      <c r="B895" s="402"/>
      <c r="C895" s="402"/>
      <c r="D895" s="402"/>
      <c r="E895" s="402"/>
      <c r="F895" s="402"/>
      <c r="G895" s="403"/>
      <c r="H895" s="402"/>
      <c r="I895" s="736" t="str">
        <f t="shared" si="20"/>
        <v>FULLY PAID</v>
      </c>
      <c r="J895" s="402"/>
      <c r="K895" s="402"/>
      <c r="L895" s="402"/>
      <c r="M895" s="402"/>
      <c r="N895" s="402"/>
      <c r="O895" s="402"/>
      <c r="P895" s="402"/>
      <c r="Q895" s="402"/>
      <c r="R895" s="402"/>
      <c r="S895" s="402"/>
      <c r="T895" s="402"/>
      <c r="U895" s="402"/>
      <c r="V895" s="402"/>
      <c r="W895" s="402"/>
      <c r="X895" s="402"/>
      <c r="Y895" s="402"/>
      <c r="Z895" s="402"/>
      <c r="AA895" s="405"/>
      <c r="AB895" s="405"/>
      <c r="AC895" s="405"/>
      <c r="AD895" s="405"/>
      <c r="AE895" s="405"/>
      <c r="AF895" s="405"/>
      <c r="AG895" s="405"/>
      <c r="AH895" s="405"/>
      <c r="AI895" s="405"/>
      <c r="AJ895" s="405"/>
      <c r="AK895" s="405"/>
      <c r="AL895" s="405"/>
    </row>
    <row r="896" ht="14.25" customHeight="1">
      <c r="A896" s="497"/>
      <c r="B896" s="402"/>
      <c r="C896" s="402"/>
      <c r="D896" s="402"/>
      <c r="E896" s="402"/>
      <c r="F896" s="402"/>
      <c r="G896" s="403"/>
      <c r="H896" s="402"/>
      <c r="I896" s="736"/>
      <c r="J896" s="402"/>
      <c r="K896" s="402"/>
      <c r="L896" s="402"/>
      <c r="M896" s="402"/>
      <c r="N896" s="402"/>
      <c r="O896" s="402"/>
      <c r="P896" s="402"/>
      <c r="Q896" s="402"/>
      <c r="R896" s="402"/>
      <c r="S896" s="402"/>
      <c r="T896" s="402"/>
      <c r="U896" s="402"/>
      <c r="V896" s="402"/>
      <c r="W896" s="402"/>
      <c r="X896" s="402"/>
      <c r="Y896" s="402"/>
      <c r="Z896" s="402"/>
      <c r="AA896" s="405"/>
      <c r="AB896" s="405"/>
      <c r="AC896" s="405"/>
      <c r="AD896" s="405"/>
      <c r="AE896" s="405"/>
      <c r="AF896" s="405"/>
      <c r="AG896" s="405"/>
      <c r="AH896" s="405"/>
      <c r="AI896" s="405"/>
      <c r="AJ896" s="405"/>
      <c r="AK896" s="405"/>
      <c r="AL896" s="405"/>
    </row>
    <row r="897" ht="14.25" customHeight="1">
      <c r="A897" s="584" t="s">
        <v>2130</v>
      </c>
      <c r="B897" s="584" t="s">
        <v>39</v>
      </c>
      <c r="C897" s="584" t="s">
        <v>48</v>
      </c>
      <c r="D897" s="584" t="s">
        <v>49</v>
      </c>
      <c r="E897" s="584" t="s">
        <v>50</v>
      </c>
      <c r="F897" s="584" t="s">
        <v>2</v>
      </c>
      <c r="G897" s="586" t="s">
        <v>44</v>
      </c>
      <c r="H897" s="424" t="s">
        <v>45</v>
      </c>
      <c r="I897" s="736"/>
      <c r="J897" s="402"/>
      <c r="K897" s="402"/>
      <c r="L897" s="402"/>
      <c r="M897" s="402"/>
      <c r="N897" s="402"/>
      <c r="O897" s="402"/>
      <c r="P897" s="402"/>
      <c r="Q897" s="402"/>
      <c r="R897" s="402"/>
      <c r="S897" s="402"/>
      <c r="T897" s="402"/>
      <c r="U897" s="402"/>
      <c r="V897" s="402"/>
      <c r="W897" s="402"/>
      <c r="X897" s="402"/>
      <c r="Y897" s="402"/>
      <c r="Z897" s="402"/>
      <c r="AA897" s="405"/>
      <c r="AB897" s="405"/>
      <c r="AC897" s="405"/>
      <c r="AD897" s="405"/>
      <c r="AE897" s="405"/>
      <c r="AF897" s="405"/>
      <c r="AG897" s="405"/>
      <c r="AH897" s="405"/>
      <c r="AI897" s="405"/>
      <c r="AJ897" s="405"/>
      <c r="AK897" s="405"/>
      <c r="AL897" s="405"/>
    </row>
    <row r="898" ht="14.25" customHeight="1">
      <c r="A898" s="497">
        <v>45537.0</v>
      </c>
      <c r="B898" s="349" t="s">
        <v>3978</v>
      </c>
      <c r="C898" s="349" t="s">
        <v>3979</v>
      </c>
      <c r="D898" s="349" t="s">
        <v>54</v>
      </c>
      <c r="E898" s="349" t="s">
        <v>3551</v>
      </c>
      <c r="F898" s="559">
        <v>56441.0</v>
      </c>
      <c r="G898" s="403"/>
      <c r="H898" s="349" t="s">
        <v>4096</v>
      </c>
      <c r="I898" s="402"/>
      <c r="J898" s="402"/>
      <c r="K898" s="402"/>
      <c r="L898" s="402"/>
      <c r="M898" s="402"/>
      <c r="N898" s="402"/>
      <c r="O898" s="402"/>
      <c r="P898" s="402"/>
      <c r="Q898" s="402"/>
      <c r="R898" s="402"/>
      <c r="S898" s="402"/>
      <c r="T898" s="402"/>
      <c r="U898" s="402"/>
      <c r="V898" s="402"/>
      <c r="W898" s="402"/>
      <c r="X898" s="402"/>
      <c r="Y898" s="402"/>
      <c r="Z898" s="402"/>
      <c r="AA898" s="405"/>
      <c r="AB898" s="405"/>
      <c r="AC898" s="405"/>
      <c r="AD898" s="405"/>
      <c r="AE898" s="405"/>
      <c r="AF898" s="405"/>
      <c r="AG898" s="405"/>
      <c r="AH898" s="405"/>
      <c r="AI898" s="405"/>
      <c r="AJ898" s="405"/>
      <c r="AK898" s="405"/>
      <c r="AL898" s="405"/>
    </row>
    <row r="899" ht="14.25" customHeight="1">
      <c r="A899" s="497">
        <v>45537.0</v>
      </c>
      <c r="B899" s="349" t="s">
        <v>3758</v>
      </c>
      <c r="C899" s="349" t="s">
        <v>3759</v>
      </c>
      <c r="D899" s="349" t="s">
        <v>263</v>
      </c>
      <c r="E899" s="349" t="s">
        <v>3617</v>
      </c>
      <c r="F899" s="413">
        <v>47680.0</v>
      </c>
      <c r="G899" s="403"/>
      <c r="H899" s="349" t="s">
        <v>4096</v>
      </c>
      <c r="I899" s="402"/>
      <c r="J899" s="402"/>
      <c r="K899" s="402"/>
      <c r="L899" s="402"/>
      <c r="M899" s="402"/>
      <c r="N899" s="402"/>
      <c r="O899" s="402"/>
      <c r="P899" s="402"/>
      <c r="Q899" s="402"/>
      <c r="R899" s="402"/>
      <c r="S899" s="402"/>
      <c r="T899" s="402"/>
      <c r="U899" s="402"/>
      <c r="V899" s="402"/>
      <c r="W899" s="402"/>
      <c r="X899" s="402"/>
      <c r="Y899" s="402"/>
      <c r="Z899" s="402"/>
      <c r="AA899" s="405"/>
      <c r="AB899" s="405"/>
      <c r="AC899" s="405"/>
      <c r="AD899" s="405"/>
      <c r="AE899" s="405"/>
      <c r="AF899" s="405"/>
      <c r="AG899" s="405"/>
      <c r="AH899" s="405"/>
      <c r="AI899" s="405"/>
      <c r="AJ899" s="405"/>
      <c r="AK899" s="405"/>
      <c r="AL899" s="405"/>
    </row>
    <row r="900" ht="14.25" customHeight="1">
      <c r="A900" s="497">
        <v>45537.0</v>
      </c>
      <c r="B900" s="607" t="s">
        <v>3770</v>
      </c>
      <c r="C900" s="607" t="s">
        <v>3771</v>
      </c>
      <c r="D900" s="349" t="s">
        <v>54</v>
      </c>
      <c r="E900" s="349" t="s">
        <v>3551</v>
      </c>
      <c r="F900" s="413">
        <v>10000.0</v>
      </c>
      <c r="G900" s="413">
        <v>19123.0</v>
      </c>
      <c r="H900" s="349" t="s">
        <v>710</v>
      </c>
      <c r="I900" s="402"/>
      <c r="J900" s="402"/>
      <c r="K900" s="402"/>
      <c r="L900" s="402"/>
      <c r="M900" s="402"/>
      <c r="N900" s="402"/>
      <c r="O900" s="402"/>
      <c r="P900" s="402"/>
      <c r="Q900" s="402"/>
      <c r="R900" s="402"/>
      <c r="S900" s="402"/>
      <c r="T900" s="402"/>
      <c r="U900" s="402"/>
      <c r="V900" s="402"/>
      <c r="W900" s="402"/>
      <c r="X900" s="402"/>
      <c r="Y900" s="402"/>
      <c r="Z900" s="402"/>
      <c r="AA900" s="405"/>
      <c r="AB900" s="405"/>
      <c r="AC900" s="405"/>
      <c r="AD900" s="405"/>
      <c r="AE900" s="405"/>
      <c r="AF900" s="405"/>
      <c r="AG900" s="405"/>
      <c r="AH900" s="405"/>
      <c r="AI900" s="405"/>
      <c r="AJ900" s="405"/>
      <c r="AK900" s="405"/>
      <c r="AL900" s="405"/>
    </row>
    <row r="901" ht="14.25" customHeight="1">
      <c r="A901" s="497">
        <v>45537.0</v>
      </c>
      <c r="B901" s="349" t="s">
        <v>3684</v>
      </c>
      <c r="C901" s="349" t="s">
        <v>4063</v>
      </c>
      <c r="D901" s="349" t="s">
        <v>54</v>
      </c>
      <c r="E901" s="349" t="s">
        <v>3551</v>
      </c>
      <c r="F901" s="413">
        <v>5491.93</v>
      </c>
      <c r="G901" s="413">
        <v>5960.0</v>
      </c>
      <c r="H901" s="349" t="s">
        <v>710</v>
      </c>
      <c r="I901" s="402"/>
      <c r="J901" s="402"/>
      <c r="K901" s="402"/>
      <c r="L901" s="402"/>
      <c r="M901" s="402"/>
      <c r="N901" s="402"/>
      <c r="O901" s="402"/>
      <c r="P901" s="402"/>
      <c r="Q901" s="402"/>
      <c r="R901" s="402"/>
      <c r="S901" s="402"/>
      <c r="T901" s="402"/>
      <c r="U901" s="402"/>
      <c r="V901" s="402"/>
      <c r="W901" s="402"/>
      <c r="X901" s="402"/>
      <c r="Y901" s="402"/>
      <c r="Z901" s="402"/>
      <c r="AA901" s="405"/>
      <c r="AB901" s="405"/>
      <c r="AC901" s="405"/>
      <c r="AD901" s="405"/>
      <c r="AE901" s="405"/>
      <c r="AF901" s="405"/>
      <c r="AG901" s="405"/>
      <c r="AH901" s="405"/>
      <c r="AI901" s="405"/>
      <c r="AJ901" s="405"/>
      <c r="AK901" s="405"/>
      <c r="AL901" s="405"/>
    </row>
    <row r="902" ht="14.25" customHeight="1">
      <c r="A902" s="497">
        <v>45537.0</v>
      </c>
      <c r="B902" s="349" t="s">
        <v>3789</v>
      </c>
      <c r="C902" s="349" t="s">
        <v>3790</v>
      </c>
      <c r="D902" s="349" t="s">
        <v>54</v>
      </c>
      <c r="E902" s="349" t="s">
        <v>3617</v>
      </c>
      <c r="F902" s="413">
        <v>6589.0</v>
      </c>
      <c r="G902" s="403"/>
      <c r="H902" s="349" t="s">
        <v>4097</v>
      </c>
      <c r="I902" s="402"/>
      <c r="J902" s="402"/>
      <c r="K902" s="402"/>
      <c r="L902" s="402"/>
      <c r="M902" s="402"/>
      <c r="N902" s="402"/>
      <c r="O902" s="402"/>
      <c r="P902" s="402"/>
      <c r="Q902" s="402"/>
      <c r="R902" s="402"/>
      <c r="S902" s="402"/>
      <c r="T902" s="402"/>
      <c r="U902" s="402"/>
      <c r="V902" s="402"/>
      <c r="W902" s="402"/>
      <c r="X902" s="402"/>
      <c r="Y902" s="402"/>
      <c r="Z902" s="402"/>
      <c r="AA902" s="405"/>
      <c r="AB902" s="405"/>
      <c r="AC902" s="405"/>
      <c r="AD902" s="405"/>
      <c r="AE902" s="405"/>
      <c r="AF902" s="405"/>
      <c r="AG902" s="405"/>
      <c r="AH902" s="405"/>
      <c r="AI902" s="405"/>
      <c r="AJ902" s="405"/>
      <c r="AK902" s="405"/>
      <c r="AL902" s="405"/>
    </row>
    <row r="903" ht="14.25" customHeight="1">
      <c r="A903" s="497">
        <v>45537.0</v>
      </c>
      <c r="B903" s="349" t="s">
        <v>3710</v>
      </c>
      <c r="C903" s="349" t="s">
        <v>3711</v>
      </c>
      <c r="D903" s="349" t="s">
        <v>54</v>
      </c>
      <c r="E903" s="349" t="s">
        <v>3556</v>
      </c>
      <c r="F903" s="413">
        <v>37617.69</v>
      </c>
      <c r="G903" s="403"/>
      <c r="H903" s="349" t="s">
        <v>4096</v>
      </c>
      <c r="I903" s="402"/>
      <c r="J903" s="402"/>
      <c r="K903" s="402"/>
      <c r="L903" s="402"/>
      <c r="M903" s="402"/>
      <c r="N903" s="402"/>
      <c r="O903" s="402"/>
      <c r="P903" s="402"/>
      <c r="Q903" s="402"/>
      <c r="R903" s="402"/>
      <c r="S903" s="402"/>
      <c r="T903" s="402"/>
      <c r="U903" s="402"/>
      <c r="V903" s="402"/>
      <c r="W903" s="402"/>
      <c r="X903" s="402"/>
      <c r="Y903" s="402"/>
      <c r="Z903" s="402"/>
      <c r="AA903" s="405"/>
      <c r="AB903" s="405"/>
      <c r="AC903" s="405"/>
      <c r="AD903" s="405"/>
      <c r="AE903" s="405"/>
      <c r="AF903" s="405"/>
      <c r="AG903" s="405"/>
      <c r="AH903" s="405"/>
      <c r="AI903" s="405"/>
      <c r="AJ903" s="405"/>
      <c r="AK903" s="405"/>
      <c r="AL903" s="405"/>
    </row>
    <row r="904" ht="14.25" customHeight="1">
      <c r="A904" s="497">
        <v>45537.0</v>
      </c>
      <c r="B904" s="607" t="s">
        <v>3765</v>
      </c>
      <c r="C904" s="349" t="s">
        <v>3766</v>
      </c>
      <c r="D904" s="349" t="s">
        <v>54</v>
      </c>
      <c r="E904" s="349" t="s">
        <v>3617</v>
      </c>
      <c r="F904" s="413">
        <v>18731.84</v>
      </c>
      <c r="G904" s="413">
        <v>31200.0</v>
      </c>
      <c r="H904" s="349" t="s">
        <v>710</v>
      </c>
      <c r="I904" s="402"/>
      <c r="J904" s="402"/>
      <c r="K904" s="402"/>
      <c r="L904" s="402"/>
      <c r="M904" s="402"/>
      <c r="N904" s="402"/>
      <c r="O904" s="402"/>
      <c r="P904" s="402"/>
      <c r="Q904" s="402"/>
      <c r="R904" s="402"/>
      <c r="S904" s="402"/>
      <c r="T904" s="402"/>
      <c r="U904" s="402"/>
      <c r="V904" s="402"/>
      <c r="W904" s="402"/>
      <c r="X904" s="402"/>
      <c r="Y904" s="402"/>
      <c r="Z904" s="402"/>
      <c r="AA904" s="405"/>
      <c r="AB904" s="405"/>
      <c r="AC904" s="405"/>
      <c r="AD904" s="405"/>
      <c r="AE904" s="405"/>
      <c r="AF904" s="405"/>
      <c r="AG904" s="405"/>
      <c r="AH904" s="405"/>
      <c r="AI904" s="405"/>
      <c r="AJ904" s="405"/>
      <c r="AK904" s="405"/>
      <c r="AL904" s="405"/>
    </row>
    <row r="905" ht="14.25" customHeight="1">
      <c r="A905" s="497">
        <v>45537.0</v>
      </c>
      <c r="B905" s="349" t="s">
        <v>3687</v>
      </c>
      <c r="C905" s="349" t="s">
        <v>3688</v>
      </c>
      <c r="D905" s="349" t="s">
        <v>54</v>
      </c>
      <c r="E905" s="349" t="s">
        <v>3617</v>
      </c>
      <c r="F905" s="413">
        <v>99612.46</v>
      </c>
      <c r="G905" s="403"/>
      <c r="H905" s="349" t="s">
        <v>4097</v>
      </c>
      <c r="I905" s="402"/>
      <c r="J905" s="402"/>
      <c r="K905" s="402"/>
      <c r="L905" s="402"/>
      <c r="M905" s="402"/>
      <c r="N905" s="402"/>
      <c r="O905" s="402"/>
      <c r="P905" s="402"/>
      <c r="Q905" s="402"/>
      <c r="R905" s="402"/>
      <c r="S905" s="402"/>
      <c r="T905" s="402"/>
      <c r="U905" s="402"/>
      <c r="V905" s="402"/>
      <c r="W905" s="402"/>
      <c r="X905" s="402"/>
      <c r="Y905" s="402"/>
      <c r="Z905" s="402"/>
      <c r="AA905" s="405"/>
      <c r="AB905" s="405"/>
      <c r="AC905" s="405"/>
      <c r="AD905" s="405"/>
      <c r="AE905" s="405"/>
      <c r="AF905" s="405"/>
      <c r="AG905" s="405"/>
      <c r="AH905" s="405"/>
      <c r="AI905" s="405"/>
      <c r="AJ905" s="405"/>
      <c r="AK905" s="405"/>
      <c r="AL905" s="405"/>
    </row>
    <row r="906" ht="14.25" customHeight="1">
      <c r="A906" s="497">
        <v>45537.0</v>
      </c>
      <c r="B906" s="349" t="s">
        <v>3830</v>
      </c>
      <c r="C906" s="349" t="s">
        <v>3829</v>
      </c>
      <c r="D906" s="349" t="s">
        <v>346</v>
      </c>
      <c r="E906" s="349" t="s">
        <v>3579</v>
      </c>
      <c r="F906" s="413">
        <v>5159.9</v>
      </c>
      <c r="G906" s="403"/>
      <c r="H906" s="349" t="s">
        <v>4096</v>
      </c>
      <c r="I906" s="402"/>
      <c r="J906" s="402"/>
      <c r="K906" s="402"/>
      <c r="L906" s="402"/>
      <c r="M906" s="402"/>
      <c r="N906" s="402"/>
      <c r="O906" s="402"/>
      <c r="P906" s="402"/>
      <c r="Q906" s="402"/>
      <c r="R906" s="402"/>
      <c r="S906" s="402"/>
      <c r="T906" s="402"/>
      <c r="U906" s="402"/>
      <c r="V906" s="402"/>
      <c r="W906" s="402"/>
      <c r="X906" s="402"/>
      <c r="Y906" s="402"/>
      <c r="Z906" s="402"/>
      <c r="AA906" s="405"/>
      <c r="AB906" s="405"/>
      <c r="AC906" s="405"/>
      <c r="AD906" s="405"/>
      <c r="AE906" s="405"/>
      <c r="AF906" s="405"/>
      <c r="AG906" s="405"/>
      <c r="AH906" s="405"/>
      <c r="AI906" s="405"/>
      <c r="AJ906" s="405"/>
      <c r="AK906" s="405"/>
      <c r="AL906" s="405"/>
    </row>
    <row r="907" ht="14.25" customHeight="1">
      <c r="A907" s="497">
        <v>45537.0</v>
      </c>
      <c r="B907" s="349" t="s">
        <v>3620</v>
      </c>
      <c r="C907" s="349" t="s">
        <v>3621</v>
      </c>
      <c r="D907" s="349" t="s">
        <v>54</v>
      </c>
      <c r="E907" s="349" t="s">
        <v>3617</v>
      </c>
      <c r="F907" s="413">
        <v>39333.0</v>
      </c>
      <c r="G907" s="403"/>
      <c r="H907" s="349" t="s">
        <v>4096</v>
      </c>
      <c r="I907" s="402"/>
      <c r="J907" s="402"/>
      <c r="K907" s="402"/>
      <c r="L907" s="402"/>
      <c r="M907" s="402"/>
      <c r="N907" s="402"/>
      <c r="O907" s="402"/>
      <c r="P907" s="402"/>
      <c r="Q907" s="402"/>
      <c r="R907" s="402"/>
      <c r="S907" s="402"/>
      <c r="T907" s="402"/>
      <c r="U907" s="402"/>
      <c r="V907" s="402"/>
      <c r="W907" s="402"/>
      <c r="X907" s="402"/>
      <c r="Y907" s="402"/>
      <c r="Z907" s="402"/>
      <c r="AA907" s="405"/>
      <c r="AB907" s="405"/>
      <c r="AC907" s="405"/>
      <c r="AD907" s="405"/>
      <c r="AE907" s="405"/>
      <c r="AF907" s="405"/>
      <c r="AG907" s="405"/>
      <c r="AH907" s="405"/>
      <c r="AI907" s="405"/>
      <c r="AJ907" s="405"/>
      <c r="AK907" s="405"/>
      <c r="AL907" s="405"/>
    </row>
    <row r="908" ht="14.25" customHeight="1">
      <c r="A908" s="497">
        <v>45537.0</v>
      </c>
      <c r="B908" s="349" t="s">
        <v>3573</v>
      </c>
      <c r="C908" s="349" t="s">
        <v>3574</v>
      </c>
      <c r="D908" s="349" t="s">
        <v>54</v>
      </c>
      <c r="E908" s="349" t="s">
        <v>3551</v>
      </c>
      <c r="F908" s="686">
        <v>239012.0</v>
      </c>
      <c r="G908" s="403"/>
      <c r="H908" s="349" t="s">
        <v>3994</v>
      </c>
      <c r="I908" s="402"/>
      <c r="J908" s="402"/>
      <c r="K908" s="402"/>
      <c r="L908" s="402"/>
      <c r="M908" s="402"/>
      <c r="N908" s="402"/>
      <c r="O908" s="402"/>
      <c r="P908" s="402"/>
      <c r="Q908" s="402"/>
      <c r="R908" s="402"/>
      <c r="S908" s="402"/>
      <c r="T908" s="402"/>
      <c r="U908" s="402"/>
      <c r="V908" s="402"/>
      <c r="W908" s="402"/>
      <c r="X908" s="402"/>
      <c r="Y908" s="402"/>
      <c r="Z908" s="402"/>
      <c r="AA908" s="405"/>
      <c r="AB908" s="405"/>
      <c r="AC908" s="405"/>
      <c r="AD908" s="405"/>
      <c r="AE908" s="405"/>
      <c r="AF908" s="405"/>
      <c r="AG908" s="405"/>
      <c r="AH908" s="405"/>
      <c r="AI908" s="405"/>
      <c r="AJ908" s="405"/>
      <c r="AK908" s="405"/>
      <c r="AL908" s="405"/>
    </row>
    <row r="909" ht="14.25" customHeight="1">
      <c r="A909" s="497">
        <v>45537.0</v>
      </c>
      <c r="B909" s="607" t="s">
        <v>3738</v>
      </c>
      <c r="C909" s="349" t="s">
        <v>4063</v>
      </c>
      <c r="D909" s="349" t="s">
        <v>346</v>
      </c>
      <c r="E909" s="349" t="s">
        <v>3617</v>
      </c>
      <c r="F909" s="756">
        <v>8146.0</v>
      </c>
      <c r="G909" s="413">
        <v>8560.0</v>
      </c>
      <c r="H909" s="349" t="s">
        <v>710</v>
      </c>
      <c r="I909" s="402"/>
      <c r="J909" s="402"/>
      <c r="K909" s="402"/>
      <c r="L909" s="402"/>
      <c r="M909" s="402"/>
      <c r="N909" s="402"/>
      <c r="O909" s="402"/>
      <c r="P909" s="402"/>
      <c r="Q909" s="402"/>
      <c r="R909" s="402"/>
      <c r="S909" s="402"/>
      <c r="T909" s="402"/>
      <c r="U909" s="402"/>
      <c r="V909" s="402"/>
      <c r="W909" s="402"/>
      <c r="X909" s="402"/>
      <c r="Y909" s="402"/>
      <c r="Z909" s="402"/>
      <c r="AA909" s="405"/>
      <c r="AB909" s="405"/>
      <c r="AC909" s="405"/>
      <c r="AD909" s="405"/>
      <c r="AE909" s="405"/>
      <c r="AF909" s="405"/>
      <c r="AG909" s="405"/>
      <c r="AH909" s="405"/>
      <c r="AI909" s="405"/>
      <c r="AJ909" s="405"/>
      <c r="AK909" s="405"/>
      <c r="AL909" s="405"/>
    </row>
    <row r="910" ht="14.25" customHeight="1">
      <c r="A910" s="497">
        <v>45537.0</v>
      </c>
      <c r="B910" s="349" t="s">
        <v>3676</v>
      </c>
      <c r="C910" s="349" t="s">
        <v>3677</v>
      </c>
      <c r="D910" s="349" t="s">
        <v>54</v>
      </c>
      <c r="E910" s="349" t="s">
        <v>3556</v>
      </c>
      <c r="F910" s="686">
        <v>146328.0</v>
      </c>
      <c r="G910" s="403"/>
      <c r="H910" s="349" t="s">
        <v>4098</v>
      </c>
      <c r="I910" s="402"/>
      <c r="J910" s="402"/>
      <c r="K910" s="402"/>
      <c r="L910" s="402"/>
      <c r="M910" s="402"/>
      <c r="N910" s="402"/>
      <c r="O910" s="402"/>
      <c r="P910" s="402"/>
      <c r="Q910" s="402"/>
      <c r="R910" s="402"/>
      <c r="S910" s="402"/>
      <c r="T910" s="402"/>
      <c r="U910" s="402"/>
      <c r="V910" s="402"/>
      <c r="W910" s="402"/>
      <c r="X910" s="402"/>
      <c r="Y910" s="402"/>
      <c r="Z910" s="402"/>
      <c r="AA910" s="405"/>
      <c r="AB910" s="405"/>
      <c r="AC910" s="405"/>
      <c r="AD910" s="405"/>
      <c r="AE910" s="405"/>
      <c r="AF910" s="405"/>
      <c r="AG910" s="405"/>
      <c r="AH910" s="405"/>
      <c r="AI910" s="405"/>
      <c r="AJ910" s="405"/>
      <c r="AK910" s="405"/>
      <c r="AL910" s="405"/>
    </row>
    <row r="911" ht="14.25" customHeight="1">
      <c r="A911" s="497">
        <v>45537.0</v>
      </c>
      <c r="B911" s="349" t="s">
        <v>3554</v>
      </c>
      <c r="C911" s="349" t="s">
        <v>3555</v>
      </c>
      <c r="D911" s="349" t="s">
        <v>54</v>
      </c>
      <c r="E911" s="349" t="s">
        <v>3556</v>
      </c>
      <c r="F911" s="686">
        <v>118622.0</v>
      </c>
      <c r="G911" s="403"/>
      <c r="H911" s="349" t="s">
        <v>4097</v>
      </c>
      <c r="I911" s="402"/>
      <c r="J911" s="402"/>
      <c r="K911" s="402"/>
      <c r="L911" s="402"/>
      <c r="M911" s="402"/>
      <c r="N911" s="402"/>
      <c r="O911" s="402"/>
      <c r="P911" s="402"/>
      <c r="Q911" s="402"/>
      <c r="R911" s="402"/>
      <c r="S911" s="402"/>
      <c r="T911" s="402"/>
      <c r="U911" s="402"/>
      <c r="V911" s="402"/>
      <c r="W911" s="402"/>
      <c r="X911" s="402"/>
      <c r="Y911" s="402"/>
      <c r="Z911" s="402"/>
      <c r="AA911" s="405"/>
      <c r="AB911" s="405"/>
      <c r="AC911" s="405"/>
      <c r="AD911" s="405"/>
      <c r="AE911" s="405"/>
      <c r="AF911" s="405"/>
      <c r="AG911" s="405"/>
      <c r="AH911" s="405"/>
      <c r="AI911" s="405"/>
      <c r="AJ911" s="405"/>
      <c r="AK911" s="405"/>
      <c r="AL911" s="405"/>
    </row>
    <row r="912" ht="14.25" customHeight="1">
      <c r="A912" s="497">
        <v>45537.0</v>
      </c>
      <c r="B912" s="349" t="s">
        <v>3718</v>
      </c>
      <c r="C912" s="349" t="s">
        <v>3719</v>
      </c>
      <c r="D912" s="349" t="s">
        <v>54</v>
      </c>
      <c r="E912" s="349" t="s">
        <v>3579</v>
      </c>
      <c r="F912" s="686">
        <v>132596.0</v>
      </c>
      <c r="G912" s="403"/>
      <c r="H912" s="349" t="s">
        <v>4097</v>
      </c>
      <c r="I912" s="402"/>
      <c r="J912" s="402"/>
      <c r="K912" s="402"/>
      <c r="L912" s="402"/>
      <c r="M912" s="402"/>
      <c r="N912" s="402"/>
      <c r="O912" s="402"/>
      <c r="P912" s="402"/>
      <c r="Q912" s="402"/>
      <c r="R912" s="402"/>
      <c r="S912" s="402"/>
      <c r="T912" s="402"/>
      <c r="U912" s="402"/>
      <c r="V912" s="402"/>
      <c r="W912" s="402"/>
      <c r="X912" s="402"/>
      <c r="Y912" s="402"/>
      <c r="Z912" s="402"/>
      <c r="AA912" s="405"/>
      <c r="AB912" s="405"/>
      <c r="AC912" s="405"/>
      <c r="AD912" s="405"/>
      <c r="AE912" s="405"/>
      <c r="AF912" s="405"/>
      <c r="AG912" s="405"/>
      <c r="AH912" s="405"/>
      <c r="AI912" s="405"/>
      <c r="AJ912" s="405"/>
      <c r="AK912" s="405"/>
      <c r="AL912" s="405"/>
    </row>
    <row r="913" ht="14.25" customHeight="1">
      <c r="A913" s="497">
        <v>45537.0</v>
      </c>
      <c r="B913" s="798" t="s">
        <v>3914</v>
      </c>
      <c r="C913" s="349" t="s">
        <v>3915</v>
      </c>
      <c r="D913" s="349" t="s">
        <v>54</v>
      </c>
      <c r="E913" s="349" t="s">
        <v>3551</v>
      </c>
      <c r="F913" s="686">
        <v>74382.0</v>
      </c>
      <c r="G913" s="413">
        <v>81345.0</v>
      </c>
      <c r="H913" s="349" t="s">
        <v>710</v>
      </c>
      <c r="I913" s="402"/>
      <c r="J913" s="402"/>
      <c r="K913" s="402"/>
      <c r="L913" s="402"/>
      <c r="M913" s="402"/>
      <c r="N913" s="402"/>
      <c r="O913" s="402"/>
      <c r="P913" s="402"/>
      <c r="Q913" s="402"/>
      <c r="R913" s="402"/>
      <c r="S913" s="402"/>
      <c r="T913" s="402"/>
      <c r="U913" s="402"/>
      <c r="V913" s="402"/>
      <c r="W913" s="402"/>
      <c r="X913" s="402"/>
      <c r="Y913" s="402"/>
      <c r="Z913" s="402"/>
      <c r="AA913" s="405"/>
      <c r="AB913" s="405"/>
      <c r="AC913" s="405"/>
      <c r="AD913" s="405"/>
      <c r="AE913" s="405"/>
      <c r="AF913" s="405"/>
      <c r="AG913" s="405"/>
      <c r="AH913" s="405"/>
      <c r="AI913" s="405"/>
      <c r="AJ913" s="405"/>
      <c r="AK913" s="405"/>
      <c r="AL913" s="405"/>
    </row>
    <row r="914" ht="14.25" customHeight="1">
      <c r="A914" s="497">
        <v>45537.0</v>
      </c>
      <c r="B914" s="349" t="s">
        <v>3571</v>
      </c>
      <c r="C914" s="349" t="s">
        <v>3572</v>
      </c>
      <c r="D914" s="349" t="s">
        <v>54</v>
      </c>
      <c r="E914" s="349" t="s">
        <v>3579</v>
      </c>
      <c r="F914" s="686">
        <v>44000.0</v>
      </c>
      <c r="G914" s="403"/>
      <c r="H914" s="349" t="s">
        <v>4057</v>
      </c>
      <c r="I914" s="402"/>
      <c r="J914" s="402"/>
      <c r="K914" s="402"/>
      <c r="L914" s="402"/>
      <c r="M914" s="402"/>
      <c r="N914" s="402"/>
      <c r="O914" s="402"/>
      <c r="P914" s="402"/>
      <c r="Q914" s="402"/>
      <c r="R914" s="402"/>
      <c r="S914" s="402"/>
      <c r="T914" s="402"/>
      <c r="U914" s="402"/>
      <c r="V914" s="402"/>
      <c r="W914" s="402"/>
      <c r="X914" s="402"/>
      <c r="Y914" s="402"/>
      <c r="Z914" s="402"/>
      <c r="AA914" s="405"/>
      <c r="AB914" s="405"/>
      <c r="AC914" s="405"/>
      <c r="AD914" s="405"/>
      <c r="AE914" s="405"/>
      <c r="AF914" s="405"/>
      <c r="AG914" s="405"/>
      <c r="AH914" s="405"/>
      <c r="AI914" s="405"/>
      <c r="AJ914" s="405"/>
      <c r="AK914" s="405"/>
      <c r="AL914" s="405"/>
    </row>
    <row r="915" ht="14.25" customHeight="1">
      <c r="A915" s="497">
        <v>45537.0</v>
      </c>
      <c r="B915" s="349" t="s">
        <v>3601</v>
      </c>
      <c r="C915" s="349" t="s">
        <v>3602</v>
      </c>
      <c r="D915" s="349" t="s">
        <v>54</v>
      </c>
      <c r="E915" s="349" t="s">
        <v>3551</v>
      </c>
      <c r="F915" s="686">
        <v>4500.0</v>
      </c>
      <c r="G915" s="403"/>
      <c r="H915" s="349" t="s">
        <v>4097</v>
      </c>
      <c r="I915" s="402"/>
      <c r="J915" s="402"/>
      <c r="K915" s="402"/>
      <c r="L915" s="402"/>
      <c r="M915" s="402"/>
      <c r="N915" s="402"/>
      <c r="O915" s="402"/>
      <c r="P915" s="402"/>
      <c r="Q915" s="402"/>
      <c r="R915" s="402"/>
      <c r="S915" s="402"/>
      <c r="T915" s="402"/>
      <c r="U915" s="402"/>
      <c r="V915" s="402"/>
      <c r="W915" s="402"/>
      <c r="X915" s="402"/>
      <c r="Y915" s="402"/>
      <c r="Z915" s="402"/>
      <c r="AA915" s="405"/>
      <c r="AB915" s="405"/>
      <c r="AC915" s="405"/>
      <c r="AD915" s="405"/>
      <c r="AE915" s="405"/>
      <c r="AF915" s="405"/>
      <c r="AG915" s="405"/>
      <c r="AH915" s="405"/>
      <c r="AI915" s="405"/>
      <c r="AJ915" s="405"/>
      <c r="AK915" s="405"/>
      <c r="AL915" s="405"/>
    </row>
    <row r="916" ht="14.25" customHeight="1">
      <c r="A916" s="497">
        <v>45537.0</v>
      </c>
      <c r="B916" s="349" t="s">
        <v>3563</v>
      </c>
      <c r="C916" s="349" t="s">
        <v>3564</v>
      </c>
      <c r="D916" s="349" t="s">
        <v>54</v>
      </c>
      <c r="E916" s="349" t="s">
        <v>3556</v>
      </c>
      <c r="F916" s="413">
        <v>135000.0</v>
      </c>
      <c r="G916" s="403"/>
      <c r="H916" s="349" t="s">
        <v>4057</v>
      </c>
      <c r="I916" s="402"/>
      <c r="J916" s="402"/>
      <c r="K916" s="402"/>
      <c r="L916" s="402"/>
      <c r="M916" s="402"/>
      <c r="N916" s="402"/>
      <c r="O916" s="402"/>
      <c r="P916" s="402"/>
      <c r="Q916" s="402"/>
      <c r="R916" s="402"/>
      <c r="S916" s="402"/>
      <c r="T916" s="402"/>
      <c r="U916" s="402"/>
      <c r="V916" s="402"/>
      <c r="W916" s="402"/>
      <c r="X916" s="402"/>
      <c r="Y916" s="402"/>
      <c r="Z916" s="402"/>
      <c r="AA916" s="405"/>
      <c r="AB916" s="405"/>
      <c r="AC916" s="405"/>
      <c r="AD916" s="405"/>
      <c r="AE916" s="405"/>
      <c r="AF916" s="405"/>
      <c r="AG916" s="405"/>
      <c r="AH916" s="405"/>
      <c r="AI916" s="405"/>
      <c r="AJ916" s="405"/>
      <c r="AK916" s="405"/>
      <c r="AL916" s="405"/>
    </row>
    <row r="917" ht="14.25" customHeight="1">
      <c r="A917" s="497">
        <v>45537.0</v>
      </c>
      <c r="B917" s="472" t="s">
        <v>3663</v>
      </c>
      <c r="C917" s="396" t="s">
        <v>3705</v>
      </c>
      <c r="D917" s="352" t="s">
        <v>54</v>
      </c>
      <c r="E917" s="353" t="s">
        <v>3579</v>
      </c>
      <c r="F917" s="394">
        <v>200000.0</v>
      </c>
      <c r="G917" s="403"/>
      <c r="H917" s="349" t="s">
        <v>4099</v>
      </c>
      <c r="I917" s="402"/>
      <c r="J917" s="402"/>
      <c r="K917" s="402"/>
      <c r="L917" s="402"/>
      <c r="M917" s="402"/>
      <c r="N917" s="402"/>
      <c r="O917" s="402"/>
      <c r="P917" s="402"/>
      <c r="Q917" s="402"/>
      <c r="R917" s="402"/>
      <c r="S917" s="402"/>
      <c r="T917" s="402"/>
      <c r="U917" s="402"/>
      <c r="V917" s="402"/>
      <c r="W917" s="402"/>
      <c r="X917" s="402"/>
      <c r="Y917" s="402"/>
      <c r="Z917" s="402"/>
      <c r="AA917" s="405"/>
      <c r="AB917" s="405"/>
      <c r="AC917" s="405"/>
      <c r="AD917" s="405"/>
      <c r="AE917" s="405"/>
      <c r="AF917" s="405"/>
      <c r="AG917" s="405"/>
      <c r="AH917" s="405"/>
      <c r="AI917" s="405"/>
      <c r="AJ917" s="405"/>
      <c r="AK917" s="405"/>
      <c r="AL917" s="405"/>
    </row>
    <row r="918" ht="14.25" customHeight="1">
      <c r="A918" s="497"/>
      <c r="B918" s="402"/>
      <c r="C918" s="402"/>
      <c r="D918" s="402"/>
      <c r="E918" s="402"/>
      <c r="F918" s="402"/>
      <c r="G918" s="403"/>
      <c r="H918" s="402"/>
      <c r="I918" s="402"/>
      <c r="J918" s="402"/>
      <c r="K918" s="402"/>
      <c r="L918" s="402"/>
      <c r="M918" s="402"/>
      <c r="N918" s="402"/>
      <c r="O918" s="402"/>
      <c r="P918" s="402"/>
      <c r="Q918" s="402"/>
      <c r="R918" s="402"/>
      <c r="S918" s="402"/>
      <c r="T918" s="402"/>
      <c r="U918" s="402"/>
      <c r="V918" s="402"/>
      <c r="W918" s="402"/>
      <c r="X918" s="402"/>
      <c r="Y918" s="402"/>
      <c r="Z918" s="402"/>
      <c r="AA918" s="405"/>
      <c r="AB918" s="405"/>
      <c r="AC918" s="405"/>
      <c r="AD918" s="405"/>
      <c r="AE918" s="405"/>
      <c r="AF918" s="405"/>
      <c r="AG918" s="405"/>
      <c r="AH918" s="405"/>
      <c r="AI918" s="405"/>
      <c r="AJ918" s="405"/>
      <c r="AK918" s="405"/>
      <c r="AL918" s="405"/>
    </row>
    <row r="919" ht="14.25" customHeight="1">
      <c r="A919" s="402"/>
      <c r="B919" s="402"/>
      <c r="C919" s="402"/>
      <c r="D919" s="402"/>
      <c r="E919" s="402"/>
      <c r="F919" s="402"/>
      <c r="G919" s="403"/>
      <c r="H919" s="402"/>
      <c r="I919" s="402"/>
      <c r="J919" s="402"/>
      <c r="K919" s="402"/>
      <c r="L919" s="402"/>
      <c r="M919" s="402"/>
      <c r="N919" s="402"/>
      <c r="O919" s="402"/>
      <c r="P919" s="402"/>
      <c r="Q919" s="402"/>
      <c r="R919" s="402"/>
      <c r="S919" s="402"/>
      <c r="T919" s="402"/>
      <c r="U919" s="402"/>
      <c r="V919" s="402"/>
      <c r="W919" s="402"/>
      <c r="X919" s="402"/>
      <c r="Y919" s="402"/>
      <c r="Z919" s="402"/>
      <c r="AA919" s="405"/>
      <c r="AB919" s="405"/>
      <c r="AC919" s="405"/>
      <c r="AD919" s="405"/>
      <c r="AE919" s="405"/>
      <c r="AF919" s="405"/>
      <c r="AG919" s="405"/>
      <c r="AH919" s="405"/>
      <c r="AI919" s="405"/>
      <c r="AJ919" s="405"/>
      <c r="AK919" s="405"/>
      <c r="AL919" s="405"/>
    </row>
    <row r="920" ht="14.25" customHeight="1">
      <c r="A920" s="243">
        <v>45537.0</v>
      </c>
      <c r="B920" s="324" t="s">
        <v>3608</v>
      </c>
      <c r="C920" s="266" t="s">
        <v>3637</v>
      </c>
      <c r="D920" s="266" t="s">
        <v>59</v>
      </c>
      <c r="E920" s="266" t="s">
        <v>3579</v>
      </c>
      <c r="F920" s="325">
        <v>500000.0</v>
      </c>
      <c r="G920" s="470"/>
      <c r="H920" s="349" t="s">
        <v>3994</v>
      </c>
      <c r="I920" s="402"/>
      <c r="J920" s="402"/>
      <c r="K920" s="402"/>
      <c r="L920" s="402"/>
      <c r="M920" s="402"/>
      <c r="N920" s="402"/>
      <c r="O920" s="402"/>
      <c r="P920" s="402"/>
      <c r="Q920" s="402"/>
      <c r="R920" s="402"/>
      <c r="S920" s="402"/>
      <c r="T920" s="402"/>
      <c r="U920" s="402"/>
      <c r="V920" s="402"/>
      <c r="W920" s="402"/>
      <c r="X920" s="402"/>
      <c r="Y920" s="402"/>
      <c r="Z920" s="402"/>
      <c r="AA920" s="405"/>
      <c r="AB920" s="405"/>
      <c r="AC920" s="405"/>
      <c r="AD920" s="405"/>
      <c r="AE920" s="405"/>
      <c r="AF920" s="405"/>
      <c r="AG920" s="405"/>
      <c r="AH920" s="405"/>
      <c r="AI920" s="405"/>
      <c r="AJ920" s="405"/>
      <c r="AK920" s="405"/>
      <c r="AL920" s="405"/>
    </row>
    <row r="921" ht="14.25" customHeight="1">
      <c r="A921" s="243">
        <v>45537.0</v>
      </c>
      <c r="B921" s="799" t="s">
        <v>3566</v>
      </c>
      <c r="C921" s="312" t="s">
        <v>3995</v>
      </c>
      <c r="D921" s="271" t="s">
        <v>54</v>
      </c>
      <c r="E921" s="312" t="s">
        <v>3579</v>
      </c>
      <c r="F921" s="320">
        <v>40000.0</v>
      </c>
      <c r="G921" s="475"/>
      <c r="H921" s="349" t="s">
        <v>4057</v>
      </c>
      <c r="I921" s="402"/>
      <c r="J921" s="402"/>
      <c r="K921" s="402"/>
      <c r="L921" s="402"/>
      <c r="M921" s="402"/>
      <c r="N921" s="402"/>
      <c r="O921" s="402"/>
      <c r="P921" s="402"/>
      <c r="Q921" s="402"/>
      <c r="R921" s="402"/>
      <c r="S921" s="402"/>
      <c r="T921" s="402"/>
      <c r="U921" s="402"/>
      <c r="V921" s="402"/>
      <c r="W921" s="402"/>
      <c r="X921" s="402"/>
      <c r="Y921" s="402"/>
      <c r="Z921" s="402"/>
      <c r="AA921" s="405"/>
      <c r="AB921" s="405"/>
      <c r="AC921" s="405"/>
      <c r="AD921" s="405"/>
      <c r="AE921" s="405"/>
      <c r="AF921" s="405"/>
      <c r="AG921" s="405"/>
      <c r="AH921" s="405"/>
      <c r="AI921" s="405"/>
      <c r="AJ921" s="405"/>
      <c r="AK921" s="405"/>
      <c r="AL921" s="405"/>
    </row>
    <row r="922" ht="14.25" customHeight="1">
      <c r="A922" s="402"/>
      <c r="B922" s="402"/>
      <c r="C922" s="402"/>
      <c r="D922" s="402"/>
      <c r="E922" s="402"/>
      <c r="F922" s="402"/>
      <c r="G922" s="403"/>
      <c r="H922" s="402"/>
      <c r="I922" s="402"/>
      <c r="J922" s="402"/>
      <c r="K922" s="402"/>
      <c r="L922" s="402"/>
      <c r="M922" s="402"/>
      <c r="N922" s="402"/>
      <c r="O922" s="402"/>
      <c r="P922" s="402"/>
      <c r="Q922" s="402"/>
      <c r="R922" s="402"/>
      <c r="S922" s="402"/>
      <c r="T922" s="402"/>
      <c r="U922" s="402"/>
      <c r="V922" s="402"/>
      <c r="W922" s="402"/>
      <c r="X922" s="402"/>
      <c r="Y922" s="402"/>
      <c r="Z922" s="402"/>
      <c r="AA922" s="405"/>
      <c r="AB922" s="405"/>
      <c r="AC922" s="405"/>
      <c r="AD922" s="405"/>
      <c r="AE922" s="405"/>
      <c r="AF922" s="405"/>
      <c r="AG922" s="405"/>
      <c r="AH922" s="405"/>
      <c r="AI922" s="405"/>
      <c r="AJ922" s="405"/>
      <c r="AK922" s="405"/>
      <c r="AL922" s="405"/>
    </row>
    <row r="923" ht="14.25" customHeight="1">
      <c r="A923" s="402"/>
      <c r="B923" s="402"/>
      <c r="C923" s="402"/>
      <c r="D923" s="402"/>
      <c r="E923" s="402"/>
      <c r="F923" s="402"/>
      <c r="G923" s="403"/>
      <c r="H923" s="402"/>
      <c r="I923" s="402"/>
      <c r="J923" s="402"/>
      <c r="K923" s="402"/>
      <c r="L923" s="402"/>
      <c r="M923" s="402"/>
      <c r="N923" s="402"/>
      <c r="O923" s="402"/>
      <c r="P923" s="402"/>
      <c r="Q923" s="402"/>
      <c r="R923" s="402"/>
      <c r="S923" s="402"/>
      <c r="T923" s="402"/>
      <c r="U923" s="402"/>
      <c r="V923" s="402"/>
      <c r="W923" s="402"/>
      <c r="X923" s="402"/>
      <c r="Y923" s="402"/>
      <c r="Z923" s="402"/>
      <c r="AA923" s="405"/>
      <c r="AB923" s="405"/>
      <c r="AC923" s="405"/>
      <c r="AD923" s="405"/>
      <c r="AE923" s="405"/>
      <c r="AF923" s="405"/>
      <c r="AG923" s="405"/>
      <c r="AH923" s="405"/>
      <c r="AI923" s="405"/>
      <c r="AJ923" s="405"/>
      <c r="AK923" s="405"/>
      <c r="AL923" s="405"/>
    </row>
    <row r="924" ht="14.25" customHeight="1">
      <c r="A924" s="584" t="s">
        <v>2130</v>
      </c>
      <c r="B924" s="584" t="s">
        <v>39</v>
      </c>
      <c r="C924" s="584" t="s">
        <v>48</v>
      </c>
      <c r="D924" s="584" t="s">
        <v>49</v>
      </c>
      <c r="E924" s="584" t="s">
        <v>50</v>
      </c>
      <c r="F924" s="584" t="s">
        <v>2</v>
      </c>
      <c r="G924" s="586" t="s">
        <v>44</v>
      </c>
      <c r="H924" s="424" t="s">
        <v>45</v>
      </c>
      <c r="I924" s="736"/>
      <c r="J924" s="402"/>
      <c r="K924" s="402"/>
      <c r="L924" s="402"/>
      <c r="M924" s="402"/>
      <c r="N924" s="402"/>
      <c r="O924" s="402"/>
      <c r="P924" s="402"/>
      <c r="Q924" s="402"/>
      <c r="R924" s="402"/>
      <c r="S924" s="402"/>
      <c r="T924" s="402"/>
      <c r="U924" s="402"/>
      <c r="V924" s="402"/>
      <c r="W924" s="402"/>
      <c r="X924" s="402"/>
      <c r="Y924" s="402"/>
      <c r="Z924" s="402"/>
      <c r="AA924" s="405"/>
      <c r="AB924" s="405"/>
      <c r="AC924" s="405"/>
      <c r="AD924" s="405"/>
      <c r="AE924" s="405"/>
      <c r="AF924" s="405"/>
      <c r="AG924" s="405"/>
      <c r="AH924" s="405"/>
      <c r="AI924" s="405"/>
      <c r="AJ924" s="405"/>
      <c r="AK924" s="405"/>
      <c r="AL924" s="405"/>
    </row>
    <row r="925" ht="14.25" customHeight="1">
      <c r="A925" s="497">
        <v>45538.0</v>
      </c>
      <c r="B925" s="349" t="s">
        <v>3775</v>
      </c>
      <c r="C925" s="349" t="s">
        <v>3776</v>
      </c>
      <c r="D925" s="349" t="s">
        <v>54</v>
      </c>
      <c r="E925" s="402"/>
      <c r="F925" s="413">
        <v>88599.52</v>
      </c>
      <c r="G925" s="403"/>
      <c r="H925" s="402"/>
      <c r="I925" s="402"/>
      <c r="J925" s="402"/>
      <c r="K925" s="402"/>
      <c r="L925" s="402"/>
      <c r="M925" s="402"/>
      <c r="N925" s="402"/>
      <c r="O925" s="402"/>
      <c r="P925" s="402"/>
      <c r="Q925" s="402"/>
      <c r="R925" s="402"/>
      <c r="S925" s="402"/>
      <c r="T925" s="402"/>
      <c r="U925" s="402"/>
      <c r="V925" s="402"/>
      <c r="W925" s="402"/>
      <c r="X925" s="402"/>
      <c r="Y925" s="402"/>
      <c r="Z925" s="402"/>
      <c r="AA925" s="405"/>
      <c r="AB925" s="405"/>
      <c r="AC925" s="405"/>
      <c r="AD925" s="405"/>
      <c r="AE925" s="405"/>
      <c r="AF925" s="405"/>
      <c r="AG925" s="405"/>
      <c r="AH925" s="405"/>
      <c r="AI925" s="405"/>
      <c r="AJ925" s="405"/>
      <c r="AK925" s="405"/>
      <c r="AL925" s="405"/>
    </row>
    <row r="926" ht="14.25" customHeight="1">
      <c r="A926" s="497">
        <v>45538.0</v>
      </c>
      <c r="B926" s="349" t="s">
        <v>3765</v>
      </c>
      <c r="C926" s="349" t="s">
        <v>3766</v>
      </c>
      <c r="D926" s="349" t="s">
        <v>54</v>
      </c>
      <c r="E926" s="402"/>
      <c r="F926" s="413">
        <v>20440.0</v>
      </c>
      <c r="G926" s="403"/>
      <c r="H926" s="402"/>
      <c r="I926" s="402"/>
      <c r="J926" s="402"/>
      <c r="K926" s="402"/>
      <c r="L926" s="402"/>
      <c r="M926" s="402"/>
      <c r="N926" s="402"/>
      <c r="O926" s="402"/>
      <c r="P926" s="402"/>
      <c r="Q926" s="402"/>
      <c r="R926" s="402"/>
      <c r="S926" s="402"/>
      <c r="T926" s="402"/>
      <c r="U926" s="402"/>
      <c r="V926" s="402"/>
      <c r="W926" s="402"/>
      <c r="X926" s="402"/>
      <c r="Y926" s="402"/>
      <c r="Z926" s="402"/>
      <c r="AA926" s="405"/>
      <c r="AB926" s="405"/>
      <c r="AC926" s="405"/>
      <c r="AD926" s="405"/>
      <c r="AE926" s="405"/>
      <c r="AF926" s="405"/>
      <c r="AG926" s="405"/>
      <c r="AH926" s="405"/>
      <c r="AI926" s="405"/>
      <c r="AJ926" s="405"/>
      <c r="AK926" s="405"/>
      <c r="AL926" s="405"/>
    </row>
    <row r="927" ht="14.25" customHeight="1">
      <c r="A927" s="497">
        <v>45538.0</v>
      </c>
      <c r="B927" s="349" t="s">
        <v>3721</v>
      </c>
      <c r="C927" s="349" t="s">
        <v>3722</v>
      </c>
      <c r="D927" s="349" t="s">
        <v>54</v>
      </c>
      <c r="E927" s="402"/>
      <c r="F927" s="413">
        <v>11205.0</v>
      </c>
      <c r="G927" s="403"/>
      <c r="H927" s="402"/>
      <c r="I927" s="402"/>
      <c r="J927" s="402"/>
      <c r="K927" s="402"/>
      <c r="L927" s="402"/>
      <c r="M927" s="402"/>
      <c r="N927" s="402"/>
      <c r="O927" s="402"/>
      <c r="P927" s="402"/>
      <c r="Q927" s="402"/>
      <c r="R927" s="402"/>
      <c r="S927" s="402"/>
      <c r="T927" s="402"/>
      <c r="U927" s="402"/>
      <c r="V927" s="402"/>
      <c r="W927" s="402"/>
      <c r="X927" s="402"/>
      <c r="Y927" s="402"/>
      <c r="Z927" s="402"/>
      <c r="AA927" s="405"/>
      <c r="AB927" s="405"/>
      <c r="AC927" s="405"/>
      <c r="AD927" s="405"/>
      <c r="AE927" s="405"/>
      <c r="AF927" s="405"/>
      <c r="AG927" s="405"/>
      <c r="AH927" s="405"/>
      <c r="AI927" s="405"/>
      <c r="AJ927" s="405"/>
      <c r="AK927" s="405"/>
      <c r="AL927" s="405"/>
    </row>
    <row r="928" ht="14.25" customHeight="1">
      <c r="A928" s="497">
        <v>45538.0</v>
      </c>
      <c r="B928" s="349" t="s">
        <v>3777</v>
      </c>
      <c r="C928" s="349" t="s">
        <v>3778</v>
      </c>
      <c r="D928" s="349" t="s">
        <v>54</v>
      </c>
      <c r="E928" s="402"/>
      <c r="F928" s="413">
        <v>35965.0</v>
      </c>
      <c r="G928" s="403"/>
      <c r="H928" s="402"/>
      <c r="I928" s="402"/>
      <c r="J928" s="402"/>
      <c r="K928" s="402"/>
      <c r="L928" s="402"/>
      <c r="M928" s="402"/>
      <c r="N928" s="402"/>
      <c r="O928" s="402"/>
      <c r="P928" s="402"/>
      <c r="Q928" s="402"/>
      <c r="R928" s="402"/>
      <c r="S928" s="402"/>
      <c r="T928" s="402"/>
      <c r="U928" s="402"/>
      <c r="V928" s="402"/>
      <c r="W928" s="402"/>
      <c r="X928" s="402"/>
      <c r="Y928" s="402"/>
      <c r="Z928" s="402"/>
      <c r="AA928" s="405"/>
      <c r="AB928" s="405"/>
      <c r="AC928" s="405"/>
      <c r="AD928" s="405"/>
      <c r="AE928" s="405"/>
      <c r="AF928" s="405"/>
      <c r="AG928" s="405"/>
      <c r="AH928" s="405"/>
      <c r="AI928" s="405"/>
      <c r="AJ928" s="405"/>
      <c r="AK928" s="405"/>
      <c r="AL928" s="405"/>
    </row>
    <row r="929" ht="14.25" customHeight="1">
      <c r="A929" s="497">
        <v>45538.0</v>
      </c>
      <c r="B929" s="349" t="s">
        <v>3789</v>
      </c>
      <c r="C929" s="349" t="s">
        <v>3790</v>
      </c>
      <c r="D929" s="349" t="s">
        <v>54</v>
      </c>
      <c r="E929" s="402"/>
      <c r="F929" s="413">
        <v>21208.55</v>
      </c>
      <c r="G929" s="403"/>
      <c r="H929" s="402"/>
      <c r="I929" s="402"/>
      <c r="J929" s="402"/>
      <c r="K929" s="402"/>
      <c r="L929" s="402"/>
      <c r="M929" s="402"/>
      <c r="N929" s="402"/>
      <c r="O929" s="402"/>
      <c r="P929" s="402"/>
      <c r="Q929" s="402"/>
      <c r="R929" s="402"/>
      <c r="S929" s="402"/>
      <c r="T929" s="402"/>
      <c r="U929" s="402"/>
      <c r="V929" s="402"/>
      <c r="W929" s="402"/>
      <c r="X929" s="402"/>
      <c r="Y929" s="402"/>
      <c r="Z929" s="402"/>
      <c r="AA929" s="405"/>
      <c r="AB929" s="405"/>
      <c r="AC929" s="405"/>
      <c r="AD929" s="405"/>
      <c r="AE929" s="405"/>
      <c r="AF929" s="405"/>
      <c r="AG929" s="405"/>
      <c r="AH929" s="405"/>
      <c r="AI929" s="405"/>
      <c r="AJ929" s="405"/>
      <c r="AK929" s="405"/>
      <c r="AL929" s="405"/>
    </row>
    <row r="930" ht="14.25" customHeight="1">
      <c r="A930" s="497">
        <v>45538.0</v>
      </c>
      <c r="B930" s="349" t="s">
        <v>3918</v>
      </c>
      <c r="C930" s="349" t="s">
        <v>3745</v>
      </c>
      <c r="D930" s="349" t="s">
        <v>54</v>
      </c>
      <c r="E930" s="402"/>
      <c r="F930" s="413">
        <v>37043.0</v>
      </c>
      <c r="G930" s="403"/>
      <c r="H930" s="402"/>
      <c r="I930" s="402"/>
      <c r="J930" s="402"/>
      <c r="K930" s="402"/>
      <c r="L930" s="402"/>
      <c r="M930" s="402"/>
      <c r="N930" s="402"/>
      <c r="O930" s="402"/>
      <c r="P930" s="402"/>
      <c r="Q930" s="402"/>
      <c r="R930" s="402"/>
      <c r="S930" s="402"/>
      <c r="T930" s="402"/>
      <c r="U930" s="402"/>
      <c r="V930" s="402"/>
      <c r="W930" s="402"/>
      <c r="X930" s="402"/>
      <c r="Y930" s="402"/>
      <c r="Z930" s="402"/>
      <c r="AA930" s="405"/>
      <c r="AB930" s="405"/>
      <c r="AC930" s="405"/>
      <c r="AD930" s="405"/>
      <c r="AE930" s="405"/>
      <c r="AF930" s="405"/>
      <c r="AG930" s="405"/>
      <c r="AH930" s="405"/>
      <c r="AI930" s="405"/>
      <c r="AJ930" s="405"/>
      <c r="AK930" s="405"/>
      <c r="AL930" s="405"/>
    </row>
    <row r="931" ht="14.25" customHeight="1">
      <c r="A931" s="497">
        <v>45538.0</v>
      </c>
      <c r="B931" s="349" t="s">
        <v>3792</v>
      </c>
      <c r="C931" s="349" t="s">
        <v>3672</v>
      </c>
      <c r="D931" s="349" t="s">
        <v>3793</v>
      </c>
      <c r="E931" s="402"/>
      <c r="F931" s="413">
        <v>586402.07</v>
      </c>
      <c r="G931" s="403"/>
      <c r="H931" s="402"/>
      <c r="I931" s="402"/>
      <c r="J931" s="402"/>
      <c r="K931" s="402"/>
      <c r="L931" s="402"/>
      <c r="M931" s="402"/>
      <c r="N931" s="402"/>
      <c r="O931" s="402"/>
      <c r="P931" s="402"/>
      <c r="Q931" s="402"/>
      <c r="R931" s="402"/>
      <c r="S931" s="402"/>
      <c r="T931" s="402"/>
      <c r="U931" s="402"/>
      <c r="V931" s="402"/>
      <c r="W931" s="402"/>
      <c r="X931" s="402"/>
      <c r="Y931" s="402"/>
      <c r="Z931" s="402"/>
      <c r="AA931" s="405"/>
      <c r="AB931" s="405"/>
      <c r="AC931" s="405"/>
      <c r="AD931" s="405"/>
      <c r="AE931" s="405"/>
      <c r="AF931" s="405"/>
      <c r="AG931" s="405"/>
      <c r="AH931" s="405"/>
      <c r="AI931" s="405"/>
      <c r="AJ931" s="405"/>
      <c r="AK931" s="405"/>
      <c r="AL931" s="405"/>
    </row>
    <row r="932" ht="14.25" customHeight="1">
      <c r="A932" s="497">
        <v>45538.0</v>
      </c>
      <c r="B932" s="349" t="s">
        <v>4100</v>
      </c>
      <c r="C932" s="349" t="s">
        <v>3616</v>
      </c>
      <c r="D932" s="349" t="s">
        <v>75</v>
      </c>
      <c r="E932" s="402"/>
      <c r="F932" s="413">
        <v>96500.0</v>
      </c>
      <c r="G932" s="403"/>
      <c r="H932" s="402"/>
      <c r="I932" s="402"/>
      <c r="J932" s="402"/>
      <c r="K932" s="402"/>
      <c r="L932" s="402"/>
      <c r="M932" s="402"/>
      <c r="N932" s="402"/>
      <c r="O932" s="402"/>
      <c r="P932" s="402"/>
      <c r="Q932" s="402"/>
      <c r="R932" s="402"/>
      <c r="S932" s="402"/>
      <c r="T932" s="402"/>
      <c r="U932" s="402"/>
      <c r="V932" s="402"/>
      <c r="W932" s="402"/>
      <c r="X932" s="402"/>
      <c r="Y932" s="402"/>
      <c r="Z932" s="402"/>
      <c r="AA932" s="405"/>
      <c r="AB932" s="405"/>
      <c r="AC932" s="405"/>
      <c r="AD932" s="405"/>
      <c r="AE932" s="405"/>
      <c r="AF932" s="405"/>
      <c r="AG932" s="405"/>
      <c r="AH932" s="405"/>
      <c r="AI932" s="405"/>
      <c r="AJ932" s="405"/>
      <c r="AK932" s="405"/>
      <c r="AL932" s="405"/>
    </row>
    <row r="933" ht="14.25" customHeight="1">
      <c r="A933" s="497">
        <v>45538.0</v>
      </c>
      <c r="B933" s="349" t="s">
        <v>3663</v>
      </c>
      <c r="C933" s="349" t="s">
        <v>4101</v>
      </c>
      <c r="D933" s="349" t="s">
        <v>54</v>
      </c>
      <c r="E933" s="402"/>
      <c r="F933" s="413">
        <v>137887.65</v>
      </c>
      <c r="G933" s="403"/>
      <c r="H933" s="402"/>
      <c r="I933" s="402"/>
      <c r="J933" s="402"/>
      <c r="K933" s="402"/>
      <c r="L933" s="402"/>
      <c r="M933" s="402"/>
      <c r="N933" s="402"/>
      <c r="O933" s="402"/>
      <c r="P933" s="402"/>
      <c r="Q933" s="402"/>
      <c r="R933" s="402"/>
      <c r="S933" s="402"/>
      <c r="T933" s="402"/>
      <c r="U933" s="402"/>
      <c r="V933" s="402"/>
      <c r="W933" s="402"/>
      <c r="X933" s="402"/>
      <c r="Y933" s="402"/>
      <c r="Z933" s="402"/>
      <c r="AA933" s="405"/>
      <c r="AB933" s="405"/>
      <c r="AC933" s="405"/>
      <c r="AD933" s="405"/>
      <c r="AE933" s="405"/>
      <c r="AF933" s="405"/>
      <c r="AG933" s="405"/>
      <c r="AH933" s="405"/>
      <c r="AI933" s="405"/>
      <c r="AJ933" s="405"/>
      <c r="AK933" s="405"/>
      <c r="AL933" s="405"/>
    </row>
    <row r="934" ht="14.25" customHeight="1">
      <c r="A934" s="497">
        <v>45538.0</v>
      </c>
      <c r="B934" s="349" t="s">
        <v>3689</v>
      </c>
      <c r="C934" s="349" t="s">
        <v>3690</v>
      </c>
      <c r="D934" s="349" t="s">
        <v>54</v>
      </c>
      <c r="E934" s="402"/>
      <c r="F934" s="413">
        <v>65924.23</v>
      </c>
      <c r="G934" s="403"/>
      <c r="H934" s="402"/>
      <c r="I934" s="402"/>
      <c r="J934" s="402"/>
      <c r="K934" s="402"/>
      <c r="L934" s="402"/>
      <c r="M934" s="402"/>
      <c r="N934" s="402"/>
      <c r="O934" s="402"/>
      <c r="P934" s="402"/>
      <c r="Q934" s="402"/>
      <c r="R934" s="402"/>
      <c r="S934" s="402"/>
      <c r="T934" s="402"/>
      <c r="U934" s="402"/>
      <c r="V934" s="402"/>
      <c r="W934" s="402"/>
      <c r="X934" s="402"/>
      <c r="Y934" s="402"/>
      <c r="Z934" s="402"/>
      <c r="AA934" s="405"/>
      <c r="AB934" s="405"/>
      <c r="AC934" s="405"/>
      <c r="AD934" s="405"/>
      <c r="AE934" s="405"/>
      <c r="AF934" s="405"/>
      <c r="AG934" s="405"/>
      <c r="AH934" s="405"/>
      <c r="AI934" s="405"/>
      <c r="AJ934" s="405"/>
      <c r="AK934" s="405"/>
      <c r="AL934" s="405"/>
    </row>
    <row r="935" ht="14.25" customHeight="1">
      <c r="A935" s="497">
        <v>45538.0</v>
      </c>
      <c r="B935" s="349" t="s">
        <v>3762</v>
      </c>
      <c r="C935" s="349" t="s">
        <v>3763</v>
      </c>
      <c r="D935" s="349" t="s">
        <v>54</v>
      </c>
      <c r="E935" s="402"/>
      <c r="F935" s="413">
        <v>8794.0</v>
      </c>
      <c r="G935" s="403"/>
      <c r="H935" s="402"/>
      <c r="I935" s="402"/>
      <c r="J935" s="402"/>
      <c r="K935" s="402"/>
      <c r="L935" s="402"/>
      <c r="M935" s="402"/>
      <c r="N935" s="402"/>
      <c r="O935" s="402"/>
      <c r="P935" s="402"/>
      <c r="Q935" s="402"/>
      <c r="R935" s="402"/>
      <c r="S935" s="402"/>
      <c r="T935" s="402"/>
      <c r="U935" s="402"/>
      <c r="V935" s="402"/>
      <c r="W935" s="402"/>
      <c r="X935" s="402"/>
      <c r="Y935" s="402"/>
      <c r="Z935" s="402"/>
      <c r="AA935" s="405"/>
      <c r="AB935" s="405"/>
      <c r="AC935" s="405"/>
      <c r="AD935" s="405"/>
      <c r="AE935" s="405"/>
      <c r="AF935" s="405"/>
      <c r="AG935" s="405"/>
      <c r="AH935" s="405"/>
      <c r="AI935" s="405"/>
      <c r="AJ935" s="405"/>
      <c r="AK935" s="405"/>
      <c r="AL935" s="405"/>
    </row>
    <row r="936" ht="14.25" customHeight="1">
      <c r="A936" s="497">
        <v>45538.0</v>
      </c>
      <c r="B936" s="349" t="s">
        <v>3687</v>
      </c>
      <c r="C936" s="349" t="s">
        <v>3688</v>
      </c>
      <c r="D936" s="349" t="s">
        <v>54</v>
      </c>
      <c r="E936" s="402"/>
      <c r="F936" s="413">
        <v>108393.08</v>
      </c>
      <c r="G936" s="403"/>
      <c r="H936" s="402"/>
      <c r="I936" s="402"/>
      <c r="J936" s="402"/>
      <c r="K936" s="402"/>
      <c r="L936" s="402"/>
      <c r="M936" s="402"/>
      <c r="N936" s="402"/>
      <c r="O936" s="402"/>
      <c r="P936" s="402"/>
      <c r="Q936" s="402"/>
      <c r="R936" s="402"/>
      <c r="S936" s="402"/>
      <c r="T936" s="402"/>
      <c r="U936" s="402"/>
      <c r="V936" s="402"/>
      <c r="W936" s="402"/>
      <c r="X936" s="402"/>
      <c r="Y936" s="402"/>
      <c r="Z936" s="402"/>
      <c r="AA936" s="405"/>
      <c r="AB936" s="405"/>
      <c r="AC936" s="405"/>
      <c r="AD936" s="405"/>
      <c r="AE936" s="405"/>
      <c r="AF936" s="405"/>
      <c r="AG936" s="405"/>
      <c r="AH936" s="405"/>
      <c r="AI936" s="405"/>
      <c r="AJ936" s="405"/>
      <c r="AK936" s="405"/>
      <c r="AL936" s="405"/>
    </row>
    <row r="937" ht="14.25" customHeight="1">
      <c r="A937" s="497">
        <v>45538.0</v>
      </c>
      <c r="B937" s="349" t="s">
        <v>3571</v>
      </c>
      <c r="C937" s="349" t="s">
        <v>3572</v>
      </c>
      <c r="D937" s="349" t="s">
        <v>54</v>
      </c>
      <c r="E937" s="402"/>
      <c r="F937" s="413">
        <v>42258.54</v>
      </c>
      <c r="G937" s="403"/>
      <c r="H937" s="402"/>
      <c r="I937" s="402"/>
      <c r="J937" s="402"/>
      <c r="K937" s="402"/>
      <c r="L937" s="402"/>
      <c r="M937" s="402"/>
      <c r="N937" s="402"/>
      <c r="O937" s="402"/>
      <c r="P937" s="402"/>
      <c r="Q937" s="402"/>
      <c r="R937" s="402"/>
      <c r="S937" s="402"/>
      <c r="T937" s="402"/>
      <c r="U937" s="402"/>
      <c r="V937" s="402"/>
      <c r="W937" s="402"/>
      <c r="X937" s="402"/>
      <c r="Y937" s="402"/>
      <c r="Z937" s="402"/>
      <c r="AA937" s="405"/>
      <c r="AB937" s="405"/>
      <c r="AC937" s="405"/>
      <c r="AD937" s="405"/>
      <c r="AE937" s="405"/>
      <c r="AF937" s="405"/>
      <c r="AG937" s="405"/>
      <c r="AH937" s="405"/>
      <c r="AI937" s="405"/>
      <c r="AJ937" s="405"/>
      <c r="AK937" s="405"/>
      <c r="AL937" s="405"/>
    </row>
    <row r="938" ht="14.25" customHeight="1">
      <c r="A938" s="497">
        <v>45538.0</v>
      </c>
      <c r="B938" s="349" t="s">
        <v>3606</v>
      </c>
      <c r="C938" s="349" t="s">
        <v>3607</v>
      </c>
      <c r="D938" s="349" t="s">
        <v>54</v>
      </c>
      <c r="E938" s="402"/>
      <c r="F938" s="413">
        <v>39778.25</v>
      </c>
      <c r="G938" s="403"/>
      <c r="H938" s="402"/>
      <c r="I938" s="402"/>
      <c r="J938" s="402"/>
      <c r="K938" s="402"/>
      <c r="L938" s="402"/>
      <c r="M938" s="402"/>
      <c r="N938" s="402"/>
      <c r="O938" s="402"/>
      <c r="P938" s="402"/>
      <c r="Q938" s="402"/>
      <c r="R938" s="402"/>
      <c r="S938" s="402"/>
      <c r="T938" s="402"/>
      <c r="U938" s="402"/>
      <c r="V938" s="402"/>
      <c r="W938" s="402"/>
      <c r="X938" s="402"/>
      <c r="Y938" s="402"/>
      <c r="Z938" s="402"/>
      <c r="AA938" s="405"/>
      <c r="AB938" s="405"/>
      <c r="AC938" s="405"/>
      <c r="AD938" s="405"/>
      <c r="AE938" s="405"/>
      <c r="AF938" s="405"/>
      <c r="AG938" s="405"/>
      <c r="AH938" s="405"/>
      <c r="AI938" s="405"/>
      <c r="AJ938" s="405"/>
      <c r="AK938" s="405"/>
      <c r="AL938" s="405"/>
    </row>
    <row r="939" ht="14.25" customHeight="1">
      <c r="A939" s="497">
        <v>45538.0</v>
      </c>
      <c r="B939" s="349" t="s">
        <v>3821</v>
      </c>
      <c r="C939" s="349" t="s">
        <v>3822</v>
      </c>
      <c r="D939" s="349" t="s">
        <v>54</v>
      </c>
      <c r="E939" s="402"/>
      <c r="F939" s="413">
        <v>34478.61</v>
      </c>
      <c r="G939" s="403"/>
      <c r="H939" s="402"/>
      <c r="I939" s="402"/>
      <c r="J939" s="402"/>
      <c r="K939" s="402"/>
      <c r="L939" s="402"/>
      <c r="M939" s="402"/>
      <c r="N939" s="402"/>
      <c r="O939" s="402"/>
      <c r="P939" s="402"/>
      <c r="Q939" s="402"/>
      <c r="R939" s="402"/>
      <c r="S939" s="402"/>
      <c r="T939" s="402"/>
      <c r="U939" s="402"/>
      <c r="V939" s="402"/>
      <c r="W939" s="402"/>
      <c r="X939" s="402"/>
      <c r="Y939" s="402"/>
      <c r="Z939" s="402"/>
      <c r="AA939" s="405"/>
      <c r="AB939" s="405"/>
      <c r="AC939" s="405"/>
      <c r="AD939" s="405"/>
      <c r="AE939" s="405"/>
      <c r="AF939" s="405"/>
      <c r="AG939" s="405"/>
      <c r="AH939" s="405"/>
      <c r="AI939" s="405"/>
      <c r="AJ939" s="405"/>
      <c r="AK939" s="405"/>
      <c r="AL939" s="405"/>
    </row>
    <row r="940" ht="14.25" customHeight="1">
      <c r="A940" s="497">
        <v>45538.0</v>
      </c>
      <c r="B940" s="349" t="s">
        <v>3552</v>
      </c>
      <c r="C940" s="349" t="s">
        <v>3553</v>
      </c>
      <c r="D940" s="349" t="s">
        <v>54</v>
      </c>
      <c r="E940" s="402"/>
      <c r="F940" s="413">
        <v>6173.25</v>
      </c>
      <c r="G940" s="403"/>
      <c r="H940" s="402"/>
      <c r="I940" s="402"/>
      <c r="J940" s="402"/>
      <c r="K940" s="402"/>
      <c r="L940" s="402"/>
      <c r="M940" s="402"/>
      <c r="N940" s="402"/>
      <c r="O940" s="402"/>
      <c r="P940" s="402"/>
      <c r="Q940" s="402"/>
      <c r="R940" s="402"/>
      <c r="S940" s="402"/>
      <c r="T940" s="402"/>
      <c r="U940" s="402"/>
      <c r="V940" s="402"/>
      <c r="W940" s="402"/>
      <c r="X940" s="402"/>
      <c r="Y940" s="402"/>
      <c r="Z940" s="402"/>
      <c r="AA940" s="405"/>
      <c r="AB940" s="405"/>
      <c r="AC940" s="405"/>
      <c r="AD940" s="405"/>
      <c r="AE940" s="405"/>
      <c r="AF940" s="405"/>
      <c r="AG940" s="405"/>
      <c r="AH940" s="405"/>
      <c r="AI940" s="405"/>
      <c r="AJ940" s="405"/>
      <c r="AK940" s="405"/>
      <c r="AL940" s="405"/>
    </row>
    <row r="941" ht="14.25" customHeight="1">
      <c r="A941" s="497">
        <v>45538.0</v>
      </c>
      <c r="B941" s="349" t="s">
        <v>3691</v>
      </c>
      <c r="C941" s="349" t="s">
        <v>4102</v>
      </c>
      <c r="D941" s="349" t="s">
        <v>54</v>
      </c>
      <c r="E941" s="402"/>
      <c r="F941" s="413">
        <v>183957.44</v>
      </c>
      <c r="G941" s="403"/>
      <c r="H941" s="402"/>
      <c r="I941" s="402"/>
      <c r="J941" s="402"/>
      <c r="K941" s="402"/>
      <c r="L941" s="402"/>
      <c r="M941" s="402"/>
      <c r="N941" s="402"/>
      <c r="O941" s="402"/>
      <c r="P941" s="402"/>
      <c r="Q941" s="402"/>
      <c r="R941" s="402"/>
      <c r="S941" s="402"/>
      <c r="T941" s="402"/>
      <c r="U941" s="402"/>
      <c r="V941" s="402"/>
      <c r="W941" s="402"/>
      <c r="X941" s="402"/>
      <c r="Y941" s="402"/>
      <c r="Z941" s="402"/>
      <c r="AA941" s="405"/>
      <c r="AB941" s="405"/>
      <c r="AC941" s="405"/>
      <c r="AD941" s="405"/>
      <c r="AE941" s="405"/>
      <c r="AF941" s="405"/>
      <c r="AG941" s="405"/>
      <c r="AH941" s="405"/>
      <c r="AI941" s="405"/>
      <c r="AJ941" s="405"/>
      <c r="AK941" s="405"/>
      <c r="AL941" s="405"/>
    </row>
    <row r="942" ht="14.25" customHeight="1">
      <c r="A942" s="497">
        <v>45538.0</v>
      </c>
      <c r="B942" s="349" t="s">
        <v>3566</v>
      </c>
      <c r="C942" s="349" t="s">
        <v>3567</v>
      </c>
      <c r="D942" s="349" t="s">
        <v>54</v>
      </c>
      <c r="E942" s="402"/>
      <c r="F942" s="413">
        <v>55555.77</v>
      </c>
      <c r="G942" s="403"/>
      <c r="H942" s="402"/>
      <c r="I942" s="402"/>
      <c r="J942" s="402"/>
      <c r="K942" s="402"/>
      <c r="L942" s="402"/>
      <c r="M942" s="402"/>
      <c r="N942" s="402"/>
      <c r="O942" s="402"/>
      <c r="P942" s="402"/>
      <c r="Q942" s="402"/>
      <c r="R942" s="402"/>
      <c r="S942" s="402"/>
      <c r="T942" s="402"/>
      <c r="U942" s="402"/>
      <c r="V942" s="402"/>
      <c r="W942" s="402"/>
      <c r="X942" s="402"/>
      <c r="Y942" s="402"/>
      <c r="Z942" s="402"/>
      <c r="AA942" s="405"/>
      <c r="AB942" s="405"/>
      <c r="AC942" s="405"/>
      <c r="AD942" s="405"/>
      <c r="AE942" s="405"/>
      <c r="AF942" s="405"/>
      <c r="AG942" s="405"/>
      <c r="AH942" s="405"/>
      <c r="AI942" s="405"/>
      <c r="AJ942" s="405"/>
      <c r="AK942" s="405"/>
      <c r="AL942" s="405"/>
    </row>
    <row r="943" ht="14.25" customHeight="1">
      <c r="A943" s="497">
        <v>45538.0</v>
      </c>
      <c r="B943" s="349" t="s">
        <v>3710</v>
      </c>
      <c r="C943" s="349" t="s">
        <v>3711</v>
      </c>
      <c r="D943" s="349" t="s">
        <v>54</v>
      </c>
      <c r="E943" s="402"/>
      <c r="F943" s="413">
        <v>39498.57</v>
      </c>
      <c r="G943" s="403"/>
      <c r="H943" s="402"/>
      <c r="I943" s="402"/>
      <c r="J943" s="402"/>
      <c r="K943" s="402"/>
      <c r="L943" s="402"/>
      <c r="M943" s="402"/>
      <c r="N943" s="402"/>
      <c r="O943" s="402"/>
      <c r="P943" s="402"/>
      <c r="Q943" s="402"/>
      <c r="R943" s="402"/>
      <c r="S943" s="402"/>
      <c r="T943" s="402"/>
      <c r="U943" s="402"/>
      <c r="V943" s="402"/>
      <c r="W943" s="402"/>
      <c r="X943" s="402"/>
      <c r="Y943" s="402"/>
      <c r="Z943" s="402"/>
      <c r="AA943" s="405"/>
      <c r="AB943" s="405"/>
      <c r="AC943" s="405"/>
      <c r="AD943" s="405"/>
      <c r="AE943" s="405"/>
      <c r="AF943" s="405"/>
      <c r="AG943" s="405"/>
      <c r="AH943" s="405"/>
      <c r="AI943" s="405"/>
      <c r="AJ943" s="405"/>
      <c r="AK943" s="405"/>
      <c r="AL943" s="405"/>
    </row>
    <row r="944" ht="14.25" customHeight="1">
      <c r="A944" s="497">
        <v>45538.0</v>
      </c>
      <c r="B944" s="349" t="s">
        <v>4055</v>
      </c>
      <c r="C944" s="349" t="s">
        <v>3732</v>
      </c>
      <c r="D944" s="349" t="s">
        <v>54</v>
      </c>
      <c r="E944" s="402"/>
      <c r="F944" s="413">
        <v>18731.84</v>
      </c>
      <c r="G944" s="403"/>
      <c r="H944" s="402"/>
      <c r="I944" s="402"/>
      <c r="J944" s="402"/>
      <c r="K944" s="402"/>
      <c r="L944" s="402"/>
      <c r="M944" s="402"/>
      <c r="N944" s="402"/>
      <c r="O944" s="402"/>
      <c r="P944" s="402"/>
      <c r="Q944" s="402"/>
      <c r="R944" s="402"/>
      <c r="S944" s="402"/>
      <c r="T944" s="402"/>
      <c r="U944" s="402"/>
      <c r="V944" s="402"/>
      <c r="W944" s="402"/>
      <c r="X944" s="402"/>
      <c r="Y944" s="402"/>
      <c r="Z944" s="402"/>
      <c r="AA944" s="405"/>
      <c r="AB944" s="405"/>
      <c r="AC944" s="405"/>
      <c r="AD944" s="405"/>
      <c r="AE944" s="405"/>
      <c r="AF944" s="405"/>
      <c r="AG944" s="405"/>
      <c r="AH944" s="405"/>
      <c r="AI944" s="405"/>
      <c r="AJ944" s="405"/>
      <c r="AK944" s="405"/>
      <c r="AL944" s="405"/>
    </row>
    <row r="945" ht="14.25" customHeight="1">
      <c r="A945" s="497">
        <v>45538.0</v>
      </c>
      <c r="B945" s="349" t="s">
        <v>3830</v>
      </c>
      <c r="C945" s="349" t="s">
        <v>3829</v>
      </c>
      <c r="D945" s="349" t="s">
        <v>346</v>
      </c>
      <c r="E945" s="402"/>
      <c r="F945" s="413">
        <v>5575.83</v>
      </c>
      <c r="G945" s="403"/>
      <c r="H945" s="402"/>
      <c r="I945" s="402"/>
      <c r="J945" s="402"/>
      <c r="K945" s="402"/>
      <c r="L945" s="402"/>
      <c r="M945" s="402"/>
      <c r="N945" s="402"/>
      <c r="O945" s="402"/>
      <c r="P945" s="402"/>
      <c r="Q945" s="402"/>
      <c r="R945" s="402"/>
      <c r="S945" s="402"/>
      <c r="T945" s="402"/>
      <c r="U945" s="402"/>
      <c r="V945" s="402"/>
      <c r="W945" s="402"/>
      <c r="X945" s="402"/>
      <c r="Y945" s="402"/>
      <c r="Z945" s="402"/>
      <c r="AA945" s="405"/>
      <c r="AB945" s="405"/>
      <c r="AC945" s="405"/>
      <c r="AD945" s="405"/>
      <c r="AE945" s="405"/>
      <c r="AF945" s="405"/>
      <c r="AG945" s="405"/>
      <c r="AH945" s="405"/>
      <c r="AI945" s="405"/>
      <c r="AJ945" s="405"/>
      <c r="AK945" s="405"/>
      <c r="AL945" s="405"/>
    </row>
    <row r="946" ht="14.25" customHeight="1">
      <c r="A946" s="497">
        <v>45538.0</v>
      </c>
      <c r="B946" s="349" t="s">
        <v>3601</v>
      </c>
      <c r="C946" s="349" t="s">
        <v>3602</v>
      </c>
      <c r="D946" s="349" t="s">
        <v>54</v>
      </c>
      <c r="E946" s="402"/>
      <c r="F946" s="413">
        <v>4725.32</v>
      </c>
      <c r="G946" s="403"/>
      <c r="H946" s="402"/>
      <c r="I946" s="402"/>
      <c r="J946" s="402"/>
      <c r="K946" s="402"/>
      <c r="L946" s="402"/>
      <c r="M946" s="402"/>
      <c r="N946" s="402"/>
      <c r="O946" s="402"/>
      <c r="P946" s="402"/>
      <c r="Q946" s="402"/>
      <c r="R946" s="402"/>
      <c r="S946" s="402"/>
      <c r="T946" s="402"/>
      <c r="U946" s="402"/>
      <c r="V946" s="402"/>
      <c r="W946" s="402"/>
      <c r="X946" s="402"/>
      <c r="Y946" s="402"/>
      <c r="Z946" s="402"/>
      <c r="AA946" s="405"/>
      <c r="AB946" s="405"/>
      <c r="AC946" s="405"/>
      <c r="AD946" s="405"/>
      <c r="AE946" s="405"/>
      <c r="AF946" s="405"/>
      <c r="AG946" s="405"/>
      <c r="AH946" s="405"/>
      <c r="AI946" s="405"/>
      <c r="AJ946" s="405"/>
      <c r="AK946" s="405"/>
      <c r="AL946" s="405"/>
    </row>
    <row r="947" ht="14.25" customHeight="1">
      <c r="A947" s="497">
        <v>45538.0</v>
      </c>
      <c r="B947" s="349" t="s">
        <v>3784</v>
      </c>
      <c r="C947" s="349" t="s">
        <v>4059</v>
      </c>
      <c r="D947" s="349" t="s">
        <v>346</v>
      </c>
      <c r="E947" s="402"/>
      <c r="F947" s="413">
        <v>5491.93</v>
      </c>
      <c r="G947" s="403"/>
      <c r="H947" s="402"/>
      <c r="I947" s="402"/>
      <c r="J947" s="402"/>
      <c r="K947" s="402"/>
      <c r="L947" s="402"/>
      <c r="M947" s="402"/>
      <c r="N947" s="402"/>
      <c r="O947" s="402"/>
      <c r="P947" s="402"/>
      <c r="Q947" s="402"/>
      <c r="R947" s="402"/>
      <c r="S947" s="402"/>
      <c r="T947" s="402"/>
      <c r="U947" s="402"/>
      <c r="V947" s="402"/>
      <c r="W947" s="402"/>
      <c r="X947" s="402"/>
      <c r="Y947" s="402"/>
      <c r="Z947" s="402"/>
      <c r="AA947" s="405"/>
      <c r="AB947" s="405"/>
      <c r="AC947" s="405"/>
      <c r="AD947" s="405"/>
      <c r="AE947" s="405"/>
      <c r="AF947" s="405"/>
      <c r="AG947" s="405"/>
      <c r="AH947" s="405"/>
      <c r="AI947" s="405"/>
      <c r="AJ947" s="405"/>
      <c r="AK947" s="405"/>
      <c r="AL947" s="405"/>
    </row>
    <row r="948" ht="14.25" customHeight="1">
      <c r="A948" s="497">
        <v>45538.0</v>
      </c>
      <c r="B948" s="349" t="s">
        <v>3802</v>
      </c>
      <c r="C948" s="349" t="s">
        <v>3670</v>
      </c>
      <c r="D948" s="349" t="s">
        <v>54</v>
      </c>
      <c r="E948" s="402"/>
      <c r="F948" s="413">
        <v>18197.92</v>
      </c>
      <c r="G948" s="403"/>
      <c r="H948" s="402"/>
      <c r="I948" s="402"/>
      <c r="J948" s="402"/>
      <c r="K948" s="402"/>
      <c r="L948" s="402"/>
      <c r="M948" s="402"/>
      <c r="N948" s="402"/>
      <c r="O948" s="402"/>
      <c r="P948" s="402"/>
      <c r="Q948" s="402"/>
      <c r="R948" s="402"/>
      <c r="S948" s="402"/>
      <c r="T948" s="402"/>
      <c r="U948" s="402"/>
      <c r="V948" s="402"/>
      <c r="W948" s="402"/>
      <c r="X948" s="402"/>
      <c r="Y948" s="402"/>
      <c r="Z948" s="402"/>
      <c r="AA948" s="405"/>
      <c r="AB948" s="405"/>
      <c r="AC948" s="405"/>
      <c r="AD948" s="405"/>
      <c r="AE948" s="405"/>
      <c r="AF948" s="405"/>
      <c r="AG948" s="405"/>
      <c r="AH948" s="405"/>
      <c r="AI948" s="405"/>
      <c r="AJ948" s="405"/>
      <c r="AK948" s="405"/>
      <c r="AL948" s="405"/>
    </row>
    <row r="949" ht="14.25" customHeight="1">
      <c r="A949" s="497">
        <v>45538.0</v>
      </c>
      <c r="B949" s="349" t="s">
        <v>3573</v>
      </c>
      <c r="C949" s="349" t="s">
        <v>3574</v>
      </c>
      <c r="D949" s="349" t="s">
        <v>54</v>
      </c>
      <c r="E949" s="402"/>
      <c r="F949" s="413">
        <v>239011.76</v>
      </c>
      <c r="G949" s="403"/>
      <c r="H949" s="402"/>
      <c r="I949" s="402"/>
      <c r="J949" s="402"/>
      <c r="K949" s="402"/>
      <c r="L949" s="402"/>
      <c r="M949" s="402"/>
      <c r="N949" s="402"/>
      <c r="O949" s="402"/>
      <c r="P949" s="402"/>
      <c r="Q949" s="402"/>
      <c r="R949" s="402"/>
      <c r="S949" s="402"/>
      <c r="T949" s="402"/>
      <c r="U949" s="402"/>
      <c r="V949" s="402"/>
      <c r="W949" s="402"/>
      <c r="X949" s="402"/>
      <c r="Y949" s="402"/>
      <c r="Z949" s="402"/>
      <c r="AA949" s="405"/>
      <c r="AB949" s="405"/>
      <c r="AC949" s="405"/>
      <c r="AD949" s="405"/>
      <c r="AE949" s="405"/>
      <c r="AF949" s="405"/>
      <c r="AG949" s="405"/>
      <c r="AH949" s="405"/>
      <c r="AI949" s="405"/>
      <c r="AJ949" s="405"/>
      <c r="AK949" s="405"/>
      <c r="AL949" s="405"/>
    </row>
    <row r="950" ht="14.25" customHeight="1">
      <c r="A950" s="497">
        <v>45538.0</v>
      </c>
      <c r="B950" s="349" t="s">
        <v>3775</v>
      </c>
      <c r="C950" s="349" t="s">
        <v>3776</v>
      </c>
      <c r="D950" s="349" t="s">
        <v>54</v>
      </c>
      <c r="E950" s="402"/>
      <c r="F950" s="413">
        <v>88599.52</v>
      </c>
      <c r="G950" s="403"/>
      <c r="H950" s="402"/>
      <c r="I950" s="402"/>
      <c r="J950" s="402"/>
      <c r="K950" s="402"/>
      <c r="L950" s="402"/>
      <c r="M950" s="402"/>
      <c r="N950" s="402"/>
      <c r="O950" s="402"/>
      <c r="P950" s="402"/>
      <c r="Q950" s="402"/>
      <c r="R950" s="402"/>
      <c r="S950" s="402"/>
      <c r="T950" s="402"/>
      <c r="U950" s="402"/>
      <c r="V950" s="402"/>
      <c r="W950" s="402"/>
      <c r="X950" s="402"/>
      <c r="Y950" s="402"/>
      <c r="Z950" s="402"/>
      <c r="AA950" s="405"/>
      <c r="AB950" s="405"/>
      <c r="AC950" s="405"/>
      <c r="AD950" s="405"/>
      <c r="AE950" s="405"/>
      <c r="AF950" s="405"/>
      <c r="AG950" s="405"/>
      <c r="AH950" s="405"/>
      <c r="AI950" s="405"/>
      <c r="AJ950" s="405"/>
      <c r="AK950" s="405"/>
      <c r="AL950" s="405"/>
    </row>
    <row r="951" ht="14.25" customHeight="1">
      <c r="A951" s="497">
        <v>45538.0</v>
      </c>
      <c r="B951" s="349" t="s">
        <v>3765</v>
      </c>
      <c r="C951" s="349" t="s">
        <v>3766</v>
      </c>
      <c r="D951" s="349" t="s">
        <v>54</v>
      </c>
      <c r="E951" s="402"/>
      <c r="F951" s="413">
        <v>20440.0</v>
      </c>
      <c r="G951" s="403"/>
      <c r="I951" s="402"/>
      <c r="J951" s="402"/>
      <c r="K951" s="402"/>
      <c r="L951" s="402"/>
      <c r="M951" s="402"/>
      <c r="N951" s="402"/>
      <c r="O951" s="402"/>
      <c r="P951" s="402"/>
      <c r="Q951" s="402"/>
      <c r="R951" s="402"/>
      <c r="S951" s="402"/>
      <c r="T951" s="402"/>
      <c r="U951" s="402"/>
      <c r="V951" s="402"/>
      <c r="W951" s="402"/>
      <c r="X951" s="402"/>
      <c r="Y951" s="402"/>
      <c r="Z951" s="402"/>
      <c r="AA951" s="405"/>
      <c r="AB951" s="405"/>
      <c r="AC951" s="405"/>
      <c r="AD951" s="405"/>
      <c r="AE951" s="405"/>
      <c r="AF951" s="405"/>
      <c r="AG951" s="405"/>
      <c r="AH951" s="405"/>
      <c r="AI951" s="405"/>
      <c r="AJ951" s="405"/>
      <c r="AK951" s="405"/>
      <c r="AL951" s="405"/>
    </row>
    <row r="952" ht="14.25" customHeight="1">
      <c r="A952" s="497">
        <v>45538.0</v>
      </c>
      <c r="B952" s="349" t="s">
        <v>3721</v>
      </c>
      <c r="C952" s="349" t="s">
        <v>3722</v>
      </c>
      <c r="D952" s="349" t="s">
        <v>54</v>
      </c>
      <c r="E952" s="402"/>
      <c r="F952" s="413">
        <v>11205.0</v>
      </c>
      <c r="G952" s="403"/>
      <c r="H952" s="402"/>
      <c r="I952" s="402"/>
      <c r="J952" s="402"/>
      <c r="K952" s="402"/>
      <c r="L952" s="402"/>
      <c r="M952" s="402"/>
      <c r="N952" s="402"/>
      <c r="O952" s="402"/>
      <c r="P952" s="402"/>
      <c r="Q952" s="402"/>
      <c r="R952" s="402"/>
      <c r="S952" s="402"/>
      <c r="T952" s="402"/>
      <c r="U952" s="402"/>
      <c r="V952" s="402"/>
      <c r="W952" s="402"/>
      <c r="X952" s="402"/>
      <c r="Y952" s="402"/>
      <c r="Z952" s="402"/>
      <c r="AA952" s="405"/>
      <c r="AB952" s="405"/>
      <c r="AC952" s="405"/>
      <c r="AD952" s="405"/>
      <c r="AE952" s="405"/>
      <c r="AF952" s="405"/>
      <c r="AG952" s="405"/>
      <c r="AH952" s="405"/>
      <c r="AI952" s="405"/>
      <c r="AJ952" s="405"/>
      <c r="AK952" s="405"/>
      <c r="AL952" s="405"/>
    </row>
    <row r="953" ht="14.25" customHeight="1">
      <c r="A953" s="497">
        <v>45538.0</v>
      </c>
      <c r="B953" s="349" t="s">
        <v>3777</v>
      </c>
      <c r="C953" s="349" t="s">
        <v>3778</v>
      </c>
      <c r="D953" s="349" t="s">
        <v>54</v>
      </c>
      <c r="E953" s="402"/>
      <c r="F953" s="413">
        <v>35965.0</v>
      </c>
      <c r="G953" s="403"/>
      <c r="H953" s="402"/>
      <c r="I953" s="402"/>
      <c r="J953" s="402"/>
      <c r="K953" s="402"/>
      <c r="L953" s="402"/>
      <c r="M953" s="402"/>
      <c r="N953" s="402"/>
      <c r="O953" s="402"/>
      <c r="P953" s="402"/>
      <c r="Q953" s="402"/>
      <c r="R953" s="402"/>
      <c r="S953" s="402"/>
      <c r="T953" s="402"/>
      <c r="U953" s="402"/>
      <c r="V953" s="402"/>
      <c r="W953" s="402"/>
      <c r="X953" s="402"/>
      <c r="Y953" s="402"/>
      <c r="Z953" s="402"/>
      <c r="AA953" s="405"/>
      <c r="AB953" s="405"/>
      <c r="AC953" s="405"/>
      <c r="AD953" s="405"/>
      <c r="AE953" s="405"/>
      <c r="AF953" s="405"/>
      <c r="AG953" s="405"/>
      <c r="AH953" s="405"/>
      <c r="AI953" s="405"/>
      <c r="AJ953" s="405"/>
      <c r="AK953" s="405"/>
      <c r="AL953" s="405"/>
    </row>
    <row r="954" ht="14.25" customHeight="1">
      <c r="A954" s="497">
        <v>45538.0</v>
      </c>
      <c r="B954" s="349" t="s">
        <v>3789</v>
      </c>
      <c r="C954" s="349" t="s">
        <v>3790</v>
      </c>
      <c r="D954" s="349" t="s">
        <v>54</v>
      </c>
      <c r="E954" s="402"/>
      <c r="F954" s="413">
        <v>21208.55</v>
      </c>
      <c r="G954" s="403"/>
      <c r="H954" s="402"/>
      <c r="I954" s="402"/>
      <c r="J954" s="402"/>
      <c r="K954" s="402"/>
      <c r="L954" s="402"/>
      <c r="M954" s="402"/>
      <c r="N954" s="402"/>
      <c r="O954" s="402"/>
      <c r="P954" s="402"/>
      <c r="Q954" s="402"/>
      <c r="R954" s="402"/>
      <c r="S954" s="402"/>
      <c r="T954" s="402"/>
      <c r="U954" s="402"/>
      <c r="V954" s="402"/>
      <c r="W954" s="402"/>
      <c r="X954" s="402"/>
      <c r="Y954" s="402"/>
      <c r="Z954" s="402"/>
      <c r="AA954" s="405"/>
      <c r="AB954" s="405"/>
      <c r="AC954" s="405"/>
      <c r="AD954" s="405"/>
      <c r="AE954" s="405"/>
      <c r="AF954" s="405"/>
      <c r="AG954" s="405"/>
      <c r="AH954" s="405"/>
      <c r="AI954" s="405"/>
      <c r="AJ954" s="405"/>
      <c r="AK954" s="405"/>
      <c r="AL954" s="405"/>
    </row>
    <row r="955" ht="14.25" customHeight="1">
      <c r="A955" s="497">
        <v>45538.0</v>
      </c>
      <c r="B955" s="349" t="s">
        <v>3695</v>
      </c>
      <c r="C955" s="349" t="s">
        <v>3733</v>
      </c>
      <c r="D955" s="349" t="s">
        <v>263</v>
      </c>
      <c r="E955" s="402"/>
      <c r="F955" s="413">
        <v>14999.57</v>
      </c>
      <c r="G955" s="403"/>
      <c r="H955" s="402"/>
      <c r="I955" s="402"/>
      <c r="J955" s="402"/>
      <c r="K955" s="402"/>
      <c r="L955" s="402"/>
      <c r="M955" s="402"/>
      <c r="N955" s="402"/>
      <c r="O955" s="402"/>
      <c r="P955" s="402"/>
      <c r="Q955" s="402"/>
      <c r="R955" s="402"/>
      <c r="S955" s="402"/>
      <c r="T955" s="402"/>
      <c r="U955" s="402"/>
      <c r="V955" s="402"/>
      <c r="W955" s="402"/>
      <c r="X955" s="402"/>
      <c r="Y955" s="402"/>
      <c r="Z955" s="402"/>
      <c r="AA955" s="405"/>
      <c r="AB955" s="405"/>
      <c r="AC955" s="405"/>
      <c r="AD955" s="405"/>
      <c r="AE955" s="405"/>
      <c r="AF955" s="405"/>
      <c r="AG955" s="405"/>
      <c r="AH955" s="405"/>
      <c r="AI955" s="405"/>
      <c r="AJ955" s="405"/>
      <c r="AK955" s="405"/>
      <c r="AL955" s="405"/>
    </row>
    <row r="956" ht="14.25" customHeight="1">
      <c r="A956" s="497">
        <v>45538.0</v>
      </c>
      <c r="B956" s="349" t="s">
        <v>3647</v>
      </c>
      <c r="C956" s="349" t="s">
        <v>3648</v>
      </c>
      <c r="D956" s="349" t="s">
        <v>54</v>
      </c>
      <c r="E956" s="402"/>
      <c r="F956" s="413">
        <v>11074.8</v>
      </c>
      <c r="G956" s="403"/>
      <c r="H956" s="402"/>
      <c r="I956" s="402"/>
      <c r="J956" s="402"/>
      <c r="K956" s="402"/>
      <c r="L956" s="402"/>
      <c r="M956" s="402"/>
      <c r="N956" s="402"/>
      <c r="O956" s="402"/>
      <c r="P956" s="402"/>
      <c r="Q956" s="402"/>
      <c r="R956" s="402"/>
      <c r="S956" s="402"/>
      <c r="T956" s="402"/>
      <c r="U956" s="402"/>
      <c r="V956" s="402"/>
      <c r="W956" s="402"/>
      <c r="X956" s="402"/>
      <c r="Y956" s="402"/>
      <c r="Z956" s="402"/>
      <c r="AA956" s="405"/>
      <c r="AB956" s="405"/>
      <c r="AC956" s="405"/>
      <c r="AD956" s="405"/>
      <c r="AE956" s="405"/>
      <c r="AF956" s="405"/>
      <c r="AG956" s="405"/>
      <c r="AH956" s="405"/>
      <c r="AI956" s="405"/>
      <c r="AJ956" s="405"/>
      <c r="AK956" s="405"/>
      <c r="AL956" s="405"/>
    </row>
    <row r="957" ht="14.25" customHeight="1">
      <c r="A957" s="497">
        <v>45538.0</v>
      </c>
      <c r="B957" s="349" t="s">
        <v>3718</v>
      </c>
      <c r="C957" s="349" t="s">
        <v>3719</v>
      </c>
      <c r="D957" s="349" t="s">
        <v>54</v>
      </c>
      <c r="E957" s="402"/>
      <c r="F957" s="413">
        <v>132595.86</v>
      </c>
      <c r="G957" s="403"/>
      <c r="H957" s="402"/>
      <c r="I957" s="402"/>
      <c r="J957" s="402"/>
      <c r="K957" s="402"/>
      <c r="L957" s="402"/>
      <c r="M957" s="402"/>
      <c r="N957" s="402"/>
      <c r="O957" s="402"/>
      <c r="P957" s="402"/>
      <c r="Q957" s="402"/>
      <c r="R957" s="402"/>
      <c r="S957" s="402"/>
      <c r="T957" s="402"/>
      <c r="U957" s="402"/>
      <c r="V957" s="402"/>
      <c r="W957" s="402"/>
      <c r="X957" s="402"/>
      <c r="Y957" s="402"/>
      <c r="Z957" s="402"/>
      <c r="AA957" s="405"/>
      <c r="AB957" s="405"/>
      <c r="AC957" s="405"/>
      <c r="AD957" s="405"/>
      <c r="AE957" s="405"/>
      <c r="AF957" s="405"/>
      <c r="AG957" s="405"/>
      <c r="AH957" s="405"/>
      <c r="AI957" s="405"/>
      <c r="AJ957" s="405"/>
      <c r="AK957" s="405"/>
      <c r="AL957" s="405"/>
    </row>
    <row r="958" ht="14.25" customHeight="1">
      <c r="A958" s="497">
        <v>45538.0</v>
      </c>
      <c r="B958" s="349" t="s">
        <v>4100</v>
      </c>
      <c r="C958" s="349" t="s">
        <v>3616</v>
      </c>
      <c r="D958" s="349" t="s">
        <v>75</v>
      </c>
      <c r="E958" s="402"/>
      <c r="F958" s="413">
        <v>96500.0</v>
      </c>
      <c r="G958" s="403"/>
      <c r="H958" s="402"/>
      <c r="I958" s="402"/>
      <c r="J958" s="402"/>
      <c r="K958" s="402"/>
      <c r="L958" s="402"/>
      <c r="M958" s="402"/>
      <c r="N958" s="402"/>
      <c r="O958" s="402"/>
      <c r="P958" s="402"/>
      <c r="Q958" s="402"/>
      <c r="R958" s="402"/>
      <c r="S958" s="402"/>
      <c r="T958" s="402"/>
      <c r="U958" s="402"/>
      <c r="V958" s="402"/>
      <c r="W958" s="402"/>
      <c r="X958" s="402"/>
      <c r="Y958" s="402"/>
      <c r="Z958" s="402"/>
      <c r="AA958" s="405"/>
      <c r="AB958" s="405"/>
      <c r="AC958" s="405"/>
      <c r="AD958" s="405"/>
      <c r="AE958" s="405"/>
      <c r="AF958" s="405"/>
      <c r="AG958" s="405"/>
      <c r="AH958" s="405"/>
      <c r="AI958" s="405"/>
      <c r="AJ958" s="405"/>
      <c r="AK958" s="405"/>
      <c r="AL958" s="405"/>
    </row>
    <row r="959" ht="14.25" customHeight="1">
      <c r="A959" s="497">
        <v>45538.0</v>
      </c>
      <c r="B959" s="402"/>
      <c r="C959" s="402"/>
      <c r="D959" s="402"/>
      <c r="E959" s="402"/>
      <c r="F959" s="402"/>
      <c r="G959" s="403"/>
      <c r="H959" s="402"/>
      <c r="I959" s="402"/>
      <c r="J959" s="402"/>
      <c r="K959" s="402"/>
      <c r="L959" s="402"/>
      <c r="M959" s="402"/>
      <c r="N959" s="402"/>
      <c r="O959" s="402"/>
      <c r="P959" s="402"/>
      <c r="Q959" s="402"/>
      <c r="R959" s="402"/>
      <c r="S959" s="402"/>
      <c r="T959" s="402"/>
      <c r="U959" s="402"/>
      <c r="V959" s="402"/>
      <c r="W959" s="402"/>
      <c r="X959" s="402"/>
      <c r="Y959" s="402"/>
      <c r="Z959" s="402"/>
      <c r="AA959" s="405"/>
      <c r="AB959" s="405"/>
      <c r="AC959" s="405"/>
      <c r="AD959" s="405"/>
      <c r="AE959" s="405"/>
      <c r="AF959" s="405"/>
      <c r="AG959" s="405"/>
      <c r="AH959" s="405"/>
      <c r="AI959" s="405"/>
      <c r="AJ959" s="405"/>
      <c r="AK959" s="405"/>
      <c r="AL959" s="405"/>
    </row>
    <row r="960" ht="14.25" customHeight="1">
      <c r="A960" s="402"/>
      <c r="B960" s="402"/>
      <c r="C960" s="402"/>
      <c r="D960" s="402"/>
      <c r="E960" s="402"/>
      <c r="F960" s="402"/>
      <c r="G960" s="403"/>
      <c r="H960" s="402"/>
      <c r="I960" s="402"/>
      <c r="J960" s="402"/>
      <c r="K960" s="402"/>
      <c r="L960" s="402"/>
      <c r="M960" s="402"/>
      <c r="N960" s="402"/>
      <c r="O960" s="402"/>
      <c r="P960" s="402"/>
      <c r="Q960" s="402"/>
      <c r="R960" s="402"/>
      <c r="S960" s="402"/>
      <c r="T960" s="402"/>
      <c r="U960" s="402"/>
      <c r="V960" s="402"/>
      <c r="W960" s="402"/>
      <c r="X960" s="402"/>
      <c r="Y960" s="402"/>
      <c r="Z960" s="402"/>
      <c r="AA960" s="405"/>
      <c r="AB960" s="405"/>
      <c r="AC960" s="405"/>
      <c r="AD960" s="405"/>
      <c r="AE960" s="405"/>
      <c r="AF960" s="405"/>
      <c r="AG960" s="405"/>
      <c r="AH960" s="405"/>
      <c r="AI960" s="405"/>
      <c r="AJ960" s="405"/>
      <c r="AK960" s="405"/>
      <c r="AL960" s="405"/>
    </row>
    <row r="961" ht="14.25" customHeight="1">
      <c r="A961" s="402"/>
      <c r="B961" s="402"/>
      <c r="C961" s="402"/>
      <c r="D961" s="402"/>
      <c r="E961" s="402"/>
      <c r="F961" s="402"/>
      <c r="G961" s="403"/>
      <c r="H961" s="402"/>
      <c r="I961" s="402"/>
      <c r="J961" s="402"/>
      <c r="K961" s="402"/>
      <c r="L961" s="402"/>
      <c r="M961" s="402"/>
      <c r="N961" s="402"/>
      <c r="O961" s="402"/>
      <c r="P961" s="402"/>
      <c r="Q961" s="402"/>
      <c r="R961" s="402"/>
      <c r="S961" s="402"/>
      <c r="T961" s="402"/>
      <c r="U961" s="402"/>
      <c r="V961" s="402"/>
      <c r="W961" s="402"/>
      <c r="X961" s="402"/>
      <c r="Y961" s="402"/>
      <c r="Z961" s="402"/>
      <c r="AA961" s="405"/>
      <c r="AB961" s="405"/>
      <c r="AC961" s="405"/>
      <c r="AD961" s="405"/>
      <c r="AE961" s="405"/>
      <c r="AF961" s="405"/>
      <c r="AG961" s="405"/>
      <c r="AH961" s="405"/>
      <c r="AI961" s="405"/>
      <c r="AJ961" s="405"/>
      <c r="AK961" s="405"/>
      <c r="AL961" s="405"/>
    </row>
    <row r="962" ht="14.25" customHeight="1">
      <c r="A962" s="402"/>
      <c r="B962" s="402"/>
      <c r="C962" s="402"/>
      <c r="D962" s="402"/>
      <c r="E962" s="402"/>
      <c r="F962" s="402"/>
      <c r="G962" s="403"/>
      <c r="H962" s="402"/>
      <c r="I962" s="402"/>
      <c r="J962" s="402"/>
      <c r="K962" s="402"/>
      <c r="L962" s="402"/>
      <c r="M962" s="402"/>
      <c r="N962" s="402"/>
      <c r="O962" s="402"/>
      <c r="P962" s="402"/>
      <c r="Q962" s="402"/>
      <c r="R962" s="402"/>
      <c r="S962" s="402"/>
      <c r="T962" s="402"/>
      <c r="U962" s="402"/>
      <c r="V962" s="402"/>
      <c r="W962" s="402"/>
      <c r="X962" s="402"/>
      <c r="Y962" s="402"/>
      <c r="Z962" s="402"/>
      <c r="AA962" s="405"/>
      <c r="AB962" s="405"/>
      <c r="AC962" s="405"/>
      <c r="AD962" s="405"/>
      <c r="AE962" s="405"/>
      <c r="AF962" s="405"/>
      <c r="AG962" s="405"/>
      <c r="AH962" s="405"/>
      <c r="AI962" s="405"/>
      <c r="AJ962" s="405"/>
      <c r="AK962" s="405"/>
      <c r="AL962" s="405"/>
    </row>
    <row r="963" ht="14.25" customHeight="1">
      <c r="A963" s="402"/>
      <c r="B963" s="402"/>
      <c r="C963" s="402"/>
      <c r="D963" s="402"/>
      <c r="E963" s="402"/>
      <c r="F963" s="402"/>
      <c r="G963" s="403"/>
      <c r="H963" s="402"/>
      <c r="I963" s="402"/>
      <c r="J963" s="402"/>
      <c r="K963" s="402"/>
      <c r="L963" s="402"/>
      <c r="M963" s="402"/>
      <c r="N963" s="402"/>
      <c r="O963" s="402"/>
      <c r="P963" s="402"/>
      <c r="Q963" s="402"/>
      <c r="R963" s="402"/>
      <c r="S963" s="402"/>
      <c r="T963" s="402"/>
      <c r="U963" s="402"/>
      <c r="V963" s="402"/>
      <c r="W963" s="402"/>
      <c r="X963" s="402"/>
      <c r="Y963" s="402"/>
      <c r="Z963" s="402"/>
      <c r="AA963" s="405"/>
      <c r="AB963" s="405"/>
      <c r="AC963" s="405"/>
      <c r="AD963" s="405"/>
      <c r="AE963" s="405"/>
      <c r="AF963" s="405"/>
      <c r="AG963" s="405"/>
      <c r="AH963" s="405"/>
      <c r="AI963" s="405"/>
      <c r="AJ963" s="405"/>
      <c r="AK963" s="405"/>
      <c r="AL963" s="405"/>
    </row>
    <row r="964" ht="14.25" customHeight="1">
      <c r="A964" s="402"/>
      <c r="B964" s="402"/>
      <c r="C964" s="402"/>
      <c r="D964" s="402"/>
      <c r="E964" s="402"/>
      <c r="F964" s="402"/>
      <c r="G964" s="403"/>
      <c r="H964" s="402"/>
      <c r="I964" s="402"/>
      <c r="J964" s="402"/>
      <c r="K964" s="402"/>
      <c r="L964" s="402"/>
      <c r="M964" s="402"/>
      <c r="N964" s="402"/>
      <c r="O964" s="402"/>
      <c r="P964" s="402"/>
      <c r="Q964" s="402"/>
      <c r="R964" s="402"/>
      <c r="S964" s="402"/>
      <c r="T964" s="402"/>
      <c r="U964" s="402"/>
      <c r="V964" s="402"/>
      <c r="W964" s="402"/>
      <c r="X964" s="402"/>
      <c r="Y964" s="402"/>
      <c r="Z964" s="402"/>
      <c r="AA964" s="405"/>
      <c r="AB964" s="405"/>
      <c r="AC964" s="405"/>
      <c r="AD964" s="405"/>
      <c r="AE964" s="405"/>
      <c r="AF964" s="405"/>
      <c r="AG964" s="405"/>
      <c r="AH964" s="405"/>
      <c r="AI964" s="405"/>
      <c r="AJ964" s="405"/>
      <c r="AK964" s="405"/>
      <c r="AL964" s="405"/>
    </row>
    <row r="965" ht="14.25" customHeight="1">
      <c r="A965" s="402"/>
      <c r="B965" s="402"/>
      <c r="C965" s="402"/>
      <c r="D965" s="402"/>
      <c r="E965" s="402"/>
      <c r="F965" s="402"/>
      <c r="G965" s="403"/>
      <c r="H965" s="402"/>
      <c r="I965" s="402"/>
      <c r="J965" s="402"/>
      <c r="K965" s="402"/>
      <c r="L965" s="402"/>
      <c r="M965" s="402"/>
      <c r="N965" s="402"/>
      <c r="O965" s="402"/>
      <c r="P965" s="402"/>
      <c r="Q965" s="402"/>
      <c r="R965" s="402"/>
      <c r="S965" s="402"/>
      <c r="T965" s="402"/>
      <c r="U965" s="402"/>
      <c r="V965" s="402"/>
      <c r="W965" s="402"/>
      <c r="X965" s="402"/>
      <c r="Y965" s="402"/>
      <c r="Z965" s="402"/>
      <c r="AA965" s="405"/>
      <c r="AB965" s="405"/>
      <c r="AC965" s="405"/>
      <c r="AD965" s="405"/>
      <c r="AE965" s="405"/>
      <c r="AF965" s="405"/>
      <c r="AG965" s="405"/>
      <c r="AH965" s="405"/>
      <c r="AI965" s="405"/>
      <c r="AJ965" s="405"/>
      <c r="AK965" s="405"/>
      <c r="AL965" s="405"/>
    </row>
    <row r="966" ht="14.25" customHeight="1">
      <c r="A966" s="402"/>
      <c r="B966" s="402"/>
      <c r="C966" s="402"/>
      <c r="D966" s="402"/>
      <c r="E966" s="402"/>
      <c r="F966" s="402"/>
      <c r="G966" s="403"/>
      <c r="H966" s="402"/>
      <c r="I966" s="402"/>
      <c r="J966" s="402"/>
      <c r="K966" s="402"/>
      <c r="L966" s="402"/>
      <c r="M966" s="402"/>
      <c r="N966" s="402"/>
      <c r="O966" s="402"/>
      <c r="P966" s="402"/>
      <c r="Q966" s="402"/>
      <c r="R966" s="402"/>
      <c r="S966" s="402"/>
      <c r="T966" s="402"/>
      <c r="U966" s="402"/>
      <c r="V966" s="402"/>
      <c r="W966" s="402"/>
      <c r="X966" s="402"/>
      <c r="Y966" s="402"/>
      <c r="Z966" s="402"/>
      <c r="AA966" s="405"/>
      <c r="AB966" s="405"/>
      <c r="AC966" s="405"/>
      <c r="AD966" s="405"/>
      <c r="AE966" s="405"/>
      <c r="AF966" s="405"/>
      <c r="AG966" s="405"/>
      <c r="AH966" s="405"/>
      <c r="AI966" s="405"/>
      <c r="AJ966" s="405"/>
      <c r="AK966" s="405"/>
      <c r="AL966" s="405"/>
    </row>
    <row r="967" ht="14.25" customHeight="1">
      <c r="A967" s="402"/>
      <c r="B967" s="402"/>
      <c r="C967" s="402"/>
      <c r="D967" s="402"/>
      <c r="E967" s="402"/>
      <c r="F967" s="402"/>
      <c r="G967" s="403"/>
      <c r="H967" s="402"/>
      <c r="I967" s="402"/>
      <c r="J967" s="402"/>
      <c r="K967" s="402"/>
      <c r="L967" s="402"/>
      <c r="M967" s="402"/>
      <c r="N967" s="402"/>
      <c r="O967" s="402"/>
      <c r="P967" s="402"/>
      <c r="Q967" s="402"/>
      <c r="R967" s="402"/>
      <c r="S967" s="402"/>
      <c r="T967" s="402"/>
      <c r="U967" s="402"/>
      <c r="V967" s="402"/>
      <c r="W967" s="402"/>
      <c r="X967" s="402"/>
      <c r="Y967" s="402"/>
      <c r="Z967" s="402"/>
      <c r="AA967" s="405"/>
      <c r="AB967" s="405"/>
      <c r="AC967" s="405"/>
      <c r="AD967" s="405"/>
      <c r="AE967" s="405"/>
      <c r="AF967" s="405"/>
      <c r="AG967" s="405"/>
      <c r="AH967" s="405"/>
      <c r="AI967" s="405"/>
      <c r="AJ967" s="405"/>
      <c r="AK967" s="405"/>
      <c r="AL967" s="405"/>
    </row>
    <row r="968" ht="14.25" customHeight="1">
      <c r="A968" s="402"/>
      <c r="B968" s="402"/>
      <c r="C968" s="402"/>
      <c r="D968" s="402"/>
      <c r="E968" s="402"/>
      <c r="F968" s="402"/>
      <c r="G968" s="403"/>
      <c r="H968" s="402"/>
      <c r="I968" s="402"/>
      <c r="J968" s="402"/>
      <c r="K968" s="402"/>
      <c r="L968" s="402"/>
      <c r="M968" s="402"/>
      <c r="N968" s="402"/>
      <c r="O968" s="402"/>
      <c r="P968" s="402"/>
      <c r="Q968" s="402"/>
      <c r="R968" s="402"/>
      <c r="S968" s="402"/>
      <c r="T968" s="402"/>
      <c r="U968" s="402"/>
      <c r="V968" s="402"/>
      <c r="W968" s="402"/>
      <c r="X968" s="402"/>
      <c r="Y968" s="402"/>
      <c r="Z968" s="402"/>
      <c r="AA968" s="405"/>
      <c r="AB968" s="405"/>
      <c r="AC968" s="405"/>
      <c r="AD968" s="405"/>
      <c r="AE968" s="405"/>
      <c r="AF968" s="405"/>
      <c r="AG968" s="405"/>
      <c r="AH968" s="405"/>
      <c r="AI968" s="405"/>
      <c r="AJ968" s="405"/>
      <c r="AK968" s="405"/>
      <c r="AL968" s="405"/>
    </row>
    <row r="969" ht="14.25" customHeight="1">
      <c r="A969" s="402"/>
      <c r="B969" s="402"/>
      <c r="C969" s="402"/>
      <c r="D969" s="402"/>
      <c r="E969" s="402"/>
      <c r="F969" s="402"/>
      <c r="G969" s="403"/>
      <c r="H969" s="402"/>
      <c r="I969" s="402"/>
      <c r="J969" s="402"/>
      <c r="K969" s="402"/>
      <c r="L969" s="402"/>
      <c r="M969" s="402"/>
      <c r="N969" s="402"/>
      <c r="O969" s="402"/>
      <c r="P969" s="402"/>
      <c r="Q969" s="402"/>
      <c r="R969" s="402"/>
      <c r="S969" s="402"/>
      <c r="T969" s="402"/>
      <c r="U969" s="402"/>
      <c r="V969" s="402"/>
      <c r="W969" s="402"/>
      <c r="X969" s="402"/>
      <c r="Y969" s="402"/>
      <c r="Z969" s="402"/>
      <c r="AA969" s="405"/>
      <c r="AB969" s="405"/>
      <c r="AC969" s="405"/>
      <c r="AD969" s="405"/>
      <c r="AE969" s="405"/>
      <c r="AF969" s="405"/>
      <c r="AG969" s="405"/>
      <c r="AH969" s="405"/>
      <c r="AI969" s="405"/>
      <c r="AJ969" s="405"/>
      <c r="AK969" s="405"/>
      <c r="AL969" s="405"/>
    </row>
    <row r="970" ht="14.25" customHeight="1">
      <c r="A970" s="402"/>
      <c r="B970" s="402"/>
      <c r="C970" s="402"/>
      <c r="D970" s="402"/>
      <c r="E970" s="402"/>
      <c r="F970" s="402"/>
      <c r="G970" s="403"/>
      <c r="H970" s="402"/>
      <c r="I970" s="402"/>
      <c r="J970" s="402"/>
      <c r="K970" s="402"/>
      <c r="L970" s="402"/>
      <c r="M970" s="402"/>
      <c r="N970" s="402"/>
      <c r="O970" s="402"/>
      <c r="P970" s="402"/>
      <c r="Q970" s="402"/>
      <c r="R970" s="402"/>
      <c r="S970" s="402"/>
      <c r="T970" s="402"/>
      <c r="U970" s="402"/>
      <c r="V970" s="402"/>
      <c r="W970" s="402"/>
      <c r="X970" s="402"/>
      <c r="Y970" s="402"/>
      <c r="Z970" s="402"/>
      <c r="AA970" s="405"/>
      <c r="AB970" s="405"/>
      <c r="AC970" s="405"/>
      <c r="AD970" s="405"/>
      <c r="AE970" s="405"/>
      <c r="AF970" s="405"/>
      <c r="AG970" s="405"/>
      <c r="AH970" s="405"/>
      <c r="AI970" s="405"/>
      <c r="AJ970" s="405"/>
      <c r="AK970" s="405"/>
      <c r="AL970" s="405"/>
    </row>
    <row r="971" ht="14.25" customHeight="1">
      <c r="A971" s="402"/>
      <c r="B971" s="402"/>
      <c r="C971" s="402"/>
      <c r="D971" s="402"/>
      <c r="E971" s="402"/>
      <c r="F971" s="402"/>
      <c r="G971" s="403"/>
      <c r="H971" s="402"/>
      <c r="I971" s="402"/>
      <c r="J971" s="402"/>
      <c r="K971" s="402"/>
      <c r="L971" s="402"/>
      <c r="M971" s="402"/>
      <c r="N971" s="402"/>
      <c r="O971" s="402"/>
      <c r="P971" s="402"/>
      <c r="Q971" s="402"/>
      <c r="R971" s="402"/>
      <c r="S971" s="402"/>
      <c r="T971" s="402"/>
      <c r="U971" s="402"/>
      <c r="V971" s="402"/>
      <c r="W971" s="402"/>
      <c r="X971" s="402"/>
      <c r="Y971" s="402"/>
      <c r="Z971" s="402"/>
      <c r="AA971" s="405"/>
      <c r="AB971" s="405"/>
      <c r="AC971" s="405"/>
      <c r="AD971" s="405"/>
      <c r="AE971" s="405"/>
      <c r="AF971" s="405"/>
      <c r="AG971" s="405"/>
      <c r="AH971" s="405"/>
      <c r="AI971" s="405"/>
      <c r="AJ971" s="405"/>
      <c r="AK971" s="405"/>
      <c r="AL971" s="405"/>
    </row>
    <row r="972" ht="14.25" customHeight="1">
      <c r="A972" s="402"/>
      <c r="B972" s="402"/>
      <c r="C972" s="402"/>
      <c r="D972" s="402"/>
      <c r="E972" s="402"/>
      <c r="F972" s="402"/>
      <c r="G972" s="403"/>
      <c r="H972" s="402"/>
      <c r="I972" s="402"/>
      <c r="J972" s="402"/>
      <c r="K972" s="402"/>
      <c r="L972" s="402"/>
      <c r="M972" s="402"/>
      <c r="N972" s="402"/>
      <c r="O972" s="402"/>
      <c r="P972" s="402"/>
      <c r="Q972" s="402"/>
      <c r="R972" s="402"/>
      <c r="S972" s="402"/>
      <c r="T972" s="402"/>
      <c r="U972" s="402"/>
      <c r="V972" s="402"/>
      <c r="W972" s="402"/>
      <c r="X972" s="402"/>
      <c r="Y972" s="402"/>
      <c r="Z972" s="402"/>
      <c r="AA972" s="405"/>
      <c r="AB972" s="405"/>
      <c r="AC972" s="405"/>
      <c r="AD972" s="405"/>
      <c r="AE972" s="405"/>
      <c r="AF972" s="405"/>
      <c r="AG972" s="405"/>
      <c r="AH972" s="405"/>
      <c r="AI972" s="405"/>
      <c r="AJ972" s="405"/>
      <c r="AK972" s="405"/>
      <c r="AL972" s="405"/>
    </row>
    <row r="973" ht="14.25" customHeight="1">
      <c r="A973" s="402"/>
      <c r="B973" s="402"/>
      <c r="C973" s="402"/>
      <c r="D973" s="402"/>
      <c r="E973" s="402"/>
      <c r="F973" s="402"/>
      <c r="G973" s="403"/>
      <c r="H973" s="402"/>
      <c r="I973" s="402"/>
      <c r="J973" s="402"/>
      <c r="K973" s="402"/>
      <c r="L973" s="402"/>
      <c r="M973" s="402"/>
      <c r="N973" s="402"/>
      <c r="O973" s="402"/>
      <c r="P973" s="402"/>
      <c r="Q973" s="402"/>
      <c r="R973" s="402"/>
      <c r="S973" s="402"/>
      <c r="T973" s="402"/>
      <c r="U973" s="402"/>
      <c r="V973" s="402"/>
      <c r="W973" s="402"/>
      <c r="X973" s="402"/>
      <c r="Y973" s="402"/>
      <c r="Z973" s="402"/>
      <c r="AA973" s="405"/>
      <c r="AB973" s="405"/>
      <c r="AC973" s="405"/>
      <c r="AD973" s="405"/>
      <c r="AE973" s="405"/>
      <c r="AF973" s="405"/>
      <c r="AG973" s="405"/>
      <c r="AH973" s="405"/>
      <c r="AI973" s="405"/>
      <c r="AJ973" s="405"/>
      <c r="AK973" s="405"/>
      <c r="AL973" s="405"/>
    </row>
    <row r="974" ht="14.25" customHeight="1">
      <c r="A974" s="402"/>
      <c r="B974" s="402"/>
      <c r="C974" s="402"/>
      <c r="D974" s="402"/>
      <c r="E974" s="402"/>
      <c r="F974" s="402"/>
      <c r="G974" s="403"/>
      <c r="H974" s="402"/>
      <c r="I974" s="402"/>
      <c r="J974" s="402"/>
      <c r="K974" s="402"/>
      <c r="L974" s="402"/>
      <c r="M974" s="402"/>
      <c r="N974" s="402"/>
      <c r="O974" s="402"/>
      <c r="P974" s="402"/>
      <c r="Q974" s="402"/>
      <c r="R974" s="402"/>
      <c r="S974" s="402"/>
      <c r="T974" s="402"/>
      <c r="U974" s="402"/>
      <c r="V974" s="402"/>
      <c r="W974" s="402"/>
      <c r="X974" s="402"/>
      <c r="Y974" s="402"/>
      <c r="Z974" s="402"/>
      <c r="AA974" s="405"/>
      <c r="AB974" s="405"/>
      <c r="AC974" s="405"/>
      <c r="AD974" s="405"/>
      <c r="AE974" s="405"/>
      <c r="AF974" s="405"/>
      <c r="AG974" s="405"/>
      <c r="AH974" s="405"/>
      <c r="AI974" s="405"/>
      <c r="AJ974" s="405"/>
      <c r="AK974" s="405"/>
      <c r="AL974" s="405"/>
    </row>
    <row r="975" ht="14.25" customHeight="1">
      <c r="A975" s="402"/>
      <c r="B975" s="402"/>
      <c r="C975" s="402"/>
      <c r="D975" s="402"/>
      <c r="E975" s="402"/>
      <c r="F975" s="402"/>
      <c r="G975" s="403"/>
      <c r="H975" s="402"/>
      <c r="I975" s="402"/>
      <c r="J975" s="402"/>
      <c r="K975" s="402"/>
      <c r="L975" s="402"/>
      <c r="M975" s="402"/>
      <c r="N975" s="402"/>
      <c r="O975" s="402"/>
      <c r="P975" s="402"/>
      <c r="Q975" s="402"/>
      <c r="R975" s="402"/>
      <c r="S975" s="402"/>
      <c r="T975" s="402"/>
      <c r="U975" s="402"/>
      <c r="V975" s="402"/>
      <c r="W975" s="402"/>
      <c r="X975" s="402"/>
      <c r="Y975" s="402"/>
      <c r="Z975" s="402"/>
      <c r="AA975" s="405"/>
      <c r="AB975" s="405"/>
      <c r="AC975" s="405"/>
      <c r="AD975" s="405"/>
      <c r="AE975" s="405"/>
      <c r="AF975" s="405"/>
      <c r="AG975" s="405"/>
      <c r="AH975" s="405"/>
      <c r="AI975" s="405"/>
      <c r="AJ975" s="405"/>
      <c r="AK975" s="405"/>
      <c r="AL975" s="405"/>
    </row>
    <row r="976" ht="14.25" customHeight="1">
      <c r="A976" s="402"/>
      <c r="B976" s="402"/>
      <c r="C976" s="402"/>
      <c r="D976" s="402"/>
      <c r="E976" s="402"/>
      <c r="F976" s="402"/>
      <c r="G976" s="403"/>
      <c r="H976" s="402"/>
      <c r="I976" s="402"/>
      <c r="J976" s="402"/>
      <c r="K976" s="402"/>
      <c r="L976" s="402"/>
      <c r="M976" s="402"/>
      <c r="N976" s="402"/>
      <c r="O976" s="402"/>
      <c r="P976" s="402"/>
      <c r="Q976" s="402"/>
      <c r="R976" s="402"/>
      <c r="S976" s="402"/>
      <c r="T976" s="402"/>
      <c r="U976" s="402"/>
      <c r="V976" s="402"/>
      <c r="W976" s="402"/>
      <c r="X976" s="402"/>
      <c r="Y976" s="402"/>
      <c r="Z976" s="402"/>
      <c r="AA976" s="405"/>
      <c r="AB976" s="405"/>
      <c r="AC976" s="405"/>
      <c r="AD976" s="405"/>
      <c r="AE976" s="405"/>
      <c r="AF976" s="405"/>
      <c r="AG976" s="405"/>
      <c r="AH976" s="405"/>
      <c r="AI976" s="405"/>
      <c r="AJ976" s="405"/>
      <c r="AK976" s="405"/>
      <c r="AL976" s="405"/>
    </row>
    <row r="977" ht="14.25" customHeight="1">
      <c r="A977" s="402"/>
      <c r="B977" s="402"/>
      <c r="C977" s="402"/>
      <c r="D977" s="402"/>
      <c r="E977" s="402"/>
      <c r="F977" s="402"/>
      <c r="G977" s="403"/>
      <c r="H977" s="402"/>
      <c r="I977" s="402"/>
      <c r="J977" s="402"/>
      <c r="K977" s="402"/>
      <c r="L977" s="402"/>
      <c r="M977" s="402"/>
      <c r="N977" s="402"/>
      <c r="O977" s="402"/>
      <c r="P977" s="402"/>
      <c r="Q977" s="402"/>
      <c r="R977" s="402"/>
      <c r="S977" s="402"/>
      <c r="T977" s="402"/>
      <c r="U977" s="402"/>
      <c r="V977" s="402"/>
      <c r="W977" s="402"/>
      <c r="X977" s="402"/>
      <c r="Y977" s="402"/>
      <c r="Z977" s="402"/>
      <c r="AA977" s="405"/>
      <c r="AB977" s="405"/>
      <c r="AC977" s="405"/>
      <c r="AD977" s="405"/>
      <c r="AE977" s="405"/>
      <c r="AF977" s="405"/>
      <c r="AG977" s="405"/>
      <c r="AH977" s="405"/>
      <c r="AI977" s="405"/>
      <c r="AJ977" s="405"/>
      <c r="AK977" s="405"/>
      <c r="AL977" s="405"/>
    </row>
    <row r="978" ht="14.25" customHeight="1">
      <c r="A978" s="402"/>
      <c r="B978" s="402"/>
      <c r="C978" s="402"/>
      <c r="D978" s="402"/>
      <c r="E978" s="402"/>
      <c r="F978" s="402"/>
      <c r="G978" s="403"/>
      <c r="H978" s="402"/>
      <c r="I978" s="402"/>
      <c r="J978" s="402"/>
      <c r="K978" s="402"/>
      <c r="L978" s="402"/>
      <c r="M978" s="402"/>
      <c r="N978" s="402"/>
      <c r="O978" s="402"/>
      <c r="P978" s="402"/>
      <c r="Q978" s="402"/>
      <c r="R978" s="402"/>
      <c r="S978" s="402"/>
      <c r="T978" s="402"/>
      <c r="U978" s="402"/>
      <c r="V978" s="402"/>
      <c r="W978" s="402"/>
      <c r="X978" s="402"/>
      <c r="Y978" s="402"/>
      <c r="Z978" s="402"/>
      <c r="AA978" s="405"/>
      <c r="AB978" s="405"/>
      <c r="AC978" s="405"/>
      <c r="AD978" s="405"/>
      <c r="AE978" s="405"/>
      <c r="AF978" s="405"/>
      <c r="AG978" s="405"/>
      <c r="AH978" s="405"/>
      <c r="AI978" s="405"/>
      <c r="AJ978" s="405"/>
      <c r="AK978" s="405"/>
      <c r="AL978" s="405"/>
    </row>
    <row r="979" ht="14.25" customHeight="1">
      <c r="A979" s="402"/>
      <c r="B979" s="402"/>
      <c r="C979" s="402"/>
      <c r="D979" s="402"/>
      <c r="E979" s="402"/>
      <c r="F979" s="402"/>
      <c r="G979" s="403"/>
      <c r="H979" s="402"/>
      <c r="I979" s="402"/>
      <c r="J979" s="402"/>
      <c r="K979" s="402"/>
      <c r="L979" s="402"/>
      <c r="M979" s="402"/>
      <c r="N979" s="402"/>
      <c r="O979" s="402"/>
      <c r="P979" s="402"/>
      <c r="Q979" s="402"/>
      <c r="R979" s="402"/>
      <c r="S979" s="402"/>
      <c r="T979" s="402"/>
      <c r="U979" s="402"/>
      <c r="V979" s="402"/>
      <c r="W979" s="402"/>
      <c r="X979" s="402"/>
      <c r="Y979" s="402"/>
      <c r="Z979" s="402"/>
      <c r="AA979" s="405"/>
      <c r="AB979" s="405"/>
      <c r="AC979" s="405"/>
      <c r="AD979" s="405"/>
      <c r="AE979" s="405"/>
      <c r="AF979" s="405"/>
      <c r="AG979" s="405"/>
      <c r="AH979" s="405"/>
      <c r="AI979" s="405"/>
      <c r="AJ979" s="405"/>
      <c r="AK979" s="405"/>
      <c r="AL979" s="405"/>
    </row>
    <row r="980" ht="14.25" customHeight="1">
      <c r="A980" s="402"/>
      <c r="B980" s="402"/>
      <c r="C980" s="402"/>
      <c r="D980" s="402"/>
      <c r="E980" s="402"/>
      <c r="F980" s="402"/>
      <c r="G980" s="403"/>
      <c r="H980" s="402"/>
      <c r="I980" s="402"/>
      <c r="J980" s="402"/>
      <c r="K980" s="402"/>
      <c r="L980" s="402"/>
      <c r="M980" s="402"/>
      <c r="N980" s="402"/>
      <c r="O980" s="402"/>
      <c r="P980" s="402"/>
      <c r="Q980" s="402"/>
      <c r="R980" s="402"/>
      <c r="S980" s="402"/>
      <c r="T980" s="402"/>
      <c r="U980" s="402"/>
      <c r="V980" s="402"/>
      <c r="W980" s="402"/>
      <c r="X980" s="402"/>
      <c r="Y980" s="402"/>
      <c r="Z980" s="402"/>
      <c r="AA980" s="405"/>
      <c r="AB980" s="405"/>
      <c r="AC980" s="405"/>
      <c r="AD980" s="405"/>
      <c r="AE980" s="405"/>
      <c r="AF980" s="405"/>
      <c r="AG980" s="405"/>
      <c r="AH980" s="405"/>
      <c r="AI980" s="405"/>
      <c r="AJ980" s="405"/>
      <c r="AK980" s="405"/>
      <c r="AL980" s="405"/>
    </row>
    <row r="981" ht="14.25" customHeight="1">
      <c r="A981" s="402"/>
      <c r="B981" s="402"/>
      <c r="C981" s="402"/>
      <c r="D981" s="402"/>
      <c r="E981" s="402"/>
      <c r="F981" s="402"/>
      <c r="G981" s="403"/>
      <c r="H981" s="402"/>
      <c r="I981" s="402"/>
      <c r="J981" s="402"/>
      <c r="K981" s="402"/>
      <c r="L981" s="402"/>
      <c r="M981" s="402"/>
      <c r="N981" s="402"/>
      <c r="O981" s="402"/>
      <c r="P981" s="402"/>
      <c r="Q981" s="402"/>
      <c r="R981" s="402"/>
      <c r="S981" s="402"/>
      <c r="T981" s="402"/>
      <c r="U981" s="402"/>
      <c r="V981" s="402"/>
      <c r="W981" s="402"/>
      <c r="X981" s="402"/>
      <c r="Y981" s="402"/>
      <c r="Z981" s="402"/>
      <c r="AA981" s="405"/>
      <c r="AB981" s="405"/>
      <c r="AC981" s="405"/>
      <c r="AD981" s="405"/>
      <c r="AE981" s="405"/>
      <c r="AF981" s="405"/>
      <c r="AG981" s="405"/>
      <c r="AH981" s="405"/>
      <c r="AI981" s="405"/>
      <c r="AJ981" s="405"/>
      <c r="AK981" s="405"/>
      <c r="AL981" s="405"/>
    </row>
    <row r="982" ht="14.25" customHeight="1">
      <c r="A982" s="402"/>
      <c r="B982" s="402"/>
      <c r="C982" s="402"/>
      <c r="D982" s="402"/>
      <c r="E982" s="402"/>
      <c r="F982" s="402"/>
      <c r="G982" s="403"/>
      <c r="H982" s="402"/>
      <c r="I982" s="402"/>
      <c r="J982" s="402"/>
      <c r="K982" s="402"/>
      <c r="L982" s="402"/>
      <c r="M982" s="402"/>
      <c r="N982" s="402"/>
      <c r="O982" s="402"/>
      <c r="P982" s="402"/>
      <c r="Q982" s="402"/>
      <c r="R982" s="402"/>
      <c r="S982" s="402"/>
      <c r="T982" s="402"/>
      <c r="U982" s="402"/>
      <c r="V982" s="402"/>
      <c r="W982" s="402"/>
      <c r="X982" s="402"/>
      <c r="Y982" s="402"/>
      <c r="Z982" s="402"/>
      <c r="AA982" s="405"/>
      <c r="AB982" s="405"/>
      <c r="AC982" s="405"/>
      <c r="AD982" s="405"/>
      <c r="AE982" s="405"/>
      <c r="AF982" s="405"/>
      <c r="AG982" s="405"/>
      <c r="AH982" s="405"/>
      <c r="AI982" s="405"/>
      <c r="AJ982" s="405"/>
      <c r="AK982" s="405"/>
      <c r="AL982" s="405"/>
    </row>
    <row r="983" ht="14.25" customHeight="1">
      <c r="A983" s="402"/>
      <c r="B983" s="402"/>
      <c r="C983" s="402"/>
      <c r="D983" s="402"/>
      <c r="E983" s="402"/>
      <c r="F983" s="402"/>
      <c r="G983" s="403"/>
      <c r="H983" s="402"/>
      <c r="I983" s="402"/>
      <c r="J983" s="402"/>
      <c r="K983" s="402"/>
      <c r="L983" s="402"/>
      <c r="M983" s="402"/>
      <c r="N983" s="402"/>
      <c r="O983" s="402"/>
      <c r="P983" s="402"/>
      <c r="Q983" s="402"/>
      <c r="R983" s="402"/>
      <c r="S983" s="402"/>
      <c r="T983" s="402"/>
      <c r="U983" s="402"/>
      <c r="V983" s="402"/>
      <c r="W983" s="402"/>
      <c r="X983" s="402"/>
      <c r="Y983" s="402"/>
      <c r="Z983" s="402"/>
      <c r="AA983" s="405"/>
      <c r="AB983" s="405"/>
      <c r="AC983" s="405"/>
      <c r="AD983" s="405"/>
      <c r="AE983" s="405"/>
      <c r="AF983" s="405"/>
      <c r="AG983" s="405"/>
      <c r="AH983" s="405"/>
      <c r="AI983" s="405"/>
      <c r="AJ983" s="405"/>
      <c r="AK983" s="405"/>
      <c r="AL983" s="405"/>
    </row>
    <row r="984" ht="14.25" customHeight="1">
      <c r="A984" s="402"/>
      <c r="B984" s="402"/>
      <c r="C984" s="402"/>
      <c r="D984" s="402"/>
      <c r="E984" s="402"/>
      <c r="F984" s="402"/>
      <c r="G984" s="403"/>
      <c r="H984" s="402"/>
      <c r="I984" s="402"/>
      <c r="J984" s="402"/>
      <c r="K984" s="402"/>
      <c r="L984" s="402"/>
      <c r="M984" s="402"/>
      <c r="N984" s="402"/>
      <c r="O984" s="402"/>
      <c r="P984" s="402"/>
      <c r="Q984" s="402"/>
      <c r="R984" s="402"/>
      <c r="S984" s="402"/>
      <c r="T984" s="402"/>
      <c r="U984" s="402"/>
      <c r="V984" s="402"/>
      <c r="W984" s="402"/>
      <c r="X984" s="402"/>
      <c r="Y984" s="402"/>
      <c r="Z984" s="402"/>
      <c r="AA984" s="405"/>
      <c r="AB984" s="405"/>
      <c r="AC984" s="405"/>
      <c r="AD984" s="405"/>
      <c r="AE984" s="405"/>
      <c r="AF984" s="405"/>
      <c r="AG984" s="405"/>
      <c r="AH984" s="405"/>
      <c r="AI984" s="405"/>
      <c r="AJ984" s="405"/>
      <c r="AK984" s="405"/>
      <c r="AL984" s="405"/>
    </row>
    <row r="985" ht="14.25" customHeight="1">
      <c r="A985" s="402"/>
      <c r="B985" s="402"/>
      <c r="C985" s="402"/>
      <c r="D985" s="402"/>
      <c r="E985" s="402"/>
      <c r="F985" s="402"/>
      <c r="G985" s="403"/>
      <c r="H985" s="402"/>
      <c r="I985" s="402"/>
      <c r="J985" s="402"/>
      <c r="K985" s="402"/>
      <c r="L985" s="402"/>
      <c r="M985" s="402"/>
      <c r="N985" s="402"/>
      <c r="O985" s="402"/>
      <c r="P985" s="402"/>
      <c r="Q985" s="402"/>
      <c r="R985" s="402"/>
      <c r="S985" s="402"/>
      <c r="T985" s="402"/>
      <c r="U985" s="402"/>
      <c r="V985" s="402"/>
      <c r="W985" s="402"/>
      <c r="X985" s="402"/>
      <c r="Y985" s="402"/>
      <c r="Z985" s="402"/>
      <c r="AA985" s="405"/>
      <c r="AB985" s="405"/>
      <c r="AC985" s="405"/>
      <c r="AD985" s="405"/>
      <c r="AE985" s="405"/>
      <c r="AF985" s="405"/>
      <c r="AG985" s="405"/>
      <c r="AH985" s="405"/>
      <c r="AI985" s="405"/>
      <c r="AJ985" s="405"/>
      <c r="AK985" s="405"/>
      <c r="AL985" s="405"/>
    </row>
    <row r="986" ht="14.25" customHeight="1">
      <c r="A986" s="402"/>
      <c r="B986" s="402"/>
      <c r="C986" s="402"/>
      <c r="D986" s="402"/>
      <c r="E986" s="402"/>
      <c r="F986" s="402"/>
      <c r="G986" s="403"/>
      <c r="H986" s="402"/>
      <c r="I986" s="402"/>
      <c r="J986" s="402"/>
      <c r="K986" s="402"/>
      <c r="L986" s="402"/>
      <c r="M986" s="402"/>
      <c r="N986" s="402"/>
      <c r="O986" s="402"/>
      <c r="P986" s="402"/>
      <c r="Q986" s="402"/>
      <c r="R986" s="402"/>
      <c r="S986" s="402"/>
      <c r="T986" s="402"/>
      <c r="U986" s="402"/>
      <c r="V986" s="402"/>
      <c r="W986" s="402"/>
      <c r="X986" s="402"/>
      <c r="Y986" s="402"/>
      <c r="Z986" s="402"/>
      <c r="AA986" s="405"/>
      <c r="AB986" s="405"/>
      <c r="AC986" s="405"/>
      <c r="AD986" s="405"/>
      <c r="AE986" s="405"/>
      <c r="AF986" s="405"/>
      <c r="AG986" s="405"/>
      <c r="AH986" s="405"/>
      <c r="AI986" s="405"/>
      <c r="AJ986" s="405"/>
      <c r="AK986" s="405"/>
      <c r="AL986" s="405"/>
    </row>
    <row r="987" ht="14.25" customHeight="1">
      <c r="A987" s="402"/>
      <c r="B987" s="402"/>
      <c r="C987" s="402"/>
      <c r="D987" s="402"/>
      <c r="E987" s="402"/>
      <c r="F987" s="402"/>
      <c r="G987" s="403"/>
      <c r="H987" s="402"/>
      <c r="I987" s="402"/>
      <c r="J987" s="402"/>
      <c r="K987" s="402"/>
      <c r="L987" s="402"/>
      <c r="M987" s="402"/>
      <c r="N987" s="402"/>
      <c r="O987" s="402"/>
      <c r="P987" s="402"/>
      <c r="Q987" s="402"/>
      <c r="R987" s="402"/>
      <c r="S987" s="402"/>
      <c r="T987" s="402"/>
      <c r="U987" s="402"/>
      <c r="V987" s="402"/>
      <c r="W987" s="402"/>
      <c r="X987" s="402"/>
      <c r="Y987" s="402"/>
      <c r="Z987" s="402"/>
      <c r="AA987" s="405"/>
      <c r="AB987" s="405"/>
      <c r="AC987" s="405"/>
      <c r="AD987" s="405"/>
      <c r="AE987" s="405"/>
      <c r="AF987" s="405"/>
      <c r="AG987" s="405"/>
      <c r="AH987" s="405"/>
      <c r="AI987" s="405"/>
      <c r="AJ987" s="405"/>
      <c r="AK987" s="405"/>
      <c r="AL987" s="405"/>
    </row>
    <row r="988" ht="14.25" customHeight="1">
      <c r="A988" s="402"/>
      <c r="B988" s="402"/>
      <c r="C988" s="402"/>
      <c r="D988" s="402"/>
      <c r="E988" s="402"/>
      <c r="F988" s="402"/>
      <c r="G988" s="403"/>
      <c r="H988" s="402"/>
      <c r="I988" s="402"/>
      <c r="J988" s="402"/>
      <c r="K988" s="402"/>
      <c r="L988" s="402"/>
      <c r="M988" s="402"/>
      <c r="N988" s="402"/>
      <c r="O988" s="402"/>
      <c r="P988" s="402"/>
      <c r="Q988" s="402"/>
      <c r="R988" s="402"/>
      <c r="S988" s="402"/>
      <c r="T988" s="402"/>
      <c r="U988" s="402"/>
      <c r="V988" s="402"/>
      <c r="W988" s="402"/>
      <c r="X988" s="402"/>
      <c r="Y988" s="402"/>
      <c r="Z988" s="402"/>
      <c r="AA988" s="405"/>
      <c r="AB988" s="405"/>
      <c r="AC988" s="405"/>
      <c r="AD988" s="405"/>
      <c r="AE988" s="405"/>
      <c r="AF988" s="405"/>
      <c r="AG988" s="405"/>
      <c r="AH988" s="405"/>
      <c r="AI988" s="405"/>
      <c r="AJ988" s="405"/>
      <c r="AK988" s="405"/>
      <c r="AL988" s="405"/>
    </row>
    <row r="989" ht="14.25" customHeight="1">
      <c r="A989" s="402"/>
      <c r="B989" s="402"/>
      <c r="C989" s="402"/>
      <c r="D989" s="402"/>
      <c r="E989" s="402"/>
      <c r="F989" s="402"/>
      <c r="G989" s="403"/>
      <c r="H989" s="402"/>
      <c r="I989" s="402"/>
      <c r="J989" s="402"/>
      <c r="K989" s="402"/>
      <c r="L989" s="402"/>
      <c r="M989" s="402"/>
      <c r="N989" s="402"/>
      <c r="O989" s="402"/>
      <c r="P989" s="402"/>
      <c r="Q989" s="402"/>
      <c r="R989" s="402"/>
      <c r="S989" s="402"/>
      <c r="T989" s="402"/>
      <c r="U989" s="402"/>
      <c r="V989" s="402"/>
      <c r="W989" s="402"/>
      <c r="X989" s="402"/>
      <c r="Y989" s="402"/>
      <c r="Z989" s="402"/>
      <c r="AA989" s="405"/>
      <c r="AB989" s="405"/>
      <c r="AC989" s="405"/>
      <c r="AD989" s="405"/>
      <c r="AE989" s="405"/>
      <c r="AF989" s="405"/>
      <c r="AG989" s="405"/>
      <c r="AH989" s="405"/>
      <c r="AI989" s="405"/>
      <c r="AJ989" s="405"/>
      <c r="AK989" s="405"/>
      <c r="AL989" s="405"/>
    </row>
    <row r="990" ht="14.25" customHeight="1">
      <c r="A990" s="402"/>
      <c r="B990" s="402"/>
      <c r="C990" s="402"/>
      <c r="D990" s="402"/>
      <c r="E990" s="402"/>
      <c r="F990" s="402"/>
      <c r="G990" s="403"/>
      <c r="H990" s="402"/>
      <c r="I990" s="402"/>
      <c r="J990" s="402"/>
      <c r="K990" s="402"/>
      <c r="L990" s="402"/>
      <c r="M990" s="402"/>
      <c r="N990" s="402"/>
      <c r="O990" s="402"/>
      <c r="P990" s="402"/>
      <c r="Q990" s="402"/>
      <c r="R990" s="402"/>
      <c r="S990" s="402"/>
      <c r="T990" s="402"/>
      <c r="U990" s="402"/>
      <c r="V990" s="402"/>
      <c r="W990" s="402"/>
      <c r="X990" s="402"/>
      <c r="Y990" s="402"/>
      <c r="Z990" s="402"/>
      <c r="AA990" s="405"/>
      <c r="AB990" s="405"/>
      <c r="AC990" s="405"/>
      <c r="AD990" s="405"/>
      <c r="AE990" s="405"/>
      <c r="AF990" s="405"/>
      <c r="AG990" s="405"/>
      <c r="AH990" s="405"/>
      <c r="AI990" s="405"/>
      <c r="AJ990" s="405"/>
      <c r="AK990" s="405"/>
      <c r="AL990" s="405"/>
    </row>
    <row r="991" ht="14.25" customHeight="1">
      <c r="A991" s="402"/>
      <c r="B991" s="402"/>
      <c r="C991" s="402"/>
      <c r="D991" s="402"/>
      <c r="E991" s="402"/>
      <c r="F991" s="402"/>
      <c r="G991" s="403"/>
      <c r="H991" s="402"/>
      <c r="I991" s="402"/>
      <c r="J991" s="402"/>
      <c r="K991" s="402"/>
      <c r="L991" s="402"/>
      <c r="M991" s="402"/>
      <c r="N991" s="402"/>
      <c r="O991" s="402"/>
      <c r="P991" s="402"/>
      <c r="Q991" s="402"/>
      <c r="R991" s="402"/>
      <c r="S991" s="402"/>
      <c r="T991" s="402"/>
      <c r="U991" s="402"/>
      <c r="V991" s="402"/>
      <c r="W991" s="402"/>
      <c r="X991" s="402"/>
      <c r="Y991" s="402"/>
      <c r="Z991" s="402"/>
      <c r="AA991" s="405"/>
      <c r="AB991" s="405"/>
      <c r="AC991" s="405"/>
      <c r="AD991" s="405"/>
      <c r="AE991" s="405"/>
      <c r="AF991" s="405"/>
      <c r="AG991" s="405"/>
      <c r="AH991" s="405"/>
      <c r="AI991" s="405"/>
      <c r="AJ991" s="405"/>
      <c r="AK991" s="405"/>
      <c r="AL991" s="405"/>
    </row>
    <row r="992" ht="14.25" customHeight="1">
      <c r="A992" s="402"/>
      <c r="B992" s="402"/>
      <c r="C992" s="402"/>
      <c r="D992" s="402"/>
      <c r="E992" s="402"/>
      <c r="F992" s="402"/>
      <c r="G992" s="403"/>
      <c r="H992" s="402"/>
      <c r="I992" s="402"/>
      <c r="J992" s="402"/>
      <c r="K992" s="402"/>
      <c r="L992" s="402"/>
      <c r="M992" s="402"/>
      <c r="N992" s="402"/>
      <c r="O992" s="402"/>
      <c r="P992" s="402"/>
      <c r="Q992" s="402"/>
      <c r="R992" s="402"/>
      <c r="S992" s="402"/>
      <c r="T992" s="402"/>
      <c r="U992" s="402"/>
      <c r="V992" s="402"/>
      <c r="W992" s="402"/>
      <c r="X992" s="402"/>
      <c r="Y992" s="402"/>
      <c r="Z992" s="402"/>
      <c r="AA992" s="405"/>
      <c r="AB992" s="405"/>
      <c r="AC992" s="405"/>
      <c r="AD992" s="405"/>
      <c r="AE992" s="405"/>
      <c r="AF992" s="405"/>
      <c r="AG992" s="405"/>
      <c r="AH992" s="405"/>
      <c r="AI992" s="405"/>
      <c r="AJ992" s="405"/>
      <c r="AK992" s="405"/>
      <c r="AL992" s="405"/>
    </row>
    <row r="993" ht="14.25" customHeight="1">
      <c r="A993" s="402"/>
      <c r="B993" s="402"/>
      <c r="C993" s="402"/>
      <c r="D993" s="402"/>
      <c r="E993" s="402"/>
      <c r="F993" s="402"/>
      <c r="G993" s="403"/>
      <c r="H993" s="402"/>
      <c r="I993" s="402"/>
      <c r="J993" s="402"/>
      <c r="K993" s="402"/>
      <c r="L993" s="402"/>
      <c r="M993" s="402"/>
      <c r="N993" s="402"/>
      <c r="O993" s="402"/>
      <c r="P993" s="402"/>
      <c r="Q993" s="402"/>
      <c r="R993" s="402"/>
      <c r="S993" s="402"/>
      <c r="T993" s="402"/>
      <c r="U993" s="402"/>
      <c r="V993" s="402"/>
      <c r="W993" s="402"/>
      <c r="X993" s="402"/>
      <c r="Y993" s="402"/>
      <c r="Z993" s="402"/>
      <c r="AA993" s="405"/>
      <c r="AB993" s="405"/>
      <c r="AC993" s="405"/>
      <c r="AD993" s="405"/>
      <c r="AE993" s="405"/>
      <c r="AF993" s="405"/>
      <c r="AG993" s="405"/>
      <c r="AH993" s="405"/>
      <c r="AI993" s="405"/>
      <c r="AJ993" s="405"/>
      <c r="AK993" s="405"/>
      <c r="AL993" s="405"/>
    </row>
    <row r="994" ht="14.25" customHeight="1">
      <c r="A994" s="402"/>
      <c r="B994" s="402"/>
      <c r="C994" s="402"/>
      <c r="D994" s="402"/>
      <c r="E994" s="402"/>
      <c r="F994" s="402"/>
      <c r="G994" s="403"/>
      <c r="H994" s="402"/>
      <c r="I994" s="402"/>
      <c r="J994" s="402"/>
      <c r="K994" s="402"/>
      <c r="L994" s="402"/>
      <c r="M994" s="402"/>
      <c r="N994" s="402"/>
      <c r="O994" s="402"/>
      <c r="P994" s="402"/>
      <c r="Q994" s="402"/>
      <c r="R994" s="402"/>
      <c r="S994" s="402"/>
      <c r="T994" s="402"/>
      <c r="U994" s="402"/>
      <c r="V994" s="402"/>
      <c r="W994" s="402"/>
      <c r="X994" s="402"/>
      <c r="Y994" s="402"/>
      <c r="Z994" s="402"/>
      <c r="AA994" s="405"/>
      <c r="AB994" s="405"/>
      <c r="AC994" s="405"/>
      <c r="AD994" s="405"/>
      <c r="AE994" s="405"/>
      <c r="AF994" s="405"/>
      <c r="AG994" s="405"/>
      <c r="AH994" s="405"/>
      <c r="AI994" s="405"/>
      <c r="AJ994" s="405"/>
      <c r="AK994" s="405"/>
      <c r="AL994" s="405"/>
    </row>
    <row r="995" ht="14.25" customHeight="1">
      <c r="A995" s="402"/>
      <c r="B995" s="402"/>
      <c r="C995" s="402"/>
      <c r="D995" s="402"/>
      <c r="E995" s="402"/>
      <c r="F995" s="402"/>
      <c r="G995" s="403"/>
      <c r="H995" s="402"/>
      <c r="I995" s="402"/>
      <c r="J995" s="402"/>
      <c r="K995" s="402"/>
      <c r="L995" s="402"/>
      <c r="M995" s="402"/>
      <c r="N995" s="402"/>
      <c r="O995" s="402"/>
      <c r="P995" s="402"/>
      <c r="Q995" s="402"/>
      <c r="R995" s="402"/>
      <c r="S995" s="402"/>
      <c r="T995" s="402"/>
      <c r="U995" s="402"/>
      <c r="V995" s="402"/>
      <c r="W995" s="402"/>
      <c r="X995" s="402"/>
      <c r="Y995" s="402"/>
      <c r="Z995" s="402"/>
      <c r="AA995" s="405"/>
      <c r="AB995" s="405"/>
      <c r="AC995" s="405"/>
      <c r="AD995" s="405"/>
      <c r="AE995" s="405"/>
      <c r="AF995" s="405"/>
      <c r="AG995" s="405"/>
      <c r="AH995" s="405"/>
      <c r="AI995" s="405"/>
      <c r="AJ995" s="405"/>
      <c r="AK995" s="405"/>
      <c r="AL995" s="405"/>
    </row>
    <row r="996" ht="14.25" customHeight="1">
      <c r="A996" s="402"/>
      <c r="B996" s="402"/>
      <c r="C996" s="402"/>
      <c r="D996" s="402"/>
      <c r="E996" s="402"/>
      <c r="F996" s="402"/>
      <c r="G996" s="403"/>
      <c r="H996" s="402"/>
      <c r="I996" s="402"/>
      <c r="J996" s="402"/>
      <c r="K996" s="402"/>
      <c r="L996" s="402"/>
      <c r="M996" s="402"/>
      <c r="N996" s="402"/>
      <c r="O996" s="402"/>
      <c r="P996" s="402"/>
      <c r="Q996" s="402"/>
      <c r="R996" s="402"/>
      <c r="S996" s="402"/>
      <c r="T996" s="402"/>
      <c r="U996" s="402"/>
      <c r="V996" s="402"/>
      <c r="W996" s="402"/>
      <c r="X996" s="402"/>
      <c r="Y996" s="402"/>
      <c r="Z996" s="402"/>
      <c r="AA996" s="405"/>
      <c r="AB996" s="405"/>
      <c r="AC996" s="405"/>
      <c r="AD996" s="405"/>
      <c r="AE996" s="405"/>
      <c r="AF996" s="405"/>
      <c r="AG996" s="405"/>
      <c r="AH996" s="405"/>
      <c r="AI996" s="405"/>
      <c r="AJ996" s="405"/>
      <c r="AK996" s="405"/>
      <c r="AL996" s="405"/>
    </row>
    <row r="997" ht="14.25" customHeight="1">
      <c r="A997" s="402"/>
      <c r="B997" s="402"/>
      <c r="C997" s="402"/>
      <c r="D997" s="402"/>
      <c r="E997" s="402"/>
      <c r="F997" s="402"/>
      <c r="G997" s="403"/>
      <c r="H997" s="402"/>
      <c r="I997" s="402"/>
      <c r="J997" s="402"/>
      <c r="K997" s="402"/>
      <c r="L997" s="402"/>
      <c r="M997" s="402"/>
      <c r="N997" s="402"/>
      <c r="O997" s="402"/>
      <c r="P997" s="402"/>
      <c r="Q997" s="402"/>
      <c r="R997" s="402"/>
      <c r="S997" s="402"/>
      <c r="T997" s="402"/>
      <c r="U997" s="402"/>
      <c r="V997" s="402"/>
      <c r="W997" s="402"/>
      <c r="X997" s="402"/>
      <c r="Y997" s="402"/>
      <c r="Z997" s="402"/>
      <c r="AA997" s="405"/>
      <c r="AB997" s="405"/>
      <c r="AC997" s="405"/>
      <c r="AD997" s="405"/>
      <c r="AE997" s="405"/>
      <c r="AF997" s="405"/>
      <c r="AG997" s="405"/>
      <c r="AH997" s="405"/>
      <c r="AI997" s="405"/>
      <c r="AJ997" s="405"/>
      <c r="AK997" s="405"/>
      <c r="AL997" s="405"/>
    </row>
    <row r="998" ht="14.25" customHeight="1">
      <c r="A998" s="402"/>
      <c r="B998" s="402"/>
      <c r="C998" s="402"/>
      <c r="D998" s="402"/>
      <c r="E998" s="402"/>
      <c r="F998" s="402"/>
      <c r="G998" s="403"/>
      <c r="H998" s="402"/>
      <c r="I998" s="402"/>
      <c r="J998" s="402"/>
      <c r="K998" s="402"/>
      <c r="L998" s="402"/>
      <c r="M998" s="402"/>
      <c r="N998" s="402"/>
      <c r="O998" s="402"/>
      <c r="P998" s="402"/>
      <c r="Q998" s="402"/>
      <c r="R998" s="402"/>
      <c r="S998" s="402"/>
      <c r="T998" s="402"/>
      <c r="U998" s="402"/>
      <c r="V998" s="402"/>
      <c r="W998" s="402"/>
      <c r="X998" s="402"/>
      <c r="Y998" s="402"/>
      <c r="Z998" s="402"/>
      <c r="AA998" s="405"/>
      <c r="AB998" s="405"/>
      <c r="AC998" s="405"/>
      <c r="AD998" s="405"/>
      <c r="AE998" s="405"/>
      <c r="AF998" s="405"/>
      <c r="AG998" s="405"/>
      <c r="AH998" s="405"/>
      <c r="AI998" s="405"/>
      <c r="AJ998" s="405"/>
      <c r="AK998" s="405"/>
      <c r="AL998" s="405"/>
    </row>
    <row r="999" ht="14.25" customHeight="1">
      <c r="A999" s="402"/>
      <c r="B999" s="402"/>
      <c r="C999" s="402"/>
      <c r="D999" s="402"/>
      <c r="E999" s="402"/>
      <c r="F999" s="402"/>
      <c r="G999" s="403"/>
      <c r="H999" s="402"/>
      <c r="I999" s="402"/>
      <c r="J999" s="402"/>
      <c r="K999" s="402"/>
      <c r="L999" s="402"/>
      <c r="M999" s="402"/>
      <c r="N999" s="402"/>
      <c r="O999" s="402"/>
      <c r="P999" s="402"/>
      <c r="Q999" s="402"/>
      <c r="R999" s="402"/>
      <c r="S999" s="402"/>
      <c r="T999" s="402"/>
      <c r="U999" s="402"/>
      <c r="V999" s="402"/>
      <c r="W999" s="402"/>
      <c r="X999" s="402"/>
      <c r="Y999" s="402"/>
      <c r="Z999" s="402"/>
      <c r="AA999" s="405"/>
      <c r="AB999" s="405"/>
      <c r="AC999" s="405"/>
      <c r="AD999" s="405"/>
      <c r="AE999" s="405"/>
      <c r="AF999" s="405"/>
      <c r="AG999" s="405"/>
      <c r="AH999" s="405"/>
      <c r="AI999" s="405"/>
      <c r="AJ999" s="405"/>
      <c r="AK999" s="405"/>
      <c r="AL999" s="405"/>
    </row>
    <row r="1000" ht="14.25" customHeight="1">
      <c r="A1000" s="402"/>
      <c r="B1000" s="402"/>
      <c r="C1000" s="402"/>
      <c r="D1000" s="402"/>
      <c r="E1000" s="402"/>
      <c r="F1000" s="402"/>
      <c r="G1000" s="403"/>
      <c r="H1000" s="402"/>
      <c r="I1000" s="402"/>
      <c r="J1000" s="402"/>
      <c r="K1000" s="402"/>
      <c r="L1000" s="402"/>
      <c r="M1000" s="402"/>
      <c r="N1000" s="402"/>
      <c r="O1000" s="402"/>
      <c r="P1000" s="402"/>
      <c r="Q1000" s="402"/>
      <c r="R1000" s="402"/>
      <c r="S1000" s="402"/>
      <c r="T1000" s="402"/>
      <c r="U1000" s="402"/>
      <c r="V1000" s="402"/>
      <c r="W1000" s="402"/>
      <c r="X1000" s="402"/>
      <c r="Y1000" s="402"/>
      <c r="Z1000" s="402"/>
      <c r="AA1000" s="405"/>
      <c r="AB1000" s="405"/>
      <c r="AC1000" s="405"/>
      <c r="AD1000" s="405"/>
      <c r="AE1000" s="405"/>
      <c r="AF1000" s="405"/>
      <c r="AG1000" s="405"/>
      <c r="AH1000" s="405"/>
      <c r="AI1000" s="405"/>
      <c r="AJ1000" s="405"/>
      <c r="AK1000" s="405"/>
      <c r="AL1000" s="405"/>
    </row>
    <row r="1001" ht="14.25" customHeight="1">
      <c r="A1001" s="402"/>
      <c r="B1001" s="402"/>
      <c r="C1001" s="402"/>
      <c r="D1001" s="402"/>
      <c r="E1001" s="402"/>
      <c r="F1001" s="402"/>
      <c r="G1001" s="403"/>
      <c r="H1001" s="402"/>
      <c r="I1001" s="402"/>
      <c r="J1001" s="402"/>
      <c r="K1001" s="402"/>
      <c r="L1001" s="402"/>
      <c r="M1001" s="402"/>
      <c r="N1001" s="402"/>
      <c r="O1001" s="402"/>
      <c r="P1001" s="402"/>
      <c r="Q1001" s="402"/>
      <c r="R1001" s="402"/>
      <c r="S1001" s="402"/>
      <c r="T1001" s="402"/>
      <c r="U1001" s="402"/>
      <c r="V1001" s="402"/>
      <c r="W1001" s="402"/>
      <c r="X1001" s="402"/>
      <c r="Y1001" s="402"/>
      <c r="Z1001" s="402"/>
      <c r="AA1001" s="405"/>
      <c r="AB1001" s="405"/>
      <c r="AC1001" s="405"/>
      <c r="AD1001" s="405"/>
      <c r="AE1001" s="405"/>
      <c r="AF1001" s="405"/>
      <c r="AG1001" s="405"/>
      <c r="AH1001" s="405"/>
      <c r="AI1001" s="405"/>
      <c r="AJ1001" s="405"/>
      <c r="AK1001" s="405"/>
      <c r="AL1001" s="405"/>
    </row>
    <row r="1002" ht="14.25" customHeight="1">
      <c r="A1002" s="402"/>
      <c r="B1002" s="402"/>
      <c r="C1002" s="402"/>
      <c r="D1002" s="402"/>
      <c r="E1002" s="402"/>
      <c r="F1002" s="402"/>
      <c r="G1002" s="403"/>
      <c r="H1002" s="402"/>
      <c r="I1002" s="402"/>
      <c r="J1002" s="402"/>
      <c r="K1002" s="402"/>
      <c r="L1002" s="402"/>
      <c r="M1002" s="402"/>
      <c r="N1002" s="402"/>
      <c r="O1002" s="402"/>
      <c r="P1002" s="402"/>
      <c r="Q1002" s="402"/>
      <c r="R1002" s="402"/>
      <c r="S1002" s="402"/>
      <c r="T1002" s="402"/>
      <c r="U1002" s="402"/>
      <c r="V1002" s="402"/>
      <c r="W1002" s="402"/>
      <c r="X1002" s="402"/>
      <c r="Y1002" s="402"/>
      <c r="Z1002" s="402"/>
      <c r="AA1002" s="405"/>
      <c r="AB1002" s="405"/>
      <c r="AC1002" s="405"/>
      <c r="AD1002" s="405"/>
      <c r="AE1002" s="405"/>
      <c r="AF1002" s="405"/>
      <c r="AG1002" s="405"/>
      <c r="AH1002" s="405"/>
      <c r="AI1002" s="405"/>
      <c r="AJ1002" s="405"/>
      <c r="AK1002" s="405"/>
      <c r="AL1002" s="405"/>
    </row>
    <row r="1003" ht="14.25" customHeight="1">
      <c r="A1003" s="402"/>
      <c r="B1003" s="402"/>
      <c r="C1003" s="402"/>
      <c r="D1003" s="402"/>
      <c r="E1003" s="402"/>
      <c r="F1003" s="402"/>
      <c r="G1003" s="403"/>
      <c r="H1003" s="402"/>
      <c r="I1003" s="402"/>
      <c r="J1003" s="402"/>
      <c r="K1003" s="402"/>
      <c r="L1003" s="402"/>
      <c r="M1003" s="402"/>
      <c r="N1003" s="402"/>
      <c r="O1003" s="402"/>
      <c r="P1003" s="402"/>
      <c r="Q1003" s="402"/>
      <c r="R1003" s="402"/>
      <c r="S1003" s="402"/>
      <c r="T1003" s="402"/>
      <c r="U1003" s="402"/>
      <c r="V1003" s="402"/>
      <c r="W1003" s="402"/>
      <c r="X1003" s="402"/>
      <c r="Y1003" s="402"/>
      <c r="Z1003" s="402"/>
      <c r="AA1003" s="405"/>
      <c r="AB1003" s="405"/>
      <c r="AC1003" s="405"/>
      <c r="AD1003" s="405"/>
      <c r="AE1003" s="405"/>
      <c r="AF1003" s="405"/>
      <c r="AG1003" s="405"/>
      <c r="AH1003" s="405"/>
      <c r="AI1003" s="405"/>
      <c r="AJ1003" s="405"/>
      <c r="AK1003" s="405"/>
      <c r="AL1003" s="405"/>
    </row>
    <row r="1004" ht="14.25" customHeight="1">
      <c r="A1004" s="402"/>
      <c r="B1004" s="402"/>
      <c r="C1004" s="402"/>
      <c r="D1004" s="402"/>
      <c r="E1004" s="402"/>
      <c r="F1004" s="402"/>
      <c r="G1004" s="403"/>
      <c r="H1004" s="402"/>
      <c r="I1004" s="402"/>
      <c r="J1004" s="402"/>
      <c r="K1004" s="402"/>
      <c r="L1004" s="402"/>
      <c r="M1004" s="402"/>
      <c r="N1004" s="402"/>
      <c r="O1004" s="402"/>
      <c r="P1004" s="402"/>
      <c r="Q1004" s="402"/>
      <c r="R1004" s="402"/>
      <c r="S1004" s="402"/>
      <c r="T1004" s="402"/>
      <c r="U1004" s="402"/>
      <c r="V1004" s="402"/>
      <c r="W1004" s="402"/>
      <c r="X1004" s="402"/>
      <c r="Y1004" s="402"/>
      <c r="Z1004" s="402"/>
      <c r="AA1004" s="405"/>
      <c r="AB1004" s="405"/>
      <c r="AC1004" s="405"/>
      <c r="AD1004" s="405"/>
      <c r="AE1004" s="405"/>
      <c r="AF1004" s="405"/>
      <c r="AG1004" s="405"/>
      <c r="AH1004" s="405"/>
      <c r="AI1004" s="405"/>
      <c r="AJ1004" s="405"/>
      <c r="AK1004" s="405"/>
      <c r="AL1004" s="405"/>
    </row>
    <row r="1005" ht="14.25" customHeight="1">
      <c r="A1005" s="402"/>
      <c r="B1005" s="402"/>
      <c r="C1005" s="402"/>
      <c r="D1005" s="402"/>
      <c r="E1005" s="402"/>
      <c r="F1005" s="402"/>
      <c r="G1005" s="403"/>
      <c r="H1005" s="402"/>
      <c r="I1005" s="402"/>
      <c r="J1005" s="402"/>
      <c r="K1005" s="402"/>
      <c r="L1005" s="402"/>
      <c r="M1005" s="402"/>
      <c r="N1005" s="402"/>
      <c r="O1005" s="402"/>
      <c r="P1005" s="402"/>
      <c r="Q1005" s="402"/>
      <c r="R1005" s="402"/>
      <c r="S1005" s="402"/>
      <c r="T1005" s="402"/>
      <c r="U1005" s="402"/>
      <c r="V1005" s="402"/>
      <c r="W1005" s="402"/>
      <c r="X1005" s="402"/>
      <c r="Y1005" s="402"/>
      <c r="Z1005" s="402"/>
      <c r="AA1005" s="405"/>
      <c r="AB1005" s="405"/>
      <c r="AC1005" s="405"/>
      <c r="AD1005" s="405"/>
      <c r="AE1005" s="405"/>
      <c r="AF1005" s="405"/>
      <c r="AG1005" s="405"/>
      <c r="AH1005" s="405"/>
      <c r="AI1005" s="405"/>
      <c r="AJ1005" s="405"/>
      <c r="AK1005" s="405"/>
      <c r="AL1005" s="405"/>
    </row>
    <row r="1006" ht="14.25" customHeight="1">
      <c r="A1006" s="402"/>
      <c r="B1006" s="402"/>
      <c r="C1006" s="402"/>
      <c r="D1006" s="402"/>
      <c r="E1006" s="402"/>
      <c r="F1006" s="402"/>
      <c r="G1006" s="403"/>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5"/>
      <c r="AB1006" s="405"/>
      <c r="AC1006" s="405"/>
      <c r="AD1006" s="405"/>
      <c r="AE1006" s="405"/>
      <c r="AF1006" s="405"/>
      <c r="AG1006" s="405"/>
      <c r="AH1006" s="405"/>
      <c r="AI1006" s="405"/>
      <c r="AJ1006" s="405"/>
      <c r="AK1006" s="405"/>
      <c r="AL1006" s="405"/>
    </row>
    <row r="1007" ht="14.25" customHeight="1">
      <c r="A1007" s="402"/>
      <c r="B1007" s="402"/>
      <c r="C1007" s="402"/>
      <c r="D1007" s="402"/>
      <c r="E1007" s="402"/>
      <c r="F1007" s="402"/>
      <c r="G1007" s="403"/>
      <c r="H1007" s="402"/>
      <c r="I1007" s="402"/>
      <c r="J1007" s="402"/>
      <c r="K1007" s="402"/>
      <c r="L1007" s="402"/>
      <c r="M1007" s="402"/>
      <c r="N1007" s="402"/>
      <c r="O1007" s="402"/>
      <c r="P1007" s="402"/>
      <c r="Q1007" s="402"/>
      <c r="R1007" s="402"/>
      <c r="S1007" s="402"/>
      <c r="T1007" s="402"/>
      <c r="U1007" s="402"/>
      <c r="V1007" s="402"/>
      <c r="W1007" s="402"/>
      <c r="X1007" s="402"/>
      <c r="Y1007" s="402"/>
      <c r="Z1007" s="402"/>
      <c r="AA1007" s="405"/>
      <c r="AB1007" s="405"/>
      <c r="AC1007" s="405"/>
      <c r="AD1007" s="405"/>
      <c r="AE1007" s="405"/>
      <c r="AF1007" s="405"/>
      <c r="AG1007" s="405"/>
      <c r="AH1007" s="405"/>
      <c r="AI1007" s="405"/>
      <c r="AJ1007" s="405"/>
      <c r="AK1007" s="405"/>
      <c r="AL1007" s="405"/>
    </row>
    <row r="1008" ht="14.25" customHeight="1">
      <c r="A1008" s="402"/>
      <c r="B1008" s="402"/>
      <c r="C1008" s="402"/>
      <c r="D1008" s="402"/>
      <c r="E1008" s="402"/>
      <c r="F1008" s="402"/>
      <c r="G1008" s="403"/>
      <c r="H1008" s="402"/>
      <c r="I1008" s="402"/>
      <c r="J1008" s="402"/>
      <c r="K1008" s="402"/>
      <c r="L1008" s="402"/>
      <c r="M1008" s="402"/>
      <c r="N1008" s="402"/>
      <c r="O1008" s="402"/>
      <c r="P1008" s="402"/>
      <c r="Q1008" s="402"/>
      <c r="R1008" s="402"/>
      <c r="S1008" s="402"/>
      <c r="T1008" s="402"/>
      <c r="U1008" s="402"/>
      <c r="V1008" s="402"/>
      <c r="W1008" s="402"/>
      <c r="X1008" s="402"/>
      <c r="Y1008" s="402"/>
      <c r="Z1008" s="402"/>
      <c r="AA1008" s="405"/>
      <c r="AB1008" s="405"/>
      <c r="AC1008" s="405"/>
      <c r="AD1008" s="405"/>
      <c r="AE1008" s="405"/>
      <c r="AF1008" s="405"/>
      <c r="AG1008" s="405"/>
      <c r="AH1008" s="405"/>
      <c r="AI1008" s="405"/>
      <c r="AJ1008" s="405"/>
      <c r="AK1008" s="405"/>
      <c r="AL1008" s="405"/>
    </row>
    <row r="1009" ht="14.25" customHeight="1">
      <c r="A1009" s="402"/>
      <c r="B1009" s="402"/>
      <c r="C1009" s="402"/>
      <c r="D1009" s="402"/>
      <c r="E1009" s="402"/>
      <c r="F1009" s="402"/>
      <c r="G1009" s="403"/>
      <c r="H1009" s="402"/>
      <c r="I1009" s="402"/>
      <c r="J1009" s="402"/>
      <c r="K1009" s="402"/>
      <c r="L1009" s="402"/>
      <c r="M1009" s="402"/>
      <c r="N1009" s="402"/>
      <c r="O1009" s="402"/>
      <c r="P1009" s="402"/>
      <c r="Q1009" s="402"/>
      <c r="R1009" s="402"/>
      <c r="S1009" s="402"/>
      <c r="T1009" s="402"/>
      <c r="U1009" s="402"/>
      <c r="V1009" s="402"/>
      <c r="W1009" s="402"/>
      <c r="X1009" s="402"/>
      <c r="Y1009" s="402"/>
      <c r="Z1009" s="402"/>
      <c r="AA1009" s="405"/>
      <c r="AB1009" s="405"/>
      <c r="AC1009" s="405"/>
      <c r="AD1009" s="405"/>
      <c r="AE1009" s="405"/>
      <c r="AF1009" s="405"/>
      <c r="AG1009" s="405"/>
      <c r="AH1009" s="405"/>
      <c r="AI1009" s="405"/>
      <c r="AJ1009" s="405"/>
      <c r="AK1009" s="405"/>
      <c r="AL1009" s="405"/>
    </row>
    <row r="1010" ht="14.25" customHeight="1">
      <c r="A1010" s="402"/>
      <c r="B1010" s="402"/>
      <c r="C1010" s="402"/>
      <c r="D1010" s="402"/>
      <c r="E1010" s="402"/>
      <c r="F1010" s="402"/>
      <c r="G1010" s="403"/>
      <c r="H1010" s="402"/>
      <c r="I1010" s="402"/>
      <c r="J1010" s="402"/>
      <c r="K1010" s="402"/>
      <c r="L1010" s="402"/>
      <c r="M1010" s="402"/>
      <c r="N1010" s="402"/>
      <c r="O1010" s="402"/>
      <c r="P1010" s="402"/>
      <c r="Q1010" s="402"/>
      <c r="R1010" s="402"/>
      <c r="S1010" s="402"/>
      <c r="T1010" s="402"/>
      <c r="U1010" s="402"/>
      <c r="V1010" s="402"/>
      <c r="W1010" s="402"/>
      <c r="X1010" s="402"/>
      <c r="Y1010" s="402"/>
      <c r="Z1010" s="402"/>
      <c r="AA1010" s="405"/>
      <c r="AB1010" s="405"/>
      <c r="AC1010" s="405"/>
      <c r="AD1010" s="405"/>
      <c r="AE1010" s="405"/>
      <c r="AF1010" s="405"/>
      <c r="AG1010" s="405"/>
      <c r="AH1010" s="405"/>
      <c r="AI1010" s="405"/>
      <c r="AJ1010" s="405"/>
      <c r="AK1010" s="405"/>
      <c r="AL1010" s="405"/>
    </row>
    <row r="1011" ht="14.25" customHeight="1">
      <c r="A1011" s="402"/>
      <c r="B1011" s="402"/>
      <c r="C1011" s="402"/>
      <c r="D1011" s="402"/>
      <c r="E1011" s="402"/>
      <c r="F1011" s="402"/>
      <c r="G1011" s="403"/>
      <c r="H1011" s="402"/>
      <c r="I1011" s="402"/>
      <c r="J1011" s="402"/>
      <c r="K1011" s="402"/>
      <c r="L1011" s="402"/>
      <c r="M1011" s="402"/>
      <c r="N1011" s="402"/>
      <c r="O1011" s="402"/>
      <c r="P1011" s="402"/>
      <c r="Q1011" s="402"/>
      <c r="R1011" s="402"/>
      <c r="S1011" s="402"/>
      <c r="T1011" s="402"/>
      <c r="U1011" s="402"/>
      <c r="V1011" s="402"/>
      <c r="W1011" s="402"/>
      <c r="X1011" s="402"/>
      <c r="Y1011" s="402"/>
      <c r="Z1011" s="402"/>
      <c r="AA1011" s="405"/>
      <c r="AB1011" s="405"/>
      <c r="AC1011" s="405"/>
      <c r="AD1011" s="405"/>
      <c r="AE1011" s="405"/>
      <c r="AF1011" s="405"/>
      <c r="AG1011" s="405"/>
      <c r="AH1011" s="405"/>
      <c r="AI1011" s="405"/>
      <c r="AJ1011" s="405"/>
      <c r="AK1011" s="405"/>
      <c r="AL1011" s="405"/>
    </row>
    <row r="1012" ht="14.25" customHeight="1">
      <c r="A1012" s="402"/>
      <c r="B1012" s="402"/>
      <c r="C1012" s="402"/>
      <c r="D1012" s="402"/>
      <c r="E1012" s="402"/>
      <c r="F1012" s="402"/>
      <c r="G1012" s="403"/>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5"/>
      <c r="AB1012" s="405"/>
      <c r="AC1012" s="405"/>
      <c r="AD1012" s="405"/>
      <c r="AE1012" s="405"/>
      <c r="AF1012" s="405"/>
      <c r="AG1012" s="405"/>
      <c r="AH1012" s="405"/>
      <c r="AI1012" s="405"/>
      <c r="AJ1012" s="405"/>
      <c r="AK1012" s="405"/>
      <c r="AL1012" s="405"/>
    </row>
    <row r="1013" ht="14.25" customHeight="1">
      <c r="A1013" s="402"/>
      <c r="B1013" s="402"/>
      <c r="C1013" s="402"/>
      <c r="D1013" s="402"/>
      <c r="E1013" s="402"/>
      <c r="F1013" s="402"/>
      <c r="G1013" s="403"/>
      <c r="H1013" s="402"/>
      <c r="I1013" s="402"/>
      <c r="J1013" s="402"/>
      <c r="K1013" s="402"/>
      <c r="L1013" s="402"/>
      <c r="M1013" s="402"/>
      <c r="N1013" s="402"/>
      <c r="O1013" s="402"/>
      <c r="P1013" s="402"/>
      <c r="Q1013" s="402"/>
      <c r="R1013" s="402"/>
      <c r="S1013" s="402"/>
      <c r="T1013" s="402"/>
      <c r="U1013" s="402"/>
      <c r="V1013" s="402"/>
      <c r="W1013" s="402"/>
      <c r="X1013" s="402"/>
      <c r="Y1013" s="402"/>
      <c r="Z1013" s="402"/>
      <c r="AA1013" s="405"/>
      <c r="AB1013" s="405"/>
      <c r="AC1013" s="405"/>
      <c r="AD1013" s="405"/>
      <c r="AE1013" s="405"/>
      <c r="AF1013" s="405"/>
      <c r="AG1013" s="405"/>
      <c r="AH1013" s="405"/>
      <c r="AI1013" s="405"/>
      <c r="AJ1013" s="405"/>
      <c r="AK1013" s="405"/>
      <c r="AL1013" s="405"/>
    </row>
    <row r="1014" ht="14.25" customHeight="1">
      <c r="A1014" s="402"/>
      <c r="B1014" s="402"/>
      <c r="C1014" s="402"/>
      <c r="D1014" s="402"/>
      <c r="E1014" s="402"/>
      <c r="F1014" s="402"/>
      <c r="G1014" s="403"/>
      <c r="H1014" s="402"/>
      <c r="I1014" s="402"/>
      <c r="J1014" s="402"/>
      <c r="K1014" s="402"/>
      <c r="L1014" s="402"/>
      <c r="M1014" s="402"/>
      <c r="N1014" s="402"/>
      <c r="O1014" s="402"/>
      <c r="P1014" s="402"/>
      <c r="Q1014" s="402"/>
      <c r="R1014" s="402"/>
      <c r="S1014" s="402"/>
      <c r="T1014" s="402"/>
      <c r="U1014" s="402"/>
      <c r="V1014" s="402"/>
      <c r="W1014" s="402"/>
      <c r="X1014" s="402"/>
      <c r="Y1014" s="402"/>
      <c r="Z1014" s="402"/>
      <c r="AA1014" s="405"/>
      <c r="AB1014" s="405"/>
      <c r="AC1014" s="405"/>
      <c r="AD1014" s="405"/>
      <c r="AE1014" s="405"/>
      <c r="AF1014" s="405"/>
      <c r="AG1014" s="405"/>
      <c r="AH1014" s="405"/>
      <c r="AI1014" s="405"/>
      <c r="AJ1014" s="405"/>
      <c r="AK1014" s="405"/>
      <c r="AL1014" s="405"/>
    </row>
    <row r="1015" ht="14.25" customHeight="1">
      <c r="A1015" s="402"/>
      <c r="B1015" s="402"/>
      <c r="C1015" s="402"/>
      <c r="D1015" s="402"/>
      <c r="E1015" s="402"/>
      <c r="F1015" s="402"/>
      <c r="G1015" s="403"/>
      <c r="H1015" s="402"/>
      <c r="I1015" s="402"/>
      <c r="J1015" s="402"/>
      <c r="K1015" s="402"/>
      <c r="L1015" s="402"/>
      <c r="M1015" s="402"/>
      <c r="N1015" s="402"/>
      <c r="O1015" s="402"/>
      <c r="P1015" s="402"/>
      <c r="Q1015" s="402"/>
      <c r="R1015" s="402"/>
      <c r="S1015" s="402"/>
      <c r="T1015" s="402"/>
      <c r="U1015" s="402"/>
      <c r="V1015" s="402"/>
      <c r="W1015" s="402"/>
      <c r="X1015" s="402"/>
      <c r="Y1015" s="402"/>
      <c r="Z1015" s="402"/>
      <c r="AA1015" s="405"/>
      <c r="AB1015" s="405"/>
      <c r="AC1015" s="405"/>
      <c r="AD1015" s="405"/>
      <c r="AE1015" s="405"/>
      <c r="AF1015" s="405"/>
      <c r="AG1015" s="405"/>
      <c r="AH1015" s="405"/>
      <c r="AI1015" s="405"/>
      <c r="AJ1015" s="405"/>
      <c r="AK1015" s="405"/>
      <c r="AL1015" s="405"/>
    </row>
    <row r="1016" ht="14.25" customHeight="1">
      <c r="A1016" s="402"/>
      <c r="B1016" s="402"/>
      <c r="C1016" s="402"/>
      <c r="D1016" s="402"/>
      <c r="E1016" s="402"/>
      <c r="F1016" s="402"/>
      <c r="G1016" s="403"/>
      <c r="H1016" s="402"/>
      <c r="I1016" s="402"/>
      <c r="J1016" s="402"/>
      <c r="K1016" s="402"/>
      <c r="L1016" s="402"/>
      <c r="M1016" s="402"/>
      <c r="N1016" s="402"/>
      <c r="O1016" s="402"/>
      <c r="P1016" s="402"/>
      <c r="Q1016" s="402"/>
      <c r="R1016" s="402"/>
      <c r="S1016" s="402"/>
      <c r="T1016" s="402"/>
      <c r="U1016" s="402"/>
      <c r="V1016" s="402"/>
      <c r="W1016" s="402"/>
      <c r="X1016" s="402"/>
      <c r="Y1016" s="402"/>
      <c r="Z1016" s="402"/>
      <c r="AA1016" s="405"/>
      <c r="AB1016" s="405"/>
      <c r="AC1016" s="405"/>
      <c r="AD1016" s="405"/>
      <c r="AE1016" s="405"/>
      <c r="AF1016" s="405"/>
      <c r="AG1016" s="405"/>
      <c r="AH1016" s="405"/>
      <c r="AI1016" s="405"/>
      <c r="AJ1016" s="405"/>
      <c r="AK1016" s="405"/>
      <c r="AL1016" s="405"/>
    </row>
    <row r="1017" ht="14.25" customHeight="1">
      <c r="A1017" s="402"/>
      <c r="B1017" s="402"/>
      <c r="C1017" s="402"/>
      <c r="D1017" s="402"/>
      <c r="E1017" s="402"/>
      <c r="F1017" s="402"/>
      <c r="G1017" s="403"/>
      <c r="H1017" s="402"/>
      <c r="I1017" s="402"/>
      <c r="J1017" s="402"/>
      <c r="K1017" s="402"/>
      <c r="L1017" s="402"/>
      <c r="M1017" s="402"/>
      <c r="N1017" s="402"/>
      <c r="O1017" s="402"/>
      <c r="P1017" s="402"/>
      <c r="Q1017" s="402"/>
      <c r="R1017" s="402"/>
      <c r="S1017" s="402"/>
      <c r="T1017" s="402"/>
      <c r="U1017" s="402"/>
      <c r="V1017" s="402"/>
      <c r="W1017" s="402"/>
      <c r="X1017" s="402"/>
      <c r="Y1017" s="402"/>
      <c r="Z1017" s="402"/>
      <c r="AA1017" s="405"/>
      <c r="AB1017" s="405"/>
      <c r="AC1017" s="405"/>
      <c r="AD1017" s="405"/>
      <c r="AE1017" s="405"/>
      <c r="AF1017" s="405"/>
      <c r="AG1017" s="405"/>
      <c r="AH1017" s="405"/>
      <c r="AI1017" s="405"/>
      <c r="AJ1017" s="405"/>
      <c r="AK1017" s="405"/>
      <c r="AL1017" s="405"/>
    </row>
    <row r="1018" ht="14.25" customHeight="1">
      <c r="A1018" s="402"/>
      <c r="B1018" s="402"/>
      <c r="C1018" s="402"/>
      <c r="D1018" s="402"/>
      <c r="E1018" s="402"/>
      <c r="F1018" s="402"/>
      <c r="G1018" s="403"/>
      <c r="H1018" s="402"/>
      <c r="I1018" s="402"/>
      <c r="J1018" s="402"/>
      <c r="K1018" s="402"/>
      <c r="L1018" s="402"/>
      <c r="M1018" s="402"/>
      <c r="N1018" s="402"/>
      <c r="O1018" s="402"/>
      <c r="P1018" s="402"/>
      <c r="Q1018" s="402"/>
      <c r="R1018" s="402"/>
      <c r="S1018" s="402"/>
      <c r="T1018" s="402"/>
      <c r="U1018" s="402"/>
      <c r="V1018" s="402"/>
      <c r="W1018" s="402"/>
      <c r="X1018" s="402"/>
      <c r="Y1018" s="402"/>
      <c r="Z1018" s="402"/>
      <c r="AA1018" s="405"/>
      <c r="AB1018" s="405"/>
      <c r="AC1018" s="405"/>
      <c r="AD1018" s="405"/>
      <c r="AE1018" s="405"/>
      <c r="AF1018" s="405"/>
      <c r="AG1018" s="405"/>
      <c r="AH1018" s="405"/>
      <c r="AI1018" s="405"/>
      <c r="AJ1018" s="405"/>
      <c r="AK1018" s="405"/>
      <c r="AL1018" s="405"/>
    </row>
    <row r="1019" ht="14.25" customHeight="1">
      <c r="A1019" s="402"/>
      <c r="B1019" s="402"/>
      <c r="C1019" s="402"/>
      <c r="D1019" s="402"/>
      <c r="E1019" s="402"/>
      <c r="F1019" s="402"/>
      <c r="G1019" s="403"/>
      <c r="H1019" s="402"/>
      <c r="I1019" s="402"/>
      <c r="J1019" s="402"/>
      <c r="K1019" s="402"/>
      <c r="L1019" s="402"/>
      <c r="M1019" s="402"/>
      <c r="N1019" s="402"/>
      <c r="O1019" s="402"/>
      <c r="P1019" s="402"/>
      <c r="Q1019" s="402"/>
      <c r="R1019" s="402"/>
      <c r="S1019" s="402"/>
      <c r="T1019" s="402"/>
      <c r="U1019" s="402"/>
      <c r="V1019" s="402"/>
      <c r="W1019" s="402"/>
      <c r="X1019" s="402"/>
      <c r="Y1019" s="402"/>
      <c r="Z1019" s="402"/>
      <c r="AA1019" s="405"/>
      <c r="AB1019" s="405"/>
      <c r="AC1019" s="405"/>
      <c r="AD1019" s="405"/>
      <c r="AE1019" s="405"/>
      <c r="AF1019" s="405"/>
      <c r="AG1019" s="405"/>
      <c r="AH1019" s="405"/>
      <c r="AI1019" s="405"/>
      <c r="AJ1019" s="405"/>
      <c r="AK1019" s="405"/>
      <c r="AL1019" s="405"/>
    </row>
    <row r="1020" ht="14.25" customHeight="1">
      <c r="A1020" s="402"/>
      <c r="B1020" s="402"/>
      <c r="C1020" s="402"/>
      <c r="D1020" s="402"/>
      <c r="E1020" s="402"/>
      <c r="F1020" s="402"/>
      <c r="G1020" s="403"/>
      <c r="H1020" s="402"/>
      <c r="I1020" s="402"/>
      <c r="J1020" s="402"/>
      <c r="K1020" s="402"/>
      <c r="L1020" s="402"/>
      <c r="M1020" s="402"/>
      <c r="N1020" s="402"/>
      <c r="O1020" s="402"/>
      <c r="P1020" s="402"/>
      <c r="Q1020" s="402"/>
      <c r="R1020" s="402"/>
      <c r="S1020" s="402"/>
      <c r="T1020" s="402"/>
      <c r="U1020" s="402"/>
      <c r="V1020" s="402"/>
      <c r="W1020" s="402"/>
      <c r="X1020" s="402"/>
      <c r="Y1020" s="402"/>
      <c r="Z1020" s="402"/>
      <c r="AA1020" s="405"/>
      <c r="AB1020" s="405"/>
      <c r="AC1020" s="405"/>
      <c r="AD1020" s="405"/>
      <c r="AE1020" s="405"/>
      <c r="AF1020" s="405"/>
      <c r="AG1020" s="405"/>
      <c r="AH1020" s="405"/>
      <c r="AI1020" s="405"/>
      <c r="AJ1020" s="405"/>
      <c r="AK1020" s="405"/>
      <c r="AL1020" s="405"/>
    </row>
    <row r="1021" ht="14.25" customHeight="1">
      <c r="A1021" s="402"/>
      <c r="B1021" s="402"/>
      <c r="C1021" s="402"/>
      <c r="D1021" s="402"/>
      <c r="E1021" s="402"/>
      <c r="F1021" s="402"/>
      <c r="G1021" s="403"/>
      <c r="H1021" s="402"/>
      <c r="I1021" s="402"/>
      <c r="J1021" s="402"/>
      <c r="K1021" s="402"/>
      <c r="L1021" s="402"/>
      <c r="M1021" s="402"/>
      <c r="N1021" s="402"/>
      <c r="O1021" s="402"/>
      <c r="P1021" s="402"/>
      <c r="Q1021" s="402"/>
      <c r="R1021" s="402"/>
      <c r="S1021" s="402"/>
      <c r="T1021" s="402"/>
      <c r="U1021" s="402"/>
      <c r="V1021" s="402"/>
      <c r="W1021" s="402"/>
      <c r="X1021" s="402"/>
      <c r="Y1021" s="402"/>
      <c r="Z1021" s="402"/>
      <c r="AA1021" s="405"/>
      <c r="AB1021" s="405"/>
      <c r="AC1021" s="405"/>
      <c r="AD1021" s="405"/>
      <c r="AE1021" s="405"/>
      <c r="AF1021" s="405"/>
      <c r="AG1021" s="405"/>
      <c r="AH1021" s="405"/>
      <c r="AI1021" s="405"/>
      <c r="AJ1021" s="405"/>
      <c r="AK1021" s="405"/>
      <c r="AL1021" s="405"/>
    </row>
    <row r="1022" ht="14.25" customHeight="1">
      <c r="A1022" s="402"/>
      <c r="B1022" s="402"/>
      <c r="C1022" s="402"/>
      <c r="D1022" s="402"/>
      <c r="E1022" s="402"/>
      <c r="F1022" s="402"/>
      <c r="G1022" s="403"/>
      <c r="H1022" s="402"/>
      <c r="I1022" s="402"/>
      <c r="J1022" s="402"/>
      <c r="K1022" s="402"/>
      <c r="L1022" s="402"/>
      <c r="M1022" s="402"/>
      <c r="N1022" s="402"/>
      <c r="O1022" s="402"/>
      <c r="P1022" s="402"/>
      <c r="Q1022" s="402"/>
      <c r="R1022" s="402"/>
      <c r="S1022" s="402"/>
      <c r="T1022" s="402"/>
      <c r="U1022" s="402"/>
      <c r="V1022" s="402"/>
      <c r="W1022" s="402"/>
      <c r="X1022" s="402"/>
      <c r="Y1022" s="402"/>
      <c r="Z1022" s="402"/>
      <c r="AA1022" s="405"/>
      <c r="AB1022" s="405"/>
      <c r="AC1022" s="405"/>
      <c r="AD1022" s="405"/>
      <c r="AE1022" s="405"/>
      <c r="AF1022" s="405"/>
      <c r="AG1022" s="405"/>
      <c r="AH1022" s="405"/>
      <c r="AI1022" s="405"/>
      <c r="AJ1022" s="405"/>
      <c r="AK1022" s="405"/>
      <c r="AL1022" s="405"/>
    </row>
    <row r="1023" ht="14.25" customHeight="1">
      <c r="A1023" s="402"/>
      <c r="B1023" s="402"/>
      <c r="C1023" s="402"/>
      <c r="D1023" s="402"/>
      <c r="E1023" s="402"/>
      <c r="F1023" s="402"/>
      <c r="G1023" s="403"/>
      <c r="H1023" s="402"/>
      <c r="I1023" s="402"/>
      <c r="J1023" s="402"/>
      <c r="K1023" s="402"/>
      <c r="L1023" s="402"/>
      <c r="M1023" s="402"/>
      <c r="N1023" s="402"/>
      <c r="O1023" s="402"/>
      <c r="P1023" s="402"/>
      <c r="Q1023" s="402"/>
      <c r="R1023" s="402"/>
      <c r="S1023" s="402"/>
      <c r="T1023" s="402"/>
      <c r="U1023" s="402"/>
      <c r="V1023" s="402"/>
      <c r="W1023" s="402"/>
      <c r="X1023" s="402"/>
      <c r="Y1023" s="402"/>
      <c r="Z1023" s="402"/>
      <c r="AA1023" s="405"/>
      <c r="AB1023" s="405"/>
      <c r="AC1023" s="405"/>
      <c r="AD1023" s="405"/>
      <c r="AE1023" s="405"/>
      <c r="AF1023" s="405"/>
      <c r="AG1023" s="405"/>
      <c r="AH1023" s="405"/>
      <c r="AI1023" s="405"/>
      <c r="AJ1023" s="405"/>
      <c r="AK1023" s="405"/>
      <c r="AL1023" s="405"/>
    </row>
    <row r="1024" ht="14.25" customHeight="1">
      <c r="A1024" s="402"/>
      <c r="B1024" s="402"/>
      <c r="C1024" s="402"/>
      <c r="D1024" s="402"/>
      <c r="E1024" s="402"/>
      <c r="F1024" s="402"/>
      <c r="G1024" s="403"/>
      <c r="H1024" s="402"/>
      <c r="I1024" s="402"/>
      <c r="J1024" s="402"/>
      <c r="K1024" s="402"/>
      <c r="L1024" s="402"/>
      <c r="M1024" s="402"/>
      <c r="N1024" s="402"/>
      <c r="O1024" s="402"/>
      <c r="P1024" s="402"/>
      <c r="Q1024" s="402"/>
      <c r="R1024" s="402"/>
      <c r="S1024" s="402"/>
      <c r="T1024" s="402"/>
      <c r="U1024" s="402"/>
      <c r="V1024" s="402"/>
      <c r="W1024" s="402"/>
      <c r="X1024" s="402"/>
      <c r="Y1024" s="402"/>
      <c r="Z1024" s="402"/>
      <c r="AA1024" s="405"/>
      <c r="AB1024" s="405"/>
      <c r="AC1024" s="405"/>
      <c r="AD1024" s="405"/>
      <c r="AE1024" s="405"/>
      <c r="AF1024" s="405"/>
      <c r="AG1024" s="405"/>
      <c r="AH1024" s="405"/>
      <c r="AI1024" s="405"/>
      <c r="AJ1024" s="405"/>
      <c r="AK1024" s="405"/>
      <c r="AL1024" s="405"/>
    </row>
    <row r="1025" ht="14.25" customHeight="1">
      <c r="A1025" s="402"/>
      <c r="B1025" s="402"/>
      <c r="C1025" s="402"/>
      <c r="D1025" s="402"/>
      <c r="E1025" s="402"/>
      <c r="F1025" s="402"/>
      <c r="G1025" s="403"/>
      <c r="H1025" s="402"/>
      <c r="I1025" s="402"/>
      <c r="J1025" s="402"/>
      <c r="K1025" s="402"/>
      <c r="L1025" s="402"/>
      <c r="M1025" s="402"/>
      <c r="N1025" s="402"/>
      <c r="O1025" s="402"/>
      <c r="P1025" s="402"/>
      <c r="Q1025" s="402"/>
      <c r="R1025" s="402"/>
      <c r="S1025" s="402"/>
      <c r="T1025" s="402"/>
      <c r="U1025" s="402"/>
      <c r="V1025" s="402"/>
      <c r="W1025" s="402"/>
      <c r="X1025" s="402"/>
      <c r="Y1025" s="402"/>
      <c r="Z1025" s="402"/>
      <c r="AA1025" s="405"/>
      <c r="AB1025" s="405"/>
      <c r="AC1025" s="405"/>
      <c r="AD1025" s="405"/>
      <c r="AE1025" s="405"/>
      <c r="AF1025" s="405"/>
      <c r="AG1025" s="405"/>
      <c r="AH1025" s="405"/>
      <c r="AI1025" s="405"/>
      <c r="AJ1025" s="405"/>
      <c r="AK1025" s="405"/>
      <c r="AL1025" s="405"/>
    </row>
    <row r="1026" ht="14.25" customHeight="1">
      <c r="A1026" s="402"/>
      <c r="B1026" s="402"/>
      <c r="C1026" s="402"/>
      <c r="D1026" s="402"/>
      <c r="E1026" s="402"/>
      <c r="F1026" s="402"/>
      <c r="G1026" s="403"/>
      <c r="H1026" s="402"/>
      <c r="I1026" s="402"/>
      <c r="J1026" s="402"/>
      <c r="K1026" s="402"/>
      <c r="L1026" s="402"/>
      <c r="M1026" s="402"/>
      <c r="N1026" s="402"/>
      <c r="O1026" s="402"/>
      <c r="P1026" s="402"/>
      <c r="Q1026" s="402"/>
      <c r="R1026" s="402"/>
      <c r="S1026" s="402"/>
      <c r="T1026" s="402"/>
      <c r="U1026" s="402"/>
      <c r="V1026" s="402"/>
      <c r="W1026" s="402"/>
      <c r="X1026" s="402"/>
      <c r="Y1026" s="402"/>
      <c r="Z1026" s="402"/>
      <c r="AA1026" s="405"/>
      <c r="AB1026" s="405"/>
      <c r="AC1026" s="405"/>
      <c r="AD1026" s="405"/>
      <c r="AE1026" s="405"/>
      <c r="AF1026" s="405"/>
      <c r="AG1026" s="405"/>
      <c r="AH1026" s="405"/>
      <c r="AI1026" s="405"/>
      <c r="AJ1026" s="405"/>
      <c r="AK1026" s="405"/>
      <c r="AL1026" s="405"/>
    </row>
    <row r="1027" ht="14.25" customHeight="1">
      <c r="A1027" s="402"/>
      <c r="B1027" s="402"/>
      <c r="C1027" s="402"/>
      <c r="D1027" s="402"/>
      <c r="E1027" s="402"/>
      <c r="F1027" s="402"/>
      <c r="G1027" s="403"/>
      <c r="H1027" s="402"/>
      <c r="I1027" s="402"/>
      <c r="J1027" s="402"/>
      <c r="K1027" s="402"/>
      <c r="L1027" s="402"/>
      <c r="M1027" s="402"/>
      <c r="N1027" s="402"/>
      <c r="O1027" s="402"/>
      <c r="P1027" s="402"/>
      <c r="Q1027" s="402"/>
      <c r="R1027" s="402"/>
      <c r="S1027" s="402"/>
      <c r="T1027" s="402"/>
      <c r="U1027" s="402"/>
      <c r="V1027" s="402"/>
      <c r="W1027" s="402"/>
      <c r="X1027" s="402"/>
      <c r="Y1027" s="402"/>
      <c r="Z1027" s="402"/>
      <c r="AA1027" s="405"/>
      <c r="AB1027" s="405"/>
      <c r="AC1027" s="405"/>
      <c r="AD1027" s="405"/>
      <c r="AE1027" s="405"/>
      <c r="AF1027" s="405"/>
      <c r="AG1027" s="405"/>
      <c r="AH1027" s="405"/>
      <c r="AI1027" s="405"/>
      <c r="AJ1027" s="405"/>
      <c r="AK1027" s="405"/>
      <c r="AL1027" s="405"/>
    </row>
    <row r="1028" ht="14.25" customHeight="1">
      <c r="A1028" s="402"/>
      <c r="B1028" s="402"/>
      <c r="C1028" s="402"/>
      <c r="D1028" s="402"/>
      <c r="E1028" s="402"/>
      <c r="F1028" s="402"/>
      <c r="G1028" s="403"/>
      <c r="H1028" s="402"/>
      <c r="I1028" s="402"/>
      <c r="J1028" s="402"/>
      <c r="K1028" s="402"/>
      <c r="L1028" s="402"/>
      <c r="M1028" s="402"/>
      <c r="N1028" s="402"/>
      <c r="O1028" s="402"/>
      <c r="P1028" s="402"/>
      <c r="Q1028" s="402"/>
      <c r="R1028" s="402"/>
      <c r="S1028" s="402"/>
      <c r="T1028" s="402"/>
      <c r="U1028" s="402"/>
      <c r="V1028" s="402"/>
      <c r="W1028" s="402"/>
      <c r="X1028" s="402"/>
      <c r="Y1028" s="402"/>
      <c r="Z1028" s="402"/>
      <c r="AA1028" s="405"/>
      <c r="AB1028" s="405"/>
      <c r="AC1028" s="405"/>
      <c r="AD1028" s="405"/>
      <c r="AE1028" s="405"/>
      <c r="AF1028" s="405"/>
      <c r="AG1028" s="405"/>
      <c r="AH1028" s="405"/>
      <c r="AI1028" s="405"/>
      <c r="AJ1028" s="405"/>
      <c r="AK1028" s="405"/>
      <c r="AL1028" s="405"/>
    </row>
    <row r="1029" ht="14.25" customHeight="1">
      <c r="A1029" s="402"/>
      <c r="B1029" s="402"/>
      <c r="C1029" s="402"/>
      <c r="D1029" s="402"/>
      <c r="E1029" s="402"/>
      <c r="F1029" s="402"/>
      <c r="G1029" s="403"/>
      <c r="H1029" s="402"/>
      <c r="I1029" s="402"/>
      <c r="J1029" s="402"/>
      <c r="K1029" s="402"/>
      <c r="L1029" s="402"/>
      <c r="M1029" s="402"/>
      <c r="N1029" s="402"/>
      <c r="O1029" s="402"/>
      <c r="P1029" s="402"/>
      <c r="Q1029" s="402"/>
      <c r="R1029" s="402"/>
      <c r="S1029" s="402"/>
      <c r="T1029" s="402"/>
      <c r="U1029" s="402"/>
      <c r="V1029" s="402"/>
      <c r="W1029" s="402"/>
      <c r="X1029" s="402"/>
      <c r="Y1029" s="402"/>
      <c r="Z1029" s="402"/>
      <c r="AA1029" s="405"/>
      <c r="AB1029" s="405"/>
      <c r="AC1029" s="405"/>
      <c r="AD1029" s="405"/>
      <c r="AE1029" s="405"/>
      <c r="AF1029" s="405"/>
      <c r="AG1029" s="405"/>
      <c r="AH1029" s="405"/>
      <c r="AI1029" s="405"/>
      <c r="AJ1029" s="405"/>
      <c r="AK1029" s="405"/>
      <c r="AL1029" s="405"/>
    </row>
    <row r="1030" ht="14.25" customHeight="1">
      <c r="A1030" s="402"/>
      <c r="B1030" s="402"/>
      <c r="C1030" s="402"/>
      <c r="D1030" s="402"/>
      <c r="E1030" s="402"/>
      <c r="F1030" s="402"/>
      <c r="G1030" s="403"/>
      <c r="H1030" s="402"/>
      <c r="I1030" s="402"/>
      <c r="J1030" s="402"/>
      <c r="K1030" s="402"/>
      <c r="L1030" s="402"/>
      <c r="M1030" s="402"/>
      <c r="N1030" s="402"/>
      <c r="O1030" s="402"/>
      <c r="P1030" s="402"/>
      <c r="Q1030" s="402"/>
      <c r="R1030" s="402"/>
      <c r="S1030" s="402"/>
      <c r="T1030" s="402"/>
      <c r="U1030" s="402"/>
      <c r="V1030" s="402"/>
      <c r="W1030" s="402"/>
      <c r="X1030" s="402"/>
      <c r="Y1030" s="402"/>
      <c r="Z1030" s="402"/>
      <c r="AA1030" s="405"/>
      <c r="AB1030" s="405"/>
      <c r="AC1030" s="405"/>
      <c r="AD1030" s="405"/>
      <c r="AE1030" s="405"/>
      <c r="AF1030" s="405"/>
      <c r="AG1030" s="405"/>
      <c r="AH1030" s="405"/>
      <c r="AI1030" s="405"/>
      <c r="AJ1030" s="405"/>
      <c r="AK1030" s="405"/>
      <c r="AL1030" s="405"/>
    </row>
    <row r="1031" ht="14.25" customHeight="1">
      <c r="A1031" s="402"/>
      <c r="B1031" s="402"/>
      <c r="C1031" s="402"/>
      <c r="D1031" s="402"/>
      <c r="E1031" s="402"/>
      <c r="F1031" s="402"/>
      <c r="G1031" s="403"/>
      <c r="H1031" s="402"/>
      <c r="I1031" s="402"/>
      <c r="J1031" s="402"/>
      <c r="K1031" s="402"/>
      <c r="L1031" s="402"/>
      <c r="M1031" s="402"/>
      <c r="N1031" s="402"/>
      <c r="O1031" s="402"/>
      <c r="P1031" s="402"/>
      <c r="Q1031" s="402"/>
      <c r="R1031" s="402"/>
      <c r="S1031" s="402"/>
      <c r="T1031" s="402"/>
      <c r="U1031" s="402"/>
      <c r="V1031" s="402"/>
      <c r="W1031" s="402"/>
      <c r="X1031" s="402"/>
      <c r="Y1031" s="402"/>
      <c r="Z1031" s="402"/>
      <c r="AA1031" s="405"/>
      <c r="AB1031" s="405"/>
      <c r="AC1031" s="405"/>
      <c r="AD1031" s="405"/>
      <c r="AE1031" s="405"/>
      <c r="AF1031" s="405"/>
      <c r="AG1031" s="405"/>
      <c r="AH1031" s="405"/>
      <c r="AI1031" s="405"/>
      <c r="AJ1031" s="405"/>
      <c r="AK1031" s="405"/>
      <c r="AL1031" s="405"/>
    </row>
    <row r="1032" ht="14.25" customHeight="1">
      <c r="A1032" s="402"/>
      <c r="B1032" s="402"/>
      <c r="C1032" s="402"/>
      <c r="D1032" s="402"/>
      <c r="E1032" s="402"/>
      <c r="F1032" s="402"/>
      <c r="G1032" s="403"/>
      <c r="H1032" s="402"/>
      <c r="I1032" s="402"/>
      <c r="J1032" s="402"/>
      <c r="K1032" s="402"/>
      <c r="L1032" s="402"/>
      <c r="M1032" s="402"/>
      <c r="N1032" s="402"/>
      <c r="O1032" s="402"/>
      <c r="P1032" s="402"/>
      <c r="Q1032" s="402"/>
      <c r="R1032" s="402"/>
      <c r="S1032" s="402"/>
      <c r="T1032" s="402"/>
      <c r="U1032" s="402"/>
      <c r="V1032" s="402"/>
      <c r="W1032" s="402"/>
      <c r="X1032" s="402"/>
      <c r="Y1032" s="402"/>
      <c r="Z1032" s="402"/>
      <c r="AA1032" s="405"/>
      <c r="AB1032" s="405"/>
      <c r="AC1032" s="405"/>
      <c r="AD1032" s="405"/>
      <c r="AE1032" s="405"/>
      <c r="AF1032" s="405"/>
      <c r="AG1032" s="405"/>
      <c r="AH1032" s="405"/>
      <c r="AI1032" s="405"/>
      <c r="AJ1032" s="405"/>
      <c r="AK1032" s="405"/>
      <c r="AL1032" s="405"/>
    </row>
    <row r="1033" ht="14.25" customHeight="1">
      <c r="A1033" s="402"/>
      <c r="B1033" s="402"/>
      <c r="C1033" s="402"/>
      <c r="D1033" s="402"/>
      <c r="E1033" s="402"/>
      <c r="F1033" s="402"/>
      <c r="G1033" s="403"/>
      <c r="H1033" s="402"/>
      <c r="I1033" s="402"/>
      <c r="J1033" s="402"/>
      <c r="K1033" s="402"/>
      <c r="L1033" s="402"/>
      <c r="M1033" s="402"/>
      <c r="N1033" s="402"/>
      <c r="O1033" s="402"/>
      <c r="P1033" s="402"/>
      <c r="Q1033" s="402"/>
      <c r="R1033" s="402"/>
      <c r="S1033" s="402"/>
      <c r="T1033" s="402"/>
      <c r="U1033" s="402"/>
      <c r="V1033" s="402"/>
      <c r="W1033" s="402"/>
      <c r="X1033" s="402"/>
      <c r="Y1033" s="402"/>
      <c r="Z1033" s="402"/>
      <c r="AA1033" s="405"/>
      <c r="AB1033" s="405"/>
      <c r="AC1033" s="405"/>
      <c r="AD1033" s="405"/>
      <c r="AE1033" s="405"/>
      <c r="AF1033" s="405"/>
      <c r="AG1033" s="405"/>
      <c r="AH1033" s="405"/>
      <c r="AI1033" s="405"/>
      <c r="AJ1033" s="405"/>
      <c r="AK1033" s="405"/>
      <c r="AL1033" s="405"/>
    </row>
    <row r="1034" ht="14.25" customHeight="1">
      <c r="A1034" s="402"/>
      <c r="B1034" s="402"/>
      <c r="C1034" s="402"/>
      <c r="D1034" s="402"/>
      <c r="E1034" s="402"/>
      <c r="F1034" s="402"/>
      <c r="G1034" s="403"/>
      <c r="H1034" s="402"/>
      <c r="I1034" s="402"/>
      <c r="J1034" s="402"/>
      <c r="K1034" s="402"/>
      <c r="L1034" s="402"/>
      <c r="M1034" s="402"/>
      <c r="N1034" s="402"/>
      <c r="O1034" s="402"/>
      <c r="P1034" s="402"/>
      <c r="Q1034" s="402"/>
      <c r="R1034" s="402"/>
      <c r="S1034" s="402"/>
      <c r="T1034" s="402"/>
      <c r="U1034" s="402"/>
      <c r="V1034" s="402"/>
      <c r="W1034" s="402"/>
      <c r="X1034" s="402"/>
      <c r="Y1034" s="402"/>
      <c r="Z1034" s="402"/>
      <c r="AA1034" s="405"/>
      <c r="AB1034" s="405"/>
      <c r="AC1034" s="405"/>
      <c r="AD1034" s="405"/>
      <c r="AE1034" s="405"/>
      <c r="AF1034" s="405"/>
      <c r="AG1034" s="405"/>
      <c r="AH1034" s="405"/>
      <c r="AI1034" s="405"/>
      <c r="AJ1034" s="405"/>
      <c r="AK1034" s="405"/>
      <c r="AL1034" s="405"/>
    </row>
    <row r="1035" ht="14.25" customHeight="1">
      <c r="A1035" s="402"/>
      <c r="B1035" s="402"/>
      <c r="C1035" s="402"/>
      <c r="D1035" s="402"/>
      <c r="E1035" s="402"/>
      <c r="F1035" s="402"/>
      <c r="G1035" s="403"/>
      <c r="H1035" s="402"/>
      <c r="I1035" s="402"/>
      <c r="J1035" s="402"/>
      <c r="K1035" s="402"/>
      <c r="L1035" s="402"/>
      <c r="M1035" s="402"/>
      <c r="N1035" s="402"/>
      <c r="O1035" s="402"/>
      <c r="P1035" s="402"/>
      <c r="Q1035" s="402"/>
      <c r="R1035" s="402"/>
      <c r="S1035" s="402"/>
      <c r="T1035" s="402"/>
      <c r="U1035" s="402"/>
      <c r="V1035" s="402"/>
      <c r="W1035" s="402"/>
      <c r="X1035" s="402"/>
      <c r="Y1035" s="402"/>
      <c r="Z1035" s="402"/>
      <c r="AA1035" s="405"/>
      <c r="AB1035" s="405"/>
      <c r="AC1035" s="405"/>
      <c r="AD1035" s="405"/>
      <c r="AE1035" s="405"/>
      <c r="AF1035" s="405"/>
      <c r="AG1035" s="405"/>
      <c r="AH1035" s="405"/>
      <c r="AI1035" s="405"/>
      <c r="AJ1035" s="405"/>
      <c r="AK1035" s="405"/>
      <c r="AL1035" s="405"/>
    </row>
    <row r="1036" ht="14.25" customHeight="1">
      <c r="A1036" s="402"/>
      <c r="B1036" s="402"/>
      <c r="C1036" s="402"/>
      <c r="D1036" s="402"/>
      <c r="E1036" s="402"/>
      <c r="F1036" s="402"/>
      <c r="G1036" s="403"/>
      <c r="H1036" s="402"/>
      <c r="I1036" s="402"/>
      <c r="J1036" s="402"/>
      <c r="K1036" s="402"/>
      <c r="L1036" s="402"/>
      <c r="M1036" s="402"/>
      <c r="N1036" s="402"/>
      <c r="O1036" s="402"/>
      <c r="P1036" s="402"/>
      <c r="Q1036" s="402"/>
      <c r="R1036" s="402"/>
      <c r="S1036" s="402"/>
      <c r="T1036" s="402"/>
      <c r="U1036" s="402"/>
      <c r="V1036" s="402"/>
      <c r="W1036" s="402"/>
      <c r="X1036" s="402"/>
      <c r="Y1036" s="402"/>
      <c r="Z1036" s="402"/>
      <c r="AA1036" s="405"/>
      <c r="AB1036" s="405"/>
      <c r="AC1036" s="405"/>
      <c r="AD1036" s="405"/>
      <c r="AE1036" s="405"/>
      <c r="AF1036" s="405"/>
      <c r="AG1036" s="405"/>
      <c r="AH1036" s="405"/>
      <c r="AI1036" s="405"/>
      <c r="AJ1036" s="405"/>
      <c r="AK1036" s="405"/>
      <c r="AL1036" s="405"/>
    </row>
    <row r="1037" ht="14.25" customHeight="1">
      <c r="A1037" s="402"/>
      <c r="B1037" s="402"/>
      <c r="C1037" s="402"/>
      <c r="D1037" s="402"/>
      <c r="E1037" s="402"/>
      <c r="F1037" s="402"/>
      <c r="G1037" s="403"/>
      <c r="H1037" s="402"/>
      <c r="I1037" s="402"/>
      <c r="J1037" s="402"/>
      <c r="K1037" s="402"/>
      <c r="L1037" s="402"/>
      <c r="M1037" s="402"/>
      <c r="N1037" s="402"/>
      <c r="O1037" s="402"/>
      <c r="P1037" s="402"/>
      <c r="Q1037" s="402"/>
      <c r="R1037" s="402"/>
      <c r="S1037" s="402"/>
      <c r="T1037" s="402"/>
      <c r="U1037" s="402"/>
      <c r="V1037" s="402"/>
      <c r="W1037" s="402"/>
      <c r="X1037" s="402"/>
      <c r="Y1037" s="402"/>
      <c r="Z1037" s="402"/>
      <c r="AA1037" s="405"/>
      <c r="AB1037" s="405"/>
      <c r="AC1037" s="405"/>
      <c r="AD1037" s="405"/>
      <c r="AE1037" s="405"/>
      <c r="AF1037" s="405"/>
      <c r="AG1037" s="405"/>
      <c r="AH1037" s="405"/>
      <c r="AI1037" s="405"/>
      <c r="AJ1037" s="405"/>
      <c r="AK1037" s="405"/>
      <c r="AL1037" s="405"/>
    </row>
    <row r="1038" ht="14.25" customHeight="1">
      <c r="A1038" s="402"/>
      <c r="B1038" s="402"/>
      <c r="C1038" s="402"/>
      <c r="D1038" s="402"/>
      <c r="E1038" s="402"/>
      <c r="F1038" s="402"/>
      <c r="G1038" s="403"/>
      <c r="H1038" s="402"/>
      <c r="I1038" s="402"/>
      <c r="J1038" s="402"/>
      <c r="K1038" s="402"/>
      <c r="L1038" s="402"/>
      <c r="M1038" s="402"/>
      <c r="N1038" s="402"/>
      <c r="O1038" s="402"/>
      <c r="P1038" s="402"/>
      <c r="Q1038" s="402"/>
      <c r="R1038" s="402"/>
      <c r="S1038" s="402"/>
      <c r="T1038" s="402"/>
      <c r="U1038" s="402"/>
      <c r="V1038" s="402"/>
      <c r="W1038" s="402"/>
      <c r="X1038" s="402"/>
      <c r="Y1038" s="402"/>
      <c r="Z1038" s="402"/>
      <c r="AA1038" s="405"/>
      <c r="AB1038" s="405"/>
      <c r="AC1038" s="405"/>
      <c r="AD1038" s="405"/>
      <c r="AE1038" s="405"/>
      <c r="AF1038" s="405"/>
      <c r="AG1038" s="405"/>
      <c r="AH1038" s="405"/>
      <c r="AI1038" s="405"/>
      <c r="AJ1038" s="405"/>
      <c r="AK1038" s="405"/>
      <c r="AL1038" s="405"/>
    </row>
    <row r="1039" ht="14.25" customHeight="1">
      <c r="A1039" s="402"/>
      <c r="B1039" s="402"/>
      <c r="C1039" s="402"/>
      <c r="D1039" s="402"/>
      <c r="E1039" s="402"/>
      <c r="F1039" s="402"/>
      <c r="G1039" s="403"/>
      <c r="H1039" s="402"/>
      <c r="I1039" s="402"/>
      <c r="J1039" s="402"/>
      <c r="K1039" s="402"/>
      <c r="L1039" s="402"/>
      <c r="M1039" s="402"/>
      <c r="N1039" s="402"/>
      <c r="O1039" s="402"/>
      <c r="P1039" s="402"/>
      <c r="Q1039" s="402"/>
      <c r="R1039" s="402"/>
      <c r="S1039" s="402"/>
      <c r="T1039" s="402"/>
      <c r="U1039" s="402"/>
      <c r="V1039" s="402"/>
      <c r="W1039" s="402"/>
      <c r="X1039" s="402"/>
      <c r="Y1039" s="402"/>
      <c r="Z1039" s="402"/>
      <c r="AA1039" s="405"/>
      <c r="AB1039" s="405"/>
      <c r="AC1039" s="405"/>
      <c r="AD1039" s="405"/>
      <c r="AE1039" s="405"/>
      <c r="AF1039" s="405"/>
      <c r="AG1039" s="405"/>
      <c r="AH1039" s="405"/>
      <c r="AI1039" s="405"/>
      <c r="AJ1039" s="405"/>
      <c r="AK1039" s="405"/>
      <c r="AL1039" s="405"/>
    </row>
    <row r="1040" ht="14.25" customHeight="1">
      <c r="A1040" s="402"/>
      <c r="B1040" s="402"/>
      <c r="C1040" s="402"/>
      <c r="D1040" s="402"/>
      <c r="E1040" s="402"/>
      <c r="F1040" s="402"/>
      <c r="G1040" s="403"/>
      <c r="H1040" s="402"/>
      <c r="I1040" s="402"/>
      <c r="J1040" s="402"/>
      <c r="K1040" s="402"/>
      <c r="L1040" s="402"/>
      <c r="M1040" s="402"/>
      <c r="N1040" s="402"/>
      <c r="O1040" s="402"/>
      <c r="P1040" s="402"/>
      <c r="Q1040" s="402"/>
      <c r="R1040" s="402"/>
      <c r="S1040" s="402"/>
      <c r="T1040" s="402"/>
      <c r="U1040" s="402"/>
      <c r="V1040" s="402"/>
      <c r="W1040" s="402"/>
      <c r="X1040" s="402"/>
      <c r="Y1040" s="402"/>
      <c r="Z1040" s="402"/>
      <c r="AA1040" s="405"/>
      <c r="AB1040" s="405"/>
      <c r="AC1040" s="405"/>
      <c r="AD1040" s="405"/>
      <c r="AE1040" s="405"/>
      <c r="AF1040" s="405"/>
      <c r="AG1040" s="405"/>
      <c r="AH1040" s="405"/>
      <c r="AI1040" s="405"/>
      <c r="AJ1040" s="405"/>
      <c r="AK1040" s="405"/>
      <c r="AL1040" s="405"/>
    </row>
    <row r="1041" ht="14.25" customHeight="1">
      <c r="A1041" s="402"/>
      <c r="B1041" s="402"/>
      <c r="C1041" s="402"/>
      <c r="D1041" s="402"/>
      <c r="E1041" s="402"/>
      <c r="F1041" s="402"/>
      <c r="G1041" s="403"/>
      <c r="H1041" s="402"/>
      <c r="I1041" s="402"/>
      <c r="J1041" s="402"/>
      <c r="K1041" s="402"/>
      <c r="L1041" s="402"/>
      <c r="M1041" s="402"/>
      <c r="N1041" s="402"/>
      <c r="O1041" s="402"/>
      <c r="P1041" s="402"/>
      <c r="Q1041" s="402"/>
      <c r="R1041" s="402"/>
      <c r="S1041" s="402"/>
      <c r="T1041" s="402"/>
      <c r="U1041" s="402"/>
      <c r="V1041" s="402"/>
      <c r="W1041" s="402"/>
      <c r="X1041" s="402"/>
      <c r="Y1041" s="402"/>
      <c r="Z1041" s="402"/>
      <c r="AA1041" s="405"/>
      <c r="AB1041" s="405"/>
      <c r="AC1041" s="405"/>
      <c r="AD1041" s="405"/>
      <c r="AE1041" s="405"/>
      <c r="AF1041" s="405"/>
      <c r="AG1041" s="405"/>
      <c r="AH1041" s="405"/>
      <c r="AI1041" s="405"/>
      <c r="AJ1041" s="405"/>
      <c r="AK1041" s="405"/>
      <c r="AL1041" s="405"/>
    </row>
    <row r="1042" ht="14.25" customHeight="1">
      <c r="A1042" s="402"/>
      <c r="B1042" s="402"/>
      <c r="C1042" s="402"/>
      <c r="D1042" s="402"/>
      <c r="E1042" s="402"/>
      <c r="F1042" s="402"/>
      <c r="G1042" s="403"/>
      <c r="H1042" s="402"/>
      <c r="I1042" s="402"/>
      <c r="J1042" s="402"/>
      <c r="K1042" s="402"/>
      <c r="L1042" s="402"/>
      <c r="M1042" s="402"/>
      <c r="N1042" s="402"/>
      <c r="O1042" s="402"/>
      <c r="P1042" s="402"/>
      <c r="Q1042" s="402"/>
      <c r="R1042" s="402"/>
      <c r="S1042" s="402"/>
      <c r="T1042" s="402"/>
      <c r="U1042" s="402"/>
      <c r="V1042" s="402"/>
      <c r="W1042" s="402"/>
      <c r="X1042" s="402"/>
      <c r="Y1042" s="402"/>
      <c r="Z1042" s="402"/>
      <c r="AA1042" s="405"/>
      <c r="AB1042" s="405"/>
      <c r="AC1042" s="405"/>
      <c r="AD1042" s="405"/>
      <c r="AE1042" s="405"/>
      <c r="AF1042" s="405"/>
      <c r="AG1042" s="405"/>
      <c r="AH1042" s="405"/>
      <c r="AI1042" s="405"/>
      <c r="AJ1042" s="405"/>
      <c r="AK1042" s="405"/>
      <c r="AL1042" s="405"/>
    </row>
    <row r="1043" ht="14.25" customHeight="1">
      <c r="A1043" s="402"/>
      <c r="B1043" s="402"/>
      <c r="C1043" s="402"/>
      <c r="D1043" s="402"/>
      <c r="E1043" s="402"/>
      <c r="F1043" s="402"/>
      <c r="G1043" s="403"/>
      <c r="H1043" s="402"/>
      <c r="I1043" s="402"/>
      <c r="J1043" s="402"/>
      <c r="K1043" s="402"/>
      <c r="L1043" s="402"/>
      <c r="M1043" s="402"/>
      <c r="N1043" s="402"/>
      <c r="O1043" s="402"/>
      <c r="P1043" s="402"/>
      <c r="Q1043" s="402"/>
      <c r="R1043" s="402"/>
      <c r="S1043" s="402"/>
      <c r="T1043" s="402"/>
      <c r="U1043" s="402"/>
      <c r="V1043" s="402"/>
      <c r="W1043" s="402"/>
      <c r="X1043" s="402"/>
      <c r="Y1043" s="402"/>
      <c r="Z1043" s="402"/>
      <c r="AA1043" s="405"/>
      <c r="AB1043" s="405"/>
      <c r="AC1043" s="405"/>
      <c r="AD1043" s="405"/>
      <c r="AE1043" s="405"/>
      <c r="AF1043" s="405"/>
      <c r="AG1043" s="405"/>
      <c r="AH1043" s="405"/>
      <c r="AI1043" s="405"/>
      <c r="AJ1043" s="405"/>
      <c r="AK1043" s="405"/>
      <c r="AL1043" s="405"/>
    </row>
    <row r="1044" ht="14.25" customHeight="1">
      <c r="A1044" s="402"/>
      <c r="B1044" s="402"/>
      <c r="C1044" s="402"/>
      <c r="D1044" s="402"/>
      <c r="E1044" s="402"/>
      <c r="F1044" s="402"/>
      <c r="G1044" s="403"/>
      <c r="H1044" s="402"/>
      <c r="I1044" s="402"/>
      <c r="J1044" s="402"/>
      <c r="K1044" s="402"/>
      <c r="L1044" s="402"/>
      <c r="M1044" s="402"/>
      <c r="N1044" s="402"/>
      <c r="O1044" s="402"/>
      <c r="P1044" s="402"/>
      <c r="Q1044" s="402"/>
      <c r="R1044" s="402"/>
      <c r="S1044" s="402"/>
      <c r="T1044" s="402"/>
      <c r="U1044" s="402"/>
      <c r="V1044" s="402"/>
      <c r="W1044" s="402"/>
      <c r="X1044" s="402"/>
      <c r="Y1044" s="402"/>
      <c r="Z1044" s="402"/>
      <c r="AA1044" s="405"/>
      <c r="AB1044" s="405"/>
      <c r="AC1044" s="405"/>
      <c r="AD1044" s="405"/>
      <c r="AE1044" s="405"/>
      <c r="AF1044" s="405"/>
      <c r="AG1044" s="405"/>
      <c r="AH1044" s="405"/>
      <c r="AI1044" s="405"/>
      <c r="AJ1044" s="405"/>
      <c r="AK1044" s="405"/>
      <c r="AL1044" s="405"/>
    </row>
    <row r="1045" ht="14.25" customHeight="1">
      <c r="A1045" s="402"/>
      <c r="B1045" s="402"/>
      <c r="C1045" s="402"/>
      <c r="D1045" s="402"/>
      <c r="E1045" s="402"/>
      <c r="F1045" s="402"/>
      <c r="G1045" s="403"/>
      <c r="H1045" s="402"/>
      <c r="I1045" s="402"/>
      <c r="J1045" s="402"/>
      <c r="K1045" s="402"/>
      <c r="L1045" s="402"/>
      <c r="M1045" s="402"/>
      <c r="N1045" s="402"/>
      <c r="O1045" s="402"/>
      <c r="P1045" s="402"/>
      <c r="Q1045" s="402"/>
      <c r="R1045" s="402"/>
      <c r="S1045" s="402"/>
      <c r="T1045" s="402"/>
      <c r="U1045" s="402"/>
      <c r="V1045" s="402"/>
      <c r="W1045" s="402"/>
      <c r="X1045" s="402"/>
      <c r="Y1045" s="402"/>
      <c r="Z1045" s="402"/>
      <c r="AA1045" s="405"/>
      <c r="AB1045" s="405"/>
      <c r="AC1045" s="405"/>
      <c r="AD1045" s="405"/>
      <c r="AE1045" s="405"/>
      <c r="AF1045" s="405"/>
      <c r="AG1045" s="405"/>
      <c r="AH1045" s="405"/>
      <c r="AI1045" s="405"/>
      <c r="AJ1045" s="405"/>
      <c r="AK1045" s="405"/>
      <c r="AL1045" s="405"/>
    </row>
    <row r="1046" ht="14.25" customHeight="1">
      <c r="A1046" s="402"/>
      <c r="B1046" s="402"/>
      <c r="C1046" s="402"/>
      <c r="D1046" s="402"/>
      <c r="E1046" s="402"/>
      <c r="F1046" s="402"/>
      <c r="G1046" s="403"/>
      <c r="H1046" s="402"/>
      <c r="I1046" s="402"/>
      <c r="J1046" s="402"/>
      <c r="K1046" s="402"/>
      <c r="L1046" s="402"/>
      <c r="M1046" s="402"/>
      <c r="N1046" s="402"/>
      <c r="O1046" s="402"/>
      <c r="P1046" s="402"/>
      <c r="Q1046" s="402"/>
      <c r="R1046" s="402"/>
      <c r="S1046" s="402"/>
      <c r="T1046" s="402"/>
      <c r="U1046" s="402"/>
      <c r="V1046" s="402"/>
      <c r="W1046" s="402"/>
      <c r="X1046" s="402"/>
      <c r="Y1046" s="402"/>
      <c r="Z1046" s="402"/>
      <c r="AA1046" s="405"/>
      <c r="AB1046" s="405"/>
      <c r="AC1046" s="405"/>
      <c r="AD1046" s="405"/>
      <c r="AE1046" s="405"/>
      <c r="AF1046" s="405"/>
      <c r="AG1046" s="405"/>
      <c r="AH1046" s="405"/>
      <c r="AI1046" s="405"/>
      <c r="AJ1046" s="405"/>
      <c r="AK1046" s="405"/>
      <c r="AL1046" s="405"/>
    </row>
    <row r="1047" ht="14.25" customHeight="1">
      <c r="A1047" s="402"/>
      <c r="B1047" s="402"/>
      <c r="C1047" s="402"/>
      <c r="D1047" s="402"/>
      <c r="E1047" s="402"/>
      <c r="F1047" s="402"/>
      <c r="G1047" s="403"/>
      <c r="H1047" s="402"/>
      <c r="I1047" s="402"/>
      <c r="J1047" s="402"/>
      <c r="K1047" s="402"/>
      <c r="L1047" s="402"/>
      <c r="M1047" s="402"/>
      <c r="N1047" s="402"/>
      <c r="O1047" s="402"/>
      <c r="P1047" s="402"/>
      <c r="Q1047" s="402"/>
      <c r="R1047" s="402"/>
      <c r="S1047" s="402"/>
      <c r="T1047" s="402"/>
      <c r="U1047" s="402"/>
      <c r="V1047" s="402"/>
      <c r="W1047" s="402"/>
      <c r="X1047" s="402"/>
      <c r="Y1047" s="402"/>
      <c r="Z1047" s="402"/>
      <c r="AA1047" s="405"/>
      <c r="AB1047" s="405"/>
      <c r="AC1047" s="405"/>
      <c r="AD1047" s="405"/>
      <c r="AE1047" s="405"/>
      <c r="AF1047" s="405"/>
      <c r="AG1047" s="405"/>
      <c r="AH1047" s="405"/>
      <c r="AI1047" s="405"/>
      <c r="AJ1047" s="405"/>
      <c r="AK1047" s="405"/>
      <c r="AL1047" s="405"/>
    </row>
    <row r="1048" ht="14.25" customHeight="1">
      <c r="A1048" s="402"/>
      <c r="B1048" s="402"/>
      <c r="C1048" s="402"/>
      <c r="D1048" s="402"/>
      <c r="E1048" s="402"/>
      <c r="F1048" s="402"/>
      <c r="G1048" s="403"/>
      <c r="H1048" s="402"/>
      <c r="I1048" s="402"/>
      <c r="J1048" s="402"/>
      <c r="K1048" s="402"/>
      <c r="L1048" s="402"/>
      <c r="M1048" s="402"/>
      <c r="N1048" s="402"/>
      <c r="O1048" s="402"/>
      <c r="P1048" s="402"/>
      <c r="Q1048" s="402"/>
      <c r="R1048" s="402"/>
      <c r="S1048" s="402"/>
      <c r="T1048" s="402"/>
      <c r="U1048" s="402"/>
      <c r="V1048" s="402"/>
      <c r="W1048" s="402"/>
      <c r="X1048" s="402"/>
      <c r="Y1048" s="402"/>
      <c r="Z1048" s="402"/>
      <c r="AA1048" s="405"/>
      <c r="AB1048" s="405"/>
      <c r="AC1048" s="405"/>
      <c r="AD1048" s="405"/>
      <c r="AE1048" s="405"/>
      <c r="AF1048" s="405"/>
      <c r="AG1048" s="405"/>
      <c r="AH1048" s="405"/>
      <c r="AI1048" s="405"/>
      <c r="AJ1048" s="405"/>
      <c r="AK1048" s="405"/>
      <c r="AL1048" s="405"/>
    </row>
    <row r="1049" ht="14.25" customHeight="1">
      <c r="A1049" s="402"/>
      <c r="B1049" s="402"/>
      <c r="C1049" s="402"/>
      <c r="D1049" s="402"/>
      <c r="E1049" s="402"/>
      <c r="F1049" s="402"/>
      <c r="G1049" s="403"/>
      <c r="H1049" s="402"/>
      <c r="I1049" s="402"/>
      <c r="J1049" s="402"/>
      <c r="K1049" s="402"/>
      <c r="L1049" s="402"/>
      <c r="M1049" s="402"/>
      <c r="N1049" s="402"/>
      <c r="O1049" s="402"/>
      <c r="P1049" s="402"/>
      <c r="Q1049" s="402"/>
      <c r="R1049" s="402"/>
      <c r="S1049" s="402"/>
      <c r="T1049" s="402"/>
      <c r="U1049" s="402"/>
      <c r="V1049" s="402"/>
      <c r="W1049" s="402"/>
      <c r="X1049" s="402"/>
      <c r="Y1049" s="402"/>
      <c r="Z1049" s="402"/>
      <c r="AA1049" s="405"/>
      <c r="AB1049" s="405"/>
      <c r="AC1049" s="405"/>
      <c r="AD1049" s="405"/>
      <c r="AE1049" s="405"/>
      <c r="AF1049" s="405"/>
      <c r="AG1049" s="405"/>
      <c r="AH1049" s="405"/>
      <c r="AI1049" s="405"/>
      <c r="AJ1049" s="405"/>
      <c r="AK1049" s="405"/>
      <c r="AL1049" s="405"/>
    </row>
    <row r="1050" ht="14.25" customHeight="1">
      <c r="A1050" s="402"/>
      <c r="B1050" s="402"/>
      <c r="C1050" s="402"/>
      <c r="D1050" s="402"/>
      <c r="E1050" s="402"/>
      <c r="F1050" s="402"/>
      <c r="G1050" s="403"/>
      <c r="H1050" s="402"/>
      <c r="I1050" s="402"/>
      <c r="J1050" s="402"/>
      <c r="K1050" s="402"/>
      <c r="L1050" s="402"/>
      <c r="M1050" s="402"/>
      <c r="N1050" s="402"/>
      <c r="O1050" s="402"/>
      <c r="P1050" s="402"/>
      <c r="Q1050" s="402"/>
      <c r="R1050" s="402"/>
      <c r="S1050" s="402"/>
      <c r="T1050" s="402"/>
      <c r="U1050" s="402"/>
      <c r="V1050" s="402"/>
      <c r="W1050" s="402"/>
      <c r="X1050" s="402"/>
      <c r="Y1050" s="402"/>
      <c r="Z1050" s="402"/>
      <c r="AA1050" s="405"/>
      <c r="AB1050" s="405"/>
      <c r="AC1050" s="405"/>
      <c r="AD1050" s="405"/>
      <c r="AE1050" s="405"/>
      <c r="AF1050" s="405"/>
      <c r="AG1050" s="405"/>
      <c r="AH1050" s="405"/>
      <c r="AI1050" s="405"/>
      <c r="AJ1050" s="405"/>
      <c r="AK1050" s="405"/>
      <c r="AL1050" s="405"/>
    </row>
    <row r="1051" ht="14.25" customHeight="1">
      <c r="A1051" s="402"/>
      <c r="B1051" s="402"/>
      <c r="C1051" s="402"/>
      <c r="D1051" s="402"/>
      <c r="E1051" s="402"/>
      <c r="F1051" s="402"/>
      <c r="G1051" s="403"/>
      <c r="H1051" s="402"/>
      <c r="I1051" s="402"/>
      <c r="J1051" s="402"/>
      <c r="K1051" s="402"/>
      <c r="L1051" s="402"/>
      <c r="M1051" s="402"/>
      <c r="N1051" s="402"/>
      <c r="O1051" s="402"/>
      <c r="P1051" s="402"/>
      <c r="Q1051" s="402"/>
      <c r="R1051" s="402"/>
      <c r="S1051" s="402"/>
      <c r="T1051" s="402"/>
      <c r="U1051" s="402"/>
      <c r="V1051" s="402"/>
      <c r="W1051" s="402"/>
      <c r="X1051" s="402"/>
      <c r="Y1051" s="402"/>
      <c r="Z1051" s="402"/>
      <c r="AA1051" s="405"/>
      <c r="AB1051" s="405"/>
      <c r="AC1051" s="405"/>
      <c r="AD1051" s="405"/>
      <c r="AE1051" s="405"/>
      <c r="AF1051" s="405"/>
      <c r="AG1051" s="405"/>
      <c r="AH1051" s="405"/>
      <c r="AI1051" s="405"/>
      <c r="AJ1051" s="405"/>
      <c r="AK1051" s="405"/>
      <c r="AL1051" s="405"/>
    </row>
    <row r="1052" ht="14.25" customHeight="1">
      <c r="A1052" s="402"/>
      <c r="B1052" s="402"/>
      <c r="C1052" s="402"/>
      <c r="D1052" s="402"/>
      <c r="E1052" s="402"/>
      <c r="F1052" s="402"/>
      <c r="G1052" s="403"/>
      <c r="H1052" s="402"/>
      <c r="I1052" s="402"/>
      <c r="J1052" s="402"/>
      <c r="K1052" s="402"/>
      <c r="L1052" s="402"/>
      <c r="M1052" s="402"/>
      <c r="N1052" s="402"/>
      <c r="O1052" s="402"/>
      <c r="P1052" s="402"/>
      <c r="Q1052" s="402"/>
      <c r="R1052" s="402"/>
      <c r="S1052" s="402"/>
      <c r="T1052" s="402"/>
      <c r="U1052" s="402"/>
      <c r="V1052" s="402"/>
      <c r="W1052" s="402"/>
      <c r="X1052" s="402"/>
      <c r="Y1052" s="402"/>
      <c r="Z1052" s="402"/>
      <c r="AA1052" s="405"/>
      <c r="AB1052" s="405"/>
      <c r="AC1052" s="405"/>
      <c r="AD1052" s="405"/>
      <c r="AE1052" s="405"/>
      <c r="AF1052" s="405"/>
      <c r="AG1052" s="405"/>
      <c r="AH1052" s="405"/>
      <c r="AI1052" s="405"/>
      <c r="AJ1052" s="405"/>
      <c r="AK1052" s="405"/>
      <c r="AL1052" s="405"/>
    </row>
    <row r="1053" ht="14.25" customHeight="1">
      <c r="A1053" s="402"/>
      <c r="B1053" s="402"/>
      <c r="C1053" s="402"/>
      <c r="D1053" s="402"/>
      <c r="E1053" s="402"/>
      <c r="F1053" s="402"/>
      <c r="G1053" s="403"/>
      <c r="H1053" s="402"/>
      <c r="I1053" s="402"/>
      <c r="J1053" s="402"/>
      <c r="K1053" s="402"/>
      <c r="L1053" s="402"/>
      <c r="M1053" s="402"/>
      <c r="N1053" s="402"/>
      <c r="O1053" s="402"/>
      <c r="P1053" s="402"/>
      <c r="Q1053" s="402"/>
      <c r="R1053" s="402"/>
      <c r="S1053" s="402"/>
      <c r="T1053" s="402"/>
      <c r="U1053" s="402"/>
      <c r="V1053" s="402"/>
      <c r="W1053" s="402"/>
      <c r="X1053" s="402"/>
      <c r="Y1053" s="402"/>
      <c r="Z1053" s="402"/>
      <c r="AA1053" s="405"/>
      <c r="AB1053" s="405"/>
      <c r="AC1053" s="405"/>
      <c r="AD1053" s="405"/>
      <c r="AE1053" s="405"/>
      <c r="AF1053" s="405"/>
      <c r="AG1053" s="405"/>
      <c r="AH1053" s="405"/>
      <c r="AI1053" s="405"/>
      <c r="AJ1053" s="405"/>
      <c r="AK1053" s="405"/>
      <c r="AL1053" s="405"/>
    </row>
    <row r="1054" ht="14.25" customHeight="1">
      <c r="A1054" s="402"/>
      <c r="B1054" s="402"/>
      <c r="C1054" s="402"/>
      <c r="D1054" s="402"/>
      <c r="E1054" s="402"/>
      <c r="F1054" s="402"/>
      <c r="G1054" s="403"/>
      <c r="H1054" s="402"/>
      <c r="I1054" s="402"/>
      <c r="J1054" s="402"/>
      <c r="K1054" s="402"/>
      <c r="L1054" s="402"/>
      <c r="M1054" s="402"/>
      <c r="N1054" s="402"/>
      <c r="O1054" s="402"/>
      <c r="P1054" s="402"/>
      <c r="Q1054" s="402"/>
      <c r="R1054" s="402"/>
      <c r="S1054" s="402"/>
      <c r="T1054" s="402"/>
      <c r="U1054" s="402"/>
      <c r="V1054" s="402"/>
      <c r="W1054" s="402"/>
      <c r="X1054" s="402"/>
      <c r="Y1054" s="402"/>
      <c r="Z1054" s="402"/>
      <c r="AA1054" s="405"/>
      <c r="AB1054" s="405"/>
      <c r="AC1054" s="405"/>
      <c r="AD1054" s="405"/>
      <c r="AE1054" s="405"/>
      <c r="AF1054" s="405"/>
      <c r="AG1054" s="405"/>
      <c r="AH1054" s="405"/>
      <c r="AI1054" s="405"/>
      <c r="AJ1054" s="405"/>
      <c r="AK1054" s="405"/>
      <c r="AL1054" s="405"/>
    </row>
    <row r="1055" ht="14.25" customHeight="1">
      <c r="A1055" s="402"/>
      <c r="B1055" s="402"/>
      <c r="C1055" s="402"/>
      <c r="D1055" s="402"/>
      <c r="E1055" s="402"/>
      <c r="F1055" s="402"/>
      <c r="G1055" s="403"/>
      <c r="H1055" s="402"/>
      <c r="I1055" s="402"/>
      <c r="J1055" s="402"/>
      <c r="K1055" s="402"/>
      <c r="L1055" s="402"/>
      <c r="M1055" s="402"/>
      <c r="N1055" s="402"/>
      <c r="O1055" s="402"/>
      <c r="P1055" s="402"/>
      <c r="Q1055" s="402"/>
      <c r="R1055" s="402"/>
      <c r="S1055" s="402"/>
      <c r="T1055" s="402"/>
      <c r="U1055" s="402"/>
      <c r="V1055" s="402"/>
      <c r="W1055" s="402"/>
      <c r="X1055" s="402"/>
      <c r="Y1055" s="402"/>
      <c r="Z1055" s="402"/>
      <c r="AA1055" s="405"/>
      <c r="AB1055" s="405"/>
      <c r="AC1055" s="405"/>
      <c r="AD1055" s="405"/>
      <c r="AE1055" s="405"/>
      <c r="AF1055" s="405"/>
      <c r="AG1055" s="405"/>
      <c r="AH1055" s="405"/>
      <c r="AI1055" s="405"/>
      <c r="AJ1055" s="405"/>
      <c r="AK1055" s="405"/>
      <c r="AL1055" s="405"/>
    </row>
    <row r="1056" ht="14.25" customHeight="1">
      <c r="A1056" s="402"/>
      <c r="B1056" s="402"/>
      <c r="C1056" s="402"/>
      <c r="D1056" s="402"/>
      <c r="E1056" s="402"/>
      <c r="F1056" s="402"/>
      <c r="G1056" s="403"/>
      <c r="H1056" s="402"/>
      <c r="I1056" s="402"/>
      <c r="J1056" s="402"/>
      <c r="K1056" s="402"/>
      <c r="L1056" s="402"/>
      <c r="M1056" s="402"/>
      <c r="N1056" s="402"/>
      <c r="O1056" s="402"/>
      <c r="P1056" s="402"/>
      <c r="Q1056" s="402"/>
      <c r="R1056" s="402"/>
      <c r="S1056" s="402"/>
      <c r="T1056" s="402"/>
      <c r="U1056" s="402"/>
      <c r="V1056" s="402"/>
      <c r="W1056" s="402"/>
      <c r="X1056" s="402"/>
      <c r="Y1056" s="402"/>
      <c r="Z1056" s="402"/>
      <c r="AA1056" s="405"/>
      <c r="AB1056" s="405"/>
      <c r="AC1056" s="405"/>
      <c r="AD1056" s="405"/>
      <c r="AE1056" s="405"/>
      <c r="AF1056" s="405"/>
      <c r="AG1056" s="405"/>
      <c r="AH1056" s="405"/>
      <c r="AI1056" s="405"/>
      <c r="AJ1056" s="405"/>
      <c r="AK1056" s="405"/>
      <c r="AL1056" s="405"/>
    </row>
    <row r="1057" ht="14.25" customHeight="1">
      <c r="A1057" s="402"/>
      <c r="B1057" s="402"/>
      <c r="C1057" s="402"/>
      <c r="D1057" s="402"/>
      <c r="E1057" s="402"/>
      <c r="F1057" s="402"/>
      <c r="G1057" s="403"/>
      <c r="H1057" s="402"/>
      <c r="I1057" s="402"/>
      <c r="J1057" s="402"/>
      <c r="K1057" s="402"/>
      <c r="L1057" s="402"/>
      <c r="M1057" s="402"/>
      <c r="N1057" s="402"/>
      <c r="O1057" s="402"/>
      <c r="P1057" s="402"/>
      <c r="Q1057" s="402"/>
      <c r="R1057" s="402"/>
      <c r="S1057" s="402"/>
      <c r="T1057" s="402"/>
      <c r="U1057" s="402"/>
      <c r="V1057" s="402"/>
      <c r="W1057" s="402"/>
      <c r="X1057" s="402"/>
      <c r="Y1057" s="402"/>
      <c r="Z1057" s="402"/>
      <c r="AA1057" s="405"/>
      <c r="AB1057" s="405"/>
      <c r="AC1057" s="405"/>
      <c r="AD1057" s="405"/>
      <c r="AE1057" s="405"/>
      <c r="AF1057" s="405"/>
      <c r="AG1057" s="405"/>
      <c r="AH1057" s="405"/>
      <c r="AI1057" s="405"/>
      <c r="AJ1057" s="405"/>
      <c r="AK1057" s="405"/>
      <c r="AL1057" s="405"/>
    </row>
    <row r="1058" ht="14.25" customHeight="1">
      <c r="A1058" s="402"/>
      <c r="B1058" s="402"/>
      <c r="C1058" s="402"/>
      <c r="D1058" s="402"/>
      <c r="E1058" s="402"/>
      <c r="F1058" s="402"/>
      <c r="G1058" s="403"/>
      <c r="H1058" s="402"/>
      <c r="I1058" s="402"/>
      <c r="J1058" s="402"/>
      <c r="K1058" s="402"/>
      <c r="L1058" s="402"/>
      <c r="M1058" s="402"/>
      <c r="N1058" s="402"/>
      <c r="O1058" s="402"/>
      <c r="P1058" s="402"/>
      <c r="Q1058" s="402"/>
      <c r="R1058" s="402"/>
      <c r="S1058" s="402"/>
      <c r="T1058" s="402"/>
      <c r="U1058" s="402"/>
      <c r="V1058" s="402"/>
      <c r="W1058" s="402"/>
      <c r="X1058" s="402"/>
      <c r="Y1058" s="402"/>
      <c r="Z1058" s="402"/>
      <c r="AA1058" s="405"/>
      <c r="AB1058" s="405"/>
      <c r="AC1058" s="405"/>
      <c r="AD1058" s="405"/>
      <c r="AE1058" s="405"/>
      <c r="AF1058" s="405"/>
      <c r="AG1058" s="405"/>
      <c r="AH1058" s="405"/>
      <c r="AI1058" s="405"/>
      <c r="AJ1058" s="405"/>
      <c r="AK1058" s="405"/>
      <c r="AL1058" s="405"/>
    </row>
    <row r="1059" ht="14.25" customHeight="1">
      <c r="A1059" s="402"/>
      <c r="B1059" s="402"/>
      <c r="C1059" s="402"/>
      <c r="D1059" s="402"/>
      <c r="E1059" s="402"/>
      <c r="F1059" s="402"/>
      <c r="G1059" s="403"/>
      <c r="H1059" s="402"/>
      <c r="I1059" s="402"/>
      <c r="J1059" s="402"/>
      <c r="K1059" s="402"/>
      <c r="L1059" s="402"/>
      <c r="M1059" s="402"/>
      <c r="N1059" s="402"/>
      <c r="O1059" s="402"/>
      <c r="P1059" s="402"/>
      <c r="Q1059" s="402"/>
      <c r="R1059" s="402"/>
      <c r="S1059" s="402"/>
      <c r="T1059" s="402"/>
      <c r="U1059" s="402"/>
      <c r="V1059" s="402"/>
      <c r="W1059" s="402"/>
      <c r="X1059" s="402"/>
      <c r="Y1059" s="402"/>
      <c r="Z1059" s="402"/>
      <c r="AA1059" s="405"/>
      <c r="AB1059" s="405"/>
      <c r="AC1059" s="405"/>
      <c r="AD1059" s="405"/>
      <c r="AE1059" s="405"/>
      <c r="AF1059" s="405"/>
      <c r="AG1059" s="405"/>
      <c r="AH1059" s="405"/>
      <c r="AI1059" s="405"/>
      <c r="AJ1059" s="405"/>
      <c r="AK1059" s="405"/>
      <c r="AL1059" s="405"/>
    </row>
    <row r="1060" ht="14.25" customHeight="1">
      <c r="A1060" s="402"/>
      <c r="B1060" s="402"/>
      <c r="C1060" s="402"/>
      <c r="D1060" s="402"/>
      <c r="E1060" s="402"/>
      <c r="F1060" s="402"/>
      <c r="G1060" s="403"/>
      <c r="H1060" s="402"/>
      <c r="I1060" s="402"/>
      <c r="J1060" s="402"/>
      <c r="K1060" s="402"/>
      <c r="L1060" s="402"/>
      <c r="M1060" s="402"/>
      <c r="N1060" s="402"/>
      <c r="O1060" s="402"/>
      <c r="P1060" s="402"/>
      <c r="Q1060" s="402"/>
      <c r="R1060" s="402"/>
      <c r="S1060" s="402"/>
      <c r="T1060" s="402"/>
      <c r="U1060" s="402"/>
      <c r="V1060" s="402"/>
      <c r="W1060" s="402"/>
      <c r="X1060" s="402"/>
      <c r="Y1060" s="402"/>
      <c r="Z1060" s="402"/>
      <c r="AA1060" s="405"/>
      <c r="AB1060" s="405"/>
      <c r="AC1060" s="405"/>
      <c r="AD1060" s="405"/>
      <c r="AE1060" s="405"/>
      <c r="AF1060" s="405"/>
      <c r="AG1060" s="405"/>
      <c r="AH1060" s="405"/>
      <c r="AI1060" s="405"/>
      <c r="AJ1060" s="405"/>
      <c r="AK1060" s="405"/>
      <c r="AL1060" s="405"/>
    </row>
    <row r="1061" ht="14.25" customHeight="1">
      <c r="A1061" s="402"/>
      <c r="B1061" s="402"/>
      <c r="C1061" s="402"/>
      <c r="D1061" s="402"/>
      <c r="E1061" s="402"/>
      <c r="F1061" s="402"/>
      <c r="G1061" s="403"/>
      <c r="H1061" s="402"/>
      <c r="I1061" s="402"/>
      <c r="J1061" s="402"/>
      <c r="K1061" s="402"/>
      <c r="L1061" s="402"/>
      <c r="M1061" s="402"/>
      <c r="N1061" s="402"/>
      <c r="O1061" s="402"/>
      <c r="P1061" s="402"/>
      <c r="Q1061" s="402"/>
      <c r="R1061" s="402"/>
      <c r="S1061" s="402"/>
      <c r="T1061" s="402"/>
      <c r="U1061" s="402"/>
      <c r="V1061" s="402"/>
      <c r="W1061" s="402"/>
      <c r="X1061" s="402"/>
      <c r="Y1061" s="402"/>
      <c r="Z1061" s="402"/>
      <c r="AA1061" s="405"/>
      <c r="AB1061" s="405"/>
      <c r="AC1061" s="405"/>
      <c r="AD1061" s="405"/>
      <c r="AE1061" s="405"/>
      <c r="AF1061" s="405"/>
      <c r="AG1061" s="405"/>
      <c r="AH1061" s="405"/>
      <c r="AI1061" s="405"/>
      <c r="AJ1061" s="405"/>
      <c r="AK1061" s="405"/>
      <c r="AL1061" s="405"/>
    </row>
    <row r="1062" ht="14.25" customHeight="1">
      <c r="A1062" s="402"/>
      <c r="B1062" s="402"/>
      <c r="C1062" s="402"/>
      <c r="D1062" s="402"/>
      <c r="E1062" s="402"/>
      <c r="F1062" s="402"/>
      <c r="G1062" s="403"/>
      <c r="H1062" s="402"/>
      <c r="I1062" s="402"/>
      <c r="J1062" s="402"/>
      <c r="K1062" s="402"/>
      <c r="L1062" s="402"/>
      <c r="M1062" s="402"/>
      <c r="N1062" s="402"/>
      <c r="O1062" s="402"/>
      <c r="P1062" s="402"/>
      <c r="Q1062" s="402"/>
      <c r="R1062" s="402"/>
      <c r="S1062" s="402"/>
      <c r="T1062" s="402"/>
      <c r="U1062" s="402"/>
      <c r="V1062" s="402"/>
      <c r="W1062" s="402"/>
      <c r="X1062" s="402"/>
      <c r="Y1062" s="402"/>
      <c r="Z1062" s="402"/>
      <c r="AA1062" s="405"/>
      <c r="AB1062" s="405"/>
      <c r="AC1062" s="405"/>
      <c r="AD1062" s="405"/>
      <c r="AE1062" s="405"/>
      <c r="AF1062" s="405"/>
      <c r="AG1062" s="405"/>
      <c r="AH1062" s="405"/>
      <c r="AI1062" s="405"/>
      <c r="AJ1062" s="405"/>
      <c r="AK1062" s="405"/>
      <c r="AL1062" s="405"/>
    </row>
    <row r="1063" ht="14.25" customHeight="1">
      <c r="A1063" s="402"/>
      <c r="B1063" s="402"/>
      <c r="C1063" s="402"/>
      <c r="D1063" s="402"/>
      <c r="E1063" s="402"/>
      <c r="F1063" s="402"/>
      <c r="G1063" s="403"/>
      <c r="H1063" s="402"/>
      <c r="I1063" s="402"/>
      <c r="J1063" s="402"/>
      <c r="K1063" s="402"/>
      <c r="L1063" s="402"/>
      <c r="M1063" s="402"/>
      <c r="N1063" s="402"/>
      <c r="O1063" s="402"/>
      <c r="P1063" s="402"/>
      <c r="Q1063" s="402"/>
      <c r="R1063" s="402"/>
      <c r="S1063" s="402"/>
      <c r="T1063" s="402"/>
      <c r="U1063" s="402"/>
      <c r="V1063" s="402"/>
      <c r="W1063" s="402"/>
      <c r="X1063" s="402"/>
      <c r="Y1063" s="402"/>
      <c r="Z1063" s="402"/>
      <c r="AA1063" s="405"/>
      <c r="AB1063" s="405"/>
      <c r="AC1063" s="405"/>
      <c r="AD1063" s="405"/>
      <c r="AE1063" s="405"/>
      <c r="AF1063" s="405"/>
      <c r="AG1063" s="405"/>
      <c r="AH1063" s="405"/>
      <c r="AI1063" s="405"/>
      <c r="AJ1063" s="405"/>
      <c r="AK1063" s="405"/>
      <c r="AL1063" s="405"/>
    </row>
    <row r="1064" ht="14.25" customHeight="1">
      <c r="A1064" s="402"/>
      <c r="B1064" s="402"/>
      <c r="C1064" s="402"/>
      <c r="D1064" s="402"/>
      <c r="E1064" s="402"/>
      <c r="F1064" s="402"/>
      <c r="G1064" s="403"/>
      <c r="H1064" s="402"/>
      <c r="I1064" s="402"/>
      <c r="J1064" s="402"/>
      <c r="K1064" s="402"/>
      <c r="L1064" s="402"/>
      <c r="M1064" s="402"/>
      <c r="N1064" s="402"/>
      <c r="O1064" s="402"/>
      <c r="P1064" s="402"/>
      <c r="Q1064" s="402"/>
      <c r="R1064" s="402"/>
      <c r="S1064" s="402"/>
      <c r="T1064" s="402"/>
      <c r="U1064" s="402"/>
      <c r="V1064" s="402"/>
      <c r="W1064" s="402"/>
      <c r="X1064" s="402"/>
      <c r="Y1064" s="402"/>
      <c r="Z1064" s="402"/>
      <c r="AA1064" s="405"/>
      <c r="AB1064" s="405"/>
      <c r="AC1064" s="405"/>
      <c r="AD1064" s="405"/>
      <c r="AE1064" s="405"/>
      <c r="AF1064" s="405"/>
      <c r="AG1064" s="405"/>
      <c r="AH1064" s="405"/>
      <c r="AI1064" s="405"/>
      <c r="AJ1064" s="405"/>
      <c r="AK1064" s="405"/>
      <c r="AL1064" s="405"/>
    </row>
    <row r="1065" ht="14.25" customHeight="1">
      <c r="A1065" s="402"/>
      <c r="B1065" s="402"/>
      <c r="C1065" s="402"/>
      <c r="D1065" s="402"/>
      <c r="E1065" s="402"/>
      <c r="F1065" s="402"/>
      <c r="G1065" s="403"/>
      <c r="H1065" s="402"/>
      <c r="I1065" s="402"/>
      <c r="J1065" s="402"/>
      <c r="K1065" s="402"/>
      <c r="L1065" s="402"/>
      <c r="M1065" s="402"/>
      <c r="N1065" s="402"/>
      <c r="O1065" s="402"/>
      <c r="P1065" s="402"/>
      <c r="Q1065" s="402"/>
      <c r="R1065" s="402"/>
      <c r="S1065" s="402"/>
      <c r="T1065" s="402"/>
      <c r="U1065" s="402"/>
      <c r="V1065" s="402"/>
      <c r="W1065" s="402"/>
      <c r="X1065" s="402"/>
      <c r="Y1065" s="402"/>
      <c r="Z1065" s="402"/>
      <c r="AA1065" s="405"/>
      <c r="AB1065" s="405"/>
      <c r="AC1065" s="405"/>
      <c r="AD1065" s="405"/>
      <c r="AE1065" s="405"/>
      <c r="AF1065" s="405"/>
      <c r="AG1065" s="405"/>
      <c r="AH1065" s="405"/>
      <c r="AI1065" s="405"/>
      <c r="AJ1065" s="405"/>
      <c r="AK1065" s="405"/>
      <c r="AL1065" s="405"/>
    </row>
    <row r="1066" ht="14.25" customHeight="1">
      <c r="A1066" s="402"/>
      <c r="B1066" s="402"/>
      <c r="C1066" s="402"/>
      <c r="D1066" s="402"/>
      <c r="E1066" s="402"/>
      <c r="F1066" s="402"/>
      <c r="G1066" s="403"/>
      <c r="H1066" s="402"/>
      <c r="I1066" s="402"/>
      <c r="J1066" s="402"/>
      <c r="K1066" s="402"/>
      <c r="L1066" s="402"/>
      <c r="M1066" s="402"/>
      <c r="N1066" s="402"/>
      <c r="O1066" s="402"/>
      <c r="P1066" s="402"/>
      <c r="Q1066" s="402"/>
      <c r="R1066" s="402"/>
      <c r="S1066" s="402"/>
      <c r="T1066" s="402"/>
      <c r="U1066" s="402"/>
      <c r="V1066" s="402"/>
      <c r="W1066" s="402"/>
      <c r="X1066" s="402"/>
      <c r="Y1066" s="402"/>
      <c r="Z1066" s="402"/>
      <c r="AA1066" s="405"/>
      <c r="AB1066" s="405"/>
      <c r="AC1066" s="405"/>
      <c r="AD1066" s="405"/>
      <c r="AE1066" s="405"/>
      <c r="AF1066" s="405"/>
      <c r="AG1066" s="405"/>
      <c r="AH1066" s="405"/>
      <c r="AI1066" s="405"/>
      <c r="AJ1066" s="405"/>
      <c r="AK1066" s="405"/>
      <c r="AL1066" s="405"/>
    </row>
    <row r="1067" ht="14.25" customHeight="1">
      <c r="A1067" s="402"/>
      <c r="B1067" s="402"/>
      <c r="C1067" s="402"/>
      <c r="D1067" s="402"/>
      <c r="E1067" s="402"/>
      <c r="F1067" s="402"/>
      <c r="G1067" s="403"/>
      <c r="H1067" s="402"/>
      <c r="I1067" s="402"/>
      <c r="J1067" s="402"/>
      <c r="K1067" s="402"/>
      <c r="L1067" s="402"/>
      <c r="M1067" s="402"/>
      <c r="N1067" s="402"/>
      <c r="O1067" s="402"/>
      <c r="P1067" s="402"/>
      <c r="Q1067" s="402"/>
      <c r="R1067" s="402"/>
      <c r="S1067" s="402"/>
      <c r="T1067" s="402"/>
      <c r="U1067" s="402"/>
      <c r="V1067" s="402"/>
      <c r="W1067" s="402"/>
      <c r="X1067" s="402"/>
      <c r="Y1067" s="402"/>
      <c r="Z1067" s="402"/>
      <c r="AA1067" s="405"/>
      <c r="AB1067" s="405"/>
      <c r="AC1067" s="405"/>
      <c r="AD1067" s="405"/>
      <c r="AE1067" s="405"/>
      <c r="AF1067" s="405"/>
      <c r="AG1067" s="405"/>
      <c r="AH1067" s="405"/>
      <c r="AI1067" s="405"/>
      <c r="AJ1067" s="405"/>
      <c r="AK1067" s="405"/>
      <c r="AL1067" s="405"/>
    </row>
    <row r="1068" ht="14.25" customHeight="1">
      <c r="A1068" s="402"/>
      <c r="B1068" s="402"/>
      <c r="C1068" s="402"/>
      <c r="D1068" s="402"/>
      <c r="E1068" s="402"/>
      <c r="F1068" s="402"/>
      <c r="G1068" s="403"/>
      <c r="H1068" s="402"/>
      <c r="I1068" s="402"/>
      <c r="J1068" s="402"/>
      <c r="K1068" s="402"/>
      <c r="L1068" s="402"/>
      <c r="M1068" s="402"/>
      <c r="N1068" s="402"/>
      <c r="O1068" s="402"/>
      <c r="P1068" s="402"/>
      <c r="Q1068" s="402"/>
      <c r="R1068" s="402"/>
      <c r="S1068" s="402"/>
      <c r="T1068" s="402"/>
      <c r="U1068" s="402"/>
      <c r="V1068" s="402"/>
      <c r="W1068" s="402"/>
      <c r="X1068" s="402"/>
      <c r="Y1068" s="402"/>
      <c r="Z1068" s="402"/>
      <c r="AA1068" s="405"/>
      <c r="AB1068" s="405"/>
      <c r="AC1068" s="405"/>
      <c r="AD1068" s="405"/>
      <c r="AE1068" s="405"/>
      <c r="AF1068" s="405"/>
      <c r="AG1068" s="405"/>
      <c r="AH1068" s="405"/>
      <c r="AI1068" s="405"/>
      <c r="AJ1068" s="405"/>
      <c r="AK1068" s="405"/>
      <c r="AL1068" s="405"/>
    </row>
    <row r="1069" ht="14.25" customHeight="1">
      <c r="A1069" s="402"/>
      <c r="B1069" s="402"/>
      <c r="C1069" s="402"/>
      <c r="D1069" s="402"/>
      <c r="E1069" s="402"/>
      <c r="F1069" s="402"/>
      <c r="G1069" s="403"/>
      <c r="H1069" s="402"/>
      <c r="I1069" s="402"/>
      <c r="J1069" s="402"/>
      <c r="K1069" s="402"/>
      <c r="L1069" s="402"/>
      <c r="M1069" s="402"/>
      <c r="N1069" s="402"/>
      <c r="O1069" s="402"/>
      <c r="P1069" s="402"/>
      <c r="Q1069" s="402"/>
      <c r="R1069" s="402"/>
      <c r="S1069" s="402"/>
      <c r="T1069" s="402"/>
      <c r="U1069" s="402"/>
      <c r="V1069" s="402"/>
      <c r="W1069" s="402"/>
      <c r="X1069" s="402"/>
      <c r="Y1069" s="402"/>
      <c r="Z1069" s="402"/>
      <c r="AA1069" s="405"/>
      <c r="AB1069" s="405"/>
      <c r="AC1069" s="405"/>
      <c r="AD1069" s="405"/>
      <c r="AE1069" s="405"/>
      <c r="AF1069" s="405"/>
      <c r="AG1069" s="405"/>
      <c r="AH1069" s="405"/>
      <c r="AI1069" s="405"/>
      <c r="AJ1069" s="405"/>
      <c r="AK1069" s="405"/>
      <c r="AL1069" s="405"/>
    </row>
    <row r="1070" ht="14.25" customHeight="1">
      <c r="A1070" s="402"/>
      <c r="B1070" s="402"/>
      <c r="C1070" s="402"/>
      <c r="D1070" s="402"/>
      <c r="E1070" s="402"/>
      <c r="F1070" s="402"/>
      <c r="G1070" s="403"/>
      <c r="H1070" s="402"/>
      <c r="I1070" s="402"/>
      <c r="J1070" s="402"/>
      <c r="K1070" s="402"/>
      <c r="L1070" s="402"/>
      <c r="M1070" s="402"/>
      <c r="N1070" s="402"/>
      <c r="O1070" s="402"/>
      <c r="P1070" s="402"/>
      <c r="Q1070" s="402"/>
      <c r="R1070" s="402"/>
      <c r="S1070" s="402"/>
      <c r="T1070" s="402"/>
      <c r="U1070" s="402"/>
      <c r="V1070" s="402"/>
      <c r="W1070" s="402"/>
      <c r="X1070" s="402"/>
      <c r="Y1070" s="402"/>
      <c r="Z1070" s="402"/>
      <c r="AA1070" s="405"/>
      <c r="AB1070" s="405"/>
      <c r="AC1070" s="405"/>
      <c r="AD1070" s="405"/>
      <c r="AE1070" s="405"/>
      <c r="AF1070" s="405"/>
      <c r="AG1070" s="405"/>
      <c r="AH1070" s="405"/>
      <c r="AI1070" s="405"/>
      <c r="AJ1070" s="405"/>
      <c r="AK1070" s="405"/>
      <c r="AL1070" s="405"/>
    </row>
    <row r="1071" ht="14.25" customHeight="1">
      <c r="A1071" s="402"/>
      <c r="B1071" s="402"/>
      <c r="C1071" s="402"/>
      <c r="D1071" s="402"/>
      <c r="E1071" s="402"/>
      <c r="F1071" s="402"/>
      <c r="G1071" s="403"/>
      <c r="H1071" s="402"/>
      <c r="I1071" s="402"/>
      <c r="J1071" s="402"/>
      <c r="K1071" s="402"/>
      <c r="L1071" s="402"/>
      <c r="M1071" s="402"/>
      <c r="N1071" s="402"/>
      <c r="O1071" s="402"/>
      <c r="P1071" s="402"/>
      <c r="Q1071" s="402"/>
      <c r="R1071" s="402"/>
      <c r="S1071" s="402"/>
      <c r="T1071" s="402"/>
      <c r="U1071" s="402"/>
      <c r="V1071" s="402"/>
      <c r="W1071" s="402"/>
      <c r="X1071" s="402"/>
      <c r="Y1071" s="402"/>
      <c r="Z1071" s="402"/>
      <c r="AA1071" s="405"/>
      <c r="AB1071" s="405"/>
      <c r="AC1071" s="405"/>
      <c r="AD1071" s="405"/>
      <c r="AE1071" s="405"/>
      <c r="AF1071" s="405"/>
      <c r="AG1071" s="405"/>
      <c r="AH1071" s="405"/>
      <c r="AI1071" s="405"/>
      <c r="AJ1071" s="405"/>
      <c r="AK1071" s="405"/>
      <c r="AL1071" s="405"/>
    </row>
    <row r="1072" ht="14.25" customHeight="1">
      <c r="A1072" s="402"/>
      <c r="B1072" s="402"/>
      <c r="C1072" s="402"/>
      <c r="D1072" s="402"/>
      <c r="E1072" s="402"/>
      <c r="F1072" s="402"/>
      <c r="G1072" s="403"/>
      <c r="H1072" s="402"/>
      <c r="I1072" s="402"/>
      <c r="J1072" s="402"/>
      <c r="K1072" s="402"/>
      <c r="L1072" s="402"/>
      <c r="M1072" s="402"/>
      <c r="N1072" s="402"/>
      <c r="O1072" s="402"/>
      <c r="P1072" s="402"/>
      <c r="Q1072" s="402"/>
      <c r="R1072" s="402"/>
      <c r="S1072" s="402"/>
      <c r="T1072" s="402"/>
      <c r="U1072" s="402"/>
      <c r="V1072" s="402"/>
      <c r="W1072" s="402"/>
      <c r="X1072" s="402"/>
      <c r="Y1072" s="402"/>
      <c r="Z1072" s="402"/>
      <c r="AA1072" s="405"/>
      <c r="AB1072" s="405"/>
      <c r="AC1072" s="405"/>
      <c r="AD1072" s="405"/>
      <c r="AE1072" s="405"/>
      <c r="AF1072" s="405"/>
      <c r="AG1072" s="405"/>
      <c r="AH1072" s="405"/>
      <c r="AI1072" s="405"/>
      <c r="AJ1072" s="405"/>
      <c r="AK1072" s="405"/>
      <c r="AL1072" s="405"/>
    </row>
    <row r="1073" ht="14.25" customHeight="1">
      <c r="A1073" s="402"/>
      <c r="B1073" s="402"/>
      <c r="C1073" s="402"/>
      <c r="D1073" s="402"/>
      <c r="E1073" s="402"/>
      <c r="F1073" s="402"/>
      <c r="G1073" s="403"/>
      <c r="H1073" s="402"/>
      <c r="I1073" s="402"/>
      <c r="J1073" s="402"/>
      <c r="K1073" s="402"/>
      <c r="L1073" s="402"/>
      <c r="M1073" s="402"/>
      <c r="N1073" s="402"/>
      <c r="O1073" s="402"/>
      <c r="P1073" s="402"/>
      <c r="Q1073" s="402"/>
      <c r="R1073" s="402"/>
      <c r="S1073" s="402"/>
      <c r="T1073" s="402"/>
      <c r="U1073" s="402"/>
      <c r="V1073" s="402"/>
      <c r="W1073" s="402"/>
      <c r="X1073" s="402"/>
      <c r="Y1073" s="402"/>
      <c r="Z1073" s="402"/>
      <c r="AA1073" s="405"/>
      <c r="AB1073" s="405"/>
      <c r="AC1073" s="405"/>
      <c r="AD1073" s="405"/>
      <c r="AE1073" s="405"/>
      <c r="AF1073" s="405"/>
      <c r="AG1073" s="405"/>
      <c r="AH1073" s="405"/>
      <c r="AI1073" s="405"/>
      <c r="AJ1073" s="405"/>
      <c r="AK1073" s="405"/>
      <c r="AL1073" s="405"/>
    </row>
    <row r="1074" ht="14.25" customHeight="1">
      <c r="A1074" s="402"/>
      <c r="B1074" s="402"/>
      <c r="C1074" s="402"/>
      <c r="D1074" s="402"/>
      <c r="E1074" s="402"/>
      <c r="F1074" s="402"/>
      <c r="G1074" s="403"/>
      <c r="H1074" s="402"/>
      <c r="I1074" s="402"/>
      <c r="J1074" s="402"/>
      <c r="K1074" s="402"/>
      <c r="L1074" s="402"/>
      <c r="M1074" s="402"/>
      <c r="N1074" s="402"/>
      <c r="O1074" s="402"/>
      <c r="P1074" s="402"/>
      <c r="Q1074" s="402"/>
      <c r="R1074" s="402"/>
      <c r="S1074" s="402"/>
      <c r="T1074" s="402"/>
      <c r="U1074" s="402"/>
      <c r="V1074" s="402"/>
      <c r="W1074" s="402"/>
      <c r="X1074" s="402"/>
      <c r="Y1074" s="402"/>
      <c r="Z1074" s="402"/>
      <c r="AA1074" s="405"/>
      <c r="AB1074" s="405"/>
      <c r="AC1074" s="405"/>
      <c r="AD1074" s="405"/>
      <c r="AE1074" s="405"/>
      <c r="AF1074" s="405"/>
      <c r="AG1074" s="405"/>
      <c r="AH1074" s="405"/>
      <c r="AI1074" s="405"/>
      <c r="AJ1074" s="405"/>
      <c r="AK1074" s="405"/>
      <c r="AL1074" s="405"/>
    </row>
    <row r="1075" ht="14.25" customHeight="1">
      <c r="A1075" s="402"/>
      <c r="B1075" s="402"/>
      <c r="C1075" s="402"/>
      <c r="D1075" s="402"/>
      <c r="E1075" s="402"/>
      <c r="F1075" s="402"/>
      <c r="G1075" s="403"/>
      <c r="H1075" s="402"/>
      <c r="I1075" s="402"/>
      <c r="J1075" s="402"/>
      <c r="K1075" s="402"/>
      <c r="L1075" s="402"/>
      <c r="M1075" s="402"/>
      <c r="N1075" s="402"/>
      <c r="O1075" s="402"/>
      <c r="P1075" s="402"/>
      <c r="Q1075" s="402"/>
      <c r="R1075" s="402"/>
      <c r="S1075" s="402"/>
      <c r="T1075" s="402"/>
      <c r="U1075" s="402"/>
      <c r="V1075" s="402"/>
      <c r="W1075" s="402"/>
      <c r="X1075" s="402"/>
      <c r="Y1075" s="402"/>
      <c r="Z1075" s="402"/>
      <c r="AA1075" s="405"/>
      <c r="AB1075" s="405"/>
      <c r="AC1075" s="405"/>
      <c r="AD1075" s="405"/>
      <c r="AE1075" s="405"/>
      <c r="AF1075" s="405"/>
      <c r="AG1075" s="405"/>
      <c r="AH1075" s="405"/>
      <c r="AI1075" s="405"/>
      <c r="AJ1075" s="405"/>
      <c r="AK1075" s="405"/>
      <c r="AL1075" s="405"/>
    </row>
    <row r="1076" ht="14.25" customHeight="1">
      <c r="A1076" s="402"/>
      <c r="B1076" s="402"/>
      <c r="C1076" s="402"/>
      <c r="D1076" s="402"/>
      <c r="E1076" s="402"/>
      <c r="F1076" s="402"/>
      <c r="G1076" s="403"/>
      <c r="H1076" s="402"/>
      <c r="I1076" s="402"/>
      <c r="J1076" s="402"/>
      <c r="K1076" s="402"/>
      <c r="L1076" s="402"/>
      <c r="M1076" s="402"/>
      <c r="N1076" s="402"/>
      <c r="O1076" s="402"/>
      <c r="P1076" s="402"/>
      <c r="Q1076" s="402"/>
      <c r="R1076" s="402"/>
      <c r="S1076" s="402"/>
      <c r="T1076" s="402"/>
      <c r="U1076" s="402"/>
      <c r="V1076" s="402"/>
      <c r="W1076" s="402"/>
      <c r="X1076" s="402"/>
      <c r="Y1076" s="402"/>
      <c r="Z1076" s="402"/>
      <c r="AA1076" s="405"/>
      <c r="AB1076" s="405"/>
      <c r="AC1076" s="405"/>
      <c r="AD1076" s="405"/>
      <c r="AE1076" s="405"/>
      <c r="AF1076" s="405"/>
      <c r="AG1076" s="405"/>
      <c r="AH1076" s="405"/>
      <c r="AI1076" s="405"/>
      <c r="AJ1076" s="405"/>
      <c r="AK1076" s="405"/>
      <c r="AL1076" s="405"/>
    </row>
    <row r="1077" ht="14.25" customHeight="1">
      <c r="A1077" s="402"/>
      <c r="B1077" s="402"/>
      <c r="C1077" s="402"/>
      <c r="D1077" s="402"/>
      <c r="E1077" s="402"/>
      <c r="F1077" s="402"/>
      <c r="G1077" s="403"/>
      <c r="H1077" s="402"/>
      <c r="I1077" s="402"/>
      <c r="J1077" s="402"/>
      <c r="K1077" s="402"/>
      <c r="L1077" s="402"/>
      <c r="M1077" s="402"/>
      <c r="N1077" s="402"/>
      <c r="O1077" s="402"/>
      <c r="P1077" s="402"/>
      <c r="Q1077" s="402"/>
      <c r="R1077" s="402"/>
      <c r="S1077" s="402"/>
      <c r="T1077" s="402"/>
      <c r="U1077" s="402"/>
      <c r="V1077" s="402"/>
      <c r="W1077" s="402"/>
      <c r="X1077" s="402"/>
      <c r="Y1077" s="402"/>
      <c r="Z1077" s="402"/>
      <c r="AA1077" s="405"/>
      <c r="AB1077" s="405"/>
      <c r="AC1077" s="405"/>
      <c r="AD1077" s="405"/>
      <c r="AE1077" s="405"/>
      <c r="AF1077" s="405"/>
      <c r="AG1077" s="405"/>
      <c r="AH1077" s="405"/>
      <c r="AI1077" s="405"/>
      <c r="AJ1077" s="405"/>
      <c r="AK1077" s="405"/>
      <c r="AL1077" s="405"/>
    </row>
    <row r="1078" ht="14.25" customHeight="1">
      <c r="A1078" s="402"/>
      <c r="B1078" s="402"/>
      <c r="C1078" s="402"/>
      <c r="D1078" s="402"/>
      <c r="E1078" s="402"/>
      <c r="F1078" s="402"/>
      <c r="G1078" s="403"/>
      <c r="H1078" s="402"/>
      <c r="I1078" s="402"/>
      <c r="J1078" s="402"/>
      <c r="K1078" s="402"/>
      <c r="L1078" s="402"/>
      <c r="M1078" s="402"/>
      <c r="N1078" s="402"/>
      <c r="O1078" s="402"/>
      <c r="P1078" s="402"/>
      <c r="Q1078" s="402"/>
      <c r="R1078" s="402"/>
      <c r="S1078" s="402"/>
      <c r="T1078" s="402"/>
      <c r="U1078" s="402"/>
      <c r="V1078" s="402"/>
      <c r="W1078" s="402"/>
      <c r="X1078" s="402"/>
      <c r="Y1078" s="402"/>
      <c r="Z1078" s="402"/>
      <c r="AA1078" s="405"/>
      <c r="AB1078" s="405"/>
      <c r="AC1078" s="405"/>
      <c r="AD1078" s="405"/>
      <c r="AE1078" s="405"/>
      <c r="AF1078" s="405"/>
      <c r="AG1078" s="405"/>
      <c r="AH1078" s="405"/>
      <c r="AI1078" s="405"/>
      <c r="AJ1078" s="405"/>
      <c r="AK1078" s="405"/>
      <c r="AL1078" s="405"/>
    </row>
    <row r="1079" ht="14.25" customHeight="1">
      <c r="A1079" s="402"/>
      <c r="B1079" s="402"/>
      <c r="C1079" s="402"/>
      <c r="D1079" s="402"/>
      <c r="E1079" s="402"/>
      <c r="F1079" s="402"/>
      <c r="G1079" s="403"/>
      <c r="H1079" s="402"/>
      <c r="I1079" s="402"/>
      <c r="J1079" s="402"/>
      <c r="K1079" s="402"/>
      <c r="L1079" s="402"/>
      <c r="M1079" s="402"/>
      <c r="N1079" s="402"/>
      <c r="O1079" s="402"/>
      <c r="P1079" s="402"/>
      <c r="Q1079" s="402"/>
      <c r="R1079" s="402"/>
      <c r="S1079" s="402"/>
      <c r="T1079" s="402"/>
      <c r="U1079" s="402"/>
      <c r="V1079" s="402"/>
      <c r="W1079" s="402"/>
      <c r="X1079" s="402"/>
      <c r="Y1079" s="402"/>
      <c r="Z1079" s="402"/>
      <c r="AA1079" s="405"/>
      <c r="AB1079" s="405"/>
      <c r="AC1079" s="405"/>
      <c r="AD1079" s="405"/>
      <c r="AE1079" s="405"/>
      <c r="AF1079" s="405"/>
      <c r="AG1079" s="405"/>
      <c r="AH1079" s="405"/>
      <c r="AI1079" s="405"/>
      <c r="AJ1079" s="405"/>
      <c r="AK1079" s="405"/>
      <c r="AL1079" s="405"/>
    </row>
    <row r="1080" ht="14.25" customHeight="1">
      <c r="A1080" s="402"/>
      <c r="B1080" s="402"/>
      <c r="C1080" s="402"/>
      <c r="D1080" s="402"/>
      <c r="E1080" s="402"/>
      <c r="F1080" s="402"/>
      <c r="G1080" s="403"/>
      <c r="H1080" s="402"/>
      <c r="I1080" s="402"/>
      <c r="J1080" s="402"/>
      <c r="K1080" s="402"/>
      <c r="L1080" s="402"/>
      <c r="M1080" s="402"/>
      <c r="N1080" s="402"/>
      <c r="O1080" s="402"/>
      <c r="P1080" s="402"/>
      <c r="Q1080" s="402"/>
      <c r="R1080" s="402"/>
      <c r="S1080" s="402"/>
      <c r="T1080" s="402"/>
      <c r="U1080" s="402"/>
      <c r="V1080" s="402"/>
      <c r="W1080" s="402"/>
      <c r="X1080" s="402"/>
      <c r="Y1080" s="402"/>
      <c r="Z1080" s="402"/>
      <c r="AA1080" s="405"/>
      <c r="AB1080" s="405"/>
      <c r="AC1080" s="405"/>
      <c r="AD1080" s="405"/>
      <c r="AE1080" s="405"/>
      <c r="AF1080" s="405"/>
      <c r="AG1080" s="405"/>
      <c r="AH1080" s="405"/>
      <c r="AI1080" s="405"/>
      <c r="AJ1080" s="405"/>
      <c r="AK1080" s="405"/>
      <c r="AL1080" s="405"/>
    </row>
    <row r="1081" ht="14.25" customHeight="1">
      <c r="A1081" s="402"/>
      <c r="B1081" s="402"/>
      <c r="C1081" s="402"/>
      <c r="D1081" s="402"/>
      <c r="E1081" s="402"/>
      <c r="F1081" s="402"/>
      <c r="G1081" s="403"/>
      <c r="H1081" s="402"/>
      <c r="I1081" s="402"/>
      <c r="J1081" s="402"/>
      <c r="K1081" s="402"/>
      <c r="L1081" s="402"/>
      <c r="M1081" s="402"/>
      <c r="N1081" s="402"/>
      <c r="O1081" s="402"/>
      <c r="P1081" s="402"/>
      <c r="Q1081" s="402"/>
      <c r="R1081" s="402"/>
      <c r="S1081" s="402"/>
      <c r="T1081" s="402"/>
      <c r="U1081" s="402"/>
      <c r="V1081" s="402"/>
      <c r="W1081" s="402"/>
      <c r="X1081" s="402"/>
      <c r="Y1081" s="402"/>
      <c r="Z1081" s="402"/>
      <c r="AA1081" s="405"/>
      <c r="AB1081" s="405"/>
      <c r="AC1081" s="405"/>
      <c r="AD1081" s="405"/>
      <c r="AE1081" s="405"/>
      <c r="AF1081" s="405"/>
      <c r="AG1081" s="405"/>
      <c r="AH1081" s="405"/>
      <c r="AI1081" s="405"/>
      <c r="AJ1081" s="405"/>
      <c r="AK1081" s="405"/>
      <c r="AL1081" s="405"/>
    </row>
    <row r="1082" ht="14.25" customHeight="1">
      <c r="A1082" s="402"/>
      <c r="B1082" s="402"/>
      <c r="C1082" s="402"/>
      <c r="D1082" s="402"/>
      <c r="E1082" s="402"/>
      <c r="F1082" s="402"/>
      <c r="G1082" s="403"/>
      <c r="H1082" s="402"/>
      <c r="I1082" s="402"/>
      <c r="J1082" s="402"/>
      <c r="K1082" s="402"/>
      <c r="L1082" s="402"/>
      <c r="M1082" s="402"/>
      <c r="N1082" s="402"/>
      <c r="O1082" s="402"/>
      <c r="P1082" s="402"/>
      <c r="Q1082" s="402"/>
      <c r="R1082" s="402"/>
      <c r="S1082" s="402"/>
      <c r="T1082" s="402"/>
      <c r="U1082" s="402"/>
      <c r="V1082" s="402"/>
      <c r="W1082" s="402"/>
      <c r="X1082" s="402"/>
      <c r="Y1082" s="402"/>
      <c r="Z1082" s="402"/>
      <c r="AA1082" s="405"/>
      <c r="AB1082" s="405"/>
      <c r="AC1082" s="405"/>
      <c r="AD1082" s="405"/>
      <c r="AE1082" s="405"/>
      <c r="AF1082" s="405"/>
      <c r="AG1082" s="405"/>
      <c r="AH1082" s="405"/>
      <c r="AI1082" s="405"/>
      <c r="AJ1082" s="405"/>
      <c r="AK1082" s="405"/>
      <c r="AL1082" s="405"/>
    </row>
    <row r="1083" ht="14.25" customHeight="1">
      <c r="A1083" s="402"/>
      <c r="B1083" s="402"/>
      <c r="C1083" s="402"/>
      <c r="D1083" s="402"/>
      <c r="E1083" s="402"/>
      <c r="F1083" s="402"/>
      <c r="G1083" s="403"/>
      <c r="H1083" s="402"/>
      <c r="I1083" s="402"/>
      <c r="J1083" s="402"/>
      <c r="K1083" s="402"/>
      <c r="L1083" s="402"/>
      <c r="M1083" s="402"/>
      <c r="N1083" s="402"/>
      <c r="O1083" s="402"/>
      <c r="P1083" s="402"/>
      <c r="Q1083" s="402"/>
      <c r="R1083" s="402"/>
      <c r="S1083" s="402"/>
      <c r="T1083" s="402"/>
      <c r="U1083" s="402"/>
      <c r="V1083" s="402"/>
      <c r="W1083" s="402"/>
      <c r="X1083" s="402"/>
      <c r="Y1083" s="402"/>
      <c r="Z1083" s="402"/>
      <c r="AA1083" s="405"/>
      <c r="AB1083" s="405"/>
      <c r="AC1083" s="405"/>
      <c r="AD1083" s="405"/>
      <c r="AE1083" s="405"/>
      <c r="AF1083" s="405"/>
      <c r="AG1083" s="405"/>
      <c r="AH1083" s="405"/>
      <c r="AI1083" s="405"/>
      <c r="AJ1083" s="405"/>
      <c r="AK1083" s="405"/>
      <c r="AL1083" s="405"/>
    </row>
    <row r="1084" ht="14.25" customHeight="1">
      <c r="A1084" s="402"/>
      <c r="B1084" s="402"/>
      <c r="C1084" s="402"/>
      <c r="D1084" s="402"/>
      <c r="E1084" s="402"/>
      <c r="F1084" s="402"/>
      <c r="G1084" s="403"/>
      <c r="H1084" s="402"/>
      <c r="I1084" s="402"/>
      <c r="J1084" s="402"/>
      <c r="K1084" s="402"/>
      <c r="L1084" s="402"/>
      <c r="M1084" s="402"/>
      <c r="N1084" s="402"/>
      <c r="O1084" s="402"/>
      <c r="P1084" s="402"/>
      <c r="Q1084" s="402"/>
      <c r="R1084" s="402"/>
      <c r="S1084" s="402"/>
      <c r="T1084" s="402"/>
      <c r="U1084" s="402"/>
      <c r="V1084" s="402"/>
      <c r="W1084" s="402"/>
      <c r="X1084" s="402"/>
      <c r="Y1084" s="402"/>
      <c r="Z1084" s="402"/>
      <c r="AA1084" s="405"/>
      <c r="AB1084" s="405"/>
      <c r="AC1084" s="405"/>
      <c r="AD1084" s="405"/>
      <c r="AE1084" s="405"/>
      <c r="AF1084" s="405"/>
      <c r="AG1084" s="405"/>
      <c r="AH1084" s="405"/>
      <c r="AI1084" s="405"/>
      <c r="AJ1084" s="405"/>
      <c r="AK1084" s="405"/>
      <c r="AL1084" s="405"/>
    </row>
    <row r="1085" ht="14.25" customHeight="1">
      <c r="A1085" s="402"/>
      <c r="B1085" s="402"/>
      <c r="C1085" s="402"/>
      <c r="D1085" s="402"/>
      <c r="E1085" s="402"/>
      <c r="F1085" s="402"/>
      <c r="G1085" s="403"/>
      <c r="H1085" s="402"/>
      <c r="I1085" s="402"/>
      <c r="J1085" s="402"/>
      <c r="K1085" s="402"/>
      <c r="L1085" s="402"/>
      <c r="M1085" s="402"/>
      <c r="N1085" s="402"/>
      <c r="O1085" s="402"/>
      <c r="P1085" s="402"/>
      <c r="Q1085" s="402"/>
      <c r="R1085" s="402"/>
      <c r="S1085" s="402"/>
      <c r="T1085" s="402"/>
      <c r="U1085" s="402"/>
      <c r="V1085" s="402"/>
      <c r="W1085" s="402"/>
      <c r="X1085" s="402"/>
      <c r="Y1085" s="402"/>
      <c r="Z1085" s="402"/>
      <c r="AA1085" s="405"/>
      <c r="AB1085" s="405"/>
      <c r="AC1085" s="405"/>
      <c r="AD1085" s="405"/>
      <c r="AE1085" s="405"/>
      <c r="AF1085" s="405"/>
      <c r="AG1085" s="405"/>
      <c r="AH1085" s="405"/>
      <c r="AI1085" s="405"/>
      <c r="AJ1085" s="405"/>
      <c r="AK1085" s="405"/>
      <c r="AL1085" s="405"/>
    </row>
    <row r="1086" ht="14.25" customHeight="1">
      <c r="A1086" s="402"/>
      <c r="B1086" s="402"/>
      <c r="C1086" s="402"/>
      <c r="D1086" s="402"/>
      <c r="E1086" s="402"/>
      <c r="F1086" s="402"/>
      <c r="G1086" s="403"/>
      <c r="H1086" s="402"/>
      <c r="I1086" s="402"/>
      <c r="J1086" s="402"/>
      <c r="K1086" s="402"/>
      <c r="L1086" s="402"/>
      <c r="M1086" s="402"/>
      <c r="N1086" s="402"/>
      <c r="O1086" s="402"/>
      <c r="P1086" s="402"/>
      <c r="Q1086" s="402"/>
      <c r="R1086" s="402"/>
      <c r="S1086" s="402"/>
      <c r="T1086" s="402"/>
      <c r="U1086" s="402"/>
      <c r="V1086" s="402"/>
      <c r="W1086" s="402"/>
      <c r="X1086" s="402"/>
      <c r="Y1086" s="402"/>
      <c r="Z1086" s="402"/>
      <c r="AA1086" s="405"/>
      <c r="AB1086" s="405"/>
      <c r="AC1086" s="405"/>
      <c r="AD1086" s="405"/>
      <c r="AE1086" s="405"/>
      <c r="AF1086" s="405"/>
      <c r="AG1086" s="405"/>
      <c r="AH1086" s="405"/>
      <c r="AI1086" s="405"/>
      <c r="AJ1086" s="405"/>
      <c r="AK1086" s="405"/>
      <c r="AL1086" s="405"/>
    </row>
    <row r="1087" ht="14.25" customHeight="1">
      <c r="A1087" s="402"/>
      <c r="B1087" s="402"/>
      <c r="C1087" s="402"/>
      <c r="D1087" s="402"/>
      <c r="E1087" s="402"/>
      <c r="F1087" s="402"/>
      <c r="G1087" s="403"/>
      <c r="H1087" s="402"/>
      <c r="I1087" s="402"/>
      <c r="J1087" s="402"/>
      <c r="K1087" s="402"/>
      <c r="L1087" s="402"/>
      <c r="M1087" s="402"/>
      <c r="N1087" s="402"/>
      <c r="O1087" s="402"/>
      <c r="P1087" s="402"/>
      <c r="Q1087" s="402"/>
      <c r="R1087" s="402"/>
      <c r="S1087" s="402"/>
      <c r="T1087" s="402"/>
      <c r="U1087" s="402"/>
      <c r="V1087" s="402"/>
      <c r="W1087" s="402"/>
      <c r="X1087" s="402"/>
      <c r="Y1087" s="402"/>
      <c r="Z1087" s="402"/>
      <c r="AA1087" s="405"/>
      <c r="AB1087" s="405"/>
      <c r="AC1087" s="405"/>
      <c r="AD1087" s="405"/>
      <c r="AE1087" s="405"/>
      <c r="AF1087" s="405"/>
      <c r="AG1087" s="405"/>
      <c r="AH1087" s="405"/>
      <c r="AI1087" s="405"/>
      <c r="AJ1087" s="405"/>
      <c r="AK1087" s="405"/>
      <c r="AL1087" s="405"/>
    </row>
    <row r="1088" ht="14.25" customHeight="1">
      <c r="A1088" s="402"/>
      <c r="B1088" s="402"/>
      <c r="C1088" s="402"/>
      <c r="D1088" s="402"/>
      <c r="E1088" s="402"/>
      <c r="F1088" s="402"/>
      <c r="G1088" s="403"/>
      <c r="H1088" s="402"/>
      <c r="I1088" s="402"/>
      <c r="J1088" s="402"/>
      <c r="K1088" s="402"/>
      <c r="L1088" s="402"/>
      <c r="M1088" s="402"/>
      <c r="N1088" s="402"/>
      <c r="O1088" s="402"/>
      <c r="P1088" s="402"/>
      <c r="Q1088" s="402"/>
      <c r="R1088" s="402"/>
      <c r="S1088" s="402"/>
      <c r="T1088" s="402"/>
      <c r="U1088" s="402"/>
      <c r="V1088" s="402"/>
      <c r="W1088" s="402"/>
      <c r="X1088" s="402"/>
      <c r="Y1088" s="402"/>
      <c r="Z1088" s="402"/>
      <c r="AA1088" s="405"/>
      <c r="AB1088" s="405"/>
      <c r="AC1088" s="405"/>
      <c r="AD1088" s="405"/>
      <c r="AE1088" s="405"/>
      <c r="AF1088" s="405"/>
      <c r="AG1088" s="405"/>
      <c r="AH1088" s="405"/>
      <c r="AI1088" s="405"/>
      <c r="AJ1088" s="405"/>
      <c r="AK1088" s="405"/>
      <c r="AL1088" s="405"/>
    </row>
    <row r="1089" ht="14.25" customHeight="1">
      <c r="A1089" s="402"/>
      <c r="B1089" s="402"/>
      <c r="C1089" s="402"/>
      <c r="D1089" s="402"/>
      <c r="E1089" s="402"/>
      <c r="F1089" s="402"/>
      <c r="G1089" s="403"/>
      <c r="H1089" s="402"/>
      <c r="I1089" s="402"/>
      <c r="J1089" s="402"/>
      <c r="K1089" s="402"/>
      <c r="L1089" s="402"/>
      <c r="M1089" s="402"/>
      <c r="N1089" s="402"/>
      <c r="O1089" s="402"/>
      <c r="P1089" s="402"/>
      <c r="Q1089" s="402"/>
      <c r="R1089" s="402"/>
      <c r="S1089" s="402"/>
      <c r="T1089" s="402"/>
      <c r="U1089" s="402"/>
      <c r="V1089" s="402"/>
      <c r="W1089" s="402"/>
      <c r="X1089" s="402"/>
      <c r="Y1089" s="402"/>
      <c r="Z1089" s="402"/>
      <c r="AA1089" s="405"/>
      <c r="AB1089" s="405"/>
      <c r="AC1089" s="405"/>
      <c r="AD1089" s="405"/>
      <c r="AE1089" s="405"/>
      <c r="AF1089" s="405"/>
      <c r="AG1089" s="405"/>
      <c r="AH1089" s="405"/>
      <c r="AI1089" s="405"/>
      <c r="AJ1089" s="405"/>
      <c r="AK1089" s="405"/>
      <c r="AL1089" s="405"/>
    </row>
    <row r="1090" ht="14.25" customHeight="1">
      <c r="A1090" s="402"/>
      <c r="B1090" s="402"/>
      <c r="C1090" s="402"/>
      <c r="D1090" s="402"/>
      <c r="E1090" s="402"/>
      <c r="F1090" s="402"/>
      <c r="G1090" s="403"/>
      <c r="H1090" s="402"/>
      <c r="I1090" s="402"/>
      <c r="J1090" s="402"/>
      <c r="K1090" s="402"/>
      <c r="L1090" s="402"/>
      <c r="M1090" s="402"/>
      <c r="N1090" s="402"/>
      <c r="O1090" s="402"/>
      <c r="P1090" s="402"/>
      <c r="Q1090" s="402"/>
      <c r="R1090" s="402"/>
      <c r="S1090" s="402"/>
      <c r="T1090" s="402"/>
      <c r="U1090" s="402"/>
      <c r="V1090" s="402"/>
      <c r="W1090" s="402"/>
      <c r="X1090" s="402"/>
      <c r="Y1090" s="402"/>
      <c r="Z1090" s="402"/>
      <c r="AA1090" s="405"/>
      <c r="AB1090" s="405"/>
      <c r="AC1090" s="405"/>
      <c r="AD1090" s="405"/>
      <c r="AE1090" s="405"/>
      <c r="AF1090" s="405"/>
      <c r="AG1090" s="405"/>
      <c r="AH1090" s="405"/>
      <c r="AI1090" s="405"/>
      <c r="AJ1090" s="405"/>
      <c r="AK1090" s="405"/>
      <c r="AL1090" s="405"/>
    </row>
    <row r="1091" ht="14.25" customHeight="1">
      <c r="A1091" s="402"/>
      <c r="B1091" s="402"/>
      <c r="C1091" s="402"/>
      <c r="D1091" s="402"/>
      <c r="E1091" s="402"/>
      <c r="F1091" s="402"/>
      <c r="G1091" s="403"/>
      <c r="H1091" s="402"/>
      <c r="I1091" s="402"/>
      <c r="J1091" s="402"/>
      <c r="K1091" s="402"/>
      <c r="L1091" s="402"/>
      <c r="M1091" s="402"/>
      <c r="N1091" s="402"/>
      <c r="O1091" s="402"/>
      <c r="P1091" s="402"/>
      <c r="Q1091" s="402"/>
      <c r="R1091" s="402"/>
      <c r="S1091" s="402"/>
      <c r="T1091" s="402"/>
      <c r="U1091" s="402"/>
      <c r="V1091" s="402"/>
      <c r="W1091" s="402"/>
      <c r="X1091" s="402"/>
      <c r="Y1091" s="402"/>
      <c r="Z1091" s="402"/>
      <c r="AA1091" s="405"/>
      <c r="AB1091" s="405"/>
      <c r="AC1091" s="405"/>
      <c r="AD1091" s="405"/>
      <c r="AE1091" s="405"/>
      <c r="AF1091" s="405"/>
      <c r="AG1091" s="405"/>
      <c r="AH1091" s="405"/>
      <c r="AI1091" s="405"/>
      <c r="AJ1091" s="405"/>
      <c r="AK1091" s="405"/>
      <c r="AL1091" s="405"/>
    </row>
    <row r="1092" ht="14.25" customHeight="1">
      <c r="A1092" s="402"/>
      <c r="B1092" s="402"/>
      <c r="C1092" s="402"/>
      <c r="D1092" s="402"/>
      <c r="E1092" s="402"/>
      <c r="F1092" s="402"/>
      <c r="G1092" s="403"/>
      <c r="H1092" s="402"/>
      <c r="I1092" s="402"/>
      <c r="J1092" s="402"/>
      <c r="K1092" s="402"/>
      <c r="L1092" s="402"/>
      <c r="M1092" s="402"/>
      <c r="N1092" s="402"/>
      <c r="O1092" s="402"/>
      <c r="P1092" s="402"/>
      <c r="Q1092" s="402"/>
      <c r="R1092" s="402"/>
      <c r="S1092" s="402"/>
      <c r="T1092" s="402"/>
      <c r="U1092" s="402"/>
      <c r="V1092" s="402"/>
      <c r="W1092" s="402"/>
      <c r="X1092" s="402"/>
      <c r="Y1092" s="402"/>
      <c r="Z1092" s="402"/>
      <c r="AA1092" s="405"/>
      <c r="AB1092" s="405"/>
      <c r="AC1092" s="405"/>
      <c r="AD1092" s="405"/>
      <c r="AE1092" s="405"/>
      <c r="AF1092" s="405"/>
      <c r="AG1092" s="405"/>
      <c r="AH1092" s="405"/>
      <c r="AI1092" s="405"/>
      <c r="AJ1092" s="405"/>
      <c r="AK1092" s="405"/>
      <c r="AL1092" s="405"/>
    </row>
    <row r="1093" ht="14.25" customHeight="1">
      <c r="A1093" s="402"/>
      <c r="B1093" s="402"/>
      <c r="C1093" s="402"/>
      <c r="D1093" s="402"/>
      <c r="E1093" s="402"/>
      <c r="F1093" s="402"/>
      <c r="G1093" s="403"/>
      <c r="H1093" s="402"/>
      <c r="I1093" s="402"/>
      <c r="J1093" s="402"/>
      <c r="K1093" s="402"/>
      <c r="L1093" s="402"/>
      <c r="M1093" s="402"/>
      <c r="N1093" s="402"/>
      <c r="O1093" s="402"/>
      <c r="P1093" s="402"/>
      <c r="Q1093" s="402"/>
      <c r="R1093" s="402"/>
      <c r="S1093" s="402"/>
      <c r="T1093" s="402"/>
      <c r="U1093" s="402"/>
      <c r="V1093" s="402"/>
      <c r="W1093" s="402"/>
      <c r="X1093" s="402"/>
      <c r="Y1093" s="402"/>
      <c r="Z1093" s="402"/>
      <c r="AA1093" s="405"/>
      <c r="AB1093" s="405"/>
      <c r="AC1093" s="405"/>
      <c r="AD1093" s="405"/>
      <c r="AE1093" s="405"/>
      <c r="AF1093" s="405"/>
      <c r="AG1093" s="405"/>
      <c r="AH1093" s="405"/>
      <c r="AI1093" s="405"/>
      <c r="AJ1093" s="405"/>
      <c r="AK1093" s="405"/>
      <c r="AL1093" s="405"/>
    </row>
    <row r="1094" ht="14.25" customHeight="1">
      <c r="A1094" s="402"/>
      <c r="B1094" s="402"/>
      <c r="C1094" s="402"/>
      <c r="D1094" s="402"/>
      <c r="E1094" s="402"/>
      <c r="F1094" s="402"/>
      <c r="G1094" s="403"/>
      <c r="H1094" s="402"/>
      <c r="I1094" s="402"/>
      <c r="J1094" s="402"/>
      <c r="K1094" s="402"/>
      <c r="L1094" s="402"/>
      <c r="M1094" s="402"/>
      <c r="N1094" s="402"/>
      <c r="O1094" s="402"/>
      <c r="P1094" s="402"/>
      <c r="Q1094" s="402"/>
      <c r="R1094" s="402"/>
      <c r="S1094" s="402"/>
      <c r="T1094" s="402"/>
      <c r="U1094" s="402"/>
      <c r="V1094" s="402"/>
      <c r="W1094" s="402"/>
      <c r="X1094" s="402"/>
      <c r="Y1094" s="402"/>
      <c r="Z1094" s="402"/>
      <c r="AA1094" s="405"/>
      <c r="AB1094" s="405"/>
      <c r="AC1094" s="405"/>
      <c r="AD1094" s="405"/>
      <c r="AE1094" s="405"/>
      <c r="AF1094" s="405"/>
      <c r="AG1094" s="405"/>
      <c r="AH1094" s="405"/>
      <c r="AI1094" s="405"/>
      <c r="AJ1094" s="405"/>
      <c r="AK1094" s="405"/>
      <c r="AL1094" s="405"/>
    </row>
    <row r="1095" ht="14.25" customHeight="1">
      <c r="A1095" s="402"/>
      <c r="B1095" s="402"/>
      <c r="C1095" s="402"/>
      <c r="D1095" s="402"/>
      <c r="E1095" s="402"/>
      <c r="F1095" s="402"/>
      <c r="G1095" s="403"/>
      <c r="H1095" s="402"/>
      <c r="I1095" s="402"/>
      <c r="J1095" s="402"/>
      <c r="K1095" s="402"/>
      <c r="L1095" s="402"/>
      <c r="M1095" s="402"/>
      <c r="N1095" s="402"/>
      <c r="O1095" s="402"/>
      <c r="P1095" s="402"/>
      <c r="Q1095" s="402"/>
      <c r="R1095" s="402"/>
      <c r="S1095" s="402"/>
      <c r="T1095" s="402"/>
      <c r="U1095" s="402"/>
      <c r="V1095" s="402"/>
      <c r="W1095" s="402"/>
      <c r="X1095" s="402"/>
      <c r="Y1095" s="402"/>
      <c r="Z1095" s="402"/>
      <c r="AA1095" s="405"/>
      <c r="AB1095" s="405"/>
      <c r="AC1095" s="405"/>
      <c r="AD1095" s="405"/>
      <c r="AE1095" s="405"/>
      <c r="AF1095" s="405"/>
      <c r="AG1095" s="405"/>
      <c r="AH1095" s="405"/>
      <c r="AI1095" s="405"/>
      <c r="AJ1095" s="405"/>
      <c r="AK1095" s="405"/>
      <c r="AL1095" s="405"/>
    </row>
    <row r="1096" ht="14.25" customHeight="1">
      <c r="A1096" s="402"/>
      <c r="B1096" s="402"/>
      <c r="C1096" s="402"/>
      <c r="D1096" s="402"/>
      <c r="E1096" s="402"/>
      <c r="F1096" s="402"/>
      <c r="G1096" s="403"/>
      <c r="H1096" s="402"/>
      <c r="I1096" s="402"/>
      <c r="J1096" s="402"/>
      <c r="K1096" s="402"/>
      <c r="L1096" s="402"/>
      <c r="M1096" s="402"/>
      <c r="N1096" s="402"/>
      <c r="O1096" s="402"/>
      <c r="P1096" s="402"/>
      <c r="Q1096" s="402"/>
      <c r="R1096" s="402"/>
      <c r="S1096" s="402"/>
      <c r="T1096" s="402"/>
      <c r="U1096" s="402"/>
      <c r="V1096" s="402"/>
      <c r="W1096" s="402"/>
      <c r="X1096" s="402"/>
      <c r="Y1096" s="402"/>
      <c r="Z1096" s="402"/>
      <c r="AA1096" s="405"/>
      <c r="AB1096" s="405"/>
      <c r="AC1096" s="405"/>
      <c r="AD1096" s="405"/>
      <c r="AE1096" s="405"/>
      <c r="AF1096" s="405"/>
      <c r="AG1096" s="405"/>
      <c r="AH1096" s="405"/>
      <c r="AI1096" s="405"/>
      <c r="AJ1096" s="405"/>
      <c r="AK1096" s="405"/>
      <c r="AL1096" s="405"/>
    </row>
    <row r="1097" ht="14.25" customHeight="1">
      <c r="A1097" s="402"/>
      <c r="B1097" s="402"/>
      <c r="C1097" s="402"/>
      <c r="D1097" s="402"/>
      <c r="E1097" s="402"/>
      <c r="F1097" s="402"/>
      <c r="G1097" s="403"/>
      <c r="H1097" s="402"/>
      <c r="I1097" s="402"/>
      <c r="J1097" s="402"/>
      <c r="K1097" s="402"/>
      <c r="L1097" s="402"/>
      <c r="M1097" s="402"/>
      <c r="N1097" s="402"/>
      <c r="O1097" s="402"/>
      <c r="P1097" s="402"/>
      <c r="Q1097" s="402"/>
      <c r="R1097" s="402"/>
      <c r="S1097" s="402"/>
      <c r="T1097" s="402"/>
      <c r="U1097" s="402"/>
      <c r="V1097" s="402"/>
      <c r="W1097" s="402"/>
      <c r="X1097" s="402"/>
      <c r="Y1097" s="402"/>
      <c r="Z1097" s="402"/>
      <c r="AA1097" s="405"/>
      <c r="AB1097" s="405"/>
      <c r="AC1097" s="405"/>
      <c r="AD1097" s="405"/>
      <c r="AE1097" s="405"/>
      <c r="AF1097" s="405"/>
      <c r="AG1097" s="405"/>
      <c r="AH1097" s="405"/>
      <c r="AI1097" s="405"/>
      <c r="AJ1097" s="405"/>
      <c r="AK1097" s="405"/>
      <c r="AL1097" s="405"/>
    </row>
    <row r="1098" ht="14.25" customHeight="1">
      <c r="A1098" s="402"/>
      <c r="B1098" s="402"/>
      <c r="C1098" s="402"/>
      <c r="D1098" s="402"/>
      <c r="E1098" s="402"/>
      <c r="F1098" s="402"/>
      <c r="G1098" s="403"/>
      <c r="H1098" s="402"/>
      <c r="I1098" s="402"/>
      <c r="J1098" s="402"/>
      <c r="K1098" s="402"/>
      <c r="L1098" s="402"/>
      <c r="M1098" s="402"/>
      <c r="N1098" s="402"/>
      <c r="O1098" s="402"/>
      <c r="P1098" s="402"/>
      <c r="Q1098" s="402"/>
      <c r="R1098" s="402"/>
      <c r="S1098" s="402"/>
      <c r="T1098" s="402"/>
      <c r="U1098" s="402"/>
      <c r="V1098" s="402"/>
      <c r="W1098" s="402"/>
      <c r="X1098" s="402"/>
      <c r="Y1098" s="402"/>
      <c r="Z1098" s="402"/>
      <c r="AA1098" s="405"/>
      <c r="AB1098" s="405"/>
      <c r="AC1098" s="405"/>
      <c r="AD1098" s="405"/>
      <c r="AE1098" s="405"/>
      <c r="AF1098" s="405"/>
      <c r="AG1098" s="405"/>
      <c r="AH1098" s="405"/>
      <c r="AI1098" s="405"/>
      <c r="AJ1098" s="405"/>
      <c r="AK1098" s="405"/>
      <c r="AL1098" s="405"/>
    </row>
    <row r="1099" ht="14.25" customHeight="1">
      <c r="A1099" s="402"/>
      <c r="B1099" s="402"/>
      <c r="C1099" s="402"/>
      <c r="D1099" s="402"/>
      <c r="E1099" s="402"/>
      <c r="F1099" s="402"/>
      <c r="G1099" s="403"/>
      <c r="H1099" s="402"/>
      <c r="I1099" s="402"/>
      <c r="J1099" s="402"/>
      <c r="K1099" s="402"/>
      <c r="L1099" s="402"/>
      <c r="M1099" s="402"/>
      <c r="N1099" s="402"/>
      <c r="O1099" s="402"/>
      <c r="P1099" s="402"/>
      <c r="Q1099" s="402"/>
      <c r="R1099" s="402"/>
      <c r="S1099" s="402"/>
      <c r="T1099" s="402"/>
      <c r="U1099" s="402"/>
      <c r="V1099" s="402"/>
      <c r="W1099" s="402"/>
      <c r="X1099" s="402"/>
      <c r="Y1099" s="402"/>
      <c r="Z1099" s="402"/>
      <c r="AA1099" s="405"/>
      <c r="AB1099" s="405"/>
      <c r="AC1099" s="405"/>
      <c r="AD1099" s="405"/>
      <c r="AE1099" s="405"/>
      <c r="AF1099" s="405"/>
      <c r="AG1099" s="405"/>
      <c r="AH1099" s="405"/>
      <c r="AI1099" s="405"/>
      <c r="AJ1099" s="405"/>
      <c r="AK1099" s="405"/>
      <c r="AL1099" s="405"/>
    </row>
    <row r="1100" ht="14.25" customHeight="1">
      <c r="A1100" s="402"/>
      <c r="B1100" s="402"/>
      <c r="C1100" s="402"/>
      <c r="D1100" s="402"/>
      <c r="E1100" s="402"/>
      <c r="F1100" s="402"/>
      <c r="G1100" s="403"/>
      <c r="H1100" s="402"/>
      <c r="I1100" s="402"/>
      <c r="J1100" s="402"/>
      <c r="K1100" s="402"/>
      <c r="L1100" s="402"/>
      <c r="M1100" s="402"/>
      <c r="N1100" s="402"/>
      <c r="O1100" s="402"/>
      <c r="P1100" s="402"/>
      <c r="Q1100" s="402"/>
      <c r="R1100" s="402"/>
      <c r="S1100" s="402"/>
      <c r="T1100" s="402"/>
      <c r="U1100" s="402"/>
      <c r="V1100" s="402"/>
      <c r="W1100" s="402"/>
      <c r="X1100" s="402"/>
      <c r="Y1100" s="402"/>
      <c r="Z1100" s="402"/>
      <c r="AA1100" s="405"/>
      <c r="AB1100" s="405"/>
      <c r="AC1100" s="405"/>
      <c r="AD1100" s="405"/>
      <c r="AE1100" s="405"/>
      <c r="AF1100" s="405"/>
      <c r="AG1100" s="405"/>
      <c r="AH1100" s="405"/>
      <c r="AI1100" s="405"/>
      <c r="AJ1100" s="405"/>
      <c r="AK1100" s="405"/>
      <c r="AL1100" s="405"/>
    </row>
    <row r="1101" ht="14.25" customHeight="1">
      <c r="A1101" s="402"/>
      <c r="B1101" s="402"/>
      <c r="C1101" s="402"/>
      <c r="D1101" s="402"/>
      <c r="E1101" s="402"/>
      <c r="F1101" s="402"/>
      <c r="G1101" s="403"/>
      <c r="H1101" s="402"/>
      <c r="I1101" s="402"/>
      <c r="J1101" s="402"/>
      <c r="K1101" s="402"/>
      <c r="L1101" s="402"/>
      <c r="M1101" s="402"/>
      <c r="N1101" s="402"/>
      <c r="O1101" s="402"/>
      <c r="P1101" s="402"/>
      <c r="Q1101" s="402"/>
      <c r="R1101" s="402"/>
      <c r="S1101" s="402"/>
      <c r="T1101" s="402"/>
      <c r="U1101" s="402"/>
      <c r="V1101" s="402"/>
      <c r="W1101" s="402"/>
      <c r="X1101" s="402"/>
      <c r="Y1101" s="402"/>
      <c r="Z1101" s="402"/>
      <c r="AA1101" s="405"/>
      <c r="AB1101" s="405"/>
      <c r="AC1101" s="405"/>
      <c r="AD1101" s="405"/>
      <c r="AE1101" s="405"/>
      <c r="AF1101" s="405"/>
      <c r="AG1101" s="405"/>
      <c r="AH1101" s="405"/>
      <c r="AI1101" s="405"/>
      <c r="AJ1101" s="405"/>
      <c r="AK1101" s="405"/>
      <c r="AL1101" s="405"/>
    </row>
    <row r="1102" ht="14.25" customHeight="1">
      <c r="A1102" s="402"/>
      <c r="B1102" s="402"/>
      <c r="C1102" s="402"/>
      <c r="D1102" s="402"/>
      <c r="E1102" s="402"/>
      <c r="F1102" s="402"/>
      <c r="G1102" s="403"/>
      <c r="H1102" s="402"/>
      <c r="I1102" s="402"/>
      <c r="J1102" s="402"/>
      <c r="K1102" s="402"/>
      <c r="L1102" s="402"/>
      <c r="M1102" s="402"/>
      <c r="N1102" s="402"/>
      <c r="O1102" s="402"/>
      <c r="P1102" s="402"/>
      <c r="Q1102" s="402"/>
      <c r="R1102" s="402"/>
      <c r="S1102" s="402"/>
      <c r="T1102" s="402"/>
      <c r="U1102" s="402"/>
      <c r="V1102" s="402"/>
      <c r="W1102" s="402"/>
      <c r="X1102" s="402"/>
      <c r="Y1102" s="402"/>
      <c r="Z1102" s="402"/>
      <c r="AA1102" s="405"/>
      <c r="AB1102" s="405"/>
      <c r="AC1102" s="405"/>
      <c r="AD1102" s="405"/>
      <c r="AE1102" s="405"/>
      <c r="AF1102" s="405"/>
      <c r="AG1102" s="405"/>
      <c r="AH1102" s="405"/>
      <c r="AI1102" s="405"/>
      <c r="AJ1102" s="405"/>
      <c r="AK1102" s="405"/>
      <c r="AL1102" s="405"/>
    </row>
    <row r="1103" ht="14.25" customHeight="1">
      <c r="A1103" s="402"/>
      <c r="B1103" s="402"/>
      <c r="C1103" s="402"/>
      <c r="D1103" s="402"/>
      <c r="E1103" s="402"/>
      <c r="F1103" s="402"/>
      <c r="G1103" s="403"/>
      <c r="H1103" s="402"/>
      <c r="I1103" s="402"/>
      <c r="J1103" s="402"/>
      <c r="K1103" s="402"/>
      <c r="L1103" s="402"/>
      <c r="M1103" s="402"/>
      <c r="N1103" s="402"/>
      <c r="O1103" s="402"/>
      <c r="P1103" s="402"/>
      <c r="Q1103" s="402"/>
      <c r="R1103" s="402"/>
      <c r="S1103" s="402"/>
      <c r="T1103" s="402"/>
      <c r="U1103" s="402"/>
      <c r="V1103" s="402"/>
      <c r="W1103" s="402"/>
      <c r="X1103" s="402"/>
      <c r="Y1103" s="402"/>
      <c r="Z1103" s="402"/>
      <c r="AA1103" s="405"/>
      <c r="AB1103" s="405"/>
      <c r="AC1103" s="405"/>
      <c r="AD1103" s="405"/>
      <c r="AE1103" s="405"/>
      <c r="AF1103" s="405"/>
      <c r="AG1103" s="405"/>
      <c r="AH1103" s="405"/>
      <c r="AI1103" s="405"/>
      <c r="AJ1103" s="405"/>
      <c r="AK1103" s="405"/>
      <c r="AL1103" s="405"/>
    </row>
    <row r="1104" ht="14.25" customHeight="1">
      <c r="A1104" s="402"/>
      <c r="B1104" s="402"/>
      <c r="C1104" s="402"/>
      <c r="D1104" s="402"/>
      <c r="E1104" s="402"/>
      <c r="F1104" s="402"/>
      <c r="G1104" s="403"/>
      <c r="H1104" s="402"/>
      <c r="I1104" s="402"/>
      <c r="J1104" s="402"/>
      <c r="K1104" s="402"/>
      <c r="L1104" s="402"/>
      <c r="M1104" s="402"/>
      <c r="N1104" s="402"/>
      <c r="O1104" s="402"/>
      <c r="P1104" s="402"/>
      <c r="Q1104" s="402"/>
      <c r="R1104" s="402"/>
      <c r="S1104" s="402"/>
      <c r="T1104" s="402"/>
      <c r="U1104" s="402"/>
      <c r="V1104" s="402"/>
      <c r="W1104" s="402"/>
      <c r="X1104" s="402"/>
      <c r="Y1104" s="402"/>
      <c r="Z1104" s="402"/>
      <c r="AA1104" s="405"/>
      <c r="AB1104" s="405"/>
      <c r="AC1104" s="405"/>
      <c r="AD1104" s="405"/>
      <c r="AE1104" s="405"/>
      <c r="AF1104" s="405"/>
      <c r="AG1104" s="405"/>
      <c r="AH1104" s="405"/>
      <c r="AI1104" s="405"/>
      <c r="AJ1104" s="405"/>
      <c r="AK1104" s="405"/>
      <c r="AL1104" s="405"/>
    </row>
    <row r="1105" ht="14.25" customHeight="1">
      <c r="A1105" s="402"/>
      <c r="B1105" s="402"/>
      <c r="C1105" s="402"/>
      <c r="D1105" s="402"/>
      <c r="E1105" s="402"/>
      <c r="F1105" s="402"/>
      <c r="G1105" s="403"/>
      <c r="H1105" s="402"/>
      <c r="I1105" s="402"/>
      <c r="J1105" s="402"/>
      <c r="K1105" s="402"/>
      <c r="L1105" s="402"/>
      <c r="M1105" s="402"/>
      <c r="N1105" s="402"/>
      <c r="O1105" s="402"/>
      <c r="P1105" s="402"/>
      <c r="Q1105" s="402"/>
      <c r="R1105" s="402"/>
      <c r="S1105" s="402"/>
      <c r="T1105" s="402"/>
      <c r="U1105" s="402"/>
      <c r="V1105" s="402"/>
      <c r="W1105" s="402"/>
      <c r="X1105" s="402"/>
      <c r="Y1105" s="402"/>
      <c r="Z1105" s="402"/>
      <c r="AA1105" s="405"/>
      <c r="AB1105" s="405"/>
      <c r="AC1105" s="405"/>
      <c r="AD1105" s="405"/>
      <c r="AE1105" s="405"/>
      <c r="AF1105" s="405"/>
      <c r="AG1105" s="405"/>
      <c r="AH1105" s="405"/>
      <c r="AI1105" s="405"/>
      <c r="AJ1105" s="405"/>
      <c r="AK1105" s="405"/>
      <c r="AL1105" s="405"/>
    </row>
    <row r="1106" ht="14.25" customHeight="1">
      <c r="A1106" s="402"/>
      <c r="B1106" s="402"/>
      <c r="C1106" s="402"/>
      <c r="D1106" s="402"/>
      <c r="E1106" s="402"/>
      <c r="F1106" s="402"/>
      <c r="G1106" s="403"/>
      <c r="H1106" s="402"/>
      <c r="I1106" s="402"/>
      <c r="J1106" s="402"/>
      <c r="K1106" s="402"/>
      <c r="L1106" s="402"/>
      <c r="M1106" s="402"/>
      <c r="N1106" s="402"/>
      <c r="O1106" s="402"/>
      <c r="P1106" s="402"/>
      <c r="Q1106" s="402"/>
      <c r="R1106" s="402"/>
      <c r="S1106" s="402"/>
      <c r="T1106" s="402"/>
      <c r="U1106" s="402"/>
      <c r="V1106" s="402"/>
      <c r="W1106" s="402"/>
      <c r="X1106" s="402"/>
      <c r="Y1106" s="402"/>
      <c r="Z1106" s="402"/>
      <c r="AA1106" s="405"/>
      <c r="AB1106" s="405"/>
      <c r="AC1106" s="405"/>
      <c r="AD1106" s="405"/>
      <c r="AE1106" s="405"/>
      <c r="AF1106" s="405"/>
      <c r="AG1106" s="405"/>
      <c r="AH1106" s="405"/>
      <c r="AI1106" s="405"/>
      <c r="AJ1106" s="405"/>
      <c r="AK1106" s="405"/>
      <c r="AL1106" s="405"/>
    </row>
    <row r="1107" ht="14.25" customHeight="1">
      <c r="A1107" s="402"/>
      <c r="B1107" s="402"/>
      <c r="C1107" s="402"/>
      <c r="D1107" s="402"/>
      <c r="E1107" s="402"/>
      <c r="F1107" s="402"/>
      <c r="G1107" s="403"/>
      <c r="H1107" s="402"/>
      <c r="I1107" s="402"/>
      <c r="J1107" s="402"/>
      <c r="K1107" s="402"/>
      <c r="L1107" s="402"/>
      <c r="M1107" s="402"/>
      <c r="N1107" s="402"/>
      <c r="O1107" s="402"/>
      <c r="P1107" s="402"/>
      <c r="Q1107" s="402"/>
      <c r="R1107" s="402"/>
      <c r="S1107" s="402"/>
      <c r="T1107" s="402"/>
      <c r="U1107" s="402"/>
      <c r="V1107" s="402"/>
      <c r="W1107" s="402"/>
      <c r="X1107" s="402"/>
      <c r="Y1107" s="402"/>
      <c r="Z1107" s="402"/>
      <c r="AA1107" s="405"/>
      <c r="AB1107" s="405"/>
      <c r="AC1107" s="405"/>
      <c r="AD1107" s="405"/>
      <c r="AE1107" s="405"/>
      <c r="AF1107" s="405"/>
      <c r="AG1107" s="405"/>
      <c r="AH1107" s="405"/>
      <c r="AI1107" s="405"/>
      <c r="AJ1107" s="405"/>
      <c r="AK1107" s="405"/>
      <c r="AL1107" s="405"/>
    </row>
    <row r="1108" ht="14.25" customHeight="1">
      <c r="A1108" s="402"/>
      <c r="B1108" s="402"/>
      <c r="C1108" s="402"/>
      <c r="D1108" s="402"/>
      <c r="E1108" s="402"/>
      <c r="F1108" s="402"/>
      <c r="G1108" s="403"/>
      <c r="H1108" s="402"/>
      <c r="I1108" s="402"/>
      <c r="J1108" s="402"/>
      <c r="K1108" s="402"/>
      <c r="L1108" s="402"/>
      <c r="M1108" s="402"/>
      <c r="N1108" s="402"/>
      <c r="O1108" s="402"/>
      <c r="P1108" s="402"/>
      <c r="Q1108" s="402"/>
      <c r="R1108" s="402"/>
      <c r="S1108" s="402"/>
      <c r="T1108" s="402"/>
      <c r="U1108" s="402"/>
      <c r="V1108" s="402"/>
      <c r="W1108" s="402"/>
      <c r="X1108" s="402"/>
      <c r="Y1108" s="402"/>
      <c r="Z1108" s="402"/>
      <c r="AA1108" s="405"/>
      <c r="AB1108" s="405"/>
      <c r="AC1108" s="405"/>
      <c r="AD1108" s="405"/>
      <c r="AE1108" s="405"/>
      <c r="AF1108" s="405"/>
      <c r="AG1108" s="405"/>
      <c r="AH1108" s="405"/>
      <c r="AI1108" s="405"/>
      <c r="AJ1108" s="405"/>
      <c r="AK1108" s="405"/>
      <c r="AL1108" s="405"/>
    </row>
    <row r="1109" ht="14.25" customHeight="1">
      <c r="A1109" s="402"/>
      <c r="B1109" s="402"/>
      <c r="C1109" s="402"/>
      <c r="D1109" s="402"/>
      <c r="E1109" s="402"/>
      <c r="F1109" s="402"/>
      <c r="G1109" s="403"/>
      <c r="H1109" s="402"/>
      <c r="I1109" s="402"/>
      <c r="J1109" s="402"/>
      <c r="K1109" s="402"/>
      <c r="L1109" s="402"/>
      <c r="M1109" s="402"/>
      <c r="N1109" s="402"/>
      <c r="O1109" s="402"/>
      <c r="P1109" s="402"/>
      <c r="Q1109" s="402"/>
      <c r="R1109" s="402"/>
      <c r="S1109" s="402"/>
      <c r="T1109" s="402"/>
      <c r="U1109" s="402"/>
      <c r="V1109" s="402"/>
      <c r="W1109" s="402"/>
      <c r="X1109" s="402"/>
      <c r="Y1109" s="402"/>
      <c r="Z1109" s="402"/>
      <c r="AA1109" s="405"/>
      <c r="AB1109" s="405"/>
      <c r="AC1109" s="405"/>
      <c r="AD1109" s="405"/>
      <c r="AE1109" s="405"/>
      <c r="AF1109" s="405"/>
      <c r="AG1109" s="405"/>
      <c r="AH1109" s="405"/>
      <c r="AI1109" s="405"/>
      <c r="AJ1109" s="405"/>
      <c r="AK1109" s="405"/>
      <c r="AL1109" s="405"/>
    </row>
    <row r="1110" ht="14.25" customHeight="1">
      <c r="A1110" s="402"/>
      <c r="B1110" s="402"/>
      <c r="C1110" s="402"/>
      <c r="D1110" s="402"/>
      <c r="E1110" s="402"/>
      <c r="F1110" s="402"/>
      <c r="G1110" s="403"/>
      <c r="H1110" s="402"/>
      <c r="I1110" s="402"/>
      <c r="J1110" s="402"/>
      <c r="K1110" s="402"/>
      <c r="L1110" s="402"/>
      <c r="M1110" s="402"/>
      <c r="N1110" s="402"/>
      <c r="O1110" s="402"/>
      <c r="P1110" s="402"/>
      <c r="Q1110" s="402"/>
      <c r="R1110" s="402"/>
      <c r="S1110" s="402"/>
      <c r="T1110" s="402"/>
      <c r="U1110" s="402"/>
      <c r="V1110" s="402"/>
      <c r="W1110" s="402"/>
      <c r="X1110" s="402"/>
      <c r="Y1110" s="402"/>
      <c r="Z1110" s="402"/>
      <c r="AA1110" s="405"/>
      <c r="AB1110" s="405"/>
      <c r="AC1110" s="405"/>
      <c r="AD1110" s="405"/>
      <c r="AE1110" s="405"/>
      <c r="AF1110" s="405"/>
      <c r="AG1110" s="405"/>
      <c r="AH1110" s="405"/>
      <c r="AI1110" s="405"/>
      <c r="AJ1110" s="405"/>
      <c r="AK1110" s="405"/>
      <c r="AL1110" s="405"/>
    </row>
    <row r="1111" ht="14.25" customHeight="1">
      <c r="A1111" s="402"/>
      <c r="B1111" s="402"/>
      <c r="C1111" s="402"/>
      <c r="D1111" s="402"/>
      <c r="E1111" s="402"/>
      <c r="F1111" s="402"/>
      <c r="G1111" s="403"/>
      <c r="H1111" s="402"/>
      <c r="I1111" s="402"/>
      <c r="J1111" s="402"/>
      <c r="K1111" s="402"/>
      <c r="L1111" s="402"/>
      <c r="M1111" s="402"/>
      <c r="N1111" s="402"/>
      <c r="O1111" s="402"/>
      <c r="P1111" s="402"/>
      <c r="Q1111" s="402"/>
      <c r="R1111" s="402"/>
      <c r="S1111" s="402"/>
      <c r="T1111" s="402"/>
      <c r="U1111" s="402"/>
      <c r="V1111" s="402"/>
      <c r="W1111" s="402"/>
      <c r="X1111" s="402"/>
      <c r="Y1111" s="402"/>
      <c r="Z1111" s="402"/>
      <c r="AA1111" s="405"/>
      <c r="AB1111" s="405"/>
      <c r="AC1111" s="405"/>
      <c r="AD1111" s="405"/>
      <c r="AE1111" s="405"/>
      <c r="AF1111" s="405"/>
      <c r="AG1111" s="405"/>
      <c r="AH1111" s="405"/>
      <c r="AI1111" s="405"/>
      <c r="AJ1111" s="405"/>
      <c r="AK1111" s="405"/>
      <c r="AL1111" s="405"/>
    </row>
    <row r="1112" ht="14.25" customHeight="1">
      <c r="A1112" s="402"/>
      <c r="B1112" s="402"/>
      <c r="C1112" s="402"/>
      <c r="D1112" s="402"/>
      <c r="E1112" s="402"/>
      <c r="F1112" s="402"/>
      <c r="G1112" s="403"/>
      <c r="H1112" s="402"/>
      <c r="I1112" s="402"/>
      <c r="J1112" s="402"/>
      <c r="K1112" s="402"/>
      <c r="L1112" s="402"/>
      <c r="M1112" s="402"/>
      <c r="N1112" s="402"/>
      <c r="O1112" s="402"/>
      <c r="P1112" s="402"/>
      <c r="Q1112" s="402"/>
      <c r="R1112" s="402"/>
      <c r="S1112" s="402"/>
      <c r="T1112" s="402"/>
      <c r="U1112" s="402"/>
      <c r="V1112" s="402"/>
      <c r="W1112" s="402"/>
      <c r="X1112" s="402"/>
      <c r="Y1112" s="402"/>
      <c r="Z1112" s="402"/>
      <c r="AA1112" s="405"/>
      <c r="AB1112" s="405"/>
      <c r="AC1112" s="405"/>
      <c r="AD1112" s="405"/>
      <c r="AE1112" s="405"/>
      <c r="AF1112" s="405"/>
      <c r="AG1112" s="405"/>
      <c r="AH1112" s="405"/>
      <c r="AI1112" s="405"/>
      <c r="AJ1112" s="405"/>
      <c r="AK1112" s="405"/>
      <c r="AL1112" s="405"/>
    </row>
    <row r="1113" ht="14.25" customHeight="1">
      <c r="A1113" s="402"/>
      <c r="B1113" s="402"/>
      <c r="C1113" s="402"/>
      <c r="D1113" s="402"/>
      <c r="E1113" s="402"/>
      <c r="F1113" s="402"/>
      <c r="G1113" s="403"/>
      <c r="H1113" s="402"/>
      <c r="I1113" s="402"/>
      <c r="J1113" s="402"/>
      <c r="K1113" s="402"/>
      <c r="L1113" s="402"/>
      <c r="M1113" s="402"/>
      <c r="N1113" s="402"/>
      <c r="O1113" s="402"/>
      <c r="P1113" s="402"/>
      <c r="Q1113" s="402"/>
      <c r="R1113" s="402"/>
      <c r="S1113" s="402"/>
      <c r="T1113" s="402"/>
      <c r="U1113" s="402"/>
      <c r="V1113" s="402"/>
      <c r="W1113" s="402"/>
      <c r="X1113" s="402"/>
      <c r="Y1113" s="402"/>
      <c r="Z1113" s="402"/>
      <c r="AA1113" s="405"/>
      <c r="AB1113" s="405"/>
      <c r="AC1113" s="405"/>
      <c r="AD1113" s="405"/>
      <c r="AE1113" s="405"/>
      <c r="AF1113" s="405"/>
      <c r="AG1113" s="405"/>
      <c r="AH1113" s="405"/>
      <c r="AI1113" s="405"/>
      <c r="AJ1113" s="405"/>
      <c r="AK1113" s="405"/>
      <c r="AL1113" s="405"/>
    </row>
    <row r="1114" ht="14.25" customHeight="1">
      <c r="A1114" s="402"/>
      <c r="B1114" s="402"/>
      <c r="C1114" s="402"/>
      <c r="D1114" s="402"/>
      <c r="E1114" s="402"/>
      <c r="F1114" s="402"/>
      <c r="G1114" s="403"/>
      <c r="H1114" s="402"/>
      <c r="I1114" s="402"/>
      <c r="J1114" s="402"/>
      <c r="K1114" s="402"/>
      <c r="L1114" s="402"/>
      <c r="M1114" s="402"/>
      <c r="N1114" s="402"/>
      <c r="O1114" s="402"/>
      <c r="P1114" s="402"/>
      <c r="Q1114" s="402"/>
      <c r="R1114" s="402"/>
      <c r="S1114" s="402"/>
      <c r="T1114" s="402"/>
      <c r="U1114" s="402"/>
      <c r="V1114" s="402"/>
      <c r="W1114" s="402"/>
      <c r="X1114" s="402"/>
      <c r="Y1114" s="402"/>
      <c r="Z1114" s="402"/>
      <c r="AA1114" s="405"/>
      <c r="AB1114" s="405"/>
      <c r="AC1114" s="405"/>
      <c r="AD1114" s="405"/>
      <c r="AE1114" s="405"/>
      <c r="AF1114" s="405"/>
      <c r="AG1114" s="405"/>
      <c r="AH1114" s="405"/>
      <c r="AI1114" s="405"/>
      <c r="AJ1114" s="405"/>
      <c r="AK1114" s="405"/>
      <c r="AL1114" s="405"/>
    </row>
    <row r="1115" ht="14.25" customHeight="1">
      <c r="A1115" s="402"/>
      <c r="B1115" s="402"/>
      <c r="C1115" s="402"/>
      <c r="D1115" s="402"/>
      <c r="E1115" s="402"/>
      <c r="F1115" s="402"/>
      <c r="G1115" s="403"/>
      <c r="H1115" s="402"/>
      <c r="I1115" s="402"/>
      <c r="J1115" s="402"/>
      <c r="K1115" s="402"/>
      <c r="L1115" s="402"/>
      <c r="M1115" s="402"/>
      <c r="N1115" s="402"/>
      <c r="O1115" s="402"/>
      <c r="P1115" s="402"/>
      <c r="Q1115" s="402"/>
      <c r="R1115" s="402"/>
      <c r="S1115" s="402"/>
      <c r="T1115" s="402"/>
      <c r="U1115" s="402"/>
      <c r="V1115" s="402"/>
      <c r="W1115" s="402"/>
      <c r="X1115" s="402"/>
      <c r="Y1115" s="402"/>
      <c r="Z1115" s="402"/>
      <c r="AA1115" s="405"/>
      <c r="AB1115" s="405"/>
      <c r="AC1115" s="405"/>
      <c r="AD1115" s="405"/>
      <c r="AE1115" s="405"/>
      <c r="AF1115" s="405"/>
      <c r="AG1115" s="405"/>
      <c r="AH1115" s="405"/>
      <c r="AI1115" s="405"/>
      <c r="AJ1115" s="405"/>
      <c r="AK1115" s="405"/>
      <c r="AL1115" s="405"/>
    </row>
    <row r="1116" ht="14.25" customHeight="1">
      <c r="A1116" s="402"/>
      <c r="B1116" s="402"/>
      <c r="C1116" s="402"/>
      <c r="D1116" s="402"/>
      <c r="E1116" s="402"/>
      <c r="F1116" s="402"/>
      <c r="G1116" s="403"/>
      <c r="H1116" s="402"/>
      <c r="I1116" s="402"/>
      <c r="J1116" s="402"/>
      <c r="K1116" s="402"/>
      <c r="L1116" s="402"/>
      <c r="M1116" s="402"/>
      <c r="N1116" s="402"/>
      <c r="O1116" s="402"/>
      <c r="P1116" s="402"/>
      <c r="Q1116" s="402"/>
      <c r="R1116" s="402"/>
      <c r="S1116" s="402"/>
      <c r="T1116" s="402"/>
      <c r="U1116" s="402"/>
      <c r="V1116" s="402"/>
      <c r="W1116" s="402"/>
      <c r="X1116" s="402"/>
      <c r="Y1116" s="402"/>
      <c r="Z1116" s="402"/>
      <c r="AA1116" s="405"/>
      <c r="AB1116" s="405"/>
      <c r="AC1116" s="405"/>
      <c r="AD1116" s="405"/>
      <c r="AE1116" s="405"/>
      <c r="AF1116" s="405"/>
      <c r="AG1116" s="405"/>
      <c r="AH1116" s="405"/>
      <c r="AI1116" s="405"/>
      <c r="AJ1116" s="405"/>
      <c r="AK1116" s="405"/>
      <c r="AL1116" s="405"/>
    </row>
    <row r="1117" ht="14.25" customHeight="1">
      <c r="A1117" s="402"/>
      <c r="B1117" s="402"/>
      <c r="C1117" s="402"/>
      <c r="D1117" s="402"/>
      <c r="E1117" s="402"/>
      <c r="F1117" s="402"/>
      <c r="G1117" s="403"/>
      <c r="H1117" s="402"/>
      <c r="I1117" s="402"/>
      <c r="J1117" s="402"/>
      <c r="K1117" s="402"/>
      <c r="L1117" s="402"/>
      <c r="M1117" s="402"/>
      <c r="N1117" s="402"/>
      <c r="O1117" s="402"/>
      <c r="P1117" s="402"/>
      <c r="Q1117" s="402"/>
      <c r="R1117" s="402"/>
      <c r="S1117" s="402"/>
      <c r="T1117" s="402"/>
      <c r="U1117" s="402"/>
      <c r="V1117" s="402"/>
      <c r="W1117" s="402"/>
      <c r="X1117" s="402"/>
      <c r="Y1117" s="402"/>
      <c r="Z1117" s="402"/>
      <c r="AA1117" s="405"/>
      <c r="AB1117" s="405"/>
      <c r="AC1117" s="405"/>
      <c r="AD1117" s="405"/>
      <c r="AE1117" s="405"/>
      <c r="AF1117" s="405"/>
      <c r="AG1117" s="405"/>
      <c r="AH1117" s="405"/>
      <c r="AI1117" s="405"/>
      <c r="AJ1117" s="405"/>
      <c r="AK1117" s="405"/>
      <c r="AL1117" s="405"/>
    </row>
    <row r="1118" ht="14.25" customHeight="1">
      <c r="A1118" s="402"/>
      <c r="B1118" s="402"/>
      <c r="C1118" s="402"/>
      <c r="D1118" s="402"/>
      <c r="E1118" s="402"/>
      <c r="F1118" s="402"/>
      <c r="G1118" s="403"/>
      <c r="H1118" s="402"/>
      <c r="I1118" s="402"/>
      <c r="J1118" s="402"/>
      <c r="K1118" s="402"/>
      <c r="L1118" s="402"/>
      <c r="M1118" s="402"/>
      <c r="N1118" s="402"/>
      <c r="O1118" s="402"/>
      <c r="P1118" s="402"/>
      <c r="Q1118" s="402"/>
      <c r="R1118" s="402"/>
      <c r="S1118" s="402"/>
      <c r="T1118" s="402"/>
      <c r="U1118" s="402"/>
      <c r="V1118" s="402"/>
      <c r="W1118" s="402"/>
      <c r="X1118" s="402"/>
      <c r="Y1118" s="402"/>
      <c r="Z1118" s="402"/>
      <c r="AA1118" s="405"/>
      <c r="AB1118" s="405"/>
      <c r="AC1118" s="405"/>
      <c r="AD1118" s="405"/>
      <c r="AE1118" s="405"/>
      <c r="AF1118" s="405"/>
      <c r="AG1118" s="405"/>
      <c r="AH1118" s="405"/>
      <c r="AI1118" s="405"/>
      <c r="AJ1118" s="405"/>
      <c r="AK1118" s="405"/>
      <c r="AL1118" s="405"/>
    </row>
    <row r="1119" ht="14.25" customHeight="1">
      <c r="A1119" s="402"/>
      <c r="B1119" s="402"/>
      <c r="C1119" s="402"/>
      <c r="D1119" s="402"/>
      <c r="E1119" s="402"/>
      <c r="F1119" s="402"/>
      <c r="G1119" s="403"/>
      <c r="H1119" s="402"/>
      <c r="I1119" s="402"/>
      <c r="J1119" s="402"/>
      <c r="K1119" s="402"/>
      <c r="L1119" s="402"/>
      <c r="M1119" s="402"/>
      <c r="N1119" s="402"/>
      <c r="O1119" s="402"/>
      <c r="P1119" s="402"/>
      <c r="Q1119" s="402"/>
      <c r="R1119" s="402"/>
      <c r="S1119" s="402"/>
      <c r="T1119" s="402"/>
      <c r="U1119" s="402"/>
      <c r="V1119" s="402"/>
      <c r="W1119" s="402"/>
      <c r="X1119" s="402"/>
      <c r="Y1119" s="402"/>
      <c r="Z1119" s="402"/>
      <c r="AA1119" s="405"/>
      <c r="AB1119" s="405"/>
      <c r="AC1119" s="405"/>
      <c r="AD1119" s="405"/>
      <c r="AE1119" s="405"/>
      <c r="AF1119" s="405"/>
      <c r="AG1119" s="405"/>
      <c r="AH1119" s="405"/>
      <c r="AI1119" s="405"/>
      <c r="AJ1119" s="405"/>
      <c r="AK1119" s="405"/>
      <c r="AL1119" s="405"/>
    </row>
    <row r="1120" ht="14.25" customHeight="1">
      <c r="A1120" s="402"/>
      <c r="B1120" s="402"/>
      <c r="C1120" s="402"/>
      <c r="D1120" s="402"/>
      <c r="E1120" s="402"/>
      <c r="F1120" s="402"/>
      <c r="G1120" s="403"/>
      <c r="H1120" s="402"/>
      <c r="I1120" s="402"/>
      <c r="J1120" s="402"/>
      <c r="K1120" s="402"/>
      <c r="L1120" s="402"/>
      <c r="M1120" s="402"/>
      <c r="N1120" s="402"/>
      <c r="O1120" s="402"/>
      <c r="P1120" s="402"/>
      <c r="Q1120" s="402"/>
      <c r="R1120" s="402"/>
      <c r="S1120" s="402"/>
      <c r="T1120" s="402"/>
      <c r="U1120" s="402"/>
      <c r="V1120" s="402"/>
      <c r="W1120" s="402"/>
      <c r="X1120" s="402"/>
      <c r="Y1120" s="402"/>
      <c r="Z1120" s="402"/>
      <c r="AA1120" s="405"/>
      <c r="AB1120" s="405"/>
      <c r="AC1120" s="405"/>
      <c r="AD1120" s="405"/>
      <c r="AE1120" s="405"/>
      <c r="AF1120" s="405"/>
      <c r="AG1120" s="405"/>
      <c r="AH1120" s="405"/>
      <c r="AI1120" s="405"/>
      <c r="AJ1120" s="405"/>
      <c r="AK1120" s="405"/>
      <c r="AL1120" s="405"/>
    </row>
    <row r="1121" ht="14.25" customHeight="1">
      <c r="A1121" s="402"/>
      <c r="B1121" s="402"/>
      <c r="C1121" s="402"/>
      <c r="D1121" s="402"/>
      <c r="E1121" s="402"/>
      <c r="F1121" s="402"/>
      <c r="G1121" s="403"/>
      <c r="H1121" s="402"/>
      <c r="I1121" s="402"/>
      <c r="J1121" s="402"/>
      <c r="K1121" s="402"/>
      <c r="L1121" s="402"/>
      <c r="M1121" s="402"/>
      <c r="N1121" s="402"/>
      <c r="O1121" s="402"/>
      <c r="P1121" s="402"/>
      <c r="Q1121" s="402"/>
      <c r="R1121" s="402"/>
      <c r="S1121" s="402"/>
      <c r="T1121" s="402"/>
      <c r="U1121" s="402"/>
      <c r="V1121" s="402"/>
      <c r="W1121" s="402"/>
      <c r="X1121" s="402"/>
      <c r="Y1121" s="402"/>
      <c r="Z1121" s="402"/>
      <c r="AA1121" s="405"/>
      <c r="AB1121" s="405"/>
      <c r="AC1121" s="405"/>
      <c r="AD1121" s="405"/>
      <c r="AE1121" s="405"/>
      <c r="AF1121" s="405"/>
      <c r="AG1121" s="405"/>
      <c r="AH1121" s="405"/>
      <c r="AI1121" s="405"/>
      <c r="AJ1121" s="405"/>
      <c r="AK1121" s="405"/>
      <c r="AL1121" s="405"/>
    </row>
    <row r="1122" ht="14.25" customHeight="1">
      <c r="A1122" s="402"/>
      <c r="B1122" s="402"/>
      <c r="C1122" s="402"/>
      <c r="D1122" s="402"/>
      <c r="E1122" s="402"/>
      <c r="F1122" s="402"/>
      <c r="G1122" s="403"/>
      <c r="H1122" s="402"/>
      <c r="I1122" s="402"/>
      <c r="J1122" s="402"/>
      <c r="K1122" s="402"/>
      <c r="L1122" s="402"/>
      <c r="M1122" s="402"/>
      <c r="N1122" s="402"/>
      <c r="O1122" s="402"/>
      <c r="P1122" s="402"/>
      <c r="Q1122" s="402"/>
      <c r="R1122" s="402"/>
      <c r="S1122" s="402"/>
      <c r="T1122" s="402"/>
      <c r="U1122" s="402"/>
      <c r="V1122" s="402"/>
      <c r="W1122" s="402"/>
      <c r="X1122" s="402"/>
      <c r="Y1122" s="402"/>
      <c r="Z1122" s="402"/>
      <c r="AA1122" s="405"/>
      <c r="AB1122" s="405"/>
      <c r="AC1122" s="405"/>
      <c r="AD1122" s="405"/>
      <c r="AE1122" s="405"/>
      <c r="AF1122" s="405"/>
      <c r="AG1122" s="405"/>
      <c r="AH1122" s="405"/>
      <c r="AI1122" s="405"/>
      <c r="AJ1122" s="405"/>
      <c r="AK1122" s="405"/>
      <c r="AL1122" s="405"/>
    </row>
    <row r="1123" ht="14.25" customHeight="1">
      <c r="A1123" s="402"/>
      <c r="B1123" s="402"/>
      <c r="C1123" s="402"/>
      <c r="D1123" s="402"/>
      <c r="E1123" s="402"/>
      <c r="F1123" s="402"/>
      <c r="G1123" s="403"/>
      <c r="H1123" s="402"/>
      <c r="I1123" s="402"/>
      <c r="J1123" s="402"/>
      <c r="K1123" s="402"/>
      <c r="L1123" s="402"/>
      <c r="M1123" s="402"/>
      <c r="N1123" s="402"/>
      <c r="O1123" s="402"/>
      <c r="P1123" s="402"/>
      <c r="Q1123" s="402"/>
      <c r="R1123" s="402"/>
      <c r="S1123" s="402"/>
      <c r="T1123" s="402"/>
      <c r="U1123" s="402"/>
      <c r="V1123" s="402"/>
      <c r="W1123" s="402"/>
      <c r="X1123" s="402"/>
      <c r="Y1123" s="402"/>
      <c r="Z1123" s="402"/>
      <c r="AA1123" s="405"/>
      <c r="AB1123" s="405"/>
      <c r="AC1123" s="405"/>
      <c r="AD1123" s="405"/>
      <c r="AE1123" s="405"/>
      <c r="AF1123" s="405"/>
      <c r="AG1123" s="405"/>
      <c r="AH1123" s="405"/>
      <c r="AI1123" s="405"/>
      <c r="AJ1123" s="405"/>
      <c r="AK1123" s="405"/>
      <c r="AL1123" s="405"/>
    </row>
    <row r="1124" ht="14.25" customHeight="1">
      <c r="A1124" s="402"/>
      <c r="B1124" s="402"/>
      <c r="C1124" s="402"/>
      <c r="D1124" s="402"/>
      <c r="E1124" s="402"/>
      <c r="F1124" s="402"/>
      <c r="G1124" s="403"/>
      <c r="H1124" s="402"/>
      <c r="I1124" s="402"/>
      <c r="J1124" s="402"/>
      <c r="K1124" s="402"/>
      <c r="L1124" s="402"/>
      <c r="M1124" s="402"/>
      <c r="N1124" s="402"/>
      <c r="O1124" s="402"/>
      <c r="P1124" s="402"/>
      <c r="Q1124" s="402"/>
      <c r="R1124" s="402"/>
      <c r="S1124" s="402"/>
      <c r="T1124" s="402"/>
      <c r="U1124" s="402"/>
      <c r="V1124" s="402"/>
      <c r="W1124" s="402"/>
      <c r="X1124" s="402"/>
      <c r="Y1124" s="402"/>
      <c r="Z1124" s="402"/>
      <c r="AA1124" s="405"/>
      <c r="AB1124" s="405"/>
      <c r="AC1124" s="405"/>
      <c r="AD1124" s="405"/>
      <c r="AE1124" s="405"/>
      <c r="AF1124" s="405"/>
      <c r="AG1124" s="405"/>
      <c r="AH1124" s="405"/>
      <c r="AI1124" s="405"/>
      <c r="AJ1124" s="405"/>
      <c r="AK1124" s="405"/>
      <c r="AL1124" s="405"/>
    </row>
    <row r="1125" ht="14.25" customHeight="1">
      <c r="A1125" s="402"/>
      <c r="B1125" s="402"/>
      <c r="C1125" s="402"/>
      <c r="D1125" s="402"/>
      <c r="E1125" s="402"/>
      <c r="F1125" s="402"/>
      <c r="G1125" s="403"/>
      <c r="H1125" s="402"/>
      <c r="I1125" s="402"/>
      <c r="J1125" s="402"/>
      <c r="K1125" s="402"/>
      <c r="L1125" s="402"/>
      <c r="M1125" s="402"/>
      <c r="N1125" s="402"/>
      <c r="O1125" s="402"/>
      <c r="P1125" s="402"/>
      <c r="Q1125" s="402"/>
      <c r="R1125" s="402"/>
      <c r="S1125" s="402"/>
      <c r="T1125" s="402"/>
      <c r="U1125" s="402"/>
      <c r="V1125" s="402"/>
      <c r="W1125" s="402"/>
      <c r="X1125" s="402"/>
      <c r="Y1125" s="402"/>
      <c r="Z1125" s="402"/>
      <c r="AA1125" s="405"/>
      <c r="AB1125" s="405"/>
      <c r="AC1125" s="405"/>
      <c r="AD1125" s="405"/>
      <c r="AE1125" s="405"/>
      <c r="AF1125" s="405"/>
      <c r="AG1125" s="405"/>
      <c r="AH1125" s="405"/>
      <c r="AI1125" s="405"/>
      <c r="AJ1125" s="405"/>
      <c r="AK1125" s="405"/>
      <c r="AL1125" s="405"/>
    </row>
    <row r="1126" ht="14.25" customHeight="1">
      <c r="A1126" s="402"/>
      <c r="B1126" s="402"/>
      <c r="C1126" s="402"/>
      <c r="D1126" s="402"/>
      <c r="E1126" s="402"/>
      <c r="F1126" s="402"/>
      <c r="G1126" s="403"/>
      <c r="H1126" s="402"/>
      <c r="I1126" s="402"/>
      <c r="J1126" s="402"/>
      <c r="K1126" s="402"/>
      <c r="L1126" s="402"/>
      <c r="M1126" s="402"/>
      <c r="N1126" s="402"/>
      <c r="O1126" s="402"/>
      <c r="P1126" s="402"/>
      <c r="Q1126" s="402"/>
      <c r="R1126" s="402"/>
      <c r="S1126" s="402"/>
      <c r="T1126" s="402"/>
      <c r="U1126" s="402"/>
      <c r="V1126" s="402"/>
      <c r="W1126" s="402"/>
      <c r="X1126" s="402"/>
      <c r="Y1126" s="402"/>
      <c r="Z1126" s="402"/>
      <c r="AA1126" s="405"/>
      <c r="AB1126" s="405"/>
      <c r="AC1126" s="405"/>
      <c r="AD1126" s="405"/>
      <c r="AE1126" s="405"/>
      <c r="AF1126" s="405"/>
      <c r="AG1126" s="405"/>
      <c r="AH1126" s="405"/>
      <c r="AI1126" s="405"/>
      <c r="AJ1126" s="405"/>
      <c r="AK1126" s="405"/>
      <c r="AL1126" s="405"/>
    </row>
    <row r="1127" ht="14.25" customHeight="1">
      <c r="A1127" s="402"/>
      <c r="B1127" s="402"/>
      <c r="C1127" s="402"/>
      <c r="D1127" s="402"/>
      <c r="E1127" s="402"/>
      <c r="F1127" s="402"/>
      <c r="G1127" s="403"/>
      <c r="H1127" s="402"/>
      <c r="I1127" s="402"/>
      <c r="J1127" s="402"/>
      <c r="K1127" s="402"/>
      <c r="L1127" s="402"/>
      <c r="M1127" s="402"/>
      <c r="N1127" s="402"/>
      <c r="O1127" s="402"/>
      <c r="P1127" s="402"/>
      <c r="Q1127" s="402"/>
      <c r="R1127" s="402"/>
      <c r="S1127" s="402"/>
      <c r="T1127" s="402"/>
      <c r="U1127" s="402"/>
      <c r="V1127" s="402"/>
      <c r="W1127" s="402"/>
      <c r="X1127" s="402"/>
      <c r="Y1127" s="402"/>
      <c r="Z1127" s="402"/>
      <c r="AA1127" s="405"/>
      <c r="AB1127" s="405"/>
      <c r="AC1127" s="405"/>
      <c r="AD1127" s="405"/>
      <c r="AE1127" s="405"/>
      <c r="AF1127" s="405"/>
      <c r="AG1127" s="405"/>
      <c r="AH1127" s="405"/>
      <c r="AI1127" s="405"/>
      <c r="AJ1127" s="405"/>
      <c r="AK1127" s="405"/>
      <c r="AL1127" s="405"/>
    </row>
    <row r="1128" ht="14.25" customHeight="1">
      <c r="A1128" s="402"/>
      <c r="B1128" s="402"/>
      <c r="C1128" s="402"/>
      <c r="D1128" s="402"/>
      <c r="E1128" s="402"/>
      <c r="F1128" s="402"/>
      <c r="G1128" s="403"/>
      <c r="H1128" s="402"/>
      <c r="I1128" s="402"/>
      <c r="J1128" s="402"/>
      <c r="K1128" s="402"/>
      <c r="L1128" s="402"/>
      <c r="M1128" s="402"/>
      <c r="N1128" s="402"/>
      <c r="O1128" s="402"/>
      <c r="P1128" s="402"/>
      <c r="Q1128" s="402"/>
      <c r="R1128" s="402"/>
      <c r="S1128" s="402"/>
      <c r="T1128" s="402"/>
      <c r="U1128" s="402"/>
      <c r="V1128" s="402"/>
      <c r="W1128" s="402"/>
      <c r="X1128" s="402"/>
      <c r="Y1128" s="402"/>
      <c r="Z1128" s="402"/>
      <c r="AA1128" s="405"/>
      <c r="AB1128" s="405"/>
      <c r="AC1128" s="405"/>
      <c r="AD1128" s="405"/>
      <c r="AE1128" s="405"/>
      <c r="AF1128" s="405"/>
      <c r="AG1128" s="405"/>
      <c r="AH1128" s="405"/>
      <c r="AI1128" s="405"/>
      <c r="AJ1128" s="405"/>
      <c r="AK1128" s="405"/>
      <c r="AL1128" s="405"/>
    </row>
    <row r="1129" ht="14.25" customHeight="1">
      <c r="A1129" s="402"/>
      <c r="B1129" s="402"/>
      <c r="C1129" s="402"/>
      <c r="D1129" s="402"/>
      <c r="E1129" s="402"/>
      <c r="F1129" s="402"/>
      <c r="G1129" s="403"/>
      <c r="H1129" s="402"/>
      <c r="I1129" s="402"/>
      <c r="J1129" s="402"/>
      <c r="K1129" s="402"/>
      <c r="L1129" s="402"/>
      <c r="M1129" s="402"/>
      <c r="N1129" s="402"/>
      <c r="O1129" s="402"/>
      <c r="P1129" s="402"/>
      <c r="Q1129" s="402"/>
      <c r="R1129" s="402"/>
      <c r="S1129" s="402"/>
      <c r="T1129" s="402"/>
      <c r="U1129" s="402"/>
      <c r="V1129" s="402"/>
      <c r="W1129" s="402"/>
      <c r="X1129" s="402"/>
      <c r="Y1129" s="402"/>
      <c r="Z1129" s="402"/>
      <c r="AA1129" s="405"/>
      <c r="AB1129" s="405"/>
      <c r="AC1129" s="405"/>
      <c r="AD1129" s="405"/>
      <c r="AE1129" s="405"/>
      <c r="AF1129" s="405"/>
      <c r="AG1129" s="405"/>
      <c r="AH1129" s="405"/>
      <c r="AI1129" s="405"/>
      <c r="AJ1129" s="405"/>
      <c r="AK1129" s="405"/>
      <c r="AL1129" s="405"/>
    </row>
    <row r="1130" ht="14.25" customHeight="1">
      <c r="A1130" s="402"/>
      <c r="B1130" s="402"/>
      <c r="C1130" s="402"/>
      <c r="D1130" s="402"/>
      <c r="E1130" s="402"/>
      <c r="F1130" s="402"/>
      <c r="G1130" s="403"/>
      <c r="H1130" s="402"/>
      <c r="I1130" s="402"/>
      <c r="J1130" s="402"/>
      <c r="K1130" s="402"/>
      <c r="L1130" s="402"/>
      <c r="M1130" s="402"/>
      <c r="N1130" s="402"/>
      <c r="O1130" s="402"/>
      <c r="P1130" s="402"/>
      <c r="Q1130" s="402"/>
      <c r="R1130" s="402"/>
      <c r="S1130" s="402"/>
      <c r="T1130" s="402"/>
      <c r="U1130" s="402"/>
      <c r="V1130" s="402"/>
      <c r="W1130" s="402"/>
      <c r="X1130" s="402"/>
      <c r="Y1130" s="402"/>
      <c r="Z1130" s="402"/>
      <c r="AA1130" s="405"/>
      <c r="AB1130" s="405"/>
      <c r="AC1130" s="405"/>
      <c r="AD1130" s="405"/>
      <c r="AE1130" s="405"/>
      <c r="AF1130" s="405"/>
      <c r="AG1130" s="405"/>
      <c r="AH1130" s="405"/>
      <c r="AI1130" s="405"/>
      <c r="AJ1130" s="405"/>
      <c r="AK1130" s="405"/>
      <c r="AL1130" s="405"/>
    </row>
    <row r="1131" ht="14.25" customHeight="1">
      <c r="A1131" s="402"/>
      <c r="B1131" s="402"/>
      <c r="C1131" s="402"/>
      <c r="D1131" s="402"/>
      <c r="E1131" s="402"/>
      <c r="F1131" s="402"/>
      <c r="G1131" s="403"/>
      <c r="H1131" s="402"/>
      <c r="I1131" s="402"/>
      <c r="J1131" s="402"/>
      <c r="K1131" s="402"/>
      <c r="L1131" s="402"/>
      <c r="M1131" s="402"/>
      <c r="N1131" s="402"/>
      <c r="O1131" s="402"/>
      <c r="P1131" s="402"/>
      <c r="Q1131" s="402"/>
      <c r="R1131" s="402"/>
      <c r="S1131" s="402"/>
      <c r="T1131" s="402"/>
      <c r="U1131" s="402"/>
      <c r="V1131" s="402"/>
      <c r="W1131" s="402"/>
      <c r="X1131" s="402"/>
      <c r="Y1131" s="402"/>
      <c r="Z1131" s="402"/>
      <c r="AA1131" s="405"/>
      <c r="AB1131" s="405"/>
      <c r="AC1131" s="405"/>
      <c r="AD1131" s="405"/>
      <c r="AE1131" s="405"/>
      <c r="AF1131" s="405"/>
      <c r="AG1131" s="405"/>
      <c r="AH1131" s="405"/>
      <c r="AI1131" s="405"/>
      <c r="AJ1131" s="405"/>
      <c r="AK1131" s="405"/>
      <c r="AL1131" s="405"/>
    </row>
    <row r="1132" ht="14.25" customHeight="1">
      <c r="A1132" s="402"/>
      <c r="B1132" s="402"/>
      <c r="C1132" s="402"/>
      <c r="D1132" s="402"/>
      <c r="E1132" s="402"/>
      <c r="F1132" s="402"/>
      <c r="G1132" s="403"/>
      <c r="H1132" s="402"/>
      <c r="I1132" s="402"/>
      <c r="J1132" s="402"/>
      <c r="K1132" s="402"/>
      <c r="L1132" s="402"/>
      <c r="M1132" s="402"/>
      <c r="N1132" s="402"/>
      <c r="O1132" s="402"/>
      <c r="P1132" s="402"/>
      <c r="Q1132" s="402"/>
      <c r="R1132" s="402"/>
      <c r="S1132" s="402"/>
      <c r="T1132" s="402"/>
      <c r="U1132" s="402"/>
      <c r="V1132" s="402"/>
      <c r="W1132" s="402"/>
      <c r="X1132" s="402"/>
      <c r="Y1132" s="402"/>
      <c r="Z1132" s="402"/>
      <c r="AA1132" s="405"/>
      <c r="AB1132" s="405"/>
      <c r="AC1132" s="405"/>
      <c r="AD1132" s="405"/>
      <c r="AE1132" s="405"/>
      <c r="AF1132" s="405"/>
      <c r="AG1132" s="405"/>
      <c r="AH1132" s="405"/>
      <c r="AI1132" s="405"/>
      <c r="AJ1132" s="405"/>
      <c r="AK1132" s="405"/>
      <c r="AL1132" s="405"/>
    </row>
    <row r="1133" ht="14.25" customHeight="1">
      <c r="A1133" s="402"/>
      <c r="B1133" s="402"/>
      <c r="C1133" s="402"/>
      <c r="D1133" s="402"/>
      <c r="E1133" s="402"/>
      <c r="F1133" s="402"/>
      <c r="G1133" s="403"/>
      <c r="H1133" s="402"/>
      <c r="I1133" s="402"/>
      <c r="J1133" s="402"/>
      <c r="K1133" s="402"/>
      <c r="L1133" s="402"/>
      <c r="M1133" s="402"/>
      <c r="N1133" s="402"/>
      <c r="O1133" s="402"/>
      <c r="P1133" s="402"/>
      <c r="Q1133" s="402"/>
      <c r="R1133" s="402"/>
      <c r="S1133" s="402"/>
      <c r="T1133" s="402"/>
      <c r="U1133" s="402"/>
      <c r="V1133" s="402"/>
      <c r="W1133" s="402"/>
      <c r="X1133" s="402"/>
      <c r="Y1133" s="402"/>
      <c r="Z1133" s="402"/>
      <c r="AA1133" s="405"/>
      <c r="AB1133" s="405"/>
      <c r="AC1133" s="405"/>
      <c r="AD1133" s="405"/>
      <c r="AE1133" s="405"/>
      <c r="AF1133" s="405"/>
      <c r="AG1133" s="405"/>
      <c r="AH1133" s="405"/>
      <c r="AI1133" s="405"/>
      <c r="AJ1133" s="405"/>
      <c r="AK1133" s="405"/>
      <c r="AL1133" s="405"/>
    </row>
    <row r="1134" ht="14.25" customHeight="1">
      <c r="A1134" s="402"/>
      <c r="B1134" s="402"/>
      <c r="C1134" s="402"/>
      <c r="D1134" s="402"/>
      <c r="E1134" s="402"/>
      <c r="F1134" s="402"/>
      <c r="G1134" s="403"/>
      <c r="H1134" s="402"/>
      <c r="I1134" s="402"/>
      <c r="J1134" s="402"/>
      <c r="K1134" s="402"/>
      <c r="L1134" s="402"/>
      <c r="M1134" s="402"/>
      <c r="N1134" s="402"/>
      <c r="O1134" s="402"/>
      <c r="P1134" s="402"/>
      <c r="Q1134" s="402"/>
      <c r="R1134" s="402"/>
      <c r="S1134" s="402"/>
      <c r="T1134" s="402"/>
      <c r="U1134" s="402"/>
      <c r="V1134" s="402"/>
      <c r="W1134" s="402"/>
      <c r="X1134" s="402"/>
      <c r="Y1134" s="402"/>
      <c r="Z1134" s="402"/>
      <c r="AA1134" s="405"/>
      <c r="AB1134" s="405"/>
      <c r="AC1134" s="405"/>
      <c r="AD1134" s="405"/>
      <c r="AE1134" s="405"/>
      <c r="AF1134" s="405"/>
      <c r="AG1134" s="405"/>
      <c r="AH1134" s="405"/>
      <c r="AI1134" s="405"/>
      <c r="AJ1134" s="405"/>
      <c r="AK1134" s="405"/>
      <c r="AL1134" s="405"/>
    </row>
    <row r="1135" ht="14.25" customHeight="1">
      <c r="A1135" s="402"/>
      <c r="B1135" s="402"/>
      <c r="C1135" s="402"/>
      <c r="D1135" s="402"/>
      <c r="E1135" s="402"/>
      <c r="F1135" s="402"/>
      <c r="G1135" s="403"/>
      <c r="H1135" s="402"/>
      <c r="I1135" s="402"/>
      <c r="J1135" s="402"/>
      <c r="K1135" s="402"/>
      <c r="L1135" s="402"/>
      <c r="M1135" s="402"/>
      <c r="N1135" s="402"/>
      <c r="O1135" s="402"/>
      <c r="P1135" s="402"/>
      <c r="Q1135" s="402"/>
      <c r="R1135" s="402"/>
      <c r="S1135" s="402"/>
      <c r="T1135" s="402"/>
      <c r="U1135" s="402"/>
      <c r="V1135" s="402"/>
      <c r="W1135" s="402"/>
      <c r="X1135" s="402"/>
      <c r="Y1135" s="402"/>
      <c r="Z1135" s="402"/>
      <c r="AA1135" s="405"/>
      <c r="AB1135" s="405"/>
      <c r="AC1135" s="405"/>
      <c r="AD1135" s="405"/>
      <c r="AE1135" s="405"/>
      <c r="AF1135" s="405"/>
      <c r="AG1135" s="405"/>
      <c r="AH1135" s="405"/>
      <c r="AI1135" s="405"/>
      <c r="AJ1135" s="405"/>
      <c r="AK1135" s="405"/>
      <c r="AL1135" s="405"/>
    </row>
    <row r="1136" ht="14.25" customHeight="1">
      <c r="A1136" s="402"/>
      <c r="B1136" s="402"/>
      <c r="C1136" s="402"/>
      <c r="D1136" s="402"/>
      <c r="E1136" s="402"/>
      <c r="F1136" s="402"/>
      <c r="G1136" s="403"/>
      <c r="H1136" s="402"/>
      <c r="I1136" s="402"/>
      <c r="J1136" s="402"/>
      <c r="K1136" s="402"/>
      <c r="L1136" s="402"/>
      <c r="M1136" s="402"/>
      <c r="N1136" s="402"/>
      <c r="O1136" s="402"/>
      <c r="P1136" s="402"/>
      <c r="Q1136" s="402"/>
      <c r="R1136" s="402"/>
      <c r="S1136" s="402"/>
      <c r="T1136" s="402"/>
      <c r="U1136" s="402"/>
      <c r="V1136" s="402"/>
      <c r="W1136" s="402"/>
      <c r="X1136" s="402"/>
      <c r="Y1136" s="402"/>
      <c r="Z1136" s="402"/>
      <c r="AA1136" s="405"/>
      <c r="AB1136" s="405"/>
      <c r="AC1136" s="405"/>
      <c r="AD1136" s="405"/>
      <c r="AE1136" s="405"/>
      <c r="AF1136" s="405"/>
      <c r="AG1136" s="405"/>
      <c r="AH1136" s="405"/>
      <c r="AI1136" s="405"/>
      <c r="AJ1136" s="405"/>
      <c r="AK1136" s="405"/>
      <c r="AL1136" s="405"/>
    </row>
    <row r="1137" ht="14.25" customHeight="1">
      <c r="A1137" s="402"/>
      <c r="B1137" s="402"/>
      <c r="C1137" s="402"/>
      <c r="D1137" s="402"/>
      <c r="E1137" s="402"/>
      <c r="F1137" s="402"/>
      <c r="G1137" s="403"/>
      <c r="H1137" s="402"/>
      <c r="I1137" s="402"/>
      <c r="J1137" s="402"/>
      <c r="K1137" s="402"/>
      <c r="L1137" s="402"/>
      <c r="M1137" s="402"/>
      <c r="N1137" s="402"/>
      <c r="O1137" s="402"/>
      <c r="P1137" s="402"/>
      <c r="Q1137" s="402"/>
      <c r="R1137" s="402"/>
      <c r="S1137" s="402"/>
      <c r="T1137" s="402"/>
      <c r="U1137" s="402"/>
      <c r="V1137" s="402"/>
      <c r="W1137" s="402"/>
      <c r="X1137" s="402"/>
      <c r="Y1137" s="402"/>
      <c r="Z1137" s="402"/>
      <c r="AA1137" s="405"/>
      <c r="AB1137" s="405"/>
      <c r="AC1137" s="405"/>
      <c r="AD1137" s="405"/>
      <c r="AE1137" s="405"/>
      <c r="AF1137" s="405"/>
      <c r="AG1137" s="405"/>
      <c r="AH1137" s="405"/>
      <c r="AI1137" s="405"/>
      <c r="AJ1137" s="405"/>
      <c r="AK1137" s="405"/>
      <c r="AL1137" s="405"/>
    </row>
    <row r="1138" ht="14.25" customHeight="1">
      <c r="A1138" s="402"/>
      <c r="B1138" s="402"/>
      <c r="C1138" s="402"/>
      <c r="D1138" s="402"/>
      <c r="E1138" s="402"/>
      <c r="F1138" s="402"/>
      <c r="G1138" s="403"/>
      <c r="H1138" s="402"/>
      <c r="I1138" s="402"/>
      <c r="J1138" s="402"/>
      <c r="K1138" s="402"/>
      <c r="L1138" s="402"/>
      <c r="M1138" s="402"/>
      <c r="N1138" s="402"/>
      <c r="O1138" s="402"/>
      <c r="P1138" s="402"/>
      <c r="Q1138" s="402"/>
      <c r="R1138" s="402"/>
      <c r="S1138" s="402"/>
      <c r="T1138" s="402"/>
      <c r="U1138" s="402"/>
      <c r="V1138" s="402"/>
      <c r="W1138" s="402"/>
      <c r="X1138" s="402"/>
      <c r="Y1138" s="402"/>
      <c r="Z1138" s="402"/>
      <c r="AA1138" s="405"/>
      <c r="AB1138" s="405"/>
      <c r="AC1138" s="405"/>
      <c r="AD1138" s="405"/>
      <c r="AE1138" s="405"/>
      <c r="AF1138" s="405"/>
      <c r="AG1138" s="405"/>
      <c r="AH1138" s="405"/>
      <c r="AI1138" s="405"/>
      <c r="AJ1138" s="405"/>
      <c r="AK1138" s="405"/>
      <c r="AL1138" s="405"/>
    </row>
    <row r="1139" ht="14.25" customHeight="1">
      <c r="A1139" s="402"/>
      <c r="B1139" s="402"/>
      <c r="C1139" s="402"/>
      <c r="D1139" s="402"/>
      <c r="E1139" s="402"/>
      <c r="F1139" s="402"/>
      <c r="G1139" s="403"/>
      <c r="H1139" s="402"/>
      <c r="I1139" s="402"/>
      <c r="J1139" s="402"/>
      <c r="K1139" s="402"/>
      <c r="L1139" s="402"/>
      <c r="M1139" s="402"/>
      <c r="N1139" s="402"/>
      <c r="O1139" s="402"/>
      <c r="P1139" s="402"/>
      <c r="Q1139" s="402"/>
      <c r="R1139" s="402"/>
      <c r="S1139" s="402"/>
      <c r="T1139" s="402"/>
      <c r="U1139" s="402"/>
      <c r="V1139" s="402"/>
      <c r="W1139" s="402"/>
      <c r="X1139" s="402"/>
      <c r="Y1139" s="402"/>
      <c r="Z1139" s="402"/>
      <c r="AA1139" s="405"/>
      <c r="AB1139" s="405"/>
      <c r="AC1139" s="405"/>
      <c r="AD1139" s="405"/>
      <c r="AE1139" s="405"/>
      <c r="AF1139" s="405"/>
      <c r="AG1139" s="405"/>
      <c r="AH1139" s="405"/>
      <c r="AI1139" s="405"/>
      <c r="AJ1139" s="405"/>
      <c r="AK1139" s="405"/>
      <c r="AL1139" s="405"/>
    </row>
    <row r="1140" ht="14.25" customHeight="1">
      <c r="A1140" s="402"/>
      <c r="B1140" s="402"/>
      <c r="C1140" s="402"/>
      <c r="D1140" s="402"/>
      <c r="E1140" s="402"/>
      <c r="F1140" s="402"/>
      <c r="G1140" s="403"/>
      <c r="H1140" s="402"/>
      <c r="I1140" s="402"/>
      <c r="J1140" s="402"/>
      <c r="K1140" s="402"/>
      <c r="L1140" s="402"/>
      <c r="M1140" s="402"/>
      <c r="N1140" s="402"/>
      <c r="O1140" s="402"/>
      <c r="P1140" s="402"/>
      <c r="Q1140" s="402"/>
      <c r="R1140" s="402"/>
      <c r="S1140" s="402"/>
      <c r="T1140" s="402"/>
      <c r="U1140" s="402"/>
      <c r="V1140" s="402"/>
      <c r="W1140" s="402"/>
      <c r="X1140" s="402"/>
      <c r="Y1140" s="402"/>
      <c r="Z1140" s="402"/>
      <c r="AA1140" s="405"/>
      <c r="AB1140" s="405"/>
      <c r="AC1140" s="405"/>
      <c r="AD1140" s="405"/>
      <c r="AE1140" s="405"/>
      <c r="AF1140" s="405"/>
      <c r="AG1140" s="405"/>
      <c r="AH1140" s="405"/>
      <c r="AI1140" s="405"/>
      <c r="AJ1140" s="405"/>
      <c r="AK1140" s="405"/>
      <c r="AL1140" s="405"/>
    </row>
    <row r="1141" ht="14.25" customHeight="1">
      <c r="A1141" s="402"/>
      <c r="B1141" s="402"/>
      <c r="C1141" s="402"/>
      <c r="D1141" s="402"/>
      <c r="E1141" s="402"/>
      <c r="F1141" s="402"/>
      <c r="G1141" s="403"/>
      <c r="H1141" s="402"/>
      <c r="I1141" s="402"/>
      <c r="J1141" s="402"/>
      <c r="K1141" s="402"/>
      <c r="L1141" s="402"/>
      <c r="M1141" s="402"/>
      <c r="N1141" s="402"/>
      <c r="O1141" s="402"/>
      <c r="P1141" s="402"/>
      <c r="Q1141" s="402"/>
      <c r="R1141" s="402"/>
      <c r="S1141" s="402"/>
      <c r="T1141" s="402"/>
      <c r="U1141" s="402"/>
      <c r="V1141" s="402"/>
      <c r="W1141" s="402"/>
      <c r="X1141" s="402"/>
      <c r="Y1141" s="402"/>
      <c r="Z1141" s="402"/>
      <c r="AA1141" s="405"/>
      <c r="AB1141" s="405"/>
      <c r="AC1141" s="405"/>
      <c r="AD1141" s="405"/>
      <c r="AE1141" s="405"/>
      <c r="AF1141" s="405"/>
      <c r="AG1141" s="405"/>
      <c r="AH1141" s="405"/>
      <c r="AI1141" s="405"/>
      <c r="AJ1141" s="405"/>
      <c r="AK1141" s="405"/>
      <c r="AL1141" s="405"/>
    </row>
    <row r="1142" ht="14.25" customHeight="1">
      <c r="A1142" s="402"/>
      <c r="B1142" s="402"/>
      <c r="C1142" s="402"/>
      <c r="D1142" s="402"/>
      <c r="E1142" s="402"/>
      <c r="F1142" s="402"/>
      <c r="G1142" s="403"/>
      <c r="H1142" s="402"/>
      <c r="I1142" s="402"/>
      <c r="J1142" s="402"/>
      <c r="K1142" s="402"/>
      <c r="L1142" s="402"/>
      <c r="M1142" s="402"/>
      <c r="N1142" s="402"/>
      <c r="O1142" s="402"/>
      <c r="P1142" s="402"/>
      <c r="Q1142" s="402"/>
      <c r="R1142" s="402"/>
      <c r="S1142" s="402"/>
      <c r="T1142" s="402"/>
      <c r="U1142" s="402"/>
      <c r="V1142" s="402"/>
      <c r="W1142" s="402"/>
      <c r="X1142" s="402"/>
      <c r="Y1142" s="402"/>
      <c r="Z1142" s="402"/>
      <c r="AA1142" s="405"/>
      <c r="AB1142" s="405"/>
      <c r="AC1142" s="405"/>
      <c r="AD1142" s="405"/>
      <c r="AE1142" s="405"/>
      <c r="AF1142" s="405"/>
      <c r="AG1142" s="405"/>
      <c r="AH1142" s="405"/>
      <c r="AI1142" s="405"/>
      <c r="AJ1142" s="405"/>
      <c r="AK1142" s="405"/>
      <c r="AL1142" s="405"/>
    </row>
    <row r="1143" ht="14.25" customHeight="1">
      <c r="A1143" s="402"/>
      <c r="B1143" s="402"/>
      <c r="C1143" s="402"/>
      <c r="D1143" s="402"/>
      <c r="E1143" s="402"/>
      <c r="F1143" s="402"/>
      <c r="G1143" s="403"/>
      <c r="H1143" s="402"/>
      <c r="I1143" s="402"/>
      <c r="J1143" s="402"/>
      <c r="K1143" s="402"/>
      <c r="L1143" s="402"/>
      <c r="M1143" s="402"/>
      <c r="N1143" s="402"/>
      <c r="O1143" s="402"/>
      <c r="P1143" s="402"/>
      <c r="Q1143" s="402"/>
      <c r="R1143" s="402"/>
      <c r="S1143" s="402"/>
      <c r="T1143" s="402"/>
      <c r="U1143" s="402"/>
      <c r="V1143" s="402"/>
      <c r="W1143" s="402"/>
      <c r="X1143" s="402"/>
      <c r="Y1143" s="402"/>
      <c r="Z1143" s="402"/>
      <c r="AA1143" s="405"/>
      <c r="AB1143" s="405"/>
      <c r="AC1143" s="405"/>
      <c r="AD1143" s="405"/>
      <c r="AE1143" s="405"/>
      <c r="AF1143" s="405"/>
      <c r="AG1143" s="405"/>
      <c r="AH1143" s="405"/>
      <c r="AI1143" s="405"/>
      <c r="AJ1143" s="405"/>
      <c r="AK1143" s="405"/>
      <c r="AL1143" s="405"/>
    </row>
    <row r="1144" ht="14.25" customHeight="1">
      <c r="A1144" s="402"/>
      <c r="B1144" s="402"/>
      <c r="C1144" s="402"/>
      <c r="D1144" s="402"/>
      <c r="E1144" s="402"/>
      <c r="F1144" s="402"/>
      <c r="G1144" s="403"/>
      <c r="H1144" s="402"/>
      <c r="I1144" s="402"/>
      <c r="J1144" s="402"/>
      <c r="K1144" s="402"/>
      <c r="L1144" s="402"/>
      <c r="M1144" s="402"/>
      <c r="N1144" s="402"/>
      <c r="O1144" s="402"/>
      <c r="P1144" s="402"/>
      <c r="Q1144" s="402"/>
      <c r="R1144" s="402"/>
      <c r="S1144" s="402"/>
      <c r="T1144" s="402"/>
      <c r="U1144" s="402"/>
      <c r="V1144" s="402"/>
      <c r="W1144" s="402"/>
      <c r="X1144" s="402"/>
      <c r="Y1144" s="402"/>
      <c r="Z1144" s="402"/>
      <c r="AA1144" s="405"/>
      <c r="AB1144" s="405"/>
      <c r="AC1144" s="405"/>
      <c r="AD1144" s="405"/>
      <c r="AE1144" s="405"/>
      <c r="AF1144" s="405"/>
      <c r="AG1144" s="405"/>
      <c r="AH1144" s="405"/>
      <c r="AI1144" s="405"/>
      <c r="AJ1144" s="405"/>
      <c r="AK1144" s="405"/>
      <c r="AL1144" s="405"/>
    </row>
    <row r="1145" ht="14.25" customHeight="1">
      <c r="A1145" s="402"/>
      <c r="B1145" s="402"/>
      <c r="C1145" s="402"/>
      <c r="D1145" s="402"/>
      <c r="E1145" s="402"/>
      <c r="F1145" s="402"/>
      <c r="G1145" s="403"/>
      <c r="H1145" s="402"/>
      <c r="I1145" s="402"/>
      <c r="J1145" s="402"/>
      <c r="K1145" s="402"/>
      <c r="L1145" s="402"/>
      <c r="M1145" s="402"/>
      <c r="N1145" s="402"/>
      <c r="O1145" s="402"/>
      <c r="P1145" s="402"/>
      <c r="Q1145" s="402"/>
      <c r="R1145" s="402"/>
      <c r="S1145" s="402"/>
      <c r="T1145" s="402"/>
      <c r="U1145" s="402"/>
      <c r="V1145" s="402"/>
      <c r="W1145" s="402"/>
      <c r="X1145" s="402"/>
      <c r="Y1145" s="402"/>
      <c r="Z1145" s="402"/>
      <c r="AA1145" s="405"/>
      <c r="AB1145" s="405"/>
      <c r="AC1145" s="405"/>
      <c r="AD1145" s="405"/>
      <c r="AE1145" s="405"/>
      <c r="AF1145" s="405"/>
      <c r="AG1145" s="405"/>
      <c r="AH1145" s="405"/>
      <c r="AI1145" s="405"/>
      <c r="AJ1145" s="405"/>
      <c r="AK1145" s="405"/>
      <c r="AL1145" s="405"/>
    </row>
    <row r="1146" ht="14.25" customHeight="1">
      <c r="A1146" s="402"/>
      <c r="B1146" s="402"/>
      <c r="C1146" s="402"/>
      <c r="D1146" s="402"/>
      <c r="E1146" s="402"/>
      <c r="F1146" s="402"/>
      <c r="G1146" s="403"/>
      <c r="H1146" s="402"/>
      <c r="I1146" s="402"/>
      <c r="J1146" s="402"/>
      <c r="K1146" s="402"/>
      <c r="L1146" s="402"/>
      <c r="M1146" s="402"/>
      <c r="N1146" s="402"/>
      <c r="O1146" s="402"/>
      <c r="P1146" s="402"/>
      <c r="Q1146" s="402"/>
      <c r="R1146" s="402"/>
      <c r="S1146" s="402"/>
      <c r="T1146" s="402"/>
      <c r="U1146" s="402"/>
      <c r="V1146" s="402"/>
      <c r="W1146" s="402"/>
      <c r="X1146" s="402"/>
      <c r="Y1146" s="402"/>
      <c r="Z1146" s="402"/>
      <c r="AA1146" s="405"/>
      <c r="AB1146" s="405"/>
      <c r="AC1146" s="405"/>
      <c r="AD1146" s="405"/>
      <c r="AE1146" s="405"/>
      <c r="AF1146" s="405"/>
      <c r="AG1146" s="405"/>
      <c r="AH1146" s="405"/>
      <c r="AI1146" s="405"/>
      <c r="AJ1146" s="405"/>
      <c r="AK1146" s="405"/>
      <c r="AL1146" s="405"/>
    </row>
    <row r="1147" ht="14.25" customHeight="1">
      <c r="A1147" s="402"/>
      <c r="B1147" s="402"/>
      <c r="C1147" s="402"/>
      <c r="D1147" s="402"/>
      <c r="E1147" s="402"/>
      <c r="F1147" s="402"/>
      <c r="G1147" s="403"/>
      <c r="H1147" s="402"/>
      <c r="I1147" s="402"/>
      <c r="J1147" s="402"/>
      <c r="K1147" s="402"/>
      <c r="L1147" s="402"/>
      <c r="M1147" s="402"/>
      <c r="N1147" s="402"/>
      <c r="O1147" s="402"/>
      <c r="P1147" s="402"/>
      <c r="Q1147" s="402"/>
      <c r="R1147" s="402"/>
      <c r="S1147" s="402"/>
      <c r="T1147" s="402"/>
      <c r="U1147" s="402"/>
      <c r="V1147" s="402"/>
      <c r="W1147" s="402"/>
      <c r="X1147" s="402"/>
      <c r="Y1147" s="402"/>
      <c r="Z1147" s="402"/>
      <c r="AA1147" s="405"/>
      <c r="AB1147" s="405"/>
      <c r="AC1147" s="405"/>
      <c r="AD1147" s="405"/>
      <c r="AE1147" s="405"/>
      <c r="AF1147" s="405"/>
      <c r="AG1147" s="405"/>
      <c r="AH1147" s="405"/>
      <c r="AI1147" s="405"/>
      <c r="AJ1147" s="405"/>
      <c r="AK1147" s="405"/>
      <c r="AL1147" s="405"/>
    </row>
    <row r="1148" ht="14.25" customHeight="1">
      <c r="A1148" s="402"/>
      <c r="B1148" s="402"/>
      <c r="C1148" s="402"/>
      <c r="D1148" s="402"/>
      <c r="E1148" s="402"/>
      <c r="F1148" s="402"/>
      <c r="G1148" s="403"/>
      <c r="H1148" s="402"/>
      <c r="I1148" s="402"/>
      <c r="J1148" s="402"/>
      <c r="K1148" s="402"/>
      <c r="L1148" s="402"/>
      <c r="M1148" s="402"/>
      <c r="N1148" s="402"/>
      <c r="O1148" s="402"/>
      <c r="P1148" s="402"/>
      <c r="Q1148" s="402"/>
      <c r="R1148" s="402"/>
      <c r="S1148" s="402"/>
      <c r="T1148" s="402"/>
      <c r="U1148" s="402"/>
      <c r="V1148" s="402"/>
      <c r="W1148" s="402"/>
      <c r="X1148" s="402"/>
      <c r="Y1148" s="402"/>
      <c r="Z1148" s="402"/>
      <c r="AA1148" s="405"/>
      <c r="AB1148" s="405"/>
      <c r="AC1148" s="405"/>
      <c r="AD1148" s="405"/>
      <c r="AE1148" s="405"/>
      <c r="AF1148" s="405"/>
      <c r="AG1148" s="405"/>
      <c r="AH1148" s="405"/>
      <c r="AI1148" s="405"/>
      <c r="AJ1148" s="405"/>
      <c r="AK1148" s="405"/>
      <c r="AL1148" s="405"/>
    </row>
    <row r="1149" ht="14.25" customHeight="1">
      <c r="A1149" s="402"/>
      <c r="B1149" s="402"/>
      <c r="C1149" s="402"/>
      <c r="D1149" s="402"/>
      <c r="E1149" s="402"/>
      <c r="F1149" s="402"/>
      <c r="G1149" s="403"/>
      <c r="H1149" s="402"/>
      <c r="I1149" s="402"/>
      <c r="J1149" s="402"/>
      <c r="K1149" s="402"/>
      <c r="L1149" s="402"/>
      <c r="M1149" s="402"/>
      <c r="N1149" s="402"/>
      <c r="O1149" s="402"/>
      <c r="P1149" s="402"/>
      <c r="Q1149" s="402"/>
      <c r="R1149" s="402"/>
      <c r="S1149" s="402"/>
      <c r="T1149" s="402"/>
      <c r="U1149" s="402"/>
      <c r="V1149" s="402"/>
      <c r="W1149" s="402"/>
      <c r="X1149" s="402"/>
      <c r="Y1149" s="402"/>
      <c r="Z1149" s="402"/>
      <c r="AA1149" s="405"/>
      <c r="AB1149" s="405"/>
      <c r="AC1149" s="405"/>
      <c r="AD1149" s="405"/>
      <c r="AE1149" s="405"/>
      <c r="AF1149" s="405"/>
      <c r="AG1149" s="405"/>
      <c r="AH1149" s="405"/>
      <c r="AI1149" s="405"/>
      <c r="AJ1149" s="405"/>
      <c r="AK1149" s="405"/>
      <c r="AL1149" s="405"/>
    </row>
    <row r="1150" ht="14.25" customHeight="1">
      <c r="A1150" s="402"/>
      <c r="B1150" s="402"/>
      <c r="C1150" s="402"/>
      <c r="D1150" s="402"/>
      <c r="E1150" s="402"/>
      <c r="F1150" s="402"/>
      <c r="G1150" s="403"/>
      <c r="H1150" s="402"/>
      <c r="I1150" s="402"/>
      <c r="J1150" s="402"/>
      <c r="K1150" s="402"/>
      <c r="L1150" s="402"/>
      <c r="M1150" s="402"/>
      <c r="N1150" s="402"/>
      <c r="O1150" s="402"/>
      <c r="P1150" s="402"/>
      <c r="Q1150" s="402"/>
      <c r="R1150" s="402"/>
      <c r="S1150" s="402"/>
      <c r="T1150" s="402"/>
      <c r="U1150" s="402"/>
      <c r="V1150" s="402"/>
      <c r="W1150" s="402"/>
      <c r="X1150" s="402"/>
      <c r="Y1150" s="402"/>
      <c r="Z1150" s="402"/>
      <c r="AA1150" s="405"/>
      <c r="AB1150" s="405"/>
      <c r="AC1150" s="405"/>
      <c r="AD1150" s="405"/>
      <c r="AE1150" s="405"/>
      <c r="AF1150" s="405"/>
      <c r="AG1150" s="405"/>
      <c r="AH1150" s="405"/>
      <c r="AI1150" s="405"/>
      <c r="AJ1150" s="405"/>
      <c r="AK1150" s="405"/>
      <c r="AL1150" s="405"/>
    </row>
    <row r="1151" ht="14.25" customHeight="1">
      <c r="A1151" s="402"/>
      <c r="B1151" s="402"/>
      <c r="C1151" s="402"/>
      <c r="D1151" s="402"/>
      <c r="E1151" s="402"/>
      <c r="F1151" s="402"/>
      <c r="G1151" s="403"/>
      <c r="H1151" s="402"/>
      <c r="I1151" s="402"/>
      <c r="J1151" s="402"/>
      <c r="K1151" s="402"/>
      <c r="L1151" s="402"/>
      <c r="M1151" s="402"/>
      <c r="N1151" s="402"/>
      <c r="O1151" s="402"/>
      <c r="P1151" s="402"/>
      <c r="Q1151" s="402"/>
      <c r="R1151" s="402"/>
      <c r="S1151" s="402"/>
      <c r="T1151" s="402"/>
      <c r="U1151" s="402"/>
      <c r="V1151" s="402"/>
      <c r="W1151" s="402"/>
      <c r="X1151" s="402"/>
      <c r="Y1151" s="402"/>
      <c r="Z1151" s="402"/>
      <c r="AA1151" s="405"/>
      <c r="AB1151" s="405"/>
      <c r="AC1151" s="405"/>
      <c r="AD1151" s="405"/>
      <c r="AE1151" s="405"/>
      <c r="AF1151" s="405"/>
      <c r="AG1151" s="405"/>
      <c r="AH1151" s="405"/>
      <c r="AI1151" s="405"/>
      <c r="AJ1151" s="405"/>
      <c r="AK1151" s="405"/>
      <c r="AL1151" s="405"/>
    </row>
    <row r="1152" ht="14.25" customHeight="1">
      <c r="A1152" s="402"/>
      <c r="B1152" s="402"/>
      <c r="C1152" s="402"/>
      <c r="D1152" s="402"/>
      <c r="E1152" s="402"/>
      <c r="F1152" s="402"/>
      <c r="G1152" s="403"/>
      <c r="H1152" s="402"/>
      <c r="I1152" s="402"/>
      <c r="J1152" s="402"/>
      <c r="K1152" s="402"/>
      <c r="L1152" s="402"/>
      <c r="M1152" s="402"/>
      <c r="N1152" s="402"/>
      <c r="O1152" s="402"/>
      <c r="P1152" s="402"/>
      <c r="Q1152" s="402"/>
      <c r="R1152" s="402"/>
      <c r="S1152" s="402"/>
      <c r="T1152" s="402"/>
      <c r="U1152" s="402"/>
      <c r="V1152" s="402"/>
      <c r="W1152" s="402"/>
      <c r="X1152" s="402"/>
      <c r="Y1152" s="402"/>
      <c r="Z1152" s="402"/>
      <c r="AA1152" s="405"/>
      <c r="AB1152" s="405"/>
      <c r="AC1152" s="405"/>
      <c r="AD1152" s="405"/>
      <c r="AE1152" s="405"/>
      <c r="AF1152" s="405"/>
      <c r="AG1152" s="405"/>
      <c r="AH1152" s="405"/>
      <c r="AI1152" s="405"/>
      <c r="AJ1152" s="405"/>
      <c r="AK1152" s="405"/>
      <c r="AL1152" s="405"/>
    </row>
    <row r="1153" ht="14.25" customHeight="1">
      <c r="A1153" s="402"/>
      <c r="B1153" s="402"/>
      <c r="C1153" s="402"/>
      <c r="D1153" s="402"/>
      <c r="E1153" s="402"/>
      <c r="F1153" s="402"/>
      <c r="G1153" s="403"/>
      <c r="H1153" s="402"/>
      <c r="I1153" s="402"/>
      <c r="J1153" s="402"/>
      <c r="K1153" s="402"/>
      <c r="L1153" s="402"/>
      <c r="M1153" s="402"/>
      <c r="N1153" s="402"/>
      <c r="O1153" s="402"/>
      <c r="P1153" s="402"/>
      <c r="Q1153" s="402"/>
      <c r="R1153" s="402"/>
      <c r="S1153" s="402"/>
      <c r="T1153" s="402"/>
      <c r="U1153" s="402"/>
      <c r="V1153" s="402"/>
      <c r="W1153" s="402"/>
      <c r="X1153" s="402"/>
      <c r="Y1153" s="402"/>
      <c r="Z1153" s="402"/>
      <c r="AA1153" s="405"/>
      <c r="AB1153" s="405"/>
      <c r="AC1153" s="405"/>
      <c r="AD1153" s="405"/>
      <c r="AE1153" s="405"/>
      <c r="AF1153" s="405"/>
      <c r="AG1153" s="405"/>
      <c r="AH1153" s="405"/>
      <c r="AI1153" s="405"/>
      <c r="AJ1153" s="405"/>
      <c r="AK1153" s="405"/>
      <c r="AL1153" s="405"/>
    </row>
    <row r="1154" ht="14.25" customHeight="1">
      <c r="A1154" s="402"/>
      <c r="B1154" s="402"/>
      <c r="C1154" s="402"/>
      <c r="D1154" s="402"/>
      <c r="E1154" s="402"/>
      <c r="F1154" s="402"/>
      <c r="G1154" s="403"/>
      <c r="H1154" s="402"/>
      <c r="I1154" s="402"/>
      <c r="J1154" s="402"/>
      <c r="K1154" s="402"/>
      <c r="L1154" s="402"/>
      <c r="M1154" s="402"/>
      <c r="N1154" s="402"/>
      <c r="O1154" s="402"/>
      <c r="P1154" s="402"/>
      <c r="Q1154" s="402"/>
      <c r="R1154" s="402"/>
      <c r="S1154" s="402"/>
      <c r="T1154" s="402"/>
      <c r="U1154" s="402"/>
      <c r="V1154" s="402"/>
      <c r="W1154" s="402"/>
      <c r="X1154" s="402"/>
      <c r="Y1154" s="402"/>
      <c r="Z1154" s="402"/>
      <c r="AA1154" s="405"/>
      <c r="AB1154" s="405"/>
      <c r="AC1154" s="405"/>
      <c r="AD1154" s="405"/>
      <c r="AE1154" s="405"/>
      <c r="AF1154" s="405"/>
      <c r="AG1154" s="405"/>
      <c r="AH1154" s="405"/>
      <c r="AI1154" s="405"/>
      <c r="AJ1154" s="405"/>
      <c r="AK1154" s="405"/>
      <c r="AL1154" s="405"/>
    </row>
    <row r="1155" ht="14.25" customHeight="1">
      <c r="A1155" s="402"/>
      <c r="B1155" s="402"/>
      <c r="C1155" s="402"/>
      <c r="D1155" s="402"/>
      <c r="E1155" s="402"/>
      <c r="F1155" s="402"/>
      <c r="G1155" s="403"/>
      <c r="H1155" s="402"/>
      <c r="I1155" s="402"/>
      <c r="J1155" s="402"/>
      <c r="K1155" s="402"/>
      <c r="L1155" s="402"/>
      <c r="M1155" s="402"/>
      <c r="N1155" s="402"/>
      <c r="O1155" s="402"/>
      <c r="P1155" s="402"/>
      <c r="Q1155" s="402"/>
      <c r="R1155" s="402"/>
      <c r="S1155" s="402"/>
      <c r="T1155" s="402"/>
      <c r="U1155" s="402"/>
      <c r="V1155" s="402"/>
      <c r="W1155" s="402"/>
      <c r="X1155" s="402"/>
      <c r="Y1155" s="402"/>
      <c r="Z1155" s="402"/>
      <c r="AA1155" s="405"/>
      <c r="AB1155" s="405"/>
      <c r="AC1155" s="405"/>
      <c r="AD1155" s="405"/>
      <c r="AE1155" s="405"/>
      <c r="AF1155" s="405"/>
      <c r="AG1155" s="405"/>
      <c r="AH1155" s="405"/>
      <c r="AI1155" s="405"/>
      <c r="AJ1155" s="405"/>
      <c r="AK1155" s="405"/>
      <c r="AL1155" s="405"/>
    </row>
    <row r="1156" ht="14.25" customHeight="1">
      <c r="A1156" s="402"/>
      <c r="B1156" s="402"/>
      <c r="C1156" s="402"/>
      <c r="D1156" s="402"/>
      <c r="E1156" s="402"/>
      <c r="F1156" s="402"/>
      <c r="G1156" s="403"/>
      <c r="H1156" s="402"/>
      <c r="I1156" s="402"/>
      <c r="J1156" s="402"/>
      <c r="K1156" s="402"/>
      <c r="L1156" s="402"/>
      <c r="M1156" s="402"/>
      <c r="N1156" s="402"/>
      <c r="O1156" s="402"/>
      <c r="P1156" s="402"/>
      <c r="Q1156" s="402"/>
      <c r="R1156" s="402"/>
      <c r="S1156" s="402"/>
      <c r="T1156" s="402"/>
      <c r="U1156" s="402"/>
      <c r="V1156" s="402"/>
      <c r="W1156" s="402"/>
      <c r="X1156" s="402"/>
      <c r="Y1156" s="402"/>
      <c r="Z1156" s="402"/>
      <c r="AA1156" s="405"/>
      <c r="AB1156" s="405"/>
      <c r="AC1156" s="405"/>
      <c r="AD1156" s="405"/>
      <c r="AE1156" s="405"/>
      <c r="AF1156" s="405"/>
      <c r="AG1156" s="405"/>
      <c r="AH1156" s="405"/>
      <c r="AI1156" s="405"/>
      <c r="AJ1156" s="405"/>
      <c r="AK1156" s="405"/>
      <c r="AL1156" s="405"/>
    </row>
    <row r="1157" ht="14.25" customHeight="1">
      <c r="A1157" s="402"/>
      <c r="B1157" s="402"/>
      <c r="C1157" s="402"/>
      <c r="D1157" s="402"/>
      <c r="E1157" s="402"/>
      <c r="F1157" s="402"/>
      <c r="G1157" s="403"/>
      <c r="H1157" s="402"/>
      <c r="I1157" s="402"/>
      <c r="J1157" s="402"/>
      <c r="K1157" s="402"/>
      <c r="L1157" s="402"/>
      <c r="M1157" s="402"/>
      <c r="N1157" s="402"/>
      <c r="O1157" s="402"/>
      <c r="P1157" s="402"/>
      <c r="Q1157" s="402"/>
      <c r="R1157" s="402"/>
      <c r="S1157" s="402"/>
      <c r="T1157" s="402"/>
      <c r="U1157" s="402"/>
      <c r="V1157" s="402"/>
      <c r="W1157" s="402"/>
      <c r="X1157" s="402"/>
      <c r="Y1157" s="402"/>
      <c r="Z1157" s="402"/>
      <c r="AA1157" s="405"/>
      <c r="AB1157" s="405"/>
      <c r="AC1157" s="405"/>
      <c r="AD1157" s="405"/>
      <c r="AE1157" s="405"/>
      <c r="AF1157" s="405"/>
      <c r="AG1157" s="405"/>
      <c r="AH1157" s="405"/>
      <c r="AI1157" s="405"/>
      <c r="AJ1157" s="405"/>
      <c r="AK1157" s="405"/>
      <c r="AL1157" s="405"/>
    </row>
    <row r="1158" ht="14.25" customHeight="1">
      <c r="A1158" s="402"/>
      <c r="B1158" s="402"/>
      <c r="C1158" s="402"/>
      <c r="D1158" s="402"/>
      <c r="E1158" s="402"/>
      <c r="F1158" s="402"/>
      <c r="G1158" s="403"/>
      <c r="H1158" s="402"/>
      <c r="I1158" s="402"/>
      <c r="J1158" s="402"/>
      <c r="K1158" s="402"/>
      <c r="L1158" s="402"/>
      <c r="M1158" s="402"/>
      <c r="N1158" s="402"/>
      <c r="O1158" s="402"/>
      <c r="P1158" s="402"/>
      <c r="Q1158" s="402"/>
      <c r="R1158" s="402"/>
      <c r="S1158" s="402"/>
      <c r="T1158" s="402"/>
      <c r="U1158" s="402"/>
      <c r="V1158" s="402"/>
      <c r="W1158" s="402"/>
      <c r="X1158" s="402"/>
      <c r="Y1158" s="402"/>
      <c r="Z1158" s="402"/>
      <c r="AA1158" s="405"/>
      <c r="AB1158" s="405"/>
      <c r="AC1158" s="405"/>
      <c r="AD1158" s="405"/>
      <c r="AE1158" s="405"/>
      <c r="AF1158" s="405"/>
      <c r="AG1158" s="405"/>
      <c r="AH1158" s="405"/>
      <c r="AI1158" s="405"/>
      <c r="AJ1158" s="405"/>
      <c r="AK1158" s="405"/>
      <c r="AL1158" s="405"/>
    </row>
    <row r="1159" ht="14.25" customHeight="1">
      <c r="A1159" s="402"/>
      <c r="B1159" s="402"/>
      <c r="C1159" s="402"/>
      <c r="D1159" s="402"/>
      <c r="E1159" s="402"/>
      <c r="F1159" s="402"/>
      <c r="G1159" s="403"/>
      <c r="H1159" s="402"/>
      <c r="I1159" s="402"/>
      <c r="J1159" s="402"/>
      <c r="K1159" s="402"/>
      <c r="L1159" s="402"/>
      <c r="M1159" s="402"/>
      <c r="N1159" s="402"/>
      <c r="O1159" s="402"/>
      <c r="P1159" s="402"/>
      <c r="Q1159" s="402"/>
      <c r="R1159" s="402"/>
      <c r="S1159" s="402"/>
      <c r="T1159" s="402"/>
      <c r="U1159" s="402"/>
      <c r="V1159" s="402"/>
      <c r="W1159" s="402"/>
      <c r="X1159" s="402"/>
      <c r="Y1159" s="402"/>
      <c r="Z1159" s="402"/>
      <c r="AA1159" s="405"/>
      <c r="AB1159" s="405"/>
      <c r="AC1159" s="405"/>
      <c r="AD1159" s="405"/>
      <c r="AE1159" s="405"/>
      <c r="AF1159" s="405"/>
      <c r="AG1159" s="405"/>
      <c r="AH1159" s="405"/>
      <c r="AI1159" s="405"/>
      <c r="AJ1159" s="405"/>
      <c r="AK1159" s="405"/>
      <c r="AL1159" s="405"/>
    </row>
    <row r="1160" ht="14.25" customHeight="1">
      <c r="A1160" s="402"/>
      <c r="B1160" s="402"/>
      <c r="C1160" s="402"/>
      <c r="D1160" s="402"/>
      <c r="E1160" s="402"/>
      <c r="F1160" s="402"/>
      <c r="G1160" s="403"/>
      <c r="H1160" s="402"/>
      <c r="I1160" s="402"/>
      <c r="J1160" s="402"/>
      <c r="K1160" s="402"/>
      <c r="L1160" s="402"/>
      <c r="M1160" s="402"/>
      <c r="N1160" s="402"/>
      <c r="O1160" s="402"/>
      <c r="P1160" s="402"/>
      <c r="Q1160" s="402"/>
      <c r="R1160" s="402"/>
      <c r="S1160" s="402"/>
      <c r="T1160" s="402"/>
      <c r="U1160" s="402"/>
      <c r="V1160" s="402"/>
      <c r="W1160" s="402"/>
      <c r="X1160" s="402"/>
      <c r="Y1160" s="402"/>
      <c r="Z1160" s="402"/>
      <c r="AA1160" s="405"/>
      <c r="AB1160" s="405"/>
      <c r="AC1160" s="405"/>
      <c r="AD1160" s="405"/>
      <c r="AE1160" s="405"/>
      <c r="AF1160" s="405"/>
      <c r="AG1160" s="405"/>
      <c r="AH1160" s="405"/>
      <c r="AI1160" s="405"/>
      <c r="AJ1160" s="405"/>
      <c r="AK1160" s="405"/>
      <c r="AL1160" s="405"/>
    </row>
    <row r="1161" ht="14.25" customHeight="1">
      <c r="A1161" s="402"/>
      <c r="B1161" s="402"/>
      <c r="C1161" s="402"/>
      <c r="D1161" s="402"/>
      <c r="E1161" s="402"/>
      <c r="F1161" s="402"/>
      <c r="G1161" s="403"/>
      <c r="H1161" s="402"/>
      <c r="I1161" s="402"/>
      <c r="J1161" s="402"/>
      <c r="K1161" s="402"/>
      <c r="L1161" s="402"/>
      <c r="M1161" s="402"/>
      <c r="N1161" s="402"/>
      <c r="O1161" s="402"/>
      <c r="P1161" s="402"/>
      <c r="Q1161" s="402"/>
      <c r="R1161" s="402"/>
      <c r="S1161" s="402"/>
      <c r="T1161" s="402"/>
      <c r="U1161" s="402"/>
      <c r="V1161" s="402"/>
      <c r="W1161" s="402"/>
      <c r="X1161" s="402"/>
      <c r="Y1161" s="402"/>
      <c r="Z1161" s="402"/>
      <c r="AA1161" s="405"/>
      <c r="AB1161" s="405"/>
      <c r="AC1161" s="405"/>
      <c r="AD1161" s="405"/>
      <c r="AE1161" s="405"/>
      <c r="AF1161" s="405"/>
      <c r="AG1161" s="405"/>
      <c r="AH1161" s="405"/>
      <c r="AI1161" s="405"/>
      <c r="AJ1161" s="405"/>
      <c r="AK1161" s="405"/>
      <c r="AL1161" s="405"/>
    </row>
    <row r="1162" ht="14.25" customHeight="1">
      <c r="A1162" s="402"/>
      <c r="B1162" s="402"/>
      <c r="C1162" s="402"/>
      <c r="D1162" s="402"/>
      <c r="E1162" s="402"/>
      <c r="F1162" s="402"/>
      <c r="G1162" s="403"/>
      <c r="H1162" s="402"/>
      <c r="I1162" s="402"/>
      <c r="J1162" s="402"/>
      <c r="K1162" s="402"/>
      <c r="L1162" s="402"/>
      <c r="M1162" s="402"/>
      <c r="N1162" s="402"/>
      <c r="O1162" s="402"/>
      <c r="P1162" s="402"/>
      <c r="Q1162" s="402"/>
      <c r="R1162" s="402"/>
      <c r="S1162" s="402"/>
      <c r="T1162" s="402"/>
      <c r="U1162" s="402"/>
      <c r="V1162" s="402"/>
      <c r="W1162" s="402"/>
      <c r="X1162" s="402"/>
      <c r="Y1162" s="402"/>
      <c r="Z1162" s="402"/>
      <c r="AA1162" s="405"/>
      <c r="AB1162" s="405"/>
      <c r="AC1162" s="405"/>
      <c r="AD1162" s="405"/>
      <c r="AE1162" s="405"/>
      <c r="AF1162" s="405"/>
      <c r="AG1162" s="405"/>
      <c r="AH1162" s="405"/>
      <c r="AI1162" s="405"/>
      <c r="AJ1162" s="405"/>
      <c r="AK1162" s="405"/>
      <c r="AL1162" s="405"/>
    </row>
    <row r="1163" ht="14.25" customHeight="1">
      <c r="A1163" s="402"/>
      <c r="B1163" s="402"/>
      <c r="C1163" s="402"/>
      <c r="D1163" s="402"/>
      <c r="E1163" s="402"/>
      <c r="F1163" s="402"/>
      <c r="G1163" s="403"/>
      <c r="H1163" s="402"/>
      <c r="I1163" s="402"/>
      <c r="J1163" s="402"/>
      <c r="K1163" s="402"/>
      <c r="L1163" s="402"/>
      <c r="M1163" s="402"/>
      <c r="N1163" s="402"/>
      <c r="O1163" s="402"/>
      <c r="P1163" s="402"/>
      <c r="Q1163" s="402"/>
      <c r="R1163" s="402"/>
      <c r="S1163" s="402"/>
      <c r="T1163" s="402"/>
      <c r="U1163" s="402"/>
      <c r="V1163" s="402"/>
      <c r="W1163" s="402"/>
      <c r="X1163" s="402"/>
      <c r="Y1163" s="402"/>
      <c r="Z1163" s="402"/>
      <c r="AA1163" s="405"/>
      <c r="AB1163" s="405"/>
      <c r="AC1163" s="405"/>
      <c r="AD1163" s="405"/>
      <c r="AE1163" s="405"/>
      <c r="AF1163" s="405"/>
      <c r="AG1163" s="405"/>
      <c r="AH1163" s="405"/>
      <c r="AI1163" s="405"/>
      <c r="AJ1163" s="405"/>
      <c r="AK1163" s="405"/>
      <c r="AL1163" s="405"/>
    </row>
    <row r="1164" ht="14.25" customHeight="1">
      <c r="A1164" s="402"/>
      <c r="B1164" s="402"/>
      <c r="C1164" s="402"/>
      <c r="D1164" s="402"/>
      <c r="E1164" s="402"/>
      <c r="F1164" s="402"/>
      <c r="G1164" s="403"/>
      <c r="H1164" s="402"/>
      <c r="I1164" s="402"/>
      <c r="J1164" s="402"/>
      <c r="K1164" s="402"/>
      <c r="L1164" s="402"/>
      <c r="M1164" s="402"/>
      <c r="N1164" s="402"/>
      <c r="O1164" s="402"/>
      <c r="P1164" s="402"/>
      <c r="Q1164" s="402"/>
      <c r="R1164" s="402"/>
      <c r="S1164" s="402"/>
      <c r="T1164" s="402"/>
      <c r="U1164" s="402"/>
      <c r="V1164" s="402"/>
      <c r="W1164" s="402"/>
      <c r="X1164" s="402"/>
      <c r="Y1164" s="402"/>
      <c r="Z1164" s="402"/>
      <c r="AA1164" s="405"/>
      <c r="AB1164" s="405"/>
      <c r="AC1164" s="405"/>
      <c r="AD1164" s="405"/>
      <c r="AE1164" s="405"/>
      <c r="AF1164" s="405"/>
      <c r="AG1164" s="405"/>
      <c r="AH1164" s="405"/>
      <c r="AI1164" s="405"/>
      <c r="AJ1164" s="405"/>
      <c r="AK1164" s="405"/>
      <c r="AL1164" s="405"/>
    </row>
    <row r="1165" ht="14.25" customHeight="1">
      <c r="A1165" s="402"/>
      <c r="B1165" s="402"/>
      <c r="C1165" s="402"/>
      <c r="D1165" s="402"/>
      <c r="E1165" s="402"/>
      <c r="F1165" s="402"/>
      <c r="G1165" s="403"/>
      <c r="H1165" s="402"/>
      <c r="I1165" s="402"/>
      <c r="J1165" s="402"/>
      <c r="K1165" s="402"/>
      <c r="L1165" s="402"/>
      <c r="M1165" s="402"/>
      <c r="N1165" s="402"/>
      <c r="O1165" s="402"/>
      <c r="P1165" s="402"/>
      <c r="Q1165" s="402"/>
      <c r="R1165" s="402"/>
      <c r="S1165" s="402"/>
      <c r="T1165" s="402"/>
      <c r="U1165" s="402"/>
      <c r="V1165" s="402"/>
      <c r="W1165" s="402"/>
      <c r="X1165" s="402"/>
      <c r="Y1165" s="402"/>
      <c r="Z1165" s="402"/>
      <c r="AA1165" s="405"/>
      <c r="AB1165" s="405"/>
      <c r="AC1165" s="405"/>
      <c r="AD1165" s="405"/>
      <c r="AE1165" s="405"/>
      <c r="AF1165" s="405"/>
      <c r="AG1165" s="405"/>
      <c r="AH1165" s="405"/>
      <c r="AI1165" s="405"/>
      <c r="AJ1165" s="405"/>
      <c r="AK1165" s="405"/>
      <c r="AL1165" s="405"/>
    </row>
    <row r="1166" ht="14.25" customHeight="1">
      <c r="A1166" s="402"/>
      <c r="B1166" s="402"/>
      <c r="C1166" s="402"/>
      <c r="D1166" s="402"/>
      <c r="E1166" s="402"/>
      <c r="F1166" s="402"/>
      <c r="G1166" s="403"/>
      <c r="H1166" s="402"/>
      <c r="I1166" s="402"/>
      <c r="J1166" s="402"/>
      <c r="K1166" s="402"/>
      <c r="L1166" s="402"/>
      <c r="M1166" s="402"/>
      <c r="N1166" s="402"/>
      <c r="O1166" s="402"/>
      <c r="P1166" s="402"/>
      <c r="Q1166" s="402"/>
      <c r="R1166" s="402"/>
      <c r="S1166" s="402"/>
      <c r="T1166" s="402"/>
      <c r="U1166" s="402"/>
      <c r="V1166" s="402"/>
      <c r="W1166" s="402"/>
      <c r="X1166" s="402"/>
      <c r="Y1166" s="402"/>
      <c r="Z1166" s="402"/>
      <c r="AA1166" s="405"/>
      <c r="AB1166" s="405"/>
      <c r="AC1166" s="405"/>
      <c r="AD1166" s="405"/>
      <c r="AE1166" s="405"/>
      <c r="AF1166" s="405"/>
      <c r="AG1166" s="405"/>
      <c r="AH1166" s="405"/>
      <c r="AI1166" s="405"/>
      <c r="AJ1166" s="405"/>
      <c r="AK1166" s="405"/>
      <c r="AL1166" s="405"/>
    </row>
    <row r="1167" ht="14.25" customHeight="1">
      <c r="A1167" s="402"/>
      <c r="B1167" s="402"/>
      <c r="C1167" s="402"/>
      <c r="D1167" s="402"/>
      <c r="E1167" s="402"/>
      <c r="F1167" s="402"/>
      <c r="G1167" s="403"/>
      <c r="H1167" s="402"/>
      <c r="I1167" s="402"/>
      <c r="J1167" s="402"/>
      <c r="K1167" s="402"/>
      <c r="L1167" s="402"/>
      <c r="M1167" s="402"/>
      <c r="N1167" s="402"/>
      <c r="O1167" s="402"/>
      <c r="P1167" s="402"/>
      <c r="Q1167" s="402"/>
      <c r="R1167" s="402"/>
      <c r="S1167" s="402"/>
      <c r="T1167" s="402"/>
      <c r="U1167" s="402"/>
      <c r="V1167" s="402"/>
      <c r="W1167" s="402"/>
      <c r="X1167" s="402"/>
      <c r="Y1167" s="402"/>
      <c r="Z1167" s="402"/>
      <c r="AA1167" s="405"/>
      <c r="AB1167" s="405"/>
      <c r="AC1167" s="405"/>
      <c r="AD1167" s="405"/>
      <c r="AE1167" s="405"/>
      <c r="AF1167" s="405"/>
      <c r="AG1167" s="405"/>
      <c r="AH1167" s="405"/>
      <c r="AI1167" s="405"/>
      <c r="AJ1167" s="405"/>
      <c r="AK1167" s="405"/>
      <c r="AL1167" s="405"/>
    </row>
    <row r="1168" ht="14.25" customHeight="1">
      <c r="A1168" s="402"/>
      <c r="B1168" s="402"/>
      <c r="C1168" s="402"/>
      <c r="D1168" s="402"/>
      <c r="E1168" s="402"/>
      <c r="F1168" s="402"/>
      <c r="G1168" s="403"/>
      <c r="H1168" s="402"/>
      <c r="I1168" s="402"/>
      <c r="J1168" s="402"/>
      <c r="K1168" s="402"/>
      <c r="L1168" s="402"/>
      <c r="M1168" s="402"/>
      <c r="N1168" s="402"/>
      <c r="O1168" s="402"/>
      <c r="P1168" s="402"/>
      <c r="Q1168" s="402"/>
      <c r="R1168" s="402"/>
      <c r="S1168" s="402"/>
      <c r="T1168" s="402"/>
      <c r="U1168" s="402"/>
      <c r="V1168" s="402"/>
      <c r="W1168" s="402"/>
      <c r="X1168" s="402"/>
      <c r="Y1168" s="402"/>
      <c r="Z1168" s="402"/>
      <c r="AA1168" s="405"/>
      <c r="AB1168" s="405"/>
      <c r="AC1168" s="405"/>
      <c r="AD1168" s="405"/>
      <c r="AE1168" s="405"/>
      <c r="AF1168" s="405"/>
      <c r="AG1168" s="405"/>
      <c r="AH1168" s="405"/>
      <c r="AI1168" s="405"/>
      <c r="AJ1168" s="405"/>
      <c r="AK1168" s="405"/>
      <c r="AL1168" s="405"/>
    </row>
    <row r="1169" ht="14.25" customHeight="1">
      <c r="A1169" s="402"/>
      <c r="B1169" s="402"/>
      <c r="C1169" s="402"/>
      <c r="D1169" s="402"/>
      <c r="E1169" s="402"/>
      <c r="F1169" s="402"/>
      <c r="G1169" s="403"/>
      <c r="H1169" s="402"/>
      <c r="I1169" s="402"/>
      <c r="J1169" s="402"/>
      <c r="K1169" s="402"/>
      <c r="L1169" s="402"/>
      <c r="M1169" s="402"/>
      <c r="N1169" s="402"/>
      <c r="O1169" s="402"/>
      <c r="P1169" s="402"/>
      <c r="Q1169" s="402"/>
      <c r="R1169" s="402"/>
      <c r="S1169" s="402"/>
      <c r="T1169" s="402"/>
      <c r="U1169" s="402"/>
      <c r="V1169" s="402"/>
      <c r="W1169" s="402"/>
      <c r="X1169" s="402"/>
      <c r="Y1169" s="402"/>
      <c r="Z1169" s="402"/>
      <c r="AA1169" s="405"/>
      <c r="AB1169" s="405"/>
      <c r="AC1169" s="405"/>
      <c r="AD1169" s="405"/>
      <c r="AE1169" s="405"/>
      <c r="AF1169" s="405"/>
      <c r="AG1169" s="405"/>
      <c r="AH1169" s="405"/>
      <c r="AI1169" s="405"/>
      <c r="AJ1169" s="405"/>
      <c r="AK1169" s="405"/>
      <c r="AL1169" s="405"/>
    </row>
    <row r="1170" ht="14.25" customHeight="1">
      <c r="A1170" s="402"/>
      <c r="B1170" s="402"/>
      <c r="C1170" s="402"/>
      <c r="D1170" s="402"/>
      <c r="E1170" s="402"/>
      <c r="F1170" s="402"/>
      <c r="G1170" s="403"/>
      <c r="H1170" s="402"/>
      <c r="I1170" s="402"/>
      <c r="J1170" s="402"/>
      <c r="K1170" s="402"/>
      <c r="L1170" s="402"/>
      <c r="M1170" s="402"/>
      <c r="N1170" s="402"/>
      <c r="O1170" s="402"/>
      <c r="P1170" s="402"/>
      <c r="Q1170" s="402"/>
      <c r="R1170" s="402"/>
      <c r="S1170" s="402"/>
      <c r="T1170" s="402"/>
      <c r="U1170" s="402"/>
      <c r="V1170" s="402"/>
      <c r="W1170" s="402"/>
      <c r="X1170" s="402"/>
      <c r="Y1170" s="402"/>
      <c r="Z1170" s="402"/>
      <c r="AA1170" s="405"/>
      <c r="AB1170" s="405"/>
      <c r="AC1170" s="405"/>
      <c r="AD1170" s="405"/>
      <c r="AE1170" s="405"/>
      <c r="AF1170" s="405"/>
      <c r="AG1170" s="405"/>
      <c r="AH1170" s="405"/>
      <c r="AI1170" s="405"/>
      <c r="AJ1170" s="405"/>
      <c r="AK1170" s="405"/>
      <c r="AL1170" s="405"/>
    </row>
    <row r="1171" ht="14.25" customHeight="1">
      <c r="A1171" s="402"/>
      <c r="B1171" s="402"/>
      <c r="C1171" s="402"/>
      <c r="D1171" s="402"/>
      <c r="E1171" s="402"/>
      <c r="F1171" s="402"/>
      <c r="G1171" s="403"/>
      <c r="H1171" s="402"/>
      <c r="I1171" s="402"/>
      <c r="J1171" s="402"/>
      <c r="K1171" s="402"/>
      <c r="L1171" s="402"/>
      <c r="M1171" s="402"/>
      <c r="N1171" s="402"/>
      <c r="O1171" s="402"/>
      <c r="P1171" s="402"/>
      <c r="Q1171" s="402"/>
      <c r="R1171" s="402"/>
      <c r="S1171" s="402"/>
      <c r="T1171" s="402"/>
      <c r="U1171" s="402"/>
      <c r="V1171" s="402"/>
      <c r="W1171" s="402"/>
      <c r="X1171" s="402"/>
      <c r="Y1171" s="402"/>
      <c r="Z1171" s="402"/>
      <c r="AA1171" s="405"/>
      <c r="AB1171" s="405"/>
      <c r="AC1171" s="405"/>
      <c r="AD1171" s="405"/>
      <c r="AE1171" s="405"/>
      <c r="AF1171" s="405"/>
      <c r="AG1171" s="405"/>
      <c r="AH1171" s="405"/>
      <c r="AI1171" s="405"/>
      <c r="AJ1171" s="405"/>
      <c r="AK1171" s="405"/>
      <c r="AL1171" s="405"/>
    </row>
    <row r="1172" ht="14.25" customHeight="1">
      <c r="A1172" s="402"/>
      <c r="B1172" s="402"/>
      <c r="C1172" s="402"/>
      <c r="D1172" s="402"/>
      <c r="E1172" s="402"/>
      <c r="F1172" s="402"/>
      <c r="G1172" s="403"/>
      <c r="H1172" s="402"/>
      <c r="I1172" s="402"/>
      <c r="J1172" s="402"/>
      <c r="K1172" s="402"/>
      <c r="L1172" s="402"/>
      <c r="M1172" s="402"/>
      <c r="N1172" s="402"/>
      <c r="O1172" s="402"/>
      <c r="P1172" s="402"/>
      <c r="Q1172" s="402"/>
      <c r="R1172" s="402"/>
      <c r="S1172" s="402"/>
      <c r="T1172" s="402"/>
      <c r="U1172" s="402"/>
      <c r="V1172" s="402"/>
      <c r="W1172" s="402"/>
      <c r="X1172" s="402"/>
      <c r="Y1172" s="402"/>
      <c r="Z1172" s="402"/>
      <c r="AA1172" s="405"/>
      <c r="AB1172" s="405"/>
      <c r="AC1172" s="405"/>
      <c r="AD1172" s="405"/>
      <c r="AE1172" s="405"/>
      <c r="AF1172" s="405"/>
      <c r="AG1172" s="405"/>
      <c r="AH1172" s="405"/>
      <c r="AI1172" s="405"/>
      <c r="AJ1172" s="405"/>
      <c r="AK1172" s="405"/>
      <c r="AL1172" s="405"/>
    </row>
    <row r="1173" ht="14.25" customHeight="1">
      <c r="A1173" s="402"/>
      <c r="B1173" s="402"/>
      <c r="C1173" s="402"/>
      <c r="D1173" s="402"/>
      <c r="E1173" s="402"/>
      <c r="F1173" s="402"/>
      <c r="G1173" s="403"/>
      <c r="H1173" s="402"/>
      <c r="I1173" s="402"/>
      <c r="J1173" s="402"/>
      <c r="K1173" s="402"/>
      <c r="L1173" s="402"/>
      <c r="M1173" s="402"/>
      <c r="N1173" s="402"/>
      <c r="O1173" s="402"/>
      <c r="P1173" s="402"/>
      <c r="Q1173" s="402"/>
      <c r="R1173" s="402"/>
      <c r="S1173" s="402"/>
      <c r="T1173" s="402"/>
      <c r="U1173" s="402"/>
      <c r="V1173" s="402"/>
      <c r="W1173" s="402"/>
      <c r="X1173" s="402"/>
      <c r="Y1173" s="402"/>
      <c r="Z1173" s="402"/>
      <c r="AA1173" s="405"/>
      <c r="AB1173" s="405"/>
      <c r="AC1173" s="405"/>
      <c r="AD1173" s="405"/>
      <c r="AE1173" s="405"/>
      <c r="AF1173" s="405"/>
      <c r="AG1173" s="405"/>
      <c r="AH1173" s="405"/>
      <c r="AI1173" s="405"/>
      <c r="AJ1173" s="405"/>
      <c r="AK1173" s="405"/>
      <c r="AL1173" s="405"/>
    </row>
    <row r="1174" ht="14.25" customHeight="1">
      <c r="A1174" s="402"/>
      <c r="B1174" s="402"/>
      <c r="C1174" s="402"/>
      <c r="D1174" s="402"/>
      <c r="E1174" s="402"/>
      <c r="F1174" s="402"/>
      <c r="G1174" s="403"/>
      <c r="H1174" s="402"/>
      <c r="I1174" s="402"/>
      <c r="J1174" s="402"/>
      <c r="K1174" s="402"/>
      <c r="L1174" s="402"/>
      <c r="M1174" s="402"/>
      <c r="N1174" s="402"/>
      <c r="O1174" s="402"/>
      <c r="P1174" s="402"/>
      <c r="Q1174" s="402"/>
      <c r="R1174" s="402"/>
      <c r="S1174" s="402"/>
      <c r="T1174" s="402"/>
      <c r="U1174" s="402"/>
      <c r="V1174" s="402"/>
      <c r="W1174" s="402"/>
      <c r="X1174" s="402"/>
      <c r="Y1174" s="402"/>
      <c r="Z1174" s="402"/>
      <c r="AA1174" s="405"/>
      <c r="AB1174" s="405"/>
      <c r="AC1174" s="405"/>
      <c r="AD1174" s="405"/>
      <c r="AE1174" s="405"/>
      <c r="AF1174" s="405"/>
      <c r="AG1174" s="405"/>
      <c r="AH1174" s="405"/>
      <c r="AI1174" s="405"/>
      <c r="AJ1174" s="405"/>
      <c r="AK1174" s="405"/>
      <c r="AL1174" s="405"/>
    </row>
    <row r="1175" ht="14.25" customHeight="1">
      <c r="A1175" s="402"/>
      <c r="B1175" s="402"/>
      <c r="C1175" s="402"/>
      <c r="D1175" s="402"/>
      <c r="E1175" s="402"/>
      <c r="F1175" s="402"/>
      <c r="G1175" s="403"/>
      <c r="H1175" s="402"/>
      <c r="I1175" s="402"/>
      <c r="J1175" s="402"/>
      <c r="K1175" s="402"/>
      <c r="L1175" s="402"/>
      <c r="M1175" s="402"/>
      <c r="N1175" s="402"/>
      <c r="O1175" s="402"/>
      <c r="P1175" s="402"/>
      <c r="Q1175" s="402"/>
      <c r="R1175" s="402"/>
      <c r="S1175" s="402"/>
      <c r="T1175" s="402"/>
      <c r="U1175" s="402"/>
      <c r="V1175" s="402"/>
      <c r="W1175" s="402"/>
      <c r="X1175" s="402"/>
      <c r="Y1175" s="402"/>
      <c r="Z1175" s="402"/>
      <c r="AA1175" s="405"/>
      <c r="AB1175" s="405"/>
      <c r="AC1175" s="405"/>
      <c r="AD1175" s="405"/>
      <c r="AE1175" s="405"/>
      <c r="AF1175" s="405"/>
      <c r="AG1175" s="405"/>
      <c r="AH1175" s="405"/>
      <c r="AI1175" s="405"/>
      <c r="AJ1175" s="405"/>
      <c r="AK1175" s="405"/>
      <c r="AL1175" s="405"/>
    </row>
    <row r="1176" ht="14.25" customHeight="1">
      <c r="A1176" s="402"/>
      <c r="B1176" s="402"/>
      <c r="C1176" s="402"/>
      <c r="D1176" s="402"/>
      <c r="E1176" s="402"/>
      <c r="F1176" s="402"/>
      <c r="G1176" s="403"/>
      <c r="H1176" s="402"/>
      <c r="I1176" s="402"/>
      <c r="J1176" s="402"/>
      <c r="K1176" s="402"/>
      <c r="L1176" s="402"/>
      <c r="M1176" s="402"/>
      <c r="N1176" s="402"/>
      <c r="O1176" s="402"/>
      <c r="P1176" s="402"/>
      <c r="Q1176" s="402"/>
      <c r="R1176" s="402"/>
      <c r="S1176" s="402"/>
      <c r="T1176" s="402"/>
      <c r="U1176" s="402"/>
      <c r="V1176" s="402"/>
      <c r="W1176" s="402"/>
      <c r="X1176" s="402"/>
      <c r="Y1176" s="402"/>
      <c r="Z1176" s="402"/>
      <c r="AA1176" s="405"/>
      <c r="AB1176" s="405"/>
      <c r="AC1176" s="405"/>
      <c r="AD1176" s="405"/>
      <c r="AE1176" s="405"/>
      <c r="AF1176" s="405"/>
      <c r="AG1176" s="405"/>
      <c r="AH1176" s="405"/>
      <c r="AI1176" s="405"/>
      <c r="AJ1176" s="405"/>
      <c r="AK1176" s="405"/>
      <c r="AL1176" s="405"/>
    </row>
    <row r="1177" ht="14.25" customHeight="1">
      <c r="A1177" s="402"/>
      <c r="B1177" s="402"/>
      <c r="C1177" s="402"/>
      <c r="D1177" s="402"/>
      <c r="E1177" s="402"/>
      <c r="F1177" s="402"/>
      <c r="G1177" s="403"/>
      <c r="H1177" s="402"/>
      <c r="I1177" s="402"/>
      <c r="J1177" s="402"/>
      <c r="K1177" s="402"/>
      <c r="L1177" s="402"/>
      <c r="M1177" s="402"/>
      <c r="N1177" s="402"/>
      <c r="O1177" s="402"/>
      <c r="P1177" s="402"/>
      <c r="Q1177" s="402"/>
      <c r="R1177" s="402"/>
      <c r="S1177" s="402"/>
      <c r="T1177" s="402"/>
      <c r="U1177" s="402"/>
      <c r="V1177" s="402"/>
      <c r="W1177" s="402"/>
      <c r="X1177" s="402"/>
      <c r="Y1177" s="402"/>
      <c r="Z1177" s="402"/>
      <c r="AA1177" s="405"/>
      <c r="AB1177" s="405"/>
      <c r="AC1177" s="405"/>
      <c r="AD1177" s="405"/>
      <c r="AE1177" s="405"/>
      <c r="AF1177" s="405"/>
      <c r="AG1177" s="405"/>
      <c r="AH1177" s="405"/>
      <c r="AI1177" s="405"/>
      <c r="AJ1177" s="405"/>
      <c r="AK1177" s="405"/>
      <c r="AL1177" s="405"/>
    </row>
    <row r="1178" ht="14.25" customHeight="1">
      <c r="A1178" s="402"/>
      <c r="B1178" s="402"/>
      <c r="C1178" s="402"/>
      <c r="D1178" s="402"/>
      <c r="E1178" s="402"/>
      <c r="F1178" s="402"/>
      <c r="G1178" s="403"/>
      <c r="H1178" s="402"/>
      <c r="I1178" s="402"/>
      <c r="J1178" s="402"/>
      <c r="K1178" s="402"/>
      <c r="L1178" s="402"/>
      <c r="M1178" s="402"/>
      <c r="N1178" s="402"/>
      <c r="O1178" s="402"/>
      <c r="P1178" s="402"/>
      <c r="Q1178" s="402"/>
      <c r="R1178" s="402"/>
      <c r="S1178" s="402"/>
      <c r="T1178" s="402"/>
      <c r="U1178" s="402"/>
      <c r="V1178" s="402"/>
      <c r="W1178" s="402"/>
      <c r="X1178" s="402"/>
      <c r="Y1178" s="402"/>
      <c r="Z1178" s="402"/>
      <c r="AA1178" s="405"/>
      <c r="AB1178" s="405"/>
      <c r="AC1178" s="405"/>
      <c r="AD1178" s="405"/>
      <c r="AE1178" s="405"/>
      <c r="AF1178" s="405"/>
      <c r="AG1178" s="405"/>
      <c r="AH1178" s="405"/>
      <c r="AI1178" s="405"/>
      <c r="AJ1178" s="405"/>
      <c r="AK1178" s="405"/>
      <c r="AL1178" s="405"/>
    </row>
    <row r="1179" ht="14.25" customHeight="1">
      <c r="A1179" s="402"/>
      <c r="B1179" s="402"/>
      <c r="C1179" s="402"/>
      <c r="D1179" s="402"/>
      <c r="E1179" s="402"/>
      <c r="F1179" s="402"/>
      <c r="G1179" s="403"/>
      <c r="H1179" s="402"/>
      <c r="I1179" s="402"/>
      <c r="J1179" s="402"/>
      <c r="K1179" s="402"/>
      <c r="L1179" s="402"/>
      <c r="M1179" s="402"/>
      <c r="N1179" s="402"/>
      <c r="O1179" s="402"/>
      <c r="P1179" s="402"/>
      <c r="Q1179" s="402"/>
      <c r="R1179" s="402"/>
      <c r="S1179" s="402"/>
      <c r="T1179" s="402"/>
      <c r="U1179" s="402"/>
      <c r="V1179" s="402"/>
      <c r="W1179" s="402"/>
      <c r="X1179" s="402"/>
      <c r="Y1179" s="402"/>
      <c r="Z1179" s="402"/>
      <c r="AA1179" s="405"/>
      <c r="AB1179" s="405"/>
      <c r="AC1179" s="405"/>
      <c r="AD1179" s="405"/>
      <c r="AE1179" s="405"/>
      <c r="AF1179" s="405"/>
      <c r="AG1179" s="405"/>
      <c r="AH1179" s="405"/>
      <c r="AI1179" s="405"/>
      <c r="AJ1179" s="405"/>
      <c r="AK1179" s="405"/>
      <c r="AL1179" s="405"/>
    </row>
    <row r="1180" ht="14.25" customHeight="1">
      <c r="A1180" s="402"/>
      <c r="B1180" s="402"/>
      <c r="C1180" s="402"/>
      <c r="D1180" s="402"/>
      <c r="E1180" s="402"/>
      <c r="F1180" s="402"/>
      <c r="G1180" s="403"/>
      <c r="H1180" s="402"/>
      <c r="I1180" s="402"/>
      <c r="J1180" s="402"/>
      <c r="K1180" s="402"/>
      <c r="L1180" s="402"/>
      <c r="M1180" s="402"/>
      <c r="N1180" s="402"/>
      <c r="O1180" s="402"/>
      <c r="P1180" s="402"/>
      <c r="Q1180" s="402"/>
      <c r="R1180" s="402"/>
      <c r="S1180" s="402"/>
      <c r="T1180" s="402"/>
      <c r="U1180" s="402"/>
      <c r="V1180" s="402"/>
      <c r="W1180" s="402"/>
      <c r="X1180" s="402"/>
      <c r="Y1180" s="402"/>
      <c r="Z1180" s="402"/>
      <c r="AA1180" s="405"/>
      <c r="AB1180" s="405"/>
      <c r="AC1180" s="405"/>
      <c r="AD1180" s="405"/>
      <c r="AE1180" s="405"/>
      <c r="AF1180" s="405"/>
      <c r="AG1180" s="405"/>
      <c r="AH1180" s="405"/>
      <c r="AI1180" s="405"/>
      <c r="AJ1180" s="405"/>
      <c r="AK1180" s="405"/>
      <c r="AL1180" s="405"/>
    </row>
    <row r="1181" ht="14.25" customHeight="1">
      <c r="A1181" s="402"/>
      <c r="B1181" s="402"/>
      <c r="C1181" s="402"/>
      <c r="D1181" s="402"/>
      <c r="E1181" s="402"/>
      <c r="F1181" s="402"/>
      <c r="G1181" s="403"/>
      <c r="H1181" s="402"/>
      <c r="I1181" s="402"/>
      <c r="J1181" s="402"/>
      <c r="K1181" s="402"/>
      <c r="L1181" s="402"/>
      <c r="M1181" s="402"/>
      <c r="N1181" s="402"/>
      <c r="O1181" s="402"/>
      <c r="P1181" s="402"/>
      <c r="Q1181" s="402"/>
      <c r="R1181" s="402"/>
      <c r="S1181" s="402"/>
      <c r="T1181" s="402"/>
      <c r="U1181" s="402"/>
      <c r="V1181" s="402"/>
      <c r="W1181" s="402"/>
      <c r="X1181" s="402"/>
      <c r="Y1181" s="402"/>
      <c r="Z1181" s="402"/>
      <c r="AA1181" s="405"/>
      <c r="AB1181" s="405"/>
      <c r="AC1181" s="405"/>
      <c r="AD1181" s="405"/>
      <c r="AE1181" s="405"/>
      <c r="AF1181" s="405"/>
      <c r="AG1181" s="405"/>
      <c r="AH1181" s="405"/>
      <c r="AI1181" s="405"/>
      <c r="AJ1181" s="405"/>
      <c r="AK1181" s="405"/>
      <c r="AL1181" s="405"/>
    </row>
    <row r="1182" ht="14.25" customHeight="1">
      <c r="A1182" s="402"/>
      <c r="B1182" s="402"/>
      <c r="C1182" s="402"/>
      <c r="D1182" s="402"/>
      <c r="E1182" s="402"/>
      <c r="F1182" s="402"/>
      <c r="G1182" s="403"/>
      <c r="H1182" s="402"/>
      <c r="I1182" s="402"/>
      <c r="J1182" s="402"/>
      <c r="K1182" s="402"/>
      <c r="L1182" s="402"/>
      <c r="M1182" s="402"/>
      <c r="N1182" s="402"/>
      <c r="O1182" s="402"/>
      <c r="P1182" s="402"/>
      <c r="Q1182" s="402"/>
      <c r="R1182" s="402"/>
      <c r="S1182" s="402"/>
      <c r="T1182" s="402"/>
      <c r="U1182" s="402"/>
      <c r="V1182" s="402"/>
      <c r="W1182" s="402"/>
      <c r="X1182" s="402"/>
      <c r="Y1182" s="402"/>
      <c r="Z1182" s="402"/>
      <c r="AA1182" s="405"/>
      <c r="AB1182" s="405"/>
      <c r="AC1182" s="405"/>
      <c r="AD1182" s="405"/>
      <c r="AE1182" s="405"/>
      <c r="AF1182" s="405"/>
      <c r="AG1182" s="405"/>
      <c r="AH1182" s="405"/>
      <c r="AI1182" s="405"/>
      <c r="AJ1182" s="405"/>
      <c r="AK1182" s="405"/>
      <c r="AL1182" s="405"/>
    </row>
    <row r="1183" ht="14.25" customHeight="1">
      <c r="A1183" s="402"/>
      <c r="B1183" s="402"/>
      <c r="C1183" s="402"/>
      <c r="D1183" s="402"/>
      <c r="E1183" s="402"/>
      <c r="F1183" s="402"/>
      <c r="G1183" s="403"/>
      <c r="H1183" s="402"/>
      <c r="I1183" s="402"/>
      <c r="J1183" s="402"/>
      <c r="K1183" s="402"/>
      <c r="L1183" s="402"/>
      <c r="M1183" s="402"/>
      <c r="N1183" s="402"/>
      <c r="O1183" s="402"/>
      <c r="P1183" s="402"/>
      <c r="Q1183" s="402"/>
      <c r="R1183" s="402"/>
      <c r="S1183" s="402"/>
      <c r="T1183" s="402"/>
      <c r="U1183" s="402"/>
      <c r="V1183" s="402"/>
      <c r="W1183" s="402"/>
      <c r="X1183" s="402"/>
      <c r="Y1183" s="402"/>
      <c r="Z1183" s="402"/>
      <c r="AA1183" s="405"/>
      <c r="AB1183" s="405"/>
      <c r="AC1183" s="405"/>
      <c r="AD1183" s="405"/>
      <c r="AE1183" s="405"/>
      <c r="AF1183" s="405"/>
      <c r="AG1183" s="405"/>
      <c r="AH1183" s="405"/>
      <c r="AI1183" s="405"/>
      <c r="AJ1183" s="405"/>
      <c r="AK1183" s="405"/>
      <c r="AL1183" s="405"/>
    </row>
    <row r="1184" ht="14.25" customHeight="1">
      <c r="A1184" s="402"/>
      <c r="B1184" s="402"/>
      <c r="C1184" s="402"/>
      <c r="D1184" s="402"/>
      <c r="E1184" s="402"/>
      <c r="F1184" s="402"/>
      <c r="G1184" s="403"/>
      <c r="H1184" s="402"/>
      <c r="I1184" s="402"/>
      <c r="J1184" s="402"/>
      <c r="K1184" s="402"/>
      <c r="L1184" s="402"/>
      <c r="M1184" s="402"/>
      <c r="N1184" s="402"/>
      <c r="O1184" s="402"/>
      <c r="P1184" s="402"/>
      <c r="Q1184" s="402"/>
      <c r="R1184" s="402"/>
      <c r="S1184" s="402"/>
      <c r="T1184" s="402"/>
      <c r="U1184" s="402"/>
      <c r="V1184" s="402"/>
      <c r="W1184" s="402"/>
      <c r="X1184" s="402"/>
      <c r="Y1184" s="402"/>
      <c r="Z1184" s="402"/>
      <c r="AA1184" s="405"/>
      <c r="AB1184" s="405"/>
      <c r="AC1184" s="405"/>
      <c r="AD1184" s="405"/>
      <c r="AE1184" s="405"/>
      <c r="AF1184" s="405"/>
      <c r="AG1184" s="405"/>
      <c r="AH1184" s="405"/>
      <c r="AI1184" s="405"/>
      <c r="AJ1184" s="405"/>
      <c r="AK1184" s="405"/>
      <c r="AL1184" s="405"/>
    </row>
    <row r="1185" ht="14.25" customHeight="1">
      <c r="A1185" s="402"/>
      <c r="B1185" s="402"/>
      <c r="C1185" s="402"/>
      <c r="D1185" s="402"/>
      <c r="E1185" s="402"/>
      <c r="F1185" s="402"/>
      <c r="G1185" s="403"/>
      <c r="H1185" s="402"/>
      <c r="I1185" s="402"/>
      <c r="J1185" s="402"/>
      <c r="K1185" s="402"/>
      <c r="L1185" s="402"/>
      <c r="M1185" s="402"/>
      <c r="N1185" s="402"/>
      <c r="O1185" s="402"/>
      <c r="P1185" s="402"/>
      <c r="Q1185" s="402"/>
      <c r="R1185" s="402"/>
      <c r="S1185" s="402"/>
      <c r="T1185" s="402"/>
      <c r="U1185" s="402"/>
      <c r="V1185" s="402"/>
      <c r="W1185" s="402"/>
      <c r="X1185" s="402"/>
      <c r="Y1185" s="402"/>
      <c r="Z1185" s="402"/>
      <c r="AA1185" s="405"/>
      <c r="AB1185" s="405"/>
      <c r="AC1185" s="405"/>
      <c r="AD1185" s="405"/>
      <c r="AE1185" s="405"/>
      <c r="AF1185" s="405"/>
      <c r="AG1185" s="405"/>
      <c r="AH1185" s="405"/>
      <c r="AI1185" s="405"/>
      <c r="AJ1185" s="405"/>
      <c r="AK1185" s="405"/>
      <c r="AL1185" s="405"/>
    </row>
    <row r="1186" ht="14.25" customHeight="1">
      <c r="A1186" s="402"/>
      <c r="B1186" s="402"/>
      <c r="C1186" s="402"/>
      <c r="D1186" s="402"/>
      <c r="E1186" s="402"/>
      <c r="F1186" s="402"/>
      <c r="G1186" s="403"/>
      <c r="H1186" s="402"/>
      <c r="I1186" s="402"/>
      <c r="J1186" s="402"/>
      <c r="K1186" s="402"/>
      <c r="L1186" s="402"/>
      <c r="M1186" s="402"/>
      <c r="N1186" s="402"/>
      <c r="O1186" s="402"/>
      <c r="P1186" s="402"/>
      <c r="Q1186" s="402"/>
      <c r="R1186" s="402"/>
      <c r="S1186" s="402"/>
      <c r="T1186" s="402"/>
      <c r="U1186" s="402"/>
      <c r="V1186" s="402"/>
      <c r="W1186" s="402"/>
      <c r="X1186" s="402"/>
      <c r="Y1186" s="402"/>
      <c r="Z1186" s="402"/>
      <c r="AA1186" s="405"/>
      <c r="AB1186" s="405"/>
      <c r="AC1186" s="405"/>
      <c r="AD1186" s="405"/>
      <c r="AE1186" s="405"/>
      <c r="AF1186" s="405"/>
      <c r="AG1186" s="405"/>
      <c r="AH1186" s="405"/>
      <c r="AI1186" s="405"/>
      <c r="AJ1186" s="405"/>
      <c r="AK1186" s="405"/>
      <c r="AL1186" s="405"/>
    </row>
    <row r="1187" ht="14.25" customHeight="1">
      <c r="A1187" s="402"/>
      <c r="B1187" s="402"/>
      <c r="C1187" s="402"/>
      <c r="D1187" s="402"/>
      <c r="E1187" s="402"/>
      <c r="F1187" s="402"/>
      <c r="G1187" s="403"/>
      <c r="H1187" s="402"/>
      <c r="I1187" s="402"/>
      <c r="J1187" s="402"/>
      <c r="K1187" s="402"/>
      <c r="L1187" s="402"/>
      <c r="M1187" s="402"/>
      <c r="N1187" s="402"/>
      <c r="O1187" s="402"/>
      <c r="P1187" s="402"/>
      <c r="Q1187" s="402"/>
      <c r="R1187" s="402"/>
      <c r="S1187" s="402"/>
      <c r="T1187" s="402"/>
      <c r="U1187" s="402"/>
      <c r="V1187" s="402"/>
      <c r="W1187" s="402"/>
      <c r="X1187" s="402"/>
      <c r="Y1187" s="402"/>
      <c r="Z1187" s="402"/>
      <c r="AA1187" s="405"/>
      <c r="AB1187" s="405"/>
      <c r="AC1187" s="405"/>
      <c r="AD1187" s="405"/>
      <c r="AE1187" s="405"/>
      <c r="AF1187" s="405"/>
      <c r="AG1187" s="405"/>
      <c r="AH1187" s="405"/>
      <c r="AI1187" s="405"/>
      <c r="AJ1187" s="405"/>
      <c r="AK1187" s="405"/>
      <c r="AL1187" s="405"/>
    </row>
    <row r="1188" ht="14.25" customHeight="1">
      <c r="A1188" s="402"/>
      <c r="B1188" s="402"/>
      <c r="C1188" s="402"/>
      <c r="D1188" s="402"/>
      <c r="E1188" s="402"/>
      <c r="F1188" s="402"/>
      <c r="G1188" s="403"/>
      <c r="H1188" s="402"/>
      <c r="I1188" s="402"/>
      <c r="J1188" s="402"/>
      <c r="K1188" s="402"/>
      <c r="L1188" s="402"/>
      <c r="M1188" s="402"/>
      <c r="N1188" s="402"/>
      <c r="O1188" s="402"/>
      <c r="P1188" s="402"/>
      <c r="Q1188" s="402"/>
      <c r="R1188" s="402"/>
      <c r="S1188" s="402"/>
      <c r="T1188" s="402"/>
      <c r="U1188" s="402"/>
      <c r="V1188" s="402"/>
      <c r="W1188" s="402"/>
      <c r="X1188" s="402"/>
      <c r="Y1188" s="402"/>
      <c r="Z1188" s="402"/>
      <c r="AA1188" s="405"/>
      <c r="AB1188" s="405"/>
      <c r="AC1188" s="405"/>
      <c r="AD1188" s="405"/>
      <c r="AE1188" s="405"/>
      <c r="AF1188" s="405"/>
      <c r="AG1188" s="405"/>
      <c r="AH1188" s="405"/>
      <c r="AI1188" s="405"/>
      <c r="AJ1188" s="405"/>
      <c r="AK1188" s="405"/>
      <c r="AL1188" s="405"/>
    </row>
    <row r="1189" ht="14.25" customHeight="1">
      <c r="A1189" s="402"/>
      <c r="B1189" s="402"/>
      <c r="C1189" s="402"/>
      <c r="D1189" s="402"/>
      <c r="E1189" s="402"/>
      <c r="F1189" s="402"/>
      <c r="G1189" s="403"/>
      <c r="H1189" s="402"/>
      <c r="I1189" s="402"/>
      <c r="J1189" s="402"/>
      <c r="K1189" s="402"/>
      <c r="L1189" s="402"/>
      <c r="M1189" s="402"/>
      <c r="N1189" s="402"/>
      <c r="O1189" s="402"/>
      <c r="P1189" s="402"/>
      <c r="Q1189" s="402"/>
      <c r="R1189" s="402"/>
      <c r="S1189" s="402"/>
      <c r="T1189" s="402"/>
      <c r="U1189" s="402"/>
      <c r="V1189" s="402"/>
      <c r="W1189" s="402"/>
      <c r="X1189" s="402"/>
      <c r="Y1189" s="402"/>
      <c r="Z1189" s="402"/>
      <c r="AA1189" s="405"/>
      <c r="AB1189" s="405"/>
      <c r="AC1189" s="405"/>
      <c r="AD1189" s="405"/>
      <c r="AE1189" s="405"/>
      <c r="AF1189" s="405"/>
      <c r="AG1189" s="405"/>
      <c r="AH1189" s="405"/>
      <c r="AI1189" s="405"/>
      <c r="AJ1189" s="405"/>
      <c r="AK1189" s="405"/>
      <c r="AL1189" s="405"/>
    </row>
    <row r="1190" ht="14.25" customHeight="1">
      <c r="A1190" s="402"/>
      <c r="B1190" s="402"/>
      <c r="C1190" s="402"/>
      <c r="D1190" s="402"/>
      <c r="E1190" s="402"/>
      <c r="F1190" s="402"/>
      <c r="G1190" s="403"/>
      <c r="H1190" s="402"/>
      <c r="I1190" s="402"/>
      <c r="J1190" s="402"/>
      <c r="K1190" s="402"/>
      <c r="L1190" s="402"/>
      <c r="M1190" s="402"/>
      <c r="N1190" s="402"/>
      <c r="O1190" s="402"/>
      <c r="P1190" s="402"/>
      <c r="Q1190" s="402"/>
      <c r="R1190" s="402"/>
      <c r="S1190" s="402"/>
      <c r="T1190" s="402"/>
      <c r="U1190" s="402"/>
      <c r="V1190" s="402"/>
      <c r="W1190" s="402"/>
      <c r="X1190" s="402"/>
      <c r="Y1190" s="402"/>
      <c r="Z1190" s="402"/>
      <c r="AA1190" s="405"/>
      <c r="AB1190" s="405"/>
      <c r="AC1190" s="405"/>
      <c r="AD1190" s="405"/>
      <c r="AE1190" s="405"/>
      <c r="AF1190" s="405"/>
      <c r="AG1190" s="405"/>
      <c r="AH1190" s="405"/>
      <c r="AI1190" s="405"/>
      <c r="AJ1190" s="405"/>
      <c r="AK1190" s="405"/>
      <c r="AL1190" s="405"/>
    </row>
    <row r="1191" ht="14.25" customHeight="1">
      <c r="A1191" s="402"/>
      <c r="B1191" s="402"/>
      <c r="C1191" s="402"/>
      <c r="D1191" s="402"/>
      <c r="E1191" s="402"/>
      <c r="F1191" s="402"/>
      <c r="G1191" s="403"/>
      <c r="H1191" s="402"/>
      <c r="I1191" s="402"/>
      <c r="J1191" s="402"/>
      <c r="K1191" s="402"/>
      <c r="L1191" s="402"/>
      <c r="M1191" s="402"/>
      <c r="N1191" s="402"/>
      <c r="O1191" s="402"/>
      <c r="P1191" s="402"/>
      <c r="Q1191" s="402"/>
      <c r="R1191" s="402"/>
      <c r="S1191" s="402"/>
      <c r="T1191" s="402"/>
      <c r="U1191" s="402"/>
      <c r="V1191" s="402"/>
      <c r="W1191" s="402"/>
      <c r="X1191" s="402"/>
      <c r="Y1191" s="402"/>
      <c r="Z1191" s="402"/>
      <c r="AA1191" s="405"/>
      <c r="AB1191" s="405"/>
      <c r="AC1191" s="405"/>
      <c r="AD1191" s="405"/>
      <c r="AE1191" s="405"/>
      <c r="AF1191" s="405"/>
      <c r="AG1191" s="405"/>
      <c r="AH1191" s="405"/>
      <c r="AI1191" s="405"/>
      <c r="AJ1191" s="405"/>
      <c r="AK1191" s="405"/>
      <c r="AL1191" s="405"/>
    </row>
    <row r="1192" ht="14.25" customHeight="1">
      <c r="A1192" s="402"/>
      <c r="B1192" s="402"/>
      <c r="C1192" s="402"/>
      <c r="D1192" s="402"/>
      <c r="E1192" s="402"/>
      <c r="F1192" s="402"/>
      <c r="G1192" s="403"/>
      <c r="H1192" s="402"/>
      <c r="I1192" s="402"/>
      <c r="J1192" s="402"/>
      <c r="K1192" s="402"/>
      <c r="L1192" s="402"/>
      <c r="M1192" s="402"/>
      <c r="N1192" s="402"/>
      <c r="O1192" s="402"/>
      <c r="P1192" s="402"/>
      <c r="Q1192" s="402"/>
      <c r="R1192" s="402"/>
      <c r="S1192" s="402"/>
      <c r="T1192" s="402"/>
      <c r="U1192" s="402"/>
      <c r="V1192" s="402"/>
      <c r="W1192" s="402"/>
      <c r="X1192" s="402"/>
      <c r="Y1192" s="402"/>
      <c r="Z1192" s="402"/>
      <c r="AA1192" s="405"/>
      <c r="AB1192" s="405"/>
      <c r="AC1192" s="405"/>
      <c r="AD1192" s="405"/>
      <c r="AE1192" s="405"/>
      <c r="AF1192" s="405"/>
      <c r="AG1192" s="405"/>
      <c r="AH1192" s="405"/>
      <c r="AI1192" s="405"/>
      <c r="AJ1192" s="405"/>
      <c r="AK1192" s="405"/>
      <c r="AL1192" s="405"/>
    </row>
    <row r="1193" ht="14.25" customHeight="1">
      <c r="A1193" s="402"/>
      <c r="B1193" s="402"/>
      <c r="C1193" s="402"/>
      <c r="D1193" s="402"/>
      <c r="E1193" s="402"/>
      <c r="F1193" s="402"/>
      <c r="G1193" s="403"/>
      <c r="H1193" s="402"/>
      <c r="I1193" s="402"/>
      <c r="J1193" s="402"/>
      <c r="K1193" s="402"/>
      <c r="L1193" s="402"/>
      <c r="M1193" s="402"/>
      <c r="N1193" s="402"/>
      <c r="O1193" s="402"/>
      <c r="P1193" s="402"/>
      <c r="Q1193" s="402"/>
      <c r="R1193" s="402"/>
      <c r="S1193" s="402"/>
      <c r="T1193" s="402"/>
      <c r="U1193" s="402"/>
      <c r="V1193" s="402"/>
      <c r="W1193" s="402"/>
      <c r="X1193" s="402"/>
      <c r="Y1193" s="402"/>
      <c r="Z1193" s="402"/>
      <c r="AA1193" s="405"/>
      <c r="AB1193" s="405"/>
      <c r="AC1193" s="405"/>
      <c r="AD1193" s="405"/>
      <c r="AE1193" s="405"/>
      <c r="AF1193" s="405"/>
      <c r="AG1193" s="405"/>
      <c r="AH1193" s="405"/>
      <c r="AI1193" s="405"/>
      <c r="AJ1193" s="405"/>
      <c r="AK1193" s="405"/>
      <c r="AL1193" s="405"/>
    </row>
    <row r="1194" ht="14.25" customHeight="1">
      <c r="A1194" s="402"/>
      <c r="B1194" s="402"/>
      <c r="C1194" s="402"/>
      <c r="D1194" s="402"/>
      <c r="E1194" s="402"/>
      <c r="F1194" s="402"/>
      <c r="G1194" s="403"/>
      <c r="H1194" s="402"/>
      <c r="I1194" s="402"/>
      <c r="J1194" s="402"/>
      <c r="K1194" s="402"/>
      <c r="L1194" s="402"/>
      <c r="M1194" s="402"/>
      <c r="N1194" s="402"/>
      <c r="O1194" s="402"/>
      <c r="P1194" s="402"/>
      <c r="Q1194" s="402"/>
      <c r="R1194" s="402"/>
      <c r="S1194" s="402"/>
      <c r="T1194" s="402"/>
      <c r="U1194" s="402"/>
      <c r="V1194" s="402"/>
      <c r="W1194" s="402"/>
      <c r="X1194" s="402"/>
      <c r="Y1194" s="402"/>
      <c r="Z1194" s="402"/>
      <c r="AA1194" s="405"/>
      <c r="AB1194" s="405"/>
      <c r="AC1194" s="405"/>
      <c r="AD1194" s="405"/>
      <c r="AE1194" s="405"/>
      <c r="AF1194" s="405"/>
      <c r="AG1194" s="405"/>
      <c r="AH1194" s="405"/>
      <c r="AI1194" s="405"/>
      <c r="AJ1194" s="405"/>
      <c r="AK1194" s="405"/>
      <c r="AL1194" s="405"/>
    </row>
    <row r="1195" ht="14.25" customHeight="1">
      <c r="A1195" s="402"/>
      <c r="B1195" s="402"/>
      <c r="C1195" s="402"/>
      <c r="D1195" s="402"/>
      <c r="E1195" s="402"/>
      <c r="F1195" s="402"/>
      <c r="G1195" s="403"/>
      <c r="H1195" s="402"/>
      <c r="I1195" s="402"/>
      <c r="J1195" s="402"/>
      <c r="K1195" s="402"/>
      <c r="L1195" s="402"/>
      <c r="M1195" s="402"/>
      <c r="N1195" s="402"/>
      <c r="O1195" s="402"/>
      <c r="P1195" s="402"/>
      <c r="Q1195" s="402"/>
      <c r="R1195" s="402"/>
      <c r="S1195" s="402"/>
      <c r="T1195" s="402"/>
      <c r="U1195" s="402"/>
      <c r="V1195" s="402"/>
      <c r="W1195" s="402"/>
      <c r="X1195" s="402"/>
      <c r="Y1195" s="402"/>
      <c r="Z1195" s="402"/>
      <c r="AA1195" s="405"/>
      <c r="AB1195" s="405"/>
      <c r="AC1195" s="405"/>
      <c r="AD1195" s="405"/>
      <c r="AE1195" s="405"/>
      <c r="AF1195" s="405"/>
      <c r="AG1195" s="405"/>
      <c r="AH1195" s="405"/>
      <c r="AI1195" s="405"/>
      <c r="AJ1195" s="405"/>
      <c r="AK1195" s="405"/>
      <c r="AL1195" s="405"/>
    </row>
    <row r="1196" ht="14.25" customHeight="1">
      <c r="A1196" s="402"/>
      <c r="B1196" s="402"/>
      <c r="C1196" s="402"/>
      <c r="D1196" s="402"/>
      <c r="E1196" s="402"/>
      <c r="F1196" s="402"/>
      <c r="G1196" s="403"/>
      <c r="H1196" s="402"/>
      <c r="I1196" s="402"/>
      <c r="J1196" s="402"/>
      <c r="K1196" s="402"/>
      <c r="L1196" s="402"/>
      <c r="M1196" s="402"/>
      <c r="N1196" s="402"/>
      <c r="O1196" s="402"/>
      <c r="P1196" s="402"/>
      <c r="Q1196" s="402"/>
      <c r="R1196" s="402"/>
      <c r="S1196" s="402"/>
      <c r="T1196" s="402"/>
      <c r="U1196" s="402"/>
      <c r="V1196" s="402"/>
      <c r="W1196" s="402"/>
      <c r="X1196" s="402"/>
      <c r="Y1196" s="402"/>
      <c r="Z1196" s="402"/>
      <c r="AA1196" s="405"/>
      <c r="AB1196" s="405"/>
      <c r="AC1196" s="405"/>
      <c r="AD1196" s="405"/>
      <c r="AE1196" s="405"/>
      <c r="AF1196" s="405"/>
      <c r="AG1196" s="405"/>
      <c r="AH1196" s="405"/>
      <c r="AI1196" s="405"/>
      <c r="AJ1196" s="405"/>
      <c r="AK1196" s="405"/>
      <c r="AL1196" s="405"/>
    </row>
    <row r="1197" ht="14.25" customHeight="1">
      <c r="A1197" s="402"/>
      <c r="B1197" s="402"/>
      <c r="C1197" s="402"/>
      <c r="D1197" s="402"/>
      <c r="E1197" s="402"/>
      <c r="F1197" s="402"/>
      <c r="G1197" s="403"/>
      <c r="H1197" s="402"/>
      <c r="I1197" s="402"/>
      <c r="J1197" s="402"/>
      <c r="K1197" s="402"/>
      <c r="L1197" s="402"/>
      <c r="M1197" s="402"/>
      <c r="N1197" s="402"/>
      <c r="O1197" s="402"/>
      <c r="P1197" s="402"/>
      <c r="Q1197" s="402"/>
      <c r="R1197" s="402"/>
      <c r="S1197" s="402"/>
      <c r="T1197" s="402"/>
      <c r="U1197" s="402"/>
      <c r="V1197" s="402"/>
      <c r="W1197" s="402"/>
      <c r="X1197" s="402"/>
      <c r="Y1197" s="402"/>
      <c r="Z1197" s="402"/>
      <c r="AA1197" s="405"/>
      <c r="AB1197" s="405"/>
      <c r="AC1197" s="405"/>
      <c r="AD1197" s="405"/>
      <c r="AE1197" s="405"/>
      <c r="AF1197" s="405"/>
      <c r="AG1197" s="405"/>
      <c r="AH1197" s="405"/>
      <c r="AI1197" s="405"/>
      <c r="AJ1197" s="405"/>
      <c r="AK1197" s="405"/>
      <c r="AL1197" s="405"/>
    </row>
    <row r="1198" ht="14.25" customHeight="1">
      <c r="A1198" s="402"/>
      <c r="B1198" s="402"/>
      <c r="C1198" s="402"/>
      <c r="D1198" s="402"/>
      <c r="E1198" s="402"/>
      <c r="F1198" s="402"/>
      <c r="G1198" s="403"/>
      <c r="H1198" s="402"/>
      <c r="I1198" s="402"/>
      <c r="J1198" s="402"/>
      <c r="K1198" s="402"/>
      <c r="L1198" s="402"/>
      <c r="M1198" s="402"/>
      <c r="N1198" s="402"/>
      <c r="O1198" s="402"/>
      <c r="P1198" s="402"/>
      <c r="Q1198" s="402"/>
      <c r="R1198" s="402"/>
      <c r="S1198" s="402"/>
      <c r="T1198" s="402"/>
      <c r="U1198" s="402"/>
      <c r="V1198" s="402"/>
      <c r="W1198" s="402"/>
      <c r="X1198" s="402"/>
      <c r="Y1198" s="402"/>
      <c r="Z1198" s="402"/>
      <c r="AA1198" s="405"/>
      <c r="AB1198" s="405"/>
      <c r="AC1198" s="405"/>
      <c r="AD1198" s="405"/>
      <c r="AE1198" s="405"/>
      <c r="AF1198" s="405"/>
      <c r="AG1198" s="405"/>
      <c r="AH1198" s="405"/>
      <c r="AI1198" s="405"/>
      <c r="AJ1198" s="405"/>
      <c r="AK1198" s="405"/>
      <c r="AL1198" s="405"/>
    </row>
    <row r="1199" ht="14.25" customHeight="1">
      <c r="A1199" s="402"/>
      <c r="B1199" s="402"/>
      <c r="C1199" s="402"/>
      <c r="D1199" s="402"/>
      <c r="E1199" s="402"/>
      <c r="F1199" s="402"/>
      <c r="G1199" s="403"/>
      <c r="H1199" s="402"/>
      <c r="I1199" s="402"/>
      <c r="J1199" s="402"/>
      <c r="K1199" s="402"/>
      <c r="L1199" s="402"/>
      <c r="M1199" s="402"/>
      <c r="N1199" s="402"/>
      <c r="O1199" s="402"/>
      <c r="P1199" s="402"/>
      <c r="Q1199" s="402"/>
      <c r="R1199" s="402"/>
      <c r="S1199" s="402"/>
      <c r="T1199" s="402"/>
      <c r="U1199" s="402"/>
      <c r="V1199" s="402"/>
      <c r="W1199" s="402"/>
      <c r="X1199" s="402"/>
      <c r="Y1199" s="402"/>
      <c r="Z1199" s="402"/>
      <c r="AA1199" s="405"/>
      <c r="AB1199" s="405"/>
      <c r="AC1199" s="405"/>
      <c r="AD1199" s="405"/>
      <c r="AE1199" s="405"/>
      <c r="AF1199" s="405"/>
      <c r="AG1199" s="405"/>
      <c r="AH1199" s="405"/>
      <c r="AI1199" s="405"/>
      <c r="AJ1199" s="405"/>
      <c r="AK1199" s="405"/>
      <c r="AL1199" s="405"/>
    </row>
    <row r="1200" ht="14.25" customHeight="1">
      <c r="A1200" s="402"/>
      <c r="B1200" s="402"/>
      <c r="C1200" s="402"/>
      <c r="D1200" s="402"/>
      <c r="E1200" s="402"/>
      <c r="F1200" s="402"/>
      <c r="G1200" s="403"/>
      <c r="H1200" s="402"/>
      <c r="I1200" s="402"/>
      <c r="J1200" s="402"/>
      <c r="K1200" s="402"/>
      <c r="L1200" s="402"/>
      <c r="M1200" s="402"/>
      <c r="N1200" s="402"/>
      <c r="O1200" s="402"/>
      <c r="P1200" s="402"/>
      <c r="Q1200" s="402"/>
      <c r="R1200" s="402"/>
      <c r="S1200" s="402"/>
      <c r="T1200" s="402"/>
      <c r="U1200" s="402"/>
      <c r="V1200" s="402"/>
      <c r="W1200" s="402"/>
      <c r="X1200" s="402"/>
      <c r="Y1200" s="402"/>
      <c r="Z1200" s="402"/>
      <c r="AA1200" s="405"/>
      <c r="AB1200" s="405"/>
      <c r="AC1200" s="405"/>
      <c r="AD1200" s="405"/>
      <c r="AE1200" s="405"/>
      <c r="AF1200" s="405"/>
      <c r="AG1200" s="405"/>
      <c r="AH1200" s="405"/>
      <c r="AI1200" s="405"/>
      <c r="AJ1200" s="405"/>
      <c r="AK1200" s="405"/>
      <c r="AL1200" s="405"/>
    </row>
    <row r="1201" ht="14.25" customHeight="1">
      <c r="A1201" s="402"/>
      <c r="B1201" s="402"/>
      <c r="C1201" s="402"/>
      <c r="D1201" s="402"/>
      <c r="E1201" s="402"/>
      <c r="F1201" s="402"/>
      <c r="G1201" s="403"/>
      <c r="H1201" s="402"/>
      <c r="I1201" s="402"/>
      <c r="J1201" s="402"/>
      <c r="K1201" s="402"/>
      <c r="L1201" s="402"/>
      <c r="M1201" s="402"/>
      <c r="N1201" s="402"/>
      <c r="O1201" s="402"/>
      <c r="P1201" s="402"/>
      <c r="Q1201" s="402"/>
      <c r="R1201" s="402"/>
      <c r="S1201" s="402"/>
      <c r="T1201" s="402"/>
      <c r="U1201" s="402"/>
      <c r="V1201" s="402"/>
      <c r="W1201" s="402"/>
      <c r="X1201" s="402"/>
      <c r="Y1201" s="402"/>
      <c r="Z1201" s="402"/>
      <c r="AA1201" s="405"/>
      <c r="AB1201" s="405"/>
      <c r="AC1201" s="405"/>
      <c r="AD1201" s="405"/>
      <c r="AE1201" s="405"/>
      <c r="AF1201" s="405"/>
      <c r="AG1201" s="405"/>
      <c r="AH1201" s="405"/>
      <c r="AI1201" s="405"/>
      <c r="AJ1201" s="405"/>
      <c r="AK1201" s="405"/>
      <c r="AL1201" s="405"/>
    </row>
    <row r="1202" ht="14.25" customHeight="1">
      <c r="A1202" s="402"/>
      <c r="B1202" s="402"/>
      <c r="C1202" s="402"/>
      <c r="D1202" s="402"/>
      <c r="E1202" s="402"/>
      <c r="F1202" s="402"/>
      <c r="G1202" s="403"/>
      <c r="H1202" s="402"/>
      <c r="I1202" s="402"/>
      <c r="J1202" s="402"/>
      <c r="K1202" s="402"/>
      <c r="L1202" s="402"/>
      <c r="M1202" s="402"/>
      <c r="N1202" s="402"/>
      <c r="O1202" s="402"/>
      <c r="P1202" s="402"/>
      <c r="Q1202" s="402"/>
      <c r="R1202" s="402"/>
      <c r="S1202" s="402"/>
      <c r="T1202" s="402"/>
      <c r="U1202" s="402"/>
      <c r="V1202" s="402"/>
      <c r="W1202" s="402"/>
      <c r="X1202" s="402"/>
      <c r="Y1202" s="402"/>
      <c r="Z1202" s="402"/>
      <c r="AA1202" s="405"/>
      <c r="AB1202" s="405"/>
      <c r="AC1202" s="405"/>
      <c r="AD1202" s="405"/>
      <c r="AE1202" s="405"/>
      <c r="AF1202" s="405"/>
      <c r="AG1202" s="405"/>
      <c r="AH1202" s="405"/>
      <c r="AI1202" s="405"/>
      <c r="AJ1202" s="405"/>
      <c r="AK1202" s="405"/>
      <c r="AL1202" s="405"/>
    </row>
    <row r="1203" ht="14.25" customHeight="1">
      <c r="A1203" s="402"/>
      <c r="B1203" s="402"/>
      <c r="C1203" s="402"/>
      <c r="D1203" s="402"/>
      <c r="E1203" s="402"/>
      <c r="F1203" s="402"/>
      <c r="G1203" s="403"/>
      <c r="H1203" s="402"/>
      <c r="I1203" s="402"/>
      <c r="J1203" s="402"/>
      <c r="K1203" s="402"/>
      <c r="L1203" s="402"/>
      <c r="M1203" s="402"/>
      <c r="N1203" s="402"/>
      <c r="O1203" s="402"/>
      <c r="P1203" s="402"/>
      <c r="Q1203" s="402"/>
      <c r="R1203" s="402"/>
      <c r="S1203" s="402"/>
      <c r="T1203" s="402"/>
      <c r="U1203" s="402"/>
      <c r="V1203" s="402"/>
      <c r="W1203" s="402"/>
      <c r="X1203" s="402"/>
      <c r="Y1203" s="402"/>
      <c r="Z1203" s="402"/>
      <c r="AA1203" s="405"/>
      <c r="AB1203" s="405"/>
      <c r="AC1203" s="405"/>
      <c r="AD1203" s="405"/>
      <c r="AE1203" s="405"/>
      <c r="AF1203" s="405"/>
      <c r="AG1203" s="405"/>
      <c r="AH1203" s="405"/>
      <c r="AI1203" s="405"/>
      <c r="AJ1203" s="405"/>
      <c r="AK1203" s="405"/>
      <c r="AL1203" s="405"/>
    </row>
    <row r="1204" ht="14.25" customHeight="1">
      <c r="A1204" s="402"/>
      <c r="B1204" s="402"/>
      <c r="C1204" s="402"/>
      <c r="D1204" s="402"/>
      <c r="E1204" s="402"/>
      <c r="F1204" s="402"/>
      <c r="G1204" s="403"/>
      <c r="H1204" s="402"/>
      <c r="I1204" s="402"/>
      <c r="J1204" s="402"/>
      <c r="K1204" s="402"/>
      <c r="L1204" s="402"/>
      <c r="M1204" s="402"/>
      <c r="N1204" s="402"/>
      <c r="O1204" s="402"/>
      <c r="P1204" s="402"/>
      <c r="Q1204" s="402"/>
      <c r="R1204" s="402"/>
      <c r="S1204" s="402"/>
      <c r="T1204" s="402"/>
      <c r="U1204" s="402"/>
      <c r="V1204" s="402"/>
      <c r="W1204" s="402"/>
      <c r="X1204" s="402"/>
      <c r="Y1204" s="402"/>
      <c r="Z1204" s="402"/>
      <c r="AA1204" s="405"/>
      <c r="AB1204" s="405"/>
      <c r="AC1204" s="405"/>
      <c r="AD1204" s="405"/>
      <c r="AE1204" s="405"/>
      <c r="AF1204" s="405"/>
      <c r="AG1204" s="405"/>
      <c r="AH1204" s="405"/>
      <c r="AI1204" s="405"/>
      <c r="AJ1204" s="405"/>
      <c r="AK1204" s="405"/>
      <c r="AL1204" s="405"/>
    </row>
    <row r="1205" ht="14.25" customHeight="1">
      <c r="A1205" s="402"/>
      <c r="B1205" s="402"/>
      <c r="C1205" s="402"/>
      <c r="D1205" s="402"/>
      <c r="E1205" s="402"/>
      <c r="F1205" s="402"/>
      <c r="G1205" s="403"/>
      <c r="H1205" s="402"/>
      <c r="I1205" s="402"/>
      <c r="J1205" s="402"/>
      <c r="K1205" s="402"/>
      <c r="L1205" s="402"/>
      <c r="M1205" s="402"/>
      <c r="N1205" s="402"/>
      <c r="O1205" s="402"/>
      <c r="P1205" s="402"/>
      <c r="Q1205" s="402"/>
      <c r="R1205" s="402"/>
      <c r="S1205" s="402"/>
      <c r="T1205" s="402"/>
      <c r="U1205" s="402"/>
      <c r="V1205" s="402"/>
      <c r="W1205" s="402"/>
      <c r="X1205" s="402"/>
      <c r="Y1205" s="402"/>
      <c r="Z1205" s="402"/>
      <c r="AA1205" s="405"/>
      <c r="AB1205" s="405"/>
      <c r="AC1205" s="405"/>
      <c r="AD1205" s="405"/>
      <c r="AE1205" s="405"/>
      <c r="AF1205" s="405"/>
      <c r="AG1205" s="405"/>
      <c r="AH1205" s="405"/>
      <c r="AI1205" s="405"/>
      <c r="AJ1205" s="405"/>
      <c r="AK1205" s="405"/>
      <c r="AL1205" s="405"/>
    </row>
    <row r="1206" ht="14.25" customHeight="1">
      <c r="A1206" s="402"/>
      <c r="B1206" s="402"/>
      <c r="C1206" s="402"/>
      <c r="D1206" s="402"/>
      <c r="E1206" s="402"/>
      <c r="F1206" s="402"/>
      <c r="G1206" s="403"/>
      <c r="H1206" s="402"/>
      <c r="I1206" s="402"/>
      <c r="J1206" s="402"/>
      <c r="K1206" s="402"/>
      <c r="L1206" s="402"/>
      <c r="M1206" s="402"/>
      <c r="N1206" s="402"/>
      <c r="O1206" s="402"/>
      <c r="P1206" s="402"/>
      <c r="Q1206" s="402"/>
      <c r="R1206" s="402"/>
      <c r="S1206" s="402"/>
      <c r="T1206" s="402"/>
      <c r="U1206" s="402"/>
      <c r="V1206" s="402"/>
      <c r="W1206" s="402"/>
      <c r="X1206" s="402"/>
      <c r="Y1206" s="402"/>
      <c r="Z1206" s="402"/>
      <c r="AA1206" s="405"/>
      <c r="AB1206" s="405"/>
      <c r="AC1206" s="405"/>
      <c r="AD1206" s="405"/>
      <c r="AE1206" s="405"/>
      <c r="AF1206" s="405"/>
      <c r="AG1206" s="405"/>
      <c r="AH1206" s="405"/>
      <c r="AI1206" s="405"/>
      <c r="AJ1206" s="405"/>
      <c r="AK1206" s="405"/>
      <c r="AL1206" s="405"/>
    </row>
    <row r="1207" ht="14.25" customHeight="1">
      <c r="A1207" s="402"/>
      <c r="B1207" s="402"/>
      <c r="C1207" s="402"/>
      <c r="D1207" s="402"/>
      <c r="E1207" s="402"/>
      <c r="F1207" s="402"/>
      <c r="G1207" s="403"/>
      <c r="H1207" s="402"/>
      <c r="I1207" s="402"/>
      <c r="J1207" s="402"/>
      <c r="K1207" s="402"/>
      <c r="L1207" s="402"/>
      <c r="M1207" s="402"/>
      <c r="N1207" s="402"/>
      <c r="O1207" s="402"/>
      <c r="P1207" s="402"/>
      <c r="Q1207" s="402"/>
      <c r="R1207" s="402"/>
      <c r="S1207" s="402"/>
      <c r="T1207" s="402"/>
      <c r="U1207" s="402"/>
      <c r="V1207" s="402"/>
      <c r="W1207" s="402"/>
      <c r="X1207" s="402"/>
      <c r="Y1207" s="402"/>
      <c r="Z1207" s="402"/>
      <c r="AA1207" s="405"/>
      <c r="AB1207" s="405"/>
      <c r="AC1207" s="405"/>
      <c r="AD1207" s="405"/>
      <c r="AE1207" s="405"/>
      <c r="AF1207" s="405"/>
      <c r="AG1207" s="405"/>
      <c r="AH1207" s="405"/>
      <c r="AI1207" s="405"/>
      <c r="AJ1207" s="405"/>
      <c r="AK1207" s="405"/>
      <c r="AL1207" s="405"/>
    </row>
    <row r="1208" ht="14.25" customHeight="1">
      <c r="A1208" s="402"/>
      <c r="B1208" s="402"/>
      <c r="C1208" s="402"/>
      <c r="D1208" s="402"/>
      <c r="E1208" s="402"/>
      <c r="F1208" s="402"/>
      <c r="G1208" s="403"/>
      <c r="H1208" s="402"/>
      <c r="I1208" s="402"/>
      <c r="J1208" s="402"/>
      <c r="K1208" s="402"/>
      <c r="L1208" s="402"/>
      <c r="M1208" s="402"/>
      <c r="N1208" s="402"/>
      <c r="O1208" s="402"/>
      <c r="P1208" s="402"/>
      <c r="Q1208" s="402"/>
      <c r="R1208" s="402"/>
      <c r="S1208" s="402"/>
      <c r="T1208" s="402"/>
      <c r="U1208" s="402"/>
      <c r="V1208" s="402"/>
      <c r="W1208" s="402"/>
      <c r="X1208" s="402"/>
      <c r="Y1208" s="402"/>
      <c r="Z1208" s="402"/>
      <c r="AA1208" s="405"/>
      <c r="AB1208" s="405"/>
      <c r="AC1208" s="405"/>
      <c r="AD1208" s="405"/>
      <c r="AE1208" s="405"/>
      <c r="AF1208" s="405"/>
      <c r="AG1208" s="405"/>
      <c r="AH1208" s="405"/>
      <c r="AI1208" s="405"/>
      <c r="AJ1208" s="405"/>
      <c r="AK1208" s="405"/>
      <c r="AL1208" s="405"/>
    </row>
    <row r="1209" ht="14.25" customHeight="1">
      <c r="A1209" s="402"/>
      <c r="B1209" s="402"/>
      <c r="C1209" s="402"/>
      <c r="D1209" s="402"/>
      <c r="E1209" s="402"/>
      <c r="F1209" s="402"/>
      <c r="G1209" s="403"/>
      <c r="H1209" s="402"/>
      <c r="I1209" s="402"/>
      <c r="J1209" s="402"/>
      <c r="K1209" s="402"/>
      <c r="L1209" s="402"/>
      <c r="M1209" s="402"/>
      <c r="N1209" s="402"/>
      <c r="O1209" s="402"/>
      <c r="P1209" s="402"/>
      <c r="Q1209" s="402"/>
      <c r="R1209" s="402"/>
      <c r="S1209" s="402"/>
      <c r="T1209" s="402"/>
      <c r="U1209" s="402"/>
      <c r="V1209" s="402"/>
      <c r="W1209" s="402"/>
      <c r="X1209" s="402"/>
      <c r="Y1209" s="402"/>
      <c r="Z1209" s="402"/>
      <c r="AA1209" s="405"/>
      <c r="AB1209" s="405"/>
      <c r="AC1209" s="405"/>
      <c r="AD1209" s="405"/>
      <c r="AE1209" s="405"/>
      <c r="AF1209" s="405"/>
      <c r="AG1209" s="405"/>
      <c r="AH1209" s="405"/>
      <c r="AI1209" s="405"/>
      <c r="AJ1209" s="405"/>
      <c r="AK1209" s="405"/>
      <c r="AL1209" s="405"/>
    </row>
    <row r="1210" ht="14.25" customHeight="1">
      <c r="A1210" s="402"/>
      <c r="B1210" s="402"/>
      <c r="C1210" s="402"/>
      <c r="D1210" s="402"/>
      <c r="E1210" s="402"/>
      <c r="F1210" s="402"/>
      <c r="G1210" s="403"/>
      <c r="H1210" s="402"/>
      <c r="I1210" s="402"/>
      <c r="J1210" s="402"/>
      <c r="K1210" s="402"/>
      <c r="L1210" s="402"/>
      <c r="M1210" s="402"/>
      <c r="N1210" s="402"/>
      <c r="O1210" s="402"/>
      <c r="P1210" s="402"/>
      <c r="Q1210" s="402"/>
      <c r="R1210" s="402"/>
      <c r="S1210" s="402"/>
      <c r="T1210" s="402"/>
      <c r="U1210" s="402"/>
      <c r="V1210" s="402"/>
      <c r="W1210" s="402"/>
      <c r="X1210" s="402"/>
      <c r="Y1210" s="402"/>
      <c r="Z1210" s="402"/>
      <c r="AA1210" s="405"/>
      <c r="AB1210" s="405"/>
      <c r="AC1210" s="405"/>
      <c r="AD1210" s="405"/>
      <c r="AE1210" s="405"/>
      <c r="AF1210" s="405"/>
      <c r="AG1210" s="405"/>
      <c r="AH1210" s="405"/>
      <c r="AI1210" s="405"/>
      <c r="AJ1210" s="405"/>
      <c r="AK1210" s="405"/>
      <c r="AL1210" s="405"/>
    </row>
    <row r="1211" ht="14.25" customHeight="1">
      <c r="A1211" s="402"/>
      <c r="B1211" s="402"/>
      <c r="C1211" s="402"/>
      <c r="D1211" s="402"/>
      <c r="E1211" s="402"/>
      <c r="F1211" s="402"/>
      <c r="G1211" s="403"/>
      <c r="H1211" s="402"/>
      <c r="I1211" s="402"/>
      <c r="J1211" s="402"/>
      <c r="K1211" s="402"/>
      <c r="L1211" s="402"/>
      <c r="M1211" s="402"/>
      <c r="N1211" s="402"/>
      <c r="O1211" s="402"/>
      <c r="P1211" s="402"/>
      <c r="Q1211" s="402"/>
      <c r="R1211" s="402"/>
      <c r="S1211" s="402"/>
      <c r="T1211" s="402"/>
      <c r="U1211" s="402"/>
      <c r="V1211" s="402"/>
      <c r="W1211" s="402"/>
      <c r="X1211" s="402"/>
      <c r="Y1211" s="402"/>
      <c r="Z1211" s="402"/>
      <c r="AA1211" s="405"/>
      <c r="AB1211" s="405"/>
      <c r="AC1211" s="405"/>
      <c r="AD1211" s="405"/>
      <c r="AE1211" s="405"/>
      <c r="AF1211" s="405"/>
      <c r="AG1211" s="405"/>
      <c r="AH1211" s="405"/>
      <c r="AI1211" s="405"/>
      <c r="AJ1211" s="405"/>
      <c r="AK1211" s="405"/>
      <c r="AL1211" s="405"/>
    </row>
    <row r="1212" ht="14.25" customHeight="1">
      <c r="A1212" s="402"/>
      <c r="B1212" s="402"/>
      <c r="C1212" s="402"/>
      <c r="D1212" s="402"/>
      <c r="E1212" s="402"/>
      <c r="F1212" s="402"/>
      <c r="G1212" s="403"/>
      <c r="H1212" s="402"/>
      <c r="I1212" s="402"/>
      <c r="J1212" s="402"/>
      <c r="K1212" s="402"/>
      <c r="L1212" s="402"/>
      <c r="M1212" s="402"/>
      <c r="N1212" s="402"/>
      <c r="O1212" s="402"/>
      <c r="P1212" s="402"/>
      <c r="Q1212" s="402"/>
      <c r="R1212" s="402"/>
      <c r="S1212" s="402"/>
      <c r="T1212" s="402"/>
      <c r="U1212" s="402"/>
      <c r="V1212" s="402"/>
      <c r="W1212" s="402"/>
      <c r="X1212" s="402"/>
      <c r="Y1212" s="402"/>
      <c r="Z1212" s="402"/>
      <c r="AA1212" s="405"/>
      <c r="AB1212" s="405"/>
      <c r="AC1212" s="405"/>
      <c r="AD1212" s="405"/>
      <c r="AE1212" s="405"/>
      <c r="AF1212" s="405"/>
      <c r="AG1212" s="405"/>
      <c r="AH1212" s="405"/>
      <c r="AI1212" s="405"/>
      <c r="AJ1212" s="405"/>
      <c r="AK1212" s="405"/>
      <c r="AL1212" s="405"/>
    </row>
    <row r="1213" ht="14.25" customHeight="1">
      <c r="A1213" s="402"/>
      <c r="B1213" s="402"/>
      <c r="C1213" s="402"/>
      <c r="D1213" s="402"/>
      <c r="E1213" s="402"/>
      <c r="F1213" s="402"/>
      <c r="G1213" s="403"/>
      <c r="H1213" s="402"/>
      <c r="I1213" s="402"/>
      <c r="J1213" s="402"/>
      <c r="K1213" s="402"/>
      <c r="L1213" s="402"/>
      <c r="M1213" s="402"/>
      <c r="N1213" s="402"/>
      <c r="O1213" s="402"/>
      <c r="P1213" s="402"/>
      <c r="Q1213" s="402"/>
      <c r="R1213" s="402"/>
      <c r="S1213" s="402"/>
      <c r="T1213" s="402"/>
      <c r="U1213" s="402"/>
      <c r="V1213" s="402"/>
      <c r="W1213" s="402"/>
      <c r="X1213" s="402"/>
      <c r="Y1213" s="402"/>
      <c r="Z1213" s="402"/>
      <c r="AA1213" s="405"/>
      <c r="AB1213" s="405"/>
      <c r="AC1213" s="405"/>
      <c r="AD1213" s="405"/>
      <c r="AE1213" s="405"/>
      <c r="AF1213" s="405"/>
      <c r="AG1213" s="405"/>
      <c r="AH1213" s="405"/>
      <c r="AI1213" s="405"/>
      <c r="AJ1213" s="405"/>
      <c r="AK1213" s="405"/>
      <c r="AL1213" s="405"/>
    </row>
    <row r="1214" ht="14.25" customHeight="1">
      <c r="A1214" s="402"/>
      <c r="B1214" s="402"/>
      <c r="C1214" s="402"/>
      <c r="D1214" s="402"/>
      <c r="E1214" s="402"/>
      <c r="F1214" s="402"/>
      <c r="G1214" s="403"/>
      <c r="H1214" s="402"/>
      <c r="I1214" s="402"/>
      <c r="J1214" s="402"/>
      <c r="K1214" s="402"/>
      <c r="L1214" s="402"/>
      <c r="M1214" s="402"/>
      <c r="N1214" s="402"/>
      <c r="O1214" s="402"/>
      <c r="P1214" s="402"/>
      <c r="Q1214" s="402"/>
      <c r="R1214" s="402"/>
      <c r="S1214" s="402"/>
      <c r="T1214" s="402"/>
      <c r="U1214" s="402"/>
      <c r="V1214" s="402"/>
      <c r="W1214" s="402"/>
      <c r="X1214" s="402"/>
      <c r="Y1214" s="402"/>
      <c r="Z1214" s="402"/>
      <c r="AA1214" s="405"/>
      <c r="AB1214" s="405"/>
      <c r="AC1214" s="405"/>
      <c r="AD1214" s="405"/>
      <c r="AE1214" s="405"/>
      <c r="AF1214" s="405"/>
      <c r="AG1214" s="405"/>
      <c r="AH1214" s="405"/>
      <c r="AI1214" s="405"/>
      <c r="AJ1214" s="405"/>
      <c r="AK1214" s="405"/>
      <c r="AL1214" s="405"/>
    </row>
    <row r="1215" ht="14.25" customHeight="1">
      <c r="A1215" s="402"/>
      <c r="B1215" s="402"/>
      <c r="C1215" s="402"/>
      <c r="D1215" s="402"/>
      <c r="E1215" s="402"/>
      <c r="F1215" s="402"/>
      <c r="G1215" s="403"/>
      <c r="H1215" s="402"/>
      <c r="I1215" s="402"/>
      <c r="J1215" s="402"/>
      <c r="K1215" s="402"/>
      <c r="L1215" s="402"/>
      <c r="M1215" s="402"/>
      <c r="N1215" s="402"/>
      <c r="O1215" s="402"/>
      <c r="P1215" s="402"/>
      <c r="Q1215" s="402"/>
      <c r="R1215" s="402"/>
      <c r="S1215" s="402"/>
      <c r="T1215" s="402"/>
      <c r="U1215" s="402"/>
      <c r="V1215" s="402"/>
      <c r="W1215" s="402"/>
      <c r="X1215" s="402"/>
      <c r="Y1215" s="402"/>
      <c r="Z1215" s="402"/>
      <c r="AA1215" s="405"/>
      <c r="AB1215" s="405"/>
      <c r="AC1215" s="405"/>
      <c r="AD1215" s="405"/>
      <c r="AE1215" s="405"/>
      <c r="AF1215" s="405"/>
      <c r="AG1215" s="405"/>
      <c r="AH1215" s="405"/>
      <c r="AI1215" s="405"/>
      <c r="AJ1215" s="405"/>
      <c r="AK1215" s="405"/>
      <c r="AL1215" s="405"/>
    </row>
    <row r="1216" ht="14.25" customHeight="1">
      <c r="A1216" s="402"/>
      <c r="B1216" s="402"/>
      <c r="C1216" s="402"/>
      <c r="D1216" s="402"/>
      <c r="E1216" s="402"/>
      <c r="F1216" s="402"/>
      <c r="G1216" s="403"/>
      <c r="H1216" s="402"/>
      <c r="I1216" s="402"/>
      <c r="J1216" s="402"/>
      <c r="K1216" s="402"/>
      <c r="L1216" s="402"/>
      <c r="M1216" s="402"/>
      <c r="N1216" s="402"/>
      <c r="O1216" s="402"/>
      <c r="P1216" s="402"/>
      <c r="Q1216" s="402"/>
      <c r="R1216" s="402"/>
      <c r="S1216" s="402"/>
      <c r="T1216" s="402"/>
      <c r="U1216" s="402"/>
      <c r="V1216" s="402"/>
      <c r="W1216" s="402"/>
      <c r="X1216" s="402"/>
      <c r="Y1216" s="402"/>
      <c r="Z1216" s="402"/>
      <c r="AA1216" s="405"/>
      <c r="AB1216" s="405"/>
      <c r="AC1216" s="405"/>
      <c r="AD1216" s="405"/>
      <c r="AE1216" s="405"/>
      <c r="AF1216" s="405"/>
      <c r="AG1216" s="405"/>
      <c r="AH1216" s="405"/>
      <c r="AI1216" s="405"/>
      <c r="AJ1216" s="405"/>
      <c r="AK1216" s="405"/>
      <c r="AL1216" s="405"/>
    </row>
    <row r="1217" ht="14.25" customHeight="1">
      <c r="A1217" s="402"/>
      <c r="B1217" s="402"/>
      <c r="C1217" s="402"/>
      <c r="D1217" s="402"/>
      <c r="E1217" s="402"/>
      <c r="F1217" s="402"/>
      <c r="G1217" s="403"/>
      <c r="H1217" s="402"/>
      <c r="I1217" s="402"/>
      <c r="J1217" s="402"/>
      <c r="K1217" s="402"/>
      <c r="L1217" s="402"/>
      <c r="M1217" s="402"/>
      <c r="N1217" s="402"/>
      <c r="O1217" s="402"/>
      <c r="P1217" s="402"/>
      <c r="Q1217" s="402"/>
      <c r="R1217" s="402"/>
      <c r="S1217" s="402"/>
      <c r="T1217" s="402"/>
      <c r="U1217" s="402"/>
      <c r="V1217" s="402"/>
      <c r="W1217" s="402"/>
      <c r="X1217" s="402"/>
      <c r="Y1217" s="402"/>
      <c r="Z1217" s="402"/>
      <c r="AA1217" s="405"/>
      <c r="AB1217" s="405"/>
      <c r="AC1217" s="405"/>
      <c r="AD1217" s="405"/>
      <c r="AE1217" s="405"/>
      <c r="AF1217" s="405"/>
      <c r="AG1217" s="405"/>
      <c r="AH1217" s="405"/>
      <c r="AI1217" s="405"/>
      <c r="AJ1217" s="405"/>
      <c r="AK1217" s="405"/>
      <c r="AL1217" s="405"/>
    </row>
    <row r="1218" ht="14.25" customHeight="1">
      <c r="A1218" s="402"/>
      <c r="B1218" s="402"/>
      <c r="C1218" s="402"/>
      <c r="D1218" s="402"/>
      <c r="E1218" s="402"/>
      <c r="F1218" s="402"/>
      <c r="G1218" s="403"/>
      <c r="H1218" s="402"/>
      <c r="I1218" s="402"/>
      <c r="J1218" s="402"/>
      <c r="K1218" s="402"/>
      <c r="L1218" s="402"/>
      <c r="M1218" s="402"/>
      <c r="N1218" s="402"/>
      <c r="O1218" s="402"/>
      <c r="P1218" s="402"/>
      <c r="Q1218" s="402"/>
      <c r="R1218" s="402"/>
      <c r="S1218" s="402"/>
      <c r="T1218" s="402"/>
      <c r="U1218" s="402"/>
      <c r="V1218" s="402"/>
      <c r="W1218" s="402"/>
      <c r="X1218" s="402"/>
      <c r="Y1218" s="402"/>
      <c r="Z1218" s="402"/>
      <c r="AA1218" s="405"/>
      <c r="AB1218" s="405"/>
      <c r="AC1218" s="405"/>
      <c r="AD1218" s="405"/>
      <c r="AE1218" s="405"/>
      <c r="AF1218" s="405"/>
      <c r="AG1218" s="405"/>
      <c r="AH1218" s="405"/>
      <c r="AI1218" s="405"/>
      <c r="AJ1218" s="405"/>
      <c r="AK1218" s="405"/>
      <c r="AL1218" s="405"/>
    </row>
    <row r="1219" ht="14.25" customHeight="1">
      <c r="A1219" s="402"/>
      <c r="B1219" s="402"/>
      <c r="C1219" s="402"/>
      <c r="D1219" s="402"/>
      <c r="E1219" s="402"/>
      <c r="F1219" s="402"/>
      <c r="G1219" s="403"/>
      <c r="H1219" s="402"/>
      <c r="I1219" s="402"/>
      <c r="J1219" s="402"/>
      <c r="K1219" s="402"/>
      <c r="L1219" s="402"/>
      <c r="M1219" s="402"/>
      <c r="N1219" s="402"/>
      <c r="O1219" s="402"/>
      <c r="P1219" s="402"/>
      <c r="Q1219" s="402"/>
      <c r="R1219" s="402"/>
      <c r="S1219" s="402"/>
      <c r="T1219" s="402"/>
      <c r="U1219" s="402"/>
      <c r="V1219" s="402"/>
      <c r="W1219" s="402"/>
      <c r="X1219" s="402"/>
      <c r="Y1219" s="402"/>
      <c r="Z1219" s="402"/>
      <c r="AA1219" s="405"/>
      <c r="AB1219" s="405"/>
      <c r="AC1219" s="405"/>
      <c r="AD1219" s="405"/>
      <c r="AE1219" s="405"/>
      <c r="AF1219" s="405"/>
      <c r="AG1219" s="405"/>
      <c r="AH1219" s="405"/>
      <c r="AI1219" s="405"/>
      <c r="AJ1219" s="405"/>
      <c r="AK1219" s="405"/>
      <c r="AL1219" s="405"/>
    </row>
    <row r="1220" ht="14.25" customHeight="1">
      <c r="A1220" s="402"/>
      <c r="B1220" s="402"/>
      <c r="C1220" s="402"/>
      <c r="D1220" s="402"/>
      <c r="E1220" s="402"/>
      <c r="F1220" s="402"/>
      <c r="G1220" s="403"/>
      <c r="H1220" s="402"/>
      <c r="I1220" s="402"/>
      <c r="J1220" s="402"/>
      <c r="K1220" s="402"/>
      <c r="L1220" s="402"/>
      <c r="M1220" s="402"/>
      <c r="N1220" s="402"/>
      <c r="O1220" s="402"/>
      <c r="P1220" s="402"/>
      <c r="Q1220" s="402"/>
      <c r="R1220" s="402"/>
      <c r="S1220" s="402"/>
      <c r="T1220" s="402"/>
      <c r="U1220" s="402"/>
      <c r="V1220" s="402"/>
      <c r="W1220" s="402"/>
      <c r="X1220" s="402"/>
      <c r="Y1220" s="402"/>
      <c r="Z1220" s="402"/>
      <c r="AA1220" s="405"/>
      <c r="AB1220" s="405"/>
      <c r="AC1220" s="405"/>
      <c r="AD1220" s="405"/>
      <c r="AE1220" s="405"/>
      <c r="AF1220" s="405"/>
      <c r="AG1220" s="405"/>
      <c r="AH1220" s="405"/>
      <c r="AI1220" s="405"/>
      <c r="AJ1220" s="405"/>
      <c r="AK1220" s="405"/>
      <c r="AL1220" s="405"/>
    </row>
    <row r="1221" ht="14.25" customHeight="1">
      <c r="A1221" s="402"/>
      <c r="B1221" s="402"/>
      <c r="C1221" s="402"/>
      <c r="D1221" s="402"/>
      <c r="E1221" s="402"/>
      <c r="F1221" s="402"/>
      <c r="G1221" s="403"/>
      <c r="H1221" s="402"/>
      <c r="I1221" s="402"/>
      <c r="J1221" s="402"/>
      <c r="K1221" s="402"/>
      <c r="L1221" s="402"/>
      <c r="M1221" s="402"/>
      <c r="N1221" s="402"/>
      <c r="O1221" s="402"/>
      <c r="P1221" s="402"/>
      <c r="Q1221" s="402"/>
      <c r="R1221" s="402"/>
      <c r="S1221" s="402"/>
      <c r="T1221" s="402"/>
      <c r="U1221" s="402"/>
      <c r="V1221" s="402"/>
      <c r="W1221" s="402"/>
      <c r="X1221" s="402"/>
      <c r="Y1221" s="402"/>
      <c r="Z1221" s="402"/>
      <c r="AA1221" s="405"/>
      <c r="AB1221" s="405"/>
      <c r="AC1221" s="405"/>
      <c r="AD1221" s="405"/>
      <c r="AE1221" s="405"/>
      <c r="AF1221" s="405"/>
      <c r="AG1221" s="405"/>
      <c r="AH1221" s="405"/>
      <c r="AI1221" s="405"/>
      <c r="AJ1221" s="405"/>
      <c r="AK1221" s="405"/>
      <c r="AL1221" s="405"/>
    </row>
    <row r="1222" ht="14.25" customHeight="1">
      <c r="A1222" s="402"/>
      <c r="B1222" s="402"/>
      <c r="C1222" s="402"/>
      <c r="D1222" s="402"/>
      <c r="E1222" s="402"/>
      <c r="F1222" s="402"/>
      <c r="G1222" s="403"/>
      <c r="H1222" s="402"/>
      <c r="I1222" s="402"/>
      <c r="J1222" s="402"/>
      <c r="K1222" s="402"/>
      <c r="L1222" s="402"/>
      <c r="M1222" s="402"/>
      <c r="N1222" s="402"/>
      <c r="O1222" s="402"/>
      <c r="P1222" s="402"/>
      <c r="Q1222" s="402"/>
      <c r="R1222" s="402"/>
      <c r="S1222" s="402"/>
      <c r="T1222" s="402"/>
      <c r="U1222" s="402"/>
      <c r="V1222" s="402"/>
      <c r="W1222" s="402"/>
      <c r="X1222" s="402"/>
      <c r="Y1222" s="402"/>
      <c r="Z1222" s="402"/>
      <c r="AA1222" s="405"/>
      <c r="AB1222" s="405"/>
      <c r="AC1222" s="405"/>
      <c r="AD1222" s="405"/>
      <c r="AE1222" s="405"/>
      <c r="AF1222" s="405"/>
      <c r="AG1222" s="405"/>
      <c r="AH1222" s="405"/>
      <c r="AI1222" s="405"/>
      <c r="AJ1222" s="405"/>
      <c r="AK1222" s="405"/>
      <c r="AL1222" s="405"/>
    </row>
    <row r="1223" ht="14.25" customHeight="1">
      <c r="A1223" s="402"/>
      <c r="B1223" s="402"/>
      <c r="C1223" s="402"/>
      <c r="D1223" s="402"/>
      <c r="E1223" s="402"/>
      <c r="F1223" s="402"/>
      <c r="G1223" s="403"/>
      <c r="H1223" s="402"/>
      <c r="I1223" s="402"/>
      <c r="J1223" s="402"/>
      <c r="K1223" s="402"/>
      <c r="L1223" s="402"/>
      <c r="M1223" s="402"/>
      <c r="N1223" s="402"/>
      <c r="O1223" s="402"/>
      <c r="P1223" s="402"/>
      <c r="Q1223" s="402"/>
      <c r="R1223" s="402"/>
      <c r="S1223" s="402"/>
      <c r="T1223" s="402"/>
      <c r="U1223" s="402"/>
      <c r="V1223" s="402"/>
      <c r="W1223" s="402"/>
      <c r="X1223" s="402"/>
      <c r="Y1223" s="402"/>
      <c r="Z1223" s="402"/>
      <c r="AA1223" s="405"/>
      <c r="AB1223" s="405"/>
      <c r="AC1223" s="405"/>
      <c r="AD1223" s="405"/>
      <c r="AE1223" s="405"/>
      <c r="AF1223" s="405"/>
      <c r="AG1223" s="405"/>
      <c r="AH1223" s="405"/>
      <c r="AI1223" s="405"/>
      <c r="AJ1223" s="405"/>
      <c r="AK1223" s="405"/>
      <c r="AL1223" s="405"/>
    </row>
    <row r="1224" ht="14.25" customHeight="1">
      <c r="A1224" s="402"/>
      <c r="B1224" s="402"/>
      <c r="C1224" s="402"/>
      <c r="D1224" s="402"/>
      <c r="E1224" s="402"/>
      <c r="F1224" s="402"/>
      <c r="G1224" s="403"/>
      <c r="H1224" s="402"/>
      <c r="I1224" s="402"/>
      <c r="J1224" s="402"/>
      <c r="K1224" s="402"/>
      <c r="L1224" s="402"/>
      <c r="M1224" s="402"/>
      <c r="N1224" s="402"/>
      <c r="O1224" s="402"/>
      <c r="P1224" s="402"/>
      <c r="Q1224" s="402"/>
      <c r="R1224" s="402"/>
      <c r="S1224" s="402"/>
      <c r="T1224" s="402"/>
      <c r="U1224" s="402"/>
      <c r="V1224" s="402"/>
      <c r="W1224" s="402"/>
      <c r="X1224" s="402"/>
      <c r="Y1224" s="402"/>
      <c r="Z1224" s="402"/>
      <c r="AA1224" s="405"/>
      <c r="AB1224" s="405"/>
      <c r="AC1224" s="405"/>
      <c r="AD1224" s="405"/>
      <c r="AE1224" s="405"/>
      <c r="AF1224" s="405"/>
      <c r="AG1224" s="405"/>
      <c r="AH1224" s="405"/>
      <c r="AI1224" s="405"/>
      <c r="AJ1224" s="405"/>
      <c r="AK1224" s="405"/>
      <c r="AL1224" s="405"/>
    </row>
    <row r="1225" ht="14.25" customHeight="1">
      <c r="A1225" s="402"/>
      <c r="B1225" s="402"/>
      <c r="C1225" s="402"/>
      <c r="D1225" s="402"/>
      <c r="E1225" s="402"/>
      <c r="F1225" s="402"/>
      <c r="G1225" s="403"/>
      <c r="H1225" s="402"/>
      <c r="I1225" s="402"/>
      <c r="J1225" s="402"/>
      <c r="K1225" s="402"/>
      <c r="L1225" s="402"/>
      <c r="M1225" s="402"/>
      <c r="N1225" s="402"/>
      <c r="O1225" s="402"/>
      <c r="P1225" s="402"/>
      <c r="Q1225" s="402"/>
      <c r="R1225" s="402"/>
      <c r="S1225" s="402"/>
      <c r="T1225" s="402"/>
      <c r="U1225" s="402"/>
      <c r="V1225" s="402"/>
      <c r="W1225" s="402"/>
      <c r="X1225" s="402"/>
      <c r="Y1225" s="402"/>
      <c r="Z1225" s="402"/>
      <c r="AA1225" s="405"/>
      <c r="AB1225" s="405"/>
      <c r="AC1225" s="405"/>
      <c r="AD1225" s="405"/>
      <c r="AE1225" s="405"/>
      <c r="AF1225" s="405"/>
      <c r="AG1225" s="405"/>
      <c r="AH1225" s="405"/>
      <c r="AI1225" s="405"/>
      <c r="AJ1225" s="405"/>
      <c r="AK1225" s="405"/>
      <c r="AL1225" s="405"/>
    </row>
    <row r="1226" ht="14.25" customHeight="1">
      <c r="A1226" s="402"/>
      <c r="B1226" s="402"/>
      <c r="C1226" s="402"/>
      <c r="D1226" s="402"/>
      <c r="E1226" s="402"/>
      <c r="F1226" s="402"/>
      <c r="G1226" s="403"/>
      <c r="H1226" s="402"/>
      <c r="I1226" s="402"/>
      <c r="J1226" s="402"/>
      <c r="K1226" s="402"/>
      <c r="L1226" s="402"/>
      <c r="M1226" s="402"/>
      <c r="N1226" s="402"/>
      <c r="O1226" s="402"/>
      <c r="P1226" s="402"/>
      <c r="Q1226" s="402"/>
      <c r="R1226" s="402"/>
      <c r="S1226" s="402"/>
      <c r="T1226" s="402"/>
      <c r="U1226" s="402"/>
      <c r="V1226" s="402"/>
      <c r="W1226" s="402"/>
      <c r="X1226" s="402"/>
      <c r="Y1226" s="402"/>
      <c r="Z1226" s="402"/>
      <c r="AA1226" s="405"/>
      <c r="AB1226" s="405"/>
      <c r="AC1226" s="405"/>
      <c r="AD1226" s="405"/>
      <c r="AE1226" s="405"/>
      <c r="AF1226" s="405"/>
      <c r="AG1226" s="405"/>
      <c r="AH1226" s="405"/>
      <c r="AI1226" s="405"/>
      <c r="AJ1226" s="405"/>
      <c r="AK1226" s="405"/>
      <c r="AL1226" s="405"/>
    </row>
    <row r="1227" ht="14.25" customHeight="1">
      <c r="A1227" s="402"/>
      <c r="B1227" s="402"/>
      <c r="C1227" s="402"/>
      <c r="D1227" s="402"/>
      <c r="E1227" s="402"/>
      <c r="F1227" s="402"/>
      <c r="G1227" s="403"/>
      <c r="H1227" s="402"/>
      <c r="I1227" s="402"/>
      <c r="J1227" s="402"/>
      <c r="K1227" s="402"/>
      <c r="L1227" s="402"/>
      <c r="M1227" s="402"/>
      <c r="N1227" s="402"/>
      <c r="O1227" s="402"/>
      <c r="P1227" s="402"/>
      <c r="Q1227" s="402"/>
      <c r="R1227" s="402"/>
      <c r="S1227" s="402"/>
      <c r="T1227" s="402"/>
      <c r="U1227" s="402"/>
      <c r="V1227" s="402"/>
      <c r="W1227" s="402"/>
      <c r="X1227" s="402"/>
      <c r="Y1227" s="402"/>
      <c r="Z1227" s="402"/>
      <c r="AA1227" s="405"/>
      <c r="AB1227" s="405"/>
      <c r="AC1227" s="405"/>
      <c r="AD1227" s="405"/>
      <c r="AE1227" s="405"/>
      <c r="AF1227" s="405"/>
      <c r="AG1227" s="405"/>
      <c r="AH1227" s="405"/>
      <c r="AI1227" s="405"/>
      <c r="AJ1227" s="405"/>
      <c r="AK1227" s="405"/>
      <c r="AL1227" s="405"/>
    </row>
    <row r="1228" ht="14.25" customHeight="1">
      <c r="A1228" s="402"/>
      <c r="B1228" s="402"/>
      <c r="C1228" s="402"/>
      <c r="D1228" s="402"/>
      <c r="E1228" s="402"/>
      <c r="F1228" s="402"/>
      <c r="G1228" s="403"/>
      <c r="H1228" s="402"/>
      <c r="I1228" s="402"/>
      <c r="J1228" s="402"/>
      <c r="K1228" s="402"/>
      <c r="L1228" s="402"/>
      <c r="M1228" s="402"/>
      <c r="N1228" s="402"/>
      <c r="O1228" s="402"/>
      <c r="P1228" s="402"/>
      <c r="Q1228" s="402"/>
      <c r="R1228" s="402"/>
      <c r="S1228" s="402"/>
      <c r="T1228" s="402"/>
      <c r="U1228" s="402"/>
      <c r="V1228" s="402"/>
      <c r="W1228" s="402"/>
      <c r="X1228" s="402"/>
      <c r="Y1228" s="402"/>
      <c r="Z1228" s="402"/>
      <c r="AA1228" s="405"/>
      <c r="AB1228" s="405"/>
      <c r="AC1228" s="405"/>
      <c r="AD1228" s="405"/>
      <c r="AE1228" s="405"/>
      <c r="AF1228" s="405"/>
      <c r="AG1228" s="405"/>
      <c r="AH1228" s="405"/>
      <c r="AI1228" s="405"/>
      <c r="AJ1228" s="405"/>
      <c r="AK1228" s="405"/>
      <c r="AL1228" s="405"/>
    </row>
    <row r="1229" ht="14.25" customHeight="1">
      <c r="A1229" s="402"/>
      <c r="B1229" s="402"/>
      <c r="C1229" s="402"/>
      <c r="D1229" s="402"/>
      <c r="E1229" s="402"/>
      <c r="F1229" s="402"/>
      <c r="G1229" s="403"/>
      <c r="H1229" s="402"/>
      <c r="I1229" s="402"/>
      <c r="J1229" s="402"/>
      <c r="K1229" s="402"/>
      <c r="L1229" s="402"/>
      <c r="M1229" s="402"/>
      <c r="N1229" s="402"/>
      <c r="O1229" s="402"/>
      <c r="P1229" s="402"/>
      <c r="Q1229" s="402"/>
      <c r="R1229" s="402"/>
      <c r="S1229" s="402"/>
      <c r="T1229" s="402"/>
      <c r="U1229" s="402"/>
      <c r="V1229" s="402"/>
      <c r="W1229" s="402"/>
      <c r="X1229" s="402"/>
      <c r="Y1229" s="402"/>
      <c r="Z1229" s="402"/>
      <c r="AA1229" s="405"/>
      <c r="AB1229" s="405"/>
      <c r="AC1229" s="405"/>
      <c r="AD1229" s="405"/>
      <c r="AE1229" s="405"/>
      <c r="AF1229" s="405"/>
      <c r="AG1229" s="405"/>
      <c r="AH1229" s="405"/>
      <c r="AI1229" s="405"/>
      <c r="AJ1229" s="405"/>
      <c r="AK1229" s="405"/>
      <c r="AL1229" s="405"/>
    </row>
    <row r="1230" ht="14.25" customHeight="1">
      <c r="A1230" s="402"/>
      <c r="B1230" s="402"/>
      <c r="C1230" s="402"/>
      <c r="D1230" s="402"/>
      <c r="E1230" s="402"/>
      <c r="F1230" s="402"/>
      <c r="G1230" s="403"/>
      <c r="H1230" s="402"/>
      <c r="I1230" s="402"/>
      <c r="J1230" s="402"/>
      <c r="K1230" s="402"/>
      <c r="L1230" s="402"/>
      <c r="M1230" s="402"/>
      <c r="N1230" s="402"/>
      <c r="O1230" s="402"/>
      <c r="P1230" s="402"/>
      <c r="Q1230" s="402"/>
      <c r="R1230" s="402"/>
      <c r="S1230" s="402"/>
      <c r="T1230" s="402"/>
      <c r="U1230" s="402"/>
      <c r="V1230" s="402"/>
      <c r="W1230" s="402"/>
      <c r="X1230" s="402"/>
      <c r="Y1230" s="402"/>
      <c r="Z1230" s="402"/>
      <c r="AA1230" s="405"/>
      <c r="AB1230" s="405"/>
      <c r="AC1230" s="405"/>
      <c r="AD1230" s="405"/>
      <c r="AE1230" s="405"/>
      <c r="AF1230" s="405"/>
      <c r="AG1230" s="405"/>
      <c r="AH1230" s="405"/>
      <c r="AI1230" s="405"/>
      <c r="AJ1230" s="405"/>
      <c r="AK1230" s="405"/>
      <c r="AL1230" s="405"/>
    </row>
    <row r="1231" ht="14.25" customHeight="1">
      <c r="A1231" s="402"/>
      <c r="B1231" s="402"/>
      <c r="C1231" s="402"/>
      <c r="D1231" s="402"/>
      <c r="E1231" s="402"/>
      <c r="F1231" s="402"/>
      <c r="G1231" s="403"/>
      <c r="H1231" s="402"/>
      <c r="I1231" s="402"/>
      <c r="J1231" s="402"/>
      <c r="K1231" s="402"/>
      <c r="L1231" s="402"/>
      <c r="M1231" s="402"/>
      <c r="N1231" s="402"/>
      <c r="O1231" s="402"/>
      <c r="P1231" s="402"/>
      <c r="Q1231" s="402"/>
      <c r="R1231" s="402"/>
      <c r="S1231" s="402"/>
      <c r="T1231" s="402"/>
      <c r="U1231" s="402"/>
      <c r="V1231" s="402"/>
      <c r="W1231" s="402"/>
      <c r="X1231" s="402"/>
      <c r="Y1231" s="402"/>
      <c r="Z1231" s="402"/>
      <c r="AA1231" s="405"/>
      <c r="AB1231" s="405"/>
      <c r="AC1231" s="405"/>
      <c r="AD1231" s="405"/>
      <c r="AE1231" s="405"/>
      <c r="AF1231" s="405"/>
      <c r="AG1231" s="405"/>
      <c r="AH1231" s="405"/>
      <c r="AI1231" s="405"/>
      <c r="AJ1231" s="405"/>
      <c r="AK1231" s="405"/>
      <c r="AL1231" s="405"/>
    </row>
    <row r="1232" ht="14.25" customHeight="1">
      <c r="A1232" s="402"/>
      <c r="B1232" s="402"/>
      <c r="C1232" s="402"/>
      <c r="D1232" s="402"/>
      <c r="E1232" s="402"/>
      <c r="F1232" s="402"/>
      <c r="G1232" s="403"/>
      <c r="H1232" s="402"/>
      <c r="I1232" s="402"/>
      <c r="J1232" s="402"/>
      <c r="K1232" s="402"/>
      <c r="L1232" s="402"/>
      <c r="M1232" s="402"/>
      <c r="N1232" s="402"/>
      <c r="O1232" s="402"/>
      <c r="P1232" s="402"/>
      <c r="Q1232" s="402"/>
      <c r="R1232" s="402"/>
      <c r="S1232" s="402"/>
      <c r="T1232" s="402"/>
      <c r="U1232" s="402"/>
      <c r="V1232" s="402"/>
      <c r="W1232" s="402"/>
      <c r="X1232" s="402"/>
      <c r="Y1232" s="402"/>
      <c r="Z1232" s="402"/>
      <c r="AA1232" s="405"/>
      <c r="AB1232" s="405"/>
      <c r="AC1232" s="405"/>
      <c r="AD1232" s="405"/>
      <c r="AE1232" s="405"/>
      <c r="AF1232" s="405"/>
      <c r="AG1232" s="405"/>
      <c r="AH1232" s="405"/>
      <c r="AI1232" s="405"/>
      <c r="AJ1232" s="405"/>
      <c r="AK1232" s="405"/>
      <c r="AL1232" s="405"/>
    </row>
    <row r="1233" ht="14.25" customHeight="1">
      <c r="A1233" s="402"/>
      <c r="B1233" s="402"/>
      <c r="C1233" s="402"/>
      <c r="D1233" s="402"/>
      <c r="E1233" s="402"/>
      <c r="F1233" s="402"/>
      <c r="G1233" s="403"/>
      <c r="H1233" s="402"/>
      <c r="I1233" s="402"/>
      <c r="J1233" s="402"/>
      <c r="K1233" s="402"/>
      <c r="L1233" s="402"/>
      <c r="M1233" s="402"/>
      <c r="N1233" s="402"/>
      <c r="O1233" s="402"/>
      <c r="P1233" s="402"/>
      <c r="Q1233" s="402"/>
      <c r="R1233" s="402"/>
      <c r="S1233" s="402"/>
      <c r="T1233" s="402"/>
      <c r="U1233" s="402"/>
      <c r="V1233" s="402"/>
      <c r="W1233" s="402"/>
      <c r="X1233" s="402"/>
      <c r="Y1233" s="402"/>
      <c r="Z1233" s="402"/>
      <c r="AA1233" s="405"/>
      <c r="AB1233" s="405"/>
      <c r="AC1233" s="405"/>
      <c r="AD1233" s="405"/>
      <c r="AE1233" s="405"/>
      <c r="AF1233" s="405"/>
      <c r="AG1233" s="405"/>
      <c r="AH1233" s="405"/>
      <c r="AI1233" s="405"/>
      <c r="AJ1233" s="405"/>
      <c r="AK1233" s="405"/>
      <c r="AL1233" s="405"/>
    </row>
    <row r="1234" ht="14.25" customHeight="1">
      <c r="A1234" s="402"/>
      <c r="B1234" s="402"/>
      <c r="C1234" s="402"/>
      <c r="D1234" s="402"/>
      <c r="E1234" s="402"/>
      <c r="F1234" s="402"/>
      <c r="G1234" s="403"/>
      <c r="H1234" s="402"/>
      <c r="I1234" s="402"/>
      <c r="J1234" s="402"/>
      <c r="K1234" s="402"/>
      <c r="L1234" s="402"/>
      <c r="M1234" s="402"/>
      <c r="N1234" s="402"/>
      <c r="O1234" s="402"/>
      <c r="P1234" s="402"/>
      <c r="Q1234" s="402"/>
      <c r="R1234" s="402"/>
      <c r="S1234" s="402"/>
      <c r="T1234" s="402"/>
      <c r="U1234" s="402"/>
      <c r="V1234" s="402"/>
      <c r="W1234" s="402"/>
      <c r="X1234" s="402"/>
      <c r="Y1234" s="402"/>
      <c r="Z1234" s="402"/>
      <c r="AA1234" s="405"/>
      <c r="AB1234" s="405"/>
      <c r="AC1234" s="405"/>
      <c r="AD1234" s="405"/>
      <c r="AE1234" s="405"/>
      <c r="AF1234" s="405"/>
      <c r="AG1234" s="405"/>
      <c r="AH1234" s="405"/>
      <c r="AI1234" s="405"/>
      <c r="AJ1234" s="405"/>
      <c r="AK1234" s="405"/>
      <c r="AL1234" s="405"/>
    </row>
    <row r="1235" ht="14.25" customHeight="1">
      <c r="A1235" s="402"/>
      <c r="B1235" s="402"/>
      <c r="C1235" s="402"/>
      <c r="D1235" s="402"/>
      <c r="E1235" s="402"/>
      <c r="F1235" s="402"/>
      <c r="G1235" s="403"/>
      <c r="H1235" s="402"/>
      <c r="I1235" s="402"/>
      <c r="J1235" s="402"/>
      <c r="K1235" s="402"/>
      <c r="L1235" s="402"/>
      <c r="M1235" s="402"/>
      <c r="N1235" s="402"/>
      <c r="O1235" s="402"/>
      <c r="P1235" s="402"/>
      <c r="Q1235" s="402"/>
      <c r="R1235" s="402"/>
      <c r="S1235" s="402"/>
      <c r="T1235" s="402"/>
      <c r="U1235" s="402"/>
      <c r="V1235" s="402"/>
      <c r="W1235" s="402"/>
      <c r="X1235" s="402"/>
      <c r="Y1235" s="402"/>
      <c r="Z1235" s="402"/>
      <c r="AA1235" s="405"/>
      <c r="AB1235" s="405"/>
      <c r="AC1235" s="405"/>
      <c r="AD1235" s="405"/>
      <c r="AE1235" s="405"/>
      <c r="AF1235" s="405"/>
      <c r="AG1235" s="405"/>
      <c r="AH1235" s="405"/>
      <c r="AI1235" s="405"/>
      <c r="AJ1235" s="405"/>
      <c r="AK1235" s="405"/>
      <c r="AL1235" s="405"/>
    </row>
    <row r="1236" ht="14.25" customHeight="1">
      <c r="A1236" s="402"/>
      <c r="B1236" s="402"/>
      <c r="C1236" s="402"/>
      <c r="D1236" s="402"/>
      <c r="E1236" s="402"/>
      <c r="F1236" s="402"/>
      <c r="G1236" s="403"/>
      <c r="H1236" s="402"/>
      <c r="I1236" s="402"/>
      <c r="J1236" s="402"/>
      <c r="K1236" s="402"/>
      <c r="L1236" s="402"/>
      <c r="M1236" s="402"/>
      <c r="N1236" s="402"/>
      <c r="O1236" s="402"/>
      <c r="P1236" s="402"/>
      <c r="Q1236" s="402"/>
      <c r="R1236" s="402"/>
      <c r="S1236" s="402"/>
      <c r="T1236" s="402"/>
      <c r="U1236" s="402"/>
      <c r="V1236" s="402"/>
      <c r="W1236" s="402"/>
      <c r="X1236" s="402"/>
      <c r="Y1236" s="402"/>
      <c r="Z1236" s="402"/>
      <c r="AA1236" s="405"/>
      <c r="AB1236" s="405"/>
      <c r="AC1236" s="405"/>
      <c r="AD1236" s="405"/>
      <c r="AE1236" s="405"/>
      <c r="AF1236" s="405"/>
      <c r="AG1236" s="405"/>
      <c r="AH1236" s="405"/>
      <c r="AI1236" s="405"/>
      <c r="AJ1236" s="405"/>
      <c r="AK1236" s="405"/>
      <c r="AL1236" s="405"/>
    </row>
    <row r="1237" ht="14.25" customHeight="1">
      <c r="A1237" s="402"/>
      <c r="B1237" s="402"/>
      <c r="C1237" s="402"/>
      <c r="D1237" s="402"/>
      <c r="E1237" s="402"/>
      <c r="F1237" s="402"/>
      <c r="G1237" s="403"/>
      <c r="H1237" s="402"/>
      <c r="I1237" s="402"/>
      <c r="J1237" s="402"/>
      <c r="K1237" s="402"/>
      <c r="L1237" s="402"/>
      <c r="M1237" s="402"/>
      <c r="N1237" s="402"/>
      <c r="O1237" s="402"/>
      <c r="P1237" s="402"/>
      <c r="Q1237" s="402"/>
      <c r="R1237" s="402"/>
      <c r="S1237" s="402"/>
      <c r="T1237" s="402"/>
      <c r="U1237" s="402"/>
      <c r="V1237" s="402"/>
      <c r="W1237" s="402"/>
      <c r="X1237" s="402"/>
      <c r="Y1237" s="402"/>
      <c r="Z1237" s="402"/>
      <c r="AA1237" s="405"/>
      <c r="AB1237" s="405"/>
      <c r="AC1237" s="405"/>
      <c r="AD1237" s="405"/>
      <c r="AE1237" s="405"/>
      <c r="AF1237" s="405"/>
      <c r="AG1237" s="405"/>
      <c r="AH1237" s="405"/>
      <c r="AI1237" s="405"/>
      <c r="AJ1237" s="405"/>
      <c r="AK1237" s="405"/>
      <c r="AL1237" s="405"/>
    </row>
    <row r="1238" ht="14.25" customHeight="1">
      <c r="A1238" s="402"/>
      <c r="B1238" s="402"/>
      <c r="C1238" s="402"/>
      <c r="D1238" s="402"/>
      <c r="E1238" s="402"/>
      <c r="F1238" s="402"/>
      <c r="G1238" s="403"/>
      <c r="H1238" s="402"/>
      <c r="I1238" s="402"/>
      <c r="J1238" s="402"/>
      <c r="K1238" s="402"/>
      <c r="L1238" s="402"/>
      <c r="M1238" s="402"/>
      <c r="N1238" s="402"/>
      <c r="O1238" s="402"/>
      <c r="P1238" s="402"/>
      <c r="Q1238" s="402"/>
      <c r="R1238" s="402"/>
      <c r="S1238" s="402"/>
      <c r="T1238" s="402"/>
      <c r="U1238" s="402"/>
      <c r="V1238" s="402"/>
      <c r="W1238" s="402"/>
      <c r="X1238" s="402"/>
      <c r="Y1238" s="402"/>
      <c r="Z1238" s="402"/>
      <c r="AA1238" s="405"/>
      <c r="AB1238" s="405"/>
      <c r="AC1238" s="405"/>
      <c r="AD1238" s="405"/>
      <c r="AE1238" s="405"/>
      <c r="AF1238" s="405"/>
      <c r="AG1238" s="405"/>
      <c r="AH1238" s="405"/>
      <c r="AI1238" s="405"/>
      <c r="AJ1238" s="405"/>
      <c r="AK1238" s="405"/>
      <c r="AL1238" s="405"/>
    </row>
    <row r="1239" ht="14.25" customHeight="1">
      <c r="A1239" s="402"/>
      <c r="B1239" s="402"/>
      <c r="C1239" s="402"/>
      <c r="D1239" s="402"/>
      <c r="E1239" s="402"/>
      <c r="F1239" s="402"/>
      <c r="G1239" s="403"/>
      <c r="H1239" s="402"/>
      <c r="I1239" s="402"/>
      <c r="J1239" s="402"/>
      <c r="K1239" s="402"/>
      <c r="L1239" s="402"/>
      <c r="M1239" s="402"/>
      <c r="N1239" s="402"/>
      <c r="O1239" s="402"/>
      <c r="P1239" s="402"/>
      <c r="Q1239" s="402"/>
      <c r="R1239" s="402"/>
      <c r="S1239" s="402"/>
      <c r="T1239" s="402"/>
      <c r="U1239" s="402"/>
      <c r="V1239" s="402"/>
      <c r="W1239" s="402"/>
      <c r="X1239" s="402"/>
      <c r="Y1239" s="402"/>
      <c r="Z1239" s="402"/>
      <c r="AA1239" s="405"/>
      <c r="AB1239" s="405"/>
      <c r="AC1239" s="405"/>
      <c r="AD1239" s="405"/>
      <c r="AE1239" s="405"/>
      <c r="AF1239" s="405"/>
      <c r="AG1239" s="405"/>
      <c r="AH1239" s="405"/>
      <c r="AI1239" s="405"/>
      <c r="AJ1239" s="405"/>
      <c r="AK1239" s="405"/>
      <c r="AL1239" s="405"/>
    </row>
    <row r="1240" ht="14.25" customHeight="1">
      <c r="A1240" s="402"/>
      <c r="B1240" s="402"/>
      <c r="C1240" s="402"/>
      <c r="D1240" s="402"/>
      <c r="E1240" s="402"/>
      <c r="F1240" s="402"/>
      <c r="G1240" s="403"/>
      <c r="H1240" s="402"/>
      <c r="I1240" s="402"/>
      <c r="J1240" s="402"/>
      <c r="K1240" s="402"/>
      <c r="L1240" s="402"/>
      <c r="M1240" s="402"/>
      <c r="N1240" s="402"/>
      <c r="O1240" s="402"/>
      <c r="P1240" s="402"/>
      <c r="Q1240" s="402"/>
      <c r="R1240" s="402"/>
      <c r="S1240" s="402"/>
      <c r="T1240" s="402"/>
      <c r="U1240" s="402"/>
      <c r="V1240" s="402"/>
      <c r="W1240" s="402"/>
      <c r="X1240" s="402"/>
      <c r="Y1240" s="402"/>
      <c r="Z1240" s="402"/>
      <c r="AA1240" s="405"/>
      <c r="AB1240" s="405"/>
      <c r="AC1240" s="405"/>
      <c r="AD1240" s="405"/>
      <c r="AE1240" s="405"/>
      <c r="AF1240" s="405"/>
      <c r="AG1240" s="405"/>
      <c r="AH1240" s="405"/>
      <c r="AI1240" s="405"/>
      <c r="AJ1240" s="405"/>
      <c r="AK1240" s="405"/>
      <c r="AL1240" s="405"/>
    </row>
    <row r="1241" ht="14.25" customHeight="1">
      <c r="A1241" s="402"/>
      <c r="B1241" s="402"/>
      <c r="C1241" s="402"/>
      <c r="D1241" s="402"/>
      <c r="E1241" s="402"/>
      <c r="F1241" s="402"/>
      <c r="G1241" s="403"/>
      <c r="H1241" s="402"/>
      <c r="I1241" s="402"/>
      <c r="J1241" s="402"/>
      <c r="K1241" s="402"/>
      <c r="L1241" s="402"/>
      <c r="M1241" s="402"/>
      <c r="N1241" s="402"/>
      <c r="O1241" s="402"/>
      <c r="P1241" s="402"/>
      <c r="Q1241" s="402"/>
      <c r="R1241" s="402"/>
      <c r="S1241" s="402"/>
      <c r="T1241" s="402"/>
      <c r="U1241" s="402"/>
      <c r="V1241" s="402"/>
      <c r="W1241" s="402"/>
      <c r="X1241" s="402"/>
      <c r="Y1241" s="402"/>
      <c r="Z1241" s="402"/>
      <c r="AA1241" s="405"/>
      <c r="AB1241" s="405"/>
      <c r="AC1241" s="405"/>
      <c r="AD1241" s="405"/>
      <c r="AE1241" s="405"/>
      <c r="AF1241" s="405"/>
      <c r="AG1241" s="405"/>
      <c r="AH1241" s="405"/>
      <c r="AI1241" s="405"/>
      <c r="AJ1241" s="405"/>
      <c r="AK1241" s="405"/>
      <c r="AL1241" s="405"/>
    </row>
    <row r="1242" ht="14.25" customHeight="1">
      <c r="A1242" s="402"/>
      <c r="B1242" s="402"/>
      <c r="C1242" s="402"/>
      <c r="D1242" s="402"/>
      <c r="E1242" s="402"/>
      <c r="F1242" s="402"/>
      <c r="G1242" s="403"/>
      <c r="H1242" s="402"/>
      <c r="I1242" s="402"/>
      <c r="J1242" s="402"/>
      <c r="K1242" s="402"/>
      <c r="L1242" s="402"/>
      <c r="M1242" s="402"/>
      <c r="N1242" s="402"/>
      <c r="O1242" s="402"/>
      <c r="P1242" s="402"/>
      <c r="Q1242" s="402"/>
      <c r="R1242" s="402"/>
      <c r="S1242" s="402"/>
      <c r="T1242" s="402"/>
      <c r="U1242" s="402"/>
      <c r="V1242" s="402"/>
      <c r="W1242" s="402"/>
      <c r="X1242" s="402"/>
      <c r="Y1242" s="402"/>
      <c r="Z1242" s="402"/>
      <c r="AA1242" s="405"/>
      <c r="AB1242" s="405"/>
      <c r="AC1242" s="405"/>
      <c r="AD1242" s="405"/>
      <c r="AE1242" s="405"/>
      <c r="AF1242" s="405"/>
      <c r="AG1242" s="405"/>
      <c r="AH1242" s="405"/>
      <c r="AI1242" s="405"/>
      <c r="AJ1242" s="405"/>
      <c r="AK1242" s="405"/>
      <c r="AL1242" s="405"/>
    </row>
    <row r="1243" ht="14.25" customHeight="1">
      <c r="A1243" s="402"/>
      <c r="B1243" s="402"/>
      <c r="C1243" s="402"/>
      <c r="D1243" s="402"/>
      <c r="E1243" s="402"/>
      <c r="F1243" s="402"/>
      <c r="G1243" s="403"/>
      <c r="H1243" s="402"/>
      <c r="I1243" s="402"/>
      <c r="J1243" s="402"/>
      <c r="K1243" s="402"/>
      <c r="L1243" s="402"/>
      <c r="M1243" s="402"/>
      <c r="N1243" s="402"/>
      <c r="O1243" s="402"/>
      <c r="P1243" s="402"/>
      <c r="Q1243" s="402"/>
      <c r="R1243" s="402"/>
      <c r="S1243" s="402"/>
      <c r="T1243" s="402"/>
      <c r="U1243" s="402"/>
      <c r="V1243" s="402"/>
      <c r="W1243" s="402"/>
      <c r="X1243" s="402"/>
      <c r="Y1243" s="402"/>
      <c r="Z1243" s="402"/>
      <c r="AA1243" s="405"/>
      <c r="AB1243" s="405"/>
      <c r="AC1243" s="405"/>
      <c r="AD1243" s="405"/>
      <c r="AE1243" s="405"/>
      <c r="AF1243" s="405"/>
      <c r="AG1243" s="405"/>
      <c r="AH1243" s="405"/>
      <c r="AI1243" s="405"/>
      <c r="AJ1243" s="405"/>
      <c r="AK1243" s="405"/>
      <c r="AL1243" s="405"/>
    </row>
    <row r="1244" ht="14.25" customHeight="1">
      <c r="A1244" s="402"/>
      <c r="B1244" s="402"/>
      <c r="C1244" s="402"/>
      <c r="D1244" s="402"/>
      <c r="E1244" s="402"/>
      <c r="F1244" s="402"/>
      <c r="G1244" s="403"/>
      <c r="H1244" s="402"/>
      <c r="I1244" s="402"/>
      <c r="J1244" s="402"/>
      <c r="K1244" s="402"/>
      <c r="L1244" s="402"/>
      <c r="M1244" s="402"/>
      <c r="N1244" s="402"/>
      <c r="O1244" s="402"/>
      <c r="P1244" s="402"/>
      <c r="Q1244" s="402"/>
      <c r="R1244" s="402"/>
      <c r="S1244" s="402"/>
      <c r="T1244" s="402"/>
      <c r="U1244" s="402"/>
      <c r="V1244" s="402"/>
      <c r="W1244" s="402"/>
      <c r="X1244" s="402"/>
      <c r="Y1244" s="402"/>
      <c r="Z1244" s="402"/>
      <c r="AA1244" s="405"/>
      <c r="AB1244" s="405"/>
      <c r="AC1244" s="405"/>
      <c r="AD1244" s="405"/>
      <c r="AE1244" s="405"/>
      <c r="AF1244" s="405"/>
      <c r="AG1244" s="405"/>
      <c r="AH1244" s="405"/>
      <c r="AI1244" s="405"/>
      <c r="AJ1244" s="405"/>
      <c r="AK1244" s="405"/>
      <c r="AL1244" s="405"/>
    </row>
    <row r="1245" ht="14.25" customHeight="1">
      <c r="A1245" s="402"/>
      <c r="B1245" s="402"/>
      <c r="C1245" s="402"/>
      <c r="D1245" s="402"/>
      <c r="E1245" s="402"/>
      <c r="F1245" s="402"/>
      <c r="G1245" s="403"/>
      <c r="H1245" s="402"/>
      <c r="I1245" s="402"/>
      <c r="J1245" s="402"/>
      <c r="K1245" s="402"/>
      <c r="L1245" s="402"/>
      <c r="M1245" s="402"/>
      <c r="N1245" s="402"/>
      <c r="O1245" s="402"/>
      <c r="P1245" s="402"/>
      <c r="Q1245" s="402"/>
      <c r="R1245" s="402"/>
      <c r="S1245" s="402"/>
      <c r="T1245" s="402"/>
      <c r="U1245" s="402"/>
      <c r="V1245" s="402"/>
      <c r="W1245" s="402"/>
      <c r="X1245" s="402"/>
      <c r="Y1245" s="402"/>
      <c r="Z1245" s="402"/>
      <c r="AA1245" s="405"/>
      <c r="AB1245" s="405"/>
      <c r="AC1245" s="405"/>
      <c r="AD1245" s="405"/>
      <c r="AE1245" s="405"/>
      <c r="AF1245" s="405"/>
      <c r="AG1245" s="405"/>
      <c r="AH1245" s="405"/>
      <c r="AI1245" s="405"/>
      <c r="AJ1245" s="405"/>
      <c r="AK1245" s="405"/>
      <c r="AL1245" s="405"/>
    </row>
    <row r="1246" ht="14.25" customHeight="1">
      <c r="A1246" s="402"/>
      <c r="B1246" s="402"/>
      <c r="C1246" s="402"/>
      <c r="D1246" s="402"/>
      <c r="E1246" s="402"/>
      <c r="F1246" s="402"/>
      <c r="G1246" s="403"/>
      <c r="H1246" s="402"/>
      <c r="I1246" s="402"/>
      <c r="J1246" s="402"/>
      <c r="K1246" s="402"/>
      <c r="L1246" s="402"/>
      <c r="M1246" s="402"/>
      <c r="N1246" s="402"/>
      <c r="O1246" s="402"/>
      <c r="P1246" s="402"/>
      <c r="Q1246" s="402"/>
      <c r="R1246" s="402"/>
      <c r="S1246" s="402"/>
      <c r="T1246" s="402"/>
      <c r="U1246" s="402"/>
      <c r="V1246" s="402"/>
      <c r="W1246" s="402"/>
      <c r="X1246" s="402"/>
      <c r="Y1246" s="402"/>
      <c r="Z1246" s="402"/>
      <c r="AA1246" s="405"/>
      <c r="AB1246" s="405"/>
      <c r="AC1246" s="405"/>
      <c r="AD1246" s="405"/>
      <c r="AE1246" s="405"/>
      <c r="AF1246" s="405"/>
      <c r="AG1246" s="405"/>
      <c r="AH1246" s="405"/>
      <c r="AI1246" s="405"/>
      <c r="AJ1246" s="405"/>
      <c r="AK1246" s="405"/>
      <c r="AL1246" s="405"/>
    </row>
    <row r="1247" ht="14.25" customHeight="1">
      <c r="A1247" s="402"/>
      <c r="B1247" s="402"/>
      <c r="C1247" s="402"/>
      <c r="D1247" s="402"/>
      <c r="E1247" s="402"/>
      <c r="F1247" s="402"/>
      <c r="G1247" s="403"/>
      <c r="H1247" s="402"/>
      <c r="I1247" s="402"/>
      <c r="J1247" s="402"/>
      <c r="K1247" s="402"/>
      <c r="L1247" s="402"/>
      <c r="M1247" s="402"/>
      <c r="N1247" s="402"/>
      <c r="O1247" s="402"/>
      <c r="P1247" s="402"/>
      <c r="Q1247" s="402"/>
      <c r="R1247" s="402"/>
      <c r="S1247" s="402"/>
      <c r="T1247" s="402"/>
      <c r="U1247" s="402"/>
      <c r="V1247" s="402"/>
      <c r="W1247" s="402"/>
      <c r="X1247" s="402"/>
      <c r="Y1247" s="402"/>
      <c r="Z1247" s="402"/>
      <c r="AA1247" s="405"/>
      <c r="AB1247" s="405"/>
      <c r="AC1247" s="405"/>
      <c r="AD1247" s="405"/>
      <c r="AE1247" s="405"/>
      <c r="AF1247" s="405"/>
      <c r="AG1247" s="405"/>
      <c r="AH1247" s="405"/>
      <c r="AI1247" s="405"/>
      <c r="AJ1247" s="405"/>
      <c r="AK1247" s="405"/>
      <c r="AL1247" s="405"/>
    </row>
    <row r="1248" ht="14.25" customHeight="1">
      <c r="A1248" s="402"/>
      <c r="B1248" s="402"/>
      <c r="C1248" s="402"/>
      <c r="D1248" s="402"/>
      <c r="E1248" s="402"/>
      <c r="F1248" s="402"/>
      <c r="G1248" s="403"/>
      <c r="H1248" s="402"/>
      <c r="I1248" s="402"/>
      <c r="J1248" s="402"/>
      <c r="K1248" s="402"/>
      <c r="L1248" s="402"/>
      <c r="M1248" s="402"/>
      <c r="N1248" s="402"/>
      <c r="O1248" s="402"/>
      <c r="P1248" s="402"/>
      <c r="Q1248" s="402"/>
      <c r="R1248" s="402"/>
      <c r="S1248" s="402"/>
      <c r="T1248" s="402"/>
      <c r="U1248" s="402"/>
      <c r="V1248" s="402"/>
      <c r="W1248" s="402"/>
      <c r="X1248" s="402"/>
      <c r="Y1248" s="402"/>
      <c r="Z1248" s="402"/>
      <c r="AA1248" s="405"/>
      <c r="AB1248" s="405"/>
      <c r="AC1248" s="405"/>
      <c r="AD1248" s="405"/>
      <c r="AE1248" s="405"/>
      <c r="AF1248" s="405"/>
      <c r="AG1248" s="405"/>
      <c r="AH1248" s="405"/>
      <c r="AI1248" s="405"/>
      <c r="AJ1248" s="405"/>
      <c r="AK1248" s="405"/>
      <c r="AL1248" s="405"/>
    </row>
    <row r="1249" ht="14.25" customHeight="1">
      <c r="A1249" s="402"/>
      <c r="B1249" s="402"/>
      <c r="C1249" s="402"/>
      <c r="D1249" s="402"/>
      <c r="E1249" s="402"/>
      <c r="F1249" s="402"/>
      <c r="G1249" s="403"/>
      <c r="H1249" s="402"/>
      <c r="I1249" s="402"/>
      <c r="J1249" s="402"/>
      <c r="K1249" s="402"/>
      <c r="L1249" s="402"/>
      <c r="M1249" s="402"/>
      <c r="N1249" s="402"/>
      <c r="O1249" s="402"/>
      <c r="P1249" s="402"/>
      <c r="Q1249" s="402"/>
      <c r="R1249" s="402"/>
      <c r="S1249" s="402"/>
      <c r="T1249" s="402"/>
      <c r="U1249" s="402"/>
      <c r="V1249" s="402"/>
      <c r="W1249" s="402"/>
      <c r="X1249" s="402"/>
      <c r="Y1249" s="402"/>
      <c r="Z1249" s="402"/>
      <c r="AA1249" s="405"/>
      <c r="AB1249" s="405"/>
      <c r="AC1249" s="405"/>
      <c r="AD1249" s="405"/>
      <c r="AE1249" s="405"/>
      <c r="AF1249" s="405"/>
      <c r="AG1249" s="405"/>
      <c r="AH1249" s="405"/>
      <c r="AI1249" s="405"/>
      <c r="AJ1249" s="405"/>
      <c r="AK1249" s="405"/>
      <c r="AL1249" s="405"/>
    </row>
    <row r="1250" ht="14.25" customHeight="1">
      <c r="A1250" s="402"/>
      <c r="B1250" s="402"/>
      <c r="C1250" s="402"/>
      <c r="D1250" s="402"/>
      <c r="E1250" s="402"/>
      <c r="F1250" s="402"/>
      <c r="G1250" s="403"/>
      <c r="H1250" s="402"/>
      <c r="I1250" s="402"/>
      <c r="J1250" s="402"/>
      <c r="K1250" s="402"/>
      <c r="L1250" s="402"/>
      <c r="M1250" s="402"/>
      <c r="N1250" s="402"/>
      <c r="O1250" s="402"/>
      <c r="P1250" s="402"/>
      <c r="Q1250" s="402"/>
      <c r="R1250" s="402"/>
      <c r="S1250" s="402"/>
      <c r="T1250" s="402"/>
      <c r="U1250" s="402"/>
      <c r="V1250" s="402"/>
      <c r="W1250" s="402"/>
      <c r="X1250" s="402"/>
      <c r="Y1250" s="402"/>
      <c r="Z1250" s="402"/>
      <c r="AA1250" s="405"/>
      <c r="AB1250" s="405"/>
      <c r="AC1250" s="405"/>
      <c r="AD1250" s="405"/>
      <c r="AE1250" s="405"/>
      <c r="AF1250" s="405"/>
      <c r="AG1250" s="405"/>
      <c r="AH1250" s="405"/>
      <c r="AI1250" s="405"/>
      <c r="AJ1250" s="405"/>
      <c r="AK1250" s="405"/>
      <c r="AL1250" s="405"/>
    </row>
    <row r="1251" ht="14.25" customHeight="1">
      <c r="A1251" s="402"/>
      <c r="B1251" s="402"/>
      <c r="C1251" s="402"/>
      <c r="D1251" s="402"/>
      <c r="E1251" s="402"/>
      <c r="F1251" s="402"/>
      <c r="G1251" s="403"/>
      <c r="H1251" s="402"/>
      <c r="I1251" s="402"/>
      <c r="J1251" s="402"/>
      <c r="K1251" s="402"/>
      <c r="L1251" s="402"/>
      <c r="M1251" s="402"/>
      <c r="N1251" s="402"/>
      <c r="O1251" s="402"/>
      <c r="P1251" s="402"/>
      <c r="Q1251" s="402"/>
      <c r="R1251" s="402"/>
      <c r="S1251" s="402"/>
      <c r="T1251" s="402"/>
      <c r="U1251" s="402"/>
      <c r="V1251" s="402"/>
      <c r="W1251" s="402"/>
      <c r="X1251" s="402"/>
      <c r="Y1251" s="402"/>
      <c r="Z1251" s="402"/>
      <c r="AA1251" s="405"/>
      <c r="AB1251" s="405"/>
      <c r="AC1251" s="405"/>
      <c r="AD1251" s="405"/>
      <c r="AE1251" s="405"/>
      <c r="AF1251" s="405"/>
      <c r="AG1251" s="405"/>
      <c r="AH1251" s="405"/>
      <c r="AI1251" s="405"/>
      <c r="AJ1251" s="405"/>
      <c r="AK1251" s="405"/>
      <c r="AL1251" s="405"/>
    </row>
    <row r="1252" ht="14.25" customHeight="1">
      <c r="A1252" s="402"/>
      <c r="B1252" s="402"/>
      <c r="C1252" s="402"/>
      <c r="D1252" s="402"/>
      <c r="E1252" s="402"/>
      <c r="F1252" s="402"/>
      <c r="G1252" s="403"/>
      <c r="H1252" s="402"/>
      <c r="I1252" s="402"/>
      <c r="J1252" s="402"/>
      <c r="K1252" s="402"/>
      <c r="L1252" s="402"/>
      <c r="M1252" s="402"/>
      <c r="N1252" s="402"/>
      <c r="O1252" s="402"/>
      <c r="P1252" s="402"/>
      <c r="Q1252" s="402"/>
      <c r="R1252" s="402"/>
      <c r="S1252" s="402"/>
      <c r="T1252" s="402"/>
      <c r="U1252" s="402"/>
      <c r="V1252" s="402"/>
      <c r="W1252" s="402"/>
      <c r="X1252" s="402"/>
      <c r="Y1252" s="402"/>
      <c r="Z1252" s="402"/>
      <c r="AA1252" s="405"/>
      <c r="AB1252" s="405"/>
      <c r="AC1252" s="405"/>
      <c r="AD1252" s="405"/>
      <c r="AE1252" s="405"/>
      <c r="AF1252" s="405"/>
      <c r="AG1252" s="405"/>
      <c r="AH1252" s="405"/>
      <c r="AI1252" s="405"/>
      <c r="AJ1252" s="405"/>
      <c r="AK1252" s="405"/>
      <c r="AL1252" s="405"/>
    </row>
    <row r="1253" ht="14.25" customHeight="1">
      <c r="A1253" s="402"/>
      <c r="B1253" s="402"/>
      <c r="C1253" s="402"/>
      <c r="D1253" s="402"/>
      <c r="E1253" s="402"/>
      <c r="F1253" s="402"/>
      <c r="G1253" s="403"/>
      <c r="H1253" s="402"/>
      <c r="I1253" s="402"/>
      <c r="J1253" s="402"/>
      <c r="K1253" s="402"/>
      <c r="L1253" s="402"/>
      <c r="M1253" s="402"/>
      <c r="N1253" s="402"/>
      <c r="O1253" s="402"/>
      <c r="P1253" s="402"/>
      <c r="Q1253" s="402"/>
      <c r="R1253" s="402"/>
      <c r="S1253" s="402"/>
      <c r="T1253" s="402"/>
      <c r="U1253" s="402"/>
      <c r="V1253" s="402"/>
      <c r="W1253" s="402"/>
      <c r="X1253" s="402"/>
      <c r="Y1253" s="402"/>
      <c r="Z1253" s="402"/>
      <c r="AA1253" s="405"/>
      <c r="AB1253" s="405"/>
      <c r="AC1253" s="405"/>
      <c r="AD1253" s="405"/>
      <c r="AE1253" s="405"/>
      <c r="AF1253" s="405"/>
      <c r="AG1253" s="405"/>
      <c r="AH1253" s="405"/>
      <c r="AI1253" s="405"/>
      <c r="AJ1253" s="405"/>
      <c r="AK1253" s="405"/>
      <c r="AL1253" s="405"/>
    </row>
    <row r="1254" ht="14.25" customHeight="1">
      <c r="A1254" s="402"/>
      <c r="B1254" s="402"/>
      <c r="C1254" s="402"/>
      <c r="D1254" s="402"/>
      <c r="E1254" s="402"/>
      <c r="F1254" s="402"/>
      <c r="G1254" s="403"/>
      <c r="H1254" s="402"/>
      <c r="I1254" s="402"/>
      <c r="J1254" s="402"/>
      <c r="K1254" s="402"/>
      <c r="L1254" s="402"/>
      <c r="M1254" s="402"/>
      <c r="N1254" s="402"/>
      <c r="O1254" s="402"/>
      <c r="P1254" s="402"/>
      <c r="Q1254" s="402"/>
      <c r="R1254" s="402"/>
      <c r="S1254" s="402"/>
      <c r="T1254" s="402"/>
      <c r="U1254" s="402"/>
      <c r="V1254" s="402"/>
      <c r="W1254" s="402"/>
      <c r="X1254" s="402"/>
      <c r="Y1254" s="402"/>
      <c r="Z1254" s="402"/>
      <c r="AA1254" s="405"/>
      <c r="AB1254" s="405"/>
      <c r="AC1254" s="405"/>
      <c r="AD1254" s="405"/>
      <c r="AE1254" s="405"/>
      <c r="AF1254" s="405"/>
      <c r="AG1254" s="405"/>
      <c r="AH1254" s="405"/>
      <c r="AI1254" s="405"/>
      <c r="AJ1254" s="405"/>
      <c r="AK1254" s="405"/>
      <c r="AL1254" s="405"/>
    </row>
    <row r="1255" ht="14.25" customHeight="1">
      <c r="A1255" s="402"/>
      <c r="B1255" s="402"/>
      <c r="C1255" s="402"/>
      <c r="D1255" s="402"/>
      <c r="E1255" s="402"/>
      <c r="F1255" s="402"/>
      <c r="G1255" s="403"/>
      <c r="H1255" s="402"/>
      <c r="I1255" s="402"/>
      <c r="J1255" s="402"/>
      <c r="K1255" s="402"/>
      <c r="L1255" s="402"/>
      <c r="M1255" s="402"/>
      <c r="N1255" s="402"/>
      <c r="O1255" s="402"/>
      <c r="P1255" s="402"/>
      <c r="Q1255" s="402"/>
      <c r="R1255" s="402"/>
      <c r="S1255" s="402"/>
      <c r="T1255" s="402"/>
      <c r="U1255" s="402"/>
      <c r="V1255" s="402"/>
      <c r="W1255" s="402"/>
      <c r="X1255" s="402"/>
      <c r="Y1255" s="402"/>
      <c r="Z1255" s="402"/>
      <c r="AA1255" s="405"/>
      <c r="AB1255" s="405"/>
      <c r="AC1255" s="405"/>
      <c r="AD1255" s="405"/>
      <c r="AE1255" s="405"/>
      <c r="AF1255" s="405"/>
      <c r="AG1255" s="405"/>
      <c r="AH1255" s="405"/>
      <c r="AI1255" s="405"/>
      <c r="AJ1255" s="405"/>
      <c r="AK1255" s="405"/>
      <c r="AL1255" s="405"/>
    </row>
    <row r="1256" ht="14.25" customHeight="1">
      <c r="A1256" s="402"/>
      <c r="B1256" s="402"/>
      <c r="C1256" s="402"/>
      <c r="D1256" s="402"/>
      <c r="E1256" s="402"/>
      <c r="F1256" s="402"/>
      <c r="G1256" s="403"/>
      <c r="H1256" s="402"/>
      <c r="I1256" s="402"/>
      <c r="J1256" s="402"/>
      <c r="K1256" s="402"/>
      <c r="L1256" s="402"/>
      <c r="M1256" s="402"/>
      <c r="N1256" s="402"/>
      <c r="O1256" s="402"/>
      <c r="P1256" s="402"/>
      <c r="Q1256" s="402"/>
      <c r="R1256" s="402"/>
      <c r="S1256" s="402"/>
      <c r="T1256" s="402"/>
      <c r="U1256" s="402"/>
      <c r="V1256" s="402"/>
      <c r="W1256" s="402"/>
      <c r="X1256" s="402"/>
      <c r="Y1256" s="402"/>
      <c r="Z1256" s="402"/>
      <c r="AA1256" s="405"/>
      <c r="AB1256" s="405"/>
      <c r="AC1256" s="405"/>
      <c r="AD1256" s="405"/>
      <c r="AE1256" s="405"/>
      <c r="AF1256" s="405"/>
      <c r="AG1256" s="405"/>
      <c r="AH1256" s="405"/>
      <c r="AI1256" s="405"/>
      <c r="AJ1256" s="405"/>
      <c r="AK1256" s="405"/>
      <c r="AL1256" s="405"/>
    </row>
    <row r="1257" ht="14.25" customHeight="1">
      <c r="A1257" s="402"/>
      <c r="B1257" s="402"/>
      <c r="C1257" s="402"/>
      <c r="D1257" s="402"/>
      <c r="E1257" s="402"/>
      <c r="F1257" s="402"/>
      <c r="G1257" s="403"/>
      <c r="H1257" s="402"/>
      <c r="I1257" s="402"/>
      <c r="J1257" s="402"/>
      <c r="K1257" s="402"/>
      <c r="L1257" s="402"/>
      <c r="M1257" s="402"/>
      <c r="N1257" s="402"/>
      <c r="O1257" s="402"/>
      <c r="P1257" s="402"/>
      <c r="Q1257" s="402"/>
      <c r="R1257" s="402"/>
      <c r="S1257" s="402"/>
      <c r="T1257" s="402"/>
      <c r="U1257" s="402"/>
      <c r="V1257" s="402"/>
      <c r="W1257" s="402"/>
      <c r="X1257" s="402"/>
      <c r="Y1257" s="402"/>
      <c r="Z1257" s="402"/>
      <c r="AA1257" s="405"/>
      <c r="AB1257" s="405"/>
      <c r="AC1257" s="405"/>
      <c r="AD1257" s="405"/>
      <c r="AE1257" s="405"/>
      <c r="AF1257" s="405"/>
      <c r="AG1257" s="405"/>
      <c r="AH1257" s="405"/>
      <c r="AI1257" s="405"/>
      <c r="AJ1257" s="405"/>
      <c r="AK1257" s="405"/>
      <c r="AL1257" s="405"/>
    </row>
    <row r="1258" ht="14.25" customHeight="1">
      <c r="A1258" s="402"/>
      <c r="B1258" s="402"/>
      <c r="C1258" s="402"/>
      <c r="D1258" s="402"/>
      <c r="E1258" s="402"/>
      <c r="F1258" s="402"/>
      <c r="G1258" s="403"/>
      <c r="H1258" s="402"/>
      <c r="I1258" s="402"/>
      <c r="J1258" s="402"/>
      <c r="K1258" s="402"/>
      <c r="L1258" s="402"/>
      <c r="M1258" s="402"/>
      <c r="N1258" s="402"/>
      <c r="O1258" s="402"/>
      <c r="P1258" s="402"/>
      <c r="Q1258" s="402"/>
      <c r="R1258" s="402"/>
      <c r="S1258" s="402"/>
      <c r="T1258" s="402"/>
      <c r="U1258" s="402"/>
      <c r="V1258" s="402"/>
      <c r="W1258" s="402"/>
      <c r="X1258" s="402"/>
      <c r="Y1258" s="402"/>
      <c r="Z1258" s="402"/>
      <c r="AA1258" s="405"/>
      <c r="AB1258" s="405"/>
      <c r="AC1258" s="405"/>
      <c r="AD1258" s="405"/>
      <c r="AE1258" s="405"/>
      <c r="AF1258" s="405"/>
      <c r="AG1258" s="405"/>
      <c r="AH1258" s="405"/>
      <c r="AI1258" s="405"/>
      <c r="AJ1258" s="405"/>
      <c r="AK1258" s="405"/>
      <c r="AL1258" s="405"/>
    </row>
    <row r="1259" ht="14.25" customHeight="1">
      <c r="A1259" s="402"/>
      <c r="B1259" s="402"/>
      <c r="C1259" s="402"/>
      <c r="D1259" s="402"/>
      <c r="E1259" s="402"/>
      <c r="F1259" s="402"/>
      <c r="G1259" s="403"/>
      <c r="H1259" s="402"/>
      <c r="I1259" s="402"/>
      <c r="J1259" s="402"/>
      <c r="K1259" s="402"/>
      <c r="L1259" s="402"/>
      <c r="M1259" s="402"/>
      <c r="N1259" s="402"/>
      <c r="O1259" s="402"/>
      <c r="P1259" s="402"/>
      <c r="Q1259" s="402"/>
      <c r="R1259" s="402"/>
      <c r="S1259" s="402"/>
      <c r="T1259" s="402"/>
      <c r="U1259" s="402"/>
      <c r="V1259" s="402"/>
      <c r="W1259" s="402"/>
      <c r="X1259" s="402"/>
      <c r="Y1259" s="402"/>
      <c r="Z1259" s="402"/>
      <c r="AA1259" s="405"/>
      <c r="AB1259" s="405"/>
      <c r="AC1259" s="405"/>
      <c r="AD1259" s="405"/>
      <c r="AE1259" s="405"/>
      <c r="AF1259" s="405"/>
      <c r="AG1259" s="405"/>
      <c r="AH1259" s="405"/>
      <c r="AI1259" s="405"/>
      <c r="AJ1259" s="405"/>
      <c r="AK1259" s="405"/>
      <c r="AL1259" s="405"/>
    </row>
    <row r="1260" ht="14.25" customHeight="1">
      <c r="A1260" s="402"/>
      <c r="B1260" s="402"/>
      <c r="C1260" s="402"/>
      <c r="D1260" s="402"/>
      <c r="E1260" s="402"/>
      <c r="F1260" s="402"/>
      <c r="G1260" s="403"/>
      <c r="H1260" s="402"/>
      <c r="I1260" s="402"/>
      <c r="J1260" s="402"/>
      <c r="K1260" s="402"/>
      <c r="L1260" s="402"/>
      <c r="M1260" s="402"/>
      <c r="N1260" s="402"/>
      <c r="O1260" s="402"/>
      <c r="P1260" s="402"/>
      <c r="Q1260" s="402"/>
      <c r="R1260" s="402"/>
      <c r="S1260" s="402"/>
      <c r="T1260" s="402"/>
      <c r="U1260" s="402"/>
      <c r="V1260" s="402"/>
      <c r="W1260" s="402"/>
      <c r="X1260" s="402"/>
      <c r="Y1260" s="402"/>
      <c r="Z1260" s="402"/>
      <c r="AA1260" s="405"/>
      <c r="AB1260" s="405"/>
      <c r="AC1260" s="405"/>
      <c r="AD1260" s="405"/>
      <c r="AE1260" s="405"/>
      <c r="AF1260" s="405"/>
      <c r="AG1260" s="405"/>
      <c r="AH1260" s="405"/>
      <c r="AI1260" s="405"/>
      <c r="AJ1260" s="405"/>
      <c r="AK1260" s="405"/>
      <c r="AL1260" s="405"/>
    </row>
    <row r="1261" ht="14.25" customHeight="1">
      <c r="A1261" s="402"/>
      <c r="B1261" s="402"/>
      <c r="C1261" s="402"/>
      <c r="D1261" s="402"/>
      <c r="E1261" s="402"/>
      <c r="F1261" s="402"/>
      <c r="G1261" s="403"/>
      <c r="H1261" s="402"/>
      <c r="I1261" s="402"/>
      <c r="J1261" s="402"/>
      <c r="K1261" s="402"/>
      <c r="L1261" s="402"/>
      <c r="M1261" s="402"/>
      <c r="N1261" s="402"/>
      <c r="O1261" s="402"/>
      <c r="P1261" s="402"/>
      <c r="Q1261" s="402"/>
      <c r="R1261" s="402"/>
      <c r="S1261" s="402"/>
      <c r="T1261" s="402"/>
      <c r="U1261" s="402"/>
      <c r="V1261" s="402"/>
      <c r="W1261" s="402"/>
      <c r="X1261" s="402"/>
      <c r="Y1261" s="402"/>
      <c r="Z1261" s="402"/>
      <c r="AA1261" s="405"/>
      <c r="AB1261" s="405"/>
      <c r="AC1261" s="405"/>
      <c r="AD1261" s="405"/>
      <c r="AE1261" s="405"/>
      <c r="AF1261" s="405"/>
      <c r="AG1261" s="405"/>
      <c r="AH1261" s="405"/>
      <c r="AI1261" s="405"/>
      <c r="AJ1261" s="405"/>
      <c r="AK1261" s="405"/>
      <c r="AL1261" s="405"/>
    </row>
    <row r="1262" ht="14.25" customHeight="1">
      <c r="A1262" s="402"/>
      <c r="B1262" s="402"/>
      <c r="C1262" s="402"/>
      <c r="D1262" s="402"/>
      <c r="E1262" s="402"/>
      <c r="F1262" s="402"/>
      <c r="G1262" s="403"/>
      <c r="H1262" s="402"/>
      <c r="I1262" s="402"/>
      <c r="J1262" s="402"/>
      <c r="K1262" s="402"/>
      <c r="L1262" s="402"/>
      <c r="M1262" s="402"/>
      <c r="N1262" s="402"/>
      <c r="O1262" s="402"/>
      <c r="P1262" s="402"/>
      <c r="Q1262" s="402"/>
      <c r="R1262" s="402"/>
      <c r="S1262" s="402"/>
      <c r="T1262" s="402"/>
      <c r="U1262" s="402"/>
      <c r="V1262" s="402"/>
      <c r="W1262" s="402"/>
      <c r="X1262" s="402"/>
      <c r="Y1262" s="402"/>
      <c r="Z1262" s="402"/>
      <c r="AA1262" s="405"/>
      <c r="AB1262" s="405"/>
      <c r="AC1262" s="405"/>
      <c r="AD1262" s="405"/>
      <c r="AE1262" s="405"/>
      <c r="AF1262" s="405"/>
      <c r="AG1262" s="405"/>
      <c r="AH1262" s="405"/>
      <c r="AI1262" s="405"/>
      <c r="AJ1262" s="405"/>
      <c r="AK1262" s="405"/>
      <c r="AL1262" s="405"/>
    </row>
    <row r="1263" ht="14.25" customHeight="1">
      <c r="A1263" s="402"/>
      <c r="B1263" s="402"/>
      <c r="C1263" s="402"/>
      <c r="D1263" s="402"/>
      <c r="E1263" s="402"/>
      <c r="F1263" s="402"/>
      <c r="G1263" s="403"/>
      <c r="H1263" s="402"/>
      <c r="I1263" s="402"/>
      <c r="J1263" s="402"/>
      <c r="K1263" s="402"/>
      <c r="L1263" s="402"/>
      <c r="M1263" s="402"/>
      <c r="N1263" s="402"/>
      <c r="O1263" s="402"/>
      <c r="P1263" s="402"/>
      <c r="Q1263" s="402"/>
      <c r="R1263" s="402"/>
      <c r="S1263" s="402"/>
      <c r="T1263" s="402"/>
      <c r="U1263" s="402"/>
      <c r="V1263" s="402"/>
      <c r="W1263" s="402"/>
      <c r="X1263" s="402"/>
      <c r="Y1263" s="402"/>
      <c r="Z1263" s="402"/>
      <c r="AA1263" s="405"/>
      <c r="AB1263" s="405"/>
      <c r="AC1263" s="405"/>
      <c r="AD1263" s="405"/>
      <c r="AE1263" s="405"/>
      <c r="AF1263" s="405"/>
      <c r="AG1263" s="405"/>
      <c r="AH1263" s="405"/>
      <c r="AI1263" s="405"/>
      <c r="AJ1263" s="405"/>
      <c r="AK1263" s="405"/>
      <c r="AL1263" s="405"/>
    </row>
    <row r="1264" ht="14.25" customHeight="1">
      <c r="A1264" s="402"/>
      <c r="B1264" s="402"/>
      <c r="C1264" s="402"/>
      <c r="D1264" s="402"/>
      <c r="E1264" s="402"/>
      <c r="F1264" s="402"/>
      <c r="G1264" s="403"/>
      <c r="H1264" s="402"/>
      <c r="I1264" s="402"/>
      <c r="J1264" s="402"/>
      <c r="K1264" s="402"/>
      <c r="L1264" s="402"/>
      <c r="M1264" s="402"/>
      <c r="N1264" s="402"/>
      <c r="O1264" s="402"/>
      <c r="P1264" s="402"/>
      <c r="Q1264" s="402"/>
      <c r="R1264" s="402"/>
      <c r="S1264" s="402"/>
      <c r="T1264" s="402"/>
      <c r="U1264" s="402"/>
      <c r="V1264" s="402"/>
      <c r="W1264" s="402"/>
      <c r="X1264" s="402"/>
      <c r="Y1264" s="402"/>
      <c r="Z1264" s="402"/>
      <c r="AA1264" s="405"/>
      <c r="AB1264" s="405"/>
      <c r="AC1264" s="405"/>
      <c r="AD1264" s="405"/>
      <c r="AE1264" s="405"/>
      <c r="AF1264" s="405"/>
      <c r="AG1264" s="405"/>
      <c r="AH1264" s="405"/>
      <c r="AI1264" s="405"/>
      <c r="AJ1264" s="405"/>
      <c r="AK1264" s="405"/>
      <c r="AL1264" s="405"/>
    </row>
    <row r="1265" ht="14.25" customHeight="1">
      <c r="A1265" s="402"/>
      <c r="B1265" s="402"/>
      <c r="C1265" s="402"/>
      <c r="D1265" s="402"/>
      <c r="E1265" s="402"/>
      <c r="F1265" s="402"/>
      <c r="G1265" s="403"/>
      <c r="H1265" s="402"/>
      <c r="I1265" s="402"/>
      <c r="J1265" s="402"/>
      <c r="K1265" s="402"/>
      <c r="L1265" s="402"/>
      <c r="M1265" s="402"/>
      <c r="N1265" s="402"/>
      <c r="O1265" s="402"/>
      <c r="P1265" s="402"/>
      <c r="Q1265" s="402"/>
      <c r="R1265" s="402"/>
      <c r="S1265" s="402"/>
      <c r="T1265" s="402"/>
      <c r="U1265" s="402"/>
      <c r="V1265" s="402"/>
      <c r="W1265" s="402"/>
      <c r="X1265" s="402"/>
      <c r="Y1265" s="402"/>
      <c r="Z1265" s="402"/>
      <c r="AA1265" s="405"/>
      <c r="AB1265" s="405"/>
      <c r="AC1265" s="405"/>
      <c r="AD1265" s="405"/>
      <c r="AE1265" s="405"/>
      <c r="AF1265" s="405"/>
      <c r="AG1265" s="405"/>
      <c r="AH1265" s="405"/>
      <c r="AI1265" s="405"/>
      <c r="AJ1265" s="405"/>
      <c r="AK1265" s="405"/>
      <c r="AL1265" s="405"/>
    </row>
    <row r="1266" ht="14.25" customHeight="1">
      <c r="A1266" s="402"/>
      <c r="B1266" s="402"/>
      <c r="C1266" s="402"/>
      <c r="D1266" s="402"/>
      <c r="E1266" s="402"/>
      <c r="F1266" s="402"/>
      <c r="G1266" s="403"/>
      <c r="H1266" s="402"/>
      <c r="I1266" s="402"/>
      <c r="J1266" s="402"/>
      <c r="K1266" s="402"/>
      <c r="L1266" s="402"/>
      <c r="M1266" s="402"/>
      <c r="N1266" s="402"/>
      <c r="O1266" s="402"/>
      <c r="P1266" s="402"/>
      <c r="Q1266" s="402"/>
      <c r="R1266" s="402"/>
      <c r="S1266" s="402"/>
      <c r="T1266" s="402"/>
      <c r="U1266" s="402"/>
      <c r="V1266" s="402"/>
      <c r="W1266" s="402"/>
      <c r="X1266" s="402"/>
      <c r="Y1266" s="402"/>
      <c r="Z1266" s="402"/>
      <c r="AA1266" s="405"/>
      <c r="AB1266" s="405"/>
      <c r="AC1266" s="405"/>
      <c r="AD1266" s="405"/>
      <c r="AE1266" s="405"/>
      <c r="AF1266" s="405"/>
      <c r="AG1266" s="405"/>
      <c r="AH1266" s="405"/>
      <c r="AI1266" s="405"/>
      <c r="AJ1266" s="405"/>
      <c r="AK1266" s="405"/>
      <c r="AL1266" s="405"/>
    </row>
    <row r="1267" ht="14.25" customHeight="1">
      <c r="A1267" s="402"/>
      <c r="B1267" s="402"/>
      <c r="C1267" s="402"/>
      <c r="D1267" s="402"/>
      <c r="E1267" s="402"/>
      <c r="F1267" s="402"/>
      <c r="G1267" s="403"/>
      <c r="H1267" s="402"/>
      <c r="I1267" s="402"/>
      <c r="J1267" s="402"/>
      <c r="K1267" s="402"/>
      <c r="L1267" s="402"/>
      <c r="M1267" s="402"/>
      <c r="N1267" s="402"/>
      <c r="O1267" s="402"/>
      <c r="P1267" s="402"/>
      <c r="Q1267" s="402"/>
      <c r="R1267" s="402"/>
      <c r="S1267" s="402"/>
      <c r="T1267" s="402"/>
      <c r="U1267" s="402"/>
      <c r="V1267" s="402"/>
      <c r="W1267" s="402"/>
      <c r="X1267" s="402"/>
      <c r="Y1267" s="402"/>
      <c r="Z1267" s="402"/>
      <c r="AA1267" s="405"/>
      <c r="AB1267" s="405"/>
      <c r="AC1267" s="405"/>
      <c r="AD1267" s="405"/>
      <c r="AE1267" s="405"/>
      <c r="AF1267" s="405"/>
      <c r="AG1267" s="405"/>
      <c r="AH1267" s="405"/>
      <c r="AI1267" s="405"/>
      <c r="AJ1267" s="405"/>
      <c r="AK1267" s="405"/>
      <c r="AL1267" s="405"/>
    </row>
    <row r="1268" ht="14.25" customHeight="1">
      <c r="A1268" s="402"/>
      <c r="B1268" s="402"/>
      <c r="C1268" s="402"/>
      <c r="D1268" s="402"/>
      <c r="E1268" s="402"/>
      <c r="F1268" s="402"/>
      <c r="G1268" s="403"/>
      <c r="H1268" s="402"/>
      <c r="I1268" s="402"/>
      <c r="J1268" s="402"/>
      <c r="K1268" s="402"/>
      <c r="L1268" s="402"/>
      <c r="M1268" s="402"/>
      <c r="N1268" s="402"/>
      <c r="O1268" s="402"/>
      <c r="P1268" s="402"/>
      <c r="Q1268" s="402"/>
      <c r="R1268" s="402"/>
      <c r="S1268" s="402"/>
      <c r="T1268" s="402"/>
      <c r="U1268" s="402"/>
      <c r="V1268" s="402"/>
      <c r="W1268" s="402"/>
      <c r="X1268" s="402"/>
      <c r="Y1268" s="402"/>
      <c r="Z1268" s="402"/>
      <c r="AA1268" s="405"/>
      <c r="AB1268" s="405"/>
      <c r="AC1268" s="405"/>
      <c r="AD1268" s="405"/>
      <c r="AE1268" s="405"/>
      <c r="AF1268" s="405"/>
      <c r="AG1268" s="405"/>
      <c r="AH1268" s="405"/>
      <c r="AI1268" s="405"/>
      <c r="AJ1268" s="405"/>
      <c r="AK1268" s="405"/>
      <c r="AL1268" s="405"/>
    </row>
    <row r="1269" ht="14.25" customHeight="1">
      <c r="A1269" s="402"/>
      <c r="B1269" s="402"/>
      <c r="C1269" s="402"/>
      <c r="D1269" s="402"/>
      <c r="E1269" s="402"/>
      <c r="F1269" s="402"/>
      <c r="G1269" s="403"/>
      <c r="H1269" s="402"/>
      <c r="I1269" s="402"/>
      <c r="J1269" s="402"/>
      <c r="K1269" s="402"/>
      <c r="L1269" s="402"/>
      <c r="M1269" s="402"/>
      <c r="N1269" s="402"/>
      <c r="O1269" s="402"/>
      <c r="P1269" s="402"/>
      <c r="Q1269" s="402"/>
      <c r="R1269" s="402"/>
      <c r="S1269" s="402"/>
      <c r="T1269" s="402"/>
      <c r="U1269" s="402"/>
      <c r="V1269" s="402"/>
      <c r="W1269" s="402"/>
      <c r="X1269" s="402"/>
      <c r="Y1269" s="402"/>
      <c r="Z1269" s="402"/>
      <c r="AA1269" s="405"/>
      <c r="AB1269" s="405"/>
      <c r="AC1269" s="405"/>
      <c r="AD1269" s="405"/>
      <c r="AE1269" s="405"/>
      <c r="AF1269" s="405"/>
      <c r="AG1269" s="405"/>
      <c r="AH1269" s="405"/>
      <c r="AI1269" s="405"/>
      <c r="AJ1269" s="405"/>
      <c r="AK1269" s="405"/>
      <c r="AL1269" s="405"/>
    </row>
    <row r="1270" ht="14.25" customHeight="1">
      <c r="A1270" s="402"/>
      <c r="B1270" s="402"/>
      <c r="C1270" s="402"/>
      <c r="D1270" s="402"/>
      <c r="E1270" s="402"/>
      <c r="F1270" s="402"/>
      <c r="G1270" s="403"/>
      <c r="H1270" s="402"/>
      <c r="I1270" s="402"/>
      <c r="J1270" s="402"/>
      <c r="K1270" s="402"/>
      <c r="L1270" s="402"/>
      <c r="M1270" s="402"/>
      <c r="N1270" s="402"/>
      <c r="O1270" s="402"/>
      <c r="P1270" s="402"/>
      <c r="Q1270" s="402"/>
      <c r="R1270" s="402"/>
      <c r="S1270" s="402"/>
      <c r="T1270" s="402"/>
      <c r="U1270" s="402"/>
      <c r="V1270" s="402"/>
      <c r="W1270" s="402"/>
      <c r="X1270" s="402"/>
      <c r="Y1270" s="402"/>
      <c r="Z1270" s="402"/>
      <c r="AA1270" s="405"/>
      <c r="AB1270" s="405"/>
      <c r="AC1270" s="405"/>
      <c r="AD1270" s="405"/>
      <c r="AE1270" s="405"/>
      <c r="AF1270" s="405"/>
      <c r="AG1270" s="405"/>
      <c r="AH1270" s="405"/>
      <c r="AI1270" s="405"/>
      <c r="AJ1270" s="405"/>
      <c r="AK1270" s="405"/>
      <c r="AL1270" s="405"/>
    </row>
    <row r="1271" ht="14.25" customHeight="1">
      <c r="A1271" s="402"/>
      <c r="B1271" s="402"/>
      <c r="C1271" s="402"/>
      <c r="D1271" s="402"/>
      <c r="E1271" s="402"/>
      <c r="F1271" s="402"/>
      <c r="G1271" s="403"/>
      <c r="H1271" s="402"/>
      <c r="I1271" s="402"/>
      <c r="J1271" s="402"/>
      <c r="K1271" s="402"/>
      <c r="L1271" s="402"/>
      <c r="M1271" s="402"/>
      <c r="N1271" s="402"/>
      <c r="O1271" s="402"/>
      <c r="P1271" s="402"/>
      <c r="Q1271" s="402"/>
      <c r="R1271" s="402"/>
      <c r="S1271" s="402"/>
      <c r="T1271" s="402"/>
      <c r="U1271" s="402"/>
      <c r="V1271" s="402"/>
      <c r="W1271" s="402"/>
      <c r="X1271" s="402"/>
      <c r="Y1271" s="402"/>
      <c r="Z1271" s="402"/>
      <c r="AA1271" s="405"/>
      <c r="AB1271" s="405"/>
      <c r="AC1271" s="405"/>
      <c r="AD1271" s="405"/>
      <c r="AE1271" s="405"/>
      <c r="AF1271" s="405"/>
      <c r="AG1271" s="405"/>
      <c r="AH1271" s="405"/>
      <c r="AI1271" s="405"/>
      <c r="AJ1271" s="405"/>
      <c r="AK1271" s="405"/>
      <c r="AL1271" s="405"/>
    </row>
    <row r="1272" ht="14.25" customHeight="1">
      <c r="A1272" s="402"/>
      <c r="B1272" s="402"/>
      <c r="C1272" s="402"/>
      <c r="D1272" s="402"/>
      <c r="E1272" s="402"/>
      <c r="F1272" s="402"/>
      <c r="G1272" s="403"/>
      <c r="H1272" s="402"/>
      <c r="I1272" s="402"/>
      <c r="J1272" s="402"/>
      <c r="K1272" s="402"/>
      <c r="L1272" s="402"/>
      <c r="M1272" s="402"/>
      <c r="N1272" s="402"/>
      <c r="O1272" s="402"/>
      <c r="P1272" s="402"/>
      <c r="Q1272" s="402"/>
      <c r="R1272" s="402"/>
      <c r="S1272" s="402"/>
      <c r="T1272" s="402"/>
      <c r="U1272" s="402"/>
      <c r="V1272" s="402"/>
      <c r="W1272" s="402"/>
      <c r="X1272" s="402"/>
      <c r="Y1272" s="402"/>
      <c r="Z1272" s="402"/>
      <c r="AA1272" s="405"/>
      <c r="AB1272" s="405"/>
      <c r="AC1272" s="405"/>
      <c r="AD1272" s="405"/>
      <c r="AE1272" s="405"/>
      <c r="AF1272" s="405"/>
      <c r="AG1272" s="405"/>
      <c r="AH1272" s="405"/>
      <c r="AI1272" s="405"/>
      <c r="AJ1272" s="405"/>
      <c r="AK1272" s="405"/>
      <c r="AL1272" s="405"/>
    </row>
    <row r="1273" ht="14.25" customHeight="1">
      <c r="A1273" s="402"/>
      <c r="B1273" s="402"/>
      <c r="C1273" s="402"/>
      <c r="D1273" s="402"/>
      <c r="E1273" s="402"/>
      <c r="F1273" s="402"/>
      <c r="G1273" s="403"/>
      <c r="H1273" s="402"/>
      <c r="I1273" s="402"/>
      <c r="J1273" s="402"/>
      <c r="K1273" s="402"/>
      <c r="L1273" s="402"/>
      <c r="M1273" s="402"/>
      <c r="N1273" s="402"/>
      <c r="O1273" s="402"/>
      <c r="P1273" s="402"/>
      <c r="Q1273" s="402"/>
      <c r="R1273" s="402"/>
      <c r="S1273" s="402"/>
      <c r="T1273" s="402"/>
      <c r="U1273" s="402"/>
      <c r="V1273" s="402"/>
      <c r="W1273" s="402"/>
      <c r="X1273" s="402"/>
      <c r="Y1273" s="402"/>
      <c r="Z1273" s="402"/>
      <c r="AA1273" s="405"/>
      <c r="AB1273" s="405"/>
      <c r="AC1273" s="405"/>
      <c r="AD1273" s="405"/>
      <c r="AE1273" s="405"/>
      <c r="AF1273" s="405"/>
      <c r="AG1273" s="405"/>
      <c r="AH1273" s="405"/>
      <c r="AI1273" s="405"/>
      <c r="AJ1273" s="405"/>
      <c r="AK1273" s="405"/>
      <c r="AL1273" s="405"/>
    </row>
    <row r="1274" ht="14.25" customHeight="1">
      <c r="A1274" s="402"/>
      <c r="B1274" s="402"/>
      <c r="C1274" s="402"/>
      <c r="D1274" s="402"/>
      <c r="E1274" s="402"/>
      <c r="F1274" s="402"/>
      <c r="G1274" s="403"/>
      <c r="H1274" s="402"/>
      <c r="I1274" s="402"/>
      <c r="J1274" s="402"/>
      <c r="K1274" s="402"/>
      <c r="L1274" s="402"/>
      <c r="M1274" s="402"/>
      <c r="N1274" s="402"/>
      <c r="O1274" s="402"/>
      <c r="P1274" s="402"/>
      <c r="Q1274" s="402"/>
      <c r="R1274" s="402"/>
      <c r="S1274" s="402"/>
      <c r="T1274" s="402"/>
      <c r="U1274" s="402"/>
      <c r="V1274" s="402"/>
      <c r="W1274" s="402"/>
      <c r="X1274" s="402"/>
      <c r="Y1274" s="402"/>
      <c r="Z1274" s="402"/>
      <c r="AA1274" s="405"/>
      <c r="AB1274" s="405"/>
      <c r="AC1274" s="405"/>
      <c r="AD1274" s="405"/>
      <c r="AE1274" s="405"/>
      <c r="AF1274" s="405"/>
      <c r="AG1274" s="405"/>
      <c r="AH1274" s="405"/>
      <c r="AI1274" s="405"/>
      <c r="AJ1274" s="405"/>
      <c r="AK1274" s="405"/>
      <c r="AL1274" s="405"/>
    </row>
    <row r="1275" ht="14.25" customHeight="1">
      <c r="A1275" s="402"/>
      <c r="B1275" s="402"/>
      <c r="C1275" s="402"/>
      <c r="D1275" s="402"/>
      <c r="E1275" s="402"/>
      <c r="F1275" s="402"/>
      <c r="G1275" s="403"/>
      <c r="H1275" s="402"/>
      <c r="I1275" s="402"/>
      <c r="J1275" s="402"/>
      <c r="K1275" s="402"/>
      <c r="L1275" s="402"/>
      <c r="M1275" s="402"/>
      <c r="N1275" s="402"/>
      <c r="O1275" s="402"/>
      <c r="P1275" s="402"/>
      <c r="Q1275" s="402"/>
      <c r="R1275" s="402"/>
      <c r="S1275" s="402"/>
      <c r="T1275" s="402"/>
      <c r="U1275" s="402"/>
      <c r="V1275" s="402"/>
      <c r="W1275" s="402"/>
      <c r="X1275" s="402"/>
      <c r="Y1275" s="402"/>
      <c r="Z1275" s="402"/>
      <c r="AA1275" s="405"/>
      <c r="AB1275" s="405"/>
      <c r="AC1275" s="405"/>
      <c r="AD1275" s="405"/>
      <c r="AE1275" s="405"/>
      <c r="AF1275" s="405"/>
      <c r="AG1275" s="405"/>
      <c r="AH1275" s="405"/>
      <c r="AI1275" s="405"/>
      <c r="AJ1275" s="405"/>
      <c r="AK1275" s="405"/>
      <c r="AL1275" s="405"/>
    </row>
    <row r="1276" ht="14.25" customHeight="1">
      <c r="A1276" s="402"/>
      <c r="B1276" s="402"/>
      <c r="C1276" s="402"/>
      <c r="D1276" s="402"/>
      <c r="E1276" s="402"/>
      <c r="F1276" s="402"/>
      <c r="G1276" s="403"/>
      <c r="H1276" s="402"/>
      <c r="I1276" s="402"/>
      <c r="J1276" s="402"/>
      <c r="K1276" s="402"/>
      <c r="L1276" s="402"/>
      <c r="M1276" s="402"/>
      <c r="N1276" s="402"/>
      <c r="O1276" s="402"/>
      <c r="P1276" s="402"/>
      <c r="Q1276" s="402"/>
      <c r="R1276" s="402"/>
      <c r="S1276" s="402"/>
      <c r="T1276" s="402"/>
      <c r="U1276" s="402"/>
      <c r="V1276" s="402"/>
      <c r="W1276" s="402"/>
      <c r="X1276" s="402"/>
      <c r="Y1276" s="402"/>
      <c r="Z1276" s="402"/>
      <c r="AA1276" s="405"/>
      <c r="AB1276" s="405"/>
      <c r="AC1276" s="405"/>
      <c r="AD1276" s="405"/>
      <c r="AE1276" s="405"/>
      <c r="AF1276" s="405"/>
      <c r="AG1276" s="405"/>
      <c r="AH1276" s="405"/>
      <c r="AI1276" s="405"/>
      <c r="AJ1276" s="405"/>
      <c r="AK1276" s="405"/>
      <c r="AL1276" s="405"/>
    </row>
    <row r="1277" ht="14.25" customHeight="1">
      <c r="A1277" s="402"/>
      <c r="B1277" s="402"/>
      <c r="C1277" s="402"/>
      <c r="D1277" s="402"/>
      <c r="E1277" s="402"/>
      <c r="F1277" s="402"/>
      <c r="G1277" s="403"/>
      <c r="H1277" s="402"/>
      <c r="I1277" s="402"/>
      <c r="J1277" s="402"/>
      <c r="K1277" s="402"/>
      <c r="L1277" s="402"/>
      <c r="M1277" s="402"/>
      <c r="N1277" s="402"/>
      <c r="O1277" s="402"/>
      <c r="P1277" s="402"/>
      <c r="Q1277" s="402"/>
      <c r="R1277" s="402"/>
      <c r="S1277" s="402"/>
      <c r="T1277" s="402"/>
      <c r="U1277" s="402"/>
      <c r="V1277" s="402"/>
      <c r="W1277" s="402"/>
      <c r="X1277" s="402"/>
      <c r="Y1277" s="402"/>
      <c r="Z1277" s="402"/>
      <c r="AA1277" s="405"/>
      <c r="AB1277" s="405"/>
      <c r="AC1277" s="405"/>
      <c r="AD1277" s="405"/>
      <c r="AE1277" s="405"/>
      <c r="AF1277" s="405"/>
      <c r="AG1277" s="405"/>
      <c r="AH1277" s="405"/>
      <c r="AI1277" s="405"/>
      <c r="AJ1277" s="405"/>
      <c r="AK1277" s="405"/>
      <c r="AL1277" s="405"/>
    </row>
    <row r="1278" ht="14.25" customHeight="1">
      <c r="A1278" s="402"/>
      <c r="B1278" s="402"/>
      <c r="C1278" s="402"/>
      <c r="D1278" s="402"/>
      <c r="E1278" s="402"/>
      <c r="F1278" s="402"/>
      <c r="G1278" s="403"/>
      <c r="H1278" s="402"/>
      <c r="I1278" s="402"/>
      <c r="J1278" s="402"/>
      <c r="K1278" s="402"/>
      <c r="L1278" s="402"/>
      <c r="M1278" s="402"/>
      <c r="N1278" s="402"/>
      <c r="O1278" s="402"/>
      <c r="P1278" s="402"/>
      <c r="Q1278" s="402"/>
      <c r="R1278" s="402"/>
      <c r="S1278" s="402"/>
      <c r="T1278" s="402"/>
      <c r="U1278" s="402"/>
      <c r="V1278" s="402"/>
      <c r="W1278" s="402"/>
      <c r="X1278" s="402"/>
      <c r="Y1278" s="402"/>
      <c r="Z1278" s="402"/>
      <c r="AA1278" s="405"/>
      <c r="AB1278" s="405"/>
      <c r="AC1278" s="405"/>
      <c r="AD1278" s="405"/>
      <c r="AE1278" s="405"/>
      <c r="AF1278" s="405"/>
      <c r="AG1278" s="405"/>
      <c r="AH1278" s="405"/>
      <c r="AI1278" s="405"/>
      <c r="AJ1278" s="405"/>
      <c r="AK1278" s="405"/>
      <c r="AL1278" s="405"/>
    </row>
    <row r="1279" ht="14.25" customHeight="1">
      <c r="A1279" s="402"/>
      <c r="B1279" s="402"/>
      <c r="C1279" s="402"/>
      <c r="D1279" s="402"/>
      <c r="E1279" s="402"/>
      <c r="F1279" s="402"/>
      <c r="G1279" s="403"/>
      <c r="H1279" s="402"/>
      <c r="I1279" s="402"/>
      <c r="J1279" s="402"/>
      <c r="K1279" s="402"/>
      <c r="L1279" s="402"/>
      <c r="M1279" s="402"/>
      <c r="N1279" s="402"/>
      <c r="O1279" s="402"/>
      <c r="P1279" s="402"/>
      <c r="Q1279" s="402"/>
      <c r="R1279" s="402"/>
      <c r="S1279" s="402"/>
      <c r="T1279" s="402"/>
      <c r="U1279" s="402"/>
      <c r="V1279" s="402"/>
      <c r="W1279" s="402"/>
      <c r="X1279" s="402"/>
      <c r="Y1279" s="402"/>
      <c r="Z1279" s="402"/>
      <c r="AA1279" s="405"/>
      <c r="AB1279" s="405"/>
      <c r="AC1279" s="405"/>
      <c r="AD1279" s="405"/>
      <c r="AE1279" s="405"/>
      <c r="AF1279" s="405"/>
      <c r="AG1279" s="405"/>
      <c r="AH1279" s="405"/>
      <c r="AI1279" s="405"/>
      <c r="AJ1279" s="405"/>
      <c r="AK1279" s="405"/>
      <c r="AL1279" s="405"/>
    </row>
    <row r="1280" ht="14.25" customHeight="1">
      <c r="A1280" s="402"/>
      <c r="B1280" s="402"/>
      <c r="C1280" s="402"/>
      <c r="D1280" s="402"/>
      <c r="E1280" s="402"/>
      <c r="F1280" s="402"/>
      <c r="G1280" s="403"/>
      <c r="H1280" s="402"/>
      <c r="I1280" s="402"/>
      <c r="J1280" s="402"/>
      <c r="K1280" s="402"/>
      <c r="L1280" s="402"/>
      <c r="M1280" s="402"/>
      <c r="N1280" s="402"/>
      <c r="O1280" s="402"/>
      <c r="P1280" s="402"/>
      <c r="Q1280" s="402"/>
      <c r="R1280" s="402"/>
      <c r="S1280" s="402"/>
      <c r="T1280" s="402"/>
      <c r="U1280" s="402"/>
      <c r="V1280" s="402"/>
      <c r="W1280" s="402"/>
      <c r="X1280" s="402"/>
      <c r="Y1280" s="402"/>
      <c r="Z1280" s="402"/>
      <c r="AA1280" s="405"/>
      <c r="AB1280" s="405"/>
      <c r="AC1280" s="405"/>
      <c r="AD1280" s="405"/>
      <c r="AE1280" s="405"/>
      <c r="AF1280" s="405"/>
      <c r="AG1280" s="405"/>
      <c r="AH1280" s="405"/>
      <c r="AI1280" s="405"/>
      <c r="AJ1280" s="405"/>
      <c r="AK1280" s="405"/>
      <c r="AL1280" s="405"/>
    </row>
    <row r="1281" ht="14.25" customHeight="1">
      <c r="A1281" s="402"/>
      <c r="B1281" s="402"/>
      <c r="C1281" s="402"/>
      <c r="D1281" s="402"/>
      <c r="E1281" s="402"/>
      <c r="F1281" s="402"/>
      <c r="G1281" s="403"/>
      <c r="H1281" s="402"/>
      <c r="I1281" s="402"/>
      <c r="J1281" s="402"/>
      <c r="K1281" s="402"/>
      <c r="L1281" s="402"/>
      <c r="M1281" s="402"/>
      <c r="N1281" s="402"/>
      <c r="O1281" s="402"/>
      <c r="P1281" s="402"/>
      <c r="Q1281" s="402"/>
      <c r="R1281" s="402"/>
      <c r="S1281" s="402"/>
      <c r="T1281" s="402"/>
      <c r="U1281" s="402"/>
      <c r="V1281" s="402"/>
      <c r="W1281" s="402"/>
      <c r="X1281" s="402"/>
      <c r="Y1281" s="402"/>
      <c r="Z1281" s="402"/>
      <c r="AA1281" s="405"/>
      <c r="AB1281" s="405"/>
      <c r="AC1281" s="405"/>
      <c r="AD1281" s="405"/>
      <c r="AE1281" s="405"/>
      <c r="AF1281" s="405"/>
      <c r="AG1281" s="405"/>
      <c r="AH1281" s="405"/>
      <c r="AI1281" s="405"/>
      <c r="AJ1281" s="405"/>
      <c r="AK1281" s="405"/>
      <c r="AL1281" s="405"/>
    </row>
    <row r="1282" ht="14.25" customHeight="1">
      <c r="A1282" s="402"/>
      <c r="B1282" s="402"/>
      <c r="C1282" s="402"/>
      <c r="D1282" s="402"/>
      <c r="E1282" s="402"/>
      <c r="F1282" s="402"/>
      <c r="G1282" s="403"/>
      <c r="H1282" s="402"/>
      <c r="I1282" s="402"/>
      <c r="J1282" s="402"/>
      <c r="K1282" s="402"/>
      <c r="L1282" s="402"/>
      <c r="M1282" s="402"/>
      <c r="N1282" s="402"/>
      <c r="O1282" s="402"/>
      <c r="P1282" s="402"/>
      <c r="Q1282" s="402"/>
      <c r="R1282" s="402"/>
      <c r="S1282" s="402"/>
      <c r="T1282" s="402"/>
      <c r="U1282" s="402"/>
      <c r="V1282" s="402"/>
      <c r="W1282" s="402"/>
      <c r="X1282" s="402"/>
      <c r="Y1282" s="402"/>
      <c r="Z1282" s="402"/>
      <c r="AA1282" s="405"/>
      <c r="AB1282" s="405"/>
      <c r="AC1282" s="405"/>
      <c r="AD1282" s="405"/>
      <c r="AE1282" s="405"/>
      <c r="AF1282" s="405"/>
      <c r="AG1282" s="405"/>
      <c r="AH1282" s="405"/>
      <c r="AI1282" s="405"/>
      <c r="AJ1282" s="405"/>
      <c r="AK1282" s="405"/>
      <c r="AL1282" s="405"/>
    </row>
    <row r="1283" ht="14.25" customHeight="1">
      <c r="A1283" s="402"/>
      <c r="B1283" s="402"/>
      <c r="C1283" s="402"/>
      <c r="D1283" s="402"/>
      <c r="E1283" s="402"/>
      <c r="F1283" s="402"/>
      <c r="G1283" s="403"/>
      <c r="H1283" s="402"/>
      <c r="I1283" s="402"/>
      <c r="J1283" s="402"/>
      <c r="K1283" s="402"/>
      <c r="L1283" s="402"/>
      <c r="M1283" s="402"/>
      <c r="N1283" s="402"/>
      <c r="O1283" s="402"/>
      <c r="P1283" s="402"/>
      <c r="Q1283" s="402"/>
      <c r="R1283" s="402"/>
      <c r="S1283" s="402"/>
      <c r="T1283" s="402"/>
      <c r="U1283" s="402"/>
      <c r="V1283" s="402"/>
      <c r="W1283" s="402"/>
      <c r="X1283" s="402"/>
      <c r="Y1283" s="402"/>
      <c r="Z1283" s="402"/>
      <c r="AA1283" s="405"/>
      <c r="AB1283" s="405"/>
      <c r="AC1283" s="405"/>
      <c r="AD1283" s="405"/>
      <c r="AE1283" s="405"/>
      <c r="AF1283" s="405"/>
      <c r="AG1283" s="405"/>
      <c r="AH1283" s="405"/>
      <c r="AI1283" s="405"/>
      <c r="AJ1283" s="405"/>
      <c r="AK1283" s="405"/>
      <c r="AL1283" s="405"/>
    </row>
    <row r="1284" ht="14.25" customHeight="1">
      <c r="A1284" s="402"/>
      <c r="B1284" s="402"/>
      <c r="C1284" s="402"/>
      <c r="D1284" s="402"/>
      <c r="E1284" s="402"/>
      <c r="F1284" s="402"/>
      <c r="G1284" s="403"/>
      <c r="H1284" s="402"/>
      <c r="I1284" s="402"/>
      <c r="J1284" s="402"/>
      <c r="K1284" s="402"/>
      <c r="L1284" s="402"/>
      <c r="M1284" s="402"/>
      <c r="N1284" s="402"/>
      <c r="O1284" s="402"/>
      <c r="P1284" s="402"/>
      <c r="Q1284" s="402"/>
      <c r="R1284" s="402"/>
      <c r="S1284" s="402"/>
      <c r="T1284" s="402"/>
      <c r="U1284" s="402"/>
      <c r="V1284" s="402"/>
      <c r="W1284" s="402"/>
      <c r="X1284" s="402"/>
      <c r="Y1284" s="402"/>
      <c r="Z1284" s="402"/>
      <c r="AA1284" s="405"/>
      <c r="AB1284" s="405"/>
      <c r="AC1284" s="405"/>
      <c r="AD1284" s="405"/>
      <c r="AE1284" s="405"/>
      <c r="AF1284" s="405"/>
      <c r="AG1284" s="405"/>
      <c r="AH1284" s="405"/>
      <c r="AI1284" s="405"/>
      <c r="AJ1284" s="405"/>
      <c r="AK1284" s="405"/>
      <c r="AL1284" s="405"/>
    </row>
    <row r="1285" ht="14.25" customHeight="1">
      <c r="A1285" s="402"/>
      <c r="B1285" s="402"/>
      <c r="C1285" s="402"/>
      <c r="D1285" s="402"/>
      <c r="E1285" s="402"/>
      <c r="F1285" s="402"/>
      <c r="G1285" s="403"/>
      <c r="H1285" s="402"/>
      <c r="I1285" s="402"/>
      <c r="J1285" s="402"/>
      <c r="K1285" s="402"/>
      <c r="L1285" s="402"/>
      <c r="M1285" s="402"/>
      <c r="N1285" s="402"/>
      <c r="O1285" s="402"/>
      <c r="P1285" s="402"/>
      <c r="Q1285" s="402"/>
      <c r="R1285" s="402"/>
      <c r="S1285" s="402"/>
      <c r="T1285" s="402"/>
      <c r="U1285" s="402"/>
      <c r="V1285" s="402"/>
      <c r="W1285" s="402"/>
      <c r="X1285" s="402"/>
      <c r="Y1285" s="402"/>
      <c r="Z1285" s="402"/>
      <c r="AA1285" s="405"/>
      <c r="AB1285" s="405"/>
      <c r="AC1285" s="405"/>
      <c r="AD1285" s="405"/>
      <c r="AE1285" s="405"/>
      <c r="AF1285" s="405"/>
      <c r="AG1285" s="405"/>
      <c r="AH1285" s="405"/>
      <c r="AI1285" s="405"/>
      <c r="AJ1285" s="405"/>
      <c r="AK1285" s="405"/>
      <c r="AL1285" s="405"/>
    </row>
    <row r="1286" ht="14.25" customHeight="1">
      <c r="A1286" s="402"/>
      <c r="B1286" s="402"/>
      <c r="C1286" s="402"/>
      <c r="D1286" s="402"/>
      <c r="E1286" s="402"/>
      <c r="F1286" s="402"/>
      <c r="G1286" s="403"/>
      <c r="H1286" s="402"/>
      <c r="I1286" s="402"/>
      <c r="J1286" s="402"/>
      <c r="K1286" s="402"/>
      <c r="L1286" s="402"/>
      <c r="M1286" s="402"/>
      <c r="N1286" s="402"/>
      <c r="O1286" s="402"/>
      <c r="P1286" s="402"/>
      <c r="Q1286" s="402"/>
      <c r="R1286" s="402"/>
      <c r="S1286" s="402"/>
      <c r="T1286" s="402"/>
      <c r="U1286" s="402"/>
      <c r="V1286" s="402"/>
      <c r="W1286" s="402"/>
      <c r="X1286" s="402"/>
      <c r="Y1286" s="402"/>
      <c r="Z1286" s="402"/>
      <c r="AA1286" s="405"/>
      <c r="AB1286" s="405"/>
      <c r="AC1286" s="405"/>
      <c r="AD1286" s="405"/>
      <c r="AE1286" s="405"/>
      <c r="AF1286" s="405"/>
      <c r="AG1286" s="405"/>
      <c r="AH1286" s="405"/>
      <c r="AI1286" s="405"/>
      <c r="AJ1286" s="405"/>
      <c r="AK1286" s="405"/>
      <c r="AL1286" s="405"/>
    </row>
    <row r="1287" ht="14.25" customHeight="1">
      <c r="A1287" s="402"/>
      <c r="B1287" s="402"/>
      <c r="C1287" s="402"/>
      <c r="D1287" s="402"/>
      <c r="E1287" s="402"/>
      <c r="F1287" s="402"/>
      <c r="G1287" s="403"/>
      <c r="H1287" s="402"/>
      <c r="I1287" s="402"/>
      <c r="J1287" s="402"/>
      <c r="K1287" s="402"/>
      <c r="L1287" s="402"/>
      <c r="M1287" s="402"/>
      <c r="N1287" s="402"/>
      <c r="O1287" s="402"/>
      <c r="P1287" s="402"/>
      <c r="Q1287" s="402"/>
      <c r="R1287" s="402"/>
      <c r="S1287" s="402"/>
      <c r="T1287" s="402"/>
      <c r="U1287" s="402"/>
      <c r="V1287" s="402"/>
      <c r="W1287" s="402"/>
      <c r="X1287" s="402"/>
      <c r="Y1287" s="402"/>
      <c r="Z1287" s="402"/>
      <c r="AA1287" s="405"/>
      <c r="AB1287" s="405"/>
      <c r="AC1287" s="405"/>
      <c r="AD1287" s="405"/>
      <c r="AE1287" s="405"/>
      <c r="AF1287" s="405"/>
      <c r="AG1287" s="405"/>
      <c r="AH1287" s="405"/>
      <c r="AI1287" s="405"/>
      <c r="AJ1287" s="405"/>
      <c r="AK1287" s="405"/>
      <c r="AL1287" s="405"/>
    </row>
    <row r="1288" ht="14.25" customHeight="1">
      <c r="A1288" s="402"/>
      <c r="B1288" s="402"/>
      <c r="C1288" s="402"/>
      <c r="D1288" s="402"/>
      <c r="E1288" s="402"/>
      <c r="F1288" s="402"/>
      <c r="G1288" s="403"/>
      <c r="H1288" s="402"/>
      <c r="I1288" s="402"/>
      <c r="J1288" s="402"/>
      <c r="K1288" s="402"/>
      <c r="L1288" s="402"/>
      <c r="M1288" s="402"/>
      <c r="N1288" s="402"/>
      <c r="O1288" s="402"/>
      <c r="P1288" s="402"/>
      <c r="Q1288" s="402"/>
      <c r="R1288" s="402"/>
      <c r="S1288" s="402"/>
      <c r="T1288" s="402"/>
      <c r="U1288" s="402"/>
      <c r="V1288" s="402"/>
      <c r="W1288" s="402"/>
      <c r="X1288" s="402"/>
      <c r="Y1288" s="402"/>
      <c r="Z1288" s="402"/>
      <c r="AA1288" s="405"/>
      <c r="AB1288" s="405"/>
      <c r="AC1288" s="405"/>
      <c r="AD1288" s="405"/>
      <c r="AE1288" s="405"/>
      <c r="AF1288" s="405"/>
      <c r="AG1288" s="405"/>
      <c r="AH1288" s="405"/>
      <c r="AI1288" s="405"/>
      <c r="AJ1288" s="405"/>
      <c r="AK1288" s="405"/>
      <c r="AL1288" s="405"/>
    </row>
    <row r="1289" ht="14.25" customHeight="1">
      <c r="A1289" s="402"/>
      <c r="B1289" s="402"/>
      <c r="C1289" s="402"/>
      <c r="D1289" s="402"/>
      <c r="E1289" s="402"/>
      <c r="F1289" s="402"/>
      <c r="G1289" s="403"/>
      <c r="H1289" s="402"/>
      <c r="I1289" s="402"/>
      <c r="J1289" s="402"/>
      <c r="K1289" s="402"/>
      <c r="L1289" s="402"/>
      <c r="M1289" s="402"/>
      <c r="N1289" s="402"/>
      <c r="O1289" s="402"/>
      <c r="P1289" s="402"/>
      <c r="Q1289" s="402"/>
      <c r="R1289" s="402"/>
      <c r="S1289" s="402"/>
      <c r="T1289" s="402"/>
      <c r="U1289" s="402"/>
      <c r="V1289" s="402"/>
      <c r="W1289" s="402"/>
      <c r="X1289" s="402"/>
      <c r="Y1289" s="402"/>
      <c r="Z1289" s="402"/>
      <c r="AA1289" s="405"/>
      <c r="AB1289" s="405"/>
      <c r="AC1289" s="405"/>
      <c r="AD1289" s="405"/>
      <c r="AE1289" s="405"/>
      <c r="AF1289" s="405"/>
      <c r="AG1289" s="405"/>
      <c r="AH1289" s="405"/>
      <c r="AI1289" s="405"/>
      <c r="AJ1289" s="405"/>
      <c r="AK1289" s="405"/>
      <c r="AL1289" s="405"/>
    </row>
    <row r="1290" ht="14.25" customHeight="1">
      <c r="A1290" s="402"/>
      <c r="B1290" s="402"/>
      <c r="C1290" s="402"/>
      <c r="D1290" s="402"/>
      <c r="E1290" s="402"/>
      <c r="F1290" s="402"/>
      <c r="G1290" s="403"/>
      <c r="H1290" s="402"/>
      <c r="I1290" s="402"/>
      <c r="J1290" s="402"/>
      <c r="K1290" s="402"/>
      <c r="L1290" s="402"/>
      <c r="M1290" s="402"/>
      <c r="N1290" s="402"/>
      <c r="O1290" s="402"/>
      <c r="P1290" s="402"/>
      <c r="Q1290" s="402"/>
      <c r="R1290" s="402"/>
      <c r="S1290" s="402"/>
      <c r="T1290" s="402"/>
      <c r="U1290" s="402"/>
      <c r="V1290" s="402"/>
      <c r="W1290" s="402"/>
      <c r="X1290" s="402"/>
      <c r="Y1290" s="402"/>
      <c r="Z1290" s="402"/>
      <c r="AA1290" s="405"/>
      <c r="AB1290" s="405"/>
      <c r="AC1290" s="405"/>
      <c r="AD1290" s="405"/>
      <c r="AE1290" s="405"/>
      <c r="AF1290" s="405"/>
      <c r="AG1290" s="405"/>
      <c r="AH1290" s="405"/>
      <c r="AI1290" s="405"/>
      <c r="AJ1290" s="405"/>
      <c r="AK1290" s="405"/>
      <c r="AL1290" s="405"/>
    </row>
    <row r="1291" ht="14.25" customHeight="1">
      <c r="A1291" s="402"/>
      <c r="B1291" s="402"/>
      <c r="C1291" s="402"/>
      <c r="D1291" s="402"/>
      <c r="E1291" s="402"/>
      <c r="F1291" s="402"/>
      <c r="G1291" s="403"/>
      <c r="H1291" s="402"/>
      <c r="I1291" s="402"/>
      <c r="J1291" s="402"/>
      <c r="K1291" s="402"/>
      <c r="L1291" s="402"/>
      <c r="M1291" s="402"/>
      <c r="N1291" s="402"/>
      <c r="O1291" s="402"/>
      <c r="P1291" s="402"/>
      <c r="Q1291" s="402"/>
      <c r="R1291" s="402"/>
      <c r="S1291" s="402"/>
      <c r="T1291" s="402"/>
      <c r="U1291" s="402"/>
      <c r="V1291" s="402"/>
      <c r="W1291" s="402"/>
      <c r="X1291" s="402"/>
      <c r="Y1291" s="402"/>
      <c r="Z1291" s="402"/>
      <c r="AA1291" s="405"/>
      <c r="AB1291" s="405"/>
      <c r="AC1291" s="405"/>
      <c r="AD1291" s="405"/>
      <c r="AE1291" s="405"/>
      <c r="AF1291" s="405"/>
      <c r="AG1291" s="405"/>
      <c r="AH1291" s="405"/>
      <c r="AI1291" s="405"/>
      <c r="AJ1291" s="405"/>
      <c r="AK1291" s="405"/>
      <c r="AL1291" s="405"/>
    </row>
    <row r="1292" ht="14.25" customHeight="1">
      <c r="A1292" s="402"/>
      <c r="B1292" s="402"/>
      <c r="C1292" s="402"/>
      <c r="D1292" s="402"/>
      <c r="E1292" s="402"/>
      <c r="F1292" s="402"/>
      <c r="G1292" s="403"/>
      <c r="H1292" s="402"/>
      <c r="I1292" s="402"/>
      <c r="J1292" s="402"/>
      <c r="K1292" s="402"/>
      <c r="L1292" s="402"/>
      <c r="M1292" s="402"/>
      <c r="N1292" s="402"/>
      <c r="O1292" s="402"/>
      <c r="P1292" s="402"/>
      <c r="Q1292" s="402"/>
      <c r="R1292" s="402"/>
      <c r="S1292" s="402"/>
      <c r="T1292" s="402"/>
      <c r="U1292" s="402"/>
      <c r="V1292" s="402"/>
      <c r="W1292" s="402"/>
      <c r="X1292" s="402"/>
      <c r="Y1292" s="402"/>
      <c r="Z1292" s="402"/>
      <c r="AA1292" s="405"/>
      <c r="AB1292" s="405"/>
      <c r="AC1292" s="405"/>
      <c r="AD1292" s="405"/>
      <c r="AE1292" s="405"/>
      <c r="AF1292" s="405"/>
      <c r="AG1292" s="405"/>
      <c r="AH1292" s="405"/>
      <c r="AI1292" s="405"/>
      <c r="AJ1292" s="405"/>
      <c r="AK1292" s="405"/>
      <c r="AL1292" s="405"/>
    </row>
    <row r="1293" ht="14.25" customHeight="1">
      <c r="A1293" s="402"/>
      <c r="B1293" s="402"/>
      <c r="C1293" s="402"/>
      <c r="D1293" s="402"/>
      <c r="E1293" s="402"/>
      <c r="F1293" s="402"/>
      <c r="G1293" s="403"/>
      <c r="H1293" s="402"/>
      <c r="I1293" s="402"/>
      <c r="J1293" s="402"/>
      <c r="K1293" s="402"/>
      <c r="L1293" s="402"/>
      <c r="M1293" s="402"/>
      <c r="N1293" s="402"/>
      <c r="O1293" s="402"/>
      <c r="P1293" s="402"/>
      <c r="Q1293" s="402"/>
      <c r="R1293" s="402"/>
      <c r="S1293" s="402"/>
      <c r="T1293" s="402"/>
      <c r="U1293" s="402"/>
      <c r="V1293" s="402"/>
      <c r="W1293" s="402"/>
      <c r="X1293" s="402"/>
      <c r="Y1293" s="402"/>
      <c r="Z1293" s="402"/>
      <c r="AA1293" s="405"/>
      <c r="AB1293" s="405"/>
      <c r="AC1293" s="405"/>
      <c r="AD1293" s="405"/>
      <c r="AE1293" s="405"/>
      <c r="AF1293" s="405"/>
      <c r="AG1293" s="405"/>
      <c r="AH1293" s="405"/>
      <c r="AI1293" s="405"/>
      <c r="AJ1293" s="405"/>
      <c r="AK1293" s="405"/>
      <c r="AL1293" s="405"/>
    </row>
    <row r="1294" ht="14.25" customHeight="1">
      <c r="A1294" s="402"/>
      <c r="B1294" s="402"/>
      <c r="C1294" s="402"/>
      <c r="D1294" s="402"/>
      <c r="E1294" s="402"/>
      <c r="F1294" s="402"/>
      <c r="G1294" s="403"/>
      <c r="H1294" s="402"/>
      <c r="I1294" s="402"/>
      <c r="J1294" s="402"/>
      <c r="K1294" s="402"/>
      <c r="L1294" s="402"/>
      <c r="M1294" s="402"/>
      <c r="N1294" s="402"/>
      <c r="O1294" s="402"/>
      <c r="P1294" s="402"/>
      <c r="Q1294" s="402"/>
      <c r="R1294" s="402"/>
      <c r="S1294" s="402"/>
      <c r="T1294" s="402"/>
      <c r="U1294" s="402"/>
      <c r="V1294" s="402"/>
      <c r="W1294" s="402"/>
      <c r="X1294" s="402"/>
      <c r="Y1294" s="402"/>
      <c r="Z1294" s="402"/>
      <c r="AA1294" s="405"/>
      <c r="AB1294" s="405"/>
      <c r="AC1294" s="405"/>
      <c r="AD1294" s="405"/>
      <c r="AE1294" s="405"/>
      <c r="AF1294" s="405"/>
      <c r="AG1294" s="405"/>
      <c r="AH1294" s="405"/>
      <c r="AI1294" s="405"/>
      <c r="AJ1294" s="405"/>
      <c r="AK1294" s="405"/>
      <c r="AL1294" s="405"/>
    </row>
    <row r="1295" ht="14.25" customHeight="1">
      <c r="A1295" s="402"/>
      <c r="B1295" s="402"/>
      <c r="C1295" s="402"/>
      <c r="D1295" s="402"/>
      <c r="E1295" s="402"/>
      <c r="F1295" s="402"/>
      <c r="G1295" s="403"/>
      <c r="H1295" s="402"/>
      <c r="I1295" s="402"/>
      <c r="J1295" s="402"/>
      <c r="K1295" s="402"/>
      <c r="L1295" s="402"/>
      <c r="M1295" s="402"/>
      <c r="N1295" s="402"/>
      <c r="O1295" s="402"/>
      <c r="P1295" s="402"/>
      <c r="Q1295" s="402"/>
      <c r="R1295" s="402"/>
      <c r="S1295" s="402"/>
      <c r="T1295" s="402"/>
      <c r="U1295" s="402"/>
      <c r="V1295" s="402"/>
      <c r="W1295" s="402"/>
      <c r="X1295" s="402"/>
      <c r="Y1295" s="402"/>
      <c r="Z1295" s="402"/>
      <c r="AA1295" s="405"/>
      <c r="AB1295" s="405"/>
      <c r="AC1295" s="405"/>
      <c r="AD1295" s="405"/>
      <c r="AE1295" s="405"/>
      <c r="AF1295" s="405"/>
      <c r="AG1295" s="405"/>
      <c r="AH1295" s="405"/>
      <c r="AI1295" s="405"/>
      <c r="AJ1295" s="405"/>
      <c r="AK1295" s="405"/>
      <c r="AL1295" s="405"/>
    </row>
    <row r="1296" ht="14.25" customHeight="1">
      <c r="A1296" s="402"/>
      <c r="B1296" s="402"/>
      <c r="C1296" s="402"/>
      <c r="D1296" s="402"/>
      <c r="E1296" s="402"/>
      <c r="F1296" s="402"/>
      <c r="G1296" s="403"/>
      <c r="H1296" s="402"/>
      <c r="I1296" s="402"/>
      <c r="J1296" s="402"/>
      <c r="K1296" s="402"/>
      <c r="L1296" s="402"/>
      <c r="M1296" s="402"/>
      <c r="N1296" s="402"/>
      <c r="O1296" s="402"/>
      <c r="P1296" s="402"/>
      <c r="Q1296" s="402"/>
      <c r="R1296" s="402"/>
      <c r="S1296" s="402"/>
      <c r="T1296" s="402"/>
      <c r="U1296" s="402"/>
      <c r="V1296" s="402"/>
      <c r="W1296" s="402"/>
      <c r="X1296" s="402"/>
      <c r="Y1296" s="402"/>
      <c r="Z1296" s="402"/>
      <c r="AA1296" s="405"/>
      <c r="AB1296" s="405"/>
      <c r="AC1296" s="405"/>
      <c r="AD1296" s="405"/>
      <c r="AE1296" s="405"/>
      <c r="AF1296" s="405"/>
      <c r="AG1296" s="405"/>
      <c r="AH1296" s="405"/>
      <c r="AI1296" s="405"/>
      <c r="AJ1296" s="405"/>
      <c r="AK1296" s="405"/>
      <c r="AL1296" s="405"/>
    </row>
    <row r="1297" ht="14.25" customHeight="1">
      <c r="A1297" s="402"/>
      <c r="B1297" s="402"/>
      <c r="C1297" s="402"/>
      <c r="D1297" s="402"/>
      <c r="E1297" s="402"/>
      <c r="F1297" s="402"/>
      <c r="G1297" s="403"/>
      <c r="H1297" s="402"/>
      <c r="I1297" s="402"/>
      <c r="J1297" s="402"/>
      <c r="K1297" s="402"/>
      <c r="L1297" s="402"/>
      <c r="M1297" s="402"/>
      <c r="N1297" s="402"/>
      <c r="O1297" s="402"/>
      <c r="P1297" s="402"/>
      <c r="Q1297" s="402"/>
      <c r="R1297" s="402"/>
      <c r="S1297" s="402"/>
      <c r="T1297" s="402"/>
      <c r="U1297" s="402"/>
      <c r="V1297" s="402"/>
      <c r="W1297" s="402"/>
      <c r="X1297" s="402"/>
      <c r="Y1297" s="402"/>
      <c r="Z1297" s="402"/>
      <c r="AA1297" s="405"/>
      <c r="AB1297" s="405"/>
      <c r="AC1297" s="405"/>
      <c r="AD1297" s="405"/>
      <c r="AE1297" s="405"/>
      <c r="AF1297" s="405"/>
      <c r="AG1297" s="405"/>
      <c r="AH1297" s="405"/>
      <c r="AI1297" s="405"/>
      <c r="AJ1297" s="405"/>
      <c r="AK1297" s="405"/>
      <c r="AL1297" s="405"/>
    </row>
    <row r="1298" ht="14.25" customHeight="1">
      <c r="A1298" s="402"/>
      <c r="B1298" s="402"/>
      <c r="C1298" s="402"/>
      <c r="D1298" s="402"/>
      <c r="E1298" s="402"/>
      <c r="F1298" s="402"/>
      <c r="G1298" s="403"/>
      <c r="H1298" s="402"/>
      <c r="I1298" s="402"/>
      <c r="J1298" s="402"/>
      <c r="K1298" s="402"/>
      <c r="L1298" s="402"/>
      <c r="M1298" s="402"/>
      <c r="N1298" s="402"/>
      <c r="O1298" s="402"/>
      <c r="P1298" s="402"/>
      <c r="Q1298" s="402"/>
      <c r="R1298" s="402"/>
      <c r="S1298" s="402"/>
      <c r="T1298" s="402"/>
      <c r="U1298" s="402"/>
      <c r="V1298" s="402"/>
      <c r="W1298" s="402"/>
      <c r="X1298" s="402"/>
      <c r="Y1298" s="402"/>
      <c r="Z1298" s="402"/>
      <c r="AA1298" s="405"/>
      <c r="AB1298" s="405"/>
      <c r="AC1298" s="405"/>
      <c r="AD1298" s="405"/>
      <c r="AE1298" s="405"/>
      <c r="AF1298" s="405"/>
      <c r="AG1298" s="405"/>
      <c r="AH1298" s="405"/>
      <c r="AI1298" s="405"/>
      <c r="AJ1298" s="405"/>
      <c r="AK1298" s="405"/>
      <c r="AL1298" s="405"/>
    </row>
    <row r="1299" ht="14.25" customHeight="1">
      <c r="A1299" s="402"/>
      <c r="B1299" s="402"/>
      <c r="C1299" s="402"/>
      <c r="D1299" s="402"/>
      <c r="E1299" s="402"/>
      <c r="F1299" s="402"/>
      <c r="G1299" s="403"/>
      <c r="H1299" s="402"/>
      <c r="I1299" s="402"/>
      <c r="J1299" s="402"/>
      <c r="K1299" s="402"/>
      <c r="L1299" s="402"/>
      <c r="M1299" s="402"/>
      <c r="N1299" s="402"/>
      <c r="O1299" s="402"/>
      <c r="P1299" s="402"/>
      <c r="Q1299" s="402"/>
      <c r="R1299" s="402"/>
      <c r="S1299" s="402"/>
      <c r="T1299" s="402"/>
      <c r="U1299" s="402"/>
      <c r="V1299" s="402"/>
      <c r="W1299" s="402"/>
      <c r="X1299" s="402"/>
      <c r="Y1299" s="402"/>
      <c r="Z1299" s="402"/>
      <c r="AA1299" s="405"/>
      <c r="AB1299" s="405"/>
      <c r="AC1299" s="405"/>
      <c r="AD1299" s="405"/>
      <c r="AE1299" s="405"/>
      <c r="AF1299" s="405"/>
      <c r="AG1299" s="405"/>
      <c r="AH1299" s="405"/>
      <c r="AI1299" s="405"/>
      <c r="AJ1299" s="405"/>
      <c r="AK1299" s="405"/>
      <c r="AL1299" s="405"/>
    </row>
    <row r="1300" ht="14.25" customHeight="1">
      <c r="A1300" s="402"/>
      <c r="B1300" s="402"/>
      <c r="C1300" s="402"/>
      <c r="D1300" s="402"/>
      <c r="E1300" s="402"/>
      <c r="F1300" s="402"/>
      <c r="G1300" s="403"/>
      <c r="H1300" s="402"/>
      <c r="I1300" s="402"/>
      <c r="J1300" s="402"/>
      <c r="K1300" s="402"/>
      <c r="L1300" s="402"/>
      <c r="M1300" s="402"/>
      <c r="N1300" s="402"/>
      <c r="O1300" s="402"/>
      <c r="P1300" s="402"/>
      <c r="Q1300" s="402"/>
      <c r="R1300" s="402"/>
      <c r="S1300" s="402"/>
      <c r="T1300" s="402"/>
      <c r="U1300" s="402"/>
      <c r="V1300" s="402"/>
      <c r="W1300" s="402"/>
      <c r="X1300" s="402"/>
      <c r="Y1300" s="402"/>
      <c r="Z1300" s="402"/>
      <c r="AA1300" s="405"/>
      <c r="AB1300" s="405"/>
      <c r="AC1300" s="405"/>
      <c r="AD1300" s="405"/>
      <c r="AE1300" s="405"/>
      <c r="AF1300" s="405"/>
      <c r="AG1300" s="405"/>
      <c r="AH1300" s="405"/>
      <c r="AI1300" s="405"/>
      <c r="AJ1300" s="405"/>
      <c r="AK1300" s="405"/>
      <c r="AL1300" s="405"/>
    </row>
    <row r="1301" ht="14.25" customHeight="1">
      <c r="A1301" s="402"/>
      <c r="B1301" s="402"/>
      <c r="C1301" s="402"/>
      <c r="D1301" s="402"/>
      <c r="E1301" s="402"/>
      <c r="F1301" s="402"/>
      <c r="G1301" s="403"/>
      <c r="H1301" s="402"/>
      <c r="I1301" s="402"/>
      <c r="J1301" s="402"/>
      <c r="K1301" s="402"/>
      <c r="L1301" s="402"/>
      <c r="M1301" s="402"/>
      <c r="N1301" s="402"/>
      <c r="O1301" s="402"/>
      <c r="P1301" s="402"/>
      <c r="Q1301" s="402"/>
      <c r="R1301" s="402"/>
      <c r="S1301" s="402"/>
      <c r="T1301" s="402"/>
      <c r="U1301" s="402"/>
      <c r="V1301" s="402"/>
      <c r="W1301" s="402"/>
      <c r="X1301" s="402"/>
      <c r="Y1301" s="402"/>
      <c r="Z1301" s="402"/>
      <c r="AA1301" s="405"/>
      <c r="AB1301" s="405"/>
      <c r="AC1301" s="405"/>
      <c r="AD1301" s="405"/>
      <c r="AE1301" s="405"/>
      <c r="AF1301" s="405"/>
      <c r="AG1301" s="405"/>
      <c r="AH1301" s="405"/>
      <c r="AI1301" s="405"/>
      <c r="AJ1301" s="405"/>
      <c r="AK1301" s="405"/>
      <c r="AL1301" s="405"/>
    </row>
    <row r="1302" ht="14.25" customHeight="1">
      <c r="A1302" s="402"/>
      <c r="B1302" s="402"/>
      <c r="C1302" s="402"/>
      <c r="D1302" s="402"/>
      <c r="E1302" s="402"/>
      <c r="F1302" s="402"/>
      <c r="G1302" s="403"/>
      <c r="H1302" s="402"/>
      <c r="I1302" s="402"/>
      <c r="J1302" s="402"/>
      <c r="K1302" s="402"/>
      <c r="L1302" s="402"/>
      <c r="M1302" s="402"/>
      <c r="N1302" s="402"/>
      <c r="O1302" s="402"/>
      <c r="P1302" s="402"/>
      <c r="Q1302" s="402"/>
      <c r="R1302" s="402"/>
      <c r="S1302" s="402"/>
      <c r="T1302" s="402"/>
      <c r="U1302" s="402"/>
      <c r="V1302" s="402"/>
      <c r="W1302" s="402"/>
      <c r="X1302" s="402"/>
      <c r="Y1302" s="402"/>
      <c r="Z1302" s="402"/>
      <c r="AA1302" s="405"/>
      <c r="AB1302" s="405"/>
      <c r="AC1302" s="405"/>
      <c r="AD1302" s="405"/>
      <c r="AE1302" s="405"/>
      <c r="AF1302" s="405"/>
      <c r="AG1302" s="405"/>
      <c r="AH1302" s="405"/>
      <c r="AI1302" s="405"/>
      <c r="AJ1302" s="405"/>
      <c r="AK1302" s="405"/>
      <c r="AL1302" s="405"/>
    </row>
    <row r="1303" ht="14.25" customHeight="1">
      <c r="A1303" s="402"/>
      <c r="B1303" s="402"/>
      <c r="C1303" s="402"/>
      <c r="D1303" s="402"/>
      <c r="E1303" s="402"/>
      <c r="F1303" s="402"/>
      <c r="G1303" s="403"/>
      <c r="H1303" s="402"/>
      <c r="I1303" s="402"/>
      <c r="J1303" s="402"/>
      <c r="K1303" s="402"/>
      <c r="L1303" s="402"/>
      <c r="M1303" s="402"/>
      <c r="N1303" s="402"/>
      <c r="O1303" s="402"/>
      <c r="P1303" s="402"/>
      <c r="Q1303" s="402"/>
      <c r="R1303" s="402"/>
      <c r="S1303" s="402"/>
      <c r="T1303" s="402"/>
      <c r="U1303" s="402"/>
      <c r="V1303" s="402"/>
      <c r="W1303" s="402"/>
      <c r="X1303" s="402"/>
      <c r="Y1303" s="402"/>
      <c r="Z1303" s="402"/>
      <c r="AA1303" s="405"/>
      <c r="AB1303" s="405"/>
      <c r="AC1303" s="405"/>
      <c r="AD1303" s="405"/>
      <c r="AE1303" s="405"/>
      <c r="AF1303" s="405"/>
      <c r="AG1303" s="405"/>
      <c r="AH1303" s="405"/>
      <c r="AI1303" s="405"/>
      <c r="AJ1303" s="405"/>
      <c r="AK1303" s="405"/>
      <c r="AL1303" s="405"/>
    </row>
    <row r="1304" ht="14.25" customHeight="1">
      <c r="A1304" s="402"/>
      <c r="B1304" s="402"/>
      <c r="C1304" s="402"/>
      <c r="D1304" s="402"/>
      <c r="E1304" s="402"/>
      <c r="F1304" s="402"/>
      <c r="G1304" s="403"/>
      <c r="H1304" s="402"/>
      <c r="I1304" s="402"/>
      <c r="J1304" s="402"/>
      <c r="K1304" s="402"/>
      <c r="L1304" s="402"/>
      <c r="M1304" s="402"/>
      <c r="N1304" s="402"/>
      <c r="O1304" s="402"/>
      <c r="P1304" s="402"/>
      <c r="Q1304" s="402"/>
      <c r="R1304" s="402"/>
      <c r="S1304" s="402"/>
      <c r="T1304" s="402"/>
      <c r="U1304" s="402"/>
      <c r="V1304" s="402"/>
      <c r="W1304" s="402"/>
      <c r="X1304" s="402"/>
      <c r="Y1304" s="402"/>
      <c r="Z1304" s="402"/>
      <c r="AA1304" s="405"/>
      <c r="AB1304" s="405"/>
      <c r="AC1304" s="405"/>
      <c r="AD1304" s="405"/>
      <c r="AE1304" s="405"/>
      <c r="AF1304" s="405"/>
      <c r="AG1304" s="405"/>
      <c r="AH1304" s="405"/>
      <c r="AI1304" s="405"/>
      <c r="AJ1304" s="405"/>
      <c r="AK1304" s="405"/>
      <c r="AL1304" s="405"/>
    </row>
    <row r="1305" ht="14.25" customHeight="1">
      <c r="A1305" s="402"/>
      <c r="B1305" s="402"/>
      <c r="C1305" s="402"/>
      <c r="D1305" s="402"/>
      <c r="E1305" s="402"/>
      <c r="F1305" s="402"/>
      <c r="G1305" s="403"/>
      <c r="H1305" s="402"/>
      <c r="I1305" s="402"/>
      <c r="J1305" s="402"/>
      <c r="K1305" s="402"/>
      <c r="L1305" s="402"/>
      <c r="M1305" s="402"/>
      <c r="N1305" s="402"/>
      <c r="O1305" s="402"/>
      <c r="P1305" s="402"/>
      <c r="Q1305" s="402"/>
      <c r="R1305" s="402"/>
      <c r="S1305" s="402"/>
      <c r="T1305" s="402"/>
      <c r="U1305" s="402"/>
      <c r="V1305" s="402"/>
      <c r="W1305" s="402"/>
      <c r="X1305" s="402"/>
      <c r="Y1305" s="402"/>
      <c r="Z1305" s="402"/>
      <c r="AA1305" s="405"/>
      <c r="AB1305" s="405"/>
      <c r="AC1305" s="405"/>
      <c r="AD1305" s="405"/>
      <c r="AE1305" s="405"/>
      <c r="AF1305" s="405"/>
      <c r="AG1305" s="405"/>
      <c r="AH1305" s="405"/>
      <c r="AI1305" s="405"/>
      <c r="AJ1305" s="405"/>
      <c r="AK1305" s="405"/>
      <c r="AL1305" s="405"/>
    </row>
    <row r="1306" ht="14.25" customHeight="1">
      <c r="A1306" s="402"/>
      <c r="B1306" s="402"/>
      <c r="C1306" s="402"/>
      <c r="D1306" s="402"/>
      <c r="E1306" s="402"/>
      <c r="F1306" s="402"/>
      <c r="G1306" s="403"/>
      <c r="H1306" s="402"/>
      <c r="I1306" s="402"/>
      <c r="J1306" s="402"/>
      <c r="K1306" s="402"/>
      <c r="L1306" s="402"/>
      <c r="M1306" s="402"/>
      <c r="N1306" s="402"/>
      <c r="O1306" s="402"/>
      <c r="P1306" s="402"/>
      <c r="Q1306" s="402"/>
      <c r="R1306" s="402"/>
      <c r="S1306" s="402"/>
      <c r="T1306" s="402"/>
      <c r="U1306" s="402"/>
      <c r="V1306" s="402"/>
      <c r="W1306" s="402"/>
      <c r="X1306" s="402"/>
      <c r="Y1306" s="402"/>
      <c r="Z1306" s="402"/>
      <c r="AA1306" s="405"/>
      <c r="AB1306" s="405"/>
      <c r="AC1306" s="405"/>
      <c r="AD1306" s="405"/>
      <c r="AE1306" s="405"/>
      <c r="AF1306" s="405"/>
      <c r="AG1306" s="405"/>
      <c r="AH1306" s="405"/>
      <c r="AI1306" s="405"/>
      <c r="AJ1306" s="405"/>
      <c r="AK1306" s="405"/>
      <c r="AL1306" s="405"/>
    </row>
    <row r="1307" ht="14.25" customHeight="1">
      <c r="A1307" s="402"/>
      <c r="B1307" s="402"/>
      <c r="C1307" s="402"/>
      <c r="D1307" s="402"/>
      <c r="E1307" s="402"/>
      <c r="F1307" s="402"/>
      <c r="G1307" s="403"/>
      <c r="H1307" s="402"/>
      <c r="I1307" s="402"/>
      <c r="J1307" s="402"/>
      <c r="K1307" s="402"/>
      <c r="L1307" s="402"/>
      <c r="M1307" s="402"/>
      <c r="N1307" s="402"/>
      <c r="O1307" s="402"/>
      <c r="P1307" s="402"/>
      <c r="Q1307" s="402"/>
      <c r="R1307" s="402"/>
      <c r="S1307" s="402"/>
      <c r="T1307" s="402"/>
      <c r="U1307" s="402"/>
      <c r="V1307" s="402"/>
      <c r="W1307" s="402"/>
      <c r="X1307" s="402"/>
      <c r="Y1307" s="402"/>
      <c r="Z1307" s="402"/>
      <c r="AA1307" s="405"/>
      <c r="AB1307" s="405"/>
      <c r="AC1307" s="405"/>
      <c r="AD1307" s="405"/>
      <c r="AE1307" s="405"/>
      <c r="AF1307" s="405"/>
      <c r="AG1307" s="405"/>
      <c r="AH1307" s="405"/>
      <c r="AI1307" s="405"/>
      <c r="AJ1307" s="405"/>
      <c r="AK1307" s="405"/>
      <c r="AL1307" s="405"/>
    </row>
    <row r="1308" ht="14.25" customHeight="1">
      <c r="A1308" s="402"/>
      <c r="B1308" s="402"/>
      <c r="C1308" s="402"/>
      <c r="D1308" s="402"/>
      <c r="E1308" s="402"/>
      <c r="F1308" s="402"/>
      <c r="G1308" s="403"/>
      <c r="H1308" s="402"/>
      <c r="I1308" s="402"/>
      <c r="J1308" s="402"/>
      <c r="K1308" s="402"/>
      <c r="L1308" s="402"/>
      <c r="M1308" s="402"/>
      <c r="N1308" s="402"/>
      <c r="O1308" s="402"/>
      <c r="P1308" s="402"/>
      <c r="Q1308" s="402"/>
      <c r="R1308" s="402"/>
      <c r="S1308" s="402"/>
      <c r="T1308" s="402"/>
      <c r="U1308" s="402"/>
      <c r="V1308" s="402"/>
      <c r="W1308" s="402"/>
      <c r="X1308" s="402"/>
      <c r="Y1308" s="402"/>
      <c r="Z1308" s="402"/>
      <c r="AA1308" s="405"/>
      <c r="AB1308" s="405"/>
      <c r="AC1308" s="405"/>
      <c r="AD1308" s="405"/>
      <c r="AE1308" s="405"/>
      <c r="AF1308" s="405"/>
      <c r="AG1308" s="405"/>
      <c r="AH1308" s="405"/>
      <c r="AI1308" s="405"/>
      <c r="AJ1308" s="405"/>
      <c r="AK1308" s="405"/>
      <c r="AL1308" s="405"/>
    </row>
    <row r="1309" ht="14.25" customHeight="1">
      <c r="A1309" s="402"/>
      <c r="B1309" s="402"/>
      <c r="C1309" s="402"/>
      <c r="D1309" s="402"/>
      <c r="E1309" s="402"/>
      <c r="F1309" s="402"/>
      <c r="G1309" s="403"/>
      <c r="H1309" s="402"/>
      <c r="I1309" s="402"/>
      <c r="J1309" s="402"/>
      <c r="K1309" s="402"/>
      <c r="L1309" s="402"/>
      <c r="M1309" s="402"/>
      <c r="N1309" s="402"/>
      <c r="O1309" s="402"/>
      <c r="P1309" s="402"/>
      <c r="Q1309" s="402"/>
      <c r="R1309" s="402"/>
      <c r="S1309" s="402"/>
      <c r="T1309" s="402"/>
      <c r="U1309" s="402"/>
      <c r="V1309" s="402"/>
      <c r="W1309" s="402"/>
      <c r="X1309" s="402"/>
      <c r="Y1309" s="402"/>
      <c r="Z1309" s="402"/>
      <c r="AA1309" s="405"/>
      <c r="AB1309" s="405"/>
      <c r="AC1309" s="405"/>
      <c r="AD1309" s="405"/>
      <c r="AE1309" s="405"/>
      <c r="AF1309" s="405"/>
      <c r="AG1309" s="405"/>
      <c r="AH1309" s="405"/>
      <c r="AI1309" s="405"/>
      <c r="AJ1309" s="405"/>
      <c r="AK1309" s="405"/>
      <c r="AL1309" s="405"/>
    </row>
    <row r="1310" ht="14.25" customHeight="1">
      <c r="A1310" s="402"/>
      <c r="B1310" s="402"/>
      <c r="C1310" s="402"/>
      <c r="D1310" s="402"/>
      <c r="E1310" s="402"/>
      <c r="F1310" s="402"/>
      <c r="G1310" s="403"/>
      <c r="H1310" s="402"/>
      <c r="I1310" s="402"/>
      <c r="J1310" s="402"/>
      <c r="K1310" s="402"/>
      <c r="L1310" s="402"/>
      <c r="M1310" s="402"/>
      <c r="N1310" s="402"/>
      <c r="O1310" s="402"/>
      <c r="P1310" s="402"/>
      <c r="Q1310" s="402"/>
      <c r="R1310" s="402"/>
      <c r="S1310" s="402"/>
      <c r="T1310" s="402"/>
      <c r="U1310" s="402"/>
      <c r="V1310" s="402"/>
      <c r="W1310" s="402"/>
      <c r="X1310" s="402"/>
      <c r="Y1310" s="402"/>
      <c r="Z1310" s="402"/>
      <c r="AA1310" s="405"/>
      <c r="AB1310" s="405"/>
      <c r="AC1310" s="405"/>
      <c r="AD1310" s="405"/>
      <c r="AE1310" s="405"/>
      <c r="AF1310" s="405"/>
      <c r="AG1310" s="405"/>
      <c r="AH1310" s="405"/>
      <c r="AI1310" s="405"/>
      <c r="AJ1310" s="405"/>
      <c r="AK1310" s="405"/>
      <c r="AL1310" s="405"/>
    </row>
    <row r="1311" ht="14.25" customHeight="1">
      <c r="A1311" s="402"/>
      <c r="B1311" s="402"/>
      <c r="C1311" s="402"/>
      <c r="D1311" s="402"/>
      <c r="E1311" s="402"/>
      <c r="F1311" s="402"/>
      <c r="G1311" s="403"/>
      <c r="H1311" s="402"/>
      <c r="I1311" s="402"/>
      <c r="J1311" s="402"/>
      <c r="K1311" s="402"/>
      <c r="L1311" s="402"/>
      <c r="M1311" s="402"/>
      <c r="N1311" s="402"/>
      <c r="O1311" s="402"/>
      <c r="P1311" s="402"/>
      <c r="Q1311" s="402"/>
      <c r="R1311" s="402"/>
      <c r="S1311" s="402"/>
      <c r="T1311" s="402"/>
      <c r="U1311" s="402"/>
      <c r="V1311" s="402"/>
      <c r="W1311" s="402"/>
      <c r="X1311" s="402"/>
      <c r="Y1311" s="402"/>
      <c r="Z1311" s="402"/>
      <c r="AA1311" s="405"/>
      <c r="AB1311" s="405"/>
      <c r="AC1311" s="405"/>
      <c r="AD1311" s="405"/>
      <c r="AE1311" s="405"/>
      <c r="AF1311" s="405"/>
      <c r="AG1311" s="405"/>
      <c r="AH1311" s="405"/>
      <c r="AI1311" s="405"/>
      <c r="AJ1311" s="405"/>
      <c r="AK1311" s="405"/>
      <c r="AL1311" s="405"/>
    </row>
    <row r="1312" ht="14.25" customHeight="1">
      <c r="A1312" s="402"/>
      <c r="B1312" s="402"/>
      <c r="C1312" s="402"/>
      <c r="D1312" s="402"/>
      <c r="E1312" s="402"/>
      <c r="F1312" s="402"/>
      <c r="G1312" s="403"/>
      <c r="H1312" s="402"/>
      <c r="I1312" s="402"/>
      <c r="J1312" s="402"/>
      <c r="K1312" s="402"/>
      <c r="L1312" s="402"/>
      <c r="M1312" s="402"/>
      <c r="N1312" s="402"/>
      <c r="O1312" s="402"/>
      <c r="P1312" s="402"/>
      <c r="Q1312" s="402"/>
      <c r="R1312" s="402"/>
      <c r="S1312" s="402"/>
      <c r="T1312" s="402"/>
      <c r="U1312" s="402"/>
      <c r="V1312" s="402"/>
      <c r="W1312" s="402"/>
      <c r="X1312" s="402"/>
      <c r="Y1312" s="402"/>
      <c r="Z1312" s="402"/>
      <c r="AA1312" s="405"/>
      <c r="AB1312" s="405"/>
      <c r="AC1312" s="405"/>
      <c r="AD1312" s="405"/>
      <c r="AE1312" s="405"/>
      <c r="AF1312" s="405"/>
      <c r="AG1312" s="405"/>
      <c r="AH1312" s="405"/>
      <c r="AI1312" s="405"/>
      <c r="AJ1312" s="405"/>
      <c r="AK1312" s="405"/>
      <c r="AL1312" s="405"/>
    </row>
    <row r="1313" ht="14.25" customHeight="1">
      <c r="A1313" s="402"/>
      <c r="B1313" s="402"/>
      <c r="C1313" s="402"/>
      <c r="D1313" s="402"/>
      <c r="E1313" s="402"/>
      <c r="F1313" s="402"/>
      <c r="G1313" s="403"/>
      <c r="H1313" s="402"/>
      <c r="I1313" s="402"/>
      <c r="J1313" s="402"/>
      <c r="K1313" s="402"/>
      <c r="L1313" s="402"/>
      <c r="M1313" s="402"/>
      <c r="N1313" s="402"/>
      <c r="O1313" s="402"/>
      <c r="P1313" s="402"/>
      <c r="Q1313" s="402"/>
      <c r="R1313" s="402"/>
      <c r="S1313" s="402"/>
      <c r="T1313" s="402"/>
      <c r="U1313" s="402"/>
      <c r="V1313" s="402"/>
      <c r="W1313" s="402"/>
      <c r="X1313" s="402"/>
      <c r="Y1313" s="402"/>
      <c r="Z1313" s="402"/>
      <c r="AA1313" s="405"/>
      <c r="AB1313" s="405"/>
      <c r="AC1313" s="405"/>
      <c r="AD1313" s="405"/>
      <c r="AE1313" s="405"/>
      <c r="AF1313" s="405"/>
      <c r="AG1313" s="405"/>
      <c r="AH1313" s="405"/>
      <c r="AI1313" s="405"/>
      <c r="AJ1313" s="405"/>
      <c r="AK1313" s="405"/>
      <c r="AL1313" s="405"/>
    </row>
    <row r="1314" ht="14.25" customHeight="1">
      <c r="A1314" s="402"/>
      <c r="B1314" s="402"/>
      <c r="C1314" s="402"/>
      <c r="D1314" s="402"/>
      <c r="E1314" s="402"/>
      <c r="F1314" s="402"/>
      <c r="G1314" s="403"/>
      <c r="H1314" s="402"/>
      <c r="I1314" s="402"/>
      <c r="J1314" s="402"/>
      <c r="K1314" s="402"/>
      <c r="L1314" s="402"/>
      <c r="M1314" s="402"/>
      <c r="N1314" s="402"/>
      <c r="O1314" s="402"/>
      <c r="P1314" s="402"/>
      <c r="Q1314" s="402"/>
      <c r="R1314" s="402"/>
      <c r="S1314" s="402"/>
      <c r="T1314" s="402"/>
      <c r="U1314" s="402"/>
      <c r="V1314" s="402"/>
      <c r="W1314" s="402"/>
      <c r="X1314" s="402"/>
      <c r="Y1314" s="402"/>
      <c r="Z1314" s="402"/>
      <c r="AA1314" s="405"/>
      <c r="AB1314" s="405"/>
      <c r="AC1314" s="405"/>
      <c r="AD1314" s="405"/>
      <c r="AE1314" s="405"/>
      <c r="AF1314" s="405"/>
      <c r="AG1314" s="405"/>
      <c r="AH1314" s="405"/>
      <c r="AI1314" s="405"/>
      <c r="AJ1314" s="405"/>
      <c r="AK1314" s="405"/>
      <c r="AL1314" s="405"/>
    </row>
    <row r="1315" ht="14.25" customHeight="1">
      <c r="A1315" s="402"/>
      <c r="B1315" s="402"/>
      <c r="C1315" s="402"/>
      <c r="D1315" s="402"/>
      <c r="E1315" s="402"/>
      <c r="F1315" s="402"/>
      <c r="G1315" s="403"/>
      <c r="H1315" s="402"/>
      <c r="I1315" s="402"/>
      <c r="J1315" s="402"/>
      <c r="K1315" s="402"/>
      <c r="L1315" s="402"/>
      <c r="M1315" s="402"/>
      <c r="N1315" s="402"/>
      <c r="O1315" s="402"/>
      <c r="P1315" s="402"/>
      <c r="Q1315" s="402"/>
      <c r="R1315" s="402"/>
      <c r="S1315" s="402"/>
      <c r="T1315" s="402"/>
      <c r="U1315" s="402"/>
      <c r="V1315" s="402"/>
      <c r="W1315" s="402"/>
      <c r="X1315" s="402"/>
      <c r="Y1315" s="402"/>
      <c r="Z1315" s="402"/>
      <c r="AA1315" s="405"/>
      <c r="AB1315" s="405"/>
      <c r="AC1315" s="405"/>
      <c r="AD1315" s="405"/>
      <c r="AE1315" s="405"/>
      <c r="AF1315" s="405"/>
      <c r="AG1315" s="405"/>
      <c r="AH1315" s="405"/>
      <c r="AI1315" s="405"/>
      <c r="AJ1315" s="405"/>
      <c r="AK1315" s="405"/>
      <c r="AL1315" s="405"/>
    </row>
    <row r="1316" ht="14.25" customHeight="1">
      <c r="A1316" s="402"/>
      <c r="B1316" s="402"/>
      <c r="C1316" s="402"/>
      <c r="D1316" s="402"/>
      <c r="E1316" s="402"/>
      <c r="F1316" s="402"/>
      <c r="G1316" s="403"/>
      <c r="H1316" s="402"/>
      <c r="I1316" s="402"/>
      <c r="J1316" s="402"/>
      <c r="K1316" s="402"/>
      <c r="L1316" s="402"/>
      <c r="M1316" s="402"/>
      <c r="N1316" s="402"/>
      <c r="O1316" s="402"/>
      <c r="P1316" s="402"/>
      <c r="Q1316" s="402"/>
      <c r="R1316" s="402"/>
      <c r="S1316" s="402"/>
      <c r="T1316" s="402"/>
      <c r="U1316" s="402"/>
      <c r="V1316" s="402"/>
      <c r="W1316" s="402"/>
      <c r="X1316" s="402"/>
      <c r="Y1316" s="402"/>
      <c r="Z1316" s="402"/>
      <c r="AA1316" s="405"/>
      <c r="AB1316" s="405"/>
      <c r="AC1316" s="405"/>
      <c r="AD1316" s="405"/>
      <c r="AE1316" s="405"/>
      <c r="AF1316" s="405"/>
      <c r="AG1316" s="405"/>
      <c r="AH1316" s="405"/>
      <c r="AI1316" s="405"/>
      <c r="AJ1316" s="405"/>
      <c r="AK1316" s="405"/>
      <c r="AL1316" s="405"/>
    </row>
    <row r="1317" ht="14.25" customHeight="1">
      <c r="A1317" s="402"/>
      <c r="B1317" s="402"/>
      <c r="C1317" s="402"/>
      <c r="D1317" s="402"/>
      <c r="E1317" s="402"/>
      <c r="F1317" s="402"/>
      <c r="G1317" s="403"/>
      <c r="H1317" s="402"/>
      <c r="I1317" s="402"/>
      <c r="J1317" s="402"/>
      <c r="K1317" s="402"/>
      <c r="L1317" s="402"/>
      <c r="M1317" s="402"/>
      <c r="N1317" s="402"/>
      <c r="O1317" s="402"/>
      <c r="P1317" s="402"/>
      <c r="Q1317" s="402"/>
      <c r="R1317" s="402"/>
      <c r="S1317" s="402"/>
      <c r="T1317" s="402"/>
      <c r="U1317" s="402"/>
      <c r="V1317" s="402"/>
      <c r="W1317" s="402"/>
      <c r="X1317" s="402"/>
      <c r="Y1317" s="402"/>
      <c r="Z1317" s="402"/>
      <c r="AA1317" s="405"/>
      <c r="AB1317" s="405"/>
      <c r="AC1317" s="405"/>
      <c r="AD1317" s="405"/>
      <c r="AE1317" s="405"/>
      <c r="AF1317" s="405"/>
      <c r="AG1317" s="405"/>
      <c r="AH1317" s="405"/>
      <c r="AI1317" s="405"/>
      <c r="AJ1317" s="405"/>
      <c r="AK1317" s="405"/>
      <c r="AL1317" s="405"/>
    </row>
    <row r="1318" ht="14.25" customHeight="1">
      <c r="A1318" s="402"/>
      <c r="B1318" s="402"/>
      <c r="C1318" s="402"/>
      <c r="D1318" s="402"/>
      <c r="E1318" s="402"/>
      <c r="F1318" s="402"/>
      <c r="G1318" s="403"/>
      <c r="H1318" s="402"/>
      <c r="I1318" s="402"/>
      <c r="J1318" s="402"/>
      <c r="K1318" s="402"/>
      <c r="L1318" s="402"/>
      <c r="M1318" s="402"/>
      <c r="N1318" s="402"/>
      <c r="O1318" s="402"/>
      <c r="P1318" s="402"/>
      <c r="Q1318" s="402"/>
      <c r="R1318" s="402"/>
      <c r="S1318" s="402"/>
      <c r="T1318" s="402"/>
      <c r="U1318" s="402"/>
      <c r="V1318" s="402"/>
      <c r="W1318" s="402"/>
      <c r="X1318" s="402"/>
      <c r="Y1318" s="402"/>
      <c r="Z1318" s="402"/>
      <c r="AA1318" s="405"/>
      <c r="AB1318" s="405"/>
      <c r="AC1318" s="405"/>
      <c r="AD1318" s="405"/>
      <c r="AE1318" s="405"/>
      <c r="AF1318" s="405"/>
      <c r="AG1318" s="405"/>
      <c r="AH1318" s="405"/>
      <c r="AI1318" s="405"/>
      <c r="AJ1318" s="405"/>
      <c r="AK1318" s="405"/>
      <c r="AL1318" s="405"/>
    </row>
    <row r="1319" ht="14.25" customHeight="1">
      <c r="A1319" s="402"/>
      <c r="B1319" s="402"/>
      <c r="C1319" s="402"/>
      <c r="D1319" s="402"/>
      <c r="E1319" s="402"/>
      <c r="F1319" s="402"/>
      <c r="G1319" s="403"/>
      <c r="H1319" s="402"/>
      <c r="I1319" s="402"/>
      <c r="J1319" s="402"/>
      <c r="K1319" s="402"/>
      <c r="L1319" s="402"/>
      <c r="M1319" s="402"/>
      <c r="N1319" s="402"/>
      <c r="O1319" s="402"/>
      <c r="P1319" s="402"/>
      <c r="Q1319" s="402"/>
      <c r="R1319" s="402"/>
      <c r="S1319" s="402"/>
      <c r="T1319" s="402"/>
      <c r="U1319" s="402"/>
      <c r="V1319" s="402"/>
      <c r="W1319" s="402"/>
      <c r="X1319" s="402"/>
      <c r="Y1319" s="402"/>
      <c r="Z1319" s="402"/>
      <c r="AA1319" s="405"/>
      <c r="AB1319" s="405"/>
      <c r="AC1319" s="405"/>
      <c r="AD1319" s="405"/>
      <c r="AE1319" s="405"/>
      <c r="AF1319" s="405"/>
      <c r="AG1319" s="405"/>
      <c r="AH1319" s="405"/>
      <c r="AI1319" s="405"/>
      <c r="AJ1319" s="405"/>
      <c r="AK1319" s="405"/>
      <c r="AL1319" s="405"/>
    </row>
    <row r="1320" ht="14.25" customHeight="1">
      <c r="A1320" s="402"/>
      <c r="B1320" s="402"/>
      <c r="C1320" s="402"/>
      <c r="D1320" s="402"/>
      <c r="E1320" s="402"/>
      <c r="F1320" s="402"/>
      <c r="G1320" s="403"/>
      <c r="H1320" s="402"/>
      <c r="I1320" s="402"/>
      <c r="J1320" s="402"/>
      <c r="K1320" s="402"/>
      <c r="L1320" s="402"/>
      <c r="M1320" s="402"/>
      <c r="N1320" s="402"/>
      <c r="O1320" s="402"/>
      <c r="P1320" s="402"/>
      <c r="Q1320" s="402"/>
      <c r="R1320" s="402"/>
      <c r="S1320" s="402"/>
      <c r="T1320" s="402"/>
      <c r="U1320" s="402"/>
      <c r="V1320" s="402"/>
      <c r="W1320" s="402"/>
      <c r="X1320" s="402"/>
      <c r="Y1320" s="402"/>
      <c r="Z1320" s="402"/>
      <c r="AA1320" s="405"/>
      <c r="AB1320" s="405"/>
      <c r="AC1320" s="405"/>
      <c r="AD1320" s="405"/>
      <c r="AE1320" s="405"/>
      <c r="AF1320" s="405"/>
      <c r="AG1320" s="405"/>
      <c r="AH1320" s="405"/>
      <c r="AI1320" s="405"/>
      <c r="AJ1320" s="405"/>
      <c r="AK1320" s="405"/>
      <c r="AL1320" s="405"/>
    </row>
    <row r="1321" ht="14.25" customHeight="1">
      <c r="A1321" s="402"/>
      <c r="B1321" s="402"/>
      <c r="C1321" s="402"/>
      <c r="D1321" s="402"/>
      <c r="E1321" s="402"/>
      <c r="F1321" s="402"/>
      <c r="G1321" s="403"/>
      <c r="H1321" s="402"/>
      <c r="I1321" s="402"/>
      <c r="J1321" s="402"/>
      <c r="K1321" s="402"/>
      <c r="L1321" s="402"/>
      <c r="M1321" s="402"/>
      <c r="N1321" s="402"/>
      <c r="O1321" s="402"/>
      <c r="P1321" s="402"/>
      <c r="Q1321" s="402"/>
      <c r="R1321" s="402"/>
      <c r="S1321" s="402"/>
      <c r="T1321" s="402"/>
      <c r="U1321" s="402"/>
      <c r="V1321" s="402"/>
      <c r="W1321" s="402"/>
      <c r="X1321" s="402"/>
      <c r="Y1321" s="402"/>
      <c r="Z1321" s="402"/>
      <c r="AA1321" s="405"/>
      <c r="AB1321" s="405"/>
      <c r="AC1321" s="405"/>
      <c r="AD1321" s="405"/>
      <c r="AE1321" s="405"/>
      <c r="AF1321" s="405"/>
      <c r="AG1321" s="405"/>
      <c r="AH1321" s="405"/>
      <c r="AI1321" s="405"/>
      <c r="AJ1321" s="405"/>
      <c r="AK1321" s="405"/>
      <c r="AL1321" s="405"/>
    </row>
    <row r="1322" ht="14.25" customHeight="1">
      <c r="A1322" s="402"/>
      <c r="B1322" s="402"/>
      <c r="C1322" s="402"/>
      <c r="D1322" s="402"/>
      <c r="E1322" s="402"/>
      <c r="F1322" s="402"/>
      <c r="G1322" s="403"/>
      <c r="H1322" s="402"/>
      <c r="I1322" s="402"/>
      <c r="J1322" s="402"/>
      <c r="K1322" s="402"/>
      <c r="L1322" s="402"/>
      <c r="M1322" s="402"/>
      <c r="N1322" s="402"/>
      <c r="O1322" s="402"/>
      <c r="P1322" s="402"/>
      <c r="Q1322" s="402"/>
      <c r="R1322" s="402"/>
      <c r="S1322" s="402"/>
      <c r="T1322" s="402"/>
      <c r="U1322" s="402"/>
      <c r="V1322" s="402"/>
      <c r="W1322" s="402"/>
      <c r="X1322" s="402"/>
      <c r="Y1322" s="402"/>
      <c r="Z1322" s="402"/>
      <c r="AA1322" s="405"/>
      <c r="AB1322" s="405"/>
      <c r="AC1322" s="405"/>
      <c r="AD1322" s="405"/>
      <c r="AE1322" s="405"/>
      <c r="AF1322" s="405"/>
      <c r="AG1322" s="405"/>
      <c r="AH1322" s="405"/>
      <c r="AI1322" s="405"/>
      <c r="AJ1322" s="405"/>
      <c r="AK1322" s="405"/>
      <c r="AL1322" s="405"/>
    </row>
    <row r="1323" ht="14.25" customHeight="1">
      <c r="A1323" s="402"/>
      <c r="B1323" s="402"/>
      <c r="C1323" s="402"/>
      <c r="D1323" s="402"/>
      <c r="E1323" s="402"/>
      <c r="F1323" s="402"/>
      <c r="G1323" s="403"/>
      <c r="H1323" s="402"/>
      <c r="I1323" s="402"/>
      <c r="J1323" s="402"/>
      <c r="K1323" s="402"/>
      <c r="L1323" s="402"/>
      <c r="M1323" s="402"/>
      <c r="N1323" s="402"/>
      <c r="O1323" s="402"/>
      <c r="P1323" s="402"/>
      <c r="Q1323" s="402"/>
      <c r="R1323" s="402"/>
      <c r="S1323" s="402"/>
      <c r="T1323" s="402"/>
      <c r="U1323" s="402"/>
      <c r="V1323" s="402"/>
      <c r="W1323" s="402"/>
      <c r="X1323" s="402"/>
      <c r="Y1323" s="402"/>
      <c r="Z1323" s="402"/>
      <c r="AA1323" s="405"/>
      <c r="AB1323" s="405"/>
      <c r="AC1323" s="405"/>
      <c r="AD1323" s="405"/>
      <c r="AE1323" s="405"/>
      <c r="AF1323" s="405"/>
      <c r="AG1323" s="405"/>
      <c r="AH1323" s="405"/>
      <c r="AI1323" s="405"/>
      <c r="AJ1323" s="405"/>
      <c r="AK1323" s="405"/>
      <c r="AL1323" s="405"/>
    </row>
    <row r="1324" ht="14.25" customHeight="1">
      <c r="A1324" s="402"/>
      <c r="B1324" s="402"/>
      <c r="C1324" s="402"/>
      <c r="D1324" s="402"/>
      <c r="E1324" s="402"/>
      <c r="F1324" s="402"/>
      <c r="G1324" s="403"/>
      <c r="H1324" s="402"/>
      <c r="I1324" s="402"/>
      <c r="J1324" s="402"/>
      <c r="K1324" s="402"/>
      <c r="L1324" s="402"/>
      <c r="M1324" s="402"/>
      <c r="N1324" s="402"/>
      <c r="O1324" s="402"/>
      <c r="P1324" s="402"/>
      <c r="Q1324" s="402"/>
      <c r="R1324" s="402"/>
      <c r="S1324" s="402"/>
      <c r="T1324" s="402"/>
      <c r="U1324" s="402"/>
      <c r="V1324" s="402"/>
      <c r="W1324" s="402"/>
      <c r="X1324" s="402"/>
      <c r="Y1324" s="402"/>
      <c r="Z1324" s="402"/>
      <c r="AA1324" s="405"/>
      <c r="AB1324" s="405"/>
      <c r="AC1324" s="405"/>
      <c r="AD1324" s="405"/>
      <c r="AE1324" s="405"/>
      <c r="AF1324" s="405"/>
      <c r="AG1324" s="405"/>
      <c r="AH1324" s="405"/>
      <c r="AI1324" s="405"/>
      <c r="AJ1324" s="405"/>
      <c r="AK1324" s="405"/>
      <c r="AL1324" s="405"/>
    </row>
    <row r="1325" ht="14.25" customHeight="1">
      <c r="A1325" s="402"/>
      <c r="B1325" s="402"/>
      <c r="C1325" s="402"/>
      <c r="D1325" s="402"/>
      <c r="E1325" s="402"/>
      <c r="F1325" s="402"/>
      <c r="G1325" s="403"/>
      <c r="H1325" s="402"/>
      <c r="I1325" s="402"/>
      <c r="J1325" s="402"/>
      <c r="K1325" s="402"/>
      <c r="L1325" s="402"/>
      <c r="M1325" s="402"/>
      <c r="N1325" s="402"/>
      <c r="O1325" s="402"/>
      <c r="P1325" s="402"/>
      <c r="Q1325" s="402"/>
      <c r="R1325" s="402"/>
      <c r="S1325" s="402"/>
      <c r="T1325" s="402"/>
      <c r="U1325" s="402"/>
      <c r="V1325" s="402"/>
      <c r="W1325" s="402"/>
      <c r="X1325" s="402"/>
      <c r="Y1325" s="402"/>
      <c r="Z1325" s="402"/>
      <c r="AA1325" s="405"/>
      <c r="AB1325" s="405"/>
      <c r="AC1325" s="405"/>
      <c r="AD1325" s="405"/>
      <c r="AE1325" s="405"/>
      <c r="AF1325" s="405"/>
      <c r="AG1325" s="405"/>
      <c r="AH1325" s="405"/>
      <c r="AI1325" s="405"/>
      <c r="AJ1325" s="405"/>
      <c r="AK1325" s="405"/>
      <c r="AL1325" s="405"/>
    </row>
    <row r="1326" ht="14.25" customHeight="1">
      <c r="A1326" s="402"/>
      <c r="B1326" s="402"/>
      <c r="C1326" s="402"/>
      <c r="D1326" s="402"/>
      <c r="E1326" s="402"/>
      <c r="F1326" s="402"/>
      <c r="G1326" s="403"/>
      <c r="H1326" s="402"/>
      <c r="I1326" s="402"/>
      <c r="J1326" s="402"/>
      <c r="K1326" s="402"/>
      <c r="L1326" s="402"/>
      <c r="M1326" s="402"/>
      <c r="N1326" s="402"/>
      <c r="O1326" s="402"/>
      <c r="P1326" s="402"/>
      <c r="Q1326" s="402"/>
      <c r="R1326" s="402"/>
      <c r="S1326" s="402"/>
      <c r="T1326" s="402"/>
      <c r="U1326" s="402"/>
      <c r="V1326" s="402"/>
      <c r="W1326" s="402"/>
      <c r="X1326" s="402"/>
      <c r="Y1326" s="402"/>
      <c r="Z1326" s="402"/>
      <c r="AA1326" s="405"/>
      <c r="AB1326" s="405"/>
      <c r="AC1326" s="405"/>
      <c r="AD1326" s="405"/>
      <c r="AE1326" s="405"/>
      <c r="AF1326" s="405"/>
      <c r="AG1326" s="405"/>
      <c r="AH1326" s="405"/>
      <c r="AI1326" s="405"/>
      <c r="AJ1326" s="405"/>
      <c r="AK1326" s="405"/>
      <c r="AL1326" s="405"/>
    </row>
    <row r="1327" ht="14.25" customHeight="1">
      <c r="A1327" s="402"/>
      <c r="B1327" s="402"/>
      <c r="C1327" s="402"/>
      <c r="D1327" s="402"/>
      <c r="E1327" s="402"/>
      <c r="F1327" s="402"/>
      <c r="G1327" s="403"/>
      <c r="H1327" s="402"/>
      <c r="I1327" s="402"/>
      <c r="J1327" s="402"/>
      <c r="K1327" s="402"/>
      <c r="L1327" s="402"/>
      <c r="M1327" s="402"/>
      <c r="N1327" s="402"/>
      <c r="O1327" s="402"/>
      <c r="P1327" s="402"/>
      <c r="Q1327" s="402"/>
      <c r="R1327" s="402"/>
      <c r="S1327" s="402"/>
      <c r="T1327" s="402"/>
      <c r="U1327" s="402"/>
      <c r="V1327" s="402"/>
      <c r="W1327" s="402"/>
      <c r="X1327" s="402"/>
      <c r="Y1327" s="402"/>
      <c r="Z1327" s="402"/>
      <c r="AA1327" s="405"/>
      <c r="AB1327" s="405"/>
      <c r="AC1327" s="405"/>
      <c r="AD1327" s="405"/>
      <c r="AE1327" s="405"/>
      <c r="AF1327" s="405"/>
      <c r="AG1327" s="405"/>
      <c r="AH1327" s="405"/>
      <c r="AI1327" s="405"/>
      <c r="AJ1327" s="405"/>
      <c r="AK1327" s="405"/>
      <c r="AL1327" s="405"/>
    </row>
    <row r="1328" ht="14.25" customHeight="1">
      <c r="A1328" s="402"/>
      <c r="B1328" s="402"/>
      <c r="C1328" s="402"/>
      <c r="D1328" s="402"/>
      <c r="E1328" s="402"/>
      <c r="F1328" s="402"/>
      <c r="G1328" s="403"/>
      <c r="H1328" s="402"/>
      <c r="I1328" s="402"/>
      <c r="J1328" s="402"/>
      <c r="K1328" s="402"/>
      <c r="L1328" s="402"/>
      <c r="M1328" s="402"/>
      <c r="N1328" s="402"/>
      <c r="O1328" s="402"/>
      <c r="P1328" s="402"/>
      <c r="Q1328" s="402"/>
      <c r="R1328" s="402"/>
      <c r="S1328" s="402"/>
      <c r="T1328" s="402"/>
      <c r="U1328" s="402"/>
      <c r="V1328" s="402"/>
      <c r="W1328" s="402"/>
      <c r="X1328" s="402"/>
      <c r="Y1328" s="402"/>
      <c r="Z1328" s="402"/>
      <c r="AA1328" s="405"/>
      <c r="AB1328" s="405"/>
      <c r="AC1328" s="405"/>
      <c r="AD1328" s="405"/>
      <c r="AE1328" s="405"/>
      <c r="AF1328" s="405"/>
      <c r="AG1328" s="405"/>
      <c r="AH1328" s="405"/>
      <c r="AI1328" s="405"/>
      <c r="AJ1328" s="405"/>
      <c r="AK1328" s="405"/>
      <c r="AL1328" s="405"/>
    </row>
    <row r="1329" ht="14.25" customHeight="1">
      <c r="A1329" s="402"/>
      <c r="B1329" s="402"/>
      <c r="C1329" s="402"/>
      <c r="D1329" s="402"/>
      <c r="E1329" s="402"/>
      <c r="F1329" s="402"/>
      <c r="G1329" s="403"/>
      <c r="H1329" s="402"/>
      <c r="I1329" s="402"/>
      <c r="J1329" s="402"/>
      <c r="K1329" s="402"/>
      <c r="L1329" s="402"/>
      <c r="M1329" s="402"/>
      <c r="N1329" s="402"/>
      <c r="O1329" s="402"/>
      <c r="P1329" s="402"/>
      <c r="Q1329" s="402"/>
      <c r="R1329" s="402"/>
      <c r="S1329" s="402"/>
      <c r="T1329" s="402"/>
      <c r="U1329" s="402"/>
      <c r="V1329" s="402"/>
      <c r="W1329" s="402"/>
      <c r="X1329" s="402"/>
      <c r="Y1329" s="402"/>
      <c r="Z1329" s="402"/>
      <c r="AA1329" s="405"/>
      <c r="AB1329" s="405"/>
      <c r="AC1329" s="405"/>
      <c r="AD1329" s="405"/>
      <c r="AE1329" s="405"/>
      <c r="AF1329" s="405"/>
      <c r="AG1329" s="405"/>
      <c r="AH1329" s="405"/>
      <c r="AI1329" s="405"/>
      <c r="AJ1329" s="405"/>
      <c r="AK1329" s="405"/>
      <c r="AL1329" s="405"/>
    </row>
    <row r="1330" ht="14.25" customHeight="1">
      <c r="A1330" s="402"/>
      <c r="B1330" s="402"/>
      <c r="C1330" s="402"/>
      <c r="D1330" s="402"/>
      <c r="E1330" s="402"/>
      <c r="F1330" s="402"/>
      <c r="G1330" s="403"/>
      <c r="H1330" s="402"/>
      <c r="I1330" s="402"/>
      <c r="J1330" s="402"/>
      <c r="K1330" s="402"/>
      <c r="L1330" s="402"/>
      <c r="M1330" s="402"/>
      <c r="N1330" s="402"/>
      <c r="O1330" s="402"/>
      <c r="P1330" s="402"/>
      <c r="Q1330" s="402"/>
      <c r="R1330" s="402"/>
      <c r="S1330" s="402"/>
      <c r="T1330" s="402"/>
      <c r="U1330" s="402"/>
      <c r="V1330" s="402"/>
      <c r="W1330" s="402"/>
      <c r="X1330" s="402"/>
      <c r="Y1330" s="402"/>
      <c r="Z1330" s="402"/>
      <c r="AA1330" s="405"/>
      <c r="AB1330" s="405"/>
      <c r="AC1330" s="405"/>
      <c r="AD1330" s="405"/>
      <c r="AE1330" s="405"/>
      <c r="AF1330" s="405"/>
      <c r="AG1330" s="405"/>
      <c r="AH1330" s="405"/>
      <c r="AI1330" s="405"/>
      <c r="AJ1330" s="405"/>
      <c r="AK1330" s="405"/>
      <c r="AL1330" s="405"/>
    </row>
    <row r="1331" ht="14.25" customHeight="1">
      <c r="A1331" s="402"/>
      <c r="B1331" s="402"/>
      <c r="C1331" s="402"/>
      <c r="D1331" s="402"/>
      <c r="E1331" s="402"/>
      <c r="F1331" s="402"/>
      <c r="G1331" s="403"/>
      <c r="H1331" s="402"/>
      <c r="I1331" s="402"/>
      <c r="J1331" s="402"/>
      <c r="K1331" s="402"/>
      <c r="L1331" s="402"/>
      <c r="M1331" s="402"/>
      <c r="N1331" s="402"/>
      <c r="O1331" s="402"/>
      <c r="P1331" s="402"/>
      <c r="Q1331" s="402"/>
      <c r="R1331" s="402"/>
      <c r="S1331" s="402"/>
      <c r="T1331" s="402"/>
      <c r="U1331" s="402"/>
      <c r="V1331" s="402"/>
      <c r="W1331" s="402"/>
      <c r="X1331" s="402"/>
      <c r="Y1331" s="402"/>
      <c r="Z1331" s="402"/>
      <c r="AA1331" s="405"/>
      <c r="AB1331" s="405"/>
      <c r="AC1331" s="405"/>
      <c r="AD1331" s="405"/>
      <c r="AE1331" s="405"/>
      <c r="AF1331" s="405"/>
      <c r="AG1331" s="405"/>
      <c r="AH1331" s="405"/>
      <c r="AI1331" s="405"/>
      <c r="AJ1331" s="405"/>
      <c r="AK1331" s="405"/>
      <c r="AL1331" s="405"/>
    </row>
    <row r="1332" ht="14.25" customHeight="1">
      <c r="A1332" s="402"/>
      <c r="B1332" s="402"/>
      <c r="C1332" s="402"/>
      <c r="D1332" s="402"/>
      <c r="E1332" s="402"/>
      <c r="F1332" s="402"/>
      <c r="G1332" s="403"/>
      <c r="H1332" s="402"/>
      <c r="I1332" s="402"/>
      <c r="J1332" s="402"/>
      <c r="K1332" s="402"/>
      <c r="L1332" s="402"/>
      <c r="M1332" s="402"/>
      <c r="N1332" s="402"/>
      <c r="O1332" s="402"/>
      <c r="P1332" s="402"/>
      <c r="Q1332" s="402"/>
      <c r="R1332" s="402"/>
      <c r="S1332" s="402"/>
      <c r="T1332" s="402"/>
      <c r="U1332" s="402"/>
      <c r="V1332" s="402"/>
      <c r="W1332" s="402"/>
      <c r="X1332" s="402"/>
      <c r="Y1332" s="402"/>
      <c r="Z1332" s="402"/>
      <c r="AA1332" s="405"/>
      <c r="AB1332" s="405"/>
      <c r="AC1332" s="405"/>
      <c r="AD1332" s="405"/>
      <c r="AE1332" s="405"/>
      <c r="AF1332" s="405"/>
      <c r="AG1332" s="405"/>
      <c r="AH1332" s="405"/>
      <c r="AI1332" s="405"/>
      <c r="AJ1332" s="405"/>
      <c r="AK1332" s="405"/>
      <c r="AL1332" s="405"/>
    </row>
    <row r="1333" ht="14.25" customHeight="1">
      <c r="A1333" s="402"/>
      <c r="B1333" s="402"/>
      <c r="C1333" s="402"/>
      <c r="D1333" s="402"/>
      <c r="E1333" s="402"/>
      <c r="F1333" s="402"/>
      <c r="G1333" s="403"/>
      <c r="H1333" s="402"/>
      <c r="I1333" s="402"/>
      <c r="J1333" s="402"/>
      <c r="K1333" s="402"/>
      <c r="L1333" s="402"/>
      <c r="M1333" s="402"/>
      <c r="N1333" s="402"/>
      <c r="O1333" s="402"/>
      <c r="P1333" s="402"/>
      <c r="Q1333" s="402"/>
      <c r="R1333" s="402"/>
      <c r="S1333" s="402"/>
      <c r="T1333" s="402"/>
      <c r="U1333" s="402"/>
      <c r="V1333" s="402"/>
      <c r="W1333" s="402"/>
      <c r="X1333" s="402"/>
      <c r="Y1333" s="402"/>
      <c r="Z1333" s="402"/>
      <c r="AA1333" s="405"/>
      <c r="AB1333" s="405"/>
      <c r="AC1333" s="405"/>
      <c r="AD1333" s="405"/>
      <c r="AE1333" s="405"/>
      <c r="AF1333" s="405"/>
      <c r="AG1333" s="405"/>
      <c r="AH1333" s="405"/>
      <c r="AI1333" s="405"/>
      <c r="AJ1333" s="405"/>
      <c r="AK1333" s="405"/>
      <c r="AL1333" s="405"/>
    </row>
    <row r="1334" ht="14.25" customHeight="1">
      <c r="A1334" s="402"/>
      <c r="B1334" s="402"/>
      <c r="C1334" s="402"/>
      <c r="D1334" s="402"/>
      <c r="E1334" s="402"/>
      <c r="F1334" s="402"/>
      <c r="G1334" s="403"/>
      <c r="H1334" s="402"/>
      <c r="I1334" s="402"/>
      <c r="J1334" s="402"/>
      <c r="K1334" s="402"/>
      <c r="L1334" s="402"/>
      <c r="M1334" s="402"/>
      <c r="N1334" s="402"/>
      <c r="O1334" s="402"/>
      <c r="P1334" s="402"/>
      <c r="Q1334" s="402"/>
      <c r="R1334" s="402"/>
      <c r="S1334" s="402"/>
      <c r="T1334" s="402"/>
      <c r="U1334" s="402"/>
      <c r="V1334" s="402"/>
      <c r="W1334" s="402"/>
      <c r="X1334" s="402"/>
      <c r="Y1334" s="402"/>
      <c r="Z1334" s="402"/>
      <c r="AA1334" s="405"/>
      <c r="AB1334" s="405"/>
      <c r="AC1334" s="405"/>
      <c r="AD1334" s="405"/>
      <c r="AE1334" s="405"/>
      <c r="AF1334" s="405"/>
      <c r="AG1334" s="405"/>
      <c r="AH1334" s="405"/>
      <c r="AI1334" s="405"/>
      <c r="AJ1334" s="405"/>
      <c r="AK1334" s="405"/>
      <c r="AL1334" s="405"/>
    </row>
    <row r="1335" ht="14.25" customHeight="1">
      <c r="A1335" s="402"/>
      <c r="B1335" s="402"/>
      <c r="C1335" s="402"/>
      <c r="D1335" s="402"/>
      <c r="E1335" s="402"/>
      <c r="F1335" s="402"/>
      <c r="G1335" s="403"/>
      <c r="H1335" s="402"/>
      <c r="I1335" s="402"/>
      <c r="J1335" s="402"/>
      <c r="K1335" s="402"/>
      <c r="L1335" s="402"/>
      <c r="M1335" s="402"/>
      <c r="N1335" s="402"/>
      <c r="O1335" s="402"/>
      <c r="P1335" s="402"/>
      <c r="Q1335" s="402"/>
      <c r="R1335" s="402"/>
      <c r="S1335" s="402"/>
      <c r="T1335" s="402"/>
      <c r="U1335" s="402"/>
      <c r="V1335" s="402"/>
      <c r="W1335" s="402"/>
      <c r="X1335" s="402"/>
      <c r="Y1335" s="402"/>
      <c r="Z1335" s="402"/>
      <c r="AA1335" s="405"/>
      <c r="AB1335" s="405"/>
      <c r="AC1335" s="405"/>
      <c r="AD1335" s="405"/>
      <c r="AE1335" s="405"/>
      <c r="AF1335" s="405"/>
      <c r="AG1335" s="405"/>
      <c r="AH1335" s="405"/>
      <c r="AI1335" s="405"/>
      <c r="AJ1335" s="405"/>
      <c r="AK1335" s="405"/>
      <c r="AL1335" s="405"/>
    </row>
    <row r="1336" ht="14.25" customHeight="1">
      <c r="A1336" s="402"/>
      <c r="B1336" s="402"/>
      <c r="C1336" s="402"/>
      <c r="D1336" s="402"/>
      <c r="E1336" s="402"/>
      <c r="F1336" s="402"/>
      <c r="G1336" s="403"/>
      <c r="H1336" s="402"/>
      <c r="I1336" s="402"/>
      <c r="J1336" s="402"/>
      <c r="K1336" s="402"/>
      <c r="L1336" s="402"/>
      <c r="M1336" s="402"/>
      <c r="N1336" s="402"/>
      <c r="O1336" s="402"/>
      <c r="P1336" s="402"/>
      <c r="Q1336" s="402"/>
      <c r="R1336" s="402"/>
      <c r="S1336" s="402"/>
      <c r="T1336" s="402"/>
      <c r="U1336" s="402"/>
      <c r="V1336" s="402"/>
      <c r="W1336" s="402"/>
      <c r="X1336" s="402"/>
      <c r="Y1336" s="402"/>
      <c r="Z1336" s="402"/>
      <c r="AA1336" s="405"/>
      <c r="AB1336" s="405"/>
      <c r="AC1336" s="405"/>
      <c r="AD1336" s="405"/>
      <c r="AE1336" s="405"/>
      <c r="AF1336" s="405"/>
      <c r="AG1336" s="405"/>
      <c r="AH1336" s="405"/>
      <c r="AI1336" s="405"/>
      <c r="AJ1336" s="405"/>
      <c r="AK1336" s="405"/>
      <c r="AL1336" s="405"/>
    </row>
    <row r="1337" ht="14.25" customHeight="1">
      <c r="A1337" s="402"/>
      <c r="B1337" s="402"/>
      <c r="C1337" s="402"/>
      <c r="D1337" s="402"/>
      <c r="E1337" s="402"/>
      <c r="F1337" s="402"/>
      <c r="G1337" s="403"/>
      <c r="H1337" s="402"/>
      <c r="I1337" s="402"/>
      <c r="J1337" s="402"/>
      <c r="K1337" s="402"/>
      <c r="L1337" s="402"/>
      <c r="M1337" s="402"/>
      <c r="N1337" s="402"/>
      <c r="O1337" s="402"/>
      <c r="P1337" s="402"/>
      <c r="Q1337" s="402"/>
      <c r="R1337" s="402"/>
      <c r="S1337" s="402"/>
      <c r="T1337" s="402"/>
      <c r="U1337" s="402"/>
      <c r="V1337" s="402"/>
      <c r="W1337" s="402"/>
      <c r="X1337" s="402"/>
      <c r="Y1337" s="402"/>
      <c r="Z1337" s="402"/>
      <c r="AA1337" s="405"/>
      <c r="AB1337" s="405"/>
      <c r="AC1337" s="405"/>
      <c r="AD1337" s="405"/>
      <c r="AE1337" s="405"/>
      <c r="AF1337" s="405"/>
      <c r="AG1337" s="405"/>
      <c r="AH1337" s="405"/>
      <c r="AI1337" s="405"/>
      <c r="AJ1337" s="405"/>
      <c r="AK1337" s="405"/>
      <c r="AL1337" s="405"/>
    </row>
    <row r="1338" ht="14.25" customHeight="1">
      <c r="A1338" s="402"/>
      <c r="B1338" s="402"/>
      <c r="C1338" s="402"/>
      <c r="D1338" s="402"/>
      <c r="E1338" s="402"/>
      <c r="F1338" s="402"/>
      <c r="G1338" s="403"/>
      <c r="H1338" s="402"/>
      <c r="I1338" s="402"/>
      <c r="J1338" s="402"/>
      <c r="K1338" s="402"/>
      <c r="L1338" s="402"/>
      <c r="M1338" s="402"/>
      <c r="N1338" s="402"/>
      <c r="O1338" s="402"/>
      <c r="P1338" s="402"/>
      <c r="Q1338" s="402"/>
      <c r="R1338" s="402"/>
      <c r="S1338" s="402"/>
      <c r="T1338" s="402"/>
      <c r="U1338" s="402"/>
      <c r="V1338" s="402"/>
      <c r="W1338" s="402"/>
      <c r="X1338" s="402"/>
      <c r="Y1338" s="402"/>
      <c r="Z1338" s="402"/>
      <c r="AA1338" s="405"/>
      <c r="AB1338" s="405"/>
      <c r="AC1338" s="405"/>
      <c r="AD1338" s="405"/>
      <c r="AE1338" s="405"/>
      <c r="AF1338" s="405"/>
      <c r="AG1338" s="405"/>
      <c r="AH1338" s="405"/>
      <c r="AI1338" s="405"/>
      <c r="AJ1338" s="405"/>
      <c r="AK1338" s="405"/>
      <c r="AL1338" s="405"/>
    </row>
    <row r="1339" ht="14.25" customHeight="1">
      <c r="A1339" s="402"/>
      <c r="B1339" s="402"/>
      <c r="C1339" s="402"/>
      <c r="D1339" s="402"/>
      <c r="E1339" s="402"/>
      <c r="F1339" s="402"/>
      <c r="G1339" s="403"/>
      <c r="H1339" s="402"/>
      <c r="I1339" s="402"/>
      <c r="J1339" s="402"/>
      <c r="K1339" s="402"/>
      <c r="L1339" s="402"/>
      <c r="M1339" s="402"/>
      <c r="N1339" s="402"/>
      <c r="O1339" s="402"/>
      <c r="P1339" s="402"/>
      <c r="Q1339" s="402"/>
      <c r="R1339" s="402"/>
      <c r="S1339" s="402"/>
      <c r="T1339" s="402"/>
      <c r="U1339" s="402"/>
      <c r="V1339" s="402"/>
      <c r="W1339" s="402"/>
      <c r="X1339" s="402"/>
      <c r="Y1339" s="402"/>
      <c r="Z1339" s="402"/>
      <c r="AA1339" s="405"/>
      <c r="AB1339" s="405"/>
      <c r="AC1339" s="405"/>
      <c r="AD1339" s="405"/>
      <c r="AE1339" s="405"/>
      <c r="AF1339" s="405"/>
      <c r="AG1339" s="405"/>
      <c r="AH1339" s="405"/>
      <c r="AI1339" s="405"/>
      <c r="AJ1339" s="405"/>
      <c r="AK1339" s="405"/>
      <c r="AL1339" s="405"/>
    </row>
    <row r="1340" ht="14.25" customHeight="1">
      <c r="A1340" s="402"/>
      <c r="B1340" s="402"/>
      <c r="C1340" s="402"/>
      <c r="D1340" s="402"/>
      <c r="E1340" s="402"/>
      <c r="F1340" s="402"/>
      <c r="G1340" s="403"/>
      <c r="H1340" s="402"/>
      <c r="I1340" s="402"/>
      <c r="J1340" s="402"/>
      <c r="K1340" s="402"/>
      <c r="L1340" s="402"/>
      <c r="M1340" s="402"/>
      <c r="N1340" s="402"/>
      <c r="O1340" s="402"/>
      <c r="P1340" s="402"/>
      <c r="Q1340" s="402"/>
      <c r="R1340" s="402"/>
      <c r="S1340" s="402"/>
      <c r="T1340" s="402"/>
      <c r="U1340" s="402"/>
      <c r="V1340" s="402"/>
      <c r="W1340" s="402"/>
      <c r="X1340" s="402"/>
      <c r="Y1340" s="402"/>
      <c r="Z1340" s="402"/>
      <c r="AA1340" s="405"/>
      <c r="AB1340" s="405"/>
      <c r="AC1340" s="405"/>
      <c r="AD1340" s="405"/>
      <c r="AE1340" s="405"/>
      <c r="AF1340" s="405"/>
      <c r="AG1340" s="405"/>
      <c r="AH1340" s="405"/>
      <c r="AI1340" s="405"/>
      <c r="AJ1340" s="405"/>
      <c r="AK1340" s="405"/>
      <c r="AL1340" s="405"/>
    </row>
    <row r="1341" ht="14.25" customHeight="1">
      <c r="A1341" s="402"/>
      <c r="B1341" s="402"/>
      <c r="C1341" s="402"/>
      <c r="D1341" s="402"/>
      <c r="E1341" s="402"/>
      <c r="F1341" s="402"/>
      <c r="G1341" s="403"/>
      <c r="H1341" s="402"/>
      <c r="I1341" s="402"/>
      <c r="J1341" s="402"/>
      <c r="K1341" s="402"/>
      <c r="L1341" s="402"/>
      <c r="M1341" s="402"/>
      <c r="N1341" s="402"/>
      <c r="O1341" s="402"/>
      <c r="P1341" s="402"/>
      <c r="Q1341" s="402"/>
      <c r="R1341" s="402"/>
      <c r="S1341" s="402"/>
      <c r="T1341" s="402"/>
      <c r="U1341" s="402"/>
      <c r="V1341" s="402"/>
      <c r="W1341" s="402"/>
      <c r="X1341" s="402"/>
      <c r="Y1341" s="402"/>
      <c r="Z1341" s="402"/>
      <c r="AA1341" s="405"/>
      <c r="AB1341" s="405"/>
      <c r="AC1341" s="405"/>
      <c r="AD1341" s="405"/>
      <c r="AE1341" s="405"/>
      <c r="AF1341" s="405"/>
      <c r="AG1341" s="405"/>
      <c r="AH1341" s="405"/>
      <c r="AI1341" s="405"/>
      <c r="AJ1341" s="405"/>
      <c r="AK1341" s="405"/>
      <c r="AL1341" s="405"/>
    </row>
    <row r="1342" ht="14.25" customHeight="1">
      <c r="A1342" s="402"/>
      <c r="B1342" s="402"/>
      <c r="C1342" s="402"/>
      <c r="D1342" s="402"/>
      <c r="E1342" s="402"/>
      <c r="F1342" s="402"/>
      <c r="G1342" s="403"/>
      <c r="H1342" s="402"/>
      <c r="I1342" s="402"/>
      <c r="J1342" s="402"/>
      <c r="K1342" s="402"/>
      <c r="L1342" s="402"/>
      <c r="M1342" s="402"/>
      <c r="N1342" s="402"/>
      <c r="O1342" s="402"/>
      <c r="P1342" s="402"/>
      <c r="Q1342" s="402"/>
      <c r="R1342" s="402"/>
      <c r="S1342" s="402"/>
      <c r="T1342" s="402"/>
      <c r="U1342" s="402"/>
      <c r="V1342" s="402"/>
      <c r="W1342" s="402"/>
      <c r="X1342" s="402"/>
      <c r="Y1342" s="402"/>
      <c r="Z1342" s="402"/>
      <c r="AA1342" s="405"/>
      <c r="AB1342" s="405"/>
      <c r="AC1342" s="405"/>
      <c r="AD1342" s="405"/>
      <c r="AE1342" s="405"/>
      <c r="AF1342" s="405"/>
      <c r="AG1342" s="405"/>
      <c r="AH1342" s="405"/>
      <c r="AI1342" s="405"/>
      <c r="AJ1342" s="405"/>
      <c r="AK1342" s="405"/>
      <c r="AL1342" s="405"/>
    </row>
    <row r="1343" ht="14.25" customHeight="1">
      <c r="A1343" s="402"/>
      <c r="B1343" s="402"/>
      <c r="C1343" s="402"/>
      <c r="D1343" s="402"/>
      <c r="E1343" s="402"/>
      <c r="F1343" s="402"/>
      <c r="G1343" s="403"/>
      <c r="H1343" s="402"/>
      <c r="I1343" s="402"/>
      <c r="J1343" s="402"/>
      <c r="K1343" s="402"/>
      <c r="L1343" s="402"/>
      <c r="M1343" s="402"/>
      <c r="N1343" s="402"/>
      <c r="O1343" s="402"/>
      <c r="P1343" s="402"/>
      <c r="Q1343" s="402"/>
      <c r="R1343" s="402"/>
      <c r="S1343" s="402"/>
      <c r="T1343" s="402"/>
      <c r="U1343" s="402"/>
      <c r="V1343" s="402"/>
      <c r="W1343" s="402"/>
      <c r="X1343" s="402"/>
      <c r="Y1343" s="402"/>
      <c r="Z1343" s="402"/>
      <c r="AA1343" s="405"/>
      <c r="AB1343" s="405"/>
      <c r="AC1343" s="405"/>
      <c r="AD1343" s="405"/>
      <c r="AE1343" s="405"/>
      <c r="AF1343" s="405"/>
      <c r="AG1343" s="405"/>
      <c r="AH1343" s="405"/>
      <c r="AI1343" s="405"/>
      <c r="AJ1343" s="405"/>
      <c r="AK1343" s="405"/>
      <c r="AL1343" s="405"/>
    </row>
    <row r="1344" ht="14.25" customHeight="1">
      <c r="A1344" s="402"/>
      <c r="B1344" s="402"/>
      <c r="C1344" s="402"/>
      <c r="D1344" s="402"/>
      <c r="E1344" s="402"/>
      <c r="F1344" s="402"/>
      <c r="G1344" s="403"/>
      <c r="H1344" s="402"/>
      <c r="I1344" s="402"/>
      <c r="J1344" s="402"/>
      <c r="K1344" s="402"/>
      <c r="L1344" s="402"/>
      <c r="M1344" s="402"/>
      <c r="N1344" s="402"/>
      <c r="O1344" s="402"/>
      <c r="P1344" s="402"/>
      <c r="Q1344" s="402"/>
      <c r="R1344" s="402"/>
      <c r="S1344" s="402"/>
      <c r="T1344" s="402"/>
      <c r="U1344" s="402"/>
      <c r="V1344" s="402"/>
      <c r="W1344" s="402"/>
      <c r="X1344" s="402"/>
      <c r="Y1344" s="402"/>
      <c r="Z1344" s="402"/>
      <c r="AA1344" s="405"/>
      <c r="AB1344" s="405"/>
      <c r="AC1344" s="405"/>
      <c r="AD1344" s="405"/>
      <c r="AE1344" s="405"/>
      <c r="AF1344" s="405"/>
      <c r="AG1344" s="405"/>
      <c r="AH1344" s="405"/>
      <c r="AI1344" s="405"/>
      <c r="AJ1344" s="405"/>
      <c r="AK1344" s="405"/>
      <c r="AL1344" s="405"/>
    </row>
    <row r="1345" ht="14.25" customHeight="1">
      <c r="A1345" s="402"/>
      <c r="B1345" s="402"/>
      <c r="C1345" s="402"/>
      <c r="D1345" s="402"/>
      <c r="E1345" s="402"/>
      <c r="F1345" s="402"/>
      <c r="G1345" s="403"/>
      <c r="H1345" s="402"/>
      <c r="I1345" s="402"/>
      <c r="J1345" s="402"/>
      <c r="K1345" s="402"/>
      <c r="L1345" s="402"/>
      <c r="M1345" s="402"/>
      <c r="N1345" s="402"/>
      <c r="O1345" s="402"/>
      <c r="P1345" s="402"/>
      <c r="Q1345" s="402"/>
      <c r="R1345" s="402"/>
      <c r="S1345" s="402"/>
      <c r="T1345" s="402"/>
      <c r="U1345" s="402"/>
      <c r="V1345" s="402"/>
      <c r="W1345" s="402"/>
      <c r="X1345" s="402"/>
      <c r="Y1345" s="402"/>
      <c r="Z1345" s="402"/>
      <c r="AA1345" s="405"/>
      <c r="AB1345" s="405"/>
      <c r="AC1345" s="405"/>
      <c r="AD1345" s="405"/>
      <c r="AE1345" s="405"/>
      <c r="AF1345" s="405"/>
      <c r="AG1345" s="405"/>
      <c r="AH1345" s="405"/>
      <c r="AI1345" s="405"/>
      <c r="AJ1345" s="405"/>
      <c r="AK1345" s="405"/>
      <c r="AL1345" s="405"/>
    </row>
    <row r="1346" ht="14.25" customHeight="1">
      <c r="A1346" s="402"/>
      <c r="B1346" s="402"/>
      <c r="C1346" s="402"/>
      <c r="D1346" s="402"/>
      <c r="E1346" s="402"/>
      <c r="F1346" s="402"/>
      <c r="G1346" s="403"/>
      <c r="H1346" s="402"/>
      <c r="I1346" s="402"/>
      <c r="J1346" s="402"/>
      <c r="K1346" s="402"/>
      <c r="L1346" s="402"/>
      <c r="M1346" s="402"/>
      <c r="N1346" s="402"/>
      <c r="O1346" s="402"/>
      <c r="P1346" s="402"/>
      <c r="Q1346" s="402"/>
      <c r="R1346" s="402"/>
      <c r="S1346" s="402"/>
      <c r="T1346" s="402"/>
      <c r="U1346" s="402"/>
      <c r="V1346" s="402"/>
      <c r="W1346" s="402"/>
      <c r="X1346" s="402"/>
      <c r="Y1346" s="402"/>
      <c r="Z1346" s="402"/>
      <c r="AA1346" s="405"/>
      <c r="AB1346" s="405"/>
      <c r="AC1346" s="405"/>
      <c r="AD1346" s="405"/>
      <c r="AE1346" s="405"/>
      <c r="AF1346" s="405"/>
      <c r="AG1346" s="405"/>
      <c r="AH1346" s="405"/>
      <c r="AI1346" s="405"/>
      <c r="AJ1346" s="405"/>
      <c r="AK1346" s="405"/>
      <c r="AL1346" s="405"/>
    </row>
    <row r="1347" ht="14.25" customHeight="1">
      <c r="A1347" s="402"/>
      <c r="B1347" s="402"/>
      <c r="C1347" s="402"/>
      <c r="D1347" s="402"/>
      <c r="E1347" s="402"/>
      <c r="F1347" s="402"/>
      <c r="G1347" s="403"/>
      <c r="H1347" s="402"/>
      <c r="I1347" s="402"/>
      <c r="J1347" s="402"/>
      <c r="K1347" s="402"/>
      <c r="L1347" s="402"/>
      <c r="M1347" s="402"/>
      <c r="N1347" s="402"/>
      <c r="O1347" s="402"/>
      <c r="P1347" s="402"/>
      <c r="Q1347" s="402"/>
      <c r="R1347" s="402"/>
      <c r="S1347" s="402"/>
      <c r="T1347" s="402"/>
      <c r="U1347" s="402"/>
      <c r="V1347" s="402"/>
      <c r="W1347" s="402"/>
      <c r="X1347" s="402"/>
      <c r="Y1347" s="402"/>
      <c r="Z1347" s="402"/>
      <c r="AA1347" s="405"/>
      <c r="AB1347" s="405"/>
      <c r="AC1347" s="405"/>
      <c r="AD1347" s="405"/>
      <c r="AE1347" s="405"/>
      <c r="AF1347" s="405"/>
      <c r="AG1347" s="405"/>
      <c r="AH1347" s="405"/>
      <c r="AI1347" s="405"/>
      <c r="AJ1347" s="405"/>
      <c r="AK1347" s="405"/>
      <c r="AL1347" s="405"/>
    </row>
    <row r="1348" ht="14.25" customHeight="1">
      <c r="A1348" s="402"/>
      <c r="B1348" s="402"/>
      <c r="C1348" s="402"/>
      <c r="D1348" s="402"/>
      <c r="E1348" s="402"/>
      <c r="F1348" s="402"/>
      <c r="G1348" s="403"/>
      <c r="H1348" s="402"/>
      <c r="I1348" s="402"/>
      <c r="J1348" s="402"/>
      <c r="K1348" s="402"/>
      <c r="L1348" s="402"/>
      <c r="M1348" s="402"/>
      <c r="N1348" s="402"/>
      <c r="O1348" s="402"/>
      <c r="P1348" s="402"/>
      <c r="Q1348" s="402"/>
      <c r="R1348" s="402"/>
      <c r="S1348" s="402"/>
      <c r="T1348" s="402"/>
      <c r="U1348" s="402"/>
      <c r="V1348" s="402"/>
      <c r="W1348" s="402"/>
      <c r="X1348" s="402"/>
      <c r="Y1348" s="402"/>
      <c r="Z1348" s="402"/>
      <c r="AA1348" s="405"/>
      <c r="AB1348" s="405"/>
      <c r="AC1348" s="405"/>
      <c r="AD1348" s="405"/>
      <c r="AE1348" s="405"/>
      <c r="AF1348" s="405"/>
      <c r="AG1348" s="405"/>
      <c r="AH1348" s="405"/>
      <c r="AI1348" s="405"/>
      <c r="AJ1348" s="405"/>
      <c r="AK1348" s="405"/>
      <c r="AL1348" s="405"/>
    </row>
    <row r="1349" ht="14.25" customHeight="1">
      <c r="A1349" s="402"/>
      <c r="B1349" s="402"/>
      <c r="C1349" s="402"/>
      <c r="D1349" s="402"/>
      <c r="E1349" s="402"/>
      <c r="F1349" s="402"/>
      <c r="G1349" s="403"/>
      <c r="H1349" s="402"/>
      <c r="I1349" s="402"/>
      <c r="J1349" s="402"/>
      <c r="K1349" s="402"/>
      <c r="L1349" s="402"/>
      <c r="M1349" s="402"/>
      <c r="N1349" s="402"/>
      <c r="O1349" s="402"/>
      <c r="P1349" s="402"/>
      <c r="Q1349" s="402"/>
      <c r="R1349" s="402"/>
      <c r="S1349" s="402"/>
      <c r="T1349" s="402"/>
      <c r="U1349" s="402"/>
      <c r="V1349" s="402"/>
      <c r="W1349" s="402"/>
      <c r="X1349" s="402"/>
      <c r="Y1349" s="402"/>
      <c r="Z1349" s="402"/>
      <c r="AA1349" s="405"/>
      <c r="AB1349" s="405"/>
      <c r="AC1349" s="405"/>
      <c r="AD1349" s="405"/>
      <c r="AE1349" s="405"/>
      <c r="AF1349" s="405"/>
      <c r="AG1349" s="405"/>
      <c r="AH1349" s="405"/>
      <c r="AI1349" s="405"/>
      <c r="AJ1349" s="405"/>
      <c r="AK1349" s="405"/>
      <c r="AL1349" s="405"/>
    </row>
    <row r="1350" ht="14.25" customHeight="1">
      <c r="A1350" s="402"/>
      <c r="B1350" s="402"/>
      <c r="C1350" s="402"/>
      <c r="D1350" s="402"/>
      <c r="E1350" s="402"/>
      <c r="F1350" s="402"/>
      <c r="G1350" s="403"/>
      <c r="H1350" s="402"/>
      <c r="I1350" s="402"/>
      <c r="J1350" s="402"/>
      <c r="K1350" s="402"/>
      <c r="L1350" s="402"/>
      <c r="M1350" s="402"/>
      <c r="N1350" s="402"/>
      <c r="O1350" s="402"/>
      <c r="P1350" s="402"/>
      <c r="Q1350" s="402"/>
      <c r="R1350" s="402"/>
      <c r="S1350" s="402"/>
      <c r="T1350" s="402"/>
      <c r="U1350" s="402"/>
      <c r="V1350" s="402"/>
      <c r="W1350" s="402"/>
      <c r="X1350" s="402"/>
      <c r="Y1350" s="402"/>
      <c r="Z1350" s="402"/>
      <c r="AA1350" s="405"/>
      <c r="AB1350" s="405"/>
      <c r="AC1350" s="405"/>
      <c r="AD1350" s="405"/>
      <c r="AE1350" s="405"/>
      <c r="AF1350" s="405"/>
      <c r="AG1350" s="405"/>
      <c r="AH1350" s="405"/>
      <c r="AI1350" s="405"/>
      <c r="AJ1350" s="405"/>
      <c r="AK1350" s="405"/>
      <c r="AL1350" s="405"/>
    </row>
    <row r="1351" ht="14.25" customHeight="1">
      <c r="A1351" s="402"/>
      <c r="B1351" s="402"/>
      <c r="C1351" s="402"/>
      <c r="D1351" s="402"/>
      <c r="E1351" s="402"/>
      <c r="F1351" s="402"/>
      <c r="G1351" s="403"/>
      <c r="H1351" s="402"/>
      <c r="I1351" s="402"/>
      <c r="J1351" s="402"/>
      <c r="K1351" s="402"/>
      <c r="L1351" s="402"/>
      <c r="M1351" s="402"/>
      <c r="N1351" s="402"/>
      <c r="O1351" s="402"/>
      <c r="P1351" s="402"/>
      <c r="Q1351" s="402"/>
      <c r="R1351" s="402"/>
      <c r="S1351" s="402"/>
      <c r="T1351" s="402"/>
      <c r="U1351" s="402"/>
      <c r="V1351" s="402"/>
      <c r="W1351" s="402"/>
      <c r="X1351" s="402"/>
      <c r="Y1351" s="402"/>
      <c r="Z1351" s="402"/>
      <c r="AA1351" s="405"/>
      <c r="AB1351" s="405"/>
      <c r="AC1351" s="405"/>
      <c r="AD1351" s="405"/>
      <c r="AE1351" s="405"/>
      <c r="AF1351" s="405"/>
      <c r="AG1351" s="405"/>
      <c r="AH1351" s="405"/>
      <c r="AI1351" s="405"/>
      <c r="AJ1351" s="405"/>
      <c r="AK1351" s="405"/>
      <c r="AL1351" s="405"/>
    </row>
    <row r="1352" ht="14.25" customHeight="1">
      <c r="A1352" s="402"/>
      <c r="B1352" s="402"/>
      <c r="C1352" s="402"/>
      <c r="D1352" s="402"/>
      <c r="E1352" s="402"/>
      <c r="F1352" s="402"/>
      <c r="G1352" s="403"/>
      <c r="H1352" s="402"/>
      <c r="I1352" s="402"/>
      <c r="J1352" s="402"/>
      <c r="K1352" s="402"/>
      <c r="L1352" s="402"/>
      <c r="M1352" s="402"/>
      <c r="N1352" s="402"/>
      <c r="O1352" s="402"/>
      <c r="P1352" s="402"/>
      <c r="Q1352" s="402"/>
      <c r="R1352" s="402"/>
      <c r="S1352" s="402"/>
      <c r="T1352" s="402"/>
      <c r="U1352" s="402"/>
      <c r="V1352" s="402"/>
      <c r="W1352" s="402"/>
      <c r="X1352" s="402"/>
      <c r="Y1352" s="402"/>
      <c r="Z1352" s="402"/>
      <c r="AA1352" s="405"/>
      <c r="AB1352" s="405"/>
      <c r="AC1352" s="405"/>
      <c r="AD1352" s="405"/>
      <c r="AE1352" s="405"/>
      <c r="AF1352" s="405"/>
      <c r="AG1352" s="405"/>
      <c r="AH1352" s="405"/>
      <c r="AI1352" s="405"/>
      <c r="AJ1352" s="405"/>
      <c r="AK1352" s="405"/>
      <c r="AL1352" s="405"/>
    </row>
    <row r="1353" ht="14.25" customHeight="1">
      <c r="A1353" s="402"/>
      <c r="B1353" s="402"/>
      <c r="C1353" s="402"/>
      <c r="D1353" s="402"/>
      <c r="E1353" s="402"/>
      <c r="F1353" s="402"/>
      <c r="G1353" s="403"/>
      <c r="H1353" s="402"/>
      <c r="I1353" s="402"/>
      <c r="J1353" s="402"/>
      <c r="K1353" s="402"/>
      <c r="L1353" s="402"/>
      <c r="M1353" s="402"/>
      <c r="N1353" s="402"/>
      <c r="O1353" s="402"/>
      <c r="P1353" s="402"/>
      <c r="Q1353" s="402"/>
      <c r="R1353" s="402"/>
      <c r="S1353" s="402"/>
      <c r="T1353" s="402"/>
      <c r="U1353" s="402"/>
      <c r="V1353" s="402"/>
      <c r="W1353" s="402"/>
      <c r="X1353" s="402"/>
      <c r="Y1353" s="402"/>
      <c r="Z1353" s="402"/>
      <c r="AA1353" s="405"/>
      <c r="AB1353" s="405"/>
      <c r="AC1353" s="405"/>
      <c r="AD1353" s="405"/>
      <c r="AE1353" s="405"/>
      <c r="AF1353" s="405"/>
      <c r="AG1353" s="405"/>
      <c r="AH1353" s="405"/>
      <c r="AI1353" s="405"/>
      <c r="AJ1353" s="405"/>
      <c r="AK1353" s="405"/>
      <c r="AL1353" s="405"/>
    </row>
    <row r="1354" ht="14.25" customHeight="1">
      <c r="A1354" s="402"/>
      <c r="B1354" s="402"/>
      <c r="C1354" s="402"/>
      <c r="D1354" s="402"/>
      <c r="E1354" s="402"/>
      <c r="F1354" s="402"/>
      <c r="G1354" s="403"/>
      <c r="H1354" s="402"/>
      <c r="I1354" s="402"/>
      <c r="J1354" s="402"/>
      <c r="K1354" s="402"/>
      <c r="L1354" s="402"/>
      <c r="M1354" s="402"/>
      <c r="N1354" s="402"/>
      <c r="O1354" s="402"/>
      <c r="P1354" s="402"/>
      <c r="Q1354" s="402"/>
      <c r="R1354" s="402"/>
      <c r="S1354" s="402"/>
      <c r="T1354" s="402"/>
      <c r="U1354" s="402"/>
      <c r="V1354" s="402"/>
      <c r="W1354" s="402"/>
      <c r="X1354" s="402"/>
      <c r="Y1354" s="402"/>
      <c r="Z1354" s="402"/>
      <c r="AA1354" s="405"/>
      <c r="AB1354" s="405"/>
      <c r="AC1354" s="405"/>
      <c r="AD1354" s="405"/>
      <c r="AE1354" s="405"/>
      <c r="AF1354" s="405"/>
      <c r="AG1354" s="405"/>
      <c r="AH1354" s="405"/>
      <c r="AI1354" s="405"/>
      <c r="AJ1354" s="405"/>
      <c r="AK1354" s="405"/>
      <c r="AL1354" s="405"/>
    </row>
    <row r="1355" ht="14.25" customHeight="1">
      <c r="A1355" s="402"/>
      <c r="B1355" s="402"/>
      <c r="C1355" s="402"/>
      <c r="D1355" s="402"/>
      <c r="E1355" s="402"/>
      <c r="F1355" s="402"/>
      <c r="G1355" s="403"/>
      <c r="H1355" s="402"/>
      <c r="I1355" s="402"/>
      <c r="J1355" s="402"/>
      <c r="K1355" s="402"/>
      <c r="L1355" s="402"/>
      <c r="M1355" s="402"/>
      <c r="N1355" s="402"/>
      <c r="O1355" s="402"/>
      <c r="P1355" s="402"/>
      <c r="Q1355" s="402"/>
      <c r="R1355" s="402"/>
      <c r="S1355" s="402"/>
      <c r="T1355" s="402"/>
      <c r="U1355" s="402"/>
      <c r="V1355" s="402"/>
      <c r="W1355" s="402"/>
      <c r="X1355" s="402"/>
      <c r="Y1355" s="402"/>
      <c r="Z1355" s="402"/>
      <c r="AA1355" s="405"/>
      <c r="AB1355" s="405"/>
      <c r="AC1355" s="405"/>
      <c r="AD1355" s="405"/>
      <c r="AE1355" s="405"/>
      <c r="AF1355" s="405"/>
      <c r="AG1355" s="405"/>
      <c r="AH1355" s="405"/>
      <c r="AI1355" s="405"/>
      <c r="AJ1355" s="405"/>
      <c r="AK1355" s="405"/>
      <c r="AL1355" s="405"/>
    </row>
    <row r="1356" ht="14.25" customHeight="1">
      <c r="A1356" s="402"/>
      <c r="B1356" s="402"/>
      <c r="C1356" s="402"/>
      <c r="D1356" s="402"/>
      <c r="E1356" s="402"/>
      <c r="F1356" s="402"/>
      <c r="G1356" s="403"/>
      <c r="H1356" s="402"/>
      <c r="I1356" s="402"/>
      <c r="J1356" s="402"/>
      <c r="K1356" s="402"/>
      <c r="L1356" s="402"/>
      <c r="M1356" s="402"/>
      <c r="N1356" s="402"/>
      <c r="O1356" s="402"/>
      <c r="P1356" s="402"/>
      <c r="Q1356" s="402"/>
      <c r="R1356" s="402"/>
      <c r="S1356" s="402"/>
      <c r="T1356" s="402"/>
      <c r="U1356" s="402"/>
      <c r="V1356" s="402"/>
      <c r="W1356" s="402"/>
      <c r="X1356" s="402"/>
      <c r="Y1356" s="402"/>
      <c r="Z1356" s="402"/>
      <c r="AA1356" s="405"/>
      <c r="AB1356" s="405"/>
      <c r="AC1356" s="405"/>
      <c r="AD1356" s="405"/>
      <c r="AE1356" s="405"/>
      <c r="AF1356" s="405"/>
      <c r="AG1356" s="405"/>
      <c r="AH1356" s="405"/>
      <c r="AI1356" s="405"/>
      <c r="AJ1356" s="405"/>
      <c r="AK1356" s="405"/>
      <c r="AL1356" s="405"/>
    </row>
    <row r="1357" ht="14.25" customHeight="1">
      <c r="A1357" s="402"/>
      <c r="B1357" s="402"/>
      <c r="C1357" s="402"/>
      <c r="D1357" s="402"/>
      <c r="E1357" s="402"/>
      <c r="F1357" s="402"/>
      <c r="G1357" s="403"/>
      <c r="H1357" s="402"/>
      <c r="I1357" s="402"/>
      <c r="J1357" s="402"/>
      <c r="K1357" s="402"/>
      <c r="L1357" s="402"/>
      <c r="M1357" s="402"/>
      <c r="N1357" s="402"/>
      <c r="O1357" s="402"/>
      <c r="P1357" s="402"/>
      <c r="Q1357" s="402"/>
      <c r="R1357" s="402"/>
      <c r="S1357" s="402"/>
      <c r="T1357" s="402"/>
      <c r="U1357" s="402"/>
      <c r="V1357" s="402"/>
      <c r="W1357" s="402"/>
      <c r="X1357" s="402"/>
      <c r="Y1357" s="402"/>
      <c r="Z1357" s="402"/>
      <c r="AA1357" s="405"/>
      <c r="AB1357" s="405"/>
      <c r="AC1357" s="405"/>
      <c r="AD1357" s="405"/>
      <c r="AE1357" s="405"/>
      <c r="AF1357" s="405"/>
      <c r="AG1357" s="405"/>
      <c r="AH1357" s="405"/>
      <c r="AI1357" s="405"/>
      <c r="AJ1357" s="405"/>
      <c r="AK1357" s="405"/>
      <c r="AL1357" s="405"/>
    </row>
    <row r="1358" ht="14.25" customHeight="1">
      <c r="A1358" s="402"/>
      <c r="B1358" s="402"/>
      <c r="C1358" s="402"/>
      <c r="D1358" s="402"/>
      <c r="E1358" s="402"/>
      <c r="F1358" s="402"/>
      <c r="G1358" s="403"/>
      <c r="H1358" s="402"/>
      <c r="I1358" s="402"/>
      <c r="J1358" s="402"/>
      <c r="K1358" s="402"/>
      <c r="L1358" s="402"/>
      <c r="M1358" s="402"/>
      <c r="N1358" s="402"/>
      <c r="O1358" s="402"/>
      <c r="P1358" s="402"/>
      <c r="Q1358" s="402"/>
      <c r="R1358" s="402"/>
      <c r="S1358" s="402"/>
      <c r="T1358" s="402"/>
      <c r="U1358" s="402"/>
      <c r="V1358" s="402"/>
      <c r="W1358" s="402"/>
      <c r="X1358" s="402"/>
      <c r="Y1358" s="402"/>
      <c r="Z1358" s="402"/>
      <c r="AA1358" s="405"/>
      <c r="AB1358" s="405"/>
      <c r="AC1358" s="405"/>
      <c r="AD1358" s="405"/>
      <c r="AE1358" s="405"/>
      <c r="AF1358" s="405"/>
      <c r="AG1358" s="405"/>
      <c r="AH1358" s="405"/>
      <c r="AI1358" s="405"/>
      <c r="AJ1358" s="405"/>
      <c r="AK1358" s="405"/>
      <c r="AL1358" s="405"/>
    </row>
    <row r="1359" ht="14.25" customHeight="1">
      <c r="A1359" s="402"/>
      <c r="B1359" s="402"/>
      <c r="C1359" s="402"/>
      <c r="D1359" s="402"/>
      <c r="E1359" s="402"/>
      <c r="F1359" s="402"/>
      <c r="G1359" s="403"/>
      <c r="H1359" s="402"/>
      <c r="I1359" s="402"/>
      <c r="J1359" s="402"/>
      <c r="K1359" s="402"/>
      <c r="L1359" s="402"/>
      <c r="M1359" s="402"/>
      <c r="N1359" s="402"/>
      <c r="O1359" s="402"/>
      <c r="P1359" s="402"/>
      <c r="Q1359" s="402"/>
      <c r="R1359" s="402"/>
      <c r="S1359" s="402"/>
      <c r="T1359" s="402"/>
      <c r="U1359" s="402"/>
      <c r="V1359" s="402"/>
      <c r="W1359" s="402"/>
      <c r="X1359" s="402"/>
      <c r="Y1359" s="402"/>
      <c r="Z1359" s="402"/>
      <c r="AA1359" s="405"/>
      <c r="AB1359" s="405"/>
      <c r="AC1359" s="405"/>
      <c r="AD1359" s="405"/>
      <c r="AE1359" s="405"/>
      <c r="AF1359" s="405"/>
      <c r="AG1359" s="405"/>
      <c r="AH1359" s="405"/>
      <c r="AI1359" s="405"/>
      <c r="AJ1359" s="405"/>
      <c r="AK1359" s="405"/>
      <c r="AL1359" s="405"/>
    </row>
    <row r="1360" ht="14.25" customHeight="1">
      <c r="A1360" s="402"/>
      <c r="B1360" s="402"/>
      <c r="C1360" s="402"/>
      <c r="D1360" s="402"/>
      <c r="E1360" s="402"/>
      <c r="F1360" s="402"/>
      <c r="G1360" s="403"/>
      <c r="H1360" s="402"/>
      <c r="I1360" s="402"/>
      <c r="J1360" s="402"/>
      <c r="K1360" s="402"/>
      <c r="L1360" s="402"/>
      <c r="M1360" s="402"/>
      <c r="N1360" s="402"/>
      <c r="O1360" s="402"/>
      <c r="P1360" s="402"/>
      <c r="Q1360" s="402"/>
      <c r="R1360" s="402"/>
      <c r="S1360" s="402"/>
      <c r="T1360" s="402"/>
      <c r="U1360" s="402"/>
      <c r="V1360" s="402"/>
      <c r="W1360" s="402"/>
      <c r="X1360" s="402"/>
      <c r="Y1360" s="402"/>
      <c r="Z1360" s="402"/>
      <c r="AA1360" s="405"/>
      <c r="AB1360" s="405"/>
      <c r="AC1360" s="405"/>
      <c r="AD1360" s="405"/>
      <c r="AE1360" s="405"/>
      <c r="AF1360" s="405"/>
      <c r="AG1360" s="405"/>
      <c r="AH1360" s="405"/>
      <c r="AI1360" s="405"/>
      <c r="AJ1360" s="405"/>
      <c r="AK1360" s="405"/>
      <c r="AL1360" s="405"/>
    </row>
    <row r="1361" ht="14.25" customHeight="1">
      <c r="A1361" s="402"/>
      <c r="B1361" s="402"/>
      <c r="C1361" s="402"/>
      <c r="D1361" s="402"/>
      <c r="E1361" s="402"/>
      <c r="F1361" s="402"/>
      <c r="G1361" s="403"/>
      <c r="H1361" s="402"/>
      <c r="I1361" s="402"/>
      <c r="J1361" s="402"/>
      <c r="K1361" s="402"/>
      <c r="L1361" s="402"/>
      <c r="M1361" s="402"/>
      <c r="N1361" s="402"/>
      <c r="O1361" s="402"/>
      <c r="P1361" s="402"/>
      <c r="Q1361" s="402"/>
      <c r="R1361" s="402"/>
      <c r="S1361" s="402"/>
      <c r="T1361" s="402"/>
      <c r="U1361" s="402"/>
      <c r="V1361" s="402"/>
      <c r="W1361" s="402"/>
      <c r="X1361" s="402"/>
      <c r="Y1361" s="402"/>
      <c r="Z1361" s="402"/>
      <c r="AA1361" s="405"/>
      <c r="AB1361" s="405"/>
      <c r="AC1361" s="405"/>
      <c r="AD1361" s="405"/>
      <c r="AE1361" s="405"/>
      <c r="AF1361" s="405"/>
      <c r="AG1361" s="405"/>
      <c r="AH1361" s="405"/>
      <c r="AI1361" s="405"/>
      <c r="AJ1361" s="405"/>
      <c r="AK1361" s="405"/>
      <c r="AL1361" s="405"/>
    </row>
    <row r="1362" ht="14.25" customHeight="1">
      <c r="A1362" s="402"/>
      <c r="B1362" s="402"/>
      <c r="C1362" s="402"/>
      <c r="D1362" s="402"/>
      <c r="E1362" s="402"/>
      <c r="F1362" s="402"/>
      <c r="G1362" s="403"/>
      <c r="H1362" s="402"/>
      <c r="I1362" s="402"/>
      <c r="J1362" s="402"/>
      <c r="K1362" s="402"/>
      <c r="L1362" s="402"/>
      <c r="M1362" s="402"/>
      <c r="N1362" s="402"/>
      <c r="O1362" s="402"/>
      <c r="P1362" s="402"/>
      <c r="Q1362" s="402"/>
      <c r="R1362" s="402"/>
      <c r="S1362" s="402"/>
      <c r="T1362" s="402"/>
      <c r="U1362" s="402"/>
      <c r="V1362" s="402"/>
      <c r="W1362" s="402"/>
      <c r="X1362" s="402"/>
      <c r="Y1362" s="402"/>
      <c r="Z1362" s="402"/>
      <c r="AA1362" s="405"/>
      <c r="AB1362" s="405"/>
      <c r="AC1362" s="405"/>
      <c r="AD1362" s="405"/>
      <c r="AE1362" s="405"/>
      <c r="AF1362" s="405"/>
      <c r="AG1362" s="405"/>
      <c r="AH1362" s="405"/>
      <c r="AI1362" s="405"/>
      <c r="AJ1362" s="405"/>
      <c r="AK1362" s="405"/>
      <c r="AL1362" s="405"/>
    </row>
    <row r="1363" ht="14.25" customHeight="1">
      <c r="A1363" s="402"/>
      <c r="B1363" s="402"/>
      <c r="C1363" s="402"/>
      <c r="D1363" s="402"/>
      <c r="E1363" s="402"/>
      <c r="F1363" s="402"/>
      <c r="G1363" s="403"/>
      <c r="H1363" s="402"/>
      <c r="I1363" s="402"/>
      <c r="J1363" s="402"/>
      <c r="K1363" s="402"/>
      <c r="L1363" s="402"/>
      <c r="M1363" s="402"/>
      <c r="N1363" s="402"/>
      <c r="O1363" s="402"/>
      <c r="P1363" s="402"/>
      <c r="Q1363" s="402"/>
      <c r="R1363" s="402"/>
      <c r="S1363" s="402"/>
      <c r="T1363" s="402"/>
      <c r="U1363" s="402"/>
      <c r="V1363" s="402"/>
      <c r="W1363" s="402"/>
      <c r="X1363" s="402"/>
      <c r="Y1363" s="402"/>
      <c r="Z1363" s="402"/>
      <c r="AA1363" s="405"/>
      <c r="AB1363" s="405"/>
      <c r="AC1363" s="405"/>
      <c r="AD1363" s="405"/>
      <c r="AE1363" s="405"/>
      <c r="AF1363" s="405"/>
      <c r="AG1363" s="405"/>
      <c r="AH1363" s="405"/>
      <c r="AI1363" s="405"/>
      <c r="AJ1363" s="405"/>
      <c r="AK1363" s="405"/>
      <c r="AL1363" s="405"/>
    </row>
    <row r="1364" ht="14.25" customHeight="1">
      <c r="A1364" s="402"/>
      <c r="B1364" s="402"/>
      <c r="C1364" s="402"/>
      <c r="D1364" s="402"/>
      <c r="E1364" s="402"/>
      <c r="F1364" s="402"/>
      <c r="G1364" s="403"/>
      <c r="H1364" s="402"/>
      <c r="I1364" s="402"/>
      <c r="J1364" s="402"/>
      <c r="K1364" s="402"/>
      <c r="L1364" s="402"/>
      <c r="M1364" s="402"/>
      <c r="N1364" s="402"/>
      <c r="O1364" s="402"/>
      <c r="P1364" s="402"/>
      <c r="Q1364" s="402"/>
      <c r="R1364" s="402"/>
      <c r="S1364" s="402"/>
      <c r="T1364" s="402"/>
      <c r="U1364" s="402"/>
      <c r="V1364" s="402"/>
      <c r="W1364" s="402"/>
      <c r="X1364" s="402"/>
      <c r="Y1364" s="402"/>
      <c r="Z1364" s="402"/>
      <c r="AA1364" s="405"/>
      <c r="AB1364" s="405"/>
      <c r="AC1364" s="405"/>
      <c r="AD1364" s="405"/>
      <c r="AE1364" s="405"/>
      <c r="AF1364" s="405"/>
      <c r="AG1364" s="405"/>
      <c r="AH1364" s="405"/>
      <c r="AI1364" s="405"/>
      <c r="AJ1364" s="405"/>
      <c r="AK1364" s="405"/>
      <c r="AL1364" s="405"/>
    </row>
    <row r="1365" ht="14.25" customHeight="1">
      <c r="A1365" s="402"/>
      <c r="B1365" s="402"/>
      <c r="C1365" s="402"/>
      <c r="D1365" s="402"/>
      <c r="E1365" s="402"/>
      <c r="F1365" s="402"/>
      <c r="G1365" s="403"/>
      <c r="H1365" s="402"/>
      <c r="I1365" s="402"/>
      <c r="J1365" s="402"/>
      <c r="K1365" s="402"/>
      <c r="L1365" s="402"/>
      <c r="M1365" s="402"/>
      <c r="N1365" s="402"/>
      <c r="O1365" s="402"/>
      <c r="P1365" s="402"/>
      <c r="Q1365" s="402"/>
      <c r="R1365" s="402"/>
      <c r="S1365" s="402"/>
      <c r="T1365" s="402"/>
      <c r="U1365" s="402"/>
      <c r="V1365" s="402"/>
      <c r="W1365" s="402"/>
      <c r="X1365" s="402"/>
      <c r="Y1365" s="402"/>
      <c r="Z1365" s="402"/>
      <c r="AA1365" s="405"/>
      <c r="AB1365" s="405"/>
      <c r="AC1365" s="405"/>
      <c r="AD1365" s="405"/>
      <c r="AE1365" s="405"/>
      <c r="AF1365" s="405"/>
      <c r="AG1365" s="405"/>
      <c r="AH1365" s="405"/>
      <c r="AI1365" s="405"/>
      <c r="AJ1365" s="405"/>
      <c r="AK1365" s="405"/>
      <c r="AL1365" s="405"/>
    </row>
    <row r="1366" ht="14.25" customHeight="1">
      <c r="A1366" s="402"/>
      <c r="B1366" s="402"/>
      <c r="C1366" s="402"/>
      <c r="D1366" s="402"/>
      <c r="E1366" s="402"/>
      <c r="F1366" s="402"/>
      <c r="G1366" s="403"/>
      <c r="H1366" s="402"/>
      <c r="I1366" s="402"/>
      <c r="J1366" s="402"/>
      <c r="K1366" s="402"/>
      <c r="L1366" s="402"/>
      <c r="M1366" s="402"/>
      <c r="N1366" s="402"/>
      <c r="O1366" s="402"/>
      <c r="P1366" s="402"/>
      <c r="Q1366" s="402"/>
      <c r="R1366" s="402"/>
      <c r="S1366" s="402"/>
      <c r="T1366" s="402"/>
      <c r="U1366" s="402"/>
      <c r="V1366" s="402"/>
      <c r="W1366" s="402"/>
      <c r="X1366" s="402"/>
      <c r="Y1366" s="402"/>
      <c r="Z1366" s="402"/>
      <c r="AA1366" s="405"/>
      <c r="AB1366" s="405"/>
      <c r="AC1366" s="405"/>
      <c r="AD1366" s="405"/>
      <c r="AE1366" s="405"/>
      <c r="AF1366" s="405"/>
      <c r="AG1366" s="405"/>
      <c r="AH1366" s="405"/>
      <c r="AI1366" s="405"/>
      <c r="AJ1366" s="405"/>
      <c r="AK1366" s="405"/>
      <c r="AL1366" s="405"/>
    </row>
    <row r="1367" ht="14.25" customHeight="1">
      <c r="A1367" s="402"/>
      <c r="B1367" s="402"/>
      <c r="C1367" s="402"/>
      <c r="D1367" s="402"/>
      <c r="E1367" s="402"/>
      <c r="F1367" s="402"/>
      <c r="G1367" s="403"/>
      <c r="H1367" s="402"/>
      <c r="I1367" s="402"/>
      <c r="J1367" s="402"/>
      <c r="K1367" s="402"/>
      <c r="L1367" s="402"/>
      <c r="M1367" s="402"/>
      <c r="N1367" s="402"/>
      <c r="O1367" s="402"/>
      <c r="P1367" s="402"/>
      <c r="Q1367" s="402"/>
      <c r="R1367" s="402"/>
      <c r="S1367" s="402"/>
      <c r="T1367" s="402"/>
      <c r="U1367" s="402"/>
      <c r="V1367" s="402"/>
      <c r="W1367" s="402"/>
      <c r="X1367" s="402"/>
      <c r="Y1367" s="402"/>
      <c r="Z1367" s="402"/>
      <c r="AA1367" s="405"/>
      <c r="AB1367" s="405"/>
      <c r="AC1367" s="405"/>
      <c r="AD1367" s="405"/>
      <c r="AE1367" s="405"/>
      <c r="AF1367" s="405"/>
      <c r="AG1367" s="405"/>
      <c r="AH1367" s="405"/>
      <c r="AI1367" s="405"/>
      <c r="AJ1367" s="405"/>
      <c r="AK1367" s="405"/>
      <c r="AL1367" s="405"/>
    </row>
    <row r="1368" ht="14.25" customHeight="1">
      <c r="A1368" s="402"/>
      <c r="B1368" s="402"/>
      <c r="C1368" s="402"/>
      <c r="D1368" s="402"/>
      <c r="E1368" s="402"/>
      <c r="F1368" s="402"/>
      <c r="G1368" s="403"/>
      <c r="H1368" s="402"/>
      <c r="I1368" s="402"/>
      <c r="J1368" s="402"/>
      <c r="K1368" s="402"/>
      <c r="L1368" s="402"/>
      <c r="M1368" s="402"/>
      <c r="N1368" s="402"/>
      <c r="O1368" s="402"/>
      <c r="P1368" s="402"/>
      <c r="Q1368" s="402"/>
      <c r="R1368" s="402"/>
      <c r="S1368" s="402"/>
      <c r="T1368" s="402"/>
      <c r="U1368" s="402"/>
      <c r="V1368" s="402"/>
      <c r="W1368" s="402"/>
      <c r="X1368" s="402"/>
      <c r="Y1368" s="402"/>
      <c r="Z1368" s="402"/>
      <c r="AA1368" s="405"/>
      <c r="AB1368" s="405"/>
      <c r="AC1368" s="405"/>
      <c r="AD1368" s="405"/>
      <c r="AE1368" s="405"/>
      <c r="AF1368" s="405"/>
      <c r="AG1368" s="405"/>
      <c r="AH1368" s="405"/>
      <c r="AI1368" s="405"/>
      <c r="AJ1368" s="405"/>
      <c r="AK1368" s="405"/>
      <c r="AL1368" s="405"/>
    </row>
    <row r="1369" ht="14.25" customHeight="1">
      <c r="A1369" s="402"/>
      <c r="B1369" s="402"/>
      <c r="C1369" s="402"/>
      <c r="D1369" s="402"/>
      <c r="E1369" s="402"/>
      <c r="F1369" s="402"/>
      <c r="G1369" s="403"/>
      <c r="H1369" s="402"/>
      <c r="I1369" s="402"/>
      <c r="J1369" s="402"/>
      <c r="K1369" s="402"/>
      <c r="L1369" s="402"/>
      <c r="M1369" s="402"/>
      <c r="N1369" s="402"/>
      <c r="O1369" s="402"/>
      <c r="P1369" s="402"/>
      <c r="Q1369" s="402"/>
      <c r="R1369" s="402"/>
      <c r="S1369" s="402"/>
      <c r="T1369" s="402"/>
      <c r="U1369" s="402"/>
      <c r="V1369" s="402"/>
      <c r="W1369" s="402"/>
      <c r="X1369" s="402"/>
      <c r="Y1369" s="402"/>
      <c r="Z1369" s="402"/>
      <c r="AA1369" s="405"/>
      <c r="AB1369" s="405"/>
      <c r="AC1369" s="405"/>
      <c r="AD1369" s="405"/>
      <c r="AE1369" s="405"/>
      <c r="AF1369" s="405"/>
      <c r="AG1369" s="405"/>
      <c r="AH1369" s="405"/>
      <c r="AI1369" s="405"/>
      <c r="AJ1369" s="405"/>
      <c r="AK1369" s="405"/>
      <c r="AL1369" s="405"/>
    </row>
    <row r="1370" ht="14.25" customHeight="1">
      <c r="A1370" s="402"/>
      <c r="B1370" s="402"/>
      <c r="C1370" s="402"/>
      <c r="D1370" s="402"/>
      <c r="E1370" s="402"/>
      <c r="F1370" s="402"/>
      <c r="G1370" s="403"/>
      <c r="H1370" s="402"/>
      <c r="I1370" s="402"/>
      <c r="J1370" s="402"/>
      <c r="K1370" s="402"/>
      <c r="L1370" s="402"/>
      <c r="M1370" s="402"/>
      <c r="N1370" s="402"/>
      <c r="O1370" s="402"/>
      <c r="P1370" s="402"/>
      <c r="Q1370" s="402"/>
      <c r="R1370" s="402"/>
      <c r="S1370" s="402"/>
      <c r="T1370" s="402"/>
      <c r="U1370" s="402"/>
      <c r="V1370" s="402"/>
      <c r="W1370" s="402"/>
      <c r="X1370" s="402"/>
      <c r="Y1370" s="402"/>
      <c r="Z1370" s="402"/>
      <c r="AA1370" s="405"/>
      <c r="AB1370" s="405"/>
      <c r="AC1370" s="405"/>
      <c r="AD1370" s="405"/>
      <c r="AE1370" s="405"/>
      <c r="AF1370" s="405"/>
      <c r="AG1370" s="405"/>
      <c r="AH1370" s="405"/>
      <c r="AI1370" s="405"/>
      <c r="AJ1370" s="405"/>
      <c r="AK1370" s="405"/>
      <c r="AL1370" s="405"/>
    </row>
    <row r="1371" ht="14.25" customHeight="1">
      <c r="A1371" s="402"/>
      <c r="B1371" s="402"/>
      <c r="C1371" s="402"/>
      <c r="D1371" s="402"/>
      <c r="E1371" s="402"/>
      <c r="F1371" s="402"/>
      <c r="G1371" s="403"/>
      <c r="H1371" s="402"/>
      <c r="I1371" s="402"/>
      <c r="J1371" s="402"/>
      <c r="K1371" s="402"/>
      <c r="L1371" s="402"/>
      <c r="M1371" s="402"/>
      <c r="N1371" s="402"/>
      <c r="O1371" s="402"/>
      <c r="P1371" s="402"/>
      <c r="Q1371" s="402"/>
      <c r="R1371" s="402"/>
      <c r="S1371" s="402"/>
      <c r="T1371" s="402"/>
      <c r="U1371" s="402"/>
      <c r="V1371" s="402"/>
      <c r="W1371" s="402"/>
      <c r="X1371" s="402"/>
      <c r="Y1371" s="402"/>
      <c r="Z1371" s="402"/>
      <c r="AA1371" s="405"/>
      <c r="AB1371" s="405"/>
      <c r="AC1371" s="405"/>
      <c r="AD1371" s="405"/>
      <c r="AE1371" s="405"/>
      <c r="AF1371" s="405"/>
      <c r="AG1371" s="405"/>
      <c r="AH1371" s="405"/>
      <c r="AI1371" s="405"/>
      <c r="AJ1371" s="405"/>
      <c r="AK1371" s="405"/>
      <c r="AL1371" s="405"/>
    </row>
    <row r="1372" ht="14.25" customHeight="1">
      <c r="A1372" s="402"/>
      <c r="B1372" s="402"/>
      <c r="C1372" s="402"/>
      <c r="D1372" s="402"/>
      <c r="E1372" s="402"/>
      <c r="F1372" s="402"/>
      <c r="G1372" s="403"/>
      <c r="H1372" s="402"/>
      <c r="I1372" s="402"/>
      <c r="J1372" s="402"/>
      <c r="K1372" s="402"/>
      <c r="L1372" s="402"/>
      <c r="M1372" s="402"/>
      <c r="N1372" s="402"/>
      <c r="O1372" s="402"/>
      <c r="P1372" s="402"/>
      <c r="Q1372" s="402"/>
      <c r="R1372" s="402"/>
      <c r="S1372" s="402"/>
      <c r="T1372" s="402"/>
      <c r="U1372" s="402"/>
      <c r="V1372" s="402"/>
      <c r="W1372" s="402"/>
      <c r="X1372" s="402"/>
      <c r="Y1372" s="402"/>
      <c r="Z1372" s="402"/>
      <c r="AA1372" s="405"/>
      <c r="AB1372" s="405"/>
      <c r="AC1372" s="405"/>
      <c r="AD1372" s="405"/>
      <c r="AE1372" s="405"/>
      <c r="AF1372" s="405"/>
      <c r="AG1372" s="405"/>
      <c r="AH1372" s="405"/>
      <c r="AI1372" s="405"/>
      <c r="AJ1372" s="405"/>
      <c r="AK1372" s="405"/>
      <c r="AL1372" s="405"/>
    </row>
    <row r="1373" ht="14.25" customHeight="1">
      <c r="A1373" s="402"/>
      <c r="B1373" s="402"/>
      <c r="C1373" s="402"/>
      <c r="D1373" s="402"/>
      <c r="E1373" s="402"/>
      <c r="F1373" s="402"/>
      <c r="G1373" s="403"/>
      <c r="H1373" s="402"/>
      <c r="I1373" s="402"/>
      <c r="J1373" s="402"/>
      <c r="K1373" s="402"/>
      <c r="L1373" s="402"/>
      <c r="M1373" s="402"/>
      <c r="N1373" s="402"/>
      <c r="O1373" s="402"/>
      <c r="P1373" s="402"/>
      <c r="Q1373" s="402"/>
      <c r="R1373" s="402"/>
      <c r="S1373" s="402"/>
      <c r="T1373" s="402"/>
      <c r="U1373" s="402"/>
      <c r="V1373" s="402"/>
      <c r="W1373" s="402"/>
      <c r="X1373" s="402"/>
      <c r="Y1373" s="402"/>
      <c r="Z1373" s="402"/>
      <c r="AA1373" s="405"/>
      <c r="AB1373" s="405"/>
      <c r="AC1373" s="405"/>
      <c r="AD1373" s="405"/>
      <c r="AE1373" s="405"/>
      <c r="AF1373" s="405"/>
      <c r="AG1373" s="405"/>
      <c r="AH1373" s="405"/>
      <c r="AI1373" s="405"/>
      <c r="AJ1373" s="405"/>
      <c r="AK1373" s="405"/>
      <c r="AL1373" s="405"/>
    </row>
    <row r="1374" ht="14.25" customHeight="1">
      <c r="A1374" s="402"/>
      <c r="B1374" s="402"/>
      <c r="C1374" s="402"/>
      <c r="D1374" s="402"/>
      <c r="E1374" s="402"/>
      <c r="F1374" s="402"/>
      <c r="G1374" s="403"/>
      <c r="H1374" s="402"/>
      <c r="I1374" s="402"/>
      <c r="J1374" s="402"/>
      <c r="K1374" s="402"/>
      <c r="L1374" s="402"/>
      <c r="M1374" s="402"/>
      <c r="N1374" s="402"/>
      <c r="O1374" s="402"/>
      <c r="P1374" s="402"/>
      <c r="Q1374" s="402"/>
      <c r="R1374" s="402"/>
      <c r="S1374" s="402"/>
      <c r="T1374" s="402"/>
      <c r="U1374" s="402"/>
      <c r="V1374" s="402"/>
      <c r="W1374" s="402"/>
      <c r="X1374" s="402"/>
      <c r="Y1374" s="402"/>
      <c r="Z1374" s="402"/>
      <c r="AA1374" s="405"/>
      <c r="AB1374" s="405"/>
      <c r="AC1374" s="405"/>
      <c r="AD1374" s="405"/>
      <c r="AE1374" s="405"/>
      <c r="AF1374" s="405"/>
      <c r="AG1374" s="405"/>
      <c r="AH1374" s="405"/>
      <c r="AI1374" s="405"/>
      <c r="AJ1374" s="405"/>
      <c r="AK1374" s="405"/>
      <c r="AL1374" s="405"/>
    </row>
    <row r="1375" ht="14.25" customHeight="1">
      <c r="A1375" s="402"/>
      <c r="B1375" s="402"/>
      <c r="C1375" s="402"/>
      <c r="D1375" s="402"/>
      <c r="E1375" s="402"/>
      <c r="F1375" s="402"/>
      <c r="G1375" s="403"/>
      <c r="H1375" s="402"/>
      <c r="I1375" s="402"/>
      <c r="J1375" s="402"/>
      <c r="K1375" s="402"/>
      <c r="L1375" s="402"/>
      <c r="M1375" s="402"/>
      <c r="N1375" s="402"/>
      <c r="O1375" s="402"/>
      <c r="P1375" s="402"/>
      <c r="Q1375" s="402"/>
      <c r="R1375" s="402"/>
      <c r="S1375" s="402"/>
      <c r="T1375" s="402"/>
      <c r="U1375" s="402"/>
      <c r="V1375" s="402"/>
      <c r="W1375" s="402"/>
      <c r="X1375" s="402"/>
      <c r="Y1375" s="402"/>
      <c r="Z1375" s="402"/>
      <c r="AA1375" s="405"/>
      <c r="AB1375" s="405"/>
      <c r="AC1375" s="405"/>
      <c r="AD1375" s="405"/>
      <c r="AE1375" s="405"/>
      <c r="AF1375" s="405"/>
      <c r="AG1375" s="405"/>
      <c r="AH1375" s="405"/>
      <c r="AI1375" s="405"/>
      <c r="AJ1375" s="405"/>
      <c r="AK1375" s="405"/>
      <c r="AL1375" s="405"/>
    </row>
    <row r="1376" ht="14.25" customHeight="1">
      <c r="A1376" s="402"/>
      <c r="B1376" s="402"/>
      <c r="C1376" s="402"/>
      <c r="D1376" s="402"/>
      <c r="E1376" s="402"/>
      <c r="F1376" s="402"/>
      <c r="G1376" s="403"/>
      <c r="H1376" s="402"/>
      <c r="I1376" s="402"/>
      <c r="J1376" s="402"/>
      <c r="K1376" s="402"/>
      <c r="L1376" s="402"/>
      <c r="M1376" s="402"/>
      <c r="N1376" s="402"/>
      <c r="O1376" s="402"/>
      <c r="P1376" s="402"/>
      <c r="Q1376" s="402"/>
      <c r="R1376" s="402"/>
      <c r="S1376" s="402"/>
      <c r="T1376" s="402"/>
      <c r="U1376" s="402"/>
      <c r="V1376" s="402"/>
      <c r="W1376" s="402"/>
      <c r="X1376" s="402"/>
      <c r="Y1376" s="402"/>
      <c r="Z1376" s="402"/>
      <c r="AA1376" s="405"/>
      <c r="AB1376" s="405"/>
      <c r="AC1376" s="405"/>
      <c r="AD1376" s="405"/>
      <c r="AE1376" s="405"/>
      <c r="AF1376" s="405"/>
      <c r="AG1376" s="405"/>
      <c r="AH1376" s="405"/>
      <c r="AI1376" s="405"/>
      <c r="AJ1376" s="405"/>
      <c r="AK1376" s="405"/>
      <c r="AL1376" s="405"/>
    </row>
    <row r="1377" ht="14.25" customHeight="1">
      <c r="A1377" s="402"/>
      <c r="B1377" s="402"/>
      <c r="C1377" s="402"/>
      <c r="D1377" s="402"/>
      <c r="E1377" s="402"/>
      <c r="F1377" s="402"/>
      <c r="G1377" s="403"/>
      <c r="H1377" s="402"/>
      <c r="I1377" s="402"/>
      <c r="J1377" s="402"/>
      <c r="K1377" s="402"/>
      <c r="L1377" s="402"/>
      <c r="M1377" s="402"/>
      <c r="N1377" s="402"/>
      <c r="O1377" s="402"/>
      <c r="P1377" s="402"/>
      <c r="Q1377" s="402"/>
      <c r="R1377" s="402"/>
      <c r="S1377" s="402"/>
      <c r="T1377" s="402"/>
      <c r="U1377" s="402"/>
      <c r="V1377" s="402"/>
      <c r="W1377" s="402"/>
      <c r="X1377" s="402"/>
      <c r="Y1377" s="402"/>
      <c r="Z1377" s="402"/>
      <c r="AA1377" s="405"/>
      <c r="AB1377" s="405"/>
      <c r="AC1377" s="405"/>
      <c r="AD1377" s="405"/>
      <c r="AE1377" s="405"/>
      <c r="AF1377" s="405"/>
      <c r="AG1377" s="405"/>
      <c r="AH1377" s="405"/>
      <c r="AI1377" s="405"/>
      <c r="AJ1377" s="405"/>
      <c r="AK1377" s="405"/>
      <c r="AL1377" s="405"/>
    </row>
    <row r="1378" ht="14.25" customHeight="1">
      <c r="A1378" s="402"/>
      <c r="B1378" s="402"/>
      <c r="C1378" s="402"/>
      <c r="D1378" s="402"/>
      <c r="E1378" s="402"/>
      <c r="F1378" s="402"/>
      <c r="G1378" s="403"/>
      <c r="H1378" s="402"/>
      <c r="I1378" s="402"/>
      <c r="J1378" s="402"/>
      <c r="K1378" s="402"/>
      <c r="L1378" s="402"/>
      <c r="M1378" s="402"/>
      <c r="N1378" s="402"/>
      <c r="O1378" s="402"/>
      <c r="P1378" s="402"/>
      <c r="Q1378" s="402"/>
      <c r="R1378" s="402"/>
      <c r="S1378" s="402"/>
      <c r="T1378" s="402"/>
      <c r="U1378" s="402"/>
      <c r="V1378" s="402"/>
      <c r="W1378" s="402"/>
      <c r="X1378" s="402"/>
      <c r="Y1378" s="402"/>
      <c r="Z1378" s="402"/>
      <c r="AA1378" s="405"/>
      <c r="AB1378" s="405"/>
      <c r="AC1378" s="405"/>
      <c r="AD1378" s="405"/>
      <c r="AE1378" s="405"/>
      <c r="AF1378" s="405"/>
      <c r="AG1378" s="405"/>
      <c r="AH1378" s="405"/>
      <c r="AI1378" s="405"/>
      <c r="AJ1378" s="405"/>
      <c r="AK1378" s="405"/>
      <c r="AL1378" s="405"/>
    </row>
    <row r="1379" ht="14.25" customHeight="1">
      <c r="A1379" s="402"/>
      <c r="B1379" s="402"/>
      <c r="C1379" s="402"/>
      <c r="D1379" s="402"/>
      <c r="E1379" s="402"/>
      <c r="F1379" s="402"/>
      <c r="G1379" s="403"/>
      <c r="H1379" s="402"/>
      <c r="I1379" s="402"/>
      <c r="J1379" s="402"/>
      <c r="K1379" s="402"/>
      <c r="L1379" s="402"/>
      <c r="M1379" s="402"/>
      <c r="N1379" s="402"/>
      <c r="O1379" s="402"/>
      <c r="P1379" s="402"/>
      <c r="Q1379" s="402"/>
      <c r="R1379" s="402"/>
      <c r="S1379" s="402"/>
      <c r="T1379" s="402"/>
      <c r="U1379" s="402"/>
      <c r="V1379" s="402"/>
      <c r="W1379" s="402"/>
      <c r="X1379" s="402"/>
      <c r="Y1379" s="402"/>
      <c r="Z1379" s="402"/>
      <c r="AA1379" s="405"/>
      <c r="AB1379" s="405"/>
      <c r="AC1379" s="405"/>
      <c r="AD1379" s="405"/>
      <c r="AE1379" s="405"/>
      <c r="AF1379" s="405"/>
      <c r="AG1379" s="405"/>
      <c r="AH1379" s="405"/>
      <c r="AI1379" s="405"/>
      <c r="AJ1379" s="405"/>
      <c r="AK1379" s="405"/>
      <c r="AL1379" s="405"/>
    </row>
    <row r="1380" ht="14.25" customHeight="1">
      <c r="A1380" s="402"/>
      <c r="B1380" s="402"/>
      <c r="C1380" s="402"/>
      <c r="D1380" s="402"/>
      <c r="E1380" s="402"/>
      <c r="F1380" s="402"/>
      <c r="G1380" s="403"/>
      <c r="H1380" s="402"/>
      <c r="I1380" s="402"/>
      <c r="J1380" s="402"/>
      <c r="K1380" s="402"/>
      <c r="L1380" s="402"/>
      <c r="M1380" s="402"/>
      <c r="N1380" s="402"/>
      <c r="O1380" s="402"/>
      <c r="P1380" s="402"/>
      <c r="Q1380" s="402"/>
      <c r="R1380" s="402"/>
      <c r="S1380" s="402"/>
      <c r="T1380" s="402"/>
      <c r="U1380" s="402"/>
      <c r="V1380" s="402"/>
      <c r="W1380" s="402"/>
      <c r="X1380" s="402"/>
      <c r="Y1380" s="402"/>
      <c r="Z1380" s="402"/>
      <c r="AA1380" s="405"/>
      <c r="AB1380" s="405"/>
      <c r="AC1380" s="405"/>
      <c r="AD1380" s="405"/>
      <c r="AE1380" s="405"/>
      <c r="AF1380" s="405"/>
      <c r="AG1380" s="405"/>
      <c r="AH1380" s="405"/>
      <c r="AI1380" s="405"/>
      <c r="AJ1380" s="405"/>
      <c r="AK1380" s="405"/>
      <c r="AL1380" s="405"/>
    </row>
    <row r="1381" ht="14.25" customHeight="1">
      <c r="A1381" s="402"/>
      <c r="B1381" s="402"/>
      <c r="C1381" s="402"/>
      <c r="D1381" s="402"/>
      <c r="E1381" s="402"/>
      <c r="F1381" s="402"/>
      <c r="G1381" s="403"/>
      <c r="H1381" s="402"/>
      <c r="I1381" s="402"/>
      <c r="J1381" s="402"/>
      <c r="K1381" s="402"/>
      <c r="L1381" s="402"/>
      <c r="M1381" s="402"/>
      <c r="N1381" s="402"/>
      <c r="O1381" s="402"/>
      <c r="P1381" s="402"/>
      <c r="Q1381" s="402"/>
      <c r="R1381" s="402"/>
      <c r="S1381" s="402"/>
      <c r="T1381" s="402"/>
      <c r="U1381" s="402"/>
      <c r="V1381" s="402"/>
      <c r="W1381" s="402"/>
      <c r="X1381" s="402"/>
      <c r="Y1381" s="402"/>
      <c r="Z1381" s="402"/>
      <c r="AA1381" s="405"/>
      <c r="AB1381" s="405"/>
      <c r="AC1381" s="405"/>
      <c r="AD1381" s="405"/>
      <c r="AE1381" s="405"/>
      <c r="AF1381" s="405"/>
      <c r="AG1381" s="405"/>
      <c r="AH1381" s="405"/>
      <c r="AI1381" s="405"/>
      <c r="AJ1381" s="405"/>
      <c r="AK1381" s="405"/>
      <c r="AL1381" s="405"/>
    </row>
    <row r="1382" ht="14.25" customHeight="1">
      <c r="A1382" s="402"/>
      <c r="B1382" s="402"/>
      <c r="C1382" s="402"/>
      <c r="D1382" s="402"/>
      <c r="E1382" s="402"/>
      <c r="F1382" s="402"/>
      <c r="G1382" s="403"/>
      <c r="H1382" s="402"/>
      <c r="I1382" s="402"/>
      <c r="J1382" s="402"/>
      <c r="K1382" s="402"/>
      <c r="L1382" s="402"/>
      <c r="M1382" s="402"/>
      <c r="N1382" s="402"/>
      <c r="O1382" s="402"/>
      <c r="P1382" s="402"/>
      <c r="Q1382" s="402"/>
      <c r="R1382" s="402"/>
      <c r="S1382" s="402"/>
      <c r="T1382" s="402"/>
      <c r="U1382" s="402"/>
      <c r="V1382" s="402"/>
      <c r="W1382" s="402"/>
      <c r="X1382" s="402"/>
      <c r="Y1382" s="402"/>
      <c r="Z1382" s="402"/>
      <c r="AA1382" s="405"/>
      <c r="AB1382" s="405"/>
      <c r="AC1382" s="405"/>
      <c r="AD1382" s="405"/>
      <c r="AE1382" s="405"/>
      <c r="AF1382" s="405"/>
      <c r="AG1382" s="405"/>
      <c r="AH1382" s="405"/>
      <c r="AI1382" s="405"/>
      <c r="AJ1382" s="405"/>
      <c r="AK1382" s="405"/>
      <c r="AL1382" s="405"/>
    </row>
    <row r="1383" ht="14.25" customHeight="1">
      <c r="A1383" s="402"/>
      <c r="B1383" s="402"/>
      <c r="C1383" s="402"/>
      <c r="D1383" s="402"/>
      <c r="E1383" s="402"/>
      <c r="F1383" s="402"/>
      <c r="G1383" s="403"/>
      <c r="H1383" s="402"/>
      <c r="I1383" s="402"/>
      <c r="J1383" s="402"/>
      <c r="K1383" s="402"/>
      <c r="L1383" s="402"/>
      <c r="M1383" s="402"/>
      <c r="N1383" s="402"/>
      <c r="O1383" s="402"/>
      <c r="P1383" s="402"/>
      <c r="Q1383" s="402"/>
      <c r="R1383" s="402"/>
      <c r="S1383" s="402"/>
      <c r="T1383" s="402"/>
      <c r="U1383" s="402"/>
      <c r="V1383" s="402"/>
      <c r="W1383" s="402"/>
      <c r="X1383" s="402"/>
      <c r="Y1383" s="402"/>
      <c r="Z1383" s="402"/>
      <c r="AA1383" s="405"/>
      <c r="AB1383" s="405"/>
      <c r="AC1383" s="405"/>
      <c r="AD1383" s="405"/>
      <c r="AE1383" s="405"/>
      <c r="AF1383" s="405"/>
      <c r="AG1383" s="405"/>
      <c r="AH1383" s="405"/>
      <c r="AI1383" s="405"/>
      <c r="AJ1383" s="405"/>
      <c r="AK1383" s="405"/>
      <c r="AL1383" s="405"/>
    </row>
    <row r="1384" ht="14.25" customHeight="1">
      <c r="A1384" s="402"/>
      <c r="B1384" s="402"/>
      <c r="C1384" s="402"/>
      <c r="D1384" s="402"/>
      <c r="E1384" s="402"/>
      <c r="F1384" s="402"/>
      <c r="G1384" s="403"/>
      <c r="H1384" s="402"/>
      <c r="I1384" s="402"/>
      <c r="J1384" s="402"/>
      <c r="K1384" s="402"/>
      <c r="L1384" s="402"/>
      <c r="M1384" s="402"/>
      <c r="N1384" s="402"/>
      <c r="O1384" s="402"/>
      <c r="P1384" s="402"/>
      <c r="Q1384" s="402"/>
      <c r="R1384" s="402"/>
      <c r="S1384" s="402"/>
      <c r="T1384" s="402"/>
      <c r="U1384" s="402"/>
      <c r="V1384" s="402"/>
      <c r="W1384" s="402"/>
      <c r="X1384" s="402"/>
      <c r="Y1384" s="402"/>
      <c r="Z1384" s="402"/>
      <c r="AA1384" s="405"/>
      <c r="AB1384" s="405"/>
      <c r="AC1384" s="405"/>
      <c r="AD1384" s="405"/>
      <c r="AE1384" s="405"/>
      <c r="AF1384" s="405"/>
      <c r="AG1384" s="405"/>
      <c r="AH1384" s="405"/>
      <c r="AI1384" s="405"/>
      <c r="AJ1384" s="405"/>
      <c r="AK1384" s="405"/>
      <c r="AL1384" s="405"/>
    </row>
    <row r="1385" ht="14.25" customHeight="1">
      <c r="A1385" s="402"/>
      <c r="B1385" s="402"/>
      <c r="C1385" s="402"/>
      <c r="D1385" s="402"/>
      <c r="E1385" s="402"/>
      <c r="F1385" s="402"/>
      <c r="G1385" s="403"/>
      <c r="H1385" s="402"/>
      <c r="I1385" s="402"/>
      <c r="J1385" s="402"/>
      <c r="K1385" s="402"/>
      <c r="L1385" s="402"/>
      <c r="M1385" s="402"/>
      <c r="N1385" s="402"/>
      <c r="O1385" s="402"/>
      <c r="P1385" s="402"/>
      <c r="Q1385" s="402"/>
      <c r="R1385" s="402"/>
      <c r="S1385" s="402"/>
      <c r="T1385" s="402"/>
      <c r="U1385" s="402"/>
      <c r="V1385" s="402"/>
      <c r="W1385" s="402"/>
      <c r="X1385" s="402"/>
      <c r="Y1385" s="402"/>
      <c r="Z1385" s="402"/>
      <c r="AA1385" s="405"/>
      <c r="AB1385" s="405"/>
      <c r="AC1385" s="405"/>
      <c r="AD1385" s="405"/>
      <c r="AE1385" s="405"/>
      <c r="AF1385" s="405"/>
      <c r="AG1385" s="405"/>
      <c r="AH1385" s="405"/>
      <c r="AI1385" s="405"/>
      <c r="AJ1385" s="405"/>
      <c r="AK1385" s="405"/>
      <c r="AL1385" s="405"/>
    </row>
    <row r="1386" ht="14.25" customHeight="1">
      <c r="A1386" s="402"/>
      <c r="B1386" s="402"/>
      <c r="C1386" s="402"/>
      <c r="D1386" s="402"/>
      <c r="E1386" s="402"/>
      <c r="F1386" s="402"/>
      <c r="G1386" s="403"/>
      <c r="H1386" s="402"/>
      <c r="I1386" s="402"/>
      <c r="J1386" s="402"/>
      <c r="K1386" s="402"/>
      <c r="L1386" s="402"/>
      <c r="M1386" s="402"/>
      <c r="N1386" s="402"/>
      <c r="O1386" s="402"/>
      <c r="P1386" s="402"/>
      <c r="Q1386" s="402"/>
      <c r="R1386" s="402"/>
      <c r="S1386" s="402"/>
      <c r="T1386" s="402"/>
      <c r="U1386" s="402"/>
      <c r="V1386" s="402"/>
      <c r="W1386" s="402"/>
      <c r="X1386" s="402"/>
      <c r="Y1386" s="402"/>
      <c r="Z1386" s="402"/>
      <c r="AA1386" s="405"/>
      <c r="AB1386" s="405"/>
      <c r="AC1386" s="405"/>
      <c r="AD1386" s="405"/>
      <c r="AE1386" s="405"/>
      <c r="AF1386" s="405"/>
      <c r="AG1386" s="405"/>
      <c r="AH1386" s="405"/>
      <c r="AI1386" s="405"/>
      <c r="AJ1386" s="405"/>
      <c r="AK1386" s="405"/>
      <c r="AL1386" s="405"/>
    </row>
    <row r="1387" ht="14.25" customHeight="1">
      <c r="A1387" s="402"/>
      <c r="B1387" s="402"/>
      <c r="C1387" s="402"/>
      <c r="D1387" s="402"/>
      <c r="E1387" s="402"/>
      <c r="F1387" s="402"/>
      <c r="G1387" s="403"/>
      <c r="H1387" s="402"/>
      <c r="I1387" s="402"/>
      <c r="J1387" s="402"/>
      <c r="K1387" s="402"/>
      <c r="L1387" s="402"/>
      <c r="M1387" s="402"/>
      <c r="N1387" s="402"/>
      <c r="O1387" s="402"/>
      <c r="P1387" s="402"/>
      <c r="Q1387" s="402"/>
      <c r="R1387" s="402"/>
      <c r="S1387" s="402"/>
      <c r="T1387" s="402"/>
      <c r="U1387" s="402"/>
      <c r="V1387" s="402"/>
      <c r="W1387" s="402"/>
      <c r="X1387" s="402"/>
      <c r="Y1387" s="402"/>
      <c r="Z1387" s="402"/>
      <c r="AA1387" s="405"/>
      <c r="AB1387" s="405"/>
      <c r="AC1387" s="405"/>
      <c r="AD1387" s="405"/>
      <c r="AE1387" s="405"/>
      <c r="AF1387" s="405"/>
      <c r="AG1387" s="405"/>
      <c r="AH1387" s="405"/>
      <c r="AI1387" s="405"/>
      <c r="AJ1387" s="405"/>
      <c r="AK1387" s="405"/>
      <c r="AL1387" s="405"/>
    </row>
    <row r="1388" ht="14.25" customHeight="1">
      <c r="A1388" s="402"/>
      <c r="B1388" s="402"/>
      <c r="C1388" s="402"/>
      <c r="D1388" s="402"/>
      <c r="E1388" s="402"/>
      <c r="F1388" s="402"/>
      <c r="G1388" s="403"/>
      <c r="H1388" s="402"/>
      <c r="I1388" s="402"/>
      <c r="J1388" s="402"/>
      <c r="K1388" s="402"/>
      <c r="L1388" s="402"/>
      <c r="M1388" s="402"/>
      <c r="N1388" s="402"/>
      <c r="O1388" s="402"/>
      <c r="P1388" s="402"/>
      <c r="Q1388" s="402"/>
      <c r="R1388" s="402"/>
      <c r="S1388" s="402"/>
      <c r="T1388" s="402"/>
      <c r="U1388" s="402"/>
      <c r="V1388" s="402"/>
      <c r="W1388" s="402"/>
      <c r="X1388" s="402"/>
      <c r="Y1388" s="402"/>
      <c r="Z1388" s="402"/>
      <c r="AA1388" s="405"/>
      <c r="AB1388" s="405"/>
      <c r="AC1388" s="405"/>
      <c r="AD1388" s="405"/>
      <c r="AE1388" s="405"/>
      <c r="AF1388" s="405"/>
      <c r="AG1388" s="405"/>
      <c r="AH1388" s="405"/>
      <c r="AI1388" s="405"/>
      <c r="AJ1388" s="405"/>
      <c r="AK1388" s="405"/>
      <c r="AL1388" s="405"/>
    </row>
    <row r="1389" ht="14.25" customHeight="1">
      <c r="A1389" s="402"/>
      <c r="B1389" s="402"/>
      <c r="C1389" s="402"/>
      <c r="D1389" s="402"/>
      <c r="E1389" s="402"/>
      <c r="F1389" s="402"/>
      <c r="G1389" s="403"/>
      <c r="H1389" s="402"/>
      <c r="I1389" s="402"/>
      <c r="J1389" s="402"/>
      <c r="K1389" s="402"/>
      <c r="L1389" s="402"/>
      <c r="M1389" s="402"/>
      <c r="N1389" s="402"/>
      <c r="O1389" s="402"/>
      <c r="P1389" s="402"/>
      <c r="Q1389" s="402"/>
      <c r="R1389" s="402"/>
      <c r="S1389" s="402"/>
      <c r="T1389" s="402"/>
      <c r="U1389" s="402"/>
      <c r="V1389" s="402"/>
      <c r="W1389" s="402"/>
      <c r="X1389" s="402"/>
      <c r="Y1389" s="402"/>
      <c r="Z1389" s="402"/>
      <c r="AA1389" s="405"/>
      <c r="AB1389" s="405"/>
      <c r="AC1389" s="405"/>
      <c r="AD1389" s="405"/>
      <c r="AE1389" s="405"/>
      <c r="AF1389" s="405"/>
      <c r="AG1389" s="405"/>
      <c r="AH1389" s="405"/>
      <c r="AI1389" s="405"/>
      <c r="AJ1389" s="405"/>
      <c r="AK1389" s="405"/>
      <c r="AL1389" s="405"/>
    </row>
    <row r="1390" ht="14.25" customHeight="1">
      <c r="A1390" s="402"/>
      <c r="B1390" s="402"/>
      <c r="C1390" s="402"/>
      <c r="D1390" s="402"/>
      <c r="E1390" s="402"/>
      <c r="F1390" s="402"/>
      <c r="G1390" s="403"/>
      <c r="H1390" s="402"/>
      <c r="I1390" s="402"/>
      <c r="J1390" s="402"/>
      <c r="K1390" s="402"/>
      <c r="L1390" s="402"/>
      <c r="M1390" s="402"/>
      <c r="N1390" s="402"/>
      <c r="O1390" s="402"/>
      <c r="P1390" s="402"/>
      <c r="Q1390" s="402"/>
      <c r="R1390" s="402"/>
      <c r="S1390" s="402"/>
      <c r="T1390" s="402"/>
      <c r="U1390" s="402"/>
      <c r="V1390" s="402"/>
      <c r="W1390" s="402"/>
      <c r="X1390" s="402"/>
      <c r="Y1390" s="402"/>
      <c r="Z1390" s="402"/>
      <c r="AA1390" s="405"/>
      <c r="AB1390" s="405"/>
      <c r="AC1390" s="405"/>
      <c r="AD1390" s="405"/>
      <c r="AE1390" s="405"/>
      <c r="AF1390" s="405"/>
      <c r="AG1390" s="405"/>
      <c r="AH1390" s="405"/>
      <c r="AI1390" s="405"/>
      <c r="AJ1390" s="405"/>
      <c r="AK1390" s="405"/>
      <c r="AL1390" s="405"/>
    </row>
    <row r="1391" ht="14.25" customHeight="1">
      <c r="A1391" s="402"/>
      <c r="B1391" s="402"/>
      <c r="C1391" s="402"/>
      <c r="D1391" s="402"/>
      <c r="E1391" s="402"/>
      <c r="F1391" s="402"/>
      <c r="G1391" s="403"/>
      <c r="H1391" s="402"/>
      <c r="I1391" s="402"/>
      <c r="J1391" s="402"/>
      <c r="K1391" s="402"/>
      <c r="L1391" s="402"/>
      <c r="M1391" s="402"/>
      <c r="N1391" s="402"/>
      <c r="O1391" s="402"/>
      <c r="P1391" s="402"/>
      <c r="Q1391" s="402"/>
      <c r="R1391" s="402"/>
      <c r="S1391" s="402"/>
      <c r="T1391" s="402"/>
      <c r="U1391" s="402"/>
      <c r="V1391" s="402"/>
      <c r="W1391" s="402"/>
      <c r="X1391" s="402"/>
      <c r="Y1391" s="402"/>
      <c r="Z1391" s="402"/>
      <c r="AA1391" s="405"/>
      <c r="AB1391" s="405"/>
      <c r="AC1391" s="405"/>
      <c r="AD1391" s="405"/>
      <c r="AE1391" s="405"/>
      <c r="AF1391" s="405"/>
      <c r="AG1391" s="405"/>
      <c r="AH1391" s="405"/>
      <c r="AI1391" s="405"/>
      <c r="AJ1391" s="405"/>
      <c r="AK1391" s="405"/>
      <c r="AL1391" s="405"/>
    </row>
    <row r="1392" ht="14.25" customHeight="1">
      <c r="A1392" s="402"/>
      <c r="B1392" s="402"/>
      <c r="C1392" s="402"/>
      <c r="D1392" s="402"/>
      <c r="E1392" s="402"/>
      <c r="F1392" s="402"/>
      <c r="G1392" s="403"/>
      <c r="H1392" s="402"/>
      <c r="I1392" s="402"/>
      <c r="J1392" s="402"/>
      <c r="K1392" s="402"/>
      <c r="L1392" s="402"/>
      <c r="M1392" s="402"/>
      <c r="N1392" s="402"/>
      <c r="O1392" s="402"/>
      <c r="P1392" s="402"/>
      <c r="Q1392" s="402"/>
      <c r="R1392" s="402"/>
      <c r="S1392" s="402"/>
      <c r="T1392" s="402"/>
      <c r="U1392" s="402"/>
      <c r="V1392" s="402"/>
      <c r="W1392" s="402"/>
      <c r="X1392" s="402"/>
      <c r="Y1392" s="402"/>
      <c r="Z1392" s="402"/>
      <c r="AA1392" s="405"/>
      <c r="AB1392" s="405"/>
      <c r="AC1392" s="405"/>
      <c r="AD1392" s="405"/>
      <c r="AE1392" s="405"/>
      <c r="AF1392" s="405"/>
      <c r="AG1392" s="405"/>
      <c r="AH1392" s="405"/>
      <c r="AI1392" s="405"/>
      <c r="AJ1392" s="405"/>
      <c r="AK1392" s="405"/>
      <c r="AL1392" s="405"/>
    </row>
    <row r="1393" ht="14.25" customHeight="1">
      <c r="A1393" s="402"/>
      <c r="B1393" s="402"/>
      <c r="C1393" s="402"/>
      <c r="D1393" s="402"/>
      <c r="E1393" s="402"/>
      <c r="F1393" s="402"/>
      <c r="G1393" s="403"/>
      <c r="H1393" s="402"/>
      <c r="I1393" s="402"/>
      <c r="J1393" s="402"/>
      <c r="K1393" s="402"/>
      <c r="L1393" s="402"/>
      <c r="M1393" s="402"/>
      <c r="N1393" s="402"/>
      <c r="O1393" s="402"/>
      <c r="P1393" s="402"/>
      <c r="Q1393" s="402"/>
      <c r="R1393" s="402"/>
      <c r="S1393" s="402"/>
      <c r="T1393" s="402"/>
      <c r="U1393" s="402"/>
      <c r="V1393" s="402"/>
      <c r="W1393" s="402"/>
      <c r="X1393" s="402"/>
      <c r="Y1393" s="402"/>
      <c r="Z1393" s="402"/>
      <c r="AA1393" s="405"/>
      <c r="AB1393" s="405"/>
      <c r="AC1393" s="405"/>
      <c r="AD1393" s="405"/>
      <c r="AE1393" s="405"/>
      <c r="AF1393" s="405"/>
      <c r="AG1393" s="405"/>
      <c r="AH1393" s="405"/>
      <c r="AI1393" s="405"/>
      <c r="AJ1393" s="405"/>
      <c r="AK1393" s="405"/>
      <c r="AL1393" s="405"/>
    </row>
    <row r="1394" ht="14.25" customHeight="1">
      <c r="A1394" s="402"/>
      <c r="B1394" s="402"/>
      <c r="C1394" s="402"/>
      <c r="D1394" s="402"/>
      <c r="E1394" s="402"/>
      <c r="F1394" s="402"/>
      <c r="G1394" s="403"/>
      <c r="H1394" s="402"/>
      <c r="I1394" s="402"/>
      <c r="J1394" s="402"/>
      <c r="K1394" s="402"/>
      <c r="L1394" s="402"/>
      <c r="M1394" s="402"/>
      <c r="N1394" s="402"/>
      <c r="O1394" s="402"/>
      <c r="P1394" s="402"/>
      <c r="Q1394" s="402"/>
      <c r="R1394" s="402"/>
      <c r="S1394" s="402"/>
      <c r="T1394" s="402"/>
      <c r="U1394" s="402"/>
      <c r="V1394" s="402"/>
      <c r="W1394" s="402"/>
      <c r="X1394" s="402"/>
      <c r="Y1394" s="402"/>
      <c r="Z1394" s="402"/>
      <c r="AA1394" s="405"/>
      <c r="AB1394" s="405"/>
      <c r="AC1394" s="405"/>
      <c r="AD1394" s="405"/>
      <c r="AE1394" s="405"/>
      <c r="AF1394" s="405"/>
      <c r="AG1394" s="405"/>
      <c r="AH1394" s="405"/>
      <c r="AI1394" s="405"/>
      <c r="AJ1394" s="405"/>
      <c r="AK1394" s="405"/>
      <c r="AL1394" s="405"/>
    </row>
    <row r="1395" ht="14.25" customHeight="1">
      <c r="A1395" s="402"/>
      <c r="B1395" s="402"/>
      <c r="C1395" s="402"/>
      <c r="D1395" s="402"/>
      <c r="E1395" s="402"/>
      <c r="F1395" s="402"/>
      <c r="G1395" s="403"/>
      <c r="H1395" s="402"/>
      <c r="I1395" s="402"/>
      <c r="J1395" s="402"/>
      <c r="K1395" s="402"/>
      <c r="L1395" s="402"/>
      <c r="M1395" s="402"/>
      <c r="N1395" s="402"/>
      <c r="O1395" s="402"/>
      <c r="P1395" s="402"/>
      <c r="Q1395" s="402"/>
      <c r="R1395" s="402"/>
      <c r="S1395" s="402"/>
      <c r="T1395" s="402"/>
      <c r="U1395" s="402"/>
      <c r="V1395" s="402"/>
      <c r="W1395" s="402"/>
      <c r="X1395" s="402"/>
      <c r="Y1395" s="402"/>
      <c r="Z1395" s="402"/>
      <c r="AA1395" s="405"/>
      <c r="AB1395" s="405"/>
      <c r="AC1395" s="405"/>
      <c r="AD1395" s="405"/>
      <c r="AE1395" s="405"/>
      <c r="AF1395" s="405"/>
      <c r="AG1395" s="405"/>
      <c r="AH1395" s="405"/>
      <c r="AI1395" s="405"/>
      <c r="AJ1395" s="405"/>
      <c r="AK1395" s="405"/>
      <c r="AL1395" s="405"/>
    </row>
    <row r="1396" ht="14.25" customHeight="1">
      <c r="A1396" s="402"/>
      <c r="B1396" s="402"/>
      <c r="C1396" s="402"/>
      <c r="D1396" s="402"/>
      <c r="E1396" s="402"/>
      <c r="F1396" s="402"/>
      <c r="G1396" s="403"/>
      <c r="H1396" s="402"/>
      <c r="I1396" s="402"/>
      <c r="J1396" s="402"/>
      <c r="K1396" s="402"/>
      <c r="L1396" s="402"/>
      <c r="M1396" s="402"/>
      <c r="N1396" s="402"/>
      <c r="O1396" s="402"/>
      <c r="P1396" s="402"/>
      <c r="Q1396" s="402"/>
      <c r="R1396" s="402"/>
      <c r="S1396" s="402"/>
      <c r="T1396" s="402"/>
      <c r="U1396" s="402"/>
      <c r="V1396" s="402"/>
      <c r="W1396" s="402"/>
      <c r="X1396" s="402"/>
      <c r="Y1396" s="402"/>
      <c r="Z1396" s="402"/>
      <c r="AA1396" s="405"/>
      <c r="AB1396" s="405"/>
      <c r="AC1396" s="405"/>
      <c r="AD1396" s="405"/>
      <c r="AE1396" s="405"/>
      <c r="AF1396" s="405"/>
      <c r="AG1396" s="405"/>
      <c r="AH1396" s="405"/>
      <c r="AI1396" s="405"/>
      <c r="AJ1396" s="405"/>
      <c r="AK1396" s="405"/>
      <c r="AL1396" s="405"/>
    </row>
    <row r="1397" ht="14.25" customHeight="1">
      <c r="A1397" s="402"/>
      <c r="B1397" s="402"/>
      <c r="C1397" s="402"/>
      <c r="D1397" s="402"/>
      <c r="E1397" s="402"/>
      <c r="F1397" s="402"/>
      <c r="G1397" s="403"/>
      <c r="H1397" s="402"/>
      <c r="I1397" s="402"/>
      <c r="J1397" s="402"/>
      <c r="K1397" s="402"/>
      <c r="L1397" s="402"/>
      <c r="M1397" s="402"/>
      <c r="N1397" s="402"/>
      <c r="O1397" s="402"/>
      <c r="P1397" s="402"/>
      <c r="Q1397" s="402"/>
      <c r="R1397" s="402"/>
      <c r="S1397" s="402"/>
      <c r="T1397" s="402"/>
      <c r="U1397" s="402"/>
      <c r="V1397" s="402"/>
      <c r="W1397" s="402"/>
      <c r="X1397" s="402"/>
      <c r="Y1397" s="402"/>
      <c r="Z1397" s="402"/>
      <c r="AA1397" s="405"/>
      <c r="AB1397" s="405"/>
      <c r="AC1397" s="405"/>
      <c r="AD1397" s="405"/>
      <c r="AE1397" s="405"/>
      <c r="AF1397" s="405"/>
      <c r="AG1397" s="405"/>
      <c r="AH1397" s="405"/>
      <c r="AI1397" s="405"/>
      <c r="AJ1397" s="405"/>
      <c r="AK1397" s="405"/>
      <c r="AL1397" s="405"/>
    </row>
    <row r="1398" ht="14.25" customHeight="1">
      <c r="A1398" s="402"/>
      <c r="B1398" s="402"/>
      <c r="C1398" s="402"/>
      <c r="D1398" s="402"/>
      <c r="E1398" s="402"/>
      <c r="F1398" s="402"/>
      <c r="G1398" s="403"/>
      <c r="H1398" s="402"/>
      <c r="I1398" s="402"/>
      <c r="J1398" s="402"/>
      <c r="K1398" s="402"/>
      <c r="L1398" s="402"/>
      <c r="M1398" s="402"/>
      <c r="N1398" s="402"/>
      <c r="O1398" s="402"/>
      <c r="P1398" s="402"/>
      <c r="Q1398" s="402"/>
      <c r="R1398" s="402"/>
      <c r="S1398" s="402"/>
      <c r="T1398" s="402"/>
      <c r="U1398" s="402"/>
      <c r="V1398" s="402"/>
      <c r="W1398" s="402"/>
      <c r="X1398" s="402"/>
      <c r="Y1398" s="402"/>
      <c r="Z1398" s="402"/>
      <c r="AA1398" s="405"/>
      <c r="AB1398" s="405"/>
      <c r="AC1398" s="405"/>
      <c r="AD1398" s="405"/>
      <c r="AE1398" s="405"/>
      <c r="AF1398" s="405"/>
      <c r="AG1398" s="405"/>
      <c r="AH1398" s="405"/>
      <c r="AI1398" s="405"/>
      <c r="AJ1398" s="405"/>
      <c r="AK1398" s="405"/>
      <c r="AL1398" s="405"/>
    </row>
    <row r="1399" ht="14.25" customHeight="1">
      <c r="A1399" s="402"/>
      <c r="B1399" s="402"/>
      <c r="C1399" s="402"/>
      <c r="D1399" s="402"/>
      <c r="E1399" s="402"/>
      <c r="F1399" s="402"/>
      <c r="G1399" s="403"/>
      <c r="H1399" s="402"/>
      <c r="I1399" s="402"/>
      <c r="J1399" s="402"/>
      <c r="K1399" s="402"/>
      <c r="L1399" s="402"/>
      <c r="M1399" s="402"/>
      <c r="N1399" s="402"/>
      <c r="O1399" s="402"/>
      <c r="P1399" s="402"/>
      <c r="Q1399" s="402"/>
      <c r="R1399" s="402"/>
      <c r="S1399" s="402"/>
      <c r="T1399" s="402"/>
      <c r="U1399" s="402"/>
      <c r="V1399" s="402"/>
      <c r="W1399" s="402"/>
      <c r="X1399" s="402"/>
      <c r="Y1399" s="402"/>
      <c r="Z1399" s="402"/>
      <c r="AA1399" s="405"/>
      <c r="AB1399" s="405"/>
      <c r="AC1399" s="405"/>
      <c r="AD1399" s="405"/>
      <c r="AE1399" s="405"/>
      <c r="AF1399" s="405"/>
      <c r="AG1399" s="405"/>
      <c r="AH1399" s="405"/>
      <c r="AI1399" s="405"/>
      <c r="AJ1399" s="405"/>
      <c r="AK1399" s="405"/>
      <c r="AL1399" s="405"/>
    </row>
    <row r="1400" ht="14.25" customHeight="1">
      <c r="A1400" s="402"/>
      <c r="B1400" s="402"/>
      <c r="C1400" s="402"/>
      <c r="D1400" s="402"/>
      <c r="E1400" s="402"/>
      <c r="F1400" s="402"/>
      <c r="G1400" s="403"/>
      <c r="H1400" s="402"/>
      <c r="I1400" s="402"/>
      <c r="J1400" s="402"/>
      <c r="K1400" s="402"/>
      <c r="L1400" s="402"/>
      <c r="M1400" s="402"/>
      <c r="N1400" s="402"/>
      <c r="O1400" s="402"/>
      <c r="P1400" s="402"/>
      <c r="Q1400" s="402"/>
      <c r="R1400" s="402"/>
      <c r="S1400" s="402"/>
      <c r="T1400" s="402"/>
      <c r="U1400" s="402"/>
      <c r="V1400" s="402"/>
      <c r="W1400" s="402"/>
      <c r="X1400" s="402"/>
      <c r="Y1400" s="402"/>
      <c r="Z1400" s="402"/>
      <c r="AA1400" s="405"/>
      <c r="AB1400" s="405"/>
      <c r="AC1400" s="405"/>
      <c r="AD1400" s="405"/>
      <c r="AE1400" s="405"/>
      <c r="AF1400" s="405"/>
      <c r="AG1400" s="405"/>
      <c r="AH1400" s="405"/>
      <c r="AI1400" s="405"/>
      <c r="AJ1400" s="405"/>
      <c r="AK1400" s="405"/>
      <c r="AL1400" s="405"/>
    </row>
    <row r="1401" ht="14.25" customHeight="1">
      <c r="A1401" s="402"/>
      <c r="B1401" s="402"/>
      <c r="C1401" s="402"/>
      <c r="D1401" s="402"/>
      <c r="E1401" s="402"/>
      <c r="F1401" s="402"/>
      <c r="G1401" s="403"/>
      <c r="H1401" s="402"/>
      <c r="I1401" s="402"/>
      <c r="J1401" s="402"/>
      <c r="K1401" s="402"/>
      <c r="L1401" s="402"/>
      <c r="M1401" s="402"/>
      <c r="N1401" s="402"/>
      <c r="O1401" s="402"/>
      <c r="P1401" s="402"/>
      <c r="Q1401" s="402"/>
      <c r="R1401" s="402"/>
      <c r="S1401" s="402"/>
      <c r="T1401" s="402"/>
      <c r="U1401" s="402"/>
      <c r="V1401" s="402"/>
      <c r="W1401" s="402"/>
      <c r="X1401" s="402"/>
      <c r="Y1401" s="402"/>
      <c r="Z1401" s="402"/>
      <c r="AA1401" s="405"/>
      <c r="AB1401" s="405"/>
      <c r="AC1401" s="405"/>
      <c r="AD1401" s="405"/>
      <c r="AE1401" s="405"/>
      <c r="AF1401" s="405"/>
      <c r="AG1401" s="405"/>
      <c r="AH1401" s="405"/>
      <c r="AI1401" s="405"/>
      <c r="AJ1401" s="405"/>
      <c r="AK1401" s="405"/>
      <c r="AL1401" s="405"/>
    </row>
    <row r="1402" ht="14.25" customHeight="1">
      <c r="A1402" s="402"/>
      <c r="B1402" s="402"/>
      <c r="C1402" s="402"/>
      <c r="D1402" s="402"/>
      <c r="E1402" s="402"/>
      <c r="F1402" s="402"/>
      <c r="G1402" s="403"/>
      <c r="H1402" s="402"/>
      <c r="I1402" s="402"/>
      <c r="J1402" s="402"/>
      <c r="K1402" s="402"/>
      <c r="L1402" s="402"/>
      <c r="M1402" s="402"/>
      <c r="N1402" s="402"/>
      <c r="O1402" s="402"/>
      <c r="P1402" s="402"/>
      <c r="Q1402" s="402"/>
      <c r="R1402" s="402"/>
      <c r="S1402" s="402"/>
      <c r="T1402" s="402"/>
      <c r="U1402" s="402"/>
      <c r="V1402" s="402"/>
      <c r="W1402" s="402"/>
      <c r="X1402" s="402"/>
      <c r="Y1402" s="402"/>
      <c r="Z1402" s="402"/>
      <c r="AA1402" s="405"/>
      <c r="AB1402" s="405"/>
      <c r="AC1402" s="405"/>
      <c r="AD1402" s="405"/>
      <c r="AE1402" s="405"/>
      <c r="AF1402" s="405"/>
      <c r="AG1402" s="405"/>
      <c r="AH1402" s="405"/>
      <c r="AI1402" s="405"/>
      <c r="AJ1402" s="405"/>
      <c r="AK1402" s="405"/>
      <c r="AL1402" s="405"/>
    </row>
    <row r="1403" ht="14.25" customHeight="1">
      <c r="A1403" s="402"/>
      <c r="B1403" s="402"/>
      <c r="C1403" s="402"/>
      <c r="D1403" s="402"/>
      <c r="E1403" s="402"/>
      <c r="F1403" s="402"/>
      <c r="G1403" s="403"/>
      <c r="H1403" s="402"/>
      <c r="I1403" s="402"/>
      <c r="J1403" s="402"/>
      <c r="K1403" s="402"/>
      <c r="L1403" s="402"/>
      <c r="M1403" s="402"/>
      <c r="N1403" s="402"/>
      <c r="O1403" s="402"/>
      <c r="P1403" s="402"/>
      <c r="Q1403" s="402"/>
      <c r="R1403" s="402"/>
      <c r="S1403" s="402"/>
      <c r="T1403" s="402"/>
      <c r="U1403" s="402"/>
      <c r="V1403" s="402"/>
      <c r="W1403" s="402"/>
      <c r="X1403" s="402"/>
      <c r="Y1403" s="402"/>
      <c r="Z1403" s="402"/>
      <c r="AA1403" s="405"/>
      <c r="AB1403" s="405"/>
      <c r="AC1403" s="405"/>
      <c r="AD1403" s="405"/>
      <c r="AE1403" s="405"/>
      <c r="AF1403" s="405"/>
      <c r="AG1403" s="405"/>
      <c r="AH1403" s="405"/>
      <c r="AI1403" s="405"/>
      <c r="AJ1403" s="405"/>
      <c r="AK1403" s="405"/>
      <c r="AL1403" s="405"/>
    </row>
    <row r="1404" ht="14.25" customHeight="1">
      <c r="A1404" s="402"/>
      <c r="B1404" s="402"/>
      <c r="C1404" s="402"/>
      <c r="D1404" s="402"/>
      <c r="E1404" s="402"/>
      <c r="F1404" s="402"/>
      <c r="G1404" s="403"/>
      <c r="H1404" s="402"/>
      <c r="I1404" s="402"/>
      <c r="J1404" s="402"/>
      <c r="K1404" s="402"/>
      <c r="L1404" s="402"/>
      <c r="M1404" s="402"/>
      <c r="N1404" s="402"/>
      <c r="O1404" s="402"/>
      <c r="P1404" s="402"/>
      <c r="Q1404" s="402"/>
      <c r="R1404" s="402"/>
      <c r="S1404" s="402"/>
      <c r="T1404" s="402"/>
      <c r="U1404" s="402"/>
      <c r="V1404" s="402"/>
      <c r="W1404" s="402"/>
      <c r="X1404" s="402"/>
      <c r="Y1404" s="402"/>
      <c r="Z1404" s="402"/>
      <c r="AA1404" s="405"/>
      <c r="AB1404" s="405"/>
      <c r="AC1404" s="405"/>
      <c r="AD1404" s="405"/>
      <c r="AE1404" s="405"/>
      <c r="AF1404" s="405"/>
      <c r="AG1404" s="405"/>
      <c r="AH1404" s="405"/>
      <c r="AI1404" s="405"/>
      <c r="AJ1404" s="405"/>
      <c r="AK1404" s="405"/>
      <c r="AL1404" s="405"/>
    </row>
    <row r="1405" ht="14.25" customHeight="1">
      <c r="A1405" s="402"/>
      <c r="B1405" s="402"/>
      <c r="C1405" s="402"/>
      <c r="D1405" s="402"/>
      <c r="E1405" s="402"/>
      <c r="F1405" s="402"/>
      <c r="G1405" s="403"/>
      <c r="H1405" s="402"/>
      <c r="I1405" s="402"/>
      <c r="J1405" s="402"/>
      <c r="K1405" s="402"/>
      <c r="L1405" s="402"/>
      <c r="M1405" s="402"/>
      <c r="N1405" s="402"/>
      <c r="O1405" s="402"/>
      <c r="P1405" s="402"/>
      <c r="Q1405" s="402"/>
      <c r="R1405" s="402"/>
      <c r="S1405" s="402"/>
      <c r="T1405" s="402"/>
      <c r="U1405" s="402"/>
      <c r="V1405" s="402"/>
      <c r="W1405" s="402"/>
      <c r="X1405" s="402"/>
      <c r="Y1405" s="402"/>
      <c r="Z1405" s="402"/>
      <c r="AA1405" s="405"/>
      <c r="AB1405" s="405"/>
      <c r="AC1405" s="405"/>
      <c r="AD1405" s="405"/>
      <c r="AE1405" s="405"/>
      <c r="AF1405" s="405"/>
      <c r="AG1405" s="405"/>
      <c r="AH1405" s="405"/>
      <c r="AI1405" s="405"/>
      <c r="AJ1405" s="405"/>
      <c r="AK1405" s="405"/>
      <c r="AL1405" s="405"/>
    </row>
    <row r="1406" ht="14.25" customHeight="1">
      <c r="A1406" s="402"/>
      <c r="B1406" s="402"/>
      <c r="C1406" s="402"/>
      <c r="D1406" s="402"/>
      <c r="E1406" s="402"/>
      <c r="F1406" s="402"/>
      <c r="G1406" s="403"/>
      <c r="H1406" s="402"/>
      <c r="I1406" s="402"/>
      <c r="J1406" s="402"/>
      <c r="K1406" s="402"/>
      <c r="L1406" s="402"/>
      <c r="M1406" s="402"/>
      <c r="N1406" s="402"/>
      <c r="O1406" s="402"/>
      <c r="P1406" s="402"/>
      <c r="Q1406" s="402"/>
      <c r="R1406" s="402"/>
      <c r="S1406" s="402"/>
      <c r="T1406" s="402"/>
      <c r="U1406" s="402"/>
      <c r="V1406" s="402"/>
      <c r="W1406" s="402"/>
      <c r="X1406" s="402"/>
      <c r="Y1406" s="402"/>
      <c r="Z1406" s="402"/>
      <c r="AA1406" s="405"/>
      <c r="AB1406" s="405"/>
      <c r="AC1406" s="405"/>
      <c r="AD1406" s="405"/>
      <c r="AE1406" s="405"/>
      <c r="AF1406" s="405"/>
      <c r="AG1406" s="405"/>
      <c r="AH1406" s="405"/>
      <c r="AI1406" s="405"/>
      <c r="AJ1406" s="405"/>
      <c r="AK1406" s="405"/>
      <c r="AL1406" s="405"/>
    </row>
    <row r="1407" ht="14.25" customHeight="1">
      <c r="A1407" s="402"/>
      <c r="B1407" s="402"/>
      <c r="C1407" s="402"/>
      <c r="D1407" s="402"/>
      <c r="E1407" s="402"/>
      <c r="F1407" s="402"/>
      <c r="G1407" s="403"/>
      <c r="H1407" s="402"/>
      <c r="I1407" s="402"/>
      <c r="J1407" s="402"/>
      <c r="K1407" s="402"/>
      <c r="L1407" s="402"/>
      <c r="M1407" s="402"/>
      <c r="N1407" s="402"/>
      <c r="O1407" s="402"/>
      <c r="P1407" s="402"/>
      <c r="Q1407" s="402"/>
      <c r="R1407" s="402"/>
      <c r="S1407" s="402"/>
      <c r="T1407" s="402"/>
      <c r="U1407" s="402"/>
      <c r="V1407" s="402"/>
      <c r="W1407" s="402"/>
      <c r="X1407" s="402"/>
      <c r="Y1407" s="402"/>
      <c r="Z1407" s="402"/>
      <c r="AA1407" s="405"/>
      <c r="AB1407" s="405"/>
      <c r="AC1407" s="405"/>
      <c r="AD1407" s="405"/>
      <c r="AE1407" s="405"/>
      <c r="AF1407" s="405"/>
      <c r="AG1407" s="405"/>
      <c r="AH1407" s="405"/>
      <c r="AI1407" s="405"/>
      <c r="AJ1407" s="405"/>
      <c r="AK1407" s="405"/>
      <c r="AL1407" s="405"/>
    </row>
    <row r="1408" ht="14.25" customHeight="1">
      <c r="A1408" s="402"/>
      <c r="B1408" s="402"/>
      <c r="C1408" s="402"/>
      <c r="D1408" s="402"/>
      <c r="E1408" s="402"/>
      <c r="F1408" s="402"/>
      <c r="G1408" s="403"/>
      <c r="H1408" s="402"/>
      <c r="I1408" s="402"/>
      <c r="J1408" s="402"/>
      <c r="K1408" s="402"/>
      <c r="L1408" s="402"/>
      <c r="M1408" s="402"/>
      <c r="N1408" s="402"/>
      <c r="O1408" s="402"/>
      <c r="P1408" s="402"/>
      <c r="Q1408" s="402"/>
      <c r="R1408" s="402"/>
      <c r="S1408" s="402"/>
      <c r="T1408" s="402"/>
      <c r="U1408" s="402"/>
      <c r="V1408" s="402"/>
      <c r="W1408" s="402"/>
      <c r="X1408" s="402"/>
      <c r="Y1408" s="402"/>
      <c r="Z1408" s="402"/>
      <c r="AA1408" s="405"/>
      <c r="AB1408" s="405"/>
      <c r="AC1408" s="405"/>
      <c r="AD1408" s="405"/>
      <c r="AE1408" s="405"/>
      <c r="AF1408" s="405"/>
      <c r="AG1408" s="405"/>
      <c r="AH1408" s="405"/>
      <c r="AI1408" s="405"/>
      <c r="AJ1408" s="405"/>
      <c r="AK1408" s="405"/>
      <c r="AL1408" s="405"/>
    </row>
    <row r="1409" ht="14.25" customHeight="1">
      <c r="A1409" s="402"/>
      <c r="B1409" s="402"/>
      <c r="C1409" s="402"/>
      <c r="D1409" s="402"/>
      <c r="E1409" s="402"/>
      <c r="F1409" s="402"/>
      <c r="G1409" s="403"/>
      <c r="H1409" s="402"/>
      <c r="I1409" s="402"/>
      <c r="J1409" s="402"/>
      <c r="K1409" s="402"/>
      <c r="L1409" s="402"/>
      <c r="M1409" s="402"/>
      <c r="N1409" s="402"/>
      <c r="O1409" s="402"/>
      <c r="P1409" s="402"/>
      <c r="Q1409" s="402"/>
      <c r="R1409" s="402"/>
      <c r="S1409" s="402"/>
      <c r="T1409" s="402"/>
      <c r="U1409" s="402"/>
      <c r="V1409" s="402"/>
      <c r="W1409" s="402"/>
      <c r="X1409" s="402"/>
      <c r="Y1409" s="402"/>
      <c r="Z1409" s="402"/>
      <c r="AA1409" s="405"/>
      <c r="AB1409" s="405"/>
      <c r="AC1409" s="405"/>
      <c r="AD1409" s="405"/>
      <c r="AE1409" s="405"/>
      <c r="AF1409" s="405"/>
      <c r="AG1409" s="405"/>
      <c r="AH1409" s="405"/>
      <c r="AI1409" s="405"/>
      <c r="AJ1409" s="405"/>
      <c r="AK1409" s="405"/>
      <c r="AL1409" s="405"/>
    </row>
    <row r="1410" ht="14.25" customHeight="1">
      <c r="A1410" s="402"/>
      <c r="B1410" s="402"/>
      <c r="C1410" s="402"/>
      <c r="D1410" s="402"/>
      <c r="E1410" s="402"/>
      <c r="F1410" s="402"/>
      <c r="G1410" s="403"/>
      <c r="H1410" s="402"/>
      <c r="I1410" s="402"/>
      <c r="J1410" s="402"/>
      <c r="K1410" s="402"/>
      <c r="L1410" s="402"/>
      <c r="M1410" s="402"/>
      <c r="N1410" s="402"/>
      <c r="O1410" s="402"/>
      <c r="P1410" s="402"/>
      <c r="Q1410" s="402"/>
      <c r="R1410" s="402"/>
      <c r="S1410" s="402"/>
      <c r="T1410" s="402"/>
      <c r="U1410" s="402"/>
      <c r="V1410" s="402"/>
      <c r="W1410" s="402"/>
      <c r="X1410" s="402"/>
      <c r="Y1410" s="402"/>
      <c r="Z1410" s="402"/>
      <c r="AA1410" s="405"/>
      <c r="AB1410" s="405"/>
      <c r="AC1410" s="405"/>
      <c r="AD1410" s="405"/>
      <c r="AE1410" s="405"/>
      <c r="AF1410" s="405"/>
      <c r="AG1410" s="405"/>
      <c r="AH1410" s="405"/>
      <c r="AI1410" s="405"/>
      <c r="AJ1410" s="405"/>
      <c r="AK1410" s="405"/>
      <c r="AL1410" s="405"/>
    </row>
    <row r="1411" ht="14.25" customHeight="1">
      <c r="A1411" s="402"/>
      <c r="B1411" s="402"/>
      <c r="C1411" s="402"/>
      <c r="D1411" s="402"/>
      <c r="E1411" s="402"/>
      <c r="F1411" s="402"/>
      <c r="G1411" s="403"/>
      <c r="H1411" s="402"/>
      <c r="I1411" s="402"/>
      <c r="J1411" s="402"/>
      <c r="K1411" s="402"/>
      <c r="L1411" s="402"/>
      <c r="M1411" s="402"/>
      <c r="N1411" s="402"/>
      <c r="O1411" s="402"/>
      <c r="P1411" s="402"/>
      <c r="Q1411" s="402"/>
      <c r="R1411" s="402"/>
      <c r="S1411" s="402"/>
      <c r="T1411" s="402"/>
      <c r="U1411" s="402"/>
      <c r="V1411" s="402"/>
      <c r="W1411" s="402"/>
      <c r="X1411" s="402"/>
      <c r="Y1411" s="402"/>
      <c r="Z1411" s="402"/>
      <c r="AA1411" s="405"/>
      <c r="AB1411" s="405"/>
      <c r="AC1411" s="405"/>
      <c r="AD1411" s="405"/>
      <c r="AE1411" s="405"/>
      <c r="AF1411" s="405"/>
      <c r="AG1411" s="405"/>
      <c r="AH1411" s="405"/>
      <c r="AI1411" s="405"/>
      <c r="AJ1411" s="405"/>
      <c r="AK1411" s="405"/>
      <c r="AL1411" s="405"/>
    </row>
    <row r="1412" ht="14.25" customHeight="1">
      <c r="A1412" s="402"/>
      <c r="B1412" s="402"/>
      <c r="C1412" s="402"/>
      <c r="D1412" s="402"/>
      <c r="E1412" s="402"/>
      <c r="F1412" s="402"/>
      <c r="G1412" s="403"/>
      <c r="H1412" s="402"/>
      <c r="I1412" s="402"/>
      <c r="J1412" s="402"/>
      <c r="K1412" s="402"/>
      <c r="L1412" s="402"/>
      <c r="M1412" s="402"/>
      <c r="N1412" s="402"/>
      <c r="O1412" s="402"/>
      <c r="P1412" s="402"/>
      <c r="Q1412" s="402"/>
      <c r="R1412" s="402"/>
      <c r="S1412" s="402"/>
      <c r="T1412" s="402"/>
      <c r="U1412" s="402"/>
      <c r="V1412" s="402"/>
      <c r="W1412" s="402"/>
      <c r="X1412" s="402"/>
      <c r="Y1412" s="402"/>
      <c r="Z1412" s="402"/>
      <c r="AA1412" s="405"/>
      <c r="AB1412" s="405"/>
      <c r="AC1412" s="405"/>
      <c r="AD1412" s="405"/>
      <c r="AE1412" s="405"/>
      <c r="AF1412" s="405"/>
      <c r="AG1412" s="405"/>
      <c r="AH1412" s="405"/>
      <c r="AI1412" s="405"/>
      <c r="AJ1412" s="405"/>
      <c r="AK1412" s="405"/>
      <c r="AL1412" s="405"/>
    </row>
    <row r="1413" ht="14.25" customHeight="1">
      <c r="A1413" s="402"/>
      <c r="B1413" s="402"/>
      <c r="C1413" s="402"/>
      <c r="D1413" s="402"/>
      <c r="E1413" s="402"/>
      <c r="F1413" s="402"/>
      <c r="G1413" s="403"/>
      <c r="H1413" s="402"/>
      <c r="I1413" s="402"/>
      <c r="J1413" s="402"/>
      <c r="K1413" s="402"/>
      <c r="L1413" s="402"/>
      <c r="M1413" s="402"/>
      <c r="N1413" s="402"/>
      <c r="O1413" s="402"/>
      <c r="P1413" s="402"/>
      <c r="Q1413" s="402"/>
      <c r="R1413" s="402"/>
      <c r="S1413" s="402"/>
      <c r="T1413" s="402"/>
      <c r="U1413" s="402"/>
      <c r="V1413" s="402"/>
      <c r="W1413" s="402"/>
      <c r="X1413" s="402"/>
      <c r="Y1413" s="402"/>
      <c r="Z1413" s="402"/>
      <c r="AA1413" s="405"/>
      <c r="AB1413" s="405"/>
      <c r="AC1413" s="405"/>
      <c r="AD1413" s="405"/>
      <c r="AE1413" s="405"/>
      <c r="AF1413" s="405"/>
      <c r="AG1413" s="405"/>
      <c r="AH1413" s="405"/>
      <c r="AI1413" s="405"/>
      <c r="AJ1413" s="405"/>
      <c r="AK1413" s="405"/>
      <c r="AL1413" s="405"/>
    </row>
    <row r="1414" ht="14.25" customHeight="1">
      <c r="A1414" s="402"/>
      <c r="B1414" s="402"/>
      <c r="C1414" s="402"/>
      <c r="D1414" s="402"/>
      <c r="E1414" s="402"/>
      <c r="F1414" s="402"/>
      <c r="G1414" s="403"/>
      <c r="H1414" s="402"/>
      <c r="I1414" s="402"/>
      <c r="J1414" s="402"/>
      <c r="K1414" s="402"/>
      <c r="L1414" s="402"/>
      <c r="M1414" s="402"/>
      <c r="N1414" s="402"/>
      <c r="O1414" s="402"/>
      <c r="P1414" s="402"/>
      <c r="Q1414" s="402"/>
      <c r="R1414" s="402"/>
      <c r="S1414" s="402"/>
      <c r="T1414" s="402"/>
      <c r="U1414" s="402"/>
      <c r="V1414" s="402"/>
      <c r="W1414" s="402"/>
      <c r="X1414" s="402"/>
      <c r="Y1414" s="402"/>
      <c r="Z1414" s="402"/>
      <c r="AA1414" s="405"/>
      <c r="AB1414" s="405"/>
      <c r="AC1414" s="405"/>
      <c r="AD1414" s="405"/>
      <c r="AE1414" s="405"/>
      <c r="AF1414" s="405"/>
      <c r="AG1414" s="405"/>
      <c r="AH1414" s="405"/>
      <c r="AI1414" s="405"/>
      <c r="AJ1414" s="405"/>
      <c r="AK1414" s="405"/>
      <c r="AL1414" s="405"/>
    </row>
    <row r="1415" ht="14.25" customHeight="1">
      <c r="A1415" s="402"/>
      <c r="B1415" s="402"/>
      <c r="C1415" s="402"/>
      <c r="D1415" s="402"/>
      <c r="E1415" s="402"/>
      <c r="F1415" s="402"/>
      <c r="G1415" s="403"/>
      <c r="H1415" s="402"/>
      <c r="I1415" s="402"/>
      <c r="J1415" s="402"/>
      <c r="K1415" s="402"/>
      <c r="L1415" s="402"/>
      <c r="M1415" s="402"/>
      <c r="N1415" s="402"/>
      <c r="O1415" s="402"/>
      <c r="P1415" s="402"/>
      <c r="Q1415" s="402"/>
      <c r="R1415" s="402"/>
      <c r="S1415" s="402"/>
      <c r="T1415" s="402"/>
      <c r="U1415" s="402"/>
      <c r="V1415" s="402"/>
      <c r="W1415" s="402"/>
      <c r="X1415" s="402"/>
      <c r="Y1415" s="402"/>
      <c r="Z1415" s="402"/>
      <c r="AA1415" s="405"/>
      <c r="AB1415" s="405"/>
      <c r="AC1415" s="405"/>
      <c r="AD1415" s="405"/>
      <c r="AE1415" s="405"/>
      <c r="AF1415" s="405"/>
      <c r="AG1415" s="405"/>
      <c r="AH1415" s="405"/>
      <c r="AI1415" s="405"/>
      <c r="AJ1415" s="405"/>
      <c r="AK1415" s="405"/>
      <c r="AL1415" s="405"/>
    </row>
    <row r="1416" ht="14.25" customHeight="1">
      <c r="A1416" s="402"/>
      <c r="B1416" s="402"/>
      <c r="C1416" s="402"/>
      <c r="D1416" s="402"/>
      <c r="E1416" s="402"/>
      <c r="F1416" s="402"/>
      <c r="G1416" s="403"/>
      <c r="H1416" s="402"/>
      <c r="I1416" s="402"/>
      <c r="J1416" s="402"/>
      <c r="K1416" s="402"/>
      <c r="L1416" s="402"/>
      <c r="M1416" s="402"/>
      <c r="N1416" s="402"/>
      <c r="O1416" s="402"/>
      <c r="P1416" s="402"/>
      <c r="Q1416" s="402"/>
      <c r="R1416" s="402"/>
      <c r="S1416" s="402"/>
      <c r="T1416" s="402"/>
      <c r="U1416" s="402"/>
      <c r="V1416" s="402"/>
      <c r="W1416" s="402"/>
      <c r="X1416" s="402"/>
      <c r="Y1416" s="402"/>
      <c r="Z1416" s="402"/>
      <c r="AA1416" s="405"/>
      <c r="AB1416" s="405"/>
      <c r="AC1416" s="405"/>
      <c r="AD1416" s="405"/>
      <c r="AE1416" s="405"/>
      <c r="AF1416" s="405"/>
      <c r="AG1416" s="405"/>
      <c r="AH1416" s="405"/>
      <c r="AI1416" s="405"/>
      <c r="AJ1416" s="405"/>
      <c r="AK1416" s="405"/>
      <c r="AL1416" s="405"/>
    </row>
    <row r="1417" ht="14.25" customHeight="1">
      <c r="A1417" s="402"/>
      <c r="B1417" s="402"/>
      <c r="C1417" s="402"/>
      <c r="D1417" s="402"/>
      <c r="E1417" s="402"/>
      <c r="F1417" s="402"/>
      <c r="G1417" s="403"/>
      <c r="H1417" s="402"/>
      <c r="I1417" s="402"/>
      <c r="J1417" s="402"/>
      <c r="K1417" s="402"/>
      <c r="L1417" s="402"/>
      <c r="M1417" s="402"/>
      <c r="N1417" s="402"/>
      <c r="O1417" s="402"/>
      <c r="P1417" s="402"/>
      <c r="Q1417" s="402"/>
      <c r="R1417" s="402"/>
      <c r="S1417" s="402"/>
      <c r="T1417" s="402"/>
      <c r="U1417" s="402"/>
      <c r="V1417" s="402"/>
      <c r="W1417" s="402"/>
      <c r="X1417" s="402"/>
      <c r="Y1417" s="402"/>
      <c r="Z1417" s="402"/>
      <c r="AA1417" s="405"/>
      <c r="AB1417" s="405"/>
      <c r="AC1417" s="405"/>
      <c r="AD1417" s="405"/>
      <c r="AE1417" s="405"/>
      <c r="AF1417" s="405"/>
      <c r="AG1417" s="405"/>
      <c r="AH1417" s="405"/>
      <c r="AI1417" s="405"/>
      <c r="AJ1417" s="405"/>
      <c r="AK1417" s="405"/>
      <c r="AL1417" s="405"/>
    </row>
    <row r="1418" ht="14.25" customHeight="1">
      <c r="A1418" s="402"/>
      <c r="B1418" s="402"/>
      <c r="C1418" s="402"/>
      <c r="D1418" s="402"/>
      <c r="E1418" s="402"/>
      <c r="F1418" s="402"/>
      <c r="G1418" s="403"/>
      <c r="H1418" s="402"/>
      <c r="I1418" s="402"/>
      <c r="J1418" s="402"/>
      <c r="K1418" s="402"/>
      <c r="L1418" s="402"/>
      <c r="M1418" s="402"/>
      <c r="N1418" s="402"/>
      <c r="O1418" s="402"/>
      <c r="P1418" s="402"/>
      <c r="Q1418" s="402"/>
      <c r="R1418" s="402"/>
      <c r="S1418" s="402"/>
      <c r="T1418" s="402"/>
      <c r="U1418" s="402"/>
      <c r="V1418" s="402"/>
      <c r="W1418" s="402"/>
      <c r="X1418" s="402"/>
      <c r="Y1418" s="402"/>
      <c r="Z1418" s="402"/>
      <c r="AA1418" s="405"/>
      <c r="AB1418" s="405"/>
      <c r="AC1418" s="405"/>
      <c r="AD1418" s="405"/>
      <c r="AE1418" s="405"/>
      <c r="AF1418" s="405"/>
      <c r="AG1418" s="405"/>
      <c r="AH1418" s="405"/>
      <c r="AI1418" s="405"/>
      <c r="AJ1418" s="405"/>
      <c r="AK1418" s="405"/>
      <c r="AL1418" s="405"/>
    </row>
    <row r="1419" ht="14.25" customHeight="1">
      <c r="A1419" s="402"/>
      <c r="B1419" s="402"/>
      <c r="C1419" s="402"/>
      <c r="D1419" s="402"/>
      <c r="E1419" s="402"/>
      <c r="F1419" s="402"/>
      <c r="G1419" s="403"/>
      <c r="H1419" s="402"/>
      <c r="I1419" s="402"/>
      <c r="J1419" s="402"/>
      <c r="K1419" s="402"/>
      <c r="L1419" s="402"/>
      <c r="M1419" s="402"/>
      <c r="N1419" s="402"/>
      <c r="O1419" s="402"/>
      <c r="P1419" s="402"/>
      <c r="Q1419" s="402"/>
      <c r="R1419" s="402"/>
      <c r="S1419" s="402"/>
      <c r="T1419" s="402"/>
      <c r="U1419" s="402"/>
      <c r="V1419" s="402"/>
      <c r="W1419" s="402"/>
      <c r="X1419" s="402"/>
      <c r="Y1419" s="402"/>
      <c r="Z1419" s="402"/>
      <c r="AA1419" s="405"/>
      <c r="AB1419" s="405"/>
      <c r="AC1419" s="405"/>
      <c r="AD1419" s="405"/>
      <c r="AE1419" s="405"/>
      <c r="AF1419" s="405"/>
      <c r="AG1419" s="405"/>
      <c r="AH1419" s="405"/>
      <c r="AI1419" s="405"/>
      <c r="AJ1419" s="405"/>
      <c r="AK1419" s="405"/>
      <c r="AL1419" s="405"/>
    </row>
    <row r="1420" ht="14.25" customHeight="1">
      <c r="A1420" s="402"/>
      <c r="B1420" s="402"/>
      <c r="C1420" s="402"/>
      <c r="D1420" s="402"/>
      <c r="E1420" s="402"/>
      <c r="F1420" s="402"/>
      <c r="G1420" s="403"/>
      <c r="H1420" s="402"/>
      <c r="I1420" s="402"/>
      <c r="J1420" s="402"/>
      <c r="K1420" s="402"/>
      <c r="L1420" s="402"/>
      <c r="M1420" s="402"/>
      <c r="N1420" s="402"/>
      <c r="O1420" s="402"/>
      <c r="P1420" s="402"/>
      <c r="Q1420" s="402"/>
      <c r="R1420" s="402"/>
      <c r="S1420" s="402"/>
      <c r="T1420" s="402"/>
      <c r="U1420" s="402"/>
      <c r="V1420" s="402"/>
      <c r="W1420" s="402"/>
      <c r="X1420" s="402"/>
      <c r="Y1420" s="402"/>
      <c r="Z1420" s="402"/>
      <c r="AA1420" s="405"/>
      <c r="AB1420" s="405"/>
      <c r="AC1420" s="405"/>
      <c r="AD1420" s="405"/>
      <c r="AE1420" s="405"/>
      <c r="AF1420" s="405"/>
      <c r="AG1420" s="405"/>
      <c r="AH1420" s="405"/>
      <c r="AI1420" s="405"/>
      <c r="AJ1420" s="405"/>
      <c r="AK1420" s="405"/>
      <c r="AL1420" s="405"/>
    </row>
    <row r="1421" ht="14.25" customHeight="1">
      <c r="A1421" s="402"/>
      <c r="B1421" s="402"/>
      <c r="C1421" s="402"/>
      <c r="D1421" s="402"/>
      <c r="E1421" s="402"/>
      <c r="F1421" s="402"/>
      <c r="G1421" s="403"/>
      <c r="H1421" s="402"/>
      <c r="I1421" s="402"/>
      <c r="J1421" s="402"/>
      <c r="K1421" s="402"/>
      <c r="L1421" s="402"/>
      <c r="M1421" s="402"/>
      <c r="N1421" s="402"/>
      <c r="O1421" s="402"/>
      <c r="P1421" s="402"/>
      <c r="Q1421" s="402"/>
      <c r="R1421" s="402"/>
      <c r="S1421" s="402"/>
      <c r="T1421" s="402"/>
      <c r="U1421" s="402"/>
      <c r="V1421" s="402"/>
      <c r="W1421" s="402"/>
      <c r="X1421" s="402"/>
      <c r="Y1421" s="402"/>
      <c r="Z1421" s="402"/>
      <c r="AA1421" s="405"/>
      <c r="AB1421" s="405"/>
      <c r="AC1421" s="405"/>
      <c r="AD1421" s="405"/>
      <c r="AE1421" s="405"/>
      <c r="AF1421" s="405"/>
      <c r="AG1421" s="405"/>
      <c r="AH1421" s="405"/>
      <c r="AI1421" s="405"/>
      <c r="AJ1421" s="405"/>
      <c r="AK1421" s="405"/>
      <c r="AL1421" s="405"/>
    </row>
    <row r="1422" ht="14.25" customHeight="1">
      <c r="A1422" s="402"/>
      <c r="B1422" s="402"/>
      <c r="C1422" s="402"/>
      <c r="D1422" s="402"/>
      <c r="E1422" s="402"/>
      <c r="F1422" s="402"/>
      <c r="G1422" s="403"/>
      <c r="H1422" s="402"/>
      <c r="I1422" s="402"/>
      <c r="J1422" s="402"/>
      <c r="K1422" s="402"/>
      <c r="L1422" s="402"/>
      <c r="M1422" s="402"/>
      <c r="N1422" s="402"/>
      <c r="O1422" s="402"/>
      <c r="P1422" s="402"/>
      <c r="Q1422" s="402"/>
      <c r="R1422" s="402"/>
      <c r="S1422" s="402"/>
      <c r="T1422" s="402"/>
      <c r="U1422" s="402"/>
      <c r="V1422" s="402"/>
      <c r="W1422" s="402"/>
      <c r="X1422" s="402"/>
      <c r="Y1422" s="402"/>
      <c r="Z1422" s="402"/>
      <c r="AA1422" s="405"/>
      <c r="AB1422" s="405"/>
      <c r="AC1422" s="405"/>
      <c r="AD1422" s="405"/>
      <c r="AE1422" s="405"/>
      <c r="AF1422" s="405"/>
      <c r="AG1422" s="405"/>
      <c r="AH1422" s="405"/>
      <c r="AI1422" s="405"/>
      <c r="AJ1422" s="405"/>
      <c r="AK1422" s="405"/>
      <c r="AL1422" s="405"/>
    </row>
    <row r="1423" ht="14.25" customHeight="1">
      <c r="A1423" s="402"/>
      <c r="B1423" s="402"/>
      <c r="C1423" s="402"/>
      <c r="D1423" s="402"/>
      <c r="E1423" s="402"/>
      <c r="F1423" s="402"/>
      <c r="G1423" s="403"/>
      <c r="H1423" s="402"/>
      <c r="I1423" s="402"/>
      <c r="J1423" s="402"/>
      <c r="K1423" s="402"/>
      <c r="L1423" s="402"/>
      <c r="M1423" s="402"/>
      <c r="N1423" s="402"/>
      <c r="O1423" s="402"/>
      <c r="P1423" s="402"/>
      <c r="Q1423" s="402"/>
      <c r="R1423" s="402"/>
      <c r="S1423" s="402"/>
      <c r="T1423" s="402"/>
      <c r="U1423" s="402"/>
      <c r="V1423" s="402"/>
      <c r="W1423" s="402"/>
      <c r="X1423" s="402"/>
      <c r="Y1423" s="402"/>
      <c r="Z1423" s="402"/>
      <c r="AA1423" s="405"/>
      <c r="AB1423" s="405"/>
      <c r="AC1423" s="405"/>
      <c r="AD1423" s="405"/>
      <c r="AE1423" s="405"/>
      <c r="AF1423" s="405"/>
      <c r="AG1423" s="405"/>
      <c r="AH1423" s="405"/>
      <c r="AI1423" s="405"/>
      <c r="AJ1423" s="405"/>
      <c r="AK1423" s="405"/>
      <c r="AL1423" s="405"/>
    </row>
    <row r="1424" ht="14.25" customHeight="1">
      <c r="A1424" s="402"/>
      <c r="B1424" s="402"/>
      <c r="C1424" s="402"/>
      <c r="D1424" s="402"/>
      <c r="E1424" s="402"/>
      <c r="F1424" s="402"/>
      <c r="G1424" s="403"/>
      <c r="H1424" s="402"/>
      <c r="I1424" s="402"/>
      <c r="J1424" s="402"/>
      <c r="K1424" s="402"/>
      <c r="L1424" s="402"/>
      <c r="M1424" s="402"/>
      <c r="N1424" s="402"/>
      <c r="O1424" s="402"/>
      <c r="P1424" s="402"/>
      <c r="Q1424" s="402"/>
      <c r="R1424" s="402"/>
      <c r="S1424" s="402"/>
      <c r="T1424" s="402"/>
      <c r="U1424" s="402"/>
      <c r="V1424" s="402"/>
      <c r="W1424" s="402"/>
      <c r="X1424" s="402"/>
      <c r="Y1424" s="402"/>
      <c r="Z1424" s="402"/>
      <c r="AA1424" s="405"/>
      <c r="AB1424" s="405"/>
      <c r="AC1424" s="405"/>
      <c r="AD1424" s="405"/>
      <c r="AE1424" s="405"/>
      <c r="AF1424" s="405"/>
      <c r="AG1424" s="405"/>
      <c r="AH1424" s="405"/>
      <c r="AI1424" s="405"/>
      <c r="AJ1424" s="405"/>
      <c r="AK1424" s="405"/>
      <c r="AL1424" s="405"/>
    </row>
    <row r="1425" ht="14.25" customHeight="1">
      <c r="A1425" s="402"/>
      <c r="B1425" s="402"/>
      <c r="C1425" s="402"/>
      <c r="D1425" s="402"/>
      <c r="E1425" s="402"/>
      <c r="F1425" s="402"/>
      <c r="G1425" s="403"/>
      <c r="H1425" s="402"/>
      <c r="I1425" s="402"/>
      <c r="J1425" s="402"/>
      <c r="K1425" s="402"/>
      <c r="L1425" s="402"/>
      <c r="M1425" s="402"/>
      <c r="N1425" s="402"/>
      <c r="O1425" s="402"/>
      <c r="P1425" s="402"/>
      <c r="Q1425" s="402"/>
      <c r="R1425" s="402"/>
      <c r="S1425" s="402"/>
      <c r="T1425" s="402"/>
      <c r="U1425" s="402"/>
      <c r="V1425" s="402"/>
      <c r="W1425" s="402"/>
      <c r="X1425" s="402"/>
      <c r="Y1425" s="402"/>
      <c r="Z1425" s="402"/>
      <c r="AA1425" s="405"/>
      <c r="AB1425" s="405"/>
      <c r="AC1425" s="405"/>
      <c r="AD1425" s="405"/>
      <c r="AE1425" s="405"/>
      <c r="AF1425" s="405"/>
      <c r="AG1425" s="405"/>
      <c r="AH1425" s="405"/>
      <c r="AI1425" s="405"/>
      <c r="AJ1425" s="405"/>
      <c r="AK1425" s="405"/>
      <c r="AL1425" s="405"/>
    </row>
    <row r="1426" ht="14.25" customHeight="1">
      <c r="A1426" s="402"/>
      <c r="B1426" s="402"/>
      <c r="C1426" s="402"/>
      <c r="D1426" s="402"/>
      <c r="E1426" s="402"/>
      <c r="F1426" s="402"/>
      <c r="G1426" s="403"/>
      <c r="H1426" s="402"/>
      <c r="I1426" s="402"/>
      <c r="J1426" s="402"/>
      <c r="K1426" s="402"/>
      <c r="L1426" s="402"/>
      <c r="M1426" s="402"/>
      <c r="N1426" s="402"/>
      <c r="O1426" s="402"/>
      <c r="P1426" s="402"/>
      <c r="Q1426" s="402"/>
      <c r="R1426" s="402"/>
      <c r="S1426" s="402"/>
      <c r="T1426" s="402"/>
      <c r="U1426" s="402"/>
      <c r="V1426" s="402"/>
      <c r="W1426" s="402"/>
      <c r="X1426" s="402"/>
      <c r="Y1426" s="402"/>
      <c r="Z1426" s="402"/>
      <c r="AA1426" s="405"/>
      <c r="AB1426" s="405"/>
      <c r="AC1426" s="405"/>
      <c r="AD1426" s="405"/>
      <c r="AE1426" s="405"/>
      <c r="AF1426" s="405"/>
      <c r="AG1426" s="405"/>
      <c r="AH1426" s="405"/>
      <c r="AI1426" s="405"/>
      <c r="AJ1426" s="405"/>
      <c r="AK1426" s="405"/>
      <c r="AL1426" s="405"/>
    </row>
    <row r="1427" ht="14.25" customHeight="1">
      <c r="A1427" s="402"/>
      <c r="B1427" s="402"/>
      <c r="C1427" s="402"/>
      <c r="D1427" s="402"/>
      <c r="E1427" s="402"/>
      <c r="F1427" s="402"/>
      <c r="G1427" s="403"/>
      <c r="H1427" s="402"/>
      <c r="I1427" s="402"/>
      <c r="J1427" s="402"/>
      <c r="K1427" s="402"/>
      <c r="L1427" s="402"/>
      <c r="M1427" s="402"/>
      <c r="N1427" s="402"/>
      <c r="O1427" s="402"/>
      <c r="P1427" s="402"/>
      <c r="Q1427" s="402"/>
      <c r="R1427" s="402"/>
      <c r="S1427" s="402"/>
      <c r="T1427" s="402"/>
      <c r="U1427" s="402"/>
      <c r="V1427" s="402"/>
      <c r="W1427" s="402"/>
      <c r="X1427" s="402"/>
      <c r="Y1427" s="402"/>
      <c r="Z1427" s="402"/>
      <c r="AA1427" s="405"/>
      <c r="AB1427" s="405"/>
      <c r="AC1427" s="405"/>
      <c r="AD1427" s="405"/>
      <c r="AE1427" s="405"/>
      <c r="AF1427" s="405"/>
      <c r="AG1427" s="405"/>
      <c r="AH1427" s="405"/>
      <c r="AI1427" s="405"/>
      <c r="AJ1427" s="405"/>
      <c r="AK1427" s="405"/>
      <c r="AL1427" s="405"/>
    </row>
    <row r="1428" ht="14.25" customHeight="1">
      <c r="A1428" s="402"/>
      <c r="B1428" s="402"/>
      <c r="C1428" s="402"/>
      <c r="D1428" s="402"/>
      <c r="E1428" s="402"/>
      <c r="F1428" s="402"/>
      <c r="G1428" s="403"/>
      <c r="H1428" s="402"/>
      <c r="I1428" s="402"/>
      <c r="J1428" s="402"/>
      <c r="K1428" s="402"/>
      <c r="L1428" s="402"/>
      <c r="M1428" s="402"/>
      <c r="N1428" s="402"/>
      <c r="O1428" s="402"/>
      <c r="P1428" s="402"/>
      <c r="Q1428" s="402"/>
      <c r="R1428" s="402"/>
      <c r="S1428" s="402"/>
      <c r="T1428" s="402"/>
      <c r="U1428" s="402"/>
      <c r="V1428" s="402"/>
      <c r="W1428" s="402"/>
      <c r="X1428" s="402"/>
      <c r="Y1428" s="402"/>
      <c r="Z1428" s="402"/>
      <c r="AA1428" s="405"/>
      <c r="AB1428" s="405"/>
      <c r="AC1428" s="405"/>
      <c r="AD1428" s="405"/>
      <c r="AE1428" s="405"/>
      <c r="AF1428" s="405"/>
      <c r="AG1428" s="405"/>
      <c r="AH1428" s="405"/>
      <c r="AI1428" s="405"/>
      <c r="AJ1428" s="405"/>
      <c r="AK1428" s="405"/>
      <c r="AL1428" s="405"/>
    </row>
    <row r="1429" ht="14.25" customHeight="1">
      <c r="A1429" s="402"/>
      <c r="B1429" s="402"/>
      <c r="C1429" s="402"/>
      <c r="D1429" s="402"/>
      <c r="E1429" s="402"/>
      <c r="F1429" s="402"/>
      <c r="G1429" s="403"/>
      <c r="H1429" s="402"/>
      <c r="I1429" s="402"/>
      <c r="J1429" s="402"/>
      <c r="K1429" s="402"/>
      <c r="L1429" s="402"/>
      <c r="M1429" s="402"/>
      <c r="N1429" s="402"/>
      <c r="O1429" s="402"/>
      <c r="P1429" s="402"/>
      <c r="Q1429" s="402"/>
      <c r="R1429" s="402"/>
      <c r="S1429" s="402"/>
      <c r="T1429" s="402"/>
      <c r="U1429" s="402"/>
      <c r="V1429" s="402"/>
      <c r="W1429" s="402"/>
      <c r="X1429" s="402"/>
      <c r="Y1429" s="402"/>
      <c r="Z1429" s="402"/>
      <c r="AA1429" s="405"/>
      <c r="AB1429" s="405"/>
      <c r="AC1429" s="405"/>
      <c r="AD1429" s="405"/>
      <c r="AE1429" s="405"/>
      <c r="AF1429" s="405"/>
      <c r="AG1429" s="405"/>
      <c r="AH1429" s="405"/>
      <c r="AI1429" s="405"/>
      <c r="AJ1429" s="405"/>
      <c r="AK1429" s="405"/>
      <c r="AL1429" s="405"/>
    </row>
    <row r="1430" ht="14.25" customHeight="1">
      <c r="A1430" s="402"/>
      <c r="B1430" s="402"/>
      <c r="C1430" s="402"/>
      <c r="D1430" s="402"/>
      <c r="E1430" s="402"/>
      <c r="F1430" s="402"/>
      <c r="G1430" s="403"/>
      <c r="H1430" s="402"/>
      <c r="I1430" s="402"/>
      <c r="J1430" s="402"/>
      <c r="K1430" s="402"/>
      <c r="L1430" s="402"/>
      <c r="M1430" s="402"/>
      <c r="N1430" s="402"/>
      <c r="O1430" s="402"/>
      <c r="P1430" s="402"/>
      <c r="Q1430" s="402"/>
      <c r="R1430" s="402"/>
      <c r="S1430" s="402"/>
      <c r="T1430" s="402"/>
      <c r="U1430" s="402"/>
      <c r="V1430" s="402"/>
      <c r="W1430" s="402"/>
      <c r="X1430" s="402"/>
      <c r="Y1430" s="402"/>
      <c r="Z1430" s="402"/>
      <c r="AA1430" s="405"/>
      <c r="AB1430" s="405"/>
      <c r="AC1430" s="405"/>
      <c r="AD1430" s="405"/>
      <c r="AE1430" s="405"/>
      <c r="AF1430" s="405"/>
      <c r="AG1430" s="405"/>
      <c r="AH1430" s="405"/>
      <c r="AI1430" s="405"/>
      <c r="AJ1430" s="405"/>
      <c r="AK1430" s="405"/>
      <c r="AL1430" s="405"/>
    </row>
    <row r="1431" ht="14.25" customHeight="1">
      <c r="A1431" s="402"/>
      <c r="B1431" s="402"/>
      <c r="C1431" s="402"/>
      <c r="D1431" s="402"/>
      <c r="E1431" s="402"/>
      <c r="F1431" s="402"/>
      <c r="G1431" s="403"/>
      <c r="H1431" s="402"/>
      <c r="I1431" s="402"/>
      <c r="J1431" s="402"/>
      <c r="K1431" s="402"/>
      <c r="L1431" s="402"/>
      <c r="M1431" s="402"/>
      <c r="N1431" s="402"/>
      <c r="O1431" s="402"/>
      <c r="P1431" s="402"/>
      <c r="Q1431" s="402"/>
      <c r="R1431" s="402"/>
      <c r="S1431" s="402"/>
      <c r="T1431" s="402"/>
      <c r="U1431" s="402"/>
      <c r="V1431" s="402"/>
      <c r="W1431" s="402"/>
      <c r="X1431" s="402"/>
      <c r="Y1431" s="402"/>
      <c r="Z1431" s="402"/>
      <c r="AA1431" s="405"/>
      <c r="AB1431" s="405"/>
      <c r="AC1431" s="405"/>
      <c r="AD1431" s="405"/>
      <c r="AE1431" s="405"/>
      <c r="AF1431" s="405"/>
      <c r="AG1431" s="405"/>
      <c r="AH1431" s="405"/>
      <c r="AI1431" s="405"/>
      <c r="AJ1431" s="405"/>
      <c r="AK1431" s="405"/>
      <c r="AL1431" s="405"/>
    </row>
    <row r="1432" ht="14.25" customHeight="1">
      <c r="A1432" s="402"/>
      <c r="B1432" s="402"/>
      <c r="C1432" s="402"/>
      <c r="D1432" s="402"/>
      <c r="E1432" s="402"/>
      <c r="F1432" s="402"/>
      <c r="G1432" s="403"/>
      <c r="H1432" s="402"/>
      <c r="I1432" s="402"/>
      <c r="J1432" s="402"/>
      <c r="K1432" s="402"/>
      <c r="L1432" s="402"/>
      <c r="M1432" s="402"/>
      <c r="N1432" s="402"/>
      <c r="O1432" s="402"/>
      <c r="P1432" s="402"/>
      <c r="Q1432" s="402"/>
      <c r="R1432" s="402"/>
      <c r="S1432" s="402"/>
      <c r="T1432" s="402"/>
      <c r="U1432" s="402"/>
      <c r="V1432" s="402"/>
      <c r="W1432" s="402"/>
      <c r="X1432" s="402"/>
      <c r="Y1432" s="402"/>
      <c r="Z1432" s="402"/>
      <c r="AA1432" s="405"/>
      <c r="AB1432" s="405"/>
      <c r="AC1432" s="405"/>
      <c r="AD1432" s="405"/>
      <c r="AE1432" s="405"/>
      <c r="AF1432" s="405"/>
      <c r="AG1432" s="405"/>
      <c r="AH1432" s="405"/>
      <c r="AI1432" s="405"/>
      <c r="AJ1432" s="405"/>
      <c r="AK1432" s="405"/>
      <c r="AL1432" s="405"/>
    </row>
    <row r="1433" ht="14.25" customHeight="1">
      <c r="A1433" s="402"/>
      <c r="B1433" s="402"/>
      <c r="C1433" s="402"/>
      <c r="D1433" s="402"/>
      <c r="E1433" s="402"/>
      <c r="F1433" s="402"/>
      <c r="G1433" s="403"/>
      <c r="H1433" s="402"/>
      <c r="I1433" s="402"/>
      <c r="J1433" s="402"/>
      <c r="K1433" s="402"/>
      <c r="L1433" s="402"/>
      <c r="M1433" s="402"/>
      <c r="N1433" s="402"/>
      <c r="O1433" s="402"/>
      <c r="P1433" s="402"/>
      <c r="Q1433" s="402"/>
      <c r="R1433" s="402"/>
      <c r="S1433" s="402"/>
      <c r="T1433" s="402"/>
      <c r="U1433" s="402"/>
      <c r="V1433" s="402"/>
      <c r="W1433" s="402"/>
      <c r="X1433" s="402"/>
      <c r="Y1433" s="402"/>
      <c r="Z1433" s="402"/>
      <c r="AA1433" s="405"/>
      <c r="AB1433" s="405"/>
      <c r="AC1433" s="405"/>
      <c r="AD1433" s="405"/>
      <c r="AE1433" s="405"/>
      <c r="AF1433" s="405"/>
      <c r="AG1433" s="405"/>
      <c r="AH1433" s="405"/>
      <c r="AI1433" s="405"/>
      <c r="AJ1433" s="405"/>
      <c r="AK1433" s="405"/>
      <c r="AL1433" s="405"/>
    </row>
    <row r="1434" ht="14.25" customHeight="1">
      <c r="A1434" s="402"/>
      <c r="B1434" s="402"/>
      <c r="C1434" s="402"/>
      <c r="D1434" s="402"/>
      <c r="E1434" s="402"/>
      <c r="F1434" s="402"/>
      <c r="G1434" s="403"/>
      <c r="H1434" s="402"/>
      <c r="I1434" s="402"/>
      <c r="J1434" s="402"/>
      <c r="K1434" s="402"/>
      <c r="L1434" s="402"/>
      <c r="M1434" s="402"/>
      <c r="N1434" s="402"/>
      <c r="O1434" s="402"/>
      <c r="P1434" s="402"/>
      <c r="Q1434" s="402"/>
      <c r="R1434" s="402"/>
      <c r="S1434" s="402"/>
      <c r="T1434" s="402"/>
      <c r="U1434" s="402"/>
      <c r="V1434" s="402"/>
      <c r="W1434" s="402"/>
      <c r="X1434" s="402"/>
      <c r="Y1434" s="402"/>
      <c r="Z1434" s="402"/>
      <c r="AA1434" s="405"/>
      <c r="AB1434" s="405"/>
      <c r="AC1434" s="405"/>
      <c r="AD1434" s="405"/>
      <c r="AE1434" s="405"/>
      <c r="AF1434" s="405"/>
      <c r="AG1434" s="405"/>
      <c r="AH1434" s="405"/>
      <c r="AI1434" s="405"/>
      <c r="AJ1434" s="405"/>
      <c r="AK1434" s="405"/>
      <c r="AL1434" s="405"/>
    </row>
    <row r="1435" ht="14.25" customHeight="1">
      <c r="A1435" s="402"/>
      <c r="B1435" s="402"/>
      <c r="C1435" s="402"/>
      <c r="D1435" s="402"/>
      <c r="E1435" s="402"/>
      <c r="F1435" s="402"/>
      <c r="G1435" s="403"/>
      <c r="H1435" s="402"/>
      <c r="I1435" s="402"/>
      <c r="J1435" s="402"/>
      <c r="K1435" s="402"/>
      <c r="L1435" s="402"/>
      <c r="M1435" s="402"/>
      <c r="N1435" s="402"/>
      <c r="O1435" s="402"/>
      <c r="P1435" s="402"/>
      <c r="Q1435" s="402"/>
      <c r="R1435" s="402"/>
      <c r="S1435" s="402"/>
      <c r="T1435" s="402"/>
      <c r="U1435" s="402"/>
      <c r="V1435" s="402"/>
      <c r="W1435" s="402"/>
      <c r="X1435" s="402"/>
      <c r="Y1435" s="402"/>
      <c r="Z1435" s="402"/>
      <c r="AA1435" s="405"/>
      <c r="AB1435" s="405"/>
      <c r="AC1435" s="405"/>
      <c r="AD1435" s="405"/>
      <c r="AE1435" s="405"/>
      <c r="AF1435" s="405"/>
      <c r="AG1435" s="405"/>
      <c r="AH1435" s="405"/>
      <c r="AI1435" s="405"/>
      <c r="AJ1435" s="405"/>
      <c r="AK1435" s="405"/>
      <c r="AL1435" s="405"/>
    </row>
    <row r="1436" ht="14.25" customHeight="1">
      <c r="A1436" s="402"/>
      <c r="B1436" s="402"/>
      <c r="C1436" s="402"/>
      <c r="D1436" s="402"/>
      <c r="E1436" s="402"/>
      <c r="F1436" s="402"/>
      <c r="G1436" s="403"/>
      <c r="H1436" s="402"/>
      <c r="I1436" s="402"/>
      <c r="J1436" s="402"/>
      <c r="K1436" s="402"/>
      <c r="L1436" s="402"/>
      <c r="M1436" s="402"/>
      <c r="N1436" s="402"/>
      <c r="O1436" s="402"/>
      <c r="P1436" s="402"/>
      <c r="Q1436" s="402"/>
      <c r="R1436" s="402"/>
      <c r="S1436" s="402"/>
      <c r="T1436" s="402"/>
      <c r="U1436" s="402"/>
      <c r="V1436" s="402"/>
      <c r="W1436" s="402"/>
      <c r="X1436" s="402"/>
      <c r="Y1436" s="402"/>
      <c r="Z1436" s="402"/>
      <c r="AA1436" s="405"/>
      <c r="AB1436" s="405"/>
      <c r="AC1436" s="405"/>
      <c r="AD1436" s="405"/>
      <c r="AE1436" s="405"/>
      <c r="AF1436" s="405"/>
      <c r="AG1436" s="405"/>
      <c r="AH1436" s="405"/>
      <c r="AI1436" s="405"/>
      <c r="AJ1436" s="405"/>
      <c r="AK1436" s="405"/>
      <c r="AL1436" s="405"/>
    </row>
    <row r="1437" ht="14.25" customHeight="1">
      <c r="A1437" s="402"/>
      <c r="B1437" s="402"/>
      <c r="C1437" s="402"/>
      <c r="D1437" s="402"/>
      <c r="E1437" s="402"/>
      <c r="F1437" s="402"/>
      <c r="G1437" s="403"/>
      <c r="H1437" s="402"/>
      <c r="I1437" s="402"/>
      <c r="J1437" s="402"/>
      <c r="K1437" s="402"/>
      <c r="L1437" s="402"/>
      <c r="M1437" s="402"/>
      <c r="N1437" s="402"/>
      <c r="O1437" s="402"/>
      <c r="P1437" s="402"/>
      <c r="Q1437" s="402"/>
      <c r="R1437" s="402"/>
      <c r="S1437" s="402"/>
      <c r="T1437" s="402"/>
      <c r="U1437" s="402"/>
      <c r="V1437" s="402"/>
      <c r="W1437" s="402"/>
      <c r="X1437" s="402"/>
      <c r="Y1437" s="402"/>
      <c r="Z1437" s="402"/>
      <c r="AA1437" s="405"/>
      <c r="AB1437" s="405"/>
      <c r="AC1437" s="405"/>
      <c r="AD1437" s="405"/>
      <c r="AE1437" s="405"/>
      <c r="AF1437" s="405"/>
      <c r="AG1437" s="405"/>
      <c r="AH1437" s="405"/>
      <c r="AI1437" s="405"/>
      <c r="AJ1437" s="405"/>
      <c r="AK1437" s="405"/>
      <c r="AL1437" s="405"/>
    </row>
    <row r="1438" ht="14.25" customHeight="1">
      <c r="A1438" s="402"/>
      <c r="B1438" s="402"/>
      <c r="C1438" s="402"/>
      <c r="D1438" s="402"/>
      <c r="E1438" s="402"/>
      <c r="F1438" s="402"/>
      <c r="G1438" s="403"/>
      <c r="H1438" s="402"/>
      <c r="I1438" s="402"/>
      <c r="J1438" s="402"/>
      <c r="K1438" s="402"/>
      <c r="L1438" s="402"/>
      <c r="M1438" s="402"/>
      <c r="N1438" s="402"/>
      <c r="O1438" s="402"/>
      <c r="P1438" s="402"/>
      <c r="Q1438" s="402"/>
      <c r="R1438" s="402"/>
      <c r="S1438" s="402"/>
      <c r="T1438" s="402"/>
      <c r="U1438" s="402"/>
      <c r="V1438" s="402"/>
      <c r="W1438" s="402"/>
      <c r="X1438" s="402"/>
      <c r="Y1438" s="402"/>
      <c r="Z1438" s="402"/>
      <c r="AA1438" s="405"/>
      <c r="AB1438" s="405"/>
      <c r="AC1438" s="405"/>
      <c r="AD1438" s="405"/>
      <c r="AE1438" s="405"/>
      <c r="AF1438" s="405"/>
      <c r="AG1438" s="405"/>
      <c r="AH1438" s="405"/>
      <c r="AI1438" s="405"/>
      <c r="AJ1438" s="405"/>
      <c r="AK1438" s="405"/>
      <c r="AL1438" s="405"/>
    </row>
    <row r="1439" ht="14.25" customHeight="1">
      <c r="A1439" s="402"/>
      <c r="B1439" s="402"/>
      <c r="C1439" s="402"/>
      <c r="D1439" s="402"/>
      <c r="E1439" s="402"/>
      <c r="F1439" s="402"/>
      <c r="G1439" s="403"/>
      <c r="H1439" s="402"/>
      <c r="I1439" s="402"/>
      <c r="J1439" s="402"/>
      <c r="K1439" s="402"/>
      <c r="L1439" s="402"/>
      <c r="M1439" s="402"/>
      <c r="N1439" s="402"/>
      <c r="O1439" s="402"/>
      <c r="P1439" s="402"/>
      <c r="Q1439" s="402"/>
      <c r="R1439" s="402"/>
      <c r="S1439" s="402"/>
      <c r="T1439" s="402"/>
      <c r="U1439" s="402"/>
      <c r="V1439" s="402"/>
      <c r="W1439" s="402"/>
      <c r="X1439" s="402"/>
      <c r="Y1439" s="402"/>
      <c r="Z1439" s="402"/>
      <c r="AA1439" s="405"/>
      <c r="AB1439" s="405"/>
      <c r="AC1439" s="405"/>
      <c r="AD1439" s="405"/>
      <c r="AE1439" s="405"/>
      <c r="AF1439" s="405"/>
      <c r="AG1439" s="405"/>
      <c r="AH1439" s="405"/>
      <c r="AI1439" s="405"/>
      <c r="AJ1439" s="405"/>
      <c r="AK1439" s="405"/>
      <c r="AL1439" s="405"/>
    </row>
    <row r="1440" ht="14.25" customHeight="1">
      <c r="A1440" s="402"/>
      <c r="B1440" s="402"/>
      <c r="C1440" s="402"/>
      <c r="D1440" s="402"/>
      <c r="E1440" s="402"/>
      <c r="F1440" s="402"/>
      <c r="G1440" s="403"/>
      <c r="H1440" s="402"/>
      <c r="I1440" s="402"/>
      <c r="J1440" s="402"/>
      <c r="K1440" s="402"/>
      <c r="L1440" s="402"/>
      <c r="M1440" s="402"/>
      <c r="N1440" s="402"/>
      <c r="O1440" s="402"/>
      <c r="P1440" s="402"/>
      <c r="Q1440" s="402"/>
      <c r="R1440" s="402"/>
      <c r="S1440" s="402"/>
      <c r="T1440" s="402"/>
      <c r="U1440" s="402"/>
      <c r="V1440" s="402"/>
      <c r="W1440" s="402"/>
      <c r="X1440" s="402"/>
      <c r="Y1440" s="402"/>
      <c r="Z1440" s="402"/>
      <c r="AA1440" s="405"/>
      <c r="AB1440" s="405"/>
      <c r="AC1440" s="405"/>
      <c r="AD1440" s="405"/>
      <c r="AE1440" s="405"/>
      <c r="AF1440" s="405"/>
      <c r="AG1440" s="405"/>
      <c r="AH1440" s="405"/>
      <c r="AI1440" s="405"/>
      <c r="AJ1440" s="405"/>
      <c r="AK1440" s="405"/>
      <c r="AL1440" s="405"/>
    </row>
    <row r="1441" ht="14.25" customHeight="1">
      <c r="A1441" s="402"/>
      <c r="B1441" s="402"/>
      <c r="C1441" s="402"/>
      <c r="D1441" s="402"/>
      <c r="E1441" s="402"/>
      <c r="F1441" s="402"/>
      <c r="G1441" s="403"/>
      <c r="H1441" s="402"/>
      <c r="I1441" s="402"/>
      <c r="J1441" s="402"/>
      <c r="K1441" s="402"/>
      <c r="L1441" s="402"/>
      <c r="M1441" s="402"/>
      <c r="N1441" s="402"/>
      <c r="O1441" s="402"/>
      <c r="P1441" s="402"/>
      <c r="Q1441" s="402"/>
      <c r="R1441" s="402"/>
      <c r="S1441" s="402"/>
      <c r="T1441" s="402"/>
      <c r="U1441" s="402"/>
      <c r="V1441" s="402"/>
      <c r="W1441" s="402"/>
      <c r="X1441" s="402"/>
      <c r="Y1441" s="402"/>
      <c r="Z1441" s="402"/>
      <c r="AA1441" s="405"/>
      <c r="AB1441" s="405"/>
      <c r="AC1441" s="405"/>
      <c r="AD1441" s="405"/>
      <c r="AE1441" s="405"/>
      <c r="AF1441" s="405"/>
      <c r="AG1441" s="405"/>
      <c r="AH1441" s="405"/>
      <c r="AI1441" s="405"/>
      <c r="AJ1441" s="405"/>
      <c r="AK1441" s="405"/>
      <c r="AL1441" s="405"/>
    </row>
    <row r="1442" ht="14.25" customHeight="1">
      <c r="A1442" s="402"/>
      <c r="B1442" s="402"/>
      <c r="C1442" s="402"/>
      <c r="D1442" s="402"/>
      <c r="E1442" s="402"/>
      <c r="F1442" s="402"/>
      <c r="G1442" s="403"/>
      <c r="H1442" s="402"/>
      <c r="I1442" s="402"/>
      <c r="J1442" s="402"/>
      <c r="K1442" s="402"/>
      <c r="L1442" s="402"/>
      <c r="M1442" s="402"/>
      <c r="N1442" s="402"/>
      <c r="O1442" s="402"/>
      <c r="P1442" s="402"/>
      <c r="Q1442" s="402"/>
      <c r="R1442" s="402"/>
      <c r="S1442" s="402"/>
      <c r="T1442" s="402"/>
      <c r="U1442" s="402"/>
      <c r="V1442" s="402"/>
      <c r="W1442" s="402"/>
      <c r="X1442" s="402"/>
      <c r="Y1442" s="402"/>
      <c r="Z1442" s="402"/>
      <c r="AA1442" s="405"/>
      <c r="AB1442" s="405"/>
      <c r="AC1442" s="405"/>
      <c r="AD1442" s="405"/>
      <c r="AE1442" s="405"/>
      <c r="AF1442" s="405"/>
      <c r="AG1442" s="405"/>
      <c r="AH1442" s="405"/>
      <c r="AI1442" s="405"/>
      <c r="AJ1442" s="405"/>
      <c r="AK1442" s="405"/>
      <c r="AL1442" s="405"/>
    </row>
    <row r="1443" ht="14.25" customHeight="1">
      <c r="A1443" s="402"/>
      <c r="B1443" s="402"/>
      <c r="C1443" s="402"/>
      <c r="D1443" s="402"/>
      <c r="E1443" s="402"/>
      <c r="F1443" s="402"/>
      <c r="G1443" s="403"/>
      <c r="H1443" s="402"/>
      <c r="I1443" s="402"/>
      <c r="J1443" s="402"/>
      <c r="K1443" s="402"/>
      <c r="L1443" s="402"/>
      <c r="M1443" s="402"/>
      <c r="N1443" s="402"/>
      <c r="O1443" s="402"/>
      <c r="P1443" s="402"/>
      <c r="Q1443" s="402"/>
      <c r="R1443" s="402"/>
      <c r="S1443" s="402"/>
      <c r="T1443" s="402"/>
      <c r="U1443" s="402"/>
      <c r="V1443" s="402"/>
      <c r="W1443" s="402"/>
      <c r="X1443" s="402"/>
      <c r="Y1443" s="402"/>
      <c r="Z1443" s="402"/>
      <c r="AA1443" s="405"/>
      <c r="AB1443" s="405"/>
      <c r="AC1443" s="405"/>
      <c r="AD1443" s="405"/>
      <c r="AE1443" s="405"/>
      <c r="AF1443" s="405"/>
      <c r="AG1443" s="405"/>
      <c r="AH1443" s="405"/>
      <c r="AI1443" s="405"/>
      <c r="AJ1443" s="405"/>
      <c r="AK1443" s="405"/>
      <c r="AL1443" s="405"/>
    </row>
    <row r="1444" ht="14.25" customHeight="1">
      <c r="A1444" s="402"/>
      <c r="B1444" s="402"/>
      <c r="C1444" s="402"/>
      <c r="D1444" s="402"/>
      <c r="E1444" s="402"/>
      <c r="F1444" s="402"/>
      <c r="G1444" s="403"/>
      <c r="H1444" s="402"/>
      <c r="I1444" s="402"/>
      <c r="J1444" s="402"/>
      <c r="K1444" s="402"/>
      <c r="L1444" s="402"/>
      <c r="M1444" s="402"/>
      <c r="N1444" s="402"/>
      <c r="O1444" s="402"/>
      <c r="P1444" s="402"/>
      <c r="Q1444" s="402"/>
      <c r="R1444" s="402"/>
      <c r="S1444" s="402"/>
      <c r="T1444" s="402"/>
      <c r="U1444" s="402"/>
      <c r="V1444" s="402"/>
      <c r="W1444" s="402"/>
      <c r="X1444" s="402"/>
      <c r="Y1444" s="402"/>
      <c r="Z1444" s="402"/>
      <c r="AA1444" s="405"/>
      <c r="AB1444" s="405"/>
      <c r="AC1444" s="405"/>
      <c r="AD1444" s="405"/>
      <c r="AE1444" s="405"/>
      <c r="AF1444" s="405"/>
      <c r="AG1444" s="405"/>
      <c r="AH1444" s="405"/>
      <c r="AI1444" s="405"/>
      <c r="AJ1444" s="405"/>
      <c r="AK1444" s="405"/>
      <c r="AL1444" s="405"/>
    </row>
    <row r="1445" ht="14.25" customHeight="1">
      <c r="A1445" s="402"/>
      <c r="B1445" s="402"/>
      <c r="C1445" s="402"/>
      <c r="D1445" s="402"/>
      <c r="E1445" s="402"/>
      <c r="F1445" s="402"/>
      <c r="G1445" s="403"/>
      <c r="H1445" s="402"/>
      <c r="I1445" s="402"/>
      <c r="J1445" s="402"/>
      <c r="K1445" s="402"/>
      <c r="L1445" s="402"/>
      <c r="M1445" s="402"/>
      <c r="N1445" s="402"/>
      <c r="O1445" s="402"/>
      <c r="P1445" s="402"/>
      <c r="Q1445" s="402"/>
      <c r="R1445" s="402"/>
      <c r="S1445" s="402"/>
      <c r="T1445" s="402"/>
      <c r="U1445" s="402"/>
      <c r="V1445" s="402"/>
      <c r="W1445" s="402"/>
      <c r="X1445" s="402"/>
      <c r="Y1445" s="402"/>
      <c r="Z1445" s="402"/>
      <c r="AA1445" s="405"/>
      <c r="AB1445" s="405"/>
      <c r="AC1445" s="405"/>
      <c r="AD1445" s="405"/>
      <c r="AE1445" s="405"/>
      <c r="AF1445" s="405"/>
      <c r="AG1445" s="405"/>
      <c r="AH1445" s="405"/>
      <c r="AI1445" s="405"/>
      <c r="AJ1445" s="405"/>
      <c r="AK1445" s="405"/>
      <c r="AL1445" s="405"/>
    </row>
    <row r="1446" ht="14.25" customHeight="1">
      <c r="A1446" s="402"/>
      <c r="B1446" s="402"/>
      <c r="C1446" s="402"/>
      <c r="D1446" s="402"/>
      <c r="E1446" s="402"/>
      <c r="F1446" s="402"/>
      <c r="G1446" s="403"/>
      <c r="H1446" s="402"/>
      <c r="I1446" s="402"/>
      <c r="J1446" s="402"/>
      <c r="K1446" s="402"/>
      <c r="L1446" s="402"/>
      <c r="M1446" s="402"/>
      <c r="N1446" s="402"/>
      <c r="O1446" s="402"/>
      <c r="P1446" s="402"/>
      <c r="Q1446" s="402"/>
      <c r="R1446" s="402"/>
      <c r="S1446" s="402"/>
      <c r="T1446" s="402"/>
      <c r="U1446" s="402"/>
      <c r="V1446" s="402"/>
      <c r="W1446" s="402"/>
      <c r="X1446" s="402"/>
      <c r="Y1446" s="402"/>
      <c r="Z1446" s="402"/>
      <c r="AA1446" s="405"/>
      <c r="AB1446" s="405"/>
      <c r="AC1446" s="405"/>
      <c r="AD1446" s="405"/>
      <c r="AE1446" s="405"/>
      <c r="AF1446" s="405"/>
      <c r="AG1446" s="405"/>
      <c r="AH1446" s="405"/>
      <c r="AI1446" s="405"/>
      <c r="AJ1446" s="405"/>
      <c r="AK1446" s="405"/>
      <c r="AL1446" s="405"/>
    </row>
    <row r="1447" ht="14.25" customHeight="1">
      <c r="A1447" s="402"/>
      <c r="B1447" s="402"/>
      <c r="C1447" s="402"/>
      <c r="D1447" s="402"/>
      <c r="E1447" s="402"/>
      <c r="F1447" s="402"/>
      <c r="G1447" s="403"/>
      <c r="H1447" s="402"/>
      <c r="I1447" s="402"/>
      <c r="J1447" s="402"/>
      <c r="K1447" s="402"/>
      <c r="L1447" s="402"/>
      <c r="M1447" s="402"/>
      <c r="N1447" s="402"/>
      <c r="O1447" s="402"/>
      <c r="P1447" s="402"/>
      <c r="Q1447" s="402"/>
      <c r="R1447" s="402"/>
      <c r="S1447" s="402"/>
      <c r="T1447" s="402"/>
      <c r="U1447" s="402"/>
      <c r="V1447" s="402"/>
      <c r="W1447" s="402"/>
      <c r="X1447" s="402"/>
      <c r="Y1447" s="402"/>
      <c r="Z1447" s="402"/>
      <c r="AA1447" s="405"/>
      <c r="AB1447" s="405"/>
      <c r="AC1447" s="405"/>
      <c r="AD1447" s="405"/>
      <c r="AE1447" s="405"/>
      <c r="AF1447" s="405"/>
      <c r="AG1447" s="405"/>
      <c r="AH1447" s="405"/>
      <c r="AI1447" s="405"/>
      <c r="AJ1447" s="405"/>
      <c r="AK1447" s="405"/>
      <c r="AL1447" s="405"/>
    </row>
    <row r="1448" ht="14.25" customHeight="1">
      <c r="A1448" s="402"/>
      <c r="B1448" s="402"/>
      <c r="C1448" s="402"/>
      <c r="D1448" s="402"/>
      <c r="E1448" s="402"/>
      <c r="F1448" s="402"/>
      <c r="G1448" s="403"/>
      <c r="H1448" s="402"/>
      <c r="I1448" s="402"/>
      <c r="J1448" s="402"/>
      <c r="K1448" s="402"/>
      <c r="L1448" s="402"/>
      <c r="M1448" s="402"/>
      <c r="N1448" s="402"/>
      <c r="O1448" s="402"/>
      <c r="P1448" s="402"/>
      <c r="Q1448" s="402"/>
      <c r="R1448" s="402"/>
      <c r="S1448" s="402"/>
      <c r="T1448" s="402"/>
      <c r="U1448" s="402"/>
      <c r="V1448" s="402"/>
      <c r="W1448" s="402"/>
      <c r="X1448" s="402"/>
      <c r="Y1448" s="402"/>
      <c r="Z1448" s="402"/>
      <c r="AA1448" s="405"/>
      <c r="AB1448" s="405"/>
      <c r="AC1448" s="405"/>
      <c r="AD1448" s="405"/>
      <c r="AE1448" s="405"/>
      <c r="AF1448" s="405"/>
      <c r="AG1448" s="405"/>
      <c r="AH1448" s="405"/>
      <c r="AI1448" s="405"/>
      <c r="AJ1448" s="405"/>
      <c r="AK1448" s="405"/>
      <c r="AL1448" s="405"/>
    </row>
    <row r="1449" ht="14.25" customHeight="1">
      <c r="A1449" s="402"/>
      <c r="B1449" s="402"/>
      <c r="C1449" s="402"/>
      <c r="D1449" s="402"/>
      <c r="E1449" s="402"/>
      <c r="F1449" s="402"/>
      <c r="G1449" s="403"/>
      <c r="H1449" s="402"/>
      <c r="I1449" s="402"/>
      <c r="J1449" s="402"/>
      <c r="K1449" s="402"/>
      <c r="L1449" s="402"/>
      <c r="M1449" s="402"/>
      <c r="N1449" s="402"/>
      <c r="O1449" s="402"/>
      <c r="P1449" s="402"/>
      <c r="Q1449" s="402"/>
      <c r="R1449" s="402"/>
      <c r="S1449" s="402"/>
      <c r="T1449" s="402"/>
      <c r="U1449" s="402"/>
      <c r="V1449" s="402"/>
      <c r="W1449" s="402"/>
      <c r="X1449" s="402"/>
      <c r="Y1449" s="402"/>
      <c r="Z1449" s="402"/>
      <c r="AA1449" s="405"/>
      <c r="AB1449" s="405"/>
      <c r="AC1449" s="405"/>
      <c r="AD1449" s="405"/>
      <c r="AE1449" s="405"/>
      <c r="AF1449" s="405"/>
      <c r="AG1449" s="405"/>
      <c r="AH1449" s="405"/>
      <c r="AI1449" s="405"/>
      <c r="AJ1449" s="405"/>
      <c r="AK1449" s="405"/>
      <c r="AL1449" s="405"/>
    </row>
    <row r="1450" ht="14.25" customHeight="1">
      <c r="A1450" s="402"/>
      <c r="B1450" s="402"/>
      <c r="C1450" s="402"/>
      <c r="D1450" s="402"/>
      <c r="E1450" s="402"/>
      <c r="F1450" s="402"/>
      <c r="G1450" s="403"/>
      <c r="H1450" s="402"/>
      <c r="I1450" s="402"/>
      <c r="J1450" s="402"/>
      <c r="K1450" s="402"/>
      <c r="L1450" s="402"/>
      <c r="M1450" s="402"/>
      <c r="N1450" s="402"/>
      <c r="O1450" s="402"/>
      <c r="P1450" s="402"/>
      <c r="Q1450" s="402"/>
      <c r="R1450" s="402"/>
      <c r="S1450" s="402"/>
      <c r="T1450" s="402"/>
      <c r="U1450" s="402"/>
      <c r="V1450" s="402"/>
      <c r="W1450" s="402"/>
      <c r="X1450" s="402"/>
      <c r="Y1450" s="402"/>
      <c r="Z1450" s="402"/>
      <c r="AA1450" s="405"/>
      <c r="AB1450" s="405"/>
      <c r="AC1450" s="405"/>
      <c r="AD1450" s="405"/>
      <c r="AE1450" s="405"/>
      <c r="AF1450" s="405"/>
      <c r="AG1450" s="405"/>
      <c r="AH1450" s="405"/>
      <c r="AI1450" s="405"/>
      <c r="AJ1450" s="405"/>
      <c r="AK1450" s="405"/>
      <c r="AL1450" s="405"/>
    </row>
    <row r="1451" ht="14.25" customHeight="1">
      <c r="A1451" s="402"/>
      <c r="B1451" s="402"/>
      <c r="C1451" s="402"/>
      <c r="D1451" s="402"/>
      <c r="E1451" s="402"/>
      <c r="F1451" s="402"/>
      <c r="G1451" s="403"/>
      <c r="H1451" s="402"/>
      <c r="I1451" s="402"/>
      <c r="J1451" s="402"/>
      <c r="K1451" s="402"/>
      <c r="L1451" s="402"/>
      <c r="M1451" s="402"/>
      <c r="N1451" s="402"/>
      <c r="O1451" s="402"/>
      <c r="P1451" s="402"/>
      <c r="Q1451" s="402"/>
      <c r="R1451" s="402"/>
      <c r="S1451" s="402"/>
      <c r="T1451" s="402"/>
      <c r="U1451" s="402"/>
      <c r="V1451" s="402"/>
      <c r="W1451" s="402"/>
      <c r="X1451" s="402"/>
      <c r="Y1451" s="402"/>
      <c r="Z1451" s="402"/>
      <c r="AA1451" s="405"/>
      <c r="AB1451" s="405"/>
      <c r="AC1451" s="405"/>
      <c r="AD1451" s="405"/>
      <c r="AE1451" s="405"/>
      <c r="AF1451" s="405"/>
      <c r="AG1451" s="405"/>
      <c r="AH1451" s="405"/>
      <c r="AI1451" s="405"/>
      <c r="AJ1451" s="405"/>
      <c r="AK1451" s="405"/>
      <c r="AL1451" s="405"/>
    </row>
    <row r="1452" ht="14.25" customHeight="1">
      <c r="A1452" s="402"/>
      <c r="B1452" s="402"/>
      <c r="C1452" s="402"/>
      <c r="D1452" s="402"/>
      <c r="E1452" s="402"/>
      <c r="F1452" s="402"/>
      <c r="G1452" s="403"/>
      <c r="H1452" s="402"/>
      <c r="I1452" s="402"/>
      <c r="J1452" s="402"/>
      <c r="K1452" s="402"/>
      <c r="L1452" s="402"/>
      <c r="M1452" s="402"/>
      <c r="N1452" s="402"/>
      <c r="O1452" s="402"/>
      <c r="P1452" s="402"/>
      <c r="Q1452" s="402"/>
      <c r="R1452" s="402"/>
      <c r="S1452" s="402"/>
      <c r="T1452" s="402"/>
      <c r="U1452" s="402"/>
      <c r="V1452" s="402"/>
      <c r="W1452" s="402"/>
      <c r="X1452" s="402"/>
      <c r="Y1452" s="402"/>
      <c r="Z1452" s="402"/>
      <c r="AA1452" s="405"/>
      <c r="AB1452" s="405"/>
      <c r="AC1452" s="405"/>
      <c r="AD1452" s="405"/>
      <c r="AE1452" s="405"/>
      <c r="AF1452" s="405"/>
      <c r="AG1452" s="405"/>
      <c r="AH1452" s="405"/>
      <c r="AI1452" s="405"/>
      <c r="AJ1452" s="405"/>
      <c r="AK1452" s="405"/>
      <c r="AL1452" s="405"/>
    </row>
    <row r="1453" ht="14.25" customHeight="1">
      <c r="A1453" s="402"/>
      <c r="B1453" s="402"/>
      <c r="C1453" s="402"/>
      <c r="D1453" s="402"/>
      <c r="E1453" s="402"/>
      <c r="F1453" s="402"/>
      <c r="G1453" s="403"/>
      <c r="H1453" s="402"/>
      <c r="I1453" s="402"/>
      <c r="J1453" s="402"/>
      <c r="K1453" s="402"/>
      <c r="L1453" s="402"/>
      <c r="M1453" s="402"/>
      <c r="N1453" s="402"/>
      <c r="O1453" s="402"/>
      <c r="P1453" s="402"/>
      <c r="Q1453" s="402"/>
      <c r="R1453" s="402"/>
      <c r="S1453" s="402"/>
      <c r="T1453" s="402"/>
      <c r="U1453" s="402"/>
      <c r="V1453" s="402"/>
      <c r="W1453" s="402"/>
      <c r="X1453" s="402"/>
      <c r="Y1453" s="402"/>
      <c r="Z1453" s="402"/>
      <c r="AA1453" s="405"/>
      <c r="AB1453" s="405"/>
      <c r="AC1453" s="405"/>
      <c r="AD1453" s="405"/>
      <c r="AE1453" s="405"/>
      <c r="AF1453" s="405"/>
      <c r="AG1453" s="405"/>
      <c r="AH1453" s="405"/>
      <c r="AI1453" s="405"/>
      <c r="AJ1453" s="405"/>
      <c r="AK1453" s="405"/>
      <c r="AL1453" s="405"/>
    </row>
    <row r="1454" ht="14.25" customHeight="1">
      <c r="A1454" s="402"/>
      <c r="B1454" s="402"/>
      <c r="C1454" s="402"/>
      <c r="D1454" s="402"/>
      <c r="E1454" s="402"/>
      <c r="F1454" s="402"/>
      <c r="G1454" s="403"/>
      <c r="H1454" s="402"/>
      <c r="I1454" s="402"/>
      <c r="J1454" s="402"/>
      <c r="K1454" s="402"/>
      <c r="L1454" s="402"/>
      <c r="M1454" s="402"/>
      <c r="N1454" s="402"/>
      <c r="O1454" s="402"/>
      <c r="P1454" s="402"/>
      <c r="Q1454" s="402"/>
      <c r="R1454" s="402"/>
      <c r="S1454" s="402"/>
      <c r="T1454" s="402"/>
      <c r="U1454" s="402"/>
      <c r="V1454" s="402"/>
      <c r="W1454" s="402"/>
      <c r="X1454" s="402"/>
      <c r="Y1454" s="402"/>
      <c r="Z1454" s="402"/>
      <c r="AA1454" s="405"/>
      <c r="AB1454" s="405"/>
      <c r="AC1454" s="405"/>
      <c r="AD1454" s="405"/>
      <c r="AE1454" s="405"/>
      <c r="AF1454" s="405"/>
      <c r="AG1454" s="405"/>
      <c r="AH1454" s="405"/>
      <c r="AI1454" s="405"/>
      <c r="AJ1454" s="405"/>
      <c r="AK1454" s="405"/>
      <c r="AL1454" s="405"/>
    </row>
    <row r="1455" ht="14.25" customHeight="1">
      <c r="A1455" s="402"/>
      <c r="B1455" s="402"/>
      <c r="C1455" s="402"/>
      <c r="D1455" s="402"/>
      <c r="E1455" s="402"/>
      <c r="F1455" s="402"/>
      <c r="G1455" s="403"/>
      <c r="H1455" s="402"/>
      <c r="I1455" s="402"/>
      <c r="J1455" s="402"/>
      <c r="K1455" s="402"/>
      <c r="L1455" s="402"/>
      <c r="M1455" s="402"/>
      <c r="N1455" s="402"/>
      <c r="O1455" s="402"/>
      <c r="P1455" s="402"/>
      <c r="Q1455" s="402"/>
      <c r="R1455" s="402"/>
      <c r="S1455" s="402"/>
      <c r="T1455" s="402"/>
      <c r="U1455" s="402"/>
      <c r="V1455" s="402"/>
      <c r="W1455" s="402"/>
      <c r="X1455" s="402"/>
      <c r="Y1455" s="402"/>
      <c r="Z1455" s="402"/>
      <c r="AA1455" s="405"/>
      <c r="AB1455" s="405"/>
      <c r="AC1455" s="405"/>
      <c r="AD1455" s="405"/>
      <c r="AE1455" s="405"/>
      <c r="AF1455" s="405"/>
      <c r="AG1455" s="405"/>
      <c r="AH1455" s="405"/>
      <c r="AI1455" s="405"/>
      <c r="AJ1455" s="405"/>
      <c r="AK1455" s="405"/>
      <c r="AL1455" s="405"/>
    </row>
    <row r="1456" ht="14.25" customHeight="1">
      <c r="A1456" s="402"/>
      <c r="B1456" s="402"/>
      <c r="C1456" s="402"/>
      <c r="D1456" s="402"/>
      <c r="E1456" s="402"/>
      <c r="F1456" s="402"/>
      <c r="G1456" s="403"/>
      <c r="H1456" s="402"/>
      <c r="I1456" s="402"/>
      <c r="J1456" s="402"/>
      <c r="K1456" s="402"/>
      <c r="L1456" s="402"/>
      <c r="M1456" s="402"/>
      <c r="N1456" s="402"/>
      <c r="O1456" s="402"/>
      <c r="P1456" s="402"/>
      <c r="Q1456" s="402"/>
      <c r="R1456" s="402"/>
      <c r="S1456" s="402"/>
      <c r="T1456" s="402"/>
      <c r="U1456" s="402"/>
      <c r="V1456" s="402"/>
      <c r="W1456" s="402"/>
      <c r="X1456" s="402"/>
      <c r="Y1456" s="402"/>
      <c r="Z1456" s="402"/>
      <c r="AA1456" s="405"/>
      <c r="AB1456" s="405"/>
      <c r="AC1456" s="405"/>
      <c r="AD1456" s="405"/>
      <c r="AE1456" s="405"/>
      <c r="AF1456" s="405"/>
      <c r="AG1456" s="405"/>
      <c r="AH1456" s="405"/>
      <c r="AI1456" s="405"/>
      <c r="AJ1456" s="405"/>
      <c r="AK1456" s="405"/>
      <c r="AL1456" s="405"/>
    </row>
    <row r="1457" ht="14.25" customHeight="1">
      <c r="A1457" s="402"/>
      <c r="B1457" s="402"/>
      <c r="C1457" s="402"/>
      <c r="D1457" s="402"/>
      <c r="E1457" s="402"/>
      <c r="F1457" s="402"/>
      <c r="G1457" s="403"/>
      <c r="H1457" s="402"/>
      <c r="I1457" s="402"/>
      <c r="J1457" s="402"/>
      <c r="K1457" s="402"/>
      <c r="L1457" s="402"/>
      <c r="M1457" s="402"/>
      <c r="N1457" s="402"/>
      <c r="O1457" s="402"/>
      <c r="P1457" s="402"/>
      <c r="Q1457" s="402"/>
      <c r="R1457" s="402"/>
      <c r="S1457" s="402"/>
      <c r="T1457" s="402"/>
      <c r="U1457" s="402"/>
      <c r="V1457" s="402"/>
      <c r="W1457" s="402"/>
      <c r="X1457" s="402"/>
      <c r="Y1457" s="402"/>
      <c r="Z1457" s="402"/>
      <c r="AA1457" s="405"/>
      <c r="AB1457" s="405"/>
      <c r="AC1457" s="405"/>
      <c r="AD1457" s="405"/>
      <c r="AE1457" s="405"/>
      <c r="AF1457" s="405"/>
      <c r="AG1457" s="405"/>
      <c r="AH1457" s="405"/>
      <c r="AI1457" s="405"/>
      <c r="AJ1457" s="405"/>
      <c r="AK1457" s="405"/>
      <c r="AL1457" s="405"/>
    </row>
    <row r="1458" ht="14.25" customHeight="1">
      <c r="A1458" s="402"/>
      <c r="B1458" s="402"/>
      <c r="C1458" s="402"/>
      <c r="D1458" s="402"/>
      <c r="E1458" s="402"/>
      <c r="F1458" s="402"/>
      <c r="G1458" s="403"/>
      <c r="H1458" s="402"/>
      <c r="I1458" s="402"/>
      <c r="J1458" s="402"/>
      <c r="K1458" s="402"/>
      <c r="L1458" s="402"/>
      <c r="M1458" s="402"/>
      <c r="N1458" s="402"/>
      <c r="O1458" s="402"/>
      <c r="P1458" s="402"/>
      <c r="Q1458" s="402"/>
      <c r="R1458" s="402"/>
      <c r="S1458" s="402"/>
      <c r="T1458" s="402"/>
      <c r="U1458" s="402"/>
      <c r="V1458" s="402"/>
      <c r="W1458" s="402"/>
      <c r="X1458" s="402"/>
      <c r="Y1458" s="402"/>
      <c r="Z1458" s="402"/>
      <c r="AA1458" s="405"/>
      <c r="AB1458" s="405"/>
      <c r="AC1458" s="405"/>
      <c r="AD1458" s="405"/>
      <c r="AE1458" s="405"/>
      <c r="AF1458" s="405"/>
      <c r="AG1458" s="405"/>
      <c r="AH1458" s="405"/>
      <c r="AI1458" s="405"/>
      <c r="AJ1458" s="405"/>
      <c r="AK1458" s="405"/>
      <c r="AL1458" s="405"/>
    </row>
    <row r="1459" ht="14.25" customHeight="1">
      <c r="A1459" s="402"/>
      <c r="B1459" s="402"/>
      <c r="C1459" s="402"/>
      <c r="D1459" s="402"/>
      <c r="E1459" s="402"/>
      <c r="F1459" s="402"/>
      <c r="G1459" s="403"/>
      <c r="H1459" s="402"/>
      <c r="I1459" s="402"/>
      <c r="J1459" s="402"/>
      <c r="K1459" s="402"/>
      <c r="L1459" s="402"/>
      <c r="M1459" s="402"/>
      <c r="N1459" s="402"/>
      <c r="O1459" s="402"/>
      <c r="P1459" s="402"/>
      <c r="Q1459" s="402"/>
      <c r="R1459" s="402"/>
      <c r="S1459" s="402"/>
      <c r="T1459" s="402"/>
      <c r="U1459" s="402"/>
      <c r="V1459" s="402"/>
      <c r="W1459" s="402"/>
      <c r="X1459" s="402"/>
      <c r="Y1459" s="402"/>
      <c r="Z1459" s="402"/>
      <c r="AA1459" s="405"/>
      <c r="AB1459" s="405"/>
      <c r="AC1459" s="405"/>
      <c r="AD1459" s="405"/>
      <c r="AE1459" s="405"/>
      <c r="AF1459" s="405"/>
      <c r="AG1459" s="405"/>
      <c r="AH1459" s="405"/>
      <c r="AI1459" s="405"/>
      <c r="AJ1459" s="405"/>
      <c r="AK1459" s="405"/>
      <c r="AL1459" s="405"/>
    </row>
    <row r="1460" ht="14.25" customHeight="1">
      <c r="A1460" s="402"/>
      <c r="B1460" s="402"/>
      <c r="C1460" s="402"/>
      <c r="D1460" s="402"/>
      <c r="E1460" s="402"/>
      <c r="F1460" s="402"/>
      <c r="G1460" s="403"/>
      <c r="H1460" s="402"/>
      <c r="I1460" s="402"/>
      <c r="J1460" s="402"/>
      <c r="K1460" s="402"/>
      <c r="L1460" s="402"/>
      <c r="M1460" s="402"/>
      <c r="N1460" s="402"/>
      <c r="O1460" s="402"/>
      <c r="P1460" s="402"/>
      <c r="Q1460" s="402"/>
      <c r="R1460" s="402"/>
      <c r="S1460" s="402"/>
      <c r="T1460" s="402"/>
      <c r="U1460" s="402"/>
      <c r="V1460" s="402"/>
      <c r="W1460" s="402"/>
      <c r="X1460" s="402"/>
      <c r="Y1460" s="402"/>
      <c r="Z1460" s="402"/>
      <c r="AA1460" s="405"/>
      <c r="AB1460" s="405"/>
      <c r="AC1460" s="405"/>
      <c r="AD1460" s="405"/>
      <c r="AE1460" s="405"/>
      <c r="AF1460" s="405"/>
      <c r="AG1460" s="405"/>
      <c r="AH1460" s="405"/>
      <c r="AI1460" s="405"/>
      <c r="AJ1460" s="405"/>
      <c r="AK1460" s="405"/>
      <c r="AL1460" s="405"/>
    </row>
    <row r="1461" ht="14.25" customHeight="1">
      <c r="A1461" s="402"/>
      <c r="B1461" s="402"/>
      <c r="C1461" s="402"/>
      <c r="D1461" s="402"/>
      <c r="E1461" s="402"/>
      <c r="F1461" s="402"/>
      <c r="G1461" s="403"/>
      <c r="H1461" s="402"/>
      <c r="I1461" s="402"/>
      <c r="J1461" s="402"/>
      <c r="K1461" s="402"/>
      <c r="L1461" s="402"/>
      <c r="M1461" s="402"/>
      <c r="N1461" s="402"/>
      <c r="O1461" s="402"/>
      <c r="P1461" s="402"/>
      <c r="Q1461" s="402"/>
      <c r="R1461" s="402"/>
      <c r="S1461" s="402"/>
      <c r="T1461" s="402"/>
      <c r="U1461" s="402"/>
      <c r="V1461" s="402"/>
      <c r="W1461" s="402"/>
      <c r="X1461" s="402"/>
      <c r="Y1461" s="402"/>
      <c r="Z1461" s="402"/>
      <c r="AA1461" s="405"/>
      <c r="AB1461" s="405"/>
      <c r="AC1461" s="405"/>
      <c r="AD1461" s="405"/>
      <c r="AE1461" s="405"/>
      <c r="AF1461" s="405"/>
      <c r="AG1461" s="405"/>
      <c r="AH1461" s="405"/>
      <c r="AI1461" s="405"/>
      <c r="AJ1461" s="405"/>
      <c r="AK1461" s="405"/>
      <c r="AL1461" s="405"/>
    </row>
    <row r="1462" ht="14.25" customHeight="1">
      <c r="A1462" s="402"/>
      <c r="B1462" s="402"/>
      <c r="C1462" s="402"/>
      <c r="D1462" s="402"/>
      <c r="E1462" s="402"/>
      <c r="F1462" s="402"/>
      <c r="G1462" s="403"/>
      <c r="H1462" s="402"/>
      <c r="I1462" s="402"/>
      <c r="J1462" s="402"/>
      <c r="K1462" s="402"/>
      <c r="L1462" s="402"/>
      <c r="M1462" s="402"/>
      <c r="N1462" s="402"/>
      <c r="O1462" s="402"/>
      <c r="P1462" s="402"/>
      <c r="Q1462" s="402"/>
      <c r="R1462" s="402"/>
      <c r="S1462" s="402"/>
      <c r="T1462" s="402"/>
      <c r="U1462" s="402"/>
      <c r="V1462" s="402"/>
      <c r="W1462" s="402"/>
      <c r="X1462" s="402"/>
      <c r="Y1462" s="402"/>
      <c r="Z1462" s="402"/>
      <c r="AA1462" s="405"/>
      <c r="AB1462" s="405"/>
      <c r="AC1462" s="405"/>
      <c r="AD1462" s="405"/>
      <c r="AE1462" s="405"/>
      <c r="AF1462" s="405"/>
      <c r="AG1462" s="405"/>
      <c r="AH1462" s="405"/>
      <c r="AI1462" s="405"/>
      <c r="AJ1462" s="405"/>
      <c r="AK1462" s="405"/>
      <c r="AL1462" s="405"/>
    </row>
    <row r="1463" ht="14.25" customHeight="1">
      <c r="A1463" s="402"/>
      <c r="B1463" s="402"/>
      <c r="C1463" s="402"/>
      <c r="D1463" s="402"/>
      <c r="E1463" s="402"/>
      <c r="F1463" s="402"/>
      <c r="G1463" s="403"/>
      <c r="H1463" s="402"/>
      <c r="I1463" s="402"/>
      <c r="J1463" s="402"/>
      <c r="K1463" s="402"/>
      <c r="L1463" s="402"/>
      <c r="M1463" s="402"/>
      <c r="N1463" s="402"/>
      <c r="O1463" s="402"/>
      <c r="P1463" s="402"/>
      <c r="Q1463" s="402"/>
      <c r="R1463" s="402"/>
      <c r="S1463" s="402"/>
      <c r="T1463" s="402"/>
      <c r="U1463" s="402"/>
      <c r="V1463" s="402"/>
      <c r="W1463" s="402"/>
      <c r="X1463" s="402"/>
      <c r="Y1463" s="402"/>
      <c r="Z1463" s="402"/>
      <c r="AA1463" s="405"/>
      <c r="AB1463" s="405"/>
      <c r="AC1463" s="405"/>
      <c r="AD1463" s="405"/>
      <c r="AE1463" s="405"/>
      <c r="AF1463" s="405"/>
      <c r="AG1463" s="405"/>
      <c r="AH1463" s="405"/>
      <c r="AI1463" s="405"/>
      <c r="AJ1463" s="405"/>
      <c r="AK1463" s="405"/>
      <c r="AL1463" s="405"/>
    </row>
    <row r="1464" ht="14.25" customHeight="1">
      <c r="A1464" s="402"/>
      <c r="B1464" s="402"/>
      <c r="C1464" s="402"/>
      <c r="D1464" s="402"/>
      <c r="E1464" s="402"/>
      <c r="F1464" s="402"/>
      <c r="G1464" s="403"/>
      <c r="H1464" s="402"/>
      <c r="I1464" s="402"/>
      <c r="J1464" s="402"/>
      <c r="K1464" s="402"/>
      <c r="L1464" s="402"/>
      <c r="M1464" s="402"/>
      <c r="N1464" s="402"/>
      <c r="O1464" s="402"/>
      <c r="P1464" s="402"/>
      <c r="Q1464" s="402"/>
      <c r="R1464" s="402"/>
      <c r="S1464" s="402"/>
      <c r="T1464" s="402"/>
      <c r="U1464" s="402"/>
      <c r="V1464" s="402"/>
      <c r="W1464" s="402"/>
      <c r="X1464" s="402"/>
      <c r="Y1464" s="402"/>
      <c r="Z1464" s="402"/>
      <c r="AA1464" s="405"/>
      <c r="AB1464" s="405"/>
      <c r="AC1464" s="405"/>
      <c r="AD1464" s="405"/>
      <c r="AE1464" s="405"/>
      <c r="AF1464" s="405"/>
      <c r="AG1464" s="405"/>
      <c r="AH1464" s="405"/>
      <c r="AI1464" s="405"/>
      <c r="AJ1464" s="405"/>
      <c r="AK1464" s="405"/>
      <c r="AL1464" s="405"/>
    </row>
    <row r="1465" ht="14.25" customHeight="1">
      <c r="A1465" s="402"/>
      <c r="B1465" s="402"/>
      <c r="C1465" s="402"/>
      <c r="D1465" s="402"/>
      <c r="E1465" s="402"/>
      <c r="F1465" s="402"/>
      <c r="G1465" s="403"/>
      <c r="H1465" s="402"/>
      <c r="I1465" s="402"/>
      <c r="J1465" s="402"/>
      <c r="K1465" s="402"/>
      <c r="L1465" s="402"/>
      <c r="M1465" s="402"/>
      <c r="N1465" s="402"/>
      <c r="O1465" s="402"/>
      <c r="P1465" s="402"/>
      <c r="Q1465" s="402"/>
      <c r="R1465" s="402"/>
      <c r="S1465" s="402"/>
      <c r="T1465" s="402"/>
      <c r="U1465" s="402"/>
      <c r="V1465" s="402"/>
      <c r="W1465" s="402"/>
      <c r="X1465" s="402"/>
      <c r="Y1465" s="402"/>
      <c r="Z1465" s="402"/>
      <c r="AA1465" s="405"/>
      <c r="AB1465" s="405"/>
      <c r="AC1465" s="405"/>
      <c r="AD1465" s="405"/>
      <c r="AE1465" s="405"/>
      <c r="AF1465" s="405"/>
      <c r="AG1465" s="405"/>
      <c r="AH1465" s="405"/>
      <c r="AI1465" s="405"/>
      <c r="AJ1465" s="405"/>
      <c r="AK1465" s="405"/>
      <c r="AL1465" s="405"/>
    </row>
    <row r="1466" ht="14.25" customHeight="1">
      <c r="A1466" s="402"/>
      <c r="B1466" s="402"/>
      <c r="C1466" s="402"/>
      <c r="D1466" s="402"/>
      <c r="E1466" s="402"/>
      <c r="F1466" s="402"/>
      <c r="G1466" s="403"/>
      <c r="H1466" s="402"/>
      <c r="I1466" s="402"/>
      <c r="J1466" s="402"/>
      <c r="K1466" s="402"/>
      <c r="L1466" s="402"/>
      <c r="M1466" s="402"/>
      <c r="N1466" s="402"/>
      <c r="O1466" s="402"/>
      <c r="P1466" s="402"/>
      <c r="Q1466" s="402"/>
      <c r="R1466" s="402"/>
      <c r="S1466" s="402"/>
      <c r="T1466" s="402"/>
      <c r="U1466" s="402"/>
      <c r="V1466" s="402"/>
      <c r="W1466" s="402"/>
      <c r="X1466" s="402"/>
      <c r="Y1466" s="402"/>
      <c r="Z1466" s="402"/>
      <c r="AA1466" s="405"/>
      <c r="AB1466" s="405"/>
      <c r="AC1466" s="405"/>
      <c r="AD1466" s="405"/>
      <c r="AE1466" s="405"/>
      <c r="AF1466" s="405"/>
      <c r="AG1466" s="405"/>
      <c r="AH1466" s="405"/>
      <c r="AI1466" s="405"/>
      <c r="AJ1466" s="405"/>
      <c r="AK1466" s="405"/>
      <c r="AL1466" s="405"/>
    </row>
    <row r="1467" ht="14.25" customHeight="1">
      <c r="A1467" s="402"/>
      <c r="B1467" s="402"/>
      <c r="C1467" s="402"/>
      <c r="D1467" s="402"/>
      <c r="E1467" s="402"/>
      <c r="F1467" s="402"/>
      <c r="G1467" s="403"/>
      <c r="H1467" s="402"/>
      <c r="I1467" s="402"/>
      <c r="J1467" s="402"/>
      <c r="K1467" s="402"/>
      <c r="L1467" s="402"/>
      <c r="M1467" s="402"/>
      <c r="N1467" s="402"/>
      <c r="O1467" s="402"/>
      <c r="P1467" s="402"/>
      <c r="Q1467" s="402"/>
      <c r="R1467" s="402"/>
      <c r="S1467" s="402"/>
      <c r="T1467" s="402"/>
      <c r="U1467" s="402"/>
      <c r="V1467" s="402"/>
      <c r="W1467" s="402"/>
      <c r="X1467" s="402"/>
      <c r="Y1467" s="402"/>
      <c r="Z1467" s="402"/>
      <c r="AA1467" s="405"/>
      <c r="AB1467" s="405"/>
      <c r="AC1467" s="405"/>
      <c r="AD1467" s="405"/>
      <c r="AE1467" s="405"/>
      <c r="AF1467" s="405"/>
      <c r="AG1467" s="405"/>
      <c r="AH1467" s="405"/>
      <c r="AI1467" s="405"/>
      <c r="AJ1467" s="405"/>
      <c r="AK1467" s="405"/>
      <c r="AL1467" s="405"/>
    </row>
    <row r="1468" ht="14.25" customHeight="1">
      <c r="A1468" s="402"/>
      <c r="B1468" s="402"/>
      <c r="C1468" s="402"/>
      <c r="D1468" s="402"/>
      <c r="E1468" s="402"/>
      <c r="F1468" s="402"/>
      <c r="G1468" s="403"/>
      <c r="H1468" s="402"/>
      <c r="I1468" s="402"/>
      <c r="J1468" s="402"/>
      <c r="K1468" s="402"/>
      <c r="L1468" s="402"/>
      <c r="M1468" s="402"/>
      <c r="N1468" s="402"/>
      <c r="O1468" s="402"/>
      <c r="P1468" s="402"/>
      <c r="Q1468" s="402"/>
      <c r="R1468" s="402"/>
      <c r="S1468" s="402"/>
      <c r="T1468" s="402"/>
      <c r="U1468" s="402"/>
      <c r="V1468" s="402"/>
      <c r="W1468" s="402"/>
      <c r="X1468" s="402"/>
      <c r="Y1468" s="402"/>
      <c r="Z1468" s="402"/>
      <c r="AA1468" s="405"/>
      <c r="AB1468" s="405"/>
      <c r="AC1468" s="405"/>
      <c r="AD1468" s="405"/>
      <c r="AE1468" s="405"/>
      <c r="AF1468" s="405"/>
      <c r="AG1468" s="405"/>
      <c r="AH1468" s="405"/>
      <c r="AI1468" s="405"/>
      <c r="AJ1468" s="405"/>
      <c r="AK1468" s="405"/>
      <c r="AL1468" s="405"/>
    </row>
    <row r="1469" ht="14.25" customHeight="1">
      <c r="A1469" s="402"/>
      <c r="B1469" s="402"/>
      <c r="C1469" s="402"/>
      <c r="D1469" s="402"/>
      <c r="E1469" s="402"/>
      <c r="F1469" s="402"/>
      <c r="G1469" s="403"/>
      <c r="H1469" s="402"/>
      <c r="I1469" s="402"/>
      <c r="J1469" s="402"/>
      <c r="K1469" s="402"/>
      <c r="L1469" s="402"/>
      <c r="M1469" s="402"/>
      <c r="N1469" s="402"/>
      <c r="O1469" s="402"/>
      <c r="P1469" s="402"/>
      <c r="Q1469" s="402"/>
      <c r="R1469" s="402"/>
      <c r="S1469" s="402"/>
      <c r="T1469" s="402"/>
      <c r="U1469" s="402"/>
      <c r="V1469" s="402"/>
      <c r="W1469" s="402"/>
      <c r="X1469" s="402"/>
      <c r="Y1469" s="402"/>
      <c r="Z1469" s="402"/>
      <c r="AA1469" s="405"/>
      <c r="AB1469" s="405"/>
      <c r="AC1469" s="405"/>
      <c r="AD1469" s="405"/>
      <c r="AE1469" s="405"/>
      <c r="AF1469" s="405"/>
      <c r="AG1469" s="405"/>
      <c r="AH1469" s="405"/>
      <c r="AI1469" s="405"/>
      <c r="AJ1469" s="405"/>
      <c r="AK1469" s="405"/>
      <c r="AL1469" s="405"/>
    </row>
    <row r="1470" ht="14.25" customHeight="1">
      <c r="A1470" s="402"/>
      <c r="B1470" s="402"/>
      <c r="C1470" s="402"/>
      <c r="D1470" s="402"/>
      <c r="E1470" s="402"/>
      <c r="F1470" s="402"/>
      <c r="G1470" s="403"/>
      <c r="H1470" s="402"/>
      <c r="I1470" s="402"/>
      <c r="J1470" s="402"/>
      <c r="K1470" s="402"/>
      <c r="L1470" s="402"/>
      <c r="M1470" s="402"/>
      <c r="N1470" s="402"/>
      <c r="O1470" s="402"/>
      <c r="P1470" s="402"/>
      <c r="Q1470" s="402"/>
      <c r="R1470" s="402"/>
      <c r="S1470" s="402"/>
      <c r="T1470" s="402"/>
      <c r="U1470" s="402"/>
      <c r="V1470" s="402"/>
      <c r="W1470" s="402"/>
      <c r="X1470" s="402"/>
      <c r="Y1470" s="402"/>
      <c r="Z1470" s="402"/>
      <c r="AA1470" s="405"/>
      <c r="AB1470" s="405"/>
      <c r="AC1470" s="405"/>
      <c r="AD1470" s="405"/>
      <c r="AE1470" s="405"/>
      <c r="AF1470" s="405"/>
      <c r="AG1470" s="405"/>
      <c r="AH1470" s="405"/>
      <c r="AI1470" s="405"/>
      <c r="AJ1470" s="405"/>
      <c r="AK1470" s="405"/>
      <c r="AL1470" s="405"/>
    </row>
    <row r="1471" ht="14.25" customHeight="1">
      <c r="A1471" s="402"/>
      <c r="B1471" s="402"/>
      <c r="C1471" s="402"/>
      <c r="D1471" s="402"/>
      <c r="E1471" s="402"/>
      <c r="F1471" s="402"/>
      <c r="G1471" s="403"/>
      <c r="H1471" s="402"/>
      <c r="I1471" s="402"/>
      <c r="J1471" s="402"/>
      <c r="K1471" s="402"/>
      <c r="L1471" s="402"/>
      <c r="M1471" s="402"/>
      <c r="N1471" s="402"/>
      <c r="O1471" s="402"/>
      <c r="P1471" s="402"/>
      <c r="Q1471" s="402"/>
      <c r="R1471" s="402"/>
      <c r="S1471" s="402"/>
      <c r="T1471" s="402"/>
      <c r="U1471" s="402"/>
      <c r="V1471" s="402"/>
      <c r="W1471" s="402"/>
      <c r="X1471" s="402"/>
      <c r="Y1471" s="402"/>
      <c r="Z1471" s="402"/>
      <c r="AA1471" s="405"/>
      <c r="AB1471" s="405"/>
      <c r="AC1471" s="405"/>
      <c r="AD1471" s="405"/>
      <c r="AE1471" s="405"/>
      <c r="AF1471" s="405"/>
      <c r="AG1471" s="405"/>
      <c r="AH1471" s="405"/>
      <c r="AI1471" s="405"/>
      <c r="AJ1471" s="405"/>
      <c r="AK1471" s="405"/>
      <c r="AL1471" s="405"/>
    </row>
    <row r="1472" ht="14.25" customHeight="1">
      <c r="A1472" s="402"/>
      <c r="B1472" s="402"/>
      <c r="C1472" s="402"/>
      <c r="D1472" s="402"/>
      <c r="E1472" s="402"/>
      <c r="F1472" s="402"/>
      <c r="G1472" s="403"/>
      <c r="H1472" s="402"/>
      <c r="I1472" s="402"/>
      <c r="J1472" s="402"/>
      <c r="K1472" s="402"/>
      <c r="L1472" s="402"/>
      <c r="M1472" s="402"/>
      <c r="N1472" s="402"/>
      <c r="O1472" s="402"/>
      <c r="P1472" s="402"/>
      <c r="Q1472" s="402"/>
      <c r="R1472" s="402"/>
      <c r="S1472" s="402"/>
      <c r="T1472" s="402"/>
      <c r="U1472" s="402"/>
      <c r="V1472" s="402"/>
      <c r="W1472" s="402"/>
      <c r="X1472" s="402"/>
      <c r="Y1472" s="402"/>
      <c r="Z1472" s="402"/>
      <c r="AA1472" s="405"/>
      <c r="AB1472" s="405"/>
      <c r="AC1472" s="405"/>
      <c r="AD1472" s="405"/>
      <c r="AE1472" s="405"/>
      <c r="AF1472" s="405"/>
      <c r="AG1472" s="405"/>
      <c r="AH1472" s="405"/>
      <c r="AI1472" s="405"/>
      <c r="AJ1472" s="405"/>
      <c r="AK1472" s="405"/>
      <c r="AL1472" s="405"/>
    </row>
    <row r="1473" ht="14.25" customHeight="1">
      <c r="A1473" s="402"/>
      <c r="B1473" s="402"/>
      <c r="C1473" s="402"/>
      <c r="D1473" s="402"/>
      <c r="E1473" s="402"/>
      <c r="F1473" s="402"/>
      <c r="G1473" s="403"/>
      <c r="H1473" s="402"/>
      <c r="I1473" s="402"/>
      <c r="J1473" s="402"/>
      <c r="K1473" s="402"/>
      <c r="L1473" s="402"/>
      <c r="M1473" s="402"/>
      <c r="N1473" s="402"/>
      <c r="O1473" s="402"/>
      <c r="P1473" s="402"/>
      <c r="Q1473" s="402"/>
      <c r="R1473" s="402"/>
      <c r="S1473" s="402"/>
      <c r="T1473" s="402"/>
      <c r="U1473" s="402"/>
      <c r="V1473" s="402"/>
      <c r="W1473" s="402"/>
      <c r="X1473" s="402"/>
      <c r="Y1473" s="402"/>
      <c r="Z1473" s="402"/>
      <c r="AA1473" s="405"/>
      <c r="AB1473" s="405"/>
      <c r="AC1473" s="405"/>
      <c r="AD1473" s="405"/>
      <c r="AE1473" s="405"/>
      <c r="AF1473" s="405"/>
      <c r="AG1473" s="405"/>
      <c r="AH1473" s="405"/>
      <c r="AI1473" s="405"/>
      <c r="AJ1473" s="405"/>
      <c r="AK1473" s="405"/>
      <c r="AL1473" s="405"/>
    </row>
    <row r="1474" ht="14.25" customHeight="1">
      <c r="A1474" s="402"/>
      <c r="B1474" s="402"/>
      <c r="C1474" s="402"/>
      <c r="D1474" s="402"/>
      <c r="E1474" s="402"/>
      <c r="F1474" s="402"/>
      <c r="G1474" s="403"/>
      <c r="H1474" s="402"/>
      <c r="I1474" s="402"/>
      <c r="J1474" s="402"/>
      <c r="K1474" s="402"/>
      <c r="L1474" s="402"/>
      <c r="M1474" s="402"/>
      <c r="N1474" s="402"/>
      <c r="O1474" s="402"/>
      <c r="P1474" s="402"/>
      <c r="Q1474" s="402"/>
      <c r="R1474" s="402"/>
      <c r="S1474" s="402"/>
      <c r="T1474" s="402"/>
      <c r="U1474" s="402"/>
      <c r="V1474" s="402"/>
      <c r="W1474" s="402"/>
      <c r="X1474" s="402"/>
      <c r="Y1474" s="402"/>
      <c r="Z1474" s="402"/>
      <c r="AA1474" s="405"/>
      <c r="AB1474" s="405"/>
      <c r="AC1474" s="405"/>
      <c r="AD1474" s="405"/>
      <c r="AE1474" s="405"/>
      <c r="AF1474" s="405"/>
      <c r="AG1474" s="405"/>
      <c r="AH1474" s="405"/>
      <c r="AI1474" s="405"/>
      <c r="AJ1474" s="405"/>
      <c r="AK1474" s="405"/>
      <c r="AL1474" s="405"/>
    </row>
    <row r="1475" ht="14.25" customHeight="1">
      <c r="A1475" s="402"/>
      <c r="B1475" s="402"/>
      <c r="C1475" s="402"/>
      <c r="D1475" s="402"/>
      <c r="E1475" s="402"/>
      <c r="F1475" s="402"/>
      <c r="G1475" s="403"/>
      <c r="H1475" s="402"/>
      <c r="I1475" s="402"/>
      <c r="J1475" s="402"/>
      <c r="K1475" s="402"/>
      <c r="L1475" s="402"/>
      <c r="M1475" s="402"/>
      <c r="N1475" s="402"/>
      <c r="O1475" s="402"/>
      <c r="P1475" s="402"/>
      <c r="Q1475" s="402"/>
      <c r="R1475" s="402"/>
      <c r="S1475" s="402"/>
      <c r="T1475" s="402"/>
      <c r="U1475" s="402"/>
      <c r="V1475" s="402"/>
      <c r="W1475" s="402"/>
      <c r="X1475" s="402"/>
      <c r="Y1475" s="402"/>
      <c r="Z1475" s="402"/>
      <c r="AA1475" s="405"/>
      <c r="AB1475" s="405"/>
      <c r="AC1475" s="405"/>
      <c r="AD1475" s="405"/>
      <c r="AE1475" s="405"/>
      <c r="AF1475" s="405"/>
      <c r="AG1475" s="405"/>
      <c r="AH1475" s="405"/>
      <c r="AI1475" s="405"/>
      <c r="AJ1475" s="405"/>
      <c r="AK1475" s="405"/>
      <c r="AL1475" s="405"/>
    </row>
    <row r="1476" ht="14.25" customHeight="1">
      <c r="A1476" s="402"/>
      <c r="B1476" s="402"/>
      <c r="C1476" s="402"/>
      <c r="D1476" s="402"/>
      <c r="E1476" s="402"/>
      <c r="F1476" s="402"/>
      <c r="G1476" s="403"/>
      <c r="H1476" s="402"/>
      <c r="I1476" s="402"/>
      <c r="J1476" s="402"/>
      <c r="K1476" s="402"/>
      <c r="L1476" s="402"/>
      <c r="M1476" s="402"/>
      <c r="N1476" s="402"/>
      <c r="O1476" s="402"/>
      <c r="P1476" s="402"/>
      <c r="Q1476" s="402"/>
      <c r="R1476" s="402"/>
      <c r="S1476" s="402"/>
      <c r="T1476" s="402"/>
      <c r="U1476" s="402"/>
      <c r="V1476" s="402"/>
      <c r="W1476" s="402"/>
      <c r="X1476" s="402"/>
      <c r="Y1476" s="402"/>
      <c r="Z1476" s="402"/>
      <c r="AA1476" s="405"/>
      <c r="AB1476" s="405"/>
      <c r="AC1476" s="405"/>
      <c r="AD1476" s="405"/>
      <c r="AE1476" s="405"/>
      <c r="AF1476" s="405"/>
      <c r="AG1476" s="405"/>
      <c r="AH1476" s="405"/>
      <c r="AI1476" s="405"/>
      <c r="AJ1476" s="405"/>
      <c r="AK1476" s="405"/>
      <c r="AL1476" s="405"/>
    </row>
    <row r="1477" ht="14.25" customHeight="1">
      <c r="A1477" s="402"/>
      <c r="B1477" s="402"/>
      <c r="C1477" s="402"/>
      <c r="D1477" s="402"/>
      <c r="E1477" s="402"/>
      <c r="F1477" s="402"/>
      <c r="G1477" s="403"/>
      <c r="H1477" s="402"/>
      <c r="I1477" s="402"/>
      <c r="J1477" s="402"/>
      <c r="K1477" s="402"/>
      <c r="L1477" s="402"/>
      <c r="M1477" s="402"/>
      <c r="N1477" s="402"/>
      <c r="O1477" s="402"/>
      <c r="P1477" s="402"/>
      <c r="Q1477" s="402"/>
      <c r="R1477" s="402"/>
      <c r="S1477" s="402"/>
      <c r="T1477" s="402"/>
      <c r="U1477" s="402"/>
      <c r="V1477" s="402"/>
      <c r="W1477" s="402"/>
      <c r="X1477" s="402"/>
      <c r="Y1477" s="402"/>
      <c r="Z1477" s="402"/>
      <c r="AA1477" s="405"/>
      <c r="AB1477" s="405"/>
      <c r="AC1477" s="405"/>
      <c r="AD1477" s="405"/>
      <c r="AE1477" s="405"/>
      <c r="AF1477" s="405"/>
      <c r="AG1477" s="405"/>
      <c r="AH1477" s="405"/>
      <c r="AI1477" s="405"/>
      <c r="AJ1477" s="405"/>
      <c r="AK1477" s="405"/>
      <c r="AL1477" s="405"/>
    </row>
    <row r="1478" ht="14.25" customHeight="1">
      <c r="A1478" s="402"/>
      <c r="B1478" s="402"/>
      <c r="C1478" s="402"/>
      <c r="D1478" s="402"/>
      <c r="E1478" s="402"/>
      <c r="F1478" s="402"/>
      <c r="G1478" s="403"/>
      <c r="H1478" s="402"/>
      <c r="I1478" s="402"/>
      <c r="J1478" s="402"/>
      <c r="K1478" s="402"/>
      <c r="L1478" s="402"/>
      <c r="M1478" s="402"/>
      <c r="N1478" s="402"/>
      <c r="O1478" s="402"/>
      <c r="P1478" s="402"/>
      <c r="Q1478" s="402"/>
      <c r="R1478" s="402"/>
      <c r="S1478" s="402"/>
      <c r="T1478" s="402"/>
      <c r="U1478" s="402"/>
      <c r="V1478" s="402"/>
      <c r="W1478" s="402"/>
      <c r="X1478" s="402"/>
      <c r="Y1478" s="402"/>
      <c r="Z1478" s="402"/>
      <c r="AA1478" s="405"/>
      <c r="AB1478" s="405"/>
      <c r="AC1478" s="405"/>
      <c r="AD1478" s="405"/>
      <c r="AE1478" s="405"/>
      <c r="AF1478" s="405"/>
      <c r="AG1478" s="405"/>
      <c r="AH1478" s="405"/>
      <c r="AI1478" s="405"/>
      <c r="AJ1478" s="405"/>
      <c r="AK1478" s="405"/>
      <c r="AL1478" s="405"/>
    </row>
    <row r="1479" ht="14.25" customHeight="1">
      <c r="A1479" s="402"/>
      <c r="B1479" s="402"/>
      <c r="C1479" s="402"/>
      <c r="D1479" s="402"/>
      <c r="E1479" s="402"/>
      <c r="F1479" s="402"/>
      <c r="G1479" s="403"/>
      <c r="H1479" s="402"/>
      <c r="I1479" s="402"/>
      <c r="J1479" s="402"/>
      <c r="K1479" s="402"/>
      <c r="L1479" s="402"/>
      <c r="M1479" s="402"/>
      <c r="N1479" s="402"/>
      <c r="O1479" s="402"/>
      <c r="P1479" s="402"/>
      <c r="Q1479" s="402"/>
      <c r="R1479" s="402"/>
      <c r="S1479" s="402"/>
      <c r="T1479" s="402"/>
      <c r="U1479" s="402"/>
      <c r="V1479" s="402"/>
      <c r="W1479" s="402"/>
      <c r="X1479" s="402"/>
      <c r="Y1479" s="402"/>
      <c r="Z1479" s="402"/>
      <c r="AA1479" s="405"/>
      <c r="AB1479" s="405"/>
      <c r="AC1479" s="405"/>
      <c r="AD1479" s="405"/>
      <c r="AE1479" s="405"/>
      <c r="AF1479" s="405"/>
      <c r="AG1479" s="405"/>
      <c r="AH1479" s="405"/>
      <c r="AI1479" s="405"/>
      <c r="AJ1479" s="405"/>
      <c r="AK1479" s="405"/>
      <c r="AL1479" s="405"/>
    </row>
    <row r="1480" ht="14.25" customHeight="1">
      <c r="A1480" s="402"/>
      <c r="B1480" s="402"/>
      <c r="C1480" s="402"/>
      <c r="D1480" s="402"/>
      <c r="E1480" s="402"/>
      <c r="F1480" s="402"/>
      <c r="G1480" s="403"/>
      <c r="H1480" s="402"/>
      <c r="I1480" s="402"/>
      <c r="J1480" s="402"/>
      <c r="K1480" s="402"/>
      <c r="L1480" s="402"/>
      <c r="M1480" s="402"/>
      <c r="N1480" s="402"/>
      <c r="O1480" s="402"/>
      <c r="P1480" s="402"/>
      <c r="Q1480" s="402"/>
      <c r="R1480" s="402"/>
      <c r="S1480" s="402"/>
      <c r="T1480" s="402"/>
      <c r="U1480" s="402"/>
      <c r="V1480" s="402"/>
      <c r="W1480" s="402"/>
      <c r="X1480" s="402"/>
      <c r="Y1480" s="402"/>
      <c r="Z1480" s="402"/>
      <c r="AA1480" s="405"/>
      <c r="AB1480" s="405"/>
      <c r="AC1480" s="405"/>
      <c r="AD1480" s="405"/>
      <c r="AE1480" s="405"/>
      <c r="AF1480" s="405"/>
      <c r="AG1480" s="405"/>
      <c r="AH1480" s="405"/>
      <c r="AI1480" s="405"/>
      <c r="AJ1480" s="405"/>
      <c r="AK1480" s="405"/>
      <c r="AL1480" s="405"/>
    </row>
    <row r="1481" ht="14.25" customHeight="1">
      <c r="A1481" s="402"/>
      <c r="B1481" s="402"/>
      <c r="C1481" s="402"/>
      <c r="D1481" s="402"/>
      <c r="E1481" s="402"/>
      <c r="F1481" s="402"/>
      <c r="G1481" s="403"/>
      <c r="H1481" s="402"/>
      <c r="I1481" s="402"/>
      <c r="J1481" s="402"/>
      <c r="K1481" s="402"/>
      <c r="L1481" s="402"/>
      <c r="M1481" s="402"/>
      <c r="N1481" s="402"/>
      <c r="O1481" s="402"/>
      <c r="P1481" s="402"/>
      <c r="Q1481" s="402"/>
      <c r="R1481" s="402"/>
      <c r="S1481" s="402"/>
      <c r="T1481" s="402"/>
      <c r="U1481" s="402"/>
      <c r="V1481" s="402"/>
      <c r="W1481" s="402"/>
      <c r="X1481" s="402"/>
      <c r="Y1481" s="402"/>
      <c r="Z1481" s="402"/>
      <c r="AA1481" s="405"/>
      <c r="AB1481" s="405"/>
      <c r="AC1481" s="405"/>
      <c r="AD1481" s="405"/>
      <c r="AE1481" s="405"/>
      <c r="AF1481" s="405"/>
      <c r="AG1481" s="405"/>
      <c r="AH1481" s="405"/>
      <c r="AI1481" s="405"/>
      <c r="AJ1481" s="405"/>
      <c r="AK1481" s="405"/>
      <c r="AL1481" s="405"/>
    </row>
    <row r="1482" ht="14.25" customHeight="1">
      <c r="A1482" s="402"/>
      <c r="B1482" s="402"/>
      <c r="C1482" s="402"/>
      <c r="D1482" s="402"/>
      <c r="E1482" s="402"/>
      <c r="F1482" s="402"/>
      <c r="G1482" s="403"/>
      <c r="H1482" s="402"/>
      <c r="I1482" s="402"/>
      <c r="J1482" s="402"/>
      <c r="K1482" s="402"/>
      <c r="L1482" s="402"/>
      <c r="M1482" s="402"/>
      <c r="N1482" s="402"/>
      <c r="O1482" s="402"/>
      <c r="P1482" s="402"/>
      <c r="Q1482" s="402"/>
      <c r="R1482" s="402"/>
      <c r="S1482" s="402"/>
      <c r="T1482" s="402"/>
      <c r="U1482" s="402"/>
      <c r="V1482" s="402"/>
      <c r="W1482" s="402"/>
      <c r="X1482" s="402"/>
      <c r="Y1482" s="402"/>
      <c r="Z1482" s="402"/>
      <c r="AA1482" s="405"/>
      <c r="AB1482" s="405"/>
      <c r="AC1482" s="405"/>
      <c r="AD1482" s="405"/>
      <c r="AE1482" s="405"/>
      <c r="AF1482" s="405"/>
      <c r="AG1482" s="405"/>
      <c r="AH1482" s="405"/>
      <c r="AI1482" s="405"/>
      <c r="AJ1482" s="405"/>
      <c r="AK1482" s="405"/>
      <c r="AL1482" s="405"/>
    </row>
    <row r="1483" ht="14.25" customHeight="1">
      <c r="A1483" s="402"/>
      <c r="B1483" s="402"/>
      <c r="C1483" s="402"/>
      <c r="D1483" s="402"/>
      <c r="E1483" s="402"/>
      <c r="F1483" s="402"/>
      <c r="G1483" s="403"/>
      <c r="H1483" s="402"/>
      <c r="I1483" s="402"/>
      <c r="J1483" s="402"/>
      <c r="K1483" s="402"/>
      <c r="L1483" s="402"/>
      <c r="M1483" s="402"/>
      <c r="N1483" s="402"/>
      <c r="O1483" s="402"/>
      <c r="P1483" s="402"/>
      <c r="Q1483" s="402"/>
      <c r="R1483" s="402"/>
      <c r="S1483" s="402"/>
      <c r="T1483" s="402"/>
      <c r="U1483" s="402"/>
      <c r="V1483" s="402"/>
      <c r="W1483" s="402"/>
      <c r="X1483" s="402"/>
      <c r="Y1483" s="402"/>
      <c r="Z1483" s="402"/>
      <c r="AA1483" s="405"/>
      <c r="AB1483" s="405"/>
      <c r="AC1483" s="405"/>
      <c r="AD1483" s="405"/>
      <c r="AE1483" s="405"/>
      <c r="AF1483" s="405"/>
      <c r="AG1483" s="405"/>
      <c r="AH1483" s="405"/>
      <c r="AI1483" s="405"/>
      <c r="AJ1483" s="405"/>
      <c r="AK1483" s="405"/>
      <c r="AL1483" s="405"/>
    </row>
    <row r="1484" ht="14.25" customHeight="1">
      <c r="A1484" s="402"/>
      <c r="B1484" s="402"/>
      <c r="C1484" s="402"/>
      <c r="D1484" s="402"/>
      <c r="E1484" s="402"/>
      <c r="F1484" s="402"/>
      <c r="G1484" s="403"/>
      <c r="H1484" s="402"/>
      <c r="I1484" s="402"/>
      <c r="J1484" s="402"/>
      <c r="K1484" s="402"/>
      <c r="L1484" s="402"/>
      <c r="M1484" s="402"/>
      <c r="N1484" s="402"/>
      <c r="O1484" s="402"/>
      <c r="P1484" s="402"/>
      <c r="Q1484" s="402"/>
      <c r="R1484" s="402"/>
      <c r="S1484" s="402"/>
      <c r="T1484" s="402"/>
      <c r="U1484" s="402"/>
      <c r="V1484" s="402"/>
      <c r="W1484" s="402"/>
      <c r="X1484" s="402"/>
      <c r="Y1484" s="402"/>
      <c r="Z1484" s="402"/>
      <c r="AA1484" s="405"/>
      <c r="AB1484" s="405"/>
      <c r="AC1484" s="405"/>
      <c r="AD1484" s="405"/>
      <c r="AE1484" s="405"/>
      <c r="AF1484" s="405"/>
      <c r="AG1484" s="405"/>
      <c r="AH1484" s="405"/>
      <c r="AI1484" s="405"/>
      <c r="AJ1484" s="405"/>
      <c r="AK1484" s="405"/>
      <c r="AL1484" s="405"/>
    </row>
    <row r="1485" ht="14.25" customHeight="1">
      <c r="A1485" s="402"/>
      <c r="B1485" s="402"/>
      <c r="C1485" s="402"/>
      <c r="D1485" s="402"/>
      <c r="E1485" s="402"/>
      <c r="F1485" s="402"/>
      <c r="G1485" s="403"/>
      <c r="H1485" s="402"/>
      <c r="I1485" s="402"/>
      <c r="J1485" s="402"/>
      <c r="K1485" s="402"/>
      <c r="L1485" s="402"/>
      <c r="M1485" s="402"/>
      <c r="N1485" s="402"/>
      <c r="O1485" s="402"/>
      <c r="P1485" s="402"/>
      <c r="Q1485" s="402"/>
      <c r="R1485" s="402"/>
      <c r="S1485" s="402"/>
      <c r="T1485" s="402"/>
      <c r="U1485" s="402"/>
      <c r="V1485" s="402"/>
      <c r="W1485" s="402"/>
      <c r="X1485" s="402"/>
      <c r="Y1485" s="402"/>
      <c r="Z1485" s="402"/>
      <c r="AA1485" s="405"/>
      <c r="AB1485" s="405"/>
      <c r="AC1485" s="405"/>
      <c r="AD1485" s="405"/>
      <c r="AE1485" s="405"/>
      <c r="AF1485" s="405"/>
      <c r="AG1485" s="405"/>
      <c r="AH1485" s="405"/>
      <c r="AI1485" s="405"/>
      <c r="AJ1485" s="405"/>
      <c r="AK1485" s="405"/>
      <c r="AL1485" s="405"/>
    </row>
    <row r="1486" ht="14.25" customHeight="1">
      <c r="A1486" s="402"/>
      <c r="B1486" s="402"/>
      <c r="C1486" s="402"/>
      <c r="D1486" s="402"/>
      <c r="E1486" s="402"/>
      <c r="F1486" s="402"/>
      <c r="G1486" s="403"/>
      <c r="H1486" s="402"/>
      <c r="I1486" s="402"/>
      <c r="J1486" s="402"/>
      <c r="K1486" s="402"/>
      <c r="L1486" s="402"/>
      <c r="M1486" s="402"/>
      <c r="N1486" s="402"/>
      <c r="O1486" s="402"/>
      <c r="P1486" s="402"/>
      <c r="Q1486" s="402"/>
      <c r="R1486" s="402"/>
      <c r="S1486" s="402"/>
      <c r="T1486" s="402"/>
      <c r="U1486" s="402"/>
      <c r="V1486" s="402"/>
      <c r="W1486" s="402"/>
      <c r="X1486" s="402"/>
      <c r="Y1486" s="402"/>
      <c r="Z1486" s="402"/>
      <c r="AA1486" s="405"/>
      <c r="AB1486" s="405"/>
      <c r="AC1486" s="405"/>
      <c r="AD1486" s="405"/>
      <c r="AE1486" s="405"/>
      <c r="AF1486" s="405"/>
      <c r="AG1486" s="405"/>
      <c r="AH1486" s="405"/>
      <c r="AI1486" s="405"/>
      <c r="AJ1486" s="405"/>
      <c r="AK1486" s="405"/>
      <c r="AL1486" s="405"/>
    </row>
    <row r="1487" ht="14.25" customHeight="1">
      <c r="A1487" s="402"/>
      <c r="B1487" s="402"/>
      <c r="C1487" s="402"/>
      <c r="D1487" s="402"/>
      <c r="E1487" s="402"/>
      <c r="F1487" s="402"/>
      <c r="G1487" s="403"/>
      <c r="H1487" s="402"/>
      <c r="I1487" s="402"/>
      <c r="J1487" s="402"/>
      <c r="K1487" s="402"/>
      <c r="L1487" s="402"/>
      <c r="M1487" s="402"/>
      <c r="N1487" s="402"/>
      <c r="O1487" s="402"/>
      <c r="P1487" s="402"/>
      <c r="Q1487" s="402"/>
      <c r="R1487" s="402"/>
      <c r="S1487" s="402"/>
      <c r="T1487" s="402"/>
      <c r="U1487" s="402"/>
      <c r="V1487" s="402"/>
      <c r="W1487" s="402"/>
      <c r="X1487" s="402"/>
      <c r="Y1487" s="402"/>
      <c r="Z1487" s="402"/>
      <c r="AA1487" s="405"/>
      <c r="AB1487" s="405"/>
      <c r="AC1487" s="405"/>
      <c r="AD1487" s="405"/>
      <c r="AE1487" s="405"/>
      <c r="AF1487" s="405"/>
      <c r="AG1487" s="405"/>
      <c r="AH1487" s="405"/>
      <c r="AI1487" s="405"/>
      <c r="AJ1487" s="405"/>
      <c r="AK1487" s="405"/>
      <c r="AL1487" s="405"/>
    </row>
    <row r="1488" ht="14.25" customHeight="1">
      <c r="A1488" s="402"/>
      <c r="B1488" s="402"/>
      <c r="C1488" s="402"/>
      <c r="D1488" s="402"/>
      <c r="E1488" s="402"/>
      <c r="F1488" s="402"/>
      <c r="G1488" s="403"/>
      <c r="H1488" s="402"/>
      <c r="I1488" s="402"/>
      <c r="J1488" s="402"/>
      <c r="K1488" s="402"/>
      <c r="L1488" s="402"/>
      <c r="M1488" s="402"/>
      <c r="N1488" s="402"/>
      <c r="O1488" s="402"/>
      <c r="P1488" s="402"/>
      <c r="Q1488" s="402"/>
      <c r="R1488" s="402"/>
      <c r="S1488" s="402"/>
      <c r="T1488" s="402"/>
      <c r="U1488" s="402"/>
      <c r="V1488" s="402"/>
      <c r="W1488" s="402"/>
      <c r="X1488" s="402"/>
      <c r="Y1488" s="402"/>
      <c r="Z1488" s="402"/>
      <c r="AA1488" s="405"/>
      <c r="AB1488" s="405"/>
      <c r="AC1488" s="405"/>
      <c r="AD1488" s="405"/>
      <c r="AE1488" s="405"/>
      <c r="AF1488" s="405"/>
      <c r="AG1488" s="405"/>
      <c r="AH1488" s="405"/>
      <c r="AI1488" s="405"/>
      <c r="AJ1488" s="405"/>
      <c r="AK1488" s="405"/>
      <c r="AL1488" s="405"/>
    </row>
    <row r="1489" ht="14.25" customHeight="1">
      <c r="A1489" s="402"/>
      <c r="B1489" s="402"/>
      <c r="C1489" s="402"/>
      <c r="D1489" s="402"/>
      <c r="E1489" s="402"/>
      <c r="F1489" s="402"/>
      <c r="G1489" s="403"/>
      <c r="H1489" s="402"/>
      <c r="I1489" s="402"/>
      <c r="J1489" s="402"/>
      <c r="K1489" s="402"/>
      <c r="L1489" s="402"/>
      <c r="M1489" s="402"/>
      <c r="N1489" s="402"/>
      <c r="O1489" s="402"/>
      <c r="P1489" s="402"/>
      <c r="Q1489" s="402"/>
      <c r="R1489" s="402"/>
      <c r="S1489" s="402"/>
      <c r="T1489" s="402"/>
      <c r="U1489" s="402"/>
      <c r="V1489" s="402"/>
      <c r="W1489" s="402"/>
      <c r="X1489" s="402"/>
      <c r="Y1489" s="402"/>
      <c r="Z1489" s="402"/>
      <c r="AA1489" s="405"/>
      <c r="AB1489" s="405"/>
      <c r="AC1489" s="405"/>
      <c r="AD1489" s="405"/>
      <c r="AE1489" s="405"/>
      <c r="AF1489" s="405"/>
      <c r="AG1489" s="405"/>
      <c r="AH1489" s="405"/>
      <c r="AI1489" s="405"/>
      <c r="AJ1489" s="405"/>
      <c r="AK1489" s="405"/>
      <c r="AL1489" s="405"/>
    </row>
    <row r="1490" ht="14.25" customHeight="1">
      <c r="A1490" s="402"/>
      <c r="B1490" s="402"/>
      <c r="C1490" s="402"/>
      <c r="D1490" s="402"/>
      <c r="E1490" s="402"/>
      <c r="F1490" s="402"/>
      <c r="G1490" s="403"/>
      <c r="H1490" s="402"/>
      <c r="I1490" s="402"/>
      <c r="J1490" s="402"/>
      <c r="K1490" s="402"/>
      <c r="L1490" s="402"/>
      <c r="M1490" s="402"/>
      <c r="N1490" s="402"/>
      <c r="O1490" s="402"/>
      <c r="P1490" s="402"/>
      <c r="Q1490" s="402"/>
      <c r="R1490" s="402"/>
      <c r="S1490" s="402"/>
      <c r="T1490" s="402"/>
      <c r="U1490" s="402"/>
      <c r="V1490" s="402"/>
      <c r="W1490" s="402"/>
      <c r="X1490" s="402"/>
      <c r="Y1490" s="402"/>
      <c r="Z1490" s="402"/>
      <c r="AA1490" s="405"/>
      <c r="AB1490" s="405"/>
      <c r="AC1490" s="405"/>
      <c r="AD1490" s="405"/>
      <c r="AE1490" s="405"/>
      <c r="AF1490" s="405"/>
      <c r="AG1490" s="405"/>
      <c r="AH1490" s="405"/>
      <c r="AI1490" s="405"/>
      <c r="AJ1490" s="405"/>
      <c r="AK1490" s="405"/>
      <c r="AL1490" s="405"/>
    </row>
    <row r="1491" ht="14.25" customHeight="1">
      <c r="A1491" s="402"/>
      <c r="B1491" s="402"/>
      <c r="C1491" s="402"/>
      <c r="D1491" s="402"/>
      <c r="E1491" s="402"/>
      <c r="F1491" s="402"/>
      <c r="G1491" s="403"/>
      <c r="H1491" s="402"/>
      <c r="I1491" s="402"/>
      <c r="J1491" s="402"/>
      <c r="K1491" s="402"/>
      <c r="L1491" s="402"/>
      <c r="M1491" s="402"/>
      <c r="N1491" s="402"/>
      <c r="O1491" s="402"/>
      <c r="P1491" s="402"/>
      <c r="Q1491" s="402"/>
      <c r="R1491" s="402"/>
      <c r="S1491" s="402"/>
      <c r="T1491" s="402"/>
      <c r="U1491" s="402"/>
      <c r="V1491" s="402"/>
      <c r="W1491" s="402"/>
      <c r="X1491" s="402"/>
      <c r="Y1491" s="402"/>
      <c r="Z1491" s="402"/>
      <c r="AA1491" s="405"/>
      <c r="AB1491" s="405"/>
      <c r="AC1491" s="405"/>
      <c r="AD1491" s="405"/>
      <c r="AE1491" s="405"/>
      <c r="AF1491" s="405"/>
      <c r="AG1491" s="405"/>
      <c r="AH1491" s="405"/>
      <c r="AI1491" s="405"/>
      <c r="AJ1491" s="405"/>
      <c r="AK1491" s="405"/>
      <c r="AL1491" s="405"/>
    </row>
    <row r="1492" ht="14.25" customHeight="1">
      <c r="A1492" s="402"/>
      <c r="B1492" s="402"/>
      <c r="C1492" s="402"/>
      <c r="D1492" s="402"/>
      <c r="E1492" s="402"/>
      <c r="F1492" s="402"/>
      <c r="G1492" s="403"/>
      <c r="H1492" s="402"/>
      <c r="I1492" s="402"/>
      <c r="J1492" s="402"/>
      <c r="K1492" s="402"/>
      <c r="L1492" s="402"/>
      <c r="M1492" s="402"/>
      <c r="N1492" s="402"/>
      <c r="O1492" s="402"/>
      <c r="P1492" s="402"/>
      <c r="Q1492" s="402"/>
      <c r="R1492" s="402"/>
      <c r="S1492" s="402"/>
      <c r="T1492" s="402"/>
      <c r="U1492" s="402"/>
      <c r="V1492" s="402"/>
      <c r="W1492" s="402"/>
      <c r="X1492" s="402"/>
      <c r="Y1492" s="402"/>
      <c r="Z1492" s="402"/>
      <c r="AA1492" s="405"/>
      <c r="AB1492" s="405"/>
      <c r="AC1492" s="405"/>
      <c r="AD1492" s="405"/>
      <c r="AE1492" s="405"/>
      <c r="AF1492" s="405"/>
      <c r="AG1492" s="405"/>
      <c r="AH1492" s="405"/>
      <c r="AI1492" s="405"/>
      <c r="AJ1492" s="405"/>
      <c r="AK1492" s="405"/>
      <c r="AL1492" s="405"/>
    </row>
    <row r="1493" ht="14.25" customHeight="1">
      <c r="A1493" s="402"/>
      <c r="B1493" s="402"/>
      <c r="C1493" s="402"/>
      <c r="D1493" s="402"/>
      <c r="E1493" s="402"/>
      <c r="F1493" s="402"/>
      <c r="G1493" s="403"/>
      <c r="H1493" s="402"/>
      <c r="I1493" s="402"/>
      <c r="J1493" s="402"/>
      <c r="K1493" s="402"/>
      <c r="L1493" s="402"/>
      <c r="M1493" s="402"/>
      <c r="N1493" s="402"/>
      <c r="O1493" s="402"/>
      <c r="P1493" s="402"/>
      <c r="Q1493" s="402"/>
      <c r="R1493" s="402"/>
      <c r="S1493" s="402"/>
      <c r="T1493" s="402"/>
      <c r="U1493" s="402"/>
      <c r="V1493" s="402"/>
      <c r="W1493" s="402"/>
      <c r="X1493" s="402"/>
      <c r="Y1493" s="402"/>
      <c r="Z1493" s="402"/>
      <c r="AA1493" s="405"/>
      <c r="AB1493" s="405"/>
      <c r="AC1493" s="405"/>
      <c r="AD1493" s="405"/>
      <c r="AE1493" s="405"/>
      <c r="AF1493" s="405"/>
      <c r="AG1493" s="405"/>
      <c r="AH1493" s="405"/>
      <c r="AI1493" s="405"/>
      <c r="AJ1493" s="405"/>
      <c r="AK1493" s="405"/>
      <c r="AL1493" s="405"/>
    </row>
    <row r="1494" ht="14.25" customHeight="1">
      <c r="A1494" s="402"/>
      <c r="B1494" s="402"/>
      <c r="C1494" s="402"/>
      <c r="D1494" s="402"/>
      <c r="E1494" s="402"/>
      <c r="F1494" s="402"/>
      <c r="G1494" s="403"/>
      <c r="H1494" s="402"/>
      <c r="I1494" s="402"/>
      <c r="J1494" s="402"/>
      <c r="K1494" s="402"/>
      <c r="L1494" s="402"/>
      <c r="M1494" s="402"/>
      <c r="N1494" s="402"/>
      <c r="O1494" s="402"/>
      <c r="P1494" s="402"/>
      <c r="Q1494" s="402"/>
      <c r="R1494" s="402"/>
      <c r="S1494" s="402"/>
      <c r="T1494" s="402"/>
      <c r="U1494" s="402"/>
      <c r="V1494" s="402"/>
      <c r="W1494" s="402"/>
      <c r="X1494" s="402"/>
      <c r="Y1494" s="402"/>
      <c r="Z1494" s="402"/>
      <c r="AA1494" s="405"/>
      <c r="AB1494" s="405"/>
      <c r="AC1494" s="405"/>
      <c r="AD1494" s="405"/>
      <c r="AE1494" s="405"/>
      <c r="AF1494" s="405"/>
      <c r="AG1494" s="405"/>
      <c r="AH1494" s="405"/>
      <c r="AI1494" s="405"/>
      <c r="AJ1494" s="405"/>
      <c r="AK1494" s="405"/>
      <c r="AL1494" s="405"/>
    </row>
    <row r="1495" ht="14.25" customHeight="1">
      <c r="A1495" s="402"/>
      <c r="B1495" s="402"/>
      <c r="C1495" s="402"/>
      <c r="D1495" s="402"/>
      <c r="E1495" s="402"/>
      <c r="F1495" s="402"/>
      <c r="G1495" s="403"/>
      <c r="H1495" s="402"/>
      <c r="I1495" s="402"/>
      <c r="J1495" s="402"/>
      <c r="K1495" s="402"/>
      <c r="L1495" s="402"/>
      <c r="M1495" s="402"/>
      <c r="N1495" s="402"/>
      <c r="O1495" s="402"/>
      <c r="P1495" s="402"/>
      <c r="Q1495" s="402"/>
      <c r="R1495" s="402"/>
      <c r="S1495" s="402"/>
      <c r="T1495" s="402"/>
      <c r="U1495" s="402"/>
      <c r="V1495" s="402"/>
      <c r="W1495" s="402"/>
      <c r="X1495" s="402"/>
      <c r="Y1495" s="402"/>
      <c r="Z1495" s="402"/>
      <c r="AA1495" s="405"/>
      <c r="AB1495" s="405"/>
      <c r="AC1495" s="405"/>
      <c r="AD1495" s="405"/>
      <c r="AE1495" s="405"/>
      <c r="AF1495" s="405"/>
      <c r="AG1495" s="405"/>
      <c r="AH1495" s="405"/>
      <c r="AI1495" s="405"/>
      <c r="AJ1495" s="405"/>
      <c r="AK1495" s="405"/>
      <c r="AL1495" s="405"/>
    </row>
    <row r="1496" ht="14.25" customHeight="1">
      <c r="A1496" s="402"/>
      <c r="B1496" s="402"/>
      <c r="C1496" s="402"/>
      <c r="D1496" s="402"/>
      <c r="E1496" s="402"/>
      <c r="F1496" s="402"/>
      <c r="G1496" s="403"/>
      <c r="H1496" s="402"/>
      <c r="I1496" s="402"/>
      <c r="J1496" s="402"/>
      <c r="K1496" s="402"/>
      <c r="L1496" s="402"/>
      <c r="M1496" s="402"/>
      <c r="N1496" s="402"/>
      <c r="O1496" s="402"/>
      <c r="P1496" s="402"/>
      <c r="Q1496" s="402"/>
      <c r="R1496" s="402"/>
      <c r="S1496" s="402"/>
      <c r="T1496" s="402"/>
      <c r="U1496" s="402"/>
      <c r="V1496" s="402"/>
      <c r="W1496" s="402"/>
      <c r="X1496" s="402"/>
      <c r="Y1496" s="402"/>
      <c r="Z1496" s="402"/>
      <c r="AA1496" s="405"/>
      <c r="AB1496" s="405"/>
      <c r="AC1496" s="405"/>
      <c r="AD1496" s="405"/>
      <c r="AE1496" s="405"/>
      <c r="AF1496" s="405"/>
      <c r="AG1496" s="405"/>
      <c r="AH1496" s="405"/>
      <c r="AI1496" s="405"/>
      <c r="AJ1496" s="405"/>
      <c r="AK1496" s="405"/>
      <c r="AL1496" s="405"/>
    </row>
    <row r="1497" ht="14.25" customHeight="1">
      <c r="A1497" s="402"/>
      <c r="B1497" s="402"/>
      <c r="C1497" s="402"/>
      <c r="D1497" s="402"/>
      <c r="E1497" s="402"/>
      <c r="F1497" s="402"/>
      <c r="G1497" s="403"/>
      <c r="H1497" s="402"/>
      <c r="I1497" s="402"/>
      <c r="J1497" s="402"/>
      <c r="K1497" s="402"/>
      <c r="L1497" s="402"/>
      <c r="M1497" s="402"/>
      <c r="N1497" s="402"/>
      <c r="O1497" s="402"/>
      <c r="P1497" s="402"/>
      <c r="Q1497" s="402"/>
      <c r="R1497" s="402"/>
      <c r="S1497" s="402"/>
      <c r="T1497" s="402"/>
      <c r="U1497" s="402"/>
      <c r="V1497" s="402"/>
      <c r="W1497" s="402"/>
      <c r="X1497" s="402"/>
      <c r="Y1497" s="402"/>
      <c r="Z1497" s="402"/>
      <c r="AA1497" s="405"/>
      <c r="AB1497" s="405"/>
      <c r="AC1497" s="405"/>
      <c r="AD1497" s="405"/>
      <c r="AE1497" s="405"/>
      <c r="AF1497" s="405"/>
      <c r="AG1497" s="405"/>
      <c r="AH1497" s="405"/>
      <c r="AI1497" s="405"/>
      <c r="AJ1497" s="405"/>
      <c r="AK1497" s="405"/>
      <c r="AL1497" s="405"/>
    </row>
    <row r="1498" ht="14.25" customHeight="1">
      <c r="A1498" s="402"/>
      <c r="B1498" s="402"/>
      <c r="C1498" s="402"/>
      <c r="D1498" s="402"/>
      <c r="E1498" s="402"/>
      <c r="F1498" s="402"/>
      <c r="G1498" s="403"/>
      <c r="H1498" s="402"/>
      <c r="I1498" s="402"/>
      <c r="J1498" s="402"/>
      <c r="K1498" s="402"/>
      <c r="L1498" s="402"/>
      <c r="M1498" s="402"/>
      <c r="N1498" s="402"/>
      <c r="O1498" s="402"/>
      <c r="P1498" s="402"/>
      <c r="Q1498" s="402"/>
      <c r="R1498" s="402"/>
      <c r="S1498" s="402"/>
      <c r="T1498" s="402"/>
      <c r="U1498" s="402"/>
      <c r="V1498" s="402"/>
      <c r="W1498" s="402"/>
      <c r="X1498" s="402"/>
      <c r="Y1498" s="402"/>
      <c r="Z1498" s="402"/>
      <c r="AA1498" s="405"/>
      <c r="AB1498" s="405"/>
      <c r="AC1498" s="405"/>
      <c r="AD1498" s="405"/>
      <c r="AE1498" s="405"/>
      <c r="AF1498" s="405"/>
      <c r="AG1498" s="405"/>
      <c r="AH1498" s="405"/>
      <c r="AI1498" s="405"/>
      <c r="AJ1498" s="405"/>
      <c r="AK1498" s="405"/>
      <c r="AL1498" s="405"/>
    </row>
    <row r="1499" ht="14.25" customHeight="1">
      <c r="A1499" s="402"/>
      <c r="B1499" s="402"/>
      <c r="C1499" s="402"/>
      <c r="D1499" s="402"/>
      <c r="E1499" s="402"/>
      <c r="F1499" s="402"/>
      <c r="G1499" s="403"/>
      <c r="H1499" s="402"/>
      <c r="I1499" s="402"/>
      <c r="J1499" s="402"/>
      <c r="K1499" s="402"/>
      <c r="L1499" s="402"/>
      <c r="M1499" s="402"/>
      <c r="N1499" s="402"/>
      <c r="O1499" s="402"/>
      <c r="P1499" s="402"/>
      <c r="Q1499" s="402"/>
      <c r="R1499" s="402"/>
      <c r="S1499" s="402"/>
      <c r="T1499" s="402"/>
      <c r="U1499" s="402"/>
      <c r="V1499" s="402"/>
      <c r="W1499" s="402"/>
      <c r="X1499" s="402"/>
      <c r="Y1499" s="402"/>
      <c r="Z1499" s="402"/>
      <c r="AA1499" s="405"/>
      <c r="AB1499" s="405"/>
      <c r="AC1499" s="405"/>
      <c r="AD1499" s="405"/>
      <c r="AE1499" s="405"/>
      <c r="AF1499" s="405"/>
      <c r="AG1499" s="405"/>
      <c r="AH1499" s="405"/>
      <c r="AI1499" s="405"/>
      <c r="AJ1499" s="405"/>
      <c r="AK1499" s="405"/>
      <c r="AL1499" s="405"/>
    </row>
    <row r="1500" ht="14.25" customHeight="1">
      <c r="A1500" s="402"/>
      <c r="B1500" s="402"/>
      <c r="C1500" s="402"/>
      <c r="D1500" s="402"/>
      <c r="E1500" s="402"/>
      <c r="F1500" s="402"/>
      <c r="G1500" s="403"/>
      <c r="H1500" s="402"/>
      <c r="I1500" s="402"/>
      <c r="J1500" s="402"/>
      <c r="K1500" s="402"/>
      <c r="L1500" s="402"/>
      <c r="M1500" s="402"/>
      <c r="N1500" s="402"/>
      <c r="O1500" s="402"/>
      <c r="P1500" s="402"/>
      <c r="Q1500" s="402"/>
      <c r="R1500" s="402"/>
      <c r="S1500" s="402"/>
      <c r="T1500" s="402"/>
      <c r="U1500" s="402"/>
      <c r="V1500" s="402"/>
      <c r="W1500" s="402"/>
      <c r="X1500" s="402"/>
      <c r="Y1500" s="402"/>
      <c r="Z1500" s="402"/>
      <c r="AA1500" s="405"/>
      <c r="AB1500" s="405"/>
      <c r="AC1500" s="405"/>
      <c r="AD1500" s="405"/>
      <c r="AE1500" s="405"/>
      <c r="AF1500" s="405"/>
      <c r="AG1500" s="405"/>
      <c r="AH1500" s="405"/>
      <c r="AI1500" s="405"/>
      <c r="AJ1500" s="405"/>
      <c r="AK1500" s="405"/>
      <c r="AL1500" s="405"/>
    </row>
    <row r="1501" ht="14.25" customHeight="1">
      <c r="A1501" s="402"/>
      <c r="B1501" s="402"/>
      <c r="C1501" s="402"/>
      <c r="D1501" s="402"/>
      <c r="E1501" s="402"/>
      <c r="F1501" s="402"/>
      <c r="G1501" s="403"/>
      <c r="H1501" s="402"/>
      <c r="I1501" s="402"/>
      <c r="J1501" s="402"/>
      <c r="K1501" s="402"/>
      <c r="L1501" s="402"/>
      <c r="M1501" s="402"/>
      <c r="N1501" s="402"/>
      <c r="O1501" s="402"/>
      <c r="P1501" s="402"/>
      <c r="Q1501" s="402"/>
      <c r="R1501" s="402"/>
      <c r="S1501" s="402"/>
      <c r="T1501" s="402"/>
      <c r="U1501" s="402"/>
      <c r="V1501" s="402"/>
      <c r="W1501" s="402"/>
      <c r="X1501" s="402"/>
      <c r="Y1501" s="402"/>
      <c r="Z1501" s="402"/>
      <c r="AA1501" s="405"/>
      <c r="AB1501" s="405"/>
      <c r="AC1501" s="405"/>
      <c r="AD1501" s="405"/>
      <c r="AE1501" s="405"/>
      <c r="AF1501" s="405"/>
      <c r="AG1501" s="405"/>
      <c r="AH1501" s="405"/>
      <c r="AI1501" s="405"/>
      <c r="AJ1501" s="405"/>
      <c r="AK1501" s="405"/>
      <c r="AL1501" s="405"/>
    </row>
    <row r="1502" ht="14.25" customHeight="1">
      <c r="A1502" s="402"/>
      <c r="B1502" s="402"/>
      <c r="C1502" s="402"/>
      <c r="D1502" s="402"/>
      <c r="E1502" s="402"/>
      <c r="F1502" s="402"/>
      <c r="G1502" s="403"/>
      <c r="H1502" s="402"/>
      <c r="I1502" s="402"/>
      <c r="J1502" s="402"/>
      <c r="K1502" s="402"/>
      <c r="L1502" s="402"/>
      <c r="M1502" s="402"/>
      <c r="N1502" s="402"/>
      <c r="O1502" s="402"/>
      <c r="P1502" s="402"/>
      <c r="Q1502" s="402"/>
      <c r="R1502" s="402"/>
      <c r="S1502" s="402"/>
      <c r="T1502" s="402"/>
      <c r="U1502" s="402"/>
      <c r="V1502" s="402"/>
      <c r="W1502" s="402"/>
      <c r="X1502" s="402"/>
      <c r="Y1502" s="402"/>
      <c r="Z1502" s="402"/>
      <c r="AA1502" s="405"/>
      <c r="AB1502" s="405"/>
      <c r="AC1502" s="405"/>
      <c r="AD1502" s="405"/>
      <c r="AE1502" s="405"/>
      <c r="AF1502" s="405"/>
      <c r="AG1502" s="405"/>
      <c r="AH1502" s="405"/>
      <c r="AI1502" s="405"/>
      <c r="AJ1502" s="405"/>
      <c r="AK1502" s="405"/>
      <c r="AL1502" s="405"/>
    </row>
    <row r="1503" ht="14.25" customHeight="1">
      <c r="A1503" s="402"/>
      <c r="B1503" s="402"/>
      <c r="C1503" s="402"/>
      <c r="D1503" s="402"/>
      <c r="E1503" s="402"/>
      <c r="F1503" s="402"/>
      <c r="G1503" s="403"/>
      <c r="H1503" s="402"/>
      <c r="I1503" s="402"/>
      <c r="J1503" s="402"/>
      <c r="K1503" s="402"/>
      <c r="L1503" s="402"/>
      <c r="M1503" s="402"/>
      <c r="N1503" s="402"/>
      <c r="O1503" s="402"/>
      <c r="P1503" s="402"/>
      <c r="Q1503" s="402"/>
      <c r="R1503" s="402"/>
      <c r="S1503" s="402"/>
      <c r="T1503" s="402"/>
      <c r="U1503" s="402"/>
      <c r="V1503" s="402"/>
      <c r="W1503" s="402"/>
      <c r="X1503" s="402"/>
      <c r="Y1503" s="402"/>
      <c r="Z1503" s="402"/>
      <c r="AA1503" s="405"/>
      <c r="AB1503" s="405"/>
      <c r="AC1503" s="405"/>
      <c r="AD1503" s="405"/>
      <c r="AE1503" s="405"/>
      <c r="AF1503" s="405"/>
      <c r="AG1503" s="405"/>
      <c r="AH1503" s="405"/>
      <c r="AI1503" s="405"/>
      <c r="AJ1503" s="405"/>
      <c r="AK1503" s="405"/>
      <c r="AL1503" s="405"/>
    </row>
    <row r="1504" ht="14.25" customHeight="1">
      <c r="A1504" s="402"/>
      <c r="B1504" s="402"/>
      <c r="C1504" s="402"/>
      <c r="D1504" s="402"/>
      <c r="E1504" s="402"/>
      <c r="F1504" s="402"/>
      <c r="G1504" s="403"/>
      <c r="H1504" s="402"/>
      <c r="I1504" s="402"/>
      <c r="J1504" s="402"/>
      <c r="K1504" s="402"/>
      <c r="L1504" s="402"/>
      <c r="M1504" s="402"/>
      <c r="N1504" s="402"/>
      <c r="O1504" s="402"/>
      <c r="P1504" s="402"/>
      <c r="Q1504" s="402"/>
      <c r="R1504" s="402"/>
      <c r="S1504" s="402"/>
      <c r="T1504" s="402"/>
      <c r="U1504" s="402"/>
      <c r="V1504" s="402"/>
      <c r="W1504" s="402"/>
      <c r="X1504" s="402"/>
      <c r="Y1504" s="402"/>
      <c r="Z1504" s="402"/>
      <c r="AA1504" s="405"/>
      <c r="AB1504" s="405"/>
      <c r="AC1504" s="405"/>
      <c r="AD1504" s="405"/>
      <c r="AE1504" s="405"/>
      <c r="AF1504" s="405"/>
      <c r="AG1504" s="405"/>
      <c r="AH1504" s="405"/>
      <c r="AI1504" s="405"/>
      <c r="AJ1504" s="405"/>
      <c r="AK1504" s="405"/>
      <c r="AL1504" s="405"/>
    </row>
    <row r="1505" ht="14.25" customHeight="1">
      <c r="A1505" s="402"/>
      <c r="B1505" s="402"/>
      <c r="C1505" s="402"/>
      <c r="D1505" s="402"/>
      <c r="E1505" s="402"/>
      <c r="F1505" s="402"/>
      <c r="G1505" s="403"/>
      <c r="H1505" s="402"/>
      <c r="I1505" s="402"/>
      <c r="J1505" s="402"/>
      <c r="K1505" s="402"/>
      <c r="L1505" s="402"/>
      <c r="M1505" s="402"/>
      <c r="N1505" s="402"/>
      <c r="O1505" s="402"/>
      <c r="P1505" s="402"/>
      <c r="Q1505" s="402"/>
      <c r="R1505" s="402"/>
      <c r="S1505" s="402"/>
      <c r="T1505" s="402"/>
      <c r="U1505" s="402"/>
      <c r="V1505" s="402"/>
      <c r="W1505" s="402"/>
      <c r="X1505" s="402"/>
      <c r="Y1505" s="402"/>
      <c r="Z1505" s="402"/>
      <c r="AA1505" s="405"/>
      <c r="AB1505" s="405"/>
      <c r="AC1505" s="405"/>
      <c r="AD1505" s="405"/>
      <c r="AE1505" s="405"/>
      <c r="AF1505" s="405"/>
      <c r="AG1505" s="405"/>
      <c r="AH1505" s="405"/>
      <c r="AI1505" s="405"/>
      <c r="AJ1505" s="405"/>
      <c r="AK1505" s="405"/>
      <c r="AL1505" s="405"/>
    </row>
    <row r="1506" ht="14.25" customHeight="1">
      <c r="A1506" s="402"/>
      <c r="B1506" s="402"/>
      <c r="C1506" s="402"/>
      <c r="D1506" s="402"/>
      <c r="E1506" s="402"/>
      <c r="F1506" s="402"/>
      <c r="G1506" s="403"/>
      <c r="H1506" s="402"/>
      <c r="I1506" s="402"/>
      <c r="J1506" s="402"/>
      <c r="K1506" s="402"/>
      <c r="L1506" s="402"/>
      <c r="M1506" s="402"/>
      <c r="N1506" s="402"/>
      <c r="O1506" s="402"/>
      <c r="P1506" s="402"/>
      <c r="Q1506" s="402"/>
      <c r="R1506" s="402"/>
      <c r="S1506" s="402"/>
      <c r="T1506" s="402"/>
      <c r="U1506" s="402"/>
      <c r="V1506" s="402"/>
      <c r="W1506" s="402"/>
      <c r="X1506" s="402"/>
      <c r="Y1506" s="402"/>
      <c r="Z1506" s="402"/>
      <c r="AA1506" s="405"/>
      <c r="AB1506" s="405"/>
      <c r="AC1506" s="405"/>
      <c r="AD1506" s="405"/>
      <c r="AE1506" s="405"/>
      <c r="AF1506" s="405"/>
      <c r="AG1506" s="405"/>
      <c r="AH1506" s="405"/>
      <c r="AI1506" s="405"/>
      <c r="AJ1506" s="405"/>
      <c r="AK1506" s="405"/>
      <c r="AL1506" s="405"/>
    </row>
    <row r="1507" ht="14.25" customHeight="1">
      <c r="A1507" s="402"/>
      <c r="B1507" s="402"/>
      <c r="C1507" s="402"/>
      <c r="D1507" s="402"/>
      <c r="E1507" s="402"/>
      <c r="F1507" s="402"/>
      <c r="G1507" s="403"/>
      <c r="H1507" s="402"/>
      <c r="I1507" s="402"/>
      <c r="J1507" s="402"/>
      <c r="K1507" s="402"/>
      <c r="L1507" s="402"/>
      <c r="M1507" s="402"/>
      <c r="N1507" s="402"/>
      <c r="O1507" s="402"/>
      <c r="P1507" s="402"/>
      <c r="Q1507" s="402"/>
      <c r="R1507" s="402"/>
      <c r="S1507" s="402"/>
      <c r="T1507" s="402"/>
      <c r="U1507" s="402"/>
      <c r="V1507" s="402"/>
      <c r="W1507" s="402"/>
      <c r="X1507" s="402"/>
      <c r="Y1507" s="402"/>
      <c r="Z1507" s="402"/>
      <c r="AA1507" s="405"/>
      <c r="AB1507" s="405"/>
      <c r="AC1507" s="405"/>
      <c r="AD1507" s="405"/>
      <c r="AE1507" s="405"/>
      <c r="AF1507" s="405"/>
      <c r="AG1507" s="405"/>
      <c r="AH1507" s="405"/>
      <c r="AI1507" s="405"/>
      <c r="AJ1507" s="405"/>
      <c r="AK1507" s="405"/>
      <c r="AL1507" s="405"/>
    </row>
    <row r="1508" ht="14.25" customHeight="1">
      <c r="A1508" s="402"/>
      <c r="B1508" s="402"/>
      <c r="C1508" s="402"/>
      <c r="D1508" s="402"/>
      <c r="E1508" s="402"/>
      <c r="F1508" s="402"/>
      <c r="G1508" s="403"/>
      <c r="H1508" s="402"/>
      <c r="I1508" s="402"/>
      <c r="J1508" s="402"/>
      <c r="K1508" s="402"/>
      <c r="L1508" s="402"/>
      <c r="M1508" s="402"/>
      <c r="N1508" s="402"/>
      <c r="O1508" s="402"/>
      <c r="P1508" s="402"/>
      <c r="Q1508" s="402"/>
      <c r="R1508" s="402"/>
      <c r="S1508" s="402"/>
      <c r="T1508" s="402"/>
      <c r="U1508" s="402"/>
      <c r="V1508" s="402"/>
      <c r="W1508" s="402"/>
      <c r="X1508" s="402"/>
      <c r="Y1508" s="402"/>
      <c r="Z1508" s="402"/>
      <c r="AA1508" s="405"/>
      <c r="AB1508" s="405"/>
      <c r="AC1508" s="405"/>
      <c r="AD1508" s="405"/>
      <c r="AE1508" s="405"/>
      <c r="AF1508" s="405"/>
      <c r="AG1508" s="405"/>
      <c r="AH1508" s="405"/>
      <c r="AI1508" s="405"/>
      <c r="AJ1508" s="405"/>
      <c r="AK1508" s="405"/>
      <c r="AL1508" s="405"/>
    </row>
    <row r="1509" ht="14.25" customHeight="1">
      <c r="A1509" s="402"/>
      <c r="B1509" s="402"/>
      <c r="C1509" s="402"/>
      <c r="D1509" s="402"/>
      <c r="E1509" s="402"/>
      <c r="F1509" s="402"/>
      <c r="G1509" s="403"/>
      <c r="H1509" s="402"/>
      <c r="I1509" s="402"/>
      <c r="J1509" s="402"/>
      <c r="K1509" s="402"/>
      <c r="L1509" s="402"/>
      <c r="M1509" s="402"/>
      <c r="N1509" s="402"/>
      <c r="O1509" s="402"/>
      <c r="P1509" s="402"/>
      <c r="Q1509" s="402"/>
      <c r="R1509" s="402"/>
      <c r="S1509" s="402"/>
      <c r="T1509" s="402"/>
      <c r="U1509" s="402"/>
      <c r="V1509" s="402"/>
      <c r="W1509" s="402"/>
      <c r="X1509" s="402"/>
      <c r="Y1509" s="402"/>
      <c r="Z1509" s="402"/>
      <c r="AA1509" s="405"/>
      <c r="AB1509" s="405"/>
      <c r="AC1509" s="405"/>
      <c r="AD1509" s="405"/>
      <c r="AE1509" s="405"/>
      <c r="AF1509" s="405"/>
      <c r="AG1509" s="405"/>
      <c r="AH1509" s="405"/>
      <c r="AI1509" s="405"/>
      <c r="AJ1509" s="405"/>
      <c r="AK1509" s="405"/>
      <c r="AL1509" s="405"/>
    </row>
    <row r="1510" ht="14.25" customHeight="1">
      <c r="A1510" s="402"/>
      <c r="B1510" s="402"/>
      <c r="C1510" s="402"/>
      <c r="D1510" s="402"/>
      <c r="E1510" s="402"/>
      <c r="F1510" s="402"/>
      <c r="G1510" s="403"/>
      <c r="H1510" s="402"/>
      <c r="I1510" s="402"/>
      <c r="J1510" s="402"/>
      <c r="K1510" s="402"/>
      <c r="L1510" s="402"/>
      <c r="M1510" s="402"/>
      <c r="N1510" s="402"/>
      <c r="O1510" s="402"/>
      <c r="P1510" s="402"/>
      <c r="Q1510" s="402"/>
      <c r="R1510" s="402"/>
      <c r="S1510" s="402"/>
      <c r="T1510" s="402"/>
      <c r="U1510" s="402"/>
      <c r="V1510" s="402"/>
      <c r="W1510" s="402"/>
      <c r="X1510" s="402"/>
      <c r="Y1510" s="402"/>
      <c r="Z1510" s="402"/>
      <c r="AA1510" s="405"/>
      <c r="AB1510" s="405"/>
      <c r="AC1510" s="405"/>
      <c r="AD1510" s="405"/>
      <c r="AE1510" s="405"/>
      <c r="AF1510" s="405"/>
      <c r="AG1510" s="405"/>
      <c r="AH1510" s="405"/>
      <c r="AI1510" s="405"/>
      <c r="AJ1510" s="405"/>
      <c r="AK1510" s="405"/>
      <c r="AL1510" s="405"/>
    </row>
    <row r="1511" ht="14.25" customHeight="1">
      <c r="A1511" s="402"/>
      <c r="B1511" s="402"/>
      <c r="C1511" s="402"/>
      <c r="D1511" s="402"/>
      <c r="E1511" s="402"/>
      <c r="F1511" s="402"/>
      <c r="G1511" s="403"/>
      <c r="H1511" s="402"/>
      <c r="I1511" s="402"/>
      <c r="J1511" s="402"/>
      <c r="K1511" s="402"/>
      <c r="L1511" s="402"/>
      <c r="M1511" s="402"/>
      <c r="N1511" s="402"/>
      <c r="O1511" s="402"/>
      <c r="P1511" s="402"/>
      <c r="Q1511" s="402"/>
      <c r="R1511" s="402"/>
      <c r="S1511" s="402"/>
      <c r="T1511" s="402"/>
      <c r="U1511" s="402"/>
      <c r="V1511" s="402"/>
      <c r="W1511" s="402"/>
      <c r="X1511" s="402"/>
      <c r="Y1511" s="402"/>
      <c r="Z1511" s="402"/>
      <c r="AA1511" s="405"/>
      <c r="AB1511" s="405"/>
      <c r="AC1511" s="405"/>
      <c r="AD1511" s="405"/>
      <c r="AE1511" s="405"/>
      <c r="AF1511" s="405"/>
      <c r="AG1511" s="405"/>
      <c r="AH1511" s="405"/>
      <c r="AI1511" s="405"/>
      <c r="AJ1511" s="405"/>
      <c r="AK1511" s="405"/>
      <c r="AL1511" s="405"/>
    </row>
    <row r="1512" ht="14.25" customHeight="1">
      <c r="A1512" s="402"/>
      <c r="B1512" s="402"/>
      <c r="C1512" s="402"/>
      <c r="D1512" s="402"/>
      <c r="E1512" s="402"/>
      <c r="F1512" s="402"/>
      <c r="G1512" s="403"/>
      <c r="H1512" s="402"/>
      <c r="I1512" s="402"/>
      <c r="J1512" s="402"/>
      <c r="K1512" s="402"/>
      <c r="L1512" s="402"/>
      <c r="M1512" s="402"/>
      <c r="N1512" s="402"/>
      <c r="O1512" s="402"/>
      <c r="P1512" s="402"/>
      <c r="Q1512" s="402"/>
      <c r="R1512" s="402"/>
      <c r="S1512" s="402"/>
      <c r="T1512" s="402"/>
      <c r="U1512" s="402"/>
      <c r="V1512" s="402"/>
      <c r="W1512" s="402"/>
      <c r="X1512" s="402"/>
      <c r="Y1512" s="402"/>
      <c r="Z1512" s="402"/>
      <c r="AA1512" s="405"/>
      <c r="AB1512" s="405"/>
      <c r="AC1512" s="405"/>
      <c r="AD1512" s="405"/>
      <c r="AE1512" s="405"/>
      <c r="AF1512" s="405"/>
      <c r="AG1512" s="405"/>
      <c r="AH1512" s="405"/>
      <c r="AI1512" s="405"/>
      <c r="AJ1512" s="405"/>
      <c r="AK1512" s="405"/>
      <c r="AL1512" s="405"/>
    </row>
    <row r="1513" ht="14.25" customHeight="1">
      <c r="A1513" s="402"/>
      <c r="B1513" s="402"/>
      <c r="C1513" s="402"/>
      <c r="D1513" s="402"/>
      <c r="E1513" s="402"/>
      <c r="F1513" s="402"/>
      <c r="G1513" s="403"/>
      <c r="H1513" s="402"/>
      <c r="I1513" s="402"/>
      <c r="J1513" s="402"/>
      <c r="K1513" s="402"/>
      <c r="L1513" s="402"/>
      <c r="M1513" s="402"/>
      <c r="N1513" s="402"/>
      <c r="O1513" s="402"/>
      <c r="P1513" s="402"/>
      <c r="Q1513" s="402"/>
      <c r="R1513" s="402"/>
      <c r="S1513" s="402"/>
      <c r="T1513" s="402"/>
      <c r="U1513" s="402"/>
      <c r="V1513" s="402"/>
      <c r="W1513" s="402"/>
      <c r="X1513" s="402"/>
      <c r="Y1513" s="402"/>
      <c r="Z1513" s="402"/>
      <c r="AA1513" s="405"/>
      <c r="AB1513" s="405"/>
      <c r="AC1513" s="405"/>
      <c r="AD1513" s="405"/>
      <c r="AE1513" s="405"/>
      <c r="AF1513" s="405"/>
      <c r="AG1513" s="405"/>
      <c r="AH1513" s="405"/>
      <c r="AI1513" s="405"/>
      <c r="AJ1513" s="405"/>
      <c r="AK1513" s="405"/>
      <c r="AL1513" s="405"/>
    </row>
    <row r="1514" ht="14.25" customHeight="1">
      <c r="A1514" s="402"/>
      <c r="B1514" s="402"/>
      <c r="C1514" s="402"/>
      <c r="D1514" s="402"/>
      <c r="E1514" s="402"/>
      <c r="F1514" s="402"/>
      <c r="G1514" s="403"/>
      <c r="H1514" s="402"/>
      <c r="I1514" s="402"/>
      <c r="J1514" s="402"/>
      <c r="K1514" s="402"/>
      <c r="L1514" s="402"/>
      <c r="M1514" s="402"/>
      <c r="N1514" s="402"/>
      <c r="O1514" s="402"/>
      <c r="P1514" s="402"/>
      <c r="Q1514" s="402"/>
      <c r="R1514" s="402"/>
      <c r="S1514" s="402"/>
      <c r="T1514" s="402"/>
      <c r="U1514" s="402"/>
      <c r="V1514" s="402"/>
      <c r="W1514" s="402"/>
      <c r="X1514" s="402"/>
      <c r="Y1514" s="402"/>
      <c r="Z1514" s="402"/>
      <c r="AA1514" s="405"/>
      <c r="AB1514" s="405"/>
      <c r="AC1514" s="405"/>
      <c r="AD1514" s="405"/>
      <c r="AE1514" s="405"/>
      <c r="AF1514" s="405"/>
      <c r="AG1514" s="405"/>
      <c r="AH1514" s="405"/>
      <c r="AI1514" s="405"/>
      <c r="AJ1514" s="405"/>
      <c r="AK1514" s="405"/>
      <c r="AL1514" s="405"/>
    </row>
    <row r="1515" ht="14.25" customHeight="1">
      <c r="A1515" s="402"/>
      <c r="B1515" s="402"/>
      <c r="C1515" s="402"/>
      <c r="D1515" s="402"/>
      <c r="E1515" s="402"/>
      <c r="F1515" s="402"/>
      <c r="G1515" s="403"/>
      <c r="H1515" s="402"/>
      <c r="I1515" s="402"/>
      <c r="J1515" s="402"/>
      <c r="K1515" s="402"/>
      <c r="L1515" s="402"/>
      <c r="M1515" s="402"/>
      <c r="N1515" s="402"/>
      <c r="O1515" s="402"/>
      <c r="P1515" s="402"/>
      <c r="Q1515" s="402"/>
      <c r="R1515" s="402"/>
      <c r="S1515" s="402"/>
      <c r="T1515" s="402"/>
      <c r="U1515" s="402"/>
      <c r="V1515" s="402"/>
      <c r="W1515" s="402"/>
      <c r="X1515" s="402"/>
      <c r="Y1515" s="402"/>
      <c r="Z1515" s="402"/>
      <c r="AA1515" s="405"/>
      <c r="AB1515" s="405"/>
      <c r="AC1515" s="405"/>
      <c r="AD1515" s="405"/>
      <c r="AE1515" s="405"/>
      <c r="AF1515" s="405"/>
      <c r="AG1515" s="405"/>
      <c r="AH1515" s="405"/>
      <c r="AI1515" s="405"/>
      <c r="AJ1515" s="405"/>
      <c r="AK1515" s="405"/>
      <c r="AL1515" s="405"/>
    </row>
    <row r="1516" ht="14.25" customHeight="1">
      <c r="A1516" s="402"/>
      <c r="B1516" s="402"/>
      <c r="C1516" s="402"/>
      <c r="D1516" s="402"/>
      <c r="E1516" s="402"/>
      <c r="F1516" s="402"/>
      <c r="G1516" s="403"/>
      <c r="H1516" s="402"/>
      <c r="I1516" s="402"/>
      <c r="J1516" s="402"/>
      <c r="K1516" s="402"/>
      <c r="L1516" s="402"/>
      <c r="M1516" s="402"/>
      <c r="N1516" s="402"/>
      <c r="O1516" s="402"/>
      <c r="P1516" s="402"/>
      <c r="Q1516" s="402"/>
      <c r="R1516" s="402"/>
      <c r="S1516" s="402"/>
      <c r="T1516" s="402"/>
      <c r="U1516" s="402"/>
      <c r="V1516" s="402"/>
      <c r="W1516" s="402"/>
      <c r="X1516" s="402"/>
      <c r="Y1516" s="402"/>
      <c r="Z1516" s="402"/>
      <c r="AA1516" s="405"/>
      <c r="AB1516" s="405"/>
      <c r="AC1516" s="405"/>
      <c r="AD1516" s="405"/>
      <c r="AE1516" s="405"/>
      <c r="AF1516" s="405"/>
      <c r="AG1516" s="405"/>
      <c r="AH1516" s="405"/>
      <c r="AI1516" s="405"/>
      <c r="AJ1516" s="405"/>
      <c r="AK1516" s="405"/>
      <c r="AL1516" s="405"/>
    </row>
    <row r="1517" ht="14.25" customHeight="1">
      <c r="A1517" s="402"/>
      <c r="B1517" s="402"/>
      <c r="C1517" s="402"/>
      <c r="D1517" s="402"/>
      <c r="E1517" s="402"/>
      <c r="F1517" s="402"/>
      <c r="G1517" s="403"/>
      <c r="H1517" s="402"/>
      <c r="I1517" s="402"/>
      <c r="J1517" s="402"/>
      <c r="K1517" s="402"/>
      <c r="L1517" s="402"/>
      <c r="M1517" s="402"/>
      <c r="N1517" s="402"/>
      <c r="O1517" s="402"/>
      <c r="P1517" s="402"/>
      <c r="Q1517" s="402"/>
      <c r="R1517" s="402"/>
      <c r="S1517" s="402"/>
      <c r="T1517" s="402"/>
      <c r="U1517" s="402"/>
      <c r="V1517" s="402"/>
      <c r="W1517" s="402"/>
      <c r="X1517" s="402"/>
      <c r="Y1517" s="402"/>
      <c r="Z1517" s="402"/>
      <c r="AA1517" s="405"/>
      <c r="AB1517" s="405"/>
      <c r="AC1517" s="405"/>
      <c r="AD1517" s="405"/>
      <c r="AE1517" s="405"/>
      <c r="AF1517" s="405"/>
      <c r="AG1517" s="405"/>
      <c r="AH1517" s="405"/>
      <c r="AI1517" s="405"/>
      <c r="AJ1517" s="405"/>
      <c r="AK1517" s="405"/>
      <c r="AL1517" s="405"/>
    </row>
    <row r="1518" ht="14.25" customHeight="1">
      <c r="A1518" s="402"/>
      <c r="B1518" s="402"/>
      <c r="C1518" s="402"/>
      <c r="D1518" s="402"/>
      <c r="E1518" s="402"/>
      <c r="F1518" s="402"/>
      <c r="G1518" s="403"/>
      <c r="H1518" s="402"/>
      <c r="I1518" s="402"/>
      <c r="J1518" s="402"/>
      <c r="K1518" s="402"/>
      <c r="L1518" s="402"/>
      <c r="M1518" s="402"/>
      <c r="N1518" s="402"/>
      <c r="O1518" s="402"/>
      <c r="P1518" s="402"/>
      <c r="Q1518" s="402"/>
      <c r="R1518" s="402"/>
      <c r="S1518" s="402"/>
      <c r="T1518" s="402"/>
      <c r="U1518" s="402"/>
      <c r="V1518" s="402"/>
      <c r="W1518" s="402"/>
      <c r="X1518" s="402"/>
      <c r="Y1518" s="402"/>
      <c r="Z1518" s="402"/>
      <c r="AA1518" s="405"/>
      <c r="AB1518" s="405"/>
      <c r="AC1518" s="405"/>
      <c r="AD1518" s="405"/>
      <c r="AE1518" s="405"/>
      <c r="AF1518" s="405"/>
      <c r="AG1518" s="405"/>
      <c r="AH1518" s="405"/>
      <c r="AI1518" s="405"/>
      <c r="AJ1518" s="405"/>
      <c r="AK1518" s="405"/>
      <c r="AL1518" s="405"/>
    </row>
    <row r="1519" ht="14.25" customHeight="1">
      <c r="A1519" s="402"/>
      <c r="B1519" s="402"/>
      <c r="C1519" s="402"/>
      <c r="D1519" s="402"/>
      <c r="E1519" s="402"/>
      <c r="F1519" s="402"/>
      <c r="G1519" s="403"/>
      <c r="H1519" s="402"/>
      <c r="I1519" s="402"/>
      <c r="J1519" s="402"/>
      <c r="K1519" s="402"/>
      <c r="L1519" s="402"/>
      <c r="M1519" s="402"/>
      <c r="N1519" s="402"/>
      <c r="O1519" s="402"/>
      <c r="P1519" s="402"/>
      <c r="Q1519" s="402"/>
      <c r="R1519" s="402"/>
      <c r="S1519" s="402"/>
      <c r="T1519" s="402"/>
      <c r="U1519" s="402"/>
      <c r="V1519" s="402"/>
      <c r="W1519" s="402"/>
      <c r="X1519" s="402"/>
      <c r="Y1519" s="402"/>
      <c r="Z1519" s="402"/>
      <c r="AA1519" s="405"/>
      <c r="AB1519" s="405"/>
      <c r="AC1519" s="405"/>
      <c r="AD1519" s="405"/>
      <c r="AE1519" s="405"/>
      <c r="AF1519" s="405"/>
      <c r="AG1519" s="405"/>
      <c r="AH1519" s="405"/>
      <c r="AI1519" s="405"/>
      <c r="AJ1519" s="405"/>
      <c r="AK1519" s="405"/>
      <c r="AL1519" s="405"/>
    </row>
    <row r="1520" ht="14.25" customHeight="1">
      <c r="A1520" s="402"/>
      <c r="B1520" s="402"/>
      <c r="C1520" s="402"/>
      <c r="D1520" s="402"/>
      <c r="E1520" s="402"/>
      <c r="F1520" s="402"/>
      <c r="G1520" s="403"/>
      <c r="H1520" s="402"/>
      <c r="I1520" s="402"/>
      <c r="J1520" s="402"/>
      <c r="K1520" s="402"/>
      <c r="L1520" s="402"/>
      <c r="M1520" s="402"/>
      <c r="N1520" s="402"/>
      <c r="O1520" s="402"/>
      <c r="P1520" s="402"/>
      <c r="Q1520" s="402"/>
      <c r="R1520" s="402"/>
      <c r="S1520" s="402"/>
      <c r="T1520" s="402"/>
      <c r="U1520" s="402"/>
      <c r="V1520" s="402"/>
      <c r="W1520" s="402"/>
      <c r="X1520" s="402"/>
      <c r="Y1520" s="402"/>
      <c r="Z1520" s="402"/>
      <c r="AA1520" s="405"/>
      <c r="AB1520" s="405"/>
      <c r="AC1520" s="405"/>
      <c r="AD1520" s="405"/>
      <c r="AE1520" s="405"/>
      <c r="AF1520" s="405"/>
      <c r="AG1520" s="405"/>
      <c r="AH1520" s="405"/>
      <c r="AI1520" s="405"/>
      <c r="AJ1520" s="405"/>
      <c r="AK1520" s="405"/>
      <c r="AL1520" s="405"/>
    </row>
    <row r="1521" ht="14.25" customHeight="1">
      <c r="A1521" s="402"/>
      <c r="B1521" s="402"/>
      <c r="C1521" s="402"/>
      <c r="D1521" s="402"/>
      <c r="E1521" s="402"/>
      <c r="F1521" s="402"/>
      <c r="G1521" s="403"/>
      <c r="H1521" s="402"/>
      <c r="I1521" s="402"/>
      <c r="J1521" s="402"/>
      <c r="K1521" s="402"/>
      <c r="L1521" s="402"/>
      <c r="M1521" s="402"/>
      <c r="N1521" s="402"/>
      <c r="O1521" s="402"/>
      <c r="P1521" s="402"/>
      <c r="Q1521" s="402"/>
      <c r="R1521" s="402"/>
      <c r="S1521" s="402"/>
      <c r="T1521" s="402"/>
      <c r="U1521" s="402"/>
      <c r="V1521" s="402"/>
      <c r="W1521" s="402"/>
      <c r="X1521" s="402"/>
      <c r="Y1521" s="402"/>
      <c r="Z1521" s="402"/>
      <c r="AA1521" s="405"/>
      <c r="AB1521" s="405"/>
      <c r="AC1521" s="405"/>
      <c r="AD1521" s="405"/>
      <c r="AE1521" s="405"/>
      <c r="AF1521" s="405"/>
      <c r="AG1521" s="405"/>
      <c r="AH1521" s="405"/>
      <c r="AI1521" s="405"/>
      <c r="AJ1521" s="405"/>
      <c r="AK1521" s="405"/>
      <c r="AL1521" s="405"/>
    </row>
    <row r="1522" ht="14.25" customHeight="1">
      <c r="A1522" s="402"/>
      <c r="B1522" s="402"/>
      <c r="C1522" s="402"/>
      <c r="D1522" s="402"/>
      <c r="E1522" s="402"/>
      <c r="F1522" s="402"/>
      <c r="G1522" s="403"/>
      <c r="H1522" s="402"/>
      <c r="I1522" s="402"/>
      <c r="J1522" s="402"/>
      <c r="K1522" s="402"/>
      <c r="L1522" s="402"/>
      <c r="M1522" s="402"/>
      <c r="N1522" s="402"/>
      <c r="O1522" s="402"/>
      <c r="P1522" s="402"/>
      <c r="Q1522" s="402"/>
      <c r="R1522" s="402"/>
      <c r="S1522" s="402"/>
      <c r="T1522" s="402"/>
      <c r="U1522" s="402"/>
      <c r="V1522" s="402"/>
      <c r="W1522" s="402"/>
      <c r="X1522" s="402"/>
      <c r="Y1522" s="402"/>
      <c r="Z1522" s="402"/>
      <c r="AA1522" s="405"/>
      <c r="AB1522" s="405"/>
      <c r="AC1522" s="405"/>
      <c r="AD1522" s="405"/>
      <c r="AE1522" s="405"/>
      <c r="AF1522" s="405"/>
      <c r="AG1522" s="405"/>
      <c r="AH1522" s="405"/>
      <c r="AI1522" s="405"/>
      <c r="AJ1522" s="405"/>
      <c r="AK1522" s="405"/>
      <c r="AL1522" s="405"/>
    </row>
    <row r="1523" ht="14.25" customHeight="1">
      <c r="A1523" s="402"/>
      <c r="B1523" s="402"/>
      <c r="C1523" s="402"/>
      <c r="D1523" s="402"/>
      <c r="E1523" s="402"/>
      <c r="F1523" s="402"/>
      <c r="G1523" s="403"/>
      <c r="H1523" s="402"/>
      <c r="I1523" s="402"/>
      <c r="J1523" s="402"/>
      <c r="K1523" s="402"/>
      <c r="L1523" s="402"/>
      <c r="M1523" s="402"/>
      <c r="N1523" s="402"/>
      <c r="O1523" s="402"/>
      <c r="P1523" s="402"/>
      <c r="Q1523" s="402"/>
      <c r="R1523" s="402"/>
      <c r="S1523" s="402"/>
      <c r="T1523" s="402"/>
      <c r="U1523" s="402"/>
      <c r="V1523" s="402"/>
      <c r="W1523" s="402"/>
      <c r="X1523" s="402"/>
      <c r="Y1523" s="402"/>
      <c r="Z1523" s="402"/>
      <c r="AA1523" s="405"/>
      <c r="AB1523" s="405"/>
      <c r="AC1523" s="405"/>
      <c r="AD1523" s="405"/>
      <c r="AE1523" s="405"/>
      <c r="AF1523" s="405"/>
      <c r="AG1523" s="405"/>
      <c r="AH1523" s="405"/>
      <c r="AI1523" s="405"/>
      <c r="AJ1523" s="405"/>
      <c r="AK1523" s="405"/>
      <c r="AL1523" s="405"/>
    </row>
    <row r="1524" ht="14.25" customHeight="1">
      <c r="A1524" s="402"/>
      <c r="B1524" s="402"/>
      <c r="C1524" s="402"/>
      <c r="D1524" s="402"/>
      <c r="E1524" s="402"/>
      <c r="F1524" s="402"/>
      <c r="G1524" s="403"/>
      <c r="H1524" s="402"/>
      <c r="I1524" s="402"/>
      <c r="J1524" s="402"/>
      <c r="K1524" s="402"/>
      <c r="L1524" s="402"/>
      <c r="M1524" s="402"/>
      <c r="N1524" s="402"/>
      <c r="O1524" s="402"/>
      <c r="P1524" s="402"/>
      <c r="Q1524" s="402"/>
      <c r="R1524" s="402"/>
      <c r="S1524" s="402"/>
      <c r="T1524" s="402"/>
      <c r="U1524" s="402"/>
      <c r="V1524" s="402"/>
      <c r="W1524" s="402"/>
      <c r="X1524" s="402"/>
      <c r="Y1524" s="402"/>
      <c r="Z1524" s="402"/>
      <c r="AA1524" s="405"/>
      <c r="AB1524" s="405"/>
      <c r="AC1524" s="405"/>
      <c r="AD1524" s="405"/>
      <c r="AE1524" s="405"/>
      <c r="AF1524" s="405"/>
      <c r="AG1524" s="405"/>
      <c r="AH1524" s="405"/>
      <c r="AI1524" s="405"/>
      <c r="AJ1524" s="405"/>
      <c r="AK1524" s="405"/>
      <c r="AL1524" s="405"/>
    </row>
    <row r="1525" ht="14.25" customHeight="1">
      <c r="A1525" s="402"/>
      <c r="B1525" s="402"/>
      <c r="C1525" s="402"/>
      <c r="D1525" s="402"/>
      <c r="E1525" s="402"/>
      <c r="F1525" s="402"/>
      <c r="G1525" s="403"/>
      <c r="H1525" s="402"/>
      <c r="I1525" s="402"/>
      <c r="J1525" s="402"/>
      <c r="K1525" s="402"/>
      <c r="L1525" s="402"/>
      <c r="M1525" s="402"/>
      <c r="N1525" s="402"/>
      <c r="O1525" s="402"/>
      <c r="P1525" s="402"/>
      <c r="Q1525" s="402"/>
      <c r="R1525" s="402"/>
      <c r="S1525" s="402"/>
      <c r="T1525" s="402"/>
      <c r="U1525" s="402"/>
      <c r="V1525" s="402"/>
      <c r="W1525" s="402"/>
      <c r="X1525" s="402"/>
      <c r="Y1525" s="402"/>
      <c r="Z1525" s="402"/>
      <c r="AA1525" s="405"/>
      <c r="AB1525" s="405"/>
      <c r="AC1525" s="405"/>
      <c r="AD1525" s="405"/>
      <c r="AE1525" s="405"/>
      <c r="AF1525" s="405"/>
      <c r="AG1525" s="405"/>
      <c r="AH1525" s="405"/>
      <c r="AI1525" s="405"/>
      <c r="AJ1525" s="405"/>
      <c r="AK1525" s="405"/>
      <c r="AL1525" s="405"/>
    </row>
    <row r="1526" ht="14.25" customHeight="1">
      <c r="A1526" s="402"/>
      <c r="B1526" s="402"/>
      <c r="C1526" s="402"/>
      <c r="D1526" s="402"/>
      <c r="E1526" s="402"/>
      <c r="F1526" s="402"/>
      <c r="G1526" s="403"/>
      <c r="H1526" s="402"/>
      <c r="I1526" s="402"/>
      <c r="J1526" s="402"/>
      <c r="K1526" s="402"/>
      <c r="L1526" s="402"/>
      <c r="M1526" s="402"/>
      <c r="N1526" s="402"/>
      <c r="O1526" s="402"/>
      <c r="P1526" s="402"/>
      <c r="Q1526" s="402"/>
      <c r="R1526" s="402"/>
      <c r="S1526" s="402"/>
      <c r="T1526" s="402"/>
      <c r="U1526" s="402"/>
      <c r="V1526" s="402"/>
      <c r="W1526" s="402"/>
      <c r="X1526" s="402"/>
      <c r="Y1526" s="402"/>
      <c r="Z1526" s="402"/>
      <c r="AA1526" s="405"/>
      <c r="AB1526" s="405"/>
      <c r="AC1526" s="405"/>
      <c r="AD1526" s="405"/>
      <c r="AE1526" s="405"/>
      <c r="AF1526" s="405"/>
      <c r="AG1526" s="405"/>
      <c r="AH1526" s="405"/>
      <c r="AI1526" s="405"/>
      <c r="AJ1526" s="405"/>
      <c r="AK1526" s="405"/>
      <c r="AL1526" s="405"/>
    </row>
    <row r="1527" ht="14.25" customHeight="1">
      <c r="A1527" s="402"/>
      <c r="B1527" s="402"/>
      <c r="C1527" s="402"/>
      <c r="D1527" s="402"/>
      <c r="E1527" s="402"/>
      <c r="F1527" s="402"/>
      <c r="G1527" s="403"/>
      <c r="H1527" s="402"/>
      <c r="I1527" s="402"/>
      <c r="J1527" s="402"/>
      <c r="K1527" s="402"/>
      <c r="L1527" s="402"/>
      <c r="M1527" s="402"/>
      <c r="N1527" s="402"/>
      <c r="O1527" s="402"/>
      <c r="P1527" s="402"/>
      <c r="Q1527" s="402"/>
      <c r="R1527" s="402"/>
      <c r="S1527" s="402"/>
      <c r="T1527" s="402"/>
      <c r="U1527" s="402"/>
      <c r="V1527" s="402"/>
      <c r="W1527" s="402"/>
      <c r="X1527" s="402"/>
      <c r="Y1527" s="402"/>
      <c r="Z1527" s="402"/>
      <c r="AA1527" s="405"/>
      <c r="AB1527" s="405"/>
      <c r="AC1527" s="405"/>
      <c r="AD1527" s="405"/>
      <c r="AE1527" s="405"/>
      <c r="AF1527" s="405"/>
      <c r="AG1527" s="405"/>
      <c r="AH1527" s="405"/>
      <c r="AI1527" s="405"/>
      <c r="AJ1527" s="405"/>
      <c r="AK1527" s="405"/>
      <c r="AL1527" s="405"/>
    </row>
    <row r="1528" ht="14.25" customHeight="1">
      <c r="A1528" s="402"/>
      <c r="B1528" s="402"/>
      <c r="C1528" s="402"/>
      <c r="D1528" s="402"/>
      <c r="E1528" s="402"/>
      <c r="F1528" s="402"/>
      <c r="G1528" s="403"/>
      <c r="H1528" s="402"/>
      <c r="I1528" s="402"/>
      <c r="J1528" s="402"/>
      <c r="K1528" s="402"/>
      <c r="L1528" s="402"/>
      <c r="M1528" s="402"/>
      <c r="N1528" s="402"/>
      <c r="O1528" s="402"/>
      <c r="P1528" s="402"/>
      <c r="Q1528" s="402"/>
      <c r="R1528" s="402"/>
      <c r="S1528" s="402"/>
      <c r="T1528" s="402"/>
      <c r="U1528" s="402"/>
      <c r="V1528" s="402"/>
      <c r="W1528" s="402"/>
      <c r="X1528" s="402"/>
      <c r="Y1528" s="402"/>
      <c r="Z1528" s="402"/>
      <c r="AA1528" s="405"/>
      <c r="AB1528" s="405"/>
      <c r="AC1528" s="405"/>
      <c r="AD1528" s="405"/>
      <c r="AE1528" s="405"/>
      <c r="AF1528" s="405"/>
      <c r="AG1528" s="405"/>
      <c r="AH1528" s="405"/>
      <c r="AI1528" s="405"/>
      <c r="AJ1528" s="405"/>
      <c r="AK1528" s="405"/>
      <c r="AL1528" s="405"/>
    </row>
    <row r="1529" ht="14.25" customHeight="1">
      <c r="A1529" s="402"/>
      <c r="B1529" s="402"/>
      <c r="C1529" s="402"/>
      <c r="D1529" s="402"/>
      <c r="E1529" s="402"/>
      <c r="F1529" s="402"/>
      <c r="G1529" s="403"/>
      <c r="H1529" s="402"/>
      <c r="I1529" s="402"/>
      <c r="J1529" s="402"/>
      <c r="K1529" s="402"/>
      <c r="L1529" s="402"/>
      <c r="M1529" s="402"/>
      <c r="N1529" s="402"/>
      <c r="O1529" s="402"/>
      <c r="P1529" s="402"/>
      <c r="Q1529" s="402"/>
      <c r="R1529" s="402"/>
      <c r="S1529" s="402"/>
      <c r="T1529" s="402"/>
      <c r="U1529" s="402"/>
      <c r="V1529" s="402"/>
      <c r="W1529" s="402"/>
      <c r="X1529" s="402"/>
      <c r="Y1529" s="402"/>
      <c r="Z1529" s="402"/>
      <c r="AA1529" s="405"/>
      <c r="AB1529" s="405"/>
      <c r="AC1529" s="405"/>
      <c r="AD1529" s="405"/>
      <c r="AE1529" s="405"/>
      <c r="AF1529" s="405"/>
      <c r="AG1529" s="405"/>
      <c r="AH1529" s="405"/>
      <c r="AI1529" s="405"/>
      <c r="AJ1529" s="405"/>
      <c r="AK1529" s="405"/>
      <c r="AL1529" s="405"/>
    </row>
    <row r="1530" ht="14.25" customHeight="1">
      <c r="A1530" s="402"/>
      <c r="B1530" s="402"/>
      <c r="C1530" s="402"/>
      <c r="D1530" s="402"/>
      <c r="E1530" s="402"/>
      <c r="F1530" s="402"/>
      <c r="G1530" s="403"/>
      <c r="H1530" s="402"/>
      <c r="I1530" s="402"/>
      <c r="J1530" s="402"/>
      <c r="K1530" s="402"/>
      <c r="L1530" s="402"/>
      <c r="M1530" s="402"/>
      <c r="N1530" s="402"/>
      <c r="O1530" s="402"/>
      <c r="P1530" s="402"/>
      <c r="Q1530" s="402"/>
      <c r="R1530" s="402"/>
      <c r="S1530" s="402"/>
      <c r="T1530" s="402"/>
      <c r="U1530" s="402"/>
      <c r="V1530" s="402"/>
      <c r="W1530" s="402"/>
      <c r="X1530" s="402"/>
      <c r="Y1530" s="402"/>
      <c r="Z1530" s="402"/>
      <c r="AA1530" s="405"/>
      <c r="AB1530" s="405"/>
      <c r="AC1530" s="405"/>
      <c r="AD1530" s="405"/>
      <c r="AE1530" s="405"/>
      <c r="AF1530" s="405"/>
      <c r="AG1530" s="405"/>
      <c r="AH1530" s="405"/>
      <c r="AI1530" s="405"/>
      <c r="AJ1530" s="405"/>
      <c r="AK1530" s="405"/>
      <c r="AL1530" s="405"/>
    </row>
    <row r="1531" ht="14.25" customHeight="1">
      <c r="A1531" s="402"/>
      <c r="B1531" s="402"/>
      <c r="C1531" s="402"/>
      <c r="D1531" s="402"/>
      <c r="E1531" s="402"/>
      <c r="F1531" s="402"/>
      <c r="G1531" s="403"/>
      <c r="H1531" s="402"/>
      <c r="I1531" s="402"/>
      <c r="J1531" s="402"/>
      <c r="K1531" s="402"/>
      <c r="L1531" s="402"/>
      <c r="M1531" s="402"/>
      <c r="N1531" s="402"/>
      <c r="O1531" s="402"/>
      <c r="P1531" s="402"/>
      <c r="Q1531" s="402"/>
      <c r="R1531" s="402"/>
      <c r="S1531" s="402"/>
      <c r="T1531" s="402"/>
      <c r="U1531" s="402"/>
      <c r="V1531" s="402"/>
      <c r="W1531" s="402"/>
      <c r="X1531" s="402"/>
      <c r="Y1531" s="402"/>
      <c r="Z1531" s="402"/>
      <c r="AA1531" s="405"/>
      <c r="AB1531" s="405"/>
      <c r="AC1531" s="405"/>
      <c r="AD1531" s="405"/>
      <c r="AE1531" s="405"/>
      <c r="AF1531" s="405"/>
      <c r="AG1531" s="405"/>
      <c r="AH1531" s="405"/>
      <c r="AI1531" s="405"/>
      <c r="AJ1531" s="405"/>
      <c r="AK1531" s="405"/>
      <c r="AL1531" s="405"/>
    </row>
    <row r="1532" ht="14.25" customHeight="1">
      <c r="A1532" s="402"/>
      <c r="B1532" s="402"/>
      <c r="C1532" s="402"/>
      <c r="D1532" s="402"/>
      <c r="E1532" s="402"/>
      <c r="F1532" s="402"/>
      <c r="G1532" s="403"/>
      <c r="H1532" s="402"/>
      <c r="I1532" s="402"/>
      <c r="J1532" s="402"/>
      <c r="K1532" s="402"/>
      <c r="L1532" s="402"/>
      <c r="M1532" s="402"/>
      <c r="N1532" s="402"/>
      <c r="O1532" s="402"/>
      <c r="P1532" s="402"/>
      <c r="Q1532" s="402"/>
      <c r="R1532" s="402"/>
      <c r="S1532" s="402"/>
      <c r="T1532" s="402"/>
      <c r="U1532" s="402"/>
      <c r="V1532" s="402"/>
      <c r="W1532" s="402"/>
      <c r="X1532" s="402"/>
      <c r="Y1532" s="402"/>
      <c r="Z1532" s="402"/>
      <c r="AA1532" s="405"/>
      <c r="AB1532" s="405"/>
      <c r="AC1532" s="405"/>
      <c r="AD1532" s="405"/>
      <c r="AE1532" s="405"/>
      <c r="AF1532" s="405"/>
      <c r="AG1532" s="405"/>
      <c r="AH1532" s="405"/>
      <c r="AI1532" s="405"/>
      <c r="AJ1532" s="405"/>
      <c r="AK1532" s="405"/>
      <c r="AL1532" s="405"/>
    </row>
    <row r="1533" ht="14.25" customHeight="1">
      <c r="A1533" s="402"/>
      <c r="B1533" s="402"/>
      <c r="C1533" s="402"/>
      <c r="D1533" s="402"/>
      <c r="E1533" s="402"/>
      <c r="F1533" s="402"/>
      <c r="G1533" s="403"/>
      <c r="H1533" s="402"/>
      <c r="I1533" s="402"/>
      <c r="J1533" s="402"/>
      <c r="K1533" s="402"/>
      <c r="L1533" s="402"/>
      <c r="M1533" s="402"/>
      <c r="N1533" s="402"/>
      <c r="O1533" s="402"/>
      <c r="P1533" s="402"/>
      <c r="Q1533" s="402"/>
      <c r="R1533" s="402"/>
      <c r="S1533" s="402"/>
      <c r="T1533" s="402"/>
      <c r="U1533" s="402"/>
      <c r="V1533" s="402"/>
      <c r="W1533" s="402"/>
      <c r="X1533" s="402"/>
      <c r="Y1533" s="402"/>
      <c r="Z1533" s="402"/>
      <c r="AA1533" s="405"/>
      <c r="AB1533" s="405"/>
      <c r="AC1533" s="405"/>
      <c r="AD1533" s="405"/>
      <c r="AE1533" s="405"/>
      <c r="AF1533" s="405"/>
      <c r="AG1533" s="405"/>
      <c r="AH1533" s="405"/>
      <c r="AI1533" s="405"/>
      <c r="AJ1533" s="405"/>
      <c r="AK1533" s="405"/>
      <c r="AL1533" s="405"/>
    </row>
    <row r="1534" ht="14.25" customHeight="1">
      <c r="A1534" s="402"/>
      <c r="B1534" s="402"/>
      <c r="C1534" s="402"/>
      <c r="D1534" s="402"/>
      <c r="E1534" s="402"/>
      <c r="F1534" s="402"/>
      <c r="G1534" s="403"/>
      <c r="H1534" s="402"/>
      <c r="I1534" s="402"/>
      <c r="J1534" s="402"/>
      <c r="K1534" s="402"/>
      <c r="L1534" s="402"/>
      <c r="M1534" s="402"/>
      <c r="N1534" s="402"/>
      <c r="O1534" s="402"/>
      <c r="P1534" s="402"/>
      <c r="Q1534" s="402"/>
      <c r="R1534" s="402"/>
      <c r="S1534" s="402"/>
      <c r="T1534" s="402"/>
      <c r="U1534" s="402"/>
      <c r="V1534" s="402"/>
      <c r="W1534" s="402"/>
      <c r="X1534" s="402"/>
      <c r="Y1534" s="402"/>
      <c r="Z1534" s="402"/>
      <c r="AA1534" s="405"/>
      <c r="AB1534" s="405"/>
      <c r="AC1534" s="405"/>
      <c r="AD1534" s="405"/>
      <c r="AE1534" s="405"/>
      <c r="AF1534" s="405"/>
      <c r="AG1534" s="405"/>
      <c r="AH1534" s="405"/>
      <c r="AI1534" s="405"/>
      <c r="AJ1534" s="405"/>
      <c r="AK1534" s="405"/>
      <c r="AL1534" s="405"/>
    </row>
    <row r="1535" ht="14.25" customHeight="1">
      <c r="A1535" s="402"/>
      <c r="B1535" s="402"/>
      <c r="C1535" s="402"/>
      <c r="D1535" s="402"/>
      <c r="E1535" s="402"/>
      <c r="F1535" s="402"/>
      <c r="G1535" s="403"/>
      <c r="H1535" s="402"/>
      <c r="I1535" s="402"/>
      <c r="J1535" s="402"/>
      <c r="K1535" s="402"/>
      <c r="L1535" s="402"/>
      <c r="M1535" s="402"/>
      <c r="N1535" s="402"/>
      <c r="O1535" s="402"/>
      <c r="P1535" s="402"/>
      <c r="Q1535" s="402"/>
      <c r="R1535" s="402"/>
      <c r="S1535" s="402"/>
      <c r="T1535" s="402"/>
      <c r="U1535" s="402"/>
      <c r="V1535" s="402"/>
      <c r="W1535" s="402"/>
      <c r="X1535" s="402"/>
      <c r="Y1535" s="402"/>
      <c r="Z1535" s="402"/>
      <c r="AA1535" s="405"/>
      <c r="AB1535" s="405"/>
      <c r="AC1535" s="405"/>
      <c r="AD1535" s="405"/>
      <c r="AE1535" s="405"/>
      <c r="AF1535" s="405"/>
      <c r="AG1535" s="405"/>
      <c r="AH1535" s="405"/>
      <c r="AI1535" s="405"/>
      <c r="AJ1535" s="405"/>
      <c r="AK1535" s="405"/>
      <c r="AL1535" s="405"/>
    </row>
    <row r="1536" ht="14.25" customHeight="1">
      <c r="A1536" s="402"/>
      <c r="B1536" s="402"/>
      <c r="C1536" s="402"/>
      <c r="D1536" s="402"/>
      <c r="E1536" s="402"/>
      <c r="F1536" s="402"/>
      <c r="G1536" s="403"/>
      <c r="H1536" s="402"/>
      <c r="I1536" s="402"/>
      <c r="J1536" s="402"/>
      <c r="K1536" s="402"/>
      <c r="L1536" s="402"/>
      <c r="M1536" s="402"/>
      <c r="N1536" s="402"/>
      <c r="O1536" s="402"/>
      <c r="P1536" s="402"/>
      <c r="Q1536" s="402"/>
      <c r="R1536" s="402"/>
      <c r="S1536" s="402"/>
      <c r="T1536" s="402"/>
      <c r="U1536" s="402"/>
      <c r="V1536" s="402"/>
      <c r="W1536" s="402"/>
      <c r="X1536" s="402"/>
      <c r="Y1536" s="402"/>
      <c r="Z1536" s="402"/>
      <c r="AA1536" s="405"/>
      <c r="AB1536" s="405"/>
      <c r="AC1536" s="405"/>
      <c r="AD1536" s="405"/>
      <c r="AE1536" s="405"/>
      <c r="AF1536" s="405"/>
      <c r="AG1536" s="405"/>
      <c r="AH1536" s="405"/>
      <c r="AI1536" s="405"/>
      <c r="AJ1536" s="405"/>
      <c r="AK1536" s="405"/>
      <c r="AL1536" s="405"/>
    </row>
    <row r="1537" ht="14.25" customHeight="1">
      <c r="A1537" s="402"/>
      <c r="B1537" s="402"/>
      <c r="C1537" s="402"/>
      <c r="D1537" s="402"/>
      <c r="E1537" s="402"/>
      <c r="F1537" s="402"/>
      <c r="G1537" s="403"/>
      <c r="H1537" s="402"/>
      <c r="I1537" s="402"/>
      <c r="J1537" s="402"/>
      <c r="K1537" s="402"/>
      <c r="L1537" s="402"/>
      <c r="M1537" s="402"/>
      <c r="N1537" s="402"/>
      <c r="O1537" s="402"/>
      <c r="P1537" s="402"/>
      <c r="Q1537" s="402"/>
      <c r="R1537" s="402"/>
      <c r="S1537" s="402"/>
      <c r="T1537" s="402"/>
      <c r="U1537" s="402"/>
      <c r="V1537" s="402"/>
      <c r="W1537" s="402"/>
      <c r="X1537" s="402"/>
      <c r="Y1537" s="402"/>
      <c r="Z1537" s="402"/>
      <c r="AA1537" s="405"/>
      <c r="AB1537" s="405"/>
      <c r="AC1537" s="405"/>
      <c r="AD1537" s="405"/>
      <c r="AE1537" s="405"/>
      <c r="AF1537" s="405"/>
      <c r="AG1537" s="405"/>
      <c r="AH1537" s="405"/>
      <c r="AI1537" s="405"/>
      <c r="AJ1537" s="405"/>
      <c r="AK1537" s="405"/>
      <c r="AL1537" s="405"/>
    </row>
    <row r="1538" ht="14.25" customHeight="1">
      <c r="A1538" s="402"/>
      <c r="B1538" s="402"/>
      <c r="C1538" s="402"/>
      <c r="D1538" s="402"/>
      <c r="E1538" s="402"/>
      <c r="F1538" s="402"/>
      <c r="G1538" s="403"/>
      <c r="H1538" s="402"/>
      <c r="I1538" s="402"/>
      <c r="J1538" s="402"/>
      <c r="K1538" s="402"/>
      <c r="L1538" s="402"/>
      <c r="M1538" s="402"/>
      <c r="N1538" s="402"/>
      <c r="O1538" s="402"/>
      <c r="P1538" s="402"/>
      <c r="Q1538" s="402"/>
      <c r="R1538" s="402"/>
      <c r="S1538" s="402"/>
      <c r="T1538" s="402"/>
      <c r="U1538" s="402"/>
      <c r="V1538" s="402"/>
      <c r="W1538" s="402"/>
      <c r="X1538" s="402"/>
      <c r="Y1538" s="402"/>
      <c r="Z1538" s="402"/>
      <c r="AA1538" s="405"/>
      <c r="AB1538" s="405"/>
      <c r="AC1538" s="405"/>
      <c r="AD1538" s="405"/>
      <c r="AE1538" s="405"/>
      <c r="AF1538" s="405"/>
      <c r="AG1538" s="405"/>
      <c r="AH1538" s="405"/>
      <c r="AI1538" s="405"/>
      <c r="AJ1538" s="405"/>
      <c r="AK1538" s="405"/>
      <c r="AL1538" s="405"/>
    </row>
    <row r="1539" ht="14.25" customHeight="1">
      <c r="A1539" s="402"/>
      <c r="B1539" s="402"/>
      <c r="C1539" s="402"/>
      <c r="D1539" s="402"/>
      <c r="E1539" s="402"/>
      <c r="F1539" s="402"/>
      <c r="G1539" s="403"/>
      <c r="H1539" s="402"/>
      <c r="I1539" s="402"/>
      <c r="J1539" s="402"/>
      <c r="K1539" s="402"/>
      <c r="L1539" s="402"/>
      <c r="M1539" s="402"/>
      <c r="N1539" s="402"/>
      <c r="O1539" s="402"/>
      <c r="P1539" s="402"/>
      <c r="Q1539" s="402"/>
      <c r="R1539" s="402"/>
      <c r="S1539" s="402"/>
      <c r="T1539" s="402"/>
      <c r="U1539" s="402"/>
      <c r="V1539" s="402"/>
      <c r="W1539" s="402"/>
      <c r="X1539" s="402"/>
      <c r="Y1539" s="402"/>
      <c r="Z1539" s="402"/>
      <c r="AA1539" s="405"/>
      <c r="AB1539" s="405"/>
      <c r="AC1539" s="405"/>
      <c r="AD1539" s="405"/>
      <c r="AE1539" s="405"/>
      <c r="AF1539" s="405"/>
      <c r="AG1539" s="405"/>
      <c r="AH1539" s="405"/>
      <c r="AI1539" s="405"/>
      <c r="AJ1539" s="405"/>
      <c r="AK1539" s="405"/>
      <c r="AL1539" s="405"/>
    </row>
    <row r="1540" ht="14.25" customHeight="1">
      <c r="A1540" s="402"/>
      <c r="B1540" s="402"/>
      <c r="C1540" s="402"/>
      <c r="D1540" s="402"/>
      <c r="E1540" s="402"/>
      <c r="F1540" s="402"/>
      <c r="G1540" s="403"/>
      <c r="H1540" s="402"/>
      <c r="I1540" s="402"/>
      <c r="J1540" s="402"/>
      <c r="K1540" s="402"/>
      <c r="L1540" s="402"/>
      <c r="M1540" s="402"/>
      <c r="N1540" s="402"/>
      <c r="O1540" s="402"/>
      <c r="P1540" s="402"/>
      <c r="Q1540" s="402"/>
      <c r="R1540" s="402"/>
      <c r="S1540" s="402"/>
      <c r="T1540" s="402"/>
      <c r="U1540" s="402"/>
      <c r="V1540" s="402"/>
      <c r="W1540" s="402"/>
      <c r="X1540" s="402"/>
      <c r="Y1540" s="402"/>
      <c r="Z1540" s="402"/>
      <c r="AA1540" s="405"/>
      <c r="AB1540" s="405"/>
      <c r="AC1540" s="405"/>
      <c r="AD1540" s="405"/>
      <c r="AE1540" s="405"/>
      <c r="AF1540" s="405"/>
      <c r="AG1540" s="405"/>
      <c r="AH1540" s="405"/>
      <c r="AI1540" s="405"/>
      <c r="AJ1540" s="405"/>
      <c r="AK1540" s="405"/>
      <c r="AL1540" s="405"/>
    </row>
    <row r="1541" ht="14.25" customHeight="1">
      <c r="A1541" s="402"/>
      <c r="B1541" s="402"/>
      <c r="C1541" s="402"/>
      <c r="D1541" s="402"/>
      <c r="E1541" s="402"/>
      <c r="F1541" s="402"/>
      <c r="G1541" s="403"/>
      <c r="H1541" s="402"/>
      <c r="I1541" s="402"/>
      <c r="J1541" s="402"/>
      <c r="K1541" s="402"/>
      <c r="L1541" s="402"/>
      <c r="M1541" s="402"/>
      <c r="N1541" s="402"/>
      <c r="O1541" s="402"/>
      <c r="P1541" s="402"/>
      <c r="Q1541" s="402"/>
      <c r="R1541" s="402"/>
      <c r="S1541" s="402"/>
      <c r="T1541" s="402"/>
      <c r="U1541" s="402"/>
      <c r="V1541" s="402"/>
      <c r="W1541" s="402"/>
      <c r="X1541" s="402"/>
      <c r="Y1541" s="402"/>
      <c r="Z1541" s="402"/>
      <c r="AA1541" s="405"/>
      <c r="AB1541" s="405"/>
      <c r="AC1541" s="405"/>
      <c r="AD1541" s="405"/>
      <c r="AE1541" s="405"/>
      <c r="AF1541" s="405"/>
      <c r="AG1541" s="405"/>
      <c r="AH1541" s="405"/>
      <c r="AI1541" s="405"/>
      <c r="AJ1541" s="405"/>
      <c r="AK1541" s="405"/>
      <c r="AL1541" s="405"/>
    </row>
    <row r="1542" ht="14.25" customHeight="1">
      <c r="A1542" s="402"/>
      <c r="B1542" s="402"/>
      <c r="C1542" s="402"/>
      <c r="D1542" s="402"/>
      <c r="E1542" s="402"/>
      <c r="F1542" s="402"/>
      <c r="G1542" s="403"/>
      <c r="H1542" s="402"/>
      <c r="I1542" s="402"/>
      <c r="J1542" s="402"/>
      <c r="K1542" s="402"/>
      <c r="L1542" s="402"/>
      <c r="M1542" s="402"/>
      <c r="N1542" s="402"/>
      <c r="O1542" s="402"/>
      <c r="P1542" s="402"/>
      <c r="Q1542" s="402"/>
      <c r="R1542" s="402"/>
      <c r="S1542" s="402"/>
      <c r="T1542" s="402"/>
      <c r="U1542" s="402"/>
      <c r="V1542" s="402"/>
      <c r="W1542" s="402"/>
      <c r="X1542" s="402"/>
      <c r="Y1542" s="402"/>
      <c r="Z1542" s="402"/>
      <c r="AA1542" s="405"/>
      <c r="AB1542" s="405"/>
      <c r="AC1542" s="405"/>
      <c r="AD1542" s="405"/>
      <c r="AE1542" s="405"/>
      <c r="AF1542" s="405"/>
      <c r="AG1542" s="405"/>
      <c r="AH1542" s="405"/>
      <c r="AI1542" s="405"/>
      <c r="AJ1542" s="405"/>
      <c r="AK1542" s="405"/>
      <c r="AL1542" s="405"/>
    </row>
    <row r="1543" ht="14.25" customHeight="1">
      <c r="A1543" s="402"/>
      <c r="B1543" s="402"/>
      <c r="C1543" s="402"/>
      <c r="D1543" s="402"/>
      <c r="E1543" s="402"/>
      <c r="F1543" s="402"/>
      <c r="G1543" s="403"/>
      <c r="H1543" s="402"/>
      <c r="I1543" s="402"/>
      <c r="J1543" s="402"/>
      <c r="K1543" s="402"/>
      <c r="L1543" s="402"/>
      <c r="M1543" s="402"/>
      <c r="N1543" s="402"/>
      <c r="O1543" s="402"/>
      <c r="P1543" s="402"/>
      <c r="Q1543" s="402"/>
      <c r="R1543" s="402"/>
      <c r="S1543" s="402"/>
      <c r="T1543" s="402"/>
      <c r="U1543" s="402"/>
      <c r="V1543" s="402"/>
      <c r="W1543" s="402"/>
      <c r="X1543" s="402"/>
      <c r="Y1543" s="402"/>
      <c r="Z1543" s="402"/>
      <c r="AA1543" s="405"/>
      <c r="AB1543" s="405"/>
      <c r="AC1543" s="405"/>
      <c r="AD1543" s="405"/>
      <c r="AE1543" s="405"/>
      <c r="AF1543" s="405"/>
      <c r="AG1543" s="405"/>
      <c r="AH1543" s="405"/>
      <c r="AI1543" s="405"/>
      <c r="AJ1543" s="405"/>
      <c r="AK1543" s="405"/>
      <c r="AL1543" s="405"/>
    </row>
    <row r="1544" ht="14.25" customHeight="1">
      <c r="A1544" s="402"/>
      <c r="B1544" s="402"/>
      <c r="C1544" s="402"/>
      <c r="D1544" s="402"/>
      <c r="E1544" s="402"/>
      <c r="F1544" s="402"/>
      <c r="G1544" s="403"/>
      <c r="H1544" s="402"/>
      <c r="I1544" s="402"/>
      <c r="J1544" s="402"/>
      <c r="K1544" s="402"/>
      <c r="L1544" s="402"/>
      <c r="M1544" s="402"/>
      <c r="N1544" s="402"/>
      <c r="O1544" s="402"/>
      <c r="P1544" s="402"/>
      <c r="Q1544" s="402"/>
      <c r="R1544" s="402"/>
      <c r="S1544" s="402"/>
      <c r="T1544" s="402"/>
      <c r="U1544" s="402"/>
      <c r="V1544" s="402"/>
      <c r="W1544" s="402"/>
      <c r="X1544" s="402"/>
      <c r="Y1544" s="402"/>
      <c r="Z1544" s="402"/>
      <c r="AA1544" s="405"/>
      <c r="AB1544" s="405"/>
      <c r="AC1544" s="405"/>
      <c r="AD1544" s="405"/>
      <c r="AE1544" s="405"/>
      <c r="AF1544" s="405"/>
      <c r="AG1544" s="405"/>
      <c r="AH1544" s="405"/>
      <c r="AI1544" s="405"/>
      <c r="AJ1544" s="405"/>
      <c r="AK1544" s="405"/>
      <c r="AL1544" s="405"/>
    </row>
    <row r="1545" ht="14.25" customHeight="1">
      <c r="A1545" s="402"/>
      <c r="B1545" s="402"/>
      <c r="C1545" s="402"/>
      <c r="D1545" s="402"/>
      <c r="E1545" s="402"/>
      <c r="F1545" s="402"/>
      <c r="G1545" s="403"/>
      <c r="H1545" s="402"/>
      <c r="I1545" s="402"/>
      <c r="J1545" s="402"/>
      <c r="K1545" s="402"/>
      <c r="L1545" s="402"/>
      <c r="M1545" s="402"/>
      <c r="N1545" s="402"/>
      <c r="O1545" s="402"/>
      <c r="P1545" s="402"/>
      <c r="Q1545" s="402"/>
      <c r="R1545" s="402"/>
      <c r="S1545" s="402"/>
      <c r="T1545" s="402"/>
      <c r="U1545" s="402"/>
      <c r="V1545" s="402"/>
      <c r="W1545" s="402"/>
      <c r="X1545" s="402"/>
      <c r="Y1545" s="402"/>
      <c r="Z1545" s="402"/>
      <c r="AA1545" s="405"/>
      <c r="AB1545" s="405"/>
      <c r="AC1545" s="405"/>
      <c r="AD1545" s="405"/>
      <c r="AE1545" s="405"/>
      <c r="AF1545" s="405"/>
      <c r="AG1545" s="405"/>
      <c r="AH1545" s="405"/>
      <c r="AI1545" s="405"/>
      <c r="AJ1545" s="405"/>
      <c r="AK1545" s="405"/>
      <c r="AL1545" s="405"/>
    </row>
    <row r="1546" ht="14.25" customHeight="1">
      <c r="A1546" s="402"/>
      <c r="B1546" s="402"/>
      <c r="C1546" s="402"/>
      <c r="D1546" s="402"/>
      <c r="E1546" s="402"/>
      <c r="F1546" s="402"/>
      <c r="G1546" s="403"/>
      <c r="H1546" s="402"/>
      <c r="I1546" s="402"/>
      <c r="J1546" s="402"/>
      <c r="K1546" s="402"/>
      <c r="L1546" s="402"/>
      <c r="M1546" s="402"/>
      <c r="N1546" s="402"/>
      <c r="O1546" s="402"/>
      <c r="P1546" s="402"/>
      <c r="Q1546" s="402"/>
      <c r="R1546" s="402"/>
      <c r="S1546" s="402"/>
      <c r="T1546" s="402"/>
      <c r="U1546" s="402"/>
      <c r="V1546" s="402"/>
      <c r="W1546" s="402"/>
      <c r="X1546" s="402"/>
      <c r="Y1546" s="402"/>
      <c r="Z1546" s="402"/>
      <c r="AA1546" s="405"/>
      <c r="AB1546" s="405"/>
      <c r="AC1546" s="405"/>
      <c r="AD1546" s="405"/>
      <c r="AE1546" s="405"/>
      <c r="AF1546" s="405"/>
      <c r="AG1546" s="405"/>
      <c r="AH1546" s="405"/>
      <c r="AI1546" s="405"/>
      <c r="AJ1546" s="405"/>
      <c r="AK1546" s="405"/>
      <c r="AL1546" s="405"/>
    </row>
    <row r="1547" ht="14.25" customHeight="1">
      <c r="A1547" s="402"/>
      <c r="B1547" s="402"/>
      <c r="C1547" s="402"/>
      <c r="D1547" s="402"/>
      <c r="E1547" s="402"/>
      <c r="F1547" s="402"/>
      <c r="G1547" s="403"/>
      <c r="H1547" s="402"/>
      <c r="I1547" s="402"/>
      <c r="J1547" s="402"/>
      <c r="K1547" s="402"/>
      <c r="L1547" s="402"/>
      <c r="M1547" s="402"/>
      <c r="N1547" s="402"/>
      <c r="O1547" s="402"/>
      <c r="P1547" s="402"/>
      <c r="Q1547" s="402"/>
      <c r="R1547" s="402"/>
      <c r="S1547" s="402"/>
      <c r="T1547" s="402"/>
      <c r="U1547" s="402"/>
      <c r="V1547" s="402"/>
      <c r="W1547" s="402"/>
      <c r="X1547" s="402"/>
      <c r="Y1547" s="402"/>
      <c r="Z1547" s="402"/>
      <c r="AA1547" s="405"/>
      <c r="AB1547" s="405"/>
      <c r="AC1547" s="405"/>
      <c r="AD1547" s="405"/>
      <c r="AE1547" s="405"/>
      <c r="AF1547" s="405"/>
      <c r="AG1547" s="405"/>
      <c r="AH1547" s="405"/>
      <c r="AI1547" s="405"/>
      <c r="AJ1547" s="405"/>
      <c r="AK1547" s="405"/>
      <c r="AL1547" s="405"/>
    </row>
    <row r="1548" ht="14.25" customHeight="1">
      <c r="A1548" s="402"/>
      <c r="B1548" s="402"/>
      <c r="C1548" s="402"/>
      <c r="D1548" s="402"/>
      <c r="E1548" s="402"/>
      <c r="F1548" s="402"/>
      <c r="G1548" s="403"/>
      <c r="H1548" s="402"/>
      <c r="I1548" s="402"/>
      <c r="J1548" s="402"/>
      <c r="K1548" s="402"/>
      <c r="L1548" s="402"/>
      <c r="M1548" s="402"/>
      <c r="N1548" s="402"/>
      <c r="O1548" s="402"/>
      <c r="P1548" s="402"/>
      <c r="Q1548" s="402"/>
      <c r="R1548" s="402"/>
      <c r="S1548" s="402"/>
      <c r="T1548" s="402"/>
      <c r="U1548" s="402"/>
      <c r="V1548" s="402"/>
      <c r="W1548" s="402"/>
      <c r="X1548" s="402"/>
      <c r="Y1548" s="402"/>
      <c r="Z1548" s="402"/>
      <c r="AA1548" s="405"/>
      <c r="AB1548" s="405"/>
      <c r="AC1548" s="405"/>
      <c r="AD1548" s="405"/>
      <c r="AE1548" s="405"/>
      <c r="AF1548" s="405"/>
      <c r="AG1548" s="405"/>
      <c r="AH1548" s="405"/>
      <c r="AI1548" s="405"/>
      <c r="AJ1548" s="405"/>
      <c r="AK1548" s="405"/>
      <c r="AL1548" s="405"/>
    </row>
    <row r="1549" ht="14.25" customHeight="1">
      <c r="A1549" s="402"/>
      <c r="B1549" s="402"/>
      <c r="C1549" s="402"/>
      <c r="D1549" s="402"/>
      <c r="E1549" s="402"/>
      <c r="F1549" s="402"/>
      <c r="G1549" s="403"/>
      <c r="H1549" s="402"/>
      <c r="I1549" s="402"/>
      <c r="J1549" s="402"/>
      <c r="K1549" s="402"/>
      <c r="L1549" s="402"/>
      <c r="M1549" s="402"/>
      <c r="N1549" s="402"/>
      <c r="O1549" s="402"/>
      <c r="P1549" s="402"/>
      <c r="Q1549" s="402"/>
      <c r="R1549" s="402"/>
      <c r="S1549" s="402"/>
      <c r="T1549" s="402"/>
      <c r="U1549" s="402"/>
      <c r="V1549" s="402"/>
      <c r="W1549" s="402"/>
      <c r="X1549" s="402"/>
      <c r="Y1549" s="402"/>
      <c r="Z1549" s="402"/>
      <c r="AA1549" s="405"/>
      <c r="AB1549" s="405"/>
      <c r="AC1549" s="405"/>
      <c r="AD1549" s="405"/>
      <c r="AE1549" s="405"/>
      <c r="AF1549" s="405"/>
      <c r="AG1549" s="405"/>
      <c r="AH1549" s="405"/>
      <c r="AI1549" s="405"/>
      <c r="AJ1549" s="405"/>
      <c r="AK1549" s="405"/>
      <c r="AL1549" s="405"/>
    </row>
    <row r="1550" ht="14.25" customHeight="1">
      <c r="A1550" s="402"/>
      <c r="B1550" s="402"/>
      <c r="C1550" s="402"/>
      <c r="D1550" s="402"/>
      <c r="E1550" s="402"/>
      <c r="F1550" s="402"/>
      <c r="G1550" s="403"/>
      <c r="H1550" s="402"/>
      <c r="I1550" s="402"/>
      <c r="J1550" s="402"/>
      <c r="K1550" s="402"/>
      <c r="L1550" s="402"/>
      <c r="M1550" s="402"/>
      <c r="N1550" s="402"/>
      <c r="O1550" s="402"/>
      <c r="P1550" s="402"/>
      <c r="Q1550" s="402"/>
      <c r="R1550" s="402"/>
      <c r="S1550" s="402"/>
      <c r="T1550" s="402"/>
      <c r="U1550" s="402"/>
      <c r="V1550" s="402"/>
      <c r="W1550" s="402"/>
      <c r="X1550" s="402"/>
      <c r="Y1550" s="402"/>
      <c r="Z1550" s="402"/>
      <c r="AA1550" s="405"/>
      <c r="AB1550" s="405"/>
      <c r="AC1550" s="405"/>
      <c r="AD1550" s="405"/>
      <c r="AE1550" s="405"/>
      <c r="AF1550" s="405"/>
      <c r="AG1550" s="405"/>
      <c r="AH1550" s="405"/>
      <c r="AI1550" s="405"/>
      <c r="AJ1550" s="405"/>
      <c r="AK1550" s="405"/>
      <c r="AL1550" s="405"/>
    </row>
    <row r="1551" ht="14.25" customHeight="1">
      <c r="A1551" s="402"/>
      <c r="B1551" s="402"/>
      <c r="C1551" s="402"/>
      <c r="D1551" s="402"/>
      <c r="E1551" s="402"/>
      <c r="F1551" s="402"/>
      <c r="G1551" s="403"/>
      <c r="H1551" s="402"/>
      <c r="I1551" s="402"/>
      <c r="J1551" s="402"/>
      <c r="K1551" s="402"/>
      <c r="L1551" s="402"/>
      <c r="M1551" s="402"/>
      <c r="N1551" s="402"/>
      <c r="O1551" s="402"/>
      <c r="P1551" s="402"/>
      <c r="Q1551" s="402"/>
      <c r="R1551" s="402"/>
      <c r="S1551" s="402"/>
      <c r="T1551" s="402"/>
      <c r="U1551" s="402"/>
      <c r="V1551" s="402"/>
      <c r="W1551" s="402"/>
      <c r="X1551" s="402"/>
      <c r="Y1551" s="402"/>
      <c r="Z1551" s="402"/>
      <c r="AA1551" s="405"/>
      <c r="AB1551" s="405"/>
      <c r="AC1551" s="405"/>
      <c r="AD1551" s="405"/>
      <c r="AE1551" s="405"/>
      <c r="AF1551" s="405"/>
      <c r="AG1551" s="405"/>
      <c r="AH1551" s="405"/>
      <c r="AI1551" s="405"/>
      <c r="AJ1551" s="405"/>
      <c r="AK1551" s="405"/>
      <c r="AL1551" s="405"/>
    </row>
    <row r="1552" ht="14.25" customHeight="1">
      <c r="A1552" s="402"/>
      <c r="B1552" s="402"/>
      <c r="C1552" s="402"/>
      <c r="D1552" s="402"/>
      <c r="E1552" s="402"/>
      <c r="F1552" s="402"/>
      <c r="G1552" s="403"/>
      <c r="H1552" s="402"/>
      <c r="I1552" s="402"/>
      <c r="J1552" s="402"/>
      <c r="K1552" s="402"/>
      <c r="L1552" s="402"/>
      <c r="M1552" s="402"/>
      <c r="N1552" s="402"/>
      <c r="O1552" s="402"/>
      <c r="P1552" s="402"/>
      <c r="Q1552" s="402"/>
      <c r="R1552" s="402"/>
      <c r="S1552" s="402"/>
      <c r="T1552" s="402"/>
      <c r="U1552" s="402"/>
      <c r="V1552" s="402"/>
      <c r="W1552" s="402"/>
      <c r="X1552" s="402"/>
      <c r="Y1552" s="402"/>
      <c r="Z1552" s="402"/>
      <c r="AA1552" s="405"/>
      <c r="AB1552" s="405"/>
      <c r="AC1552" s="405"/>
      <c r="AD1552" s="405"/>
      <c r="AE1552" s="405"/>
      <c r="AF1552" s="405"/>
      <c r="AG1552" s="405"/>
      <c r="AH1552" s="405"/>
      <c r="AI1552" s="405"/>
      <c r="AJ1552" s="405"/>
      <c r="AK1552" s="405"/>
      <c r="AL1552" s="405"/>
    </row>
    <row r="1553" ht="14.25" customHeight="1">
      <c r="A1553" s="402"/>
      <c r="B1553" s="402"/>
      <c r="C1553" s="402"/>
      <c r="D1553" s="402"/>
      <c r="E1553" s="402"/>
      <c r="F1553" s="402"/>
      <c r="G1553" s="403"/>
      <c r="H1553" s="402"/>
      <c r="I1553" s="402"/>
      <c r="J1553" s="402"/>
      <c r="K1553" s="402"/>
      <c r="L1553" s="402"/>
      <c r="M1553" s="402"/>
      <c r="N1553" s="402"/>
      <c r="O1553" s="402"/>
      <c r="P1553" s="402"/>
      <c r="Q1553" s="402"/>
      <c r="R1553" s="402"/>
      <c r="S1553" s="402"/>
      <c r="T1553" s="402"/>
      <c r="U1553" s="402"/>
      <c r="V1553" s="402"/>
      <c r="W1553" s="402"/>
      <c r="X1553" s="402"/>
      <c r="Y1553" s="402"/>
      <c r="Z1553" s="402"/>
      <c r="AA1553" s="405"/>
      <c r="AB1553" s="405"/>
      <c r="AC1553" s="405"/>
      <c r="AD1553" s="405"/>
      <c r="AE1553" s="405"/>
      <c r="AF1553" s="405"/>
      <c r="AG1553" s="405"/>
      <c r="AH1553" s="405"/>
      <c r="AI1553" s="405"/>
      <c r="AJ1553" s="405"/>
      <c r="AK1553" s="405"/>
      <c r="AL1553" s="405"/>
    </row>
    <row r="1554" ht="14.25" customHeight="1">
      <c r="A1554" s="402"/>
      <c r="B1554" s="402"/>
      <c r="C1554" s="402"/>
      <c r="D1554" s="402"/>
      <c r="E1554" s="402"/>
      <c r="F1554" s="402"/>
      <c r="G1554" s="403"/>
      <c r="H1554" s="402"/>
      <c r="I1554" s="402"/>
      <c r="J1554" s="402"/>
      <c r="K1554" s="402"/>
      <c r="L1554" s="402"/>
      <c r="M1554" s="402"/>
      <c r="N1554" s="402"/>
      <c r="O1554" s="402"/>
      <c r="P1554" s="402"/>
      <c r="Q1554" s="402"/>
      <c r="R1554" s="402"/>
      <c r="S1554" s="402"/>
      <c r="T1554" s="402"/>
      <c r="U1554" s="402"/>
      <c r="V1554" s="402"/>
      <c r="W1554" s="402"/>
      <c r="X1554" s="402"/>
      <c r="Y1554" s="402"/>
      <c r="Z1554" s="402"/>
      <c r="AA1554" s="405"/>
      <c r="AB1554" s="405"/>
      <c r="AC1554" s="405"/>
      <c r="AD1554" s="405"/>
      <c r="AE1554" s="405"/>
      <c r="AF1554" s="405"/>
      <c r="AG1554" s="405"/>
      <c r="AH1554" s="405"/>
      <c r="AI1554" s="405"/>
      <c r="AJ1554" s="405"/>
      <c r="AK1554" s="405"/>
      <c r="AL1554" s="405"/>
    </row>
    <row r="1555" ht="14.25" customHeight="1">
      <c r="A1555" s="402"/>
      <c r="B1555" s="402"/>
      <c r="C1555" s="402"/>
      <c r="D1555" s="402"/>
      <c r="E1555" s="402"/>
      <c r="F1555" s="402"/>
      <c r="G1555" s="403"/>
      <c r="H1555" s="402"/>
      <c r="I1555" s="402"/>
      <c r="J1555" s="402"/>
      <c r="K1555" s="402"/>
      <c r="L1555" s="402"/>
      <c r="M1555" s="402"/>
      <c r="N1555" s="402"/>
      <c r="O1555" s="402"/>
      <c r="P1555" s="402"/>
      <c r="Q1555" s="402"/>
      <c r="R1555" s="402"/>
      <c r="S1555" s="402"/>
      <c r="T1555" s="402"/>
      <c r="U1555" s="402"/>
      <c r="V1555" s="402"/>
      <c r="W1555" s="402"/>
      <c r="X1555" s="402"/>
      <c r="Y1555" s="402"/>
      <c r="Z1555" s="402"/>
      <c r="AA1555" s="405"/>
      <c r="AB1555" s="405"/>
      <c r="AC1555" s="405"/>
      <c r="AD1555" s="405"/>
      <c r="AE1555" s="405"/>
      <c r="AF1555" s="405"/>
      <c r="AG1555" s="405"/>
      <c r="AH1555" s="405"/>
      <c r="AI1555" s="405"/>
      <c r="AJ1555" s="405"/>
      <c r="AK1555" s="405"/>
      <c r="AL1555" s="405"/>
    </row>
    <row r="1556" ht="14.25" customHeight="1">
      <c r="A1556" s="402"/>
      <c r="B1556" s="402"/>
      <c r="C1556" s="402"/>
      <c r="D1556" s="402"/>
      <c r="E1556" s="402"/>
      <c r="F1556" s="402"/>
      <c r="G1556" s="403"/>
      <c r="H1556" s="402"/>
      <c r="I1556" s="402"/>
      <c r="J1556" s="402"/>
      <c r="K1556" s="402"/>
      <c r="L1556" s="402"/>
      <c r="M1556" s="402"/>
      <c r="N1556" s="402"/>
      <c r="O1556" s="402"/>
      <c r="P1556" s="402"/>
      <c r="Q1556" s="402"/>
      <c r="R1556" s="402"/>
      <c r="S1556" s="402"/>
      <c r="T1556" s="402"/>
      <c r="U1556" s="402"/>
      <c r="V1556" s="402"/>
      <c r="W1556" s="402"/>
      <c r="X1556" s="402"/>
      <c r="Y1556" s="402"/>
      <c r="Z1556" s="402"/>
      <c r="AA1556" s="405"/>
      <c r="AB1556" s="405"/>
      <c r="AC1556" s="405"/>
      <c r="AD1556" s="405"/>
      <c r="AE1556" s="405"/>
      <c r="AF1556" s="405"/>
      <c r="AG1556" s="405"/>
      <c r="AH1556" s="405"/>
      <c r="AI1556" s="405"/>
      <c r="AJ1556" s="405"/>
      <c r="AK1556" s="405"/>
      <c r="AL1556" s="405"/>
    </row>
    <row r="1557" ht="14.25" customHeight="1">
      <c r="A1557" s="402"/>
      <c r="B1557" s="402"/>
      <c r="C1557" s="402"/>
      <c r="D1557" s="402"/>
      <c r="E1557" s="402"/>
      <c r="F1557" s="402"/>
      <c r="G1557" s="403"/>
      <c r="H1557" s="402"/>
      <c r="I1557" s="402"/>
      <c r="J1557" s="402"/>
      <c r="K1557" s="402"/>
      <c r="L1557" s="402"/>
      <c r="M1557" s="402"/>
      <c r="N1557" s="402"/>
      <c r="O1557" s="402"/>
      <c r="P1557" s="402"/>
      <c r="Q1557" s="402"/>
      <c r="R1557" s="402"/>
      <c r="S1557" s="402"/>
      <c r="T1557" s="402"/>
      <c r="U1557" s="402"/>
      <c r="V1557" s="402"/>
      <c r="W1557" s="402"/>
      <c r="X1557" s="402"/>
      <c r="Y1557" s="402"/>
      <c r="Z1557" s="402"/>
      <c r="AA1557" s="405"/>
      <c r="AB1557" s="405"/>
      <c r="AC1557" s="405"/>
      <c r="AD1557" s="405"/>
      <c r="AE1557" s="405"/>
      <c r="AF1557" s="405"/>
      <c r="AG1557" s="405"/>
      <c r="AH1557" s="405"/>
      <c r="AI1557" s="405"/>
      <c r="AJ1557" s="405"/>
      <c r="AK1557" s="405"/>
      <c r="AL1557" s="405"/>
    </row>
    <row r="1558" ht="14.25" customHeight="1">
      <c r="A1558" s="402"/>
      <c r="B1558" s="402"/>
      <c r="C1558" s="402"/>
      <c r="D1558" s="402"/>
      <c r="E1558" s="402"/>
      <c r="F1558" s="402"/>
      <c r="G1558" s="403"/>
      <c r="H1558" s="402"/>
      <c r="I1558" s="402"/>
      <c r="J1558" s="402"/>
      <c r="K1558" s="402"/>
      <c r="L1558" s="402"/>
      <c r="M1558" s="402"/>
      <c r="N1558" s="402"/>
      <c r="O1558" s="402"/>
      <c r="P1558" s="402"/>
      <c r="Q1558" s="402"/>
      <c r="R1558" s="402"/>
      <c r="S1558" s="402"/>
      <c r="T1558" s="402"/>
      <c r="U1558" s="402"/>
      <c r="V1558" s="402"/>
      <c r="W1558" s="402"/>
      <c r="X1558" s="402"/>
      <c r="Y1558" s="402"/>
      <c r="Z1558" s="402"/>
      <c r="AA1558" s="405"/>
      <c r="AB1558" s="405"/>
      <c r="AC1558" s="405"/>
      <c r="AD1558" s="405"/>
      <c r="AE1558" s="405"/>
      <c r="AF1558" s="405"/>
      <c r="AG1558" s="405"/>
      <c r="AH1558" s="405"/>
      <c r="AI1558" s="405"/>
      <c r="AJ1558" s="405"/>
      <c r="AK1558" s="405"/>
      <c r="AL1558" s="405"/>
    </row>
    <row r="1559" ht="14.25" customHeight="1">
      <c r="A1559" s="402"/>
      <c r="B1559" s="402"/>
      <c r="C1559" s="402"/>
      <c r="D1559" s="402"/>
      <c r="E1559" s="402"/>
      <c r="F1559" s="402"/>
      <c r="G1559" s="403"/>
      <c r="H1559" s="402"/>
      <c r="I1559" s="402"/>
      <c r="J1559" s="402"/>
      <c r="K1559" s="402"/>
      <c r="L1559" s="402"/>
      <c r="M1559" s="402"/>
      <c r="N1559" s="402"/>
      <c r="O1559" s="402"/>
      <c r="P1559" s="402"/>
      <c r="Q1559" s="402"/>
      <c r="R1559" s="402"/>
      <c r="S1559" s="402"/>
      <c r="T1559" s="402"/>
      <c r="U1559" s="402"/>
      <c r="V1559" s="402"/>
      <c r="W1559" s="402"/>
      <c r="X1559" s="402"/>
      <c r="Y1559" s="402"/>
      <c r="Z1559" s="402"/>
      <c r="AA1559" s="405"/>
      <c r="AB1559" s="405"/>
      <c r="AC1559" s="405"/>
      <c r="AD1559" s="405"/>
      <c r="AE1559" s="405"/>
      <c r="AF1559" s="405"/>
      <c r="AG1559" s="405"/>
      <c r="AH1559" s="405"/>
      <c r="AI1559" s="405"/>
      <c r="AJ1559" s="405"/>
      <c r="AK1559" s="405"/>
      <c r="AL1559" s="405"/>
    </row>
    <row r="1560" ht="14.25" customHeight="1">
      <c r="A1560" s="402"/>
      <c r="B1560" s="402"/>
      <c r="C1560" s="402"/>
      <c r="D1560" s="402"/>
      <c r="E1560" s="402"/>
      <c r="F1560" s="402"/>
      <c r="G1560" s="403"/>
      <c r="H1560" s="402"/>
      <c r="I1560" s="402"/>
      <c r="J1560" s="402"/>
      <c r="K1560" s="402"/>
      <c r="L1560" s="402"/>
      <c r="M1560" s="402"/>
      <c r="N1560" s="402"/>
      <c r="O1560" s="402"/>
      <c r="P1560" s="402"/>
      <c r="Q1560" s="402"/>
      <c r="R1560" s="402"/>
      <c r="S1560" s="402"/>
      <c r="T1560" s="402"/>
      <c r="U1560" s="402"/>
      <c r="V1560" s="402"/>
      <c r="W1560" s="402"/>
      <c r="X1560" s="402"/>
      <c r="Y1560" s="402"/>
      <c r="Z1560" s="402"/>
      <c r="AA1560" s="405"/>
      <c r="AB1560" s="405"/>
      <c r="AC1560" s="405"/>
      <c r="AD1560" s="405"/>
      <c r="AE1560" s="405"/>
      <c r="AF1560" s="405"/>
      <c r="AG1560" s="405"/>
      <c r="AH1560" s="405"/>
      <c r="AI1560" s="405"/>
      <c r="AJ1560" s="405"/>
      <c r="AK1560" s="405"/>
      <c r="AL1560" s="405"/>
    </row>
    <row r="1561" ht="14.25" customHeight="1">
      <c r="A1561" s="402"/>
      <c r="B1561" s="402"/>
      <c r="C1561" s="402"/>
      <c r="D1561" s="402"/>
      <c r="E1561" s="402"/>
      <c r="F1561" s="402"/>
      <c r="G1561" s="403"/>
      <c r="H1561" s="402"/>
      <c r="I1561" s="402"/>
      <c r="J1561" s="402"/>
      <c r="K1561" s="402"/>
      <c r="L1561" s="402"/>
      <c r="M1561" s="402"/>
      <c r="N1561" s="402"/>
      <c r="O1561" s="402"/>
      <c r="P1561" s="402"/>
      <c r="Q1561" s="402"/>
      <c r="R1561" s="402"/>
      <c r="S1561" s="402"/>
      <c r="T1561" s="402"/>
      <c r="U1561" s="402"/>
      <c r="V1561" s="402"/>
      <c r="W1561" s="402"/>
      <c r="X1561" s="402"/>
      <c r="Y1561" s="402"/>
      <c r="Z1561" s="402"/>
      <c r="AA1561" s="405"/>
      <c r="AB1561" s="405"/>
      <c r="AC1561" s="405"/>
      <c r="AD1561" s="405"/>
      <c r="AE1561" s="405"/>
      <c r="AF1561" s="405"/>
      <c r="AG1561" s="405"/>
      <c r="AH1561" s="405"/>
      <c r="AI1561" s="405"/>
      <c r="AJ1561" s="405"/>
      <c r="AK1561" s="405"/>
      <c r="AL1561" s="405"/>
    </row>
    <row r="1562" ht="14.25" customHeight="1">
      <c r="A1562" s="402"/>
      <c r="B1562" s="402"/>
      <c r="C1562" s="402"/>
      <c r="D1562" s="402"/>
      <c r="E1562" s="402"/>
      <c r="F1562" s="402"/>
      <c r="G1562" s="403"/>
      <c r="H1562" s="402"/>
      <c r="I1562" s="402"/>
      <c r="J1562" s="402"/>
      <c r="K1562" s="402"/>
      <c r="L1562" s="402"/>
      <c r="M1562" s="402"/>
      <c r="N1562" s="402"/>
      <c r="O1562" s="402"/>
      <c r="P1562" s="402"/>
      <c r="Q1562" s="402"/>
      <c r="R1562" s="402"/>
      <c r="S1562" s="402"/>
      <c r="T1562" s="402"/>
      <c r="U1562" s="402"/>
      <c r="V1562" s="402"/>
      <c r="W1562" s="402"/>
      <c r="X1562" s="402"/>
      <c r="Y1562" s="402"/>
      <c r="Z1562" s="402"/>
      <c r="AA1562" s="405"/>
      <c r="AB1562" s="405"/>
      <c r="AC1562" s="405"/>
      <c r="AD1562" s="405"/>
      <c r="AE1562" s="405"/>
      <c r="AF1562" s="405"/>
      <c r="AG1562" s="405"/>
      <c r="AH1562" s="405"/>
      <c r="AI1562" s="405"/>
      <c r="AJ1562" s="405"/>
      <c r="AK1562" s="405"/>
      <c r="AL1562" s="405"/>
    </row>
    <row r="1563" ht="14.25" customHeight="1">
      <c r="A1563" s="402"/>
      <c r="B1563" s="402"/>
      <c r="C1563" s="402"/>
      <c r="D1563" s="402"/>
      <c r="E1563" s="402"/>
      <c r="F1563" s="402"/>
      <c r="G1563" s="403"/>
      <c r="H1563" s="402"/>
      <c r="I1563" s="402"/>
      <c r="J1563" s="402"/>
      <c r="K1563" s="402"/>
      <c r="L1563" s="402"/>
      <c r="M1563" s="402"/>
      <c r="N1563" s="402"/>
      <c r="O1563" s="402"/>
      <c r="P1563" s="402"/>
      <c r="Q1563" s="402"/>
      <c r="R1563" s="402"/>
      <c r="S1563" s="402"/>
      <c r="T1563" s="402"/>
      <c r="U1563" s="402"/>
      <c r="V1563" s="402"/>
      <c r="W1563" s="402"/>
      <c r="X1563" s="402"/>
      <c r="Y1563" s="402"/>
      <c r="Z1563" s="402"/>
      <c r="AA1563" s="405"/>
      <c r="AB1563" s="405"/>
      <c r="AC1563" s="405"/>
      <c r="AD1563" s="405"/>
      <c r="AE1563" s="405"/>
      <c r="AF1563" s="405"/>
      <c r="AG1563" s="405"/>
      <c r="AH1563" s="405"/>
      <c r="AI1563" s="405"/>
      <c r="AJ1563" s="405"/>
      <c r="AK1563" s="405"/>
      <c r="AL1563" s="405"/>
    </row>
    <row r="1564" ht="14.25" customHeight="1">
      <c r="A1564" s="402"/>
      <c r="B1564" s="402"/>
      <c r="C1564" s="402"/>
      <c r="D1564" s="402"/>
      <c r="E1564" s="402"/>
      <c r="F1564" s="402"/>
      <c r="G1564" s="403"/>
      <c r="H1564" s="402"/>
      <c r="I1564" s="402"/>
      <c r="J1564" s="402"/>
      <c r="K1564" s="402"/>
      <c r="L1564" s="402"/>
      <c r="M1564" s="402"/>
      <c r="N1564" s="402"/>
      <c r="O1564" s="402"/>
      <c r="P1564" s="402"/>
      <c r="Q1564" s="402"/>
      <c r="R1564" s="402"/>
      <c r="S1564" s="402"/>
      <c r="T1564" s="402"/>
      <c r="U1564" s="402"/>
      <c r="V1564" s="402"/>
      <c r="W1564" s="402"/>
      <c r="X1564" s="402"/>
      <c r="Y1564" s="402"/>
      <c r="Z1564" s="402"/>
      <c r="AA1564" s="405"/>
      <c r="AB1564" s="405"/>
      <c r="AC1564" s="405"/>
      <c r="AD1564" s="405"/>
      <c r="AE1564" s="405"/>
      <c r="AF1564" s="405"/>
      <c r="AG1564" s="405"/>
      <c r="AH1564" s="405"/>
      <c r="AI1564" s="405"/>
      <c r="AJ1564" s="405"/>
      <c r="AK1564" s="405"/>
      <c r="AL1564" s="405"/>
    </row>
    <row r="1565" ht="14.25" customHeight="1">
      <c r="A1565" s="402"/>
      <c r="B1565" s="402"/>
      <c r="C1565" s="402"/>
      <c r="D1565" s="402"/>
      <c r="E1565" s="402"/>
      <c r="F1565" s="402"/>
      <c r="G1565" s="403"/>
      <c r="H1565" s="402"/>
      <c r="I1565" s="402"/>
      <c r="J1565" s="402"/>
      <c r="K1565" s="402"/>
      <c r="L1565" s="402"/>
      <c r="M1565" s="402"/>
      <c r="N1565" s="402"/>
      <c r="O1565" s="402"/>
      <c r="P1565" s="402"/>
      <c r="Q1565" s="402"/>
      <c r="R1565" s="402"/>
      <c r="S1565" s="402"/>
      <c r="T1565" s="402"/>
      <c r="U1565" s="402"/>
      <c r="V1565" s="402"/>
      <c r="W1565" s="402"/>
      <c r="X1565" s="402"/>
      <c r="Y1565" s="402"/>
      <c r="Z1565" s="402"/>
      <c r="AA1565" s="405"/>
      <c r="AB1565" s="405"/>
      <c r="AC1565" s="405"/>
      <c r="AD1565" s="405"/>
      <c r="AE1565" s="405"/>
      <c r="AF1565" s="405"/>
      <c r="AG1565" s="405"/>
      <c r="AH1565" s="405"/>
      <c r="AI1565" s="405"/>
      <c r="AJ1565" s="405"/>
      <c r="AK1565" s="405"/>
      <c r="AL1565" s="405"/>
    </row>
    <row r="1566" ht="14.25" customHeight="1">
      <c r="A1566" s="402"/>
      <c r="B1566" s="402"/>
      <c r="C1566" s="402"/>
      <c r="D1566" s="402"/>
      <c r="E1566" s="402"/>
      <c r="F1566" s="402"/>
      <c r="G1566" s="403"/>
      <c r="H1566" s="402"/>
      <c r="I1566" s="402"/>
      <c r="J1566" s="402"/>
      <c r="K1566" s="402"/>
      <c r="L1566" s="402"/>
      <c r="M1566" s="402"/>
      <c r="N1566" s="402"/>
      <c r="O1566" s="402"/>
      <c r="P1566" s="402"/>
      <c r="Q1566" s="402"/>
      <c r="R1566" s="402"/>
      <c r="S1566" s="402"/>
      <c r="T1566" s="402"/>
      <c r="U1566" s="402"/>
      <c r="V1566" s="402"/>
      <c r="W1566" s="402"/>
      <c r="X1566" s="402"/>
      <c r="Y1566" s="402"/>
      <c r="Z1566" s="402"/>
      <c r="AA1566" s="405"/>
      <c r="AB1566" s="405"/>
      <c r="AC1566" s="405"/>
      <c r="AD1566" s="405"/>
      <c r="AE1566" s="405"/>
      <c r="AF1566" s="405"/>
      <c r="AG1566" s="405"/>
      <c r="AH1566" s="405"/>
      <c r="AI1566" s="405"/>
      <c r="AJ1566" s="405"/>
      <c r="AK1566" s="405"/>
      <c r="AL1566" s="405"/>
    </row>
    <row r="1567" ht="14.25" customHeight="1">
      <c r="A1567" s="402"/>
      <c r="B1567" s="402"/>
      <c r="C1567" s="402"/>
      <c r="D1567" s="402"/>
      <c r="E1567" s="402"/>
      <c r="F1567" s="402"/>
      <c r="G1567" s="403"/>
      <c r="H1567" s="402"/>
      <c r="I1567" s="402"/>
      <c r="J1567" s="402"/>
      <c r="K1567" s="402"/>
      <c r="L1567" s="402"/>
      <c r="M1567" s="402"/>
      <c r="N1567" s="402"/>
      <c r="O1567" s="402"/>
      <c r="P1567" s="402"/>
      <c r="Q1567" s="402"/>
      <c r="R1567" s="402"/>
      <c r="S1567" s="402"/>
      <c r="T1567" s="402"/>
      <c r="U1567" s="402"/>
      <c r="V1567" s="402"/>
      <c r="W1567" s="402"/>
      <c r="X1567" s="402"/>
      <c r="Y1567" s="402"/>
      <c r="Z1567" s="402"/>
      <c r="AA1567" s="405"/>
      <c r="AB1567" s="405"/>
      <c r="AC1567" s="405"/>
      <c r="AD1567" s="405"/>
      <c r="AE1567" s="405"/>
      <c r="AF1567" s="405"/>
      <c r="AG1567" s="405"/>
      <c r="AH1567" s="405"/>
      <c r="AI1567" s="405"/>
      <c r="AJ1567" s="405"/>
      <c r="AK1567" s="405"/>
      <c r="AL1567" s="405"/>
    </row>
    <row r="1568" ht="14.25" customHeight="1">
      <c r="A1568" s="402"/>
      <c r="B1568" s="402"/>
      <c r="C1568" s="402"/>
      <c r="D1568" s="402"/>
      <c r="E1568" s="402"/>
      <c r="F1568" s="402"/>
      <c r="G1568" s="403"/>
      <c r="H1568" s="402"/>
      <c r="I1568" s="402"/>
      <c r="J1568" s="402"/>
      <c r="K1568" s="402"/>
      <c r="L1568" s="402"/>
      <c r="M1568" s="402"/>
      <c r="N1568" s="402"/>
      <c r="O1568" s="402"/>
      <c r="P1568" s="402"/>
      <c r="Q1568" s="402"/>
      <c r="R1568" s="402"/>
      <c r="S1568" s="402"/>
      <c r="T1568" s="402"/>
      <c r="U1568" s="402"/>
      <c r="V1568" s="402"/>
      <c r="W1568" s="402"/>
      <c r="X1568" s="402"/>
      <c r="Y1568" s="402"/>
      <c r="Z1568" s="402"/>
      <c r="AA1568" s="405"/>
      <c r="AB1568" s="405"/>
      <c r="AC1568" s="405"/>
      <c r="AD1568" s="405"/>
      <c r="AE1568" s="405"/>
      <c r="AF1568" s="405"/>
      <c r="AG1568" s="405"/>
      <c r="AH1568" s="405"/>
      <c r="AI1568" s="405"/>
      <c r="AJ1568" s="405"/>
      <c r="AK1568" s="405"/>
      <c r="AL1568" s="405"/>
    </row>
    <row r="1569" ht="14.25" customHeight="1">
      <c r="A1569" s="402"/>
      <c r="B1569" s="402"/>
      <c r="C1569" s="402"/>
      <c r="D1569" s="402"/>
      <c r="E1569" s="402"/>
      <c r="F1569" s="402"/>
      <c r="G1569" s="403"/>
      <c r="H1569" s="402"/>
      <c r="I1569" s="402"/>
      <c r="J1569" s="402"/>
      <c r="K1569" s="402"/>
      <c r="L1569" s="402"/>
      <c r="M1569" s="402"/>
      <c r="N1569" s="402"/>
      <c r="O1569" s="402"/>
      <c r="P1569" s="402"/>
      <c r="Q1569" s="402"/>
      <c r="R1569" s="402"/>
      <c r="S1569" s="402"/>
      <c r="T1569" s="402"/>
      <c r="U1569" s="402"/>
      <c r="V1569" s="402"/>
      <c r="W1569" s="402"/>
      <c r="X1569" s="402"/>
      <c r="Y1569" s="402"/>
      <c r="Z1569" s="402"/>
      <c r="AA1569" s="405"/>
      <c r="AB1569" s="405"/>
      <c r="AC1569" s="405"/>
      <c r="AD1569" s="405"/>
      <c r="AE1569" s="405"/>
      <c r="AF1569" s="405"/>
      <c r="AG1569" s="405"/>
      <c r="AH1569" s="405"/>
      <c r="AI1569" s="405"/>
      <c r="AJ1569" s="405"/>
      <c r="AK1569" s="405"/>
      <c r="AL1569" s="405"/>
    </row>
    <row r="1570" ht="14.25" customHeight="1">
      <c r="A1570" s="402"/>
      <c r="B1570" s="402"/>
      <c r="C1570" s="402"/>
      <c r="D1570" s="402"/>
      <c r="E1570" s="402"/>
      <c r="F1570" s="402"/>
      <c r="G1570" s="403"/>
      <c r="H1570" s="402"/>
      <c r="I1570" s="402"/>
      <c r="J1570" s="402"/>
      <c r="K1570" s="402"/>
      <c r="L1570" s="402"/>
      <c r="M1570" s="402"/>
      <c r="N1570" s="402"/>
      <c r="O1570" s="402"/>
      <c r="P1570" s="402"/>
      <c r="Q1570" s="402"/>
      <c r="R1570" s="402"/>
      <c r="S1570" s="402"/>
      <c r="T1570" s="402"/>
      <c r="U1570" s="402"/>
      <c r="V1570" s="402"/>
      <c r="W1570" s="402"/>
      <c r="X1570" s="402"/>
      <c r="Y1570" s="402"/>
      <c r="Z1570" s="402"/>
      <c r="AA1570" s="405"/>
      <c r="AB1570" s="405"/>
      <c r="AC1570" s="405"/>
      <c r="AD1570" s="405"/>
      <c r="AE1570" s="405"/>
      <c r="AF1570" s="405"/>
      <c r="AG1570" s="405"/>
      <c r="AH1570" s="405"/>
      <c r="AI1570" s="405"/>
      <c r="AJ1570" s="405"/>
      <c r="AK1570" s="405"/>
      <c r="AL1570" s="405"/>
    </row>
    <row r="1571" ht="14.25" customHeight="1">
      <c r="A1571" s="402"/>
      <c r="B1571" s="402"/>
      <c r="C1571" s="402"/>
      <c r="D1571" s="402"/>
      <c r="E1571" s="402"/>
      <c r="F1571" s="402"/>
      <c r="G1571" s="403"/>
      <c r="H1571" s="402"/>
      <c r="I1571" s="402"/>
      <c r="J1571" s="402"/>
      <c r="K1571" s="402"/>
      <c r="L1571" s="402"/>
      <c r="M1571" s="402"/>
      <c r="N1571" s="402"/>
      <c r="O1571" s="402"/>
      <c r="P1571" s="402"/>
      <c r="Q1571" s="402"/>
      <c r="R1571" s="402"/>
      <c r="S1571" s="402"/>
      <c r="T1571" s="402"/>
      <c r="U1571" s="402"/>
      <c r="V1571" s="402"/>
      <c r="W1571" s="402"/>
      <c r="X1571" s="402"/>
      <c r="Y1571" s="402"/>
      <c r="Z1571" s="402"/>
      <c r="AA1571" s="405"/>
      <c r="AB1571" s="405"/>
      <c r="AC1571" s="405"/>
      <c r="AD1571" s="405"/>
      <c r="AE1571" s="405"/>
      <c r="AF1571" s="405"/>
      <c r="AG1571" s="405"/>
      <c r="AH1571" s="405"/>
      <c r="AI1571" s="405"/>
      <c r="AJ1571" s="405"/>
      <c r="AK1571" s="405"/>
      <c r="AL1571" s="405"/>
    </row>
    <row r="1572" ht="14.25" customHeight="1">
      <c r="A1572" s="402"/>
      <c r="B1572" s="402"/>
      <c r="C1572" s="402"/>
      <c r="D1572" s="402"/>
      <c r="E1572" s="402"/>
      <c r="F1572" s="402"/>
      <c r="G1572" s="403"/>
      <c r="H1572" s="402"/>
      <c r="I1572" s="402"/>
      <c r="J1572" s="402"/>
      <c r="K1572" s="402"/>
      <c r="L1572" s="402"/>
      <c r="M1572" s="402"/>
      <c r="N1572" s="402"/>
      <c r="O1572" s="402"/>
      <c r="P1572" s="402"/>
      <c r="Q1572" s="402"/>
      <c r="R1572" s="402"/>
      <c r="S1572" s="402"/>
      <c r="T1572" s="402"/>
      <c r="U1572" s="402"/>
      <c r="V1572" s="402"/>
      <c r="W1572" s="402"/>
      <c r="X1572" s="402"/>
      <c r="Y1572" s="402"/>
      <c r="Z1572" s="402"/>
      <c r="AA1572" s="405"/>
      <c r="AB1572" s="405"/>
      <c r="AC1572" s="405"/>
      <c r="AD1572" s="405"/>
      <c r="AE1572" s="405"/>
      <c r="AF1572" s="405"/>
      <c r="AG1572" s="405"/>
      <c r="AH1572" s="405"/>
      <c r="AI1572" s="405"/>
      <c r="AJ1572" s="405"/>
      <c r="AK1572" s="405"/>
      <c r="AL1572" s="405"/>
    </row>
    <row r="1573" ht="14.25" customHeight="1">
      <c r="A1573" s="402"/>
      <c r="B1573" s="402"/>
      <c r="C1573" s="402"/>
      <c r="D1573" s="402"/>
      <c r="E1573" s="402"/>
      <c r="F1573" s="402"/>
      <c r="G1573" s="403"/>
      <c r="H1573" s="402"/>
      <c r="I1573" s="402"/>
      <c r="J1573" s="402"/>
      <c r="K1573" s="402"/>
      <c r="L1573" s="402"/>
      <c r="M1573" s="402"/>
      <c r="N1573" s="402"/>
      <c r="O1573" s="402"/>
      <c r="P1573" s="402"/>
      <c r="Q1573" s="402"/>
      <c r="R1573" s="402"/>
      <c r="S1573" s="402"/>
      <c r="T1573" s="402"/>
      <c r="U1573" s="402"/>
      <c r="V1573" s="402"/>
      <c r="W1573" s="402"/>
      <c r="X1573" s="402"/>
      <c r="Y1573" s="402"/>
      <c r="Z1573" s="402"/>
      <c r="AA1573" s="405"/>
      <c r="AB1573" s="405"/>
      <c r="AC1573" s="405"/>
      <c r="AD1573" s="405"/>
      <c r="AE1573" s="405"/>
      <c r="AF1573" s="405"/>
      <c r="AG1573" s="405"/>
      <c r="AH1573" s="405"/>
      <c r="AI1573" s="405"/>
      <c r="AJ1573" s="405"/>
      <c r="AK1573" s="405"/>
      <c r="AL1573" s="405"/>
    </row>
    <row r="1574" ht="14.25" customHeight="1">
      <c r="A1574" s="402"/>
      <c r="B1574" s="402"/>
      <c r="C1574" s="402"/>
      <c r="D1574" s="402"/>
      <c r="E1574" s="402"/>
      <c r="F1574" s="402"/>
      <c r="G1574" s="403"/>
      <c r="H1574" s="402"/>
      <c r="I1574" s="402"/>
      <c r="J1574" s="402"/>
      <c r="K1574" s="402"/>
      <c r="L1574" s="402"/>
      <c r="M1574" s="402"/>
      <c r="N1574" s="402"/>
      <c r="O1574" s="402"/>
      <c r="P1574" s="402"/>
      <c r="Q1574" s="402"/>
      <c r="R1574" s="402"/>
      <c r="S1574" s="402"/>
      <c r="T1574" s="402"/>
      <c r="U1574" s="402"/>
      <c r="V1574" s="402"/>
      <c r="W1574" s="402"/>
      <c r="X1574" s="402"/>
      <c r="Y1574" s="402"/>
      <c r="Z1574" s="402"/>
      <c r="AA1574" s="405"/>
      <c r="AB1574" s="405"/>
      <c r="AC1574" s="405"/>
      <c r="AD1574" s="405"/>
      <c r="AE1574" s="405"/>
      <c r="AF1574" s="405"/>
      <c r="AG1574" s="405"/>
      <c r="AH1574" s="405"/>
      <c r="AI1574" s="405"/>
      <c r="AJ1574" s="405"/>
      <c r="AK1574" s="405"/>
      <c r="AL1574" s="405"/>
    </row>
    <row r="1575" ht="14.25" customHeight="1">
      <c r="A1575" s="402"/>
      <c r="B1575" s="402"/>
      <c r="C1575" s="402"/>
      <c r="D1575" s="402"/>
      <c r="E1575" s="402"/>
      <c r="F1575" s="402"/>
      <c r="G1575" s="403"/>
      <c r="H1575" s="402"/>
      <c r="I1575" s="402"/>
      <c r="J1575" s="402"/>
      <c r="K1575" s="402"/>
      <c r="L1575" s="402"/>
      <c r="M1575" s="402"/>
      <c r="N1575" s="402"/>
      <c r="O1575" s="402"/>
      <c r="P1575" s="402"/>
      <c r="Q1575" s="402"/>
      <c r="R1575" s="402"/>
      <c r="S1575" s="402"/>
      <c r="T1575" s="402"/>
      <c r="U1575" s="402"/>
      <c r="V1575" s="402"/>
      <c r="W1575" s="402"/>
      <c r="X1575" s="402"/>
      <c r="Y1575" s="402"/>
      <c r="Z1575" s="402"/>
      <c r="AA1575" s="405"/>
      <c r="AB1575" s="405"/>
      <c r="AC1575" s="405"/>
      <c r="AD1575" s="405"/>
      <c r="AE1575" s="405"/>
      <c r="AF1575" s="405"/>
      <c r="AG1575" s="405"/>
      <c r="AH1575" s="405"/>
      <c r="AI1575" s="405"/>
      <c r="AJ1575" s="405"/>
      <c r="AK1575" s="405"/>
      <c r="AL1575" s="405"/>
    </row>
    <row r="1576" ht="14.25" customHeight="1">
      <c r="A1576" s="402"/>
      <c r="B1576" s="402"/>
      <c r="C1576" s="402"/>
      <c r="D1576" s="402"/>
      <c r="E1576" s="402"/>
      <c r="F1576" s="402"/>
      <c r="G1576" s="403"/>
      <c r="H1576" s="402"/>
      <c r="I1576" s="402"/>
      <c r="J1576" s="402"/>
      <c r="K1576" s="402"/>
      <c r="L1576" s="402"/>
      <c r="M1576" s="402"/>
      <c r="N1576" s="402"/>
      <c r="O1576" s="402"/>
      <c r="P1576" s="402"/>
      <c r="Q1576" s="402"/>
      <c r="R1576" s="402"/>
      <c r="S1576" s="402"/>
      <c r="T1576" s="402"/>
      <c r="U1576" s="402"/>
      <c r="V1576" s="402"/>
      <c r="W1576" s="402"/>
      <c r="X1576" s="402"/>
      <c r="Y1576" s="402"/>
      <c r="Z1576" s="402"/>
      <c r="AA1576" s="405"/>
      <c r="AB1576" s="405"/>
      <c r="AC1576" s="405"/>
      <c r="AD1576" s="405"/>
      <c r="AE1576" s="405"/>
      <c r="AF1576" s="405"/>
      <c r="AG1576" s="405"/>
      <c r="AH1576" s="405"/>
      <c r="AI1576" s="405"/>
      <c r="AJ1576" s="405"/>
      <c r="AK1576" s="405"/>
      <c r="AL1576" s="405"/>
    </row>
    <row r="1577" ht="14.25" customHeight="1">
      <c r="A1577" s="402"/>
      <c r="B1577" s="402"/>
      <c r="C1577" s="402"/>
      <c r="D1577" s="402"/>
      <c r="E1577" s="402"/>
      <c r="F1577" s="402"/>
      <c r="G1577" s="403"/>
      <c r="H1577" s="402"/>
      <c r="I1577" s="402"/>
      <c r="J1577" s="402"/>
      <c r="K1577" s="402"/>
      <c r="L1577" s="402"/>
      <c r="M1577" s="402"/>
      <c r="N1577" s="402"/>
      <c r="O1577" s="402"/>
      <c r="P1577" s="402"/>
      <c r="Q1577" s="402"/>
      <c r="R1577" s="402"/>
      <c r="S1577" s="402"/>
      <c r="T1577" s="402"/>
      <c r="U1577" s="402"/>
      <c r="V1577" s="402"/>
      <c r="W1577" s="402"/>
      <c r="X1577" s="402"/>
      <c r="Y1577" s="402"/>
      <c r="Z1577" s="402"/>
      <c r="AA1577" s="405"/>
      <c r="AB1577" s="405"/>
      <c r="AC1577" s="405"/>
      <c r="AD1577" s="405"/>
      <c r="AE1577" s="405"/>
      <c r="AF1577" s="405"/>
      <c r="AG1577" s="405"/>
      <c r="AH1577" s="405"/>
      <c r="AI1577" s="405"/>
      <c r="AJ1577" s="405"/>
      <c r="AK1577" s="405"/>
      <c r="AL1577" s="405"/>
    </row>
    <row r="1578" ht="14.25" customHeight="1">
      <c r="A1578" s="402"/>
      <c r="B1578" s="402"/>
      <c r="C1578" s="402"/>
      <c r="D1578" s="402"/>
      <c r="E1578" s="402"/>
      <c r="F1578" s="402"/>
      <c r="G1578" s="403"/>
      <c r="H1578" s="402"/>
      <c r="I1578" s="402"/>
      <c r="J1578" s="402"/>
      <c r="K1578" s="402"/>
      <c r="L1578" s="402"/>
      <c r="M1578" s="402"/>
      <c r="N1578" s="402"/>
      <c r="O1578" s="402"/>
      <c r="P1578" s="402"/>
      <c r="Q1578" s="402"/>
      <c r="R1578" s="402"/>
      <c r="S1578" s="402"/>
      <c r="T1578" s="402"/>
      <c r="U1578" s="402"/>
      <c r="V1578" s="402"/>
      <c r="W1578" s="402"/>
      <c r="X1578" s="402"/>
      <c r="Y1578" s="402"/>
      <c r="Z1578" s="402"/>
      <c r="AA1578" s="405"/>
      <c r="AB1578" s="405"/>
      <c r="AC1578" s="405"/>
      <c r="AD1578" s="405"/>
      <c r="AE1578" s="405"/>
      <c r="AF1578" s="405"/>
      <c r="AG1578" s="405"/>
      <c r="AH1578" s="405"/>
      <c r="AI1578" s="405"/>
      <c r="AJ1578" s="405"/>
      <c r="AK1578" s="405"/>
      <c r="AL1578" s="405"/>
    </row>
    <row r="1579" ht="14.25" customHeight="1">
      <c r="A1579" s="402"/>
      <c r="B1579" s="402"/>
      <c r="C1579" s="402"/>
      <c r="D1579" s="402"/>
      <c r="E1579" s="402"/>
      <c r="F1579" s="402"/>
      <c r="G1579" s="403"/>
      <c r="H1579" s="402"/>
      <c r="I1579" s="402"/>
      <c r="J1579" s="402"/>
      <c r="K1579" s="402"/>
      <c r="L1579" s="402"/>
      <c r="M1579" s="402"/>
      <c r="N1579" s="402"/>
      <c r="O1579" s="402"/>
      <c r="P1579" s="402"/>
      <c r="Q1579" s="402"/>
      <c r="R1579" s="402"/>
      <c r="S1579" s="402"/>
      <c r="T1579" s="402"/>
      <c r="U1579" s="402"/>
      <c r="V1579" s="402"/>
      <c r="W1579" s="402"/>
      <c r="X1579" s="402"/>
      <c r="Y1579" s="402"/>
      <c r="Z1579" s="402"/>
      <c r="AA1579" s="405"/>
      <c r="AB1579" s="405"/>
      <c r="AC1579" s="405"/>
      <c r="AD1579" s="405"/>
      <c r="AE1579" s="405"/>
      <c r="AF1579" s="405"/>
      <c r="AG1579" s="405"/>
      <c r="AH1579" s="405"/>
      <c r="AI1579" s="405"/>
      <c r="AJ1579" s="405"/>
      <c r="AK1579" s="405"/>
      <c r="AL1579" s="405"/>
    </row>
    <row r="1580" ht="14.25" customHeight="1">
      <c r="A1580" s="402"/>
      <c r="B1580" s="402"/>
      <c r="C1580" s="402"/>
      <c r="D1580" s="402"/>
      <c r="E1580" s="402"/>
      <c r="F1580" s="402"/>
      <c r="G1580" s="403"/>
      <c r="H1580" s="402"/>
      <c r="I1580" s="402"/>
      <c r="J1580" s="402"/>
      <c r="K1580" s="402"/>
      <c r="L1580" s="402"/>
      <c r="M1580" s="402"/>
      <c r="N1580" s="402"/>
      <c r="O1580" s="402"/>
      <c r="P1580" s="402"/>
      <c r="Q1580" s="402"/>
      <c r="R1580" s="402"/>
      <c r="S1580" s="402"/>
      <c r="T1580" s="402"/>
      <c r="U1580" s="402"/>
      <c r="V1580" s="402"/>
      <c r="W1580" s="402"/>
      <c r="X1580" s="402"/>
      <c r="Y1580" s="402"/>
      <c r="Z1580" s="402"/>
      <c r="AA1580" s="405"/>
      <c r="AB1580" s="405"/>
      <c r="AC1580" s="405"/>
      <c r="AD1580" s="405"/>
      <c r="AE1580" s="405"/>
      <c r="AF1580" s="405"/>
      <c r="AG1580" s="405"/>
      <c r="AH1580" s="405"/>
      <c r="AI1580" s="405"/>
      <c r="AJ1580" s="405"/>
      <c r="AK1580" s="405"/>
      <c r="AL1580" s="405"/>
    </row>
    <row r="1581" ht="14.25" customHeight="1">
      <c r="A1581" s="402"/>
      <c r="B1581" s="402"/>
      <c r="C1581" s="402"/>
      <c r="D1581" s="402"/>
      <c r="E1581" s="402"/>
      <c r="F1581" s="402"/>
      <c r="G1581" s="403"/>
      <c r="H1581" s="402"/>
      <c r="I1581" s="402"/>
      <c r="J1581" s="402"/>
      <c r="K1581" s="402"/>
      <c r="L1581" s="402"/>
      <c r="M1581" s="402"/>
      <c r="N1581" s="402"/>
      <c r="O1581" s="402"/>
      <c r="P1581" s="402"/>
      <c r="Q1581" s="402"/>
      <c r="R1581" s="402"/>
      <c r="S1581" s="402"/>
      <c r="T1581" s="402"/>
      <c r="U1581" s="402"/>
      <c r="V1581" s="402"/>
      <c r="W1581" s="402"/>
      <c r="X1581" s="402"/>
      <c r="Y1581" s="402"/>
      <c r="Z1581" s="402"/>
      <c r="AA1581" s="405"/>
      <c r="AB1581" s="405"/>
      <c r="AC1581" s="405"/>
      <c r="AD1581" s="405"/>
      <c r="AE1581" s="405"/>
      <c r="AF1581" s="405"/>
      <c r="AG1581" s="405"/>
      <c r="AH1581" s="405"/>
      <c r="AI1581" s="405"/>
      <c r="AJ1581" s="405"/>
      <c r="AK1581" s="405"/>
      <c r="AL1581" s="405"/>
    </row>
    <row r="1582" ht="14.25" customHeight="1">
      <c r="A1582" s="402"/>
      <c r="B1582" s="402"/>
      <c r="C1582" s="402"/>
      <c r="D1582" s="402"/>
      <c r="E1582" s="402"/>
      <c r="F1582" s="402"/>
      <c r="G1582" s="403"/>
      <c r="H1582" s="402"/>
      <c r="I1582" s="402"/>
      <c r="J1582" s="402"/>
      <c r="K1582" s="402"/>
      <c r="L1582" s="402"/>
      <c r="M1582" s="402"/>
      <c r="N1582" s="402"/>
      <c r="O1582" s="402"/>
      <c r="P1582" s="402"/>
      <c r="Q1582" s="402"/>
      <c r="R1582" s="402"/>
      <c r="S1582" s="402"/>
      <c r="T1582" s="402"/>
      <c r="U1582" s="402"/>
      <c r="V1582" s="402"/>
      <c r="W1582" s="402"/>
      <c r="X1582" s="402"/>
      <c r="Y1582" s="402"/>
      <c r="Z1582" s="402"/>
      <c r="AA1582" s="405"/>
      <c r="AB1582" s="405"/>
      <c r="AC1582" s="405"/>
      <c r="AD1582" s="405"/>
      <c r="AE1582" s="405"/>
      <c r="AF1582" s="405"/>
      <c r="AG1582" s="405"/>
      <c r="AH1582" s="405"/>
      <c r="AI1582" s="405"/>
      <c r="AJ1582" s="405"/>
      <c r="AK1582" s="405"/>
      <c r="AL1582" s="405"/>
    </row>
    <row r="1583" ht="14.25" customHeight="1">
      <c r="A1583" s="402"/>
      <c r="B1583" s="402"/>
      <c r="C1583" s="402"/>
      <c r="D1583" s="402"/>
      <c r="E1583" s="402"/>
      <c r="F1583" s="402"/>
      <c r="G1583" s="403"/>
      <c r="H1583" s="402"/>
      <c r="I1583" s="402"/>
      <c r="J1583" s="402"/>
      <c r="K1583" s="402"/>
      <c r="L1583" s="402"/>
      <c r="M1583" s="402"/>
      <c r="N1583" s="402"/>
      <c r="O1583" s="402"/>
      <c r="P1583" s="402"/>
      <c r="Q1583" s="402"/>
      <c r="R1583" s="402"/>
      <c r="S1583" s="402"/>
      <c r="T1583" s="402"/>
      <c r="U1583" s="402"/>
      <c r="V1583" s="402"/>
      <c r="W1583" s="402"/>
      <c r="X1583" s="402"/>
      <c r="Y1583" s="402"/>
      <c r="Z1583" s="402"/>
      <c r="AA1583" s="405"/>
      <c r="AB1583" s="405"/>
      <c r="AC1583" s="405"/>
      <c r="AD1583" s="405"/>
      <c r="AE1583" s="405"/>
      <c r="AF1583" s="405"/>
      <c r="AG1583" s="405"/>
      <c r="AH1583" s="405"/>
      <c r="AI1583" s="405"/>
      <c r="AJ1583" s="405"/>
      <c r="AK1583" s="405"/>
      <c r="AL1583" s="405"/>
    </row>
    <row r="1584" ht="14.25" customHeight="1">
      <c r="A1584" s="402"/>
      <c r="B1584" s="402"/>
      <c r="C1584" s="402"/>
      <c r="D1584" s="402"/>
      <c r="E1584" s="402"/>
      <c r="F1584" s="402"/>
      <c r="G1584" s="403"/>
      <c r="H1584" s="402"/>
      <c r="I1584" s="402"/>
      <c r="J1584" s="402"/>
      <c r="K1584" s="402"/>
      <c r="L1584" s="402"/>
      <c r="M1584" s="402"/>
      <c r="N1584" s="402"/>
      <c r="O1584" s="402"/>
      <c r="P1584" s="402"/>
      <c r="Q1584" s="402"/>
      <c r="R1584" s="402"/>
      <c r="S1584" s="402"/>
      <c r="T1584" s="402"/>
      <c r="U1584" s="402"/>
      <c r="V1584" s="402"/>
      <c r="W1584" s="402"/>
      <c r="X1584" s="402"/>
      <c r="Y1584" s="402"/>
      <c r="Z1584" s="402"/>
      <c r="AA1584" s="405"/>
      <c r="AB1584" s="405"/>
      <c r="AC1584" s="405"/>
      <c r="AD1584" s="405"/>
      <c r="AE1584" s="405"/>
      <c r="AF1584" s="405"/>
      <c r="AG1584" s="405"/>
      <c r="AH1584" s="405"/>
      <c r="AI1584" s="405"/>
      <c r="AJ1584" s="405"/>
      <c r="AK1584" s="405"/>
      <c r="AL1584" s="405"/>
    </row>
    <row r="1585" ht="14.25" customHeight="1">
      <c r="A1585" s="402"/>
      <c r="B1585" s="402"/>
      <c r="C1585" s="402"/>
      <c r="D1585" s="402"/>
      <c r="E1585" s="402"/>
      <c r="F1585" s="402"/>
      <c r="G1585" s="403"/>
      <c r="H1585" s="402"/>
      <c r="I1585" s="402"/>
      <c r="J1585" s="402"/>
      <c r="K1585" s="402"/>
      <c r="L1585" s="402"/>
      <c r="M1585" s="402"/>
      <c r="N1585" s="402"/>
      <c r="O1585" s="402"/>
      <c r="P1585" s="402"/>
      <c r="Q1585" s="402"/>
      <c r="R1585" s="402"/>
      <c r="S1585" s="402"/>
      <c r="T1585" s="402"/>
      <c r="U1585" s="402"/>
      <c r="V1585" s="402"/>
      <c r="W1585" s="402"/>
      <c r="X1585" s="402"/>
      <c r="Y1585" s="402"/>
      <c r="Z1585" s="402"/>
      <c r="AA1585" s="405"/>
      <c r="AB1585" s="405"/>
      <c r="AC1585" s="405"/>
      <c r="AD1585" s="405"/>
      <c r="AE1585" s="405"/>
      <c r="AF1585" s="405"/>
      <c r="AG1585" s="405"/>
      <c r="AH1585" s="405"/>
      <c r="AI1585" s="405"/>
      <c r="AJ1585" s="405"/>
      <c r="AK1585" s="405"/>
      <c r="AL1585" s="405"/>
    </row>
    <row r="1586" ht="14.25" customHeight="1">
      <c r="A1586" s="402"/>
      <c r="B1586" s="402"/>
      <c r="C1586" s="402"/>
      <c r="D1586" s="402"/>
      <c r="E1586" s="402"/>
      <c r="F1586" s="402"/>
      <c r="G1586" s="403"/>
      <c r="H1586" s="402"/>
      <c r="I1586" s="402"/>
      <c r="J1586" s="402"/>
      <c r="K1586" s="402"/>
      <c r="L1586" s="402"/>
      <c r="M1586" s="402"/>
      <c r="N1586" s="402"/>
      <c r="O1586" s="402"/>
      <c r="P1586" s="402"/>
      <c r="Q1586" s="402"/>
      <c r="R1586" s="402"/>
      <c r="S1586" s="402"/>
      <c r="T1586" s="402"/>
      <c r="U1586" s="402"/>
      <c r="V1586" s="402"/>
      <c r="W1586" s="402"/>
      <c r="X1586" s="402"/>
      <c r="Y1586" s="402"/>
      <c r="Z1586" s="402"/>
      <c r="AA1586" s="405"/>
      <c r="AB1586" s="405"/>
      <c r="AC1586" s="405"/>
      <c r="AD1586" s="405"/>
      <c r="AE1586" s="405"/>
      <c r="AF1586" s="405"/>
      <c r="AG1586" s="405"/>
      <c r="AH1586" s="405"/>
      <c r="AI1586" s="405"/>
      <c r="AJ1586" s="405"/>
      <c r="AK1586" s="405"/>
      <c r="AL1586" s="405"/>
    </row>
    <row r="1587" ht="14.25" customHeight="1">
      <c r="A1587" s="402"/>
      <c r="B1587" s="402"/>
      <c r="C1587" s="402"/>
      <c r="D1587" s="402"/>
      <c r="E1587" s="402"/>
      <c r="F1587" s="402"/>
      <c r="G1587" s="403"/>
      <c r="H1587" s="402"/>
      <c r="I1587" s="402"/>
      <c r="J1587" s="402"/>
      <c r="K1587" s="402"/>
      <c r="L1587" s="402"/>
      <c r="M1587" s="402"/>
      <c r="N1587" s="402"/>
      <c r="O1587" s="402"/>
      <c r="P1587" s="402"/>
      <c r="Q1587" s="402"/>
      <c r="R1587" s="402"/>
      <c r="S1587" s="402"/>
      <c r="T1587" s="402"/>
      <c r="U1587" s="402"/>
      <c r="V1587" s="402"/>
      <c r="W1587" s="402"/>
      <c r="X1587" s="402"/>
      <c r="Y1587" s="402"/>
      <c r="Z1587" s="402"/>
      <c r="AA1587" s="405"/>
      <c r="AB1587" s="405"/>
      <c r="AC1587" s="405"/>
      <c r="AD1587" s="405"/>
      <c r="AE1587" s="405"/>
      <c r="AF1587" s="405"/>
      <c r="AG1587" s="405"/>
      <c r="AH1587" s="405"/>
      <c r="AI1587" s="405"/>
      <c r="AJ1587" s="405"/>
      <c r="AK1587" s="405"/>
      <c r="AL1587" s="405"/>
    </row>
    <row r="1588" ht="14.25" customHeight="1">
      <c r="A1588" s="402"/>
      <c r="B1588" s="402"/>
      <c r="C1588" s="402"/>
      <c r="D1588" s="402"/>
      <c r="E1588" s="402"/>
      <c r="F1588" s="402"/>
      <c r="G1588" s="403"/>
      <c r="H1588" s="402"/>
      <c r="I1588" s="402"/>
      <c r="J1588" s="402"/>
      <c r="K1588" s="402"/>
      <c r="L1588" s="402"/>
      <c r="M1588" s="402"/>
      <c r="N1588" s="402"/>
      <c r="O1588" s="402"/>
      <c r="P1588" s="402"/>
      <c r="Q1588" s="402"/>
      <c r="R1588" s="402"/>
      <c r="S1588" s="402"/>
      <c r="T1588" s="402"/>
      <c r="U1588" s="402"/>
      <c r="V1588" s="402"/>
      <c r="W1588" s="402"/>
      <c r="X1588" s="402"/>
      <c r="Y1588" s="402"/>
      <c r="Z1588" s="402"/>
      <c r="AA1588" s="405"/>
      <c r="AB1588" s="405"/>
      <c r="AC1588" s="405"/>
      <c r="AD1588" s="405"/>
      <c r="AE1588" s="405"/>
      <c r="AF1588" s="405"/>
      <c r="AG1588" s="405"/>
      <c r="AH1588" s="405"/>
      <c r="AI1588" s="405"/>
      <c r="AJ1588" s="405"/>
      <c r="AK1588" s="405"/>
      <c r="AL1588" s="405"/>
    </row>
    <row r="1589" ht="14.25" customHeight="1">
      <c r="A1589" s="402"/>
      <c r="B1589" s="402"/>
      <c r="C1589" s="402"/>
      <c r="D1589" s="402"/>
      <c r="E1589" s="402"/>
      <c r="F1589" s="402"/>
      <c r="G1589" s="403"/>
      <c r="H1589" s="402"/>
      <c r="I1589" s="402"/>
      <c r="J1589" s="402"/>
      <c r="K1589" s="402"/>
      <c r="L1589" s="402"/>
      <c r="M1589" s="402"/>
      <c r="N1589" s="402"/>
      <c r="O1589" s="402"/>
      <c r="P1589" s="402"/>
      <c r="Q1589" s="402"/>
      <c r="R1589" s="402"/>
      <c r="S1589" s="402"/>
      <c r="T1589" s="402"/>
      <c r="U1589" s="402"/>
      <c r="V1589" s="402"/>
      <c r="W1589" s="402"/>
      <c r="X1589" s="402"/>
      <c r="Y1589" s="402"/>
      <c r="Z1589" s="402"/>
      <c r="AA1589" s="405"/>
      <c r="AB1589" s="405"/>
      <c r="AC1589" s="405"/>
      <c r="AD1589" s="405"/>
      <c r="AE1589" s="405"/>
      <c r="AF1589" s="405"/>
      <c r="AG1589" s="405"/>
      <c r="AH1589" s="405"/>
      <c r="AI1589" s="405"/>
      <c r="AJ1589" s="405"/>
      <c r="AK1589" s="405"/>
      <c r="AL1589" s="405"/>
    </row>
    <row r="1590" ht="14.25" customHeight="1">
      <c r="A1590" s="402"/>
      <c r="B1590" s="402"/>
      <c r="C1590" s="402"/>
      <c r="D1590" s="402"/>
      <c r="E1590" s="402"/>
      <c r="F1590" s="402"/>
      <c r="G1590" s="403"/>
      <c r="H1590" s="402"/>
      <c r="I1590" s="402"/>
      <c r="J1590" s="402"/>
      <c r="K1590" s="402"/>
      <c r="L1590" s="402"/>
      <c r="M1590" s="402"/>
      <c r="N1590" s="402"/>
      <c r="O1590" s="402"/>
      <c r="P1590" s="402"/>
      <c r="Q1590" s="402"/>
      <c r="R1590" s="402"/>
      <c r="S1590" s="402"/>
      <c r="T1590" s="402"/>
      <c r="U1590" s="402"/>
      <c r="V1590" s="402"/>
      <c r="W1590" s="402"/>
      <c r="X1590" s="402"/>
      <c r="Y1590" s="402"/>
      <c r="Z1590" s="402"/>
      <c r="AA1590" s="405"/>
      <c r="AB1590" s="405"/>
      <c r="AC1590" s="405"/>
      <c r="AD1590" s="405"/>
      <c r="AE1590" s="405"/>
      <c r="AF1590" s="405"/>
      <c r="AG1590" s="405"/>
      <c r="AH1590" s="405"/>
      <c r="AI1590" s="405"/>
      <c r="AJ1590" s="405"/>
      <c r="AK1590" s="405"/>
      <c r="AL1590" s="405"/>
    </row>
    <row r="1591" ht="14.25" customHeight="1">
      <c r="A1591" s="402"/>
      <c r="B1591" s="402"/>
      <c r="C1591" s="402"/>
      <c r="D1591" s="402"/>
      <c r="E1591" s="402"/>
      <c r="F1591" s="402"/>
      <c r="G1591" s="403"/>
      <c r="H1591" s="402"/>
      <c r="I1591" s="402"/>
      <c r="J1591" s="402"/>
      <c r="K1591" s="402"/>
      <c r="L1591" s="402"/>
      <c r="M1591" s="402"/>
      <c r="N1591" s="402"/>
      <c r="O1591" s="402"/>
      <c r="P1591" s="402"/>
      <c r="Q1591" s="402"/>
      <c r="R1591" s="402"/>
      <c r="S1591" s="402"/>
      <c r="T1591" s="402"/>
      <c r="U1591" s="402"/>
      <c r="V1591" s="402"/>
      <c r="W1591" s="402"/>
      <c r="X1591" s="402"/>
      <c r="Y1591" s="402"/>
      <c r="Z1591" s="402"/>
      <c r="AA1591" s="405"/>
      <c r="AB1591" s="405"/>
      <c r="AC1591" s="405"/>
      <c r="AD1591" s="405"/>
      <c r="AE1591" s="405"/>
      <c r="AF1591" s="405"/>
      <c r="AG1591" s="405"/>
      <c r="AH1591" s="405"/>
      <c r="AI1591" s="405"/>
      <c r="AJ1591" s="405"/>
      <c r="AK1591" s="405"/>
      <c r="AL1591" s="405"/>
    </row>
    <row r="1592" ht="14.25" customHeight="1">
      <c r="A1592" s="402"/>
      <c r="B1592" s="402"/>
      <c r="C1592" s="402"/>
      <c r="D1592" s="402"/>
      <c r="E1592" s="402"/>
      <c r="F1592" s="402"/>
      <c r="G1592" s="403"/>
      <c r="H1592" s="402"/>
      <c r="I1592" s="402"/>
      <c r="J1592" s="402"/>
      <c r="K1592" s="402"/>
      <c r="L1592" s="402"/>
      <c r="M1592" s="402"/>
      <c r="N1592" s="402"/>
      <c r="O1592" s="402"/>
      <c r="P1592" s="402"/>
      <c r="Q1592" s="402"/>
      <c r="R1592" s="402"/>
      <c r="S1592" s="402"/>
      <c r="T1592" s="402"/>
      <c r="U1592" s="402"/>
      <c r="V1592" s="402"/>
      <c r="W1592" s="402"/>
      <c r="X1592" s="402"/>
      <c r="Y1592" s="402"/>
      <c r="Z1592" s="402"/>
      <c r="AA1592" s="405"/>
      <c r="AB1592" s="405"/>
      <c r="AC1592" s="405"/>
      <c r="AD1592" s="405"/>
      <c r="AE1592" s="405"/>
      <c r="AF1592" s="405"/>
      <c r="AG1592" s="405"/>
      <c r="AH1592" s="405"/>
      <c r="AI1592" s="405"/>
      <c r="AJ1592" s="405"/>
      <c r="AK1592" s="405"/>
      <c r="AL1592" s="405"/>
    </row>
    <row r="1593" ht="14.25" customHeight="1">
      <c r="A1593" s="402"/>
      <c r="B1593" s="402"/>
      <c r="C1593" s="402"/>
      <c r="D1593" s="402"/>
      <c r="E1593" s="402"/>
      <c r="F1593" s="402"/>
      <c r="G1593" s="403"/>
      <c r="H1593" s="402"/>
      <c r="I1593" s="402"/>
      <c r="J1593" s="402"/>
      <c r="K1593" s="402"/>
      <c r="L1593" s="402"/>
      <c r="M1593" s="402"/>
      <c r="N1593" s="402"/>
      <c r="O1593" s="402"/>
      <c r="P1593" s="402"/>
      <c r="Q1593" s="402"/>
      <c r="R1593" s="402"/>
      <c r="S1593" s="402"/>
      <c r="T1593" s="402"/>
      <c r="U1593" s="402"/>
      <c r="V1593" s="402"/>
      <c r="W1593" s="402"/>
      <c r="X1593" s="402"/>
      <c r="Y1593" s="402"/>
      <c r="Z1593" s="402"/>
      <c r="AA1593" s="405"/>
      <c r="AB1593" s="405"/>
      <c r="AC1593" s="405"/>
      <c r="AD1593" s="405"/>
      <c r="AE1593" s="405"/>
      <c r="AF1593" s="405"/>
      <c r="AG1593" s="405"/>
      <c r="AH1593" s="405"/>
      <c r="AI1593" s="405"/>
      <c r="AJ1593" s="405"/>
      <c r="AK1593" s="405"/>
      <c r="AL1593" s="405"/>
    </row>
    <row r="1594" ht="14.25" customHeight="1">
      <c r="A1594" s="402"/>
      <c r="B1594" s="402"/>
      <c r="C1594" s="402"/>
      <c r="D1594" s="402"/>
      <c r="E1594" s="402"/>
      <c r="F1594" s="402"/>
      <c r="G1594" s="403"/>
      <c r="H1594" s="402"/>
      <c r="I1594" s="402"/>
      <c r="J1594" s="402"/>
      <c r="K1594" s="402"/>
      <c r="L1594" s="402"/>
      <c r="M1594" s="402"/>
      <c r="N1594" s="402"/>
      <c r="O1594" s="402"/>
      <c r="P1594" s="402"/>
      <c r="Q1594" s="402"/>
      <c r="R1594" s="402"/>
      <c r="S1594" s="402"/>
      <c r="T1594" s="402"/>
      <c r="U1594" s="402"/>
      <c r="V1594" s="402"/>
      <c r="W1594" s="402"/>
      <c r="X1594" s="402"/>
      <c r="Y1594" s="402"/>
      <c r="Z1594" s="402"/>
      <c r="AA1594" s="405"/>
      <c r="AB1594" s="405"/>
      <c r="AC1594" s="405"/>
      <c r="AD1594" s="405"/>
      <c r="AE1594" s="405"/>
      <c r="AF1594" s="405"/>
      <c r="AG1594" s="405"/>
      <c r="AH1594" s="405"/>
      <c r="AI1594" s="405"/>
      <c r="AJ1594" s="405"/>
      <c r="AK1594" s="405"/>
      <c r="AL1594" s="405"/>
    </row>
    <row r="1595" ht="14.25" customHeight="1">
      <c r="A1595" s="402"/>
      <c r="B1595" s="402"/>
      <c r="C1595" s="402"/>
      <c r="D1595" s="402"/>
      <c r="E1595" s="402"/>
      <c r="F1595" s="402"/>
      <c r="G1595" s="403"/>
      <c r="H1595" s="402"/>
      <c r="I1595" s="402"/>
      <c r="J1595" s="402"/>
      <c r="K1595" s="402"/>
      <c r="L1595" s="402"/>
      <c r="M1595" s="402"/>
      <c r="N1595" s="402"/>
      <c r="O1595" s="402"/>
      <c r="P1595" s="402"/>
      <c r="Q1595" s="402"/>
      <c r="R1595" s="402"/>
      <c r="S1595" s="402"/>
      <c r="T1595" s="402"/>
      <c r="U1595" s="402"/>
      <c r="V1595" s="402"/>
      <c r="W1595" s="402"/>
      <c r="X1595" s="402"/>
      <c r="Y1595" s="402"/>
      <c r="Z1595" s="402"/>
      <c r="AA1595" s="405"/>
      <c r="AB1595" s="405"/>
      <c r="AC1595" s="405"/>
      <c r="AD1595" s="405"/>
      <c r="AE1595" s="405"/>
      <c r="AF1595" s="405"/>
      <c r="AG1595" s="405"/>
      <c r="AH1595" s="405"/>
      <c r="AI1595" s="405"/>
      <c r="AJ1595" s="405"/>
      <c r="AK1595" s="405"/>
      <c r="AL1595" s="405"/>
    </row>
    <row r="1596" ht="14.25" customHeight="1">
      <c r="A1596" s="402"/>
      <c r="B1596" s="402"/>
      <c r="C1596" s="402"/>
      <c r="D1596" s="402"/>
      <c r="E1596" s="402"/>
      <c r="F1596" s="402"/>
      <c r="G1596" s="403"/>
      <c r="H1596" s="402"/>
      <c r="I1596" s="402"/>
      <c r="J1596" s="402"/>
      <c r="K1596" s="402"/>
      <c r="L1596" s="402"/>
      <c r="M1596" s="402"/>
      <c r="N1596" s="402"/>
      <c r="O1596" s="402"/>
      <c r="P1596" s="402"/>
      <c r="Q1596" s="402"/>
      <c r="R1596" s="402"/>
      <c r="S1596" s="402"/>
      <c r="T1596" s="402"/>
      <c r="U1596" s="402"/>
      <c r="V1596" s="402"/>
      <c r="W1596" s="402"/>
      <c r="X1596" s="402"/>
      <c r="Y1596" s="402"/>
      <c r="Z1596" s="402"/>
      <c r="AA1596" s="405"/>
      <c r="AB1596" s="405"/>
      <c r="AC1596" s="405"/>
      <c r="AD1596" s="405"/>
      <c r="AE1596" s="405"/>
      <c r="AF1596" s="405"/>
      <c r="AG1596" s="405"/>
      <c r="AH1596" s="405"/>
      <c r="AI1596" s="405"/>
      <c r="AJ1596" s="405"/>
      <c r="AK1596" s="405"/>
      <c r="AL1596" s="405"/>
    </row>
    <row r="1597" ht="14.25" customHeight="1">
      <c r="A1597" s="402"/>
      <c r="B1597" s="402"/>
      <c r="C1597" s="402"/>
      <c r="D1597" s="402"/>
      <c r="E1597" s="402"/>
      <c r="F1597" s="402"/>
      <c r="G1597" s="403"/>
      <c r="H1597" s="402"/>
      <c r="I1597" s="402"/>
      <c r="J1597" s="402"/>
      <c r="K1597" s="402"/>
      <c r="L1597" s="402"/>
      <c r="M1597" s="402"/>
      <c r="N1597" s="402"/>
      <c r="O1597" s="402"/>
      <c r="P1597" s="402"/>
      <c r="Q1597" s="402"/>
      <c r="R1597" s="402"/>
      <c r="S1597" s="402"/>
      <c r="T1597" s="402"/>
      <c r="U1597" s="402"/>
      <c r="V1597" s="402"/>
      <c r="W1597" s="402"/>
      <c r="X1597" s="402"/>
      <c r="Y1597" s="402"/>
      <c r="Z1597" s="402"/>
      <c r="AA1597" s="405"/>
      <c r="AB1597" s="405"/>
      <c r="AC1597" s="405"/>
      <c r="AD1597" s="405"/>
      <c r="AE1597" s="405"/>
      <c r="AF1597" s="405"/>
      <c r="AG1597" s="405"/>
      <c r="AH1597" s="405"/>
      <c r="AI1597" s="405"/>
      <c r="AJ1597" s="405"/>
      <c r="AK1597" s="405"/>
      <c r="AL1597" s="405"/>
    </row>
    <row r="1598" ht="14.25" customHeight="1">
      <c r="A1598" s="402"/>
      <c r="B1598" s="402"/>
      <c r="C1598" s="402"/>
      <c r="D1598" s="402"/>
      <c r="E1598" s="402"/>
      <c r="F1598" s="402"/>
      <c r="G1598" s="403"/>
      <c r="H1598" s="402"/>
      <c r="I1598" s="402"/>
      <c r="J1598" s="402"/>
      <c r="K1598" s="402"/>
      <c r="L1598" s="402"/>
      <c r="M1598" s="402"/>
      <c r="N1598" s="402"/>
      <c r="O1598" s="402"/>
      <c r="P1598" s="402"/>
      <c r="Q1598" s="402"/>
      <c r="R1598" s="402"/>
      <c r="S1598" s="402"/>
      <c r="T1598" s="402"/>
      <c r="U1598" s="402"/>
      <c r="V1598" s="402"/>
      <c r="W1598" s="402"/>
      <c r="X1598" s="402"/>
      <c r="Y1598" s="402"/>
      <c r="Z1598" s="402"/>
      <c r="AA1598" s="405"/>
      <c r="AB1598" s="405"/>
      <c r="AC1598" s="405"/>
      <c r="AD1598" s="405"/>
      <c r="AE1598" s="405"/>
      <c r="AF1598" s="405"/>
      <c r="AG1598" s="405"/>
      <c r="AH1598" s="405"/>
      <c r="AI1598" s="405"/>
      <c r="AJ1598" s="405"/>
      <c r="AK1598" s="405"/>
      <c r="AL1598" s="405"/>
    </row>
    <row r="1599" ht="14.25" customHeight="1">
      <c r="A1599" s="402"/>
      <c r="B1599" s="402"/>
      <c r="C1599" s="402"/>
      <c r="D1599" s="402"/>
      <c r="E1599" s="402"/>
      <c r="F1599" s="402"/>
      <c r="G1599" s="403"/>
      <c r="H1599" s="402"/>
      <c r="I1599" s="402"/>
      <c r="J1599" s="402"/>
      <c r="K1599" s="402"/>
      <c r="L1599" s="402"/>
      <c r="M1599" s="402"/>
      <c r="N1599" s="402"/>
      <c r="O1599" s="402"/>
      <c r="P1599" s="402"/>
      <c r="Q1599" s="402"/>
      <c r="R1599" s="402"/>
      <c r="S1599" s="402"/>
      <c r="T1599" s="402"/>
      <c r="U1599" s="402"/>
      <c r="V1599" s="402"/>
      <c r="W1599" s="402"/>
      <c r="X1599" s="402"/>
      <c r="Y1599" s="402"/>
      <c r="Z1599" s="402"/>
      <c r="AA1599" s="405"/>
      <c r="AB1599" s="405"/>
      <c r="AC1599" s="405"/>
      <c r="AD1599" s="405"/>
      <c r="AE1599" s="405"/>
      <c r="AF1599" s="405"/>
      <c r="AG1599" s="405"/>
      <c r="AH1599" s="405"/>
      <c r="AI1599" s="405"/>
      <c r="AJ1599" s="405"/>
      <c r="AK1599" s="405"/>
      <c r="AL1599" s="405"/>
    </row>
    <row r="1600" ht="14.25" customHeight="1">
      <c r="A1600" s="402"/>
      <c r="B1600" s="402"/>
      <c r="C1600" s="402"/>
      <c r="D1600" s="402"/>
      <c r="E1600" s="402"/>
      <c r="F1600" s="402"/>
      <c r="G1600" s="403"/>
      <c r="H1600" s="402"/>
      <c r="I1600" s="402"/>
      <c r="J1600" s="402"/>
      <c r="K1600" s="402"/>
      <c r="L1600" s="402"/>
      <c r="M1600" s="402"/>
      <c r="N1600" s="402"/>
      <c r="O1600" s="402"/>
      <c r="P1600" s="402"/>
      <c r="Q1600" s="402"/>
      <c r="R1600" s="402"/>
      <c r="S1600" s="402"/>
      <c r="T1600" s="402"/>
      <c r="U1600" s="402"/>
      <c r="V1600" s="402"/>
      <c r="W1600" s="402"/>
      <c r="X1600" s="402"/>
      <c r="Y1600" s="402"/>
      <c r="Z1600" s="402"/>
      <c r="AA1600" s="405"/>
      <c r="AB1600" s="405"/>
      <c r="AC1600" s="405"/>
      <c r="AD1600" s="405"/>
      <c r="AE1600" s="405"/>
      <c r="AF1600" s="405"/>
      <c r="AG1600" s="405"/>
      <c r="AH1600" s="405"/>
      <c r="AI1600" s="405"/>
      <c r="AJ1600" s="405"/>
      <c r="AK1600" s="405"/>
      <c r="AL1600" s="405"/>
    </row>
    <row r="1601" ht="14.25" customHeight="1">
      <c r="A1601" s="402"/>
      <c r="B1601" s="402"/>
      <c r="C1601" s="402"/>
      <c r="D1601" s="402"/>
      <c r="E1601" s="402"/>
      <c r="F1601" s="402"/>
      <c r="G1601" s="403"/>
      <c r="H1601" s="402"/>
      <c r="I1601" s="402"/>
      <c r="J1601" s="402"/>
      <c r="K1601" s="402"/>
      <c r="L1601" s="402"/>
      <c r="M1601" s="402"/>
      <c r="N1601" s="402"/>
      <c r="O1601" s="402"/>
      <c r="P1601" s="402"/>
      <c r="Q1601" s="402"/>
      <c r="R1601" s="402"/>
      <c r="S1601" s="402"/>
      <c r="T1601" s="402"/>
      <c r="U1601" s="402"/>
      <c r="V1601" s="402"/>
      <c r="W1601" s="402"/>
      <c r="X1601" s="402"/>
      <c r="Y1601" s="402"/>
      <c r="Z1601" s="402"/>
      <c r="AA1601" s="405"/>
      <c r="AB1601" s="405"/>
      <c r="AC1601" s="405"/>
      <c r="AD1601" s="405"/>
      <c r="AE1601" s="405"/>
      <c r="AF1601" s="405"/>
      <c r="AG1601" s="405"/>
      <c r="AH1601" s="405"/>
      <c r="AI1601" s="405"/>
      <c r="AJ1601" s="405"/>
      <c r="AK1601" s="405"/>
      <c r="AL1601" s="405"/>
    </row>
    <row r="1602" ht="14.25" customHeight="1">
      <c r="A1602" s="402"/>
      <c r="B1602" s="402"/>
      <c r="C1602" s="402"/>
      <c r="D1602" s="402"/>
      <c r="E1602" s="402"/>
      <c r="F1602" s="402"/>
      <c r="G1602" s="403"/>
      <c r="H1602" s="402"/>
      <c r="I1602" s="402"/>
      <c r="J1602" s="402"/>
      <c r="K1602" s="402"/>
      <c r="L1602" s="402"/>
      <c r="M1602" s="402"/>
      <c r="N1602" s="402"/>
      <c r="O1602" s="402"/>
      <c r="P1602" s="402"/>
      <c r="Q1602" s="402"/>
      <c r="R1602" s="402"/>
      <c r="S1602" s="402"/>
      <c r="T1602" s="402"/>
      <c r="U1602" s="402"/>
      <c r="V1602" s="402"/>
      <c r="W1602" s="402"/>
      <c r="X1602" s="402"/>
      <c r="Y1602" s="402"/>
      <c r="Z1602" s="402"/>
      <c r="AA1602" s="405"/>
      <c r="AB1602" s="405"/>
      <c r="AC1602" s="405"/>
      <c r="AD1602" s="405"/>
      <c r="AE1602" s="405"/>
      <c r="AF1602" s="405"/>
      <c r="AG1602" s="405"/>
      <c r="AH1602" s="405"/>
      <c r="AI1602" s="405"/>
      <c r="AJ1602" s="405"/>
      <c r="AK1602" s="405"/>
      <c r="AL1602" s="405"/>
    </row>
    <row r="1603" ht="14.25" customHeight="1">
      <c r="A1603" s="402"/>
      <c r="B1603" s="402"/>
      <c r="C1603" s="402"/>
      <c r="D1603" s="402"/>
      <c r="E1603" s="402"/>
      <c r="F1603" s="402"/>
      <c r="G1603" s="403"/>
      <c r="H1603" s="402"/>
      <c r="I1603" s="402"/>
      <c r="J1603" s="402"/>
      <c r="K1603" s="402"/>
      <c r="L1603" s="402"/>
      <c r="M1603" s="402"/>
      <c r="N1603" s="402"/>
      <c r="O1603" s="402"/>
      <c r="P1603" s="402"/>
      <c r="Q1603" s="402"/>
      <c r="R1603" s="402"/>
      <c r="S1603" s="402"/>
      <c r="T1603" s="402"/>
      <c r="U1603" s="402"/>
      <c r="V1603" s="402"/>
      <c r="W1603" s="402"/>
      <c r="X1603" s="402"/>
      <c r="Y1603" s="402"/>
      <c r="Z1603" s="402"/>
      <c r="AA1603" s="405"/>
      <c r="AB1603" s="405"/>
      <c r="AC1603" s="405"/>
      <c r="AD1603" s="405"/>
      <c r="AE1603" s="405"/>
      <c r="AF1603" s="405"/>
      <c r="AG1603" s="405"/>
      <c r="AH1603" s="405"/>
      <c r="AI1603" s="405"/>
      <c r="AJ1603" s="405"/>
      <c r="AK1603" s="405"/>
      <c r="AL1603" s="405"/>
    </row>
    <row r="1604" ht="14.25" customHeight="1">
      <c r="A1604" s="402"/>
      <c r="B1604" s="402"/>
      <c r="C1604" s="402"/>
      <c r="D1604" s="402"/>
      <c r="E1604" s="402"/>
      <c r="F1604" s="402"/>
      <c r="G1604" s="403"/>
      <c r="H1604" s="402"/>
      <c r="I1604" s="402"/>
      <c r="J1604" s="402"/>
      <c r="K1604" s="402"/>
      <c r="L1604" s="402"/>
      <c r="M1604" s="402"/>
      <c r="N1604" s="402"/>
      <c r="O1604" s="402"/>
      <c r="P1604" s="402"/>
      <c r="Q1604" s="402"/>
      <c r="R1604" s="402"/>
      <c r="S1604" s="402"/>
      <c r="T1604" s="402"/>
      <c r="U1604" s="402"/>
      <c r="V1604" s="402"/>
      <c r="W1604" s="402"/>
      <c r="X1604" s="402"/>
      <c r="Y1604" s="402"/>
      <c r="Z1604" s="402"/>
      <c r="AA1604" s="405"/>
      <c r="AB1604" s="405"/>
      <c r="AC1604" s="405"/>
      <c r="AD1604" s="405"/>
      <c r="AE1604" s="405"/>
      <c r="AF1604" s="405"/>
      <c r="AG1604" s="405"/>
      <c r="AH1604" s="405"/>
      <c r="AI1604" s="405"/>
      <c r="AJ1604" s="405"/>
      <c r="AK1604" s="405"/>
      <c r="AL1604" s="405"/>
    </row>
    <row r="1605" ht="14.25" customHeight="1">
      <c r="A1605" s="402"/>
      <c r="B1605" s="402"/>
      <c r="C1605" s="402"/>
      <c r="D1605" s="402"/>
      <c r="E1605" s="402"/>
      <c r="F1605" s="402"/>
      <c r="G1605" s="403"/>
      <c r="H1605" s="402"/>
      <c r="I1605" s="402"/>
      <c r="J1605" s="402"/>
      <c r="K1605" s="402"/>
      <c r="L1605" s="402"/>
      <c r="M1605" s="402"/>
      <c r="N1605" s="402"/>
      <c r="O1605" s="402"/>
      <c r="P1605" s="402"/>
      <c r="Q1605" s="402"/>
      <c r="R1605" s="402"/>
      <c r="S1605" s="402"/>
      <c r="T1605" s="402"/>
      <c r="U1605" s="402"/>
      <c r="V1605" s="402"/>
      <c r="W1605" s="402"/>
      <c r="X1605" s="402"/>
      <c r="Y1605" s="402"/>
      <c r="Z1605" s="402"/>
      <c r="AA1605" s="405"/>
      <c r="AB1605" s="405"/>
      <c r="AC1605" s="405"/>
      <c r="AD1605" s="405"/>
      <c r="AE1605" s="405"/>
      <c r="AF1605" s="405"/>
      <c r="AG1605" s="405"/>
      <c r="AH1605" s="405"/>
      <c r="AI1605" s="405"/>
      <c r="AJ1605" s="405"/>
      <c r="AK1605" s="405"/>
      <c r="AL1605" s="405"/>
    </row>
    <row r="1606" ht="14.25" customHeight="1">
      <c r="A1606" s="402"/>
      <c r="B1606" s="402"/>
      <c r="C1606" s="402"/>
      <c r="D1606" s="402"/>
      <c r="E1606" s="402"/>
      <c r="F1606" s="402"/>
      <c r="G1606" s="403"/>
      <c r="H1606" s="402"/>
      <c r="I1606" s="402"/>
      <c r="J1606" s="402"/>
      <c r="K1606" s="402"/>
      <c r="L1606" s="402"/>
      <c r="M1606" s="402"/>
      <c r="N1606" s="402"/>
      <c r="O1606" s="402"/>
      <c r="P1606" s="402"/>
      <c r="Q1606" s="402"/>
      <c r="R1606" s="402"/>
      <c r="S1606" s="402"/>
      <c r="T1606" s="402"/>
      <c r="U1606" s="402"/>
      <c r="V1606" s="402"/>
      <c r="W1606" s="402"/>
      <c r="X1606" s="402"/>
      <c r="Y1606" s="402"/>
      <c r="Z1606" s="402"/>
      <c r="AA1606" s="405"/>
      <c r="AB1606" s="405"/>
      <c r="AC1606" s="405"/>
      <c r="AD1606" s="405"/>
      <c r="AE1606" s="405"/>
      <c r="AF1606" s="405"/>
      <c r="AG1606" s="405"/>
      <c r="AH1606" s="405"/>
      <c r="AI1606" s="405"/>
      <c r="AJ1606" s="405"/>
      <c r="AK1606" s="405"/>
      <c r="AL1606" s="405"/>
    </row>
    <row r="1607" ht="14.25" customHeight="1">
      <c r="A1607" s="402"/>
      <c r="B1607" s="402"/>
      <c r="C1607" s="402"/>
      <c r="D1607" s="402"/>
      <c r="E1607" s="402"/>
      <c r="F1607" s="402"/>
      <c r="G1607" s="403"/>
      <c r="H1607" s="402"/>
      <c r="I1607" s="402"/>
      <c r="J1607" s="402"/>
      <c r="K1607" s="402"/>
      <c r="L1607" s="402"/>
      <c r="M1607" s="402"/>
      <c r="N1607" s="402"/>
      <c r="O1607" s="402"/>
      <c r="P1607" s="402"/>
      <c r="Q1607" s="402"/>
      <c r="R1607" s="402"/>
      <c r="S1607" s="402"/>
      <c r="T1607" s="402"/>
      <c r="U1607" s="402"/>
      <c r="V1607" s="402"/>
      <c r="W1607" s="402"/>
      <c r="X1607" s="402"/>
      <c r="Y1607" s="402"/>
      <c r="Z1607" s="402"/>
      <c r="AA1607" s="405"/>
      <c r="AB1607" s="405"/>
      <c r="AC1607" s="405"/>
      <c r="AD1607" s="405"/>
      <c r="AE1607" s="405"/>
      <c r="AF1607" s="405"/>
      <c r="AG1607" s="405"/>
      <c r="AH1607" s="405"/>
      <c r="AI1607" s="405"/>
      <c r="AJ1607" s="405"/>
      <c r="AK1607" s="405"/>
      <c r="AL1607" s="405"/>
    </row>
    <row r="1608" ht="14.25" customHeight="1">
      <c r="A1608" s="402"/>
      <c r="B1608" s="402"/>
      <c r="C1608" s="402"/>
      <c r="D1608" s="402"/>
      <c r="E1608" s="402"/>
      <c r="F1608" s="402"/>
      <c r="G1608" s="403"/>
      <c r="H1608" s="402"/>
      <c r="I1608" s="402"/>
      <c r="J1608" s="402"/>
      <c r="K1608" s="402"/>
      <c r="L1608" s="402"/>
      <c r="M1608" s="402"/>
      <c r="N1608" s="402"/>
      <c r="O1608" s="402"/>
      <c r="P1608" s="402"/>
      <c r="Q1608" s="402"/>
      <c r="R1608" s="402"/>
      <c r="S1608" s="402"/>
      <c r="T1608" s="402"/>
      <c r="U1608" s="402"/>
      <c r="V1608" s="402"/>
      <c r="W1608" s="402"/>
      <c r="X1608" s="402"/>
      <c r="Y1608" s="402"/>
      <c r="Z1608" s="402"/>
      <c r="AA1608" s="405"/>
      <c r="AB1608" s="405"/>
      <c r="AC1608" s="405"/>
      <c r="AD1608" s="405"/>
      <c r="AE1608" s="405"/>
      <c r="AF1608" s="405"/>
      <c r="AG1608" s="405"/>
      <c r="AH1608" s="405"/>
      <c r="AI1608" s="405"/>
      <c r="AJ1608" s="405"/>
      <c r="AK1608" s="405"/>
      <c r="AL1608" s="405"/>
    </row>
    <row r="1609" ht="14.25" customHeight="1">
      <c r="A1609" s="402"/>
      <c r="B1609" s="402"/>
      <c r="C1609" s="402"/>
      <c r="D1609" s="402"/>
      <c r="E1609" s="402"/>
      <c r="F1609" s="402"/>
      <c r="G1609" s="403"/>
      <c r="H1609" s="402"/>
      <c r="I1609" s="402"/>
      <c r="J1609" s="402"/>
      <c r="K1609" s="402"/>
      <c r="L1609" s="402"/>
      <c r="M1609" s="402"/>
      <c r="N1609" s="402"/>
      <c r="O1609" s="402"/>
      <c r="P1609" s="402"/>
      <c r="Q1609" s="402"/>
      <c r="R1609" s="402"/>
      <c r="S1609" s="402"/>
      <c r="T1609" s="402"/>
      <c r="U1609" s="402"/>
      <c r="V1609" s="402"/>
      <c r="W1609" s="402"/>
      <c r="X1609" s="402"/>
      <c r="Y1609" s="402"/>
      <c r="Z1609" s="402"/>
      <c r="AA1609" s="405"/>
      <c r="AB1609" s="405"/>
      <c r="AC1609" s="405"/>
      <c r="AD1609" s="405"/>
      <c r="AE1609" s="405"/>
      <c r="AF1609" s="405"/>
      <c r="AG1609" s="405"/>
      <c r="AH1609" s="405"/>
      <c r="AI1609" s="405"/>
      <c r="AJ1609" s="405"/>
      <c r="AK1609" s="405"/>
      <c r="AL1609" s="405"/>
    </row>
    <row r="1610" ht="14.25" customHeight="1">
      <c r="A1610" s="402"/>
      <c r="B1610" s="402"/>
      <c r="C1610" s="402"/>
      <c r="D1610" s="402"/>
      <c r="E1610" s="402"/>
      <c r="F1610" s="402"/>
      <c r="G1610" s="403"/>
      <c r="H1610" s="402"/>
      <c r="I1610" s="402"/>
      <c r="J1610" s="402"/>
      <c r="K1610" s="402"/>
      <c r="L1610" s="402"/>
      <c r="M1610" s="402"/>
      <c r="N1610" s="402"/>
      <c r="O1610" s="402"/>
      <c r="P1610" s="402"/>
      <c r="Q1610" s="402"/>
      <c r="R1610" s="402"/>
      <c r="S1610" s="402"/>
      <c r="T1610" s="402"/>
      <c r="U1610" s="402"/>
      <c r="V1610" s="402"/>
      <c r="W1610" s="402"/>
      <c r="X1610" s="402"/>
      <c r="Y1610" s="402"/>
      <c r="Z1610" s="402"/>
      <c r="AA1610" s="405"/>
      <c r="AB1610" s="405"/>
      <c r="AC1610" s="405"/>
      <c r="AD1610" s="405"/>
      <c r="AE1610" s="405"/>
      <c r="AF1610" s="405"/>
      <c r="AG1610" s="405"/>
      <c r="AH1610" s="405"/>
      <c r="AI1610" s="405"/>
      <c r="AJ1610" s="405"/>
      <c r="AK1610" s="405"/>
      <c r="AL1610" s="405"/>
    </row>
    <row r="1611" ht="14.25" customHeight="1">
      <c r="A1611" s="402"/>
      <c r="B1611" s="402"/>
      <c r="C1611" s="402"/>
      <c r="D1611" s="402"/>
      <c r="E1611" s="402"/>
      <c r="F1611" s="402"/>
      <c r="G1611" s="403"/>
      <c r="H1611" s="402"/>
      <c r="I1611" s="402"/>
      <c r="J1611" s="402"/>
      <c r="K1611" s="402"/>
      <c r="L1611" s="402"/>
      <c r="M1611" s="402"/>
      <c r="N1611" s="402"/>
      <c r="O1611" s="402"/>
      <c r="P1611" s="402"/>
      <c r="Q1611" s="402"/>
      <c r="R1611" s="402"/>
      <c r="S1611" s="402"/>
      <c r="T1611" s="402"/>
      <c r="U1611" s="402"/>
      <c r="V1611" s="402"/>
      <c r="W1611" s="402"/>
      <c r="X1611" s="402"/>
      <c r="Y1611" s="402"/>
      <c r="Z1611" s="402"/>
      <c r="AA1611" s="405"/>
      <c r="AB1611" s="405"/>
      <c r="AC1611" s="405"/>
      <c r="AD1611" s="405"/>
      <c r="AE1611" s="405"/>
      <c r="AF1611" s="405"/>
      <c r="AG1611" s="405"/>
      <c r="AH1611" s="405"/>
      <c r="AI1611" s="405"/>
      <c r="AJ1611" s="405"/>
      <c r="AK1611" s="405"/>
      <c r="AL1611" s="405"/>
    </row>
    <row r="1612" ht="14.25" customHeight="1">
      <c r="A1612" s="402"/>
      <c r="B1612" s="402"/>
      <c r="C1612" s="402"/>
      <c r="D1612" s="402"/>
      <c r="E1612" s="402"/>
      <c r="F1612" s="402"/>
      <c r="G1612" s="403"/>
      <c r="H1612" s="402"/>
      <c r="I1612" s="402"/>
      <c r="J1612" s="402"/>
      <c r="K1612" s="402"/>
      <c r="L1612" s="402"/>
      <c r="M1612" s="402"/>
      <c r="N1612" s="402"/>
      <c r="O1612" s="402"/>
      <c r="P1612" s="402"/>
      <c r="Q1612" s="402"/>
      <c r="R1612" s="402"/>
      <c r="S1612" s="402"/>
      <c r="T1612" s="402"/>
      <c r="U1612" s="402"/>
      <c r="V1612" s="402"/>
      <c r="W1612" s="402"/>
      <c r="X1612" s="402"/>
      <c r="Y1612" s="402"/>
      <c r="Z1612" s="402"/>
      <c r="AA1612" s="405"/>
      <c r="AB1612" s="405"/>
      <c r="AC1612" s="405"/>
      <c r="AD1612" s="405"/>
      <c r="AE1612" s="405"/>
      <c r="AF1612" s="405"/>
      <c r="AG1612" s="405"/>
      <c r="AH1612" s="405"/>
      <c r="AI1612" s="405"/>
      <c r="AJ1612" s="405"/>
      <c r="AK1612" s="405"/>
      <c r="AL1612" s="405"/>
    </row>
    <row r="1613" ht="14.25" customHeight="1">
      <c r="A1613" s="402"/>
      <c r="B1613" s="402"/>
      <c r="C1613" s="402"/>
      <c r="D1613" s="402"/>
      <c r="E1613" s="402"/>
      <c r="F1613" s="402"/>
      <c r="G1613" s="403"/>
      <c r="H1613" s="402"/>
      <c r="I1613" s="402"/>
      <c r="J1613" s="402"/>
      <c r="K1613" s="402"/>
      <c r="L1613" s="402"/>
      <c r="M1613" s="402"/>
      <c r="N1613" s="402"/>
      <c r="O1613" s="402"/>
      <c r="P1613" s="402"/>
      <c r="Q1613" s="402"/>
      <c r="R1613" s="402"/>
      <c r="S1613" s="402"/>
      <c r="T1613" s="402"/>
      <c r="U1613" s="402"/>
      <c r="V1613" s="402"/>
      <c r="W1613" s="402"/>
      <c r="X1613" s="402"/>
      <c r="Y1613" s="402"/>
      <c r="Z1613" s="402"/>
      <c r="AA1613" s="405"/>
      <c r="AB1613" s="405"/>
      <c r="AC1613" s="405"/>
      <c r="AD1613" s="405"/>
      <c r="AE1613" s="405"/>
      <c r="AF1613" s="405"/>
      <c r="AG1613" s="405"/>
      <c r="AH1613" s="405"/>
      <c r="AI1613" s="405"/>
      <c r="AJ1613" s="405"/>
      <c r="AK1613" s="405"/>
      <c r="AL1613" s="405"/>
    </row>
    <row r="1614" ht="14.25" customHeight="1">
      <c r="A1614" s="402"/>
      <c r="B1614" s="402"/>
      <c r="C1614" s="402"/>
      <c r="D1614" s="402"/>
      <c r="E1614" s="402"/>
      <c r="F1614" s="402"/>
      <c r="G1614" s="403"/>
      <c r="H1614" s="402"/>
      <c r="I1614" s="402"/>
      <c r="J1614" s="402"/>
      <c r="K1614" s="402"/>
      <c r="L1614" s="402"/>
      <c r="M1614" s="402"/>
      <c r="N1614" s="402"/>
      <c r="O1614" s="402"/>
      <c r="P1614" s="402"/>
      <c r="Q1614" s="402"/>
      <c r="R1614" s="402"/>
      <c r="S1614" s="402"/>
      <c r="T1614" s="402"/>
      <c r="U1614" s="402"/>
      <c r="V1614" s="402"/>
      <c r="W1614" s="402"/>
      <c r="X1614" s="402"/>
      <c r="Y1614" s="402"/>
      <c r="Z1614" s="402"/>
      <c r="AA1614" s="405"/>
      <c r="AB1614" s="405"/>
      <c r="AC1614" s="405"/>
      <c r="AD1614" s="405"/>
      <c r="AE1614" s="405"/>
      <c r="AF1614" s="405"/>
      <c r="AG1614" s="405"/>
      <c r="AH1614" s="405"/>
      <c r="AI1614" s="405"/>
      <c r="AJ1614" s="405"/>
      <c r="AK1614" s="405"/>
      <c r="AL1614" s="405"/>
    </row>
    <row r="1615" ht="14.25" customHeight="1">
      <c r="A1615" s="402"/>
      <c r="B1615" s="402"/>
      <c r="C1615" s="402"/>
      <c r="D1615" s="402"/>
      <c r="E1615" s="402"/>
      <c r="F1615" s="402"/>
      <c r="G1615" s="403"/>
      <c r="H1615" s="402"/>
      <c r="I1615" s="402"/>
      <c r="J1615" s="402"/>
      <c r="K1615" s="402"/>
      <c r="L1615" s="402"/>
      <c r="M1615" s="402"/>
      <c r="N1615" s="402"/>
      <c r="O1615" s="402"/>
      <c r="P1615" s="402"/>
      <c r="Q1615" s="402"/>
      <c r="R1615" s="402"/>
      <c r="S1615" s="402"/>
      <c r="T1615" s="402"/>
      <c r="U1615" s="402"/>
      <c r="V1615" s="402"/>
      <c r="W1615" s="402"/>
      <c r="X1615" s="402"/>
      <c r="Y1615" s="402"/>
      <c r="Z1615" s="402"/>
      <c r="AA1615" s="405"/>
      <c r="AB1615" s="405"/>
      <c r="AC1615" s="405"/>
      <c r="AD1615" s="405"/>
      <c r="AE1615" s="405"/>
      <c r="AF1615" s="405"/>
      <c r="AG1615" s="405"/>
      <c r="AH1615" s="405"/>
      <c r="AI1615" s="405"/>
      <c r="AJ1615" s="405"/>
      <c r="AK1615" s="405"/>
      <c r="AL1615" s="405"/>
    </row>
    <row r="1616" ht="14.25" customHeight="1">
      <c r="A1616" s="402"/>
      <c r="B1616" s="402"/>
      <c r="C1616" s="402"/>
      <c r="D1616" s="402"/>
      <c r="E1616" s="402"/>
      <c r="F1616" s="402"/>
      <c r="G1616" s="403"/>
      <c r="H1616" s="402"/>
      <c r="I1616" s="402"/>
      <c r="J1616" s="402"/>
      <c r="K1616" s="402"/>
      <c r="L1616" s="402"/>
      <c r="M1616" s="402"/>
      <c r="N1616" s="402"/>
      <c r="O1616" s="402"/>
      <c r="P1616" s="402"/>
      <c r="Q1616" s="402"/>
      <c r="R1616" s="402"/>
      <c r="S1616" s="402"/>
      <c r="T1616" s="402"/>
      <c r="U1616" s="402"/>
      <c r="V1616" s="402"/>
      <c r="W1616" s="402"/>
      <c r="X1616" s="402"/>
      <c r="Y1616" s="402"/>
      <c r="Z1616" s="402"/>
      <c r="AA1616" s="405"/>
      <c r="AB1616" s="405"/>
      <c r="AC1616" s="405"/>
      <c r="AD1616" s="405"/>
      <c r="AE1616" s="405"/>
      <c r="AF1616" s="405"/>
      <c r="AG1616" s="405"/>
      <c r="AH1616" s="405"/>
      <c r="AI1616" s="405"/>
      <c r="AJ1616" s="405"/>
      <c r="AK1616" s="405"/>
      <c r="AL1616" s="405"/>
    </row>
    <row r="1617" ht="14.25" customHeight="1">
      <c r="A1617" s="402"/>
      <c r="B1617" s="402"/>
      <c r="C1617" s="402"/>
      <c r="D1617" s="402"/>
      <c r="E1617" s="402"/>
      <c r="F1617" s="402"/>
      <c r="G1617" s="403"/>
      <c r="H1617" s="402"/>
      <c r="I1617" s="402"/>
      <c r="J1617" s="402"/>
      <c r="K1617" s="402"/>
      <c r="L1617" s="402"/>
      <c r="M1617" s="402"/>
      <c r="N1617" s="402"/>
      <c r="O1617" s="402"/>
      <c r="P1617" s="402"/>
      <c r="Q1617" s="402"/>
      <c r="R1617" s="402"/>
      <c r="S1617" s="402"/>
      <c r="T1617" s="402"/>
      <c r="U1617" s="402"/>
      <c r="V1617" s="402"/>
      <c r="W1617" s="402"/>
      <c r="X1617" s="402"/>
      <c r="Y1617" s="402"/>
      <c r="Z1617" s="402"/>
      <c r="AA1617" s="405"/>
      <c r="AB1617" s="405"/>
      <c r="AC1617" s="405"/>
      <c r="AD1617" s="405"/>
      <c r="AE1617" s="405"/>
      <c r="AF1617" s="405"/>
      <c r="AG1617" s="405"/>
      <c r="AH1617" s="405"/>
      <c r="AI1617" s="405"/>
      <c r="AJ1617" s="405"/>
      <c r="AK1617" s="405"/>
      <c r="AL1617" s="405"/>
    </row>
    <row r="1618" ht="14.25" customHeight="1">
      <c r="A1618" s="402"/>
      <c r="B1618" s="402"/>
      <c r="C1618" s="402"/>
      <c r="D1618" s="402"/>
      <c r="E1618" s="402"/>
      <c r="F1618" s="402"/>
      <c r="G1618" s="403"/>
      <c r="H1618" s="402"/>
      <c r="I1618" s="402"/>
      <c r="J1618" s="402"/>
      <c r="K1618" s="402"/>
      <c r="L1618" s="402"/>
      <c r="M1618" s="402"/>
      <c r="N1618" s="402"/>
      <c r="O1618" s="402"/>
      <c r="P1618" s="402"/>
      <c r="Q1618" s="402"/>
      <c r="R1618" s="402"/>
      <c r="S1618" s="402"/>
      <c r="T1618" s="402"/>
      <c r="U1618" s="402"/>
      <c r="V1618" s="402"/>
      <c r="W1618" s="402"/>
      <c r="X1618" s="402"/>
      <c r="Y1618" s="402"/>
      <c r="Z1618" s="402"/>
      <c r="AA1618" s="405"/>
      <c r="AB1618" s="405"/>
      <c r="AC1618" s="405"/>
      <c r="AD1618" s="405"/>
      <c r="AE1618" s="405"/>
      <c r="AF1618" s="405"/>
      <c r="AG1618" s="405"/>
      <c r="AH1618" s="405"/>
      <c r="AI1618" s="405"/>
      <c r="AJ1618" s="405"/>
      <c r="AK1618" s="405"/>
      <c r="AL1618" s="405"/>
    </row>
    <row r="1619" ht="14.25" customHeight="1">
      <c r="A1619" s="402"/>
      <c r="B1619" s="402"/>
      <c r="C1619" s="402"/>
      <c r="D1619" s="402"/>
      <c r="E1619" s="402"/>
      <c r="F1619" s="402"/>
      <c r="G1619" s="403"/>
      <c r="H1619" s="402"/>
      <c r="I1619" s="402"/>
      <c r="J1619" s="402"/>
      <c r="K1619" s="402"/>
      <c r="L1619" s="402"/>
      <c r="M1619" s="402"/>
      <c r="N1619" s="402"/>
      <c r="O1619" s="402"/>
      <c r="P1619" s="402"/>
      <c r="Q1619" s="402"/>
      <c r="R1619" s="402"/>
      <c r="S1619" s="402"/>
      <c r="T1619" s="402"/>
      <c r="U1619" s="402"/>
      <c r="V1619" s="402"/>
      <c r="W1619" s="402"/>
      <c r="X1619" s="402"/>
      <c r="Y1619" s="402"/>
      <c r="Z1619" s="402"/>
      <c r="AA1619" s="405"/>
      <c r="AB1619" s="405"/>
      <c r="AC1619" s="405"/>
      <c r="AD1619" s="405"/>
      <c r="AE1619" s="405"/>
      <c r="AF1619" s="405"/>
      <c r="AG1619" s="405"/>
      <c r="AH1619" s="405"/>
      <c r="AI1619" s="405"/>
      <c r="AJ1619" s="405"/>
      <c r="AK1619" s="405"/>
      <c r="AL1619" s="405"/>
    </row>
    <row r="1620" ht="14.25" customHeight="1">
      <c r="A1620" s="402"/>
      <c r="B1620" s="402"/>
      <c r="C1620" s="402"/>
      <c r="D1620" s="402"/>
      <c r="E1620" s="402"/>
      <c r="F1620" s="402"/>
      <c r="G1620" s="403"/>
      <c r="H1620" s="402"/>
      <c r="I1620" s="402"/>
      <c r="J1620" s="402"/>
      <c r="K1620" s="402"/>
      <c r="L1620" s="402"/>
      <c r="M1620" s="402"/>
      <c r="N1620" s="402"/>
      <c r="O1620" s="402"/>
      <c r="P1620" s="402"/>
      <c r="Q1620" s="402"/>
      <c r="R1620" s="402"/>
      <c r="S1620" s="402"/>
      <c r="T1620" s="402"/>
      <c r="U1620" s="402"/>
      <c r="V1620" s="402"/>
      <c r="W1620" s="402"/>
      <c r="X1620" s="402"/>
      <c r="Y1620" s="402"/>
      <c r="Z1620" s="402"/>
      <c r="AA1620" s="405"/>
      <c r="AB1620" s="405"/>
      <c r="AC1620" s="405"/>
      <c r="AD1620" s="405"/>
      <c r="AE1620" s="405"/>
      <c r="AF1620" s="405"/>
      <c r="AG1620" s="405"/>
      <c r="AH1620" s="405"/>
      <c r="AI1620" s="405"/>
      <c r="AJ1620" s="405"/>
      <c r="AK1620" s="405"/>
      <c r="AL1620" s="405"/>
    </row>
    <row r="1621" ht="14.25" customHeight="1">
      <c r="A1621" s="402"/>
      <c r="B1621" s="402"/>
      <c r="C1621" s="402"/>
      <c r="D1621" s="402"/>
      <c r="E1621" s="402"/>
      <c r="F1621" s="402"/>
      <c r="G1621" s="403"/>
      <c r="H1621" s="402"/>
      <c r="I1621" s="402"/>
      <c r="J1621" s="402"/>
      <c r="K1621" s="402"/>
      <c r="L1621" s="402"/>
      <c r="M1621" s="402"/>
      <c r="N1621" s="402"/>
      <c r="O1621" s="402"/>
      <c r="P1621" s="402"/>
      <c r="Q1621" s="402"/>
      <c r="R1621" s="402"/>
      <c r="S1621" s="402"/>
      <c r="T1621" s="402"/>
      <c r="U1621" s="402"/>
      <c r="V1621" s="402"/>
      <c r="W1621" s="402"/>
      <c r="X1621" s="402"/>
      <c r="Y1621" s="402"/>
      <c r="Z1621" s="402"/>
      <c r="AA1621" s="405"/>
      <c r="AB1621" s="405"/>
      <c r="AC1621" s="405"/>
      <c r="AD1621" s="405"/>
      <c r="AE1621" s="405"/>
      <c r="AF1621" s="405"/>
      <c r="AG1621" s="405"/>
      <c r="AH1621" s="405"/>
      <c r="AI1621" s="405"/>
      <c r="AJ1621" s="405"/>
      <c r="AK1621" s="405"/>
      <c r="AL1621" s="405"/>
    </row>
    <row r="1622" ht="14.25" customHeight="1">
      <c r="A1622" s="402"/>
      <c r="B1622" s="402"/>
      <c r="C1622" s="402"/>
      <c r="D1622" s="402"/>
      <c r="E1622" s="402"/>
      <c r="F1622" s="402"/>
      <c r="G1622" s="403"/>
      <c r="H1622" s="402"/>
      <c r="I1622" s="402"/>
      <c r="J1622" s="402"/>
      <c r="K1622" s="402"/>
      <c r="L1622" s="402"/>
      <c r="M1622" s="402"/>
      <c r="N1622" s="402"/>
      <c r="O1622" s="402"/>
      <c r="P1622" s="402"/>
      <c r="Q1622" s="402"/>
      <c r="R1622" s="402"/>
      <c r="S1622" s="402"/>
      <c r="T1622" s="402"/>
      <c r="U1622" s="402"/>
      <c r="V1622" s="402"/>
      <c r="W1622" s="402"/>
      <c r="X1622" s="402"/>
      <c r="Y1622" s="402"/>
      <c r="Z1622" s="402"/>
      <c r="AA1622" s="405"/>
      <c r="AB1622" s="405"/>
      <c r="AC1622" s="405"/>
      <c r="AD1622" s="405"/>
      <c r="AE1622" s="405"/>
      <c r="AF1622" s="405"/>
      <c r="AG1622" s="405"/>
      <c r="AH1622" s="405"/>
      <c r="AI1622" s="405"/>
      <c r="AJ1622" s="405"/>
      <c r="AK1622" s="405"/>
      <c r="AL1622" s="405"/>
    </row>
    <row r="1623" ht="14.25" customHeight="1">
      <c r="A1623" s="402"/>
      <c r="B1623" s="402"/>
      <c r="C1623" s="402"/>
      <c r="D1623" s="402"/>
      <c r="E1623" s="402"/>
      <c r="F1623" s="402"/>
      <c r="G1623" s="403"/>
      <c r="H1623" s="402"/>
      <c r="I1623" s="402"/>
      <c r="J1623" s="402"/>
      <c r="K1623" s="402"/>
      <c r="L1623" s="402"/>
      <c r="M1623" s="402"/>
      <c r="N1623" s="402"/>
      <c r="O1623" s="402"/>
      <c r="P1623" s="402"/>
      <c r="Q1623" s="402"/>
      <c r="R1623" s="402"/>
      <c r="S1623" s="402"/>
      <c r="T1623" s="402"/>
      <c r="U1623" s="402"/>
      <c r="V1623" s="402"/>
      <c r="W1623" s="402"/>
      <c r="X1623" s="402"/>
      <c r="Y1623" s="402"/>
      <c r="Z1623" s="402"/>
      <c r="AA1623" s="405"/>
      <c r="AB1623" s="405"/>
      <c r="AC1623" s="405"/>
      <c r="AD1623" s="405"/>
      <c r="AE1623" s="405"/>
      <c r="AF1623" s="405"/>
      <c r="AG1623" s="405"/>
      <c r="AH1623" s="405"/>
      <c r="AI1623" s="405"/>
      <c r="AJ1623" s="405"/>
      <c r="AK1623" s="405"/>
      <c r="AL1623" s="405"/>
    </row>
    <row r="1624" ht="14.25" customHeight="1">
      <c r="A1624" s="402"/>
      <c r="B1624" s="402"/>
      <c r="C1624" s="402"/>
      <c r="D1624" s="402"/>
      <c r="E1624" s="402"/>
      <c r="F1624" s="402"/>
      <c r="G1624" s="403"/>
      <c r="H1624" s="402"/>
      <c r="I1624" s="402"/>
      <c r="J1624" s="402"/>
      <c r="K1624" s="402"/>
      <c r="L1624" s="402"/>
      <c r="M1624" s="402"/>
      <c r="N1624" s="402"/>
      <c r="O1624" s="402"/>
      <c r="P1624" s="402"/>
      <c r="Q1624" s="402"/>
      <c r="R1624" s="402"/>
      <c r="S1624" s="402"/>
      <c r="T1624" s="402"/>
      <c r="U1624" s="402"/>
      <c r="V1624" s="402"/>
      <c r="W1624" s="402"/>
      <c r="X1624" s="402"/>
      <c r="Y1624" s="402"/>
      <c r="Z1624" s="402"/>
      <c r="AA1624" s="405"/>
      <c r="AB1624" s="405"/>
      <c r="AC1624" s="405"/>
      <c r="AD1624" s="405"/>
      <c r="AE1624" s="405"/>
      <c r="AF1624" s="405"/>
      <c r="AG1624" s="405"/>
      <c r="AH1624" s="405"/>
      <c r="AI1624" s="405"/>
      <c r="AJ1624" s="405"/>
      <c r="AK1624" s="405"/>
      <c r="AL1624" s="405"/>
    </row>
    <row r="1625" ht="14.25" customHeight="1">
      <c r="A1625" s="402"/>
      <c r="B1625" s="402"/>
      <c r="C1625" s="402"/>
      <c r="D1625" s="402"/>
      <c r="E1625" s="402"/>
      <c r="F1625" s="402"/>
      <c r="G1625" s="403"/>
      <c r="H1625" s="402"/>
      <c r="I1625" s="402"/>
      <c r="J1625" s="402"/>
      <c r="K1625" s="402"/>
      <c r="L1625" s="402"/>
      <c r="M1625" s="402"/>
      <c r="N1625" s="402"/>
      <c r="O1625" s="402"/>
      <c r="P1625" s="402"/>
      <c r="Q1625" s="402"/>
      <c r="R1625" s="402"/>
      <c r="S1625" s="402"/>
      <c r="T1625" s="402"/>
      <c r="U1625" s="402"/>
      <c r="V1625" s="402"/>
      <c r="W1625" s="402"/>
      <c r="X1625" s="402"/>
      <c r="Y1625" s="402"/>
      <c r="Z1625" s="402"/>
      <c r="AA1625" s="405"/>
      <c r="AB1625" s="405"/>
      <c r="AC1625" s="405"/>
      <c r="AD1625" s="405"/>
      <c r="AE1625" s="405"/>
      <c r="AF1625" s="405"/>
      <c r="AG1625" s="405"/>
      <c r="AH1625" s="405"/>
      <c r="AI1625" s="405"/>
      <c r="AJ1625" s="405"/>
      <c r="AK1625" s="405"/>
      <c r="AL1625" s="405"/>
    </row>
    <row r="1626" ht="14.25" customHeight="1">
      <c r="A1626" s="402"/>
      <c r="B1626" s="402"/>
      <c r="C1626" s="402"/>
      <c r="D1626" s="402"/>
      <c r="E1626" s="402"/>
      <c r="F1626" s="402"/>
      <c r="G1626" s="403"/>
      <c r="H1626" s="402"/>
      <c r="I1626" s="402"/>
      <c r="J1626" s="402"/>
      <c r="K1626" s="402"/>
      <c r="L1626" s="402"/>
      <c r="M1626" s="402"/>
      <c r="N1626" s="402"/>
      <c r="O1626" s="402"/>
      <c r="P1626" s="402"/>
      <c r="Q1626" s="402"/>
      <c r="R1626" s="402"/>
      <c r="S1626" s="402"/>
      <c r="T1626" s="402"/>
      <c r="U1626" s="402"/>
      <c r="V1626" s="402"/>
      <c r="W1626" s="402"/>
      <c r="X1626" s="402"/>
      <c r="Y1626" s="402"/>
      <c r="Z1626" s="402"/>
      <c r="AA1626" s="405"/>
      <c r="AB1626" s="405"/>
      <c r="AC1626" s="405"/>
      <c r="AD1626" s="405"/>
      <c r="AE1626" s="405"/>
      <c r="AF1626" s="405"/>
      <c r="AG1626" s="405"/>
      <c r="AH1626" s="405"/>
      <c r="AI1626" s="405"/>
      <c r="AJ1626" s="405"/>
      <c r="AK1626" s="405"/>
      <c r="AL1626" s="405"/>
    </row>
    <row r="1627" ht="14.25" customHeight="1">
      <c r="A1627" s="402"/>
      <c r="B1627" s="402"/>
      <c r="C1627" s="402"/>
      <c r="D1627" s="402"/>
      <c r="E1627" s="402"/>
      <c r="F1627" s="402"/>
      <c r="G1627" s="403"/>
      <c r="H1627" s="402"/>
      <c r="I1627" s="402"/>
      <c r="J1627" s="402"/>
      <c r="K1627" s="402"/>
      <c r="L1627" s="402"/>
      <c r="M1627" s="402"/>
      <c r="N1627" s="402"/>
      <c r="O1627" s="402"/>
      <c r="P1627" s="402"/>
      <c r="Q1627" s="402"/>
      <c r="R1627" s="402"/>
      <c r="S1627" s="402"/>
      <c r="T1627" s="402"/>
      <c r="U1627" s="402"/>
      <c r="V1627" s="402"/>
      <c r="W1627" s="402"/>
      <c r="X1627" s="402"/>
      <c r="Y1627" s="402"/>
      <c r="Z1627" s="402"/>
      <c r="AA1627" s="405"/>
      <c r="AB1627" s="405"/>
      <c r="AC1627" s="405"/>
      <c r="AD1627" s="405"/>
      <c r="AE1627" s="405"/>
      <c r="AF1627" s="405"/>
      <c r="AG1627" s="405"/>
      <c r="AH1627" s="405"/>
      <c r="AI1627" s="405"/>
      <c r="AJ1627" s="405"/>
      <c r="AK1627" s="405"/>
      <c r="AL1627" s="405"/>
    </row>
    <row r="1628" ht="14.25" customHeight="1">
      <c r="A1628" s="402"/>
      <c r="B1628" s="402"/>
      <c r="C1628" s="402"/>
      <c r="D1628" s="402"/>
      <c r="E1628" s="402"/>
      <c r="F1628" s="402"/>
      <c r="G1628" s="403"/>
      <c r="H1628" s="402"/>
      <c r="I1628" s="402"/>
      <c r="J1628" s="402"/>
      <c r="K1628" s="402"/>
      <c r="L1628" s="402"/>
      <c r="M1628" s="402"/>
      <c r="N1628" s="402"/>
      <c r="O1628" s="402"/>
      <c r="P1628" s="402"/>
      <c r="Q1628" s="402"/>
      <c r="R1628" s="402"/>
      <c r="S1628" s="402"/>
      <c r="T1628" s="402"/>
      <c r="U1628" s="402"/>
      <c r="V1628" s="402"/>
      <c r="W1628" s="402"/>
      <c r="X1628" s="402"/>
      <c r="Y1628" s="402"/>
      <c r="Z1628" s="402"/>
      <c r="AA1628" s="405"/>
      <c r="AB1628" s="405"/>
      <c r="AC1628" s="405"/>
      <c r="AD1628" s="405"/>
      <c r="AE1628" s="405"/>
      <c r="AF1628" s="405"/>
      <c r="AG1628" s="405"/>
      <c r="AH1628" s="405"/>
      <c r="AI1628" s="405"/>
      <c r="AJ1628" s="405"/>
      <c r="AK1628" s="405"/>
      <c r="AL1628" s="405"/>
    </row>
    <row r="1629" ht="14.25" customHeight="1">
      <c r="A1629" s="402"/>
      <c r="B1629" s="402"/>
      <c r="C1629" s="402"/>
      <c r="D1629" s="402"/>
      <c r="E1629" s="402"/>
      <c r="F1629" s="402"/>
      <c r="G1629" s="403"/>
      <c r="H1629" s="402"/>
      <c r="I1629" s="402"/>
      <c r="J1629" s="402"/>
      <c r="K1629" s="402"/>
      <c r="L1629" s="402"/>
      <c r="M1629" s="402"/>
      <c r="N1629" s="402"/>
      <c r="O1629" s="402"/>
      <c r="P1629" s="402"/>
      <c r="Q1629" s="402"/>
      <c r="R1629" s="402"/>
      <c r="S1629" s="402"/>
      <c r="T1629" s="402"/>
      <c r="U1629" s="402"/>
      <c r="V1629" s="402"/>
      <c r="W1629" s="402"/>
      <c r="X1629" s="402"/>
      <c r="Y1629" s="402"/>
      <c r="Z1629" s="402"/>
      <c r="AA1629" s="405"/>
      <c r="AB1629" s="405"/>
      <c r="AC1629" s="405"/>
      <c r="AD1629" s="405"/>
      <c r="AE1629" s="405"/>
      <c r="AF1629" s="405"/>
      <c r="AG1629" s="405"/>
      <c r="AH1629" s="405"/>
      <c r="AI1629" s="405"/>
      <c r="AJ1629" s="405"/>
      <c r="AK1629" s="405"/>
      <c r="AL1629" s="405"/>
    </row>
    <row r="1630" ht="14.25" customHeight="1">
      <c r="A1630" s="402"/>
      <c r="B1630" s="402"/>
      <c r="C1630" s="402"/>
      <c r="D1630" s="402"/>
      <c r="E1630" s="402"/>
      <c r="F1630" s="402"/>
      <c r="G1630" s="403"/>
      <c r="H1630" s="402"/>
      <c r="I1630" s="402"/>
      <c r="J1630" s="402"/>
      <c r="K1630" s="402"/>
      <c r="L1630" s="402"/>
      <c r="M1630" s="402"/>
      <c r="N1630" s="402"/>
      <c r="O1630" s="402"/>
      <c r="P1630" s="402"/>
      <c r="Q1630" s="402"/>
      <c r="R1630" s="402"/>
      <c r="S1630" s="402"/>
      <c r="T1630" s="402"/>
      <c r="U1630" s="402"/>
      <c r="V1630" s="402"/>
      <c r="W1630" s="402"/>
      <c r="X1630" s="402"/>
      <c r="Y1630" s="402"/>
      <c r="Z1630" s="402"/>
      <c r="AA1630" s="405"/>
      <c r="AB1630" s="405"/>
      <c r="AC1630" s="405"/>
      <c r="AD1630" s="405"/>
      <c r="AE1630" s="405"/>
      <c r="AF1630" s="405"/>
      <c r="AG1630" s="405"/>
      <c r="AH1630" s="405"/>
      <c r="AI1630" s="405"/>
      <c r="AJ1630" s="405"/>
      <c r="AK1630" s="405"/>
      <c r="AL1630" s="405"/>
    </row>
    <row r="1631" ht="14.25" customHeight="1">
      <c r="A1631" s="402"/>
      <c r="B1631" s="402"/>
      <c r="C1631" s="402"/>
      <c r="D1631" s="402"/>
      <c r="E1631" s="402"/>
      <c r="F1631" s="402"/>
      <c r="G1631" s="403"/>
      <c r="H1631" s="402"/>
      <c r="I1631" s="402"/>
      <c r="J1631" s="402"/>
      <c r="K1631" s="402"/>
      <c r="L1631" s="402"/>
      <c r="M1631" s="402"/>
      <c r="N1631" s="402"/>
      <c r="O1631" s="402"/>
      <c r="P1631" s="402"/>
      <c r="Q1631" s="402"/>
      <c r="R1631" s="402"/>
      <c r="S1631" s="402"/>
      <c r="T1631" s="402"/>
      <c r="U1631" s="402"/>
      <c r="V1631" s="402"/>
      <c r="W1631" s="402"/>
      <c r="X1631" s="402"/>
      <c r="Y1631" s="402"/>
      <c r="Z1631" s="402"/>
      <c r="AA1631" s="405"/>
      <c r="AB1631" s="405"/>
      <c r="AC1631" s="405"/>
      <c r="AD1631" s="405"/>
      <c r="AE1631" s="405"/>
      <c r="AF1631" s="405"/>
      <c r="AG1631" s="405"/>
      <c r="AH1631" s="405"/>
      <c r="AI1631" s="405"/>
      <c r="AJ1631" s="405"/>
      <c r="AK1631" s="405"/>
      <c r="AL1631" s="405"/>
    </row>
    <row r="1632" ht="14.25" customHeight="1">
      <c r="A1632" s="402"/>
      <c r="B1632" s="402"/>
      <c r="C1632" s="402"/>
      <c r="D1632" s="402"/>
      <c r="E1632" s="402"/>
      <c r="F1632" s="402"/>
      <c r="G1632" s="403"/>
      <c r="H1632" s="402"/>
      <c r="I1632" s="402"/>
      <c r="J1632" s="402"/>
      <c r="K1632" s="402"/>
      <c r="L1632" s="402"/>
      <c r="M1632" s="402"/>
      <c r="N1632" s="402"/>
      <c r="O1632" s="402"/>
      <c r="P1632" s="402"/>
      <c r="Q1632" s="402"/>
      <c r="R1632" s="402"/>
      <c r="S1632" s="402"/>
      <c r="T1632" s="402"/>
      <c r="U1632" s="402"/>
      <c r="V1632" s="402"/>
      <c r="W1632" s="402"/>
      <c r="X1632" s="402"/>
      <c r="Y1632" s="402"/>
      <c r="Z1632" s="402"/>
      <c r="AA1632" s="405"/>
      <c r="AB1632" s="405"/>
      <c r="AC1632" s="405"/>
      <c r="AD1632" s="405"/>
      <c r="AE1632" s="405"/>
      <c r="AF1632" s="405"/>
      <c r="AG1632" s="405"/>
      <c r="AH1632" s="405"/>
      <c r="AI1632" s="405"/>
      <c r="AJ1632" s="405"/>
      <c r="AK1632" s="405"/>
      <c r="AL1632" s="405"/>
    </row>
    <row r="1633" ht="14.25" customHeight="1">
      <c r="A1633" s="402"/>
      <c r="B1633" s="402"/>
      <c r="C1633" s="402"/>
      <c r="D1633" s="402"/>
      <c r="E1633" s="402"/>
      <c r="F1633" s="402"/>
      <c r="G1633" s="403"/>
      <c r="H1633" s="402"/>
      <c r="I1633" s="402"/>
      <c r="J1633" s="402"/>
      <c r="K1633" s="402"/>
      <c r="L1633" s="402"/>
      <c r="M1633" s="402"/>
      <c r="N1633" s="402"/>
      <c r="O1633" s="402"/>
      <c r="P1633" s="402"/>
      <c r="Q1633" s="402"/>
      <c r="R1633" s="402"/>
      <c r="S1633" s="402"/>
      <c r="T1633" s="402"/>
      <c r="U1633" s="402"/>
      <c r="V1633" s="402"/>
      <c r="W1633" s="402"/>
      <c r="X1633" s="402"/>
      <c r="Y1633" s="402"/>
      <c r="Z1633" s="402"/>
      <c r="AA1633" s="405"/>
      <c r="AB1633" s="405"/>
      <c r="AC1633" s="405"/>
      <c r="AD1633" s="405"/>
      <c r="AE1633" s="405"/>
      <c r="AF1633" s="405"/>
      <c r="AG1633" s="405"/>
      <c r="AH1633" s="405"/>
      <c r="AI1633" s="405"/>
      <c r="AJ1633" s="405"/>
      <c r="AK1633" s="405"/>
      <c r="AL1633" s="405"/>
    </row>
    <row r="1634" ht="14.25" customHeight="1">
      <c r="A1634" s="402"/>
      <c r="B1634" s="402"/>
      <c r="C1634" s="402"/>
      <c r="D1634" s="402"/>
      <c r="E1634" s="402"/>
      <c r="F1634" s="402"/>
      <c r="G1634" s="403"/>
      <c r="H1634" s="402"/>
      <c r="I1634" s="402"/>
      <c r="J1634" s="402"/>
      <c r="K1634" s="402"/>
      <c r="L1634" s="402"/>
      <c r="M1634" s="402"/>
      <c r="N1634" s="402"/>
      <c r="O1634" s="402"/>
      <c r="P1634" s="402"/>
      <c r="Q1634" s="402"/>
      <c r="R1634" s="402"/>
      <c r="S1634" s="402"/>
      <c r="T1634" s="402"/>
      <c r="U1634" s="402"/>
      <c r="V1634" s="402"/>
      <c r="W1634" s="402"/>
      <c r="X1634" s="402"/>
      <c r="Y1634" s="402"/>
      <c r="Z1634" s="402"/>
      <c r="AA1634" s="405"/>
      <c r="AB1634" s="405"/>
      <c r="AC1634" s="405"/>
      <c r="AD1634" s="405"/>
      <c r="AE1634" s="405"/>
      <c r="AF1634" s="405"/>
      <c r="AG1634" s="405"/>
      <c r="AH1634" s="405"/>
      <c r="AI1634" s="405"/>
      <c r="AJ1634" s="405"/>
      <c r="AK1634" s="405"/>
      <c r="AL1634" s="405"/>
    </row>
    <row r="1635" ht="14.25" customHeight="1">
      <c r="A1635" s="402"/>
      <c r="B1635" s="402"/>
      <c r="C1635" s="402"/>
      <c r="D1635" s="402"/>
      <c r="E1635" s="402"/>
      <c r="F1635" s="402"/>
      <c r="G1635" s="403"/>
      <c r="H1635" s="402"/>
      <c r="I1635" s="402"/>
      <c r="J1635" s="402"/>
      <c r="K1635" s="402"/>
      <c r="L1635" s="402"/>
      <c r="M1635" s="402"/>
      <c r="N1635" s="402"/>
      <c r="O1635" s="402"/>
      <c r="P1635" s="402"/>
      <c r="Q1635" s="402"/>
      <c r="R1635" s="402"/>
      <c r="S1635" s="402"/>
      <c r="T1635" s="402"/>
      <c r="U1635" s="402"/>
      <c r="V1635" s="402"/>
      <c r="W1635" s="402"/>
      <c r="X1635" s="402"/>
      <c r="Y1635" s="402"/>
      <c r="Z1635" s="402"/>
      <c r="AA1635" s="405"/>
      <c r="AB1635" s="405"/>
      <c r="AC1635" s="405"/>
      <c r="AD1635" s="405"/>
      <c r="AE1635" s="405"/>
      <c r="AF1635" s="405"/>
      <c r="AG1635" s="405"/>
      <c r="AH1635" s="405"/>
      <c r="AI1635" s="405"/>
      <c r="AJ1635" s="405"/>
      <c r="AK1635" s="405"/>
      <c r="AL1635" s="405"/>
    </row>
    <row r="1636" ht="14.25" customHeight="1">
      <c r="A1636" s="402"/>
      <c r="B1636" s="402"/>
      <c r="C1636" s="402"/>
      <c r="D1636" s="402"/>
      <c r="E1636" s="402"/>
      <c r="F1636" s="402"/>
      <c r="G1636" s="403"/>
      <c r="H1636" s="402"/>
      <c r="I1636" s="402"/>
      <c r="J1636" s="402"/>
      <c r="K1636" s="402"/>
      <c r="L1636" s="402"/>
      <c r="M1636" s="402"/>
      <c r="N1636" s="402"/>
      <c r="O1636" s="402"/>
      <c r="P1636" s="402"/>
      <c r="Q1636" s="402"/>
      <c r="R1636" s="402"/>
      <c r="S1636" s="402"/>
      <c r="T1636" s="402"/>
      <c r="U1636" s="402"/>
      <c r="V1636" s="402"/>
      <c r="W1636" s="402"/>
      <c r="X1636" s="402"/>
      <c r="Y1636" s="402"/>
      <c r="Z1636" s="402"/>
      <c r="AA1636" s="405"/>
      <c r="AB1636" s="405"/>
      <c r="AC1636" s="405"/>
      <c r="AD1636" s="405"/>
      <c r="AE1636" s="405"/>
      <c r="AF1636" s="405"/>
      <c r="AG1636" s="405"/>
      <c r="AH1636" s="405"/>
      <c r="AI1636" s="405"/>
      <c r="AJ1636" s="405"/>
      <c r="AK1636" s="405"/>
      <c r="AL1636" s="405"/>
    </row>
    <row r="1637" ht="14.25" customHeight="1">
      <c r="A1637" s="402"/>
      <c r="B1637" s="402"/>
      <c r="C1637" s="402"/>
      <c r="D1637" s="402"/>
      <c r="E1637" s="402"/>
      <c r="F1637" s="402"/>
      <c r="G1637" s="403"/>
      <c r="H1637" s="402"/>
      <c r="I1637" s="402"/>
      <c r="J1637" s="402"/>
      <c r="K1637" s="402"/>
      <c r="L1637" s="402"/>
      <c r="M1637" s="402"/>
      <c r="N1637" s="402"/>
      <c r="O1637" s="402"/>
      <c r="P1637" s="402"/>
      <c r="Q1637" s="402"/>
      <c r="R1637" s="402"/>
      <c r="S1637" s="402"/>
      <c r="T1637" s="402"/>
      <c r="U1637" s="402"/>
      <c r="V1637" s="402"/>
      <c r="W1637" s="402"/>
      <c r="X1637" s="402"/>
      <c r="Y1637" s="402"/>
      <c r="Z1637" s="402"/>
      <c r="AA1637" s="405"/>
      <c r="AB1637" s="405"/>
      <c r="AC1637" s="405"/>
      <c r="AD1637" s="405"/>
      <c r="AE1637" s="405"/>
      <c r="AF1637" s="405"/>
      <c r="AG1637" s="405"/>
      <c r="AH1637" s="405"/>
      <c r="AI1637" s="405"/>
      <c r="AJ1637" s="405"/>
      <c r="AK1637" s="405"/>
      <c r="AL1637" s="405"/>
    </row>
    <row r="1638" ht="14.25" customHeight="1">
      <c r="A1638" s="402"/>
      <c r="B1638" s="402"/>
      <c r="C1638" s="402"/>
      <c r="D1638" s="402"/>
      <c r="E1638" s="402"/>
      <c r="F1638" s="402"/>
      <c r="G1638" s="403"/>
      <c r="H1638" s="402"/>
      <c r="I1638" s="402"/>
      <c r="J1638" s="402"/>
      <c r="K1638" s="402"/>
      <c r="L1638" s="402"/>
      <c r="M1638" s="402"/>
      <c r="N1638" s="402"/>
      <c r="O1638" s="402"/>
      <c r="P1638" s="402"/>
      <c r="Q1638" s="402"/>
      <c r="R1638" s="402"/>
      <c r="S1638" s="402"/>
      <c r="T1638" s="402"/>
      <c r="U1638" s="402"/>
      <c r="V1638" s="402"/>
      <c r="W1638" s="402"/>
      <c r="X1638" s="402"/>
      <c r="Y1638" s="402"/>
      <c r="Z1638" s="402"/>
      <c r="AA1638" s="405"/>
      <c r="AB1638" s="405"/>
      <c r="AC1638" s="405"/>
      <c r="AD1638" s="405"/>
      <c r="AE1638" s="405"/>
      <c r="AF1638" s="405"/>
      <c r="AG1638" s="405"/>
      <c r="AH1638" s="405"/>
      <c r="AI1638" s="405"/>
      <c r="AJ1638" s="405"/>
      <c r="AK1638" s="405"/>
      <c r="AL1638" s="405"/>
    </row>
    <row r="1639" ht="14.25" customHeight="1">
      <c r="A1639" s="402"/>
      <c r="B1639" s="402"/>
      <c r="C1639" s="402"/>
      <c r="D1639" s="402"/>
      <c r="E1639" s="402"/>
      <c r="F1639" s="402"/>
      <c r="G1639" s="403"/>
      <c r="H1639" s="402"/>
      <c r="I1639" s="402"/>
      <c r="J1639" s="402"/>
      <c r="K1639" s="402"/>
      <c r="L1639" s="402"/>
      <c r="M1639" s="402"/>
      <c r="N1639" s="402"/>
      <c r="O1639" s="402"/>
      <c r="P1639" s="402"/>
      <c r="Q1639" s="402"/>
      <c r="R1639" s="402"/>
      <c r="S1639" s="402"/>
      <c r="T1639" s="402"/>
      <c r="U1639" s="402"/>
      <c r="V1639" s="402"/>
      <c r="W1639" s="402"/>
      <c r="X1639" s="402"/>
      <c r="Y1639" s="402"/>
      <c r="Z1639" s="402"/>
      <c r="AA1639" s="405"/>
      <c r="AB1639" s="405"/>
      <c r="AC1639" s="405"/>
      <c r="AD1639" s="405"/>
      <c r="AE1639" s="405"/>
      <c r="AF1639" s="405"/>
      <c r="AG1639" s="405"/>
      <c r="AH1639" s="405"/>
      <c r="AI1639" s="405"/>
      <c r="AJ1639" s="405"/>
      <c r="AK1639" s="405"/>
      <c r="AL1639" s="405"/>
    </row>
    <row r="1640" ht="14.25" customHeight="1">
      <c r="A1640" s="402"/>
      <c r="B1640" s="402"/>
      <c r="C1640" s="402"/>
      <c r="D1640" s="402"/>
      <c r="E1640" s="402"/>
      <c r="F1640" s="402"/>
      <c r="G1640" s="403"/>
      <c r="H1640" s="402"/>
      <c r="I1640" s="402"/>
      <c r="J1640" s="402"/>
      <c r="K1640" s="402"/>
      <c r="L1640" s="402"/>
      <c r="M1640" s="402"/>
      <c r="N1640" s="402"/>
      <c r="O1640" s="402"/>
      <c r="P1640" s="402"/>
      <c r="Q1640" s="402"/>
      <c r="R1640" s="402"/>
      <c r="S1640" s="402"/>
      <c r="T1640" s="402"/>
      <c r="U1640" s="402"/>
      <c r="V1640" s="402"/>
      <c r="W1640" s="402"/>
      <c r="X1640" s="402"/>
      <c r="Y1640" s="402"/>
      <c r="Z1640" s="402"/>
      <c r="AA1640" s="405"/>
      <c r="AB1640" s="405"/>
      <c r="AC1640" s="405"/>
      <c r="AD1640" s="405"/>
      <c r="AE1640" s="405"/>
      <c r="AF1640" s="405"/>
      <c r="AG1640" s="405"/>
      <c r="AH1640" s="405"/>
      <c r="AI1640" s="405"/>
      <c r="AJ1640" s="405"/>
      <c r="AK1640" s="405"/>
      <c r="AL1640" s="405"/>
    </row>
    <row r="1641" ht="14.25" customHeight="1">
      <c r="A1641" s="402"/>
      <c r="B1641" s="402"/>
      <c r="C1641" s="402"/>
      <c r="D1641" s="402"/>
      <c r="E1641" s="402"/>
      <c r="F1641" s="402"/>
      <c r="G1641" s="403"/>
      <c r="H1641" s="402"/>
      <c r="I1641" s="402"/>
      <c r="J1641" s="402"/>
      <c r="K1641" s="402"/>
      <c r="L1641" s="402"/>
      <c r="M1641" s="402"/>
      <c r="N1641" s="402"/>
      <c r="O1641" s="402"/>
      <c r="P1641" s="402"/>
      <c r="Q1641" s="402"/>
      <c r="R1641" s="402"/>
      <c r="S1641" s="402"/>
      <c r="T1641" s="402"/>
      <c r="U1641" s="402"/>
      <c r="V1641" s="402"/>
      <c r="W1641" s="402"/>
      <c r="X1641" s="402"/>
      <c r="Y1641" s="402"/>
      <c r="Z1641" s="402"/>
      <c r="AA1641" s="405"/>
      <c r="AB1641" s="405"/>
      <c r="AC1641" s="405"/>
      <c r="AD1641" s="405"/>
      <c r="AE1641" s="405"/>
      <c r="AF1641" s="405"/>
      <c r="AG1641" s="405"/>
      <c r="AH1641" s="405"/>
      <c r="AI1641" s="405"/>
      <c r="AJ1641" s="405"/>
      <c r="AK1641" s="405"/>
      <c r="AL1641" s="405"/>
    </row>
    <row r="1642" ht="14.25" customHeight="1">
      <c r="A1642" s="402"/>
      <c r="B1642" s="402"/>
      <c r="C1642" s="402"/>
      <c r="D1642" s="402"/>
      <c r="E1642" s="402"/>
      <c r="F1642" s="402"/>
      <c r="G1642" s="403"/>
      <c r="H1642" s="402"/>
      <c r="I1642" s="402"/>
      <c r="J1642" s="402"/>
      <c r="K1642" s="402"/>
      <c r="L1642" s="402"/>
      <c r="M1642" s="402"/>
      <c r="N1642" s="402"/>
      <c r="O1642" s="402"/>
      <c r="P1642" s="402"/>
      <c r="Q1642" s="402"/>
      <c r="R1642" s="402"/>
      <c r="S1642" s="402"/>
      <c r="T1642" s="402"/>
      <c r="U1642" s="402"/>
      <c r="V1642" s="402"/>
      <c r="W1642" s="402"/>
      <c r="X1642" s="402"/>
      <c r="Y1642" s="402"/>
      <c r="Z1642" s="402"/>
      <c r="AA1642" s="405"/>
      <c r="AB1642" s="405"/>
      <c r="AC1642" s="405"/>
      <c r="AD1642" s="405"/>
      <c r="AE1642" s="405"/>
      <c r="AF1642" s="405"/>
      <c r="AG1642" s="405"/>
      <c r="AH1642" s="405"/>
      <c r="AI1642" s="405"/>
      <c r="AJ1642" s="405"/>
      <c r="AK1642" s="405"/>
      <c r="AL1642" s="405"/>
    </row>
    <row r="1643" ht="14.25" customHeight="1">
      <c r="A1643" s="402"/>
      <c r="B1643" s="402"/>
      <c r="C1643" s="402"/>
      <c r="D1643" s="402"/>
      <c r="E1643" s="402"/>
      <c r="F1643" s="402"/>
      <c r="G1643" s="403"/>
      <c r="H1643" s="402"/>
      <c r="I1643" s="402"/>
      <c r="J1643" s="402"/>
      <c r="K1643" s="402"/>
      <c r="L1643" s="402"/>
      <c r="M1643" s="402"/>
      <c r="N1643" s="402"/>
      <c r="O1643" s="402"/>
      <c r="P1643" s="402"/>
      <c r="Q1643" s="402"/>
      <c r="R1643" s="402"/>
      <c r="S1643" s="402"/>
      <c r="T1643" s="402"/>
      <c r="U1643" s="402"/>
      <c r="V1643" s="402"/>
      <c r="W1643" s="402"/>
      <c r="X1643" s="402"/>
      <c r="Y1643" s="402"/>
      <c r="Z1643" s="402"/>
      <c r="AA1643" s="405"/>
      <c r="AB1643" s="405"/>
      <c r="AC1643" s="405"/>
      <c r="AD1643" s="405"/>
      <c r="AE1643" s="405"/>
      <c r="AF1643" s="405"/>
      <c r="AG1643" s="405"/>
      <c r="AH1643" s="405"/>
      <c r="AI1643" s="405"/>
      <c r="AJ1643" s="405"/>
      <c r="AK1643" s="405"/>
      <c r="AL1643" s="405"/>
    </row>
    <row r="1644" ht="14.25" customHeight="1">
      <c r="A1644" s="402"/>
      <c r="B1644" s="402"/>
      <c r="C1644" s="402"/>
      <c r="D1644" s="402"/>
      <c r="E1644" s="402"/>
      <c r="F1644" s="402"/>
      <c r="G1644" s="403"/>
      <c r="H1644" s="402"/>
      <c r="I1644" s="402"/>
      <c r="J1644" s="402"/>
      <c r="K1644" s="402"/>
      <c r="L1644" s="402"/>
      <c r="M1644" s="402"/>
      <c r="N1644" s="402"/>
      <c r="O1644" s="402"/>
      <c r="P1644" s="402"/>
      <c r="Q1644" s="402"/>
      <c r="R1644" s="402"/>
      <c r="S1644" s="402"/>
      <c r="T1644" s="402"/>
      <c r="U1644" s="402"/>
      <c r="V1644" s="402"/>
      <c r="W1644" s="402"/>
      <c r="X1644" s="402"/>
      <c r="Y1644" s="402"/>
      <c r="Z1644" s="402"/>
      <c r="AA1644" s="405"/>
      <c r="AB1644" s="405"/>
      <c r="AC1644" s="405"/>
      <c r="AD1644" s="405"/>
      <c r="AE1644" s="405"/>
      <c r="AF1644" s="405"/>
      <c r="AG1644" s="405"/>
      <c r="AH1644" s="405"/>
      <c r="AI1644" s="405"/>
      <c r="AJ1644" s="405"/>
      <c r="AK1644" s="405"/>
      <c r="AL1644" s="405"/>
    </row>
    <row r="1645" ht="14.25" customHeight="1">
      <c r="A1645" s="402"/>
      <c r="B1645" s="402"/>
      <c r="C1645" s="402"/>
      <c r="D1645" s="402"/>
      <c r="E1645" s="402"/>
      <c r="F1645" s="402"/>
      <c r="G1645" s="403"/>
      <c r="H1645" s="402"/>
      <c r="I1645" s="402"/>
      <c r="J1645" s="402"/>
      <c r="K1645" s="402"/>
      <c r="L1645" s="402"/>
      <c r="M1645" s="402"/>
      <c r="N1645" s="402"/>
      <c r="O1645" s="402"/>
      <c r="P1645" s="402"/>
      <c r="Q1645" s="402"/>
      <c r="R1645" s="402"/>
      <c r="S1645" s="402"/>
      <c r="T1645" s="402"/>
      <c r="U1645" s="402"/>
      <c r="V1645" s="402"/>
      <c r="W1645" s="402"/>
      <c r="X1645" s="402"/>
      <c r="Y1645" s="402"/>
      <c r="Z1645" s="402"/>
      <c r="AA1645" s="405"/>
      <c r="AB1645" s="405"/>
      <c r="AC1645" s="405"/>
      <c r="AD1645" s="405"/>
      <c r="AE1645" s="405"/>
      <c r="AF1645" s="405"/>
      <c r="AG1645" s="405"/>
      <c r="AH1645" s="405"/>
      <c r="AI1645" s="405"/>
      <c r="AJ1645" s="405"/>
      <c r="AK1645" s="405"/>
      <c r="AL1645" s="405"/>
    </row>
    <row r="1646" ht="14.25" customHeight="1">
      <c r="A1646" s="402"/>
      <c r="B1646" s="402"/>
      <c r="C1646" s="402"/>
      <c r="D1646" s="402"/>
      <c r="E1646" s="402"/>
      <c r="F1646" s="402"/>
      <c r="G1646" s="403"/>
      <c r="H1646" s="402"/>
      <c r="I1646" s="402"/>
      <c r="J1646" s="402"/>
      <c r="K1646" s="402"/>
      <c r="L1646" s="402"/>
      <c r="M1646" s="402"/>
      <c r="N1646" s="402"/>
      <c r="O1646" s="402"/>
      <c r="P1646" s="402"/>
      <c r="Q1646" s="402"/>
      <c r="R1646" s="402"/>
      <c r="S1646" s="402"/>
      <c r="T1646" s="402"/>
      <c r="U1646" s="402"/>
      <c r="V1646" s="402"/>
      <c r="W1646" s="402"/>
      <c r="X1646" s="402"/>
      <c r="Y1646" s="402"/>
      <c r="Z1646" s="402"/>
      <c r="AA1646" s="405"/>
      <c r="AB1646" s="405"/>
      <c r="AC1646" s="405"/>
      <c r="AD1646" s="405"/>
      <c r="AE1646" s="405"/>
      <c r="AF1646" s="405"/>
      <c r="AG1646" s="405"/>
      <c r="AH1646" s="405"/>
      <c r="AI1646" s="405"/>
      <c r="AJ1646" s="405"/>
      <c r="AK1646" s="405"/>
      <c r="AL1646" s="405"/>
    </row>
    <row r="1647" ht="14.25" customHeight="1">
      <c r="A1647" s="402"/>
      <c r="B1647" s="402"/>
      <c r="C1647" s="402"/>
      <c r="D1647" s="402"/>
      <c r="E1647" s="402"/>
      <c r="F1647" s="402"/>
      <c r="G1647" s="403"/>
      <c r="H1647" s="402"/>
      <c r="I1647" s="402"/>
      <c r="J1647" s="402"/>
      <c r="K1647" s="402"/>
      <c r="L1647" s="402"/>
      <c r="M1647" s="402"/>
      <c r="N1647" s="402"/>
      <c r="O1647" s="402"/>
      <c r="P1647" s="402"/>
      <c r="Q1647" s="402"/>
      <c r="R1647" s="402"/>
      <c r="S1647" s="402"/>
      <c r="T1647" s="402"/>
      <c r="U1647" s="402"/>
      <c r="V1647" s="402"/>
      <c r="W1647" s="402"/>
      <c r="X1647" s="402"/>
      <c r="Y1647" s="402"/>
      <c r="Z1647" s="402"/>
      <c r="AA1647" s="405"/>
      <c r="AB1647" s="405"/>
      <c r="AC1647" s="405"/>
      <c r="AD1647" s="405"/>
      <c r="AE1647" s="405"/>
      <c r="AF1647" s="405"/>
      <c r="AG1647" s="405"/>
      <c r="AH1647" s="405"/>
      <c r="AI1647" s="405"/>
      <c r="AJ1647" s="405"/>
      <c r="AK1647" s="405"/>
      <c r="AL1647" s="405"/>
    </row>
    <row r="1648" ht="14.25" customHeight="1">
      <c r="A1648" s="402"/>
      <c r="B1648" s="402"/>
      <c r="C1648" s="402"/>
      <c r="D1648" s="402"/>
      <c r="E1648" s="402"/>
      <c r="F1648" s="402"/>
      <c r="G1648" s="403"/>
      <c r="H1648" s="402"/>
      <c r="I1648" s="402"/>
      <c r="J1648" s="402"/>
      <c r="K1648" s="402"/>
      <c r="L1648" s="402"/>
      <c r="M1648" s="402"/>
      <c r="N1648" s="402"/>
      <c r="O1648" s="402"/>
      <c r="P1648" s="402"/>
      <c r="Q1648" s="402"/>
      <c r="R1648" s="402"/>
      <c r="S1648" s="402"/>
      <c r="T1648" s="402"/>
      <c r="U1648" s="402"/>
      <c r="V1648" s="402"/>
      <c r="W1648" s="402"/>
      <c r="X1648" s="402"/>
      <c r="Y1648" s="402"/>
      <c r="Z1648" s="402"/>
      <c r="AA1648" s="405"/>
      <c r="AB1648" s="405"/>
      <c r="AC1648" s="405"/>
      <c r="AD1648" s="405"/>
      <c r="AE1648" s="405"/>
      <c r="AF1648" s="405"/>
      <c r="AG1648" s="405"/>
      <c r="AH1648" s="405"/>
      <c r="AI1648" s="405"/>
      <c r="AJ1648" s="405"/>
      <c r="AK1648" s="405"/>
      <c r="AL1648" s="405"/>
    </row>
    <row r="1649" ht="14.25" customHeight="1">
      <c r="A1649" s="402"/>
      <c r="B1649" s="402"/>
      <c r="C1649" s="402"/>
      <c r="D1649" s="402"/>
      <c r="E1649" s="402"/>
      <c r="F1649" s="402"/>
      <c r="G1649" s="403"/>
      <c r="H1649" s="402"/>
      <c r="I1649" s="402"/>
      <c r="J1649" s="402"/>
      <c r="K1649" s="402"/>
      <c r="L1649" s="402"/>
      <c r="M1649" s="402"/>
      <c r="N1649" s="402"/>
      <c r="O1649" s="402"/>
      <c r="P1649" s="402"/>
      <c r="Q1649" s="402"/>
      <c r="R1649" s="402"/>
      <c r="S1649" s="402"/>
      <c r="T1649" s="402"/>
      <c r="U1649" s="402"/>
      <c r="V1649" s="402"/>
      <c r="W1649" s="402"/>
      <c r="X1649" s="402"/>
      <c r="Y1649" s="402"/>
      <c r="Z1649" s="402"/>
      <c r="AA1649" s="405"/>
      <c r="AB1649" s="405"/>
      <c r="AC1649" s="405"/>
      <c r="AD1649" s="405"/>
      <c r="AE1649" s="405"/>
      <c r="AF1649" s="405"/>
      <c r="AG1649" s="405"/>
      <c r="AH1649" s="405"/>
      <c r="AI1649" s="405"/>
      <c r="AJ1649" s="405"/>
      <c r="AK1649" s="405"/>
      <c r="AL1649" s="405"/>
    </row>
    <row r="1650" ht="14.25" customHeight="1">
      <c r="A1650" s="402"/>
      <c r="B1650" s="402"/>
      <c r="C1650" s="402"/>
      <c r="D1650" s="402"/>
      <c r="E1650" s="402"/>
      <c r="F1650" s="402"/>
      <c r="G1650" s="403"/>
      <c r="H1650" s="402"/>
      <c r="I1650" s="402"/>
      <c r="J1650" s="402"/>
      <c r="K1650" s="402"/>
      <c r="L1650" s="402"/>
      <c r="M1650" s="402"/>
      <c r="N1650" s="402"/>
      <c r="O1650" s="402"/>
      <c r="P1650" s="402"/>
      <c r="Q1650" s="402"/>
      <c r="R1650" s="402"/>
      <c r="S1650" s="402"/>
      <c r="T1650" s="402"/>
      <c r="U1650" s="402"/>
      <c r="V1650" s="402"/>
      <c r="W1650" s="402"/>
      <c r="X1650" s="402"/>
      <c r="Y1650" s="402"/>
      <c r="Z1650" s="402"/>
      <c r="AA1650" s="405"/>
      <c r="AB1650" s="405"/>
      <c r="AC1650" s="405"/>
      <c r="AD1650" s="405"/>
      <c r="AE1650" s="405"/>
      <c r="AF1650" s="405"/>
      <c r="AG1650" s="405"/>
      <c r="AH1650" s="405"/>
      <c r="AI1650" s="405"/>
      <c r="AJ1650" s="405"/>
      <c r="AK1650" s="405"/>
      <c r="AL1650" s="405"/>
    </row>
    <row r="1651" ht="14.25" customHeight="1">
      <c r="A1651" s="402"/>
      <c r="B1651" s="402"/>
      <c r="C1651" s="402"/>
      <c r="D1651" s="402"/>
      <c r="E1651" s="402"/>
      <c r="F1651" s="402"/>
      <c r="G1651" s="403"/>
      <c r="H1651" s="402"/>
      <c r="I1651" s="402"/>
      <c r="J1651" s="402"/>
      <c r="K1651" s="402"/>
      <c r="L1651" s="402"/>
      <c r="M1651" s="402"/>
      <c r="N1651" s="402"/>
      <c r="O1651" s="402"/>
      <c r="P1651" s="402"/>
      <c r="Q1651" s="402"/>
      <c r="R1651" s="402"/>
      <c r="S1651" s="402"/>
      <c r="T1651" s="402"/>
      <c r="U1651" s="402"/>
      <c r="V1651" s="402"/>
      <c r="W1651" s="402"/>
      <c r="X1651" s="402"/>
      <c r="Y1651" s="402"/>
      <c r="Z1651" s="402"/>
      <c r="AA1651" s="405"/>
      <c r="AB1651" s="405"/>
      <c r="AC1651" s="405"/>
      <c r="AD1651" s="405"/>
      <c r="AE1651" s="405"/>
      <c r="AF1651" s="405"/>
      <c r="AG1651" s="405"/>
      <c r="AH1651" s="405"/>
      <c r="AI1651" s="405"/>
      <c r="AJ1651" s="405"/>
      <c r="AK1651" s="405"/>
      <c r="AL1651" s="405"/>
    </row>
    <row r="1652" ht="14.25" customHeight="1">
      <c r="A1652" s="402"/>
      <c r="B1652" s="402"/>
      <c r="C1652" s="402"/>
      <c r="D1652" s="402"/>
      <c r="E1652" s="402"/>
      <c r="F1652" s="402"/>
      <c r="G1652" s="403"/>
      <c r="H1652" s="402"/>
      <c r="I1652" s="402"/>
      <c r="J1652" s="402"/>
      <c r="K1652" s="402"/>
      <c r="L1652" s="402"/>
      <c r="M1652" s="402"/>
      <c r="N1652" s="402"/>
      <c r="O1652" s="402"/>
      <c r="P1652" s="402"/>
      <c r="Q1652" s="402"/>
      <c r="R1652" s="402"/>
      <c r="S1652" s="402"/>
      <c r="T1652" s="402"/>
      <c r="U1652" s="402"/>
      <c r="V1652" s="402"/>
      <c r="W1652" s="402"/>
      <c r="X1652" s="402"/>
      <c r="Y1652" s="402"/>
      <c r="Z1652" s="402"/>
      <c r="AA1652" s="405"/>
      <c r="AB1652" s="405"/>
      <c r="AC1652" s="405"/>
      <c r="AD1652" s="405"/>
      <c r="AE1652" s="405"/>
      <c r="AF1652" s="405"/>
      <c r="AG1652" s="405"/>
      <c r="AH1652" s="405"/>
      <c r="AI1652" s="405"/>
      <c r="AJ1652" s="405"/>
      <c r="AK1652" s="405"/>
      <c r="AL1652" s="405"/>
    </row>
    <row r="1653" ht="14.25" customHeight="1">
      <c r="A1653" s="402"/>
      <c r="B1653" s="402"/>
      <c r="C1653" s="402"/>
      <c r="D1653" s="402"/>
      <c r="E1653" s="402"/>
      <c r="F1653" s="402"/>
      <c r="G1653" s="403"/>
      <c r="H1653" s="402"/>
      <c r="I1653" s="402"/>
      <c r="J1653" s="402"/>
      <c r="K1653" s="402"/>
      <c r="L1653" s="402"/>
      <c r="M1653" s="402"/>
      <c r="N1653" s="402"/>
      <c r="O1653" s="402"/>
      <c r="P1653" s="402"/>
      <c r="Q1653" s="402"/>
      <c r="R1653" s="402"/>
      <c r="S1653" s="402"/>
      <c r="T1653" s="402"/>
      <c r="U1653" s="402"/>
      <c r="V1653" s="402"/>
      <c r="W1653" s="402"/>
      <c r="X1653" s="402"/>
      <c r="Y1653" s="402"/>
      <c r="Z1653" s="402"/>
      <c r="AA1653" s="405"/>
      <c r="AB1653" s="405"/>
      <c r="AC1653" s="405"/>
      <c r="AD1653" s="405"/>
      <c r="AE1653" s="405"/>
      <c r="AF1653" s="405"/>
      <c r="AG1653" s="405"/>
      <c r="AH1653" s="405"/>
      <c r="AI1653" s="405"/>
      <c r="AJ1653" s="405"/>
      <c r="AK1653" s="405"/>
      <c r="AL1653" s="405"/>
    </row>
    <row r="1654" ht="14.25" customHeight="1">
      <c r="A1654" s="402"/>
      <c r="B1654" s="402"/>
      <c r="C1654" s="402"/>
      <c r="D1654" s="402"/>
      <c r="E1654" s="402"/>
      <c r="F1654" s="402"/>
      <c r="G1654" s="403"/>
      <c r="H1654" s="402"/>
      <c r="I1654" s="402"/>
      <c r="J1654" s="402"/>
      <c r="K1654" s="402"/>
      <c r="L1654" s="402"/>
      <c r="M1654" s="402"/>
      <c r="N1654" s="402"/>
      <c r="O1654" s="402"/>
      <c r="P1654" s="402"/>
      <c r="Q1654" s="402"/>
      <c r="R1654" s="402"/>
      <c r="S1654" s="402"/>
      <c r="T1654" s="402"/>
      <c r="U1654" s="402"/>
      <c r="V1654" s="402"/>
      <c r="W1654" s="402"/>
      <c r="X1654" s="402"/>
      <c r="Y1654" s="402"/>
      <c r="Z1654" s="402"/>
      <c r="AA1654" s="405"/>
      <c r="AB1654" s="405"/>
      <c r="AC1654" s="405"/>
      <c r="AD1654" s="405"/>
      <c r="AE1654" s="405"/>
      <c r="AF1654" s="405"/>
      <c r="AG1654" s="405"/>
      <c r="AH1654" s="405"/>
      <c r="AI1654" s="405"/>
      <c r="AJ1654" s="405"/>
      <c r="AK1654" s="405"/>
      <c r="AL1654" s="405"/>
    </row>
    <row r="1655" ht="14.25" customHeight="1">
      <c r="A1655" s="402"/>
      <c r="B1655" s="402"/>
      <c r="C1655" s="402"/>
      <c r="D1655" s="402"/>
      <c r="E1655" s="402"/>
      <c r="F1655" s="402"/>
      <c r="G1655" s="403"/>
      <c r="H1655" s="402"/>
      <c r="I1655" s="402"/>
      <c r="J1655" s="402"/>
      <c r="K1655" s="402"/>
      <c r="L1655" s="402"/>
      <c r="M1655" s="402"/>
      <c r="N1655" s="402"/>
      <c r="O1655" s="402"/>
      <c r="P1655" s="402"/>
      <c r="Q1655" s="402"/>
      <c r="R1655" s="402"/>
      <c r="S1655" s="402"/>
      <c r="T1655" s="402"/>
      <c r="U1655" s="402"/>
      <c r="V1655" s="402"/>
      <c r="W1655" s="402"/>
      <c r="X1655" s="402"/>
      <c r="Y1655" s="402"/>
      <c r="Z1655" s="402"/>
      <c r="AA1655" s="405"/>
      <c r="AB1655" s="405"/>
      <c r="AC1655" s="405"/>
      <c r="AD1655" s="405"/>
      <c r="AE1655" s="405"/>
      <c r="AF1655" s="405"/>
      <c r="AG1655" s="405"/>
      <c r="AH1655" s="405"/>
      <c r="AI1655" s="405"/>
      <c r="AJ1655" s="405"/>
      <c r="AK1655" s="405"/>
      <c r="AL1655" s="405"/>
    </row>
    <row r="1656" ht="14.25" customHeight="1">
      <c r="A1656" s="402"/>
      <c r="B1656" s="402"/>
      <c r="C1656" s="402"/>
      <c r="D1656" s="402"/>
      <c r="E1656" s="402"/>
      <c r="F1656" s="402"/>
      <c r="G1656" s="403"/>
      <c r="H1656" s="402"/>
      <c r="I1656" s="402"/>
      <c r="J1656" s="402"/>
      <c r="K1656" s="402"/>
      <c r="L1656" s="402"/>
      <c r="M1656" s="402"/>
      <c r="N1656" s="402"/>
      <c r="O1656" s="402"/>
      <c r="P1656" s="402"/>
      <c r="Q1656" s="402"/>
      <c r="R1656" s="402"/>
      <c r="S1656" s="402"/>
      <c r="T1656" s="402"/>
      <c r="U1656" s="402"/>
      <c r="V1656" s="402"/>
      <c r="W1656" s="402"/>
      <c r="X1656" s="402"/>
      <c r="Y1656" s="402"/>
      <c r="Z1656" s="402"/>
      <c r="AA1656" s="405"/>
      <c r="AB1656" s="405"/>
      <c r="AC1656" s="405"/>
      <c r="AD1656" s="405"/>
      <c r="AE1656" s="405"/>
      <c r="AF1656" s="405"/>
      <c r="AG1656" s="405"/>
      <c r="AH1656" s="405"/>
      <c r="AI1656" s="405"/>
      <c r="AJ1656" s="405"/>
      <c r="AK1656" s="405"/>
      <c r="AL1656" s="405"/>
    </row>
    <row r="1657" ht="14.25" customHeight="1">
      <c r="A1657" s="402"/>
      <c r="B1657" s="402"/>
      <c r="C1657" s="402"/>
      <c r="D1657" s="402"/>
      <c r="E1657" s="402"/>
      <c r="F1657" s="402"/>
      <c r="G1657" s="403"/>
      <c r="H1657" s="402"/>
      <c r="I1657" s="402"/>
      <c r="J1657" s="402"/>
      <c r="K1657" s="402"/>
      <c r="L1657" s="402"/>
      <c r="M1657" s="402"/>
      <c r="N1657" s="402"/>
      <c r="O1657" s="402"/>
      <c r="P1657" s="402"/>
      <c r="Q1657" s="402"/>
      <c r="R1657" s="402"/>
      <c r="S1657" s="402"/>
      <c r="T1657" s="402"/>
      <c r="U1657" s="402"/>
      <c r="V1657" s="402"/>
      <c r="W1657" s="402"/>
      <c r="X1657" s="402"/>
      <c r="Y1657" s="402"/>
      <c r="Z1657" s="402"/>
      <c r="AA1657" s="405"/>
      <c r="AB1657" s="405"/>
      <c r="AC1657" s="405"/>
      <c r="AD1657" s="405"/>
      <c r="AE1657" s="405"/>
      <c r="AF1657" s="405"/>
      <c r="AG1657" s="405"/>
      <c r="AH1657" s="405"/>
      <c r="AI1657" s="405"/>
      <c r="AJ1657" s="405"/>
      <c r="AK1657" s="405"/>
      <c r="AL1657" s="405"/>
    </row>
    <row r="1658" ht="14.25" customHeight="1">
      <c r="A1658" s="402"/>
      <c r="B1658" s="402"/>
      <c r="C1658" s="402"/>
      <c r="D1658" s="402"/>
      <c r="E1658" s="402"/>
      <c r="F1658" s="402"/>
      <c r="G1658" s="403"/>
      <c r="H1658" s="402"/>
      <c r="I1658" s="402"/>
      <c r="J1658" s="402"/>
      <c r="K1658" s="402"/>
      <c r="L1658" s="402"/>
      <c r="M1658" s="402"/>
      <c r="N1658" s="402"/>
      <c r="O1658" s="402"/>
      <c r="P1658" s="402"/>
      <c r="Q1658" s="402"/>
      <c r="R1658" s="402"/>
      <c r="S1658" s="402"/>
      <c r="T1658" s="402"/>
      <c r="U1658" s="402"/>
      <c r="V1658" s="402"/>
      <c r="W1658" s="402"/>
      <c r="X1658" s="402"/>
      <c r="Y1658" s="402"/>
      <c r="Z1658" s="402"/>
      <c r="AA1658" s="405"/>
      <c r="AB1658" s="405"/>
      <c r="AC1658" s="405"/>
      <c r="AD1658" s="405"/>
      <c r="AE1658" s="405"/>
      <c r="AF1658" s="405"/>
      <c r="AG1658" s="405"/>
      <c r="AH1658" s="405"/>
      <c r="AI1658" s="405"/>
      <c r="AJ1658" s="405"/>
      <c r="AK1658" s="405"/>
      <c r="AL1658" s="405"/>
    </row>
    <row r="1659" ht="14.25" customHeight="1">
      <c r="A1659" s="402"/>
      <c r="B1659" s="402"/>
      <c r="C1659" s="402"/>
      <c r="D1659" s="402"/>
      <c r="E1659" s="402"/>
      <c r="F1659" s="402"/>
      <c r="G1659" s="403"/>
      <c r="H1659" s="402"/>
      <c r="I1659" s="402"/>
      <c r="J1659" s="402"/>
      <c r="K1659" s="402"/>
      <c r="L1659" s="402"/>
      <c r="M1659" s="402"/>
      <c r="N1659" s="402"/>
      <c r="O1659" s="402"/>
      <c r="P1659" s="402"/>
      <c r="Q1659" s="402"/>
      <c r="R1659" s="402"/>
      <c r="S1659" s="402"/>
      <c r="T1659" s="402"/>
      <c r="U1659" s="402"/>
      <c r="V1659" s="402"/>
      <c r="W1659" s="402"/>
      <c r="X1659" s="402"/>
      <c r="Y1659" s="402"/>
      <c r="Z1659" s="402"/>
      <c r="AA1659" s="405"/>
      <c r="AB1659" s="405"/>
      <c r="AC1659" s="405"/>
      <c r="AD1659" s="405"/>
      <c r="AE1659" s="405"/>
      <c r="AF1659" s="405"/>
      <c r="AG1659" s="405"/>
      <c r="AH1659" s="405"/>
      <c r="AI1659" s="405"/>
      <c r="AJ1659" s="405"/>
      <c r="AK1659" s="405"/>
      <c r="AL1659" s="405"/>
    </row>
    <row r="1660" ht="14.25" customHeight="1">
      <c r="A1660" s="402"/>
      <c r="B1660" s="402"/>
      <c r="C1660" s="402"/>
      <c r="D1660" s="402"/>
      <c r="E1660" s="402"/>
      <c r="F1660" s="402"/>
      <c r="G1660" s="403"/>
      <c r="H1660" s="402"/>
      <c r="I1660" s="402"/>
      <c r="J1660" s="402"/>
      <c r="K1660" s="402"/>
      <c r="L1660" s="402"/>
      <c r="M1660" s="402"/>
      <c r="N1660" s="402"/>
      <c r="O1660" s="402"/>
      <c r="P1660" s="402"/>
      <c r="Q1660" s="402"/>
      <c r="R1660" s="402"/>
      <c r="S1660" s="402"/>
      <c r="T1660" s="402"/>
      <c r="U1660" s="402"/>
      <c r="V1660" s="402"/>
      <c r="W1660" s="402"/>
      <c r="X1660" s="402"/>
      <c r="Y1660" s="402"/>
      <c r="Z1660" s="402"/>
      <c r="AA1660" s="405"/>
      <c r="AB1660" s="405"/>
      <c r="AC1660" s="405"/>
      <c r="AD1660" s="405"/>
      <c r="AE1660" s="405"/>
      <c r="AF1660" s="405"/>
      <c r="AG1660" s="405"/>
      <c r="AH1660" s="405"/>
      <c r="AI1660" s="405"/>
      <c r="AJ1660" s="405"/>
      <c r="AK1660" s="405"/>
      <c r="AL1660" s="405"/>
    </row>
    <row r="1661" ht="14.25" customHeight="1">
      <c r="A1661" s="402"/>
      <c r="B1661" s="402"/>
      <c r="C1661" s="402"/>
      <c r="D1661" s="402"/>
      <c r="E1661" s="402"/>
      <c r="F1661" s="402"/>
      <c r="G1661" s="403"/>
      <c r="H1661" s="402"/>
      <c r="I1661" s="402"/>
      <c r="J1661" s="402"/>
      <c r="K1661" s="402"/>
      <c r="L1661" s="402"/>
      <c r="M1661" s="402"/>
      <c r="N1661" s="402"/>
      <c r="O1661" s="402"/>
      <c r="P1661" s="402"/>
      <c r="Q1661" s="402"/>
      <c r="R1661" s="402"/>
      <c r="S1661" s="402"/>
      <c r="T1661" s="402"/>
      <c r="U1661" s="402"/>
      <c r="V1661" s="402"/>
      <c r="W1661" s="402"/>
      <c r="X1661" s="402"/>
      <c r="Y1661" s="402"/>
      <c r="Z1661" s="402"/>
      <c r="AA1661" s="405"/>
      <c r="AB1661" s="405"/>
      <c r="AC1661" s="405"/>
      <c r="AD1661" s="405"/>
      <c r="AE1661" s="405"/>
      <c r="AF1661" s="405"/>
      <c r="AG1661" s="405"/>
      <c r="AH1661" s="405"/>
      <c r="AI1661" s="405"/>
      <c r="AJ1661" s="405"/>
      <c r="AK1661" s="405"/>
      <c r="AL1661" s="405"/>
    </row>
    <row r="1662" ht="14.25" customHeight="1">
      <c r="A1662" s="402"/>
      <c r="B1662" s="402"/>
      <c r="C1662" s="402"/>
      <c r="D1662" s="402"/>
      <c r="E1662" s="402"/>
      <c r="F1662" s="402"/>
      <c r="G1662" s="403"/>
      <c r="H1662" s="402"/>
      <c r="I1662" s="402"/>
      <c r="J1662" s="402"/>
      <c r="K1662" s="402"/>
      <c r="L1662" s="402"/>
      <c r="M1662" s="402"/>
      <c r="N1662" s="402"/>
      <c r="O1662" s="402"/>
      <c r="P1662" s="402"/>
      <c r="Q1662" s="402"/>
      <c r="R1662" s="402"/>
      <c r="S1662" s="402"/>
      <c r="T1662" s="402"/>
      <c r="U1662" s="402"/>
      <c r="V1662" s="402"/>
      <c r="W1662" s="402"/>
      <c r="X1662" s="402"/>
      <c r="Y1662" s="402"/>
      <c r="Z1662" s="402"/>
      <c r="AA1662" s="405"/>
      <c r="AB1662" s="405"/>
      <c r="AC1662" s="405"/>
      <c r="AD1662" s="405"/>
      <c r="AE1662" s="405"/>
      <c r="AF1662" s="405"/>
      <c r="AG1662" s="405"/>
      <c r="AH1662" s="405"/>
      <c r="AI1662" s="405"/>
      <c r="AJ1662" s="405"/>
      <c r="AK1662" s="405"/>
      <c r="AL1662" s="405"/>
    </row>
    <row r="1663" ht="14.25" customHeight="1">
      <c r="A1663" s="402"/>
      <c r="B1663" s="402"/>
      <c r="C1663" s="402"/>
      <c r="D1663" s="402"/>
      <c r="E1663" s="402"/>
      <c r="F1663" s="402"/>
      <c r="G1663" s="403"/>
      <c r="H1663" s="402"/>
      <c r="I1663" s="402"/>
      <c r="J1663" s="402"/>
      <c r="K1663" s="402"/>
      <c r="L1663" s="402"/>
      <c r="M1663" s="402"/>
      <c r="N1663" s="402"/>
      <c r="O1663" s="402"/>
      <c r="P1663" s="402"/>
      <c r="Q1663" s="402"/>
      <c r="R1663" s="402"/>
      <c r="S1663" s="402"/>
      <c r="T1663" s="402"/>
      <c r="U1663" s="402"/>
      <c r="V1663" s="402"/>
      <c r="W1663" s="402"/>
      <c r="X1663" s="402"/>
      <c r="Y1663" s="402"/>
      <c r="Z1663" s="402"/>
      <c r="AA1663" s="405"/>
      <c r="AB1663" s="405"/>
      <c r="AC1663" s="405"/>
      <c r="AD1663" s="405"/>
      <c r="AE1663" s="405"/>
      <c r="AF1663" s="405"/>
      <c r="AG1663" s="405"/>
      <c r="AH1663" s="405"/>
      <c r="AI1663" s="405"/>
      <c r="AJ1663" s="405"/>
      <c r="AK1663" s="405"/>
      <c r="AL1663" s="405"/>
    </row>
    <row r="1664" ht="14.25" customHeight="1">
      <c r="A1664" s="402"/>
      <c r="B1664" s="402"/>
      <c r="C1664" s="402"/>
      <c r="D1664" s="402"/>
      <c r="E1664" s="402"/>
      <c r="F1664" s="402"/>
      <c r="G1664" s="403"/>
      <c r="H1664" s="402"/>
      <c r="I1664" s="402"/>
      <c r="J1664" s="402"/>
      <c r="K1664" s="402"/>
      <c r="L1664" s="402"/>
      <c r="M1664" s="402"/>
      <c r="N1664" s="402"/>
      <c r="O1664" s="402"/>
      <c r="P1664" s="402"/>
      <c r="Q1664" s="402"/>
      <c r="R1664" s="402"/>
      <c r="S1664" s="402"/>
      <c r="T1664" s="402"/>
      <c r="U1664" s="402"/>
      <c r="V1664" s="402"/>
      <c r="W1664" s="402"/>
      <c r="X1664" s="402"/>
      <c r="Y1664" s="402"/>
      <c r="Z1664" s="402"/>
      <c r="AA1664" s="405"/>
      <c r="AB1664" s="405"/>
      <c r="AC1664" s="405"/>
      <c r="AD1664" s="405"/>
      <c r="AE1664" s="405"/>
      <c r="AF1664" s="405"/>
      <c r="AG1664" s="405"/>
      <c r="AH1664" s="405"/>
      <c r="AI1664" s="405"/>
      <c r="AJ1664" s="405"/>
      <c r="AK1664" s="405"/>
      <c r="AL1664" s="405"/>
    </row>
    <row r="1665" ht="14.25" customHeight="1">
      <c r="A1665" s="402"/>
      <c r="B1665" s="402"/>
      <c r="C1665" s="402"/>
      <c r="D1665" s="402"/>
      <c r="E1665" s="402"/>
      <c r="F1665" s="402"/>
      <c r="G1665" s="403"/>
      <c r="H1665" s="402"/>
      <c r="I1665" s="402"/>
      <c r="J1665" s="402"/>
      <c r="K1665" s="402"/>
      <c r="L1665" s="402"/>
      <c r="M1665" s="402"/>
      <c r="N1665" s="402"/>
      <c r="O1665" s="402"/>
      <c r="P1665" s="402"/>
      <c r="Q1665" s="402"/>
      <c r="R1665" s="402"/>
      <c r="S1665" s="402"/>
      <c r="T1665" s="402"/>
      <c r="U1665" s="402"/>
      <c r="V1665" s="402"/>
      <c r="W1665" s="402"/>
      <c r="X1665" s="402"/>
      <c r="Y1665" s="402"/>
      <c r="Z1665" s="402"/>
      <c r="AA1665" s="405"/>
      <c r="AB1665" s="405"/>
      <c r="AC1665" s="405"/>
      <c r="AD1665" s="405"/>
      <c r="AE1665" s="405"/>
      <c r="AF1665" s="405"/>
      <c r="AG1665" s="405"/>
      <c r="AH1665" s="405"/>
      <c r="AI1665" s="405"/>
      <c r="AJ1665" s="405"/>
      <c r="AK1665" s="405"/>
      <c r="AL1665" s="405"/>
    </row>
    <row r="1666" ht="14.25" customHeight="1">
      <c r="A1666" s="402"/>
      <c r="B1666" s="402"/>
      <c r="C1666" s="402"/>
      <c r="D1666" s="402"/>
      <c r="E1666" s="402"/>
      <c r="F1666" s="402"/>
      <c r="G1666" s="403"/>
      <c r="H1666" s="402"/>
      <c r="I1666" s="402"/>
      <c r="J1666" s="402"/>
      <c r="K1666" s="402"/>
      <c r="L1666" s="402"/>
      <c r="M1666" s="402"/>
      <c r="N1666" s="402"/>
      <c r="O1666" s="402"/>
      <c r="P1666" s="402"/>
      <c r="Q1666" s="402"/>
      <c r="R1666" s="402"/>
      <c r="S1666" s="402"/>
      <c r="T1666" s="402"/>
      <c r="U1666" s="402"/>
      <c r="V1666" s="402"/>
      <c r="W1666" s="402"/>
      <c r="X1666" s="402"/>
      <c r="Y1666" s="402"/>
      <c r="Z1666" s="402"/>
      <c r="AA1666" s="405"/>
      <c r="AB1666" s="405"/>
      <c r="AC1666" s="405"/>
      <c r="AD1666" s="405"/>
      <c r="AE1666" s="405"/>
      <c r="AF1666" s="405"/>
      <c r="AG1666" s="405"/>
      <c r="AH1666" s="405"/>
      <c r="AI1666" s="405"/>
      <c r="AJ1666" s="405"/>
      <c r="AK1666" s="405"/>
      <c r="AL1666" s="405"/>
    </row>
    <row r="1667" ht="14.25" customHeight="1">
      <c r="A1667" s="402"/>
      <c r="B1667" s="402"/>
      <c r="C1667" s="402"/>
      <c r="D1667" s="402"/>
      <c r="E1667" s="402"/>
      <c r="F1667" s="402"/>
      <c r="G1667" s="403"/>
      <c r="H1667" s="402"/>
      <c r="I1667" s="402"/>
      <c r="J1667" s="402"/>
      <c r="K1667" s="402"/>
      <c r="L1667" s="402"/>
      <c r="M1667" s="402"/>
      <c r="N1667" s="402"/>
      <c r="O1667" s="402"/>
      <c r="P1667" s="402"/>
      <c r="Q1667" s="402"/>
      <c r="R1667" s="402"/>
      <c r="S1667" s="402"/>
      <c r="T1667" s="402"/>
      <c r="U1667" s="402"/>
      <c r="V1667" s="402"/>
      <c r="W1667" s="402"/>
      <c r="X1667" s="402"/>
      <c r="Y1667" s="402"/>
      <c r="Z1667" s="402"/>
      <c r="AA1667" s="405"/>
      <c r="AB1667" s="405"/>
      <c r="AC1667" s="405"/>
      <c r="AD1667" s="405"/>
      <c r="AE1667" s="405"/>
      <c r="AF1667" s="405"/>
      <c r="AG1667" s="405"/>
      <c r="AH1667" s="405"/>
      <c r="AI1667" s="405"/>
      <c r="AJ1667" s="405"/>
      <c r="AK1667" s="405"/>
      <c r="AL1667" s="405"/>
    </row>
    <row r="1668" ht="14.25" customHeight="1">
      <c r="A1668" s="402"/>
      <c r="B1668" s="402"/>
      <c r="C1668" s="402"/>
      <c r="D1668" s="402"/>
      <c r="E1668" s="402"/>
      <c r="F1668" s="402"/>
      <c r="G1668" s="403"/>
      <c r="H1668" s="402"/>
      <c r="I1668" s="402"/>
      <c r="J1668" s="402"/>
      <c r="K1668" s="402"/>
      <c r="L1668" s="402"/>
      <c r="M1668" s="402"/>
      <c r="N1668" s="402"/>
      <c r="O1668" s="402"/>
      <c r="P1668" s="402"/>
      <c r="Q1668" s="402"/>
      <c r="R1668" s="402"/>
      <c r="S1668" s="402"/>
      <c r="T1668" s="402"/>
      <c r="U1668" s="402"/>
      <c r="V1668" s="402"/>
      <c r="W1668" s="402"/>
      <c r="X1668" s="402"/>
      <c r="Y1668" s="402"/>
      <c r="Z1668" s="402"/>
      <c r="AA1668" s="405"/>
      <c r="AB1668" s="405"/>
      <c r="AC1668" s="405"/>
      <c r="AD1668" s="405"/>
      <c r="AE1668" s="405"/>
      <c r="AF1668" s="405"/>
      <c r="AG1668" s="405"/>
      <c r="AH1668" s="405"/>
      <c r="AI1668" s="405"/>
      <c r="AJ1668" s="405"/>
      <c r="AK1668" s="405"/>
      <c r="AL1668" s="405"/>
    </row>
    <row r="1669" ht="14.25" customHeight="1">
      <c r="A1669" s="402"/>
      <c r="B1669" s="402"/>
      <c r="C1669" s="402"/>
      <c r="D1669" s="402"/>
      <c r="E1669" s="402"/>
      <c r="F1669" s="402"/>
      <c r="G1669" s="403"/>
      <c r="H1669" s="402"/>
      <c r="I1669" s="402"/>
      <c r="J1669" s="402"/>
      <c r="K1669" s="402"/>
      <c r="L1669" s="402"/>
      <c r="M1669" s="402"/>
      <c r="N1669" s="402"/>
      <c r="O1669" s="402"/>
      <c r="P1669" s="402"/>
      <c r="Q1669" s="402"/>
      <c r="R1669" s="402"/>
      <c r="S1669" s="402"/>
      <c r="T1669" s="402"/>
      <c r="U1669" s="402"/>
      <c r="V1669" s="402"/>
      <c r="W1669" s="402"/>
      <c r="X1669" s="402"/>
      <c r="Y1669" s="402"/>
      <c r="Z1669" s="402"/>
      <c r="AA1669" s="405"/>
      <c r="AB1669" s="405"/>
      <c r="AC1669" s="405"/>
      <c r="AD1669" s="405"/>
      <c r="AE1669" s="405"/>
      <c r="AF1669" s="405"/>
      <c r="AG1669" s="405"/>
      <c r="AH1669" s="405"/>
      <c r="AI1669" s="405"/>
      <c r="AJ1669" s="405"/>
      <c r="AK1669" s="405"/>
      <c r="AL1669" s="405"/>
    </row>
    <row r="1670" ht="14.25" customHeight="1">
      <c r="A1670" s="402"/>
      <c r="B1670" s="402"/>
      <c r="C1670" s="402"/>
      <c r="D1670" s="402"/>
      <c r="E1670" s="402"/>
      <c r="F1670" s="402"/>
      <c r="G1670" s="403"/>
      <c r="H1670" s="402"/>
      <c r="I1670" s="402"/>
      <c r="J1670" s="402"/>
      <c r="K1670" s="402"/>
      <c r="L1670" s="402"/>
      <c r="M1670" s="402"/>
      <c r="N1670" s="402"/>
      <c r="O1670" s="402"/>
      <c r="P1670" s="402"/>
      <c r="Q1670" s="402"/>
      <c r="R1670" s="402"/>
      <c r="S1670" s="402"/>
      <c r="T1670" s="402"/>
      <c r="U1670" s="402"/>
      <c r="V1670" s="402"/>
      <c r="W1670" s="402"/>
      <c r="X1670" s="402"/>
      <c r="Y1670" s="402"/>
      <c r="Z1670" s="402"/>
      <c r="AA1670" s="405"/>
      <c r="AB1670" s="405"/>
      <c r="AC1670" s="405"/>
      <c r="AD1670" s="405"/>
      <c r="AE1670" s="405"/>
      <c r="AF1670" s="405"/>
      <c r="AG1670" s="405"/>
      <c r="AH1670" s="405"/>
      <c r="AI1670" s="405"/>
      <c r="AJ1670" s="405"/>
      <c r="AK1670" s="405"/>
      <c r="AL1670" s="405"/>
    </row>
    <row r="1671" ht="14.25" customHeight="1">
      <c r="A1671" s="402"/>
      <c r="B1671" s="402"/>
      <c r="C1671" s="402"/>
      <c r="D1671" s="402"/>
      <c r="E1671" s="402"/>
      <c r="F1671" s="402"/>
      <c r="G1671" s="403"/>
      <c r="H1671" s="402"/>
      <c r="I1671" s="402"/>
      <c r="J1671" s="402"/>
      <c r="K1671" s="402"/>
      <c r="L1671" s="402"/>
      <c r="M1671" s="402"/>
      <c r="N1671" s="402"/>
      <c r="O1671" s="402"/>
      <c r="P1671" s="402"/>
      <c r="Q1671" s="402"/>
      <c r="R1671" s="402"/>
      <c r="S1671" s="402"/>
      <c r="T1671" s="402"/>
      <c r="U1671" s="402"/>
      <c r="V1671" s="402"/>
      <c r="W1671" s="402"/>
      <c r="X1671" s="402"/>
      <c r="Y1671" s="402"/>
      <c r="Z1671" s="402"/>
      <c r="AA1671" s="405"/>
      <c r="AB1671" s="405"/>
      <c r="AC1671" s="405"/>
      <c r="AD1671" s="405"/>
      <c r="AE1671" s="405"/>
      <c r="AF1671" s="405"/>
      <c r="AG1671" s="405"/>
      <c r="AH1671" s="405"/>
      <c r="AI1671" s="405"/>
      <c r="AJ1671" s="405"/>
      <c r="AK1671" s="405"/>
      <c r="AL1671" s="405"/>
    </row>
    <row r="1672" ht="14.25" customHeight="1">
      <c r="A1672" s="402"/>
      <c r="B1672" s="402"/>
      <c r="C1672" s="402"/>
      <c r="D1672" s="402"/>
      <c r="E1672" s="402"/>
      <c r="F1672" s="402"/>
      <c r="G1672" s="403"/>
      <c r="H1672" s="402"/>
      <c r="I1672" s="402"/>
      <c r="J1672" s="402"/>
      <c r="K1672" s="402"/>
      <c r="L1672" s="402"/>
      <c r="M1672" s="402"/>
      <c r="N1672" s="402"/>
      <c r="O1672" s="402"/>
      <c r="P1672" s="402"/>
      <c r="Q1672" s="402"/>
      <c r="R1672" s="402"/>
      <c r="S1672" s="402"/>
      <c r="T1672" s="402"/>
      <c r="U1672" s="402"/>
      <c r="V1672" s="402"/>
      <c r="W1672" s="402"/>
      <c r="X1672" s="402"/>
      <c r="Y1672" s="402"/>
      <c r="Z1672" s="402"/>
      <c r="AA1672" s="405"/>
      <c r="AB1672" s="405"/>
      <c r="AC1672" s="405"/>
      <c r="AD1672" s="405"/>
      <c r="AE1672" s="405"/>
      <c r="AF1672" s="405"/>
      <c r="AG1672" s="405"/>
      <c r="AH1672" s="405"/>
      <c r="AI1672" s="405"/>
      <c r="AJ1672" s="405"/>
      <c r="AK1672" s="405"/>
      <c r="AL1672" s="405"/>
    </row>
    <row r="1673" ht="14.25" customHeight="1">
      <c r="A1673" s="402"/>
      <c r="B1673" s="402"/>
      <c r="C1673" s="402"/>
      <c r="D1673" s="402"/>
      <c r="E1673" s="402"/>
      <c r="F1673" s="402"/>
      <c r="G1673" s="403"/>
      <c r="H1673" s="402"/>
      <c r="I1673" s="402"/>
      <c r="J1673" s="402"/>
      <c r="K1673" s="402"/>
      <c r="L1673" s="402"/>
      <c r="M1673" s="402"/>
      <c r="N1673" s="402"/>
      <c r="O1673" s="402"/>
      <c r="P1673" s="402"/>
      <c r="Q1673" s="402"/>
      <c r="R1673" s="402"/>
      <c r="S1673" s="402"/>
      <c r="T1673" s="402"/>
      <c r="U1673" s="402"/>
      <c r="V1673" s="402"/>
      <c r="W1673" s="402"/>
      <c r="X1673" s="402"/>
      <c r="Y1673" s="402"/>
      <c r="Z1673" s="402"/>
      <c r="AA1673" s="405"/>
      <c r="AB1673" s="405"/>
      <c r="AC1673" s="405"/>
      <c r="AD1673" s="405"/>
      <c r="AE1673" s="405"/>
      <c r="AF1673" s="405"/>
      <c r="AG1673" s="405"/>
      <c r="AH1673" s="405"/>
      <c r="AI1673" s="405"/>
      <c r="AJ1673" s="405"/>
      <c r="AK1673" s="405"/>
      <c r="AL1673" s="405"/>
    </row>
    <row r="1674" ht="14.25" customHeight="1">
      <c r="A1674" s="402"/>
      <c r="B1674" s="402"/>
      <c r="C1674" s="402"/>
      <c r="D1674" s="402"/>
      <c r="E1674" s="402"/>
      <c r="F1674" s="402"/>
      <c r="G1674" s="403"/>
      <c r="H1674" s="402"/>
      <c r="I1674" s="402"/>
      <c r="J1674" s="402"/>
      <c r="K1674" s="402"/>
      <c r="L1674" s="402"/>
      <c r="M1674" s="402"/>
      <c r="N1674" s="402"/>
      <c r="O1674" s="402"/>
      <c r="P1674" s="402"/>
      <c r="Q1674" s="402"/>
      <c r="R1674" s="402"/>
      <c r="S1674" s="402"/>
      <c r="T1674" s="402"/>
      <c r="U1674" s="402"/>
      <c r="V1674" s="402"/>
      <c r="W1674" s="402"/>
      <c r="X1674" s="402"/>
      <c r="Y1674" s="402"/>
      <c r="Z1674" s="402"/>
      <c r="AA1674" s="405"/>
      <c r="AB1674" s="405"/>
      <c r="AC1674" s="405"/>
      <c r="AD1674" s="405"/>
      <c r="AE1674" s="405"/>
      <c r="AF1674" s="405"/>
      <c r="AG1674" s="405"/>
      <c r="AH1674" s="405"/>
      <c r="AI1674" s="405"/>
      <c r="AJ1674" s="405"/>
      <c r="AK1674" s="405"/>
      <c r="AL1674" s="405"/>
    </row>
    <row r="1675" ht="14.25" customHeight="1">
      <c r="A1675" s="402"/>
      <c r="B1675" s="402"/>
      <c r="C1675" s="402"/>
      <c r="D1675" s="402"/>
      <c r="E1675" s="402"/>
      <c r="F1675" s="402"/>
      <c r="G1675" s="403"/>
      <c r="H1675" s="402"/>
      <c r="I1675" s="402"/>
      <c r="J1675" s="402"/>
      <c r="K1675" s="402"/>
      <c r="L1675" s="402"/>
      <c r="M1675" s="402"/>
      <c r="N1675" s="402"/>
      <c r="O1675" s="402"/>
      <c r="P1675" s="402"/>
      <c r="Q1675" s="402"/>
      <c r="R1675" s="402"/>
      <c r="S1675" s="402"/>
      <c r="T1675" s="402"/>
      <c r="U1675" s="402"/>
      <c r="V1675" s="402"/>
      <c r="W1675" s="402"/>
      <c r="X1675" s="402"/>
      <c r="Y1675" s="402"/>
      <c r="Z1675" s="402"/>
      <c r="AA1675" s="405"/>
      <c r="AB1675" s="405"/>
      <c r="AC1675" s="405"/>
      <c r="AD1675" s="405"/>
      <c r="AE1675" s="405"/>
      <c r="AF1675" s="405"/>
      <c r="AG1675" s="405"/>
      <c r="AH1675" s="405"/>
      <c r="AI1675" s="405"/>
      <c r="AJ1675" s="405"/>
      <c r="AK1675" s="405"/>
      <c r="AL1675" s="405"/>
    </row>
    <row r="1676" ht="14.25" customHeight="1">
      <c r="A1676" s="402"/>
      <c r="B1676" s="402"/>
      <c r="C1676" s="402"/>
      <c r="D1676" s="402"/>
      <c r="E1676" s="402"/>
      <c r="F1676" s="402"/>
      <c r="G1676" s="403"/>
      <c r="H1676" s="402"/>
      <c r="I1676" s="402"/>
      <c r="J1676" s="402"/>
      <c r="K1676" s="402"/>
      <c r="L1676" s="402"/>
      <c r="M1676" s="402"/>
      <c r="N1676" s="402"/>
      <c r="O1676" s="402"/>
      <c r="P1676" s="402"/>
      <c r="Q1676" s="402"/>
      <c r="R1676" s="402"/>
      <c r="S1676" s="402"/>
      <c r="T1676" s="402"/>
      <c r="U1676" s="402"/>
      <c r="V1676" s="402"/>
      <c r="W1676" s="402"/>
      <c r="X1676" s="402"/>
      <c r="Y1676" s="402"/>
      <c r="Z1676" s="402"/>
      <c r="AA1676" s="405"/>
      <c r="AB1676" s="405"/>
      <c r="AC1676" s="405"/>
      <c r="AD1676" s="405"/>
      <c r="AE1676" s="405"/>
      <c r="AF1676" s="405"/>
      <c r="AG1676" s="405"/>
      <c r="AH1676" s="405"/>
      <c r="AI1676" s="405"/>
      <c r="AJ1676" s="405"/>
      <c r="AK1676" s="405"/>
      <c r="AL1676" s="405"/>
    </row>
    <row r="1677" ht="14.25" customHeight="1">
      <c r="A1677" s="402"/>
      <c r="B1677" s="402"/>
      <c r="C1677" s="402"/>
      <c r="D1677" s="402"/>
      <c r="E1677" s="402"/>
      <c r="F1677" s="402"/>
      <c r="G1677" s="403"/>
      <c r="H1677" s="402"/>
      <c r="I1677" s="402"/>
      <c r="J1677" s="402"/>
      <c r="K1677" s="402"/>
      <c r="L1677" s="402"/>
      <c r="M1677" s="402"/>
      <c r="N1677" s="402"/>
      <c r="O1677" s="402"/>
      <c r="P1677" s="402"/>
      <c r="Q1677" s="402"/>
      <c r="R1677" s="402"/>
      <c r="S1677" s="402"/>
      <c r="T1677" s="402"/>
      <c r="U1677" s="402"/>
      <c r="V1677" s="402"/>
      <c r="W1677" s="402"/>
      <c r="X1677" s="402"/>
      <c r="Y1677" s="402"/>
      <c r="Z1677" s="402"/>
      <c r="AA1677" s="405"/>
      <c r="AB1677" s="405"/>
      <c r="AC1677" s="405"/>
      <c r="AD1677" s="405"/>
      <c r="AE1677" s="405"/>
      <c r="AF1677" s="405"/>
      <c r="AG1677" s="405"/>
      <c r="AH1677" s="405"/>
      <c r="AI1677" s="405"/>
      <c r="AJ1677" s="405"/>
      <c r="AK1677" s="405"/>
      <c r="AL1677" s="405"/>
    </row>
    <row r="1678" ht="14.25" customHeight="1">
      <c r="A1678" s="402"/>
      <c r="B1678" s="402"/>
      <c r="C1678" s="402"/>
      <c r="D1678" s="402"/>
      <c r="E1678" s="402"/>
      <c r="F1678" s="402"/>
      <c r="G1678" s="403"/>
      <c r="H1678" s="402"/>
      <c r="I1678" s="402"/>
      <c r="J1678" s="402"/>
      <c r="K1678" s="402"/>
      <c r="L1678" s="402"/>
      <c r="M1678" s="402"/>
      <c r="N1678" s="402"/>
      <c r="O1678" s="402"/>
      <c r="P1678" s="402"/>
      <c r="Q1678" s="402"/>
      <c r="R1678" s="402"/>
      <c r="S1678" s="402"/>
      <c r="T1678" s="402"/>
      <c r="U1678" s="402"/>
      <c r="V1678" s="402"/>
      <c r="W1678" s="402"/>
      <c r="X1678" s="402"/>
      <c r="Y1678" s="402"/>
      <c r="Z1678" s="402"/>
      <c r="AA1678" s="405"/>
      <c r="AB1678" s="405"/>
      <c r="AC1678" s="405"/>
      <c r="AD1678" s="405"/>
      <c r="AE1678" s="405"/>
      <c r="AF1678" s="405"/>
      <c r="AG1678" s="405"/>
      <c r="AH1678" s="405"/>
      <c r="AI1678" s="405"/>
      <c r="AJ1678" s="405"/>
      <c r="AK1678" s="405"/>
      <c r="AL1678" s="405"/>
    </row>
    <row r="1679" ht="14.25" customHeight="1">
      <c r="A1679" s="402"/>
      <c r="B1679" s="402"/>
      <c r="C1679" s="402"/>
      <c r="D1679" s="402"/>
      <c r="E1679" s="402"/>
      <c r="F1679" s="402"/>
      <c r="G1679" s="403"/>
      <c r="H1679" s="402"/>
      <c r="I1679" s="402"/>
      <c r="J1679" s="402"/>
      <c r="K1679" s="402"/>
      <c r="L1679" s="402"/>
      <c r="M1679" s="402"/>
      <c r="N1679" s="402"/>
      <c r="O1679" s="402"/>
      <c r="P1679" s="402"/>
      <c r="Q1679" s="402"/>
      <c r="R1679" s="402"/>
      <c r="S1679" s="402"/>
      <c r="T1679" s="402"/>
      <c r="U1679" s="402"/>
      <c r="V1679" s="402"/>
      <c r="W1679" s="402"/>
      <c r="X1679" s="402"/>
      <c r="Y1679" s="402"/>
      <c r="Z1679" s="402"/>
      <c r="AA1679" s="405"/>
      <c r="AB1679" s="405"/>
      <c r="AC1679" s="405"/>
      <c r="AD1679" s="405"/>
      <c r="AE1679" s="405"/>
      <c r="AF1679" s="405"/>
      <c r="AG1679" s="405"/>
      <c r="AH1679" s="405"/>
      <c r="AI1679" s="405"/>
      <c r="AJ1679" s="405"/>
      <c r="AK1679" s="405"/>
      <c r="AL1679" s="405"/>
    </row>
    <row r="1680" ht="14.25" customHeight="1">
      <c r="A1680" s="402"/>
      <c r="B1680" s="402"/>
      <c r="C1680" s="402"/>
      <c r="D1680" s="402"/>
      <c r="E1680" s="402"/>
      <c r="F1680" s="402"/>
      <c r="G1680" s="403"/>
      <c r="H1680" s="402"/>
      <c r="I1680" s="402"/>
      <c r="J1680" s="402"/>
      <c r="K1680" s="402"/>
      <c r="L1680" s="402"/>
      <c r="M1680" s="402"/>
      <c r="N1680" s="402"/>
      <c r="O1680" s="402"/>
      <c r="P1680" s="402"/>
      <c r="Q1680" s="402"/>
      <c r="R1680" s="402"/>
      <c r="S1680" s="402"/>
      <c r="T1680" s="402"/>
      <c r="U1680" s="402"/>
      <c r="V1680" s="402"/>
      <c r="W1680" s="402"/>
      <c r="X1680" s="402"/>
      <c r="Y1680" s="402"/>
      <c r="Z1680" s="402"/>
      <c r="AA1680" s="405"/>
      <c r="AB1680" s="405"/>
      <c r="AC1680" s="405"/>
      <c r="AD1680" s="405"/>
      <c r="AE1680" s="405"/>
      <c r="AF1680" s="405"/>
      <c r="AG1680" s="405"/>
      <c r="AH1680" s="405"/>
      <c r="AI1680" s="405"/>
      <c r="AJ1680" s="405"/>
      <c r="AK1680" s="405"/>
      <c r="AL1680" s="405"/>
    </row>
    <row r="1681" ht="14.25" customHeight="1">
      <c r="A1681" s="402"/>
      <c r="B1681" s="402"/>
      <c r="C1681" s="402"/>
      <c r="D1681" s="402"/>
      <c r="E1681" s="402"/>
      <c r="F1681" s="402"/>
      <c r="G1681" s="403"/>
      <c r="H1681" s="402"/>
      <c r="I1681" s="402"/>
      <c r="J1681" s="402"/>
      <c r="K1681" s="402"/>
      <c r="L1681" s="402"/>
      <c r="M1681" s="402"/>
      <c r="N1681" s="402"/>
      <c r="O1681" s="402"/>
      <c r="P1681" s="402"/>
      <c r="Q1681" s="402"/>
      <c r="R1681" s="402"/>
      <c r="S1681" s="402"/>
      <c r="T1681" s="402"/>
      <c r="U1681" s="402"/>
      <c r="V1681" s="402"/>
      <c r="W1681" s="402"/>
      <c r="X1681" s="402"/>
      <c r="Y1681" s="402"/>
      <c r="Z1681" s="402"/>
      <c r="AA1681" s="405"/>
      <c r="AB1681" s="405"/>
      <c r="AC1681" s="405"/>
      <c r="AD1681" s="405"/>
      <c r="AE1681" s="405"/>
      <c r="AF1681" s="405"/>
      <c r="AG1681" s="405"/>
      <c r="AH1681" s="405"/>
      <c r="AI1681" s="405"/>
      <c r="AJ1681" s="405"/>
      <c r="AK1681" s="405"/>
      <c r="AL1681" s="405"/>
    </row>
    <row r="1682" ht="14.25" customHeight="1">
      <c r="A1682" s="402"/>
      <c r="B1682" s="402"/>
      <c r="C1682" s="402"/>
      <c r="D1682" s="402"/>
      <c r="E1682" s="402"/>
      <c r="F1682" s="402"/>
      <c r="G1682" s="403"/>
      <c r="H1682" s="402"/>
      <c r="I1682" s="402"/>
      <c r="J1682" s="402"/>
      <c r="K1682" s="402"/>
      <c r="L1682" s="402"/>
      <c r="M1682" s="402"/>
      <c r="N1682" s="402"/>
      <c r="O1682" s="402"/>
      <c r="P1682" s="402"/>
      <c r="Q1682" s="402"/>
      <c r="R1682" s="402"/>
      <c r="S1682" s="402"/>
      <c r="T1682" s="402"/>
      <c r="U1682" s="402"/>
      <c r="V1682" s="402"/>
      <c r="W1682" s="402"/>
      <c r="X1682" s="402"/>
      <c r="Y1682" s="402"/>
      <c r="Z1682" s="402"/>
      <c r="AA1682" s="405"/>
      <c r="AB1682" s="405"/>
      <c r="AC1682" s="405"/>
      <c r="AD1682" s="405"/>
      <c r="AE1682" s="405"/>
      <c r="AF1682" s="405"/>
      <c r="AG1682" s="405"/>
      <c r="AH1682" s="405"/>
      <c r="AI1682" s="405"/>
      <c r="AJ1682" s="405"/>
      <c r="AK1682" s="405"/>
      <c r="AL1682" s="405"/>
    </row>
    <row r="1683" ht="14.25" customHeight="1">
      <c r="A1683" s="402"/>
      <c r="B1683" s="402"/>
      <c r="C1683" s="402"/>
      <c r="D1683" s="402"/>
      <c r="E1683" s="402"/>
      <c r="F1683" s="402"/>
      <c r="G1683" s="403"/>
      <c r="H1683" s="402"/>
      <c r="I1683" s="402"/>
      <c r="J1683" s="402"/>
      <c r="K1683" s="402"/>
      <c r="L1683" s="402"/>
      <c r="M1683" s="402"/>
      <c r="N1683" s="402"/>
      <c r="O1683" s="402"/>
      <c r="P1683" s="402"/>
      <c r="Q1683" s="402"/>
      <c r="R1683" s="402"/>
      <c r="S1683" s="402"/>
      <c r="T1683" s="402"/>
      <c r="U1683" s="402"/>
      <c r="V1683" s="402"/>
      <c r="W1683" s="402"/>
      <c r="X1683" s="402"/>
      <c r="Y1683" s="402"/>
      <c r="Z1683" s="402"/>
      <c r="AA1683" s="405"/>
      <c r="AB1683" s="405"/>
      <c r="AC1683" s="405"/>
      <c r="AD1683" s="405"/>
      <c r="AE1683" s="405"/>
      <c r="AF1683" s="405"/>
      <c r="AG1683" s="405"/>
      <c r="AH1683" s="405"/>
      <c r="AI1683" s="405"/>
      <c r="AJ1683" s="405"/>
      <c r="AK1683" s="405"/>
      <c r="AL1683" s="405"/>
    </row>
    <row r="1684" ht="14.25" customHeight="1">
      <c r="A1684" s="402"/>
      <c r="B1684" s="402"/>
      <c r="C1684" s="402"/>
      <c r="D1684" s="402"/>
      <c r="E1684" s="402"/>
      <c r="F1684" s="402"/>
      <c r="G1684" s="403"/>
      <c r="H1684" s="402"/>
      <c r="I1684" s="402"/>
      <c r="J1684" s="402"/>
      <c r="K1684" s="402"/>
      <c r="L1684" s="402"/>
      <c r="M1684" s="402"/>
      <c r="N1684" s="402"/>
      <c r="O1684" s="402"/>
      <c r="P1684" s="402"/>
      <c r="Q1684" s="402"/>
      <c r="R1684" s="402"/>
      <c r="S1684" s="402"/>
      <c r="T1684" s="402"/>
      <c r="U1684" s="402"/>
      <c r="V1684" s="402"/>
      <c r="W1684" s="402"/>
      <c r="X1684" s="402"/>
      <c r="Y1684" s="402"/>
      <c r="Z1684" s="402"/>
      <c r="AA1684" s="405"/>
      <c r="AB1684" s="405"/>
      <c r="AC1684" s="405"/>
      <c r="AD1684" s="405"/>
      <c r="AE1684" s="405"/>
      <c r="AF1684" s="405"/>
      <c r="AG1684" s="405"/>
      <c r="AH1684" s="405"/>
      <c r="AI1684" s="405"/>
      <c r="AJ1684" s="405"/>
      <c r="AK1684" s="405"/>
      <c r="AL1684" s="405"/>
    </row>
    <row r="1685" ht="14.25" customHeight="1">
      <c r="A1685" s="402"/>
      <c r="B1685" s="402"/>
      <c r="C1685" s="402"/>
      <c r="D1685" s="402"/>
      <c r="E1685" s="402"/>
      <c r="F1685" s="402"/>
      <c r="G1685" s="403"/>
      <c r="H1685" s="402"/>
      <c r="I1685" s="402"/>
      <c r="J1685" s="402"/>
      <c r="K1685" s="402"/>
      <c r="L1685" s="402"/>
      <c r="M1685" s="402"/>
      <c r="N1685" s="402"/>
      <c r="O1685" s="402"/>
      <c r="P1685" s="402"/>
      <c r="Q1685" s="402"/>
      <c r="R1685" s="402"/>
      <c r="S1685" s="402"/>
      <c r="T1685" s="402"/>
      <c r="U1685" s="402"/>
      <c r="V1685" s="402"/>
      <c r="W1685" s="402"/>
      <c r="X1685" s="402"/>
      <c r="Y1685" s="402"/>
      <c r="Z1685" s="402"/>
      <c r="AA1685" s="405"/>
      <c r="AB1685" s="405"/>
      <c r="AC1685" s="405"/>
      <c r="AD1685" s="405"/>
      <c r="AE1685" s="405"/>
      <c r="AF1685" s="405"/>
      <c r="AG1685" s="405"/>
      <c r="AH1685" s="405"/>
      <c r="AI1685" s="405"/>
      <c r="AJ1685" s="405"/>
      <c r="AK1685" s="405"/>
      <c r="AL1685" s="405"/>
    </row>
    <row r="1686" ht="14.25" customHeight="1">
      <c r="A1686" s="402"/>
      <c r="B1686" s="402"/>
      <c r="C1686" s="402"/>
      <c r="D1686" s="402"/>
      <c r="E1686" s="402"/>
      <c r="F1686" s="402"/>
      <c r="G1686" s="403"/>
      <c r="H1686" s="402"/>
      <c r="I1686" s="402"/>
      <c r="J1686" s="402"/>
      <c r="K1686" s="402"/>
      <c r="L1686" s="402"/>
      <c r="M1686" s="402"/>
      <c r="N1686" s="402"/>
      <c r="O1686" s="402"/>
      <c r="P1686" s="402"/>
      <c r="Q1686" s="402"/>
      <c r="R1686" s="402"/>
      <c r="S1686" s="402"/>
      <c r="T1686" s="402"/>
      <c r="U1686" s="402"/>
      <c r="V1686" s="402"/>
      <c r="W1686" s="402"/>
      <c r="X1686" s="402"/>
      <c r="Y1686" s="402"/>
      <c r="Z1686" s="402"/>
      <c r="AA1686" s="405"/>
      <c r="AB1686" s="405"/>
      <c r="AC1686" s="405"/>
      <c r="AD1686" s="405"/>
      <c r="AE1686" s="405"/>
      <c r="AF1686" s="405"/>
      <c r="AG1686" s="405"/>
      <c r="AH1686" s="405"/>
      <c r="AI1686" s="405"/>
      <c r="AJ1686" s="405"/>
      <c r="AK1686" s="405"/>
      <c r="AL1686" s="405"/>
    </row>
    <row r="1687" ht="14.25" customHeight="1">
      <c r="A1687" s="402"/>
      <c r="B1687" s="402"/>
      <c r="C1687" s="402"/>
      <c r="D1687" s="402"/>
      <c r="E1687" s="402"/>
      <c r="F1687" s="402"/>
      <c r="G1687" s="403"/>
      <c r="H1687" s="402"/>
      <c r="I1687" s="402"/>
      <c r="J1687" s="402"/>
      <c r="K1687" s="402"/>
      <c r="L1687" s="402"/>
      <c r="M1687" s="402"/>
      <c r="N1687" s="402"/>
      <c r="O1687" s="402"/>
      <c r="P1687" s="402"/>
      <c r="Q1687" s="402"/>
      <c r="R1687" s="402"/>
      <c r="S1687" s="402"/>
      <c r="T1687" s="402"/>
      <c r="U1687" s="402"/>
      <c r="V1687" s="402"/>
      <c r="W1687" s="402"/>
      <c r="X1687" s="402"/>
      <c r="Y1687" s="402"/>
      <c r="Z1687" s="402"/>
      <c r="AA1687" s="405"/>
      <c r="AB1687" s="405"/>
      <c r="AC1687" s="405"/>
      <c r="AD1687" s="405"/>
      <c r="AE1687" s="405"/>
      <c r="AF1687" s="405"/>
      <c r="AG1687" s="405"/>
      <c r="AH1687" s="405"/>
      <c r="AI1687" s="405"/>
      <c r="AJ1687" s="405"/>
      <c r="AK1687" s="405"/>
      <c r="AL1687" s="405"/>
    </row>
    <row r="1688" ht="14.25" customHeight="1">
      <c r="A1688" s="402"/>
      <c r="B1688" s="402"/>
      <c r="C1688" s="402"/>
      <c r="D1688" s="402"/>
      <c r="E1688" s="402"/>
      <c r="F1688" s="402"/>
      <c r="G1688" s="403"/>
      <c r="H1688" s="402"/>
      <c r="I1688" s="402"/>
      <c r="J1688" s="402"/>
      <c r="K1688" s="402"/>
      <c r="L1688" s="402"/>
      <c r="M1688" s="402"/>
      <c r="N1688" s="402"/>
      <c r="O1688" s="402"/>
      <c r="P1688" s="402"/>
      <c r="Q1688" s="402"/>
      <c r="R1688" s="402"/>
      <c r="S1688" s="402"/>
      <c r="T1688" s="402"/>
      <c r="U1688" s="402"/>
      <c r="V1688" s="402"/>
      <c r="W1688" s="402"/>
      <c r="X1688" s="402"/>
      <c r="Y1688" s="402"/>
      <c r="Z1688" s="402"/>
      <c r="AA1688" s="405"/>
      <c r="AB1688" s="405"/>
      <c r="AC1688" s="405"/>
      <c r="AD1688" s="405"/>
      <c r="AE1688" s="405"/>
      <c r="AF1688" s="405"/>
      <c r="AG1688" s="405"/>
      <c r="AH1688" s="405"/>
      <c r="AI1688" s="405"/>
      <c r="AJ1688" s="405"/>
      <c r="AK1688" s="405"/>
      <c r="AL1688" s="405"/>
    </row>
    <row r="1689" ht="14.25" customHeight="1">
      <c r="A1689" s="402"/>
      <c r="B1689" s="402"/>
      <c r="C1689" s="402"/>
      <c r="D1689" s="402"/>
      <c r="E1689" s="402"/>
      <c r="F1689" s="402"/>
      <c r="G1689" s="403"/>
      <c r="H1689" s="402"/>
      <c r="I1689" s="402"/>
      <c r="J1689" s="402"/>
      <c r="K1689" s="402"/>
      <c r="L1689" s="402"/>
      <c r="M1689" s="402"/>
      <c r="N1689" s="402"/>
      <c r="O1689" s="402"/>
      <c r="P1689" s="402"/>
      <c r="Q1689" s="402"/>
      <c r="R1689" s="402"/>
      <c r="S1689" s="402"/>
      <c r="T1689" s="402"/>
      <c r="U1689" s="402"/>
      <c r="V1689" s="402"/>
      <c r="W1689" s="402"/>
      <c r="X1689" s="402"/>
      <c r="Y1689" s="402"/>
      <c r="Z1689" s="402"/>
      <c r="AA1689" s="405"/>
      <c r="AB1689" s="405"/>
      <c r="AC1689" s="405"/>
      <c r="AD1689" s="405"/>
      <c r="AE1689" s="405"/>
      <c r="AF1689" s="405"/>
      <c r="AG1689" s="405"/>
      <c r="AH1689" s="405"/>
      <c r="AI1689" s="405"/>
      <c r="AJ1689" s="405"/>
      <c r="AK1689" s="405"/>
      <c r="AL1689" s="405"/>
    </row>
    <row r="1690" ht="14.25" customHeight="1">
      <c r="A1690" s="402"/>
      <c r="B1690" s="402"/>
      <c r="C1690" s="402"/>
      <c r="D1690" s="402"/>
      <c r="E1690" s="402"/>
      <c r="F1690" s="402"/>
      <c r="G1690" s="403"/>
      <c r="H1690" s="402"/>
      <c r="I1690" s="402"/>
      <c r="J1690" s="402"/>
      <c r="K1690" s="402"/>
      <c r="L1690" s="402"/>
      <c r="M1690" s="402"/>
      <c r="N1690" s="402"/>
      <c r="O1690" s="402"/>
      <c r="P1690" s="402"/>
      <c r="Q1690" s="402"/>
      <c r="R1690" s="402"/>
      <c r="S1690" s="402"/>
      <c r="T1690" s="402"/>
      <c r="U1690" s="402"/>
      <c r="V1690" s="402"/>
      <c r="W1690" s="402"/>
      <c r="X1690" s="402"/>
      <c r="Y1690" s="402"/>
      <c r="Z1690" s="402"/>
      <c r="AA1690" s="405"/>
      <c r="AB1690" s="405"/>
      <c r="AC1690" s="405"/>
      <c r="AD1690" s="405"/>
      <c r="AE1690" s="405"/>
      <c r="AF1690" s="405"/>
      <c r="AG1690" s="405"/>
      <c r="AH1690" s="405"/>
      <c r="AI1690" s="405"/>
      <c r="AJ1690" s="405"/>
      <c r="AK1690" s="405"/>
      <c r="AL1690" s="405"/>
    </row>
    <row r="1691" ht="14.25" customHeight="1">
      <c r="A1691" s="402"/>
      <c r="B1691" s="402"/>
      <c r="C1691" s="402"/>
      <c r="D1691" s="402"/>
      <c r="E1691" s="402"/>
      <c r="F1691" s="402"/>
      <c r="G1691" s="403"/>
      <c r="H1691" s="402"/>
      <c r="I1691" s="402"/>
      <c r="J1691" s="402"/>
      <c r="K1691" s="402"/>
      <c r="L1691" s="402"/>
      <c r="M1691" s="402"/>
      <c r="N1691" s="402"/>
      <c r="O1691" s="402"/>
      <c r="P1691" s="402"/>
      <c r="Q1691" s="402"/>
      <c r="R1691" s="402"/>
      <c r="S1691" s="402"/>
      <c r="T1691" s="402"/>
      <c r="U1691" s="402"/>
      <c r="V1691" s="402"/>
      <c r="W1691" s="402"/>
      <c r="X1691" s="402"/>
      <c r="Y1691" s="402"/>
      <c r="Z1691" s="402"/>
      <c r="AA1691" s="405"/>
      <c r="AB1691" s="405"/>
      <c r="AC1691" s="405"/>
      <c r="AD1691" s="405"/>
      <c r="AE1691" s="405"/>
      <c r="AF1691" s="405"/>
      <c r="AG1691" s="405"/>
      <c r="AH1691" s="405"/>
      <c r="AI1691" s="405"/>
      <c r="AJ1691" s="405"/>
      <c r="AK1691" s="405"/>
      <c r="AL1691" s="405"/>
    </row>
    <row r="1692" ht="14.25" customHeight="1">
      <c r="A1692" s="402"/>
      <c r="B1692" s="402"/>
      <c r="C1692" s="402"/>
      <c r="D1692" s="402"/>
      <c r="E1692" s="402"/>
      <c r="F1692" s="402"/>
      <c r="G1692" s="403"/>
      <c r="H1692" s="402"/>
      <c r="I1692" s="402"/>
      <c r="J1692" s="402"/>
      <c r="K1692" s="402"/>
      <c r="L1692" s="402"/>
      <c r="M1692" s="402"/>
      <c r="N1692" s="402"/>
      <c r="O1692" s="402"/>
      <c r="P1692" s="402"/>
      <c r="Q1692" s="402"/>
      <c r="R1692" s="402"/>
      <c r="S1692" s="402"/>
      <c r="T1692" s="402"/>
      <c r="U1692" s="402"/>
      <c r="V1692" s="402"/>
      <c r="W1692" s="402"/>
      <c r="X1692" s="402"/>
      <c r="Y1692" s="402"/>
      <c r="Z1692" s="402"/>
      <c r="AA1692" s="405"/>
      <c r="AB1692" s="405"/>
      <c r="AC1692" s="405"/>
      <c r="AD1692" s="405"/>
      <c r="AE1692" s="405"/>
      <c r="AF1692" s="405"/>
      <c r="AG1692" s="405"/>
      <c r="AH1692" s="405"/>
      <c r="AI1692" s="405"/>
      <c r="AJ1692" s="405"/>
      <c r="AK1692" s="405"/>
      <c r="AL1692" s="405"/>
    </row>
    <row r="1693" ht="14.25" customHeight="1">
      <c r="A1693" s="402"/>
      <c r="B1693" s="402"/>
      <c r="C1693" s="402"/>
      <c r="D1693" s="402"/>
      <c r="E1693" s="402"/>
      <c r="F1693" s="402"/>
      <c r="G1693" s="403"/>
      <c r="H1693" s="402"/>
      <c r="I1693" s="402"/>
      <c r="J1693" s="402"/>
      <c r="K1693" s="402"/>
      <c r="L1693" s="402"/>
      <c r="M1693" s="402"/>
      <c r="N1693" s="402"/>
      <c r="O1693" s="402"/>
      <c r="P1693" s="402"/>
      <c r="Q1693" s="402"/>
      <c r="R1693" s="402"/>
      <c r="S1693" s="402"/>
      <c r="T1693" s="402"/>
      <c r="U1693" s="402"/>
      <c r="V1693" s="402"/>
      <c r="W1693" s="402"/>
      <c r="X1693" s="402"/>
      <c r="Y1693" s="402"/>
      <c r="Z1693" s="402"/>
      <c r="AA1693" s="405"/>
      <c r="AB1693" s="405"/>
      <c r="AC1693" s="405"/>
      <c r="AD1693" s="405"/>
      <c r="AE1693" s="405"/>
      <c r="AF1693" s="405"/>
      <c r="AG1693" s="405"/>
      <c r="AH1693" s="405"/>
      <c r="AI1693" s="405"/>
      <c r="AJ1693" s="405"/>
      <c r="AK1693" s="405"/>
      <c r="AL1693" s="405"/>
    </row>
    <row r="1694" ht="14.25" customHeight="1">
      <c r="A1694" s="402"/>
      <c r="B1694" s="402"/>
      <c r="C1694" s="402"/>
      <c r="D1694" s="402"/>
      <c r="E1694" s="402"/>
      <c r="F1694" s="402"/>
      <c r="G1694" s="403"/>
      <c r="H1694" s="402"/>
      <c r="I1694" s="402"/>
      <c r="J1694" s="402"/>
      <c r="K1694" s="402"/>
      <c r="L1694" s="402"/>
      <c r="M1694" s="402"/>
      <c r="N1694" s="402"/>
      <c r="O1694" s="402"/>
      <c r="P1694" s="402"/>
      <c r="Q1694" s="402"/>
      <c r="R1694" s="402"/>
      <c r="S1694" s="402"/>
      <c r="T1694" s="402"/>
      <c r="U1694" s="402"/>
      <c r="V1694" s="402"/>
      <c r="W1694" s="402"/>
      <c r="X1694" s="402"/>
      <c r="Y1694" s="402"/>
      <c r="Z1694" s="402"/>
      <c r="AA1694" s="405"/>
      <c r="AB1694" s="405"/>
      <c r="AC1694" s="405"/>
      <c r="AD1694" s="405"/>
      <c r="AE1694" s="405"/>
      <c r="AF1694" s="405"/>
      <c r="AG1694" s="405"/>
      <c r="AH1694" s="405"/>
      <c r="AI1694" s="405"/>
      <c r="AJ1694" s="405"/>
      <c r="AK1694" s="405"/>
      <c r="AL1694" s="405"/>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1.71"/>
    <col customWidth="1" min="2" max="2" width="20.29"/>
    <col customWidth="1" min="3" max="3" width="24.0"/>
    <col customWidth="1" min="4" max="4" width="18.29"/>
    <col customWidth="1" min="5" max="5" width="21.71"/>
    <col customWidth="1" min="6" max="6" width="20.0"/>
    <col customWidth="1" min="7" max="7" width="19.57"/>
    <col customWidth="1" min="8" max="8" width="32.57"/>
    <col customWidth="1" min="9" max="9" width="18.29"/>
    <col customWidth="1" min="10" max="26" width="8.71"/>
  </cols>
  <sheetData>
    <row r="1" ht="14.25" customHeight="1">
      <c r="A1" s="584" t="s">
        <v>2130</v>
      </c>
      <c r="B1" s="584" t="s">
        <v>39</v>
      </c>
      <c r="C1" s="584" t="s">
        <v>48</v>
      </c>
      <c r="D1" s="584" t="s">
        <v>49</v>
      </c>
      <c r="E1" s="584" t="s">
        <v>50</v>
      </c>
      <c r="F1" s="586" t="s">
        <v>2</v>
      </c>
      <c r="G1" s="586" t="s">
        <v>44</v>
      </c>
      <c r="H1" s="584" t="s">
        <v>45</v>
      </c>
      <c r="I1" s="584"/>
      <c r="J1" s="584"/>
      <c r="K1" s="584"/>
      <c r="L1" s="584"/>
      <c r="M1" s="584"/>
      <c r="N1" s="584"/>
      <c r="O1" s="584"/>
      <c r="P1" s="584"/>
      <c r="Q1" s="584"/>
      <c r="R1" s="584"/>
      <c r="S1" s="584"/>
      <c r="T1" s="584"/>
      <c r="U1" s="584"/>
      <c r="V1" s="584"/>
      <c r="W1" s="584"/>
      <c r="X1" s="584"/>
      <c r="Y1" s="584"/>
      <c r="Z1" s="584"/>
    </row>
    <row r="2" ht="14.25" customHeight="1">
      <c r="A2" s="497">
        <v>45495.0</v>
      </c>
      <c r="B2" s="349" t="s">
        <v>4103</v>
      </c>
      <c r="C2" s="349" t="s">
        <v>4104</v>
      </c>
      <c r="D2" s="349" t="s">
        <v>669</v>
      </c>
      <c r="E2" s="349" t="s">
        <v>4105</v>
      </c>
      <c r="F2" s="413">
        <v>182000.0</v>
      </c>
      <c r="G2" s="403"/>
      <c r="H2" s="349" t="s">
        <v>1048</v>
      </c>
      <c r="I2" s="404" t="str">
        <f t="shared" ref="I2:I4" si="1">IF(G2&gt;=F2,"FULLY PAID",IF(G2=0,"NOT PAID","PARTIALLY PAID"))</f>
        <v>NOT PAID</v>
      </c>
      <c r="J2" s="402"/>
      <c r="K2" s="402"/>
      <c r="L2" s="402"/>
      <c r="M2" s="402"/>
      <c r="N2" s="402"/>
      <c r="O2" s="402"/>
      <c r="P2" s="402"/>
      <c r="Q2" s="402"/>
      <c r="R2" s="402"/>
      <c r="S2" s="402"/>
      <c r="T2" s="402"/>
      <c r="U2" s="402"/>
      <c r="V2" s="402"/>
      <c r="W2" s="402"/>
      <c r="X2" s="402"/>
      <c r="Y2" s="402"/>
      <c r="Z2" s="402"/>
    </row>
    <row r="3" ht="14.25" customHeight="1">
      <c r="A3" s="497">
        <v>45495.0</v>
      </c>
      <c r="B3" s="349" t="s">
        <v>4106</v>
      </c>
      <c r="C3" s="349" t="s">
        <v>4107</v>
      </c>
      <c r="D3" s="349" t="s">
        <v>439</v>
      </c>
      <c r="E3" s="349" t="s">
        <v>4105</v>
      </c>
      <c r="F3" s="413">
        <v>45000.0</v>
      </c>
      <c r="G3" s="403"/>
      <c r="H3" s="349" t="s">
        <v>267</v>
      </c>
      <c r="I3" s="404" t="str">
        <f t="shared" si="1"/>
        <v>NOT PAID</v>
      </c>
      <c r="J3" s="402"/>
      <c r="K3" s="402"/>
      <c r="L3" s="402"/>
      <c r="M3" s="402"/>
      <c r="N3" s="402"/>
      <c r="O3" s="402"/>
      <c r="P3" s="402"/>
      <c r="Q3" s="402"/>
      <c r="R3" s="402"/>
      <c r="S3" s="402"/>
      <c r="T3" s="402"/>
      <c r="U3" s="402"/>
      <c r="V3" s="402"/>
      <c r="W3" s="402"/>
      <c r="X3" s="402"/>
      <c r="Y3" s="402"/>
      <c r="Z3" s="402"/>
    </row>
    <row r="4" ht="14.25" customHeight="1">
      <c r="A4" s="497">
        <v>45495.0</v>
      </c>
      <c r="B4" s="349" t="s">
        <v>4108</v>
      </c>
      <c r="C4" s="349" t="s">
        <v>4109</v>
      </c>
      <c r="D4" s="349" t="s">
        <v>439</v>
      </c>
      <c r="E4" s="349" t="s">
        <v>4105</v>
      </c>
      <c r="F4" s="413">
        <v>20000.0</v>
      </c>
      <c r="G4" s="413">
        <v>37500.0</v>
      </c>
      <c r="H4" s="349" t="s">
        <v>267</v>
      </c>
      <c r="I4" s="404" t="str">
        <f t="shared" si="1"/>
        <v>FULLY PAID</v>
      </c>
      <c r="J4" s="402"/>
      <c r="K4" s="402"/>
      <c r="L4" s="402"/>
      <c r="M4" s="402"/>
      <c r="N4" s="402"/>
      <c r="O4" s="402"/>
      <c r="P4" s="402"/>
      <c r="Q4" s="402"/>
      <c r="R4" s="402"/>
      <c r="S4" s="402"/>
      <c r="T4" s="402"/>
      <c r="U4" s="402"/>
      <c r="V4" s="402"/>
      <c r="W4" s="402"/>
      <c r="X4" s="402"/>
      <c r="Y4" s="402"/>
      <c r="Z4" s="402"/>
    </row>
    <row r="5" ht="14.25" customHeight="1">
      <c r="A5" s="402"/>
      <c r="B5" s="402"/>
      <c r="C5" s="402"/>
      <c r="D5" s="402"/>
      <c r="E5" s="402"/>
      <c r="F5" s="403"/>
      <c r="G5" s="403"/>
      <c r="H5" s="402"/>
      <c r="I5" s="404"/>
      <c r="J5" s="402"/>
      <c r="K5" s="402"/>
      <c r="L5" s="402"/>
      <c r="M5" s="402"/>
      <c r="N5" s="402"/>
      <c r="O5" s="402"/>
      <c r="P5" s="402"/>
      <c r="Q5" s="402"/>
      <c r="R5" s="402"/>
      <c r="S5" s="402"/>
      <c r="T5" s="402"/>
      <c r="U5" s="402"/>
      <c r="V5" s="402"/>
      <c r="W5" s="402"/>
      <c r="X5" s="402"/>
      <c r="Y5" s="402"/>
      <c r="Z5" s="402"/>
    </row>
    <row r="6" ht="14.25" customHeight="1">
      <c r="A6" s="497">
        <v>45495.0</v>
      </c>
      <c r="B6" s="800" t="s">
        <v>4110</v>
      </c>
      <c r="C6" s="800" t="s">
        <v>4111</v>
      </c>
      <c r="D6" s="349" t="s">
        <v>893</v>
      </c>
      <c r="E6" s="349" t="s">
        <v>894</v>
      </c>
      <c r="F6" s="413">
        <v>3000000.0</v>
      </c>
      <c r="G6" s="413">
        <v>0.0</v>
      </c>
      <c r="H6" s="349" t="s">
        <v>9</v>
      </c>
      <c r="I6" s="404" t="str">
        <f>IF(G6&gt;=F6,"FULLY PAID",IF(G6=0,"NOT PAID","PARTIALLY PAID"))</f>
        <v>NOT PAID</v>
      </c>
      <c r="J6" s="402"/>
      <c r="K6" s="402"/>
      <c r="L6" s="402"/>
      <c r="M6" s="402"/>
      <c r="N6" s="402"/>
      <c r="O6" s="402"/>
      <c r="P6" s="402"/>
      <c r="Q6" s="402"/>
      <c r="R6" s="402"/>
      <c r="S6" s="402"/>
      <c r="T6" s="402"/>
      <c r="U6" s="402"/>
      <c r="V6" s="402"/>
      <c r="W6" s="402"/>
      <c r="X6" s="402"/>
      <c r="Y6" s="402"/>
      <c r="Z6" s="402"/>
    </row>
    <row r="7" ht="14.25" customHeight="1">
      <c r="A7" s="402"/>
      <c r="B7" s="402"/>
      <c r="C7" s="402"/>
      <c r="D7" s="402"/>
      <c r="E7" s="402"/>
      <c r="F7" s="403"/>
      <c r="G7" s="403"/>
      <c r="H7" s="402"/>
      <c r="I7" s="404"/>
      <c r="J7" s="402"/>
      <c r="K7" s="402"/>
      <c r="L7" s="402"/>
      <c r="M7" s="402"/>
      <c r="N7" s="402"/>
      <c r="O7" s="402"/>
      <c r="P7" s="402"/>
      <c r="Q7" s="402"/>
      <c r="R7" s="402"/>
      <c r="S7" s="402"/>
      <c r="T7" s="402"/>
      <c r="U7" s="402"/>
      <c r="V7" s="402"/>
      <c r="W7" s="402"/>
      <c r="X7" s="402"/>
      <c r="Y7" s="402"/>
      <c r="Z7" s="402"/>
    </row>
    <row r="8" ht="14.25" customHeight="1">
      <c r="A8" s="512"/>
      <c r="B8" s="801"/>
      <c r="C8" s="512"/>
      <c r="D8" s="595"/>
      <c r="E8" s="402"/>
      <c r="F8" s="403"/>
      <c r="G8" s="403"/>
      <c r="H8" s="402"/>
      <c r="I8" s="404"/>
      <c r="J8" s="402"/>
      <c r="K8" s="402"/>
      <c r="L8" s="402"/>
      <c r="M8" s="402"/>
      <c r="N8" s="402"/>
      <c r="O8" s="402"/>
      <c r="P8" s="402"/>
      <c r="Q8" s="402"/>
      <c r="R8" s="402"/>
      <c r="S8" s="402"/>
      <c r="T8" s="402"/>
      <c r="U8" s="402"/>
      <c r="V8" s="402"/>
      <c r="W8" s="402"/>
      <c r="X8" s="402"/>
      <c r="Y8" s="402"/>
      <c r="Z8" s="402"/>
    </row>
    <row r="9" ht="14.25" customHeight="1">
      <c r="A9" s="513"/>
      <c r="B9" s="802"/>
      <c r="C9" s="513"/>
      <c r="D9" s="597"/>
      <c r="E9" s="402"/>
      <c r="F9" s="403"/>
      <c r="G9" s="403"/>
      <c r="H9" s="402"/>
      <c r="I9" s="404"/>
      <c r="J9" s="402"/>
      <c r="K9" s="402"/>
      <c r="L9" s="402"/>
      <c r="M9" s="402"/>
      <c r="N9" s="402"/>
      <c r="O9" s="402"/>
      <c r="P9" s="402"/>
      <c r="Q9" s="402"/>
      <c r="R9" s="402"/>
      <c r="S9" s="402"/>
      <c r="T9" s="402"/>
      <c r="U9" s="402"/>
      <c r="V9" s="402"/>
      <c r="W9" s="402"/>
      <c r="X9" s="402"/>
      <c r="Y9" s="402"/>
      <c r="Z9" s="402"/>
    </row>
    <row r="10" ht="14.25" customHeight="1">
      <c r="A10" s="513"/>
      <c r="B10" s="802"/>
      <c r="C10" s="513"/>
      <c r="D10" s="597"/>
      <c r="E10" s="402"/>
      <c r="F10" s="403"/>
      <c r="G10" s="403"/>
      <c r="H10" s="402"/>
      <c r="I10" s="404"/>
      <c r="J10" s="402"/>
      <c r="K10" s="402"/>
      <c r="L10" s="402"/>
      <c r="M10" s="402"/>
      <c r="N10" s="402"/>
      <c r="O10" s="402"/>
      <c r="P10" s="402"/>
      <c r="Q10" s="402"/>
      <c r="R10" s="402"/>
      <c r="S10" s="402"/>
      <c r="T10" s="402"/>
      <c r="U10" s="402"/>
      <c r="V10" s="402"/>
      <c r="W10" s="402"/>
      <c r="X10" s="402"/>
      <c r="Y10" s="402"/>
      <c r="Z10" s="402"/>
    </row>
    <row r="11" ht="14.25" customHeight="1">
      <c r="A11" s="497">
        <v>45495.0</v>
      </c>
      <c r="B11" s="599" t="s">
        <v>4112</v>
      </c>
      <c r="C11" s="471" t="s">
        <v>4113</v>
      </c>
      <c r="D11" s="471" t="s">
        <v>54</v>
      </c>
      <c r="E11" s="471" t="s">
        <v>4114</v>
      </c>
      <c r="F11" s="600">
        <v>241642.0</v>
      </c>
      <c r="G11" s="803"/>
      <c r="H11" s="471"/>
      <c r="I11" s="404" t="str">
        <f>IF(G11&gt;=F11,"FULLY PAID",IF(G11=0,"NOT PAID","PARTIALLY PAID"))</f>
        <v>NOT PAID</v>
      </c>
      <c r="J11" s="402"/>
      <c r="K11" s="402"/>
      <c r="L11" s="402"/>
      <c r="M11" s="402"/>
      <c r="N11" s="402"/>
      <c r="O11" s="402"/>
      <c r="P11" s="402"/>
      <c r="Q11" s="402"/>
      <c r="R11" s="402"/>
      <c r="S11" s="402"/>
      <c r="T11" s="402"/>
      <c r="U11" s="402"/>
      <c r="V11" s="402"/>
      <c r="W11" s="402"/>
      <c r="X11" s="402"/>
      <c r="Y11" s="402"/>
      <c r="Z11" s="402"/>
    </row>
    <row r="12" ht="14.25" customHeight="1">
      <c r="A12" s="804"/>
      <c r="B12" s="805"/>
      <c r="C12" s="804"/>
      <c r="D12" s="805"/>
      <c r="E12" s="402"/>
      <c r="F12" s="403"/>
      <c r="G12" s="403"/>
      <c r="H12" s="402"/>
      <c r="I12" s="404"/>
      <c r="J12" s="402"/>
      <c r="K12" s="402"/>
      <c r="L12" s="402"/>
      <c r="M12" s="402"/>
      <c r="N12" s="402"/>
      <c r="O12" s="402"/>
      <c r="P12" s="402"/>
      <c r="Q12" s="402"/>
      <c r="R12" s="402"/>
      <c r="S12" s="402"/>
      <c r="T12" s="402"/>
      <c r="U12" s="402"/>
      <c r="V12" s="402"/>
      <c r="W12" s="402"/>
      <c r="X12" s="402"/>
      <c r="Y12" s="402"/>
      <c r="Z12" s="402"/>
    </row>
    <row r="13" ht="14.25" customHeight="1">
      <c r="A13" s="402"/>
      <c r="B13" s="402"/>
      <c r="C13" s="402"/>
      <c r="D13" s="402"/>
      <c r="E13" s="402"/>
      <c r="F13" s="403"/>
      <c r="G13" s="403"/>
      <c r="H13" s="402"/>
      <c r="I13" s="404"/>
      <c r="J13" s="402"/>
      <c r="K13" s="402"/>
      <c r="L13" s="402"/>
      <c r="M13" s="402"/>
      <c r="N13" s="402"/>
      <c r="O13" s="402"/>
      <c r="P13" s="402"/>
      <c r="Q13" s="402"/>
      <c r="R13" s="402"/>
      <c r="S13" s="402"/>
      <c r="T13" s="402"/>
      <c r="U13" s="402"/>
      <c r="V13" s="402"/>
      <c r="W13" s="402"/>
      <c r="X13" s="402"/>
      <c r="Y13" s="402"/>
      <c r="Z13" s="402"/>
    </row>
    <row r="14" ht="14.25" customHeight="1">
      <c r="A14" s="406">
        <v>45496.0</v>
      </c>
      <c r="B14" s="349" t="s">
        <v>4103</v>
      </c>
      <c r="C14" s="349" t="s">
        <v>4104</v>
      </c>
      <c r="D14" s="349" t="s">
        <v>669</v>
      </c>
      <c r="E14" s="349" t="s">
        <v>4105</v>
      </c>
      <c r="F14" s="413">
        <v>182000.0</v>
      </c>
      <c r="G14" s="806">
        <v>191182.0</v>
      </c>
      <c r="H14" s="349" t="s">
        <v>772</v>
      </c>
      <c r="I14" s="404" t="str">
        <f t="shared" ref="I14:I17" si="2">IF(G14&gt;=F14,"FULLY PAID",IF(G14=0,"NOT PAID","PARTIALLY PAID"))</f>
        <v>FULLY PAID</v>
      </c>
      <c r="J14" s="402"/>
      <c r="K14" s="402"/>
      <c r="L14" s="402"/>
      <c r="M14" s="402"/>
      <c r="N14" s="402"/>
      <c r="O14" s="402"/>
      <c r="P14" s="402"/>
      <c r="Q14" s="402"/>
      <c r="R14" s="402"/>
      <c r="S14" s="402"/>
      <c r="T14" s="402"/>
      <c r="U14" s="402"/>
      <c r="V14" s="402"/>
      <c r="W14" s="402"/>
      <c r="X14" s="402"/>
      <c r="Y14" s="402"/>
      <c r="Z14" s="402"/>
    </row>
    <row r="15" ht="14.25" customHeight="1">
      <c r="A15" s="406">
        <v>45496.0</v>
      </c>
      <c r="B15" s="349" t="s">
        <v>4115</v>
      </c>
      <c r="C15" s="349" t="s">
        <v>4116</v>
      </c>
      <c r="D15" s="349" t="s">
        <v>439</v>
      </c>
      <c r="E15" s="349" t="s">
        <v>4105</v>
      </c>
      <c r="F15" s="413">
        <v>50000.0</v>
      </c>
      <c r="G15" s="807">
        <v>50000.0</v>
      </c>
      <c r="H15" s="349" t="s">
        <v>772</v>
      </c>
      <c r="I15" s="404" t="str">
        <f t="shared" si="2"/>
        <v>FULLY PAID</v>
      </c>
      <c r="J15" s="402"/>
      <c r="K15" s="402"/>
      <c r="L15" s="402"/>
      <c r="M15" s="402"/>
      <c r="N15" s="402"/>
      <c r="O15" s="402"/>
      <c r="P15" s="402"/>
      <c r="Q15" s="402"/>
      <c r="R15" s="402"/>
      <c r="S15" s="402"/>
      <c r="T15" s="402"/>
      <c r="U15" s="402"/>
      <c r="V15" s="402"/>
      <c r="W15" s="402"/>
      <c r="X15" s="402"/>
      <c r="Y15" s="402"/>
      <c r="Z15" s="402"/>
    </row>
    <row r="16" ht="14.25" customHeight="1">
      <c r="A16" s="406">
        <v>45496.0</v>
      </c>
      <c r="B16" s="349" t="s">
        <v>4117</v>
      </c>
      <c r="C16" s="349" t="s">
        <v>4118</v>
      </c>
      <c r="D16" s="349" t="s">
        <v>439</v>
      </c>
      <c r="E16" s="349" t="s">
        <v>4105</v>
      </c>
      <c r="F16" s="413">
        <v>15000.0</v>
      </c>
      <c r="G16" s="806">
        <v>17223.0</v>
      </c>
      <c r="H16" s="349" t="s">
        <v>772</v>
      </c>
      <c r="I16" s="404" t="str">
        <f t="shared" si="2"/>
        <v>FULLY PAID</v>
      </c>
      <c r="J16" s="402"/>
      <c r="K16" s="402"/>
      <c r="L16" s="402"/>
      <c r="M16" s="402"/>
      <c r="N16" s="402"/>
      <c r="O16" s="402"/>
      <c r="P16" s="402"/>
      <c r="Q16" s="402"/>
      <c r="R16" s="402"/>
      <c r="S16" s="402"/>
      <c r="T16" s="402"/>
      <c r="U16" s="402"/>
      <c r="V16" s="402"/>
      <c r="W16" s="402"/>
      <c r="X16" s="402"/>
      <c r="Y16" s="402"/>
      <c r="Z16" s="402"/>
    </row>
    <row r="17" ht="14.25" customHeight="1">
      <c r="A17" s="406">
        <v>45496.0</v>
      </c>
      <c r="B17" s="349" t="s">
        <v>4119</v>
      </c>
      <c r="C17" s="349" t="s">
        <v>4120</v>
      </c>
      <c r="D17" s="349" t="s">
        <v>439</v>
      </c>
      <c r="E17" s="349" t="s">
        <v>4105</v>
      </c>
      <c r="F17" s="413">
        <v>43000.0</v>
      </c>
      <c r="G17" s="808">
        <v>43067.0</v>
      </c>
      <c r="H17" s="349" t="s">
        <v>772</v>
      </c>
      <c r="I17" s="404" t="str">
        <f t="shared" si="2"/>
        <v>FULLY PAID</v>
      </c>
      <c r="J17" s="402"/>
      <c r="K17" s="402"/>
      <c r="L17" s="402"/>
      <c r="M17" s="402"/>
      <c r="N17" s="402"/>
      <c r="O17" s="402"/>
      <c r="P17" s="402"/>
      <c r="Q17" s="402"/>
      <c r="R17" s="402"/>
      <c r="S17" s="402"/>
      <c r="T17" s="402"/>
      <c r="U17" s="402"/>
      <c r="V17" s="402"/>
      <c r="W17" s="402"/>
      <c r="X17" s="402"/>
      <c r="Y17" s="402"/>
      <c r="Z17" s="402"/>
    </row>
    <row r="18" ht="14.25" customHeight="1">
      <c r="A18" s="402"/>
      <c r="B18" s="402"/>
      <c r="C18" s="402"/>
      <c r="D18" s="402"/>
      <c r="E18" s="402"/>
      <c r="F18" s="403"/>
      <c r="G18" s="809"/>
      <c r="H18" s="402"/>
      <c r="I18" s="404"/>
      <c r="J18" s="402"/>
      <c r="K18" s="402"/>
      <c r="L18" s="402"/>
      <c r="M18" s="402"/>
      <c r="N18" s="402"/>
      <c r="O18" s="402"/>
      <c r="P18" s="402"/>
      <c r="Q18" s="402"/>
      <c r="R18" s="402"/>
      <c r="S18" s="402"/>
      <c r="T18" s="402"/>
      <c r="U18" s="402"/>
      <c r="V18" s="402"/>
      <c r="W18" s="402"/>
      <c r="X18" s="402"/>
      <c r="Y18" s="402"/>
      <c r="Z18" s="402"/>
    </row>
    <row r="19" ht="14.25" customHeight="1">
      <c r="A19" s="402"/>
      <c r="B19" s="402"/>
      <c r="C19" s="402"/>
      <c r="D19" s="402"/>
      <c r="E19" s="402"/>
      <c r="F19" s="403"/>
      <c r="G19" s="809"/>
      <c r="H19" s="402"/>
      <c r="I19" s="404"/>
      <c r="J19" s="402"/>
      <c r="K19" s="402"/>
      <c r="L19" s="402"/>
      <c r="M19" s="402"/>
      <c r="N19" s="402"/>
      <c r="O19" s="402"/>
      <c r="P19" s="402"/>
      <c r="Q19" s="402"/>
      <c r="R19" s="402"/>
      <c r="S19" s="402"/>
      <c r="T19" s="402"/>
      <c r="U19" s="402"/>
      <c r="V19" s="402"/>
      <c r="W19" s="402"/>
      <c r="X19" s="402"/>
      <c r="Y19" s="402"/>
      <c r="Z19" s="402"/>
    </row>
    <row r="20" ht="14.25" customHeight="1">
      <c r="A20" s="402"/>
      <c r="B20" s="402"/>
      <c r="C20" s="402"/>
      <c r="D20" s="402"/>
      <c r="E20" s="402"/>
      <c r="F20" s="403"/>
      <c r="G20" s="403"/>
      <c r="H20" s="402"/>
      <c r="I20" s="404"/>
      <c r="J20" s="402"/>
      <c r="K20" s="402"/>
      <c r="L20" s="402"/>
      <c r="M20" s="402"/>
      <c r="N20" s="402"/>
      <c r="O20" s="402"/>
      <c r="P20" s="402"/>
      <c r="Q20" s="402"/>
      <c r="R20" s="402"/>
      <c r="S20" s="402"/>
      <c r="T20" s="402"/>
      <c r="U20" s="402"/>
      <c r="V20" s="402"/>
      <c r="W20" s="402"/>
      <c r="X20" s="402"/>
      <c r="Y20" s="402"/>
      <c r="Z20" s="402"/>
    </row>
    <row r="21" ht="14.25" customHeight="1">
      <c r="A21" s="406">
        <v>45497.0</v>
      </c>
      <c r="B21" s="349" t="s">
        <v>4121</v>
      </c>
      <c r="C21" s="349" t="s">
        <v>4122</v>
      </c>
      <c r="D21" s="349" t="s">
        <v>4123</v>
      </c>
      <c r="E21" s="349" t="s">
        <v>4105</v>
      </c>
      <c r="F21" s="413">
        <v>43000.0</v>
      </c>
      <c r="G21" s="403"/>
      <c r="H21" s="349" t="s">
        <v>56</v>
      </c>
      <c r="I21" s="404" t="str">
        <f t="shared" ref="I21:I22" si="3">IF(G21&gt;=F21,"FULLY PAID",IF(G21=0,"NOT PAID","PARTIALLY PAID"))</f>
        <v>NOT PAID</v>
      </c>
      <c r="J21" s="402"/>
      <c r="K21" s="402"/>
      <c r="L21" s="402"/>
      <c r="M21" s="402"/>
      <c r="N21" s="402"/>
      <c r="O21" s="402"/>
      <c r="P21" s="402"/>
      <c r="Q21" s="402"/>
      <c r="R21" s="402"/>
      <c r="S21" s="402"/>
      <c r="T21" s="402"/>
      <c r="U21" s="402"/>
      <c r="V21" s="402"/>
      <c r="W21" s="402"/>
      <c r="X21" s="402"/>
      <c r="Y21" s="402"/>
      <c r="Z21" s="402"/>
    </row>
    <row r="22" ht="14.25" customHeight="1">
      <c r="A22" s="406">
        <v>45497.0</v>
      </c>
      <c r="B22" s="349" t="s">
        <v>4124</v>
      </c>
      <c r="C22" s="349" t="s">
        <v>4125</v>
      </c>
      <c r="D22" s="349" t="s">
        <v>439</v>
      </c>
      <c r="E22" s="349" t="s">
        <v>4105</v>
      </c>
      <c r="F22" s="413">
        <v>7500.0</v>
      </c>
      <c r="G22" s="413">
        <v>11570.0</v>
      </c>
      <c r="H22" s="349" t="s">
        <v>710</v>
      </c>
      <c r="I22" s="404" t="str">
        <f t="shared" si="3"/>
        <v>FULLY PAID</v>
      </c>
      <c r="J22" s="402"/>
      <c r="K22" s="402"/>
      <c r="L22" s="402"/>
      <c r="M22" s="402"/>
      <c r="N22" s="402"/>
      <c r="O22" s="402"/>
      <c r="P22" s="402"/>
      <c r="Q22" s="402"/>
      <c r="R22" s="402"/>
      <c r="S22" s="402"/>
      <c r="T22" s="402"/>
      <c r="U22" s="402"/>
      <c r="V22" s="402"/>
      <c r="W22" s="402"/>
      <c r="X22" s="402"/>
      <c r="Y22" s="402"/>
      <c r="Z22" s="402"/>
    </row>
    <row r="23" ht="14.25" customHeight="1">
      <c r="A23" s="402"/>
      <c r="B23" s="402"/>
      <c r="C23" s="402"/>
      <c r="D23" s="402"/>
      <c r="E23" s="402"/>
      <c r="F23" s="403"/>
      <c r="G23" s="403"/>
      <c r="H23" s="402"/>
      <c r="I23" s="404"/>
      <c r="J23" s="402"/>
      <c r="K23" s="402"/>
      <c r="L23" s="402"/>
      <c r="M23" s="402"/>
      <c r="N23" s="402"/>
      <c r="O23" s="402"/>
      <c r="P23" s="402"/>
      <c r="Q23" s="402"/>
      <c r="R23" s="402"/>
      <c r="S23" s="402"/>
      <c r="T23" s="402"/>
      <c r="U23" s="402"/>
      <c r="V23" s="402"/>
      <c r="W23" s="402"/>
      <c r="X23" s="402"/>
      <c r="Y23" s="402"/>
      <c r="Z23" s="402"/>
    </row>
    <row r="24" ht="14.25" customHeight="1">
      <c r="A24" s="406">
        <v>45498.0</v>
      </c>
      <c r="B24" s="800" t="s">
        <v>4126</v>
      </c>
      <c r="C24" s="349" t="s">
        <v>4127</v>
      </c>
      <c r="D24" s="349" t="s">
        <v>893</v>
      </c>
      <c r="E24" s="349" t="s">
        <v>894</v>
      </c>
      <c r="F24" s="413">
        <v>500000.0</v>
      </c>
      <c r="G24" s="403"/>
      <c r="H24" s="402"/>
      <c r="I24" s="404" t="str">
        <f>IF(G24&gt;=F24,"FULLY PAID",IF(G24=0,"NOT PAID","PARTIALLY PAID"))</f>
        <v>NOT PAID</v>
      </c>
      <c r="J24" s="402"/>
      <c r="K24" s="402"/>
      <c r="L24" s="402"/>
      <c r="M24" s="402"/>
      <c r="N24" s="402"/>
      <c r="O24" s="402"/>
      <c r="P24" s="402"/>
      <c r="Q24" s="402"/>
      <c r="R24" s="402"/>
      <c r="S24" s="402"/>
      <c r="T24" s="402"/>
      <c r="U24" s="402"/>
      <c r="V24" s="402"/>
      <c r="W24" s="402"/>
      <c r="X24" s="402"/>
      <c r="Y24" s="402"/>
      <c r="Z24" s="402"/>
    </row>
    <row r="25" ht="14.25" customHeight="1">
      <c r="A25" s="402"/>
      <c r="B25" s="402"/>
      <c r="C25" s="402"/>
      <c r="D25" s="402"/>
      <c r="E25" s="402"/>
      <c r="F25" s="403"/>
      <c r="G25" s="403"/>
      <c r="H25" s="402"/>
      <c r="I25" s="404"/>
      <c r="J25" s="402"/>
      <c r="K25" s="402"/>
      <c r="L25" s="402"/>
      <c r="M25" s="402"/>
      <c r="N25" s="402"/>
      <c r="O25" s="402"/>
      <c r="P25" s="402"/>
      <c r="Q25" s="402"/>
      <c r="R25" s="402"/>
      <c r="S25" s="402"/>
      <c r="T25" s="402"/>
      <c r="U25" s="402"/>
      <c r="V25" s="402"/>
      <c r="W25" s="402"/>
      <c r="X25" s="402"/>
      <c r="Y25" s="402"/>
      <c r="Z25" s="402"/>
    </row>
    <row r="26" ht="14.25" customHeight="1">
      <c r="A26" s="402"/>
      <c r="B26" s="402"/>
      <c r="C26" s="402"/>
      <c r="D26" s="402"/>
      <c r="E26" s="402"/>
      <c r="F26" s="403"/>
      <c r="G26" s="403"/>
      <c r="H26" s="402"/>
      <c r="I26" s="404"/>
      <c r="J26" s="402"/>
      <c r="K26" s="402"/>
      <c r="L26" s="402"/>
      <c r="M26" s="402"/>
      <c r="N26" s="402"/>
      <c r="O26" s="402"/>
      <c r="P26" s="402"/>
      <c r="Q26" s="402"/>
      <c r="R26" s="402"/>
      <c r="S26" s="402"/>
      <c r="T26" s="402"/>
      <c r="U26" s="402"/>
      <c r="V26" s="402"/>
      <c r="W26" s="402"/>
      <c r="X26" s="402"/>
      <c r="Y26" s="402"/>
      <c r="Z26" s="402"/>
    </row>
    <row r="27" ht="14.25" customHeight="1">
      <c r="A27" s="406">
        <v>45498.0</v>
      </c>
      <c r="B27" s="349" t="s">
        <v>4128</v>
      </c>
      <c r="C27" s="349" t="s">
        <v>4129</v>
      </c>
      <c r="D27" s="349" t="s">
        <v>439</v>
      </c>
      <c r="E27" s="349" t="s">
        <v>4105</v>
      </c>
      <c r="F27" s="413">
        <v>80000.0</v>
      </c>
      <c r="G27" s="413">
        <v>0.0</v>
      </c>
      <c r="H27" s="349" t="s">
        <v>4130</v>
      </c>
      <c r="I27" s="404" t="str">
        <f t="shared" ref="I27:I36" si="4">IF(G27&gt;=F27,"FULLY PAID",IF(G27=0,"NOT PAID","PARTIALLY PAID"))</f>
        <v>NOT PAID</v>
      </c>
      <c r="J27" s="402"/>
      <c r="K27" s="402"/>
      <c r="L27" s="402"/>
      <c r="M27" s="402"/>
      <c r="N27" s="402"/>
      <c r="O27" s="402"/>
      <c r="P27" s="402"/>
      <c r="Q27" s="402"/>
      <c r="R27" s="402"/>
      <c r="S27" s="402"/>
      <c r="T27" s="402"/>
      <c r="U27" s="402"/>
      <c r="V27" s="402"/>
      <c r="W27" s="402"/>
      <c r="X27" s="402"/>
      <c r="Y27" s="402"/>
      <c r="Z27" s="402"/>
    </row>
    <row r="28" ht="14.25" customHeight="1">
      <c r="A28" s="406">
        <v>45498.0</v>
      </c>
      <c r="B28" s="349" t="s">
        <v>4121</v>
      </c>
      <c r="C28" s="349" t="s">
        <v>4122</v>
      </c>
      <c r="D28" s="349" t="s">
        <v>439</v>
      </c>
      <c r="E28" s="349" t="s">
        <v>4105</v>
      </c>
      <c r="F28" s="413">
        <v>14000.0</v>
      </c>
      <c r="G28" s="413">
        <v>0.0</v>
      </c>
      <c r="H28" s="349" t="s">
        <v>267</v>
      </c>
      <c r="I28" s="404" t="str">
        <f t="shared" si="4"/>
        <v>NOT PAID</v>
      </c>
      <c r="J28" s="402"/>
      <c r="K28" s="402"/>
      <c r="L28" s="402"/>
      <c r="M28" s="402"/>
      <c r="N28" s="402"/>
      <c r="O28" s="402"/>
      <c r="P28" s="402"/>
      <c r="Q28" s="402"/>
      <c r="R28" s="402"/>
      <c r="S28" s="402"/>
      <c r="T28" s="402"/>
      <c r="U28" s="402"/>
      <c r="V28" s="402"/>
      <c r="W28" s="402"/>
      <c r="X28" s="402"/>
      <c r="Y28" s="402"/>
      <c r="Z28" s="402"/>
    </row>
    <row r="29" ht="14.25" customHeight="1">
      <c r="A29" s="402"/>
      <c r="B29" s="402"/>
      <c r="C29" s="402"/>
      <c r="D29" s="402"/>
      <c r="E29" s="402"/>
      <c r="F29" s="403"/>
      <c r="G29" s="403"/>
      <c r="H29" s="402"/>
      <c r="I29" s="404" t="str">
        <f t="shared" si="4"/>
        <v>FULLY PAID</v>
      </c>
      <c r="J29" s="402"/>
      <c r="K29" s="402"/>
      <c r="L29" s="402"/>
      <c r="M29" s="402"/>
      <c r="N29" s="402"/>
      <c r="O29" s="402"/>
      <c r="P29" s="402"/>
      <c r="Q29" s="402"/>
      <c r="R29" s="402"/>
      <c r="S29" s="402"/>
      <c r="T29" s="402"/>
      <c r="U29" s="402"/>
      <c r="V29" s="402"/>
      <c r="W29" s="402"/>
      <c r="X29" s="402"/>
      <c r="Y29" s="402"/>
      <c r="Z29" s="402"/>
    </row>
    <row r="30" ht="14.25" customHeight="1">
      <c r="A30" s="402"/>
      <c r="B30" s="402"/>
      <c r="C30" s="402"/>
      <c r="D30" s="402"/>
      <c r="E30" s="402"/>
      <c r="F30" s="403"/>
      <c r="G30" s="403"/>
      <c r="H30" s="402"/>
      <c r="I30" s="404" t="str">
        <f t="shared" si="4"/>
        <v>FULLY PAID</v>
      </c>
      <c r="J30" s="402"/>
      <c r="K30" s="402"/>
      <c r="L30" s="402"/>
      <c r="M30" s="402"/>
      <c r="N30" s="402"/>
      <c r="O30" s="402"/>
      <c r="P30" s="402"/>
      <c r="Q30" s="402"/>
      <c r="R30" s="402"/>
      <c r="S30" s="402"/>
      <c r="T30" s="402"/>
      <c r="U30" s="402"/>
      <c r="V30" s="402"/>
      <c r="W30" s="402"/>
      <c r="X30" s="402"/>
      <c r="Y30" s="402"/>
      <c r="Z30" s="402"/>
    </row>
    <row r="31" ht="14.25" customHeight="1">
      <c r="A31" s="402"/>
      <c r="B31" s="402"/>
      <c r="C31" s="402"/>
      <c r="D31" s="402"/>
      <c r="E31" s="402"/>
      <c r="F31" s="403"/>
      <c r="G31" s="403"/>
      <c r="H31" s="402"/>
      <c r="I31" s="404" t="str">
        <f t="shared" si="4"/>
        <v>FULLY PAID</v>
      </c>
      <c r="J31" s="402"/>
      <c r="K31" s="402"/>
      <c r="L31" s="402"/>
      <c r="M31" s="402"/>
      <c r="N31" s="402"/>
      <c r="O31" s="402"/>
      <c r="P31" s="402"/>
      <c r="Q31" s="402"/>
      <c r="R31" s="402"/>
      <c r="S31" s="402"/>
      <c r="T31" s="402"/>
      <c r="U31" s="402"/>
      <c r="V31" s="402"/>
      <c r="W31" s="402"/>
      <c r="X31" s="402"/>
      <c r="Y31" s="402"/>
      <c r="Z31" s="402"/>
    </row>
    <row r="32" ht="14.25" customHeight="1">
      <c r="A32" s="406">
        <v>45499.0</v>
      </c>
      <c r="B32" s="349" t="s">
        <v>4128</v>
      </c>
      <c r="C32" s="349" t="s">
        <v>4131</v>
      </c>
      <c r="D32" s="349" t="s">
        <v>439</v>
      </c>
      <c r="E32" s="349" t="s">
        <v>4105</v>
      </c>
      <c r="F32" s="413">
        <v>100000.0</v>
      </c>
      <c r="G32" s="403"/>
      <c r="H32" s="349" t="s">
        <v>4130</v>
      </c>
      <c r="I32" s="404" t="str">
        <f t="shared" si="4"/>
        <v>NOT PAID</v>
      </c>
      <c r="J32" s="402"/>
      <c r="K32" s="402"/>
      <c r="L32" s="402"/>
      <c r="M32" s="402"/>
      <c r="N32" s="402"/>
      <c r="O32" s="402"/>
      <c r="P32" s="402"/>
      <c r="Q32" s="402"/>
      <c r="R32" s="402"/>
      <c r="S32" s="402"/>
      <c r="T32" s="402"/>
      <c r="U32" s="402"/>
      <c r="V32" s="402"/>
      <c r="W32" s="402"/>
      <c r="X32" s="402"/>
      <c r="Y32" s="402"/>
      <c r="Z32" s="402"/>
    </row>
    <row r="33" ht="14.25" customHeight="1">
      <c r="A33" s="406">
        <v>45499.0</v>
      </c>
      <c r="B33" s="349" t="s">
        <v>4132</v>
      </c>
      <c r="C33" s="349" t="s">
        <v>4133</v>
      </c>
      <c r="D33" s="349" t="s">
        <v>4134</v>
      </c>
      <c r="E33" s="349" t="s">
        <v>4105</v>
      </c>
      <c r="F33" s="413">
        <v>31000.0</v>
      </c>
      <c r="G33" s="403"/>
      <c r="H33" s="349" t="s">
        <v>4135</v>
      </c>
      <c r="I33" s="404" t="str">
        <f t="shared" si="4"/>
        <v>NOT PAID</v>
      </c>
      <c r="J33" s="402"/>
      <c r="K33" s="402"/>
      <c r="L33" s="402"/>
      <c r="M33" s="402"/>
      <c r="N33" s="402"/>
      <c r="O33" s="402"/>
      <c r="P33" s="402"/>
      <c r="Q33" s="402"/>
      <c r="R33" s="402"/>
      <c r="S33" s="402"/>
      <c r="T33" s="402"/>
      <c r="U33" s="402"/>
      <c r="V33" s="402"/>
      <c r="W33" s="402"/>
      <c r="X33" s="402"/>
      <c r="Y33" s="402"/>
      <c r="Z33" s="402"/>
    </row>
    <row r="34" ht="14.25" customHeight="1">
      <c r="A34" s="406">
        <v>45499.0</v>
      </c>
      <c r="B34" s="349" t="s">
        <v>4136</v>
      </c>
      <c r="C34" s="349" t="s">
        <v>4137</v>
      </c>
      <c r="D34" s="349" t="s">
        <v>439</v>
      </c>
      <c r="E34" s="349" t="s">
        <v>4105</v>
      </c>
      <c r="F34" s="413">
        <v>7500.0</v>
      </c>
      <c r="G34" s="413">
        <v>7500.0</v>
      </c>
      <c r="H34" s="349" t="s">
        <v>56</v>
      </c>
      <c r="I34" s="404" t="str">
        <f t="shared" si="4"/>
        <v>FULLY PAID</v>
      </c>
      <c r="J34" s="402"/>
      <c r="K34" s="402"/>
      <c r="L34" s="402"/>
      <c r="M34" s="402"/>
      <c r="N34" s="402"/>
      <c r="O34" s="402"/>
      <c r="P34" s="402"/>
      <c r="Q34" s="402"/>
      <c r="R34" s="402"/>
      <c r="S34" s="402"/>
      <c r="T34" s="402"/>
      <c r="U34" s="402"/>
      <c r="V34" s="402"/>
      <c r="W34" s="402"/>
      <c r="X34" s="402"/>
      <c r="Y34" s="402"/>
      <c r="Z34" s="402"/>
    </row>
    <row r="35" ht="14.25" customHeight="1">
      <c r="A35" s="402"/>
      <c r="B35" s="402"/>
      <c r="C35" s="402"/>
      <c r="D35" s="402"/>
      <c r="E35" s="402"/>
      <c r="F35" s="403"/>
      <c r="G35" s="403"/>
      <c r="H35" s="402"/>
      <c r="I35" s="404" t="str">
        <f t="shared" si="4"/>
        <v>FULLY PAID</v>
      </c>
      <c r="J35" s="402"/>
      <c r="K35" s="402"/>
      <c r="L35" s="402"/>
      <c r="M35" s="402"/>
      <c r="N35" s="402"/>
      <c r="O35" s="402"/>
      <c r="P35" s="402"/>
      <c r="Q35" s="402"/>
      <c r="R35" s="402"/>
      <c r="S35" s="402"/>
      <c r="T35" s="402"/>
      <c r="U35" s="402"/>
      <c r="V35" s="402"/>
      <c r="W35" s="402"/>
      <c r="X35" s="402"/>
      <c r="Y35" s="402"/>
      <c r="Z35" s="402"/>
    </row>
    <row r="36" ht="14.25" customHeight="1">
      <c r="A36" s="497">
        <v>45499.0</v>
      </c>
      <c r="B36" s="349" t="s">
        <v>4110</v>
      </c>
      <c r="C36" s="349" t="s">
        <v>4111</v>
      </c>
      <c r="D36" s="349" t="s">
        <v>893</v>
      </c>
      <c r="E36" s="349" t="s">
        <v>931</v>
      </c>
      <c r="F36" s="413">
        <v>2800000.0</v>
      </c>
      <c r="G36" s="413">
        <v>2650000.0</v>
      </c>
      <c r="H36" s="349" t="s">
        <v>267</v>
      </c>
      <c r="I36" s="404" t="str">
        <f t="shared" si="4"/>
        <v>PARTIALLY PAID</v>
      </c>
      <c r="J36" s="402"/>
      <c r="K36" s="402"/>
      <c r="L36" s="402"/>
      <c r="M36" s="402"/>
      <c r="N36" s="402"/>
      <c r="O36" s="402"/>
      <c r="P36" s="402"/>
      <c r="Q36" s="402"/>
      <c r="R36" s="402"/>
      <c r="S36" s="402"/>
      <c r="T36" s="402"/>
      <c r="U36" s="402"/>
      <c r="V36" s="402"/>
      <c r="W36" s="402"/>
      <c r="X36" s="402"/>
      <c r="Y36" s="402"/>
      <c r="Z36" s="402"/>
    </row>
    <row r="37" ht="14.25" customHeight="1">
      <c r="A37" s="402"/>
      <c r="B37" s="402"/>
      <c r="C37" s="402"/>
      <c r="D37" s="402"/>
      <c r="E37" s="402"/>
      <c r="F37" s="403"/>
      <c r="G37" s="403"/>
      <c r="H37" s="402"/>
      <c r="I37" s="404"/>
      <c r="J37" s="402"/>
      <c r="K37" s="402"/>
      <c r="L37" s="402"/>
      <c r="M37" s="402"/>
      <c r="N37" s="402"/>
      <c r="O37" s="402"/>
      <c r="P37" s="402"/>
      <c r="Q37" s="402"/>
      <c r="R37" s="402"/>
      <c r="S37" s="402"/>
      <c r="T37" s="402"/>
      <c r="U37" s="402"/>
      <c r="V37" s="402"/>
      <c r="W37" s="402"/>
      <c r="X37" s="402"/>
      <c r="Y37" s="402"/>
      <c r="Z37" s="402"/>
    </row>
    <row r="38" ht="14.25" customHeight="1">
      <c r="A38" s="402"/>
      <c r="B38" s="402"/>
      <c r="C38" s="402"/>
      <c r="D38" s="402"/>
      <c r="E38" s="402"/>
      <c r="F38" s="403"/>
      <c r="G38" s="403"/>
      <c r="H38" s="402"/>
      <c r="I38" s="404"/>
      <c r="J38" s="402"/>
      <c r="K38" s="402"/>
      <c r="L38" s="402"/>
      <c r="M38" s="402"/>
      <c r="N38" s="402"/>
      <c r="O38" s="402"/>
      <c r="P38" s="402"/>
      <c r="Q38" s="402"/>
      <c r="R38" s="402"/>
      <c r="S38" s="402"/>
      <c r="T38" s="402"/>
      <c r="U38" s="402"/>
      <c r="V38" s="402"/>
      <c r="W38" s="402"/>
      <c r="X38" s="402"/>
      <c r="Y38" s="402"/>
      <c r="Z38" s="402"/>
    </row>
    <row r="39" ht="14.25" customHeight="1">
      <c r="A39" s="402"/>
      <c r="B39" s="402"/>
      <c r="C39" s="402"/>
      <c r="D39" s="402"/>
      <c r="E39" s="402"/>
      <c r="F39" s="403"/>
      <c r="G39" s="403"/>
      <c r="H39" s="402"/>
      <c r="I39" s="404"/>
      <c r="J39" s="402"/>
      <c r="K39" s="402"/>
      <c r="L39" s="402"/>
      <c r="M39" s="402"/>
      <c r="N39" s="402"/>
      <c r="O39" s="402"/>
      <c r="P39" s="402"/>
      <c r="Q39" s="402"/>
      <c r="R39" s="402"/>
      <c r="S39" s="402"/>
      <c r="T39" s="402"/>
      <c r="U39" s="402"/>
      <c r="V39" s="402"/>
      <c r="W39" s="402"/>
      <c r="X39" s="402"/>
      <c r="Y39" s="402"/>
      <c r="Z39" s="402"/>
    </row>
    <row r="40" ht="14.25" customHeight="1">
      <c r="A40" s="406">
        <v>45500.0</v>
      </c>
      <c r="B40" s="349" t="s">
        <v>4132</v>
      </c>
      <c r="C40" s="349" t="s">
        <v>4133</v>
      </c>
      <c r="D40" s="349" t="s">
        <v>4138</v>
      </c>
      <c r="E40" s="349" t="s">
        <v>4105</v>
      </c>
      <c r="F40" s="413">
        <v>32000.0</v>
      </c>
      <c r="G40" s="403"/>
      <c r="H40" s="349" t="s">
        <v>4139</v>
      </c>
      <c r="I40" s="404" t="str">
        <f t="shared" ref="I40:I211" si="5">IF(G40&gt;=F40,"FULLY PAID",IF(G40=0,"NOT PAID","PARTIALLY PAID"))</f>
        <v>NOT PAID</v>
      </c>
      <c r="J40" s="402"/>
      <c r="K40" s="402"/>
      <c r="L40" s="402"/>
      <c r="M40" s="402"/>
      <c r="N40" s="402"/>
      <c r="O40" s="402"/>
      <c r="P40" s="402"/>
      <c r="Q40" s="402"/>
      <c r="R40" s="402"/>
      <c r="S40" s="402"/>
      <c r="T40" s="402"/>
      <c r="U40" s="402"/>
      <c r="V40" s="402"/>
      <c r="W40" s="402"/>
      <c r="X40" s="402"/>
      <c r="Y40" s="402"/>
      <c r="Z40" s="402"/>
    </row>
    <row r="41" ht="14.25" customHeight="1">
      <c r="A41" s="406">
        <v>45500.0</v>
      </c>
      <c r="B41" s="349" t="s">
        <v>4140</v>
      </c>
      <c r="C41" s="349" t="s">
        <v>4129</v>
      </c>
      <c r="D41" s="349" t="s">
        <v>439</v>
      </c>
      <c r="E41" s="349" t="s">
        <v>4105</v>
      </c>
      <c r="F41" s="413">
        <v>100000.0</v>
      </c>
      <c r="G41" s="403"/>
      <c r="H41" s="349" t="s">
        <v>4130</v>
      </c>
      <c r="I41" s="404" t="str">
        <f t="shared" si="5"/>
        <v>NOT PAID</v>
      </c>
      <c r="J41" s="402"/>
      <c r="K41" s="402"/>
      <c r="L41" s="402"/>
      <c r="M41" s="402"/>
      <c r="N41" s="402"/>
      <c r="O41" s="402"/>
      <c r="P41" s="402"/>
      <c r="Q41" s="402"/>
      <c r="R41" s="402"/>
      <c r="S41" s="402"/>
      <c r="T41" s="402"/>
      <c r="U41" s="402"/>
      <c r="V41" s="402"/>
      <c r="W41" s="402"/>
      <c r="X41" s="402"/>
      <c r="Y41" s="402"/>
      <c r="Z41" s="402"/>
    </row>
    <row r="42" ht="14.25" customHeight="1">
      <c r="A42" s="406">
        <v>45500.0</v>
      </c>
      <c r="B42" s="349" t="s">
        <v>4121</v>
      </c>
      <c r="C42" s="349" t="s">
        <v>4122</v>
      </c>
      <c r="D42" s="349" t="s">
        <v>4134</v>
      </c>
      <c r="E42" s="349" t="s">
        <v>4105</v>
      </c>
      <c r="F42" s="413">
        <v>13000.0</v>
      </c>
      <c r="G42" s="413">
        <v>13000.0</v>
      </c>
      <c r="H42" s="349" t="s">
        <v>56</v>
      </c>
      <c r="I42" s="404" t="str">
        <f t="shared" si="5"/>
        <v>FULLY PAID</v>
      </c>
      <c r="J42" s="402"/>
      <c r="K42" s="402"/>
      <c r="L42" s="402"/>
      <c r="M42" s="402"/>
      <c r="N42" s="402"/>
      <c r="O42" s="402"/>
      <c r="P42" s="402"/>
      <c r="Q42" s="402"/>
      <c r="R42" s="402"/>
      <c r="S42" s="402"/>
      <c r="T42" s="402"/>
      <c r="U42" s="402"/>
      <c r="V42" s="402"/>
      <c r="W42" s="402"/>
      <c r="X42" s="402"/>
      <c r="Y42" s="402"/>
      <c r="Z42" s="402"/>
    </row>
    <row r="43" ht="14.25" customHeight="1">
      <c r="A43" s="402"/>
      <c r="B43" s="402"/>
      <c r="C43" s="402"/>
      <c r="D43" s="402"/>
      <c r="E43" s="402"/>
      <c r="F43" s="403"/>
      <c r="G43" s="403"/>
      <c r="H43" s="402"/>
      <c r="I43" s="404" t="str">
        <f t="shared" si="5"/>
        <v>FULLY PAID</v>
      </c>
      <c r="J43" s="402"/>
      <c r="K43" s="402"/>
      <c r="L43" s="402"/>
      <c r="M43" s="402"/>
      <c r="N43" s="402"/>
      <c r="O43" s="402"/>
      <c r="P43" s="402"/>
      <c r="Q43" s="402"/>
      <c r="R43" s="402"/>
      <c r="S43" s="402"/>
      <c r="T43" s="402"/>
      <c r="U43" s="402"/>
      <c r="V43" s="402"/>
      <c r="W43" s="402"/>
      <c r="X43" s="402"/>
      <c r="Y43" s="402"/>
      <c r="Z43" s="402"/>
    </row>
    <row r="44" ht="14.25" customHeight="1">
      <c r="A44" s="402"/>
      <c r="B44" s="402"/>
      <c r="C44" s="402"/>
      <c r="D44" s="402"/>
      <c r="E44" s="402"/>
      <c r="F44" s="403"/>
      <c r="G44" s="403"/>
      <c r="H44" s="402"/>
      <c r="I44" s="404" t="str">
        <f t="shared" si="5"/>
        <v>FULLY PAID</v>
      </c>
      <c r="J44" s="402"/>
      <c r="K44" s="402"/>
      <c r="L44" s="402"/>
      <c r="M44" s="402"/>
      <c r="N44" s="402"/>
      <c r="O44" s="402"/>
      <c r="P44" s="402"/>
      <c r="Q44" s="402"/>
      <c r="R44" s="402"/>
      <c r="S44" s="402"/>
      <c r="T44" s="402"/>
      <c r="U44" s="402"/>
      <c r="V44" s="402"/>
      <c r="W44" s="402"/>
      <c r="X44" s="402"/>
      <c r="Y44" s="402"/>
      <c r="Z44" s="402"/>
    </row>
    <row r="45" ht="14.25" customHeight="1">
      <c r="A45" s="406">
        <v>45502.0</v>
      </c>
      <c r="B45" s="349" t="s">
        <v>4141</v>
      </c>
      <c r="C45" s="349" t="s">
        <v>4133</v>
      </c>
      <c r="D45" s="349" t="s">
        <v>4134</v>
      </c>
      <c r="E45" s="349" t="s">
        <v>4105</v>
      </c>
      <c r="F45" s="413">
        <v>32000.0</v>
      </c>
      <c r="G45" s="403"/>
      <c r="H45" s="349" t="s">
        <v>4142</v>
      </c>
      <c r="I45" s="404" t="str">
        <f t="shared" si="5"/>
        <v>NOT PAID</v>
      </c>
      <c r="J45" s="402"/>
      <c r="K45" s="402"/>
      <c r="L45" s="402"/>
      <c r="M45" s="402"/>
      <c r="N45" s="402"/>
      <c r="O45" s="402"/>
      <c r="P45" s="402"/>
      <c r="Q45" s="402"/>
      <c r="R45" s="402"/>
      <c r="S45" s="402"/>
      <c r="T45" s="402"/>
      <c r="U45" s="402"/>
      <c r="V45" s="402"/>
      <c r="W45" s="402"/>
      <c r="X45" s="402"/>
      <c r="Y45" s="402"/>
      <c r="Z45" s="402"/>
    </row>
    <row r="46" ht="14.25" customHeight="1">
      <c r="A46" s="406">
        <v>45502.0</v>
      </c>
      <c r="B46" s="349" t="s">
        <v>4143</v>
      </c>
      <c r="C46" s="349" t="s">
        <v>4144</v>
      </c>
      <c r="D46" s="349" t="s">
        <v>669</v>
      </c>
      <c r="E46" s="349" t="s">
        <v>4105</v>
      </c>
      <c r="F46" s="413">
        <v>230000.0</v>
      </c>
      <c r="G46" s="403"/>
      <c r="H46" s="349" t="s">
        <v>267</v>
      </c>
      <c r="I46" s="404" t="str">
        <f t="shared" si="5"/>
        <v>NOT PAID</v>
      </c>
      <c r="J46" s="402"/>
      <c r="K46" s="402"/>
      <c r="L46" s="402"/>
      <c r="M46" s="402"/>
      <c r="N46" s="402"/>
      <c r="O46" s="402"/>
      <c r="P46" s="402"/>
      <c r="Q46" s="402"/>
      <c r="R46" s="402"/>
      <c r="S46" s="402"/>
      <c r="T46" s="402"/>
      <c r="U46" s="402"/>
      <c r="V46" s="402"/>
      <c r="W46" s="402"/>
      <c r="X46" s="402"/>
      <c r="Y46" s="402"/>
      <c r="Z46" s="402"/>
    </row>
    <row r="47" ht="14.25" customHeight="1">
      <c r="A47" s="406">
        <v>45502.0</v>
      </c>
      <c r="B47" s="349" t="s">
        <v>4140</v>
      </c>
      <c r="C47" s="349" t="s">
        <v>4131</v>
      </c>
      <c r="D47" s="349" t="s">
        <v>669</v>
      </c>
      <c r="E47" s="349" t="s">
        <v>4105</v>
      </c>
      <c r="F47" s="413">
        <v>66000.0</v>
      </c>
      <c r="G47" s="403"/>
      <c r="H47" s="349" t="s">
        <v>3469</v>
      </c>
      <c r="I47" s="404" t="str">
        <f t="shared" si="5"/>
        <v>NOT PAID</v>
      </c>
      <c r="J47" s="402"/>
      <c r="K47" s="402"/>
      <c r="L47" s="402"/>
      <c r="M47" s="402"/>
      <c r="N47" s="402"/>
      <c r="O47" s="402"/>
      <c r="P47" s="402"/>
      <c r="Q47" s="402"/>
      <c r="R47" s="402"/>
      <c r="S47" s="402"/>
      <c r="T47" s="402"/>
      <c r="U47" s="402"/>
      <c r="V47" s="402"/>
      <c r="W47" s="402"/>
      <c r="X47" s="402"/>
      <c r="Y47" s="402"/>
      <c r="Z47" s="402"/>
    </row>
    <row r="48" ht="14.25" customHeight="1">
      <c r="A48" s="406">
        <v>45502.0</v>
      </c>
      <c r="B48" s="349" t="s">
        <v>4119</v>
      </c>
      <c r="C48" s="349" t="s">
        <v>4145</v>
      </c>
      <c r="D48" s="349" t="s">
        <v>467</v>
      </c>
      <c r="E48" s="349" t="s">
        <v>4105</v>
      </c>
      <c r="F48" s="413">
        <v>21000.0</v>
      </c>
      <c r="G48" s="403"/>
      <c r="H48" s="349" t="s">
        <v>56</v>
      </c>
      <c r="I48" s="404" t="str">
        <f t="shared" si="5"/>
        <v>NOT PAID</v>
      </c>
      <c r="J48" s="402"/>
      <c r="K48" s="402"/>
      <c r="L48" s="402"/>
      <c r="M48" s="402"/>
      <c r="N48" s="402"/>
      <c r="O48" s="402"/>
      <c r="P48" s="402"/>
      <c r="Q48" s="402"/>
      <c r="R48" s="402"/>
      <c r="S48" s="402"/>
      <c r="T48" s="402"/>
      <c r="U48" s="402"/>
      <c r="V48" s="402"/>
      <c r="W48" s="402"/>
      <c r="X48" s="402"/>
      <c r="Y48" s="402"/>
      <c r="Z48" s="402"/>
    </row>
    <row r="49" ht="14.25" customHeight="1">
      <c r="A49" s="402"/>
      <c r="B49" s="402"/>
      <c r="C49" s="402"/>
      <c r="D49" s="402"/>
      <c r="E49" s="402"/>
      <c r="F49" s="403"/>
      <c r="G49" s="403"/>
      <c r="H49" s="402"/>
      <c r="I49" s="404" t="str">
        <f t="shared" si="5"/>
        <v>FULLY PAID</v>
      </c>
      <c r="J49" s="402"/>
      <c r="K49" s="402"/>
      <c r="L49" s="402"/>
      <c r="M49" s="402"/>
      <c r="N49" s="402"/>
      <c r="O49" s="402"/>
      <c r="P49" s="402"/>
      <c r="Q49" s="402"/>
      <c r="R49" s="402"/>
      <c r="S49" s="402"/>
      <c r="T49" s="402"/>
      <c r="U49" s="402"/>
      <c r="V49" s="402"/>
      <c r="W49" s="402"/>
      <c r="X49" s="402"/>
      <c r="Y49" s="402"/>
      <c r="Z49" s="402"/>
    </row>
    <row r="50" ht="14.25" customHeight="1">
      <c r="A50" s="402"/>
      <c r="B50" s="402"/>
      <c r="C50" s="402"/>
      <c r="D50" s="402"/>
      <c r="E50" s="402"/>
      <c r="F50" s="403"/>
      <c r="G50" s="403"/>
      <c r="H50" s="402"/>
      <c r="I50" s="404" t="str">
        <f t="shared" si="5"/>
        <v>FULLY PAID</v>
      </c>
      <c r="J50" s="402"/>
      <c r="K50" s="402"/>
      <c r="L50" s="402"/>
      <c r="M50" s="402"/>
      <c r="N50" s="402"/>
      <c r="O50" s="402"/>
      <c r="P50" s="402"/>
      <c r="Q50" s="402"/>
      <c r="R50" s="402"/>
      <c r="S50" s="402"/>
      <c r="T50" s="402"/>
      <c r="U50" s="402"/>
      <c r="V50" s="402"/>
      <c r="W50" s="402"/>
      <c r="X50" s="402"/>
      <c r="Y50" s="402"/>
      <c r="Z50" s="402"/>
    </row>
    <row r="51" ht="14.25" customHeight="1">
      <c r="A51" s="402"/>
      <c r="B51" s="402"/>
      <c r="C51" s="402"/>
      <c r="D51" s="402"/>
      <c r="E51" s="402"/>
      <c r="F51" s="403"/>
      <c r="G51" s="403"/>
      <c r="H51" s="402"/>
      <c r="I51" s="404" t="str">
        <f t="shared" si="5"/>
        <v>FULLY PAID</v>
      </c>
      <c r="J51" s="402"/>
      <c r="K51" s="402"/>
      <c r="L51" s="402"/>
      <c r="M51" s="402"/>
      <c r="N51" s="402"/>
      <c r="O51" s="402"/>
      <c r="P51" s="402"/>
      <c r="Q51" s="402"/>
      <c r="R51" s="402"/>
      <c r="S51" s="402"/>
      <c r="T51" s="402"/>
      <c r="U51" s="402"/>
      <c r="V51" s="402"/>
      <c r="W51" s="402"/>
      <c r="X51" s="402"/>
      <c r="Y51" s="402"/>
      <c r="Z51" s="402"/>
    </row>
    <row r="52" ht="14.25" customHeight="1">
      <c r="A52" s="406">
        <v>45503.0</v>
      </c>
      <c r="B52" s="349" t="s">
        <v>4146</v>
      </c>
      <c r="C52" s="349" t="s">
        <v>4147</v>
      </c>
      <c r="D52" s="349" t="s">
        <v>439</v>
      </c>
      <c r="E52" s="349" t="s">
        <v>4105</v>
      </c>
      <c r="F52" s="413">
        <v>43000.0</v>
      </c>
      <c r="G52" s="413">
        <v>45670.0</v>
      </c>
      <c r="H52" s="349" t="s">
        <v>267</v>
      </c>
      <c r="I52" s="404" t="str">
        <f t="shared" si="5"/>
        <v>FULLY PAID</v>
      </c>
      <c r="J52" s="402"/>
      <c r="K52" s="402"/>
      <c r="L52" s="402"/>
      <c r="M52" s="402"/>
      <c r="N52" s="402"/>
      <c r="O52" s="402"/>
      <c r="P52" s="402"/>
      <c r="Q52" s="402"/>
      <c r="R52" s="402"/>
      <c r="S52" s="402"/>
      <c r="T52" s="402"/>
      <c r="U52" s="402"/>
      <c r="V52" s="402"/>
      <c r="W52" s="402"/>
      <c r="X52" s="402"/>
      <c r="Y52" s="402"/>
      <c r="Z52" s="402"/>
    </row>
    <row r="53" ht="14.25" customHeight="1">
      <c r="A53" s="406">
        <v>45503.0</v>
      </c>
      <c r="B53" s="349" t="s">
        <v>4148</v>
      </c>
      <c r="C53" s="349" t="s">
        <v>4149</v>
      </c>
      <c r="D53" s="349" t="s">
        <v>439</v>
      </c>
      <c r="E53" s="349" t="s">
        <v>4105</v>
      </c>
      <c r="F53" s="413">
        <v>70000.0</v>
      </c>
      <c r="G53" s="403"/>
      <c r="H53" s="349" t="s">
        <v>4150</v>
      </c>
      <c r="I53" s="404" t="str">
        <f t="shared" si="5"/>
        <v>NOT PAID</v>
      </c>
      <c r="J53" s="402"/>
      <c r="K53" s="402"/>
      <c r="L53" s="402"/>
      <c r="M53" s="402"/>
      <c r="N53" s="402"/>
      <c r="O53" s="402"/>
      <c r="P53" s="402"/>
      <c r="Q53" s="402"/>
      <c r="R53" s="402"/>
      <c r="S53" s="402"/>
      <c r="T53" s="402"/>
      <c r="U53" s="402"/>
      <c r="V53" s="402"/>
      <c r="W53" s="402"/>
      <c r="X53" s="402"/>
      <c r="Y53" s="402"/>
      <c r="Z53" s="402"/>
    </row>
    <row r="54" ht="14.25" customHeight="1">
      <c r="A54" s="406">
        <v>45503.0</v>
      </c>
      <c r="B54" s="349" t="s">
        <v>4143</v>
      </c>
      <c r="C54" s="349" t="s">
        <v>4144</v>
      </c>
      <c r="D54" s="349" t="s">
        <v>669</v>
      </c>
      <c r="E54" s="349" t="s">
        <v>4105</v>
      </c>
      <c r="F54" s="413">
        <v>230000.0</v>
      </c>
      <c r="G54" s="403"/>
      <c r="H54" s="349" t="s">
        <v>267</v>
      </c>
      <c r="I54" s="404" t="str">
        <f t="shared" si="5"/>
        <v>NOT PAID</v>
      </c>
      <c r="J54" s="402"/>
      <c r="K54" s="402"/>
      <c r="L54" s="402"/>
      <c r="M54" s="402"/>
      <c r="N54" s="402"/>
      <c r="O54" s="402"/>
      <c r="P54" s="402"/>
      <c r="Q54" s="402"/>
      <c r="R54" s="402"/>
      <c r="S54" s="402"/>
      <c r="T54" s="402"/>
      <c r="U54" s="402"/>
      <c r="V54" s="402"/>
      <c r="W54" s="402"/>
      <c r="X54" s="402"/>
      <c r="Y54" s="402"/>
      <c r="Z54" s="402"/>
    </row>
    <row r="55" ht="14.25" customHeight="1">
      <c r="A55" s="402"/>
      <c r="B55" s="402"/>
      <c r="C55" s="402"/>
      <c r="D55" s="402"/>
      <c r="E55" s="402"/>
      <c r="F55" s="403"/>
      <c r="G55" s="403"/>
      <c r="H55" s="402"/>
      <c r="I55" s="404" t="str">
        <f t="shared" si="5"/>
        <v>FULLY PAID</v>
      </c>
      <c r="J55" s="402"/>
      <c r="K55" s="402"/>
      <c r="L55" s="402"/>
      <c r="M55" s="402"/>
      <c r="N55" s="402"/>
      <c r="O55" s="402"/>
      <c r="P55" s="402"/>
      <c r="Q55" s="402"/>
      <c r="R55" s="402"/>
      <c r="S55" s="402"/>
      <c r="T55" s="402"/>
      <c r="U55" s="402"/>
      <c r="V55" s="402"/>
      <c r="W55" s="402"/>
      <c r="X55" s="402"/>
      <c r="Y55" s="402"/>
      <c r="Z55" s="402"/>
    </row>
    <row r="56" ht="14.25" customHeight="1">
      <c r="A56" s="402"/>
      <c r="B56" s="402"/>
      <c r="C56" s="402"/>
      <c r="D56" s="402"/>
      <c r="E56" s="402"/>
      <c r="F56" s="403"/>
      <c r="G56" s="403"/>
      <c r="H56" s="402"/>
      <c r="I56" s="404" t="str">
        <f t="shared" si="5"/>
        <v>FULLY PAID</v>
      </c>
      <c r="J56" s="402"/>
      <c r="K56" s="402"/>
      <c r="L56" s="402"/>
      <c r="M56" s="402"/>
      <c r="N56" s="402"/>
      <c r="O56" s="402"/>
      <c r="P56" s="402"/>
      <c r="Q56" s="402"/>
      <c r="R56" s="402"/>
      <c r="S56" s="402"/>
      <c r="T56" s="402"/>
      <c r="U56" s="402"/>
      <c r="V56" s="402"/>
      <c r="W56" s="402"/>
      <c r="X56" s="402"/>
      <c r="Y56" s="402"/>
      <c r="Z56" s="402"/>
    </row>
    <row r="57" ht="14.25" customHeight="1">
      <c r="A57" s="402"/>
      <c r="B57" s="402"/>
      <c r="C57" s="402"/>
      <c r="D57" s="402"/>
      <c r="E57" s="402"/>
      <c r="F57" s="403"/>
      <c r="G57" s="403"/>
      <c r="H57" s="402"/>
      <c r="I57" s="404" t="str">
        <f t="shared" si="5"/>
        <v>FULLY PAID</v>
      </c>
      <c r="J57" s="402"/>
      <c r="K57" s="402"/>
      <c r="L57" s="402"/>
      <c r="M57" s="402"/>
      <c r="N57" s="402"/>
      <c r="O57" s="402"/>
      <c r="P57" s="402"/>
      <c r="Q57" s="402"/>
      <c r="R57" s="402"/>
      <c r="S57" s="402"/>
      <c r="T57" s="402"/>
      <c r="U57" s="402"/>
      <c r="V57" s="402"/>
      <c r="W57" s="402"/>
      <c r="X57" s="402"/>
      <c r="Y57" s="402"/>
      <c r="Z57" s="402"/>
    </row>
    <row r="58" ht="14.25" customHeight="1">
      <c r="A58" s="406">
        <v>45504.0</v>
      </c>
      <c r="B58" s="349" t="s">
        <v>4151</v>
      </c>
      <c r="C58" s="349" t="s">
        <v>4147</v>
      </c>
      <c r="D58" s="349" t="s">
        <v>439</v>
      </c>
      <c r="E58" s="349" t="s">
        <v>4152</v>
      </c>
      <c r="F58" s="413">
        <v>103500.0</v>
      </c>
      <c r="G58" s="413">
        <v>103500.0</v>
      </c>
      <c r="H58" s="349" t="s">
        <v>267</v>
      </c>
      <c r="I58" s="404" t="str">
        <f t="shared" si="5"/>
        <v>FULLY PAID</v>
      </c>
      <c r="J58" s="402"/>
      <c r="K58" s="402"/>
      <c r="L58" s="402"/>
      <c r="M58" s="402"/>
      <c r="N58" s="402"/>
      <c r="O58" s="402"/>
      <c r="P58" s="402"/>
      <c r="Q58" s="402"/>
      <c r="R58" s="402"/>
      <c r="S58" s="402"/>
      <c r="T58" s="402"/>
      <c r="U58" s="402"/>
      <c r="V58" s="402"/>
      <c r="W58" s="402"/>
      <c r="X58" s="402"/>
      <c r="Y58" s="402"/>
      <c r="Z58" s="402"/>
    </row>
    <row r="59" ht="14.25" customHeight="1">
      <c r="A59" s="406">
        <v>45504.0</v>
      </c>
      <c r="B59" s="349" t="s">
        <v>4143</v>
      </c>
      <c r="C59" s="349" t="s">
        <v>4144</v>
      </c>
      <c r="D59" s="349" t="s">
        <v>669</v>
      </c>
      <c r="E59" s="349" t="s">
        <v>4152</v>
      </c>
      <c r="F59" s="413">
        <v>230000.0</v>
      </c>
      <c r="G59" s="413">
        <v>60000.0</v>
      </c>
      <c r="H59" s="349" t="s">
        <v>267</v>
      </c>
      <c r="I59" s="404" t="str">
        <f t="shared" si="5"/>
        <v>PARTIALLY PAID</v>
      </c>
      <c r="J59" s="402"/>
      <c r="K59" s="402"/>
      <c r="L59" s="402"/>
      <c r="M59" s="402"/>
      <c r="N59" s="402"/>
      <c r="O59" s="402"/>
      <c r="P59" s="402"/>
      <c r="Q59" s="402"/>
      <c r="R59" s="402"/>
      <c r="S59" s="402"/>
      <c r="T59" s="402"/>
      <c r="U59" s="402"/>
      <c r="V59" s="402"/>
      <c r="W59" s="402"/>
      <c r="X59" s="402"/>
      <c r="Y59" s="402"/>
      <c r="Z59" s="402"/>
    </row>
    <row r="60" ht="14.25" customHeight="1">
      <c r="A60" s="406">
        <v>45504.0</v>
      </c>
      <c r="B60" s="349" t="s">
        <v>4153</v>
      </c>
      <c r="C60" s="349" t="s">
        <v>4154</v>
      </c>
      <c r="D60" s="349" t="s">
        <v>439</v>
      </c>
      <c r="E60" s="349" t="s">
        <v>4152</v>
      </c>
      <c r="F60" s="413">
        <v>35000.0</v>
      </c>
      <c r="G60" s="413">
        <v>35835.0</v>
      </c>
      <c r="H60" s="349" t="s">
        <v>267</v>
      </c>
      <c r="I60" s="404" t="str">
        <f t="shared" si="5"/>
        <v>FULLY PAID</v>
      </c>
      <c r="J60" s="402"/>
      <c r="K60" s="402"/>
      <c r="L60" s="402"/>
      <c r="M60" s="402"/>
      <c r="N60" s="402"/>
      <c r="O60" s="402"/>
      <c r="P60" s="402"/>
      <c r="Q60" s="402"/>
      <c r="R60" s="402"/>
      <c r="S60" s="402"/>
      <c r="T60" s="402"/>
      <c r="U60" s="402"/>
      <c r="V60" s="402"/>
      <c r="W60" s="402"/>
      <c r="X60" s="402"/>
      <c r="Y60" s="402"/>
      <c r="Z60" s="402"/>
    </row>
    <row r="61" ht="14.25" customHeight="1">
      <c r="A61" s="406">
        <v>45504.0</v>
      </c>
      <c r="B61" s="349" t="s">
        <v>4148</v>
      </c>
      <c r="C61" s="349" t="s">
        <v>4149</v>
      </c>
      <c r="D61" s="349" t="s">
        <v>439</v>
      </c>
      <c r="E61" s="349" t="s">
        <v>4105</v>
      </c>
      <c r="F61" s="413">
        <v>50000.0</v>
      </c>
      <c r="G61" s="403"/>
      <c r="H61" s="349" t="s">
        <v>4150</v>
      </c>
      <c r="I61" s="404" t="str">
        <f t="shared" si="5"/>
        <v>NOT PAID</v>
      </c>
      <c r="J61" s="402"/>
      <c r="K61" s="402"/>
      <c r="L61" s="402"/>
      <c r="M61" s="402"/>
      <c r="N61" s="402"/>
      <c r="O61" s="402"/>
      <c r="P61" s="402"/>
      <c r="Q61" s="402"/>
      <c r="R61" s="402"/>
      <c r="S61" s="402"/>
      <c r="T61" s="402"/>
      <c r="U61" s="402"/>
      <c r="V61" s="402"/>
      <c r="W61" s="402"/>
      <c r="X61" s="402"/>
      <c r="Y61" s="402"/>
      <c r="Z61" s="402"/>
    </row>
    <row r="62" ht="14.25" customHeight="1">
      <c r="A62" s="402"/>
      <c r="B62" s="402"/>
      <c r="C62" s="402"/>
      <c r="D62" s="402"/>
      <c r="E62" s="402"/>
      <c r="F62" s="403"/>
      <c r="G62" s="403"/>
      <c r="H62" s="402"/>
      <c r="I62" s="404" t="str">
        <f t="shared" si="5"/>
        <v>FULLY PAID</v>
      </c>
      <c r="J62" s="402"/>
      <c r="K62" s="402"/>
      <c r="L62" s="402"/>
      <c r="M62" s="402"/>
      <c r="N62" s="402"/>
      <c r="O62" s="402"/>
      <c r="P62" s="402"/>
      <c r="Q62" s="402"/>
      <c r="R62" s="402"/>
      <c r="S62" s="402"/>
      <c r="T62" s="402"/>
      <c r="U62" s="402"/>
      <c r="V62" s="402"/>
      <c r="W62" s="402"/>
      <c r="X62" s="402"/>
      <c r="Y62" s="402"/>
      <c r="Z62" s="402"/>
    </row>
    <row r="63" ht="14.25" customHeight="1">
      <c r="A63" s="406">
        <v>45505.0</v>
      </c>
      <c r="B63" s="402"/>
      <c r="C63" s="402"/>
      <c r="D63" s="402"/>
      <c r="E63" s="402"/>
      <c r="F63" s="403"/>
      <c r="G63" s="403"/>
      <c r="H63" s="402"/>
      <c r="I63" s="404" t="str">
        <f t="shared" si="5"/>
        <v>FULLY PAID</v>
      </c>
      <c r="J63" s="402"/>
      <c r="K63" s="402"/>
      <c r="L63" s="402"/>
      <c r="M63" s="402"/>
      <c r="N63" s="402"/>
      <c r="O63" s="402"/>
      <c r="P63" s="402"/>
      <c r="Q63" s="402"/>
      <c r="R63" s="402"/>
      <c r="S63" s="402"/>
      <c r="T63" s="402"/>
      <c r="U63" s="402"/>
      <c r="V63" s="402"/>
      <c r="W63" s="402"/>
      <c r="X63" s="402"/>
      <c r="Y63" s="402"/>
      <c r="Z63" s="402"/>
    </row>
    <row r="64" ht="14.25" customHeight="1">
      <c r="A64" s="497">
        <v>45512.0</v>
      </c>
      <c r="B64" s="349" t="s">
        <v>4155</v>
      </c>
      <c r="C64" s="349" t="s">
        <v>4116</v>
      </c>
      <c r="D64" s="349" t="s">
        <v>669</v>
      </c>
      <c r="E64" s="349" t="s">
        <v>4105</v>
      </c>
      <c r="F64" s="413">
        <v>230000.0</v>
      </c>
      <c r="G64" s="403"/>
      <c r="H64" s="349" t="s">
        <v>4156</v>
      </c>
      <c r="I64" s="404" t="str">
        <f t="shared" si="5"/>
        <v>NOT PAID</v>
      </c>
      <c r="J64" s="402"/>
      <c r="K64" s="402"/>
      <c r="L64" s="402"/>
      <c r="M64" s="402"/>
      <c r="N64" s="402"/>
      <c r="O64" s="402"/>
      <c r="P64" s="402"/>
      <c r="Q64" s="402"/>
      <c r="R64" s="402"/>
      <c r="S64" s="402"/>
      <c r="T64" s="402"/>
      <c r="U64" s="402"/>
      <c r="V64" s="402"/>
      <c r="W64" s="402"/>
      <c r="X64" s="402"/>
      <c r="Y64" s="402"/>
      <c r="Z64" s="402"/>
    </row>
    <row r="65" ht="14.25" customHeight="1">
      <c r="A65" s="406">
        <v>45505.0</v>
      </c>
      <c r="B65" s="349" t="s">
        <v>4148</v>
      </c>
      <c r="C65" s="349" t="s">
        <v>4149</v>
      </c>
      <c r="D65" s="349" t="s">
        <v>439</v>
      </c>
      <c r="E65" s="349" t="s">
        <v>4105</v>
      </c>
      <c r="F65" s="413">
        <v>50000.0</v>
      </c>
      <c r="G65" s="403"/>
      <c r="H65" s="349" t="s">
        <v>4157</v>
      </c>
      <c r="I65" s="404" t="str">
        <f t="shared" si="5"/>
        <v>NOT PAID</v>
      </c>
      <c r="J65" s="402"/>
      <c r="K65" s="402"/>
      <c r="L65" s="402"/>
      <c r="M65" s="402"/>
      <c r="N65" s="402"/>
      <c r="O65" s="402"/>
      <c r="P65" s="402"/>
      <c r="Q65" s="402"/>
      <c r="R65" s="402"/>
      <c r="S65" s="402"/>
      <c r="T65" s="402"/>
      <c r="U65" s="402"/>
      <c r="V65" s="402"/>
      <c r="W65" s="402"/>
      <c r="X65" s="402"/>
      <c r="Y65" s="402"/>
      <c r="Z65" s="402"/>
    </row>
    <row r="66" ht="14.25" customHeight="1">
      <c r="A66" s="406">
        <v>45505.0</v>
      </c>
      <c r="B66" s="349" t="s">
        <v>4143</v>
      </c>
      <c r="C66" s="349" t="s">
        <v>4144</v>
      </c>
      <c r="D66" s="349" t="s">
        <v>669</v>
      </c>
      <c r="E66" s="349" t="s">
        <v>4105</v>
      </c>
      <c r="F66" s="413">
        <v>70000.0</v>
      </c>
      <c r="G66" s="403"/>
      <c r="H66" s="349" t="s">
        <v>4158</v>
      </c>
      <c r="I66" s="404" t="str">
        <f t="shared" si="5"/>
        <v>NOT PAID</v>
      </c>
      <c r="J66" s="402"/>
      <c r="K66" s="402"/>
      <c r="L66" s="402"/>
      <c r="M66" s="402"/>
      <c r="N66" s="402"/>
      <c r="O66" s="402"/>
      <c r="P66" s="402"/>
      <c r="Q66" s="402"/>
      <c r="R66" s="402"/>
      <c r="S66" s="402"/>
      <c r="T66" s="402"/>
      <c r="U66" s="402"/>
      <c r="V66" s="402"/>
      <c r="W66" s="402"/>
      <c r="X66" s="402"/>
      <c r="Y66" s="402"/>
      <c r="Z66" s="402"/>
    </row>
    <row r="67" ht="14.25" customHeight="1">
      <c r="A67" s="402"/>
      <c r="B67" s="402"/>
      <c r="C67" s="402"/>
      <c r="D67" s="402"/>
      <c r="E67" s="402"/>
      <c r="F67" s="403"/>
      <c r="G67" s="403"/>
      <c r="H67" s="402"/>
      <c r="I67" s="404" t="str">
        <f t="shared" si="5"/>
        <v>FULLY PAID</v>
      </c>
      <c r="J67" s="402"/>
      <c r="K67" s="402"/>
      <c r="L67" s="402"/>
      <c r="M67" s="402"/>
      <c r="N67" s="402"/>
      <c r="O67" s="402"/>
      <c r="P67" s="402"/>
      <c r="Q67" s="402"/>
      <c r="R67" s="402"/>
      <c r="S67" s="402"/>
      <c r="T67" s="402"/>
      <c r="U67" s="402"/>
      <c r="V67" s="402"/>
      <c r="W67" s="402"/>
      <c r="X67" s="402"/>
      <c r="Y67" s="402"/>
      <c r="Z67" s="402"/>
    </row>
    <row r="68" ht="14.25" customHeight="1">
      <c r="A68" s="402"/>
      <c r="B68" s="402"/>
      <c r="C68" s="402"/>
      <c r="D68" s="402"/>
      <c r="E68" s="402"/>
      <c r="F68" s="403"/>
      <c r="G68" s="403"/>
      <c r="H68" s="402"/>
      <c r="I68" s="404" t="str">
        <f t="shared" si="5"/>
        <v>FULLY PAID</v>
      </c>
      <c r="J68" s="402"/>
      <c r="K68" s="402"/>
      <c r="L68" s="402"/>
      <c r="M68" s="402"/>
      <c r="N68" s="402"/>
      <c r="O68" s="402"/>
      <c r="P68" s="402"/>
      <c r="Q68" s="402"/>
      <c r="R68" s="402"/>
      <c r="S68" s="402"/>
      <c r="T68" s="402"/>
      <c r="U68" s="402"/>
      <c r="V68" s="402"/>
      <c r="W68" s="402"/>
      <c r="X68" s="402"/>
      <c r="Y68" s="402"/>
      <c r="Z68" s="402"/>
    </row>
    <row r="69" ht="14.25" customHeight="1">
      <c r="A69" s="406">
        <v>45506.0</v>
      </c>
      <c r="B69" s="349" t="s">
        <v>4155</v>
      </c>
      <c r="C69" s="349" t="s">
        <v>4116</v>
      </c>
      <c r="D69" s="349" t="s">
        <v>669</v>
      </c>
      <c r="E69" s="349" t="s">
        <v>4105</v>
      </c>
      <c r="F69" s="413">
        <v>230000.0</v>
      </c>
      <c r="G69" s="403"/>
      <c r="H69" s="349" t="s">
        <v>267</v>
      </c>
      <c r="I69" s="404" t="str">
        <f t="shared" si="5"/>
        <v>NOT PAID</v>
      </c>
      <c r="J69" s="402"/>
      <c r="K69" s="402"/>
      <c r="L69" s="402"/>
      <c r="M69" s="402"/>
      <c r="N69" s="402"/>
      <c r="O69" s="402"/>
      <c r="P69" s="402"/>
      <c r="Q69" s="402"/>
      <c r="R69" s="402"/>
      <c r="S69" s="402"/>
      <c r="T69" s="402"/>
      <c r="U69" s="402"/>
      <c r="V69" s="402"/>
      <c r="W69" s="402"/>
      <c r="X69" s="402"/>
      <c r="Y69" s="402"/>
      <c r="Z69" s="402"/>
    </row>
    <row r="70" ht="14.25" customHeight="1">
      <c r="A70" s="406">
        <v>45506.0</v>
      </c>
      <c r="B70" s="349" t="s">
        <v>4159</v>
      </c>
      <c r="C70" s="349" t="s">
        <v>4160</v>
      </c>
      <c r="D70" s="349" t="s">
        <v>439</v>
      </c>
      <c r="E70" s="349" t="s">
        <v>4105</v>
      </c>
      <c r="F70" s="413">
        <v>48000.0</v>
      </c>
      <c r="G70" s="413">
        <v>48200.0</v>
      </c>
      <c r="H70" s="349" t="s">
        <v>267</v>
      </c>
      <c r="I70" s="404" t="str">
        <f t="shared" si="5"/>
        <v>FULLY PAID</v>
      </c>
      <c r="J70" s="402"/>
      <c r="K70" s="402"/>
      <c r="L70" s="402"/>
      <c r="M70" s="402"/>
      <c r="N70" s="402"/>
      <c r="O70" s="402"/>
      <c r="P70" s="402"/>
      <c r="Q70" s="402"/>
      <c r="R70" s="402"/>
      <c r="S70" s="402"/>
      <c r="T70" s="402"/>
      <c r="U70" s="402"/>
      <c r="V70" s="402"/>
      <c r="W70" s="402"/>
      <c r="X70" s="402"/>
      <c r="Y70" s="402"/>
      <c r="Z70" s="402"/>
    </row>
    <row r="71" ht="14.25" customHeight="1">
      <c r="A71" s="406">
        <v>45506.0</v>
      </c>
      <c r="B71" s="349" t="s">
        <v>4140</v>
      </c>
      <c r="C71" s="349" t="s">
        <v>4129</v>
      </c>
      <c r="D71" s="349" t="s">
        <v>439</v>
      </c>
      <c r="E71" s="349" t="s">
        <v>4105</v>
      </c>
      <c r="F71" s="413">
        <v>100000.0</v>
      </c>
      <c r="G71" s="403"/>
      <c r="H71" s="349" t="s">
        <v>4130</v>
      </c>
      <c r="I71" s="404" t="str">
        <f t="shared" si="5"/>
        <v>NOT PAID</v>
      </c>
      <c r="J71" s="402"/>
      <c r="K71" s="402"/>
      <c r="L71" s="402"/>
      <c r="M71" s="402"/>
      <c r="N71" s="402"/>
      <c r="O71" s="402"/>
      <c r="P71" s="402"/>
      <c r="Q71" s="402"/>
      <c r="R71" s="402"/>
      <c r="S71" s="402"/>
      <c r="T71" s="402"/>
      <c r="U71" s="402"/>
      <c r="V71" s="402"/>
      <c r="W71" s="402"/>
      <c r="X71" s="402"/>
      <c r="Y71" s="402"/>
      <c r="Z71" s="402"/>
    </row>
    <row r="72" ht="14.25" customHeight="1">
      <c r="A72" s="406">
        <v>45506.0</v>
      </c>
      <c r="B72" s="349" t="s">
        <v>4132</v>
      </c>
      <c r="C72" s="349" t="s">
        <v>4133</v>
      </c>
      <c r="D72" s="349" t="s">
        <v>4134</v>
      </c>
      <c r="E72" s="349" t="s">
        <v>4105</v>
      </c>
      <c r="F72" s="413">
        <v>54000.0</v>
      </c>
      <c r="G72" s="403"/>
      <c r="H72" s="349" t="s">
        <v>4161</v>
      </c>
      <c r="I72" s="404" t="str">
        <f t="shared" si="5"/>
        <v>NOT PAID</v>
      </c>
      <c r="J72" s="402"/>
      <c r="K72" s="402"/>
      <c r="L72" s="402"/>
      <c r="M72" s="402"/>
      <c r="N72" s="402"/>
      <c r="O72" s="402"/>
      <c r="P72" s="402"/>
      <c r="Q72" s="402"/>
      <c r="R72" s="402"/>
      <c r="S72" s="402"/>
      <c r="T72" s="402"/>
      <c r="U72" s="402"/>
      <c r="V72" s="402"/>
      <c r="W72" s="402"/>
      <c r="X72" s="402"/>
      <c r="Y72" s="402"/>
      <c r="Z72" s="402"/>
    </row>
    <row r="73" ht="14.25" customHeight="1">
      <c r="A73" s="406">
        <v>45506.0</v>
      </c>
      <c r="B73" s="349" t="s">
        <v>4148</v>
      </c>
      <c r="C73" s="349" t="s">
        <v>4149</v>
      </c>
      <c r="D73" s="65" t="s">
        <v>439</v>
      </c>
      <c r="E73" s="349" t="s">
        <v>4105</v>
      </c>
      <c r="F73" s="413">
        <v>50000.0</v>
      </c>
      <c r="G73" s="403"/>
      <c r="H73" s="349" t="s">
        <v>4162</v>
      </c>
      <c r="I73" s="404" t="str">
        <f t="shared" si="5"/>
        <v>NOT PAID</v>
      </c>
      <c r="J73" s="402"/>
      <c r="K73" s="402"/>
      <c r="L73" s="402"/>
      <c r="M73" s="402"/>
      <c r="N73" s="402"/>
      <c r="O73" s="402"/>
      <c r="P73" s="402"/>
      <c r="Q73" s="402"/>
      <c r="R73" s="402"/>
      <c r="S73" s="402"/>
      <c r="T73" s="402"/>
      <c r="U73" s="402"/>
      <c r="V73" s="402"/>
      <c r="W73" s="402"/>
      <c r="X73" s="402"/>
      <c r="Y73" s="402"/>
      <c r="Z73" s="402"/>
    </row>
    <row r="74" ht="14.25" customHeight="1">
      <c r="A74" s="406">
        <v>45506.0</v>
      </c>
      <c r="B74" s="349" t="s">
        <v>4143</v>
      </c>
      <c r="C74" s="349" t="s">
        <v>4144</v>
      </c>
      <c r="D74" s="349" t="s">
        <v>669</v>
      </c>
      <c r="E74" s="349" t="s">
        <v>4105</v>
      </c>
      <c r="F74" s="413">
        <v>181000.0</v>
      </c>
      <c r="G74" s="403"/>
      <c r="H74" s="349" t="s">
        <v>267</v>
      </c>
      <c r="I74" s="404" t="str">
        <f t="shared" si="5"/>
        <v>NOT PAID</v>
      </c>
      <c r="J74" s="402"/>
      <c r="K74" s="402"/>
      <c r="L74" s="402"/>
      <c r="M74" s="402"/>
      <c r="N74" s="402"/>
      <c r="O74" s="402"/>
      <c r="P74" s="402"/>
      <c r="Q74" s="402"/>
      <c r="R74" s="402"/>
      <c r="S74" s="402"/>
      <c r="T74" s="402"/>
      <c r="U74" s="402"/>
      <c r="V74" s="402"/>
      <c r="W74" s="402"/>
      <c r="X74" s="402"/>
      <c r="Y74" s="402"/>
      <c r="Z74" s="402"/>
    </row>
    <row r="75" ht="14.25" customHeight="1">
      <c r="A75" s="402"/>
      <c r="B75" s="402"/>
      <c r="C75" s="402"/>
      <c r="D75" s="402"/>
      <c r="E75" s="402"/>
      <c r="F75" s="403"/>
      <c r="G75" s="403"/>
      <c r="H75" s="402"/>
      <c r="I75" s="404" t="str">
        <f t="shared" si="5"/>
        <v>FULLY PAID</v>
      </c>
      <c r="J75" s="402"/>
      <c r="K75" s="402"/>
      <c r="L75" s="402"/>
      <c r="M75" s="402"/>
      <c r="N75" s="402"/>
      <c r="O75" s="402"/>
      <c r="P75" s="402"/>
      <c r="Q75" s="402"/>
      <c r="R75" s="402"/>
      <c r="S75" s="402"/>
      <c r="T75" s="402"/>
      <c r="U75" s="402"/>
      <c r="V75" s="402"/>
      <c r="W75" s="402"/>
      <c r="X75" s="402"/>
      <c r="Y75" s="402"/>
      <c r="Z75" s="402"/>
    </row>
    <row r="76" ht="14.25" customHeight="1">
      <c r="A76" s="402"/>
      <c r="B76" s="402"/>
      <c r="C76" s="402"/>
      <c r="D76" s="402"/>
      <c r="E76" s="402"/>
      <c r="F76" s="403"/>
      <c r="G76" s="403"/>
      <c r="H76" s="402"/>
      <c r="I76" s="404" t="str">
        <f t="shared" si="5"/>
        <v>FULLY PAID</v>
      </c>
      <c r="J76" s="402"/>
      <c r="K76" s="402"/>
      <c r="L76" s="402"/>
      <c r="M76" s="402"/>
      <c r="N76" s="402"/>
      <c r="O76" s="402"/>
      <c r="P76" s="402"/>
      <c r="Q76" s="402"/>
      <c r="R76" s="402"/>
      <c r="S76" s="402"/>
      <c r="T76" s="402"/>
      <c r="U76" s="402"/>
      <c r="V76" s="402"/>
      <c r="W76" s="402"/>
      <c r="X76" s="402"/>
      <c r="Y76" s="402"/>
      <c r="Z76" s="402"/>
    </row>
    <row r="77" ht="14.25" customHeight="1">
      <c r="A77" s="402"/>
      <c r="B77" s="402"/>
      <c r="C77" s="402"/>
      <c r="D77" s="402"/>
      <c r="E77" s="402"/>
      <c r="F77" s="403"/>
      <c r="G77" s="403"/>
      <c r="H77" s="402"/>
      <c r="I77" s="404" t="str">
        <f t="shared" si="5"/>
        <v>FULLY PAID</v>
      </c>
      <c r="J77" s="402"/>
      <c r="K77" s="402"/>
      <c r="L77" s="402"/>
      <c r="M77" s="402"/>
      <c r="N77" s="402"/>
      <c r="O77" s="402"/>
      <c r="P77" s="402"/>
      <c r="Q77" s="402"/>
      <c r="R77" s="402"/>
      <c r="S77" s="402"/>
      <c r="T77" s="402"/>
      <c r="U77" s="402"/>
      <c r="V77" s="402"/>
      <c r="W77" s="402"/>
      <c r="X77" s="402"/>
      <c r="Y77" s="402"/>
      <c r="Z77" s="402"/>
    </row>
    <row r="78" ht="14.25" customHeight="1">
      <c r="A78" s="406">
        <v>45507.0</v>
      </c>
      <c r="B78" s="349" t="s">
        <v>4155</v>
      </c>
      <c r="C78" s="349" t="s">
        <v>4116</v>
      </c>
      <c r="D78" s="349" t="s">
        <v>669</v>
      </c>
      <c r="E78" s="349" t="s">
        <v>4163</v>
      </c>
      <c r="F78" s="413">
        <v>230000.0</v>
      </c>
      <c r="G78" s="403"/>
      <c r="H78" s="349" t="s">
        <v>4156</v>
      </c>
      <c r="I78" s="404" t="str">
        <f t="shared" si="5"/>
        <v>NOT PAID</v>
      </c>
      <c r="J78" s="402"/>
      <c r="K78" s="402"/>
      <c r="L78" s="402"/>
      <c r="M78" s="402"/>
      <c r="N78" s="402"/>
      <c r="O78" s="402"/>
      <c r="P78" s="402"/>
      <c r="Q78" s="402"/>
      <c r="R78" s="402"/>
      <c r="S78" s="402"/>
      <c r="T78" s="402"/>
      <c r="U78" s="402"/>
      <c r="V78" s="402"/>
      <c r="W78" s="402"/>
      <c r="X78" s="402"/>
      <c r="Y78" s="402"/>
      <c r="Z78" s="402"/>
    </row>
    <row r="79" ht="14.25" customHeight="1">
      <c r="A79" s="406">
        <v>45507.0</v>
      </c>
      <c r="B79" s="349" t="s">
        <v>4148</v>
      </c>
      <c r="C79" s="349" t="s">
        <v>4149</v>
      </c>
      <c r="D79" s="349" t="s">
        <v>439</v>
      </c>
      <c r="E79" s="349" t="s">
        <v>4163</v>
      </c>
      <c r="F79" s="413">
        <v>50000.0</v>
      </c>
      <c r="G79" s="403"/>
      <c r="H79" s="349" t="s">
        <v>4164</v>
      </c>
      <c r="I79" s="404" t="str">
        <f t="shared" si="5"/>
        <v>NOT PAID</v>
      </c>
      <c r="J79" s="402"/>
      <c r="K79" s="402"/>
      <c r="L79" s="402"/>
      <c r="M79" s="402"/>
      <c r="N79" s="402"/>
      <c r="O79" s="402"/>
      <c r="P79" s="402"/>
      <c r="Q79" s="402"/>
      <c r="R79" s="402"/>
      <c r="S79" s="402"/>
      <c r="T79" s="402"/>
      <c r="U79" s="402"/>
      <c r="V79" s="402"/>
      <c r="W79" s="402"/>
      <c r="X79" s="402"/>
      <c r="Y79" s="402"/>
      <c r="Z79" s="402"/>
    </row>
    <row r="80" ht="14.25" customHeight="1">
      <c r="A80" s="406">
        <v>45507.0</v>
      </c>
      <c r="B80" s="349" t="s">
        <v>4143</v>
      </c>
      <c r="C80" s="349" t="s">
        <v>4144</v>
      </c>
      <c r="D80" s="349" t="s">
        <v>669</v>
      </c>
      <c r="E80" s="349" t="s">
        <v>4163</v>
      </c>
      <c r="F80" s="413">
        <v>182500.0</v>
      </c>
      <c r="G80" s="403"/>
      <c r="H80" s="349" t="s">
        <v>4165</v>
      </c>
      <c r="I80" s="404" t="str">
        <f t="shared" si="5"/>
        <v>NOT PAID</v>
      </c>
      <c r="J80" s="402"/>
      <c r="K80" s="402"/>
      <c r="L80" s="402"/>
      <c r="M80" s="402"/>
      <c r="N80" s="402"/>
      <c r="O80" s="402"/>
      <c r="P80" s="402"/>
      <c r="Q80" s="402"/>
      <c r="R80" s="402"/>
      <c r="S80" s="402"/>
      <c r="T80" s="402"/>
      <c r="U80" s="402"/>
      <c r="V80" s="402"/>
      <c r="W80" s="402"/>
      <c r="X80" s="402"/>
      <c r="Y80" s="402"/>
      <c r="Z80" s="402"/>
    </row>
    <row r="81" ht="14.25" customHeight="1">
      <c r="A81" s="406">
        <v>45507.0</v>
      </c>
      <c r="B81" s="349" t="s">
        <v>4140</v>
      </c>
      <c r="C81" s="349" t="s">
        <v>4129</v>
      </c>
      <c r="D81" s="349" t="s">
        <v>439</v>
      </c>
      <c r="E81" s="349" t="s">
        <v>4163</v>
      </c>
      <c r="F81" s="413">
        <v>100000.0</v>
      </c>
      <c r="G81" s="403"/>
      <c r="H81" s="349" t="s">
        <v>4130</v>
      </c>
      <c r="I81" s="404" t="str">
        <f t="shared" si="5"/>
        <v>NOT PAID</v>
      </c>
      <c r="J81" s="402"/>
      <c r="K81" s="402"/>
      <c r="L81" s="402"/>
      <c r="M81" s="402"/>
      <c r="N81" s="402"/>
      <c r="O81" s="402"/>
      <c r="P81" s="402"/>
      <c r="Q81" s="402"/>
      <c r="R81" s="402"/>
      <c r="S81" s="402"/>
      <c r="T81" s="402"/>
      <c r="U81" s="402"/>
      <c r="V81" s="402"/>
      <c r="W81" s="402"/>
      <c r="X81" s="402"/>
      <c r="Y81" s="402"/>
      <c r="Z81" s="402"/>
    </row>
    <row r="82" ht="14.25" customHeight="1">
      <c r="A82" s="406">
        <v>45507.0</v>
      </c>
      <c r="G82" s="403"/>
      <c r="H82" s="349" t="s">
        <v>4166</v>
      </c>
      <c r="I82" s="404" t="str">
        <f t="shared" si="5"/>
        <v>FULLY PAID</v>
      </c>
      <c r="J82" s="402"/>
      <c r="K82" s="402"/>
      <c r="L82" s="402"/>
      <c r="M82" s="402"/>
      <c r="N82" s="402"/>
      <c r="O82" s="402"/>
      <c r="P82" s="402"/>
      <c r="Q82" s="402"/>
      <c r="R82" s="402"/>
      <c r="S82" s="402"/>
      <c r="T82" s="402"/>
      <c r="U82" s="402"/>
      <c r="V82" s="402"/>
      <c r="W82" s="402"/>
      <c r="X82" s="402"/>
      <c r="Y82" s="402"/>
      <c r="Z82" s="402"/>
    </row>
    <row r="83" ht="14.25" customHeight="1">
      <c r="A83" s="406">
        <v>45507.0</v>
      </c>
      <c r="B83" s="604" t="s">
        <v>4167</v>
      </c>
      <c r="C83" s="349" t="s">
        <v>4168</v>
      </c>
      <c r="D83" s="349" t="s">
        <v>439</v>
      </c>
      <c r="E83" s="349" t="s">
        <v>4163</v>
      </c>
      <c r="F83" s="413">
        <v>24000.0</v>
      </c>
      <c r="G83" s="403"/>
      <c r="H83" s="349" t="s">
        <v>4169</v>
      </c>
      <c r="I83" s="404" t="str">
        <f t="shared" si="5"/>
        <v>NOT PAID</v>
      </c>
      <c r="J83" s="402"/>
      <c r="K83" s="402"/>
      <c r="L83" s="402"/>
      <c r="M83" s="402"/>
      <c r="N83" s="402"/>
      <c r="O83" s="402"/>
      <c r="P83" s="402"/>
      <c r="Q83" s="402"/>
      <c r="R83" s="402"/>
      <c r="S83" s="402"/>
      <c r="T83" s="402"/>
      <c r="U83" s="402"/>
      <c r="V83" s="402"/>
      <c r="W83" s="402"/>
      <c r="X83" s="402"/>
      <c r="Y83" s="402"/>
      <c r="Z83" s="402"/>
    </row>
    <row r="84" ht="14.25" customHeight="1">
      <c r="A84" s="406">
        <v>45507.0</v>
      </c>
      <c r="B84" s="349" t="s">
        <v>4170</v>
      </c>
      <c r="C84" s="349" t="s">
        <v>4171</v>
      </c>
      <c r="D84" s="349" t="s">
        <v>439</v>
      </c>
      <c r="E84" s="349" t="s">
        <v>4163</v>
      </c>
      <c r="F84" s="413">
        <v>25500.0</v>
      </c>
      <c r="G84" s="413">
        <v>25500.0</v>
      </c>
      <c r="H84" s="349" t="s">
        <v>175</v>
      </c>
      <c r="I84" s="404" t="str">
        <f t="shared" si="5"/>
        <v>FULLY PAID</v>
      </c>
      <c r="J84" s="402"/>
      <c r="K84" s="402"/>
      <c r="L84" s="402"/>
      <c r="M84" s="402"/>
      <c r="N84" s="402"/>
      <c r="O84" s="402"/>
      <c r="P84" s="402"/>
      <c r="Q84" s="402"/>
      <c r="R84" s="402"/>
      <c r="S84" s="402"/>
      <c r="T84" s="402"/>
      <c r="U84" s="402"/>
      <c r="V84" s="402"/>
      <c r="W84" s="402"/>
      <c r="X84" s="402"/>
      <c r="Y84" s="402"/>
      <c r="Z84" s="402"/>
    </row>
    <row r="85" ht="14.25" customHeight="1">
      <c r="A85" s="402"/>
      <c r="B85" s="402"/>
      <c r="C85" s="402"/>
      <c r="D85" s="402"/>
      <c r="E85" s="402"/>
      <c r="F85" s="403"/>
      <c r="G85" s="403"/>
      <c r="H85" s="402"/>
      <c r="I85" s="404" t="str">
        <f t="shared" si="5"/>
        <v>FULLY PAID</v>
      </c>
      <c r="J85" s="402"/>
      <c r="K85" s="402"/>
      <c r="L85" s="402"/>
      <c r="M85" s="402"/>
      <c r="N85" s="402"/>
      <c r="O85" s="402"/>
      <c r="P85" s="402"/>
      <c r="Q85" s="402"/>
      <c r="R85" s="402"/>
      <c r="S85" s="402"/>
      <c r="T85" s="402"/>
      <c r="U85" s="402"/>
      <c r="V85" s="402"/>
      <c r="W85" s="402"/>
      <c r="X85" s="402"/>
      <c r="Y85" s="402"/>
      <c r="Z85" s="402"/>
    </row>
    <row r="86" ht="14.25" customHeight="1">
      <c r="A86" s="402"/>
      <c r="B86" s="402"/>
      <c r="C86" s="402"/>
      <c r="D86" s="402"/>
      <c r="E86" s="402"/>
      <c r="F86" s="403"/>
      <c r="G86" s="403"/>
      <c r="H86" s="402"/>
      <c r="I86" s="404" t="str">
        <f t="shared" si="5"/>
        <v>FULLY PAID</v>
      </c>
      <c r="J86" s="402"/>
      <c r="K86" s="402"/>
      <c r="L86" s="402"/>
      <c r="M86" s="402"/>
      <c r="N86" s="402"/>
      <c r="O86" s="402"/>
      <c r="P86" s="402"/>
      <c r="Q86" s="402"/>
      <c r="R86" s="402"/>
      <c r="S86" s="402"/>
      <c r="T86" s="402"/>
      <c r="U86" s="402"/>
      <c r="V86" s="402"/>
      <c r="W86" s="402"/>
      <c r="X86" s="402"/>
      <c r="Y86" s="402"/>
      <c r="Z86" s="402"/>
    </row>
    <row r="87" ht="14.25" customHeight="1">
      <c r="A87" s="402"/>
      <c r="B87" s="402"/>
      <c r="C87" s="402"/>
      <c r="D87" s="402"/>
      <c r="E87" s="402"/>
      <c r="F87" s="403"/>
      <c r="G87" s="403"/>
      <c r="H87" s="402"/>
      <c r="I87" s="404" t="str">
        <f t="shared" si="5"/>
        <v>FULLY PAID</v>
      </c>
      <c r="J87" s="402"/>
      <c r="K87" s="402"/>
      <c r="L87" s="402"/>
      <c r="M87" s="402"/>
      <c r="N87" s="402"/>
      <c r="O87" s="402"/>
      <c r="P87" s="402"/>
      <c r="Q87" s="402"/>
      <c r="R87" s="402"/>
      <c r="S87" s="402"/>
      <c r="T87" s="402"/>
      <c r="U87" s="402"/>
      <c r="V87" s="402"/>
      <c r="W87" s="402"/>
      <c r="X87" s="402"/>
      <c r="Y87" s="402"/>
      <c r="Z87" s="402"/>
    </row>
    <row r="88" ht="14.25" customHeight="1">
      <c r="A88" s="406">
        <v>45509.0</v>
      </c>
      <c r="B88" s="349" t="s">
        <v>4155</v>
      </c>
      <c r="C88" s="349" t="s">
        <v>4116</v>
      </c>
      <c r="D88" s="349" t="s">
        <v>669</v>
      </c>
      <c r="E88" s="349" t="s">
        <v>4105</v>
      </c>
      <c r="F88" s="413">
        <v>230000.0</v>
      </c>
      <c r="G88" s="413">
        <v>0.0</v>
      </c>
      <c r="H88" s="349" t="s">
        <v>4172</v>
      </c>
      <c r="I88" s="404" t="str">
        <f t="shared" si="5"/>
        <v>NOT PAID</v>
      </c>
      <c r="J88" s="402"/>
      <c r="K88" s="402"/>
      <c r="L88" s="402"/>
      <c r="M88" s="402"/>
      <c r="N88" s="402"/>
      <c r="O88" s="402"/>
      <c r="P88" s="402"/>
      <c r="Q88" s="402"/>
      <c r="R88" s="402"/>
      <c r="S88" s="402"/>
      <c r="T88" s="402"/>
      <c r="U88" s="402"/>
      <c r="V88" s="402"/>
      <c r="W88" s="402"/>
      <c r="X88" s="402"/>
      <c r="Y88" s="402"/>
      <c r="Z88" s="402"/>
    </row>
    <row r="89" ht="14.25" customHeight="1">
      <c r="A89" s="406">
        <v>45509.0</v>
      </c>
      <c r="B89" s="349" t="s">
        <v>4148</v>
      </c>
      <c r="C89" s="349" t="s">
        <v>4173</v>
      </c>
      <c r="D89" s="349" t="s">
        <v>439</v>
      </c>
      <c r="E89" s="349" t="s">
        <v>4105</v>
      </c>
      <c r="F89" s="413">
        <v>88000.0</v>
      </c>
      <c r="G89" s="413">
        <v>0.0</v>
      </c>
      <c r="H89" s="349" t="s">
        <v>4172</v>
      </c>
      <c r="I89" s="404" t="str">
        <f t="shared" si="5"/>
        <v>NOT PAID</v>
      </c>
      <c r="J89" s="402"/>
      <c r="K89" s="402"/>
      <c r="L89" s="402"/>
      <c r="M89" s="402"/>
      <c r="N89" s="402"/>
      <c r="O89" s="402"/>
      <c r="P89" s="402"/>
      <c r="Q89" s="402"/>
      <c r="R89" s="402"/>
      <c r="S89" s="402"/>
      <c r="T89" s="402"/>
      <c r="U89" s="402"/>
      <c r="V89" s="402"/>
      <c r="W89" s="402"/>
      <c r="X89" s="402"/>
      <c r="Y89" s="402"/>
      <c r="Z89" s="402"/>
    </row>
    <row r="90" ht="14.25" customHeight="1">
      <c r="A90" s="406">
        <v>45509.0</v>
      </c>
      <c r="B90" s="349" t="s">
        <v>4143</v>
      </c>
      <c r="C90" s="349" t="s">
        <v>4144</v>
      </c>
      <c r="D90" s="349" t="s">
        <v>4174</v>
      </c>
      <c r="E90" s="349" t="s">
        <v>4105</v>
      </c>
      <c r="F90" s="413">
        <v>182000.0</v>
      </c>
      <c r="G90" s="413">
        <v>100000.0</v>
      </c>
      <c r="H90" s="349" t="s">
        <v>4175</v>
      </c>
      <c r="I90" s="404" t="str">
        <f t="shared" si="5"/>
        <v>PARTIALLY PAID</v>
      </c>
      <c r="J90" s="402"/>
      <c r="K90" s="402"/>
      <c r="L90" s="402"/>
      <c r="M90" s="402"/>
      <c r="N90" s="402"/>
      <c r="O90" s="402"/>
      <c r="P90" s="402"/>
      <c r="Q90" s="402"/>
      <c r="R90" s="402"/>
      <c r="S90" s="402"/>
      <c r="T90" s="402"/>
      <c r="U90" s="402"/>
      <c r="V90" s="402"/>
      <c r="W90" s="402"/>
      <c r="X90" s="402"/>
      <c r="Y90" s="402"/>
      <c r="Z90" s="402"/>
    </row>
    <row r="91" ht="14.25" customHeight="1">
      <c r="A91" s="406">
        <v>45509.0</v>
      </c>
      <c r="B91" s="349" t="s">
        <v>4176</v>
      </c>
      <c r="C91" s="349" t="s">
        <v>4177</v>
      </c>
      <c r="D91" s="349" t="s">
        <v>439</v>
      </c>
      <c r="E91" s="349" t="s">
        <v>4105</v>
      </c>
      <c r="F91" s="413">
        <v>20000.0</v>
      </c>
      <c r="G91" s="413">
        <v>0.0</v>
      </c>
      <c r="H91" s="349" t="s">
        <v>4169</v>
      </c>
      <c r="I91" s="404" t="str">
        <f t="shared" si="5"/>
        <v>NOT PAID</v>
      </c>
      <c r="J91" s="402"/>
      <c r="K91" s="402"/>
      <c r="L91" s="402"/>
      <c r="M91" s="402"/>
      <c r="N91" s="402"/>
      <c r="O91" s="402"/>
      <c r="P91" s="402"/>
      <c r="Q91" s="402"/>
      <c r="R91" s="402"/>
      <c r="S91" s="402"/>
      <c r="T91" s="402"/>
      <c r="U91" s="402"/>
      <c r="V91" s="402"/>
      <c r="W91" s="402"/>
      <c r="X91" s="402"/>
      <c r="Y91" s="402"/>
      <c r="Z91" s="402"/>
    </row>
    <row r="92" ht="14.25" customHeight="1">
      <c r="A92" s="406">
        <v>45509.0</v>
      </c>
      <c r="B92" s="349" t="s">
        <v>4178</v>
      </c>
      <c r="C92" s="349" t="s">
        <v>4179</v>
      </c>
      <c r="D92" s="349" t="s">
        <v>439</v>
      </c>
      <c r="E92" s="349" t="s">
        <v>4105</v>
      </c>
      <c r="F92" s="413">
        <v>28000.0</v>
      </c>
      <c r="G92" s="413">
        <v>0.0</v>
      </c>
      <c r="H92" s="349" t="s">
        <v>1238</v>
      </c>
      <c r="I92" s="404" t="str">
        <f t="shared" si="5"/>
        <v>NOT PAID</v>
      </c>
      <c r="J92" s="402"/>
      <c r="K92" s="402"/>
      <c r="L92" s="402"/>
      <c r="M92" s="402"/>
      <c r="N92" s="402"/>
      <c r="O92" s="402"/>
      <c r="P92" s="402"/>
      <c r="Q92" s="402"/>
      <c r="R92" s="402"/>
      <c r="S92" s="402"/>
      <c r="T92" s="402"/>
      <c r="U92" s="402"/>
      <c r="V92" s="402"/>
      <c r="W92" s="402"/>
      <c r="X92" s="402"/>
      <c r="Y92" s="402"/>
      <c r="Z92" s="402"/>
    </row>
    <row r="93" ht="14.25" customHeight="1">
      <c r="A93" s="406">
        <v>45509.0</v>
      </c>
      <c r="B93" s="349" t="s">
        <v>4108</v>
      </c>
      <c r="C93" s="349" t="s">
        <v>4109</v>
      </c>
      <c r="D93" s="349" t="s">
        <v>439</v>
      </c>
      <c r="E93" s="349" t="s">
        <v>4105</v>
      </c>
      <c r="F93" s="413">
        <v>30000.0</v>
      </c>
      <c r="G93" s="413">
        <v>30000.0</v>
      </c>
      <c r="H93" s="349" t="s">
        <v>1238</v>
      </c>
      <c r="I93" s="404" t="str">
        <f t="shared" si="5"/>
        <v>FULLY PAID</v>
      </c>
      <c r="J93" s="402"/>
      <c r="K93" s="402"/>
      <c r="L93" s="402"/>
      <c r="M93" s="402"/>
      <c r="N93" s="402"/>
      <c r="O93" s="402"/>
      <c r="P93" s="402"/>
      <c r="Q93" s="402"/>
      <c r="R93" s="402"/>
      <c r="S93" s="402"/>
      <c r="T93" s="402"/>
      <c r="U93" s="402"/>
      <c r="V93" s="402"/>
      <c r="W93" s="402"/>
      <c r="X93" s="402"/>
      <c r="Y93" s="402"/>
      <c r="Z93" s="402"/>
    </row>
    <row r="94" ht="14.25" customHeight="1">
      <c r="A94" s="497">
        <v>45509.0</v>
      </c>
      <c r="B94" s="349" t="s">
        <v>4132</v>
      </c>
      <c r="C94" s="349" t="s">
        <v>4133</v>
      </c>
      <c r="D94" s="349" t="s">
        <v>439</v>
      </c>
      <c r="E94" s="349" t="s">
        <v>4163</v>
      </c>
      <c r="F94" s="413">
        <v>54000.0</v>
      </c>
      <c r="G94" s="403"/>
      <c r="I94" s="404" t="str">
        <f t="shared" si="5"/>
        <v>NOT PAID</v>
      </c>
      <c r="J94" s="402"/>
      <c r="K94" s="402"/>
      <c r="L94" s="402"/>
      <c r="M94" s="402"/>
      <c r="N94" s="402"/>
      <c r="O94" s="402"/>
      <c r="P94" s="402"/>
      <c r="Q94" s="402"/>
      <c r="R94" s="402"/>
      <c r="S94" s="402"/>
      <c r="T94" s="402"/>
      <c r="U94" s="402"/>
      <c r="V94" s="402"/>
      <c r="W94" s="402"/>
      <c r="X94" s="402"/>
      <c r="Y94" s="402"/>
      <c r="Z94" s="402"/>
    </row>
    <row r="95" ht="14.25" customHeight="1">
      <c r="A95" s="402"/>
      <c r="B95" s="402"/>
      <c r="C95" s="402"/>
      <c r="D95" s="402"/>
      <c r="E95" s="402"/>
      <c r="F95" s="403"/>
      <c r="G95" s="403"/>
      <c r="H95" s="402"/>
      <c r="I95" s="404" t="str">
        <f t="shared" si="5"/>
        <v>FULLY PAID</v>
      </c>
      <c r="J95" s="402"/>
      <c r="K95" s="402"/>
      <c r="L95" s="402"/>
      <c r="M95" s="402"/>
      <c r="N95" s="402"/>
      <c r="O95" s="402"/>
      <c r="P95" s="402"/>
      <c r="Q95" s="402"/>
      <c r="R95" s="402"/>
      <c r="S95" s="402"/>
      <c r="T95" s="402"/>
      <c r="U95" s="402"/>
      <c r="V95" s="402"/>
      <c r="W95" s="402"/>
      <c r="X95" s="402"/>
      <c r="Y95" s="402"/>
      <c r="Z95" s="402"/>
    </row>
    <row r="96" ht="14.25" customHeight="1">
      <c r="A96" s="402"/>
      <c r="B96" s="402"/>
      <c r="C96" s="402"/>
      <c r="D96" s="402"/>
      <c r="E96" s="402"/>
      <c r="F96" s="403"/>
      <c r="G96" s="403"/>
      <c r="H96" s="402"/>
      <c r="I96" s="404" t="str">
        <f t="shared" si="5"/>
        <v>FULLY PAID</v>
      </c>
      <c r="J96" s="402"/>
      <c r="K96" s="402"/>
      <c r="L96" s="402"/>
      <c r="M96" s="402"/>
      <c r="N96" s="402"/>
      <c r="O96" s="402"/>
      <c r="P96" s="402"/>
      <c r="Q96" s="402"/>
      <c r="R96" s="402"/>
      <c r="S96" s="402"/>
      <c r="T96" s="402"/>
      <c r="U96" s="402"/>
      <c r="V96" s="402"/>
      <c r="W96" s="402"/>
      <c r="X96" s="402"/>
      <c r="Y96" s="402"/>
      <c r="Z96" s="402"/>
    </row>
    <row r="97" ht="14.25" customHeight="1">
      <c r="A97" s="406">
        <v>45510.0</v>
      </c>
      <c r="B97" s="349" t="s">
        <v>4148</v>
      </c>
      <c r="C97" s="349" t="s">
        <v>4116</v>
      </c>
      <c r="D97" s="349" t="s">
        <v>669</v>
      </c>
      <c r="E97" s="349" t="s">
        <v>4105</v>
      </c>
      <c r="F97" s="413">
        <v>241500.0</v>
      </c>
      <c r="G97" s="403"/>
      <c r="H97" s="349" t="s">
        <v>4180</v>
      </c>
      <c r="I97" s="404" t="str">
        <f t="shared" si="5"/>
        <v>NOT PAID</v>
      </c>
      <c r="J97" s="402"/>
      <c r="K97" s="402"/>
      <c r="L97" s="402"/>
      <c r="M97" s="402"/>
      <c r="N97" s="402"/>
      <c r="O97" s="402"/>
      <c r="P97" s="402"/>
      <c r="Q97" s="402"/>
      <c r="R97" s="402"/>
      <c r="S97" s="402"/>
      <c r="T97" s="402"/>
      <c r="U97" s="402"/>
      <c r="V97" s="402"/>
      <c r="W97" s="402"/>
      <c r="X97" s="402"/>
      <c r="Y97" s="402"/>
      <c r="Z97" s="402"/>
    </row>
    <row r="98" ht="14.25" customHeight="1">
      <c r="A98" s="406">
        <v>45510.0</v>
      </c>
      <c r="B98" s="349" t="s">
        <v>4143</v>
      </c>
      <c r="C98" s="349" t="s">
        <v>4144</v>
      </c>
      <c r="D98" s="349" t="s">
        <v>669</v>
      </c>
      <c r="E98" s="349" t="s">
        <v>4105</v>
      </c>
      <c r="F98" s="413">
        <v>123000.0</v>
      </c>
      <c r="G98" s="413">
        <v>123156.0</v>
      </c>
      <c r="H98" s="349" t="s">
        <v>4181</v>
      </c>
      <c r="I98" s="404" t="str">
        <f t="shared" si="5"/>
        <v>FULLY PAID</v>
      </c>
      <c r="J98" s="402"/>
      <c r="K98" s="402"/>
      <c r="L98" s="402"/>
      <c r="M98" s="402"/>
      <c r="N98" s="402"/>
      <c r="O98" s="402"/>
      <c r="P98" s="402"/>
      <c r="Q98" s="402"/>
      <c r="R98" s="402"/>
      <c r="S98" s="402"/>
      <c r="T98" s="402"/>
      <c r="U98" s="402"/>
      <c r="V98" s="402"/>
      <c r="W98" s="402"/>
      <c r="X98" s="402"/>
      <c r="Y98" s="402"/>
      <c r="Z98" s="402"/>
    </row>
    <row r="99" ht="14.25" customHeight="1">
      <c r="A99" s="406">
        <v>45510.0</v>
      </c>
      <c r="B99" s="349" t="s">
        <v>4132</v>
      </c>
      <c r="C99" s="349" t="s">
        <v>4133</v>
      </c>
      <c r="D99" s="349" t="s">
        <v>4182</v>
      </c>
      <c r="E99" s="349" t="s">
        <v>4105</v>
      </c>
      <c r="F99" s="413">
        <v>54000.0</v>
      </c>
      <c r="G99" s="403"/>
      <c r="H99" s="349" t="s">
        <v>4183</v>
      </c>
      <c r="I99" s="404" t="str">
        <f t="shared" si="5"/>
        <v>NOT PAID</v>
      </c>
      <c r="J99" s="402"/>
      <c r="K99" s="402"/>
      <c r="L99" s="402"/>
      <c r="M99" s="402"/>
      <c r="N99" s="402"/>
      <c r="O99" s="402"/>
      <c r="P99" s="402"/>
      <c r="Q99" s="402"/>
      <c r="R99" s="402"/>
      <c r="S99" s="402"/>
      <c r="T99" s="402"/>
      <c r="U99" s="402"/>
      <c r="V99" s="402"/>
      <c r="W99" s="402"/>
      <c r="X99" s="402"/>
      <c r="Y99" s="402"/>
      <c r="Z99" s="402"/>
    </row>
    <row r="100" ht="14.25" customHeight="1">
      <c r="A100" s="406">
        <v>45510.0</v>
      </c>
      <c r="B100" s="349" t="s">
        <v>4176</v>
      </c>
      <c r="C100" s="349" t="s">
        <v>4177</v>
      </c>
      <c r="D100" s="349" t="s">
        <v>4182</v>
      </c>
      <c r="E100" s="349" t="s">
        <v>4105</v>
      </c>
      <c r="F100" s="413">
        <v>50000.0</v>
      </c>
      <c r="G100" s="403"/>
      <c r="H100" s="349" t="s">
        <v>4184</v>
      </c>
      <c r="I100" s="404" t="str">
        <f t="shared" si="5"/>
        <v>NOT PAID</v>
      </c>
      <c r="J100" s="402"/>
      <c r="K100" s="402"/>
      <c r="L100" s="402"/>
      <c r="M100" s="402"/>
      <c r="N100" s="402"/>
      <c r="O100" s="402"/>
      <c r="P100" s="402"/>
      <c r="Q100" s="402"/>
      <c r="R100" s="402"/>
      <c r="S100" s="402"/>
      <c r="T100" s="402"/>
      <c r="U100" s="402"/>
      <c r="V100" s="402"/>
      <c r="W100" s="402"/>
      <c r="X100" s="402"/>
      <c r="Y100" s="402"/>
      <c r="Z100" s="402"/>
    </row>
    <row r="101" ht="14.25" customHeight="1">
      <c r="A101" s="406">
        <v>45510.0</v>
      </c>
      <c r="B101" s="349" t="s">
        <v>4185</v>
      </c>
      <c r="C101" s="349" t="s">
        <v>4186</v>
      </c>
      <c r="D101" s="349" t="s">
        <v>4182</v>
      </c>
      <c r="E101" s="349" t="s">
        <v>4105</v>
      </c>
      <c r="F101" s="413">
        <v>15000.0</v>
      </c>
      <c r="G101" s="403"/>
      <c r="H101" s="349" t="s">
        <v>4187</v>
      </c>
      <c r="I101" s="404" t="str">
        <f t="shared" si="5"/>
        <v>NOT PAID</v>
      </c>
      <c r="J101" s="402"/>
      <c r="K101" s="402"/>
      <c r="L101" s="402"/>
      <c r="M101" s="402"/>
      <c r="N101" s="402"/>
      <c r="O101" s="402"/>
      <c r="P101" s="402"/>
      <c r="Q101" s="402"/>
      <c r="R101" s="402"/>
      <c r="S101" s="402"/>
      <c r="T101" s="402"/>
      <c r="U101" s="402"/>
      <c r="V101" s="402"/>
      <c r="W101" s="402"/>
      <c r="X101" s="402"/>
      <c r="Y101" s="402"/>
      <c r="Z101" s="402"/>
    </row>
    <row r="102" ht="14.25" customHeight="1">
      <c r="A102" s="406">
        <v>45510.0</v>
      </c>
      <c r="B102" s="349" t="s">
        <v>4148</v>
      </c>
      <c r="C102" s="349" t="s">
        <v>4149</v>
      </c>
      <c r="D102" s="349" t="s">
        <v>4182</v>
      </c>
      <c r="E102" s="349" t="s">
        <v>4105</v>
      </c>
      <c r="F102" s="413">
        <v>88000.0</v>
      </c>
      <c r="G102" s="403"/>
      <c r="H102" s="349" t="s">
        <v>4172</v>
      </c>
      <c r="I102" s="404" t="str">
        <f t="shared" si="5"/>
        <v>NOT PAID</v>
      </c>
      <c r="J102" s="402"/>
      <c r="K102" s="402"/>
      <c r="L102" s="402"/>
      <c r="M102" s="402"/>
      <c r="N102" s="402"/>
      <c r="O102" s="402"/>
      <c r="P102" s="402"/>
      <c r="Q102" s="402"/>
      <c r="R102" s="402"/>
      <c r="S102" s="402"/>
      <c r="T102" s="402"/>
      <c r="U102" s="402"/>
      <c r="V102" s="402"/>
      <c r="W102" s="402"/>
      <c r="X102" s="402"/>
      <c r="Y102" s="402"/>
      <c r="Z102" s="402"/>
    </row>
    <row r="103" ht="14.25" customHeight="1">
      <c r="A103" s="497">
        <v>45510.0</v>
      </c>
      <c r="B103" s="512" t="s">
        <v>4188</v>
      </c>
      <c r="C103" s="607" t="s">
        <v>4189</v>
      </c>
      <c r="D103" s="349" t="s">
        <v>4182</v>
      </c>
      <c r="E103" s="349" t="s">
        <v>4105</v>
      </c>
      <c r="F103" s="413">
        <v>15936.0</v>
      </c>
      <c r="G103" s="403"/>
      <c r="H103" s="349" t="s">
        <v>4156</v>
      </c>
      <c r="I103" s="404" t="str">
        <f t="shared" si="5"/>
        <v>NOT PAID</v>
      </c>
      <c r="J103" s="402"/>
      <c r="K103" s="402"/>
      <c r="L103" s="402"/>
      <c r="M103" s="402"/>
      <c r="N103" s="402"/>
      <c r="O103" s="402"/>
      <c r="P103" s="402"/>
      <c r="Q103" s="402"/>
      <c r="R103" s="402"/>
      <c r="S103" s="402"/>
      <c r="T103" s="402"/>
      <c r="U103" s="402"/>
      <c r="V103" s="402"/>
      <c r="W103" s="402"/>
      <c r="X103" s="402"/>
      <c r="Y103" s="402"/>
      <c r="Z103" s="402"/>
    </row>
    <row r="104" ht="14.25" customHeight="1">
      <c r="A104" s="402"/>
      <c r="B104" s="402"/>
      <c r="C104" s="402"/>
      <c r="D104" s="402"/>
      <c r="E104" s="402"/>
      <c r="F104" s="403"/>
      <c r="G104" s="403"/>
      <c r="H104" s="402"/>
      <c r="I104" s="404" t="str">
        <f t="shared" si="5"/>
        <v>FULLY PAID</v>
      </c>
      <c r="J104" s="402"/>
      <c r="K104" s="402"/>
      <c r="L104" s="402"/>
      <c r="M104" s="402"/>
      <c r="N104" s="402"/>
      <c r="O104" s="402"/>
      <c r="P104" s="402"/>
      <c r="Q104" s="402"/>
      <c r="R104" s="402"/>
      <c r="S104" s="402"/>
      <c r="T104" s="402"/>
      <c r="U104" s="402"/>
      <c r="V104" s="402"/>
      <c r="W104" s="402"/>
      <c r="X104" s="402"/>
      <c r="Y104" s="402"/>
      <c r="Z104" s="402"/>
    </row>
    <row r="105" ht="14.25" customHeight="1">
      <c r="A105" s="402"/>
      <c r="B105" s="402"/>
      <c r="C105" s="402"/>
      <c r="D105" s="402"/>
      <c r="E105" s="402"/>
      <c r="F105" s="403"/>
      <c r="G105" s="403"/>
      <c r="H105" s="402"/>
      <c r="I105" s="404" t="str">
        <f t="shared" si="5"/>
        <v>FULLY PAID</v>
      </c>
      <c r="J105" s="402"/>
      <c r="K105" s="402"/>
      <c r="L105" s="402"/>
      <c r="M105" s="402"/>
      <c r="N105" s="402"/>
      <c r="O105" s="402"/>
      <c r="P105" s="402"/>
      <c r="Q105" s="402"/>
      <c r="R105" s="402"/>
      <c r="S105" s="402"/>
      <c r="T105" s="402"/>
      <c r="U105" s="402"/>
      <c r="V105" s="402"/>
      <c r="W105" s="402"/>
      <c r="X105" s="402"/>
      <c r="Y105" s="402"/>
      <c r="Z105" s="402"/>
    </row>
    <row r="106" ht="14.25" customHeight="1">
      <c r="A106" s="810">
        <v>45511.0</v>
      </c>
      <c r="B106" s="595" t="s">
        <v>4132</v>
      </c>
      <c r="C106" s="65" t="s">
        <v>4133</v>
      </c>
      <c r="D106" s="595" t="s">
        <v>4182</v>
      </c>
      <c r="E106" s="595" t="s">
        <v>4105</v>
      </c>
      <c r="F106" s="413">
        <v>54000.0</v>
      </c>
      <c r="G106" s="403"/>
      <c r="H106" s="349" t="s">
        <v>4190</v>
      </c>
      <c r="I106" s="404" t="str">
        <f t="shared" si="5"/>
        <v>NOT PAID</v>
      </c>
      <c r="J106" s="402"/>
      <c r="K106" s="402"/>
      <c r="L106" s="402"/>
      <c r="M106" s="402"/>
      <c r="N106" s="402"/>
      <c r="O106" s="402"/>
      <c r="P106" s="402"/>
      <c r="Q106" s="402"/>
      <c r="R106" s="402"/>
      <c r="S106" s="402"/>
      <c r="T106" s="402"/>
      <c r="U106" s="402"/>
      <c r="V106" s="402"/>
      <c r="W106" s="402"/>
      <c r="X106" s="402"/>
      <c r="Y106" s="402"/>
      <c r="Z106" s="402"/>
    </row>
    <row r="107" ht="14.25" customHeight="1">
      <c r="A107" s="406">
        <v>45511.0</v>
      </c>
      <c r="B107" s="349" t="s">
        <v>4140</v>
      </c>
      <c r="C107" s="349" t="s">
        <v>4131</v>
      </c>
      <c r="D107" s="349" t="s">
        <v>4191</v>
      </c>
      <c r="E107" s="349" t="s">
        <v>4105</v>
      </c>
      <c r="F107" s="413">
        <v>77000.0</v>
      </c>
      <c r="G107" s="403"/>
      <c r="H107" s="349" t="s">
        <v>4192</v>
      </c>
      <c r="I107" s="404" t="str">
        <f t="shared" si="5"/>
        <v>NOT PAID</v>
      </c>
      <c r="J107" s="402"/>
      <c r="K107" s="402"/>
      <c r="L107" s="402"/>
      <c r="M107" s="402"/>
      <c r="N107" s="402"/>
      <c r="O107" s="402"/>
      <c r="P107" s="402"/>
      <c r="Q107" s="402"/>
      <c r="R107" s="402"/>
      <c r="S107" s="402"/>
      <c r="T107" s="402"/>
      <c r="U107" s="402"/>
      <c r="V107" s="402"/>
      <c r="W107" s="402"/>
      <c r="X107" s="402"/>
      <c r="Y107" s="402"/>
      <c r="Z107" s="402"/>
    </row>
    <row r="108" ht="14.25" customHeight="1">
      <c r="A108" s="406">
        <v>45511.0</v>
      </c>
      <c r="B108" s="349" t="s">
        <v>4188</v>
      </c>
      <c r="C108" s="349" t="s">
        <v>4193</v>
      </c>
      <c r="D108" s="349" t="s">
        <v>4182</v>
      </c>
      <c r="E108" s="349" t="s">
        <v>4105</v>
      </c>
      <c r="F108" s="413">
        <v>15936.0</v>
      </c>
      <c r="G108" s="403"/>
      <c r="H108" s="349" t="s">
        <v>4194</v>
      </c>
      <c r="I108" s="404" t="str">
        <f t="shared" si="5"/>
        <v>NOT PAID</v>
      </c>
      <c r="J108" s="402"/>
      <c r="K108" s="402"/>
      <c r="L108" s="402"/>
      <c r="M108" s="402"/>
      <c r="N108" s="402"/>
      <c r="O108" s="402"/>
      <c r="P108" s="402"/>
      <c r="Q108" s="402"/>
      <c r="R108" s="402"/>
      <c r="S108" s="402"/>
      <c r="T108" s="402"/>
      <c r="U108" s="402"/>
      <c r="V108" s="402"/>
      <c r="W108" s="402"/>
      <c r="X108" s="402"/>
      <c r="Y108" s="402"/>
      <c r="Z108" s="402"/>
    </row>
    <row r="109" ht="14.25" customHeight="1">
      <c r="A109" s="406">
        <v>45511.0</v>
      </c>
      <c r="B109" s="349" t="s">
        <v>4176</v>
      </c>
      <c r="C109" s="349" t="s">
        <v>4177</v>
      </c>
      <c r="D109" s="349" t="s">
        <v>4182</v>
      </c>
      <c r="E109" s="349" t="s">
        <v>4105</v>
      </c>
      <c r="F109" s="413">
        <v>45000.0</v>
      </c>
      <c r="G109" s="403"/>
      <c r="H109" s="349" t="s">
        <v>4195</v>
      </c>
      <c r="I109" s="404" t="str">
        <f t="shared" si="5"/>
        <v>NOT PAID</v>
      </c>
      <c r="J109" s="402"/>
      <c r="K109" s="402"/>
      <c r="L109" s="402"/>
      <c r="M109" s="402"/>
      <c r="N109" s="402"/>
      <c r="O109" s="402"/>
      <c r="P109" s="402"/>
      <c r="Q109" s="402"/>
      <c r="R109" s="402"/>
      <c r="S109" s="402"/>
      <c r="T109" s="402"/>
      <c r="U109" s="402"/>
      <c r="V109" s="402"/>
      <c r="W109" s="402"/>
      <c r="X109" s="402"/>
      <c r="Y109" s="402"/>
      <c r="Z109" s="402"/>
    </row>
    <row r="110" ht="14.25" customHeight="1">
      <c r="A110" s="406">
        <v>45511.0</v>
      </c>
      <c r="B110" s="349" t="s">
        <v>4148</v>
      </c>
      <c r="C110" s="349" t="s">
        <v>4196</v>
      </c>
      <c r="D110" s="349" t="s">
        <v>4182</v>
      </c>
      <c r="E110" s="349" t="s">
        <v>4105</v>
      </c>
      <c r="F110" s="413">
        <v>50000.0</v>
      </c>
      <c r="G110" s="403"/>
      <c r="H110" s="349" t="s">
        <v>4197</v>
      </c>
      <c r="I110" s="404" t="str">
        <f t="shared" si="5"/>
        <v>NOT PAID</v>
      </c>
      <c r="J110" s="402"/>
      <c r="K110" s="402"/>
      <c r="L110" s="402"/>
      <c r="M110" s="402"/>
      <c r="N110" s="402"/>
      <c r="O110" s="402"/>
      <c r="P110" s="402"/>
      <c r="Q110" s="402"/>
      <c r="R110" s="402"/>
      <c r="S110" s="402"/>
      <c r="T110" s="402"/>
      <c r="U110" s="402"/>
      <c r="V110" s="402"/>
      <c r="W110" s="402"/>
      <c r="X110" s="402"/>
      <c r="Y110" s="402"/>
      <c r="Z110" s="402"/>
    </row>
    <row r="111" ht="14.25" customHeight="1">
      <c r="A111" s="402"/>
      <c r="B111" s="402"/>
      <c r="C111" s="402"/>
      <c r="D111" s="402"/>
      <c r="E111" s="402"/>
      <c r="F111" s="403"/>
      <c r="G111" s="403"/>
      <c r="H111" s="402"/>
      <c r="I111" s="404" t="str">
        <f t="shared" si="5"/>
        <v>FULLY PAID</v>
      </c>
      <c r="J111" s="402"/>
      <c r="K111" s="402"/>
      <c r="L111" s="402"/>
      <c r="M111" s="402"/>
      <c r="N111" s="402"/>
      <c r="O111" s="402"/>
      <c r="P111" s="402"/>
      <c r="Q111" s="402"/>
      <c r="R111" s="402"/>
      <c r="S111" s="402"/>
      <c r="T111" s="402"/>
      <c r="U111" s="402"/>
      <c r="V111" s="402"/>
      <c r="W111" s="402"/>
      <c r="X111" s="402"/>
      <c r="Y111" s="402"/>
      <c r="Z111" s="402"/>
    </row>
    <row r="112" ht="14.25" customHeight="1">
      <c r="A112" s="402"/>
      <c r="B112" s="402"/>
      <c r="C112" s="402"/>
      <c r="D112" s="402"/>
      <c r="E112" s="402"/>
      <c r="F112" s="403"/>
      <c r="G112" s="403"/>
      <c r="H112" s="402"/>
      <c r="I112" s="404" t="str">
        <f t="shared" si="5"/>
        <v>FULLY PAID</v>
      </c>
      <c r="J112" s="402"/>
      <c r="K112" s="402"/>
      <c r="L112" s="402"/>
      <c r="M112" s="402"/>
      <c r="N112" s="402"/>
      <c r="O112" s="402"/>
      <c r="P112" s="402"/>
      <c r="Q112" s="402"/>
      <c r="R112" s="402"/>
      <c r="S112" s="402"/>
      <c r="T112" s="402"/>
      <c r="U112" s="402"/>
      <c r="V112" s="402"/>
      <c r="W112" s="402"/>
      <c r="X112" s="402"/>
      <c r="Y112" s="402"/>
      <c r="Z112" s="402"/>
    </row>
    <row r="113" ht="14.25" customHeight="1">
      <c r="A113" s="406">
        <v>45512.0</v>
      </c>
      <c r="B113" s="349" t="s">
        <v>4132</v>
      </c>
      <c r="C113" s="349" t="s">
        <v>4133</v>
      </c>
      <c r="D113" s="349" t="s">
        <v>4182</v>
      </c>
      <c r="E113" s="349" t="s">
        <v>4105</v>
      </c>
      <c r="F113" s="413">
        <v>54000.0</v>
      </c>
      <c r="G113" s="403"/>
      <c r="H113" s="349" t="s">
        <v>4161</v>
      </c>
      <c r="I113" s="404" t="str">
        <f t="shared" si="5"/>
        <v>NOT PAID</v>
      </c>
      <c r="J113" s="402"/>
      <c r="K113" s="402"/>
      <c r="L113" s="402"/>
      <c r="M113" s="402"/>
      <c r="N113" s="402"/>
      <c r="O113" s="402"/>
      <c r="P113" s="402"/>
      <c r="Q113" s="402"/>
      <c r="R113" s="402"/>
      <c r="S113" s="402"/>
      <c r="T113" s="402"/>
      <c r="U113" s="402"/>
      <c r="V113" s="402"/>
      <c r="W113" s="402"/>
      <c r="X113" s="402"/>
      <c r="Y113" s="402"/>
      <c r="Z113" s="402"/>
    </row>
    <row r="114" ht="14.25" customHeight="1">
      <c r="A114" s="406">
        <v>45512.0</v>
      </c>
      <c r="B114" s="349" t="s">
        <v>4140</v>
      </c>
      <c r="C114" s="349" t="s">
        <v>4131</v>
      </c>
      <c r="D114" s="349" t="s">
        <v>4182</v>
      </c>
      <c r="E114" s="349" t="s">
        <v>4105</v>
      </c>
      <c r="F114" s="413">
        <v>77000.0</v>
      </c>
      <c r="G114" s="403"/>
      <c r="H114" s="349" t="s">
        <v>4130</v>
      </c>
      <c r="I114" s="404" t="str">
        <f t="shared" si="5"/>
        <v>NOT PAID</v>
      </c>
      <c r="J114" s="402"/>
      <c r="K114" s="402"/>
      <c r="L114" s="402"/>
      <c r="M114" s="402"/>
      <c r="N114" s="402"/>
      <c r="O114" s="402"/>
      <c r="P114" s="402"/>
      <c r="Q114" s="402"/>
      <c r="R114" s="402"/>
      <c r="S114" s="402"/>
      <c r="T114" s="402"/>
      <c r="U114" s="402"/>
      <c r="V114" s="402"/>
      <c r="W114" s="402"/>
      <c r="X114" s="402"/>
      <c r="Y114" s="402"/>
      <c r="Z114" s="402"/>
    </row>
    <row r="115" ht="14.25" customHeight="1">
      <c r="A115" s="406">
        <v>45512.0</v>
      </c>
      <c r="B115" s="349" t="s">
        <v>4188</v>
      </c>
      <c r="C115" s="349" t="s">
        <v>4193</v>
      </c>
      <c r="D115" s="349" t="s">
        <v>4182</v>
      </c>
      <c r="E115" s="349" t="s">
        <v>4105</v>
      </c>
      <c r="F115" s="413">
        <v>15936.0</v>
      </c>
      <c r="G115" s="403"/>
      <c r="H115" s="349" t="s">
        <v>4198</v>
      </c>
      <c r="I115" s="404" t="str">
        <f t="shared" si="5"/>
        <v>NOT PAID</v>
      </c>
      <c r="J115" s="402"/>
      <c r="K115" s="402"/>
      <c r="L115" s="402"/>
      <c r="M115" s="402"/>
      <c r="N115" s="402"/>
      <c r="O115" s="402"/>
      <c r="P115" s="402"/>
      <c r="Q115" s="402"/>
      <c r="R115" s="402"/>
      <c r="S115" s="402"/>
      <c r="T115" s="402"/>
      <c r="U115" s="402"/>
      <c r="V115" s="402"/>
      <c r="W115" s="402"/>
      <c r="X115" s="402"/>
      <c r="Y115" s="402"/>
      <c r="Z115" s="402"/>
    </row>
    <row r="116" ht="14.25" customHeight="1">
      <c r="A116" s="406">
        <v>45512.0</v>
      </c>
      <c r="B116" s="349" t="s">
        <v>4176</v>
      </c>
      <c r="C116" s="349" t="s">
        <v>4177</v>
      </c>
      <c r="D116" s="349" t="s">
        <v>4182</v>
      </c>
      <c r="E116" s="349" t="s">
        <v>4105</v>
      </c>
      <c r="F116" s="413">
        <v>45000.0</v>
      </c>
      <c r="G116" s="403"/>
      <c r="H116" s="349" t="s">
        <v>56</v>
      </c>
      <c r="I116" s="404" t="str">
        <f t="shared" si="5"/>
        <v>NOT PAID</v>
      </c>
      <c r="J116" s="402"/>
      <c r="K116" s="402"/>
      <c r="L116" s="402"/>
      <c r="M116" s="402"/>
      <c r="N116" s="402"/>
      <c r="O116" s="402"/>
      <c r="P116" s="402"/>
      <c r="Q116" s="402"/>
      <c r="R116" s="402"/>
      <c r="S116" s="402"/>
      <c r="T116" s="402"/>
      <c r="U116" s="402"/>
      <c r="V116" s="402"/>
      <c r="W116" s="402"/>
      <c r="X116" s="402"/>
      <c r="Y116" s="402"/>
      <c r="Z116" s="402"/>
    </row>
    <row r="117" ht="14.25" customHeight="1">
      <c r="A117" s="406">
        <v>45512.0</v>
      </c>
      <c r="B117" s="349" t="s">
        <v>4148</v>
      </c>
      <c r="C117" s="349" t="s">
        <v>4149</v>
      </c>
      <c r="D117" s="349" t="s">
        <v>4182</v>
      </c>
      <c r="E117" s="349" t="s">
        <v>4105</v>
      </c>
      <c r="F117" s="413">
        <v>50000.0</v>
      </c>
      <c r="G117" s="403"/>
      <c r="H117" s="349" t="s">
        <v>56</v>
      </c>
      <c r="I117" s="404" t="str">
        <f t="shared" si="5"/>
        <v>NOT PAID</v>
      </c>
      <c r="J117" s="402"/>
      <c r="K117" s="402"/>
      <c r="L117" s="402"/>
      <c r="M117" s="402"/>
      <c r="N117" s="402"/>
      <c r="O117" s="402"/>
      <c r="P117" s="402"/>
      <c r="Q117" s="402"/>
      <c r="R117" s="402"/>
      <c r="S117" s="402"/>
      <c r="T117" s="402"/>
      <c r="U117" s="402"/>
      <c r="V117" s="402"/>
      <c r="W117" s="402"/>
      <c r="X117" s="402"/>
      <c r="Y117" s="402"/>
      <c r="Z117" s="402"/>
    </row>
    <row r="118" ht="14.25" customHeight="1">
      <c r="A118" s="406">
        <v>45512.0</v>
      </c>
      <c r="B118" s="349" t="s">
        <v>4199</v>
      </c>
      <c r="C118" s="349" t="s">
        <v>4200</v>
      </c>
      <c r="D118" s="349" t="s">
        <v>4182</v>
      </c>
      <c r="E118" s="349" t="s">
        <v>4105</v>
      </c>
      <c r="F118" s="413">
        <v>19000.0</v>
      </c>
      <c r="G118" s="403"/>
      <c r="H118" s="349" t="s">
        <v>267</v>
      </c>
      <c r="I118" s="404" t="str">
        <f t="shared" si="5"/>
        <v>NOT PAID</v>
      </c>
      <c r="J118" s="402"/>
      <c r="K118" s="402"/>
      <c r="L118" s="402"/>
      <c r="M118" s="402"/>
      <c r="N118" s="402"/>
      <c r="O118" s="402"/>
      <c r="P118" s="402"/>
      <c r="Q118" s="402"/>
      <c r="R118" s="402"/>
      <c r="S118" s="402"/>
      <c r="T118" s="402"/>
      <c r="U118" s="402"/>
      <c r="V118" s="402"/>
      <c r="W118" s="402"/>
      <c r="X118" s="402"/>
      <c r="Y118" s="402"/>
      <c r="Z118" s="402"/>
    </row>
    <row r="119" ht="14.25" customHeight="1">
      <c r="A119" s="402"/>
      <c r="B119" s="402"/>
      <c r="C119" s="402"/>
      <c r="D119" s="402"/>
      <c r="E119" s="402"/>
      <c r="F119" s="403"/>
      <c r="G119" s="403"/>
      <c r="H119" s="402"/>
      <c r="I119" s="404" t="str">
        <f t="shared" si="5"/>
        <v>FULLY PAID</v>
      </c>
      <c r="J119" s="402"/>
      <c r="K119" s="402"/>
      <c r="L119" s="402"/>
      <c r="M119" s="402"/>
      <c r="N119" s="402"/>
      <c r="O119" s="402"/>
      <c r="P119" s="402"/>
      <c r="Q119" s="402"/>
      <c r="R119" s="402"/>
      <c r="S119" s="402"/>
      <c r="T119" s="402"/>
      <c r="U119" s="402"/>
      <c r="V119" s="402"/>
      <c r="W119" s="402"/>
      <c r="X119" s="402"/>
      <c r="Y119" s="402"/>
      <c r="Z119" s="402"/>
    </row>
    <row r="120" ht="14.25" customHeight="1">
      <c r="A120" s="402"/>
      <c r="B120" s="402"/>
      <c r="C120" s="402"/>
      <c r="D120" s="402"/>
      <c r="E120" s="402"/>
      <c r="F120" s="403"/>
      <c r="G120" s="403"/>
      <c r="H120" s="402"/>
      <c r="I120" s="404" t="str">
        <f t="shared" si="5"/>
        <v>FULLY PAID</v>
      </c>
      <c r="J120" s="402"/>
      <c r="K120" s="402"/>
      <c r="L120" s="402"/>
      <c r="M120" s="402"/>
      <c r="N120" s="402"/>
      <c r="O120" s="402"/>
      <c r="P120" s="402"/>
      <c r="Q120" s="402"/>
      <c r="R120" s="402"/>
      <c r="S120" s="402"/>
      <c r="T120" s="402"/>
      <c r="U120" s="402"/>
      <c r="V120" s="402"/>
      <c r="W120" s="402"/>
      <c r="X120" s="402"/>
      <c r="Y120" s="402"/>
      <c r="Z120" s="402"/>
    </row>
    <row r="121" ht="14.25" customHeight="1">
      <c r="A121" s="406">
        <v>45513.0</v>
      </c>
      <c r="B121" s="349" t="s">
        <v>4132</v>
      </c>
      <c r="C121" s="349" t="s">
        <v>4133</v>
      </c>
      <c r="D121" s="349" t="s">
        <v>4182</v>
      </c>
      <c r="E121" s="349" t="s">
        <v>4105</v>
      </c>
      <c r="F121" s="413">
        <v>54000.0</v>
      </c>
      <c r="G121" s="403"/>
      <c r="H121" s="349" t="s">
        <v>4139</v>
      </c>
      <c r="I121" s="404" t="str">
        <f t="shared" si="5"/>
        <v>NOT PAID</v>
      </c>
      <c r="J121" s="402"/>
      <c r="K121" s="402"/>
      <c r="L121" s="402"/>
      <c r="M121" s="402"/>
      <c r="N121" s="402"/>
      <c r="O121" s="402"/>
      <c r="P121" s="402"/>
      <c r="Q121" s="402"/>
      <c r="R121" s="402"/>
      <c r="S121" s="402"/>
      <c r="T121" s="402"/>
      <c r="U121" s="402"/>
      <c r="V121" s="402"/>
      <c r="W121" s="402"/>
      <c r="X121" s="402"/>
      <c r="Y121" s="402"/>
      <c r="Z121" s="402"/>
    </row>
    <row r="122" ht="14.25" customHeight="1">
      <c r="A122" s="406">
        <v>45513.0</v>
      </c>
      <c r="B122" s="349" t="s">
        <v>4176</v>
      </c>
      <c r="C122" s="349" t="s">
        <v>4201</v>
      </c>
      <c r="D122" s="349" t="s">
        <v>4182</v>
      </c>
      <c r="E122" s="349" t="s">
        <v>4105</v>
      </c>
      <c r="F122" s="413">
        <v>35000.0</v>
      </c>
      <c r="G122" s="403"/>
      <c r="H122" s="349" t="s">
        <v>267</v>
      </c>
      <c r="I122" s="404" t="str">
        <f t="shared" si="5"/>
        <v>NOT PAID</v>
      </c>
      <c r="J122" s="402"/>
      <c r="K122" s="402"/>
      <c r="L122" s="402"/>
      <c r="M122" s="402"/>
      <c r="N122" s="402"/>
      <c r="O122" s="402"/>
      <c r="P122" s="402"/>
      <c r="Q122" s="402"/>
      <c r="R122" s="402"/>
      <c r="S122" s="402"/>
      <c r="T122" s="402"/>
      <c r="U122" s="402"/>
      <c r="V122" s="402"/>
      <c r="W122" s="402"/>
      <c r="X122" s="402"/>
      <c r="Y122" s="402"/>
      <c r="Z122" s="402"/>
    </row>
    <row r="123" ht="14.25" customHeight="1">
      <c r="A123" s="406">
        <v>45513.0</v>
      </c>
      <c r="B123" s="349" t="s">
        <v>4188</v>
      </c>
      <c r="C123" s="349" t="s">
        <v>4193</v>
      </c>
      <c r="D123" s="349" t="s">
        <v>4182</v>
      </c>
      <c r="E123" s="349" t="s">
        <v>4105</v>
      </c>
      <c r="F123" s="413">
        <v>15000.0</v>
      </c>
      <c r="G123" s="403"/>
      <c r="H123" s="349" t="s">
        <v>4198</v>
      </c>
      <c r="I123" s="404" t="str">
        <f t="shared" si="5"/>
        <v>NOT PAID</v>
      </c>
      <c r="J123" s="402"/>
      <c r="K123" s="402"/>
      <c r="L123" s="402"/>
      <c r="M123" s="402"/>
      <c r="N123" s="402"/>
      <c r="O123" s="402"/>
      <c r="P123" s="402"/>
      <c r="Q123" s="402"/>
      <c r="R123" s="402"/>
      <c r="S123" s="402"/>
      <c r="T123" s="402"/>
      <c r="U123" s="402"/>
      <c r="V123" s="402"/>
      <c r="W123" s="402"/>
      <c r="X123" s="402"/>
      <c r="Y123" s="402"/>
      <c r="Z123" s="402"/>
    </row>
    <row r="124" ht="14.25" customHeight="1">
      <c r="A124" s="406">
        <v>45513.0</v>
      </c>
      <c r="B124" s="349" t="s">
        <v>4140</v>
      </c>
      <c r="C124" s="349" t="s">
        <v>4131</v>
      </c>
      <c r="D124" s="349" t="s">
        <v>4182</v>
      </c>
      <c r="E124" s="349" t="s">
        <v>4105</v>
      </c>
      <c r="F124" s="413">
        <v>77000.0</v>
      </c>
      <c r="G124" s="403"/>
      <c r="H124" s="349" t="s">
        <v>4130</v>
      </c>
      <c r="I124" s="404" t="str">
        <f t="shared" si="5"/>
        <v>NOT PAID</v>
      </c>
      <c r="J124" s="402"/>
      <c r="K124" s="402"/>
      <c r="L124" s="402"/>
      <c r="M124" s="402"/>
      <c r="N124" s="402"/>
      <c r="O124" s="402"/>
      <c r="P124" s="402"/>
      <c r="Q124" s="402"/>
      <c r="R124" s="402"/>
      <c r="S124" s="402"/>
      <c r="T124" s="402"/>
      <c r="U124" s="402"/>
      <c r="V124" s="402"/>
      <c r="W124" s="402"/>
      <c r="X124" s="402"/>
      <c r="Y124" s="402"/>
      <c r="Z124" s="402"/>
    </row>
    <row r="125" ht="14.25" customHeight="1">
      <c r="A125" s="406">
        <v>45513.0</v>
      </c>
      <c r="B125" s="349" t="s">
        <v>4148</v>
      </c>
      <c r="C125" s="349" t="s">
        <v>4149</v>
      </c>
      <c r="D125" s="349" t="s">
        <v>4182</v>
      </c>
      <c r="E125" s="349" t="s">
        <v>4105</v>
      </c>
      <c r="F125" s="413">
        <v>50000.0</v>
      </c>
      <c r="G125" s="403"/>
      <c r="H125" s="349" t="s">
        <v>267</v>
      </c>
      <c r="I125" s="404" t="str">
        <f t="shared" si="5"/>
        <v>NOT PAID</v>
      </c>
      <c r="J125" s="402"/>
      <c r="K125" s="402"/>
      <c r="L125" s="402"/>
      <c r="M125" s="402"/>
      <c r="N125" s="402"/>
      <c r="O125" s="402"/>
      <c r="P125" s="402"/>
      <c r="Q125" s="402"/>
      <c r="R125" s="402"/>
      <c r="S125" s="402"/>
      <c r="T125" s="402"/>
      <c r="U125" s="402"/>
      <c r="V125" s="402"/>
      <c r="W125" s="402"/>
      <c r="X125" s="402"/>
      <c r="Y125" s="402"/>
      <c r="Z125" s="402"/>
    </row>
    <row r="126" ht="14.25" customHeight="1">
      <c r="A126" s="406">
        <v>45513.0</v>
      </c>
      <c r="B126" s="349" t="s">
        <v>4199</v>
      </c>
      <c r="C126" s="349" t="s">
        <v>4200</v>
      </c>
      <c r="D126" s="349" t="s">
        <v>4182</v>
      </c>
      <c r="E126" s="349" t="s">
        <v>4105</v>
      </c>
      <c r="F126" s="413">
        <v>19000.0</v>
      </c>
      <c r="G126" s="403"/>
      <c r="H126" s="349" t="s">
        <v>267</v>
      </c>
      <c r="I126" s="404" t="str">
        <f t="shared" si="5"/>
        <v>NOT PAID</v>
      </c>
      <c r="J126" s="402"/>
      <c r="K126" s="402"/>
      <c r="L126" s="402"/>
      <c r="M126" s="402"/>
      <c r="N126" s="402"/>
      <c r="O126" s="402"/>
      <c r="P126" s="402"/>
      <c r="Q126" s="402"/>
      <c r="R126" s="402"/>
      <c r="S126" s="402"/>
      <c r="T126" s="402"/>
      <c r="U126" s="402"/>
      <c r="V126" s="402"/>
      <c r="W126" s="402"/>
      <c r="X126" s="402"/>
      <c r="Y126" s="402"/>
      <c r="Z126" s="402"/>
    </row>
    <row r="127" ht="14.25" customHeight="1">
      <c r="A127" s="497">
        <v>45513.0</v>
      </c>
      <c r="B127" s="349" t="s">
        <v>4202</v>
      </c>
      <c r="C127" s="349" t="s">
        <v>4203</v>
      </c>
      <c r="D127" s="349" t="s">
        <v>4182</v>
      </c>
      <c r="E127" s="349" t="s">
        <v>4105</v>
      </c>
      <c r="F127" s="413">
        <v>47640.0</v>
      </c>
      <c r="G127" s="413">
        <v>48500.0</v>
      </c>
      <c r="H127" s="349" t="s">
        <v>267</v>
      </c>
      <c r="I127" s="404" t="str">
        <f t="shared" si="5"/>
        <v>FULLY PAID</v>
      </c>
      <c r="J127" s="402"/>
      <c r="K127" s="402"/>
      <c r="L127" s="402"/>
      <c r="M127" s="402"/>
      <c r="N127" s="402"/>
      <c r="O127" s="402"/>
      <c r="P127" s="402"/>
      <c r="Q127" s="402"/>
      <c r="R127" s="402"/>
      <c r="S127" s="402"/>
      <c r="T127" s="402"/>
      <c r="U127" s="402"/>
      <c r="V127" s="402"/>
      <c r="W127" s="402"/>
      <c r="X127" s="402"/>
      <c r="Y127" s="402"/>
      <c r="Z127" s="402"/>
    </row>
    <row r="128" ht="14.25" customHeight="1">
      <c r="A128" s="402"/>
      <c r="B128" s="402"/>
      <c r="C128" s="402"/>
      <c r="D128" s="402"/>
      <c r="E128" s="402"/>
      <c r="F128" s="403"/>
      <c r="G128" s="403"/>
      <c r="H128" s="402"/>
      <c r="I128" s="404" t="str">
        <f t="shared" si="5"/>
        <v>FULLY PAID</v>
      </c>
      <c r="J128" s="402"/>
      <c r="K128" s="402"/>
      <c r="L128" s="402"/>
      <c r="M128" s="402"/>
      <c r="N128" s="402"/>
      <c r="O128" s="402"/>
      <c r="P128" s="402"/>
      <c r="Q128" s="402"/>
      <c r="R128" s="402"/>
      <c r="S128" s="402"/>
      <c r="T128" s="402"/>
      <c r="U128" s="402"/>
      <c r="V128" s="402"/>
      <c r="W128" s="402"/>
      <c r="X128" s="402"/>
      <c r="Y128" s="402"/>
      <c r="Z128" s="402"/>
    </row>
    <row r="129" ht="14.25" customHeight="1">
      <c r="A129" s="406">
        <v>45514.0</v>
      </c>
      <c r="B129" s="349" t="s">
        <v>4132</v>
      </c>
      <c r="C129" s="349" t="s">
        <v>4204</v>
      </c>
      <c r="D129" s="349" t="s">
        <v>4205</v>
      </c>
      <c r="E129" s="349" t="s">
        <v>4206</v>
      </c>
      <c r="F129" s="413">
        <v>54000.0</v>
      </c>
      <c r="G129" s="403"/>
      <c r="H129" s="349" t="s">
        <v>4139</v>
      </c>
      <c r="I129" s="404" t="str">
        <f t="shared" si="5"/>
        <v>NOT PAID</v>
      </c>
      <c r="J129" s="402"/>
      <c r="K129" s="402"/>
      <c r="L129" s="402"/>
      <c r="M129" s="402"/>
      <c r="N129" s="402"/>
      <c r="O129" s="402"/>
      <c r="P129" s="402"/>
      <c r="Q129" s="402"/>
      <c r="R129" s="402"/>
      <c r="S129" s="402"/>
      <c r="T129" s="402"/>
      <c r="U129" s="402"/>
      <c r="V129" s="402"/>
      <c r="W129" s="402"/>
      <c r="X129" s="402"/>
      <c r="Y129" s="402"/>
      <c r="Z129" s="402"/>
    </row>
    <row r="130" ht="14.25" customHeight="1">
      <c r="A130" s="406">
        <v>45514.0</v>
      </c>
      <c r="B130" s="349" t="s">
        <v>4176</v>
      </c>
      <c r="C130" s="349" t="s">
        <v>4207</v>
      </c>
      <c r="D130" s="349" t="s">
        <v>4205</v>
      </c>
      <c r="E130" s="349" t="s">
        <v>4206</v>
      </c>
      <c r="F130" s="413">
        <v>35000.0</v>
      </c>
      <c r="G130" s="403"/>
      <c r="H130" s="349" t="s">
        <v>267</v>
      </c>
      <c r="I130" s="404" t="str">
        <f t="shared" si="5"/>
        <v>NOT PAID</v>
      </c>
      <c r="J130" s="402"/>
      <c r="K130" s="402"/>
      <c r="L130" s="402"/>
      <c r="M130" s="402"/>
      <c r="N130" s="402"/>
      <c r="O130" s="402"/>
      <c r="P130" s="402"/>
      <c r="Q130" s="402"/>
      <c r="R130" s="402"/>
      <c r="S130" s="402"/>
      <c r="T130" s="402"/>
      <c r="U130" s="402"/>
      <c r="V130" s="402"/>
      <c r="W130" s="402"/>
      <c r="X130" s="402"/>
      <c r="Y130" s="402"/>
      <c r="Z130" s="402"/>
    </row>
    <row r="131" ht="14.25" customHeight="1">
      <c r="A131" s="406">
        <v>45514.0</v>
      </c>
      <c r="B131" s="349" t="s">
        <v>4188</v>
      </c>
      <c r="C131" s="349" t="s">
        <v>4208</v>
      </c>
      <c r="D131" s="349" t="s">
        <v>4205</v>
      </c>
      <c r="E131" s="349" t="s">
        <v>4206</v>
      </c>
      <c r="F131" s="413">
        <v>15000.0</v>
      </c>
      <c r="G131" s="403"/>
      <c r="H131" s="349" t="s">
        <v>4198</v>
      </c>
      <c r="I131" s="404" t="str">
        <f t="shared" si="5"/>
        <v>NOT PAID</v>
      </c>
      <c r="J131" s="402"/>
      <c r="K131" s="402"/>
      <c r="L131" s="402"/>
      <c r="M131" s="402"/>
      <c r="N131" s="402"/>
      <c r="O131" s="402"/>
      <c r="P131" s="402"/>
      <c r="Q131" s="402"/>
      <c r="R131" s="402"/>
      <c r="S131" s="402"/>
      <c r="T131" s="402"/>
      <c r="U131" s="402"/>
      <c r="V131" s="402"/>
      <c r="W131" s="402"/>
      <c r="X131" s="402"/>
      <c r="Y131" s="402"/>
      <c r="Z131" s="402"/>
    </row>
    <row r="132" ht="14.25" customHeight="1">
      <c r="A132" s="406">
        <v>45514.0</v>
      </c>
      <c r="B132" s="349" t="s">
        <v>4140</v>
      </c>
      <c r="C132" s="349" t="s">
        <v>4209</v>
      </c>
      <c r="D132" s="349" t="s">
        <v>4205</v>
      </c>
      <c r="E132" s="349" t="s">
        <v>4206</v>
      </c>
      <c r="F132" s="413">
        <v>77000.0</v>
      </c>
      <c r="G132" s="403"/>
      <c r="H132" s="349" t="s">
        <v>4210</v>
      </c>
      <c r="I132" s="404" t="str">
        <f t="shared" si="5"/>
        <v>NOT PAID</v>
      </c>
      <c r="J132" s="402"/>
      <c r="K132" s="402"/>
      <c r="L132" s="402"/>
      <c r="M132" s="402"/>
      <c r="N132" s="402"/>
      <c r="O132" s="402"/>
      <c r="P132" s="402"/>
      <c r="Q132" s="402"/>
      <c r="R132" s="402"/>
      <c r="S132" s="402"/>
      <c r="T132" s="402"/>
      <c r="U132" s="402"/>
      <c r="V132" s="402"/>
      <c r="W132" s="402"/>
      <c r="X132" s="402"/>
      <c r="Y132" s="402"/>
      <c r="Z132" s="402"/>
    </row>
    <row r="133" ht="14.25" customHeight="1">
      <c r="A133" s="406">
        <v>45514.0</v>
      </c>
      <c r="B133" s="349" t="s">
        <v>4148</v>
      </c>
      <c r="C133" s="349" t="s">
        <v>4211</v>
      </c>
      <c r="D133" s="349" t="s">
        <v>4205</v>
      </c>
      <c r="E133" s="349" t="s">
        <v>4212</v>
      </c>
      <c r="F133" s="413">
        <v>83000.0</v>
      </c>
      <c r="G133" s="403"/>
      <c r="H133" s="349" t="s">
        <v>4162</v>
      </c>
      <c r="I133" s="404" t="str">
        <f t="shared" si="5"/>
        <v>NOT PAID</v>
      </c>
      <c r="J133" s="402"/>
      <c r="K133" s="402"/>
      <c r="L133" s="402"/>
      <c r="M133" s="402"/>
      <c r="N133" s="402"/>
      <c r="O133" s="402"/>
      <c r="P133" s="402"/>
      <c r="Q133" s="402"/>
      <c r="R133" s="402"/>
      <c r="S133" s="402"/>
      <c r="T133" s="402"/>
      <c r="U133" s="402"/>
      <c r="V133" s="402"/>
      <c r="W133" s="402"/>
      <c r="X133" s="402"/>
      <c r="Y133" s="402"/>
      <c r="Z133" s="402"/>
    </row>
    <row r="134" ht="14.25" customHeight="1">
      <c r="A134" s="402"/>
      <c r="B134" s="402"/>
      <c r="C134" s="402"/>
      <c r="D134" s="402"/>
      <c r="E134" s="402"/>
      <c r="F134" s="403"/>
      <c r="G134" s="403"/>
      <c r="H134" s="402"/>
      <c r="I134" s="404" t="str">
        <f t="shared" si="5"/>
        <v>FULLY PAID</v>
      </c>
      <c r="J134" s="402"/>
      <c r="K134" s="402"/>
      <c r="L134" s="402"/>
      <c r="M134" s="402"/>
      <c r="N134" s="402"/>
      <c r="O134" s="402"/>
      <c r="P134" s="402"/>
      <c r="Q134" s="402"/>
      <c r="R134" s="402"/>
      <c r="S134" s="402"/>
      <c r="T134" s="402"/>
      <c r="U134" s="402"/>
      <c r="V134" s="402"/>
      <c r="W134" s="402"/>
      <c r="X134" s="402"/>
      <c r="Y134" s="402"/>
      <c r="Z134" s="402"/>
    </row>
    <row r="135" ht="14.25" customHeight="1">
      <c r="A135" s="406">
        <v>45516.0</v>
      </c>
      <c r="B135" s="349" t="s">
        <v>4132</v>
      </c>
      <c r="C135" s="349" t="s">
        <v>4204</v>
      </c>
      <c r="D135" s="349" t="s">
        <v>4205</v>
      </c>
      <c r="E135" s="349" t="s">
        <v>4206</v>
      </c>
      <c r="F135" s="413">
        <v>54000.0</v>
      </c>
      <c r="G135" s="2"/>
      <c r="H135" s="413" t="s">
        <v>4213</v>
      </c>
      <c r="I135" s="404" t="str">
        <f t="shared" si="5"/>
        <v>NOT PAID</v>
      </c>
      <c r="J135" s="402"/>
      <c r="K135" s="402"/>
      <c r="L135" s="402"/>
      <c r="M135" s="402"/>
      <c r="N135" s="402"/>
      <c r="O135" s="402"/>
      <c r="P135" s="402"/>
      <c r="Q135" s="402"/>
      <c r="R135" s="402"/>
      <c r="S135" s="402"/>
      <c r="T135" s="402"/>
      <c r="U135" s="402"/>
      <c r="V135" s="402"/>
      <c r="W135" s="402"/>
      <c r="X135" s="402"/>
      <c r="Y135" s="402"/>
      <c r="Z135" s="402"/>
    </row>
    <row r="136" ht="14.25" customHeight="1">
      <c r="A136" s="406">
        <v>45516.0</v>
      </c>
      <c r="B136" s="349" t="s">
        <v>4176</v>
      </c>
      <c r="C136" s="349" t="s">
        <v>4207</v>
      </c>
      <c r="D136" s="349" t="s">
        <v>4205</v>
      </c>
      <c r="E136" s="349" t="s">
        <v>4206</v>
      </c>
      <c r="F136" s="413">
        <v>35000.0</v>
      </c>
      <c r="G136" s="1">
        <v>50000.0</v>
      </c>
      <c r="H136" s="413" t="s">
        <v>710</v>
      </c>
      <c r="I136" s="404" t="str">
        <f t="shared" si="5"/>
        <v>FULLY PAID</v>
      </c>
      <c r="J136" s="402"/>
      <c r="K136" s="402"/>
      <c r="L136" s="402"/>
      <c r="M136" s="402"/>
      <c r="N136" s="402"/>
      <c r="O136" s="402"/>
      <c r="P136" s="402"/>
      <c r="Q136" s="402"/>
      <c r="R136" s="402"/>
      <c r="S136" s="402"/>
      <c r="T136" s="402"/>
      <c r="U136" s="402"/>
      <c r="V136" s="402"/>
      <c r="W136" s="402"/>
      <c r="X136" s="402"/>
      <c r="Y136" s="402"/>
      <c r="Z136" s="402"/>
    </row>
    <row r="137" ht="14.25" customHeight="1">
      <c r="A137" s="406">
        <v>45516.0</v>
      </c>
      <c r="B137" s="349" t="s">
        <v>4188</v>
      </c>
      <c r="C137" s="349" t="s">
        <v>4208</v>
      </c>
      <c r="D137" s="349" t="s">
        <v>4205</v>
      </c>
      <c r="E137" s="349" t="s">
        <v>4206</v>
      </c>
      <c r="F137" s="413">
        <v>15000.0</v>
      </c>
      <c r="G137" s="1">
        <v>10000.0</v>
      </c>
      <c r="H137" s="413" t="s">
        <v>267</v>
      </c>
      <c r="I137" s="404" t="str">
        <f t="shared" si="5"/>
        <v>PARTIALLY PAID</v>
      </c>
      <c r="J137" s="402"/>
      <c r="K137" s="402"/>
      <c r="L137" s="402"/>
      <c r="M137" s="402"/>
      <c r="N137" s="402"/>
      <c r="O137" s="402"/>
      <c r="P137" s="402"/>
      <c r="Q137" s="402"/>
      <c r="R137" s="402"/>
      <c r="S137" s="402"/>
      <c r="T137" s="402"/>
      <c r="U137" s="402"/>
      <c r="V137" s="402"/>
      <c r="W137" s="402"/>
      <c r="X137" s="402"/>
      <c r="Y137" s="402"/>
      <c r="Z137" s="402"/>
    </row>
    <row r="138" ht="14.25" customHeight="1">
      <c r="A138" s="406">
        <v>45516.0</v>
      </c>
      <c r="B138" s="349" t="s">
        <v>4140</v>
      </c>
      <c r="C138" s="349" t="s">
        <v>4209</v>
      </c>
      <c r="D138" s="349" t="s">
        <v>4205</v>
      </c>
      <c r="E138" s="349" t="s">
        <v>4206</v>
      </c>
      <c r="F138" s="413">
        <v>77000.0</v>
      </c>
      <c r="G138" s="2"/>
      <c r="H138" s="413" t="s">
        <v>4214</v>
      </c>
      <c r="I138" s="404" t="str">
        <f t="shared" si="5"/>
        <v>NOT PAID</v>
      </c>
      <c r="J138" s="402"/>
      <c r="K138" s="402"/>
      <c r="L138" s="402"/>
      <c r="M138" s="402"/>
      <c r="N138" s="402"/>
      <c r="O138" s="402"/>
      <c r="P138" s="402"/>
      <c r="Q138" s="402"/>
      <c r="R138" s="402"/>
      <c r="S138" s="402"/>
      <c r="T138" s="402"/>
      <c r="U138" s="402"/>
      <c r="V138" s="402"/>
      <c r="W138" s="402"/>
      <c r="X138" s="402"/>
      <c r="Y138" s="402"/>
      <c r="Z138" s="402"/>
    </row>
    <row r="139" ht="14.25" customHeight="1">
      <c r="A139" s="406">
        <v>45516.0</v>
      </c>
      <c r="B139" s="349" t="s">
        <v>4148</v>
      </c>
      <c r="C139" s="349" t="s">
        <v>4211</v>
      </c>
      <c r="D139" s="349" t="s">
        <v>4205</v>
      </c>
      <c r="E139" s="349" t="s">
        <v>4212</v>
      </c>
      <c r="F139" s="413">
        <v>83000.0</v>
      </c>
      <c r="G139" s="2"/>
      <c r="H139" s="413" t="s">
        <v>4215</v>
      </c>
      <c r="I139" s="404" t="str">
        <f t="shared" si="5"/>
        <v>NOT PAID</v>
      </c>
      <c r="J139" s="402"/>
      <c r="K139" s="402"/>
      <c r="L139" s="402"/>
      <c r="M139" s="402"/>
      <c r="N139" s="402"/>
      <c r="O139" s="402"/>
      <c r="P139" s="402"/>
      <c r="Q139" s="402"/>
      <c r="R139" s="402"/>
      <c r="S139" s="402"/>
      <c r="T139" s="402"/>
      <c r="U139" s="402"/>
      <c r="V139" s="402"/>
      <c r="W139" s="402"/>
      <c r="X139" s="402"/>
      <c r="Y139" s="402"/>
      <c r="Z139" s="402"/>
    </row>
    <row r="140" ht="14.25" customHeight="1">
      <c r="A140" s="406">
        <v>45516.0</v>
      </c>
      <c r="B140" s="811" t="s">
        <v>4216</v>
      </c>
      <c r="C140" s="811" t="s">
        <v>2159</v>
      </c>
      <c r="D140" s="811" t="s">
        <v>75</v>
      </c>
      <c r="E140" s="349" t="s">
        <v>4212</v>
      </c>
      <c r="F140" s="69">
        <v>115000.0</v>
      </c>
      <c r="G140" s="1">
        <v>115000.0</v>
      </c>
      <c r="H140" s="413" t="s">
        <v>710</v>
      </c>
      <c r="I140" s="404" t="str">
        <f t="shared" si="5"/>
        <v>FULLY PAID</v>
      </c>
      <c r="J140" s="402"/>
      <c r="K140" s="402"/>
      <c r="L140" s="402"/>
      <c r="M140" s="402"/>
      <c r="N140" s="402"/>
      <c r="O140" s="402"/>
      <c r="P140" s="402"/>
      <c r="Q140" s="402"/>
      <c r="R140" s="402"/>
      <c r="S140" s="402"/>
      <c r="T140" s="402"/>
      <c r="U140" s="402"/>
      <c r="V140" s="402"/>
      <c r="W140" s="402"/>
      <c r="X140" s="402"/>
      <c r="Y140" s="402"/>
      <c r="Z140" s="402"/>
    </row>
    <row r="141" ht="14.25" customHeight="1">
      <c r="A141" s="406">
        <v>45516.0</v>
      </c>
      <c r="B141" s="578" t="s">
        <v>4217</v>
      </c>
      <c r="C141" s="578" t="s">
        <v>4218</v>
      </c>
      <c r="D141" s="578" t="s">
        <v>54</v>
      </c>
      <c r="E141" s="349" t="s">
        <v>4212</v>
      </c>
      <c r="F141" s="812">
        <v>21498.17</v>
      </c>
      <c r="G141" s="2"/>
      <c r="H141" s="813" t="s">
        <v>4156</v>
      </c>
      <c r="I141" s="404" t="str">
        <f t="shared" si="5"/>
        <v>NOT PAID</v>
      </c>
      <c r="J141" s="402"/>
      <c r="K141" s="402"/>
      <c r="L141" s="402"/>
      <c r="M141" s="402"/>
      <c r="N141" s="402"/>
      <c r="O141" s="402"/>
      <c r="P141" s="402"/>
      <c r="Q141" s="402"/>
      <c r="R141" s="402"/>
      <c r="S141" s="402"/>
      <c r="T141" s="402"/>
      <c r="U141" s="402"/>
      <c r="V141" s="402"/>
      <c r="W141" s="402"/>
      <c r="X141" s="402"/>
      <c r="Y141" s="402"/>
      <c r="Z141" s="402"/>
    </row>
    <row r="142" ht="14.25" customHeight="1">
      <c r="A142" s="406">
        <v>45516.0</v>
      </c>
      <c r="B142" s="578" t="s">
        <v>4136</v>
      </c>
      <c r="C142" s="578" t="s">
        <v>4219</v>
      </c>
      <c r="D142" s="578" t="s">
        <v>54</v>
      </c>
      <c r="E142" s="349" t="s">
        <v>4212</v>
      </c>
      <c r="F142" s="812">
        <v>19951.27</v>
      </c>
      <c r="G142" s="2"/>
      <c r="H142" s="679" t="s">
        <v>4156</v>
      </c>
      <c r="I142" s="404" t="str">
        <f t="shared" si="5"/>
        <v>NOT PAID</v>
      </c>
      <c r="J142" s="402"/>
      <c r="K142" s="402"/>
      <c r="L142" s="402"/>
      <c r="M142" s="402"/>
      <c r="N142" s="402"/>
      <c r="O142" s="402"/>
      <c r="P142" s="402"/>
      <c r="Q142" s="402"/>
      <c r="R142" s="402"/>
      <c r="S142" s="402"/>
      <c r="T142" s="402"/>
      <c r="U142" s="402"/>
      <c r="V142" s="402"/>
      <c r="W142" s="402"/>
      <c r="X142" s="402"/>
      <c r="Y142" s="402"/>
      <c r="Z142" s="402"/>
    </row>
    <row r="143" ht="14.25" customHeight="1">
      <c r="A143" s="406">
        <v>45516.0</v>
      </c>
      <c r="B143" s="578" t="s">
        <v>4220</v>
      </c>
      <c r="C143" s="578" t="s">
        <v>4221</v>
      </c>
      <c r="D143" s="578" t="s">
        <v>54</v>
      </c>
      <c r="E143" s="349" t="s">
        <v>4212</v>
      </c>
      <c r="F143" s="812">
        <v>52077.14</v>
      </c>
      <c r="G143" s="2"/>
      <c r="H143" s="679" t="s">
        <v>941</v>
      </c>
      <c r="I143" s="404" t="str">
        <f t="shared" si="5"/>
        <v>NOT PAID</v>
      </c>
      <c r="J143" s="402"/>
      <c r="K143" s="402"/>
      <c r="L143" s="402"/>
      <c r="M143" s="402"/>
      <c r="N143" s="402"/>
      <c r="O143" s="402"/>
      <c r="P143" s="402"/>
      <c r="Q143" s="402"/>
      <c r="R143" s="402"/>
      <c r="S143" s="402"/>
      <c r="T143" s="402"/>
      <c r="U143" s="402"/>
      <c r="V143" s="402"/>
      <c r="W143" s="402"/>
      <c r="X143" s="402"/>
      <c r="Y143" s="402"/>
      <c r="Z143" s="402"/>
    </row>
    <row r="144" ht="14.25" customHeight="1">
      <c r="A144" s="406">
        <v>45516.0</v>
      </c>
      <c r="B144" s="578" t="s">
        <v>4222</v>
      </c>
      <c r="C144" s="578" t="s">
        <v>2135</v>
      </c>
      <c r="D144" s="578" t="s">
        <v>75</v>
      </c>
      <c r="E144" s="349" t="s">
        <v>4212</v>
      </c>
      <c r="F144" s="812">
        <v>115000.0</v>
      </c>
      <c r="G144" s="1">
        <v>20000.0</v>
      </c>
      <c r="H144" s="679" t="s">
        <v>4223</v>
      </c>
      <c r="I144" s="404" t="str">
        <f t="shared" si="5"/>
        <v>PARTIALLY PAID</v>
      </c>
      <c r="J144" s="402"/>
      <c r="K144" s="402"/>
      <c r="L144" s="402"/>
      <c r="M144" s="402"/>
      <c r="N144" s="402"/>
      <c r="O144" s="402"/>
      <c r="P144" s="402"/>
      <c r="Q144" s="402"/>
      <c r="R144" s="402"/>
      <c r="S144" s="402"/>
      <c r="T144" s="402"/>
      <c r="U144" s="402"/>
      <c r="V144" s="402"/>
      <c r="W144" s="402"/>
      <c r="X144" s="402"/>
      <c r="Y144" s="402"/>
      <c r="Z144" s="402"/>
    </row>
    <row r="145" ht="14.25" customHeight="1">
      <c r="A145" s="406">
        <v>45516.0</v>
      </c>
      <c r="B145" s="578" t="s">
        <v>4224</v>
      </c>
      <c r="C145" s="578" t="s">
        <v>4225</v>
      </c>
      <c r="D145" s="578" t="s">
        <v>54</v>
      </c>
      <c r="E145" s="349" t="s">
        <v>4212</v>
      </c>
      <c r="F145" s="811">
        <v>34830.0</v>
      </c>
      <c r="G145" s="2"/>
      <c r="H145" s="679" t="s">
        <v>4226</v>
      </c>
      <c r="I145" s="404" t="str">
        <f t="shared" si="5"/>
        <v>NOT PAID</v>
      </c>
      <c r="J145" s="402"/>
      <c r="K145" s="402"/>
      <c r="L145" s="402"/>
      <c r="M145" s="402"/>
      <c r="N145" s="402"/>
      <c r="O145" s="402"/>
      <c r="P145" s="402"/>
      <c r="Q145" s="402"/>
      <c r="R145" s="402"/>
      <c r="S145" s="402"/>
      <c r="T145" s="402"/>
      <c r="U145" s="402"/>
      <c r="V145" s="402"/>
      <c r="W145" s="402"/>
      <c r="X145" s="402"/>
      <c r="Y145" s="402"/>
      <c r="Z145" s="402"/>
    </row>
    <row r="146" ht="14.25" customHeight="1">
      <c r="A146" s="402"/>
      <c r="B146" s="402"/>
      <c r="F146" s="814"/>
      <c r="G146" s="2"/>
      <c r="H146" s="814"/>
      <c r="I146" s="404" t="str">
        <f t="shared" si="5"/>
        <v>FULLY PAID</v>
      </c>
      <c r="J146" s="402"/>
      <c r="K146" s="402"/>
      <c r="L146" s="402"/>
      <c r="M146" s="402"/>
      <c r="N146" s="402"/>
      <c r="O146" s="402"/>
      <c r="P146" s="402"/>
      <c r="Q146" s="402"/>
      <c r="R146" s="402"/>
      <c r="S146" s="402"/>
      <c r="T146" s="402"/>
      <c r="U146" s="402"/>
      <c r="V146" s="402"/>
      <c r="W146" s="402"/>
      <c r="X146" s="402"/>
      <c r="Y146" s="402"/>
      <c r="Z146" s="402"/>
    </row>
    <row r="147" ht="14.25" customHeight="1">
      <c r="A147" s="402"/>
      <c r="B147" s="402"/>
      <c r="F147" s="814"/>
      <c r="G147" s="814"/>
      <c r="I147" s="404" t="str">
        <f t="shared" si="5"/>
        <v>FULLY PAID</v>
      </c>
      <c r="J147" s="402"/>
      <c r="K147" s="402"/>
      <c r="L147" s="402"/>
      <c r="M147" s="402"/>
      <c r="N147" s="402"/>
      <c r="O147" s="402"/>
      <c r="P147" s="402"/>
      <c r="Q147" s="402"/>
      <c r="R147" s="402"/>
      <c r="S147" s="402"/>
      <c r="T147" s="402"/>
      <c r="U147" s="402"/>
      <c r="V147" s="402"/>
      <c r="W147" s="402"/>
      <c r="X147" s="402"/>
      <c r="Y147" s="402"/>
      <c r="Z147" s="402"/>
    </row>
    <row r="148" ht="14.25" customHeight="1">
      <c r="A148" s="402"/>
      <c r="B148" s="402"/>
      <c r="C148" s="402"/>
      <c r="D148" s="402"/>
      <c r="E148" s="402"/>
      <c r="F148" s="403"/>
      <c r="G148" s="403"/>
      <c r="H148" s="402"/>
      <c r="I148" s="404" t="str">
        <f t="shared" si="5"/>
        <v>FULLY PAID</v>
      </c>
      <c r="J148" s="402"/>
      <c r="K148" s="402"/>
      <c r="L148" s="402"/>
      <c r="M148" s="402"/>
      <c r="N148" s="402"/>
      <c r="O148" s="402"/>
      <c r="P148" s="402"/>
      <c r="Q148" s="402"/>
      <c r="R148" s="402"/>
      <c r="S148" s="402"/>
      <c r="T148" s="402"/>
      <c r="U148" s="402"/>
      <c r="V148" s="402"/>
      <c r="W148" s="402"/>
      <c r="X148" s="402"/>
      <c r="Y148" s="402"/>
      <c r="Z148" s="402"/>
    </row>
    <row r="149" ht="14.25" customHeight="1">
      <c r="A149" s="406">
        <v>45517.0</v>
      </c>
      <c r="B149" s="349" t="s">
        <v>4132</v>
      </c>
      <c r="C149" s="349" t="s">
        <v>4133</v>
      </c>
      <c r="D149" s="349" t="s">
        <v>439</v>
      </c>
      <c r="E149" s="349" t="s">
        <v>4105</v>
      </c>
      <c r="F149" s="413">
        <v>54000.0</v>
      </c>
      <c r="G149" s="403"/>
      <c r="H149" s="349" t="s">
        <v>4227</v>
      </c>
      <c r="I149" s="404" t="str">
        <f t="shared" si="5"/>
        <v>NOT PAID</v>
      </c>
      <c r="J149" s="402"/>
      <c r="K149" s="402"/>
      <c r="L149" s="402"/>
      <c r="M149" s="402"/>
      <c r="N149" s="402"/>
      <c r="O149" s="402"/>
      <c r="P149" s="402"/>
      <c r="Q149" s="402"/>
      <c r="R149" s="402"/>
      <c r="S149" s="402"/>
      <c r="T149" s="402"/>
      <c r="U149" s="402"/>
      <c r="V149" s="402"/>
      <c r="W149" s="402"/>
      <c r="X149" s="402"/>
      <c r="Y149" s="402"/>
      <c r="Z149" s="402"/>
    </row>
    <row r="150" ht="14.25" customHeight="1">
      <c r="A150" s="406">
        <v>45517.0</v>
      </c>
      <c r="B150" s="349" t="s">
        <v>4176</v>
      </c>
      <c r="C150" s="349" t="s">
        <v>4193</v>
      </c>
      <c r="D150" s="349" t="s">
        <v>439</v>
      </c>
      <c r="E150" s="349" t="s">
        <v>4105</v>
      </c>
      <c r="F150" s="413">
        <v>5000.0</v>
      </c>
      <c r="G150" s="403"/>
      <c r="H150" s="349" t="s">
        <v>4228</v>
      </c>
      <c r="I150" s="404" t="str">
        <f t="shared" si="5"/>
        <v>NOT PAID</v>
      </c>
      <c r="J150" s="402"/>
      <c r="K150" s="402"/>
      <c r="L150" s="402"/>
      <c r="M150" s="402"/>
      <c r="N150" s="402"/>
      <c r="O150" s="402"/>
      <c r="P150" s="402"/>
      <c r="Q150" s="402"/>
      <c r="R150" s="402"/>
      <c r="S150" s="402"/>
      <c r="T150" s="402"/>
      <c r="U150" s="402"/>
      <c r="V150" s="402"/>
      <c r="W150" s="402"/>
      <c r="X150" s="402"/>
      <c r="Y150" s="402"/>
      <c r="Z150" s="402"/>
    </row>
    <row r="151" ht="14.25" customHeight="1">
      <c r="A151" s="406">
        <v>45517.0</v>
      </c>
      <c r="B151" s="349" t="s">
        <v>4140</v>
      </c>
      <c r="C151" s="349" t="s">
        <v>4131</v>
      </c>
      <c r="D151" s="349" t="s">
        <v>439</v>
      </c>
      <c r="E151" s="349" t="s">
        <v>4105</v>
      </c>
      <c r="F151" s="413">
        <v>77000.0</v>
      </c>
      <c r="G151" s="403"/>
      <c r="H151" s="349" t="s">
        <v>4229</v>
      </c>
      <c r="I151" s="404" t="str">
        <f t="shared" si="5"/>
        <v>NOT PAID</v>
      </c>
      <c r="J151" s="402"/>
      <c r="K151" s="402"/>
      <c r="L151" s="402"/>
      <c r="M151" s="402"/>
      <c r="N151" s="402"/>
      <c r="O151" s="402"/>
      <c r="P151" s="402"/>
      <c r="Q151" s="402"/>
      <c r="R151" s="402"/>
      <c r="S151" s="402"/>
      <c r="T151" s="402"/>
      <c r="U151" s="402"/>
      <c r="V151" s="402"/>
      <c r="W151" s="402"/>
      <c r="X151" s="402"/>
      <c r="Y151" s="402"/>
      <c r="Z151" s="402"/>
    </row>
    <row r="152" ht="14.25" customHeight="1">
      <c r="A152" s="406">
        <v>45517.0</v>
      </c>
      <c r="B152" s="349" t="s">
        <v>4230</v>
      </c>
      <c r="C152" s="349" t="s">
        <v>4231</v>
      </c>
      <c r="D152" s="349" t="s">
        <v>439</v>
      </c>
      <c r="E152" s="349" t="s">
        <v>4105</v>
      </c>
      <c r="F152" s="413">
        <v>83000.0</v>
      </c>
      <c r="G152" s="403"/>
      <c r="H152" s="349" t="s">
        <v>4215</v>
      </c>
      <c r="I152" s="404" t="str">
        <f t="shared" si="5"/>
        <v>NOT PAID</v>
      </c>
      <c r="J152" s="402"/>
      <c r="K152" s="402"/>
      <c r="L152" s="402"/>
      <c r="M152" s="402"/>
      <c r="N152" s="402"/>
      <c r="O152" s="402"/>
      <c r="P152" s="402"/>
      <c r="Q152" s="402"/>
      <c r="R152" s="402"/>
      <c r="S152" s="402"/>
      <c r="T152" s="402"/>
      <c r="U152" s="402"/>
      <c r="V152" s="402"/>
      <c r="W152" s="402"/>
      <c r="X152" s="402"/>
      <c r="Y152" s="402"/>
      <c r="Z152" s="402"/>
    </row>
    <row r="153" ht="14.25" customHeight="1">
      <c r="A153" s="406">
        <v>45517.0</v>
      </c>
      <c r="B153" s="349" t="s">
        <v>4136</v>
      </c>
      <c r="C153" s="349" t="s">
        <v>4137</v>
      </c>
      <c r="D153" s="349" t="s">
        <v>439</v>
      </c>
      <c r="E153" s="349" t="s">
        <v>4105</v>
      </c>
      <c r="F153" s="413">
        <v>24000.0</v>
      </c>
      <c r="G153" s="413">
        <v>24500.0</v>
      </c>
      <c r="H153" s="349" t="s">
        <v>267</v>
      </c>
      <c r="I153" s="404" t="str">
        <f t="shared" si="5"/>
        <v>FULLY PAID</v>
      </c>
      <c r="J153" s="402"/>
      <c r="K153" s="402"/>
      <c r="L153" s="402"/>
      <c r="M153" s="402"/>
      <c r="N153" s="402"/>
      <c r="O153" s="402"/>
      <c r="P153" s="402"/>
      <c r="Q153" s="402"/>
      <c r="R153" s="402"/>
      <c r="S153" s="402"/>
      <c r="T153" s="402"/>
      <c r="U153" s="402"/>
      <c r="V153" s="402"/>
      <c r="W153" s="402"/>
      <c r="X153" s="402"/>
      <c r="Y153" s="402"/>
      <c r="Z153" s="402"/>
    </row>
    <row r="154" ht="14.25" customHeight="1">
      <c r="A154" s="406">
        <v>45517.0</v>
      </c>
      <c r="B154" s="349" t="s">
        <v>4222</v>
      </c>
      <c r="C154" s="349" t="s">
        <v>4232</v>
      </c>
      <c r="D154" s="349" t="s">
        <v>439</v>
      </c>
      <c r="E154" s="349" t="s">
        <v>4105</v>
      </c>
      <c r="F154" s="413">
        <v>115000.0</v>
      </c>
      <c r="G154" s="403"/>
      <c r="H154" s="349" t="s">
        <v>4233</v>
      </c>
      <c r="I154" s="404" t="str">
        <f t="shared" si="5"/>
        <v>NOT PAID</v>
      </c>
      <c r="J154" s="402"/>
      <c r="K154" s="402"/>
      <c r="L154" s="402"/>
      <c r="M154" s="402"/>
      <c r="N154" s="402"/>
      <c r="O154" s="402"/>
      <c r="P154" s="402"/>
      <c r="Q154" s="402"/>
      <c r="R154" s="402"/>
      <c r="S154" s="402"/>
      <c r="T154" s="402"/>
      <c r="U154" s="402"/>
      <c r="V154" s="402"/>
      <c r="W154" s="402"/>
      <c r="X154" s="402"/>
      <c r="Y154" s="402"/>
      <c r="Z154" s="402"/>
    </row>
    <row r="155" ht="14.25" customHeight="1">
      <c r="A155" s="406">
        <v>45517.0</v>
      </c>
      <c r="B155" s="349" t="s">
        <v>4224</v>
      </c>
      <c r="C155" s="349" t="s">
        <v>4104</v>
      </c>
      <c r="D155" s="349" t="s">
        <v>439</v>
      </c>
      <c r="E155" s="349" t="s">
        <v>4105</v>
      </c>
      <c r="F155" s="413">
        <v>34830.0</v>
      </c>
      <c r="G155" s="403"/>
      <c r="H155" s="349" t="s">
        <v>4234</v>
      </c>
      <c r="I155" s="404" t="str">
        <f t="shared" si="5"/>
        <v>NOT PAID</v>
      </c>
      <c r="J155" s="402"/>
      <c r="K155" s="402"/>
      <c r="L155" s="402"/>
      <c r="M155" s="402"/>
      <c r="N155" s="402"/>
      <c r="O155" s="402"/>
      <c r="P155" s="402"/>
      <c r="Q155" s="402"/>
      <c r="R155" s="402"/>
      <c r="S155" s="402"/>
      <c r="T155" s="402"/>
      <c r="U155" s="402"/>
      <c r="V155" s="402"/>
      <c r="W155" s="402"/>
      <c r="X155" s="402"/>
      <c r="Y155" s="402"/>
      <c r="Z155" s="402"/>
    </row>
    <row r="156" ht="14.25" customHeight="1">
      <c r="A156" s="402"/>
      <c r="B156" s="402"/>
      <c r="C156" s="402"/>
      <c r="D156" s="402"/>
      <c r="E156" s="402"/>
      <c r="F156" s="403"/>
      <c r="G156" s="403"/>
      <c r="H156" s="402"/>
      <c r="I156" s="404" t="str">
        <f t="shared" si="5"/>
        <v>FULLY PAID</v>
      </c>
      <c r="J156" s="402"/>
      <c r="K156" s="402"/>
      <c r="L156" s="402"/>
      <c r="M156" s="402"/>
      <c r="N156" s="402"/>
      <c r="O156" s="402"/>
      <c r="P156" s="402"/>
      <c r="Q156" s="402"/>
      <c r="R156" s="402"/>
      <c r="S156" s="402"/>
      <c r="T156" s="402"/>
      <c r="U156" s="402"/>
      <c r="V156" s="402"/>
      <c r="W156" s="402"/>
      <c r="X156" s="402"/>
      <c r="Y156" s="402"/>
      <c r="Z156" s="402"/>
    </row>
    <row r="157" ht="14.25" customHeight="1">
      <c r="A157" s="402"/>
      <c r="B157" s="402"/>
      <c r="C157" s="402"/>
      <c r="D157" s="402"/>
      <c r="E157" s="402"/>
      <c r="F157" s="403"/>
      <c r="G157" s="403"/>
      <c r="H157" s="402"/>
      <c r="I157" s="404" t="str">
        <f t="shared" si="5"/>
        <v>FULLY PAID</v>
      </c>
      <c r="J157" s="402"/>
      <c r="K157" s="402"/>
      <c r="L157" s="402"/>
      <c r="M157" s="402"/>
      <c r="N157" s="402"/>
      <c r="O157" s="402"/>
      <c r="P157" s="402"/>
      <c r="Q157" s="402"/>
      <c r="R157" s="402"/>
      <c r="S157" s="402"/>
      <c r="T157" s="402"/>
      <c r="U157" s="402"/>
      <c r="V157" s="402"/>
      <c r="W157" s="402"/>
      <c r="X157" s="402"/>
      <c r="Y157" s="402"/>
      <c r="Z157" s="402"/>
    </row>
    <row r="158" ht="14.25" customHeight="1">
      <c r="A158" s="406">
        <v>45518.0</v>
      </c>
      <c r="B158" s="349" t="s">
        <v>4132</v>
      </c>
      <c r="C158" s="349" t="s">
        <v>4133</v>
      </c>
      <c r="D158" s="349" t="s">
        <v>439</v>
      </c>
      <c r="E158" s="349" t="s">
        <v>4105</v>
      </c>
      <c r="F158" s="413">
        <v>54000.0</v>
      </c>
      <c r="G158" s="413">
        <v>25000.0</v>
      </c>
      <c r="H158" s="349" t="s">
        <v>4235</v>
      </c>
      <c r="I158" s="404" t="str">
        <f t="shared" si="5"/>
        <v>PARTIALLY PAID</v>
      </c>
      <c r="J158" s="402"/>
      <c r="K158" s="402"/>
      <c r="L158" s="402"/>
      <c r="M158" s="402"/>
      <c r="N158" s="402"/>
      <c r="O158" s="402"/>
      <c r="P158" s="402"/>
      <c r="Q158" s="402"/>
      <c r="R158" s="402"/>
      <c r="S158" s="402"/>
      <c r="T158" s="402"/>
      <c r="U158" s="402"/>
      <c r="V158" s="402"/>
      <c r="W158" s="402"/>
      <c r="X158" s="402"/>
      <c r="Y158" s="402"/>
      <c r="Z158" s="402"/>
    </row>
    <row r="159" ht="14.25" customHeight="1">
      <c r="A159" s="406">
        <v>45518.0</v>
      </c>
      <c r="B159" s="349" t="s">
        <v>4176</v>
      </c>
      <c r="C159" s="349" t="s">
        <v>4193</v>
      </c>
      <c r="D159" s="349" t="s">
        <v>439</v>
      </c>
      <c r="E159" s="349" t="s">
        <v>4105</v>
      </c>
      <c r="F159" s="413">
        <v>5000.0</v>
      </c>
      <c r="G159" s="403"/>
      <c r="H159" s="349" t="s">
        <v>4236</v>
      </c>
      <c r="I159" s="404" t="str">
        <f t="shared" si="5"/>
        <v>NOT PAID</v>
      </c>
      <c r="J159" s="402"/>
      <c r="K159" s="402"/>
      <c r="L159" s="402"/>
      <c r="M159" s="402"/>
      <c r="N159" s="402"/>
      <c r="O159" s="402"/>
      <c r="P159" s="402"/>
      <c r="Q159" s="402"/>
      <c r="R159" s="402"/>
      <c r="S159" s="402"/>
      <c r="T159" s="402"/>
      <c r="U159" s="402"/>
      <c r="V159" s="402"/>
      <c r="W159" s="402"/>
      <c r="X159" s="402"/>
      <c r="Y159" s="402"/>
      <c r="Z159" s="402"/>
    </row>
    <row r="160" ht="14.25" customHeight="1">
      <c r="A160" s="406">
        <v>45518.0</v>
      </c>
      <c r="B160" s="349" t="s">
        <v>4222</v>
      </c>
      <c r="C160" s="349" t="s">
        <v>4232</v>
      </c>
      <c r="D160" s="349" t="s">
        <v>439</v>
      </c>
      <c r="E160" s="349" t="s">
        <v>4105</v>
      </c>
      <c r="F160" s="413">
        <v>115000.0</v>
      </c>
      <c r="G160" s="403"/>
      <c r="H160" s="349" t="s">
        <v>4237</v>
      </c>
      <c r="I160" s="404" t="str">
        <f t="shared" si="5"/>
        <v>NOT PAID</v>
      </c>
      <c r="J160" s="402"/>
      <c r="K160" s="402"/>
      <c r="L160" s="402"/>
      <c r="M160" s="402"/>
      <c r="N160" s="402"/>
      <c r="O160" s="402"/>
      <c r="P160" s="402"/>
      <c r="Q160" s="402"/>
      <c r="R160" s="402"/>
      <c r="S160" s="402"/>
      <c r="T160" s="402"/>
      <c r="U160" s="402"/>
      <c r="V160" s="402"/>
      <c r="W160" s="402"/>
      <c r="X160" s="402"/>
      <c r="Y160" s="402"/>
      <c r="Z160" s="402"/>
    </row>
    <row r="161" ht="14.25" customHeight="1">
      <c r="A161" s="406">
        <v>45518.0</v>
      </c>
      <c r="B161" s="349" t="s">
        <v>4224</v>
      </c>
      <c r="C161" s="349" t="s">
        <v>4104</v>
      </c>
      <c r="D161" s="349" t="s">
        <v>439</v>
      </c>
      <c r="E161" s="349" t="s">
        <v>4105</v>
      </c>
      <c r="F161" s="413">
        <v>34830.0</v>
      </c>
      <c r="G161" s="403"/>
      <c r="H161" s="349" t="s">
        <v>4237</v>
      </c>
      <c r="I161" s="404" t="str">
        <f t="shared" si="5"/>
        <v>NOT PAID</v>
      </c>
      <c r="J161" s="402"/>
      <c r="K161" s="402"/>
      <c r="L161" s="402"/>
      <c r="M161" s="402"/>
      <c r="N161" s="402"/>
      <c r="O161" s="402"/>
      <c r="P161" s="402"/>
      <c r="Q161" s="402"/>
      <c r="R161" s="402"/>
      <c r="S161" s="402"/>
      <c r="T161" s="402"/>
      <c r="U161" s="402"/>
      <c r="V161" s="402"/>
      <c r="W161" s="402"/>
      <c r="X161" s="402"/>
      <c r="Y161" s="402"/>
      <c r="Z161" s="402"/>
    </row>
    <row r="162" ht="14.25" customHeight="1">
      <c r="A162" s="406">
        <v>45518.0</v>
      </c>
      <c r="B162" s="815" t="s">
        <v>4159</v>
      </c>
      <c r="C162" s="816" t="s">
        <v>4238</v>
      </c>
      <c r="D162" s="349" t="s">
        <v>439</v>
      </c>
      <c r="E162" s="349" t="s">
        <v>4105</v>
      </c>
      <c r="F162" s="413">
        <v>700.0</v>
      </c>
      <c r="G162" s="403"/>
      <c r="H162" s="349" t="s">
        <v>267</v>
      </c>
      <c r="I162" s="404" t="str">
        <f t="shared" si="5"/>
        <v>NOT PAID</v>
      </c>
      <c r="J162" s="402"/>
      <c r="K162" s="402"/>
      <c r="L162" s="402"/>
      <c r="M162" s="402"/>
      <c r="N162" s="402"/>
      <c r="O162" s="402"/>
      <c r="P162" s="402"/>
      <c r="Q162" s="402"/>
      <c r="R162" s="402"/>
      <c r="S162" s="402"/>
      <c r="T162" s="402"/>
      <c r="U162" s="402"/>
      <c r="V162" s="402"/>
      <c r="W162" s="402"/>
      <c r="X162" s="402"/>
      <c r="Y162" s="402"/>
      <c r="Z162" s="402"/>
    </row>
    <row r="163" ht="14.25" customHeight="1">
      <c r="A163" s="406">
        <v>45518.0</v>
      </c>
      <c r="B163" s="815" t="s">
        <v>4217</v>
      </c>
      <c r="C163" s="816" t="s">
        <v>4239</v>
      </c>
      <c r="D163" s="349" t="s">
        <v>439</v>
      </c>
      <c r="E163" s="349" t="s">
        <v>4105</v>
      </c>
      <c r="F163" s="413">
        <v>1070.0</v>
      </c>
      <c r="G163" s="403"/>
      <c r="H163" s="349" t="s">
        <v>56</v>
      </c>
      <c r="I163" s="404" t="str">
        <f t="shared" si="5"/>
        <v>NOT PAID</v>
      </c>
      <c r="J163" s="402"/>
      <c r="K163" s="402"/>
      <c r="L163" s="402"/>
      <c r="M163" s="402"/>
      <c r="N163" s="402"/>
      <c r="O163" s="402"/>
      <c r="P163" s="402"/>
      <c r="Q163" s="402"/>
      <c r="R163" s="402"/>
      <c r="S163" s="402"/>
      <c r="T163" s="402"/>
      <c r="U163" s="402"/>
      <c r="V163" s="402"/>
      <c r="W163" s="402"/>
      <c r="X163" s="402"/>
      <c r="Y163" s="402"/>
      <c r="Z163" s="402"/>
    </row>
    <row r="164" ht="14.25" customHeight="1">
      <c r="A164" s="402"/>
      <c r="D164" s="402"/>
      <c r="E164" s="402"/>
      <c r="F164" s="403"/>
      <c r="G164" s="403"/>
      <c r="H164" s="402"/>
      <c r="I164" s="404" t="str">
        <f t="shared" si="5"/>
        <v>FULLY PAID</v>
      </c>
      <c r="J164" s="402"/>
      <c r="K164" s="402"/>
      <c r="L164" s="402"/>
      <c r="M164" s="402"/>
      <c r="N164" s="402"/>
      <c r="O164" s="402"/>
      <c r="P164" s="402"/>
      <c r="Q164" s="402"/>
      <c r="R164" s="402"/>
      <c r="S164" s="402"/>
      <c r="T164" s="402"/>
      <c r="U164" s="402"/>
      <c r="V164" s="402"/>
      <c r="W164" s="402"/>
      <c r="X164" s="402"/>
      <c r="Y164" s="402"/>
      <c r="Z164" s="402"/>
    </row>
    <row r="165" ht="14.25" customHeight="1">
      <c r="A165" s="402"/>
      <c r="B165" s="402"/>
      <c r="C165" s="402"/>
      <c r="D165" s="402"/>
      <c r="E165" s="402"/>
      <c r="F165" s="403"/>
      <c r="G165" s="403"/>
      <c r="H165" s="402"/>
      <c r="I165" s="404" t="str">
        <f t="shared" si="5"/>
        <v>FULLY PAID</v>
      </c>
      <c r="J165" s="402"/>
      <c r="K165" s="402"/>
      <c r="L165" s="402"/>
      <c r="M165" s="402"/>
      <c r="N165" s="402"/>
      <c r="O165" s="402"/>
      <c r="P165" s="402"/>
      <c r="Q165" s="402"/>
      <c r="R165" s="402"/>
      <c r="S165" s="402"/>
      <c r="T165" s="402"/>
      <c r="U165" s="402"/>
      <c r="V165" s="402"/>
      <c r="W165" s="402"/>
      <c r="X165" s="402"/>
      <c r="Y165" s="402"/>
      <c r="Z165" s="402"/>
    </row>
    <row r="166" ht="14.25" customHeight="1">
      <c r="A166" s="402"/>
      <c r="B166" s="402"/>
      <c r="C166" s="402"/>
      <c r="D166" s="402"/>
      <c r="E166" s="402"/>
      <c r="F166" s="403"/>
      <c r="G166" s="403"/>
      <c r="H166" s="402"/>
      <c r="I166" s="404" t="str">
        <f t="shared" si="5"/>
        <v>FULLY PAID</v>
      </c>
      <c r="J166" s="402"/>
      <c r="K166" s="402"/>
      <c r="L166" s="402"/>
      <c r="M166" s="402"/>
      <c r="N166" s="402"/>
      <c r="O166" s="402"/>
      <c r="P166" s="402"/>
      <c r="Q166" s="402"/>
      <c r="R166" s="402"/>
      <c r="S166" s="402"/>
      <c r="T166" s="402"/>
      <c r="U166" s="402"/>
      <c r="V166" s="402"/>
      <c r="W166" s="402"/>
      <c r="X166" s="402"/>
      <c r="Y166" s="402"/>
      <c r="Z166" s="402"/>
    </row>
    <row r="167" ht="14.25" customHeight="1">
      <c r="A167" s="402"/>
      <c r="B167" s="402"/>
      <c r="C167" s="402"/>
      <c r="D167" s="402"/>
      <c r="E167" s="402"/>
      <c r="F167" s="403"/>
      <c r="G167" s="403"/>
      <c r="H167" s="402"/>
      <c r="I167" s="404" t="str">
        <f t="shared" si="5"/>
        <v>FULLY PAID</v>
      </c>
      <c r="J167" s="402"/>
      <c r="K167" s="402"/>
      <c r="L167" s="402"/>
      <c r="M167" s="402"/>
      <c r="N167" s="402"/>
      <c r="O167" s="402"/>
      <c r="P167" s="402"/>
      <c r="Q167" s="402"/>
      <c r="R167" s="402"/>
      <c r="S167" s="402"/>
      <c r="T167" s="402"/>
      <c r="U167" s="402"/>
      <c r="V167" s="402"/>
      <c r="W167" s="402"/>
      <c r="X167" s="402"/>
      <c r="Y167" s="402"/>
      <c r="Z167" s="402"/>
    </row>
    <row r="168" ht="14.25" customHeight="1">
      <c r="A168" s="406">
        <v>45519.0</v>
      </c>
      <c r="B168" s="349" t="s">
        <v>4132</v>
      </c>
      <c r="C168" s="349" t="s">
        <v>4133</v>
      </c>
      <c r="D168" s="349" t="s">
        <v>439</v>
      </c>
      <c r="E168" s="349" t="s">
        <v>4105</v>
      </c>
      <c r="F168" s="413">
        <v>29000.0</v>
      </c>
      <c r="G168" s="403"/>
      <c r="H168" s="349" t="s">
        <v>4240</v>
      </c>
      <c r="I168" s="404" t="str">
        <f t="shared" si="5"/>
        <v>NOT PAID</v>
      </c>
      <c r="J168" s="402"/>
      <c r="K168" s="402"/>
      <c r="L168" s="402"/>
      <c r="M168" s="402"/>
      <c r="N168" s="402"/>
      <c r="O168" s="402"/>
      <c r="P168" s="402"/>
      <c r="Q168" s="402"/>
      <c r="R168" s="402"/>
      <c r="S168" s="402"/>
      <c r="T168" s="402"/>
      <c r="U168" s="402"/>
      <c r="V168" s="402"/>
      <c r="W168" s="402"/>
      <c r="X168" s="402"/>
      <c r="Y168" s="402"/>
      <c r="Z168" s="402"/>
    </row>
    <row r="169" ht="14.25" customHeight="1">
      <c r="A169" s="406">
        <v>45519.0</v>
      </c>
      <c r="B169" s="349" t="s">
        <v>4222</v>
      </c>
      <c r="C169" s="349" t="s">
        <v>4232</v>
      </c>
      <c r="D169" s="349" t="s">
        <v>4241</v>
      </c>
      <c r="E169" s="349" t="s">
        <v>4105</v>
      </c>
      <c r="F169" s="413">
        <v>52750.0</v>
      </c>
      <c r="G169" s="403"/>
      <c r="H169" s="349" t="s">
        <v>4242</v>
      </c>
      <c r="I169" s="404" t="str">
        <f t="shared" si="5"/>
        <v>NOT PAID</v>
      </c>
      <c r="J169" s="402"/>
      <c r="K169" s="402"/>
      <c r="L169" s="402"/>
      <c r="M169" s="402"/>
      <c r="N169" s="402"/>
      <c r="O169" s="402"/>
      <c r="P169" s="402"/>
      <c r="Q169" s="402"/>
      <c r="R169" s="402"/>
      <c r="S169" s="402"/>
      <c r="T169" s="402"/>
      <c r="U169" s="402"/>
      <c r="V169" s="402"/>
      <c r="W169" s="402"/>
      <c r="X169" s="402"/>
      <c r="Y169" s="402"/>
      <c r="Z169" s="402"/>
    </row>
    <row r="170" ht="14.25" customHeight="1">
      <c r="A170" s="406">
        <v>45519.0</v>
      </c>
      <c r="B170" s="349" t="s">
        <v>4224</v>
      </c>
      <c r="C170" s="349" t="s">
        <v>4104</v>
      </c>
      <c r="D170" s="349" t="s">
        <v>439</v>
      </c>
      <c r="E170" s="349" t="s">
        <v>4105</v>
      </c>
      <c r="F170" s="413">
        <v>36175.0</v>
      </c>
      <c r="G170" s="403"/>
      <c r="H170" s="349" t="s">
        <v>4243</v>
      </c>
      <c r="I170" s="404" t="str">
        <f t="shared" si="5"/>
        <v>NOT PAID</v>
      </c>
      <c r="J170" s="402"/>
      <c r="K170" s="402"/>
      <c r="L170" s="402"/>
      <c r="M170" s="402"/>
      <c r="N170" s="402"/>
      <c r="O170" s="402"/>
      <c r="P170" s="402"/>
      <c r="Q170" s="402"/>
      <c r="R170" s="402"/>
      <c r="S170" s="402"/>
      <c r="T170" s="402"/>
      <c r="U170" s="402"/>
      <c r="V170" s="402"/>
      <c r="W170" s="402"/>
      <c r="X170" s="402"/>
      <c r="Y170" s="402"/>
      <c r="Z170" s="402"/>
    </row>
    <row r="171" ht="14.25" customHeight="1">
      <c r="A171" s="406">
        <v>45519.0</v>
      </c>
      <c r="B171" s="349" t="s">
        <v>4103</v>
      </c>
      <c r="C171" s="349" t="s">
        <v>4244</v>
      </c>
      <c r="D171" s="349" t="s">
        <v>439</v>
      </c>
      <c r="E171" s="349" t="s">
        <v>4105</v>
      </c>
      <c r="F171" s="413">
        <v>40000.0</v>
      </c>
      <c r="G171" s="403"/>
      <c r="H171" s="349" t="s">
        <v>4245</v>
      </c>
      <c r="I171" s="404" t="str">
        <f t="shared" si="5"/>
        <v>NOT PAID</v>
      </c>
      <c r="J171" s="402"/>
      <c r="K171" s="402"/>
      <c r="L171" s="402"/>
      <c r="M171" s="402"/>
      <c r="N171" s="402"/>
      <c r="O171" s="402"/>
      <c r="P171" s="402"/>
      <c r="Q171" s="402"/>
      <c r="R171" s="402"/>
      <c r="S171" s="402"/>
      <c r="T171" s="402"/>
      <c r="U171" s="402"/>
      <c r="V171" s="402"/>
      <c r="W171" s="402"/>
      <c r="X171" s="402"/>
      <c r="Y171" s="402"/>
      <c r="Z171" s="402"/>
    </row>
    <row r="172" ht="14.25" customHeight="1">
      <c r="A172" s="406">
        <v>45519.0</v>
      </c>
      <c r="B172" s="349" t="s">
        <v>4246</v>
      </c>
      <c r="C172" s="349" t="s">
        <v>4247</v>
      </c>
      <c r="D172" s="349" t="s">
        <v>439</v>
      </c>
      <c r="E172" s="349" t="s">
        <v>4105</v>
      </c>
      <c r="F172" s="413">
        <v>54000.0</v>
      </c>
      <c r="G172" s="403"/>
      <c r="H172" s="349" t="s">
        <v>772</v>
      </c>
      <c r="I172" s="404" t="str">
        <f t="shared" si="5"/>
        <v>NOT PAID</v>
      </c>
      <c r="J172" s="402"/>
      <c r="K172" s="402"/>
      <c r="L172" s="402"/>
      <c r="M172" s="402"/>
      <c r="N172" s="402"/>
      <c r="O172" s="402"/>
      <c r="P172" s="402"/>
      <c r="Q172" s="402"/>
      <c r="R172" s="402"/>
      <c r="S172" s="402"/>
      <c r="T172" s="402"/>
      <c r="U172" s="402"/>
      <c r="V172" s="402"/>
      <c r="W172" s="402"/>
      <c r="X172" s="402"/>
      <c r="Y172" s="402"/>
      <c r="Z172" s="402"/>
    </row>
    <row r="173" ht="14.25" customHeight="1">
      <c r="A173" s="402"/>
      <c r="B173" s="402"/>
      <c r="C173" s="402"/>
      <c r="D173" s="402"/>
      <c r="E173" s="402"/>
      <c r="F173" s="403"/>
      <c r="G173" s="403"/>
      <c r="H173" s="402"/>
      <c r="I173" s="404" t="str">
        <f t="shared" si="5"/>
        <v>FULLY PAID</v>
      </c>
      <c r="J173" s="402"/>
      <c r="K173" s="402"/>
      <c r="L173" s="402"/>
      <c r="M173" s="402"/>
      <c r="N173" s="402"/>
      <c r="O173" s="402"/>
      <c r="P173" s="402"/>
      <c r="Q173" s="402"/>
      <c r="R173" s="402"/>
      <c r="S173" s="402"/>
      <c r="T173" s="402"/>
      <c r="U173" s="402"/>
      <c r="V173" s="402"/>
      <c r="W173" s="402"/>
      <c r="X173" s="402"/>
      <c r="Y173" s="402"/>
      <c r="Z173" s="402"/>
    </row>
    <row r="174" ht="14.25" customHeight="1">
      <c r="A174" s="402"/>
      <c r="B174" s="402"/>
      <c r="C174" s="402"/>
      <c r="D174" s="402"/>
      <c r="E174" s="402"/>
      <c r="F174" s="403"/>
      <c r="G174" s="403"/>
      <c r="H174" s="402"/>
      <c r="I174" s="404" t="str">
        <f t="shared" si="5"/>
        <v>FULLY PAID</v>
      </c>
      <c r="J174" s="402"/>
      <c r="K174" s="402"/>
      <c r="L174" s="402"/>
      <c r="M174" s="402"/>
      <c r="N174" s="402"/>
      <c r="O174" s="402"/>
      <c r="P174" s="402"/>
      <c r="Q174" s="402"/>
      <c r="R174" s="402"/>
      <c r="S174" s="402"/>
      <c r="T174" s="402"/>
      <c r="U174" s="402"/>
      <c r="V174" s="402"/>
      <c r="W174" s="402"/>
      <c r="X174" s="402"/>
      <c r="Y174" s="402"/>
      <c r="Z174" s="402"/>
    </row>
    <row r="175" ht="14.25" customHeight="1">
      <c r="A175" s="402"/>
      <c r="B175" s="402"/>
      <c r="C175" s="402"/>
      <c r="D175" s="402"/>
      <c r="E175" s="402"/>
      <c r="F175" s="403"/>
      <c r="G175" s="403"/>
      <c r="H175" s="349" t="s">
        <v>4248</v>
      </c>
      <c r="I175" s="404" t="str">
        <f t="shared" si="5"/>
        <v>FULLY PAID</v>
      </c>
      <c r="J175" s="402"/>
      <c r="K175" s="402"/>
      <c r="L175" s="402"/>
      <c r="M175" s="402"/>
      <c r="N175" s="402"/>
      <c r="O175" s="402"/>
      <c r="P175" s="402"/>
      <c r="Q175" s="402"/>
      <c r="R175" s="402"/>
      <c r="S175" s="402"/>
      <c r="T175" s="402"/>
      <c r="U175" s="402"/>
      <c r="V175" s="402"/>
      <c r="W175" s="402"/>
      <c r="X175" s="402"/>
      <c r="Y175" s="402"/>
      <c r="Z175" s="402"/>
    </row>
    <row r="176" ht="14.25" customHeight="1">
      <c r="A176" s="406">
        <v>45520.0</v>
      </c>
      <c r="B176" s="349" t="s">
        <v>4224</v>
      </c>
      <c r="C176" s="349" t="s">
        <v>4104</v>
      </c>
      <c r="D176" s="349" t="s">
        <v>439</v>
      </c>
      <c r="E176" s="349" t="s">
        <v>4105</v>
      </c>
      <c r="F176" s="413">
        <v>36175.0</v>
      </c>
      <c r="G176" s="403"/>
      <c r="H176" s="349" t="s">
        <v>4249</v>
      </c>
      <c r="I176" s="404" t="str">
        <f t="shared" si="5"/>
        <v>NOT PAID</v>
      </c>
      <c r="J176" s="402"/>
      <c r="K176" s="402"/>
      <c r="L176" s="402"/>
      <c r="M176" s="402"/>
      <c r="N176" s="402"/>
      <c r="O176" s="402"/>
      <c r="P176" s="402"/>
      <c r="Q176" s="402"/>
      <c r="R176" s="402"/>
      <c r="S176" s="402"/>
      <c r="T176" s="402"/>
      <c r="U176" s="402"/>
      <c r="V176" s="402"/>
      <c r="W176" s="402"/>
      <c r="X176" s="402"/>
      <c r="Y176" s="402"/>
      <c r="Z176" s="402"/>
    </row>
    <row r="177" ht="14.25" customHeight="1">
      <c r="A177" s="406">
        <v>45520.0</v>
      </c>
      <c r="B177" s="349" t="s">
        <v>4222</v>
      </c>
      <c r="C177" s="349" t="s">
        <v>4232</v>
      </c>
      <c r="D177" s="349" t="s">
        <v>4250</v>
      </c>
      <c r="E177" s="349" t="s">
        <v>4105</v>
      </c>
      <c r="F177" s="413">
        <v>52750.0</v>
      </c>
      <c r="G177" s="403"/>
      <c r="H177" s="349" t="s">
        <v>4251</v>
      </c>
      <c r="I177" s="404" t="str">
        <f t="shared" si="5"/>
        <v>NOT PAID</v>
      </c>
      <c r="J177" s="402"/>
      <c r="K177" s="402"/>
      <c r="L177" s="402"/>
      <c r="M177" s="402"/>
      <c r="N177" s="402"/>
      <c r="O177" s="402"/>
      <c r="P177" s="402"/>
      <c r="Q177" s="402"/>
      <c r="R177" s="402"/>
      <c r="S177" s="402"/>
      <c r="T177" s="402"/>
      <c r="U177" s="402"/>
      <c r="V177" s="402"/>
      <c r="W177" s="402"/>
      <c r="X177" s="402"/>
      <c r="Y177" s="402"/>
      <c r="Z177" s="402"/>
    </row>
    <row r="178" ht="14.25" customHeight="1">
      <c r="A178" s="406">
        <v>45520.0</v>
      </c>
      <c r="B178" s="349" t="s">
        <v>4103</v>
      </c>
      <c r="C178" s="349" t="s">
        <v>4252</v>
      </c>
      <c r="D178" s="349" t="s">
        <v>439</v>
      </c>
      <c r="E178" s="349" t="s">
        <v>4105</v>
      </c>
      <c r="F178" s="413">
        <v>40000.0</v>
      </c>
      <c r="G178" s="403"/>
      <c r="H178" s="349" t="s">
        <v>4251</v>
      </c>
      <c r="I178" s="404" t="str">
        <f t="shared" si="5"/>
        <v>NOT PAID</v>
      </c>
      <c r="J178" s="402"/>
      <c r="K178" s="402"/>
      <c r="L178" s="402"/>
      <c r="M178" s="402"/>
      <c r="N178" s="402"/>
      <c r="O178" s="402"/>
      <c r="P178" s="402"/>
      <c r="Q178" s="402"/>
      <c r="R178" s="402"/>
      <c r="S178" s="402"/>
      <c r="T178" s="402"/>
      <c r="U178" s="402"/>
      <c r="V178" s="402"/>
      <c r="W178" s="402"/>
      <c r="X178" s="402"/>
      <c r="Y178" s="402"/>
      <c r="Z178" s="402"/>
    </row>
    <row r="179" ht="14.25" customHeight="1">
      <c r="A179" s="406">
        <v>45520.0</v>
      </c>
      <c r="B179" s="349" t="s">
        <v>4132</v>
      </c>
      <c r="C179" s="349" t="s">
        <v>4133</v>
      </c>
      <c r="D179" s="349" t="s">
        <v>4134</v>
      </c>
      <c r="E179" s="349" t="s">
        <v>4105</v>
      </c>
      <c r="F179" s="413">
        <v>15000.0</v>
      </c>
      <c r="G179" s="403"/>
      <c r="H179" s="349" t="s">
        <v>4249</v>
      </c>
      <c r="I179" s="404" t="str">
        <f t="shared" si="5"/>
        <v>NOT PAID</v>
      </c>
      <c r="J179" s="402"/>
      <c r="K179" s="402"/>
      <c r="L179" s="402"/>
      <c r="M179" s="402"/>
      <c r="N179" s="402"/>
      <c r="O179" s="402"/>
      <c r="P179" s="402"/>
      <c r="Q179" s="402"/>
      <c r="R179" s="402"/>
      <c r="S179" s="402"/>
      <c r="T179" s="402"/>
      <c r="U179" s="402"/>
      <c r="V179" s="402"/>
      <c r="W179" s="402"/>
      <c r="X179" s="402"/>
      <c r="Y179" s="402"/>
      <c r="Z179" s="402"/>
    </row>
    <row r="180" ht="14.25" customHeight="1">
      <c r="A180" s="406">
        <v>45520.0</v>
      </c>
      <c r="B180" s="349" t="s">
        <v>4253</v>
      </c>
      <c r="C180" s="512" t="s">
        <v>4254</v>
      </c>
      <c r="D180" s="595" t="s">
        <v>439</v>
      </c>
      <c r="E180" s="349" t="s">
        <v>4105</v>
      </c>
      <c r="F180" s="413">
        <v>19000.0</v>
      </c>
      <c r="G180" s="403"/>
      <c r="H180" s="349" t="s">
        <v>4249</v>
      </c>
      <c r="I180" s="404" t="str">
        <f t="shared" si="5"/>
        <v>NOT PAID</v>
      </c>
      <c r="J180" s="402"/>
      <c r="K180" s="402"/>
      <c r="L180" s="402"/>
      <c r="M180" s="402"/>
      <c r="N180" s="402"/>
      <c r="O180" s="402"/>
      <c r="P180" s="402"/>
      <c r="Q180" s="402"/>
      <c r="R180" s="402"/>
      <c r="S180" s="402"/>
      <c r="T180" s="402"/>
      <c r="U180" s="402"/>
      <c r="V180" s="402"/>
      <c r="W180" s="402"/>
      <c r="X180" s="402"/>
      <c r="Y180" s="402"/>
      <c r="Z180" s="402"/>
    </row>
    <row r="181" ht="14.25" customHeight="1">
      <c r="A181" s="402"/>
      <c r="B181" s="402"/>
      <c r="C181" s="513"/>
      <c r="D181" s="597"/>
      <c r="E181" s="402"/>
      <c r="F181" s="403"/>
      <c r="G181" s="403"/>
      <c r="H181" s="402"/>
      <c r="I181" s="404" t="str">
        <f t="shared" si="5"/>
        <v>FULLY PAID</v>
      </c>
      <c r="J181" s="402"/>
      <c r="K181" s="402"/>
      <c r="L181" s="402"/>
      <c r="M181" s="402"/>
      <c r="N181" s="402"/>
      <c r="O181" s="402"/>
      <c r="P181" s="402"/>
      <c r="Q181" s="402"/>
      <c r="R181" s="402"/>
      <c r="S181" s="402"/>
      <c r="T181" s="402"/>
      <c r="U181" s="402"/>
      <c r="V181" s="402"/>
      <c r="W181" s="402"/>
      <c r="X181" s="402"/>
      <c r="Y181" s="402"/>
      <c r="Z181" s="402"/>
    </row>
    <row r="182" ht="14.25" customHeight="1">
      <c r="A182" s="402"/>
      <c r="B182" s="402"/>
      <c r="C182" s="513"/>
      <c r="D182" s="597"/>
      <c r="E182" s="402"/>
      <c r="F182" s="403"/>
      <c r="G182" s="403"/>
      <c r="H182" s="402"/>
      <c r="I182" s="404" t="str">
        <f t="shared" si="5"/>
        <v>FULLY PAID</v>
      </c>
      <c r="J182" s="402"/>
      <c r="K182" s="402"/>
      <c r="L182" s="402"/>
      <c r="M182" s="402"/>
      <c r="N182" s="402"/>
      <c r="O182" s="402"/>
      <c r="P182" s="402"/>
      <c r="Q182" s="402"/>
      <c r="R182" s="402"/>
      <c r="S182" s="402"/>
      <c r="T182" s="402"/>
      <c r="U182" s="402"/>
      <c r="V182" s="402"/>
      <c r="W182" s="402"/>
      <c r="X182" s="402"/>
      <c r="Y182" s="402"/>
      <c r="Z182" s="402"/>
    </row>
    <row r="183" ht="14.25" customHeight="1">
      <c r="A183" s="402"/>
      <c r="B183" s="402"/>
      <c r="C183" s="402"/>
      <c r="D183" s="402"/>
      <c r="E183" s="402"/>
      <c r="F183" s="403"/>
      <c r="G183" s="403"/>
      <c r="H183" s="402"/>
      <c r="I183" s="404" t="str">
        <f t="shared" si="5"/>
        <v>FULLY PAID</v>
      </c>
      <c r="J183" s="402"/>
      <c r="K183" s="402"/>
      <c r="L183" s="402"/>
      <c r="M183" s="402"/>
      <c r="N183" s="402"/>
      <c r="O183" s="402"/>
      <c r="P183" s="402"/>
      <c r="Q183" s="402"/>
      <c r="R183" s="402"/>
      <c r="S183" s="402"/>
      <c r="T183" s="402"/>
      <c r="U183" s="402"/>
      <c r="V183" s="402"/>
      <c r="W183" s="402"/>
      <c r="X183" s="402"/>
      <c r="Y183" s="402"/>
      <c r="Z183" s="402"/>
    </row>
    <row r="184" ht="14.25" customHeight="1">
      <c r="A184" s="402"/>
      <c r="B184" s="402"/>
      <c r="C184" s="402"/>
      <c r="D184" s="402"/>
      <c r="E184" s="402"/>
      <c r="F184" s="403"/>
      <c r="G184" s="403"/>
      <c r="H184" s="402"/>
      <c r="I184" s="404" t="str">
        <f t="shared" si="5"/>
        <v>FULLY PAID</v>
      </c>
      <c r="J184" s="402"/>
      <c r="K184" s="402"/>
      <c r="L184" s="402"/>
      <c r="M184" s="402"/>
      <c r="N184" s="402"/>
      <c r="O184" s="402"/>
      <c r="P184" s="402"/>
      <c r="Q184" s="402"/>
      <c r="R184" s="402"/>
      <c r="S184" s="402"/>
      <c r="T184" s="402"/>
      <c r="U184" s="402"/>
      <c r="V184" s="402"/>
      <c r="W184" s="402"/>
      <c r="X184" s="402"/>
      <c r="Y184" s="402"/>
      <c r="Z184" s="402"/>
    </row>
    <row r="185" ht="14.25" customHeight="1">
      <c r="A185" s="406">
        <v>45521.0</v>
      </c>
      <c r="B185" s="349" t="s">
        <v>4224</v>
      </c>
      <c r="C185" s="349" t="s">
        <v>4104</v>
      </c>
      <c r="D185" s="349" t="s">
        <v>439</v>
      </c>
      <c r="E185" s="349" t="s">
        <v>4105</v>
      </c>
      <c r="F185" s="413">
        <v>37000.0</v>
      </c>
      <c r="G185" s="403"/>
      <c r="H185" s="349" t="s">
        <v>4255</v>
      </c>
      <c r="I185" s="404" t="str">
        <f t="shared" si="5"/>
        <v>NOT PAID</v>
      </c>
      <c r="J185" s="402"/>
      <c r="K185" s="402"/>
      <c r="L185" s="402"/>
      <c r="M185" s="402"/>
      <c r="N185" s="402"/>
      <c r="O185" s="402"/>
      <c r="P185" s="402"/>
      <c r="Q185" s="402"/>
      <c r="R185" s="402"/>
      <c r="S185" s="402"/>
      <c r="T185" s="402"/>
      <c r="U185" s="402"/>
      <c r="V185" s="402"/>
      <c r="W185" s="402"/>
      <c r="X185" s="402"/>
      <c r="Y185" s="402"/>
      <c r="Z185" s="402"/>
    </row>
    <row r="186" ht="14.25" customHeight="1">
      <c r="A186" s="406">
        <v>45521.0</v>
      </c>
      <c r="B186" s="349" t="s">
        <v>4222</v>
      </c>
      <c r="C186" s="349" t="s">
        <v>4232</v>
      </c>
      <c r="D186" s="349" t="s">
        <v>4250</v>
      </c>
      <c r="E186" s="349" t="s">
        <v>4105</v>
      </c>
      <c r="F186" s="413">
        <v>52750.0</v>
      </c>
      <c r="G186" s="403"/>
      <c r="H186" s="349" t="s">
        <v>4256</v>
      </c>
      <c r="I186" s="404" t="str">
        <f t="shared" si="5"/>
        <v>NOT PAID</v>
      </c>
      <c r="J186" s="402"/>
      <c r="K186" s="402"/>
      <c r="L186" s="402"/>
      <c r="M186" s="402"/>
      <c r="N186" s="402"/>
      <c r="O186" s="402"/>
      <c r="P186" s="402"/>
      <c r="Q186" s="402"/>
      <c r="R186" s="402"/>
      <c r="S186" s="402"/>
      <c r="T186" s="402"/>
      <c r="U186" s="402"/>
      <c r="V186" s="402"/>
      <c r="W186" s="402"/>
      <c r="X186" s="402"/>
      <c r="Y186" s="402"/>
      <c r="Z186" s="402"/>
    </row>
    <row r="187" ht="14.25" customHeight="1">
      <c r="A187" s="817">
        <v>45521.0</v>
      </c>
      <c r="B187" s="349" t="s">
        <v>4103</v>
      </c>
      <c r="C187" s="349" t="s">
        <v>4257</v>
      </c>
      <c r="D187" s="349" t="s">
        <v>439</v>
      </c>
      <c r="E187" s="349" t="s">
        <v>4105</v>
      </c>
      <c r="F187" s="413">
        <v>40000.0</v>
      </c>
      <c r="G187" s="403"/>
      <c r="H187" s="349" t="s">
        <v>4258</v>
      </c>
      <c r="I187" s="404" t="str">
        <f t="shared" si="5"/>
        <v>NOT PAID</v>
      </c>
      <c r="J187" s="402"/>
      <c r="K187" s="402"/>
      <c r="L187" s="402"/>
      <c r="M187" s="402"/>
      <c r="N187" s="402"/>
      <c r="O187" s="402"/>
      <c r="P187" s="402"/>
      <c r="Q187" s="402"/>
      <c r="R187" s="402"/>
      <c r="S187" s="402"/>
      <c r="T187" s="402"/>
      <c r="U187" s="402"/>
      <c r="V187" s="402"/>
      <c r="W187" s="402"/>
      <c r="X187" s="402"/>
      <c r="Y187" s="402"/>
      <c r="Z187" s="402"/>
    </row>
    <row r="188" ht="14.25" customHeight="1">
      <c r="A188" s="406">
        <v>45521.0</v>
      </c>
      <c r="B188" s="349" t="s">
        <v>4132</v>
      </c>
      <c r="C188" s="349" t="s">
        <v>4133</v>
      </c>
      <c r="D188" s="349" t="s">
        <v>4134</v>
      </c>
      <c r="E188" s="349" t="s">
        <v>4105</v>
      </c>
      <c r="F188" s="413">
        <v>15000.0</v>
      </c>
      <c r="G188" s="413">
        <v>20000.0</v>
      </c>
      <c r="H188" s="349" t="s">
        <v>267</v>
      </c>
      <c r="I188" s="404" t="str">
        <f t="shared" si="5"/>
        <v>FULLY PAID</v>
      </c>
      <c r="J188" s="402"/>
      <c r="K188" s="402"/>
      <c r="L188" s="402"/>
      <c r="M188" s="402"/>
      <c r="N188" s="402"/>
      <c r="O188" s="402"/>
      <c r="P188" s="402"/>
      <c r="Q188" s="402"/>
      <c r="R188" s="402"/>
      <c r="S188" s="402"/>
      <c r="T188" s="402"/>
      <c r="U188" s="402"/>
      <c r="V188" s="402"/>
      <c r="W188" s="402"/>
      <c r="X188" s="402"/>
      <c r="Y188" s="402"/>
      <c r="Z188" s="402"/>
    </row>
    <row r="189" ht="14.25" customHeight="1">
      <c r="A189" s="406">
        <v>45521.0</v>
      </c>
      <c r="B189" s="349" t="s">
        <v>4222</v>
      </c>
      <c r="C189" s="349" t="s">
        <v>4254</v>
      </c>
      <c r="D189" s="349" t="s">
        <v>439</v>
      </c>
      <c r="E189" s="349" t="s">
        <v>4105</v>
      </c>
      <c r="F189" s="413">
        <v>19000.0</v>
      </c>
      <c r="G189" s="403"/>
      <c r="H189" s="349" t="s">
        <v>4259</v>
      </c>
      <c r="I189" s="404" t="str">
        <f t="shared" si="5"/>
        <v>NOT PAID</v>
      </c>
      <c r="J189" s="402"/>
      <c r="K189" s="402"/>
      <c r="L189" s="402"/>
      <c r="M189" s="402"/>
      <c r="N189" s="402"/>
      <c r="O189" s="402"/>
      <c r="P189" s="402"/>
      <c r="Q189" s="402"/>
      <c r="R189" s="402"/>
      <c r="S189" s="402"/>
      <c r="T189" s="402"/>
      <c r="U189" s="402"/>
      <c r="V189" s="402"/>
      <c r="W189" s="402"/>
      <c r="X189" s="402"/>
      <c r="Y189" s="402"/>
      <c r="Z189" s="402"/>
    </row>
    <row r="190" ht="14.25" customHeight="1">
      <c r="A190" s="402"/>
      <c r="B190" s="402"/>
      <c r="C190" s="402"/>
      <c r="D190" s="402"/>
      <c r="E190" s="402"/>
      <c r="F190" s="403"/>
      <c r="G190" s="403"/>
      <c r="H190" s="402"/>
      <c r="I190" s="404" t="str">
        <f t="shared" si="5"/>
        <v>FULLY PAID</v>
      </c>
      <c r="J190" s="402"/>
      <c r="K190" s="402"/>
      <c r="L190" s="402"/>
      <c r="M190" s="402"/>
      <c r="N190" s="402"/>
      <c r="O190" s="402"/>
      <c r="P190" s="402"/>
      <c r="Q190" s="402"/>
      <c r="R190" s="402"/>
      <c r="S190" s="402"/>
      <c r="T190" s="402"/>
      <c r="U190" s="402"/>
      <c r="V190" s="402"/>
      <c r="W190" s="402"/>
      <c r="X190" s="402"/>
      <c r="Y190" s="402"/>
      <c r="Z190" s="402"/>
    </row>
    <row r="191" ht="14.25" customHeight="1">
      <c r="A191" s="402"/>
      <c r="B191" s="402"/>
      <c r="C191" s="402"/>
      <c r="D191" s="402"/>
      <c r="E191" s="402"/>
      <c r="F191" s="403"/>
      <c r="G191" s="403"/>
      <c r="H191" s="402"/>
      <c r="I191" s="404" t="str">
        <f t="shared" si="5"/>
        <v>FULLY PAID</v>
      </c>
      <c r="J191" s="402"/>
      <c r="K191" s="402"/>
      <c r="L191" s="402"/>
      <c r="M191" s="402"/>
      <c r="N191" s="402"/>
      <c r="O191" s="402"/>
      <c r="P191" s="402"/>
      <c r="Q191" s="402"/>
      <c r="R191" s="402"/>
      <c r="S191" s="402"/>
      <c r="T191" s="402"/>
      <c r="U191" s="402"/>
      <c r="V191" s="402"/>
      <c r="W191" s="402"/>
      <c r="X191" s="402"/>
      <c r="Y191" s="402"/>
      <c r="Z191" s="402"/>
    </row>
    <row r="192" ht="14.25" customHeight="1">
      <c r="A192" s="406">
        <v>45523.0</v>
      </c>
      <c r="B192" s="349" t="s">
        <v>4222</v>
      </c>
      <c r="C192" s="349" t="s">
        <v>4254</v>
      </c>
      <c r="D192" s="349" t="s">
        <v>439</v>
      </c>
      <c r="E192" s="349" t="s">
        <v>4105</v>
      </c>
      <c r="F192" s="413">
        <v>23000.0</v>
      </c>
      <c r="G192" s="403"/>
      <c r="H192" s="349" t="s">
        <v>4260</v>
      </c>
      <c r="I192" s="404" t="str">
        <f t="shared" si="5"/>
        <v>NOT PAID</v>
      </c>
      <c r="J192" s="402"/>
      <c r="K192" s="402"/>
      <c r="L192" s="402"/>
      <c r="M192" s="402"/>
      <c r="N192" s="402"/>
      <c r="O192" s="402"/>
      <c r="P192" s="402"/>
      <c r="Q192" s="402"/>
      <c r="R192" s="402"/>
      <c r="S192" s="402"/>
      <c r="T192" s="402"/>
      <c r="U192" s="402"/>
      <c r="V192" s="402"/>
      <c r="W192" s="402"/>
      <c r="X192" s="402"/>
      <c r="Y192" s="402"/>
      <c r="Z192" s="402"/>
    </row>
    <row r="193" ht="14.25" customHeight="1">
      <c r="A193" s="406">
        <v>6619888.0</v>
      </c>
      <c r="B193" s="349" t="s">
        <v>4103</v>
      </c>
      <c r="C193" s="349" t="s">
        <v>4257</v>
      </c>
      <c r="D193" s="349" t="s">
        <v>439</v>
      </c>
      <c r="E193" s="349" t="s">
        <v>4105</v>
      </c>
      <c r="F193" s="413">
        <v>40000.0</v>
      </c>
      <c r="G193" s="413">
        <v>38972.0</v>
      </c>
      <c r="H193" s="349" t="s">
        <v>772</v>
      </c>
      <c r="I193" s="404" t="str">
        <f t="shared" si="5"/>
        <v>PARTIALLY PAID</v>
      </c>
      <c r="J193" s="402"/>
      <c r="K193" s="402"/>
      <c r="L193" s="402"/>
      <c r="M193" s="402"/>
      <c r="N193" s="402"/>
      <c r="O193" s="402"/>
      <c r="P193" s="402"/>
      <c r="Q193" s="402"/>
      <c r="R193" s="402"/>
      <c r="S193" s="402"/>
      <c r="T193" s="402"/>
      <c r="U193" s="402"/>
      <c r="V193" s="402"/>
      <c r="W193" s="402"/>
      <c r="X193" s="402"/>
      <c r="Y193" s="402"/>
      <c r="Z193" s="402"/>
    </row>
    <row r="194" ht="14.25" customHeight="1">
      <c r="A194" s="406">
        <v>45523.0</v>
      </c>
      <c r="B194" s="349" t="s">
        <v>4222</v>
      </c>
      <c r="C194" s="349" t="s">
        <v>4232</v>
      </c>
      <c r="D194" s="349" t="s">
        <v>4250</v>
      </c>
      <c r="E194" s="349" t="s">
        <v>4105</v>
      </c>
      <c r="F194" s="413">
        <v>41000.0</v>
      </c>
      <c r="G194" s="413">
        <v>39000.0</v>
      </c>
      <c r="H194" s="349" t="s">
        <v>772</v>
      </c>
      <c r="I194" s="404" t="str">
        <f t="shared" si="5"/>
        <v>PARTIALLY PAID</v>
      </c>
      <c r="J194" s="402"/>
      <c r="K194" s="402"/>
      <c r="L194" s="402"/>
      <c r="M194" s="402"/>
      <c r="N194" s="402"/>
      <c r="O194" s="402"/>
      <c r="P194" s="402"/>
      <c r="Q194" s="402"/>
      <c r="R194" s="402"/>
      <c r="S194" s="402"/>
      <c r="T194" s="402"/>
      <c r="U194" s="402"/>
      <c r="V194" s="402"/>
      <c r="W194" s="402"/>
      <c r="X194" s="402"/>
      <c r="Y194" s="402"/>
      <c r="Z194" s="402"/>
    </row>
    <row r="195" ht="14.25" customHeight="1">
      <c r="A195" s="406">
        <v>45523.0</v>
      </c>
      <c r="B195" s="349" t="s">
        <v>4224</v>
      </c>
      <c r="C195" s="349" t="s">
        <v>4104</v>
      </c>
      <c r="D195" s="349" t="s">
        <v>439</v>
      </c>
      <c r="E195" s="349" t="s">
        <v>4105</v>
      </c>
      <c r="F195" s="413">
        <v>37000.0</v>
      </c>
      <c r="G195" s="403"/>
      <c r="H195" s="349" t="s">
        <v>4261</v>
      </c>
      <c r="I195" s="404" t="str">
        <f t="shared" si="5"/>
        <v>NOT PAID</v>
      </c>
      <c r="J195" s="402"/>
      <c r="K195" s="402"/>
      <c r="L195" s="402"/>
      <c r="M195" s="402"/>
      <c r="N195" s="402"/>
      <c r="O195" s="402"/>
      <c r="P195" s="402"/>
      <c r="Q195" s="402"/>
      <c r="R195" s="402"/>
      <c r="S195" s="402"/>
      <c r="T195" s="402"/>
      <c r="U195" s="402"/>
      <c r="V195" s="402"/>
      <c r="W195" s="402"/>
      <c r="X195" s="402"/>
      <c r="Y195" s="402"/>
      <c r="Z195" s="402"/>
    </row>
    <row r="196" ht="14.25" customHeight="1">
      <c r="A196" s="406">
        <v>45523.0</v>
      </c>
      <c r="B196" s="349" t="s">
        <v>4262</v>
      </c>
      <c r="C196" s="349" t="s">
        <v>4263</v>
      </c>
      <c r="D196" s="349" t="s">
        <v>439</v>
      </c>
      <c r="E196" s="349" t="s">
        <v>4105</v>
      </c>
      <c r="F196" s="413">
        <v>26000.0</v>
      </c>
      <c r="G196" s="403"/>
      <c r="H196" s="349" t="s">
        <v>4264</v>
      </c>
      <c r="I196" s="404" t="str">
        <f t="shared" si="5"/>
        <v>NOT PAID</v>
      </c>
      <c r="J196" s="402"/>
      <c r="K196" s="402"/>
      <c r="L196" s="402"/>
      <c r="M196" s="402"/>
      <c r="N196" s="402"/>
      <c r="O196" s="402"/>
      <c r="P196" s="402"/>
      <c r="Q196" s="402"/>
      <c r="R196" s="402"/>
      <c r="S196" s="402"/>
      <c r="T196" s="402"/>
      <c r="U196" s="402"/>
      <c r="V196" s="402"/>
      <c r="W196" s="402"/>
      <c r="X196" s="402"/>
      <c r="Y196" s="402"/>
      <c r="Z196" s="402"/>
    </row>
    <row r="197" ht="14.25" customHeight="1">
      <c r="A197" s="406">
        <v>45523.0</v>
      </c>
      <c r="B197" s="349" t="s">
        <v>4265</v>
      </c>
      <c r="C197" s="349" t="s">
        <v>4266</v>
      </c>
      <c r="D197" s="349" t="s">
        <v>4134</v>
      </c>
      <c r="E197" s="349" t="s">
        <v>4105</v>
      </c>
      <c r="F197" s="413">
        <v>70000.0</v>
      </c>
      <c r="G197" s="413">
        <v>69118.0</v>
      </c>
      <c r="H197" s="349" t="s">
        <v>772</v>
      </c>
      <c r="I197" s="404" t="str">
        <f t="shared" si="5"/>
        <v>PARTIALLY PAID</v>
      </c>
      <c r="J197" s="402"/>
      <c r="K197" s="402"/>
      <c r="L197" s="402"/>
      <c r="M197" s="402"/>
      <c r="N197" s="402"/>
      <c r="O197" s="402"/>
      <c r="P197" s="402"/>
      <c r="Q197" s="402"/>
      <c r="R197" s="402"/>
      <c r="S197" s="402"/>
      <c r="T197" s="402"/>
      <c r="U197" s="402"/>
      <c r="V197" s="402"/>
      <c r="W197" s="402"/>
      <c r="X197" s="402"/>
      <c r="Y197" s="402"/>
      <c r="Z197" s="402"/>
    </row>
    <row r="198" ht="14.25" customHeight="1">
      <c r="A198" s="402"/>
      <c r="B198" s="402"/>
      <c r="C198" s="402"/>
      <c r="D198" s="402"/>
      <c r="E198" s="402"/>
      <c r="F198" s="403"/>
      <c r="G198" s="403"/>
      <c r="H198" s="402"/>
      <c r="I198" s="404" t="str">
        <f t="shared" si="5"/>
        <v>FULLY PAID</v>
      </c>
      <c r="J198" s="402"/>
      <c r="K198" s="402"/>
      <c r="L198" s="402"/>
      <c r="M198" s="402"/>
      <c r="N198" s="402"/>
      <c r="O198" s="402"/>
      <c r="P198" s="402"/>
      <c r="Q198" s="402"/>
      <c r="R198" s="402"/>
      <c r="S198" s="402"/>
      <c r="T198" s="402"/>
      <c r="U198" s="402"/>
      <c r="V198" s="402"/>
      <c r="W198" s="402"/>
      <c r="X198" s="402"/>
      <c r="Y198" s="402"/>
      <c r="Z198" s="402"/>
    </row>
    <row r="199" ht="14.25" customHeight="1">
      <c r="A199" s="402"/>
      <c r="B199" s="402"/>
      <c r="C199" s="402"/>
      <c r="D199" s="402"/>
      <c r="E199" s="402"/>
      <c r="F199" s="403"/>
      <c r="G199" s="403"/>
      <c r="H199" s="402"/>
      <c r="I199" s="404" t="str">
        <f t="shared" si="5"/>
        <v>FULLY PAID</v>
      </c>
      <c r="J199" s="402"/>
      <c r="K199" s="402"/>
      <c r="L199" s="402"/>
      <c r="M199" s="402"/>
      <c r="N199" s="402"/>
      <c r="O199" s="402"/>
      <c r="P199" s="402"/>
      <c r="Q199" s="402"/>
      <c r="R199" s="402"/>
      <c r="S199" s="402"/>
      <c r="T199" s="402"/>
      <c r="U199" s="402"/>
      <c r="V199" s="402"/>
      <c r="W199" s="402"/>
      <c r="X199" s="402"/>
      <c r="Y199" s="402"/>
      <c r="Z199" s="402"/>
    </row>
    <row r="200" ht="14.25" customHeight="1">
      <c r="A200" s="402"/>
      <c r="B200" s="402"/>
      <c r="C200" s="402"/>
      <c r="D200" s="402"/>
      <c r="E200" s="402"/>
      <c r="F200" s="403"/>
      <c r="G200" s="403"/>
      <c r="H200" s="402"/>
      <c r="I200" s="404" t="str">
        <f t="shared" si="5"/>
        <v>FULLY PAID</v>
      </c>
      <c r="J200" s="402"/>
      <c r="K200" s="402"/>
      <c r="L200" s="402"/>
      <c r="M200" s="402"/>
      <c r="N200" s="402"/>
      <c r="O200" s="402"/>
      <c r="P200" s="402"/>
      <c r="Q200" s="402"/>
      <c r="R200" s="402"/>
      <c r="S200" s="402"/>
      <c r="T200" s="402"/>
      <c r="U200" s="402"/>
      <c r="V200" s="402"/>
      <c r="W200" s="402"/>
      <c r="X200" s="402"/>
      <c r="Y200" s="402"/>
      <c r="Z200" s="402"/>
    </row>
    <row r="201" ht="14.25" customHeight="1">
      <c r="A201" s="406">
        <v>45524.0</v>
      </c>
      <c r="B201" s="349" t="s">
        <v>4222</v>
      </c>
      <c r="C201" s="349" t="s">
        <v>4254</v>
      </c>
      <c r="D201" s="349" t="s">
        <v>439</v>
      </c>
      <c r="E201" s="349" t="s">
        <v>4267</v>
      </c>
      <c r="F201" s="413">
        <v>23000.0</v>
      </c>
      <c r="G201" s="413" t="s">
        <v>4268</v>
      </c>
      <c r="H201" s="402"/>
      <c r="I201" s="404" t="str">
        <f t="shared" si="5"/>
        <v>FULLY PAID</v>
      </c>
      <c r="J201" s="402"/>
      <c r="K201" s="402"/>
      <c r="L201" s="402"/>
      <c r="M201" s="402"/>
      <c r="N201" s="402"/>
      <c r="O201" s="402"/>
      <c r="P201" s="402"/>
      <c r="Q201" s="402"/>
      <c r="R201" s="402"/>
      <c r="S201" s="402"/>
      <c r="T201" s="402"/>
      <c r="U201" s="402"/>
      <c r="V201" s="402"/>
      <c r="W201" s="402"/>
      <c r="X201" s="402"/>
      <c r="Y201" s="402"/>
      <c r="Z201" s="402"/>
    </row>
    <row r="202" ht="14.25" customHeight="1">
      <c r="A202" s="406">
        <v>45524.0</v>
      </c>
      <c r="B202" s="349" t="s">
        <v>4224</v>
      </c>
      <c r="C202" s="349" t="s">
        <v>4269</v>
      </c>
      <c r="D202" s="349" t="s">
        <v>439</v>
      </c>
      <c r="E202" s="349" t="s">
        <v>4267</v>
      </c>
      <c r="F202" s="413">
        <v>37000.0</v>
      </c>
      <c r="G202" s="413" t="s">
        <v>4270</v>
      </c>
      <c r="H202" s="402"/>
      <c r="I202" s="404" t="str">
        <f t="shared" si="5"/>
        <v>FULLY PAID</v>
      </c>
      <c r="J202" s="402"/>
      <c r="K202" s="402"/>
      <c r="L202" s="402"/>
      <c r="M202" s="402"/>
      <c r="N202" s="402"/>
      <c r="O202" s="402"/>
      <c r="P202" s="402"/>
      <c r="Q202" s="402"/>
      <c r="R202" s="402"/>
      <c r="S202" s="402"/>
      <c r="T202" s="402"/>
      <c r="U202" s="402"/>
      <c r="V202" s="402"/>
      <c r="W202" s="402"/>
      <c r="X202" s="402"/>
      <c r="Y202" s="402"/>
      <c r="Z202" s="402"/>
    </row>
    <row r="203" ht="14.25" customHeight="1">
      <c r="A203" s="406">
        <v>45524.0</v>
      </c>
      <c r="B203" s="349" t="s">
        <v>4262</v>
      </c>
      <c r="C203" s="349" t="s">
        <v>4263</v>
      </c>
      <c r="D203" s="349" t="s">
        <v>439</v>
      </c>
      <c r="E203" s="349" t="s">
        <v>4267</v>
      </c>
      <c r="F203" s="413">
        <v>26000.0</v>
      </c>
      <c r="G203" s="413" t="s">
        <v>4271</v>
      </c>
      <c r="H203" s="402"/>
      <c r="I203" s="404" t="str">
        <f t="shared" si="5"/>
        <v>FULLY PAID</v>
      </c>
      <c r="J203" s="402"/>
      <c r="K203" s="402"/>
      <c r="L203" s="402"/>
      <c r="M203" s="402"/>
      <c r="N203" s="402"/>
      <c r="O203" s="402"/>
      <c r="P203" s="402"/>
      <c r="Q203" s="402"/>
      <c r="R203" s="402"/>
      <c r="S203" s="402"/>
      <c r="T203" s="402"/>
      <c r="U203" s="402"/>
      <c r="V203" s="402"/>
      <c r="W203" s="402"/>
      <c r="X203" s="402"/>
      <c r="Y203" s="402"/>
      <c r="Z203" s="402"/>
    </row>
    <row r="204" ht="14.25" customHeight="1">
      <c r="A204" s="406">
        <v>45524.0</v>
      </c>
      <c r="B204" s="349" t="s">
        <v>4272</v>
      </c>
      <c r="C204" s="349" t="s">
        <v>4273</v>
      </c>
      <c r="D204" s="349" t="s">
        <v>4134</v>
      </c>
      <c r="E204" s="349" t="s">
        <v>4267</v>
      </c>
      <c r="F204" s="413">
        <v>250000.0</v>
      </c>
      <c r="G204" s="413">
        <v>253758.0</v>
      </c>
      <c r="H204" s="349" t="s">
        <v>267</v>
      </c>
      <c r="I204" s="404" t="str">
        <f t="shared" si="5"/>
        <v>FULLY PAID</v>
      </c>
      <c r="J204" s="402"/>
      <c r="K204" s="402"/>
      <c r="L204" s="402"/>
      <c r="M204" s="402"/>
      <c r="N204" s="402"/>
      <c r="O204" s="402"/>
      <c r="P204" s="402"/>
      <c r="Q204" s="402"/>
      <c r="R204" s="402"/>
      <c r="S204" s="402"/>
      <c r="T204" s="402"/>
      <c r="U204" s="402"/>
      <c r="V204" s="402"/>
      <c r="W204" s="402"/>
      <c r="X204" s="402"/>
      <c r="Y204" s="402"/>
      <c r="Z204" s="402"/>
    </row>
    <row r="205" ht="14.25" customHeight="1">
      <c r="A205" s="406">
        <v>45524.0</v>
      </c>
      <c r="B205" s="349" t="s">
        <v>4121</v>
      </c>
      <c r="C205" s="349" t="s">
        <v>4122</v>
      </c>
      <c r="D205" s="349" t="s">
        <v>4134</v>
      </c>
      <c r="E205" s="349" t="s">
        <v>4267</v>
      </c>
      <c r="F205" s="413">
        <v>103000.0</v>
      </c>
      <c r="G205" s="413" t="s">
        <v>4274</v>
      </c>
      <c r="H205" s="402"/>
      <c r="I205" s="404" t="str">
        <f t="shared" si="5"/>
        <v>FULLY PAID</v>
      </c>
      <c r="J205" s="402"/>
      <c r="K205" s="402"/>
      <c r="L205" s="402"/>
      <c r="M205" s="402"/>
      <c r="N205" s="402"/>
      <c r="O205" s="402"/>
      <c r="P205" s="402"/>
      <c r="Q205" s="402"/>
      <c r="R205" s="402"/>
      <c r="S205" s="402"/>
      <c r="T205" s="402"/>
      <c r="U205" s="402"/>
      <c r="V205" s="402"/>
      <c r="W205" s="402"/>
      <c r="X205" s="402"/>
      <c r="Y205" s="402"/>
      <c r="Z205" s="402"/>
    </row>
    <row r="206" ht="14.25" customHeight="1">
      <c r="A206" s="406">
        <v>45524.0</v>
      </c>
      <c r="B206" s="349" t="s">
        <v>4275</v>
      </c>
      <c r="C206" s="349" t="s">
        <v>4276</v>
      </c>
      <c r="D206" s="349" t="s">
        <v>439</v>
      </c>
      <c r="E206" s="349" t="s">
        <v>4267</v>
      </c>
      <c r="F206" s="413">
        <v>80000.0</v>
      </c>
      <c r="G206" s="413" t="s">
        <v>4277</v>
      </c>
      <c r="H206" s="402"/>
      <c r="I206" s="404" t="str">
        <f t="shared" si="5"/>
        <v>FULLY PAID</v>
      </c>
      <c r="J206" s="402"/>
      <c r="K206" s="402"/>
      <c r="L206" s="402"/>
      <c r="M206" s="402"/>
      <c r="N206" s="402"/>
      <c r="O206" s="402"/>
      <c r="P206" s="402"/>
      <c r="Q206" s="402"/>
      <c r="R206" s="402"/>
      <c r="S206" s="402"/>
      <c r="T206" s="402"/>
      <c r="U206" s="402"/>
      <c r="V206" s="402"/>
      <c r="W206" s="402"/>
      <c r="X206" s="402"/>
      <c r="Y206" s="402"/>
      <c r="Z206" s="402"/>
    </row>
    <row r="207" ht="14.25" customHeight="1">
      <c r="A207" s="402"/>
      <c r="B207" s="402"/>
      <c r="C207" s="402"/>
      <c r="D207" s="402"/>
      <c r="E207" s="402"/>
      <c r="F207" s="403"/>
      <c r="G207" s="403"/>
      <c r="H207" s="402"/>
      <c r="I207" s="404" t="str">
        <f t="shared" si="5"/>
        <v>FULLY PAID</v>
      </c>
      <c r="J207" s="402"/>
      <c r="K207" s="402"/>
      <c r="L207" s="402"/>
      <c r="M207" s="402"/>
      <c r="N207" s="402"/>
      <c r="O207" s="402"/>
      <c r="P207" s="402"/>
      <c r="Q207" s="402"/>
      <c r="R207" s="402"/>
      <c r="S207" s="402"/>
      <c r="T207" s="402"/>
      <c r="U207" s="402"/>
      <c r="V207" s="402"/>
      <c r="W207" s="402"/>
      <c r="X207" s="402"/>
      <c r="Y207" s="402"/>
      <c r="Z207" s="402"/>
    </row>
    <row r="208" ht="14.25" customHeight="1">
      <c r="A208" s="402"/>
      <c r="B208" s="402"/>
      <c r="C208" s="402"/>
      <c r="D208" s="402"/>
      <c r="E208" s="402"/>
      <c r="F208" s="403"/>
      <c r="G208" s="403"/>
      <c r="H208" s="402"/>
      <c r="I208" s="404" t="str">
        <f t="shared" si="5"/>
        <v>FULLY PAID</v>
      </c>
      <c r="J208" s="402"/>
      <c r="K208" s="402"/>
      <c r="L208" s="402"/>
      <c r="M208" s="402"/>
      <c r="N208" s="402"/>
      <c r="O208" s="402"/>
      <c r="P208" s="402"/>
      <c r="Q208" s="402"/>
      <c r="R208" s="402"/>
      <c r="S208" s="402"/>
      <c r="T208" s="402"/>
      <c r="U208" s="402"/>
      <c r="V208" s="402"/>
      <c r="W208" s="402"/>
      <c r="X208" s="402"/>
      <c r="Y208" s="402"/>
      <c r="Z208" s="402"/>
    </row>
    <row r="209" ht="14.25" customHeight="1">
      <c r="A209" s="402"/>
      <c r="B209" s="402"/>
      <c r="C209" s="402"/>
      <c r="D209" s="402"/>
      <c r="E209" s="402"/>
      <c r="F209" s="403"/>
      <c r="G209" s="403"/>
      <c r="H209" s="402"/>
      <c r="I209" s="404" t="str">
        <f t="shared" si="5"/>
        <v>FULLY PAID</v>
      </c>
      <c r="J209" s="402"/>
      <c r="K209" s="402"/>
      <c r="L209" s="402"/>
      <c r="M209" s="402"/>
      <c r="N209" s="402"/>
      <c r="O209" s="402"/>
      <c r="P209" s="402"/>
      <c r="Q209" s="402"/>
      <c r="R209" s="402"/>
      <c r="S209" s="402"/>
      <c r="T209" s="402"/>
      <c r="U209" s="402"/>
      <c r="V209" s="402"/>
      <c r="W209" s="402"/>
      <c r="X209" s="402"/>
      <c r="Y209" s="402"/>
      <c r="Z209" s="402"/>
    </row>
    <row r="210" ht="14.25" customHeight="1">
      <c r="A210" s="406">
        <v>45525.0</v>
      </c>
      <c r="B210" s="349" t="s">
        <v>4222</v>
      </c>
      <c r="C210" s="349" t="s">
        <v>4254</v>
      </c>
      <c r="D210" s="349" t="s">
        <v>439</v>
      </c>
      <c r="E210" s="349" t="s">
        <v>4105</v>
      </c>
      <c r="F210" s="413">
        <v>23000.0</v>
      </c>
      <c r="G210" s="413">
        <v>24871.0</v>
      </c>
      <c r="H210" s="349" t="s">
        <v>267</v>
      </c>
      <c r="I210" s="404" t="str">
        <f t="shared" si="5"/>
        <v>FULLY PAID</v>
      </c>
      <c r="J210" s="402"/>
      <c r="K210" s="402"/>
      <c r="L210" s="402"/>
      <c r="M210" s="402"/>
      <c r="N210" s="402"/>
      <c r="O210" s="402"/>
      <c r="P210" s="402"/>
      <c r="Q210" s="402"/>
      <c r="R210" s="402"/>
      <c r="S210" s="402"/>
      <c r="T210" s="402"/>
      <c r="U210" s="402"/>
      <c r="V210" s="402"/>
      <c r="W210" s="402"/>
      <c r="X210" s="402"/>
      <c r="Y210" s="402"/>
      <c r="Z210" s="402"/>
    </row>
    <row r="211" ht="14.25" customHeight="1">
      <c r="A211" s="406">
        <v>45525.0</v>
      </c>
      <c r="B211" s="349" t="s">
        <v>4224</v>
      </c>
      <c r="C211" s="349" t="s">
        <v>4104</v>
      </c>
      <c r="D211" s="349" t="s">
        <v>439</v>
      </c>
      <c r="E211" s="349" t="s">
        <v>4105</v>
      </c>
      <c r="F211" s="413">
        <v>37000.0</v>
      </c>
      <c r="G211" s="403"/>
      <c r="H211" s="349" t="s">
        <v>4278</v>
      </c>
      <c r="I211" s="404" t="str">
        <f t="shared" si="5"/>
        <v>NOT PAID</v>
      </c>
      <c r="J211" s="402"/>
      <c r="K211" s="402"/>
      <c r="L211" s="402"/>
      <c r="M211" s="402"/>
      <c r="N211" s="402"/>
      <c r="O211" s="402"/>
      <c r="P211" s="402"/>
      <c r="Q211" s="402"/>
      <c r="R211" s="402"/>
      <c r="S211" s="402"/>
      <c r="T211" s="402"/>
      <c r="U211" s="402"/>
      <c r="V211" s="402"/>
      <c r="W211" s="402"/>
      <c r="X211" s="402"/>
      <c r="Y211" s="402"/>
      <c r="Z211" s="402"/>
    </row>
    <row r="212" ht="14.25" customHeight="1">
      <c r="A212" s="406">
        <v>45525.0</v>
      </c>
      <c r="B212" s="349" t="s">
        <v>4262</v>
      </c>
      <c r="C212" s="349" t="s">
        <v>4122</v>
      </c>
      <c r="D212" s="349" t="s">
        <v>439</v>
      </c>
      <c r="E212" s="349" t="s">
        <v>4105</v>
      </c>
      <c r="F212" s="413">
        <v>26000.0</v>
      </c>
      <c r="G212" s="413">
        <v>15000.0</v>
      </c>
      <c r="H212" s="349" t="s">
        <v>4279</v>
      </c>
      <c r="I212" s="402"/>
      <c r="J212" s="402"/>
      <c r="K212" s="402"/>
      <c r="L212" s="402"/>
      <c r="M212" s="402"/>
      <c r="N212" s="402"/>
      <c r="O212" s="402"/>
      <c r="P212" s="402"/>
      <c r="Q212" s="402"/>
      <c r="R212" s="402"/>
      <c r="S212" s="402"/>
      <c r="T212" s="402"/>
      <c r="U212" s="402"/>
      <c r="V212" s="402"/>
      <c r="W212" s="402"/>
      <c r="X212" s="402"/>
      <c r="Y212" s="402"/>
      <c r="Z212" s="402"/>
    </row>
    <row r="213" ht="14.25" customHeight="1">
      <c r="A213" s="406">
        <v>45525.0</v>
      </c>
      <c r="B213" s="349" t="s">
        <v>4121</v>
      </c>
      <c r="D213" s="349" t="s">
        <v>4134</v>
      </c>
      <c r="E213" s="349" t="s">
        <v>4105</v>
      </c>
      <c r="F213" s="413">
        <v>113000.0</v>
      </c>
      <c r="G213" s="413">
        <v>113000.0</v>
      </c>
      <c r="H213" s="349" t="s">
        <v>267</v>
      </c>
      <c r="I213" s="402"/>
      <c r="J213" s="402"/>
      <c r="K213" s="402"/>
      <c r="L213" s="402"/>
      <c r="M213" s="402"/>
      <c r="N213" s="402"/>
      <c r="O213" s="402"/>
      <c r="P213" s="402"/>
      <c r="Q213" s="402"/>
      <c r="R213" s="402"/>
      <c r="S213" s="402"/>
      <c r="T213" s="402"/>
      <c r="U213" s="402"/>
      <c r="V213" s="402"/>
      <c r="W213" s="402"/>
      <c r="X213" s="402"/>
      <c r="Y213" s="402"/>
      <c r="Z213" s="402"/>
    </row>
    <row r="214" ht="14.25" customHeight="1">
      <c r="A214" s="817">
        <v>45525.0</v>
      </c>
      <c r="B214" s="349" t="s">
        <v>4275</v>
      </c>
      <c r="C214" s="349" t="s">
        <v>4280</v>
      </c>
      <c r="D214" s="349" t="s">
        <v>669</v>
      </c>
      <c r="E214" s="349" t="s">
        <v>4105</v>
      </c>
      <c r="F214" s="413">
        <v>80000.0</v>
      </c>
      <c r="G214" s="403"/>
      <c r="H214" s="349" t="s">
        <v>4274</v>
      </c>
      <c r="I214" s="402"/>
      <c r="J214" s="402"/>
      <c r="K214" s="402"/>
      <c r="L214" s="402"/>
      <c r="M214" s="402"/>
      <c r="N214" s="402"/>
      <c r="O214" s="402"/>
      <c r="P214" s="402"/>
      <c r="Q214" s="402"/>
      <c r="R214" s="402"/>
      <c r="S214" s="402"/>
      <c r="T214" s="402"/>
      <c r="U214" s="402"/>
      <c r="V214" s="402"/>
      <c r="W214" s="402"/>
      <c r="X214" s="402"/>
      <c r="Y214" s="402"/>
      <c r="Z214" s="402"/>
    </row>
    <row r="215" ht="14.25" customHeight="1">
      <c r="A215" s="402"/>
      <c r="B215" s="402"/>
      <c r="C215" s="402"/>
      <c r="D215" s="402"/>
      <c r="E215" s="402"/>
      <c r="F215" s="403"/>
      <c r="G215" s="403"/>
      <c r="H215" s="402"/>
      <c r="I215" s="402"/>
      <c r="J215" s="402"/>
      <c r="K215" s="402"/>
      <c r="L215" s="402"/>
      <c r="M215" s="402"/>
      <c r="N215" s="402"/>
      <c r="O215" s="402"/>
      <c r="P215" s="402"/>
      <c r="Q215" s="402"/>
      <c r="R215" s="402"/>
      <c r="S215" s="402"/>
      <c r="T215" s="402"/>
      <c r="U215" s="402"/>
      <c r="V215" s="402"/>
      <c r="W215" s="402"/>
      <c r="X215" s="402"/>
      <c r="Y215" s="402"/>
      <c r="Z215" s="402"/>
    </row>
    <row r="216" ht="14.25" customHeight="1">
      <c r="A216" s="402"/>
      <c r="B216" s="402"/>
      <c r="C216" s="402"/>
      <c r="D216" s="402"/>
      <c r="E216" s="402"/>
      <c r="F216" s="403"/>
      <c r="G216" s="403"/>
      <c r="H216" s="402"/>
      <c r="I216" s="402"/>
      <c r="J216" s="402"/>
      <c r="K216" s="402"/>
      <c r="L216" s="402"/>
      <c r="M216" s="402"/>
      <c r="N216" s="402"/>
      <c r="O216" s="402"/>
      <c r="P216" s="402"/>
      <c r="Q216" s="402"/>
      <c r="R216" s="402"/>
      <c r="S216" s="402"/>
      <c r="T216" s="402"/>
      <c r="U216" s="402"/>
      <c r="V216" s="402"/>
      <c r="W216" s="402"/>
      <c r="X216" s="402"/>
      <c r="Y216" s="402"/>
      <c r="Z216" s="402"/>
    </row>
    <row r="217" ht="14.25" customHeight="1">
      <c r="A217" s="402"/>
      <c r="B217" s="402"/>
      <c r="C217" s="402"/>
      <c r="D217" s="402"/>
      <c r="E217" s="402"/>
      <c r="F217" s="403"/>
      <c r="G217" s="403"/>
      <c r="H217" s="402"/>
      <c r="I217" s="402"/>
      <c r="J217" s="402"/>
      <c r="K217" s="402"/>
      <c r="L217" s="402"/>
      <c r="M217" s="402"/>
      <c r="N217" s="402"/>
      <c r="O217" s="402"/>
      <c r="P217" s="402"/>
      <c r="Q217" s="402"/>
      <c r="R217" s="402"/>
      <c r="S217" s="402"/>
      <c r="T217" s="402"/>
      <c r="U217" s="402"/>
      <c r="V217" s="402"/>
      <c r="W217" s="402"/>
      <c r="X217" s="402"/>
      <c r="Y217" s="402"/>
      <c r="Z217" s="402"/>
    </row>
    <row r="218" ht="14.25" customHeight="1">
      <c r="A218" s="406">
        <v>45526.0</v>
      </c>
      <c r="B218" s="349" t="s">
        <v>4224</v>
      </c>
      <c r="C218" s="349" t="s">
        <v>4104</v>
      </c>
      <c r="D218" s="349" t="s">
        <v>439</v>
      </c>
      <c r="E218" s="349" t="s">
        <v>4105</v>
      </c>
      <c r="F218" s="413">
        <v>37000.0</v>
      </c>
      <c r="G218" s="403"/>
      <c r="H218" s="349" t="s">
        <v>4281</v>
      </c>
      <c r="I218" s="402"/>
      <c r="J218" s="402"/>
      <c r="K218" s="402"/>
      <c r="L218" s="402"/>
      <c r="M218" s="402"/>
      <c r="N218" s="402"/>
      <c r="O218" s="402"/>
      <c r="P218" s="402"/>
      <c r="Q218" s="402"/>
      <c r="R218" s="402"/>
      <c r="S218" s="402"/>
      <c r="T218" s="402"/>
      <c r="U218" s="402"/>
      <c r="V218" s="402"/>
      <c r="W218" s="402"/>
      <c r="X218" s="402"/>
      <c r="Y218" s="402"/>
      <c r="Z218" s="402"/>
    </row>
    <row r="219" ht="14.25" customHeight="1">
      <c r="A219" s="406">
        <v>45526.0</v>
      </c>
      <c r="B219" s="349" t="s">
        <v>4262</v>
      </c>
      <c r="C219" s="349" t="s">
        <v>4263</v>
      </c>
      <c r="D219" s="349" t="s">
        <v>439</v>
      </c>
      <c r="E219" s="349" t="s">
        <v>4105</v>
      </c>
      <c r="F219" s="413">
        <v>13080.0</v>
      </c>
      <c r="G219" s="403"/>
      <c r="H219" s="349" t="s">
        <v>4282</v>
      </c>
      <c r="I219" s="402"/>
      <c r="J219" s="402"/>
      <c r="K219" s="402"/>
      <c r="L219" s="402"/>
      <c r="M219" s="402"/>
      <c r="N219" s="402"/>
      <c r="O219" s="402"/>
      <c r="P219" s="402"/>
      <c r="Q219" s="402"/>
      <c r="R219" s="402"/>
      <c r="S219" s="402"/>
      <c r="T219" s="402"/>
      <c r="U219" s="402"/>
      <c r="V219" s="402"/>
      <c r="W219" s="402"/>
      <c r="X219" s="402"/>
      <c r="Y219" s="402"/>
      <c r="Z219" s="402"/>
    </row>
    <row r="220" ht="14.25" customHeight="1">
      <c r="A220" s="406">
        <v>45526.0</v>
      </c>
      <c r="B220" s="349" t="s">
        <v>4275</v>
      </c>
      <c r="C220" s="349" t="s">
        <v>4280</v>
      </c>
      <c r="D220" s="349" t="s">
        <v>669</v>
      </c>
      <c r="E220" s="349" t="s">
        <v>4105</v>
      </c>
      <c r="F220" s="413">
        <v>55000.0</v>
      </c>
      <c r="G220" s="403"/>
      <c r="H220" s="349" t="s">
        <v>4283</v>
      </c>
      <c r="I220" s="402"/>
      <c r="J220" s="402"/>
      <c r="K220" s="402"/>
      <c r="L220" s="402"/>
      <c r="M220" s="402"/>
      <c r="N220" s="402"/>
      <c r="O220" s="402"/>
      <c r="P220" s="402"/>
      <c r="Q220" s="402"/>
      <c r="R220" s="402"/>
      <c r="S220" s="402"/>
      <c r="T220" s="402"/>
      <c r="U220" s="402"/>
      <c r="V220" s="402"/>
      <c r="W220" s="402"/>
      <c r="X220" s="402"/>
      <c r="Y220" s="402"/>
      <c r="Z220" s="402"/>
    </row>
    <row r="221" ht="14.25" customHeight="1">
      <c r="A221" s="406">
        <v>45526.0</v>
      </c>
      <c r="B221" s="349" t="s">
        <v>4284</v>
      </c>
      <c r="C221" s="349" t="s">
        <v>4154</v>
      </c>
      <c r="D221" s="349" t="s">
        <v>669</v>
      </c>
      <c r="E221" s="349" t="s">
        <v>4105</v>
      </c>
      <c r="F221" s="413">
        <v>57500.0</v>
      </c>
      <c r="G221" s="413">
        <v>59500.0</v>
      </c>
      <c r="H221" s="349" t="s">
        <v>267</v>
      </c>
      <c r="I221" s="402"/>
      <c r="J221" s="402"/>
      <c r="K221" s="402"/>
      <c r="L221" s="402"/>
      <c r="M221" s="402"/>
      <c r="N221" s="402"/>
      <c r="O221" s="402"/>
      <c r="P221" s="402"/>
      <c r="Q221" s="402"/>
      <c r="R221" s="402"/>
      <c r="S221" s="402"/>
      <c r="T221" s="402"/>
      <c r="U221" s="402"/>
      <c r="V221" s="402"/>
      <c r="W221" s="402"/>
      <c r="X221" s="402"/>
      <c r="Y221" s="402"/>
      <c r="Z221" s="402"/>
    </row>
    <row r="222" ht="14.25" customHeight="1">
      <c r="A222" s="402"/>
      <c r="B222" s="402"/>
      <c r="C222" s="402"/>
      <c r="D222" s="402"/>
      <c r="E222" s="402"/>
      <c r="F222" s="403"/>
      <c r="G222" s="403"/>
      <c r="H222" s="402"/>
      <c r="I222" s="402"/>
      <c r="J222" s="402"/>
      <c r="K222" s="402"/>
      <c r="L222" s="402"/>
      <c r="M222" s="402"/>
      <c r="N222" s="402"/>
      <c r="O222" s="402"/>
      <c r="P222" s="402"/>
      <c r="Q222" s="402"/>
      <c r="R222" s="402"/>
      <c r="S222" s="402"/>
      <c r="T222" s="402"/>
      <c r="U222" s="402"/>
      <c r="V222" s="402"/>
      <c r="W222" s="402"/>
      <c r="X222" s="402"/>
      <c r="Y222" s="402"/>
      <c r="Z222" s="402"/>
    </row>
    <row r="223" ht="14.25" customHeight="1">
      <c r="A223" s="402"/>
      <c r="B223" s="402"/>
      <c r="C223" s="402"/>
      <c r="D223" s="402"/>
      <c r="E223" s="402"/>
      <c r="F223" s="403"/>
      <c r="G223" s="403"/>
      <c r="H223" s="402"/>
      <c r="I223" s="402"/>
      <c r="J223" s="402"/>
      <c r="K223" s="402"/>
      <c r="L223" s="402"/>
      <c r="M223" s="402"/>
      <c r="N223" s="402"/>
      <c r="O223" s="402"/>
      <c r="P223" s="402"/>
      <c r="Q223" s="402"/>
      <c r="R223" s="402"/>
      <c r="S223" s="402"/>
      <c r="T223" s="402"/>
      <c r="U223" s="402"/>
      <c r="V223" s="402"/>
      <c r="W223" s="402"/>
      <c r="X223" s="402"/>
      <c r="Y223" s="402"/>
      <c r="Z223" s="402"/>
    </row>
    <row r="224" ht="14.25" customHeight="1">
      <c r="A224" s="402"/>
      <c r="B224" s="402"/>
      <c r="C224" s="402"/>
      <c r="D224" s="402"/>
      <c r="E224" s="402"/>
      <c r="F224" s="403"/>
      <c r="G224" s="403"/>
      <c r="H224" s="402"/>
      <c r="I224" s="402"/>
      <c r="J224" s="402"/>
      <c r="K224" s="402"/>
      <c r="L224" s="402"/>
      <c r="M224" s="402"/>
      <c r="N224" s="402"/>
      <c r="O224" s="402"/>
      <c r="P224" s="402"/>
      <c r="Q224" s="402"/>
      <c r="R224" s="402"/>
      <c r="S224" s="402"/>
      <c r="T224" s="402"/>
      <c r="U224" s="402"/>
      <c r="V224" s="402"/>
      <c r="W224" s="402"/>
      <c r="X224" s="402"/>
      <c r="Y224" s="402"/>
      <c r="Z224" s="402"/>
    </row>
    <row r="225" ht="14.25" customHeight="1">
      <c r="A225" s="406">
        <v>45527.0</v>
      </c>
      <c r="B225" s="349" t="s">
        <v>4224</v>
      </c>
      <c r="C225" s="349" t="s">
        <v>4104</v>
      </c>
      <c r="D225" s="349" t="s">
        <v>439</v>
      </c>
      <c r="E225" s="349" t="s">
        <v>4105</v>
      </c>
      <c r="F225" s="413">
        <v>37000.0</v>
      </c>
      <c r="G225" s="403"/>
      <c r="H225" s="402"/>
      <c r="I225" s="402"/>
      <c r="J225" s="402"/>
      <c r="K225" s="402"/>
      <c r="L225" s="402"/>
      <c r="M225" s="402"/>
      <c r="N225" s="402"/>
      <c r="O225" s="402"/>
      <c r="P225" s="402"/>
      <c r="Q225" s="402"/>
      <c r="R225" s="402"/>
      <c r="S225" s="402"/>
      <c r="T225" s="402"/>
      <c r="U225" s="402"/>
      <c r="V225" s="402"/>
      <c r="W225" s="402"/>
      <c r="X225" s="402"/>
      <c r="Y225" s="402"/>
      <c r="Z225" s="402"/>
    </row>
    <row r="226" ht="14.25" customHeight="1">
      <c r="A226" s="406">
        <v>45527.0</v>
      </c>
      <c r="B226" s="349" t="s">
        <v>4262</v>
      </c>
      <c r="C226" s="349" t="s">
        <v>4263</v>
      </c>
      <c r="D226" s="349" t="s">
        <v>439</v>
      </c>
      <c r="E226" s="349" t="s">
        <v>4105</v>
      </c>
      <c r="F226" s="413">
        <v>13080.0</v>
      </c>
      <c r="G226" s="403"/>
      <c r="H226" s="402"/>
      <c r="I226" s="402"/>
      <c r="J226" s="402"/>
      <c r="K226" s="402"/>
      <c r="L226" s="402"/>
      <c r="M226" s="402"/>
      <c r="N226" s="402"/>
      <c r="O226" s="402"/>
      <c r="P226" s="402"/>
      <c r="Q226" s="402"/>
      <c r="R226" s="402"/>
      <c r="S226" s="402"/>
      <c r="T226" s="402"/>
      <c r="U226" s="402"/>
      <c r="V226" s="402"/>
      <c r="W226" s="402"/>
      <c r="X226" s="402"/>
      <c r="Y226" s="402"/>
      <c r="Z226" s="402"/>
    </row>
    <row r="227" ht="14.25" customHeight="1">
      <c r="A227" s="406">
        <v>45527.0</v>
      </c>
      <c r="B227" s="349" t="s">
        <v>4275</v>
      </c>
      <c r="C227" s="349" t="s">
        <v>4280</v>
      </c>
      <c r="D227" s="349" t="s">
        <v>669</v>
      </c>
      <c r="E227" s="349" t="s">
        <v>4105</v>
      </c>
      <c r="F227" s="413">
        <v>55000.0</v>
      </c>
      <c r="G227" s="403"/>
      <c r="H227" s="402"/>
      <c r="I227" s="402"/>
      <c r="J227" s="402"/>
      <c r="K227" s="402"/>
      <c r="L227" s="402"/>
      <c r="M227" s="402"/>
      <c r="N227" s="402"/>
      <c r="O227" s="402"/>
      <c r="P227" s="402"/>
      <c r="Q227" s="402"/>
      <c r="R227" s="402"/>
      <c r="S227" s="402"/>
      <c r="T227" s="402"/>
      <c r="U227" s="402"/>
      <c r="V227" s="402"/>
      <c r="W227" s="402"/>
      <c r="X227" s="402"/>
      <c r="Y227" s="402"/>
      <c r="Z227" s="402"/>
    </row>
    <row r="228" ht="14.25" customHeight="1">
      <c r="A228" s="406">
        <v>45527.0</v>
      </c>
      <c r="B228" s="349" t="s">
        <v>4117</v>
      </c>
      <c r="C228" s="349" t="s">
        <v>4118</v>
      </c>
      <c r="D228" s="349" t="s">
        <v>439</v>
      </c>
      <c r="E228" s="349" t="s">
        <v>4105</v>
      </c>
      <c r="F228" s="413">
        <v>21000.0</v>
      </c>
      <c r="G228" s="403"/>
      <c r="H228" s="402"/>
      <c r="I228" s="402"/>
      <c r="J228" s="402"/>
      <c r="K228" s="402"/>
      <c r="L228" s="402"/>
      <c r="M228" s="402"/>
      <c r="N228" s="402"/>
      <c r="O228" s="402"/>
      <c r="P228" s="402"/>
      <c r="Q228" s="402"/>
      <c r="R228" s="402"/>
      <c r="S228" s="402"/>
      <c r="T228" s="402"/>
      <c r="U228" s="402"/>
      <c r="V228" s="402"/>
      <c r="W228" s="402"/>
      <c r="X228" s="402"/>
      <c r="Y228" s="402"/>
      <c r="Z228" s="402"/>
    </row>
    <row r="229" ht="14.25" customHeight="1">
      <c r="A229" s="402"/>
      <c r="B229" s="402"/>
      <c r="C229" s="402"/>
      <c r="D229" s="402"/>
      <c r="E229" s="402"/>
      <c r="F229" s="403"/>
      <c r="G229" s="403"/>
      <c r="H229" s="402"/>
      <c r="I229" s="402"/>
      <c r="J229" s="402"/>
      <c r="K229" s="402"/>
      <c r="L229" s="402"/>
      <c r="M229" s="402"/>
      <c r="N229" s="402"/>
      <c r="O229" s="402"/>
      <c r="P229" s="402"/>
      <c r="Q229" s="402"/>
      <c r="R229" s="402"/>
      <c r="S229" s="402"/>
      <c r="T229" s="402"/>
      <c r="U229" s="402"/>
      <c r="V229" s="402"/>
      <c r="W229" s="402"/>
      <c r="X229" s="402"/>
      <c r="Y229" s="402"/>
      <c r="Z229" s="402"/>
    </row>
    <row r="230" ht="14.25" customHeight="1">
      <c r="A230" s="402"/>
      <c r="B230" s="402"/>
      <c r="C230" s="402"/>
      <c r="D230" s="402"/>
      <c r="E230" s="402"/>
      <c r="F230" s="403"/>
      <c r="G230" s="403"/>
      <c r="H230" s="402"/>
      <c r="I230" s="402"/>
      <c r="J230" s="402"/>
      <c r="K230" s="402"/>
      <c r="L230" s="402"/>
      <c r="M230" s="402"/>
      <c r="N230" s="402"/>
      <c r="O230" s="402"/>
      <c r="P230" s="402"/>
      <c r="Q230" s="402"/>
      <c r="R230" s="402"/>
      <c r="S230" s="402"/>
      <c r="T230" s="402"/>
      <c r="U230" s="402"/>
      <c r="V230" s="402"/>
      <c r="W230" s="402"/>
      <c r="X230" s="402"/>
      <c r="Y230" s="402"/>
      <c r="Z230" s="402"/>
    </row>
    <row r="231" ht="14.25" customHeight="1">
      <c r="A231" s="402"/>
      <c r="B231" s="402"/>
      <c r="C231" s="402"/>
      <c r="D231" s="402"/>
      <c r="E231" s="402"/>
      <c r="F231" s="403"/>
      <c r="G231" s="403"/>
      <c r="H231" s="402"/>
      <c r="I231" s="402"/>
      <c r="J231" s="402"/>
      <c r="K231" s="402"/>
      <c r="L231" s="402"/>
      <c r="M231" s="402"/>
      <c r="N231" s="402"/>
      <c r="O231" s="402"/>
      <c r="P231" s="402"/>
      <c r="Q231" s="402"/>
      <c r="R231" s="402"/>
      <c r="S231" s="402"/>
      <c r="T231" s="402"/>
      <c r="U231" s="402"/>
      <c r="V231" s="402"/>
      <c r="W231" s="402"/>
      <c r="X231" s="402"/>
      <c r="Y231" s="402"/>
      <c r="Z231" s="402"/>
    </row>
    <row r="232" ht="14.25" customHeight="1">
      <c r="A232" s="406">
        <v>45528.0</v>
      </c>
      <c r="B232" s="349" t="s">
        <v>4224</v>
      </c>
      <c r="C232" s="349" t="s">
        <v>4104</v>
      </c>
      <c r="D232" s="349" t="s">
        <v>439</v>
      </c>
      <c r="E232" s="349" t="s">
        <v>4105</v>
      </c>
      <c r="F232" s="413">
        <v>37000.0</v>
      </c>
      <c r="G232" s="403"/>
      <c r="H232" s="349" t="s">
        <v>4281</v>
      </c>
      <c r="I232" s="402"/>
      <c r="J232" s="402"/>
      <c r="K232" s="402"/>
      <c r="L232" s="402"/>
      <c r="M232" s="402"/>
      <c r="N232" s="402"/>
      <c r="O232" s="402"/>
      <c r="P232" s="402"/>
      <c r="Q232" s="402"/>
      <c r="R232" s="402"/>
      <c r="S232" s="402"/>
      <c r="T232" s="402"/>
      <c r="U232" s="402"/>
      <c r="V232" s="402"/>
      <c r="W232" s="402"/>
      <c r="X232" s="402"/>
      <c r="Y232" s="402"/>
      <c r="Z232" s="402"/>
    </row>
    <row r="233" ht="14.25" customHeight="1">
      <c r="A233" s="817">
        <v>45528.0</v>
      </c>
      <c r="B233" s="349" t="s">
        <v>4262</v>
      </c>
      <c r="C233" s="349" t="s">
        <v>4263</v>
      </c>
      <c r="D233" s="349" t="s">
        <v>439</v>
      </c>
      <c r="E233" s="349" t="s">
        <v>4105</v>
      </c>
      <c r="F233" s="413">
        <v>13080.0</v>
      </c>
      <c r="G233" s="413">
        <v>12300.0</v>
      </c>
      <c r="H233" s="349" t="s">
        <v>267</v>
      </c>
      <c r="I233" s="402"/>
      <c r="J233" s="402"/>
      <c r="K233" s="402"/>
      <c r="L233" s="402"/>
      <c r="M233" s="402"/>
      <c r="N233" s="402"/>
      <c r="O233" s="402"/>
      <c r="P233" s="402"/>
      <c r="Q233" s="402"/>
      <c r="R233" s="402"/>
      <c r="S233" s="402"/>
      <c r="T233" s="402"/>
      <c r="U233" s="402"/>
      <c r="V233" s="402"/>
      <c r="W233" s="402"/>
      <c r="X233" s="402"/>
      <c r="Y233" s="402"/>
      <c r="Z233" s="402"/>
    </row>
    <row r="234" ht="14.25" customHeight="1">
      <c r="A234" s="406">
        <v>45528.0</v>
      </c>
      <c r="B234" s="349" t="s">
        <v>4275</v>
      </c>
      <c r="C234" s="349" t="s">
        <v>4280</v>
      </c>
      <c r="D234" s="349" t="s">
        <v>4250</v>
      </c>
      <c r="E234" s="349" t="s">
        <v>4105</v>
      </c>
      <c r="F234" s="413">
        <v>40000.0</v>
      </c>
      <c r="G234" s="413">
        <v>10000.0</v>
      </c>
      <c r="H234" s="349" t="s">
        <v>734</v>
      </c>
      <c r="I234" s="402"/>
      <c r="J234" s="402"/>
      <c r="K234" s="402"/>
      <c r="L234" s="402"/>
      <c r="M234" s="402"/>
      <c r="N234" s="402"/>
      <c r="O234" s="402"/>
      <c r="P234" s="402"/>
      <c r="Q234" s="402"/>
      <c r="R234" s="402"/>
      <c r="S234" s="402"/>
      <c r="T234" s="402"/>
      <c r="U234" s="402"/>
      <c r="V234" s="402"/>
      <c r="W234" s="402"/>
      <c r="X234" s="402"/>
      <c r="Y234" s="402"/>
      <c r="Z234" s="402"/>
    </row>
    <row r="235" ht="14.25" customHeight="1">
      <c r="A235" s="406">
        <v>45528.0</v>
      </c>
      <c r="B235" s="349" t="s">
        <v>4285</v>
      </c>
      <c r="C235" s="349" t="s">
        <v>4286</v>
      </c>
      <c r="D235" s="349" t="s">
        <v>439</v>
      </c>
      <c r="E235" s="349" t="s">
        <v>4105</v>
      </c>
      <c r="F235" s="413">
        <v>23000.0</v>
      </c>
      <c r="G235" s="413">
        <v>21570.0</v>
      </c>
      <c r="H235" s="349" t="s">
        <v>267</v>
      </c>
      <c r="I235" s="402"/>
      <c r="J235" s="402"/>
      <c r="K235" s="402"/>
      <c r="L235" s="402"/>
      <c r="M235" s="402"/>
      <c r="N235" s="402"/>
      <c r="O235" s="402"/>
      <c r="P235" s="402"/>
      <c r="Q235" s="402"/>
      <c r="R235" s="402"/>
      <c r="S235" s="402"/>
      <c r="T235" s="402"/>
      <c r="U235" s="402"/>
      <c r="V235" s="402"/>
      <c r="W235" s="402"/>
      <c r="X235" s="402"/>
      <c r="Y235" s="402"/>
      <c r="Z235" s="402"/>
    </row>
    <row r="236" ht="14.25" customHeight="1">
      <c r="A236" s="402"/>
      <c r="B236" s="402"/>
      <c r="C236" s="402"/>
      <c r="D236" s="402"/>
      <c r="E236" s="402"/>
      <c r="F236" s="403"/>
      <c r="G236" s="403"/>
      <c r="H236" s="402"/>
      <c r="I236" s="402"/>
      <c r="J236" s="402"/>
      <c r="K236" s="402"/>
      <c r="L236" s="402"/>
      <c r="M236" s="402"/>
      <c r="N236" s="402"/>
      <c r="O236" s="402"/>
      <c r="P236" s="402"/>
      <c r="Q236" s="402"/>
      <c r="R236" s="402"/>
      <c r="S236" s="402"/>
      <c r="T236" s="402"/>
      <c r="U236" s="402"/>
      <c r="V236" s="402"/>
      <c r="W236" s="402"/>
      <c r="X236" s="402"/>
      <c r="Y236" s="402"/>
      <c r="Z236" s="402"/>
    </row>
    <row r="237" ht="14.25" customHeight="1">
      <c r="A237" s="402"/>
      <c r="B237" s="402"/>
      <c r="C237" s="402"/>
      <c r="D237" s="402"/>
      <c r="E237" s="402"/>
      <c r="F237" s="403"/>
      <c r="G237" s="403"/>
      <c r="H237" s="402"/>
      <c r="I237" s="402"/>
      <c r="J237" s="402"/>
      <c r="K237" s="402"/>
      <c r="L237" s="402"/>
      <c r="M237" s="402"/>
      <c r="N237" s="402"/>
      <c r="O237" s="402"/>
      <c r="P237" s="402"/>
      <c r="Q237" s="402"/>
      <c r="R237" s="402"/>
      <c r="S237" s="402"/>
      <c r="T237" s="402"/>
      <c r="U237" s="402"/>
      <c r="V237" s="402"/>
      <c r="W237" s="402"/>
      <c r="X237" s="402"/>
      <c r="Y237" s="402"/>
      <c r="Z237" s="402"/>
    </row>
    <row r="238" ht="14.25" customHeight="1">
      <c r="A238" s="402"/>
      <c r="B238" s="402"/>
      <c r="C238" s="402"/>
      <c r="D238" s="402"/>
      <c r="E238" s="402"/>
      <c r="F238" s="403"/>
      <c r="G238" s="403"/>
      <c r="H238" s="402"/>
      <c r="I238" s="402"/>
      <c r="J238" s="402"/>
      <c r="K238" s="402"/>
      <c r="L238" s="402"/>
      <c r="M238" s="402"/>
      <c r="N238" s="402"/>
      <c r="O238" s="402"/>
      <c r="P238" s="402"/>
      <c r="Q238" s="402"/>
      <c r="R238" s="402"/>
      <c r="S238" s="402"/>
      <c r="T238" s="402"/>
      <c r="U238" s="402"/>
      <c r="V238" s="402"/>
      <c r="W238" s="402"/>
      <c r="X238" s="402"/>
      <c r="Y238" s="402"/>
      <c r="Z238" s="402"/>
    </row>
    <row r="239" ht="14.25" customHeight="1">
      <c r="A239" s="406">
        <v>45530.0</v>
      </c>
      <c r="B239" s="349" t="s">
        <v>4224</v>
      </c>
      <c r="C239" s="349" t="s">
        <v>4104</v>
      </c>
      <c r="D239" s="349" t="s">
        <v>439</v>
      </c>
      <c r="E239" s="349" t="s">
        <v>4105</v>
      </c>
      <c r="F239" s="413">
        <v>37000.0</v>
      </c>
      <c r="G239" s="403"/>
      <c r="H239" s="349" t="s">
        <v>4287</v>
      </c>
      <c r="I239" s="402"/>
      <c r="J239" s="402"/>
      <c r="K239" s="402"/>
      <c r="L239" s="402"/>
      <c r="M239" s="402"/>
      <c r="N239" s="402"/>
      <c r="O239" s="402"/>
      <c r="P239" s="402"/>
      <c r="Q239" s="402"/>
      <c r="R239" s="402"/>
      <c r="S239" s="402"/>
      <c r="T239" s="402"/>
      <c r="U239" s="402"/>
      <c r="V239" s="402"/>
      <c r="W239" s="402"/>
      <c r="X239" s="402"/>
      <c r="Y239" s="402"/>
      <c r="Z239" s="402"/>
    </row>
    <row r="240" ht="14.25" customHeight="1">
      <c r="A240" s="406">
        <v>45530.0</v>
      </c>
      <c r="B240" s="349" t="s">
        <v>4288</v>
      </c>
      <c r="C240" s="349" t="s">
        <v>4280</v>
      </c>
      <c r="D240" s="349" t="s">
        <v>3045</v>
      </c>
      <c r="E240" s="349" t="s">
        <v>4105</v>
      </c>
      <c r="F240" s="413">
        <v>24600.0</v>
      </c>
      <c r="G240" s="403"/>
      <c r="H240" s="349" t="s">
        <v>4289</v>
      </c>
      <c r="I240" s="402"/>
      <c r="J240" s="402"/>
      <c r="K240" s="402"/>
      <c r="L240" s="402"/>
      <c r="M240" s="402"/>
      <c r="N240" s="402"/>
      <c r="O240" s="402"/>
      <c r="P240" s="402"/>
      <c r="Q240" s="402"/>
      <c r="R240" s="402"/>
      <c r="S240" s="402"/>
      <c r="T240" s="402"/>
      <c r="U240" s="402"/>
      <c r="V240" s="402"/>
      <c r="W240" s="402"/>
      <c r="X240" s="402"/>
      <c r="Y240" s="402"/>
      <c r="Z240" s="402"/>
    </row>
    <row r="241" ht="14.25" customHeight="1">
      <c r="A241" s="406">
        <v>45530.0</v>
      </c>
      <c r="B241" s="349" t="s">
        <v>4178</v>
      </c>
      <c r="C241" s="349" t="s">
        <v>4179</v>
      </c>
      <c r="D241" s="349" t="s">
        <v>4290</v>
      </c>
      <c r="E241" s="349" t="s">
        <v>4105</v>
      </c>
      <c r="F241" s="413">
        <v>12000.0</v>
      </c>
      <c r="G241" s="403"/>
      <c r="H241" s="349" t="s">
        <v>4291</v>
      </c>
      <c r="I241" s="402"/>
      <c r="J241" s="402"/>
      <c r="K241" s="402"/>
      <c r="L241" s="402"/>
      <c r="M241" s="402"/>
      <c r="N241" s="402"/>
      <c r="O241" s="402"/>
      <c r="P241" s="402"/>
      <c r="Q241" s="402"/>
      <c r="R241" s="402"/>
      <c r="S241" s="402"/>
      <c r="T241" s="402"/>
      <c r="U241" s="402"/>
      <c r="V241" s="402"/>
      <c r="W241" s="402"/>
      <c r="X241" s="402"/>
      <c r="Y241" s="402"/>
      <c r="Z241" s="402"/>
    </row>
    <row r="242" ht="14.25" customHeight="1">
      <c r="A242" s="406">
        <v>45530.0</v>
      </c>
      <c r="B242" s="349" t="s">
        <v>4292</v>
      </c>
      <c r="C242" s="349" t="s">
        <v>4293</v>
      </c>
      <c r="D242" s="349" t="s">
        <v>3045</v>
      </c>
      <c r="E242" s="349" t="s">
        <v>4105</v>
      </c>
      <c r="F242" s="413">
        <v>13800.0</v>
      </c>
      <c r="G242" s="413">
        <v>13800.0</v>
      </c>
      <c r="H242" s="349" t="s">
        <v>175</v>
      </c>
      <c r="I242" s="402"/>
      <c r="J242" s="402"/>
      <c r="K242" s="402"/>
      <c r="L242" s="402"/>
      <c r="M242" s="402"/>
      <c r="N242" s="402"/>
      <c r="O242" s="402"/>
      <c r="P242" s="402"/>
      <c r="Q242" s="402"/>
      <c r="R242" s="402"/>
      <c r="S242" s="402"/>
      <c r="T242" s="402"/>
      <c r="U242" s="402"/>
      <c r="V242" s="402"/>
      <c r="W242" s="402"/>
      <c r="X242" s="402"/>
      <c r="Y242" s="402"/>
      <c r="Z242" s="402"/>
    </row>
    <row r="243" ht="14.25" customHeight="1">
      <c r="A243" s="406">
        <v>45530.0</v>
      </c>
      <c r="B243" s="349" t="s">
        <v>4132</v>
      </c>
      <c r="C243" s="349" t="s">
        <v>4133</v>
      </c>
      <c r="D243" s="349" t="s">
        <v>4134</v>
      </c>
      <c r="E243" s="349" t="s">
        <v>4105</v>
      </c>
      <c r="F243" s="413">
        <v>31000.0</v>
      </c>
      <c r="G243" s="403"/>
      <c r="H243" s="349" t="s">
        <v>2217</v>
      </c>
      <c r="I243" s="402"/>
      <c r="J243" s="402"/>
      <c r="K243" s="402"/>
      <c r="L243" s="402"/>
      <c r="M243" s="402"/>
      <c r="N243" s="402"/>
      <c r="O243" s="402"/>
      <c r="P243" s="402"/>
      <c r="Q243" s="402"/>
      <c r="R243" s="402"/>
      <c r="S243" s="402"/>
      <c r="T243" s="402"/>
      <c r="U243" s="402"/>
      <c r="V243" s="402"/>
      <c r="W243" s="402"/>
      <c r="X243" s="402"/>
      <c r="Y243" s="402"/>
      <c r="Z243" s="402"/>
    </row>
    <row r="244" ht="14.25" customHeight="1">
      <c r="A244" s="402"/>
      <c r="B244" s="402"/>
      <c r="C244" s="402"/>
      <c r="D244" s="402"/>
      <c r="E244" s="402"/>
      <c r="F244" s="403"/>
      <c r="G244" s="403"/>
      <c r="H244" s="402"/>
      <c r="I244" s="402"/>
      <c r="J244" s="402"/>
      <c r="K244" s="402"/>
      <c r="L244" s="402"/>
      <c r="M244" s="402"/>
      <c r="N244" s="402"/>
      <c r="O244" s="402"/>
      <c r="P244" s="402"/>
      <c r="Q244" s="402"/>
      <c r="R244" s="402"/>
      <c r="S244" s="402"/>
      <c r="T244" s="402"/>
      <c r="U244" s="402"/>
      <c r="V244" s="402"/>
      <c r="W244" s="402"/>
      <c r="X244" s="402"/>
      <c r="Y244" s="402"/>
      <c r="Z244" s="402"/>
    </row>
    <row r="245" ht="14.25" customHeight="1">
      <c r="A245" s="402"/>
      <c r="B245" s="402"/>
      <c r="C245" s="402"/>
      <c r="D245" s="402"/>
      <c r="E245" s="402"/>
      <c r="F245" s="403"/>
      <c r="G245" s="403"/>
      <c r="H245" s="402"/>
      <c r="I245" s="402"/>
      <c r="J245" s="402"/>
      <c r="K245" s="402"/>
      <c r="L245" s="402"/>
      <c r="M245" s="402"/>
      <c r="N245" s="402"/>
      <c r="O245" s="402"/>
      <c r="P245" s="402"/>
      <c r="Q245" s="402"/>
      <c r="R245" s="402"/>
      <c r="S245" s="402"/>
      <c r="T245" s="402"/>
      <c r="U245" s="402"/>
      <c r="V245" s="402"/>
      <c r="W245" s="402"/>
      <c r="X245" s="402"/>
      <c r="Y245" s="402"/>
      <c r="Z245" s="402"/>
    </row>
    <row r="246" ht="14.25" customHeight="1">
      <c r="A246" s="402"/>
      <c r="B246" s="402"/>
      <c r="C246" s="402"/>
      <c r="D246" s="402"/>
      <c r="E246" s="402"/>
      <c r="F246" s="403"/>
      <c r="G246" s="403"/>
      <c r="H246" s="402"/>
      <c r="I246" s="402"/>
      <c r="J246" s="402"/>
      <c r="K246" s="402"/>
      <c r="L246" s="402"/>
      <c r="M246" s="402"/>
      <c r="N246" s="402"/>
      <c r="O246" s="402"/>
      <c r="P246" s="402"/>
      <c r="Q246" s="402"/>
      <c r="R246" s="402"/>
      <c r="S246" s="402"/>
      <c r="T246" s="402"/>
      <c r="U246" s="402"/>
      <c r="V246" s="402"/>
      <c r="W246" s="402"/>
      <c r="X246" s="402"/>
      <c r="Y246" s="402"/>
      <c r="Z246" s="402"/>
    </row>
    <row r="247" ht="14.25" customHeight="1">
      <c r="A247" s="406">
        <v>45531.0</v>
      </c>
      <c r="B247" s="349" t="s">
        <v>4132</v>
      </c>
      <c r="C247" s="349" t="s">
        <v>4133</v>
      </c>
      <c r="D247" s="349" t="s">
        <v>4134</v>
      </c>
      <c r="E247" s="349" t="s">
        <v>4105</v>
      </c>
      <c r="F247" s="413">
        <v>31000.0</v>
      </c>
      <c r="G247" s="403"/>
      <c r="H247" s="349" t="s">
        <v>4294</v>
      </c>
      <c r="I247" s="402"/>
      <c r="J247" s="402"/>
      <c r="K247" s="402"/>
      <c r="L247" s="402"/>
      <c r="M247" s="402"/>
      <c r="N247" s="402"/>
      <c r="O247" s="402"/>
      <c r="P247" s="402"/>
      <c r="Q247" s="402"/>
      <c r="R247" s="402"/>
      <c r="S247" s="402"/>
      <c r="T247" s="402"/>
      <c r="U247" s="402"/>
      <c r="V247" s="402"/>
      <c r="W247" s="402"/>
      <c r="X247" s="402"/>
      <c r="Y247" s="402"/>
      <c r="Z247" s="402"/>
    </row>
    <row r="248" ht="14.25" customHeight="1">
      <c r="A248" s="406">
        <v>45531.0</v>
      </c>
      <c r="B248" s="349" t="s">
        <v>4178</v>
      </c>
      <c r="C248" s="349" t="s">
        <v>4179</v>
      </c>
      <c r="D248" s="349" t="s">
        <v>439</v>
      </c>
      <c r="E248" s="349" t="s">
        <v>4105</v>
      </c>
      <c r="F248" s="413">
        <v>12000.0</v>
      </c>
      <c r="G248" s="403"/>
      <c r="H248" s="349" t="s">
        <v>4236</v>
      </c>
      <c r="I248" s="402"/>
      <c r="J248" s="402"/>
      <c r="K248" s="402"/>
      <c r="L248" s="402"/>
      <c r="M248" s="402"/>
      <c r="N248" s="402"/>
      <c r="O248" s="402"/>
      <c r="P248" s="402"/>
      <c r="Q248" s="402"/>
      <c r="R248" s="402"/>
      <c r="S248" s="402"/>
      <c r="T248" s="402"/>
      <c r="U248" s="402"/>
      <c r="V248" s="402"/>
      <c r="W248" s="402"/>
      <c r="X248" s="402"/>
      <c r="Y248" s="402"/>
      <c r="Z248" s="402"/>
    </row>
    <row r="249" ht="14.25" customHeight="1">
      <c r="A249" s="406">
        <v>45531.0</v>
      </c>
      <c r="B249" s="349" t="s">
        <v>4224</v>
      </c>
      <c r="C249" s="349" t="s">
        <v>4104</v>
      </c>
      <c r="D249" s="349" t="s">
        <v>439</v>
      </c>
      <c r="E249" s="349" t="s">
        <v>4105</v>
      </c>
      <c r="F249" s="413">
        <v>37000.0</v>
      </c>
      <c r="G249" s="403"/>
      <c r="H249" s="349" t="s">
        <v>4295</v>
      </c>
      <c r="I249" s="402"/>
      <c r="J249" s="402"/>
      <c r="K249" s="402"/>
      <c r="L249" s="402"/>
      <c r="M249" s="402"/>
      <c r="N249" s="402"/>
      <c r="O249" s="402"/>
      <c r="P249" s="402"/>
      <c r="Q249" s="402"/>
      <c r="R249" s="402"/>
      <c r="S249" s="402"/>
      <c r="T249" s="402"/>
      <c r="U249" s="402"/>
      <c r="V249" s="402"/>
      <c r="W249" s="402"/>
      <c r="X249" s="402"/>
      <c r="Y249" s="402"/>
      <c r="Z249" s="402"/>
    </row>
    <row r="250" ht="14.25" customHeight="1">
      <c r="A250" s="406">
        <v>45531.0</v>
      </c>
      <c r="B250" s="349" t="s">
        <v>4224</v>
      </c>
      <c r="C250" s="349" t="s">
        <v>4280</v>
      </c>
      <c r="D250" s="349" t="s">
        <v>669</v>
      </c>
      <c r="E250" s="349" t="s">
        <v>4105</v>
      </c>
      <c r="F250" s="413">
        <v>25800.0</v>
      </c>
      <c r="G250" s="403"/>
      <c r="H250" s="349" t="s">
        <v>4296</v>
      </c>
      <c r="I250" s="402"/>
      <c r="J250" s="402"/>
      <c r="K250" s="402"/>
      <c r="L250" s="402"/>
      <c r="M250" s="402"/>
      <c r="N250" s="402"/>
      <c r="O250" s="402"/>
      <c r="P250" s="402"/>
      <c r="Q250" s="402"/>
      <c r="R250" s="402"/>
      <c r="S250" s="402"/>
      <c r="T250" s="402"/>
      <c r="U250" s="402"/>
      <c r="V250" s="402"/>
      <c r="W250" s="402"/>
      <c r="X250" s="402"/>
      <c r="Y250" s="402"/>
      <c r="Z250" s="402"/>
    </row>
    <row r="251" ht="14.25" customHeight="1">
      <c r="A251" s="406">
        <v>45531.0</v>
      </c>
      <c r="B251" s="349" t="s">
        <v>4119</v>
      </c>
      <c r="C251" s="349" t="s">
        <v>4120</v>
      </c>
      <c r="D251" s="349" t="s">
        <v>467</v>
      </c>
      <c r="E251" s="349" t="s">
        <v>4105</v>
      </c>
      <c r="F251" s="413">
        <v>40000.0</v>
      </c>
      <c r="G251" s="413">
        <v>63067.0</v>
      </c>
      <c r="H251" s="349" t="s">
        <v>175</v>
      </c>
      <c r="I251" s="402"/>
      <c r="J251" s="402"/>
      <c r="K251" s="402"/>
      <c r="L251" s="402"/>
      <c r="M251" s="402"/>
      <c r="N251" s="402"/>
      <c r="O251" s="402"/>
      <c r="P251" s="402"/>
      <c r="Q251" s="402"/>
      <c r="R251" s="402"/>
      <c r="S251" s="402"/>
      <c r="T251" s="402"/>
      <c r="U251" s="402"/>
      <c r="V251" s="402"/>
      <c r="W251" s="402"/>
      <c r="X251" s="402"/>
      <c r="Y251" s="402"/>
      <c r="Z251" s="402"/>
    </row>
    <row r="252" ht="14.25" customHeight="1">
      <c r="A252" s="402"/>
      <c r="B252" s="402"/>
      <c r="C252" s="402"/>
      <c r="D252" s="402"/>
      <c r="E252" s="402"/>
      <c r="F252" s="403"/>
      <c r="G252" s="403"/>
      <c r="H252" s="402"/>
      <c r="I252" s="402"/>
      <c r="J252" s="402"/>
      <c r="K252" s="402"/>
      <c r="L252" s="402"/>
      <c r="M252" s="402"/>
      <c r="N252" s="402"/>
      <c r="O252" s="402"/>
      <c r="P252" s="402"/>
      <c r="Q252" s="402"/>
      <c r="R252" s="402"/>
      <c r="S252" s="402"/>
      <c r="T252" s="402"/>
      <c r="U252" s="402"/>
      <c r="V252" s="402"/>
      <c r="W252" s="402"/>
      <c r="X252" s="402"/>
      <c r="Y252" s="402"/>
      <c r="Z252" s="402"/>
    </row>
    <row r="253" ht="14.25" customHeight="1">
      <c r="A253" s="402"/>
      <c r="B253" s="402"/>
      <c r="C253" s="402"/>
      <c r="D253" s="402"/>
      <c r="E253" s="402"/>
      <c r="F253" s="403"/>
      <c r="G253" s="403"/>
      <c r="H253" s="402"/>
      <c r="I253" s="402"/>
      <c r="J253" s="402"/>
      <c r="K253" s="402"/>
      <c r="L253" s="402"/>
      <c r="M253" s="402"/>
      <c r="N253" s="402"/>
      <c r="O253" s="402"/>
      <c r="P253" s="402"/>
      <c r="Q253" s="402"/>
      <c r="R253" s="402"/>
      <c r="S253" s="402"/>
      <c r="T253" s="402"/>
      <c r="U253" s="402"/>
      <c r="V253" s="402"/>
      <c r="W253" s="402"/>
      <c r="X253" s="402"/>
      <c r="Y253" s="402"/>
      <c r="Z253" s="402"/>
    </row>
    <row r="254" ht="14.25" customHeight="1">
      <c r="A254" s="402"/>
      <c r="B254" s="402"/>
      <c r="C254" s="402"/>
      <c r="D254" s="402"/>
      <c r="E254" s="402"/>
      <c r="F254" s="403"/>
      <c r="G254" s="403"/>
      <c r="H254" s="402"/>
      <c r="I254" s="402"/>
      <c r="J254" s="402"/>
      <c r="K254" s="402"/>
      <c r="L254" s="402"/>
      <c r="M254" s="402"/>
      <c r="N254" s="402"/>
      <c r="O254" s="402"/>
      <c r="P254" s="402"/>
      <c r="Q254" s="402"/>
      <c r="R254" s="402"/>
      <c r="S254" s="402"/>
      <c r="T254" s="402"/>
      <c r="U254" s="402"/>
      <c r="V254" s="402"/>
      <c r="W254" s="402"/>
      <c r="X254" s="402"/>
      <c r="Y254" s="402"/>
      <c r="Z254" s="402"/>
    </row>
    <row r="255" ht="14.25" customHeight="1">
      <c r="A255" s="406">
        <v>45532.0</v>
      </c>
      <c r="B255" s="349" t="s">
        <v>4132</v>
      </c>
      <c r="C255" s="349" t="s">
        <v>4133</v>
      </c>
      <c r="D255" s="349" t="s">
        <v>4134</v>
      </c>
      <c r="E255" s="349" t="s">
        <v>4105</v>
      </c>
      <c r="F255" s="413">
        <v>31000.0</v>
      </c>
      <c r="G255" s="403"/>
      <c r="H255" s="349" t="s">
        <v>4297</v>
      </c>
      <c r="I255" s="402"/>
      <c r="J255" s="402"/>
      <c r="K255" s="402"/>
      <c r="L255" s="402"/>
      <c r="M255" s="402"/>
      <c r="N255" s="402"/>
      <c r="O255" s="402"/>
      <c r="P255" s="402"/>
      <c r="Q255" s="402"/>
      <c r="R255" s="402"/>
      <c r="S255" s="402"/>
      <c r="T255" s="402"/>
      <c r="U255" s="402"/>
      <c r="V255" s="402"/>
      <c r="W255" s="402"/>
      <c r="X255" s="402"/>
      <c r="Y255" s="402"/>
      <c r="Z255" s="402"/>
    </row>
    <row r="256" ht="14.25" customHeight="1">
      <c r="A256" s="406">
        <v>45532.0</v>
      </c>
      <c r="B256" s="349" t="s">
        <v>4178</v>
      </c>
      <c r="C256" s="349" t="s">
        <v>4179</v>
      </c>
      <c r="D256" s="349" t="s">
        <v>439</v>
      </c>
      <c r="E256" s="349" t="s">
        <v>4105</v>
      </c>
      <c r="F256" s="413">
        <v>16000.0</v>
      </c>
      <c r="G256" s="413">
        <v>12000.0</v>
      </c>
      <c r="H256" s="349" t="s">
        <v>4298</v>
      </c>
      <c r="I256" s="402"/>
      <c r="J256" s="402"/>
      <c r="K256" s="402"/>
      <c r="L256" s="402"/>
      <c r="M256" s="402"/>
      <c r="N256" s="402"/>
      <c r="O256" s="402"/>
      <c r="P256" s="402"/>
      <c r="Q256" s="402"/>
      <c r="R256" s="402"/>
      <c r="S256" s="402"/>
      <c r="T256" s="402"/>
      <c r="U256" s="402"/>
      <c r="V256" s="402"/>
      <c r="W256" s="402"/>
      <c r="X256" s="402"/>
      <c r="Y256" s="402"/>
      <c r="Z256" s="402"/>
    </row>
    <row r="257" ht="14.25" customHeight="1">
      <c r="A257" s="406">
        <v>45532.0</v>
      </c>
      <c r="B257" s="349" t="s">
        <v>4224</v>
      </c>
      <c r="C257" s="349" t="s">
        <v>4104</v>
      </c>
      <c r="D257" s="349" t="s">
        <v>439</v>
      </c>
      <c r="E257" s="349" t="s">
        <v>4105</v>
      </c>
      <c r="F257" s="413">
        <v>37000.0</v>
      </c>
      <c r="G257" s="403"/>
      <c r="H257" s="349" t="s">
        <v>4274</v>
      </c>
      <c r="I257" s="402"/>
      <c r="J257" s="402"/>
      <c r="K257" s="402"/>
      <c r="L257" s="402"/>
      <c r="M257" s="402"/>
      <c r="N257" s="402"/>
      <c r="O257" s="402"/>
      <c r="P257" s="402"/>
      <c r="Q257" s="402"/>
      <c r="R257" s="402"/>
      <c r="S257" s="402"/>
      <c r="T257" s="402"/>
      <c r="U257" s="402"/>
      <c r="V257" s="402"/>
      <c r="W257" s="402"/>
      <c r="X257" s="402"/>
      <c r="Y257" s="402"/>
      <c r="Z257" s="402"/>
    </row>
    <row r="258" ht="14.25" customHeight="1">
      <c r="A258" s="406">
        <v>45532.0</v>
      </c>
      <c r="B258" s="349" t="s">
        <v>4224</v>
      </c>
      <c r="C258" s="349" t="s">
        <v>4280</v>
      </c>
      <c r="D258" s="349" t="s">
        <v>4250</v>
      </c>
      <c r="E258" s="349" t="s">
        <v>4105</v>
      </c>
      <c r="F258" s="413">
        <v>25500.0</v>
      </c>
      <c r="G258" s="413">
        <v>15000.0</v>
      </c>
      <c r="H258" s="349" t="s">
        <v>4299</v>
      </c>
      <c r="I258" s="402"/>
      <c r="J258" s="402"/>
      <c r="K258" s="402"/>
      <c r="L258" s="402"/>
      <c r="M258" s="402"/>
      <c r="N258" s="402"/>
      <c r="O258" s="402"/>
      <c r="P258" s="402"/>
      <c r="Q258" s="402"/>
      <c r="R258" s="402"/>
      <c r="S258" s="402"/>
      <c r="T258" s="402"/>
      <c r="U258" s="402"/>
      <c r="V258" s="402"/>
      <c r="W258" s="402"/>
      <c r="X258" s="402"/>
      <c r="Y258" s="402"/>
      <c r="Z258" s="402"/>
    </row>
    <row r="259" ht="14.25" customHeight="1">
      <c r="A259" s="402"/>
      <c r="B259" s="402"/>
      <c r="C259" s="402"/>
      <c r="D259" s="402"/>
      <c r="E259" s="402"/>
      <c r="F259" s="403"/>
      <c r="G259" s="403"/>
      <c r="H259" s="402"/>
      <c r="I259" s="402"/>
      <c r="J259" s="402"/>
      <c r="K259" s="402"/>
      <c r="L259" s="402"/>
      <c r="M259" s="402"/>
      <c r="N259" s="402"/>
      <c r="O259" s="402"/>
      <c r="P259" s="402"/>
      <c r="Q259" s="402"/>
      <c r="R259" s="402"/>
      <c r="S259" s="402"/>
      <c r="T259" s="402"/>
      <c r="U259" s="402"/>
      <c r="V259" s="402"/>
      <c r="W259" s="402"/>
      <c r="X259" s="402"/>
      <c r="Y259" s="402"/>
      <c r="Z259" s="402"/>
    </row>
    <row r="260" ht="14.25" customHeight="1">
      <c r="A260" s="402"/>
      <c r="B260" s="402"/>
      <c r="C260" s="402"/>
      <c r="D260" s="402"/>
      <c r="E260" s="402"/>
      <c r="F260" s="403"/>
      <c r="G260" s="403"/>
      <c r="H260" s="402"/>
      <c r="I260" s="402"/>
      <c r="J260" s="402"/>
      <c r="K260" s="402"/>
      <c r="L260" s="402"/>
      <c r="M260" s="402"/>
      <c r="N260" s="402"/>
      <c r="O260" s="402"/>
      <c r="P260" s="402"/>
      <c r="Q260" s="402"/>
      <c r="R260" s="402"/>
      <c r="S260" s="402"/>
      <c r="T260" s="402"/>
      <c r="U260" s="402"/>
      <c r="V260" s="402"/>
      <c r="W260" s="402"/>
      <c r="X260" s="402"/>
      <c r="Y260" s="402"/>
      <c r="Z260" s="402"/>
    </row>
    <row r="261" ht="14.25" customHeight="1">
      <c r="A261" s="402"/>
      <c r="B261" s="402"/>
      <c r="C261" s="402"/>
      <c r="D261" s="402"/>
      <c r="E261" s="402"/>
      <c r="F261" s="403"/>
      <c r="G261" s="403"/>
      <c r="H261" s="402"/>
      <c r="I261" s="402"/>
      <c r="J261" s="402"/>
      <c r="K261" s="402"/>
      <c r="L261" s="402"/>
      <c r="M261" s="402"/>
      <c r="N261" s="402"/>
      <c r="O261" s="402"/>
      <c r="P261" s="402"/>
      <c r="Q261" s="402"/>
      <c r="R261" s="402"/>
      <c r="S261" s="402"/>
      <c r="T261" s="402"/>
      <c r="U261" s="402"/>
      <c r="V261" s="402"/>
      <c r="W261" s="402"/>
      <c r="X261" s="402"/>
      <c r="Y261" s="402"/>
      <c r="Z261" s="402"/>
    </row>
    <row r="262" ht="14.25" customHeight="1">
      <c r="A262" s="406">
        <v>45533.0</v>
      </c>
      <c r="B262" s="349" t="s">
        <v>4132</v>
      </c>
      <c r="C262" s="349" t="s">
        <v>4133</v>
      </c>
      <c r="D262" s="349" t="s">
        <v>4134</v>
      </c>
      <c r="E262" s="349" t="s">
        <v>4105</v>
      </c>
      <c r="F262" s="413">
        <v>31000.0</v>
      </c>
      <c r="G262" s="403"/>
      <c r="H262" s="349" t="s">
        <v>4300</v>
      </c>
      <c r="I262" s="402"/>
      <c r="J262" s="402"/>
      <c r="K262" s="402"/>
      <c r="L262" s="402"/>
      <c r="M262" s="402"/>
      <c r="N262" s="402"/>
      <c r="O262" s="402"/>
      <c r="P262" s="402"/>
      <c r="Q262" s="402"/>
      <c r="R262" s="402"/>
      <c r="S262" s="402"/>
      <c r="T262" s="402"/>
      <c r="U262" s="402"/>
      <c r="V262" s="402"/>
      <c r="W262" s="402"/>
      <c r="X262" s="402"/>
      <c r="Y262" s="402"/>
      <c r="Z262" s="402"/>
    </row>
    <row r="263" ht="14.25" customHeight="1">
      <c r="A263" s="406">
        <v>45533.0</v>
      </c>
      <c r="B263" s="349" t="s">
        <v>4301</v>
      </c>
      <c r="C263" s="349" t="s">
        <v>4280</v>
      </c>
      <c r="D263" s="349" t="s">
        <v>669</v>
      </c>
      <c r="E263" s="349" t="s">
        <v>4105</v>
      </c>
      <c r="F263" s="413">
        <v>10000.0</v>
      </c>
      <c r="G263" s="403"/>
      <c r="H263" s="349" t="s">
        <v>4283</v>
      </c>
      <c r="I263" s="402"/>
      <c r="J263" s="402"/>
      <c r="K263" s="402"/>
      <c r="L263" s="402"/>
      <c r="M263" s="402"/>
      <c r="N263" s="402"/>
      <c r="O263" s="402"/>
      <c r="P263" s="402"/>
      <c r="Q263" s="402"/>
      <c r="R263" s="402"/>
      <c r="S263" s="402"/>
      <c r="T263" s="402"/>
      <c r="U263" s="402"/>
      <c r="V263" s="402"/>
      <c r="W263" s="402"/>
      <c r="X263" s="402"/>
      <c r="Y263" s="402"/>
      <c r="Z263" s="402"/>
    </row>
    <row r="264" ht="14.25" customHeight="1">
      <c r="A264" s="406">
        <v>45533.0</v>
      </c>
      <c r="B264" s="349" t="s">
        <v>4224</v>
      </c>
      <c r="C264" s="349" t="s">
        <v>4104</v>
      </c>
      <c r="D264" s="349" t="s">
        <v>439</v>
      </c>
      <c r="E264" s="349" t="s">
        <v>4105</v>
      </c>
      <c r="F264" s="413">
        <v>40000.0</v>
      </c>
      <c r="G264" s="413">
        <v>16000.0</v>
      </c>
      <c r="H264" s="349" t="s">
        <v>4302</v>
      </c>
      <c r="I264" s="402"/>
      <c r="J264" s="402"/>
      <c r="K264" s="402"/>
      <c r="L264" s="402"/>
      <c r="M264" s="402"/>
      <c r="N264" s="402"/>
      <c r="O264" s="402"/>
      <c r="P264" s="402"/>
      <c r="Q264" s="402"/>
      <c r="R264" s="402"/>
      <c r="S264" s="402"/>
      <c r="T264" s="402"/>
      <c r="U264" s="402"/>
      <c r="V264" s="402"/>
      <c r="W264" s="402"/>
      <c r="X264" s="402"/>
      <c r="Y264" s="402"/>
      <c r="Z264" s="402"/>
    </row>
    <row r="265" ht="14.25" customHeight="1">
      <c r="A265" s="402"/>
      <c r="B265" s="402"/>
      <c r="C265" s="402"/>
      <c r="D265" s="402"/>
      <c r="E265" s="402"/>
      <c r="F265" s="403"/>
      <c r="G265" s="403"/>
      <c r="H265" s="402"/>
      <c r="I265" s="402"/>
      <c r="J265" s="402"/>
      <c r="K265" s="402"/>
      <c r="L265" s="402"/>
      <c r="M265" s="402"/>
      <c r="N265" s="402"/>
      <c r="O265" s="402"/>
      <c r="P265" s="402"/>
      <c r="Q265" s="402"/>
      <c r="R265" s="402"/>
      <c r="S265" s="402"/>
      <c r="T265" s="402"/>
      <c r="U265" s="402"/>
      <c r="V265" s="402"/>
      <c r="W265" s="402"/>
      <c r="X265" s="402"/>
      <c r="Y265" s="402"/>
      <c r="Z265" s="402"/>
    </row>
    <row r="266" ht="14.25" customHeight="1">
      <c r="A266" s="402"/>
      <c r="B266" s="402"/>
      <c r="C266" s="402"/>
      <c r="D266" s="402"/>
      <c r="E266" s="402"/>
      <c r="F266" s="403"/>
      <c r="G266" s="403"/>
      <c r="H266" s="402"/>
      <c r="I266" s="402"/>
      <c r="J266" s="402"/>
      <c r="K266" s="402"/>
      <c r="L266" s="402"/>
      <c r="M266" s="402"/>
      <c r="N266" s="402"/>
      <c r="O266" s="402"/>
      <c r="P266" s="402"/>
      <c r="Q266" s="402"/>
      <c r="R266" s="402"/>
      <c r="S266" s="402"/>
      <c r="T266" s="402"/>
      <c r="U266" s="402"/>
      <c r="V266" s="402"/>
      <c r="W266" s="402"/>
      <c r="X266" s="402"/>
      <c r="Y266" s="402"/>
      <c r="Z266" s="402"/>
    </row>
    <row r="267" ht="14.25" customHeight="1">
      <c r="A267" s="402"/>
      <c r="B267" s="402"/>
      <c r="C267" s="402"/>
      <c r="D267" s="402"/>
      <c r="E267" s="402"/>
      <c r="F267" s="403"/>
      <c r="G267" s="403"/>
      <c r="H267" s="402"/>
      <c r="I267" s="402"/>
      <c r="J267" s="402"/>
      <c r="K267" s="402"/>
      <c r="L267" s="402"/>
      <c r="M267" s="402"/>
      <c r="N267" s="402"/>
      <c r="O267" s="402"/>
      <c r="P267" s="402"/>
      <c r="Q267" s="402"/>
      <c r="R267" s="402"/>
      <c r="S267" s="402"/>
      <c r="T267" s="402"/>
      <c r="U267" s="402"/>
      <c r="V267" s="402"/>
      <c r="W267" s="402"/>
      <c r="X267" s="402"/>
      <c r="Y267" s="402"/>
      <c r="Z267" s="402"/>
    </row>
    <row r="268" ht="14.25" customHeight="1">
      <c r="A268" s="406">
        <v>45534.0</v>
      </c>
      <c r="B268" s="349" t="s">
        <v>4303</v>
      </c>
      <c r="C268" s="349" t="s">
        <v>4104</v>
      </c>
      <c r="D268" s="349" t="s">
        <v>439</v>
      </c>
      <c r="E268" s="349" t="s">
        <v>4105</v>
      </c>
      <c r="F268" s="413">
        <v>24000.0</v>
      </c>
      <c r="G268" s="413">
        <v>22000.0</v>
      </c>
      <c r="H268" s="402"/>
      <c r="I268" s="402"/>
      <c r="J268" s="402"/>
      <c r="K268" s="402"/>
      <c r="L268" s="402"/>
      <c r="M268" s="402"/>
      <c r="N268" s="402"/>
      <c r="O268" s="402"/>
      <c r="P268" s="402"/>
      <c r="Q268" s="402"/>
      <c r="R268" s="402"/>
      <c r="S268" s="402"/>
      <c r="T268" s="402"/>
      <c r="U268" s="402"/>
      <c r="V268" s="402"/>
      <c r="W268" s="402"/>
      <c r="X268" s="402"/>
      <c r="Y268" s="402"/>
      <c r="Z268" s="402"/>
    </row>
    <row r="269" ht="14.25" customHeight="1">
      <c r="A269" s="406">
        <v>45534.0</v>
      </c>
      <c r="B269" s="349" t="s">
        <v>4132</v>
      </c>
      <c r="C269" s="349" t="s">
        <v>4133</v>
      </c>
      <c r="D269" s="349" t="s">
        <v>4304</v>
      </c>
      <c r="E269" s="349" t="s">
        <v>4105</v>
      </c>
      <c r="F269" s="413">
        <v>31000.0</v>
      </c>
      <c r="G269" s="403"/>
      <c r="H269" s="402"/>
      <c r="I269" s="402"/>
      <c r="J269" s="402"/>
      <c r="K269" s="402"/>
      <c r="L269" s="402"/>
      <c r="M269" s="402"/>
      <c r="N269" s="402"/>
      <c r="O269" s="402"/>
      <c r="P269" s="402"/>
      <c r="Q269" s="402"/>
      <c r="R269" s="402"/>
      <c r="S269" s="402"/>
      <c r="T269" s="402"/>
      <c r="U269" s="402"/>
      <c r="V269" s="402"/>
      <c r="W269" s="402"/>
      <c r="X269" s="402"/>
      <c r="Y269" s="402"/>
      <c r="Z269" s="402"/>
    </row>
    <row r="270" ht="14.25" customHeight="1">
      <c r="A270" s="406">
        <v>45534.0</v>
      </c>
      <c r="B270" s="349" t="s">
        <v>4301</v>
      </c>
      <c r="C270" s="349" t="s">
        <v>4280</v>
      </c>
      <c r="D270" s="349" t="s">
        <v>669</v>
      </c>
      <c r="E270" s="349" t="s">
        <v>4105</v>
      </c>
      <c r="F270" s="413">
        <v>10000.0</v>
      </c>
      <c r="G270" s="403"/>
      <c r="H270" s="349" t="s">
        <v>267</v>
      </c>
      <c r="I270" s="402"/>
      <c r="J270" s="402"/>
      <c r="K270" s="402"/>
      <c r="L270" s="402"/>
      <c r="M270" s="402"/>
      <c r="N270" s="402"/>
      <c r="O270" s="402"/>
      <c r="P270" s="402"/>
      <c r="Q270" s="402"/>
      <c r="R270" s="402"/>
      <c r="S270" s="402"/>
      <c r="T270" s="402"/>
      <c r="U270" s="402"/>
      <c r="V270" s="402"/>
      <c r="W270" s="402"/>
      <c r="X270" s="402"/>
      <c r="Y270" s="402"/>
      <c r="Z270" s="402"/>
    </row>
    <row r="271" ht="14.25" customHeight="1">
      <c r="A271" s="406">
        <v>45534.0</v>
      </c>
      <c r="B271" s="349" t="s">
        <v>4153</v>
      </c>
      <c r="C271" s="349" t="s">
        <v>4154</v>
      </c>
      <c r="D271" s="349" t="s">
        <v>439</v>
      </c>
      <c r="E271" s="349" t="s">
        <v>4105</v>
      </c>
      <c r="F271" s="413">
        <v>35000.0</v>
      </c>
      <c r="G271" s="403"/>
      <c r="H271" s="402"/>
      <c r="I271" s="402"/>
      <c r="J271" s="402"/>
      <c r="K271" s="402"/>
      <c r="L271" s="402"/>
      <c r="M271" s="402"/>
      <c r="N271" s="402"/>
      <c r="O271" s="402"/>
      <c r="P271" s="402"/>
      <c r="Q271" s="402"/>
      <c r="R271" s="402"/>
      <c r="S271" s="402"/>
      <c r="T271" s="402"/>
      <c r="U271" s="402"/>
      <c r="V271" s="402"/>
      <c r="W271" s="402"/>
      <c r="X271" s="402"/>
      <c r="Y271" s="402"/>
      <c r="Z271" s="402"/>
    </row>
    <row r="272" ht="14.25" customHeight="1">
      <c r="A272" s="402"/>
      <c r="B272" s="402"/>
      <c r="C272" s="402"/>
      <c r="D272" s="402"/>
      <c r="E272" s="402"/>
      <c r="F272" s="403"/>
      <c r="G272" s="403"/>
      <c r="H272" s="402"/>
      <c r="I272" s="402"/>
      <c r="J272" s="402"/>
      <c r="K272" s="402"/>
      <c r="L272" s="402"/>
      <c r="M272" s="402"/>
      <c r="N272" s="402"/>
      <c r="O272" s="402"/>
      <c r="P272" s="402"/>
      <c r="Q272" s="402"/>
      <c r="R272" s="402"/>
      <c r="S272" s="402"/>
      <c r="T272" s="402"/>
      <c r="U272" s="402"/>
      <c r="V272" s="402"/>
      <c r="W272" s="402"/>
      <c r="X272" s="402"/>
      <c r="Y272" s="402"/>
      <c r="Z272" s="402"/>
    </row>
    <row r="273" ht="14.25" customHeight="1">
      <c r="A273" s="402"/>
      <c r="B273" s="402"/>
      <c r="C273" s="402"/>
      <c r="D273" s="402"/>
      <c r="E273" s="402"/>
      <c r="F273" s="403"/>
      <c r="G273" s="403"/>
      <c r="H273" s="402"/>
      <c r="I273" s="402"/>
      <c r="J273" s="402"/>
      <c r="K273" s="402"/>
      <c r="L273" s="402"/>
      <c r="M273" s="402"/>
      <c r="N273" s="402"/>
      <c r="O273" s="402"/>
      <c r="P273" s="402"/>
      <c r="Q273" s="402"/>
      <c r="R273" s="402"/>
      <c r="S273" s="402"/>
      <c r="T273" s="402"/>
      <c r="U273" s="402"/>
      <c r="V273" s="402"/>
      <c r="W273" s="402"/>
      <c r="X273" s="402"/>
      <c r="Y273" s="402"/>
      <c r="Z273" s="402"/>
    </row>
    <row r="274" ht="14.25" customHeight="1">
      <c r="A274" s="402"/>
      <c r="B274" s="402"/>
      <c r="C274" s="402"/>
      <c r="D274" s="402"/>
      <c r="E274" s="402"/>
      <c r="F274" s="403"/>
      <c r="G274" s="403"/>
      <c r="H274" s="402"/>
      <c r="I274" s="402"/>
      <c r="J274" s="402"/>
      <c r="K274" s="402"/>
      <c r="L274" s="402"/>
      <c r="M274" s="402"/>
      <c r="N274" s="402"/>
      <c r="O274" s="402"/>
      <c r="P274" s="402"/>
      <c r="Q274" s="402"/>
      <c r="R274" s="402"/>
      <c r="S274" s="402"/>
      <c r="T274" s="402"/>
      <c r="U274" s="402"/>
      <c r="V274" s="402"/>
      <c r="W274" s="402"/>
      <c r="X274" s="402"/>
      <c r="Y274" s="402"/>
      <c r="Z274" s="402"/>
    </row>
    <row r="275" ht="14.25" customHeight="1">
      <c r="A275" s="406">
        <v>45535.0</v>
      </c>
      <c r="B275" s="349" t="s">
        <v>4141</v>
      </c>
      <c r="C275" s="349" t="s">
        <v>4133</v>
      </c>
      <c r="D275" s="349" t="s">
        <v>4134</v>
      </c>
      <c r="E275" s="349" t="s">
        <v>4105</v>
      </c>
      <c r="F275" s="413">
        <v>31000.0</v>
      </c>
      <c r="G275" s="403"/>
      <c r="H275" s="402"/>
      <c r="I275" s="402"/>
      <c r="J275" s="402"/>
      <c r="K275" s="402"/>
      <c r="L275" s="402"/>
      <c r="M275" s="402"/>
      <c r="N275" s="402"/>
      <c r="O275" s="402"/>
      <c r="P275" s="402"/>
      <c r="Q275" s="402"/>
      <c r="R275" s="402"/>
      <c r="S275" s="402"/>
      <c r="T275" s="402"/>
      <c r="U275" s="402"/>
      <c r="V275" s="402"/>
      <c r="W275" s="402"/>
      <c r="X275" s="402"/>
      <c r="Y275" s="402"/>
      <c r="Z275" s="402"/>
    </row>
    <row r="276" ht="14.25" customHeight="1">
      <c r="A276" s="406">
        <v>45535.0</v>
      </c>
      <c r="B276" s="349" t="s">
        <v>4153</v>
      </c>
      <c r="C276" s="349" t="s">
        <v>4154</v>
      </c>
      <c r="D276" s="349" t="s">
        <v>439</v>
      </c>
      <c r="E276" s="349" t="s">
        <v>4105</v>
      </c>
      <c r="F276" s="413">
        <v>35000.0</v>
      </c>
      <c r="G276" s="403"/>
      <c r="H276" s="402"/>
      <c r="I276" s="402"/>
      <c r="J276" s="402"/>
      <c r="K276" s="402"/>
      <c r="L276" s="402"/>
      <c r="M276" s="402"/>
      <c r="N276" s="402"/>
      <c r="O276" s="402"/>
      <c r="P276" s="402"/>
      <c r="Q276" s="402"/>
      <c r="R276" s="402"/>
      <c r="S276" s="402"/>
      <c r="T276" s="402"/>
      <c r="U276" s="402"/>
      <c r="V276" s="402"/>
      <c r="W276" s="402"/>
      <c r="X276" s="402"/>
      <c r="Y276" s="402"/>
      <c r="Z276" s="402"/>
    </row>
    <row r="277" ht="14.25" customHeight="1">
      <c r="A277" s="406">
        <v>45535.0</v>
      </c>
      <c r="B277" s="349" t="s">
        <v>4305</v>
      </c>
      <c r="C277" s="349" t="s">
        <v>4306</v>
      </c>
      <c r="D277" s="349" t="s">
        <v>439</v>
      </c>
      <c r="E277" s="349" t="s">
        <v>4105</v>
      </c>
      <c r="F277" s="413">
        <v>25000.0</v>
      </c>
      <c r="G277" s="403"/>
      <c r="H277" s="402"/>
      <c r="I277" s="402"/>
      <c r="J277" s="402"/>
      <c r="K277" s="402"/>
      <c r="L277" s="402"/>
      <c r="M277" s="402"/>
      <c r="N277" s="402"/>
      <c r="O277" s="402"/>
      <c r="P277" s="402"/>
      <c r="Q277" s="402"/>
      <c r="R277" s="402"/>
      <c r="S277" s="402"/>
      <c r="T277" s="402"/>
      <c r="U277" s="402"/>
      <c r="V277" s="402"/>
      <c r="W277" s="402"/>
      <c r="X277" s="402"/>
      <c r="Y277" s="402"/>
      <c r="Z277" s="402"/>
    </row>
    <row r="278" ht="14.25" customHeight="1">
      <c r="A278" s="817">
        <v>45535.0</v>
      </c>
      <c r="B278" s="349" t="s">
        <v>4224</v>
      </c>
      <c r="C278" s="349" t="s">
        <v>4307</v>
      </c>
      <c r="D278" s="349" t="s">
        <v>439</v>
      </c>
      <c r="E278" s="349" t="s">
        <v>4105</v>
      </c>
      <c r="F278" s="413">
        <v>3000.0</v>
      </c>
      <c r="G278" s="413">
        <v>3000.0</v>
      </c>
      <c r="H278" s="349" t="s">
        <v>267</v>
      </c>
      <c r="I278" s="402"/>
      <c r="J278" s="402"/>
      <c r="K278" s="402"/>
      <c r="L278" s="402"/>
      <c r="M278" s="402"/>
      <c r="N278" s="402"/>
      <c r="O278" s="402"/>
      <c r="P278" s="402"/>
      <c r="Q278" s="402"/>
      <c r="R278" s="402"/>
      <c r="S278" s="402"/>
      <c r="T278" s="402"/>
      <c r="U278" s="402"/>
      <c r="V278" s="402"/>
      <c r="W278" s="402"/>
      <c r="X278" s="402"/>
      <c r="Y278" s="402"/>
      <c r="Z278" s="402"/>
    </row>
    <row r="279" ht="14.25" customHeight="1">
      <c r="A279" s="406">
        <v>45535.0</v>
      </c>
      <c r="B279" s="349" t="s">
        <v>4308</v>
      </c>
      <c r="C279" s="349" t="s">
        <v>4147</v>
      </c>
      <c r="D279" s="349" t="s">
        <v>4309</v>
      </c>
      <c r="E279" s="349" t="s">
        <v>4105</v>
      </c>
      <c r="F279" s="413">
        <v>47000.0</v>
      </c>
      <c r="G279" s="413">
        <v>45670.0</v>
      </c>
      <c r="H279" s="349" t="s">
        <v>267</v>
      </c>
      <c r="I279" s="402"/>
      <c r="J279" s="402"/>
      <c r="K279" s="402"/>
      <c r="L279" s="402"/>
      <c r="M279" s="402"/>
      <c r="N279" s="402"/>
      <c r="O279" s="402"/>
      <c r="P279" s="402"/>
      <c r="Q279" s="402"/>
      <c r="R279" s="402"/>
      <c r="S279" s="402"/>
      <c r="T279" s="402"/>
      <c r="U279" s="402"/>
      <c r="V279" s="402"/>
      <c r="W279" s="402"/>
      <c r="X279" s="402"/>
      <c r="Y279" s="402"/>
      <c r="Z279" s="402"/>
    </row>
    <row r="280" ht="14.25" customHeight="1">
      <c r="A280" s="402"/>
      <c r="B280" s="402"/>
      <c r="C280" s="402"/>
      <c r="D280" s="402"/>
      <c r="E280" s="402"/>
      <c r="F280" s="403"/>
      <c r="G280" s="403"/>
      <c r="H280" s="402"/>
      <c r="I280" s="402"/>
      <c r="J280" s="402"/>
      <c r="K280" s="402"/>
      <c r="L280" s="402"/>
      <c r="M280" s="402"/>
      <c r="N280" s="402"/>
      <c r="O280" s="402"/>
      <c r="P280" s="402"/>
      <c r="Q280" s="402"/>
      <c r="R280" s="402"/>
      <c r="S280" s="402"/>
      <c r="T280" s="402"/>
      <c r="U280" s="402"/>
      <c r="V280" s="402"/>
      <c r="W280" s="402"/>
      <c r="X280" s="402"/>
      <c r="Y280" s="402"/>
      <c r="Z280" s="402"/>
    </row>
    <row r="281" ht="14.25" customHeight="1">
      <c r="A281" s="402"/>
      <c r="B281" s="402"/>
      <c r="C281" s="402"/>
      <c r="D281" s="402"/>
      <c r="E281" s="402"/>
      <c r="F281" s="403"/>
      <c r="G281" s="403"/>
      <c r="H281" s="402"/>
      <c r="I281" s="402"/>
      <c r="J281" s="402"/>
      <c r="K281" s="402"/>
      <c r="L281" s="402"/>
      <c r="M281" s="402"/>
      <c r="N281" s="402"/>
      <c r="O281" s="402"/>
      <c r="P281" s="402"/>
      <c r="Q281" s="402"/>
      <c r="R281" s="402"/>
      <c r="S281" s="402"/>
      <c r="T281" s="402"/>
      <c r="U281" s="402"/>
      <c r="V281" s="402"/>
      <c r="W281" s="402"/>
      <c r="X281" s="402"/>
      <c r="Y281" s="402"/>
      <c r="Z281" s="402"/>
    </row>
    <row r="282" ht="14.25" customHeight="1">
      <c r="A282" s="406">
        <v>45537.0</v>
      </c>
      <c r="B282" s="349" t="s">
        <v>4310</v>
      </c>
      <c r="C282" s="349" t="s">
        <v>4154</v>
      </c>
      <c r="D282" s="349" t="s">
        <v>4311</v>
      </c>
      <c r="E282" s="349" t="s">
        <v>4105</v>
      </c>
      <c r="F282" s="413">
        <v>37582.0</v>
      </c>
      <c r="G282" s="403"/>
      <c r="H282" s="349" t="s">
        <v>4312</v>
      </c>
      <c r="I282" s="402"/>
      <c r="J282" s="402"/>
      <c r="K282" s="402"/>
      <c r="L282" s="402"/>
      <c r="M282" s="402"/>
      <c r="N282" s="402"/>
      <c r="O282" s="402"/>
      <c r="P282" s="402"/>
      <c r="Q282" s="402"/>
      <c r="R282" s="402"/>
      <c r="S282" s="402"/>
      <c r="T282" s="402"/>
      <c r="U282" s="402"/>
      <c r="V282" s="402"/>
      <c r="W282" s="402"/>
      <c r="X282" s="402"/>
      <c r="Y282" s="402"/>
      <c r="Z282" s="402"/>
    </row>
    <row r="283" ht="14.25" customHeight="1">
      <c r="A283" s="406">
        <v>45537.0</v>
      </c>
      <c r="B283" s="349" t="s">
        <v>4305</v>
      </c>
      <c r="C283" s="349" t="s">
        <v>4306</v>
      </c>
      <c r="D283" s="349" t="s">
        <v>4311</v>
      </c>
      <c r="E283" s="349" t="s">
        <v>4105</v>
      </c>
      <c r="F283" s="413">
        <v>21260.0</v>
      </c>
      <c r="G283" s="403"/>
      <c r="H283" s="349" t="s">
        <v>4313</v>
      </c>
      <c r="I283" s="402"/>
      <c r="J283" s="402"/>
      <c r="K283" s="402"/>
      <c r="L283" s="402"/>
      <c r="M283" s="402"/>
      <c r="N283" s="402"/>
      <c r="O283" s="402"/>
      <c r="P283" s="402"/>
      <c r="Q283" s="402"/>
      <c r="R283" s="402"/>
      <c r="S283" s="402"/>
      <c r="T283" s="402"/>
      <c r="U283" s="402"/>
      <c r="V283" s="402"/>
      <c r="W283" s="402"/>
      <c r="X283" s="402"/>
      <c r="Y283" s="402"/>
      <c r="Z283" s="402"/>
    </row>
    <row r="284" ht="14.25" customHeight="1">
      <c r="A284" s="406">
        <v>45537.0</v>
      </c>
      <c r="B284" s="349" t="s">
        <v>4132</v>
      </c>
      <c r="C284" s="349" t="s">
        <v>4133</v>
      </c>
      <c r="D284" s="349" t="s">
        <v>4311</v>
      </c>
      <c r="E284" s="349" t="s">
        <v>4105</v>
      </c>
      <c r="F284" s="413">
        <v>32285.0</v>
      </c>
      <c r="G284" s="403"/>
      <c r="H284" s="349" t="s">
        <v>4313</v>
      </c>
      <c r="I284" s="402"/>
      <c r="J284" s="402"/>
      <c r="K284" s="402"/>
      <c r="L284" s="402"/>
      <c r="M284" s="402"/>
      <c r="N284" s="402"/>
      <c r="O284" s="402"/>
      <c r="P284" s="402"/>
      <c r="Q284" s="402"/>
      <c r="R284" s="402"/>
      <c r="S284" s="402"/>
      <c r="T284" s="402"/>
      <c r="U284" s="402"/>
      <c r="V284" s="402"/>
      <c r="W284" s="402"/>
      <c r="X284" s="402"/>
      <c r="Y284" s="402"/>
      <c r="Z284" s="402"/>
    </row>
    <row r="285" ht="14.25" customHeight="1">
      <c r="A285" s="406">
        <v>45537.0</v>
      </c>
      <c r="B285" s="349" t="s">
        <v>4314</v>
      </c>
      <c r="C285" s="349" t="s">
        <v>4315</v>
      </c>
      <c r="D285" s="349" t="s">
        <v>4311</v>
      </c>
      <c r="E285" s="349" t="s">
        <v>4105</v>
      </c>
      <c r="F285" s="413">
        <v>870.0</v>
      </c>
      <c r="G285" s="403"/>
      <c r="H285" s="349" t="s">
        <v>4316</v>
      </c>
      <c r="I285" s="402"/>
      <c r="J285" s="402"/>
      <c r="K285" s="402"/>
      <c r="L285" s="402"/>
      <c r="M285" s="402"/>
      <c r="N285" s="402"/>
      <c r="O285" s="402"/>
      <c r="P285" s="402"/>
      <c r="Q285" s="402"/>
      <c r="R285" s="402"/>
      <c r="S285" s="402"/>
      <c r="T285" s="402"/>
      <c r="U285" s="402"/>
      <c r="V285" s="402"/>
      <c r="W285" s="402"/>
      <c r="X285" s="402"/>
      <c r="Y285" s="402"/>
      <c r="Z285" s="402"/>
    </row>
    <row r="286" ht="14.25" customHeight="1">
      <c r="A286" s="406">
        <v>45537.0</v>
      </c>
      <c r="B286" s="349" t="s">
        <v>4262</v>
      </c>
      <c r="C286" s="349" t="s">
        <v>4317</v>
      </c>
      <c r="D286" s="349" t="s">
        <v>4311</v>
      </c>
      <c r="E286" s="349" t="s">
        <v>4105</v>
      </c>
      <c r="F286" s="413">
        <v>830.0</v>
      </c>
      <c r="G286" s="403"/>
      <c r="H286" s="349" t="s">
        <v>4318</v>
      </c>
      <c r="I286" s="402"/>
      <c r="J286" s="402"/>
      <c r="K286" s="402"/>
      <c r="L286" s="402"/>
      <c r="M286" s="402"/>
      <c r="N286" s="402"/>
      <c r="O286" s="402"/>
      <c r="P286" s="402"/>
      <c r="Q286" s="402"/>
      <c r="R286" s="402"/>
      <c r="S286" s="402"/>
      <c r="T286" s="402"/>
      <c r="U286" s="402"/>
      <c r="V286" s="402"/>
      <c r="W286" s="402"/>
      <c r="X286" s="402"/>
      <c r="Y286" s="402"/>
      <c r="Z286" s="402"/>
    </row>
    <row r="287" ht="14.25" customHeight="1">
      <c r="A287" s="406">
        <v>45537.0</v>
      </c>
      <c r="B287" s="349" t="s">
        <v>4159</v>
      </c>
      <c r="C287" s="349" t="s">
        <v>4319</v>
      </c>
      <c r="D287" s="349" t="s">
        <v>4311</v>
      </c>
      <c r="E287" s="349" t="s">
        <v>4105</v>
      </c>
      <c r="F287" s="413">
        <v>49310.0</v>
      </c>
      <c r="G287" s="582">
        <v>35000.0</v>
      </c>
      <c r="H287" s="402"/>
      <c r="I287" s="402"/>
      <c r="J287" s="402"/>
      <c r="K287" s="402"/>
      <c r="L287" s="402"/>
      <c r="M287" s="402"/>
      <c r="N287" s="402"/>
      <c r="O287" s="402"/>
      <c r="P287" s="402"/>
      <c r="Q287" s="402"/>
      <c r="R287" s="402"/>
      <c r="S287" s="402"/>
      <c r="T287" s="402"/>
      <c r="U287" s="402"/>
      <c r="V287" s="402"/>
      <c r="W287" s="402"/>
      <c r="X287" s="402"/>
      <c r="Y287" s="402"/>
      <c r="Z287" s="402"/>
    </row>
    <row r="288" ht="14.25" customHeight="1">
      <c r="A288" s="406">
        <v>45537.0</v>
      </c>
      <c r="B288" s="349" t="s">
        <v>4320</v>
      </c>
      <c r="C288" s="349" t="s">
        <v>4104</v>
      </c>
      <c r="D288" s="349" t="s">
        <v>669</v>
      </c>
      <c r="E288" s="349" t="s">
        <v>4105</v>
      </c>
      <c r="F288" s="413">
        <v>181125.0</v>
      </c>
      <c r="G288" s="403"/>
      <c r="H288" s="349" t="s">
        <v>4321</v>
      </c>
      <c r="I288" s="402"/>
      <c r="J288" s="402"/>
      <c r="K288" s="402"/>
      <c r="L288" s="402"/>
      <c r="M288" s="402"/>
      <c r="N288" s="402"/>
      <c r="O288" s="402"/>
      <c r="P288" s="402"/>
      <c r="Q288" s="402"/>
      <c r="R288" s="402"/>
      <c r="S288" s="402"/>
      <c r="T288" s="402"/>
      <c r="U288" s="402"/>
      <c r="V288" s="402"/>
      <c r="W288" s="402"/>
      <c r="X288" s="402"/>
      <c r="Y288" s="402"/>
      <c r="Z288" s="402"/>
    </row>
    <row r="289" ht="14.25" customHeight="1">
      <c r="A289" s="402"/>
      <c r="B289" s="402"/>
      <c r="C289" s="402"/>
      <c r="D289" s="402"/>
      <c r="E289" s="402"/>
      <c r="F289" s="403"/>
      <c r="G289" s="403"/>
      <c r="H289" s="349"/>
      <c r="I289" s="402"/>
      <c r="J289" s="402"/>
      <c r="K289" s="402"/>
      <c r="L289" s="402"/>
      <c r="M289" s="402"/>
      <c r="N289" s="402"/>
      <c r="O289" s="402"/>
      <c r="P289" s="402"/>
      <c r="Q289" s="402"/>
      <c r="R289" s="402"/>
      <c r="S289" s="402"/>
      <c r="T289" s="402"/>
      <c r="U289" s="402"/>
      <c r="V289" s="402"/>
      <c r="W289" s="402"/>
      <c r="X289" s="402"/>
      <c r="Y289" s="402"/>
      <c r="Z289" s="402"/>
    </row>
    <row r="290" ht="14.25" customHeight="1">
      <c r="A290" s="402"/>
      <c r="B290" s="402"/>
      <c r="C290" s="402"/>
      <c r="D290" s="402"/>
      <c r="E290" s="402"/>
      <c r="F290" s="403"/>
      <c r="G290" s="403"/>
      <c r="H290" s="402"/>
      <c r="I290" s="402"/>
      <c r="J290" s="402"/>
      <c r="K290" s="402"/>
      <c r="L290" s="402"/>
      <c r="M290" s="402"/>
      <c r="N290" s="402"/>
      <c r="O290" s="402"/>
      <c r="P290" s="402"/>
      <c r="Q290" s="402"/>
      <c r="R290" s="402"/>
      <c r="S290" s="402"/>
      <c r="T290" s="402"/>
      <c r="U290" s="402"/>
      <c r="V290" s="402"/>
      <c r="W290" s="402"/>
      <c r="X290" s="402"/>
      <c r="Y290" s="402"/>
      <c r="Z290" s="402"/>
    </row>
    <row r="291" ht="14.25" customHeight="1">
      <c r="A291" s="402"/>
      <c r="B291" s="402"/>
      <c r="C291" s="402"/>
      <c r="D291" s="402"/>
      <c r="E291" s="402"/>
      <c r="F291" s="403"/>
      <c r="G291" s="403"/>
      <c r="H291" s="402"/>
      <c r="I291" s="402"/>
      <c r="J291" s="402"/>
      <c r="K291" s="402"/>
      <c r="L291" s="402"/>
      <c r="M291" s="402"/>
      <c r="N291" s="402"/>
      <c r="O291" s="402"/>
      <c r="P291" s="402"/>
      <c r="Q291" s="402"/>
      <c r="R291" s="402"/>
      <c r="S291" s="402"/>
      <c r="T291" s="402"/>
      <c r="U291" s="402"/>
      <c r="V291" s="402"/>
      <c r="W291" s="402"/>
      <c r="X291" s="402"/>
      <c r="Y291" s="402"/>
      <c r="Z291" s="402"/>
    </row>
    <row r="292" ht="14.25" customHeight="1">
      <c r="A292" s="402"/>
      <c r="B292" s="402"/>
      <c r="C292" s="402"/>
      <c r="D292" s="402"/>
      <c r="E292" s="402"/>
      <c r="F292" s="403"/>
      <c r="G292" s="403"/>
      <c r="H292" s="402"/>
      <c r="I292" s="402"/>
      <c r="J292" s="402"/>
      <c r="K292" s="402"/>
      <c r="L292" s="402"/>
      <c r="M292" s="402"/>
      <c r="N292" s="402"/>
      <c r="O292" s="402"/>
      <c r="P292" s="402"/>
      <c r="Q292" s="402"/>
      <c r="R292" s="402"/>
      <c r="S292" s="402"/>
      <c r="T292" s="402"/>
      <c r="U292" s="402"/>
      <c r="V292" s="402"/>
      <c r="W292" s="402"/>
      <c r="X292" s="402"/>
      <c r="Y292" s="402"/>
      <c r="Z292" s="402"/>
    </row>
    <row r="293" ht="14.25" customHeight="1">
      <c r="A293" s="402"/>
      <c r="B293" s="402"/>
      <c r="C293" s="402"/>
      <c r="D293" s="402"/>
      <c r="E293" s="402"/>
      <c r="F293" s="403"/>
      <c r="G293" s="403"/>
      <c r="H293" s="402"/>
      <c r="I293" s="402"/>
      <c r="J293" s="402"/>
      <c r="K293" s="402"/>
      <c r="L293" s="402"/>
      <c r="M293" s="402"/>
      <c r="N293" s="402"/>
      <c r="O293" s="402"/>
      <c r="P293" s="402"/>
      <c r="Q293" s="402"/>
      <c r="R293" s="402"/>
      <c r="S293" s="402"/>
      <c r="T293" s="402"/>
      <c r="U293" s="402"/>
      <c r="V293" s="402"/>
      <c r="W293" s="402"/>
      <c r="X293" s="402"/>
      <c r="Y293" s="402"/>
      <c r="Z293" s="402"/>
    </row>
    <row r="294" ht="14.25" customHeight="1">
      <c r="A294" s="402"/>
      <c r="B294" s="402"/>
      <c r="C294" s="402"/>
      <c r="D294" s="402"/>
      <c r="E294" s="402"/>
      <c r="F294" s="403"/>
      <c r="G294" s="403"/>
      <c r="H294" s="402"/>
      <c r="I294" s="402"/>
      <c r="J294" s="402"/>
      <c r="K294" s="402"/>
      <c r="L294" s="402"/>
      <c r="M294" s="402"/>
      <c r="N294" s="402"/>
      <c r="O294" s="402"/>
      <c r="P294" s="402"/>
      <c r="Q294" s="402"/>
      <c r="R294" s="402"/>
      <c r="S294" s="402"/>
      <c r="T294" s="402"/>
      <c r="U294" s="402"/>
      <c r="V294" s="402"/>
      <c r="W294" s="402"/>
      <c r="X294" s="402"/>
      <c r="Y294" s="402"/>
      <c r="Z294" s="402"/>
    </row>
    <row r="295" ht="14.25" customHeight="1">
      <c r="A295" s="402"/>
      <c r="B295" s="402"/>
      <c r="C295" s="402"/>
      <c r="D295" s="402"/>
      <c r="E295" s="402"/>
      <c r="F295" s="403"/>
      <c r="G295" s="403"/>
      <c r="H295" s="402"/>
      <c r="I295" s="402"/>
      <c r="J295" s="402"/>
      <c r="K295" s="402"/>
      <c r="L295" s="402"/>
      <c r="M295" s="402"/>
      <c r="N295" s="402"/>
      <c r="O295" s="402"/>
      <c r="P295" s="402"/>
      <c r="Q295" s="402"/>
      <c r="R295" s="402"/>
      <c r="S295" s="402"/>
      <c r="T295" s="402"/>
      <c r="U295" s="402"/>
      <c r="V295" s="402"/>
      <c r="W295" s="402"/>
      <c r="X295" s="402"/>
      <c r="Y295" s="402"/>
      <c r="Z295" s="402"/>
    </row>
    <row r="296" ht="14.25" customHeight="1">
      <c r="A296" s="402"/>
      <c r="B296" s="402"/>
      <c r="C296" s="402"/>
      <c r="D296" s="402"/>
      <c r="E296" s="402"/>
      <c r="F296" s="403"/>
      <c r="G296" s="403"/>
      <c r="H296" s="402"/>
      <c r="I296" s="402"/>
      <c r="J296" s="402"/>
      <c r="K296" s="402"/>
      <c r="L296" s="402"/>
      <c r="M296" s="402"/>
      <c r="N296" s="402"/>
      <c r="O296" s="402"/>
      <c r="P296" s="402"/>
      <c r="Q296" s="402"/>
      <c r="R296" s="402"/>
      <c r="S296" s="402"/>
      <c r="T296" s="402"/>
      <c r="U296" s="402"/>
      <c r="V296" s="402"/>
      <c r="W296" s="402"/>
      <c r="X296" s="402"/>
      <c r="Y296" s="402"/>
      <c r="Z296" s="402"/>
    </row>
    <row r="297" ht="14.25" customHeight="1">
      <c r="A297" s="402"/>
      <c r="B297" s="402"/>
      <c r="C297" s="402"/>
      <c r="D297" s="402"/>
      <c r="E297" s="402"/>
      <c r="F297" s="403"/>
      <c r="G297" s="403"/>
      <c r="H297" s="402"/>
      <c r="I297" s="402"/>
      <c r="J297" s="402"/>
      <c r="K297" s="402"/>
      <c r="L297" s="402"/>
      <c r="M297" s="402"/>
      <c r="N297" s="402"/>
      <c r="O297" s="402"/>
      <c r="P297" s="402"/>
      <c r="Q297" s="402"/>
      <c r="R297" s="402"/>
      <c r="S297" s="402"/>
      <c r="T297" s="402"/>
      <c r="U297" s="402"/>
      <c r="V297" s="402"/>
      <c r="W297" s="402"/>
      <c r="X297" s="402"/>
      <c r="Y297" s="402"/>
      <c r="Z297" s="402"/>
    </row>
    <row r="298" ht="14.25" customHeight="1">
      <c r="A298" s="402"/>
      <c r="B298" s="402"/>
      <c r="C298" s="402"/>
      <c r="D298" s="402"/>
      <c r="E298" s="402"/>
      <c r="F298" s="403"/>
      <c r="G298" s="403"/>
      <c r="H298" s="402"/>
      <c r="I298" s="402"/>
      <c r="J298" s="402"/>
      <c r="K298" s="402"/>
      <c r="L298" s="402"/>
      <c r="M298" s="402"/>
      <c r="N298" s="402"/>
      <c r="O298" s="402"/>
      <c r="P298" s="402"/>
      <c r="Q298" s="402"/>
      <c r="R298" s="402"/>
      <c r="S298" s="402"/>
      <c r="T298" s="402"/>
      <c r="U298" s="402"/>
      <c r="V298" s="402"/>
      <c r="W298" s="402"/>
      <c r="X298" s="402"/>
      <c r="Y298" s="402"/>
      <c r="Z298" s="402"/>
    </row>
    <row r="299" ht="14.25" customHeight="1">
      <c r="A299" s="402"/>
      <c r="B299" s="402"/>
      <c r="C299" s="402"/>
      <c r="D299" s="402"/>
      <c r="E299" s="402"/>
      <c r="F299" s="403"/>
      <c r="G299" s="403"/>
      <c r="H299" s="402"/>
      <c r="I299" s="402"/>
      <c r="J299" s="402"/>
      <c r="K299" s="402"/>
      <c r="L299" s="402"/>
      <c r="M299" s="402"/>
      <c r="N299" s="402"/>
      <c r="O299" s="402"/>
      <c r="P299" s="402"/>
      <c r="Q299" s="402"/>
      <c r="R299" s="402"/>
      <c r="S299" s="402"/>
      <c r="T299" s="402"/>
      <c r="U299" s="402"/>
      <c r="V299" s="402"/>
      <c r="W299" s="402"/>
      <c r="X299" s="402"/>
      <c r="Y299" s="402"/>
      <c r="Z299" s="402"/>
    </row>
    <row r="300" ht="14.25" customHeight="1">
      <c r="A300" s="402"/>
      <c r="B300" s="402"/>
      <c r="C300" s="402"/>
      <c r="D300" s="402"/>
      <c r="E300" s="402"/>
      <c r="F300" s="403"/>
      <c r="G300" s="403"/>
      <c r="H300" s="402"/>
      <c r="I300" s="402"/>
      <c r="J300" s="402"/>
      <c r="K300" s="402"/>
      <c r="L300" s="402"/>
      <c r="M300" s="402"/>
      <c r="N300" s="402"/>
      <c r="O300" s="402"/>
      <c r="P300" s="402"/>
      <c r="Q300" s="402"/>
      <c r="R300" s="402"/>
      <c r="S300" s="402"/>
      <c r="T300" s="402"/>
      <c r="U300" s="402"/>
      <c r="V300" s="402"/>
      <c r="W300" s="402"/>
      <c r="X300" s="402"/>
      <c r="Y300" s="402"/>
      <c r="Z300" s="402"/>
    </row>
    <row r="301" ht="14.25" customHeight="1">
      <c r="A301" s="402"/>
      <c r="B301" s="402"/>
      <c r="C301" s="402"/>
      <c r="D301" s="402"/>
      <c r="E301" s="402"/>
      <c r="F301" s="403"/>
      <c r="G301" s="403"/>
      <c r="H301" s="402"/>
      <c r="I301" s="402"/>
      <c r="J301" s="402"/>
      <c r="K301" s="402"/>
      <c r="L301" s="402"/>
      <c r="M301" s="402"/>
      <c r="N301" s="402"/>
      <c r="O301" s="402"/>
      <c r="P301" s="402"/>
      <c r="Q301" s="402"/>
      <c r="R301" s="402"/>
      <c r="S301" s="402"/>
      <c r="T301" s="402"/>
      <c r="U301" s="402"/>
      <c r="V301" s="402"/>
      <c r="W301" s="402"/>
      <c r="X301" s="402"/>
      <c r="Y301" s="402"/>
      <c r="Z301" s="402"/>
    </row>
    <row r="302" ht="14.25" customHeight="1">
      <c r="A302" s="402"/>
      <c r="B302" s="402"/>
      <c r="C302" s="402"/>
      <c r="D302" s="402"/>
      <c r="E302" s="402"/>
      <c r="F302" s="403"/>
      <c r="G302" s="403"/>
      <c r="H302" s="402"/>
      <c r="I302" s="402"/>
      <c r="J302" s="402"/>
      <c r="K302" s="402"/>
      <c r="L302" s="402"/>
      <c r="M302" s="402"/>
      <c r="N302" s="402"/>
      <c r="O302" s="402"/>
      <c r="P302" s="402"/>
      <c r="Q302" s="402"/>
      <c r="R302" s="402"/>
      <c r="S302" s="402"/>
      <c r="T302" s="402"/>
      <c r="U302" s="402"/>
      <c r="V302" s="402"/>
      <c r="W302" s="402"/>
      <c r="X302" s="402"/>
      <c r="Y302" s="402"/>
      <c r="Z302" s="402"/>
    </row>
    <row r="303" ht="14.25" customHeight="1">
      <c r="A303" s="402"/>
      <c r="B303" s="402"/>
      <c r="C303" s="402"/>
      <c r="D303" s="402"/>
      <c r="E303" s="402"/>
      <c r="F303" s="403"/>
      <c r="G303" s="403"/>
      <c r="H303" s="402"/>
      <c r="I303" s="402"/>
      <c r="J303" s="402"/>
      <c r="K303" s="402"/>
      <c r="L303" s="402"/>
      <c r="M303" s="402"/>
      <c r="N303" s="402"/>
      <c r="O303" s="402"/>
      <c r="P303" s="402"/>
      <c r="Q303" s="402"/>
      <c r="R303" s="402"/>
      <c r="S303" s="402"/>
      <c r="T303" s="402"/>
      <c r="U303" s="402"/>
      <c r="V303" s="402"/>
      <c r="W303" s="402"/>
      <c r="X303" s="402"/>
      <c r="Y303" s="402"/>
      <c r="Z303" s="402"/>
    </row>
    <row r="304" ht="14.25" customHeight="1">
      <c r="A304" s="402"/>
      <c r="B304" s="402"/>
      <c r="C304" s="402"/>
      <c r="D304" s="402"/>
      <c r="E304" s="402"/>
      <c r="F304" s="403"/>
      <c r="G304" s="403"/>
      <c r="H304" s="402"/>
      <c r="I304" s="402"/>
      <c r="J304" s="402"/>
      <c r="K304" s="402"/>
      <c r="L304" s="402"/>
      <c r="M304" s="402"/>
      <c r="N304" s="402"/>
      <c r="O304" s="402"/>
      <c r="P304" s="402"/>
      <c r="Q304" s="402"/>
      <c r="R304" s="402"/>
      <c r="S304" s="402"/>
      <c r="T304" s="402"/>
      <c r="U304" s="402"/>
      <c r="V304" s="402"/>
      <c r="W304" s="402"/>
      <c r="X304" s="402"/>
      <c r="Y304" s="402"/>
      <c r="Z304" s="402"/>
    </row>
    <row r="305" ht="14.25" customHeight="1">
      <c r="A305" s="402"/>
      <c r="B305" s="402"/>
      <c r="C305" s="402"/>
      <c r="D305" s="402"/>
      <c r="E305" s="402"/>
      <c r="F305" s="403"/>
      <c r="G305" s="403"/>
      <c r="H305" s="402"/>
      <c r="I305" s="402"/>
      <c r="J305" s="402"/>
      <c r="K305" s="402"/>
      <c r="L305" s="402"/>
      <c r="M305" s="402"/>
      <c r="N305" s="402"/>
      <c r="O305" s="402"/>
      <c r="P305" s="402"/>
      <c r="Q305" s="402"/>
      <c r="R305" s="402"/>
      <c r="S305" s="402"/>
      <c r="T305" s="402"/>
      <c r="U305" s="402"/>
      <c r="V305" s="402"/>
      <c r="W305" s="402"/>
      <c r="X305" s="402"/>
      <c r="Y305" s="402"/>
      <c r="Z305" s="402"/>
    </row>
    <row r="306" ht="14.25" customHeight="1">
      <c r="A306" s="402"/>
      <c r="B306" s="402"/>
      <c r="C306" s="402"/>
      <c r="D306" s="402"/>
      <c r="E306" s="402"/>
      <c r="F306" s="403"/>
      <c r="G306" s="403"/>
      <c r="H306" s="402"/>
      <c r="I306" s="402"/>
      <c r="J306" s="402"/>
      <c r="K306" s="402"/>
      <c r="L306" s="402"/>
      <c r="M306" s="402"/>
      <c r="N306" s="402"/>
      <c r="O306" s="402"/>
      <c r="P306" s="402"/>
      <c r="Q306" s="402"/>
      <c r="R306" s="402"/>
      <c r="S306" s="402"/>
      <c r="T306" s="402"/>
      <c r="U306" s="402"/>
      <c r="V306" s="402"/>
      <c r="W306" s="402"/>
      <c r="X306" s="402"/>
      <c r="Y306" s="402"/>
      <c r="Z306" s="402"/>
    </row>
    <row r="307" ht="14.25" customHeight="1">
      <c r="A307" s="402"/>
      <c r="B307" s="402"/>
      <c r="C307" s="402"/>
      <c r="D307" s="402"/>
      <c r="E307" s="402"/>
      <c r="F307" s="403"/>
      <c r="G307" s="403"/>
      <c r="H307" s="402"/>
      <c r="I307" s="402"/>
      <c r="J307" s="402"/>
      <c r="K307" s="402"/>
      <c r="L307" s="402"/>
      <c r="M307" s="402"/>
      <c r="N307" s="402"/>
      <c r="O307" s="402"/>
      <c r="P307" s="402"/>
      <c r="Q307" s="402"/>
      <c r="R307" s="402"/>
      <c r="S307" s="402"/>
      <c r="T307" s="402"/>
      <c r="U307" s="402"/>
      <c r="V307" s="402"/>
      <c r="W307" s="402"/>
      <c r="X307" s="402"/>
      <c r="Y307" s="402"/>
      <c r="Z307" s="402"/>
    </row>
    <row r="308" ht="14.25" customHeight="1">
      <c r="A308" s="402"/>
      <c r="B308" s="402"/>
      <c r="C308" s="402"/>
      <c r="D308" s="402"/>
      <c r="E308" s="402"/>
      <c r="F308" s="403"/>
      <c r="G308" s="403"/>
      <c r="H308" s="402"/>
      <c r="I308" s="402"/>
      <c r="J308" s="402"/>
      <c r="K308" s="402"/>
      <c r="L308" s="402"/>
      <c r="M308" s="402"/>
      <c r="N308" s="402"/>
      <c r="O308" s="402"/>
      <c r="P308" s="402"/>
      <c r="Q308" s="402"/>
      <c r="R308" s="402"/>
      <c r="S308" s="402"/>
      <c r="T308" s="402"/>
      <c r="U308" s="402"/>
      <c r="V308" s="402"/>
      <c r="W308" s="402"/>
      <c r="X308" s="402"/>
      <c r="Y308" s="402"/>
      <c r="Z308" s="402"/>
    </row>
    <row r="309" ht="14.25" customHeight="1">
      <c r="A309" s="402"/>
      <c r="B309" s="402"/>
      <c r="C309" s="402"/>
      <c r="D309" s="402"/>
      <c r="E309" s="402"/>
      <c r="F309" s="403"/>
      <c r="G309" s="403"/>
      <c r="H309" s="402"/>
      <c r="I309" s="402"/>
      <c r="J309" s="402"/>
      <c r="K309" s="402"/>
      <c r="L309" s="402"/>
      <c r="M309" s="402"/>
      <c r="N309" s="402"/>
      <c r="O309" s="402"/>
      <c r="P309" s="402"/>
      <c r="Q309" s="402"/>
      <c r="R309" s="402"/>
      <c r="S309" s="402"/>
      <c r="T309" s="402"/>
      <c r="U309" s="402"/>
      <c r="V309" s="402"/>
      <c r="W309" s="402"/>
      <c r="X309" s="402"/>
      <c r="Y309" s="402"/>
      <c r="Z309" s="402"/>
    </row>
    <row r="310" ht="14.25" customHeight="1">
      <c r="A310" s="402"/>
      <c r="B310" s="402"/>
      <c r="C310" s="402"/>
      <c r="D310" s="402"/>
      <c r="E310" s="402"/>
      <c r="F310" s="403"/>
      <c r="G310" s="403"/>
      <c r="H310" s="402"/>
      <c r="I310" s="402"/>
      <c r="J310" s="402"/>
      <c r="K310" s="402"/>
      <c r="L310" s="402"/>
      <c r="M310" s="402"/>
      <c r="N310" s="402"/>
      <c r="O310" s="402"/>
      <c r="P310" s="402"/>
      <c r="Q310" s="402"/>
      <c r="R310" s="402"/>
      <c r="S310" s="402"/>
      <c r="T310" s="402"/>
      <c r="U310" s="402"/>
      <c r="V310" s="402"/>
      <c r="W310" s="402"/>
      <c r="X310" s="402"/>
      <c r="Y310" s="402"/>
      <c r="Z310" s="402"/>
    </row>
    <row r="311" ht="14.25" customHeight="1">
      <c r="A311" s="402"/>
      <c r="B311" s="402"/>
      <c r="C311" s="402"/>
      <c r="D311" s="402"/>
      <c r="E311" s="402"/>
      <c r="F311" s="403"/>
      <c r="G311" s="403"/>
      <c r="H311" s="402"/>
      <c r="I311" s="402"/>
      <c r="J311" s="402"/>
      <c r="K311" s="402"/>
      <c r="L311" s="402"/>
      <c r="M311" s="402"/>
      <c r="N311" s="402"/>
      <c r="O311" s="402"/>
      <c r="P311" s="402"/>
      <c r="Q311" s="402"/>
      <c r="R311" s="402"/>
      <c r="S311" s="402"/>
      <c r="T311" s="402"/>
      <c r="U311" s="402"/>
      <c r="V311" s="402"/>
      <c r="W311" s="402"/>
      <c r="X311" s="402"/>
      <c r="Y311" s="402"/>
      <c r="Z311" s="402"/>
    </row>
    <row r="312" ht="14.25" customHeight="1">
      <c r="A312" s="402"/>
      <c r="B312" s="402"/>
      <c r="C312" s="402"/>
      <c r="D312" s="402"/>
      <c r="E312" s="402"/>
      <c r="F312" s="403"/>
      <c r="G312" s="403"/>
      <c r="H312" s="402"/>
      <c r="I312" s="402"/>
      <c r="J312" s="402"/>
      <c r="K312" s="402"/>
      <c r="L312" s="402"/>
      <c r="M312" s="402"/>
      <c r="N312" s="402"/>
      <c r="O312" s="402"/>
      <c r="P312" s="402"/>
      <c r="Q312" s="402"/>
      <c r="R312" s="402"/>
      <c r="S312" s="402"/>
      <c r="T312" s="402"/>
      <c r="U312" s="402"/>
      <c r="V312" s="402"/>
      <c r="W312" s="402"/>
      <c r="X312" s="402"/>
      <c r="Y312" s="402"/>
      <c r="Z312" s="402"/>
    </row>
    <row r="313" ht="14.25" customHeight="1">
      <c r="A313" s="402"/>
      <c r="B313" s="402"/>
      <c r="C313" s="402"/>
      <c r="D313" s="402"/>
      <c r="E313" s="402"/>
      <c r="F313" s="403"/>
      <c r="G313" s="403"/>
      <c r="H313" s="402"/>
      <c r="I313" s="402"/>
      <c r="J313" s="402"/>
      <c r="K313" s="402"/>
      <c r="L313" s="402"/>
      <c r="M313" s="402"/>
      <c r="N313" s="402"/>
      <c r="O313" s="402"/>
      <c r="P313" s="402"/>
      <c r="Q313" s="402"/>
      <c r="R313" s="402"/>
      <c r="S313" s="402"/>
      <c r="T313" s="402"/>
      <c r="U313" s="402"/>
      <c r="V313" s="402"/>
      <c r="W313" s="402"/>
      <c r="X313" s="402"/>
      <c r="Y313" s="402"/>
      <c r="Z313" s="402"/>
    </row>
    <row r="314" ht="14.25" customHeight="1">
      <c r="A314" s="402"/>
      <c r="B314" s="402"/>
      <c r="C314" s="402"/>
      <c r="D314" s="402"/>
      <c r="E314" s="402"/>
      <c r="F314" s="403"/>
      <c r="G314" s="403"/>
      <c r="H314" s="402"/>
      <c r="I314" s="402"/>
      <c r="J314" s="402"/>
      <c r="K314" s="402"/>
      <c r="L314" s="402"/>
      <c r="M314" s="402"/>
      <c r="N314" s="402"/>
      <c r="O314" s="402"/>
      <c r="P314" s="402"/>
      <c r="Q314" s="402"/>
      <c r="R314" s="402"/>
      <c r="S314" s="402"/>
      <c r="T314" s="402"/>
      <c r="U314" s="402"/>
      <c r="V314" s="402"/>
      <c r="W314" s="402"/>
      <c r="X314" s="402"/>
      <c r="Y314" s="402"/>
      <c r="Z314" s="402"/>
    </row>
    <row r="315" ht="14.25" customHeight="1">
      <c r="A315" s="402"/>
      <c r="B315" s="402"/>
      <c r="C315" s="402"/>
      <c r="D315" s="402"/>
      <c r="E315" s="402"/>
      <c r="F315" s="403"/>
      <c r="G315" s="403"/>
      <c r="H315" s="402"/>
      <c r="I315" s="402"/>
      <c r="J315" s="402"/>
      <c r="K315" s="402"/>
      <c r="L315" s="402"/>
      <c r="M315" s="402"/>
      <c r="N315" s="402"/>
      <c r="O315" s="402"/>
      <c r="P315" s="402"/>
      <c r="Q315" s="402"/>
      <c r="R315" s="402"/>
      <c r="S315" s="402"/>
      <c r="T315" s="402"/>
      <c r="U315" s="402"/>
      <c r="V315" s="402"/>
      <c r="W315" s="402"/>
      <c r="X315" s="402"/>
      <c r="Y315" s="402"/>
      <c r="Z315" s="402"/>
    </row>
    <row r="316" ht="14.25" customHeight="1">
      <c r="A316" s="402"/>
      <c r="B316" s="402"/>
      <c r="C316" s="402"/>
      <c r="D316" s="402"/>
      <c r="E316" s="402"/>
      <c r="F316" s="403"/>
      <c r="G316" s="403"/>
      <c r="H316" s="402"/>
      <c r="I316" s="402"/>
      <c r="J316" s="402"/>
      <c r="K316" s="402"/>
      <c r="L316" s="402"/>
      <c r="M316" s="402"/>
      <c r="N316" s="402"/>
      <c r="O316" s="402"/>
      <c r="P316" s="402"/>
      <c r="Q316" s="402"/>
      <c r="R316" s="402"/>
      <c r="S316" s="402"/>
      <c r="T316" s="402"/>
      <c r="U316" s="402"/>
      <c r="V316" s="402"/>
      <c r="W316" s="402"/>
      <c r="X316" s="402"/>
      <c r="Y316" s="402"/>
      <c r="Z316" s="402"/>
    </row>
    <row r="317" ht="14.25" customHeight="1">
      <c r="A317" s="402"/>
      <c r="B317" s="402"/>
      <c r="C317" s="402"/>
      <c r="D317" s="402"/>
      <c r="E317" s="402"/>
      <c r="F317" s="403"/>
      <c r="G317" s="403"/>
      <c r="H317" s="402"/>
      <c r="I317" s="402"/>
      <c r="J317" s="402"/>
      <c r="K317" s="402"/>
      <c r="L317" s="402"/>
      <c r="M317" s="402"/>
      <c r="N317" s="402"/>
      <c r="O317" s="402"/>
      <c r="P317" s="402"/>
      <c r="Q317" s="402"/>
      <c r="R317" s="402"/>
      <c r="S317" s="402"/>
      <c r="T317" s="402"/>
      <c r="U317" s="402"/>
      <c r="V317" s="402"/>
      <c r="W317" s="402"/>
      <c r="X317" s="402"/>
      <c r="Y317" s="402"/>
      <c r="Z317" s="402"/>
    </row>
    <row r="318" ht="14.25" customHeight="1">
      <c r="A318" s="402"/>
      <c r="B318" s="402"/>
      <c r="C318" s="402"/>
      <c r="D318" s="402"/>
      <c r="E318" s="402"/>
      <c r="F318" s="403"/>
      <c r="G318" s="403"/>
      <c r="H318" s="402"/>
      <c r="I318" s="402"/>
      <c r="J318" s="402"/>
      <c r="K318" s="402"/>
      <c r="L318" s="402"/>
      <c r="M318" s="402"/>
      <c r="N318" s="402"/>
      <c r="O318" s="402"/>
      <c r="P318" s="402"/>
      <c r="Q318" s="402"/>
      <c r="R318" s="402"/>
      <c r="S318" s="402"/>
      <c r="T318" s="402"/>
      <c r="U318" s="402"/>
      <c r="V318" s="402"/>
      <c r="W318" s="402"/>
      <c r="X318" s="402"/>
      <c r="Y318" s="402"/>
      <c r="Z318" s="402"/>
    </row>
    <row r="319" ht="14.25" customHeight="1">
      <c r="A319" s="402"/>
      <c r="B319" s="402"/>
      <c r="C319" s="402"/>
      <c r="D319" s="402"/>
      <c r="E319" s="402"/>
      <c r="F319" s="403"/>
      <c r="G319" s="403"/>
      <c r="H319" s="402"/>
      <c r="I319" s="402"/>
      <c r="J319" s="402"/>
      <c r="K319" s="402"/>
      <c r="L319" s="402"/>
      <c r="M319" s="402"/>
      <c r="N319" s="402"/>
      <c r="O319" s="402"/>
      <c r="P319" s="402"/>
      <c r="Q319" s="402"/>
      <c r="R319" s="402"/>
      <c r="S319" s="402"/>
      <c r="T319" s="402"/>
      <c r="U319" s="402"/>
      <c r="V319" s="402"/>
      <c r="W319" s="402"/>
      <c r="X319" s="402"/>
      <c r="Y319" s="402"/>
      <c r="Z319" s="402"/>
    </row>
    <row r="320" ht="14.25" customHeight="1">
      <c r="A320" s="402"/>
      <c r="B320" s="402"/>
      <c r="C320" s="402"/>
      <c r="D320" s="402"/>
      <c r="E320" s="402"/>
      <c r="F320" s="403"/>
      <c r="G320" s="403"/>
      <c r="H320" s="402"/>
      <c r="I320" s="402"/>
      <c r="J320" s="402"/>
      <c r="K320" s="402"/>
      <c r="L320" s="402"/>
      <c r="M320" s="402"/>
      <c r="N320" s="402"/>
      <c r="O320" s="402"/>
      <c r="P320" s="402"/>
      <c r="Q320" s="402"/>
      <c r="R320" s="402"/>
      <c r="S320" s="402"/>
      <c r="T320" s="402"/>
      <c r="U320" s="402"/>
      <c r="V320" s="402"/>
      <c r="W320" s="402"/>
      <c r="X320" s="402"/>
      <c r="Y320" s="402"/>
      <c r="Z320" s="402"/>
    </row>
    <row r="321" ht="14.25" customHeight="1">
      <c r="A321" s="402"/>
      <c r="B321" s="402"/>
      <c r="C321" s="402"/>
      <c r="D321" s="402"/>
      <c r="E321" s="402"/>
      <c r="F321" s="403"/>
      <c r="G321" s="403"/>
      <c r="H321" s="402"/>
      <c r="I321" s="402"/>
      <c r="J321" s="402"/>
      <c r="K321" s="402"/>
      <c r="L321" s="402"/>
      <c r="M321" s="402"/>
      <c r="N321" s="402"/>
      <c r="O321" s="402"/>
      <c r="P321" s="402"/>
      <c r="Q321" s="402"/>
      <c r="R321" s="402"/>
      <c r="S321" s="402"/>
      <c r="T321" s="402"/>
      <c r="U321" s="402"/>
      <c r="V321" s="402"/>
      <c r="W321" s="402"/>
      <c r="X321" s="402"/>
      <c r="Y321" s="402"/>
      <c r="Z321" s="402"/>
    </row>
    <row r="322" ht="14.25" customHeight="1">
      <c r="A322" s="402"/>
      <c r="B322" s="402"/>
      <c r="C322" s="402"/>
      <c r="D322" s="402"/>
      <c r="E322" s="402"/>
      <c r="F322" s="403"/>
      <c r="G322" s="403"/>
      <c r="H322" s="402"/>
      <c r="I322" s="402"/>
      <c r="J322" s="402"/>
      <c r="K322" s="402"/>
      <c r="L322" s="402"/>
      <c r="M322" s="402"/>
      <c r="N322" s="402"/>
      <c r="O322" s="402"/>
      <c r="P322" s="402"/>
      <c r="Q322" s="402"/>
      <c r="R322" s="402"/>
      <c r="S322" s="402"/>
      <c r="T322" s="402"/>
      <c r="U322" s="402"/>
      <c r="V322" s="402"/>
      <c r="W322" s="402"/>
      <c r="X322" s="402"/>
      <c r="Y322" s="402"/>
      <c r="Z322" s="402"/>
    </row>
    <row r="323" ht="14.25" customHeight="1">
      <c r="A323" s="402"/>
      <c r="B323" s="402"/>
      <c r="C323" s="402"/>
      <c r="D323" s="402"/>
      <c r="E323" s="402"/>
      <c r="F323" s="403"/>
      <c r="G323" s="403"/>
      <c r="H323" s="402"/>
      <c r="I323" s="402"/>
      <c r="J323" s="402"/>
      <c r="K323" s="402"/>
      <c r="L323" s="402"/>
      <c r="M323" s="402"/>
      <c r="N323" s="402"/>
      <c r="O323" s="402"/>
      <c r="P323" s="402"/>
      <c r="Q323" s="402"/>
      <c r="R323" s="402"/>
      <c r="S323" s="402"/>
      <c r="T323" s="402"/>
      <c r="U323" s="402"/>
      <c r="V323" s="402"/>
      <c r="W323" s="402"/>
      <c r="X323" s="402"/>
      <c r="Y323" s="402"/>
      <c r="Z323" s="402"/>
    </row>
    <row r="324" ht="14.25" customHeight="1">
      <c r="A324" s="402"/>
      <c r="B324" s="402"/>
      <c r="C324" s="402"/>
      <c r="D324" s="402"/>
      <c r="E324" s="402"/>
      <c r="F324" s="403"/>
      <c r="G324" s="403"/>
      <c r="H324" s="402"/>
      <c r="I324" s="402"/>
      <c r="J324" s="402"/>
      <c r="K324" s="402"/>
      <c r="L324" s="402"/>
      <c r="M324" s="402"/>
      <c r="N324" s="402"/>
      <c r="O324" s="402"/>
      <c r="P324" s="402"/>
      <c r="Q324" s="402"/>
      <c r="R324" s="402"/>
      <c r="S324" s="402"/>
      <c r="T324" s="402"/>
      <c r="U324" s="402"/>
      <c r="V324" s="402"/>
      <c r="W324" s="402"/>
      <c r="X324" s="402"/>
      <c r="Y324" s="402"/>
      <c r="Z324" s="402"/>
    </row>
    <row r="325" ht="14.25" customHeight="1">
      <c r="A325" s="402"/>
      <c r="B325" s="402"/>
      <c r="C325" s="402"/>
      <c r="D325" s="402"/>
      <c r="E325" s="402"/>
      <c r="F325" s="403"/>
      <c r="G325" s="403"/>
      <c r="H325" s="402"/>
      <c r="I325" s="402"/>
      <c r="J325" s="402"/>
      <c r="K325" s="402"/>
      <c r="L325" s="402"/>
      <c r="M325" s="402"/>
      <c r="N325" s="402"/>
      <c r="O325" s="402"/>
      <c r="P325" s="402"/>
      <c r="Q325" s="402"/>
      <c r="R325" s="402"/>
      <c r="S325" s="402"/>
      <c r="T325" s="402"/>
      <c r="U325" s="402"/>
      <c r="V325" s="402"/>
      <c r="W325" s="402"/>
      <c r="X325" s="402"/>
      <c r="Y325" s="402"/>
      <c r="Z325" s="402"/>
    </row>
    <row r="326" ht="14.25" customHeight="1">
      <c r="A326" s="402"/>
      <c r="B326" s="402"/>
      <c r="C326" s="402"/>
      <c r="D326" s="402"/>
      <c r="E326" s="402"/>
      <c r="F326" s="403"/>
      <c r="G326" s="403"/>
      <c r="H326" s="402"/>
      <c r="I326" s="402"/>
      <c r="J326" s="402"/>
      <c r="K326" s="402"/>
      <c r="L326" s="402"/>
      <c r="M326" s="402"/>
      <c r="N326" s="402"/>
      <c r="O326" s="402"/>
      <c r="P326" s="402"/>
      <c r="Q326" s="402"/>
      <c r="R326" s="402"/>
      <c r="S326" s="402"/>
      <c r="T326" s="402"/>
      <c r="U326" s="402"/>
      <c r="V326" s="402"/>
      <c r="W326" s="402"/>
      <c r="X326" s="402"/>
      <c r="Y326" s="402"/>
      <c r="Z326" s="402"/>
    </row>
    <row r="327" ht="14.25" customHeight="1">
      <c r="A327" s="402"/>
      <c r="B327" s="402"/>
      <c r="C327" s="402"/>
      <c r="D327" s="402"/>
      <c r="E327" s="402"/>
      <c r="F327" s="403"/>
      <c r="G327" s="403"/>
      <c r="H327" s="402"/>
      <c r="I327" s="402"/>
      <c r="J327" s="402"/>
      <c r="K327" s="402"/>
      <c r="L327" s="402"/>
      <c r="M327" s="402"/>
      <c r="N327" s="402"/>
      <c r="O327" s="402"/>
      <c r="P327" s="402"/>
      <c r="Q327" s="402"/>
      <c r="R327" s="402"/>
      <c r="S327" s="402"/>
      <c r="T327" s="402"/>
      <c r="U327" s="402"/>
      <c r="V327" s="402"/>
      <c r="W327" s="402"/>
      <c r="X327" s="402"/>
      <c r="Y327" s="402"/>
      <c r="Z327" s="402"/>
    </row>
    <row r="328" ht="14.25" customHeight="1">
      <c r="A328" s="402"/>
      <c r="B328" s="402"/>
      <c r="C328" s="402"/>
      <c r="D328" s="402"/>
      <c r="E328" s="402"/>
      <c r="F328" s="403"/>
      <c r="G328" s="403"/>
      <c r="H328" s="402"/>
      <c r="I328" s="402"/>
      <c r="J328" s="402"/>
      <c r="K328" s="402"/>
      <c r="L328" s="402"/>
      <c r="M328" s="402"/>
      <c r="N328" s="402"/>
      <c r="O328" s="402"/>
      <c r="P328" s="402"/>
      <c r="Q328" s="402"/>
      <c r="R328" s="402"/>
      <c r="S328" s="402"/>
      <c r="T328" s="402"/>
      <c r="U328" s="402"/>
      <c r="V328" s="402"/>
      <c r="W328" s="402"/>
      <c r="X328" s="402"/>
      <c r="Y328" s="402"/>
      <c r="Z328" s="402"/>
    </row>
    <row r="329" ht="14.25" customHeight="1">
      <c r="A329" s="402"/>
      <c r="B329" s="402"/>
      <c r="C329" s="402"/>
      <c r="D329" s="402"/>
      <c r="E329" s="402"/>
      <c r="F329" s="403"/>
      <c r="G329" s="403"/>
      <c r="H329" s="402"/>
      <c r="I329" s="402"/>
      <c r="J329" s="402"/>
      <c r="K329" s="402"/>
      <c r="L329" s="402"/>
      <c r="M329" s="402"/>
      <c r="N329" s="402"/>
      <c r="O329" s="402"/>
      <c r="P329" s="402"/>
      <c r="Q329" s="402"/>
      <c r="R329" s="402"/>
      <c r="S329" s="402"/>
      <c r="T329" s="402"/>
      <c r="U329" s="402"/>
      <c r="V329" s="402"/>
      <c r="W329" s="402"/>
      <c r="X329" s="402"/>
      <c r="Y329" s="402"/>
      <c r="Z329" s="402"/>
    </row>
    <row r="330" ht="14.25" customHeight="1">
      <c r="A330" s="402"/>
      <c r="B330" s="402"/>
      <c r="C330" s="402"/>
      <c r="D330" s="402"/>
      <c r="E330" s="402"/>
      <c r="F330" s="403"/>
      <c r="G330" s="403"/>
      <c r="H330" s="402"/>
      <c r="I330" s="402"/>
      <c r="J330" s="402"/>
      <c r="K330" s="402"/>
      <c r="L330" s="402"/>
      <c r="M330" s="402"/>
      <c r="N330" s="402"/>
      <c r="O330" s="402"/>
      <c r="P330" s="402"/>
      <c r="Q330" s="402"/>
      <c r="R330" s="402"/>
      <c r="S330" s="402"/>
      <c r="T330" s="402"/>
      <c r="U330" s="402"/>
      <c r="V330" s="402"/>
      <c r="W330" s="402"/>
      <c r="X330" s="402"/>
      <c r="Y330" s="402"/>
      <c r="Z330" s="402"/>
    </row>
    <row r="331" ht="14.25" customHeight="1">
      <c r="A331" s="402"/>
      <c r="B331" s="402"/>
      <c r="C331" s="402"/>
      <c r="D331" s="402"/>
      <c r="E331" s="402"/>
      <c r="F331" s="403"/>
      <c r="G331" s="403"/>
      <c r="H331" s="402"/>
      <c r="I331" s="402"/>
      <c r="J331" s="402"/>
      <c r="K331" s="402"/>
      <c r="L331" s="402"/>
      <c r="M331" s="402"/>
      <c r="N331" s="402"/>
      <c r="O331" s="402"/>
      <c r="P331" s="402"/>
      <c r="Q331" s="402"/>
      <c r="R331" s="402"/>
      <c r="S331" s="402"/>
      <c r="T331" s="402"/>
      <c r="U331" s="402"/>
      <c r="V331" s="402"/>
      <c r="W331" s="402"/>
      <c r="X331" s="402"/>
      <c r="Y331" s="402"/>
      <c r="Z331" s="402"/>
    </row>
    <row r="332" ht="14.25" customHeight="1">
      <c r="A332" s="402"/>
      <c r="B332" s="402"/>
      <c r="C332" s="402"/>
      <c r="D332" s="402"/>
      <c r="E332" s="402"/>
      <c r="F332" s="403"/>
      <c r="G332" s="403"/>
      <c r="H332" s="402"/>
      <c r="I332" s="402"/>
      <c r="J332" s="402"/>
      <c r="K332" s="402"/>
      <c r="L332" s="402"/>
      <c r="M332" s="402"/>
      <c r="N332" s="402"/>
      <c r="O332" s="402"/>
      <c r="P332" s="402"/>
      <c r="Q332" s="402"/>
      <c r="R332" s="402"/>
      <c r="S332" s="402"/>
      <c r="T332" s="402"/>
      <c r="U332" s="402"/>
      <c r="V332" s="402"/>
      <c r="W332" s="402"/>
      <c r="X332" s="402"/>
      <c r="Y332" s="402"/>
      <c r="Z332" s="402"/>
    </row>
    <row r="333" ht="14.25" customHeight="1">
      <c r="A333" s="402"/>
      <c r="B333" s="402"/>
      <c r="C333" s="402"/>
      <c r="D333" s="402"/>
      <c r="E333" s="402"/>
      <c r="F333" s="403"/>
      <c r="G333" s="403"/>
      <c r="H333" s="402"/>
      <c r="I333" s="402"/>
      <c r="J333" s="402"/>
      <c r="K333" s="402"/>
      <c r="L333" s="402"/>
      <c r="M333" s="402"/>
      <c r="N333" s="402"/>
      <c r="O333" s="402"/>
      <c r="P333" s="402"/>
      <c r="Q333" s="402"/>
      <c r="R333" s="402"/>
      <c r="S333" s="402"/>
      <c r="T333" s="402"/>
      <c r="U333" s="402"/>
      <c r="V333" s="402"/>
      <c r="W333" s="402"/>
      <c r="X333" s="402"/>
      <c r="Y333" s="402"/>
      <c r="Z333" s="402"/>
    </row>
    <row r="334" ht="14.25" customHeight="1">
      <c r="A334" s="402"/>
      <c r="B334" s="402"/>
      <c r="C334" s="402"/>
      <c r="D334" s="402"/>
      <c r="E334" s="402"/>
      <c r="F334" s="403"/>
      <c r="G334" s="403"/>
      <c r="H334" s="402"/>
      <c r="I334" s="402"/>
      <c r="J334" s="402"/>
      <c r="K334" s="402"/>
      <c r="L334" s="402"/>
      <c r="M334" s="402"/>
      <c r="N334" s="402"/>
      <c r="O334" s="402"/>
      <c r="P334" s="402"/>
      <c r="Q334" s="402"/>
      <c r="R334" s="402"/>
      <c r="S334" s="402"/>
      <c r="T334" s="402"/>
      <c r="U334" s="402"/>
      <c r="V334" s="402"/>
      <c r="W334" s="402"/>
      <c r="X334" s="402"/>
      <c r="Y334" s="402"/>
      <c r="Z334" s="402"/>
    </row>
    <row r="335" ht="14.25" customHeight="1">
      <c r="A335" s="402"/>
      <c r="B335" s="402"/>
      <c r="C335" s="402"/>
      <c r="D335" s="402"/>
      <c r="E335" s="402"/>
      <c r="F335" s="403"/>
      <c r="G335" s="403"/>
      <c r="H335" s="402"/>
      <c r="I335" s="402"/>
      <c r="J335" s="402"/>
      <c r="K335" s="402"/>
      <c r="L335" s="402"/>
      <c r="M335" s="402"/>
      <c r="N335" s="402"/>
      <c r="O335" s="402"/>
      <c r="P335" s="402"/>
      <c r="Q335" s="402"/>
      <c r="R335" s="402"/>
      <c r="S335" s="402"/>
      <c r="T335" s="402"/>
      <c r="U335" s="402"/>
      <c r="V335" s="402"/>
      <c r="W335" s="402"/>
      <c r="X335" s="402"/>
      <c r="Y335" s="402"/>
      <c r="Z335" s="402"/>
    </row>
    <row r="336" ht="14.25" customHeight="1">
      <c r="A336" s="402"/>
      <c r="B336" s="402"/>
      <c r="C336" s="402"/>
      <c r="D336" s="402"/>
      <c r="E336" s="402"/>
      <c r="F336" s="403"/>
      <c r="G336" s="403"/>
      <c r="H336" s="402"/>
      <c r="I336" s="402"/>
      <c r="J336" s="402"/>
      <c r="K336" s="402"/>
      <c r="L336" s="402"/>
      <c r="M336" s="402"/>
      <c r="N336" s="402"/>
      <c r="O336" s="402"/>
      <c r="P336" s="402"/>
      <c r="Q336" s="402"/>
      <c r="R336" s="402"/>
      <c r="S336" s="402"/>
      <c r="T336" s="402"/>
      <c r="U336" s="402"/>
      <c r="V336" s="402"/>
      <c r="W336" s="402"/>
      <c r="X336" s="402"/>
      <c r="Y336" s="402"/>
      <c r="Z336" s="402"/>
    </row>
    <row r="337" ht="14.25" customHeight="1">
      <c r="A337" s="402"/>
      <c r="B337" s="402"/>
      <c r="C337" s="402"/>
      <c r="D337" s="402"/>
      <c r="E337" s="402"/>
      <c r="F337" s="403"/>
      <c r="G337" s="403"/>
      <c r="H337" s="402"/>
      <c r="I337" s="402"/>
      <c r="J337" s="402"/>
      <c r="K337" s="402"/>
      <c r="L337" s="402"/>
      <c r="M337" s="402"/>
      <c r="N337" s="402"/>
      <c r="O337" s="402"/>
      <c r="P337" s="402"/>
      <c r="Q337" s="402"/>
      <c r="R337" s="402"/>
      <c r="S337" s="402"/>
      <c r="T337" s="402"/>
      <c r="U337" s="402"/>
      <c r="V337" s="402"/>
      <c r="W337" s="402"/>
      <c r="X337" s="402"/>
      <c r="Y337" s="402"/>
      <c r="Z337" s="402"/>
    </row>
    <row r="338" ht="14.25" customHeight="1">
      <c r="A338" s="402"/>
      <c r="B338" s="402"/>
      <c r="C338" s="402"/>
      <c r="D338" s="402"/>
      <c r="E338" s="402"/>
      <c r="F338" s="403"/>
      <c r="G338" s="403"/>
      <c r="H338" s="402"/>
      <c r="I338" s="402"/>
      <c r="J338" s="402"/>
      <c r="K338" s="402"/>
      <c r="L338" s="402"/>
      <c r="M338" s="402"/>
      <c r="N338" s="402"/>
      <c r="O338" s="402"/>
      <c r="P338" s="402"/>
      <c r="Q338" s="402"/>
      <c r="R338" s="402"/>
      <c r="S338" s="402"/>
      <c r="T338" s="402"/>
      <c r="U338" s="402"/>
      <c r="V338" s="402"/>
      <c r="W338" s="402"/>
      <c r="X338" s="402"/>
      <c r="Y338" s="402"/>
      <c r="Z338" s="402"/>
    </row>
    <row r="339" ht="14.25" customHeight="1">
      <c r="A339" s="402"/>
      <c r="B339" s="402"/>
      <c r="C339" s="402"/>
      <c r="D339" s="402"/>
      <c r="E339" s="402"/>
      <c r="F339" s="403"/>
      <c r="G339" s="403"/>
      <c r="H339" s="402"/>
      <c r="I339" s="402"/>
      <c r="J339" s="402"/>
      <c r="K339" s="402"/>
      <c r="L339" s="402"/>
      <c r="M339" s="402"/>
      <c r="N339" s="402"/>
      <c r="O339" s="402"/>
      <c r="P339" s="402"/>
      <c r="Q339" s="402"/>
      <c r="R339" s="402"/>
      <c r="S339" s="402"/>
      <c r="T339" s="402"/>
      <c r="U339" s="402"/>
      <c r="V339" s="402"/>
      <c r="W339" s="402"/>
      <c r="X339" s="402"/>
      <c r="Y339" s="402"/>
      <c r="Z339" s="402"/>
    </row>
    <row r="340" ht="14.25" customHeight="1">
      <c r="A340" s="402"/>
      <c r="B340" s="402"/>
      <c r="C340" s="402"/>
      <c r="D340" s="402"/>
      <c r="E340" s="402"/>
      <c r="F340" s="403"/>
      <c r="G340" s="403"/>
      <c r="H340" s="402"/>
      <c r="I340" s="402"/>
      <c r="J340" s="402"/>
      <c r="K340" s="402"/>
      <c r="L340" s="402"/>
      <c r="M340" s="402"/>
      <c r="N340" s="402"/>
      <c r="O340" s="402"/>
      <c r="P340" s="402"/>
      <c r="Q340" s="402"/>
      <c r="R340" s="402"/>
      <c r="S340" s="402"/>
      <c r="T340" s="402"/>
      <c r="U340" s="402"/>
      <c r="V340" s="402"/>
      <c r="W340" s="402"/>
      <c r="X340" s="402"/>
      <c r="Y340" s="402"/>
      <c r="Z340" s="402"/>
    </row>
    <row r="341" ht="14.25" customHeight="1">
      <c r="A341" s="402"/>
      <c r="B341" s="402"/>
      <c r="C341" s="402"/>
      <c r="D341" s="402"/>
      <c r="E341" s="402"/>
      <c r="F341" s="403"/>
      <c r="G341" s="403"/>
      <c r="H341" s="402"/>
      <c r="I341" s="402"/>
      <c r="J341" s="402"/>
      <c r="K341" s="402"/>
      <c r="L341" s="402"/>
      <c r="M341" s="402"/>
      <c r="N341" s="402"/>
      <c r="O341" s="402"/>
      <c r="P341" s="402"/>
      <c r="Q341" s="402"/>
      <c r="R341" s="402"/>
      <c r="S341" s="402"/>
      <c r="T341" s="402"/>
      <c r="U341" s="402"/>
      <c r="V341" s="402"/>
      <c r="W341" s="402"/>
      <c r="X341" s="402"/>
      <c r="Y341" s="402"/>
      <c r="Z341" s="402"/>
    </row>
    <row r="342" ht="14.25" customHeight="1">
      <c r="A342" s="402"/>
      <c r="B342" s="402"/>
      <c r="C342" s="402"/>
      <c r="D342" s="402"/>
      <c r="E342" s="402"/>
      <c r="F342" s="403"/>
      <c r="G342" s="403"/>
      <c r="H342" s="402"/>
      <c r="I342" s="402"/>
      <c r="J342" s="402"/>
      <c r="K342" s="402"/>
      <c r="L342" s="402"/>
      <c r="M342" s="402"/>
      <c r="N342" s="402"/>
      <c r="O342" s="402"/>
      <c r="P342" s="402"/>
      <c r="Q342" s="402"/>
      <c r="R342" s="402"/>
      <c r="S342" s="402"/>
      <c r="T342" s="402"/>
      <c r="U342" s="402"/>
      <c r="V342" s="402"/>
      <c r="W342" s="402"/>
      <c r="X342" s="402"/>
      <c r="Y342" s="402"/>
      <c r="Z342" s="402"/>
    </row>
    <row r="343" ht="14.25" customHeight="1">
      <c r="A343" s="402"/>
      <c r="B343" s="402"/>
      <c r="C343" s="402"/>
      <c r="D343" s="402"/>
      <c r="E343" s="402"/>
      <c r="F343" s="403"/>
      <c r="G343" s="403"/>
      <c r="H343" s="402"/>
      <c r="I343" s="402"/>
      <c r="J343" s="402"/>
      <c r="K343" s="402"/>
      <c r="L343" s="402"/>
      <c r="M343" s="402"/>
      <c r="N343" s="402"/>
      <c r="O343" s="402"/>
      <c r="P343" s="402"/>
      <c r="Q343" s="402"/>
      <c r="R343" s="402"/>
      <c r="S343" s="402"/>
      <c r="T343" s="402"/>
      <c r="U343" s="402"/>
      <c r="V343" s="402"/>
      <c r="W343" s="402"/>
      <c r="X343" s="402"/>
      <c r="Y343" s="402"/>
      <c r="Z343" s="402"/>
    </row>
    <row r="344" ht="14.25" customHeight="1">
      <c r="A344" s="402"/>
      <c r="B344" s="402"/>
      <c r="C344" s="402"/>
      <c r="D344" s="402"/>
      <c r="E344" s="402"/>
      <c r="F344" s="403"/>
      <c r="G344" s="403"/>
      <c r="H344" s="402"/>
      <c r="I344" s="402"/>
      <c r="J344" s="402"/>
      <c r="K344" s="402"/>
      <c r="L344" s="402"/>
      <c r="M344" s="402"/>
      <c r="N344" s="402"/>
      <c r="O344" s="402"/>
      <c r="P344" s="402"/>
      <c r="Q344" s="402"/>
      <c r="R344" s="402"/>
      <c r="S344" s="402"/>
      <c r="T344" s="402"/>
      <c r="U344" s="402"/>
      <c r="V344" s="402"/>
      <c r="W344" s="402"/>
      <c r="X344" s="402"/>
      <c r="Y344" s="402"/>
      <c r="Z344" s="402"/>
    </row>
    <row r="345" ht="14.25" customHeight="1">
      <c r="A345" s="402"/>
      <c r="B345" s="402"/>
      <c r="C345" s="402"/>
      <c r="D345" s="402"/>
      <c r="E345" s="402"/>
      <c r="F345" s="403"/>
      <c r="G345" s="403"/>
      <c r="H345" s="402"/>
      <c r="I345" s="402"/>
      <c r="J345" s="402"/>
      <c r="K345" s="402"/>
      <c r="L345" s="402"/>
      <c r="M345" s="402"/>
      <c r="N345" s="402"/>
      <c r="O345" s="402"/>
      <c r="P345" s="402"/>
      <c r="Q345" s="402"/>
      <c r="R345" s="402"/>
      <c r="S345" s="402"/>
      <c r="T345" s="402"/>
      <c r="U345" s="402"/>
      <c r="V345" s="402"/>
      <c r="W345" s="402"/>
      <c r="X345" s="402"/>
      <c r="Y345" s="402"/>
      <c r="Z345" s="402"/>
    </row>
    <row r="346" ht="14.25" customHeight="1">
      <c r="A346" s="402"/>
      <c r="B346" s="402"/>
      <c r="C346" s="402"/>
      <c r="D346" s="402"/>
      <c r="E346" s="402"/>
      <c r="F346" s="403"/>
      <c r="G346" s="403"/>
      <c r="H346" s="402"/>
      <c r="I346" s="402"/>
      <c r="J346" s="402"/>
      <c r="K346" s="402"/>
      <c r="L346" s="402"/>
      <c r="M346" s="402"/>
      <c r="N346" s="402"/>
      <c r="O346" s="402"/>
      <c r="P346" s="402"/>
      <c r="Q346" s="402"/>
      <c r="R346" s="402"/>
      <c r="S346" s="402"/>
      <c r="T346" s="402"/>
      <c r="U346" s="402"/>
      <c r="V346" s="402"/>
      <c r="W346" s="402"/>
      <c r="X346" s="402"/>
      <c r="Y346" s="402"/>
      <c r="Z346" s="402"/>
    </row>
    <row r="347" ht="14.25" customHeight="1">
      <c r="A347" s="402"/>
      <c r="B347" s="402"/>
      <c r="C347" s="402"/>
      <c r="D347" s="402"/>
      <c r="E347" s="402"/>
      <c r="F347" s="403"/>
      <c r="G347" s="403"/>
      <c r="H347" s="402"/>
      <c r="I347" s="402"/>
      <c r="J347" s="402"/>
      <c r="K347" s="402"/>
      <c r="L347" s="402"/>
      <c r="M347" s="402"/>
      <c r="N347" s="402"/>
      <c r="O347" s="402"/>
      <c r="P347" s="402"/>
      <c r="Q347" s="402"/>
      <c r="R347" s="402"/>
      <c r="S347" s="402"/>
      <c r="T347" s="402"/>
      <c r="U347" s="402"/>
      <c r="V347" s="402"/>
      <c r="W347" s="402"/>
      <c r="X347" s="402"/>
      <c r="Y347" s="402"/>
      <c r="Z347" s="402"/>
    </row>
    <row r="348" ht="14.25" customHeight="1">
      <c r="A348" s="402"/>
      <c r="B348" s="402"/>
      <c r="C348" s="402"/>
      <c r="D348" s="402"/>
      <c r="E348" s="402"/>
      <c r="F348" s="403"/>
      <c r="G348" s="403"/>
      <c r="H348" s="402"/>
      <c r="I348" s="402"/>
      <c r="J348" s="402"/>
      <c r="K348" s="402"/>
      <c r="L348" s="402"/>
      <c r="M348" s="402"/>
      <c r="N348" s="402"/>
      <c r="O348" s="402"/>
      <c r="P348" s="402"/>
      <c r="Q348" s="402"/>
      <c r="R348" s="402"/>
      <c r="S348" s="402"/>
      <c r="T348" s="402"/>
      <c r="U348" s="402"/>
      <c r="V348" s="402"/>
      <c r="W348" s="402"/>
      <c r="X348" s="402"/>
      <c r="Y348" s="402"/>
      <c r="Z348" s="402"/>
    </row>
    <row r="349" ht="14.25" customHeight="1">
      <c r="A349" s="402"/>
      <c r="B349" s="402"/>
      <c r="C349" s="402"/>
      <c r="D349" s="402"/>
      <c r="E349" s="402"/>
      <c r="F349" s="403"/>
      <c r="G349" s="403"/>
      <c r="H349" s="402"/>
      <c r="I349" s="402"/>
      <c r="J349" s="402"/>
      <c r="K349" s="402"/>
      <c r="L349" s="402"/>
      <c r="M349" s="402"/>
      <c r="N349" s="402"/>
      <c r="O349" s="402"/>
      <c r="P349" s="402"/>
      <c r="Q349" s="402"/>
      <c r="R349" s="402"/>
      <c r="S349" s="402"/>
      <c r="T349" s="402"/>
      <c r="U349" s="402"/>
      <c r="V349" s="402"/>
      <c r="W349" s="402"/>
      <c r="X349" s="402"/>
      <c r="Y349" s="402"/>
      <c r="Z349" s="402"/>
    </row>
    <row r="350" ht="14.25" customHeight="1">
      <c r="A350" s="402"/>
      <c r="B350" s="402"/>
      <c r="C350" s="402"/>
      <c r="D350" s="402"/>
      <c r="E350" s="402"/>
      <c r="F350" s="403"/>
      <c r="G350" s="403"/>
      <c r="H350" s="402"/>
      <c r="I350" s="402"/>
      <c r="J350" s="402"/>
      <c r="K350" s="402"/>
      <c r="L350" s="402"/>
      <c r="M350" s="402"/>
      <c r="N350" s="402"/>
      <c r="O350" s="402"/>
      <c r="P350" s="402"/>
      <c r="Q350" s="402"/>
      <c r="R350" s="402"/>
      <c r="S350" s="402"/>
      <c r="T350" s="402"/>
      <c r="U350" s="402"/>
      <c r="V350" s="402"/>
      <c r="W350" s="402"/>
      <c r="X350" s="402"/>
      <c r="Y350" s="402"/>
      <c r="Z350" s="402"/>
    </row>
    <row r="351" ht="14.25" customHeight="1">
      <c r="A351" s="402"/>
      <c r="B351" s="402"/>
      <c r="C351" s="402"/>
      <c r="D351" s="402"/>
      <c r="E351" s="402"/>
      <c r="F351" s="403"/>
      <c r="G351" s="403"/>
      <c r="H351" s="402"/>
      <c r="I351" s="402"/>
      <c r="J351" s="402"/>
      <c r="K351" s="402"/>
      <c r="L351" s="402"/>
      <c r="M351" s="402"/>
      <c r="N351" s="402"/>
      <c r="O351" s="402"/>
      <c r="P351" s="402"/>
      <c r="Q351" s="402"/>
      <c r="R351" s="402"/>
      <c r="S351" s="402"/>
      <c r="T351" s="402"/>
      <c r="U351" s="402"/>
      <c r="V351" s="402"/>
      <c r="W351" s="402"/>
      <c r="X351" s="402"/>
      <c r="Y351" s="402"/>
      <c r="Z351" s="402"/>
    </row>
    <row r="352" ht="14.25" customHeight="1">
      <c r="A352" s="402"/>
      <c r="B352" s="402"/>
      <c r="C352" s="402"/>
      <c r="D352" s="402"/>
      <c r="E352" s="402"/>
      <c r="F352" s="403"/>
      <c r="G352" s="403"/>
      <c r="H352" s="402"/>
      <c r="I352" s="402"/>
      <c r="J352" s="402"/>
      <c r="K352" s="402"/>
      <c r="L352" s="402"/>
      <c r="M352" s="402"/>
      <c r="N352" s="402"/>
      <c r="O352" s="402"/>
      <c r="P352" s="402"/>
      <c r="Q352" s="402"/>
      <c r="R352" s="402"/>
      <c r="S352" s="402"/>
      <c r="T352" s="402"/>
      <c r="U352" s="402"/>
      <c r="V352" s="402"/>
      <c r="W352" s="402"/>
      <c r="X352" s="402"/>
      <c r="Y352" s="402"/>
      <c r="Z352" s="402"/>
    </row>
    <row r="353" ht="14.25" customHeight="1">
      <c r="A353" s="402"/>
      <c r="B353" s="402"/>
      <c r="C353" s="402"/>
      <c r="D353" s="402"/>
      <c r="E353" s="402"/>
      <c r="F353" s="403"/>
      <c r="G353" s="403"/>
      <c r="H353" s="402"/>
      <c r="I353" s="402"/>
      <c r="J353" s="402"/>
      <c r="K353" s="402"/>
      <c r="L353" s="402"/>
      <c r="M353" s="402"/>
      <c r="N353" s="402"/>
      <c r="O353" s="402"/>
      <c r="P353" s="402"/>
      <c r="Q353" s="402"/>
      <c r="R353" s="402"/>
      <c r="S353" s="402"/>
      <c r="T353" s="402"/>
      <c r="U353" s="402"/>
      <c r="V353" s="402"/>
      <c r="W353" s="402"/>
      <c r="X353" s="402"/>
      <c r="Y353" s="402"/>
      <c r="Z353" s="402"/>
    </row>
    <row r="354" ht="14.25" customHeight="1">
      <c r="A354" s="402"/>
      <c r="B354" s="402"/>
      <c r="C354" s="402"/>
      <c r="D354" s="402"/>
      <c r="E354" s="402"/>
      <c r="F354" s="403"/>
      <c r="G354" s="403"/>
      <c r="H354" s="402"/>
      <c r="I354" s="402"/>
      <c r="J354" s="402"/>
      <c r="K354" s="402"/>
      <c r="L354" s="402"/>
      <c r="M354" s="402"/>
      <c r="N354" s="402"/>
      <c r="O354" s="402"/>
      <c r="P354" s="402"/>
      <c r="Q354" s="402"/>
      <c r="R354" s="402"/>
      <c r="S354" s="402"/>
      <c r="T354" s="402"/>
      <c r="U354" s="402"/>
      <c r="V354" s="402"/>
      <c r="W354" s="402"/>
      <c r="X354" s="402"/>
      <c r="Y354" s="402"/>
      <c r="Z354" s="402"/>
    </row>
    <row r="355" ht="14.25" customHeight="1">
      <c r="A355" s="402"/>
      <c r="B355" s="402"/>
      <c r="C355" s="402"/>
      <c r="D355" s="402"/>
      <c r="E355" s="402"/>
      <c r="F355" s="403"/>
      <c r="G355" s="403"/>
      <c r="H355" s="402"/>
      <c r="I355" s="402"/>
      <c r="J355" s="402"/>
      <c r="K355" s="402"/>
      <c r="L355" s="402"/>
      <c r="M355" s="402"/>
      <c r="N355" s="402"/>
      <c r="O355" s="402"/>
      <c r="P355" s="402"/>
      <c r="Q355" s="402"/>
      <c r="R355" s="402"/>
      <c r="S355" s="402"/>
      <c r="T355" s="402"/>
      <c r="U355" s="402"/>
      <c r="V355" s="402"/>
      <c r="W355" s="402"/>
      <c r="X355" s="402"/>
      <c r="Y355" s="402"/>
      <c r="Z355" s="402"/>
    </row>
    <row r="356" ht="14.25" customHeight="1">
      <c r="A356" s="402"/>
      <c r="B356" s="402"/>
      <c r="C356" s="402"/>
      <c r="D356" s="402"/>
      <c r="E356" s="402"/>
      <c r="F356" s="403"/>
      <c r="G356" s="403"/>
      <c r="H356" s="402"/>
      <c r="I356" s="402"/>
      <c r="J356" s="402"/>
      <c r="K356" s="402"/>
      <c r="L356" s="402"/>
      <c r="M356" s="402"/>
      <c r="N356" s="402"/>
      <c r="O356" s="402"/>
      <c r="P356" s="402"/>
      <c r="Q356" s="402"/>
      <c r="R356" s="402"/>
      <c r="S356" s="402"/>
      <c r="T356" s="402"/>
      <c r="U356" s="402"/>
      <c r="V356" s="402"/>
      <c r="W356" s="402"/>
      <c r="X356" s="402"/>
      <c r="Y356" s="402"/>
      <c r="Z356" s="402"/>
    </row>
    <row r="357" ht="14.25" customHeight="1">
      <c r="A357" s="402"/>
      <c r="B357" s="402"/>
      <c r="C357" s="402"/>
      <c r="D357" s="402"/>
      <c r="E357" s="402"/>
      <c r="F357" s="403"/>
      <c r="G357" s="403"/>
      <c r="H357" s="402"/>
      <c r="I357" s="402"/>
      <c r="J357" s="402"/>
      <c r="K357" s="402"/>
      <c r="L357" s="402"/>
      <c r="M357" s="402"/>
      <c r="N357" s="402"/>
      <c r="O357" s="402"/>
      <c r="P357" s="402"/>
      <c r="Q357" s="402"/>
      <c r="R357" s="402"/>
      <c r="S357" s="402"/>
      <c r="T357" s="402"/>
      <c r="U357" s="402"/>
      <c r="V357" s="402"/>
      <c r="W357" s="402"/>
      <c r="X357" s="402"/>
      <c r="Y357" s="402"/>
      <c r="Z357" s="402"/>
    </row>
    <row r="358" ht="14.25" customHeight="1">
      <c r="A358" s="402"/>
      <c r="B358" s="402"/>
      <c r="C358" s="402"/>
      <c r="D358" s="402"/>
      <c r="E358" s="402"/>
      <c r="F358" s="403"/>
      <c r="G358" s="403"/>
      <c r="H358" s="402"/>
      <c r="I358" s="402"/>
      <c r="J358" s="402"/>
      <c r="K358" s="402"/>
      <c r="L358" s="402"/>
      <c r="M358" s="402"/>
      <c r="N358" s="402"/>
      <c r="O358" s="402"/>
      <c r="P358" s="402"/>
      <c r="Q358" s="402"/>
      <c r="R358" s="402"/>
      <c r="S358" s="402"/>
      <c r="T358" s="402"/>
      <c r="U358" s="402"/>
      <c r="V358" s="402"/>
      <c r="W358" s="402"/>
      <c r="X358" s="402"/>
      <c r="Y358" s="402"/>
      <c r="Z358" s="402"/>
    </row>
    <row r="359" ht="14.25" customHeight="1">
      <c r="A359" s="402"/>
      <c r="B359" s="402"/>
      <c r="C359" s="402"/>
      <c r="D359" s="402"/>
      <c r="E359" s="402"/>
      <c r="F359" s="403"/>
      <c r="G359" s="403"/>
      <c r="H359" s="402"/>
      <c r="I359" s="402"/>
      <c r="J359" s="402"/>
      <c r="K359" s="402"/>
      <c r="L359" s="402"/>
      <c r="M359" s="402"/>
      <c r="N359" s="402"/>
      <c r="O359" s="402"/>
      <c r="P359" s="402"/>
      <c r="Q359" s="402"/>
      <c r="R359" s="402"/>
      <c r="S359" s="402"/>
      <c r="T359" s="402"/>
      <c r="U359" s="402"/>
      <c r="V359" s="402"/>
      <c r="W359" s="402"/>
      <c r="X359" s="402"/>
      <c r="Y359" s="402"/>
      <c r="Z359" s="402"/>
    </row>
    <row r="360" ht="14.25" customHeight="1">
      <c r="A360" s="402"/>
      <c r="B360" s="402"/>
      <c r="C360" s="402"/>
      <c r="D360" s="402"/>
      <c r="E360" s="402"/>
      <c r="F360" s="403"/>
      <c r="G360" s="403"/>
      <c r="H360" s="402"/>
      <c r="I360" s="402"/>
      <c r="J360" s="402"/>
      <c r="K360" s="402"/>
      <c r="L360" s="402"/>
      <c r="M360" s="402"/>
      <c r="N360" s="402"/>
      <c r="O360" s="402"/>
      <c r="P360" s="402"/>
      <c r="Q360" s="402"/>
      <c r="R360" s="402"/>
      <c r="S360" s="402"/>
      <c r="T360" s="402"/>
      <c r="U360" s="402"/>
      <c r="V360" s="402"/>
      <c r="W360" s="402"/>
      <c r="X360" s="402"/>
      <c r="Y360" s="402"/>
      <c r="Z360" s="402"/>
    </row>
    <row r="361" ht="14.25" customHeight="1">
      <c r="A361" s="402"/>
      <c r="B361" s="402"/>
      <c r="C361" s="402"/>
      <c r="D361" s="402"/>
      <c r="E361" s="402"/>
      <c r="F361" s="403"/>
      <c r="G361" s="403"/>
      <c r="H361" s="402"/>
      <c r="I361" s="402"/>
      <c r="J361" s="402"/>
      <c r="K361" s="402"/>
      <c r="L361" s="402"/>
      <c r="M361" s="402"/>
      <c r="N361" s="402"/>
      <c r="O361" s="402"/>
      <c r="P361" s="402"/>
      <c r="Q361" s="402"/>
      <c r="R361" s="402"/>
      <c r="S361" s="402"/>
      <c r="T361" s="402"/>
      <c r="U361" s="402"/>
      <c r="V361" s="402"/>
      <c r="W361" s="402"/>
      <c r="X361" s="402"/>
      <c r="Y361" s="402"/>
      <c r="Z361" s="402"/>
    </row>
    <row r="362" ht="14.25" customHeight="1">
      <c r="A362" s="402"/>
      <c r="B362" s="402"/>
      <c r="C362" s="402"/>
      <c r="D362" s="402"/>
      <c r="E362" s="402"/>
      <c r="F362" s="403"/>
      <c r="G362" s="403"/>
      <c r="H362" s="402"/>
      <c r="I362" s="402"/>
      <c r="J362" s="402"/>
      <c r="K362" s="402"/>
      <c r="L362" s="402"/>
      <c r="M362" s="402"/>
      <c r="N362" s="402"/>
      <c r="O362" s="402"/>
      <c r="P362" s="402"/>
      <c r="Q362" s="402"/>
      <c r="R362" s="402"/>
      <c r="S362" s="402"/>
      <c r="T362" s="402"/>
      <c r="U362" s="402"/>
      <c r="V362" s="402"/>
      <c r="W362" s="402"/>
      <c r="X362" s="402"/>
      <c r="Y362" s="402"/>
      <c r="Z362" s="402"/>
    </row>
    <row r="363" ht="14.25" customHeight="1">
      <c r="A363" s="402"/>
      <c r="B363" s="402"/>
      <c r="C363" s="402"/>
      <c r="D363" s="402"/>
      <c r="E363" s="402"/>
      <c r="F363" s="403"/>
      <c r="G363" s="403"/>
      <c r="H363" s="402"/>
      <c r="I363" s="402"/>
      <c r="J363" s="402"/>
      <c r="K363" s="402"/>
      <c r="L363" s="402"/>
      <c r="M363" s="402"/>
      <c r="N363" s="402"/>
      <c r="O363" s="402"/>
      <c r="P363" s="402"/>
      <c r="Q363" s="402"/>
      <c r="R363" s="402"/>
      <c r="S363" s="402"/>
      <c r="T363" s="402"/>
      <c r="U363" s="402"/>
      <c r="V363" s="402"/>
      <c r="W363" s="402"/>
      <c r="X363" s="402"/>
      <c r="Y363" s="402"/>
      <c r="Z363" s="402"/>
    </row>
    <row r="364" ht="14.25" customHeight="1">
      <c r="A364" s="402"/>
      <c r="B364" s="402"/>
      <c r="C364" s="402"/>
      <c r="D364" s="402"/>
      <c r="E364" s="402"/>
      <c r="F364" s="403"/>
      <c r="G364" s="403"/>
      <c r="H364" s="402"/>
      <c r="I364" s="402"/>
      <c r="J364" s="402"/>
      <c r="K364" s="402"/>
      <c r="L364" s="402"/>
      <c r="M364" s="402"/>
      <c r="N364" s="402"/>
      <c r="O364" s="402"/>
      <c r="P364" s="402"/>
      <c r="Q364" s="402"/>
      <c r="R364" s="402"/>
      <c r="S364" s="402"/>
      <c r="T364" s="402"/>
      <c r="U364" s="402"/>
      <c r="V364" s="402"/>
      <c r="W364" s="402"/>
      <c r="X364" s="402"/>
      <c r="Y364" s="402"/>
      <c r="Z364" s="402"/>
    </row>
    <row r="365" ht="14.25" customHeight="1">
      <c r="A365" s="402"/>
      <c r="B365" s="402"/>
      <c r="C365" s="402"/>
      <c r="D365" s="402"/>
      <c r="E365" s="402"/>
      <c r="F365" s="403"/>
      <c r="G365" s="403"/>
      <c r="H365" s="402"/>
      <c r="I365" s="402"/>
      <c r="J365" s="402"/>
      <c r="K365" s="402"/>
      <c r="L365" s="402"/>
      <c r="M365" s="402"/>
      <c r="N365" s="402"/>
      <c r="O365" s="402"/>
      <c r="P365" s="402"/>
      <c r="Q365" s="402"/>
      <c r="R365" s="402"/>
      <c r="S365" s="402"/>
      <c r="T365" s="402"/>
      <c r="U365" s="402"/>
      <c r="V365" s="402"/>
      <c r="W365" s="402"/>
      <c r="X365" s="402"/>
      <c r="Y365" s="402"/>
      <c r="Z365" s="402"/>
    </row>
    <row r="366" ht="14.25" customHeight="1">
      <c r="A366" s="402"/>
      <c r="B366" s="402"/>
      <c r="C366" s="402"/>
      <c r="D366" s="402"/>
      <c r="E366" s="402"/>
      <c r="F366" s="403"/>
      <c r="G366" s="403"/>
      <c r="H366" s="402"/>
      <c r="I366" s="402"/>
      <c r="J366" s="402"/>
      <c r="K366" s="402"/>
      <c r="L366" s="402"/>
      <c r="M366" s="402"/>
      <c r="N366" s="402"/>
      <c r="O366" s="402"/>
      <c r="P366" s="402"/>
      <c r="Q366" s="402"/>
      <c r="R366" s="402"/>
      <c r="S366" s="402"/>
      <c r="T366" s="402"/>
      <c r="U366" s="402"/>
      <c r="V366" s="402"/>
      <c r="W366" s="402"/>
      <c r="X366" s="402"/>
      <c r="Y366" s="402"/>
      <c r="Z366" s="402"/>
    </row>
    <row r="367" ht="14.25" customHeight="1">
      <c r="A367" s="402"/>
      <c r="B367" s="402"/>
      <c r="C367" s="402"/>
      <c r="D367" s="402"/>
      <c r="E367" s="402"/>
      <c r="F367" s="403"/>
      <c r="G367" s="403"/>
      <c r="H367" s="402"/>
      <c r="I367" s="402"/>
      <c r="J367" s="402"/>
      <c r="K367" s="402"/>
      <c r="L367" s="402"/>
      <c r="M367" s="402"/>
      <c r="N367" s="402"/>
      <c r="O367" s="402"/>
      <c r="P367" s="402"/>
      <c r="Q367" s="402"/>
      <c r="R367" s="402"/>
      <c r="S367" s="402"/>
      <c r="T367" s="402"/>
      <c r="U367" s="402"/>
      <c r="V367" s="402"/>
      <c r="W367" s="402"/>
      <c r="X367" s="402"/>
      <c r="Y367" s="402"/>
      <c r="Z367" s="402"/>
    </row>
    <row r="368" ht="14.25" customHeight="1">
      <c r="A368" s="402"/>
      <c r="B368" s="402"/>
      <c r="C368" s="402"/>
      <c r="D368" s="402"/>
      <c r="E368" s="402"/>
      <c r="F368" s="403"/>
      <c r="G368" s="403"/>
      <c r="H368" s="402"/>
      <c r="I368" s="402"/>
      <c r="J368" s="402"/>
      <c r="K368" s="402"/>
      <c r="L368" s="402"/>
      <c r="M368" s="402"/>
      <c r="N368" s="402"/>
      <c r="O368" s="402"/>
      <c r="P368" s="402"/>
      <c r="Q368" s="402"/>
      <c r="R368" s="402"/>
      <c r="S368" s="402"/>
      <c r="T368" s="402"/>
      <c r="U368" s="402"/>
      <c r="V368" s="402"/>
      <c r="W368" s="402"/>
      <c r="X368" s="402"/>
      <c r="Y368" s="402"/>
      <c r="Z368" s="402"/>
    </row>
    <row r="369" ht="14.25" customHeight="1">
      <c r="A369" s="402"/>
      <c r="B369" s="402"/>
      <c r="C369" s="402"/>
      <c r="D369" s="402"/>
      <c r="E369" s="402"/>
      <c r="F369" s="403"/>
      <c r="G369" s="403"/>
      <c r="H369" s="402"/>
      <c r="I369" s="402"/>
      <c r="J369" s="402"/>
      <c r="K369" s="402"/>
      <c r="L369" s="402"/>
      <c r="M369" s="402"/>
      <c r="N369" s="402"/>
      <c r="O369" s="402"/>
      <c r="P369" s="402"/>
      <c r="Q369" s="402"/>
      <c r="R369" s="402"/>
      <c r="S369" s="402"/>
      <c r="T369" s="402"/>
      <c r="U369" s="402"/>
      <c r="V369" s="402"/>
      <c r="W369" s="402"/>
      <c r="X369" s="402"/>
      <c r="Y369" s="402"/>
      <c r="Z369" s="402"/>
    </row>
    <row r="370" ht="14.25" customHeight="1">
      <c r="A370" s="402"/>
      <c r="B370" s="402"/>
      <c r="C370" s="402"/>
      <c r="D370" s="402"/>
      <c r="E370" s="402"/>
      <c r="F370" s="403"/>
      <c r="G370" s="403"/>
      <c r="H370" s="402"/>
      <c r="I370" s="402"/>
      <c r="J370" s="402"/>
      <c r="K370" s="402"/>
      <c r="L370" s="402"/>
      <c r="M370" s="402"/>
      <c r="N370" s="402"/>
      <c r="O370" s="402"/>
      <c r="P370" s="402"/>
      <c r="Q370" s="402"/>
      <c r="R370" s="402"/>
      <c r="S370" s="402"/>
      <c r="T370" s="402"/>
      <c r="U370" s="402"/>
      <c r="V370" s="402"/>
      <c r="W370" s="402"/>
      <c r="X370" s="402"/>
      <c r="Y370" s="402"/>
      <c r="Z370" s="402"/>
    </row>
    <row r="371" ht="14.25" customHeight="1">
      <c r="A371" s="402"/>
      <c r="B371" s="402"/>
      <c r="C371" s="402"/>
      <c r="D371" s="402"/>
      <c r="E371" s="402"/>
      <c r="F371" s="403"/>
      <c r="G371" s="403"/>
      <c r="H371" s="402"/>
      <c r="I371" s="402"/>
      <c r="J371" s="402"/>
      <c r="K371" s="402"/>
      <c r="L371" s="402"/>
      <c r="M371" s="402"/>
      <c r="N371" s="402"/>
      <c r="O371" s="402"/>
      <c r="P371" s="402"/>
      <c r="Q371" s="402"/>
      <c r="R371" s="402"/>
      <c r="S371" s="402"/>
      <c r="T371" s="402"/>
      <c r="U371" s="402"/>
      <c r="V371" s="402"/>
      <c r="W371" s="402"/>
      <c r="X371" s="402"/>
      <c r="Y371" s="402"/>
      <c r="Z371" s="402"/>
    </row>
    <row r="372" ht="14.25" customHeight="1">
      <c r="A372" s="402"/>
      <c r="B372" s="402"/>
      <c r="C372" s="402"/>
      <c r="D372" s="402"/>
      <c r="E372" s="402"/>
      <c r="F372" s="403"/>
      <c r="G372" s="403"/>
      <c r="H372" s="402"/>
      <c r="I372" s="402"/>
      <c r="J372" s="402"/>
      <c r="K372" s="402"/>
      <c r="L372" s="402"/>
      <c r="M372" s="402"/>
      <c r="N372" s="402"/>
      <c r="O372" s="402"/>
      <c r="P372" s="402"/>
      <c r="Q372" s="402"/>
      <c r="R372" s="402"/>
      <c r="S372" s="402"/>
      <c r="T372" s="402"/>
      <c r="U372" s="402"/>
      <c r="V372" s="402"/>
      <c r="W372" s="402"/>
      <c r="X372" s="402"/>
      <c r="Y372" s="402"/>
      <c r="Z372" s="402"/>
    </row>
    <row r="373" ht="14.25" customHeight="1">
      <c r="A373" s="402"/>
      <c r="B373" s="402"/>
      <c r="C373" s="402"/>
      <c r="D373" s="402"/>
      <c r="E373" s="402"/>
      <c r="F373" s="403"/>
      <c r="G373" s="403"/>
      <c r="H373" s="402"/>
      <c r="I373" s="402"/>
      <c r="J373" s="402"/>
      <c r="K373" s="402"/>
      <c r="L373" s="402"/>
      <c r="M373" s="402"/>
      <c r="N373" s="402"/>
      <c r="O373" s="402"/>
      <c r="P373" s="402"/>
      <c r="Q373" s="402"/>
      <c r="R373" s="402"/>
      <c r="S373" s="402"/>
      <c r="T373" s="402"/>
      <c r="U373" s="402"/>
      <c r="V373" s="402"/>
      <c r="W373" s="402"/>
      <c r="X373" s="402"/>
      <c r="Y373" s="402"/>
      <c r="Z373" s="402"/>
    </row>
    <row r="374" ht="14.25" customHeight="1">
      <c r="A374" s="402"/>
      <c r="B374" s="402"/>
      <c r="C374" s="402"/>
      <c r="D374" s="402"/>
      <c r="E374" s="402"/>
      <c r="F374" s="403"/>
      <c r="G374" s="403"/>
      <c r="H374" s="402"/>
      <c r="I374" s="402"/>
      <c r="J374" s="402"/>
      <c r="K374" s="402"/>
      <c r="L374" s="402"/>
      <c r="M374" s="402"/>
      <c r="N374" s="402"/>
      <c r="O374" s="402"/>
      <c r="P374" s="402"/>
      <c r="Q374" s="402"/>
      <c r="R374" s="402"/>
      <c r="S374" s="402"/>
      <c r="T374" s="402"/>
      <c r="U374" s="402"/>
      <c r="V374" s="402"/>
      <c r="W374" s="402"/>
      <c r="X374" s="402"/>
      <c r="Y374" s="402"/>
      <c r="Z374" s="402"/>
    </row>
    <row r="375" ht="14.25" customHeight="1">
      <c r="A375" s="402"/>
      <c r="B375" s="402"/>
      <c r="C375" s="402"/>
      <c r="D375" s="402"/>
      <c r="E375" s="402"/>
      <c r="F375" s="403"/>
      <c r="G375" s="403"/>
      <c r="H375" s="402"/>
      <c r="I375" s="402"/>
      <c r="J375" s="402"/>
      <c r="K375" s="402"/>
      <c r="L375" s="402"/>
      <c r="M375" s="402"/>
      <c r="N375" s="402"/>
      <c r="O375" s="402"/>
      <c r="P375" s="402"/>
      <c r="Q375" s="402"/>
      <c r="R375" s="402"/>
      <c r="S375" s="402"/>
      <c r="T375" s="402"/>
      <c r="U375" s="402"/>
      <c r="V375" s="402"/>
      <c r="W375" s="402"/>
      <c r="X375" s="402"/>
      <c r="Y375" s="402"/>
      <c r="Z375" s="402"/>
    </row>
    <row r="376" ht="14.25" customHeight="1">
      <c r="A376" s="402"/>
      <c r="B376" s="402"/>
      <c r="C376" s="402"/>
      <c r="D376" s="402"/>
      <c r="E376" s="402"/>
      <c r="F376" s="403"/>
      <c r="G376" s="403"/>
      <c r="H376" s="402"/>
      <c r="I376" s="402"/>
      <c r="J376" s="402"/>
      <c r="K376" s="402"/>
      <c r="L376" s="402"/>
      <c r="M376" s="402"/>
      <c r="N376" s="402"/>
      <c r="O376" s="402"/>
      <c r="P376" s="402"/>
      <c r="Q376" s="402"/>
      <c r="R376" s="402"/>
      <c r="S376" s="402"/>
      <c r="T376" s="402"/>
      <c r="U376" s="402"/>
      <c r="V376" s="402"/>
      <c r="W376" s="402"/>
      <c r="X376" s="402"/>
      <c r="Y376" s="402"/>
      <c r="Z376" s="402"/>
    </row>
    <row r="377" ht="14.25" customHeight="1">
      <c r="A377" s="402"/>
      <c r="B377" s="402"/>
      <c r="C377" s="402"/>
      <c r="D377" s="402"/>
      <c r="E377" s="402"/>
      <c r="F377" s="403"/>
      <c r="G377" s="403"/>
      <c r="H377" s="402"/>
      <c r="I377" s="402"/>
      <c r="J377" s="402"/>
      <c r="K377" s="402"/>
      <c r="L377" s="402"/>
      <c r="M377" s="402"/>
      <c r="N377" s="402"/>
      <c r="O377" s="402"/>
      <c r="P377" s="402"/>
      <c r="Q377" s="402"/>
      <c r="R377" s="402"/>
      <c r="S377" s="402"/>
      <c r="T377" s="402"/>
      <c r="U377" s="402"/>
      <c r="V377" s="402"/>
      <c r="W377" s="402"/>
      <c r="X377" s="402"/>
      <c r="Y377" s="402"/>
      <c r="Z377" s="402"/>
    </row>
    <row r="378" ht="14.25" customHeight="1">
      <c r="A378" s="402"/>
      <c r="B378" s="402"/>
      <c r="C378" s="402"/>
      <c r="D378" s="402"/>
      <c r="E378" s="402"/>
      <c r="F378" s="403"/>
      <c r="G378" s="403"/>
      <c r="H378" s="402"/>
      <c r="I378" s="402"/>
      <c r="J378" s="402"/>
      <c r="K378" s="402"/>
      <c r="L378" s="402"/>
      <c r="M378" s="402"/>
      <c r="N378" s="402"/>
      <c r="O378" s="402"/>
      <c r="P378" s="402"/>
      <c r="Q378" s="402"/>
      <c r="R378" s="402"/>
      <c r="S378" s="402"/>
      <c r="T378" s="402"/>
      <c r="U378" s="402"/>
      <c r="V378" s="402"/>
      <c r="W378" s="402"/>
      <c r="X378" s="402"/>
      <c r="Y378" s="402"/>
      <c r="Z378" s="402"/>
    </row>
    <row r="379" ht="14.25" customHeight="1">
      <c r="A379" s="402"/>
      <c r="B379" s="402"/>
      <c r="C379" s="402"/>
      <c r="D379" s="402"/>
      <c r="E379" s="402"/>
      <c r="F379" s="403"/>
      <c r="G379" s="403"/>
      <c r="H379" s="402"/>
      <c r="I379" s="402"/>
      <c r="J379" s="402"/>
      <c r="K379" s="402"/>
      <c r="L379" s="402"/>
      <c r="M379" s="402"/>
      <c r="N379" s="402"/>
      <c r="O379" s="402"/>
      <c r="P379" s="402"/>
      <c r="Q379" s="402"/>
      <c r="R379" s="402"/>
      <c r="S379" s="402"/>
      <c r="T379" s="402"/>
      <c r="U379" s="402"/>
      <c r="V379" s="402"/>
      <c r="W379" s="402"/>
      <c r="X379" s="402"/>
      <c r="Y379" s="402"/>
      <c r="Z379" s="402"/>
    </row>
    <row r="380" ht="14.25" customHeight="1">
      <c r="A380" s="402"/>
      <c r="B380" s="402"/>
      <c r="C380" s="402"/>
      <c r="D380" s="402"/>
      <c r="E380" s="402"/>
      <c r="F380" s="403"/>
      <c r="G380" s="403"/>
      <c r="H380" s="402"/>
      <c r="I380" s="402"/>
      <c r="J380" s="402"/>
      <c r="K380" s="402"/>
      <c r="L380" s="402"/>
      <c r="M380" s="402"/>
      <c r="N380" s="402"/>
      <c r="O380" s="402"/>
      <c r="P380" s="402"/>
      <c r="Q380" s="402"/>
      <c r="R380" s="402"/>
      <c r="S380" s="402"/>
      <c r="T380" s="402"/>
      <c r="U380" s="402"/>
      <c r="V380" s="402"/>
      <c r="W380" s="402"/>
      <c r="X380" s="402"/>
      <c r="Y380" s="402"/>
      <c r="Z380" s="402"/>
    </row>
    <row r="381" ht="14.25" customHeight="1">
      <c r="A381" s="402"/>
      <c r="B381" s="402"/>
      <c r="C381" s="402"/>
      <c r="D381" s="402"/>
      <c r="E381" s="402"/>
      <c r="F381" s="403"/>
      <c r="G381" s="403"/>
      <c r="H381" s="402"/>
      <c r="I381" s="402"/>
      <c r="J381" s="402"/>
      <c r="K381" s="402"/>
      <c r="L381" s="402"/>
      <c r="M381" s="402"/>
      <c r="N381" s="402"/>
      <c r="O381" s="402"/>
      <c r="P381" s="402"/>
      <c r="Q381" s="402"/>
      <c r="R381" s="402"/>
      <c r="S381" s="402"/>
      <c r="T381" s="402"/>
      <c r="U381" s="402"/>
      <c r="V381" s="402"/>
      <c r="W381" s="402"/>
      <c r="X381" s="402"/>
      <c r="Y381" s="402"/>
      <c r="Z381" s="402"/>
    </row>
    <row r="382" ht="14.25" customHeight="1">
      <c r="A382" s="402"/>
      <c r="B382" s="402"/>
      <c r="C382" s="402"/>
      <c r="D382" s="402"/>
      <c r="E382" s="402"/>
      <c r="F382" s="403"/>
      <c r="G382" s="403"/>
      <c r="H382" s="402"/>
      <c r="I382" s="402"/>
      <c r="J382" s="402"/>
      <c r="K382" s="402"/>
      <c r="L382" s="402"/>
      <c r="M382" s="402"/>
      <c r="N382" s="402"/>
      <c r="O382" s="402"/>
      <c r="P382" s="402"/>
      <c r="Q382" s="402"/>
      <c r="R382" s="402"/>
      <c r="S382" s="402"/>
      <c r="T382" s="402"/>
      <c r="U382" s="402"/>
      <c r="V382" s="402"/>
      <c r="W382" s="402"/>
      <c r="X382" s="402"/>
      <c r="Y382" s="402"/>
      <c r="Z382" s="402"/>
    </row>
    <row r="383" ht="14.25" customHeight="1">
      <c r="A383" s="402"/>
      <c r="B383" s="402"/>
      <c r="C383" s="402"/>
      <c r="D383" s="402"/>
      <c r="E383" s="402"/>
      <c r="F383" s="403"/>
      <c r="G383" s="403"/>
      <c r="H383" s="402"/>
      <c r="I383" s="402"/>
      <c r="J383" s="402"/>
      <c r="K383" s="402"/>
      <c r="L383" s="402"/>
      <c r="M383" s="402"/>
      <c r="N383" s="402"/>
      <c r="O383" s="402"/>
      <c r="P383" s="402"/>
      <c r="Q383" s="402"/>
      <c r="R383" s="402"/>
      <c r="S383" s="402"/>
      <c r="T383" s="402"/>
      <c r="U383" s="402"/>
      <c r="V383" s="402"/>
      <c r="W383" s="402"/>
      <c r="X383" s="402"/>
      <c r="Y383" s="402"/>
      <c r="Z383" s="402"/>
    </row>
    <row r="384" ht="14.25" customHeight="1">
      <c r="A384" s="402"/>
      <c r="B384" s="402"/>
      <c r="C384" s="402"/>
      <c r="D384" s="402"/>
      <c r="E384" s="402"/>
      <c r="F384" s="403"/>
      <c r="G384" s="403"/>
      <c r="H384" s="402"/>
      <c r="I384" s="402"/>
      <c r="J384" s="402"/>
      <c r="K384" s="402"/>
      <c r="L384" s="402"/>
      <c r="M384" s="402"/>
      <c r="N384" s="402"/>
      <c r="O384" s="402"/>
      <c r="P384" s="402"/>
      <c r="Q384" s="402"/>
      <c r="R384" s="402"/>
      <c r="S384" s="402"/>
      <c r="T384" s="402"/>
      <c r="U384" s="402"/>
      <c r="V384" s="402"/>
      <c r="W384" s="402"/>
      <c r="X384" s="402"/>
      <c r="Y384" s="402"/>
      <c r="Z384" s="402"/>
    </row>
    <row r="385" ht="14.25" customHeight="1">
      <c r="A385" s="402"/>
      <c r="B385" s="402"/>
      <c r="C385" s="402"/>
      <c r="D385" s="402"/>
      <c r="E385" s="402"/>
      <c r="F385" s="403"/>
      <c r="G385" s="403"/>
      <c r="H385" s="402"/>
      <c r="I385" s="402"/>
      <c r="J385" s="402"/>
      <c r="K385" s="402"/>
      <c r="L385" s="402"/>
      <c r="M385" s="402"/>
      <c r="N385" s="402"/>
      <c r="O385" s="402"/>
      <c r="P385" s="402"/>
      <c r="Q385" s="402"/>
      <c r="R385" s="402"/>
      <c r="S385" s="402"/>
      <c r="T385" s="402"/>
      <c r="U385" s="402"/>
      <c r="V385" s="402"/>
      <c r="W385" s="402"/>
      <c r="X385" s="402"/>
      <c r="Y385" s="402"/>
      <c r="Z385" s="402"/>
    </row>
    <row r="386" ht="14.25" customHeight="1">
      <c r="A386" s="402"/>
      <c r="B386" s="402"/>
      <c r="C386" s="402"/>
      <c r="D386" s="402"/>
      <c r="E386" s="402"/>
      <c r="F386" s="403"/>
      <c r="G386" s="403"/>
      <c r="H386" s="402"/>
      <c r="I386" s="402"/>
      <c r="J386" s="402"/>
      <c r="K386" s="402"/>
      <c r="L386" s="402"/>
      <c r="M386" s="402"/>
      <c r="N386" s="402"/>
      <c r="O386" s="402"/>
      <c r="P386" s="402"/>
      <c r="Q386" s="402"/>
      <c r="R386" s="402"/>
      <c r="S386" s="402"/>
      <c r="T386" s="402"/>
      <c r="U386" s="402"/>
      <c r="V386" s="402"/>
      <c r="W386" s="402"/>
      <c r="X386" s="402"/>
      <c r="Y386" s="402"/>
      <c r="Z386" s="402"/>
    </row>
    <row r="387" ht="14.25" customHeight="1">
      <c r="A387" s="402"/>
      <c r="B387" s="402"/>
      <c r="C387" s="402"/>
      <c r="D387" s="402"/>
      <c r="E387" s="402"/>
      <c r="F387" s="403"/>
      <c r="G387" s="403"/>
      <c r="H387" s="402"/>
      <c r="I387" s="402"/>
      <c r="J387" s="402"/>
      <c r="K387" s="402"/>
      <c r="L387" s="402"/>
      <c r="M387" s="402"/>
      <c r="N387" s="402"/>
      <c r="O387" s="402"/>
      <c r="P387" s="402"/>
      <c r="Q387" s="402"/>
      <c r="R387" s="402"/>
      <c r="S387" s="402"/>
      <c r="T387" s="402"/>
      <c r="U387" s="402"/>
      <c r="V387" s="402"/>
      <c r="W387" s="402"/>
      <c r="X387" s="402"/>
      <c r="Y387" s="402"/>
      <c r="Z387" s="402"/>
    </row>
    <row r="388" ht="14.25" customHeight="1">
      <c r="A388" s="402"/>
      <c r="B388" s="402"/>
      <c r="C388" s="402"/>
      <c r="D388" s="402"/>
      <c r="E388" s="402"/>
      <c r="F388" s="403"/>
      <c r="G388" s="403"/>
      <c r="H388" s="402"/>
      <c r="I388" s="402"/>
      <c r="J388" s="402"/>
      <c r="K388" s="402"/>
      <c r="L388" s="402"/>
      <c r="M388" s="402"/>
      <c r="N388" s="402"/>
      <c r="O388" s="402"/>
      <c r="P388" s="402"/>
      <c r="Q388" s="402"/>
      <c r="R388" s="402"/>
      <c r="S388" s="402"/>
      <c r="T388" s="402"/>
      <c r="U388" s="402"/>
      <c r="V388" s="402"/>
      <c r="W388" s="402"/>
      <c r="X388" s="402"/>
      <c r="Y388" s="402"/>
      <c r="Z388" s="402"/>
    </row>
    <row r="389" ht="14.25" customHeight="1">
      <c r="A389" s="402"/>
      <c r="B389" s="402"/>
      <c r="C389" s="402"/>
      <c r="D389" s="402"/>
      <c r="E389" s="402"/>
      <c r="F389" s="403"/>
      <c r="G389" s="403"/>
      <c r="H389" s="402"/>
      <c r="I389" s="402"/>
      <c r="J389" s="402"/>
      <c r="K389" s="402"/>
      <c r="L389" s="402"/>
      <c r="M389" s="402"/>
      <c r="N389" s="402"/>
      <c r="O389" s="402"/>
      <c r="P389" s="402"/>
      <c r="Q389" s="402"/>
      <c r="R389" s="402"/>
      <c r="S389" s="402"/>
      <c r="T389" s="402"/>
      <c r="U389" s="402"/>
      <c r="V389" s="402"/>
      <c r="W389" s="402"/>
      <c r="X389" s="402"/>
      <c r="Y389" s="402"/>
      <c r="Z389" s="402"/>
    </row>
    <row r="390" ht="14.25" customHeight="1">
      <c r="A390" s="402"/>
      <c r="B390" s="402"/>
      <c r="C390" s="402"/>
      <c r="D390" s="402"/>
      <c r="E390" s="402"/>
      <c r="F390" s="403"/>
      <c r="G390" s="403"/>
      <c r="H390" s="402"/>
      <c r="I390" s="402"/>
      <c r="J390" s="402"/>
      <c r="K390" s="402"/>
      <c r="L390" s="402"/>
      <c r="M390" s="402"/>
      <c r="N390" s="402"/>
      <c r="O390" s="402"/>
      <c r="P390" s="402"/>
      <c r="Q390" s="402"/>
      <c r="R390" s="402"/>
      <c r="S390" s="402"/>
      <c r="T390" s="402"/>
      <c r="U390" s="402"/>
      <c r="V390" s="402"/>
      <c r="W390" s="402"/>
      <c r="X390" s="402"/>
      <c r="Y390" s="402"/>
      <c r="Z390" s="402"/>
    </row>
    <row r="391" ht="14.25" customHeight="1">
      <c r="A391" s="402"/>
      <c r="B391" s="402"/>
      <c r="C391" s="402"/>
      <c r="D391" s="402"/>
      <c r="E391" s="402"/>
      <c r="F391" s="403"/>
      <c r="G391" s="403"/>
      <c r="H391" s="402"/>
      <c r="I391" s="402"/>
      <c r="J391" s="402"/>
      <c r="K391" s="402"/>
      <c r="L391" s="402"/>
      <c r="M391" s="402"/>
      <c r="N391" s="402"/>
      <c r="O391" s="402"/>
      <c r="P391" s="402"/>
      <c r="Q391" s="402"/>
      <c r="R391" s="402"/>
      <c r="S391" s="402"/>
      <c r="T391" s="402"/>
      <c r="U391" s="402"/>
      <c r="V391" s="402"/>
      <c r="W391" s="402"/>
      <c r="X391" s="402"/>
      <c r="Y391" s="402"/>
      <c r="Z391" s="402"/>
    </row>
    <row r="392" ht="14.25" customHeight="1">
      <c r="A392" s="402"/>
      <c r="B392" s="402"/>
      <c r="C392" s="402"/>
      <c r="D392" s="402"/>
      <c r="E392" s="402"/>
      <c r="F392" s="403"/>
      <c r="G392" s="403"/>
      <c r="H392" s="402"/>
      <c r="I392" s="402"/>
      <c r="J392" s="402"/>
      <c r="K392" s="402"/>
      <c r="L392" s="402"/>
      <c r="M392" s="402"/>
      <c r="N392" s="402"/>
      <c r="O392" s="402"/>
      <c r="P392" s="402"/>
      <c r="Q392" s="402"/>
      <c r="R392" s="402"/>
      <c r="S392" s="402"/>
      <c r="T392" s="402"/>
      <c r="U392" s="402"/>
      <c r="V392" s="402"/>
      <c r="W392" s="402"/>
      <c r="X392" s="402"/>
      <c r="Y392" s="402"/>
      <c r="Z392" s="402"/>
    </row>
    <row r="393" ht="14.25" customHeight="1">
      <c r="A393" s="402"/>
      <c r="B393" s="402"/>
      <c r="C393" s="402"/>
      <c r="D393" s="402"/>
      <c r="E393" s="402"/>
      <c r="F393" s="403"/>
      <c r="G393" s="403"/>
      <c r="H393" s="402"/>
      <c r="I393" s="402"/>
      <c r="J393" s="402"/>
      <c r="K393" s="402"/>
      <c r="L393" s="402"/>
      <c r="M393" s="402"/>
      <c r="N393" s="402"/>
      <c r="O393" s="402"/>
      <c r="P393" s="402"/>
      <c r="Q393" s="402"/>
      <c r="R393" s="402"/>
      <c r="S393" s="402"/>
      <c r="T393" s="402"/>
      <c r="U393" s="402"/>
      <c r="V393" s="402"/>
      <c r="W393" s="402"/>
      <c r="X393" s="402"/>
      <c r="Y393" s="402"/>
      <c r="Z393" s="402"/>
    </row>
    <row r="394" ht="14.25" customHeight="1">
      <c r="A394" s="402"/>
      <c r="B394" s="402"/>
      <c r="C394" s="402"/>
      <c r="D394" s="402"/>
      <c r="E394" s="402"/>
      <c r="F394" s="403"/>
      <c r="G394" s="403"/>
      <c r="H394" s="402"/>
      <c r="I394" s="402"/>
      <c r="J394" s="402"/>
      <c r="K394" s="402"/>
      <c r="L394" s="402"/>
      <c r="M394" s="402"/>
      <c r="N394" s="402"/>
      <c r="O394" s="402"/>
      <c r="P394" s="402"/>
      <c r="Q394" s="402"/>
      <c r="R394" s="402"/>
      <c r="S394" s="402"/>
      <c r="T394" s="402"/>
      <c r="U394" s="402"/>
      <c r="V394" s="402"/>
      <c r="W394" s="402"/>
      <c r="X394" s="402"/>
      <c r="Y394" s="402"/>
      <c r="Z394" s="402"/>
    </row>
    <row r="395" ht="14.25" customHeight="1">
      <c r="A395" s="402"/>
      <c r="B395" s="402"/>
      <c r="C395" s="402"/>
      <c r="D395" s="402"/>
      <c r="E395" s="402"/>
      <c r="F395" s="403"/>
      <c r="G395" s="403"/>
      <c r="H395" s="402"/>
      <c r="I395" s="402"/>
      <c r="J395" s="402"/>
      <c r="K395" s="402"/>
      <c r="L395" s="402"/>
      <c r="M395" s="402"/>
      <c r="N395" s="402"/>
      <c r="O395" s="402"/>
      <c r="P395" s="402"/>
      <c r="Q395" s="402"/>
      <c r="R395" s="402"/>
      <c r="S395" s="402"/>
      <c r="T395" s="402"/>
      <c r="U395" s="402"/>
      <c r="V395" s="402"/>
      <c r="W395" s="402"/>
      <c r="X395" s="402"/>
      <c r="Y395" s="402"/>
      <c r="Z395" s="402"/>
    </row>
    <row r="396" ht="14.25" customHeight="1">
      <c r="A396" s="402"/>
      <c r="B396" s="402"/>
      <c r="C396" s="402"/>
      <c r="D396" s="402"/>
      <c r="E396" s="402"/>
      <c r="F396" s="403"/>
      <c r="G396" s="403"/>
      <c r="H396" s="402"/>
      <c r="I396" s="402"/>
      <c r="J396" s="402"/>
      <c r="K396" s="402"/>
      <c r="L396" s="402"/>
      <c r="M396" s="402"/>
      <c r="N396" s="402"/>
      <c r="O396" s="402"/>
      <c r="P396" s="402"/>
      <c r="Q396" s="402"/>
      <c r="R396" s="402"/>
      <c r="S396" s="402"/>
      <c r="T396" s="402"/>
      <c r="U396" s="402"/>
      <c r="V396" s="402"/>
      <c r="W396" s="402"/>
      <c r="X396" s="402"/>
      <c r="Y396" s="402"/>
      <c r="Z396" s="402"/>
    </row>
    <row r="397" ht="14.25" customHeight="1">
      <c r="A397" s="402"/>
      <c r="B397" s="402"/>
      <c r="C397" s="402"/>
      <c r="D397" s="402"/>
      <c r="E397" s="402"/>
      <c r="F397" s="403"/>
      <c r="G397" s="403"/>
      <c r="H397" s="402"/>
      <c r="I397" s="402"/>
      <c r="J397" s="402"/>
      <c r="K397" s="402"/>
      <c r="L397" s="402"/>
      <c r="M397" s="402"/>
      <c r="N397" s="402"/>
      <c r="O397" s="402"/>
      <c r="P397" s="402"/>
      <c r="Q397" s="402"/>
      <c r="R397" s="402"/>
      <c r="S397" s="402"/>
      <c r="T397" s="402"/>
      <c r="U397" s="402"/>
      <c r="V397" s="402"/>
      <c r="W397" s="402"/>
      <c r="X397" s="402"/>
      <c r="Y397" s="402"/>
      <c r="Z397" s="402"/>
    </row>
    <row r="398" ht="14.25" customHeight="1">
      <c r="A398" s="402"/>
      <c r="B398" s="402"/>
      <c r="C398" s="402"/>
      <c r="D398" s="402"/>
      <c r="E398" s="402"/>
      <c r="F398" s="403"/>
      <c r="G398" s="403"/>
      <c r="H398" s="402"/>
      <c r="I398" s="402"/>
      <c r="J398" s="402"/>
      <c r="K398" s="402"/>
      <c r="L398" s="402"/>
      <c r="M398" s="402"/>
      <c r="N398" s="402"/>
      <c r="O398" s="402"/>
      <c r="P398" s="402"/>
      <c r="Q398" s="402"/>
      <c r="R398" s="402"/>
      <c r="S398" s="402"/>
      <c r="T398" s="402"/>
      <c r="U398" s="402"/>
      <c r="V398" s="402"/>
      <c r="W398" s="402"/>
      <c r="X398" s="402"/>
      <c r="Y398" s="402"/>
      <c r="Z398" s="402"/>
    </row>
    <row r="399" ht="14.25" customHeight="1">
      <c r="A399" s="402"/>
      <c r="B399" s="402"/>
      <c r="C399" s="402"/>
      <c r="D399" s="402"/>
      <c r="E399" s="402"/>
      <c r="F399" s="403"/>
      <c r="G399" s="403"/>
      <c r="H399" s="402"/>
      <c r="I399" s="402"/>
      <c r="J399" s="402"/>
      <c r="K399" s="402"/>
      <c r="L399" s="402"/>
      <c r="M399" s="402"/>
      <c r="N399" s="402"/>
      <c r="O399" s="402"/>
      <c r="P399" s="402"/>
      <c r="Q399" s="402"/>
      <c r="R399" s="402"/>
      <c r="S399" s="402"/>
      <c r="T399" s="402"/>
      <c r="U399" s="402"/>
      <c r="V399" s="402"/>
      <c r="W399" s="402"/>
      <c r="X399" s="402"/>
      <c r="Y399" s="402"/>
      <c r="Z399" s="402"/>
    </row>
    <row r="400" ht="14.25" customHeight="1">
      <c r="A400" s="402"/>
      <c r="B400" s="402"/>
      <c r="C400" s="402"/>
      <c r="D400" s="402"/>
      <c r="E400" s="402"/>
      <c r="F400" s="403"/>
      <c r="G400" s="403"/>
      <c r="H400" s="402"/>
      <c r="I400" s="402"/>
      <c r="J400" s="402"/>
      <c r="K400" s="402"/>
      <c r="L400" s="402"/>
      <c r="M400" s="402"/>
      <c r="N400" s="402"/>
      <c r="O400" s="402"/>
      <c r="P400" s="402"/>
      <c r="Q400" s="402"/>
      <c r="R400" s="402"/>
      <c r="S400" s="402"/>
      <c r="T400" s="402"/>
      <c r="U400" s="402"/>
      <c r="V400" s="402"/>
      <c r="W400" s="402"/>
      <c r="X400" s="402"/>
      <c r="Y400" s="402"/>
      <c r="Z400" s="402"/>
    </row>
    <row r="401" ht="14.25" customHeight="1">
      <c r="A401" s="402"/>
      <c r="B401" s="402"/>
      <c r="C401" s="402"/>
      <c r="D401" s="402"/>
      <c r="E401" s="402"/>
      <c r="F401" s="403"/>
      <c r="G401" s="403"/>
      <c r="H401" s="402"/>
      <c r="I401" s="402"/>
      <c r="J401" s="402"/>
      <c r="K401" s="402"/>
      <c r="L401" s="402"/>
      <c r="M401" s="402"/>
      <c r="N401" s="402"/>
      <c r="O401" s="402"/>
      <c r="P401" s="402"/>
      <c r="Q401" s="402"/>
      <c r="R401" s="402"/>
      <c r="S401" s="402"/>
      <c r="T401" s="402"/>
      <c r="U401" s="402"/>
      <c r="V401" s="402"/>
      <c r="W401" s="402"/>
      <c r="X401" s="402"/>
      <c r="Y401" s="402"/>
      <c r="Z401" s="402"/>
    </row>
    <row r="402" ht="14.25" customHeight="1">
      <c r="A402" s="402"/>
      <c r="B402" s="402"/>
      <c r="C402" s="402"/>
      <c r="D402" s="402"/>
      <c r="E402" s="402"/>
      <c r="F402" s="403"/>
      <c r="G402" s="403"/>
      <c r="H402" s="402"/>
      <c r="I402" s="402"/>
      <c r="J402" s="402"/>
      <c r="K402" s="402"/>
      <c r="L402" s="402"/>
      <c r="M402" s="402"/>
      <c r="N402" s="402"/>
      <c r="O402" s="402"/>
      <c r="P402" s="402"/>
      <c r="Q402" s="402"/>
      <c r="R402" s="402"/>
      <c r="S402" s="402"/>
      <c r="T402" s="402"/>
      <c r="U402" s="402"/>
      <c r="V402" s="402"/>
      <c r="W402" s="402"/>
      <c r="X402" s="402"/>
      <c r="Y402" s="402"/>
      <c r="Z402" s="402"/>
    </row>
    <row r="403" ht="14.25" customHeight="1">
      <c r="A403" s="402"/>
      <c r="B403" s="402"/>
      <c r="C403" s="402"/>
      <c r="D403" s="402"/>
      <c r="E403" s="402"/>
      <c r="F403" s="403"/>
      <c r="G403" s="403"/>
      <c r="H403" s="402"/>
      <c r="I403" s="402"/>
      <c r="J403" s="402"/>
      <c r="K403" s="402"/>
      <c r="L403" s="402"/>
      <c r="M403" s="402"/>
      <c r="N403" s="402"/>
      <c r="O403" s="402"/>
      <c r="P403" s="402"/>
      <c r="Q403" s="402"/>
      <c r="R403" s="402"/>
      <c r="S403" s="402"/>
      <c r="T403" s="402"/>
      <c r="U403" s="402"/>
      <c r="V403" s="402"/>
      <c r="W403" s="402"/>
      <c r="X403" s="402"/>
      <c r="Y403" s="402"/>
      <c r="Z403" s="402"/>
    </row>
    <row r="404" ht="14.25" customHeight="1">
      <c r="A404" s="402"/>
      <c r="B404" s="402"/>
      <c r="C404" s="402"/>
      <c r="D404" s="402"/>
      <c r="E404" s="402"/>
      <c r="F404" s="403"/>
      <c r="G404" s="403"/>
      <c r="H404" s="402"/>
      <c r="I404" s="402"/>
      <c r="J404" s="402"/>
      <c r="K404" s="402"/>
      <c r="L404" s="402"/>
      <c r="M404" s="402"/>
      <c r="N404" s="402"/>
      <c r="O404" s="402"/>
      <c r="P404" s="402"/>
      <c r="Q404" s="402"/>
      <c r="R404" s="402"/>
      <c r="S404" s="402"/>
      <c r="T404" s="402"/>
      <c r="U404" s="402"/>
      <c r="V404" s="402"/>
      <c r="W404" s="402"/>
      <c r="X404" s="402"/>
      <c r="Y404" s="402"/>
      <c r="Z404" s="402"/>
    </row>
    <row r="405" ht="14.25" customHeight="1">
      <c r="A405" s="402"/>
      <c r="B405" s="402"/>
      <c r="C405" s="402"/>
      <c r="D405" s="402"/>
      <c r="E405" s="402"/>
      <c r="F405" s="403"/>
      <c r="G405" s="403"/>
      <c r="H405" s="402"/>
      <c r="I405" s="402"/>
      <c r="J405" s="402"/>
      <c r="K405" s="402"/>
      <c r="L405" s="402"/>
      <c r="M405" s="402"/>
      <c r="N405" s="402"/>
      <c r="O405" s="402"/>
      <c r="P405" s="402"/>
      <c r="Q405" s="402"/>
      <c r="R405" s="402"/>
      <c r="S405" s="402"/>
      <c r="T405" s="402"/>
      <c r="U405" s="402"/>
      <c r="V405" s="402"/>
      <c r="W405" s="402"/>
      <c r="X405" s="402"/>
      <c r="Y405" s="402"/>
      <c r="Z405" s="402"/>
    </row>
    <row r="406" ht="14.25" customHeight="1">
      <c r="A406" s="402"/>
      <c r="B406" s="402"/>
      <c r="C406" s="402"/>
      <c r="D406" s="402"/>
      <c r="E406" s="402"/>
      <c r="F406" s="403"/>
      <c r="G406" s="403"/>
      <c r="H406" s="402"/>
      <c r="I406" s="402"/>
      <c r="J406" s="402"/>
      <c r="K406" s="402"/>
      <c r="L406" s="402"/>
      <c r="M406" s="402"/>
      <c r="N406" s="402"/>
      <c r="O406" s="402"/>
      <c r="P406" s="402"/>
      <c r="Q406" s="402"/>
      <c r="R406" s="402"/>
      <c r="S406" s="402"/>
      <c r="T406" s="402"/>
      <c r="U406" s="402"/>
      <c r="V406" s="402"/>
      <c r="W406" s="402"/>
      <c r="X406" s="402"/>
      <c r="Y406" s="402"/>
      <c r="Z406" s="402"/>
    </row>
    <row r="407" ht="14.25" customHeight="1">
      <c r="A407" s="402"/>
      <c r="B407" s="402"/>
      <c r="C407" s="402"/>
      <c r="D407" s="402"/>
      <c r="E407" s="402"/>
      <c r="F407" s="403"/>
      <c r="G407" s="403"/>
      <c r="H407" s="402"/>
      <c r="I407" s="402"/>
      <c r="J407" s="402"/>
      <c r="K407" s="402"/>
      <c r="L407" s="402"/>
      <c r="M407" s="402"/>
      <c r="N407" s="402"/>
      <c r="O407" s="402"/>
      <c r="P407" s="402"/>
      <c r="Q407" s="402"/>
      <c r="R407" s="402"/>
      <c r="S407" s="402"/>
      <c r="T407" s="402"/>
      <c r="U407" s="402"/>
      <c r="V407" s="402"/>
      <c r="W407" s="402"/>
      <c r="X407" s="402"/>
      <c r="Y407" s="402"/>
      <c r="Z407" s="402"/>
    </row>
    <row r="408" ht="14.25" customHeight="1">
      <c r="A408" s="402"/>
      <c r="B408" s="402"/>
      <c r="C408" s="402"/>
      <c r="D408" s="402"/>
      <c r="E408" s="402"/>
      <c r="F408" s="403"/>
      <c r="G408" s="403"/>
      <c r="H408" s="402"/>
      <c r="I408" s="402"/>
      <c r="J408" s="402"/>
      <c r="K408" s="402"/>
      <c r="L408" s="402"/>
      <c r="M408" s="402"/>
      <c r="N408" s="402"/>
      <c r="O408" s="402"/>
      <c r="P408" s="402"/>
      <c r="Q408" s="402"/>
      <c r="R408" s="402"/>
      <c r="S408" s="402"/>
      <c r="T408" s="402"/>
      <c r="U408" s="402"/>
      <c r="V408" s="402"/>
      <c r="W408" s="402"/>
      <c r="X408" s="402"/>
      <c r="Y408" s="402"/>
      <c r="Z408" s="402"/>
    </row>
    <row r="409" ht="14.25" customHeight="1">
      <c r="A409" s="402"/>
      <c r="B409" s="402"/>
      <c r="C409" s="402"/>
      <c r="D409" s="402"/>
      <c r="E409" s="402"/>
      <c r="F409" s="403"/>
      <c r="G409" s="403"/>
      <c r="H409" s="402"/>
      <c r="I409" s="402"/>
      <c r="J409" s="402"/>
      <c r="K409" s="402"/>
      <c r="L409" s="402"/>
      <c r="M409" s="402"/>
      <c r="N409" s="402"/>
      <c r="O409" s="402"/>
      <c r="P409" s="402"/>
      <c r="Q409" s="402"/>
      <c r="R409" s="402"/>
      <c r="S409" s="402"/>
      <c r="T409" s="402"/>
      <c r="U409" s="402"/>
      <c r="V409" s="402"/>
      <c r="W409" s="402"/>
      <c r="X409" s="402"/>
      <c r="Y409" s="402"/>
      <c r="Z409" s="402"/>
    </row>
    <row r="410" ht="14.25" customHeight="1">
      <c r="A410" s="402"/>
      <c r="B410" s="402"/>
      <c r="C410" s="402"/>
      <c r="D410" s="402"/>
      <c r="E410" s="402"/>
      <c r="F410" s="403"/>
      <c r="G410" s="403"/>
      <c r="H410" s="402"/>
      <c r="I410" s="402"/>
      <c r="J410" s="402"/>
      <c r="K410" s="402"/>
      <c r="L410" s="402"/>
      <c r="M410" s="402"/>
      <c r="N410" s="402"/>
      <c r="O410" s="402"/>
      <c r="P410" s="402"/>
      <c r="Q410" s="402"/>
      <c r="R410" s="402"/>
      <c r="S410" s="402"/>
      <c r="T410" s="402"/>
      <c r="U410" s="402"/>
      <c r="V410" s="402"/>
      <c r="W410" s="402"/>
      <c r="X410" s="402"/>
      <c r="Y410" s="402"/>
      <c r="Z410" s="402"/>
    </row>
    <row r="411" ht="14.25" customHeight="1">
      <c r="A411" s="402"/>
      <c r="B411" s="402"/>
      <c r="C411" s="402"/>
      <c r="D411" s="402"/>
      <c r="E411" s="402"/>
      <c r="F411" s="403"/>
      <c r="G411" s="403"/>
      <c r="H411" s="402"/>
      <c r="I411" s="402"/>
      <c r="J411" s="402"/>
      <c r="K411" s="402"/>
      <c r="L411" s="402"/>
      <c r="M411" s="402"/>
      <c r="N411" s="402"/>
      <c r="O411" s="402"/>
      <c r="P411" s="402"/>
      <c r="Q411" s="402"/>
      <c r="R411" s="402"/>
      <c r="S411" s="402"/>
      <c r="T411" s="402"/>
      <c r="U411" s="402"/>
      <c r="V411" s="402"/>
      <c r="W411" s="402"/>
      <c r="X411" s="402"/>
      <c r="Y411" s="402"/>
      <c r="Z411" s="402"/>
    </row>
    <row r="412" ht="14.25" customHeight="1">
      <c r="A412" s="402"/>
      <c r="B412" s="402"/>
      <c r="C412" s="402"/>
      <c r="D412" s="402"/>
      <c r="E412" s="402"/>
      <c r="F412" s="403"/>
      <c r="G412" s="403"/>
      <c r="H412" s="402"/>
      <c r="I412" s="402"/>
      <c r="J412" s="402"/>
      <c r="K412" s="402"/>
      <c r="L412" s="402"/>
      <c r="M412" s="402"/>
      <c r="N412" s="402"/>
      <c r="O412" s="402"/>
      <c r="P412" s="402"/>
      <c r="Q412" s="402"/>
      <c r="R412" s="402"/>
      <c r="S412" s="402"/>
      <c r="T412" s="402"/>
      <c r="U412" s="402"/>
      <c r="V412" s="402"/>
      <c r="W412" s="402"/>
      <c r="X412" s="402"/>
      <c r="Y412" s="402"/>
      <c r="Z412" s="402"/>
    </row>
    <row r="413" ht="14.25" customHeight="1">
      <c r="A413" s="402"/>
      <c r="B413" s="402"/>
      <c r="C413" s="402"/>
      <c r="D413" s="402"/>
      <c r="E413" s="402"/>
      <c r="F413" s="403"/>
      <c r="G413" s="403"/>
      <c r="H413" s="402"/>
      <c r="I413" s="402"/>
      <c r="J413" s="402"/>
      <c r="K413" s="402"/>
      <c r="L413" s="402"/>
      <c r="M413" s="402"/>
      <c r="N413" s="402"/>
      <c r="O413" s="402"/>
      <c r="P413" s="402"/>
      <c r="Q413" s="402"/>
      <c r="R413" s="402"/>
      <c r="S413" s="402"/>
      <c r="T413" s="402"/>
      <c r="U413" s="402"/>
      <c r="V413" s="402"/>
      <c r="W413" s="402"/>
      <c r="X413" s="402"/>
      <c r="Y413" s="402"/>
      <c r="Z413" s="402"/>
    </row>
    <row r="414" ht="14.25" customHeight="1">
      <c r="A414" s="402"/>
      <c r="B414" s="402"/>
      <c r="C414" s="402"/>
      <c r="D414" s="402"/>
      <c r="E414" s="402"/>
      <c r="F414" s="403"/>
      <c r="G414" s="403"/>
      <c r="H414" s="402"/>
      <c r="I414" s="402"/>
      <c r="J414" s="402"/>
      <c r="K414" s="402"/>
      <c r="L414" s="402"/>
      <c r="M414" s="402"/>
      <c r="N414" s="402"/>
      <c r="O414" s="402"/>
      <c r="P414" s="402"/>
      <c r="Q414" s="402"/>
      <c r="R414" s="402"/>
      <c r="S414" s="402"/>
      <c r="T414" s="402"/>
      <c r="U414" s="402"/>
      <c r="V414" s="402"/>
      <c r="W414" s="402"/>
      <c r="X414" s="402"/>
      <c r="Y414" s="402"/>
      <c r="Z414" s="402"/>
    </row>
    <row r="415" ht="14.25" customHeight="1">
      <c r="A415" s="402"/>
      <c r="B415" s="402"/>
      <c r="C415" s="402"/>
      <c r="D415" s="402"/>
      <c r="E415" s="402"/>
      <c r="F415" s="403"/>
      <c r="G415" s="403"/>
      <c r="H415" s="402"/>
      <c r="I415" s="402"/>
      <c r="J415" s="402"/>
      <c r="K415" s="402"/>
      <c r="L415" s="402"/>
      <c r="M415" s="402"/>
      <c r="N415" s="402"/>
      <c r="O415" s="402"/>
      <c r="P415" s="402"/>
      <c r="Q415" s="402"/>
      <c r="R415" s="402"/>
      <c r="S415" s="402"/>
      <c r="T415" s="402"/>
      <c r="U415" s="402"/>
      <c r="V415" s="402"/>
      <c r="W415" s="402"/>
      <c r="X415" s="402"/>
      <c r="Y415" s="402"/>
      <c r="Z415" s="402"/>
    </row>
    <row r="416" ht="14.25" customHeight="1">
      <c r="A416" s="402"/>
      <c r="B416" s="402"/>
      <c r="C416" s="402"/>
      <c r="D416" s="402"/>
      <c r="E416" s="402"/>
      <c r="F416" s="403"/>
      <c r="G416" s="403"/>
      <c r="H416" s="402"/>
      <c r="I416" s="402"/>
      <c r="J416" s="402"/>
      <c r="K416" s="402"/>
      <c r="L416" s="402"/>
      <c r="M416" s="402"/>
      <c r="N416" s="402"/>
      <c r="O416" s="402"/>
      <c r="P416" s="402"/>
      <c r="Q416" s="402"/>
      <c r="R416" s="402"/>
      <c r="S416" s="402"/>
      <c r="T416" s="402"/>
      <c r="U416" s="402"/>
      <c r="V416" s="402"/>
      <c r="W416" s="402"/>
      <c r="X416" s="402"/>
      <c r="Y416" s="402"/>
      <c r="Z416" s="402"/>
    </row>
    <row r="417" ht="14.25" customHeight="1">
      <c r="A417" s="402"/>
      <c r="B417" s="402"/>
      <c r="C417" s="402"/>
      <c r="D417" s="402"/>
      <c r="E417" s="402"/>
      <c r="F417" s="403"/>
      <c r="G417" s="403"/>
      <c r="H417" s="402"/>
      <c r="I417" s="402"/>
      <c r="J417" s="402"/>
      <c r="K417" s="402"/>
      <c r="L417" s="402"/>
      <c r="M417" s="402"/>
      <c r="N417" s="402"/>
      <c r="O417" s="402"/>
      <c r="P417" s="402"/>
      <c r="Q417" s="402"/>
      <c r="R417" s="402"/>
      <c r="S417" s="402"/>
      <c r="T417" s="402"/>
      <c r="U417" s="402"/>
      <c r="V417" s="402"/>
      <c r="W417" s="402"/>
      <c r="X417" s="402"/>
      <c r="Y417" s="402"/>
      <c r="Z417" s="402"/>
    </row>
    <row r="418" ht="14.25" customHeight="1">
      <c r="A418" s="402"/>
      <c r="B418" s="402"/>
      <c r="C418" s="402"/>
      <c r="D418" s="402"/>
      <c r="E418" s="402"/>
      <c r="F418" s="403"/>
      <c r="G418" s="403"/>
      <c r="H418" s="402"/>
      <c r="I418" s="402"/>
      <c r="J418" s="402"/>
      <c r="K418" s="402"/>
      <c r="L418" s="402"/>
      <c r="M418" s="402"/>
      <c r="N418" s="402"/>
      <c r="O418" s="402"/>
      <c r="P418" s="402"/>
      <c r="Q418" s="402"/>
      <c r="R418" s="402"/>
      <c r="S418" s="402"/>
      <c r="T418" s="402"/>
      <c r="U418" s="402"/>
      <c r="V418" s="402"/>
      <c r="W418" s="402"/>
      <c r="X418" s="402"/>
      <c r="Y418" s="402"/>
      <c r="Z418" s="402"/>
    </row>
    <row r="419" ht="14.25" customHeight="1">
      <c r="A419" s="402"/>
      <c r="B419" s="402"/>
      <c r="C419" s="402"/>
      <c r="D419" s="402"/>
      <c r="E419" s="402"/>
      <c r="F419" s="403"/>
      <c r="G419" s="403"/>
      <c r="H419" s="402"/>
      <c r="I419" s="402"/>
      <c r="J419" s="402"/>
      <c r="K419" s="402"/>
      <c r="L419" s="402"/>
      <c r="M419" s="402"/>
      <c r="N419" s="402"/>
      <c r="O419" s="402"/>
      <c r="P419" s="402"/>
      <c r="Q419" s="402"/>
      <c r="R419" s="402"/>
      <c r="S419" s="402"/>
      <c r="T419" s="402"/>
      <c r="U419" s="402"/>
      <c r="V419" s="402"/>
      <c r="W419" s="402"/>
      <c r="X419" s="402"/>
      <c r="Y419" s="402"/>
      <c r="Z419" s="402"/>
    </row>
    <row r="420" ht="14.25" customHeight="1">
      <c r="A420" s="402"/>
      <c r="B420" s="402"/>
      <c r="C420" s="402"/>
      <c r="D420" s="402"/>
      <c r="E420" s="402"/>
      <c r="F420" s="403"/>
      <c r="G420" s="403"/>
      <c r="H420" s="402"/>
      <c r="I420" s="402"/>
      <c r="J420" s="402"/>
      <c r="K420" s="402"/>
      <c r="L420" s="402"/>
      <c r="M420" s="402"/>
      <c r="N420" s="402"/>
      <c r="O420" s="402"/>
      <c r="P420" s="402"/>
      <c r="Q420" s="402"/>
      <c r="R420" s="402"/>
      <c r="S420" s="402"/>
      <c r="T420" s="402"/>
      <c r="U420" s="402"/>
      <c r="V420" s="402"/>
      <c r="W420" s="402"/>
      <c r="X420" s="402"/>
      <c r="Y420" s="402"/>
      <c r="Z420" s="402"/>
    </row>
    <row r="421" ht="14.25" customHeight="1">
      <c r="A421" s="402"/>
      <c r="B421" s="402"/>
      <c r="C421" s="402"/>
      <c r="D421" s="402"/>
      <c r="E421" s="402"/>
      <c r="F421" s="403"/>
      <c r="G421" s="403"/>
      <c r="H421" s="402"/>
      <c r="I421" s="402"/>
      <c r="J421" s="402"/>
      <c r="K421" s="402"/>
      <c r="L421" s="402"/>
      <c r="M421" s="402"/>
      <c r="N421" s="402"/>
      <c r="O421" s="402"/>
      <c r="P421" s="402"/>
      <c r="Q421" s="402"/>
      <c r="R421" s="402"/>
      <c r="S421" s="402"/>
      <c r="T421" s="402"/>
      <c r="U421" s="402"/>
      <c r="V421" s="402"/>
      <c r="W421" s="402"/>
      <c r="X421" s="402"/>
      <c r="Y421" s="402"/>
      <c r="Z421" s="402"/>
    </row>
    <row r="422" ht="14.25" customHeight="1">
      <c r="A422" s="402"/>
      <c r="B422" s="402"/>
      <c r="C422" s="402"/>
      <c r="D422" s="402"/>
      <c r="E422" s="402"/>
      <c r="F422" s="403"/>
      <c r="G422" s="403"/>
      <c r="H422" s="402"/>
      <c r="I422" s="402"/>
      <c r="J422" s="402"/>
      <c r="K422" s="402"/>
      <c r="L422" s="402"/>
      <c r="M422" s="402"/>
      <c r="N422" s="402"/>
      <c r="O422" s="402"/>
      <c r="P422" s="402"/>
      <c r="Q422" s="402"/>
      <c r="R422" s="402"/>
      <c r="S422" s="402"/>
      <c r="T422" s="402"/>
      <c r="U422" s="402"/>
      <c r="V422" s="402"/>
      <c r="W422" s="402"/>
      <c r="X422" s="402"/>
      <c r="Y422" s="402"/>
      <c r="Z422" s="402"/>
    </row>
    <row r="423" ht="14.25" customHeight="1">
      <c r="A423" s="402"/>
      <c r="B423" s="402"/>
      <c r="C423" s="402"/>
      <c r="D423" s="402"/>
      <c r="E423" s="402"/>
      <c r="F423" s="403"/>
      <c r="G423" s="403"/>
      <c r="H423" s="402"/>
      <c r="I423" s="402"/>
      <c r="J423" s="402"/>
      <c r="K423" s="402"/>
      <c r="L423" s="402"/>
      <c r="M423" s="402"/>
      <c r="N423" s="402"/>
      <c r="O423" s="402"/>
      <c r="P423" s="402"/>
      <c r="Q423" s="402"/>
      <c r="R423" s="402"/>
      <c r="S423" s="402"/>
      <c r="T423" s="402"/>
      <c r="U423" s="402"/>
      <c r="V423" s="402"/>
      <c r="W423" s="402"/>
      <c r="X423" s="402"/>
      <c r="Y423" s="402"/>
      <c r="Z423" s="402"/>
    </row>
    <row r="424" ht="14.25" customHeight="1">
      <c r="A424" s="402"/>
      <c r="B424" s="402"/>
      <c r="C424" s="402"/>
      <c r="D424" s="402"/>
      <c r="E424" s="402"/>
      <c r="F424" s="403"/>
      <c r="G424" s="403"/>
      <c r="H424" s="402"/>
      <c r="I424" s="402"/>
      <c r="J424" s="402"/>
      <c r="K424" s="402"/>
      <c r="L424" s="402"/>
      <c r="M424" s="402"/>
      <c r="N424" s="402"/>
      <c r="O424" s="402"/>
      <c r="P424" s="402"/>
      <c r="Q424" s="402"/>
      <c r="R424" s="402"/>
      <c r="S424" s="402"/>
      <c r="T424" s="402"/>
      <c r="U424" s="402"/>
      <c r="V424" s="402"/>
      <c r="W424" s="402"/>
      <c r="X424" s="402"/>
      <c r="Y424" s="402"/>
      <c r="Z424" s="402"/>
    </row>
    <row r="425" ht="14.25" customHeight="1">
      <c r="A425" s="402"/>
      <c r="B425" s="402"/>
      <c r="C425" s="402"/>
      <c r="D425" s="402"/>
      <c r="E425" s="402"/>
      <c r="F425" s="403"/>
      <c r="G425" s="403"/>
      <c r="H425" s="402"/>
      <c r="I425" s="402"/>
      <c r="J425" s="402"/>
      <c r="K425" s="402"/>
      <c r="L425" s="402"/>
      <c r="M425" s="402"/>
      <c r="N425" s="402"/>
      <c r="O425" s="402"/>
      <c r="P425" s="402"/>
      <c r="Q425" s="402"/>
      <c r="R425" s="402"/>
      <c r="S425" s="402"/>
      <c r="T425" s="402"/>
      <c r="U425" s="402"/>
      <c r="V425" s="402"/>
      <c r="W425" s="402"/>
      <c r="X425" s="402"/>
      <c r="Y425" s="402"/>
      <c r="Z425" s="402"/>
    </row>
    <row r="426" ht="14.25" customHeight="1">
      <c r="A426" s="402"/>
      <c r="B426" s="402"/>
      <c r="C426" s="402"/>
      <c r="D426" s="402"/>
      <c r="E426" s="402"/>
      <c r="F426" s="403"/>
      <c r="G426" s="403"/>
      <c r="H426" s="402"/>
      <c r="I426" s="402"/>
      <c r="J426" s="402"/>
      <c r="K426" s="402"/>
      <c r="L426" s="402"/>
      <c r="M426" s="402"/>
      <c r="N426" s="402"/>
      <c r="O426" s="402"/>
      <c r="P426" s="402"/>
      <c r="Q426" s="402"/>
      <c r="R426" s="402"/>
      <c r="S426" s="402"/>
      <c r="T426" s="402"/>
      <c r="U426" s="402"/>
      <c r="V426" s="402"/>
      <c r="W426" s="402"/>
      <c r="X426" s="402"/>
      <c r="Y426" s="402"/>
      <c r="Z426" s="402"/>
    </row>
    <row r="427" ht="14.25" customHeight="1">
      <c r="A427" s="402"/>
      <c r="B427" s="402"/>
      <c r="C427" s="402"/>
      <c r="D427" s="402"/>
      <c r="E427" s="402"/>
      <c r="F427" s="403"/>
      <c r="G427" s="403"/>
      <c r="H427" s="402"/>
      <c r="I427" s="402"/>
      <c r="J427" s="402"/>
      <c r="K427" s="402"/>
      <c r="L427" s="402"/>
      <c r="M427" s="402"/>
      <c r="N427" s="402"/>
      <c r="O427" s="402"/>
      <c r="P427" s="402"/>
      <c r="Q427" s="402"/>
      <c r="R427" s="402"/>
      <c r="S427" s="402"/>
      <c r="T427" s="402"/>
      <c r="U427" s="402"/>
      <c r="V427" s="402"/>
      <c r="W427" s="402"/>
      <c r="X427" s="402"/>
      <c r="Y427" s="402"/>
      <c r="Z427" s="402"/>
    </row>
    <row r="428" ht="14.25" customHeight="1">
      <c r="A428" s="402"/>
      <c r="B428" s="402"/>
      <c r="C428" s="402"/>
      <c r="D428" s="402"/>
      <c r="E428" s="402"/>
      <c r="F428" s="403"/>
      <c r="G428" s="403"/>
      <c r="H428" s="402"/>
      <c r="I428" s="402"/>
      <c r="J428" s="402"/>
      <c r="K428" s="402"/>
      <c r="L428" s="402"/>
      <c r="M428" s="402"/>
      <c r="N428" s="402"/>
      <c r="O428" s="402"/>
      <c r="P428" s="402"/>
      <c r="Q428" s="402"/>
      <c r="R428" s="402"/>
      <c r="S428" s="402"/>
      <c r="T428" s="402"/>
      <c r="U428" s="402"/>
      <c r="V428" s="402"/>
      <c r="W428" s="402"/>
      <c r="X428" s="402"/>
      <c r="Y428" s="402"/>
      <c r="Z428" s="402"/>
    </row>
    <row r="429" ht="14.25" customHeight="1">
      <c r="A429" s="402"/>
      <c r="B429" s="402"/>
      <c r="C429" s="402"/>
      <c r="D429" s="402"/>
      <c r="E429" s="402"/>
      <c r="F429" s="403"/>
      <c r="G429" s="403"/>
      <c r="H429" s="402"/>
      <c r="I429" s="402"/>
      <c r="J429" s="402"/>
      <c r="K429" s="402"/>
      <c r="L429" s="402"/>
      <c r="M429" s="402"/>
      <c r="N429" s="402"/>
      <c r="O429" s="402"/>
      <c r="P429" s="402"/>
      <c r="Q429" s="402"/>
      <c r="R429" s="402"/>
      <c r="S429" s="402"/>
      <c r="T429" s="402"/>
      <c r="U429" s="402"/>
      <c r="V429" s="402"/>
      <c r="W429" s="402"/>
      <c r="X429" s="402"/>
      <c r="Y429" s="402"/>
      <c r="Z429" s="402"/>
    </row>
    <row r="430" ht="14.25" customHeight="1">
      <c r="A430" s="402"/>
      <c r="B430" s="402"/>
      <c r="C430" s="402"/>
      <c r="D430" s="402"/>
      <c r="E430" s="402"/>
      <c r="F430" s="403"/>
      <c r="G430" s="403"/>
      <c r="H430" s="402"/>
      <c r="I430" s="402"/>
      <c r="J430" s="402"/>
      <c r="K430" s="402"/>
      <c r="L430" s="402"/>
      <c r="M430" s="402"/>
      <c r="N430" s="402"/>
      <c r="O430" s="402"/>
      <c r="P430" s="402"/>
      <c r="Q430" s="402"/>
      <c r="R430" s="402"/>
      <c r="S430" s="402"/>
      <c r="T430" s="402"/>
      <c r="U430" s="402"/>
      <c r="V430" s="402"/>
      <c r="W430" s="402"/>
      <c r="X430" s="402"/>
      <c r="Y430" s="402"/>
      <c r="Z430" s="402"/>
    </row>
    <row r="431" ht="14.25" customHeight="1">
      <c r="A431" s="402"/>
      <c r="B431" s="402"/>
      <c r="C431" s="402"/>
      <c r="D431" s="402"/>
      <c r="E431" s="402"/>
      <c r="F431" s="403"/>
      <c r="G431" s="403"/>
      <c r="H431" s="402"/>
      <c r="I431" s="402"/>
      <c r="J431" s="402"/>
      <c r="K431" s="402"/>
      <c r="L431" s="402"/>
      <c r="M431" s="402"/>
      <c r="N431" s="402"/>
      <c r="O431" s="402"/>
      <c r="P431" s="402"/>
      <c r="Q431" s="402"/>
      <c r="R431" s="402"/>
      <c r="S431" s="402"/>
      <c r="T431" s="402"/>
      <c r="U431" s="402"/>
      <c r="V431" s="402"/>
      <c r="W431" s="402"/>
      <c r="X431" s="402"/>
      <c r="Y431" s="402"/>
      <c r="Z431" s="402"/>
    </row>
    <row r="432" ht="14.25" customHeight="1">
      <c r="A432" s="402"/>
      <c r="B432" s="402"/>
      <c r="C432" s="402"/>
      <c r="D432" s="402"/>
      <c r="E432" s="402"/>
      <c r="F432" s="403"/>
      <c r="G432" s="403"/>
      <c r="H432" s="402"/>
      <c r="I432" s="402"/>
      <c r="J432" s="402"/>
      <c r="K432" s="402"/>
      <c r="L432" s="402"/>
      <c r="M432" s="402"/>
      <c r="N432" s="402"/>
      <c r="O432" s="402"/>
      <c r="P432" s="402"/>
      <c r="Q432" s="402"/>
      <c r="R432" s="402"/>
      <c r="S432" s="402"/>
      <c r="T432" s="402"/>
      <c r="U432" s="402"/>
      <c r="V432" s="402"/>
      <c r="W432" s="402"/>
      <c r="X432" s="402"/>
      <c r="Y432" s="402"/>
      <c r="Z432" s="402"/>
    </row>
    <row r="433" ht="14.25" customHeight="1">
      <c r="A433" s="402"/>
      <c r="B433" s="402"/>
      <c r="C433" s="402"/>
      <c r="D433" s="402"/>
      <c r="E433" s="402"/>
      <c r="F433" s="403"/>
      <c r="G433" s="403"/>
      <c r="H433" s="402"/>
      <c r="I433" s="402"/>
      <c r="J433" s="402"/>
      <c r="K433" s="402"/>
      <c r="L433" s="402"/>
      <c r="M433" s="402"/>
      <c r="N433" s="402"/>
      <c r="O433" s="402"/>
      <c r="P433" s="402"/>
      <c r="Q433" s="402"/>
      <c r="R433" s="402"/>
      <c r="S433" s="402"/>
      <c r="T433" s="402"/>
      <c r="U433" s="402"/>
      <c r="V433" s="402"/>
      <c r="W433" s="402"/>
      <c r="X433" s="402"/>
      <c r="Y433" s="402"/>
      <c r="Z433" s="402"/>
    </row>
    <row r="434" ht="14.25" customHeight="1">
      <c r="A434" s="402"/>
      <c r="B434" s="402"/>
      <c r="C434" s="402"/>
      <c r="D434" s="402"/>
      <c r="E434" s="402"/>
      <c r="F434" s="403"/>
      <c r="G434" s="403"/>
      <c r="H434" s="402"/>
      <c r="I434" s="402"/>
      <c r="J434" s="402"/>
      <c r="K434" s="402"/>
      <c r="L434" s="402"/>
      <c r="M434" s="402"/>
      <c r="N434" s="402"/>
      <c r="O434" s="402"/>
      <c r="P434" s="402"/>
      <c r="Q434" s="402"/>
      <c r="R434" s="402"/>
      <c r="S434" s="402"/>
      <c r="T434" s="402"/>
      <c r="U434" s="402"/>
      <c r="V434" s="402"/>
      <c r="W434" s="402"/>
      <c r="X434" s="402"/>
      <c r="Y434" s="402"/>
      <c r="Z434" s="402"/>
    </row>
    <row r="435" ht="14.25" customHeight="1">
      <c r="A435" s="402"/>
      <c r="B435" s="402"/>
      <c r="C435" s="402"/>
      <c r="D435" s="402"/>
      <c r="E435" s="402"/>
      <c r="F435" s="403"/>
      <c r="G435" s="403"/>
      <c r="H435" s="402"/>
      <c r="I435" s="402"/>
      <c r="J435" s="402"/>
      <c r="K435" s="402"/>
      <c r="L435" s="402"/>
      <c r="M435" s="402"/>
      <c r="N435" s="402"/>
      <c r="O435" s="402"/>
      <c r="P435" s="402"/>
      <c r="Q435" s="402"/>
      <c r="R435" s="402"/>
      <c r="S435" s="402"/>
      <c r="T435" s="402"/>
      <c r="U435" s="402"/>
      <c r="V435" s="402"/>
      <c r="W435" s="402"/>
      <c r="X435" s="402"/>
      <c r="Y435" s="402"/>
      <c r="Z435" s="402"/>
    </row>
    <row r="436" ht="14.25" customHeight="1">
      <c r="A436" s="402"/>
      <c r="B436" s="402"/>
      <c r="C436" s="402"/>
      <c r="D436" s="402"/>
      <c r="E436" s="402"/>
      <c r="F436" s="403"/>
      <c r="G436" s="403"/>
      <c r="H436" s="402"/>
      <c r="I436" s="402"/>
      <c r="J436" s="402"/>
      <c r="K436" s="402"/>
      <c r="L436" s="402"/>
      <c r="M436" s="402"/>
      <c r="N436" s="402"/>
      <c r="O436" s="402"/>
      <c r="P436" s="402"/>
      <c r="Q436" s="402"/>
      <c r="R436" s="402"/>
      <c r="S436" s="402"/>
      <c r="T436" s="402"/>
      <c r="U436" s="402"/>
      <c r="V436" s="402"/>
      <c r="W436" s="402"/>
      <c r="X436" s="402"/>
      <c r="Y436" s="402"/>
      <c r="Z436" s="402"/>
    </row>
    <row r="437" ht="14.25" customHeight="1">
      <c r="A437" s="402"/>
      <c r="B437" s="402"/>
      <c r="C437" s="402"/>
      <c r="D437" s="402"/>
      <c r="E437" s="402"/>
      <c r="F437" s="403"/>
      <c r="G437" s="403"/>
      <c r="H437" s="402"/>
      <c r="I437" s="402"/>
      <c r="J437" s="402"/>
      <c r="K437" s="402"/>
      <c r="L437" s="402"/>
      <c r="M437" s="402"/>
      <c r="N437" s="402"/>
      <c r="O437" s="402"/>
      <c r="P437" s="402"/>
      <c r="Q437" s="402"/>
      <c r="R437" s="402"/>
      <c r="S437" s="402"/>
      <c r="T437" s="402"/>
      <c r="U437" s="402"/>
      <c r="V437" s="402"/>
      <c r="W437" s="402"/>
      <c r="X437" s="402"/>
      <c r="Y437" s="402"/>
      <c r="Z437" s="402"/>
    </row>
    <row r="438" ht="14.25" customHeight="1">
      <c r="A438" s="402"/>
      <c r="B438" s="402"/>
      <c r="C438" s="402"/>
      <c r="D438" s="402"/>
      <c r="E438" s="402"/>
      <c r="F438" s="403"/>
      <c r="G438" s="403"/>
      <c r="H438" s="402"/>
      <c r="I438" s="402"/>
      <c r="J438" s="402"/>
      <c r="K438" s="402"/>
      <c r="L438" s="402"/>
      <c r="M438" s="402"/>
      <c r="N438" s="402"/>
      <c r="O438" s="402"/>
      <c r="P438" s="402"/>
      <c r="Q438" s="402"/>
      <c r="R438" s="402"/>
      <c r="S438" s="402"/>
      <c r="T438" s="402"/>
      <c r="U438" s="402"/>
      <c r="V438" s="402"/>
      <c r="W438" s="402"/>
      <c r="X438" s="402"/>
      <c r="Y438" s="402"/>
      <c r="Z438" s="402"/>
    </row>
    <row r="439" ht="14.25" customHeight="1">
      <c r="A439" s="402"/>
      <c r="B439" s="402"/>
      <c r="C439" s="402"/>
      <c r="D439" s="402"/>
      <c r="E439" s="402"/>
      <c r="F439" s="403"/>
      <c r="G439" s="403"/>
      <c r="H439" s="402"/>
      <c r="I439" s="402"/>
      <c r="J439" s="402"/>
      <c r="K439" s="402"/>
      <c r="L439" s="402"/>
      <c r="M439" s="402"/>
      <c r="N439" s="402"/>
      <c r="O439" s="402"/>
      <c r="P439" s="402"/>
      <c r="Q439" s="402"/>
      <c r="R439" s="402"/>
      <c r="S439" s="402"/>
      <c r="T439" s="402"/>
      <c r="U439" s="402"/>
      <c r="V439" s="402"/>
      <c r="W439" s="402"/>
      <c r="X439" s="402"/>
      <c r="Y439" s="402"/>
      <c r="Z439" s="402"/>
    </row>
    <row r="440" ht="14.25" customHeight="1">
      <c r="A440" s="402"/>
      <c r="B440" s="402"/>
      <c r="C440" s="402"/>
      <c r="D440" s="402"/>
      <c r="E440" s="402"/>
      <c r="F440" s="403"/>
      <c r="G440" s="403"/>
      <c r="H440" s="402"/>
      <c r="I440" s="402"/>
      <c r="J440" s="402"/>
      <c r="K440" s="402"/>
      <c r="L440" s="402"/>
      <c r="M440" s="402"/>
      <c r="N440" s="402"/>
      <c r="O440" s="402"/>
      <c r="P440" s="402"/>
      <c r="Q440" s="402"/>
      <c r="R440" s="402"/>
      <c r="S440" s="402"/>
      <c r="T440" s="402"/>
      <c r="U440" s="402"/>
      <c r="V440" s="402"/>
      <c r="W440" s="402"/>
      <c r="X440" s="402"/>
      <c r="Y440" s="402"/>
      <c r="Z440" s="402"/>
    </row>
    <row r="441" ht="14.25" customHeight="1">
      <c r="A441" s="402"/>
      <c r="B441" s="402"/>
      <c r="C441" s="402"/>
      <c r="D441" s="402"/>
      <c r="E441" s="402"/>
      <c r="F441" s="403"/>
      <c r="G441" s="403"/>
      <c r="H441" s="402"/>
      <c r="I441" s="402"/>
      <c r="J441" s="402"/>
      <c r="K441" s="402"/>
      <c r="L441" s="402"/>
      <c r="M441" s="402"/>
      <c r="N441" s="402"/>
      <c r="O441" s="402"/>
      <c r="P441" s="402"/>
      <c r="Q441" s="402"/>
      <c r="R441" s="402"/>
      <c r="S441" s="402"/>
      <c r="T441" s="402"/>
      <c r="U441" s="402"/>
      <c r="V441" s="402"/>
      <c r="W441" s="402"/>
      <c r="X441" s="402"/>
      <c r="Y441" s="402"/>
      <c r="Z441" s="402"/>
    </row>
    <row r="442" ht="14.25" customHeight="1">
      <c r="A442" s="402"/>
      <c r="B442" s="402"/>
      <c r="C442" s="402"/>
      <c r="D442" s="402"/>
      <c r="E442" s="402"/>
      <c r="F442" s="403"/>
      <c r="G442" s="403"/>
      <c r="H442" s="402"/>
      <c r="I442" s="402"/>
      <c r="J442" s="402"/>
      <c r="K442" s="402"/>
      <c r="L442" s="402"/>
      <c r="M442" s="402"/>
      <c r="N442" s="402"/>
      <c r="O442" s="402"/>
      <c r="P442" s="402"/>
      <c r="Q442" s="402"/>
      <c r="R442" s="402"/>
      <c r="S442" s="402"/>
      <c r="T442" s="402"/>
      <c r="U442" s="402"/>
      <c r="V442" s="402"/>
      <c r="W442" s="402"/>
      <c r="X442" s="402"/>
      <c r="Y442" s="402"/>
      <c r="Z442" s="402"/>
    </row>
    <row r="443" ht="14.25" customHeight="1">
      <c r="A443" s="402"/>
      <c r="B443" s="402"/>
      <c r="C443" s="402"/>
      <c r="D443" s="402"/>
      <c r="E443" s="402"/>
      <c r="F443" s="403"/>
      <c r="G443" s="403"/>
      <c r="H443" s="402"/>
      <c r="I443" s="402"/>
      <c r="J443" s="402"/>
      <c r="K443" s="402"/>
      <c r="L443" s="402"/>
      <c r="M443" s="402"/>
      <c r="N443" s="402"/>
      <c r="O443" s="402"/>
      <c r="P443" s="402"/>
      <c r="Q443" s="402"/>
      <c r="R443" s="402"/>
      <c r="S443" s="402"/>
      <c r="T443" s="402"/>
      <c r="U443" s="402"/>
      <c r="V443" s="402"/>
      <c r="W443" s="402"/>
      <c r="X443" s="402"/>
      <c r="Y443" s="402"/>
      <c r="Z443" s="402"/>
    </row>
    <row r="444" ht="14.25" customHeight="1">
      <c r="A444" s="402"/>
      <c r="B444" s="402"/>
      <c r="C444" s="402"/>
      <c r="D444" s="402"/>
      <c r="E444" s="402"/>
      <c r="F444" s="403"/>
      <c r="G444" s="403"/>
      <c r="H444" s="402"/>
      <c r="I444" s="402"/>
      <c r="J444" s="402"/>
      <c r="K444" s="402"/>
      <c r="L444" s="402"/>
      <c r="M444" s="402"/>
      <c r="N444" s="402"/>
      <c r="O444" s="402"/>
      <c r="P444" s="402"/>
      <c r="Q444" s="402"/>
      <c r="R444" s="402"/>
      <c r="S444" s="402"/>
      <c r="T444" s="402"/>
      <c r="U444" s="402"/>
      <c r="V444" s="402"/>
      <c r="W444" s="402"/>
      <c r="X444" s="402"/>
      <c r="Y444" s="402"/>
      <c r="Z444" s="402"/>
    </row>
    <row r="445" ht="14.25" customHeight="1">
      <c r="A445" s="402"/>
      <c r="B445" s="402"/>
      <c r="C445" s="402"/>
      <c r="D445" s="402"/>
      <c r="E445" s="402"/>
      <c r="F445" s="403"/>
      <c r="G445" s="403"/>
      <c r="H445" s="402"/>
      <c r="I445" s="402"/>
      <c r="J445" s="402"/>
      <c r="K445" s="402"/>
      <c r="L445" s="402"/>
      <c r="M445" s="402"/>
      <c r="N445" s="402"/>
      <c r="O445" s="402"/>
      <c r="P445" s="402"/>
      <c r="Q445" s="402"/>
      <c r="R445" s="402"/>
      <c r="S445" s="402"/>
      <c r="T445" s="402"/>
      <c r="U445" s="402"/>
      <c r="V445" s="402"/>
      <c r="W445" s="402"/>
      <c r="X445" s="402"/>
      <c r="Y445" s="402"/>
      <c r="Z445" s="402"/>
    </row>
    <row r="446" ht="14.25" customHeight="1">
      <c r="A446" s="402"/>
      <c r="B446" s="402"/>
      <c r="C446" s="402"/>
      <c r="D446" s="402"/>
      <c r="E446" s="402"/>
      <c r="F446" s="403"/>
      <c r="G446" s="403"/>
      <c r="H446" s="402"/>
      <c r="I446" s="402"/>
      <c r="J446" s="402"/>
      <c r="K446" s="402"/>
      <c r="L446" s="402"/>
      <c r="M446" s="402"/>
      <c r="N446" s="402"/>
      <c r="O446" s="402"/>
      <c r="P446" s="402"/>
      <c r="Q446" s="402"/>
      <c r="R446" s="402"/>
      <c r="S446" s="402"/>
      <c r="T446" s="402"/>
      <c r="U446" s="402"/>
      <c r="V446" s="402"/>
      <c r="W446" s="402"/>
      <c r="X446" s="402"/>
      <c r="Y446" s="402"/>
      <c r="Z446" s="402"/>
    </row>
    <row r="447" ht="14.25" customHeight="1">
      <c r="A447" s="402"/>
      <c r="B447" s="402"/>
      <c r="C447" s="402"/>
      <c r="D447" s="402"/>
      <c r="E447" s="402"/>
      <c r="F447" s="403"/>
      <c r="G447" s="403"/>
      <c r="H447" s="402"/>
      <c r="I447" s="402"/>
      <c r="J447" s="402"/>
      <c r="K447" s="402"/>
      <c r="L447" s="402"/>
      <c r="M447" s="402"/>
      <c r="N447" s="402"/>
      <c r="O447" s="402"/>
      <c r="P447" s="402"/>
      <c r="Q447" s="402"/>
      <c r="R447" s="402"/>
      <c r="S447" s="402"/>
      <c r="T447" s="402"/>
      <c r="U447" s="402"/>
      <c r="V447" s="402"/>
      <c r="W447" s="402"/>
      <c r="X447" s="402"/>
      <c r="Y447" s="402"/>
      <c r="Z447" s="402"/>
    </row>
    <row r="448" ht="14.25" customHeight="1">
      <c r="A448" s="402"/>
      <c r="B448" s="402"/>
      <c r="C448" s="402"/>
      <c r="D448" s="402"/>
      <c r="E448" s="402"/>
      <c r="F448" s="403"/>
      <c r="G448" s="403"/>
      <c r="H448" s="402"/>
      <c r="I448" s="402"/>
      <c r="J448" s="402"/>
      <c r="K448" s="402"/>
      <c r="L448" s="402"/>
      <c r="M448" s="402"/>
      <c r="N448" s="402"/>
      <c r="O448" s="402"/>
      <c r="P448" s="402"/>
      <c r="Q448" s="402"/>
      <c r="R448" s="402"/>
      <c r="S448" s="402"/>
      <c r="T448" s="402"/>
      <c r="U448" s="402"/>
      <c r="V448" s="402"/>
      <c r="W448" s="402"/>
      <c r="X448" s="402"/>
      <c r="Y448" s="402"/>
      <c r="Z448" s="402"/>
    </row>
    <row r="449" ht="14.25" customHeight="1">
      <c r="A449" s="402"/>
      <c r="B449" s="402"/>
      <c r="C449" s="402"/>
      <c r="D449" s="402"/>
      <c r="E449" s="402"/>
      <c r="F449" s="403"/>
      <c r="G449" s="403"/>
      <c r="H449" s="402"/>
      <c r="I449" s="402"/>
      <c r="J449" s="402"/>
      <c r="K449" s="402"/>
      <c r="L449" s="402"/>
      <c r="M449" s="402"/>
      <c r="N449" s="402"/>
      <c r="O449" s="402"/>
      <c r="P449" s="402"/>
      <c r="Q449" s="402"/>
      <c r="R449" s="402"/>
      <c r="S449" s="402"/>
      <c r="T449" s="402"/>
      <c r="U449" s="402"/>
      <c r="V449" s="402"/>
      <c r="W449" s="402"/>
      <c r="X449" s="402"/>
      <c r="Y449" s="402"/>
      <c r="Z449" s="402"/>
    </row>
    <row r="450" ht="14.25" customHeight="1">
      <c r="A450" s="402"/>
      <c r="B450" s="402"/>
      <c r="C450" s="402"/>
      <c r="D450" s="402"/>
      <c r="E450" s="402"/>
      <c r="F450" s="403"/>
      <c r="G450" s="403"/>
      <c r="H450" s="402"/>
      <c r="I450" s="402"/>
      <c r="J450" s="402"/>
      <c r="K450" s="402"/>
      <c r="L450" s="402"/>
      <c r="M450" s="402"/>
      <c r="N450" s="402"/>
      <c r="O450" s="402"/>
      <c r="P450" s="402"/>
      <c r="Q450" s="402"/>
      <c r="R450" s="402"/>
      <c r="S450" s="402"/>
      <c r="T450" s="402"/>
      <c r="U450" s="402"/>
      <c r="V450" s="402"/>
      <c r="W450" s="402"/>
      <c r="X450" s="402"/>
      <c r="Y450" s="402"/>
      <c r="Z450" s="402"/>
    </row>
    <row r="451" ht="14.25" customHeight="1">
      <c r="A451" s="402"/>
      <c r="B451" s="402"/>
      <c r="C451" s="402"/>
      <c r="D451" s="402"/>
      <c r="E451" s="402"/>
      <c r="F451" s="403"/>
      <c r="G451" s="403"/>
      <c r="H451" s="402"/>
      <c r="I451" s="402"/>
      <c r="J451" s="402"/>
      <c r="K451" s="402"/>
      <c r="L451" s="402"/>
      <c r="M451" s="402"/>
      <c r="N451" s="402"/>
      <c r="O451" s="402"/>
      <c r="P451" s="402"/>
      <c r="Q451" s="402"/>
      <c r="R451" s="402"/>
      <c r="S451" s="402"/>
      <c r="T451" s="402"/>
      <c r="U451" s="402"/>
      <c r="V451" s="402"/>
      <c r="W451" s="402"/>
      <c r="X451" s="402"/>
      <c r="Y451" s="402"/>
      <c r="Z451" s="402"/>
    </row>
    <row r="452" ht="14.25" customHeight="1">
      <c r="A452" s="402"/>
      <c r="B452" s="402"/>
      <c r="C452" s="402"/>
      <c r="D452" s="402"/>
      <c r="E452" s="402"/>
      <c r="F452" s="403"/>
      <c r="G452" s="403"/>
      <c r="H452" s="402"/>
      <c r="I452" s="402"/>
      <c r="J452" s="402"/>
      <c r="K452" s="402"/>
      <c r="L452" s="402"/>
      <c r="M452" s="402"/>
      <c r="N452" s="402"/>
      <c r="O452" s="402"/>
      <c r="P452" s="402"/>
      <c r="Q452" s="402"/>
      <c r="R452" s="402"/>
      <c r="S452" s="402"/>
      <c r="T452" s="402"/>
      <c r="U452" s="402"/>
      <c r="V452" s="402"/>
      <c r="W452" s="402"/>
      <c r="X452" s="402"/>
      <c r="Y452" s="402"/>
      <c r="Z452" s="402"/>
    </row>
    <row r="453" ht="14.25" customHeight="1">
      <c r="A453" s="402"/>
      <c r="B453" s="402"/>
      <c r="C453" s="402"/>
      <c r="D453" s="402"/>
      <c r="E453" s="402"/>
      <c r="F453" s="403"/>
      <c r="G453" s="403"/>
      <c r="H453" s="402"/>
      <c r="I453" s="402"/>
      <c r="J453" s="402"/>
      <c r="K453" s="402"/>
      <c r="L453" s="402"/>
      <c r="M453" s="402"/>
      <c r="N453" s="402"/>
      <c r="O453" s="402"/>
      <c r="P453" s="402"/>
      <c r="Q453" s="402"/>
      <c r="R453" s="402"/>
      <c r="S453" s="402"/>
      <c r="T453" s="402"/>
      <c r="U453" s="402"/>
      <c r="V453" s="402"/>
      <c r="W453" s="402"/>
      <c r="X453" s="402"/>
      <c r="Y453" s="402"/>
      <c r="Z453" s="402"/>
    </row>
    <row r="454" ht="14.25" customHeight="1">
      <c r="A454" s="402"/>
      <c r="B454" s="402"/>
      <c r="C454" s="402"/>
      <c r="D454" s="402"/>
      <c r="E454" s="402"/>
      <c r="F454" s="403"/>
      <c r="G454" s="403"/>
      <c r="H454" s="402"/>
      <c r="I454" s="402"/>
      <c r="J454" s="402"/>
      <c r="K454" s="402"/>
      <c r="L454" s="402"/>
      <c r="M454" s="402"/>
      <c r="N454" s="402"/>
      <c r="O454" s="402"/>
      <c r="P454" s="402"/>
      <c r="Q454" s="402"/>
      <c r="R454" s="402"/>
      <c r="S454" s="402"/>
      <c r="T454" s="402"/>
      <c r="U454" s="402"/>
      <c r="V454" s="402"/>
      <c r="W454" s="402"/>
      <c r="X454" s="402"/>
      <c r="Y454" s="402"/>
      <c r="Z454" s="402"/>
    </row>
    <row r="455" ht="14.25" customHeight="1">
      <c r="A455" s="402"/>
      <c r="B455" s="402"/>
      <c r="C455" s="402"/>
      <c r="D455" s="402"/>
      <c r="E455" s="402"/>
      <c r="F455" s="403"/>
      <c r="G455" s="403"/>
      <c r="H455" s="402"/>
      <c r="I455" s="402"/>
      <c r="J455" s="402"/>
      <c r="K455" s="402"/>
      <c r="L455" s="402"/>
      <c r="M455" s="402"/>
      <c r="N455" s="402"/>
      <c r="O455" s="402"/>
      <c r="P455" s="402"/>
      <c r="Q455" s="402"/>
      <c r="R455" s="402"/>
      <c r="S455" s="402"/>
      <c r="T455" s="402"/>
      <c r="U455" s="402"/>
      <c r="V455" s="402"/>
      <c r="W455" s="402"/>
      <c r="X455" s="402"/>
      <c r="Y455" s="402"/>
      <c r="Z455" s="402"/>
    </row>
    <row r="456" ht="14.25" customHeight="1">
      <c r="A456" s="402"/>
      <c r="B456" s="402"/>
      <c r="C456" s="402"/>
      <c r="D456" s="402"/>
      <c r="E456" s="402"/>
      <c r="F456" s="403"/>
      <c r="G456" s="403"/>
      <c r="H456" s="402"/>
      <c r="I456" s="402"/>
      <c r="J456" s="402"/>
      <c r="K456" s="402"/>
      <c r="L456" s="402"/>
      <c r="M456" s="402"/>
      <c r="N456" s="402"/>
      <c r="O456" s="402"/>
      <c r="P456" s="402"/>
      <c r="Q456" s="402"/>
      <c r="R456" s="402"/>
      <c r="S456" s="402"/>
      <c r="T456" s="402"/>
      <c r="U456" s="402"/>
      <c r="V456" s="402"/>
      <c r="W456" s="402"/>
      <c r="X456" s="402"/>
      <c r="Y456" s="402"/>
      <c r="Z456" s="402"/>
    </row>
    <row r="457" ht="14.25" customHeight="1">
      <c r="A457" s="402"/>
      <c r="B457" s="402"/>
      <c r="C457" s="402"/>
      <c r="D457" s="402"/>
      <c r="E457" s="402"/>
      <c r="F457" s="403"/>
      <c r="G457" s="403"/>
      <c r="H457" s="402"/>
      <c r="I457" s="402"/>
      <c r="J457" s="402"/>
      <c r="K457" s="402"/>
      <c r="L457" s="402"/>
      <c r="M457" s="402"/>
      <c r="N457" s="402"/>
      <c r="O457" s="402"/>
      <c r="P457" s="402"/>
      <c r="Q457" s="402"/>
      <c r="R457" s="402"/>
      <c r="S457" s="402"/>
      <c r="T457" s="402"/>
      <c r="U457" s="402"/>
      <c r="V457" s="402"/>
      <c r="W457" s="402"/>
      <c r="X457" s="402"/>
      <c r="Y457" s="402"/>
      <c r="Z457" s="402"/>
    </row>
    <row r="458" ht="14.25" customHeight="1">
      <c r="A458" s="402"/>
      <c r="B458" s="402"/>
      <c r="C458" s="402"/>
      <c r="D458" s="402"/>
      <c r="E458" s="402"/>
      <c r="F458" s="403"/>
      <c r="G458" s="403"/>
      <c r="H458" s="402"/>
      <c r="I458" s="402"/>
      <c r="J458" s="402"/>
      <c r="K458" s="402"/>
      <c r="L458" s="402"/>
      <c r="M458" s="402"/>
      <c r="N458" s="402"/>
      <c r="O458" s="402"/>
      <c r="P458" s="402"/>
      <c r="Q458" s="402"/>
      <c r="R458" s="402"/>
      <c r="S458" s="402"/>
      <c r="T458" s="402"/>
      <c r="U458" s="402"/>
      <c r="V458" s="402"/>
      <c r="W458" s="402"/>
      <c r="X458" s="402"/>
      <c r="Y458" s="402"/>
      <c r="Z458" s="402"/>
    </row>
    <row r="459" ht="14.25" customHeight="1">
      <c r="A459" s="402"/>
      <c r="B459" s="402"/>
      <c r="C459" s="402"/>
      <c r="D459" s="402"/>
      <c r="E459" s="402"/>
      <c r="F459" s="403"/>
      <c r="G459" s="403"/>
      <c r="H459" s="402"/>
      <c r="I459" s="402"/>
      <c r="J459" s="402"/>
      <c r="K459" s="402"/>
      <c r="L459" s="402"/>
      <c r="M459" s="402"/>
      <c r="N459" s="402"/>
      <c r="O459" s="402"/>
      <c r="P459" s="402"/>
      <c r="Q459" s="402"/>
      <c r="R459" s="402"/>
      <c r="S459" s="402"/>
      <c r="T459" s="402"/>
      <c r="U459" s="402"/>
      <c r="V459" s="402"/>
      <c r="W459" s="402"/>
      <c r="X459" s="402"/>
      <c r="Y459" s="402"/>
      <c r="Z459" s="402"/>
    </row>
    <row r="460" ht="14.25" customHeight="1">
      <c r="A460" s="402"/>
      <c r="B460" s="402"/>
      <c r="C460" s="402"/>
      <c r="D460" s="402"/>
      <c r="E460" s="402"/>
      <c r="F460" s="403"/>
      <c r="G460" s="403"/>
      <c r="H460" s="402"/>
      <c r="I460" s="402"/>
      <c r="J460" s="402"/>
      <c r="K460" s="402"/>
      <c r="L460" s="402"/>
      <c r="M460" s="402"/>
      <c r="N460" s="402"/>
      <c r="O460" s="402"/>
      <c r="P460" s="402"/>
      <c r="Q460" s="402"/>
      <c r="R460" s="402"/>
      <c r="S460" s="402"/>
      <c r="T460" s="402"/>
      <c r="U460" s="402"/>
      <c r="V460" s="402"/>
      <c r="W460" s="402"/>
      <c r="X460" s="402"/>
      <c r="Y460" s="402"/>
      <c r="Z460" s="402"/>
    </row>
    <row r="461" ht="14.25" customHeight="1">
      <c r="A461" s="402"/>
      <c r="B461" s="402"/>
      <c r="C461" s="402"/>
      <c r="D461" s="402"/>
      <c r="E461" s="402"/>
      <c r="F461" s="403"/>
      <c r="G461" s="403"/>
      <c r="H461" s="402"/>
      <c r="I461" s="402"/>
      <c r="J461" s="402"/>
      <c r="K461" s="402"/>
      <c r="L461" s="402"/>
      <c r="M461" s="402"/>
      <c r="N461" s="402"/>
      <c r="O461" s="402"/>
      <c r="P461" s="402"/>
      <c r="Q461" s="402"/>
      <c r="R461" s="402"/>
      <c r="S461" s="402"/>
      <c r="T461" s="402"/>
      <c r="U461" s="402"/>
      <c r="V461" s="402"/>
      <c r="W461" s="402"/>
      <c r="X461" s="402"/>
      <c r="Y461" s="402"/>
      <c r="Z461" s="402"/>
    </row>
    <row r="462" ht="14.25" customHeight="1">
      <c r="A462" s="402"/>
      <c r="B462" s="402"/>
      <c r="C462" s="402"/>
      <c r="D462" s="402"/>
      <c r="E462" s="402"/>
      <c r="F462" s="403"/>
      <c r="G462" s="403"/>
      <c r="H462" s="402"/>
      <c r="I462" s="402"/>
      <c r="J462" s="402"/>
      <c r="K462" s="402"/>
      <c r="L462" s="402"/>
      <c r="M462" s="402"/>
      <c r="N462" s="402"/>
      <c r="O462" s="402"/>
      <c r="P462" s="402"/>
      <c r="Q462" s="402"/>
      <c r="R462" s="402"/>
      <c r="S462" s="402"/>
      <c r="T462" s="402"/>
      <c r="U462" s="402"/>
      <c r="V462" s="402"/>
      <c r="W462" s="402"/>
      <c r="X462" s="402"/>
      <c r="Y462" s="402"/>
      <c r="Z462" s="402"/>
    </row>
    <row r="463" ht="14.25" customHeight="1">
      <c r="A463" s="402"/>
      <c r="B463" s="402"/>
      <c r="C463" s="402"/>
      <c r="D463" s="402"/>
      <c r="E463" s="402"/>
      <c r="F463" s="403"/>
      <c r="G463" s="403"/>
      <c r="H463" s="402"/>
      <c r="I463" s="402"/>
      <c r="J463" s="402"/>
      <c r="K463" s="402"/>
      <c r="L463" s="402"/>
      <c r="M463" s="402"/>
      <c r="N463" s="402"/>
      <c r="O463" s="402"/>
      <c r="P463" s="402"/>
      <c r="Q463" s="402"/>
      <c r="R463" s="402"/>
      <c r="S463" s="402"/>
      <c r="T463" s="402"/>
      <c r="U463" s="402"/>
      <c r="V463" s="402"/>
      <c r="W463" s="402"/>
      <c r="X463" s="402"/>
      <c r="Y463" s="402"/>
      <c r="Z463" s="402"/>
    </row>
    <row r="464" ht="14.25" customHeight="1">
      <c r="A464" s="402"/>
      <c r="B464" s="402"/>
      <c r="C464" s="402"/>
      <c r="D464" s="402"/>
      <c r="E464" s="402"/>
      <c r="F464" s="403"/>
      <c r="G464" s="403"/>
      <c r="H464" s="402"/>
      <c r="I464" s="402"/>
      <c r="J464" s="402"/>
      <c r="K464" s="402"/>
      <c r="L464" s="402"/>
      <c r="M464" s="402"/>
      <c r="N464" s="402"/>
      <c r="O464" s="402"/>
      <c r="P464" s="402"/>
      <c r="Q464" s="402"/>
      <c r="R464" s="402"/>
      <c r="S464" s="402"/>
      <c r="T464" s="402"/>
      <c r="U464" s="402"/>
      <c r="V464" s="402"/>
      <c r="W464" s="402"/>
      <c r="X464" s="402"/>
      <c r="Y464" s="402"/>
      <c r="Z464" s="402"/>
    </row>
    <row r="465" ht="14.25" customHeight="1">
      <c r="A465" s="402"/>
      <c r="B465" s="402"/>
      <c r="C465" s="402"/>
      <c r="D465" s="402"/>
      <c r="E465" s="402"/>
      <c r="F465" s="403"/>
      <c r="G465" s="403"/>
      <c r="H465" s="402"/>
      <c r="I465" s="402"/>
      <c r="J465" s="402"/>
      <c r="K465" s="402"/>
      <c r="L465" s="402"/>
      <c r="M465" s="402"/>
      <c r="N465" s="402"/>
      <c r="O465" s="402"/>
      <c r="P465" s="402"/>
      <c r="Q465" s="402"/>
      <c r="R465" s="402"/>
      <c r="S465" s="402"/>
      <c r="T465" s="402"/>
      <c r="U465" s="402"/>
      <c r="V465" s="402"/>
      <c r="W465" s="402"/>
      <c r="X465" s="402"/>
      <c r="Y465" s="402"/>
      <c r="Z465" s="402"/>
    </row>
    <row r="466" ht="14.25" customHeight="1">
      <c r="A466" s="402"/>
      <c r="B466" s="402"/>
      <c r="C466" s="402"/>
      <c r="D466" s="402"/>
      <c r="E466" s="402"/>
      <c r="F466" s="403"/>
      <c r="G466" s="403"/>
      <c r="H466" s="402"/>
      <c r="I466" s="402"/>
      <c r="J466" s="402"/>
      <c r="K466" s="402"/>
      <c r="L466" s="402"/>
      <c r="M466" s="402"/>
      <c r="N466" s="402"/>
      <c r="O466" s="402"/>
      <c r="P466" s="402"/>
      <c r="Q466" s="402"/>
      <c r="R466" s="402"/>
      <c r="S466" s="402"/>
      <c r="T466" s="402"/>
      <c r="U466" s="402"/>
      <c r="V466" s="402"/>
      <c r="W466" s="402"/>
      <c r="X466" s="402"/>
      <c r="Y466" s="402"/>
      <c r="Z466" s="402"/>
    </row>
    <row r="467" ht="14.25" customHeight="1">
      <c r="A467" s="402"/>
      <c r="B467" s="402"/>
      <c r="C467" s="402"/>
      <c r="D467" s="402"/>
      <c r="E467" s="402"/>
      <c r="F467" s="403"/>
      <c r="G467" s="403"/>
      <c r="H467" s="402"/>
      <c r="I467" s="402"/>
      <c r="J467" s="402"/>
      <c r="K467" s="402"/>
      <c r="L467" s="402"/>
      <c r="M467" s="402"/>
      <c r="N467" s="402"/>
      <c r="O467" s="402"/>
      <c r="P467" s="402"/>
      <c r="Q467" s="402"/>
      <c r="R467" s="402"/>
      <c r="S467" s="402"/>
      <c r="T467" s="402"/>
      <c r="U467" s="402"/>
      <c r="V467" s="402"/>
      <c r="W467" s="402"/>
      <c r="X467" s="402"/>
      <c r="Y467" s="402"/>
      <c r="Z467" s="402"/>
    </row>
    <row r="468" ht="14.25" customHeight="1">
      <c r="A468" s="402"/>
      <c r="B468" s="402"/>
      <c r="C468" s="402"/>
      <c r="D468" s="402"/>
      <c r="E468" s="402"/>
      <c r="F468" s="403"/>
      <c r="G468" s="403"/>
      <c r="H468" s="402"/>
      <c r="I468" s="402"/>
      <c r="J468" s="402"/>
      <c r="K468" s="402"/>
      <c r="L468" s="402"/>
      <c r="M468" s="402"/>
      <c r="N468" s="402"/>
      <c r="O468" s="402"/>
      <c r="P468" s="402"/>
      <c r="Q468" s="402"/>
      <c r="R468" s="402"/>
      <c r="S468" s="402"/>
      <c r="T468" s="402"/>
      <c r="U468" s="402"/>
      <c r="V468" s="402"/>
      <c r="W468" s="402"/>
      <c r="X468" s="402"/>
      <c r="Y468" s="402"/>
      <c r="Z468" s="402"/>
    </row>
    <row r="469" ht="14.25" customHeight="1">
      <c r="A469" s="402"/>
      <c r="B469" s="402"/>
      <c r="C469" s="402"/>
      <c r="D469" s="402"/>
      <c r="E469" s="402"/>
      <c r="F469" s="403"/>
      <c r="G469" s="403"/>
      <c r="H469" s="402"/>
      <c r="I469" s="402"/>
      <c r="J469" s="402"/>
      <c r="K469" s="402"/>
      <c r="L469" s="402"/>
      <c r="M469" s="402"/>
      <c r="N469" s="402"/>
      <c r="O469" s="402"/>
      <c r="P469" s="402"/>
      <c r="Q469" s="402"/>
      <c r="R469" s="402"/>
      <c r="S469" s="402"/>
      <c r="T469" s="402"/>
      <c r="U469" s="402"/>
      <c r="V469" s="402"/>
      <c r="W469" s="402"/>
      <c r="X469" s="402"/>
      <c r="Y469" s="402"/>
      <c r="Z469" s="402"/>
    </row>
    <row r="470" ht="14.25" customHeight="1">
      <c r="A470" s="402"/>
      <c r="B470" s="402"/>
      <c r="C470" s="402"/>
      <c r="D470" s="402"/>
      <c r="E470" s="402"/>
      <c r="F470" s="403"/>
      <c r="G470" s="403"/>
      <c r="H470" s="402"/>
      <c r="I470" s="402"/>
      <c r="J470" s="402"/>
      <c r="K470" s="402"/>
      <c r="L470" s="402"/>
      <c r="M470" s="402"/>
      <c r="N470" s="402"/>
      <c r="O470" s="402"/>
      <c r="P470" s="402"/>
      <c r="Q470" s="402"/>
      <c r="R470" s="402"/>
      <c r="S470" s="402"/>
      <c r="T470" s="402"/>
      <c r="U470" s="402"/>
      <c r="V470" s="402"/>
      <c r="W470" s="402"/>
      <c r="X470" s="402"/>
      <c r="Y470" s="402"/>
      <c r="Z470" s="402"/>
    </row>
    <row r="471" ht="14.25" customHeight="1">
      <c r="A471" s="402"/>
      <c r="B471" s="402"/>
      <c r="C471" s="402"/>
      <c r="D471" s="402"/>
      <c r="E471" s="402"/>
      <c r="F471" s="403"/>
      <c r="G471" s="403"/>
      <c r="H471" s="402"/>
      <c r="I471" s="402"/>
      <c r="J471" s="402"/>
      <c r="K471" s="402"/>
      <c r="L471" s="402"/>
      <c r="M471" s="402"/>
      <c r="N471" s="402"/>
      <c r="O471" s="402"/>
      <c r="P471" s="402"/>
      <c r="Q471" s="402"/>
      <c r="R471" s="402"/>
      <c r="S471" s="402"/>
      <c r="T471" s="402"/>
      <c r="U471" s="402"/>
      <c r="V471" s="402"/>
      <c r="W471" s="402"/>
      <c r="X471" s="402"/>
      <c r="Y471" s="402"/>
      <c r="Z471" s="402"/>
    </row>
    <row r="472" ht="14.25" customHeight="1">
      <c r="A472" s="402"/>
      <c r="B472" s="402"/>
      <c r="C472" s="402"/>
      <c r="D472" s="402"/>
      <c r="E472" s="402"/>
      <c r="F472" s="403"/>
      <c r="G472" s="403"/>
      <c r="H472" s="402"/>
      <c r="I472" s="402"/>
      <c r="J472" s="402"/>
      <c r="K472" s="402"/>
      <c r="L472" s="402"/>
      <c r="M472" s="402"/>
      <c r="N472" s="402"/>
      <c r="O472" s="402"/>
      <c r="P472" s="402"/>
      <c r="Q472" s="402"/>
      <c r="R472" s="402"/>
      <c r="S472" s="402"/>
      <c r="T472" s="402"/>
      <c r="U472" s="402"/>
      <c r="V472" s="402"/>
      <c r="W472" s="402"/>
      <c r="X472" s="402"/>
      <c r="Y472" s="402"/>
      <c r="Z472" s="402"/>
    </row>
    <row r="473" ht="14.25" customHeight="1">
      <c r="A473" s="402"/>
      <c r="B473" s="402"/>
      <c r="C473" s="402"/>
      <c r="D473" s="402"/>
      <c r="E473" s="402"/>
      <c r="F473" s="403"/>
      <c r="G473" s="403"/>
      <c r="H473" s="402"/>
      <c r="I473" s="402"/>
      <c r="J473" s="402"/>
      <c r="K473" s="402"/>
      <c r="L473" s="402"/>
      <c r="M473" s="402"/>
      <c r="N473" s="402"/>
      <c r="O473" s="402"/>
      <c r="P473" s="402"/>
      <c r="Q473" s="402"/>
      <c r="R473" s="402"/>
      <c r="S473" s="402"/>
      <c r="T473" s="402"/>
      <c r="U473" s="402"/>
      <c r="V473" s="402"/>
      <c r="W473" s="402"/>
      <c r="X473" s="402"/>
      <c r="Y473" s="402"/>
      <c r="Z473" s="402"/>
    </row>
    <row r="474" ht="14.25" customHeight="1">
      <c r="A474" s="402"/>
      <c r="B474" s="402"/>
      <c r="C474" s="402"/>
      <c r="D474" s="402"/>
      <c r="E474" s="402"/>
      <c r="F474" s="403"/>
      <c r="G474" s="403"/>
      <c r="H474" s="402"/>
      <c r="I474" s="402"/>
      <c r="J474" s="402"/>
      <c r="K474" s="402"/>
      <c r="L474" s="402"/>
      <c r="M474" s="402"/>
      <c r="N474" s="402"/>
      <c r="O474" s="402"/>
      <c r="P474" s="402"/>
      <c r="Q474" s="402"/>
      <c r="R474" s="402"/>
      <c r="S474" s="402"/>
      <c r="T474" s="402"/>
      <c r="U474" s="402"/>
      <c r="V474" s="402"/>
      <c r="W474" s="402"/>
      <c r="X474" s="402"/>
      <c r="Y474" s="402"/>
      <c r="Z474" s="402"/>
    </row>
    <row r="475" ht="14.25" customHeight="1">
      <c r="A475" s="402"/>
      <c r="B475" s="402"/>
      <c r="C475" s="402"/>
      <c r="D475" s="402"/>
      <c r="E475" s="402"/>
      <c r="F475" s="403"/>
      <c r="G475" s="403"/>
      <c r="H475" s="402"/>
      <c r="I475" s="402"/>
      <c r="J475" s="402"/>
      <c r="K475" s="402"/>
      <c r="L475" s="402"/>
      <c r="M475" s="402"/>
      <c r="N475" s="402"/>
      <c r="O475" s="402"/>
      <c r="P475" s="402"/>
      <c r="Q475" s="402"/>
      <c r="R475" s="402"/>
      <c r="S475" s="402"/>
      <c r="T475" s="402"/>
      <c r="U475" s="402"/>
      <c r="V475" s="402"/>
      <c r="W475" s="402"/>
      <c r="X475" s="402"/>
      <c r="Y475" s="402"/>
      <c r="Z475" s="402"/>
    </row>
    <row r="476" ht="14.25" customHeight="1">
      <c r="A476" s="402"/>
      <c r="B476" s="402"/>
      <c r="C476" s="402"/>
      <c r="D476" s="402"/>
      <c r="E476" s="402"/>
      <c r="F476" s="403"/>
      <c r="G476" s="403"/>
      <c r="H476" s="402"/>
      <c r="I476" s="402"/>
      <c r="J476" s="402"/>
      <c r="K476" s="402"/>
      <c r="L476" s="402"/>
      <c r="M476" s="402"/>
      <c r="N476" s="402"/>
      <c r="O476" s="402"/>
      <c r="P476" s="402"/>
      <c r="Q476" s="402"/>
      <c r="R476" s="402"/>
      <c r="S476" s="402"/>
      <c r="T476" s="402"/>
      <c r="U476" s="402"/>
      <c r="V476" s="402"/>
      <c r="W476" s="402"/>
      <c r="X476" s="402"/>
      <c r="Y476" s="402"/>
      <c r="Z476" s="402"/>
    </row>
    <row r="477" ht="14.25" customHeight="1">
      <c r="A477" s="402"/>
      <c r="B477" s="402"/>
      <c r="C477" s="402"/>
      <c r="D477" s="402"/>
      <c r="E477" s="402"/>
      <c r="F477" s="403"/>
      <c r="G477" s="403"/>
      <c r="H477" s="402"/>
      <c r="I477" s="402"/>
      <c r="J477" s="402"/>
      <c r="K477" s="402"/>
      <c r="L477" s="402"/>
      <c r="M477" s="402"/>
      <c r="N477" s="402"/>
      <c r="O477" s="402"/>
      <c r="P477" s="402"/>
      <c r="Q477" s="402"/>
      <c r="R477" s="402"/>
      <c r="S477" s="402"/>
      <c r="T477" s="402"/>
      <c r="U477" s="402"/>
      <c r="V477" s="402"/>
      <c r="W477" s="402"/>
      <c r="X477" s="402"/>
      <c r="Y477" s="402"/>
      <c r="Z477" s="402"/>
    </row>
    <row r="478" ht="14.25" customHeight="1">
      <c r="A478" s="402"/>
      <c r="B478" s="402"/>
      <c r="C478" s="402"/>
      <c r="D478" s="402"/>
      <c r="E478" s="402"/>
      <c r="F478" s="403"/>
      <c r="G478" s="403"/>
      <c r="H478" s="402"/>
      <c r="I478" s="402"/>
      <c r="J478" s="402"/>
      <c r="K478" s="402"/>
      <c r="L478" s="402"/>
      <c r="M478" s="402"/>
      <c r="N478" s="402"/>
      <c r="O478" s="402"/>
      <c r="P478" s="402"/>
      <c r="Q478" s="402"/>
      <c r="R478" s="402"/>
      <c r="S478" s="402"/>
      <c r="T478" s="402"/>
      <c r="U478" s="402"/>
      <c r="V478" s="402"/>
      <c r="W478" s="402"/>
      <c r="X478" s="402"/>
      <c r="Y478" s="402"/>
      <c r="Z478" s="402"/>
    </row>
    <row r="479" ht="14.25" customHeight="1">
      <c r="A479" s="402"/>
      <c r="B479" s="402"/>
      <c r="C479" s="402"/>
      <c r="D479" s="402"/>
      <c r="E479" s="402"/>
      <c r="F479" s="403"/>
      <c r="G479" s="403"/>
      <c r="H479" s="402"/>
      <c r="I479" s="402"/>
      <c r="J479" s="402"/>
      <c r="K479" s="402"/>
      <c r="L479" s="402"/>
      <c r="M479" s="402"/>
      <c r="N479" s="402"/>
      <c r="O479" s="402"/>
      <c r="P479" s="402"/>
      <c r="Q479" s="402"/>
      <c r="R479" s="402"/>
      <c r="S479" s="402"/>
      <c r="T479" s="402"/>
      <c r="U479" s="402"/>
      <c r="V479" s="402"/>
      <c r="W479" s="402"/>
      <c r="X479" s="402"/>
      <c r="Y479" s="402"/>
      <c r="Z479" s="402"/>
    </row>
    <row r="480" ht="14.25" customHeight="1">
      <c r="A480" s="402"/>
      <c r="B480" s="402"/>
      <c r="C480" s="402"/>
      <c r="D480" s="402"/>
      <c r="E480" s="402"/>
      <c r="F480" s="403"/>
      <c r="G480" s="403"/>
      <c r="H480" s="402"/>
      <c r="I480" s="402"/>
      <c r="J480" s="402"/>
      <c r="K480" s="402"/>
      <c r="L480" s="402"/>
      <c r="M480" s="402"/>
      <c r="N480" s="402"/>
      <c r="O480" s="402"/>
      <c r="P480" s="402"/>
      <c r="Q480" s="402"/>
      <c r="R480" s="402"/>
      <c r="S480" s="402"/>
      <c r="T480" s="402"/>
      <c r="U480" s="402"/>
      <c r="V480" s="402"/>
      <c r="W480" s="402"/>
      <c r="X480" s="402"/>
      <c r="Y480" s="402"/>
      <c r="Z480" s="402"/>
    </row>
    <row r="481" ht="14.25" customHeight="1">
      <c r="A481" s="402"/>
      <c r="B481" s="402"/>
      <c r="C481" s="402"/>
      <c r="D481" s="402"/>
      <c r="E481" s="402"/>
      <c r="F481" s="403"/>
      <c r="G481" s="403"/>
      <c r="H481" s="402"/>
      <c r="I481" s="402"/>
      <c r="J481" s="402"/>
      <c r="K481" s="402"/>
      <c r="L481" s="402"/>
      <c r="M481" s="402"/>
      <c r="N481" s="402"/>
      <c r="O481" s="402"/>
      <c r="P481" s="402"/>
      <c r="Q481" s="402"/>
      <c r="R481" s="402"/>
      <c r="S481" s="402"/>
      <c r="T481" s="402"/>
      <c r="U481" s="402"/>
      <c r="V481" s="402"/>
      <c r="W481" s="402"/>
      <c r="X481" s="402"/>
      <c r="Y481" s="402"/>
      <c r="Z481" s="402"/>
    </row>
    <row r="482" ht="14.25" customHeight="1">
      <c r="A482" s="402"/>
      <c r="B482" s="402"/>
      <c r="C482" s="402"/>
      <c r="D482" s="402"/>
      <c r="E482" s="402"/>
      <c r="F482" s="403"/>
      <c r="G482" s="403"/>
      <c r="H482" s="402"/>
      <c r="I482" s="402"/>
      <c r="J482" s="402"/>
      <c r="K482" s="402"/>
      <c r="L482" s="402"/>
      <c r="M482" s="402"/>
      <c r="N482" s="402"/>
      <c r="O482" s="402"/>
      <c r="P482" s="402"/>
      <c r="Q482" s="402"/>
      <c r="R482" s="402"/>
      <c r="S482" s="402"/>
      <c r="T482" s="402"/>
      <c r="U482" s="402"/>
      <c r="V482" s="402"/>
      <c r="W482" s="402"/>
      <c r="X482" s="402"/>
      <c r="Y482" s="402"/>
      <c r="Z482" s="402"/>
    </row>
    <row r="483" ht="14.25" customHeight="1">
      <c r="A483" s="402"/>
      <c r="B483" s="402"/>
      <c r="C483" s="402"/>
      <c r="D483" s="402"/>
      <c r="E483" s="402"/>
      <c r="F483" s="403"/>
      <c r="G483" s="403"/>
      <c r="H483" s="402"/>
      <c r="I483" s="402"/>
      <c r="J483" s="402"/>
      <c r="K483" s="402"/>
      <c r="L483" s="402"/>
      <c r="M483" s="402"/>
      <c r="N483" s="402"/>
      <c r="O483" s="402"/>
      <c r="P483" s="402"/>
      <c r="Q483" s="402"/>
      <c r="R483" s="402"/>
      <c r="S483" s="402"/>
      <c r="T483" s="402"/>
      <c r="U483" s="402"/>
      <c r="V483" s="402"/>
      <c r="W483" s="402"/>
      <c r="X483" s="402"/>
      <c r="Y483" s="402"/>
      <c r="Z483" s="402"/>
    </row>
    <row r="484" ht="14.25" customHeight="1">
      <c r="A484" s="402"/>
      <c r="B484" s="402"/>
      <c r="C484" s="402"/>
      <c r="D484" s="402"/>
      <c r="E484" s="402"/>
      <c r="F484" s="403"/>
      <c r="G484" s="403"/>
      <c r="H484" s="402"/>
      <c r="I484" s="402"/>
      <c r="J484" s="402"/>
      <c r="K484" s="402"/>
      <c r="L484" s="402"/>
      <c r="M484" s="402"/>
      <c r="N484" s="402"/>
      <c r="O484" s="402"/>
      <c r="P484" s="402"/>
      <c r="Q484" s="402"/>
      <c r="R484" s="402"/>
      <c r="S484" s="402"/>
      <c r="T484" s="402"/>
      <c r="U484" s="402"/>
      <c r="V484" s="402"/>
      <c r="W484" s="402"/>
      <c r="X484" s="402"/>
      <c r="Y484" s="402"/>
      <c r="Z484" s="402"/>
    </row>
    <row r="485" ht="14.25" customHeight="1">
      <c r="A485" s="402"/>
      <c r="B485" s="402"/>
      <c r="C485" s="402"/>
      <c r="D485" s="402"/>
      <c r="E485" s="402"/>
      <c r="F485" s="403"/>
      <c r="G485" s="403"/>
      <c r="H485" s="402"/>
      <c r="I485" s="402"/>
      <c r="J485" s="402"/>
      <c r="K485" s="402"/>
      <c r="L485" s="402"/>
      <c r="M485" s="402"/>
      <c r="N485" s="402"/>
      <c r="O485" s="402"/>
      <c r="P485" s="402"/>
      <c r="Q485" s="402"/>
      <c r="R485" s="402"/>
      <c r="S485" s="402"/>
      <c r="T485" s="402"/>
      <c r="U485" s="402"/>
      <c r="V485" s="402"/>
      <c r="W485" s="402"/>
      <c r="X485" s="402"/>
      <c r="Y485" s="402"/>
      <c r="Z485" s="402"/>
    </row>
    <row r="486" ht="14.25" customHeight="1">
      <c r="A486" s="402"/>
      <c r="B486" s="402"/>
      <c r="C486" s="402"/>
      <c r="D486" s="402"/>
      <c r="E486" s="402"/>
      <c r="F486" s="403"/>
      <c r="G486" s="403"/>
      <c r="H486" s="402"/>
      <c r="I486" s="402"/>
      <c r="J486" s="402"/>
      <c r="K486" s="402"/>
      <c r="L486" s="402"/>
      <c r="M486" s="402"/>
      <c r="N486" s="402"/>
      <c r="O486" s="402"/>
      <c r="P486" s="402"/>
      <c r="Q486" s="402"/>
      <c r="R486" s="402"/>
      <c r="S486" s="402"/>
      <c r="T486" s="402"/>
      <c r="U486" s="402"/>
      <c r="V486" s="402"/>
      <c r="W486" s="402"/>
      <c r="X486" s="402"/>
      <c r="Y486" s="402"/>
      <c r="Z486" s="402"/>
    </row>
    <row r="487" ht="14.25" customHeight="1">
      <c r="A487" s="402"/>
      <c r="B487" s="402"/>
      <c r="C487" s="402"/>
      <c r="D487" s="402"/>
      <c r="E487" s="402"/>
      <c r="F487" s="403"/>
      <c r="G487" s="403"/>
      <c r="H487" s="402"/>
      <c r="I487" s="402"/>
      <c r="J487" s="402"/>
      <c r="K487" s="402"/>
      <c r="L487" s="402"/>
      <c r="M487" s="402"/>
      <c r="N487" s="402"/>
      <c r="O487" s="402"/>
      <c r="P487" s="402"/>
      <c r="Q487" s="402"/>
      <c r="R487" s="402"/>
      <c r="S487" s="402"/>
      <c r="T487" s="402"/>
      <c r="U487" s="402"/>
      <c r="V487" s="402"/>
      <c r="W487" s="402"/>
      <c r="X487" s="402"/>
      <c r="Y487" s="402"/>
      <c r="Z487" s="402"/>
    </row>
    <row r="488" ht="14.25" customHeight="1">
      <c r="A488" s="402"/>
      <c r="B488" s="402"/>
      <c r="C488" s="402"/>
      <c r="D488" s="402"/>
      <c r="E488" s="402"/>
      <c r="F488" s="403"/>
      <c r="G488" s="403"/>
      <c r="H488" s="402"/>
      <c r="I488" s="402"/>
      <c r="J488" s="402"/>
      <c r="K488" s="402"/>
      <c r="L488" s="402"/>
      <c r="M488" s="402"/>
      <c r="N488" s="402"/>
      <c r="O488" s="402"/>
      <c r="P488" s="402"/>
      <c r="Q488" s="402"/>
      <c r="R488" s="402"/>
      <c r="S488" s="402"/>
      <c r="T488" s="402"/>
      <c r="U488" s="402"/>
      <c r="V488" s="402"/>
      <c r="W488" s="402"/>
      <c r="X488" s="402"/>
      <c r="Y488" s="402"/>
      <c r="Z488" s="402"/>
    </row>
    <row r="489" ht="14.25" customHeight="1">
      <c r="A489" s="402"/>
      <c r="B489" s="402"/>
      <c r="C489" s="402"/>
      <c r="D489" s="402"/>
      <c r="E489" s="402"/>
      <c r="F489" s="403"/>
      <c r="G489" s="403"/>
      <c r="H489" s="402"/>
      <c r="I489" s="402"/>
      <c r="J489" s="402"/>
      <c r="K489" s="402"/>
      <c r="L489" s="402"/>
      <c r="M489" s="402"/>
      <c r="N489" s="402"/>
      <c r="O489" s="402"/>
      <c r="P489" s="402"/>
      <c r="Q489" s="402"/>
      <c r="R489" s="402"/>
      <c r="S489" s="402"/>
      <c r="T489" s="402"/>
      <c r="U489" s="402"/>
      <c r="V489" s="402"/>
      <c r="W489" s="402"/>
      <c r="X489" s="402"/>
      <c r="Y489" s="402"/>
      <c r="Z489" s="402"/>
    </row>
    <row r="490" ht="14.25" customHeight="1">
      <c r="A490" s="402"/>
      <c r="B490" s="402"/>
      <c r="C490" s="402"/>
      <c r="D490" s="402"/>
      <c r="E490" s="402"/>
      <c r="F490" s="403"/>
      <c r="G490" s="403"/>
      <c r="H490" s="402"/>
      <c r="I490" s="402"/>
      <c r="J490" s="402"/>
      <c r="K490" s="402"/>
      <c r="L490" s="402"/>
      <c r="M490" s="402"/>
      <c r="N490" s="402"/>
      <c r="O490" s="402"/>
      <c r="P490" s="402"/>
      <c r="Q490" s="402"/>
      <c r="R490" s="402"/>
      <c r="S490" s="402"/>
      <c r="T490" s="402"/>
      <c r="U490" s="402"/>
      <c r="V490" s="402"/>
      <c r="W490" s="402"/>
      <c r="X490" s="402"/>
      <c r="Y490" s="402"/>
      <c r="Z490" s="402"/>
    </row>
    <row r="491" ht="14.25" customHeight="1">
      <c r="A491" s="402"/>
      <c r="B491" s="402"/>
      <c r="C491" s="402"/>
      <c r="D491" s="402"/>
      <c r="E491" s="402"/>
      <c r="F491" s="403"/>
      <c r="G491" s="403"/>
      <c r="H491" s="402"/>
      <c r="I491" s="402"/>
      <c r="J491" s="402"/>
      <c r="K491" s="402"/>
      <c r="L491" s="402"/>
      <c r="M491" s="402"/>
      <c r="N491" s="402"/>
      <c r="O491" s="402"/>
      <c r="P491" s="402"/>
      <c r="Q491" s="402"/>
      <c r="R491" s="402"/>
      <c r="S491" s="402"/>
      <c r="T491" s="402"/>
      <c r="U491" s="402"/>
      <c r="V491" s="402"/>
      <c r="W491" s="402"/>
      <c r="X491" s="402"/>
      <c r="Y491" s="402"/>
      <c r="Z491" s="402"/>
    </row>
    <row r="492" ht="14.25" customHeight="1">
      <c r="A492" s="402"/>
      <c r="B492" s="402"/>
      <c r="C492" s="402"/>
      <c r="D492" s="402"/>
      <c r="E492" s="402"/>
      <c r="F492" s="403"/>
      <c r="G492" s="403"/>
      <c r="H492" s="402"/>
      <c r="I492" s="402"/>
      <c r="J492" s="402"/>
      <c r="K492" s="402"/>
      <c r="L492" s="402"/>
      <c r="M492" s="402"/>
      <c r="N492" s="402"/>
      <c r="O492" s="402"/>
      <c r="P492" s="402"/>
      <c r="Q492" s="402"/>
      <c r="R492" s="402"/>
      <c r="S492" s="402"/>
      <c r="T492" s="402"/>
      <c r="U492" s="402"/>
      <c r="V492" s="402"/>
      <c r="W492" s="402"/>
      <c r="X492" s="402"/>
      <c r="Y492" s="402"/>
      <c r="Z492" s="402"/>
    </row>
    <row r="493" ht="14.25" customHeight="1">
      <c r="A493" s="402"/>
      <c r="B493" s="402"/>
      <c r="C493" s="402"/>
      <c r="D493" s="402"/>
      <c r="E493" s="402"/>
      <c r="F493" s="403"/>
      <c r="G493" s="403"/>
      <c r="H493" s="402"/>
      <c r="I493" s="402"/>
      <c r="J493" s="402"/>
      <c r="K493" s="402"/>
      <c r="L493" s="402"/>
      <c r="M493" s="402"/>
      <c r="N493" s="402"/>
      <c r="O493" s="402"/>
      <c r="P493" s="402"/>
      <c r="Q493" s="402"/>
      <c r="R493" s="402"/>
      <c r="S493" s="402"/>
      <c r="T493" s="402"/>
      <c r="U493" s="402"/>
      <c r="V493" s="402"/>
      <c r="W493" s="402"/>
      <c r="X493" s="402"/>
      <c r="Y493" s="402"/>
      <c r="Z493" s="402"/>
    </row>
    <row r="494" ht="14.25" customHeight="1">
      <c r="A494" s="402"/>
      <c r="B494" s="402"/>
      <c r="C494" s="402"/>
      <c r="D494" s="402"/>
      <c r="E494" s="402"/>
      <c r="F494" s="403"/>
      <c r="G494" s="403"/>
      <c r="H494" s="402"/>
      <c r="I494" s="402"/>
      <c r="J494" s="402"/>
      <c r="K494" s="402"/>
      <c r="L494" s="402"/>
      <c r="M494" s="402"/>
      <c r="N494" s="402"/>
      <c r="O494" s="402"/>
      <c r="P494" s="402"/>
      <c r="Q494" s="402"/>
      <c r="R494" s="402"/>
      <c r="S494" s="402"/>
      <c r="T494" s="402"/>
      <c r="U494" s="402"/>
      <c r="V494" s="402"/>
      <c r="W494" s="402"/>
      <c r="X494" s="402"/>
      <c r="Y494" s="402"/>
      <c r="Z494" s="402"/>
    </row>
    <row r="495" ht="14.25" customHeight="1">
      <c r="A495" s="402"/>
      <c r="B495" s="402"/>
      <c r="C495" s="402"/>
      <c r="D495" s="402"/>
      <c r="E495" s="402"/>
      <c r="F495" s="403"/>
      <c r="G495" s="403"/>
      <c r="H495" s="402"/>
      <c r="I495" s="402"/>
      <c r="J495" s="402"/>
      <c r="K495" s="402"/>
      <c r="L495" s="402"/>
      <c r="M495" s="402"/>
      <c r="N495" s="402"/>
      <c r="O495" s="402"/>
      <c r="P495" s="402"/>
      <c r="Q495" s="402"/>
      <c r="R495" s="402"/>
      <c r="S495" s="402"/>
      <c r="T495" s="402"/>
      <c r="U495" s="402"/>
      <c r="V495" s="402"/>
      <c r="W495" s="402"/>
      <c r="X495" s="402"/>
      <c r="Y495" s="402"/>
      <c r="Z495" s="402"/>
    </row>
    <row r="496" ht="14.25" customHeight="1">
      <c r="A496" s="402"/>
      <c r="B496" s="402"/>
      <c r="C496" s="402"/>
      <c r="D496" s="402"/>
      <c r="E496" s="402"/>
      <c r="F496" s="403"/>
      <c r="G496" s="403"/>
      <c r="H496" s="402"/>
      <c r="I496" s="402"/>
      <c r="J496" s="402"/>
      <c r="K496" s="402"/>
      <c r="L496" s="402"/>
      <c r="M496" s="402"/>
      <c r="N496" s="402"/>
      <c r="O496" s="402"/>
      <c r="P496" s="402"/>
      <c r="Q496" s="402"/>
      <c r="R496" s="402"/>
      <c r="S496" s="402"/>
      <c r="T496" s="402"/>
      <c r="U496" s="402"/>
      <c r="V496" s="402"/>
      <c r="W496" s="402"/>
      <c r="X496" s="402"/>
      <c r="Y496" s="402"/>
      <c r="Z496" s="402"/>
    </row>
    <row r="497" ht="14.25" customHeight="1">
      <c r="A497" s="402"/>
      <c r="B497" s="402"/>
      <c r="C497" s="402"/>
      <c r="D497" s="402"/>
      <c r="E497" s="402"/>
      <c r="F497" s="403"/>
      <c r="G497" s="403"/>
      <c r="H497" s="402"/>
      <c r="I497" s="402"/>
      <c r="J497" s="402"/>
      <c r="K497" s="402"/>
      <c r="L497" s="402"/>
      <c r="M497" s="402"/>
      <c r="N497" s="402"/>
      <c r="O497" s="402"/>
      <c r="P497" s="402"/>
      <c r="Q497" s="402"/>
      <c r="R497" s="402"/>
      <c r="S497" s="402"/>
      <c r="T497" s="402"/>
      <c r="U497" s="402"/>
      <c r="V497" s="402"/>
      <c r="W497" s="402"/>
      <c r="X497" s="402"/>
      <c r="Y497" s="402"/>
      <c r="Z497" s="402"/>
    </row>
    <row r="498" ht="14.25" customHeight="1">
      <c r="A498" s="402"/>
      <c r="B498" s="402"/>
      <c r="C498" s="402"/>
      <c r="D498" s="402"/>
      <c r="E498" s="402"/>
      <c r="F498" s="403"/>
      <c r="G498" s="403"/>
      <c r="H498" s="402"/>
      <c r="I498" s="402"/>
      <c r="J498" s="402"/>
      <c r="K498" s="402"/>
      <c r="L498" s="402"/>
      <c r="M498" s="402"/>
      <c r="N498" s="402"/>
      <c r="O498" s="402"/>
      <c r="P498" s="402"/>
      <c r="Q498" s="402"/>
      <c r="R498" s="402"/>
      <c r="S498" s="402"/>
      <c r="T498" s="402"/>
      <c r="U498" s="402"/>
      <c r="V498" s="402"/>
      <c r="W498" s="402"/>
      <c r="X498" s="402"/>
      <c r="Y498" s="402"/>
      <c r="Z498" s="402"/>
    </row>
    <row r="499" ht="14.25" customHeight="1">
      <c r="A499" s="402"/>
      <c r="B499" s="402"/>
      <c r="C499" s="402"/>
      <c r="D499" s="402"/>
      <c r="E499" s="402"/>
      <c r="F499" s="403"/>
      <c r="G499" s="403"/>
      <c r="H499" s="402"/>
      <c r="I499" s="402"/>
      <c r="J499" s="402"/>
      <c r="K499" s="402"/>
      <c r="L499" s="402"/>
      <c r="M499" s="402"/>
      <c r="N499" s="402"/>
      <c r="O499" s="402"/>
      <c r="P499" s="402"/>
      <c r="Q499" s="402"/>
      <c r="R499" s="402"/>
      <c r="S499" s="402"/>
      <c r="T499" s="402"/>
      <c r="U499" s="402"/>
      <c r="V499" s="402"/>
      <c r="W499" s="402"/>
      <c r="X499" s="402"/>
      <c r="Y499" s="402"/>
      <c r="Z499" s="402"/>
    </row>
    <row r="500" ht="14.25" customHeight="1">
      <c r="A500" s="402"/>
      <c r="B500" s="402"/>
      <c r="C500" s="402"/>
      <c r="D500" s="402"/>
      <c r="E500" s="402"/>
      <c r="F500" s="403"/>
      <c r="G500" s="403"/>
      <c r="H500" s="402"/>
      <c r="I500" s="402"/>
      <c r="J500" s="402"/>
      <c r="K500" s="402"/>
      <c r="L500" s="402"/>
      <c r="M500" s="402"/>
      <c r="N500" s="402"/>
      <c r="O500" s="402"/>
      <c r="P500" s="402"/>
      <c r="Q500" s="402"/>
      <c r="R500" s="402"/>
      <c r="S500" s="402"/>
      <c r="T500" s="402"/>
      <c r="U500" s="402"/>
      <c r="V500" s="402"/>
      <c r="W500" s="402"/>
      <c r="X500" s="402"/>
      <c r="Y500" s="402"/>
      <c r="Z500" s="402"/>
    </row>
    <row r="501" ht="14.25" customHeight="1">
      <c r="A501" s="402"/>
      <c r="B501" s="402"/>
      <c r="C501" s="402"/>
      <c r="D501" s="402"/>
      <c r="E501" s="402"/>
      <c r="F501" s="403"/>
      <c r="G501" s="403"/>
      <c r="H501" s="402"/>
      <c r="I501" s="402"/>
      <c r="J501" s="402"/>
      <c r="K501" s="402"/>
      <c r="L501" s="402"/>
      <c r="M501" s="402"/>
      <c r="N501" s="402"/>
      <c r="O501" s="402"/>
      <c r="P501" s="402"/>
      <c r="Q501" s="402"/>
      <c r="R501" s="402"/>
      <c r="S501" s="402"/>
      <c r="T501" s="402"/>
      <c r="U501" s="402"/>
      <c r="V501" s="402"/>
      <c r="W501" s="402"/>
      <c r="X501" s="402"/>
      <c r="Y501" s="402"/>
      <c r="Z501" s="402"/>
    </row>
    <row r="502" ht="14.25" customHeight="1">
      <c r="A502" s="402"/>
      <c r="B502" s="402"/>
      <c r="C502" s="402"/>
      <c r="D502" s="402"/>
      <c r="E502" s="402"/>
      <c r="F502" s="403"/>
      <c r="G502" s="403"/>
      <c r="H502" s="402"/>
      <c r="I502" s="402"/>
      <c r="J502" s="402"/>
      <c r="K502" s="402"/>
      <c r="L502" s="402"/>
      <c r="M502" s="402"/>
      <c r="N502" s="402"/>
      <c r="O502" s="402"/>
      <c r="P502" s="402"/>
      <c r="Q502" s="402"/>
      <c r="R502" s="402"/>
      <c r="S502" s="402"/>
      <c r="T502" s="402"/>
      <c r="U502" s="402"/>
      <c r="V502" s="402"/>
      <c r="W502" s="402"/>
      <c r="X502" s="402"/>
      <c r="Y502" s="402"/>
      <c r="Z502" s="402"/>
    </row>
    <row r="503" ht="14.25" customHeight="1">
      <c r="A503" s="402"/>
      <c r="B503" s="402"/>
      <c r="C503" s="402"/>
      <c r="D503" s="402"/>
      <c r="E503" s="402"/>
      <c r="F503" s="403"/>
      <c r="G503" s="403"/>
      <c r="H503" s="402"/>
      <c r="I503" s="402"/>
      <c r="J503" s="402"/>
      <c r="K503" s="402"/>
      <c r="L503" s="402"/>
      <c r="M503" s="402"/>
      <c r="N503" s="402"/>
      <c r="O503" s="402"/>
      <c r="P503" s="402"/>
      <c r="Q503" s="402"/>
      <c r="R503" s="402"/>
      <c r="S503" s="402"/>
      <c r="T503" s="402"/>
      <c r="U503" s="402"/>
      <c r="V503" s="402"/>
      <c r="W503" s="402"/>
      <c r="X503" s="402"/>
      <c r="Y503" s="402"/>
      <c r="Z503" s="402"/>
    </row>
    <row r="504" ht="14.25" customHeight="1">
      <c r="A504" s="402"/>
      <c r="B504" s="402"/>
      <c r="C504" s="402"/>
      <c r="D504" s="402"/>
      <c r="E504" s="402"/>
      <c r="F504" s="403"/>
      <c r="G504" s="403"/>
      <c r="H504" s="402"/>
      <c r="I504" s="402"/>
      <c r="J504" s="402"/>
      <c r="K504" s="402"/>
      <c r="L504" s="402"/>
      <c r="M504" s="402"/>
      <c r="N504" s="402"/>
      <c r="O504" s="402"/>
      <c r="P504" s="402"/>
      <c r="Q504" s="402"/>
      <c r="R504" s="402"/>
      <c r="S504" s="402"/>
      <c r="T504" s="402"/>
      <c r="U504" s="402"/>
      <c r="V504" s="402"/>
      <c r="W504" s="402"/>
      <c r="X504" s="402"/>
      <c r="Y504" s="402"/>
      <c r="Z504" s="402"/>
    </row>
    <row r="505" ht="14.25" customHeight="1">
      <c r="A505" s="402"/>
      <c r="B505" s="402"/>
      <c r="C505" s="402"/>
      <c r="D505" s="402"/>
      <c r="E505" s="402"/>
      <c r="F505" s="403"/>
      <c r="G505" s="403"/>
      <c r="H505" s="402"/>
      <c r="I505" s="402"/>
      <c r="J505" s="402"/>
      <c r="K505" s="402"/>
      <c r="L505" s="402"/>
      <c r="M505" s="402"/>
      <c r="N505" s="402"/>
      <c r="O505" s="402"/>
      <c r="P505" s="402"/>
      <c r="Q505" s="402"/>
      <c r="R505" s="402"/>
      <c r="S505" s="402"/>
      <c r="T505" s="402"/>
      <c r="U505" s="402"/>
      <c r="V505" s="402"/>
      <c r="W505" s="402"/>
      <c r="X505" s="402"/>
      <c r="Y505" s="402"/>
      <c r="Z505" s="402"/>
    </row>
    <row r="506" ht="14.25" customHeight="1">
      <c r="A506" s="402"/>
      <c r="B506" s="402"/>
      <c r="C506" s="402"/>
      <c r="D506" s="402"/>
      <c r="E506" s="402"/>
      <c r="F506" s="403"/>
      <c r="G506" s="403"/>
      <c r="H506" s="402"/>
      <c r="I506" s="402"/>
      <c r="J506" s="402"/>
      <c r="K506" s="402"/>
      <c r="L506" s="402"/>
      <c r="M506" s="402"/>
      <c r="N506" s="402"/>
      <c r="O506" s="402"/>
      <c r="P506" s="402"/>
      <c r="Q506" s="402"/>
      <c r="R506" s="402"/>
      <c r="S506" s="402"/>
      <c r="T506" s="402"/>
      <c r="U506" s="402"/>
      <c r="V506" s="402"/>
      <c r="W506" s="402"/>
      <c r="X506" s="402"/>
      <c r="Y506" s="402"/>
      <c r="Z506" s="402"/>
    </row>
    <row r="507" ht="14.25" customHeight="1">
      <c r="A507" s="402"/>
      <c r="B507" s="402"/>
      <c r="C507" s="402"/>
      <c r="D507" s="402"/>
      <c r="E507" s="402"/>
      <c r="F507" s="403"/>
      <c r="G507" s="403"/>
      <c r="H507" s="402"/>
      <c r="I507" s="402"/>
      <c r="J507" s="402"/>
      <c r="K507" s="402"/>
      <c r="L507" s="402"/>
      <c r="M507" s="402"/>
      <c r="N507" s="402"/>
      <c r="O507" s="402"/>
      <c r="P507" s="402"/>
      <c r="Q507" s="402"/>
      <c r="R507" s="402"/>
      <c r="S507" s="402"/>
      <c r="T507" s="402"/>
      <c r="U507" s="402"/>
      <c r="V507" s="402"/>
      <c r="W507" s="402"/>
      <c r="X507" s="402"/>
      <c r="Y507" s="402"/>
      <c r="Z507" s="402"/>
    </row>
    <row r="508" ht="14.25" customHeight="1">
      <c r="A508" s="402"/>
      <c r="B508" s="402"/>
      <c r="C508" s="402"/>
      <c r="D508" s="402"/>
      <c r="E508" s="402"/>
      <c r="F508" s="403"/>
      <c r="G508" s="403"/>
      <c r="H508" s="402"/>
      <c r="I508" s="402"/>
      <c r="J508" s="402"/>
      <c r="K508" s="402"/>
      <c r="L508" s="402"/>
      <c r="M508" s="402"/>
      <c r="N508" s="402"/>
      <c r="O508" s="402"/>
      <c r="P508" s="402"/>
      <c r="Q508" s="402"/>
      <c r="R508" s="402"/>
      <c r="S508" s="402"/>
      <c r="T508" s="402"/>
      <c r="U508" s="402"/>
      <c r="V508" s="402"/>
      <c r="W508" s="402"/>
      <c r="X508" s="402"/>
      <c r="Y508" s="402"/>
      <c r="Z508" s="402"/>
    </row>
    <row r="509" ht="14.25" customHeight="1">
      <c r="A509" s="402"/>
      <c r="B509" s="402"/>
      <c r="C509" s="402"/>
      <c r="D509" s="402"/>
      <c r="E509" s="402"/>
      <c r="F509" s="403"/>
      <c r="G509" s="403"/>
      <c r="H509" s="402"/>
      <c r="I509" s="402"/>
      <c r="J509" s="402"/>
      <c r="K509" s="402"/>
      <c r="L509" s="402"/>
      <c r="M509" s="402"/>
      <c r="N509" s="402"/>
      <c r="O509" s="402"/>
      <c r="P509" s="402"/>
      <c r="Q509" s="402"/>
      <c r="R509" s="402"/>
      <c r="S509" s="402"/>
      <c r="T509" s="402"/>
      <c r="U509" s="402"/>
      <c r="V509" s="402"/>
      <c r="W509" s="402"/>
      <c r="X509" s="402"/>
      <c r="Y509" s="402"/>
      <c r="Z509" s="402"/>
    </row>
    <row r="510" ht="14.25" customHeight="1">
      <c r="A510" s="402"/>
      <c r="B510" s="402"/>
      <c r="C510" s="402"/>
      <c r="D510" s="402"/>
      <c r="E510" s="402"/>
      <c r="F510" s="403"/>
      <c r="G510" s="403"/>
      <c r="H510" s="402"/>
      <c r="I510" s="402"/>
      <c r="J510" s="402"/>
      <c r="K510" s="402"/>
      <c r="L510" s="402"/>
      <c r="M510" s="402"/>
      <c r="N510" s="402"/>
      <c r="O510" s="402"/>
      <c r="P510" s="402"/>
      <c r="Q510" s="402"/>
      <c r="R510" s="402"/>
      <c r="S510" s="402"/>
      <c r="T510" s="402"/>
      <c r="U510" s="402"/>
      <c r="V510" s="402"/>
      <c r="W510" s="402"/>
      <c r="X510" s="402"/>
      <c r="Y510" s="402"/>
      <c r="Z510" s="402"/>
    </row>
    <row r="511" ht="14.25" customHeight="1">
      <c r="A511" s="402"/>
      <c r="B511" s="402"/>
      <c r="C511" s="402"/>
      <c r="D511" s="402"/>
      <c r="E511" s="402"/>
      <c r="F511" s="403"/>
      <c r="G511" s="403"/>
      <c r="H511" s="402"/>
      <c r="I511" s="402"/>
      <c r="J511" s="402"/>
      <c r="K511" s="402"/>
      <c r="L511" s="402"/>
      <c r="M511" s="402"/>
      <c r="N511" s="402"/>
      <c r="O511" s="402"/>
      <c r="P511" s="402"/>
      <c r="Q511" s="402"/>
      <c r="R511" s="402"/>
      <c r="S511" s="402"/>
      <c r="T511" s="402"/>
      <c r="U511" s="402"/>
      <c r="V511" s="402"/>
      <c r="W511" s="402"/>
      <c r="X511" s="402"/>
      <c r="Y511" s="402"/>
      <c r="Z511" s="402"/>
    </row>
    <row r="512" ht="14.25" customHeight="1">
      <c r="A512" s="402"/>
      <c r="B512" s="402"/>
      <c r="C512" s="402"/>
      <c r="D512" s="402"/>
      <c r="E512" s="402"/>
      <c r="F512" s="403"/>
      <c r="G512" s="403"/>
      <c r="H512" s="402"/>
      <c r="I512" s="402"/>
      <c r="J512" s="402"/>
      <c r="K512" s="402"/>
      <c r="L512" s="402"/>
      <c r="M512" s="402"/>
      <c r="N512" s="402"/>
      <c r="O512" s="402"/>
      <c r="P512" s="402"/>
      <c r="Q512" s="402"/>
      <c r="R512" s="402"/>
      <c r="S512" s="402"/>
      <c r="T512" s="402"/>
      <c r="U512" s="402"/>
      <c r="V512" s="402"/>
      <c r="W512" s="402"/>
      <c r="X512" s="402"/>
      <c r="Y512" s="402"/>
      <c r="Z512" s="402"/>
    </row>
    <row r="513" ht="14.25" customHeight="1">
      <c r="A513" s="402"/>
      <c r="B513" s="402"/>
      <c r="C513" s="402"/>
      <c r="D513" s="402"/>
      <c r="E513" s="402"/>
      <c r="F513" s="403"/>
      <c r="G513" s="403"/>
      <c r="H513" s="402"/>
      <c r="I513" s="402"/>
      <c r="J513" s="402"/>
      <c r="K513" s="402"/>
      <c r="L513" s="402"/>
      <c r="M513" s="402"/>
      <c r="N513" s="402"/>
      <c r="O513" s="402"/>
      <c r="P513" s="402"/>
      <c r="Q513" s="402"/>
      <c r="R513" s="402"/>
      <c r="S513" s="402"/>
      <c r="T513" s="402"/>
      <c r="U513" s="402"/>
      <c r="V513" s="402"/>
      <c r="W513" s="402"/>
      <c r="X513" s="402"/>
      <c r="Y513" s="402"/>
      <c r="Z513" s="402"/>
    </row>
    <row r="514" ht="14.25" customHeight="1">
      <c r="A514" s="402"/>
      <c r="B514" s="402"/>
      <c r="C514" s="402"/>
      <c r="D514" s="402"/>
      <c r="E514" s="402"/>
      <c r="F514" s="403"/>
      <c r="G514" s="403"/>
      <c r="H514" s="402"/>
      <c r="I514" s="402"/>
      <c r="J514" s="402"/>
      <c r="K514" s="402"/>
      <c r="L514" s="402"/>
      <c r="M514" s="402"/>
      <c r="N514" s="402"/>
      <c r="O514" s="402"/>
      <c r="P514" s="402"/>
      <c r="Q514" s="402"/>
      <c r="R514" s="402"/>
      <c r="S514" s="402"/>
      <c r="T514" s="402"/>
      <c r="U514" s="402"/>
      <c r="V514" s="402"/>
      <c r="W514" s="402"/>
      <c r="X514" s="402"/>
      <c r="Y514" s="402"/>
      <c r="Z514" s="402"/>
    </row>
    <row r="515" ht="14.25" customHeight="1">
      <c r="A515" s="402"/>
      <c r="B515" s="402"/>
      <c r="C515" s="402"/>
      <c r="D515" s="402"/>
      <c r="E515" s="402"/>
      <c r="F515" s="403"/>
      <c r="G515" s="403"/>
      <c r="H515" s="402"/>
      <c r="I515" s="402"/>
      <c r="J515" s="402"/>
      <c r="K515" s="402"/>
      <c r="L515" s="402"/>
      <c r="M515" s="402"/>
      <c r="N515" s="402"/>
      <c r="O515" s="402"/>
      <c r="P515" s="402"/>
      <c r="Q515" s="402"/>
      <c r="R515" s="402"/>
      <c r="S515" s="402"/>
      <c r="T515" s="402"/>
      <c r="U515" s="402"/>
      <c r="V515" s="402"/>
      <c r="W515" s="402"/>
      <c r="X515" s="402"/>
      <c r="Y515" s="402"/>
      <c r="Z515" s="402"/>
    </row>
    <row r="516" ht="14.25" customHeight="1">
      <c r="A516" s="402"/>
      <c r="B516" s="402"/>
      <c r="C516" s="402"/>
      <c r="D516" s="402"/>
      <c r="E516" s="402"/>
      <c r="F516" s="403"/>
      <c r="G516" s="403"/>
      <c r="H516" s="402"/>
      <c r="I516" s="402"/>
      <c r="J516" s="402"/>
      <c r="K516" s="402"/>
      <c r="L516" s="402"/>
      <c r="M516" s="402"/>
      <c r="N516" s="402"/>
      <c r="O516" s="402"/>
      <c r="P516" s="402"/>
      <c r="Q516" s="402"/>
      <c r="R516" s="402"/>
      <c r="S516" s="402"/>
      <c r="T516" s="402"/>
      <c r="U516" s="402"/>
      <c r="V516" s="402"/>
      <c r="W516" s="402"/>
      <c r="X516" s="402"/>
      <c r="Y516" s="402"/>
      <c r="Z516" s="402"/>
    </row>
    <row r="517" ht="14.25" customHeight="1">
      <c r="A517" s="402"/>
      <c r="B517" s="402"/>
      <c r="C517" s="402"/>
      <c r="D517" s="402"/>
      <c r="E517" s="402"/>
      <c r="F517" s="403"/>
      <c r="G517" s="403"/>
      <c r="H517" s="402"/>
      <c r="I517" s="402"/>
      <c r="J517" s="402"/>
      <c r="K517" s="402"/>
      <c r="L517" s="402"/>
      <c r="M517" s="402"/>
      <c r="N517" s="402"/>
      <c r="O517" s="402"/>
      <c r="P517" s="402"/>
      <c r="Q517" s="402"/>
      <c r="R517" s="402"/>
      <c r="S517" s="402"/>
      <c r="T517" s="402"/>
      <c r="U517" s="402"/>
      <c r="V517" s="402"/>
      <c r="W517" s="402"/>
      <c r="X517" s="402"/>
      <c r="Y517" s="402"/>
      <c r="Z517" s="402"/>
    </row>
    <row r="518" ht="14.25" customHeight="1">
      <c r="A518" s="402"/>
      <c r="B518" s="402"/>
      <c r="C518" s="402"/>
      <c r="D518" s="402"/>
      <c r="E518" s="402"/>
      <c r="F518" s="403"/>
      <c r="G518" s="403"/>
      <c r="H518" s="402"/>
      <c r="I518" s="402"/>
      <c r="J518" s="402"/>
      <c r="K518" s="402"/>
      <c r="L518" s="402"/>
      <c r="M518" s="402"/>
      <c r="N518" s="402"/>
      <c r="O518" s="402"/>
      <c r="P518" s="402"/>
      <c r="Q518" s="402"/>
      <c r="R518" s="402"/>
      <c r="S518" s="402"/>
      <c r="T518" s="402"/>
      <c r="U518" s="402"/>
      <c r="V518" s="402"/>
      <c r="W518" s="402"/>
      <c r="X518" s="402"/>
      <c r="Y518" s="402"/>
      <c r="Z518" s="402"/>
    </row>
    <row r="519" ht="14.25" customHeight="1">
      <c r="A519" s="402"/>
      <c r="B519" s="402"/>
      <c r="C519" s="402"/>
      <c r="D519" s="402"/>
      <c r="E519" s="402"/>
      <c r="F519" s="403"/>
      <c r="G519" s="403"/>
      <c r="H519" s="402"/>
      <c r="I519" s="402"/>
      <c r="J519" s="402"/>
      <c r="K519" s="402"/>
      <c r="L519" s="402"/>
      <c r="M519" s="402"/>
      <c r="N519" s="402"/>
      <c r="O519" s="402"/>
      <c r="P519" s="402"/>
      <c r="Q519" s="402"/>
      <c r="R519" s="402"/>
      <c r="S519" s="402"/>
      <c r="T519" s="402"/>
      <c r="U519" s="402"/>
      <c r="V519" s="402"/>
      <c r="W519" s="402"/>
      <c r="X519" s="402"/>
      <c r="Y519" s="402"/>
      <c r="Z519" s="402"/>
    </row>
    <row r="520" ht="14.25" customHeight="1">
      <c r="A520" s="402"/>
      <c r="B520" s="402"/>
      <c r="C520" s="402"/>
      <c r="D520" s="402"/>
      <c r="E520" s="402"/>
      <c r="F520" s="403"/>
      <c r="G520" s="403"/>
      <c r="H520" s="402"/>
      <c r="I520" s="402"/>
      <c r="J520" s="402"/>
      <c r="K520" s="402"/>
      <c r="L520" s="402"/>
      <c r="M520" s="402"/>
      <c r="N520" s="402"/>
      <c r="O520" s="402"/>
      <c r="P520" s="402"/>
      <c r="Q520" s="402"/>
      <c r="R520" s="402"/>
      <c r="S520" s="402"/>
      <c r="T520" s="402"/>
      <c r="U520" s="402"/>
      <c r="V520" s="402"/>
      <c r="W520" s="402"/>
      <c r="X520" s="402"/>
      <c r="Y520" s="402"/>
      <c r="Z520" s="402"/>
    </row>
    <row r="521" ht="14.25" customHeight="1">
      <c r="A521" s="402"/>
      <c r="B521" s="402"/>
      <c r="C521" s="402"/>
      <c r="D521" s="402"/>
      <c r="E521" s="402"/>
      <c r="F521" s="403"/>
      <c r="G521" s="403"/>
      <c r="H521" s="402"/>
      <c r="I521" s="402"/>
      <c r="J521" s="402"/>
      <c r="K521" s="402"/>
      <c r="L521" s="402"/>
      <c r="M521" s="402"/>
      <c r="N521" s="402"/>
      <c r="O521" s="402"/>
      <c r="P521" s="402"/>
      <c r="Q521" s="402"/>
      <c r="R521" s="402"/>
      <c r="S521" s="402"/>
      <c r="T521" s="402"/>
      <c r="U521" s="402"/>
      <c r="V521" s="402"/>
      <c r="W521" s="402"/>
      <c r="X521" s="402"/>
      <c r="Y521" s="402"/>
      <c r="Z521" s="402"/>
    </row>
    <row r="522" ht="14.25" customHeight="1">
      <c r="A522" s="402"/>
      <c r="B522" s="402"/>
      <c r="C522" s="402"/>
      <c r="D522" s="402"/>
      <c r="E522" s="402"/>
      <c r="F522" s="403"/>
      <c r="G522" s="403"/>
      <c r="H522" s="402"/>
      <c r="I522" s="402"/>
      <c r="J522" s="402"/>
      <c r="K522" s="402"/>
      <c r="L522" s="402"/>
      <c r="M522" s="402"/>
      <c r="N522" s="402"/>
      <c r="O522" s="402"/>
      <c r="P522" s="402"/>
      <c r="Q522" s="402"/>
      <c r="R522" s="402"/>
      <c r="S522" s="402"/>
      <c r="T522" s="402"/>
      <c r="U522" s="402"/>
      <c r="V522" s="402"/>
      <c r="W522" s="402"/>
      <c r="X522" s="402"/>
      <c r="Y522" s="402"/>
      <c r="Z522" s="402"/>
    </row>
    <row r="523" ht="14.25" customHeight="1">
      <c r="A523" s="402"/>
      <c r="B523" s="402"/>
      <c r="C523" s="402"/>
      <c r="D523" s="402"/>
      <c r="E523" s="402"/>
      <c r="F523" s="403"/>
      <c r="G523" s="403"/>
      <c r="H523" s="402"/>
      <c r="I523" s="402"/>
      <c r="J523" s="402"/>
      <c r="K523" s="402"/>
      <c r="L523" s="402"/>
      <c r="M523" s="402"/>
      <c r="N523" s="402"/>
      <c r="O523" s="402"/>
      <c r="P523" s="402"/>
      <c r="Q523" s="402"/>
      <c r="R523" s="402"/>
      <c r="S523" s="402"/>
      <c r="T523" s="402"/>
      <c r="U523" s="402"/>
      <c r="V523" s="402"/>
      <c r="W523" s="402"/>
      <c r="X523" s="402"/>
      <c r="Y523" s="402"/>
      <c r="Z523" s="402"/>
    </row>
    <row r="524" ht="14.25" customHeight="1">
      <c r="A524" s="402"/>
      <c r="B524" s="402"/>
      <c r="C524" s="402"/>
      <c r="D524" s="402"/>
      <c r="E524" s="402"/>
      <c r="F524" s="403"/>
      <c r="G524" s="403"/>
      <c r="H524" s="402"/>
      <c r="I524" s="402"/>
      <c r="J524" s="402"/>
      <c r="K524" s="402"/>
      <c r="L524" s="402"/>
      <c r="M524" s="402"/>
      <c r="N524" s="402"/>
      <c r="O524" s="402"/>
      <c r="P524" s="402"/>
      <c r="Q524" s="402"/>
      <c r="R524" s="402"/>
      <c r="S524" s="402"/>
      <c r="T524" s="402"/>
      <c r="U524" s="402"/>
      <c r="V524" s="402"/>
      <c r="W524" s="402"/>
      <c r="X524" s="402"/>
      <c r="Y524" s="402"/>
      <c r="Z524" s="402"/>
    </row>
    <row r="525" ht="14.25" customHeight="1">
      <c r="A525" s="402"/>
      <c r="B525" s="402"/>
      <c r="C525" s="402"/>
      <c r="D525" s="402"/>
      <c r="E525" s="402"/>
      <c r="F525" s="403"/>
      <c r="G525" s="403"/>
      <c r="H525" s="402"/>
      <c r="I525" s="402"/>
      <c r="J525" s="402"/>
      <c r="K525" s="402"/>
      <c r="L525" s="402"/>
      <c r="M525" s="402"/>
      <c r="N525" s="402"/>
      <c r="O525" s="402"/>
      <c r="P525" s="402"/>
      <c r="Q525" s="402"/>
      <c r="R525" s="402"/>
      <c r="S525" s="402"/>
      <c r="T525" s="402"/>
      <c r="U525" s="402"/>
      <c r="V525" s="402"/>
      <c r="W525" s="402"/>
      <c r="X525" s="402"/>
      <c r="Y525" s="402"/>
      <c r="Z525" s="402"/>
    </row>
    <row r="526" ht="14.25" customHeight="1">
      <c r="A526" s="402"/>
      <c r="B526" s="402"/>
      <c r="C526" s="402"/>
      <c r="D526" s="402"/>
      <c r="E526" s="402"/>
      <c r="F526" s="403"/>
      <c r="G526" s="403"/>
      <c r="H526" s="402"/>
      <c r="I526" s="402"/>
      <c r="J526" s="402"/>
      <c r="K526" s="402"/>
      <c r="L526" s="402"/>
      <c r="M526" s="402"/>
      <c r="N526" s="402"/>
      <c r="O526" s="402"/>
      <c r="P526" s="402"/>
      <c r="Q526" s="402"/>
      <c r="R526" s="402"/>
      <c r="S526" s="402"/>
      <c r="T526" s="402"/>
      <c r="U526" s="402"/>
      <c r="V526" s="402"/>
      <c r="W526" s="402"/>
      <c r="X526" s="402"/>
      <c r="Y526" s="402"/>
      <c r="Z526" s="402"/>
    </row>
    <row r="527" ht="14.25" customHeight="1">
      <c r="A527" s="402"/>
      <c r="B527" s="402"/>
      <c r="C527" s="402"/>
      <c r="D527" s="402"/>
      <c r="E527" s="402"/>
      <c r="F527" s="403"/>
      <c r="G527" s="403"/>
      <c r="H527" s="402"/>
      <c r="I527" s="402"/>
      <c r="J527" s="402"/>
      <c r="K527" s="402"/>
      <c r="L527" s="402"/>
      <c r="M527" s="402"/>
      <c r="N527" s="402"/>
      <c r="O527" s="402"/>
      <c r="P527" s="402"/>
      <c r="Q527" s="402"/>
      <c r="R527" s="402"/>
      <c r="S527" s="402"/>
      <c r="T527" s="402"/>
      <c r="U527" s="402"/>
      <c r="V527" s="402"/>
      <c r="W527" s="402"/>
      <c r="X527" s="402"/>
      <c r="Y527" s="402"/>
      <c r="Z527" s="402"/>
    </row>
    <row r="528" ht="14.25" customHeight="1">
      <c r="A528" s="402"/>
      <c r="B528" s="402"/>
      <c r="C528" s="402"/>
      <c r="D528" s="402"/>
      <c r="E528" s="402"/>
      <c r="F528" s="403"/>
      <c r="G528" s="403"/>
      <c r="H528" s="402"/>
      <c r="I528" s="402"/>
      <c r="J528" s="402"/>
      <c r="K528" s="402"/>
      <c r="L528" s="402"/>
      <c r="M528" s="402"/>
      <c r="N528" s="402"/>
      <c r="O528" s="402"/>
      <c r="P528" s="402"/>
      <c r="Q528" s="402"/>
      <c r="R528" s="402"/>
      <c r="S528" s="402"/>
      <c r="T528" s="402"/>
      <c r="U528" s="402"/>
      <c r="V528" s="402"/>
      <c r="W528" s="402"/>
      <c r="X528" s="402"/>
      <c r="Y528" s="402"/>
      <c r="Z528" s="402"/>
    </row>
    <row r="529" ht="14.25" customHeight="1">
      <c r="A529" s="402"/>
      <c r="B529" s="402"/>
      <c r="C529" s="402"/>
      <c r="D529" s="402"/>
      <c r="E529" s="402"/>
      <c r="F529" s="403"/>
      <c r="G529" s="403"/>
      <c r="H529" s="402"/>
      <c r="I529" s="402"/>
      <c r="J529" s="402"/>
      <c r="K529" s="402"/>
      <c r="L529" s="402"/>
      <c r="M529" s="402"/>
      <c r="N529" s="402"/>
      <c r="O529" s="402"/>
      <c r="P529" s="402"/>
      <c r="Q529" s="402"/>
      <c r="R529" s="402"/>
      <c r="S529" s="402"/>
      <c r="T529" s="402"/>
      <c r="U529" s="402"/>
      <c r="V529" s="402"/>
      <c r="W529" s="402"/>
      <c r="X529" s="402"/>
      <c r="Y529" s="402"/>
      <c r="Z529" s="402"/>
    </row>
    <row r="530" ht="14.25" customHeight="1">
      <c r="A530" s="402"/>
      <c r="B530" s="402"/>
      <c r="C530" s="402"/>
      <c r="D530" s="402"/>
      <c r="E530" s="402"/>
      <c r="F530" s="403"/>
      <c r="G530" s="403"/>
      <c r="H530" s="402"/>
      <c r="I530" s="402"/>
      <c r="J530" s="402"/>
      <c r="K530" s="402"/>
      <c r="L530" s="402"/>
      <c r="M530" s="402"/>
      <c r="N530" s="402"/>
      <c r="O530" s="402"/>
      <c r="P530" s="402"/>
      <c r="Q530" s="402"/>
      <c r="R530" s="402"/>
      <c r="S530" s="402"/>
      <c r="T530" s="402"/>
      <c r="U530" s="402"/>
      <c r="V530" s="402"/>
      <c r="W530" s="402"/>
      <c r="X530" s="402"/>
      <c r="Y530" s="402"/>
      <c r="Z530" s="402"/>
    </row>
    <row r="531" ht="14.25" customHeight="1">
      <c r="A531" s="402"/>
      <c r="B531" s="402"/>
      <c r="C531" s="402"/>
      <c r="D531" s="402"/>
      <c r="E531" s="402"/>
      <c r="F531" s="403"/>
      <c r="G531" s="403"/>
      <c r="H531" s="402"/>
      <c r="I531" s="402"/>
      <c r="J531" s="402"/>
      <c r="K531" s="402"/>
      <c r="L531" s="402"/>
      <c r="M531" s="402"/>
      <c r="N531" s="402"/>
      <c r="O531" s="402"/>
      <c r="P531" s="402"/>
      <c r="Q531" s="402"/>
      <c r="R531" s="402"/>
      <c r="S531" s="402"/>
      <c r="T531" s="402"/>
      <c r="U531" s="402"/>
      <c r="V531" s="402"/>
      <c r="W531" s="402"/>
      <c r="X531" s="402"/>
      <c r="Y531" s="402"/>
      <c r="Z531" s="402"/>
    </row>
    <row r="532" ht="14.25" customHeight="1">
      <c r="A532" s="402"/>
      <c r="B532" s="402"/>
      <c r="C532" s="402"/>
      <c r="D532" s="402"/>
      <c r="E532" s="402"/>
      <c r="F532" s="403"/>
      <c r="G532" s="403"/>
      <c r="H532" s="402"/>
      <c r="I532" s="402"/>
      <c r="J532" s="402"/>
      <c r="K532" s="402"/>
      <c r="L532" s="402"/>
      <c r="M532" s="402"/>
      <c r="N532" s="402"/>
      <c r="O532" s="402"/>
      <c r="P532" s="402"/>
      <c r="Q532" s="402"/>
      <c r="R532" s="402"/>
      <c r="S532" s="402"/>
      <c r="T532" s="402"/>
      <c r="U532" s="402"/>
      <c r="V532" s="402"/>
      <c r="W532" s="402"/>
      <c r="X532" s="402"/>
      <c r="Y532" s="402"/>
      <c r="Z532" s="402"/>
    </row>
    <row r="533" ht="14.25" customHeight="1">
      <c r="A533" s="402"/>
      <c r="B533" s="402"/>
      <c r="C533" s="402"/>
      <c r="D533" s="402"/>
      <c r="E533" s="402"/>
      <c r="F533" s="403"/>
      <c r="G533" s="403"/>
      <c r="H533" s="402"/>
      <c r="I533" s="402"/>
      <c r="J533" s="402"/>
      <c r="K533" s="402"/>
      <c r="L533" s="402"/>
      <c r="M533" s="402"/>
      <c r="N533" s="402"/>
      <c r="O533" s="402"/>
      <c r="P533" s="402"/>
      <c r="Q533" s="402"/>
      <c r="R533" s="402"/>
      <c r="S533" s="402"/>
      <c r="T533" s="402"/>
      <c r="U533" s="402"/>
      <c r="V533" s="402"/>
      <c r="W533" s="402"/>
      <c r="X533" s="402"/>
      <c r="Y533" s="402"/>
      <c r="Z533" s="402"/>
    </row>
    <row r="534" ht="14.25" customHeight="1">
      <c r="A534" s="402"/>
      <c r="B534" s="402"/>
      <c r="C534" s="402"/>
      <c r="D534" s="402"/>
      <c r="E534" s="402"/>
      <c r="F534" s="403"/>
      <c r="G534" s="403"/>
      <c r="H534" s="402"/>
      <c r="I534" s="402"/>
      <c r="J534" s="402"/>
      <c r="K534" s="402"/>
      <c r="L534" s="402"/>
      <c r="M534" s="402"/>
      <c r="N534" s="402"/>
      <c r="O534" s="402"/>
      <c r="P534" s="402"/>
      <c r="Q534" s="402"/>
      <c r="R534" s="402"/>
      <c r="S534" s="402"/>
      <c r="T534" s="402"/>
      <c r="U534" s="402"/>
      <c r="V534" s="402"/>
      <c r="W534" s="402"/>
      <c r="X534" s="402"/>
      <c r="Y534" s="402"/>
      <c r="Z534" s="402"/>
    </row>
    <row r="535" ht="14.25" customHeight="1">
      <c r="A535" s="402"/>
      <c r="B535" s="402"/>
      <c r="C535" s="402"/>
      <c r="D535" s="402"/>
      <c r="E535" s="402"/>
      <c r="F535" s="403"/>
      <c r="G535" s="403"/>
      <c r="H535" s="402"/>
      <c r="I535" s="402"/>
      <c r="J535" s="402"/>
      <c r="K535" s="402"/>
      <c r="L535" s="402"/>
      <c r="M535" s="402"/>
      <c r="N535" s="402"/>
      <c r="O535" s="402"/>
      <c r="P535" s="402"/>
      <c r="Q535" s="402"/>
      <c r="R535" s="402"/>
      <c r="S535" s="402"/>
      <c r="T535" s="402"/>
      <c r="U535" s="402"/>
      <c r="V535" s="402"/>
      <c r="W535" s="402"/>
      <c r="X535" s="402"/>
      <c r="Y535" s="402"/>
      <c r="Z535" s="402"/>
    </row>
    <row r="536" ht="14.25" customHeight="1">
      <c r="A536" s="402"/>
      <c r="B536" s="402"/>
      <c r="C536" s="402"/>
      <c r="D536" s="402"/>
      <c r="E536" s="402"/>
      <c r="F536" s="403"/>
      <c r="G536" s="403"/>
      <c r="H536" s="402"/>
      <c r="I536" s="402"/>
      <c r="J536" s="402"/>
      <c r="K536" s="402"/>
      <c r="L536" s="402"/>
      <c r="M536" s="402"/>
      <c r="N536" s="402"/>
      <c r="O536" s="402"/>
      <c r="P536" s="402"/>
      <c r="Q536" s="402"/>
      <c r="R536" s="402"/>
      <c r="S536" s="402"/>
      <c r="T536" s="402"/>
      <c r="U536" s="402"/>
      <c r="V536" s="402"/>
      <c r="W536" s="402"/>
      <c r="X536" s="402"/>
      <c r="Y536" s="402"/>
      <c r="Z536" s="402"/>
    </row>
    <row r="537" ht="14.25" customHeight="1">
      <c r="A537" s="402"/>
      <c r="B537" s="402"/>
      <c r="C537" s="402"/>
      <c r="D537" s="402"/>
      <c r="E537" s="402"/>
      <c r="F537" s="403"/>
      <c r="G537" s="403"/>
      <c r="H537" s="402"/>
      <c r="I537" s="402"/>
      <c r="J537" s="402"/>
      <c r="K537" s="402"/>
      <c r="L537" s="402"/>
      <c r="M537" s="402"/>
      <c r="N537" s="402"/>
      <c r="O537" s="402"/>
      <c r="P537" s="402"/>
      <c r="Q537" s="402"/>
      <c r="R537" s="402"/>
      <c r="S537" s="402"/>
      <c r="T537" s="402"/>
      <c r="U537" s="402"/>
      <c r="V537" s="402"/>
      <c r="W537" s="402"/>
      <c r="X537" s="402"/>
      <c r="Y537" s="402"/>
      <c r="Z537" s="402"/>
    </row>
    <row r="538" ht="14.25" customHeight="1">
      <c r="A538" s="402"/>
      <c r="B538" s="402"/>
      <c r="C538" s="402"/>
      <c r="D538" s="402"/>
      <c r="E538" s="402"/>
      <c r="F538" s="403"/>
      <c r="G538" s="403"/>
      <c r="H538" s="402"/>
      <c r="I538" s="402"/>
      <c r="J538" s="402"/>
      <c r="K538" s="402"/>
      <c r="L538" s="402"/>
      <c r="M538" s="402"/>
      <c r="N538" s="402"/>
      <c r="O538" s="402"/>
      <c r="P538" s="402"/>
      <c r="Q538" s="402"/>
      <c r="R538" s="402"/>
      <c r="S538" s="402"/>
      <c r="T538" s="402"/>
      <c r="U538" s="402"/>
      <c r="V538" s="402"/>
      <c r="W538" s="402"/>
      <c r="X538" s="402"/>
      <c r="Y538" s="402"/>
      <c r="Z538" s="402"/>
    </row>
    <row r="539" ht="14.25" customHeight="1">
      <c r="A539" s="402"/>
      <c r="B539" s="402"/>
      <c r="C539" s="402"/>
      <c r="D539" s="402"/>
      <c r="E539" s="402"/>
      <c r="F539" s="403"/>
      <c r="G539" s="403"/>
      <c r="H539" s="402"/>
      <c r="I539" s="402"/>
      <c r="J539" s="402"/>
      <c r="K539" s="402"/>
      <c r="L539" s="402"/>
      <c r="M539" s="402"/>
      <c r="N539" s="402"/>
      <c r="O539" s="402"/>
      <c r="P539" s="402"/>
      <c r="Q539" s="402"/>
      <c r="R539" s="402"/>
      <c r="S539" s="402"/>
      <c r="T539" s="402"/>
      <c r="U539" s="402"/>
      <c r="V539" s="402"/>
      <c r="W539" s="402"/>
      <c r="X539" s="402"/>
      <c r="Y539" s="402"/>
      <c r="Z539" s="402"/>
    </row>
    <row r="540" ht="14.25" customHeight="1">
      <c r="A540" s="402"/>
      <c r="B540" s="402"/>
      <c r="C540" s="402"/>
      <c r="D540" s="402"/>
      <c r="E540" s="402"/>
      <c r="F540" s="403"/>
      <c r="G540" s="403"/>
      <c r="H540" s="402"/>
      <c r="I540" s="402"/>
      <c r="J540" s="402"/>
      <c r="K540" s="402"/>
      <c r="L540" s="402"/>
      <c r="M540" s="402"/>
      <c r="N540" s="402"/>
      <c r="O540" s="402"/>
      <c r="P540" s="402"/>
      <c r="Q540" s="402"/>
      <c r="R540" s="402"/>
      <c r="S540" s="402"/>
      <c r="T540" s="402"/>
      <c r="U540" s="402"/>
      <c r="V540" s="402"/>
      <c r="W540" s="402"/>
      <c r="X540" s="402"/>
      <c r="Y540" s="402"/>
      <c r="Z540" s="402"/>
    </row>
    <row r="541" ht="14.25" customHeight="1">
      <c r="A541" s="402"/>
      <c r="B541" s="402"/>
      <c r="C541" s="402"/>
      <c r="D541" s="402"/>
      <c r="E541" s="402"/>
      <c r="F541" s="403"/>
      <c r="G541" s="403"/>
      <c r="H541" s="402"/>
      <c r="I541" s="402"/>
      <c r="J541" s="402"/>
      <c r="K541" s="402"/>
      <c r="L541" s="402"/>
      <c r="M541" s="402"/>
      <c r="N541" s="402"/>
      <c r="O541" s="402"/>
      <c r="P541" s="402"/>
      <c r="Q541" s="402"/>
      <c r="R541" s="402"/>
      <c r="S541" s="402"/>
      <c r="T541" s="402"/>
      <c r="U541" s="402"/>
      <c r="V541" s="402"/>
      <c r="W541" s="402"/>
      <c r="X541" s="402"/>
      <c r="Y541" s="402"/>
      <c r="Z541" s="402"/>
    </row>
    <row r="542" ht="14.25" customHeight="1">
      <c r="A542" s="402"/>
      <c r="B542" s="402"/>
      <c r="C542" s="402"/>
      <c r="D542" s="402"/>
      <c r="E542" s="402"/>
      <c r="F542" s="403"/>
      <c r="G542" s="403"/>
      <c r="H542" s="402"/>
      <c r="I542" s="402"/>
      <c r="J542" s="402"/>
      <c r="K542" s="402"/>
      <c r="L542" s="402"/>
      <c r="M542" s="402"/>
      <c r="N542" s="402"/>
      <c r="O542" s="402"/>
      <c r="P542" s="402"/>
      <c r="Q542" s="402"/>
      <c r="R542" s="402"/>
      <c r="S542" s="402"/>
      <c r="T542" s="402"/>
      <c r="U542" s="402"/>
      <c r="V542" s="402"/>
      <c r="W542" s="402"/>
      <c r="X542" s="402"/>
      <c r="Y542" s="402"/>
      <c r="Z542" s="402"/>
    </row>
    <row r="543" ht="14.25" customHeight="1">
      <c r="A543" s="402"/>
      <c r="B543" s="402"/>
      <c r="C543" s="402"/>
      <c r="D543" s="402"/>
      <c r="E543" s="402"/>
      <c r="F543" s="403"/>
      <c r="G543" s="403"/>
      <c r="H543" s="402"/>
      <c r="I543" s="402"/>
      <c r="J543" s="402"/>
      <c r="K543" s="402"/>
      <c r="L543" s="402"/>
      <c r="M543" s="402"/>
      <c r="N543" s="402"/>
      <c r="O543" s="402"/>
      <c r="P543" s="402"/>
      <c r="Q543" s="402"/>
      <c r="R543" s="402"/>
      <c r="S543" s="402"/>
      <c r="T543" s="402"/>
      <c r="U543" s="402"/>
      <c r="V543" s="402"/>
      <c r="W543" s="402"/>
      <c r="X543" s="402"/>
      <c r="Y543" s="402"/>
      <c r="Z543" s="402"/>
    </row>
    <row r="544" ht="14.25" customHeight="1">
      <c r="A544" s="402"/>
      <c r="B544" s="402"/>
      <c r="C544" s="402"/>
      <c r="D544" s="402"/>
      <c r="E544" s="402"/>
      <c r="F544" s="403"/>
      <c r="G544" s="403"/>
      <c r="H544" s="402"/>
      <c r="I544" s="402"/>
      <c r="J544" s="402"/>
      <c r="K544" s="402"/>
      <c r="L544" s="402"/>
      <c r="M544" s="402"/>
      <c r="N544" s="402"/>
      <c r="O544" s="402"/>
      <c r="P544" s="402"/>
      <c r="Q544" s="402"/>
      <c r="R544" s="402"/>
      <c r="S544" s="402"/>
      <c r="T544" s="402"/>
      <c r="U544" s="402"/>
      <c r="V544" s="402"/>
      <c r="W544" s="402"/>
      <c r="X544" s="402"/>
      <c r="Y544" s="402"/>
      <c r="Z544" s="402"/>
    </row>
    <row r="545" ht="14.25" customHeight="1">
      <c r="A545" s="402"/>
      <c r="B545" s="402"/>
      <c r="C545" s="402"/>
      <c r="D545" s="402"/>
      <c r="E545" s="402"/>
      <c r="F545" s="403"/>
      <c r="G545" s="403"/>
      <c r="H545" s="402"/>
      <c r="I545" s="402"/>
      <c r="J545" s="402"/>
      <c r="K545" s="402"/>
      <c r="L545" s="402"/>
      <c r="M545" s="402"/>
      <c r="N545" s="402"/>
      <c r="O545" s="402"/>
      <c r="P545" s="402"/>
      <c r="Q545" s="402"/>
      <c r="R545" s="402"/>
      <c r="S545" s="402"/>
      <c r="T545" s="402"/>
      <c r="U545" s="402"/>
      <c r="V545" s="402"/>
      <c r="W545" s="402"/>
      <c r="X545" s="402"/>
      <c r="Y545" s="402"/>
      <c r="Z545" s="402"/>
    </row>
    <row r="546" ht="14.25" customHeight="1">
      <c r="A546" s="402"/>
      <c r="B546" s="402"/>
      <c r="C546" s="402"/>
      <c r="D546" s="402"/>
      <c r="E546" s="402"/>
      <c r="F546" s="403"/>
      <c r="G546" s="403"/>
      <c r="H546" s="402"/>
      <c r="I546" s="402"/>
      <c r="J546" s="402"/>
      <c r="K546" s="402"/>
      <c r="L546" s="402"/>
      <c r="M546" s="402"/>
      <c r="N546" s="402"/>
      <c r="O546" s="402"/>
      <c r="P546" s="402"/>
      <c r="Q546" s="402"/>
      <c r="R546" s="402"/>
      <c r="S546" s="402"/>
      <c r="T546" s="402"/>
      <c r="U546" s="402"/>
      <c r="V546" s="402"/>
      <c r="W546" s="402"/>
      <c r="X546" s="402"/>
      <c r="Y546" s="402"/>
      <c r="Z546" s="402"/>
    </row>
    <row r="547" ht="14.25" customHeight="1">
      <c r="A547" s="402"/>
      <c r="B547" s="402"/>
      <c r="C547" s="402"/>
      <c r="D547" s="402"/>
      <c r="E547" s="402"/>
      <c r="F547" s="403"/>
      <c r="G547" s="403"/>
      <c r="H547" s="402"/>
      <c r="I547" s="402"/>
      <c r="J547" s="402"/>
      <c r="K547" s="402"/>
      <c r="L547" s="402"/>
      <c r="M547" s="402"/>
      <c r="N547" s="402"/>
      <c r="O547" s="402"/>
      <c r="P547" s="402"/>
      <c r="Q547" s="402"/>
      <c r="R547" s="402"/>
      <c r="S547" s="402"/>
      <c r="T547" s="402"/>
      <c r="U547" s="402"/>
      <c r="V547" s="402"/>
      <c r="W547" s="402"/>
      <c r="X547" s="402"/>
      <c r="Y547" s="402"/>
      <c r="Z547" s="402"/>
    </row>
    <row r="548" ht="14.25" customHeight="1">
      <c r="A548" s="402"/>
      <c r="B548" s="402"/>
      <c r="C548" s="402"/>
      <c r="D548" s="402"/>
      <c r="E548" s="402"/>
      <c r="F548" s="403"/>
      <c r="G548" s="403"/>
      <c r="H548" s="402"/>
      <c r="I548" s="402"/>
      <c r="J548" s="402"/>
      <c r="K548" s="402"/>
      <c r="L548" s="402"/>
      <c r="M548" s="402"/>
      <c r="N548" s="402"/>
      <c r="O548" s="402"/>
      <c r="P548" s="402"/>
      <c r="Q548" s="402"/>
      <c r="R548" s="402"/>
      <c r="S548" s="402"/>
      <c r="T548" s="402"/>
      <c r="U548" s="402"/>
      <c r="V548" s="402"/>
      <c r="W548" s="402"/>
      <c r="X548" s="402"/>
      <c r="Y548" s="402"/>
      <c r="Z548" s="402"/>
    </row>
    <row r="549" ht="14.25" customHeight="1">
      <c r="A549" s="402"/>
      <c r="B549" s="402"/>
      <c r="C549" s="402"/>
      <c r="D549" s="402"/>
      <c r="E549" s="402"/>
      <c r="F549" s="403"/>
      <c r="G549" s="403"/>
      <c r="H549" s="402"/>
      <c r="I549" s="402"/>
      <c r="J549" s="402"/>
      <c r="K549" s="402"/>
      <c r="L549" s="402"/>
      <c r="M549" s="402"/>
      <c r="N549" s="402"/>
      <c r="O549" s="402"/>
      <c r="P549" s="402"/>
      <c r="Q549" s="402"/>
      <c r="R549" s="402"/>
      <c r="S549" s="402"/>
      <c r="T549" s="402"/>
      <c r="U549" s="402"/>
      <c r="V549" s="402"/>
      <c r="W549" s="402"/>
      <c r="X549" s="402"/>
      <c r="Y549" s="402"/>
      <c r="Z549" s="402"/>
    </row>
    <row r="550" ht="14.25" customHeight="1">
      <c r="A550" s="402"/>
      <c r="B550" s="402"/>
      <c r="C550" s="402"/>
      <c r="D550" s="402"/>
      <c r="E550" s="402"/>
      <c r="F550" s="403"/>
      <c r="G550" s="403"/>
      <c r="H550" s="402"/>
      <c r="I550" s="402"/>
      <c r="J550" s="402"/>
      <c r="K550" s="402"/>
      <c r="L550" s="402"/>
      <c r="M550" s="402"/>
      <c r="N550" s="402"/>
      <c r="O550" s="402"/>
      <c r="P550" s="402"/>
      <c r="Q550" s="402"/>
      <c r="R550" s="402"/>
      <c r="S550" s="402"/>
      <c r="T550" s="402"/>
      <c r="U550" s="402"/>
      <c r="V550" s="402"/>
      <c r="W550" s="402"/>
      <c r="X550" s="402"/>
      <c r="Y550" s="402"/>
      <c r="Z550" s="402"/>
    </row>
    <row r="551" ht="14.25" customHeight="1">
      <c r="A551" s="402"/>
      <c r="B551" s="402"/>
      <c r="C551" s="402"/>
      <c r="D551" s="402"/>
      <c r="E551" s="402"/>
      <c r="F551" s="403"/>
      <c r="G551" s="403"/>
      <c r="H551" s="402"/>
      <c r="I551" s="402"/>
      <c r="J551" s="402"/>
      <c r="K551" s="402"/>
      <c r="L551" s="402"/>
      <c r="M551" s="402"/>
      <c r="N551" s="402"/>
      <c r="O551" s="402"/>
      <c r="P551" s="402"/>
      <c r="Q551" s="402"/>
      <c r="R551" s="402"/>
      <c r="S551" s="402"/>
      <c r="T551" s="402"/>
      <c r="U551" s="402"/>
      <c r="V551" s="402"/>
      <c r="W551" s="402"/>
      <c r="X551" s="402"/>
      <c r="Y551" s="402"/>
      <c r="Z551" s="402"/>
    </row>
    <row r="552" ht="14.25" customHeight="1">
      <c r="A552" s="402"/>
      <c r="B552" s="402"/>
      <c r="C552" s="402"/>
      <c r="D552" s="402"/>
      <c r="E552" s="402"/>
      <c r="F552" s="403"/>
      <c r="G552" s="403"/>
      <c r="H552" s="402"/>
      <c r="I552" s="402"/>
      <c r="J552" s="402"/>
      <c r="K552" s="402"/>
      <c r="L552" s="402"/>
      <c r="M552" s="402"/>
      <c r="N552" s="402"/>
      <c r="O552" s="402"/>
      <c r="P552" s="402"/>
      <c r="Q552" s="402"/>
      <c r="R552" s="402"/>
      <c r="S552" s="402"/>
      <c r="T552" s="402"/>
      <c r="U552" s="402"/>
      <c r="V552" s="402"/>
      <c r="W552" s="402"/>
      <c r="X552" s="402"/>
      <c r="Y552" s="402"/>
      <c r="Z552" s="402"/>
    </row>
    <row r="553" ht="14.25" customHeight="1">
      <c r="A553" s="402"/>
      <c r="B553" s="402"/>
      <c r="C553" s="402"/>
      <c r="D553" s="402"/>
      <c r="E553" s="402"/>
      <c r="F553" s="403"/>
      <c r="G553" s="403"/>
      <c r="H553" s="402"/>
      <c r="I553" s="402"/>
      <c r="J553" s="402"/>
      <c r="K553" s="402"/>
      <c r="L553" s="402"/>
      <c r="M553" s="402"/>
      <c r="N553" s="402"/>
      <c r="O553" s="402"/>
      <c r="P553" s="402"/>
      <c r="Q553" s="402"/>
      <c r="R553" s="402"/>
      <c r="S553" s="402"/>
      <c r="T553" s="402"/>
      <c r="U553" s="402"/>
      <c r="V553" s="402"/>
      <c r="W553" s="402"/>
      <c r="X553" s="402"/>
      <c r="Y553" s="402"/>
      <c r="Z553" s="402"/>
    </row>
    <row r="554" ht="14.25" customHeight="1">
      <c r="A554" s="402"/>
      <c r="B554" s="402"/>
      <c r="C554" s="402"/>
      <c r="D554" s="402"/>
      <c r="E554" s="402"/>
      <c r="F554" s="403"/>
      <c r="G554" s="403"/>
      <c r="H554" s="402"/>
      <c r="I554" s="402"/>
      <c r="J554" s="402"/>
      <c r="K554" s="402"/>
      <c r="L554" s="402"/>
      <c r="M554" s="402"/>
      <c r="N554" s="402"/>
      <c r="O554" s="402"/>
      <c r="P554" s="402"/>
      <c r="Q554" s="402"/>
      <c r="R554" s="402"/>
      <c r="S554" s="402"/>
      <c r="T554" s="402"/>
      <c r="U554" s="402"/>
      <c r="V554" s="402"/>
      <c r="W554" s="402"/>
      <c r="X554" s="402"/>
      <c r="Y554" s="402"/>
      <c r="Z554" s="402"/>
    </row>
    <row r="555" ht="14.25" customHeight="1">
      <c r="A555" s="402"/>
      <c r="B555" s="402"/>
      <c r="C555" s="402"/>
      <c r="D555" s="402"/>
      <c r="E555" s="402"/>
      <c r="F555" s="403"/>
      <c r="G555" s="403"/>
      <c r="H555" s="402"/>
      <c r="I555" s="402"/>
      <c r="J555" s="402"/>
      <c r="K555" s="402"/>
      <c r="L555" s="402"/>
      <c r="M555" s="402"/>
      <c r="N555" s="402"/>
      <c r="O555" s="402"/>
      <c r="P555" s="402"/>
      <c r="Q555" s="402"/>
      <c r="R555" s="402"/>
      <c r="S555" s="402"/>
      <c r="T555" s="402"/>
      <c r="U555" s="402"/>
      <c r="V555" s="402"/>
      <c r="W555" s="402"/>
      <c r="X555" s="402"/>
      <c r="Y555" s="402"/>
      <c r="Z555" s="402"/>
    </row>
    <row r="556" ht="14.25" customHeight="1">
      <c r="A556" s="402"/>
      <c r="B556" s="402"/>
      <c r="C556" s="402"/>
      <c r="D556" s="402"/>
      <c r="E556" s="402"/>
      <c r="F556" s="403"/>
      <c r="G556" s="403"/>
      <c r="H556" s="402"/>
      <c r="I556" s="402"/>
      <c r="J556" s="402"/>
      <c r="K556" s="402"/>
      <c r="L556" s="402"/>
      <c r="M556" s="402"/>
      <c r="N556" s="402"/>
      <c r="O556" s="402"/>
      <c r="P556" s="402"/>
      <c r="Q556" s="402"/>
      <c r="R556" s="402"/>
      <c r="S556" s="402"/>
      <c r="T556" s="402"/>
      <c r="U556" s="402"/>
      <c r="V556" s="402"/>
      <c r="W556" s="402"/>
      <c r="X556" s="402"/>
      <c r="Y556" s="402"/>
      <c r="Z556" s="402"/>
    </row>
    <row r="557" ht="14.25" customHeight="1">
      <c r="A557" s="402"/>
      <c r="B557" s="402"/>
      <c r="C557" s="402"/>
      <c r="D557" s="402"/>
      <c r="E557" s="402"/>
      <c r="F557" s="403"/>
      <c r="G557" s="403"/>
      <c r="H557" s="402"/>
      <c r="I557" s="402"/>
      <c r="J557" s="402"/>
      <c r="K557" s="402"/>
      <c r="L557" s="402"/>
      <c r="M557" s="402"/>
      <c r="N557" s="402"/>
      <c r="O557" s="402"/>
      <c r="P557" s="402"/>
      <c r="Q557" s="402"/>
      <c r="R557" s="402"/>
      <c r="S557" s="402"/>
      <c r="T557" s="402"/>
      <c r="U557" s="402"/>
      <c r="V557" s="402"/>
      <c r="W557" s="402"/>
      <c r="X557" s="402"/>
      <c r="Y557" s="402"/>
      <c r="Z557" s="402"/>
    </row>
    <row r="558" ht="14.25" customHeight="1">
      <c r="A558" s="402"/>
      <c r="B558" s="402"/>
      <c r="C558" s="402"/>
      <c r="D558" s="402"/>
      <c r="E558" s="402"/>
      <c r="F558" s="403"/>
      <c r="G558" s="403"/>
      <c r="H558" s="402"/>
      <c r="I558" s="402"/>
      <c r="J558" s="402"/>
      <c r="K558" s="402"/>
      <c r="L558" s="402"/>
      <c r="M558" s="402"/>
      <c r="N558" s="402"/>
      <c r="O558" s="402"/>
      <c r="P558" s="402"/>
      <c r="Q558" s="402"/>
      <c r="R558" s="402"/>
      <c r="S558" s="402"/>
      <c r="T558" s="402"/>
      <c r="U558" s="402"/>
      <c r="V558" s="402"/>
      <c r="W558" s="402"/>
      <c r="X558" s="402"/>
      <c r="Y558" s="402"/>
      <c r="Z558" s="402"/>
    </row>
    <row r="559" ht="14.25" customHeight="1">
      <c r="A559" s="402"/>
      <c r="B559" s="402"/>
      <c r="C559" s="402"/>
      <c r="D559" s="402"/>
      <c r="E559" s="402"/>
      <c r="F559" s="403"/>
      <c r="G559" s="403"/>
      <c r="H559" s="402"/>
      <c r="I559" s="402"/>
      <c r="J559" s="402"/>
      <c r="K559" s="402"/>
      <c r="L559" s="402"/>
      <c r="M559" s="402"/>
      <c r="N559" s="402"/>
      <c r="O559" s="402"/>
      <c r="P559" s="402"/>
      <c r="Q559" s="402"/>
      <c r="R559" s="402"/>
      <c r="S559" s="402"/>
      <c r="T559" s="402"/>
      <c r="U559" s="402"/>
      <c r="V559" s="402"/>
      <c r="W559" s="402"/>
      <c r="X559" s="402"/>
      <c r="Y559" s="402"/>
      <c r="Z559" s="402"/>
    </row>
    <row r="560" ht="14.25" customHeight="1">
      <c r="A560" s="402"/>
      <c r="B560" s="402"/>
      <c r="C560" s="402"/>
      <c r="D560" s="402"/>
      <c r="E560" s="402"/>
      <c r="F560" s="403"/>
      <c r="G560" s="403"/>
      <c r="H560" s="402"/>
      <c r="I560" s="402"/>
      <c r="J560" s="402"/>
      <c r="K560" s="402"/>
      <c r="L560" s="402"/>
      <c r="M560" s="402"/>
      <c r="N560" s="402"/>
      <c r="O560" s="402"/>
      <c r="P560" s="402"/>
      <c r="Q560" s="402"/>
      <c r="R560" s="402"/>
      <c r="S560" s="402"/>
      <c r="T560" s="402"/>
      <c r="U560" s="402"/>
      <c r="V560" s="402"/>
      <c r="W560" s="402"/>
      <c r="X560" s="402"/>
      <c r="Y560" s="402"/>
      <c r="Z560" s="402"/>
    </row>
    <row r="561" ht="14.25" customHeight="1">
      <c r="A561" s="402"/>
      <c r="B561" s="402"/>
      <c r="C561" s="402"/>
      <c r="D561" s="402"/>
      <c r="E561" s="402"/>
      <c r="F561" s="403"/>
      <c r="G561" s="403"/>
      <c r="H561" s="402"/>
      <c r="I561" s="402"/>
      <c r="J561" s="402"/>
      <c r="K561" s="402"/>
      <c r="L561" s="402"/>
      <c r="M561" s="402"/>
      <c r="N561" s="402"/>
      <c r="O561" s="402"/>
      <c r="P561" s="402"/>
      <c r="Q561" s="402"/>
      <c r="R561" s="402"/>
      <c r="S561" s="402"/>
      <c r="T561" s="402"/>
      <c r="U561" s="402"/>
      <c r="V561" s="402"/>
      <c r="W561" s="402"/>
      <c r="X561" s="402"/>
      <c r="Y561" s="402"/>
      <c r="Z561" s="402"/>
    </row>
    <row r="562" ht="14.25" customHeight="1">
      <c r="A562" s="402"/>
      <c r="B562" s="402"/>
      <c r="C562" s="402"/>
      <c r="D562" s="402"/>
      <c r="E562" s="402"/>
      <c r="F562" s="403"/>
      <c r="G562" s="403"/>
      <c r="H562" s="402"/>
      <c r="I562" s="402"/>
      <c r="J562" s="402"/>
      <c r="K562" s="402"/>
      <c r="L562" s="402"/>
      <c r="M562" s="402"/>
      <c r="N562" s="402"/>
      <c r="O562" s="402"/>
      <c r="P562" s="402"/>
      <c r="Q562" s="402"/>
      <c r="R562" s="402"/>
      <c r="S562" s="402"/>
      <c r="T562" s="402"/>
      <c r="U562" s="402"/>
      <c r="V562" s="402"/>
      <c r="W562" s="402"/>
      <c r="X562" s="402"/>
      <c r="Y562" s="402"/>
      <c r="Z562" s="402"/>
    </row>
    <row r="563" ht="14.25" customHeight="1">
      <c r="A563" s="402"/>
      <c r="B563" s="402"/>
      <c r="C563" s="402"/>
      <c r="D563" s="402"/>
      <c r="E563" s="402"/>
      <c r="F563" s="403"/>
      <c r="G563" s="403"/>
      <c r="H563" s="402"/>
      <c r="I563" s="402"/>
      <c r="J563" s="402"/>
      <c r="K563" s="402"/>
      <c r="L563" s="402"/>
      <c r="M563" s="402"/>
      <c r="N563" s="402"/>
      <c r="O563" s="402"/>
      <c r="P563" s="402"/>
      <c r="Q563" s="402"/>
      <c r="R563" s="402"/>
      <c r="S563" s="402"/>
      <c r="T563" s="402"/>
      <c r="U563" s="402"/>
      <c r="V563" s="402"/>
      <c r="W563" s="402"/>
      <c r="X563" s="402"/>
      <c r="Y563" s="402"/>
      <c r="Z563" s="402"/>
    </row>
    <row r="564" ht="14.25" customHeight="1">
      <c r="A564" s="402"/>
      <c r="B564" s="402"/>
      <c r="C564" s="402"/>
      <c r="D564" s="402"/>
      <c r="E564" s="402"/>
      <c r="F564" s="403"/>
      <c r="G564" s="403"/>
      <c r="H564" s="402"/>
      <c r="I564" s="402"/>
      <c r="J564" s="402"/>
      <c r="K564" s="402"/>
      <c r="L564" s="402"/>
      <c r="M564" s="402"/>
      <c r="N564" s="402"/>
      <c r="O564" s="402"/>
      <c r="P564" s="402"/>
      <c r="Q564" s="402"/>
      <c r="R564" s="402"/>
      <c r="S564" s="402"/>
      <c r="T564" s="402"/>
      <c r="U564" s="402"/>
      <c r="V564" s="402"/>
      <c r="W564" s="402"/>
      <c r="X564" s="402"/>
      <c r="Y564" s="402"/>
      <c r="Z564" s="402"/>
    </row>
    <row r="565" ht="14.25" customHeight="1">
      <c r="A565" s="402"/>
      <c r="B565" s="402"/>
      <c r="C565" s="402"/>
      <c r="D565" s="402"/>
      <c r="E565" s="402"/>
      <c r="F565" s="403"/>
      <c r="G565" s="403"/>
      <c r="H565" s="402"/>
      <c r="I565" s="402"/>
      <c r="J565" s="402"/>
      <c r="K565" s="402"/>
      <c r="L565" s="402"/>
      <c r="M565" s="402"/>
      <c r="N565" s="402"/>
      <c r="O565" s="402"/>
      <c r="P565" s="402"/>
      <c r="Q565" s="402"/>
      <c r="R565" s="402"/>
      <c r="S565" s="402"/>
      <c r="T565" s="402"/>
      <c r="U565" s="402"/>
      <c r="V565" s="402"/>
      <c r="W565" s="402"/>
      <c r="X565" s="402"/>
      <c r="Y565" s="402"/>
      <c r="Z565" s="402"/>
    </row>
    <row r="566" ht="14.25" customHeight="1">
      <c r="A566" s="402"/>
      <c r="B566" s="402"/>
      <c r="C566" s="402"/>
      <c r="D566" s="402"/>
      <c r="E566" s="402"/>
      <c r="F566" s="403"/>
      <c r="G566" s="403"/>
      <c r="H566" s="402"/>
      <c r="I566" s="402"/>
      <c r="J566" s="402"/>
      <c r="K566" s="402"/>
      <c r="L566" s="402"/>
      <c r="M566" s="402"/>
      <c r="N566" s="402"/>
      <c r="O566" s="402"/>
      <c r="P566" s="402"/>
      <c r="Q566" s="402"/>
      <c r="R566" s="402"/>
      <c r="S566" s="402"/>
      <c r="T566" s="402"/>
      <c r="U566" s="402"/>
      <c r="V566" s="402"/>
      <c r="W566" s="402"/>
      <c r="X566" s="402"/>
      <c r="Y566" s="402"/>
      <c r="Z566" s="402"/>
    </row>
    <row r="567" ht="14.25" customHeight="1">
      <c r="A567" s="402"/>
      <c r="B567" s="402"/>
      <c r="C567" s="402"/>
      <c r="D567" s="402"/>
      <c r="E567" s="402"/>
      <c r="F567" s="403"/>
      <c r="G567" s="403"/>
      <c r="H567" s="402"/>
      <c r="I567" s="402"/>
      <c r="J567" s="402"/>
      <c r="K567" s="402"/>
      <c r="L567" s="402"/>
      <c r="M567" s="402"/>
      <c r="N567" s="402"/>
      <c r="O567" s="402"/>
      <c r="P567" s="402"/>
      <c r="Q567" s="402"/>
      <c r="R567" s="402"/>
      <c r="S567" s="402"/>
      <c r="T567" s="402"/>
      <c r="U567" s="402"/>
      <c r="V567" s="402"/>
      <c r="W567" s="402"/>
      <c r="X567" s="402"/>
      <c r="Y567" s="402"/>
      <c r="Z567" s="402"/>
    </row>
    <row r="568" ht="14.25" customHeight="1">
      <c r="A568" s="402"/>
      <c r="B568" s="402"/>
      <c r="C568" s="402"/>
      <c r="D568" s="402"/>
      <c r="E568" s="402"/>
      <c r="F568" s="403"/>
      <c r="G568" s="403"/>
      <c r="H568" s="402"/>
      <c r="I568" s="402"/>
      <c r="J568" s="402"/>
      <c r="K568" s="402"/>
      <c r="L568" s="402"/>
      <c r="M568" s="402"/>
      <c r="N568" s="402"/>
      <c r="O568" s="402"/>
      <c r="P568" s="402"/>
      <c r="Q568" s="402"/>
      <c r="R568" s="402"/>
      <c r="S568" s="402"/>
      <c r="T568" s="402"/>
      <c r="U568" s="402"/>
      <c r="V568" s="402"/>
      <c r="W568" s="402"/>
      <c r="X568" s="402"/>
      <c r="Y568" s="402"/>
      <c r="Z568" s="402"/>
    </row>
    <row r="569" ht="14.25" customHeight="1">
      <c r="A569" s="402"/>
      <c r="B569" s="402"/>
      <c r="C569" s="402"/>
      <c r="D569" s="402"/>
      <c r="E569" s="402"/>
      <c r="F569" s="403"/>
      <c r="G569" s="403"/>
      <c r="H569" s="402"/>
      <c r="I569" s="402"/>
      <c r="J569" s="402"/>
      <c r="K569" s="402"/>
      <c r="L569" s="402"/>
      <c r="M569" s="402"/>
      <c r="N569" s="402"/>
      <c r="O569" s="402"/>
      <c r="P569" s="402"/>
      <c r="Q569" s="402"/>
      <c r="R569" s="402"/>
      <c r="S569" s="402"/>
      <c r="T569" s="402"/>
      <c r="U569" s="402"/>
      <c r="V569" s="402"/>
      <c r="W569" s="402"/>
      <c r="X569" s="402"/>
      <c r="Y569" s="402"/>
      <c r="Z569" s="402"/>
    </row>
    <row r="570" ht="14.25" customHeight="1">
      <c r="A570" s="402"/>
      <c r="B570" s="402"/>
      <c r="C570" s="402"/>
      <c r="D570" s="402"/>
      <c r="E570" s="402"/>
      <c r="F570" s="403"/>
      <c r="G570" s="403"/>
      <c r="H570" s="402"/>
      <c r="I570" s="402"/>
      <c r="J570" s="402"/>
      <c r="K570" s="402"/>
      <c r="L570" s="402"/>
      <c r="M570" s="402"/>
      <c r="N570" s="402"/>
      <c r="O570" s="402"/>
      <c r="P570" s="402"/>
      <c r="Q570" s="402"/>
      <c r="R570" s="402"/>
      <c r="S570" s="402"/>
      <c r="T570" s="402"/>
      <c r="U570" s="402"/>
      <c r="V570" s="402"/>
      <c r="W570" s="402"/>
      <c r="X570" s="402"/>
      <c r="Y570" s="402"/>
      <c r="Z570" s="402"/>
    </row>
    <row r="571" ht="14.25" customHeight="1">
      <c r="A571" s="402"/>
      <c r="B571" s="402"/>
      <c r="C571" s="402"/>
      <c r="D571" s="402"/>
      <c r="E571" s="402"/>
      <c r="F571" s="403"/>
      <c r="G571" s="403"/>
      <c r="H571" s="402"/>
      <c r="I571" s="402"/>
      <c r="J571" s="402"/>
      <c r="K571" s="402"/>
      <c r="L571" s="402"/>
      <c r="M571" s="402"/>
      <c r="N571" s="402"/>
      <c r="O571" s="402"/>
      <c r="P571" s="402"/>
      <c r="Q571" s="402"/>
      <c r="R571" s="402"/>
      <c r="S571" s="402"/>
      <c r="T571" s="402"/>
      <c r="U571" s="402"/>
      <c r="V571" s="402"/>
      <c r="W571" s="402"/>
      <c r="X571" s="402"/>
      <c r="Y571" s="402"/>
      <c r="Z571" s="402"/>
    </row>
    <row r="572" ht="14.25" customHeight="1">
      <c r="A572" s="402"/>
      <c r="B572" s="402"/>
      <c r="C572" s="402"/>
      <c r="D572" s="402"/>
      <c r="E572" s="402"/>
      <c r="F572" s="403"/>
      <c r="G572" s="403"/>
      <c r="H572" s="402"/>
      <c r="I572" s="402"/>
      <c r="J572" s="402"/>
      <c r="K572" s="402"/>
      <c r="L572" s="402"/>
      <c r="M572" s="402"/>
      <c r="N572" s="402"/>
      <c r="O572" s="402"/>
      <c r="P572" s="402"/>
      <c r="Q572" s="402"/>
      <c r="R572" s="402"/>
      <c r="S572" s="402"/>
      <c r="T572" s="402"/>
      <c r="U572" s="402"/>
      <c r="V572" s="402"/>
      <c r="W572" s="402"/>
      <c r="X572" s="402"/>
      <c r="Y572" s="402"/>
      <c r="Z572" s="402"/>
    </row>
    <row r="573" ht="14.25" customHeight="1">
      <c r="A573" s="402"/>
      <c r="B573" s="402"/>
      <c r="C573" s="402"/>
      <c r="D573" s="402"/>
      <c r="E573" s="402"/>
      <c r="F573" s="403"/>
      <c r="G573" s="403"/>
      <c r="H573" s="402"/>
      <c r="I573" s="402"/>
      <c r="J573" s="402"/>
      <c r="K573" s="402"/>
      <c r="L573" s="402"/>
      <c r="M573" s="402"/>
      <c r="N573" s="402"/>
      <c r="O573" s="402"/>
      <c r="P573" s="402"/>
      <c r="Q573" s="402"/>
      <c r="R573" s="402"/>
      <c r="S573" s="402"/>
      <c r="T573" s="402"/>
      <c r="U573" s="402"/>
      <c r="V573" s="402"/>
      <c r="W573" s="402"/>
      <c r="X573" s="402"/>
      <c r="Y573" s="402"/>
      <c r="Z573" s="402"/>
    </row>
    <row r="574" ht="14.25" customHeight="1">
      <c r="A574" s="402"/>
      <c r="B574" s="402"/>
      <c r="C574" s="402"/>
      <c r="D574" s="402"/>
      <c r="E574" s="402"/>
      <c r="F574" s="403"/>
      <c r="G574" s="403"/>
      <c r="H574" s="402"/>
      <c r="I574" s="402"/>
      <c r="J574" s="402"/>
      <c r="K574" s="402"/>
      <c r="L574" s="402"/>
      <c r="M574" s="402"/>
      <c r="N574" s="402"/>
      <c r="O574" s="402"/>
      <c r="P574" s="402"/>
      <c r="Q574" s="402"/>
      <c r="R574" s="402"/>
      <c r="S574" s="402"/>
      <c r="T574" s="402"/>
      <c r="U574" s="402"/>
      <c r="V574" s="402"/>
      <c r="W574" s="402"/>
      <c r="X574" s="402"/>
      <c r="Y574" s="402"/>
      <c r="Z574" s="402"/>
    </row>
    <row r="575" ht="14.25" customHeight="1">
      <c r="A575" s="402"/>
      <c r="B575" s="402"/>
      <c r="C575" s="402"/>
      <c r="D575" s="402"/>
      <c r="E575" s="402"/>
      <c r="F575" s="403"/>
      <c r="G575" s="403"/>
      <c r="H575" s="402"/>
      <c r="I575" s="402"/>
      <c r="J575" s="402"/>
      <c r="K575" s="402"/>
      <c r="L575" s="402"/>
      <c r="M575" s="402"/>
      <c r="N575" s="402"/>
      <c r="O575" s="402"/>
      <c r="P575" s="402"/>
      <c r="Q575" s="402"/>
      <c r="R575" s="402"/>
      <c r="S575" s="402"/>
      <c r="T575" s="402"/>
      <c r="U575" s="402"/>
      <c r="V575" s="402"/>
      <c r="W575" s="402"/>
      <c r="X575" s="402"/>
      <c r="Y575" s="402"/>
      <c r="Z575" s="402"/>
    </row>
    <row r="576" ht="14.25" customHeight="1">
      <c r="A576" s="402"/>
      <c r="B576" s="402"/>
      <c r="C576" s="402"/>
      <c r="D576" s="402"/>
      <c r="E576" s="402"/>
      <c r="F576" s="403"/>
      <c r="G576" s="403"/>
      <c r="H576" s="402"/>
      <c r="I576" s="402"/>
      <c r="J576" s="402"/>
      <c r="K576" s="402"/>
      <c r="L576" s="402"/>
      <c r="M576" s="402"/>
      <c r="N576" s="402"/>
      <c r="O576" s="402"/>
      <c r="P576" s="402"/>
      <c r="Q576" s="402"/>
      <c r="R576" s="402"/>
      <c r="S576" s="402"/>
      <c r="T576" s="402"/>
      <c r="U576" s="402"/>
      <c r="V576" s="402"/>
      <c r="W576" s="402"/>
      <c r="X576" s="402"/>
      <c r="Y576" s="402"/>
      <c r="Z576" s="402"/>
    </row>
    <row r="577" ht="14.25" customHeight="1">
      <c r="A577" s="402"/>
      <c r="B577" s="402"/>
      <c r="C577" s="402"/>
      <c r="D577" s="402"/>
      <c r="E577" s="402"/>
      <c r="F577" s="403"/>
      <c r="G577" s="403"/>
      <c r="H577" s="402"/>
      <c r="I577" s="402"/>
      <c r="J577" s="402"/>
      <c r="K577" s="402"/>
      <c r="L577" s="402"/>
      <c r="M577" s="402"/>
      <c r="N577" s="402"/>
      <c r="O577" s="402"/>
      <c r="P577" s="402"/>
      <c r="Q577" s="402"/>
      <c r="R577" s="402"/>
      <c r="S577" s="402"/>
      <c r="T577" s="402"/>
      <c r="U577" s="402"/>
      <c r="V577" s="402"/>
      <c r="W577" s="402"/>
      <c r="X577" s="402"/>
      <c r="Y577" s="402"/>
      <c r="Z577" s="402"/>
    </row>
    <row r="578" ht="14.25" customHeight="1">
      <c r="A578" s="402"/>
      <c r="B578" s="402"/>
      <c r="C578" s="402"/>
      <c r="D578" s="402"/>
      <c r="E578" s="402"/>
      <c r="F578" s="403"/>
      <c r="G578" s="403"/>
      <c r="H578" s="402"/>
      <c r="I578" s="402"/>
      <c r="J578" s="402"/>
      <c r="K578" s="402"/>
      <c r="L578" s="402"/>
      <c r="M578" s="402"/>
      <c r="N578" s="402"/>
      <c r="O578" s="402"/>
      <c r="P578" s="402"/>
      <c r="Q578" s="402"/>
      <c r="R578" s="402"/>
      <c r="S578" s="402"/>
      <c r="T578" s="402"/>
      <c r="U578" s="402"/>
      <c r="V578" s="402"/>
      <c r="W578" s="402"/>
      <c r="X578" s="402"/>
      <c r="Y578" s="402"/>
      <c r="Z578" s="402"/>
    </row>
    <row r="579" ht="14.25" customHeight="1">
      <c r="A579" s="402"/>
      <c r="B579" s="402"/>
      <c r="C579" s="402"/>
      <c r="D579" s="402"/>
      <c r="E579" s="402"/>
      <c r="F579" s="403"/>
      <c r="G579" s="403"/>
      <c r="H579" s="402"/>
      <c r="I579" s="402"/>
      <c r="J579" s="402"/>
      <c r="K579" s="402"/>
      <c r="L579" s="402"/>
      <c r="M579" s="402"/>
      <c r="N579" s="402"/>
      <c r="O579" s="402"/>
      <c r="P579" s="402"/>
      <c r="Q579" s="402"/>
      <c r="R579" s="402"/>
      <c r="S579" s="402"/>
      <c r="T579" s="402"/>
      <c r="U579" s="402"/>
      <c r="V579" s="402"/>
      <c r="W579" s="402"/>
      <c r="X579" s="402"/>
      <c r="Y579" s="402"/>
      <c r="Z579" s="402"/>
    </row>
    <row r="580" ht="14.25" customHeight="1">
      <c r="A580" s="402"/>
      <c r="B580" s="402"/>
      <c r="C580" s="402"/>
      <c r="D580" s="402"/>
      <c r="E580" s="402"/>
      <c r="F580" s="403"/>
      <c r="G580" s="403"/>
      <c r="H580" s="402"/>
      <c r="I580" s="402"/>
      <c r="J580" s="402"/>
      <c r="K580" s="402"/>
      <c r="L580" s="402"/>
      <c r="M580" s="402"/>
      <c r="N580" s="402"/>
      <c r="O580" s="402"/>
      <c r="P580" s="402"/>
      <c r="Q580" s="402"/>
      <c r="R580" s="402"/>
      <c r="S580" s="402"/>
      <c r="T580" s="402"/>
      <c r="U580" s="402"/>
      <c r="V580" s="402"/>
      <c r="W580" s="402"/>
      <c r="X580" s="402"/>
      <c r="Y580" s="402"/>
      <c r="Z580" s="402"/>
    </row>
    <row r="581" ht="14.25" customHeight="1">
      <c r="A581" s="402"/>
      <c r="B581" s="402"/>
      <c r="C581" s="402"/>
      <c r="D581" s="402"/>
      <c r="E581" s="402"/>
      <c r="F581" s="403"/>
      <c r="G581" s="403"/>
      <c r="H581" s="402"/>
      <c r="I581" s="402"/>
      <c r="J581" s="402"/>
      <c r="K581" s="402"/>
      <c r="L581" s="402"/>
      <c r="M581" s="402"/>
      <c r="N581" s="402"/>
      <c r="O581" s="402"/>
      <c r="P581" s="402"/>
      <c r="Q581" s="402"/>
      <c r="R581" s="402"/>
      <c r="S581" s="402"/>
      <c r="T581" s="402"/>
      <c r="U581" s="402"/>
      <c r="V581" s="402"/>
      <c r="W581" s="402"/>
      <c r="X581" s="402"/>
      <c r="Y581" s="402"/>
      <c r="Z581" s="402"/>
    </row>
    <row r="582" ht="14.25" customHeight="1">
      <c r="A582" s="402"/>
      <c r="B582" s="402"/>
      <c r="C582" s="402"/>
      <c r="D582" s="402"/>
      <c r="E582" s="402"/>
      <c r="F582" s="403"/>
      <c r="G582" s="403"/>
      <c r="H582" s="402"/>
      <c r="I582" s="402"/>
      <c r="J582" s="402"/>
      <c r="K582" s="402"/>
      <c r="L582" s="402"/>
      <c r="M582" s="402"/>
      <c r="N582" s="402"/>
      <c r="O582" s="402"/>
      <c r="P582" s="402"/>
      <c r="Q582" s="402"/>
      <c r="R582" s="402"/>
      <c r="S582" s="402"/>
      <c r="T582" s="402"/>
      <c r="U582" s="402"/>
      <c r="V582" s="402"/>
      <c r="W582" s="402"/>
      <c r="X582" s="402"/>
      <c r="Y582" s="402"/>
      <c r="Z582" s="402"/>
    </row>
    <row r="583" ht="14.25" customHeight="1">
      <c r="A583" s="402"/>
      <c r="B583" s="402"/>
      <c r="C583" s="402"/>
      <c r="D583" s="402"/>
      <c r="E583" s="402"/>
      <c r="F583" s="403"/>
      <c r="G583" s="403"/>
      <c r="H583" s="402"/>
      <c r="I583" s="402"/>
      <c r="J583" s="402"/>
      <c r="K583" s="402"/>
      <c r="L583" s="402"/>
      <c r="M583" s="402"/>
      <c r="N583" s="402"/>
      <c r="O583" s="402"/>
      <c r="P583" s="402"/>
      <c r="Q583" s="402"/>
      <c r="R583" s="402"/>
      <c r="S583" s="402"/>
      <c r="T583" s="402"/>
      <c r="U583" s="402"/>
      <c r="V583" s="402"/>
      <c r="W583" s="402"/>
      <c r="X583" s="402"/>
      <c r="Y583" s="402"/>
      <c r="Z583" s="402"/>
    </row>
    <row r="584" ht="14.25" customHeight="1">
      <c r="A584" s="402"/>
      <c r="B584" s="402"/>
      <c r="C584" s="402"/>
      <c r="D584" s="402"/>
      <c r="E584" s="402"/>
      <c r="F584" s="403"/>
      <c r="G584" s="403"/>
      <c r="H584" s="402"/>
      <c r="I584" s="402"/>
      <c r="J584" s="402"/>
      <c r="K584" s="402"/>
      <c r="L584" s="402"/>
      <c r="M584" s="402"/>
      <c r="N584" s="402"/>
      <c r="O584" s="402"/>
      <c r="P584" s="402"/>
      <c r="Q584" s="402"/>
      <c r="R584" s="402"/>
      <c r="S584" s="402"/>
      <c r="T584" s="402"/>
      <c r="U584" s="402"/>
      <c r="V584" s="402"/>
      <c r="W584" s="402"/>
      <c r="X584" s="402"/>
      <c r="Y584" s="402"/>
      <c r="Z584" s="402"/>
    </row>
    <row r="585" ht="14.25" customHeight="1">
      <c r="A585" s="402"/>
      <c r="B585" s="402"/>
      <c r="C585" s="402"/>
      <c r="D585" s="402"/>
      <c r="E585" s="402"/>
      <c r="F585" s="403"/>
      <c r="G585" s="403"/>
      <c r="H585" s="402"/>
      <c r="I585" s="402"/>
      <c r="J585" s="402"/>
      <c r="K585" s="402"/>
      <c r="L585" s="402"/>
      <c r="M585" s="402"/>
      <c r="N585" s="402"/>
      <c r="O585" s="402"/>
      <c r="P585" s="402"/>
      <c r="Q585" s="402"/>
      <c r="R585" s="402"/>
      <c r="S585" s="402"/>
      <c r="T585" s="402"/>
      <c r="U585" s="402"/>
      <c r="V585" s="402"/>
      <c r="W585" s="402"/>
      <c r="X585" s="402"/>
      <c r="Y585" s="402"/>
      <c r="Z585" s="402"/>
    </row>
    <row r="586" ht="14.25" customHeight="1">
      <c r="A586" s="402"/>
      <c r="B586" s="402"/>
      <c r="C586" s="402"/>
      <c r="D586" s="402"/>
      <c r="E586" s="402"/>
      <c r="F586" s="403"/>
      <c r="G586" s="403"/>
      <c r="H586" s="402"/>
      <c r="I586" s="402"/>
      <c r="J586" s="402"/>
      <c r="K586" s="402"/>
      <c r="L586" s="402"/>
      <c r="M586" s="402"/>
      <c r="N586" s="402"/>
      <c r="O586" s="402"/>
      <c r="P586" s="402"/>
      <c r="Q586" s="402"/>
      <c r="R586" s="402"/>
      <c r="S586" s="402"/>
      <c r="T586" s="402"/>
      <c r="U586" s="402"/>
      <c r="V586" s="402"/>
      <c r="W586" s="402"/>
      <c r="X586" s="402"/>
      <c r="Y586" s="402"/>
      <c r="Z586" s="402"/>
    </row>
    <row r="587" ht="14.25" customHeight="1">
      <c r="A587" s="402"/>
      <c r="B587" s="402"/>
      <c r="C587" s="402"/>
      <c r="D587" s="402"/>
      <c r="E587" s="402"/>
      <c r="F587" s="403"/>
      <c r="G587" s="403"/>
      <c r="H587" s="402"/>
      <c r="I587" s="402"/>
      <c r="J587" s="402"/>
      <c r="K587" s="402"/>
      <c r="L587" s="402"/>
      <c r="M587" s="402"/>
      <c r="N587" s="402"/>
      <c r="O587" s="402"/>
      <c r="P587" s="402"/>
      <c r="Q587" s="402"/>
      <c r="R587" s="402"/>
      <c r="S587" s="402"/>
      <c r="T587" s="402"/>
      <c r="U587" s="402"/>
      <c r="V587" s="402"/>
      <c r="W587" s="402"/>
      <c r="X587" s="402"/>
      <c r="Y587" s="402"/>
      <c r="Z587" s="402"/>
    </row>
    <row r="588" ht="14.25" customHeight="1">
      <c r="A588" s="402"/>
      <c r="B588" s="402"/>
      <c r="C588" s="402"/>
      <c r="D588" s="402"/>
      <c r="E588" s="402"/>
      <c r="F588" s="403"/>
      <c r="G588" s="403"/>
      <c r="H588" s="402"/>
      <c r="I588" s="402"/>
      <c r="J588" s="402"/>
      <c r="K588" s="402"/>
      <c r="L588" s="402"/>
      <c r="M588" s="402"/>
      <c r="N588" s="402"/>
      <c r="O588" s="402"/>
      <c r="P588" s="402"/>
      <c r="Q588" s="402"/>
      <c r="R588" s="402"/>
      <c r="S588" s="402"/>
      <c r="T588" s="402"/>
      <c r="U588" s="402"/>
      <c r="V588" s="402"/>
      <c r="W588" s="402"/>
      <c r="X588" s="402"/>
      <c r="Y588" s="402"/>
      <c r="Z588" s="402"/>
    </row>
    <row r="589" ht="14.25" customHeight="1">
      <c r="A589" s="402"/>
      <c r="B589" s="402"/>
      <c r="C589" s="402"/>
      <c r="D589" s="402"/>
      <c r="E589" s="402"/>
      <c r="F589" s="403"/>
      <c r="G589" s="403"/>
      <c r="H589" s="402"/>
      <c r="I589" s="402"/>
      <c r="J589" s="402"/>
      <c r="K589" s="402"/>
      <c r="L589" s="402"/>
      <c r="M589" s="402"/>
      <c r="N589" s="402"/>
      <c r="O589" s="402"/>
      <c r="P589" s="402"/>
      <c r="Q589" s="402"/>
      <c r="R589" s="402"/>
      <c r="S589" s="402"/>
      <c r="T589" s="402"/>
      <c r="U589" s="402"/>
      <c r="V589" s="402"/>
      <c r="W589" s="402"/>
      <c r="X589" s="402"/>
      <c r="Y589" s="402"/>
      <c r="Z589" s="402"/>
    </row>
    <row r="590" ht="14.25" customHeight="1">
      <c r="A590" s="402"/>
      <c r="B590" s="402"/>
      <c r="C590" s="402"/>
      <c r="D590" s="402"/>
      <c r="E590" s="402"/>
      <c r="F590" s="403"/>
      <c r="G590" s="403"/>
      <c r="H590" s="402"/>
      <c r="I590" s="402"/>
      <c r="J590" s="402"/>
      <c r="K590" s="402"/>
      <c r="L590" s="402"/>
      <c r="M590" s="402"/>
      <c r="N590" s="402"/>
      <c r="O590" s="402"/>
      <c r="P590" s="402"/>
      <c r="Q590" s="402"/>
      <c r="R590" s="402"/>
      <c r="S590" s="402"/>
      <c r="T590" s="402"/>
      <c r="U590" s="402"/>
      <c r="V590" s="402"/>
      <c r="W590" s="402"/>
      <c r="X590" s="402"/>
      <c r="Y590" s="402"/>
      <c r="Z590" s="402"/>
    </row>
    <row r="591" ht="14.25" customHeight="1">
      <c r="A591" s="402"/>
      <c r="B591" s="402"/>
      <c r="C591" s="402"/>
      <c r="D591" s="402"/>
      <c r="E591" s="402"/>
      <c r="F591" s="403"/>
      <c r="G591" s="403"/>
      <c r="H591" s="402"/>
      <c r="I591" s="402"/>
      <c r="J591" s="402"/>
      <c r="K591" s="402"/>
      <c r="L591" s="402"/>
      <c r="M591" s="402"/>
      <c r="N591" s="402"/>
      <c r="O591" s="402"/>
      <c r="P591" s="402"/>
      <c r="Q591" s="402"/>
      <c r="R591" s="402"/>
      <c r="S591" s="402"/>
      <c r="T591" s="402"/>
      <c r="U591" s="402"/>
      <c r="V591" s="402"/>
      <c r="W591" s="402"/>
      <c r="X591" s="402"/>
      <c r="Y591" s="402"/>
      <c r="Z591" s="402"/>
    </row>
    <row r="592" ht="14.25" customHeight="1">
      <c r="A592" s="402"/>
      <c r="B592" s="402"/>
      <c r="C592" s="402"/>
      <c r="D592" s="402"/>
      <c r="E592" s="402"/>
      <c r="F592" s="403"/>
      <c r="G592" s="403"/>
      <c r="H592" s="402"/>
      <c r="I592" s="402"/>
      <c r="J592" s="402"/>
      <c r="K592" s="402"/>
      <c r="L592" s="402"/>
      <c r="M592" s="402"/>
      <c r="N592" s="402"/>
      <c r="O592" s="402"/>
      <c r="P592" s="402"/>
      <c r="Q592" s="402"/>
      <c r="R592" s="402"/>
      <c r="S592" s="402"/>
      <c r="T592" s="402"/>
      <c r="U592" s="402"/>
      <c r="V592" s="402"/>
      <c r="W592" s="402"/>
      <c r="X592" s="402"/>
      <c r="Y592" s="402"/>
      <c r="Z592" s="402"/>
    </row>
    <row r="593" ht="14.25" customHeight="1">
      <c r="A593" s="402"/>
      <c r="B593" s="402"/>
      <c r="C593" s="402"/>
      <c r="D593" s="402"/>
      <c r="E593" s="402"/>
      <c r="F593" s="403"/>
      <c r="G593" s="403"/>
      <c r="H593" s="402"/>
      <c r="I593" s="402"/>
      <c r="J593" s="402"/>
      <c r="K593" s="402"/>
      <c r="L593" s="402"/>
      <c r="M593" s="402"/>
      <c r="N593" s="402"/>
      <c r="O593" s="402"/>
      <c r="P593" s="402"/>
      <c r="Q593" s="402"/>
      <c r="R593" s="402"/>
      <c r="S593" s="402"/>
      <c r="T593" s="402"/>
      <c r="U593" s="402"/>
      <c r="V593" s="402"/>
      <c r="W593" s="402"/>
      <c r="X593" s="402"/>
      <c r="Y593" s="402"/>
      <c r="Z593" s="402"/>
    </row>
    <row r="594" ht="14.25" customHeight="1">
      <c r="A594" s="402"/>
      <c r="B594" s="402"/>
      <c r="C594" s="402"/>
      <c r="D594" s="402"/>
      <c r="E594" s="402"/>
      <c r="F594" s="403"/>
      <c r="G594" s="403"/>
      <c r="H594" s="402"/>
      <c r="I594" s="402"/>
      <c r="J594" s="402"/>
      <c r="K594" s="402"/>
      <c r="L594" s="402"/>
      <c r="M594" s="402"/>
      <c r="N594" s="402"/>
      <c r="O594" s="402"/>
      <c r="P594" s="402"/>
      <c r="Q594" s="402"/>
      <c r="R594" s="402"/>
      <c r="S594" s="402"/>
      <c r="T594" s="402"/>
      <c r="U594" s="402"/>
      <c r="V594" s="402"/>
      <c r="W594" s="402"/>
      <c r="X594" s="402"/>
      <c r="Y594" s="402"/>
      <c r="Z594" s="402"/>
    </row>
    <row r="595" ht="14.25" customHeight="1">
      <c r="A595" s="402"/>
      <c r="B595" s="402"/>
      <c r="C595" s="402"/>
      <c r="D595" s="402"/>
      <c r="E595" s="402"/>
      <c r="F595" s="403"/>
      <c r="G595" s="403"/>
      <c r="H595" s="402"/>
      <c r="I595" s="402"/>
      <c r="J595" s="402"/>
      <c r="K595" s="402"/>
      <c r="L595" s="402"/>
      <c r="M595" s="402"/>
      <c r="N595" s="402"/>
      <c r="O595" s="402"/>
      <c r="P595" s="402"/>
      <c r="Q595" s="402"/>
      <c r="R595" s="402"/>
      <c r="S595" s="402"/>
      <c r="T595" s="402"/>
      <c r="U595" s="402"/>
      <c r="V595" s="402"/>
      <c r="W595" s="402"/>
      <c r="X595" s="402"/>
      <c r="Y595" s="402"/>
      <c r="Z595" s="402"/>
    </row>
    <row r="596" ht="14.25" customHeight="1">
      <c r="A596" s="402"/>
      <c r="B596" s="402"/>
      <c r="C596" s="402"/>
      <c r="D596" s="402"/>
      <c r="E596" s="402"/>
      <c r="F596" s="403"/>
      <c r="G596" s="403"/>
      <c r="H596" s="402"/>
      <c r="I596" s="402"/>
      <c r="J596" s="402"/>
      <c r="K596" s="402"/>
      <c r="L596" s="402"/>
      <c r="M596" s="402"/>
      <c r="N596" s="402"/>
      <c r="O596" s="402"/>
      <c r="P596" s="402"/>
      <c r="Q596" s="402"/>
      <c r="R596" s="402"/>
      <c r="S596" s="402"/>
      <c r="T596" s="402"/>
      <c r="U596" s="402"/>
      <c r="V596" s="402"/>
      <c r="W596" s="402"/>
      <c r="X596" s="402"/>
      <c r="Y596" s="402"/>
      <c r="Z596" s="402"/>
    </row>
    <row r="597" ht="14.25" customHeight="1">
      <c r="A597" s="402"/>
      <c r="B597" s="402"/>
      <c r="C597" s="402"/>
      <c r="D597" s="402"/>
      <c r="E597" s="402"/>
      <c r="F597" s="403"/>
      <c r="G597" s="403"/>
      <c r="H597" s="402"/>
      <c r="I597" s="402"/>
      <c r="J597" s="402"/>
      <c r="K597" s="402"/>
      <c r="L597" s="402"/>
      <c r="M597" s="402"/>
      <c r="N597" s="402"/>
      <c r="O597" s="402"/>
      <c r="P597" s="402"/>
      <c r="Q597" s="402"/>
      <c r="R597" s="402"/>
      <c r="S597" s="402"/>
      <c r="T597" s="402"/>
      <c r="U597" s="402"/>
      <c r="V597" s="402"/>
      <c r="W597" s="402"/>
      <c r="X597" s="402"/>
      <c r="Y597" s="402"/>
      <c r="Z597" s="402"/>
    </row>
    <row r="598" ht="14.25" customHeight="1">
      <c r="A598" s="402"/>
      <c r="B598" s="402"/>
      <c r="C598" s="402"/>
      <c r="D598" s="402"/>
      <c r="E598" s="402"/>
      <c r="F598" s="403"/>
      <c r="G598" s="403"/>
      <c r="H598" s="402"/>
      <c r="I598" s="402"/>
      <c r="J598" s="402"/>
      <c r="K598" s="402"/>
      <c r="L598" s="402"/>
      <c r="M598" s="402"/>
      <c r="N598" s="402"/>
      <c r="O598" s="402"/>
      <c r="P598" s="402"/>
      <c r="Q598" s="402"/>
      <c r="R598" s="402"/>
      <c r="S598" s="402"/>
      <c r="T598" s="402"/>
      <c r="U598" s="402"/>
      <c r="V598" s="402"/>
      <c r="W598" s="402"/>
      <c r="X598" s="402"/>
      <c r="Y598" s="402"/>
      <c r="Z598" s="402"/>
    </row>
    <row r="599" ht="14.25" customHeight="1">
      <c r="A599" s="402"/>
      <c r="B599" s="402"/>
      <c r="C599" s="402"/>
      <c r="D599" s="402"/>
      <c r="E599" s="402"/>
      <c r="F599" s="403"/>
      <c r="G599" s="403"/>
      <c r="H599" s="402"/>
      <c r="I599" s="402"/>
      <c r="J599" s="402"/>
      <c r="K599" s="402"/>
      <c r="L599" s="402"/>
      <c r="M599" s="402"/>
      <c r="N599" s="402"/>
      <c r="O599" s="402"/>
      <c r="P599" s="402"/>
      <c r="Q599" s="402"/>
      <c r="R599" s="402"/>
      <c r="S599" s="402"/>
      <c r="T599" s="402"/>
      <c r="U599" s="402"/>
      <c r="V599" s="402"/>
      <c r="W599" s="402"/>
      <c r="X599" s="402"/>
      <c r="Y599" s="402"/>
      <c r="Z599" s="402"/>
    </row>
    <row r="600" ht="14.25" customHeight="1">
      <c r="A600" s="402"/>
      <c r="B600" s="402"/>
      <c r="C600" s="402"/>
      <c r="D600" s="402"/>
      <c r="E600" s="402"/>
      <c r="F600" s="403"/>
      <c r="G600" s="403"/>
      <c r="H600" s="402"/>
      <c r="I600" s="402"/>
      <c r="J600" s="402"/>
      <c r="K600" s="402"/>
      <c r="L600" s="402"/>
      <c r="M600" s="402"/>
      <c r="N600" s="402"/>
      <c r="O600" s="402"/>
      <c r="P600" s="402"/>
      <c r="Q600" s="402"/>
      <c r="R600" s="402"/>
      <c r="S600" s="402"/>
      <c r="T600" s="402"/>
      <c r="U600" s="402"/>
      <c r="V600" s="402"/>
      <c r="W600" s="402"/>
      <c r="X600" s="402"/>
      <c r="Y600" s="402"/>
      <c r="Z600" s="402"/>
    </row>
    <row r="601" ht="14.25" customHeight="1">
      <c r="A601" s="402"/>
      <c r="B601" s="402"/>
      <c r="C601" s="402"/>
      <c r="D601" s="402"/>
      <c r="E601" s="402"/>
      <c r="F601" s="403"/>
      <c r="G601" s="403"/>
      <c r="H601" s="402"/>
      <c r="I601" s="402"/>
      <c r="J601" s="402"/>
      <c r="K601" s="402"/>
      <c r="L601" s="402"/>
      <c r="M601" s="402"/>
      <c r="N601" s="402"/>
      <c r="O601" s="402"/>
      <c r="P601" s="402"/>
      <c r="Q601" s="402"/>
      <c r="R601" s="402"/>
      <c r="S601" s="402"/>
      <c r="T601" s="402"/>
      <c r="U601" s="402"/>
      <c r="V601" s="402"/>
      <c r="W601" s="402"/>
      <c r="X601" s="402"/>
      <c r="Y601" s="402"/>
      <c r="Z601" s="402"/>
    </row>
    <row r="602" ht="14.25" customHeight="1">
      <c r="A602" s="402"/>
      <c r="B602" s="402"/>
      <c r="C602" s="402"/>
      <c r="D602" s="402"/>
      <c r="E602" s="402"/>
      <c r="F602" s="403"/>
      <c r="G602" s="403"/>
      <c r="H602" s="402"/>
      <c r="I602" s="402"/>
      <c r="J602" s="402"/>
      <c r="K602" s="402"/>
      <c r="L602" s="402"/>
      <c r="M602" s="402"/>
      <c r="N602" s="402"/>
      <c r="O602" s="402"/>
      <c r="P602" s="402"/>
      <c r="Q602" s="402"/>
      <c r="R602" s="402"/>
      <c r="S602" s="402"/>
      <c r="T602" s="402"/>
      <c r="U602" s="402"/>
      <c r="V602" s="402"/>
      <c r="W602" s="402"/>
      <c r="X602" s="402"/>
      <c r="Y602" s="402"/>
      <c r="Z602" s="402"/>
    </row>
    <row r="603" ht="14.25" customHeight="1">
      <c r="A603" s="402"/>
      <c r="B603" s="402"/>
      <c r="C603" s="402"/>
      <c r="D603" s="402"/>
      <c r="E603" s="402"/>
      <c r="F603" s="403"/>
      <c r="G603" s="403"/>
      <c r="H603" s="402"/>
      <c r="I603" s="402"/>
      <c r="J603" s="402"/>
      <c r="K603" s="402"/>
      <c r="L603" s="402"/>
      <c r="M603" s="402"/>
      <c r="N603" s="402"/>
      <c r="O603" s="402"/>
      <c r="P603" s="402"/>
      <c r="Q603" s="402"/>
      <c r="R603" s="402"/>
      <c r="S603" s="402"/>
      <c r="T603" s="402"/>
      <c r="U603" s="402"/>
      <c r="V603" s="402"/>
      <c r="W603" s="402"/>
      <c r="X603" s="402"/>
      <c r="Y603" s="402"/>
      <c r="Z603" s="402"/>
    </row>
    <row r="604" ht="14.25" customHeight="1">
      <c r="A604" s="402"/>
      <c r="B604" s="402"/>
      <c r="C604" s="402"/>
      <c r="D604" s="402"/>
      <c r="E604" s="402"/>
      <c r="F604" s="403"/>
      <c r="G604" s="403"/>
      <c r="H604" s="402"/>
      <c r="I604" s="402"/>
      <c r="J604" s="402"/>
      <c r="K604" s="402"/>
      <c r="L604" s="402"/>
      <c r="M604" s="402"/>
      <c r="N604" s="402"/>
      <c r="O604" s="402"/>
      <c r="P604" s="402"/>
      <c r="Q604" s="402"/>
      <c r="R604" s="402"/>
      <c r="S604" s="402"/>
      <c r="T604" s="402"/>
      <c r="U604" s="402"/>
      <c r="V604" s="402"/>
      <c r="W604" s="402"/>
      <c r="X604" s="402"/>
      <c r="Y604" s="402"/>
      <c r="Z604" s="402"/>
    </row>
    <row r="605" ht="14.25" customHeight="1">
      <c r="A605" s="402"/>
      <c r="B605" s="402"/>
      <c r="C605" s="402"/>
      <c r="D605" s="402"/>
      <c r="E605" s="402"/>
      <c r="F605" s="403"/>
      <c r="G605" s="403"/>
      <c r="H605" s="402"/>
      <c r="I605" s="402"/>
      <c r="J605" s="402"/>
      <c r="K605" s="402"/>
      <c r="L605" s="402"/>
      <c r="M605" s="402"/>
      <c r="N605" s="402"/>
      <c r="O605" s="402"/>
      <c r="P605" s="402"/>
      <c r="Q605" s="402"/>
      <c r="R605" s="402"/>
      <c r="S605" s="402"/>
      <c r="T605" s="402"/>
      <c r="U605" s="402"/>
      <c r="V605" s="402"/>
      <c r="W605" s="402"/>
      <c r="X605" s="402"/>
      <c r="Y605" s="402"/>
      <c r="Z605" s="402"/>
    </row>
    <row r="606" ht="14.25" customHeight="1">
      <c r="A606" s="402"/>
      <c r="B606" s="402"/>
      <c r="C606" s="402"/>
      <c r="D606" s="402"/>
      <c r="E606" s="402"/>
      <c r="F606" s="403"/>
      <c r="G606" s="403"/>
      <c r="H606" s="402"/>
      <c r="I606" s="402"/>
      <c r="J606" s="402"/>
      <c r="K606" s="402"/>
      <c r="L606" s="402"/>
      <c r="M606" s="402"/>
      <c r="N606" s="402"/>
      <c r="O606" s="402"/>
      <c r="P606" s="402"/>
      <c r="Q606" s="402"/>
      <c r="R606" s="402"/>
      <c r="S606" s="402"/>
      <c r="T606" s="402"/>
      <c r="U606" s="402"/>
      <c r="V606" s="402"/>
      <c r="W606" s="402"/>
      <c r="X606" s="402"/>
      <c r="Y606" s="402"/>
      <c r="Z606" s="402"/>
    </row>
    <row r="607" ht="14.25" customHeight="1">
      <c r="A607" s="402"/>
      <c r="B607" s="402"/>
      <c r="C607" s="402"/>
      <c r="D607" s="402"/>
      <c r="E607" s="402"/>
      <c r="F607" s="403"/>
      <c r="G607" s="403"/>
      <c r="H607" s="402"/>
      <c r="I607" s="402"/>
      <c r="J607" s="402"/>
      <c r="K607" s="402"/>
      <c r="L607" s="402"/>
      <c r="M607" s="402"/>
      <c r="N607" s="402"/>
      <c r="O607" s="402"/>
      <c r="P607" s="402"/>
      <c r="Q607" s="402"/>
      <c r="R607" s="402"/>
      <c r="S607" s="402"/>
      <c r="T607" s="402"/>
      <c r="U607" s="402"/>
      <c r="V607" s="402"/>
      <c r="W607" s="402"/>
      <c r="X607" s="402"/>
      <c r="Y607" s="402"/>
      <c r="Z607" s="402"/>
    </row>
    <row r="608" ht="14.25" customHeight="1">
      <c r="A608" s="402"/>
      <c r="B608" s="402"/>
      <c r="C608" s="402"/>
      <c r="D608" s="402"/>
      <c r="E608" s="402"/>
      <c r="F608" s="403"/>
      <c r="G608" s="403"/>
      <c r="H608" s="402"/>
      <c r="I608" s="402"/>
      <c r="J608" s="402"/>
      <c r="K608" s="402"/>
      <c r="L608" s="402"/>
      <c r="M608" s="402"/>
      <c r="N608" s="402"/>
      <c r="O608" s="402"/>
      <c r="P608" s="402"/>
      <c r="Q608" s="402"/>
      <c r="R608" s="402"/>
      <c r="S608" s="402"/>
      <c r="T608" s="402"/>
      <c r="U608" s="402"/>
      <c r="V608" s="402"/>
      <c r="W608" s="402"/>
      <c r="X608" s="402"/>
      <c r="Y608" s="402"/>
      <c r="Z608" s="402"/>
    </row>
    <row r="609" ht="14.25" customHeight="1">
      <c r="A609" s="402"/>
      <c r="B609" s="402"/>
      <c r="C609" s="402"/>
      <c r="D609" s="402"/>
      <c r="E609" s="402"/>
      <c r="F609" s="403"/>
      <c r="G609" s="403"/>
      <c r="H609" s="402"/>
      <c r="I609" s="402"/>
      <c r="J609" s="402"/>
      <c r="K609" s="402"/>
      <c r="L609" s="402"/>
      <c r="M609" s="402"/>
      <c r="N609" s="402"/>
      <c r="O609" s="402"/>
      <c r="P609" s="402"/>
      <c r="Q609" s="402"/>
      <c r="R609" s="402"/>
      <c r="S609" s="402"/>
      <c r="T609" s="402"/>
      <c r="U609" s="402"/>
      <c r="V609" s="402"/>
      <c r="W609" s="402"/>
      <c r="X609" s="402"/>
      <c r="Y609" s="402"/>
      <c r="Z609" s="402"/>
    </row>
    <row r="610" ht="14.25" customHeight="1">
      <c r="A610" s="402"/>
      <c r="B610" s="402"/>
      <c r="C610" s="402"/>
      <c r="D610" s="402"/>
      <c r="E610" s="402"/>
      <c r="F610" s="403"/>
      <c r="G610" s="403"/>
      <c r="H610" s="402"/>
      <c r="I610" s="402"/>
      <c r="J610" s="402"/>
      <c r="K610" s="402"/>
      <c r="L610" s="402"/>
      <c r="M610" s="402"/>
      <c r="N610" s="402"/>
      <c r="O610" s="402"/>
      <c r="P610" s="402"/>
      <c r="Q610" s="402"/>
      <c r="R610" s="402"/>
      <c r="S610" s="402"/>
      <c r="T610" s="402"/>
      <c r="U610" s="402"/>
      <c r="V610" s="402"/>
      <c r="W610" s="402"/>
      <c r="X610" s="402"/>
      <c r="Y610" s="402"/>
      <c r="Z610" s="402"/>
    </row>
    <row r="611" ht="14.25" customHeight="1">
      <c r="A611" s="402"/>
      <c r="B611" s="402"/>
      <c r="C611" s="402"/>
      <c r="D611" s="402"/>
      <c r="E611" s="402"/>
      <c r="F611" s="403"/>
      <c r="G611" s="403"/>
      <c r="H611" s="402"/>
      <c r="I611" s="402"/>
      <c r="J611" s="402"/>
      <c r="K611" s="402"/>
      <c r="L611" s="402"/>
      <c r="M611" s="402"/>
      <c r="N611" s="402"/>
      <c r="O611" s="402"/>
      <c r="P611" s="402"/>
      <c r="Q611" s="402"/>
      <c r="R611" s="402"/>
      <c r="S611" s="402"/>
      <c r="T611" s="402"/>
      <c r="U611" s="402"/>
      <c r="V611" s="402"/>
      <c r="W611" s="402"/>
      <c r="X611" s="402"/>
      <c r="Y611" s="402"/>
      <c r="Z611" s="402"/>
    </row>
    <row r="612" ht="14.25" customHeight="1">
      <c r="A612" s="402"/>
      <c r="B612" s="402"/>
      <c r="C612" s="402"/>
      <c r="D612" s="402"/>
      <c r="E612" s="402"/>
      <c r="F612" s="403"/>
      <c r="G612" s="403"/>
      <c r="H612" s="402"/>
      <c r="I612" s="402"/>
      <c r="J612" s="402"/>
      <c r="K612" s="402"/>
      <c r="L612" s="402"/>
      <c r="M612" s="402"/>
      <c r="N612" s="402"/>
      <c r="O612" s="402"/>
      <c r="P612" s="402"/>
      <c r="Q612" s="402"/>
      <c r="R612" s="402"/>
      <c r="S612" s="402"/>
      <c r="T612" s="402"/>
      <c r="U612" s="402"/>
      <c r="V612" s="402"/>
      <c r="W612" s="402"/>
      <c r="X612" s="402"/>
      <c r="Y612" s="402"/>
      <c r="Z612" s="402"/>
    </row>
    <row r="613" ht="14.25" customHeight="1">
      <c r="A613" s="402"/>
      <c r="B613" s="402"/>
      <c r="C613" s="402"/>
      <c r="D613" s="402"/>
      <c r="E613" s="402"/>
      <c r="F613" s="403"/>
      <c r="G613" s="403"/>
      <c r="H613" s="402"/>
      <c r="I613" s="402"/>
      <c r="J613" s="402"/>
      <c r="K613" s="402"/>
      <c r="L613" s="402"/>
      <c r="M613" s="402"/>
      <c r="N613" s="402"/>
      <c r="O613" s="402"/>
      <c r="P613" s="402"/>
      <c r="Q613" s="402"/>
      <c r="R613" s="402"/>
      <c r="S613" s="402"/>
      <c r="T613" s="402"/>
      <c r="U613" s="402"/>
      <c r="V613" s="402"/>
      <c r="W613" s="402"/>
      <c r="X613" s="402"/>
      <c r="Y613" s="402"/>
      <c r="Z613" s="402"/>
    </row>
    <row r="614" ht="14.25" customHeight="1">
      <c r="A614" s="402"/>
      <c r="B614" s="402"/>
      <c r="C614" s="402"/>
      <c r="D614" s="402"/>
      <c r="E614" s="402"/>
      <c r="F614" s="403"/>
      <c r="G614" s="403"/>
      <c r="H614" s="402"/>
      <c r="I614" s="402"/>
      <c r="J614" s="402"/>
      <c r="K614" s="402"/>
      <c r="L614" s="402"/>
      <c r="M614" s="402"/>
      <c r="N614" s="402"/>
      <c r="O614" s="402"/>
      <c r="P614" s="402"/>
      <c r="Q614" s="402"/>
      <c r="R614" s="402"/>
      <c r="S614" s="402"/>
      <c r="T614" s="402"/>
      <c r="U614" s="402"/>
      <c r="V614" s="402"/>
      <c r="W614" s="402"/>
      <c r="X614" s="402"/>
      <c r="Y614" s="402"/>
      <c r="Z614" s="402"/>
    </row>
    <row r="615" ht="14.25" customHeight="1">
      <c r="A615" s="402"/>
      <c r="B615" s="402"/>
      <c r="C615" s="402"/>
      <c r="D615" s="402"/>
      <c r="E615" s="402"/>
      <c r="F615" s="403"/>
      <c r="G615" s="403"/>
      <c r="H615" s="402"/>
      <c r="I615" s="402"/>
      <c r="J615" s="402"/>
      <c r="K615" s="402"/>
      <c r="L615" s="402"/>
      <c r="M615" s="402"/>
      <c r="N615" s="402"/>
      <c r="O615" s="402"/>
      <c r="P615" s="402"/>
      <c r="Q615" s="402"/>
      <c r="R615" s="402"/>
      <c r="S615" s="402"/>
      <c r="T615" s="402"/>
      <c r="U615" s="402"/>
      <c r="V615" s="402"/>
      <c r="W615" s="402"/>
      <c r="X615" s="402"/>
      <c r="Y615" s="402"/>
      <c r="Z615" s="402"/>
    </row>
    <row r="616" ht="14.25" customHeight="1">
      <c r="A616" s="402"/>
      <c r="B616" s="402"/>
      <c r="C616" s="402"/>
      <c r="D616" s="402"/>
      <c r="E616" s="402"/>
      <c r="F616" s="403"/>
      <c r="G616" s="403"/>
      <c r="H616" s="402"/>
      <c r="I616" s="402"/>
      <c r="J616" s="402"/>
      <c r="K616" s="402"/>
      <c r="L616" s="402"/>
      <c r="M616" s="402"/>
      <c r="N616" s="402"/>
      <c r="O616" s="402"/>
      <c r="P616" s="402"/>
      <c r="Q616" s="402"/>
      <c r="R616" s="402"/>
      <c r="S616" s="402"/>
      <c r="T616" s="402"/>
      <c r="U616" s="402"/>
      <c r="V616" s="402"/>
      <c r="W616" s="402"/>
      <c r="X616" s="402"/>
      <c r="Y616" s="402"/>
      <c r="Z616" s="402"/>
    </row>
    <row r="617" ht="14.25" customHeight="1">
      <c r="A617" s="402"/>
      <c r="B617" s="402"/>
      <c r="C617" s="402"/>
      <c r="D617" s="402"/>
      <c r="E617" s="402"/>
      <c r="F617" s="403"/>
      <c r="G617" s="403"/>
      <c r="H617" s="402"/>
      <c r="I617" s="402"/>
      <c r="J617" s="402"/>
      <c r="K617" s="402"/>
      <c r="L617" s="402"/>
      <c r="M617" s="402"/>
      <c r="N617" s="402"/>
      <c r="O617" s="402"/>
      <c r="P617" s="402"/>
      <c r="Q617" s="402"/>
      <c r="R617" s="402"/>
      <c r="S617" s="402"/>
      <c r="T617" s="402"/>
      <c r="U617" s="402"/>
      <c r="V617" s="402"/>
      <c r="W617" s="402"/>
      <c r="X617" s="402"/>
      <c r="Y617" s="402"/>
      <c r="Z617" s="402"/>
    </row>
    <row r="618" ht="14.25" customHeight="1">
      <c r="A618" s="402"/>
      <c r="B618" s="402"/>
      <c r="C618" s="402"/>
      <c r="D618" s="402"/>
      <c r="E618" s="402"/>
      <c r="F618" s="403"/>
      <c r="G618" s="403"/>
      <c r="H618" s="402"/>
      <c r="I618" s="402"/>
      <c r="J618" s="402"/>
      <c r="K618" s="402"/>
      <c r="L618" s="402"/>
      <c r="M618" s="402"/>
      <c r="N618" s="402"/>
      <c r="O618" s="402"/>
      <c r="P618" s="402"/>
      <c r="Q618" s="402"/>
      <c r="R618" s="402"/>
      <c r="S618" s="402"/>
      <c r="T618" s="402"/>
      <c r="U618" s="402"/>
      <c r="V618" s="402"/>
      <c r="W618" s="402"/>
      <c r="X618" s="402"/>
      <c r="Y618" s="402"/>
      <c r="Z618" s="402"/>
    </row>
    <row r="619" ht="14.25" customHeight="1">
      <c r="A619" s="402"/>
      <c r="B619" s="402"/>
      <c r="C619" s="402"/>
      <c r="D619" s="402"/>
      <c r="E619" s="402"/>
      <c r="F619" s="403"/>
      <c r="G619" s="403"/>
      <c r="H619" s="402"/>
      <c r="I619" s="402"/>
      <c r="J619" s="402"/>
      <c r="K619" s="402"/>
      <c r="L619" s="402"/>
      <c r="M619" s="402"/>
      <c r="N619" s="402"/>
      <c r="O619" s="402"/>
      <c r="P619" s="402"/>
      <c r="Q619" s="402"/>
      <c r="R619" s="402"/>
      <c r="S619" s="402"/>
      <c r="T619" s="402"/>
      <c r="U619" s="402"/>
      <c r="V619" s="402"/>
      <c r="W619" s="402"/>
      <c r="X619" s="402"/>
      <c r="Y619" s="402"/>
      <c r="Z619" s="402"/>
    </row>
    <row r="620" ht="14.25" customHeight="1">
      <c r="A620" s="402"/>
      <c r="B620" s="402"/>
      <c r="C620" s="402"/>
      <c r="D620" s="402"/>
      <c r="E620" s="402"/>
      <c r="F620" s="403"/>
      <c r="G620" s="403"/>
      <c r="H620" s="402"/>
      <c r="I620" s="402"/>
      <c r="J620" s="402"/>
      <c r="K620" s="402"/>
      <c r="L620" s="402"/>
      <c r="M620" s="402"/>
      <c r="N620" s="402"/>
      <c r="O620" s="402"/>
      <c r="P620" s="402"/>
      <c r="Q620" s="402"/>
      <c r="R620" s="402"/>
      <c r="S620" s="402"/>
      <c r="T620" s="402"/>
      <c r="U620" s="402"/>
      <c r="V620" s="402"/>
      <c r="W620" s="402"/>
      <c r="X620" s="402"/>
      <c r="Y620" s="402"/>
      <c r="Z620" s="402"/>
    </row>
    <row r="621" ht="14.25" customHeight="1">
      <c r="A621" s="402"/>
      <c r="B621" s="402"/>
      <c r="C621" s="402"/>
      <c r="D621" s="402"/>
      <c r="E621" s="402"/>
      <c r="F621" s="403"/>
      <c r="G621" s="403"/>
      <c r="H621" s="402"/>
      <c r="I621" s="402"/>
      <c r="J621" s="402"/>
      <c r="K621" s="402"/>
      <c r="L621" s="402"/>
      <c r="M621" s="402"/>
      <c r="N621" s="402"/>
      <c r="O621" s="402"/>
      <c r="P621" s="402"/>
      <c r="Q621" s="402"/>
      <c r="R621" s="402"/>
      <c r="S621" s="402"/>
      <c r="T621" s="402"/>
      <c r="U621" s="402"/>
      <c r="V621" s="402"/>
      <c r="W621" s="402"/>
      <c r="X621" s="402"/>
      <c r="Y621" s="402"/>
      <c r="Z621" s="402"/>
    </row>
    <row r="622" ht="14.25" customHeight="1">
      <c r="A622" s="402"/>
      <c r="B622" s="402"/>
      <c r="C622" s="402"/>
      <c r="D622" s="402"/>
      <c r="E622" s="402"/>
      <c r="F622" s="403"/>
      <c r="G622" s="403"/>
      <c r="H622" s="402"/>
      <c r="I622" s="402"/>
      <c r="J622" s="402"/>
      <c r="K622" s="402"/>
      <c r="L622" s="402"/>
      <c r="M622" s="402"/>
      <c r="N622" s="402"/>
      <c r="O622" s="402"/>
      <c r="P622" s="402"/>
      <c r="Q622" s="402"/>
      <c r="R622" s="402"/>
      <c r="S622" s="402"/>
      <c r="T622" s="402"/>
      <c r="U622" s="402"/>
      <c r="V622" s="402"/>
      <c r="W622" s="402"/>
      <c r="X622" s="402"/>
      <c r="Y622" s="402"/>
      <c r="Z622" s="402"/>
    </row>
    <row r="623" ht="14.25" customHeight="1">
      <c r="A623" s="402"/>
      <c r="B623" s="402"/>
      <c r="C623" s="402"/>
      <c r="D623" s="402"/>
      <c r="E623" s="402"/>
      <c r="F623" s="403"/>
      <c r="G623" s="403"/>
      <c r="H623" s="402"/>
      <c r="I623" s="402"/>
      <c r="J623" s="402"/>
      <c r="K623" s="402"/>
      <c r="L623" s="402"/>
      <c r="M623" s="402"/>
      <c r="N623" s="402"/>
      <c r="O623" s="402"/>
      <c r="P623" s="402"/>
      <c r="Q623" s="402"/>
      <c r="R623" s="402"/>
      <c r="S623" s="402"/>
      <c r="T623" s="402"/>
      <c r="U623" s="402"/>
      <c r="V623" s="402"/>
      <c r="W623" s="402"/>
      <c r="X623" s="402"/>
      <c r="Y623" s="402"/>
      <c r="Z623" s="402"/>
    </row>
    <row r="624" ht="14.25" customHeight="1">
      <c r="A624" s="402"/>
      <c r="B624" s="402"/>
      <c r="C624" s="402"/>
      <c r="D624" s="402"/>
      <c r="E624" s="402"/>
      <c r="F624" s="403"/>
      <c r="G624" s="403"/>
      <c r="H624" s="402"/>
      <c r="I624" s="402"/>
      <c r="J624" s="402"/>
      <c r="K624" s="402"/>
      <c r="L624" s="402"/>
      <c r="M624" s="402"/>
      <c r="N624" s="402"/>
      <c r="O624" s="402"/>
      <c r="P624" s="402"/>
      <c r="Q624" s="402"/>
      <c r="R624" s="402"/>
      <c r="S624" s="402"/>
      <c r="T624" s="402"/>
      <c r="U624" s="402"/>
      <c r="V624" s="402"/>
      <c r="W624" s="402"/>
      <c r="X624" s="402"/>
      <c r="Y624" s="402"/>
      <c r="Z624" s="402"/>
    </row>
    <row r="625" ht="14.25" customHeight="1">
      <c r="A625" s="402"/>
      <c r="B625" s="402"/>
      <c r="C625" s="402"/>
      <c r="D625" s="402"/>
      <c r="E625" s="402"/>
      <c r="F625" s="403"/>
      <c r="G625" s="403"/>
      <c r="H625" s="402"/>
      <c r="I625" s="402"/>
      <c r="J625" s="402"/>
      <c r="K625" s="402"/>
      <c r="L625" s="402"/>
      <c r="M625" s="402"/>
      <c r="N625" s="402"/>
      <c r="O625" s="402"/>
      <c r="P625" s="402"/>
      <c r="Q625" s="402"/>
      <c r="R625" s="402"/>
      <c r="S625" s="402"/>
      <c r="T625" s="402"/>
      <c r="U625" s="402"/>
      <c r="V625" s="402"/>
      <c r="W625" s="402"/>
      <c r="X625" s="402"/>
      <c r="Y625" s="402"/>
      <c r="Z625" s="402"/>
    </row>
    <row r="626" ht="14.25" customHeight="1">
      <c r="A626" s="402"/>
      <c r="B626" s="402"/>
      <c r="C626" s="402"/>
      <c r="D626" s="402"/>
      <c r="E626" s="402"/>
      <c r="F626" s="403"/>
      <c r="G626" s="403"/>
      <c r="H626" s="402"/>
      <c r="I626" s="402"/>
      <c r="J626" s="402"/>
      <c r="K626" s="402"/>
      <c r="L626" s="402"/>
      <c r="M626" s="402"/>
      <c r="N626" s="402"/>
      <c r="O626" s="402"/>
      <c r="P626" s="402"/>
      <c r="Q626" s="402"/>
      <c r="R626" s="402"/>
      <c r="S626" s="402"/>
      <c r="T626" s="402"/>
      <c r="U626" s="402"/>
      <c r="V626" s="402"/>
      <c r="W626" s="402"/>
      <c r="X626" s="402"/>
      <c r="Y626" s="402"/>
      <c r="Z626" s="402"/>
    </row>
    <row r="627" ht="14.25" customHeight="1">
      <c r="A627" s="402"/>
      <c r="B627" s="402"/>
      <c r="C627" s="402"/>
      <c r="D627" s="402"/>
      <c r="E627" s="402"/>
      <c r="F627" s="403"/>
      <c r="G627" s="403"/>
      <c r="H627" s="402"/>
      <c r="I627" s="402"/>
      <c r="J627" s="402"/>
      <c r="K627" s="402"/>
      <c r="L627" s="402"/>
      <c r="M627" s="402"/>
      <c r="N627" s="402"/>
      <c r="O627" s="402"/>
      <c r="P627" s="402"/>
      <c r="Q627" s="402"/>
      <c r="R627" s="402"/>
      <c r="S627" s="402"/>
      <c r="T627" s="402"/>
      <c r="U627" s="402"/>
      <c r="V627" s="402"/>
      <c r="W627" s="402"/>
      <c r="X627" s="402"/>
      <c r="Y627" s="402"/>
      <c r="Z627" s="402"/>
    </row>
    <row r="628" ht="14.25" customHeight="1">
      <c r="A628" s="402"/>
      <c r="B628" s="402"/>
      <c r="C628" s="402"/>
      <c r="D628" s="402"/>
      <c r="E628" s="402"/>
      <c r="F628" s="403"/>
      <c r="G628" s="403"/>
      <c r="H628" s="402"/>
      <c r="I628" s="402"/>
      <c r="J628" s="402"/>
      <c r="K628" s="402"/>
      <c r="L628" s="402"/>
      <c r="M628" s="402"/>
      <c r="N628" s="402"/>
      <c r="O628" s="402"/>
      <c r="P628" s="402"/>
      <c r="Q628" s="402"/>
      <c r="R628" s="402"/>
      <c r="S628" s="402"/>
      <c r="T628" s="402"/>
      <c r="U628" s="402"/>
      <c r="V628" s="402"/>
      <c r="W628" s="402"/>
      <c r="X628" s="402"/>
      <c r="Y628" s="402"/>
      <c r="Z628" s="402"/>
    </row>
    <row r="629" ht="14.25" customHeight="1">
      <c r="A629" s="402"/>
      <c r="B629" s="402"/>
      <c r="C629" s="402"/>
      <c r="D629" s="402"/>
      <c r="E629" s="402"/>
      <c r="F629" s="403"/>
      <c r="G629" s="403"/>
      <c r="H629" s="402"/>
      <c r="I629" s="402"/>
      <c r="J629" s="402"/>
      <c r="K629" s="402"/>
      <c r="L629" s="402"/>
      <c r="M629" s="402"/>
      <c r="N629" s="402"/>
      <c r="O629" s="402"/>
      <c r="P629" s="402"/>
      <c r="Q629" s="402"/>
      <c r="R629" s="402"/>
      <c r="S629" s="402"/>
      <c r="T629" s="402"/>
      <c r="U629" s="402"/>
      <c r="V629" s="402"/>
      <c r="W629" s="402"/>
      <c r="X629" s="402"/>
      <c r="Y629" s="402"/>
      <c r="Z629" s="402"/>
    </row>
    <row r="630" ht="14.25" customHeight="1">
      <c r="A630" s="402"/>
      <c r="B630" s="402"/>
      <c r="C630" s="402"/>
      <c r="D630" s="402"/>
      <c r="E630" s="402"/>
      <c r="F630" s="403"/>
      <c r="G630" s="403"/>
      <c r="H630" s="402"/>
      <c r="I630" s="402"/>
      <c r="J630" s="402"/>
      <c r="K630" s="402"/>
      <c r="L630" s="402"/>
      <c r="M630" s="402"/>
      <c r="N630" s="402"/>
      <c r="O630" s="402"/>
      <c r="P630" s="402"/>
      <c r="Q630" s="402"/>
      <c r="R630" s="402"/>
      <c r="S630" s="402"/>
      <c r="T630" s="402"/>
      <c r="U630" s="402"/>
      <c r="V630" s="402"/>
      <c r="W630" s="402"/>
      <c r="X630" s="402"/>
      <c r="Y630" s="402"/>
      <c r="Z630" s="402"/>
    </row>
    <row r="631" ht="14.25" customHeight="1">
      <c r="A631" s="402"/>
      <c r="B631" s="402"/>
      <c r="C631" s="402"/>
      <c r="D631" s="402"/>
      <c r="E631" s="402"/>
      <c r="F631" s="403"/>
      <c r="G631" s="403"/>
      <c r="H631" s="402"/>
      <c r="I631" s="402"/>
      <c r="J631" s="402"/>
      <c r="K631" s="402"/>
      <c r="L631" s="402"/>
      <c r="M631" s="402"/>
      <c r="N631" s="402"/>
      <c r="O631" s="402"/>
      <c r="P631" s="402"/>
      <c r="Q631" s="402"/>
      <c r="R631" s="402"/>
      <c r="S631" s="402"/>
      <c r="T631" s="402"/>
      <c r="U631" s="402"/>
      <c r="V631" s="402"/>
      <c r="W631" s="402"/>
      <c r="X631" s="402"/>
      <c r="Y631" s="402"/>
      <c r="Z631" s="402"/>
    </row>
    <row r="632" ht="14.25" customHeight="1">
      <c r="A632" s="402"/>
      <c r="B632" s="402"/>
      <c r="C632" s="402"/>
      <c r="D632" s="402"/>
      <c r="E632" s="402"/>
      <c r="F632" s="403"/>
      <c r="G632" s="403"/>
      <c r="H632" s="402"/>
      <c r="I632" s="402"/>
      <c r="J632" s="402"/>
      <c r="K632" s="402"/>
      <c r="L632" s="402"/>
      <c r="M632" s="402"/>
      <c r="N632" s="402"/>
      <c r="O632" s="402"/>
      <c r="P632" s="402"/>
      <c r="Q632" s="402"/>
      <c r="R632" s="402"/>
      <c r="S632" s="402"/>
      <c r="T632" s="402"/>
      <c r="U632" s="402"/>
      <c r="V632" s="402"/>
      <c r="W632" s="402"/>
      <c r="X632" s="402"/>
      <c r="Y632" s="402"/>
      <c r="Z632" s="402"/>
    </row>
    <row r="633" ht="14.25" customHeight="1">
      <c r="A633" s="402"/>
      <c r="B633" s="402"/>
      <c r="C633" s="402"/>
      <c r="D633" s="402"/>
      <c r="E633" s="402"/>
      <c r="F633" s="403"/>
      <c r="G633" s="403"/>
      <c r="H633" s="402"/>
      <c r="I633" s="402"/>
      <c r="J633" s="402"/>
      <c r="K633" s="402"/>
      <c r="L633" s="402"/>
      <c r="M633" s="402"/>
      <c r="N633" s="402"/>
      <c r="O633" s="402"/>
      <c r="P633" s="402"/>
      <c r="Q633" s="402"/>
      <c r="R633" s="402"/>
      <c r="S633" s="402"/>
      <c r="T633" s="402"/>
      <c r="U633" s="402"/>
      <c r="V633" s="402"/>
      <c r="W633" s="402"/>
      <c r="X633" s="402"/>
      <c r="Y633" s="402"/>
      <c r="Z633" s="402"/>
    </row>
    <row r="634" ht="14.25" customHeight="1">
      <c r="A634" s="402"/>
      <c r="B634" s="402"/>
      <c r="C634" s="402"/>
      <c r="D634" s="402"/>
      <c r="E634" s="402"/>
      <c r="F634" s="403"/>
      <c r="G634" s="403"/>
      <c r="H634" s="402"/>
      <c r="I634" s="402"/>
      <c r="J634" s="402"/>
      <c r="K634" s="402"/>
      <c r="L634" s="402"/>
      <c r="M634" s="402"/>
      <c r="N634" s="402"/>
      <c r="O634" s="402"/>
      <c r="P634" s="402"/>
      <c r="Q634" s="402"/>
      <c r="R634" s="402"/>
      <c r="S634" s="402"/>
      <c r="T634" s="402"/>
      <c r="U634" s="402"/>
      <c r="V634" s="402"/>
      <c r="W634" s="402"/>
      <c r="X634" s="402"/>
      <c r="Y634" s="402"/>
      <c r="Z634" s="402"/>
    </row>
    <row r="635" ht="14.25" customHeight="1">
      <c r="A635" s="402"/>
      <c r="B635" s="402"/>
      <c r="C635" s="402"/>
      <c r="D635" s="402"/>
      <c r="E635" s="402"/>
      <c r="F635" s="403"/>
      <c r="G635" s="403"/>
      <c r="H635" s="402"/>
      <c r="I635" s="402"/>
      <c r="J635" s="402"/>
      <c r="K635" s="402"/>
      <c r="L635" s="402"/>
      <c r="M635" s="402"/>
      <c r="N635" s="402"/>
      <c r="O635" s="402"/>
      <c r="P635" s="402"/>
      <c r="Q635" s="402"/>
      <c r="R635" s="402"/>
      <c r="S635" s="402"/>
      <c r="T635" s="402"/>
      <c r="U635" s="402"/>
      <c r="V635" s="402"/>
      <c r="W635" s="402"/>
      <c r="X635" s="402"/>
      <c r="Y635" s="402"/>
      <c r="Z635" s="402"/>
    </row>
    <row r="636" ht="14.25" customHeight="1">
      <c r="A636" s="402"/>
      <c r="B636" s="402"/>
      <c r="C636" s="402"/>
      <c r="D636" s="402"/>
      <c r="E636" s="402"/>
      <c r="F636" s="403"/>
      <c r="G636" s="403"/>
      <c r="H636" s="402"/>
      <c r="I636" s="402"/>
      <c r="J636" s="402"/>
      <c r="K636" s="402"/>
      <c r="L636" s="402"/>
      <c r="M636" s="402"/>
      <c r="N636" s="402"/>
      <c r="O636" s="402"/>
      <c r="P636" s="402"/>
      <c r="Q636" s="402"/>
      <c r="R636" s="402"/>
      <c r="S636" s="402"/>
      <c r="T636" s="402"/>
      <c r="U636" s="402"/>
      <c r="V636" s="402"/>
      <c r="W636" s="402"/>
      <c r="X636" s="402"/>
      <c r="Y636" s="402"/>
      <c r="Z636" s="402"/>
    </row>
    <row r="637" ht="14.25" customHeight="1">
      <c r="A637" s="402"/>
      <c r="B637" s="402"/>
      <c r="C637" s="402"/>
      <c r="D637" s="402"/>
      <c r="E637" s="402"/>
      <c r="F637" s="403"/>
      <c r="G637" s="403"/>
      <c r="H637" s="402"/>
      <c r="I637" s="402"/>
      <c r="J637" s="402"/>
      <c r="K637" s="402"/>
      <c r="L637" s="402"/>
      <c r="M637" s="402"/>
      <c r="N637" s="402"/>
      <c r="O637" s="402"/>
      <c r="P637" s="402"/>
      <c r="Q637" s="402"/>
      <c r="R637" s="402"/>
      <c r="S637" s="402"/>
      <c r="T637" s="402"/>
      <c r="U637" s="402"/>
      <c r="V637" s="402"/>
      <c r="W637" s="402"/>
      <c r="X637" s="402"/>
      <c r="Y637" s="402"/>
      <c r="Z637" s="402"/>
    </row>
    <row r="638" ht="14.25" customHeight="1">
      <c r="A638" s="402"/>
      <c r="B638" s="402"/>
      <c r="C638" s="402"/>
      <c r="D638" s="402"/>
      <c r="E638" s="402"/>
      <c r="F638" s="403"/>
      <c r="G638" s="403"/>
      <c r="H638" s="402"/>
      <c r="I638" s="402"/>
      <c r="J638" s="402"/>
      <c r="K638" s="402"/>
      <c r="L638" s="402"/>
      <c r="M638" s="402"/>
      <c r="N638" s="402"/>
      <c r="O638" s="402"/>
      <c r="P638" s="402"/>
      <c r="Q638" s="402"/>
      <c r="R638" s="402"/>
      <c r="S638" s="402"/>
      <c r="T638" s="402"/>
      <c r="U638" s="402"/>
      <c r="V638" s="402"/>
      <c r="W638" s="402"/>
      <c r="X638" s="402"/>
      <c r="Y638" s="402"/>
      <c r="Z638" s="402"/>
    </row>
    <row r="639" ht="14.25" customHeight="1">
      <c r="A639" s="402"/>
      <c r="B639" s="402"/>
      <c r="C639" s="402"/>
      <c r="D639" s="402"/>
      <c r="E639" s="402"/>
      <c r="F639" s="403"/>
      <c r="G639" s="403"/>
      <c r="H639" s="402"/>
      <c r="I639" s="402"/>
      <c r="J639" s="402"/>
      <c r="K639" s="402"/>
      <c r="L639" s="402"/>
      <c r="M639" s="402"/>
      <c r="N639" s="402"/>
      <c r="O639" s="402"/>
      <c r="P639" s="402"/>
      <c r="Q639" s="402"/>
      <c r="R639" s="402"/>
      <c r="S639" s="402"/>
      <c r="T639" s="402"/>
      <c r="U639" s="402"/>
      <c r="V639" s="402"/>
      <c r="W639" s="402"/>
      <c r="X639" s="402"/>
      <c r="Y639" s="402"/>
      <c r="Z639" s="402"/>
    </row>
    <row r="640" ht="14.25" customHeight="1">
      <c r="A640" s="402"/>
      <c r="B640" s="402"/>
      <c r="C640" s="402"/>
      <c r="D640" s="402"/>
      <c r="E640" s="402"/>
      <c r="F640" s="403"/>
      <c r="G640" s="403"/>
      <c r="H640" s="402"/>
      <c r="I640" s="402"/>
      <c r="J640" s="402"/>
      <c r="K640" s="402"/>
      <c r="L640" s="402"/>
      <c r="M640" s="402"/>
      <c r="N640" s="402"/>
      <c r="O640" s="402"/>
      <c r="P640" s="402"/>
      <c r="Q640" s="402"/>
      <c r="R640" s="402"/>
      <c r="S640" s="402"/>
      <c r="T640" s="402"/>
      <c r="U640" s="402"/>
      <c r="V640" s="402"/>
      <c r="W640" s="402"/>
      <c r="X640" s="402"/>
      <c r="Y640" s="402"/>
      <c r="Z640" s="402"/>
    </row>
    <row r="641" ht="14.25" customHeight="1">
      <c r="A641" s="402"/>
      <c r="B641" s="402"/>
      <c r="C641" s="402"/>
      <c r="D641" s="402"/>
      <c r="E641" s="402"/>
      <c r="F641" s="403"/>
      <c r="G641" s="403"/>
      <c r="H641" s="402"/>
      <c r="I641" s="402"/>
      <c r="J641" s="402"/>
      <c r="K641" s="402"/>
      <c r="L641" s="402"/>
      <c r="M641" s="402"/>
      <c r="N641" s="402"/>
      <c r="O641" s="402"/>
      <c r="P641" s="402"/>
      <c r="Q641" s="402"/>
      <c r="R641" s="402"/>
      <c r="S641" s="402"/>
      <c r="T641" s="402"/>
      <c r="U641" s="402"/>
      <c r="V641" s="402"/>
      <c r="W641" s="402"/>
      <c r="X641" s="402"/>
      <c r="Y641" s="402"/>
      <c r="Z641" s="402"/>
    </row>
    <row r="642" ht="14.25" customHeight="1">
      <c r="A642" s="402"/>
      <c r="B642" s="402"/>
      <c r="C642" s="402"/>
      <c r="D642" s="402"/>
      <c r="E642" s="402"/>
      <c r="F642" s="403"/>
      <c r="G642" s="403"/>
      <c r="H642" s="402"/>
      <c r="I642" s="402"/>
      <c r="J642" s="402"/>
      <c r="K642" s="402"/>
      <c r="L642" s="402"/>
      <c r="M642" s="402"/>
      <c r="N642" s="402"/>
      <c r="O642" s="402"/>
      <c r="P642" s="402"/>
      <c r="Q642" s="402"/>
      <c r="R642" s="402"/>
      <c r="S642" s="402"/>
      <c r="T642" s="402"/>
      <c r="U642" s="402"/>
      <c r="V642" s="402"/>
      <c r="W642" s="402"/>
      <c r="X642" s="402"/>
      <c r="Y642" s="402"/>
      <c r="Z642" s="402"/>
    </row>
    <row r="643" ht="14.25" customHeight="1">
      <c r="A643" s="402"/>
      <c r="B643" s="402"/>
      <c r="C643" s="402"/>
      <c r="D643" s="402"/>
      <c r="E643" s="402"/>
      <c r="F643" s="403"/>
      <c r="G643" s="403"/>
      <c r="H643" s="402"/>
      <c r="I643" s="402"/>
      <c r="J643" s="402"/>
      <c r="K643" s="402"/>
      <c r="L643" s="402"/>
      <c r="M643" s="402"/>
      <c r="N643" s="402"/>
      <c r="O643" s="402"/>
      <c r="P643" s="402"/>
      <c r="Q643" s="402"/>
      <c r="R643" s="402"/>
      <c r="S643" s="402"/>
      <c r="T643" s="402"/>
      <c r="U643" s="402"/>
      <c r="V643" s="402"/>
      <c r="W643" s="402"/>
      <c r="X643" s="402"/>
      <c r="Y643" s="402"/>
      <c r="Z643" s="402"/>
    </row>
    <row r="644" ht="14.25" customHeight="1">
      <c r="A644" s="402"/>
      <c r="B644" s="402"/>
      <c r="C644" s="402"/>
      <c r="D644" s="402"/>
      <c r="E644" s="402"/>
      <c r="F644" s="403"/>
      <c r="G644" s="403"/>
      <c r="H644" s="402"/>
      <c r="I644" s="402"/>
      <c r="J644" s="402"/>
      <c r="K644" s="402"/>
      <c r="L644" s="402"/>
      <c r="M644" s="402"/>
      <c r="N644" s="402"/>
      <c r="O644" s="402"/>
      <c r="P644" s="402"/>
      <c r="Q644" s="402"/>
      <c r="R644" s="402"/>
      <c r="S644" s="402"/>
      <c r="T644" s="402"/>
      <c r="U644" s="402"/>
      <c r="V644" s="402"/>
      <c r="W644" s="402"/>
      <c r="X644" s="402"/>
      <c r="Y644" s="402"/>
      <c r="Z644" s="402"/>
    </row>
    <row r="645" ht="14.25" customHeight="1">
      <c r="A645" s="402"/>
      <c r="B645" s="402"/>
      <c r="C645" s="402"/>
      <c r="D645" s="402"/>
      <c r="E645" s="402"/>
      <c r="F645" s="403"/>
      <c r="G645" s="403"/>
      <c r="H645" s="402"/>
      <c r="I645" s="402"/>
      <c r="J645" s="402"/>
      <c r="K645" s="402"/>
      <c r="L645" s="402"/>
      <c r="M645" s="402"/>
      <c r="N645" s="402"/>
      <c r="O645" s="402"/>
      <c r="P645" s="402"/>
      <c r="Q645" s="402"/>
      <c r="R645" s="402"/>
      <c r="S645" s="402"/>
      <c r="T645" s="402"/>
      <c r="U645" s="402"/>
      <c r="V645" s="402"/>
      <c r="W645" s="402"/>
      <c r="X645" s="402"/>
      <c r="Y645" s="402"/>
      <c r="Z645" s="402"/>
    </row>
    <row r="646" ht="14.25" customHeight="1">
      <c r="A646" s="402"/>
      <c r="B646" s="402"/>
      <c r="C646" s="402"/>
      <c r="D646" s="402"/>
      <c r="E646" s="402"/>
      <c r="F646" s="403"/>
      <c r="G646" s="403"/>
      <c r="H646" s="402"/>
      <c r="I646" s="402"/>
      <c r="J646" s="402"/>
      <c r="K646" s="402"/>
      <c r="L646" s="402"/>
      <c r="M646" s="402"/>
      <c r="N646" s="402"/>
      <c r="O646" s="402"/>
      <c r="P646" s="402"/>
      <c r="Q646" s="402"/>
      <c r="R646" s="402"/>
      <c r="S646" s="402"/>
      <c r="T646" s="402"/>
      <c r="U646" s="402"/>
      <c r="V646" s="402"/>
      <c r="W646" s="402"/>
      <c r="X646" s="402"/>
      <c r="Y646" s="402"/>
      <c r="Z646" s="402"/>
    </row>
    <row r="647" ht="14.25" customHeight="1">
      <c r="A647" s="402"/>
      <c r="B647" s="402"/>
      <c r="C647" s="402"/>
      <c r="D647" s="402"/>
      <c r="E647" s="402"/>
      <c r="F647" s="403"/>
      <c r="G647" s="403"/>
      <c r="H647" s="402"/>
      <c r="I647" s="402"/>
      <c r="J647" s="402"/>
      <c r="K647" s="402"/>
      <c r="L647" s="402"/>
      <c r="M647" s="402"/>
      <c r="N647" s="402"/>
      <c r="O647" s="402"/>
      <c r="P647" s="402"/>
      <c r="Q647" s="402"/>
      <c r="R647" s="402"/>
      <c r="S647" s="402"/>
      <c r="T647" s="402"/>
      <c r="U647" s="402"/>
      <c r="V647" s="402"/>
      <c r="W647" s="402"/>
      <c r="X647" s="402"/>
      <c r="Y647" s="402"/>
      <c r="Z647" s="402"/>
    </row>
    <row r="648" ht="14.25" customHeight="1">
      <c r="A648" s="402"/>
      <c r="B648" s="402"/>
      <c r="C648" s="402"/>
      <c r="D648" s="402"/>
      <c r="E648" s="402"/>
      <c r="F648" s="403"/>
      <c r="G648" s="403"/>
      <c r="H648" s="402"/>
      <c r="I648" s="402"/>
      <c r="J648" s="402"/>
      <c r="K648" s="402"/>
      <c r="L648" s="402"/>
      <c r="M648" s="402"/>
      <c r="N648" s="402"/>
      <c r="O648" s="402"/>
      <c r="P648" s="402"/>
      <c r="Q648" s="402"/>
      <c r="R648" s="402"/>
      <c r="S648" s="402"/>
      <c r="T648" s="402"/>
      <c r="U648" s="402"/>
      <c r="V648" s="402"/>
      <c r="W648" s="402"/>
      <c r="X648" s="402"/>
      <c r="Y648" s="402"/>
      <c r="Z648" s="402"/>
    </row>
    <row r="649" ht="14.25" customHeight="1">
      <c r="A649" s="402"/>
      <c r="B649" s="402"/>
      <c r="C649" s="402"/>
      <c r="D649" s="402"/>
      <c r="E649" s="402"/>
      <c r="F649" s="403"/>
      <c r="G649" s="403"/>
      <c r="H649" s="402"/>
      <c r="I649" s="402"/>
      <c r="J649" s="402"/>
      <c r="K649" s="402"/>
      <c r="L649" s="402"/>
      <c r="M649" s="402"/>
      <c r="N649" s="402"/>
      <c r="O649" s="402"/>
      <c r="P649" s="402"/>
      <c r="Q649" s="402"/>
      <c r="R649" s="402"/>
      <c r="S649" s="402"/>
      <c r="T649" s="402"/>
      <c r="U649" s="402"/>
      <c r="V649" s="402"/>
      <c r="W649" s="402"/>
      <c r="X649" s="402"/>
      <c r="Y649" s="402"/>
      <c r="Z649" s="402"/>
    </row>
    <row r="650" ht="14.25" customHeight="1">
      <c r="A650" s="402"/>
      <c r="B650" s="402"/>
      <c r="C650" s="402"/>
      <c r="D650" s="402"/>
      <c r="E650" s="402"/>
      <c r="F650" s="403"/>
      <c r="G650" s="403"/>
      <c r="H650" s="402"/>
      <c r="I650" s="402"/>
      <c r="J650" s="402"/>
      <c r="K650" s="402"/>
      <c r="L650" s="402"/>
      <c r="M650" s="402"/>
      <c r="N650" s="402"/>
      <c r="O650" s="402"/>
      <c r="P650" s="402"/>
      <c r="Q650" s="402"/>
      <c r="R650" s="402"/>
      <c r="S650" s="402"/>
      <c r="T650" s="402"/>
      <c r="U650" s="402"/>
      <c r="V650" s="402"/>
      <c r="W650" s="402"/>
      <c r="X650" s="402"/>
      <c r="Y650" s="402"/>
      <c r="Z650" s="402"/>
    </row>
    <row r="651" ht="14.25" customHeight="1">
      <c r="A651" s="402"/>
      <c r="B651" s="402"/>
      <c r="C651" s="402"/>
      <c r="D651" s="402"/>
      <c r="E651" s="402"/>
      <c r="F651" s="403"/>
      <c r="G651" s="403"/>
      <c r="H651" s="402"/>
      <c r="I651" s="402"/>
      <c r="J651" s="402"/>
      <c r="K651" s="402"/>
      <c r="L651" s="402"/>
      <c r="M651" s="402"/>
      <c r="N651" s="402"/>
      <c r="O651" s="402"/>
      <c r="P651" s="402"/>
      <c r="Q651" s="402"/>
      <c r="R651" s="402"/>
      <c r="S651" s="402"/>
      <c r="T651" s="402"/>
      <c r="U651" s="402"/>
      <c r="V651" s="402"/>
      <c r="W651" s="402"/>
      <c r="X651" s="402"/>
      <c r="Y651" s="402"/>
      <c r="Z651" s="402"/>
    </row>
    <row r="652" ht="14.25" customHeight="1">
      <c r="A652" s="402"/>
      <c r="B652" s="402"/>
      <c r="C652" s="402"/>
      <c r="D652" s="402"/>
      <c r="E652" s="402"/>
      <c r="F652" s="403"/>
      <c r="G652" s="403"/>
      <c r="H652" s="402"/>
      <c r="I652" s="402"/>
      <c r="J652" s="402"/>
      <c r="K652" s="402"/>
      <c r="L652" s="402"/>
      <c r="M652" s="402"/>
      <c r="N652" s="402"/>
      <c r="O652" s="402"/>
      <c r="P652" s="402"/>
      <c r="Q652" s="402"/>
      <c r="R652" s="402"/>
      <c r="S652" s="402"/>
      <c r="T652" s="402"/>
      <c r="U652" s="402"/>
      <c r="V652" s="402"/>
      <c r="W652" s="402"/>
      <c r="X652" s="402"/>
      <c r="Y652" s="402"/>
      <c r="Z652" s="402"/>
    </row>
    <row r="653" ht="14.25" customHeight="1">
      <c r="A653" s="402"/>
      <c r="B653" s="402"/>
      <c r="C653" s="402"/>
      <c r="D653" s="402"/>
      <c r="E653" s="402"/>
      <c r="F653" s="403"/>
      <c r="G653" s="403"/>
      <c r="H653" s="402"/>
      <c r="I653" s="402"/>
      <c r="J653" s="402"/>
      <c r="K653" s="402"/>
      <c r="L653" s="402"/>
      <c r="M653" s="402"/>
      <c r="N653" s="402"/>
      <c r="O653" s="402"/>
      <c r="P653" s="402"/>
      <c r="Q653" s="402"/>
      <c r="R653" s="402"/>
      <c r="S653" s="402"/>
      <c r="T653" s="402"/>
      <c r="U653" s="402"/>
      <c r="V653" s="402"/>
      <c r="W653" s="402"/>
      <c r="X653" s="402"/>
      <c r="Y653" s="402"/>
      <c r="Z653" s="402"/>
    </row>
    <row r="654" ht="14.25" customHeight="1">
      <c r="A654" s="402"/>
      <c r="B654" s="402"/>
      <c r="C654" s="402"/>
      <c r="D654" s="402"/>
      <c r="E654" s="402"/>
      <c r="F654" s="403"/>
      <c r="G654" s="403"/>
      <c r="H654" s="402"/>
      <c r="I654" s="402"/>
      <c r="J654" s="402"/>
      <c r="K654" s="402"/>
      <c r="L654" s="402"/>
      <c r="M654" s="402"/>
      <c r="N654" s="402"/>
      <c r="O654" s="402"/>
      <c r="P654" s="402"/>
      <c r="Q654" s="402"/>
      <c r="R654" s="402"/>
      <c r="S654" s="402"/>
      <c r="T654" s="402"/>
      <c r="U654" s="402"/>
      <c r="V654" s="402"/>
      <c r="W654" s="402"/>
      <c r="X654" s="402"/>
      <c r="Y654" s="402"/>
      <c r="Z654" s="402"/>
    </row>
    <row r="655" ht="14.25" customHeight="1">
      <c r="A655" s="402"/>
      <c r="B655" s="402"/>
      <c r="C655" s="402"/>
      <c r="D655" s="402"/>
      <c r="E655" s="402"/>
      <c r="F655" s="403"/>
      <c r="G655" s="403"/>
      <c r="H655" s="402"/>
      <c r="I655" s="402"/>
      <c r="J655" s="402"/>
      <c r="K655" s="402"/>
      <c r="L655" s="402"/>
      <c r="M655" s="402"/>
      <c r="N655" s="402"/>
      <c r="O655" s="402"/>
      <c r="P655" s="402"/>
      <c r="Q655" s="402"/>
      <c r="R655" s="402"/>
      <c r="S655" s="402"/>
      <c r="T655" s="402"/>
      <c r="U655" s="402"/>
      <c r="V655" s="402"/>
      <c r="W655" s="402"/>
      <c r="X655" s="402"/>
      <c r="Y655" s="402"/>
      <c r="Z655" s="402"/>
    </row>
    <row r="656" ht="14.25" customHeight="1">
      <c r="A656" s="402"/>
      <c r="B656" s="402"/>
      <c r="C656" s="402"/>
      <c r="D656" s="402"/>
      <c r="E656" s="402"/>
      <c r="F656" s="403"/>
      <c r="G656" s="403"/>
      <c r="H656" s="402"/>
      <c r="I656" s="402"/>
      <c r="J656" s="402"/>
      <c r="K656" s="402"/>
      <c r="L656" s="402"/>
      <c r="M656" s="402"/>
      <c r="N656" s="402"/>
      <c r="O656" s="402"/>
      <c r="P656" s="402"/>
      <c r="Q656" s="402"/>
      <c r="R656" s="402"/>
      <c r="S656" s="402"/>
      <c r="T656" s="402"/>
      <c r="U656" s="402"/>
      <c r="V656" s="402"/>
      <c r="W656" s="402"/>
      <c r="X656" s="402"/>
      <c r="Y656" s="402"/>
      <c r="Z656" s="402"/>
    </row>
    <row r="657" ht="14.25" customHeight="1">
      <c r="A657" s="402"/>
      <c r="B657" s="402"/>
      <c r="C657" s="402"/>
      <c r="D657" s="402"/>
      <c r="E657" s="402"/>
      <c r="F657" s="403"/>
      <c r="G657" s="403"/>
      <c r="H657" s="402"/>
      <c r="I657" s="402"/>
      <c r="J657" s="402"/>
      <c r="K657" s="402"/>
      <c r="L657" s="402"/>
      <c r="M657" s="402"/>
      <c r="N657" s="402"/>
      <c r="O657" s="402"/>
      <c r="P657" s="402"/>
      <c r="Q657" s="402"/>
      <c r="R657" s="402"/>
      <c r="S657" s="402"/>
      <c r="T657" s="402"/>
      <c r="U657" s="402"/>
      <c r="V657" s="402"/>
      <c r="W657" s="402"/>
      <c r="X657" s="402"/>
      <c r="Y657" s="402"/>
      <c r="Z657" s="402"/>
    </row>
    <row r="658" ht="14.25" customHeight="1">
      <c r="A658" s="402"/>
      <c r="B658" s="402"/>
      <c r="C658" s="402"/>
      <c r="D658" s="402"/>
      <c r="E658" s="402"/>
      <c r="F658" s="403"/>
      <c r="G658" s="403"/>
      <c r="H658" s="402"/>
      <c r="I658" s="402"/>
      <c r="J658" s="402"/>
      <c r="K658" s="402"/>
      <c r="L658" s="402"/>
      <c r="M658" s="402"/>
      <c r="N658" s="402"/>
      <c r="O658" s="402"/>
      <c r="P658" s="402"/>
      <c r="Q658" s="402"/>
      <c r="R658" s="402"/>
      <c r="S658" s="402"/>
      <c r="T658" s="402"/>
      <c r="U658" s="402"/>
      <c r="V658" s="402"/>
      <c r="W658" s="402"/>
      <c r="X658" s="402"/>
      <c r="Y658" s="402"/>
      <c r="Z658" s="402"/>
    </row>
    <row r="659" ht="14.25" customHeight="1">
      <c r="A659" s="402"/>
      <c r="B659" s="402"/>
      <c r="C659" s="402"/>
      <c r="D659" s="402"/>
      <c r="E659" s="402"/>
      <c r="F659" s="403"/>
      <c r="G659" s="403"/>
      <c r="H659" s="402"/>
      <c r="I659" s="402"/>
      <c r="J659" s="402"/>
      <c r="K659" s="402"/>
      <c r="L659" s="402"/>
      <c r="M659" s="402"/>
      <c r="N659" s="402"/>
      <c r="O659" s="402"/>
      <c r="P659" s="402"/>
      <c r="Q659" s="402"/>
      <c r="R659" s="402"/>
      <c r="S659" s="402"/>
      <c r="T659" s="402"/>
      <c r="U659" s="402"/>
      <c r="V659" s="402"/>
      <c r="W659" s="402"/>
      <c r="X659" s="402"/>
      <c r="Y659" s="402"/>
      <c r="Z659" s="402"/>
    </row>
    <row r="660" ht="14.25" customHeight="1">
      <c r="A660" s="402"/>
      <c r="B660" s="402"/>
      <c r="C660" s="402"/>
      <c r="D660" s="402"/>
      <c r="E660" s="402"/>
      <c r="F660" s="403"/>
      <c r="G660" s="403"/>
      <c r="H660" s="402"/>
      <c r="I660" s="402"/>
      <c r="J660" s="402"/>
      <c r="K660" s="402"/>
      <c r="L660" s="402"/>
      <c r="M660" s="402"/>
      <c r="N660" s="402"/>
      <c r="O660" s="402"/>
      <c r="P660" s="402"/>
      <c r="Q660" s="402"/>
      <c r="R660" s="402"/>
      <c r="S660" s="402"/>
      <c r="T660" s="402"/>
      <c r="U660" s="402"/>
      <c r="V660" s="402"/>
      <c r="W660" s="402"/>
      <c r="X660" s="402"/>
      <c r="Y660" s="402"/>
      <c r="Z660" s="402"/>
    </row>
    <row r="661" ht="14.25" customHeight="1">
      <c r="A661" s="402"/>
      <c r="B661" s="402"/>
      <c r="C661" s="402"/>
      <c r="D661" s="402"/>
      <c r="E661" s="402"/>
      <c r="F661" s="403"/>
      <c r="G661" s="403"/>
      <c r="H661" s="402"/>
      <c r="I661" s="402"/>
      <c r="J661" s="402"/>
      <c r="K661" s="402"/>
      <c r="L661" s="402"/>
      <c r="M661" s="402"/>
      <c r="N661" s="402"/>
      <c r="O661" s="402"/>
      <c r="P661" s="402"/>
      <c r="Q661" s="402"/>
      <c r="R661" s="402"/>
      <c r="S661" s="402"/>
      <c r="T661" s="402"/>
      <c r="U661" s="402"/>
      <c r="V661" s="402"/>
      <c r="W661" s="402"/>
      <c r="X661" s="402"/>
      <c r="Y661" s="402"/>
      <c r="Z661" s="402"/>
    </row>
    <row r="662" ht="14.25" customHeight="1">
      <c r="A662" s="402"/>
      <c r="B662" s="402"/>
      <c r="C662" s="402"/>
      <c r="D662" s="402"/>
      <c r="E662" s="402"/>
      <c r="F662" s="403"/>
      <c r="G662" s="403"/>
      <c r="H662" s="402"/>
      <c r="I662" s="402"/>
      <c r="J662" s="402"/>
      <c r="K662" s="402"/>
      <c r="L662" s="402"/>
      <c r="M662" s="402"/>
      <c r="N662" s="402"/>
      <c r="O662" s="402"/>
      <c r="P662" s="402"/>
      <c r="Q662" s="402"/>
      <c r="R662" s="402"/>
      <c r="S662" s="402"/>
      <c r="T662" s="402"/>
      <c r="U662" s="402"/>
      <c r="V662" s="402"/>
      <c r="W662" s="402"/>
      <c r="X662" s="402"/>
      <c r="Y662" s="402"/>
      <c r="Z662" s="402"/>
    </row>
    <row r="663" ht="14.25" customHeight="1">
      <c r="A663" s="402"/>
      <c r="B663" s="402"/>
      <c r="C663" s="402"/>
      <c r="D663" s="402"/>
      <c r="E663" s="402"/>
      <c r="F663" s="403"/>
      <c r="G663" s="403"/>
      <c r="H663" s="402"/>
      <c r="I663" s="402"/>
      <c r="J663" s="402"/>
      <c r="K663" s="402"/>
      <c r="L663" s="402"/>
      <c r="M663" s="402"/>
      <c r="N663" s="402"/>
      <c r="O663" s="402"/>
      <c r="P663" s="402"/>
      <c r="Q663" s="402"/>
      <c r="R663" s="402"/>
      <c r="S663" s="402"/>
      <c r="T663" s="402"/>
      <c r="U663" s="402"/>
      <c r="V663" s="402"/>
      <c r="W663" s="402"/>
      <c r="X663" s="402"/>
      <c r="Y663" s="402"/>
      <c r="Z663" s="402"/>
    </row>
    <row r="664" ht="14.25" customHeight="1">
      <c r="A664" s="402"/>
      <c r="B664" s="402"/>
      <c r="C664" s="402"/>
      <c r="D664" s="402"/>
      <c r="E664" s="402"/>
      <c r="F664" s="403"/>
      <c r="G664" s="403"/>
      <c r="H664" s="402"/>
      <c r="I664" s="402"/>
      <c r="J664" s="402"/>
      <c r="K664" s="402"/>
      <c r="L664" s="402"/>
      <c r="M664" s="402"/>
      <c r="N664" s="402"/>
      <c r="O664" s="402"/>
      <c r="P664" s="402"/>
      <c r="Q664" s="402"/>
      <c r="R664" s="402"/>
      <c r="S664" s="402"/>
      <c r="T664" s="402"/>
      <c r="U664" s="402"/>
      <c r="V664" s="402"/>
      <c r="W664" s="402"/>
      <c r="X664" s="402"/>
      <c r="Y664" s="402"/>
      <c r="Z664" s="402"/>
    </row>
    <row r="665" ht="14.25" customHeight="1">
      <c r="A665" s="402"/>
      <c r="B665" s="402"/>
      <c r="C665" s="402"/>
      <c r="D665" s="402"/>
      <c r="E665" s="402"/>
      <c r="F665" s="403"/>
      <c r="G665" s="403"/>
      <c r="H665" s="402"/>
      <c r="I665" s="402"/>
      <c r="J665" s="402"/>
      <c r="K665" s="402"/>
      <c r="L665" s="402"/>
      <c r="M665" s="402"/>
      <c r="N665" s="402"/>
      <c r="O665" s="402"/>
      <c r="P665" s="402"/>
      <c r="Q665" s="402"/>
      <c r="R665" s="402"/>
      <c r="S665" s="402"/>
      <c r="T665" s="402"/>
      <c r="U665" s="402"/>
      <c r="V665" s="402"/>
      <c r="W665" s="402"/>
      <c r="X665" s="402"/>
      <c r="Y665" s="402"/>
      <c r="Z665" s="402"/>
    </row>
    <row r="666" ht="14.25" customHeight="1">
      <c r="A666" s="402"/>
      <c r="B666" s="402"/>
      <c r="C666" s="402"/>
      <c r="D666" s="402"/>
      <c r="E666" s="402"/>
      <c r="F666" s="403"/>
      <c r="G666" s="403"/>
      <c r="H666" s="402"/>
      <c r="I666" s="402"/>
      <c r="J666" s="402"/>
      <c r="K666" s="402"/>
      <c r="L666" s="402"/>
      <c r="M666" s="402"/>
      <c r="N666" s="402"/>
      <c r="O666" s="402"/>
      <c r="P666" s="402"/>
      <c r="Q666" s="402"/>
      <c r="R666" s="402"/>
      <c r="S666" s="402"/>
      <c r="T666" s="402"/>
      <c r="U666" s="402"/>
      <c r="V666" s="402"/>
      <c r="W666" s="402"/>
      <c r="X666" s="402"/>
      <c r="Y666" s="402"/>
      <c r="Z666" s="402"/>
    </row>
    <row r="667" ht="14.25" customHeight="1">
      <c r="A667" s="402"/>
      <c r="B667" s="402"/>
      <c r="C667" s="402"/>
      <c r="D667" s="402"/>
      <c r="E667" s="402"/>
      <c r="F667" s="403"/>
      <c r="G667" s="403"/>
      <c r="H667" s="402"/>
      <c r="I667" s="402"/>
      <c r="J667" s="402"/>
      <c r="K667" s="402"/>
      <c r="L667" s="402"/>
      <c r="M667" s="402"/>
      <c r="N667" s="402"/>
      <c r="O667" s="402"/>
      <c r="P667" s="402"/>
      <c r="Q667" s="402"/>
      <c r="R667" s="402"/>
      <c r="S667" s="402"/>
      <c r="T667" s="402"/>
      <c r="U667" s="402"/>
      <c r="V667" s="402"/>
      <c r="W667" s="402"/>
      <c r="X667" s="402"/>
      <c r="Y667" s="402"/>
      <c r="Z667" s="402"/>
    </row>
    <row r="668" ht="14.25" customHeight="1">
      <c r="A668" s="402"/>
      <c r="B668" s="402"/>
      <c r="C668" s="402"/>
      <c r="D668" s="402"/>
      <c r="E668" s="402"/>
      <c r="F668" s="403"/>
      <c r="G668" s="403"/>
      <c r="H668" s="402"/>
      <c r="I668" s="402"/>
      <c r="J668" s="402"/>
      <c r="K668" s="402"/>
      <c r="L668" s="402"/>
      <c r="M668" s="402"/>
      <c r="N668" s="402"/>
      <c r="O668" s="402"/>
      <c r="P668" s="402"/>
      <c r="Q668" s="402"/>
      <c r="R668" s="402"/>
      <c r="S668" s="402"/>
      <c r="T668" s="402"/>
      <c r="U668" s="402"/>
      <c r="V668" s="402"/>
      <c r="W668" s="402"/>
      <c r="X668" s="402"/>
      <c r="Y668" s="402"/>
      <c r="Z668" s="402"/>
    </row>
    <row r="669" ht="14.25" customHeight="1">
      <c r="A669" s="402"/>
      <c r="B669" s="402"/>
      <c r="C669" s="402"/>
      <c r="D669" s="402"/>
      <c r="E669" s="402"/>
      <c r="F669" s="403"/>
      <c r="G669" s="403"/>
      <c r="H669" s="402"/>
      <c r="I669" s="402"/>
      <c r="J669" s="402"/>
      <c r="K669" s="402"/>
      <c r="L669" s="402"/>
      <c r="M669" s="402"/>
      <c r="N669" s="402"/>
      <c r="O669" s="402"/>
      <c r="P669" s="402"/>
      <c r="Q669" s="402"/>
      <c r="R669" s="402"/>
      <c r="S669" s="402"/>
      <c r="T669" s="402"/>
      <c r="U669" s="402"/>
      <c r="V669" s="402"/>
      <c r="W669" s="402"/>
      <c r="X669" s="402"/>
      <c r="Y669" s="402"/>
      <c r="Z669" s="402"/>
    </row>
    <row r="670" ht="14.25" customHeight="1">
      <c r="A670" s="402"/>
      <c r="B670" s="402"/>
      <c r="C670" s="402"/>
      <c r="D670" s="402"/>
      <c r="E670" s="402"/>
      <c r="F670" s="403"/>
      <c r="G670" s="403"/>
      <c r="H670" s="402"/>
      <c r="I670" s="402"/>
      <c r="J670" s="402"/>
      <c r="K670" s="402"/>
      <c r="L670" s="402"/>
      <c r="M670" s="402"/>
      <c r="N670" s="402"/>
      <c r="O670" s="402"/>
      <c r="P670" s="402"/>
      <c r="Q670" s="402"/>
      <c r="R670" s="402"/>
      <c r="S670" s="402"/>
      <c r="T670" s="402"/>
      <c r="U670" s="402"/>
      <c r="V670" s="402"/>
      <c r="W670" s="402"/>
      <c r="X670" s="402"/>
      <c r="Y670" s="402"/>
      <c r="Z670" s="402"/>
    </row>
    <row r="671" ht="14.25" customHeight="1">
      <c r="A671" s="402"/>
      <c r="B671" s="402"/>
      <c r="C671" s="402"/>
      <c r="D671" s="402"/>
      <c r="E671" s="402"/>
      <c r="F671" s="403"/>
      <c r="G671" s="403"/>
      <c r="H671" s="402"/>
      <c r="I671" s="402"/>
      <c r="J671" s="402"/>
      <c r="K671" s="402"/>
      <c r="L671" s="402"/>
      <c r="M671" s="402"/>
      <c r="N671" s="402"/>
      <c r="O671" s="402"/>
      <c r="P671" s="402"/>
      <c r="Q671" s="402"/>
      <c r="R671" s="402"/>
      <c r="S671" s="402"/>
      <c r="T671" s="402"/>
      <c r="U671" s="402"/>
      <c r="V671" s="402"/>
      <c r="W671" s="402"/>
      <c r="X671" s="402"/>
      <c r="Y671" s="402"/>
      <c r="Z671" s="402"/>
    </row>
    <row r="672" ht="14.25" customHeight="1">
      <c r="A672" s="402"/>
      <c r="B672" s="402"/>
      <c r="C672" s="402"/>
      <c r="D672" s="402"/>
      <c r="E672" s="402"/>
      <c r="F672" s="403"/>
      <c r="G672" s="403"/>
      <c r="H672" s="402"/>
      <c r="I672" s="402"/>
      <c r="J672" s="402"/>
      <c r="K672" s="402"/>
      <c r="L672" s="402"/>
      <c r="M672" s="402"/>
      <c r="N672" s="402"/>
      <c r="O672" s="402"/>
      <c r="P672" s="402"/>
      <c r="Q672" s="402"/>
      <c r="R672" s="402"/>
      <c r="S672" s="402"/>
      <c r="T672" s="402"/>
      <c r="U672" s="402"/>
      <c r="V672" s="402"/>
      <c r="W672" s="402"/>
      <c r="X672" s="402"/>
      <c r="Y672" s="402"/>
      <c r="Z672" s="402"/>
    </row>
    <row r="673" ht="14.25" customHeight="1">
      <c r="A673" s="402"/>
      <c r="B673" s="402"/>
      <c r="C673" s="402"/>
      <c r="D673" s="402"/>
      <c r="E673" s="402"/>
      <c r="F673" s="403"/>
      <c r="G673" s="403"/>
      <c r="H673" s="402"/>
      <c r="I673" s="402"/>
      <c r="J673" s="402"/>
      <c r="K673" s="402"/>
      <c r="L673" s="402"/>
      <c r="M673" s="402"/>
      <c r="N673" s="402"/>
      <c r="O673" s="402"/>
      <c r="P673" s="402"/>
      <c r="Q673" s="402"/>
      <c r="R673" s="402"/>
      <c r="S673" s="402"/>
      <c r="T673" s="402"/>
      <c r="U673" s="402"/>
      <c r="V673" s="402"/>
      <c r="W673" s="402"/>
      <c r="X673" s="402"/>
      <c r="Y673" s="402"/>
      <c r="Z673" s="402"/>
    </row>
    <row r="674" ht="14.25" customHeight="1">
      <c r="A674" s="402"/>
      <c r="B674" s="402"/>
      <c r="C674" s="402"/>
      <c r="D674" s="402"/>
      <c r="E674" s="402"/>
      <c r="F674" s="403"/>
      <c r="G674" s="403"/>
      <c r="H674" s="402"/>
      <c r="I674" s="402"/>
      <c r="J674" s="402"/>
      <c r="K674" s="402"/>
      <c r="L674" s="402"/>
      <c r="M674" s="402"/>
      <c r="N674" s="402"/>
      <c r="O674" s="402"/>
      <c r="P674" s="402"/>
      <c r="Q674" s="402"/>
      <c r="R674" s="402"/>
      <c r="S674" s="402"/>
      <c r="T674" s="402"/>
      <c r="U674" s="402"/>
      <c r="V674" s="402"/>
      <c r="W674" s="402"/>
      <c r="X674" s="402"/>
      <c r="Y674" s="402"/>
      <c r="Z674" s="402"/>
    </row>
    <row r="675" ht="14.25" customHeight="1">
      <c r="A675" s="402"/>
      <c r="B675" s="402"/>
      <c r="C675" s="402"/>
      <c r="D675" s="402"/>
      <c r="E675" s="402"/>
      <c r="F675" s="403"/>
      <c r="G675" s="403"/>
      <c r="H675" s="402"/>
      <c r="I675" s="402"/>
      <c r="J675" s="402"/>
      <c r="K675" s="402"/>
      <c r="L675" s="402"/>
      <c r="M675" s="402"/>
      <c r="N675" s="402"/>
      <c r="O675" s="402"/>
      <c r="P675" s="402"/>
      <c r="Q675" s="402"/>
      <c r="R675" s="402"/>
      <c r="S675" s="402"/>
      <c r="T675" s="402"/>
      <c r="U675" s="402"/>
      <c r="V675" s="402"/>
      <c r="W675" s="402"/>
      <c r="X675" s="402"/>
      <c r="Y675" s="402"/>
      <c r="Z675" s="402"/>
    </row>
    <row r="676" ht="14.25" customHeight="1">
      <c r="A676" s="402"/>
      <c r="B676" s="402"/>
      <c r="C676" s="402"/>
      <c r="D676" s="402"/>
      <c r="E676" s="402"/>
      <c r="F676" s="403"/>
      <c r="G676" s="403"/>
      <c r="H676" s="402"/>
      <c r="I676" s="402"/>
      <c r="J676" s="402"/>
      <c r="K676" s="402"/>
      <c r="L676" s="402"/>
      <c r="M676" s="402"/>
      <c r="N676" s="402"/>
      <c r="O676" s="402"/>
      <c r="P676" s="402"/>
      <c r="Q676" s="402"/>
      <c r="R676" s="402"/>
      <c r="S676" s="402"/>
      <c r="T676" s="402"/>
      <c r="U676" s="402"/>
      <c r="V676" s="402"/>
      <c r="W676" s="402"/>
      <c r="X676" s="402"/>
      <c r="Y676" s="402"/>
      <c r="Z676" s="402"/>
    </row>
    <row r="677" ht="14.25" customHeight="1">
      <c r="A677" s="402"/>
      <c r="B677" s="402"/>
      <c r="C677" s="402"/>
      <c r="D677" s="402"/>
      <c r="E677" s="402"/>
      <c r="F677" s="403"/>
      <c r="G677" s="403"/>
      <c r="H677" s="402"/>
      <c r="I677" s="402"/>
      <c r="J677" s="402"/>
      <c r="K677" s="402"/>
      <c r="L677" s="402"/>
      <c r="M677" s="402"/>
      <c r="N677" s="402"/>
      <c r="O677" s="402"/>
      <c r="P677" s="402"/>
      <c r="Q677" s="402"/>
      <c r="R677" s="402"/>
      <c r="S677" s="402"/>
      <c r="T677" s="402"/>
      <c r="U677" s="402"/>
      <c r="V677" s="402"/>
      <c r="W677" s="402"/>
      <c r="X677" s="402"/>
      <c r="Y677" s="402"/>
      <c r="Z677" s="402"/>
    </row>
    <row r="678" ht="14.25" customHeight="1">
      <c r="A678" s="402"/>
      <c r="B678" s="402"/>
      <c r="C678" s="402"/>
      <c r="D678" s="402"/>
      <c r="E678" s="402"/>
      <c r="F678" s="403"/>
      <c r="G678" s="403"/>
      <c r="H678" s="402"/>
      <c r="I678" s="402"/>
      <c r="J678" s="402"/>
      <c r="K678" s="402"/>
      <c r="L678" s="402"/>
      <c r="M678" s="402"/>
      <c r="N678" s="402"/>
      <c r="O678" s="402"/>
      <c r="P678" s="402"/>
      <c r="Q678" s="402"/>
      <c r="R678" s="402"/>
      <c r="S678" s="402"/>
      <c r="T678" s="402"/>
      <c r="U678" s="402"/>
      <c r="V678" s="402"/>
      <c r="W678" s="402"/>
      <c r="X678" s="402"/>
      <c r="Y678" s="402"/>
      <c r="Z678" s="402"/>
    </row>
    <row r="679" ht="14.25" customHeight="1">
      <c r="A679" s="402"/>
      <c r="B679" s="402"/>
      <c r="C679" s="402"/>
      <c r="D679" s="402"/>
      <c r="E679" s="402"/>
      <c r="F679" s="403"/>
      <c r="G679" s="403"/>
      <c r="H679" s="402"/>
      <c r="I679" s="402"/>
      <c r="J679" s="402"/>
      <c r="K679" s="402"/>
      <c r="L679" s="402"/>
      <c r="M679" s="402"/>
      <c r="N679" s="402"/>
      <c r="O679" s="402"/>
      <c r="P679" s="402"/>
      <c r="Q679" s="402"/>
      <c r="R679" s="402"/>
      <c r="S679" s="402"/>
      <c r="T679" s="402"/>
      <c r="U679" s="402"/>
      <c r="V679" s="402"/>
      <c r="W679" s="402"/>
      <c r="X679" s="402"/>
      <c r="Y679" s="402"/>
      <c r="Z679" s="402"/>
    </row>
    <row r="680" ht="14.25" customHeight="1">
      <c r="A680" s="402"/>
      <c r="B680" s="402"/>
      <c r="C680" s="402"/>
      <c r="D680" s="402"/>
      <c r="E680" s="402"/>
      <c r="F680" s="403"/>
      <c r="G680" s="403"/>
      <c r="H680" s="402"/>
      <c r="I680" s="402"/>
      <c r="J680" s="402"/>
      <c r="K680" s="402"/>
      <c r="L680" s="402"/>
      <c r="M680" s="402"/>
      <c r="N680" s="402"/>
      <c r="O680" s="402"/>
      <c r="P680" s="402"/>
      <c r="Q680" s="402"/>
      <c r="R680" s="402"/>
      <c r="S680" s="402"/>
      <c r="T680" s="402"/>
      <c r="U680" s="402"/>
      <c r="V680" s="402"/>
      <c r="W680" s="402"/>
      <c r="X680" s="402"/>
      <c r="Y680" s="402"/>
      <c r="Z680" s="402"/>
    </row>
    <row r="681" ht="14.25" customHeight="1">
      <c r="A681" s="402"/>
      <c r="B681" s="402"/>
      <c r="C681" s="402"/>
      <c r="D681" s="402"/>
      <c r="E681" s="402"/>
      <c r="F681" s="403"/>
      <c r="G681" s="403"/>
      <c r="H681" s="402"/>
      <c r="I681" s="402"/>
      <c r="J681" s="402"/>
      <c r="K681" s="402"/>
      <c r="L681" s="402"/>
      <c r="M681" s="402"/>
      <c r="N681" s="402"/>
      <c r="O681" s="402"/>
      <c r="P681" s="402"/>
      <c r="Q681" s="402"/>
      <c r="R681" s="402"/>
      <c r="S681" s="402"/>
      <c r="T681" s="402"/>
      <c r="U681" s="402"/>
      <c r="V681" s="402"/>
      <c r="W681" s="402"/>
      <c r="X681" s="402"/>
      <c r="Y681" s="402"/>
      <c r="Z681" s="402"/>
    </row>
    <row r="682" ht="14.25" customHeight="1">
      <c r="A682" s="402"/>
      <c r="B682" s="402"/>
      <c r="C682" s="402"/>
      <c r="D682" s="402"/>
      <c r="E682" s="402"/>
      <c r="F682" s="403"/>
      <c r="G682" s="403"/>
      <c r="H682" s="402"/>
      <c r="I682" s="402"/>
      <c r="J682" s="402"/>
      <c r="K682" s="402"/>
      <c r="L682" s="402"/>
      <c r="M682" s="402"/>
      <c r="N682" s="402"/>
      <c r="O682" s="402"/>
      <c r="P682" s="402"/>
      <c r="Q682" s="402"/>
      <c r="R682" s="402"/>
      <c r="S682" s="402"/>
      <c r="T682" s="402"/>
      <c r="U682" s="402"/>
      <c r="V682" s="402"/>
      <c r="W682" s="402"/>
      <c r="X682" s="402"/>
      <c r="Y682" s="402"/>
      <c r="Z682" s="402"/>
    </row>
    <row r="683" ht="14.25" customHeight="1">
      <c r="A683" s="402"/>
      <c r="B683" s="402"/>
      <c r="C683" s="402"/>
      <c r="D683" s="402"/>
      <c r="E683" s="402"/>
      <c r="F683" s="403"/>
      <c r="G683" s="403"/>
      <c r="H683" s="402"/>
      <c r="I683" s="402"/>
      <c r="J683" s="402"/>
      <c r="K683" s="402"/>
      <c r="L683" s="402"/>
      <c r="M683" s="402"/>
      <c r="N683" s="402"/>
      <c r="O683" s="402"/>
      <c r="P683" s="402"/>
      <c r="Q683" s="402"/>
      <c r="R683" s="402"/>
      <c r="S683" s="402"/>
      <c r="T683" s="402"/>
      <c r="U683" s="402"/>
      <c r="V683" s="402"/>
      <c r="W683" s="402"/>
      <c r="X683" s="402"/>
      <c r="Y683" s="402"/>
      <c r="Z683" s="402"/>
    </row>
    <row r="684" ht="14.25" customHeight="1">
      <c r="A684" s="402"/>
      <c r="B684" s="402"/>
      <c r="C684" s="402"/>
      <c r="D684" s="402"/>
      <c r="E684" s="402"/>
      <c r="F684" s="403"/>
      <c r="G684" s="403"/>
      <c r="H684" s="402"/>
      <c r="I684" s="402"/>
      <c r="J684" s="402"/>
      <c r="K684" s="402"/>
      <c r="L684" s="402"/>
      <c r="M684" s="402"/>
      <c r="N684" s="402"/>
      <c r="O684" s="402"/>
      <c r="P684" s="402"/>
      <c r="Q684" s="402"/>
      <c r="R684" s="402"/>
      <c r="S684" s="402"/>
      <c r="T684" s="402"/>
      <c r="U684" s="402"/>
      <c r="V684" s="402"/>
      <c r="W684" s="402"/>
      <c r="X684" s="402"/>
      <c r="Y684" s="402"/>
      <c r="Z684" s="402"/>
    </row>
    <row r="685" ht="14.25" customHeight="1">
      <c r="A685" s="402"/>
      <c r="B685" s="402"/>
      <c r="C685" s="402"/>
      <c r="D685" s="402"/>
      <c r="E685" s="402"/>
      <c r="F685" s="403"/>
      <c r="G685" s="403"/>
      <c r="H685" s="402"/>
      <c r="I685" s="402"/>
      <c r="J685" s="402"/>
      <c r="K685" s="402"/>
      <c r="L685" s="402"/>
      <c r="M685" s="402"/>
      <c r="N685" s="402"/>
      <c r="O685" s="402"/>
      <c r="P685" s="402"/>
      <c r="Q685" s="402"/>
      <c r="R685" s="402"/>
      <c r="S685" s="402"/>
      <c r="T685" s="402"/>
      <c r="U685" s="402"/>
      <c r="V685" s="402"/>
      <c r="W685" s="402"/>
      <c r="X685" s="402"/>
      <c r="Y685" s="402"/>
      <c r="Z685" s="402"/>
    </row>
    <row r="686" ht="14.25" customHeight="1">
      <c r="A686" s="402"/>
      <c r="B686" s="402"/>
      <c r="C686" s="402"/>
      <c r="D686" s="402"/>
      <c r="E686" s="402"/>
      <c r="F686" s="403"/>
      <c r="G686" s="403"/>
      <c r="H686" s="402"/>
      <c r="I686" s="402"/>
      <c r="J686" s="402"/>
      <c r="K686" s="402"/>
      <c r="L686" s="402"/>
      <c r="M686" s="402"/>
      <c r="N686" s="402"/>
      <c r="O686" s="402"/>
      <c r="P686" s="402"/>
      <c r="Q686" s="402"/>
      <c r="R686" s="402"/>
      <c r="S686" s="402"/>
      <c r="T686" s="402"/>
      <c r="U686" s="402"/>
      <c r="V686" s="402"/>
      <c r="W686" s="402"/>
      <c r="X686" s="402"/>
      <c r="Y686" s="402"/>
      <c r="Z686" s="402"/>
    </row>
    <row r="687" ht="14.25" customHeight="1">
      <c r="A687" s="402"/>
      <c r="B687" s="402"/>
      <c r="C687" s="402"/>
      <c r="D687" s="402"/>
      <c r="E687" s="402"/>
      <c r="F687" s="403"/>
      <c r="G687" s="403"/>
      <c r="H687" s="402"/>
      <c r="I687" s="402"/>
      <c r="J687" s="402"/>
      <c r="K687" s="402"/>
      <c r="L687" s="402"/>
      <c r="M687" s="402"/>
      <c r="N687" s="402"/>
      <c r="O687" s="402"/>
      <c r="P687" s="402"/>
      <c r="Q687" s="402"/>
      <c r="R687" s="402"/>
      <c r="S687" s="402"/>
      <c r="T687" s="402"/>
      <c r="U687" s="402"/>
      <c r="V687" s="402"/>
      <c r="W687" s="402"/>
      <c r="X687" s="402"/>
      <c r="Y687" s="402"/>
      <c r="Z687" s="402"/>
    </row>
    <row r="688" ht="14.25" customHeight="1">
      <c r="A688" s="402"/>
      <c r="B688" s="402"/>
      <c r="C688" s="402"/>
      <c r="D688" s="402"/>
      <c r="E688" s="402"/>
      <c r="F688" s="403"/>
      <c r="G688" s="403"/>
      <c r="H688" s="402"/>
      <c r="I688" s="402"/>
      <c r="J688" s="402"/>
      <c r="K688" s="402"/>
      <c r="L688" s="402"/>
      <c r="M688" s="402"/>
      <c r="N688" s="402"/>
      <c r="O688" s="402"/>
      <c r="P688" s="402"/>
      <c r="Q688" s="402"/>
      <c r="R688" s="402"/>
      <c r="S688" s="402"/>
      <c r="T688" s="402"/>
      <c r="U688" s="402"/>
      <c r="V688" s="402"/>
      <c r="W688" s="402"/>
      <c r="X688" s="402"/>
      <c r="Y688" s="402"/>
      <c r="Z688" s="402"/>
    </row>
    <row r="689" ht="14.25" customHeight="1">
      <c r="A689" s="402"/>
      <c r="B689" s="402"/>
      <c r="C689" s="402"/>
      <c r="D689" s="402"/>
      <c r="E689" s="402"/>
      <c r="F689" s="403"/>
      <c r="G689" s="403"/>
      <c r="H689" s="402"/>
      <c r="I689" s="402"/>
      <c r="J689" s="402"/>
      <c r="K689" s="402"/>
      <c r="L689" s="402"/>
      <c r="M689" s="402"/>
      <c r="N689" s="402"/>
      <c r="O689" s="402"/>
      <c r="P689" s="402"/>
      <c r="Q689" s="402"/>
      <c r="R689" s="402"/>
      <c r="S689" s="402"/>
      <c r="T689" s="402"/>
      <c r="U689" s="402"/>
      <c r="V689" s="402"/>
      <c r="W689" s="402"/>
      <c r="X689" s="402"/>
      <c r="Y689" s="402"/>
      <c r="Z689" s="402"/>
    </row>
    <row r="690" ht="14.25" customHeight="1">
      <c r="A690" s="402"/>
      <c r="B690" s="402"/>
      <c r="C690" s="402"/>
      <c r="D690" s="402"/>
      <c r="E690" s="402"/>
      <c r="F690" s="403"/>
      <c r="G690" s="403"/>
      <c r="H690" s="402"/>
      <c r="I690" s="402"/>
      <c r="J690" s="402"/>
      <c r="K690" s="402"/>
      <c r="L690" s="402"/>
      <c r="M690" s="402"/>
      <c r="N690" s="402"/>
      <c r="O690" s="402"/>
      <c r="P690" s="402"/>
      <c r="Q690" s="402"/>
      <c r="R690" s="402"/>
      <c r="S690" s="402"/>
      <c r="T690" s="402"/>
      <c r="U690" s="402"/>
      <c r="V690" s="402"/>
      <c r="W690" s="402"/>
      <c r="X690" s="402"/>
      <c r="Y690" s="402"/>
      <c r="Z690" s="402"/>
    </row>
    <row r="691" ht="14.25" customHeight="1">
      <c r="A691" s="402"/>
      <c r="B691" s="402"/>
      <c r="C691" s="402"/>
      <c r="D691" s="402"/>
      <c r="E691" s="402"/>
      <c r="F691" s="403"/>
      <c r="G691" s="403"/>
      <c r="H691" s="402"/>
      <c r="I691" s="402"/>
      <c r="J691" s="402"/>
      <c r="K691" s="402"/>
      <c r="L691" s="402"/>
      <c r="M691" s="402"/>
      <c r="N691" s="402"/>
      <c r="O691" s="402"/>
      <c r="P691" s="402"/>
      <c r="Q691" s="402"/>
      <c r="R691" s="402"/>
      <c r="S691" s="402"/>
      <c r="T691" s="402"/>
      <c r="U691" s="402"/>
      <c r="V691" s="402"/>
      <c r="W691" s="402"/>
      <c r="X691" s="402"/>
      <c r="Y691" s="402"/>
      <c r="Z691" s="402"/>
    </row>
    <row r="692" ht="14.25" customHeight="1">
      <c r="A692" s="402"/>
      <c r="B692" s="402"/>
      <c r="C692" s="402"/>
      <c r="D692" s="402"/>
      <c r="E692" s="402"/>
      <c r="F692" s="403"/>
      <c r="G692" s="403"/>
      <c r="H692" s="402"/>
      <c r="I692" s="402"/>
      <c r="J692" s="402"/>
      <c r="K692" s="402"/>
      <c r="L692" s="402"/>
      <c r="M692" s="402"/>
      <c r="N692" s="402"/>
      <c r="O692" s="402"/>
      <c r="P692" s="402"/>
      <c r="Q692" s="402"/>
      <c r="R692" s="402"/>
      <c r="S692" s="402"/>
      <c r="T692" s="402"/>
      <c r="U692" s="402"/>
      <c r="V692" s="402"/>
      <c r="W692" s="402"/>
      <c r="X692" s="402"/>
      <c r="Y692" s="402"/>
      <c r="Z692" s="402"/>
    </row>
    <row r="693" ht="14.25" customHeight="1">
      <c r="A693" s="402"/>
      <c r="B693" s="402"/>
      <c r="C693" s="402"/>
      <c r="D693" s="402"/>
      <c r="E693" s="402"/>
      <c r="F693" s="403"/>
      <c r="G693" s="403"/>
      <c r="H693" s="402"/>
      <c r="I693" s="402"/>
      <c r="J693" s="402"/>
      <c r="K693" s="402"/>
      <c r="L693" s="402"/>
      <c r="M693" s="402"/>
      <c r="N693" s="402"/>
      <c r="O693" s="402"/>
      <c r="P693" s="402"/>
      <c r="Q693" s="402"/>
      <c r="R693" s="402"/>
      <c r="S693" s="402"/>
      <c r="T693" s="402"/>
      <c r="U693" s="402"/>
      <c r="V693" s="402"/>
      <c r="W693" s="402"/>
      <c r="X693" s="402"/>
      <c r="Y693" s="402"/>
      <c r="Z693" s="402"/>
    </row>
    <row r="694" ht="14.25" customHeight="1">
      <c r="A694" s="402"/>
      <c r="B694" s="402"/>
      <c r="C694" s="402"/>
      <c r="D694" s="402"/>
      <c r="E694" s="402"/>
      <c r="F694" s="403"/>
      <c r="G694" s="403"/>
      <c r="H694" s="402"/>
      <c r="I694" s="402"/>
      <c r="J694" s="402"/>
      <c r="K694" s="402"/>
      <c r="L694" s="402"/>
      <c r="M694" s="402"/>
      <c r="N694" s="402"/>
      <c r="O694" s="402"/>
      <c r="P694" s="402"/>
      <c r="Q694" s="402"/>
      <c r="R694" s="402"/>
      <c r="S694" s="402"/>
      <c r="T694" s="402"/>
      <c r="U694" s="402"/>
      <c r="V694" s="402"/>
      <c r="W694" s="402"/>
      <c r="X694" s="402"/>
      <c r="Y694" s="402"/>
      <c r="Z694" s="402"/>
    </row>
    <row r="695" ht="14.25" customHeight="1">
      <c r="A695" s="402"/>
      <c r="B695" s="402"/>
      <c r="C695" s="402"/>
      <c r="D695" s="402"/>
      <c r="E695" s="402"/>
      <c r="F695" s="403"/>
      <c r="G695" s="403"/>
      <c r="H695" s="402"/>
      <c r="I695" s="402"/>
      <c r="J695" s="402"/>
      <c r="K695" s="402"/>
      <c r="L695" s="402"/>
      <c r="M695" s="402"/>
      <c r="N695" s="402"/>
      <c r="O695" s="402"/>
      <c r="P695" s="402"/>
      <c r="Q695" s="402"/>
      <c r="R695" s="402"/>
      <c r="S695" s="402"/>
      <c r="T695" s="402"/>
      <c r="U695" s="402"/>
      <c r="V695" s="402"/>
      <c r="W695" s="402"/>
      <c r="X695" s="402"/>
      <c r="Y695" s="402"/>
      <c r="Z695" s="402"/>
    </row>
    <row r="696" ht="14.25" customHeight="1">
      <c r="A696" s="402"/>
      <c r="B696" s="402"/>
      <c r="C696" s="402"/>
      <c r="D696" s="402"/>
      <c r="E696" s="402"/>
      <c r="F696" s="403"/>
      <c r="G696" s="403"/>
      <c r="H696" s="402"/>
      <c r="I696" s="402"/>
      <c r="J696" s="402"/>
      <c r="K696" s="402"/>
      <c r="L696" s="402"/>
      <c r="M696" s="402"/>
      <c r="N696" s="402"/>
      <c r="O696" s="402"/>
      <c r="P696" s="402"/>
      <c r="Q696" s="402"/>
      <c r="R696" s="402"/>
      <c r="S696" s="402"/>
      <c r="T696" s="402"/>
      <c r="U696" s="402"/>
      <c r="V696" s="402"/>
      <c r="W696" s="402"/>
      <c r="X696" s="402"/>
      <c r="Y696" s="402"/>
      <c r="Z696" s="402"/>
    </row>
    <row r="697" ht="14.25" customHeight="1">
      <c r="A697" s="402"/>
      <c r="B697" s="402"/>
      <c r="C697" s="402"/>
      <c r="D697" s="402"/>
      <c r="E697" s="402"/>
      <c r="F697" s="403"/>
      <c r="G697" s="403"/>
      <c r="H697" s="402"/>
      <c r="I697" s="402"/>
      <c r="J697" s="402"/>
      <c r="K697" s="402"/>
      <c r="L697" s="402"/>
      <c r="M697" s="402"/>
      <c r="N697" s="402"/>
      <c r="O697" s="402"/>
      <c r="P697" s="402"/>
      <c r="Q697" s="402"/>
      <c r="R697" s="402"/>
      <c r="S697" s="402"/>
      <c r="T697" s="402"/>
      <c r="U697" s="402"/>
      <c r="V697" s="402"/>
      <c r="W697" s="402"/>
      <c r="X697" s="402"/>
      <c r="Y697" s="402"/>
      <c r="Z697" s="402"/>
    </row>
    <row r="698" ht="14.25" customHeight="1">
      <c r="A698" s="402"/>
      <c r="B698" s="402"/>
      <c r="C698" s="402"/>
      <c r="D698" s="402"/>
      <c r="E698" s="402"/>
      <c r="F698" s="403"/>
      <c r="G698" s="403"/>
      <c r="H698" s="402"/>
      <c r="I698" s="402"/>
      <c r="J698" s="402"/>
      <c r="K698" s="402"/>
      <c r="L698" s="402"/>
      <c r="M698" s="402"/>
      <c r="N698" s="402"/>
      <c r="O698" s="402"/>
      <c r="P698" s="402"/>
      <c r="Q698" s="402"/>
      <c r="R698" s="402"/>
      <c r="S698" s="402"/>
      <c r="T698" s="402"/>
      <c r="U698" s="402"/>
      <c r="V698" s="402"/>
      <c r="W698" s="402"/>
      <c r="X698" s="402"/>
      <c r="Y698" s="402"/>
      <c r="Z698" s="402"/>
    </row>
    <row r="699" ht="14.25" customHeight="1">
      <c r="A699" s="402"/>
      <c r="B699" s="402"/>
      <c r="C699" s="402"/>
      <c r="D699" s="402"/>
      <c r="E699" s="402"/>
      <c r="F699" s="403"/>
      <c r="G699" s="403"/>
      <c r="H699" s="402"/>
      <c r="I699" s="402"/>
      <c r="J699" s="402"/>
      <c r="K699" s="402"/>
      <c r="L699" s="402"/>
      <c r="M699" s="402"/>
      <c r="N699" s="402"/>
      <c r="O699" s="402"/>
      <c r="P699" s="402"/>
      <c r="Q699" s="402"/>
      <c r="R699" s="402"/>
      <c r="S699" s="402"/>
      <c r="T699" s="402"/>
      <c r="U699" s="402"/>
      <c r="V699" s="402"/>
      <c r="W699" s="402"/>
      <c r="X699" s="402"/>
      <c r="Y699" s="402"/>
      <c r="Z699" s="402"/>
    </row>
    <row r="700" ht="14.25" customHeight="1">
      <c r="A700" s="402"/>
      <c r="B700" s="402"/>
      <c r="C700" s="402"/>
      <c r="D700" s="402"/>
      <c r="E700" s="402"/>
      <c r="F700" s="403"/>
      <c r="G700" s="403"/>
      <c r="H700" s="402"/>
      <c r="I700" s="402"/>
      <c r="J700" s="402"/>
      <c r="K700" s="402"/>
      <c r="L700" s="402"/>
      <c r="M700" s="402"/>
      <c r="N700" s="402"/>
      <c r="O700" s="402"/>
      <c r="P700" s="402"/>
      <c r="Q700" s="402"/>
      <c r="R700" s="402"/>
      <c r="S700" s="402"/>
      <c r="T700" s="402"/>
      <c r="U700" s="402"/>
      <c r="V700" s="402"/>
      <c r="W700" s="402"/>
      <c r="X700" s="402"/>
      <c r="Y700" s="402"/>
      <c r="Z700" s="402"/>
    </row>
    <row r="701" ht="14.25" customHeight="1">
      <c r="A701" s="402"/>
      <c r="B701" s="402"/>
      <c r="C701" s="402"/>
      <c r="D701" s="402"/>
      <c r="E701" s="402"/>
      <c r="F701" s="403"/>
      <c r="G701" s="403"/>
      <c r="H701" s="402"/>
      <c r="I701" s="402"/>
      <c r="J701" s="402"/>
      <c r="K701" s="402"/>
      <c r="L701" s="402"/>
      <c r="M701" s="402"/>
      <c r="N701" s="402"/>
      <c r="O701" s="402"/>
      <c r="P701" s="402"/>
      <c r="Q701" s="402"/>
      <c r="R701" s="402"/>
      <c r="S701" s="402"/>
      <c r="T701" s="402"/>
      <c r="U701" s="402"/>
      <c r="V701" s="402"/>
      <c r="W701" s="402"/>
      <c r="X701" s="402"/>
      <c r="Y701" s="402"/>
      <c r="Z701" s="402"/>
    </row>
    <row r="702" ht="14.25" customHeight="1">
      <c r="A702" s="402"/>
      <c r="B702" s="402"/>
      <c r="C702" s="402"/>
      <c r="D702" s="402"/>
      <c r="E702" s="402"/>
      <c r="F702" s="403"/>
      <c r="G702" s="403"/>
      <c r="H702" s="402"/>
      <c r="I702" s="402"/>
      <c r="J702" s="402"/>
      <c r="K702" s="402"/>
      <c r="L702" s="402"/>
      <c r="M702" s="402"/>
      <c r="N702" s="402"/>
      <c r="O702" s="402"/>
      <c r="P702" s="402"/>
      <c r="Q702" s="402"/>
      <c r="R702" s="402"/>
      <c r="S702" s="402"/>
      <c r="T702" s="402"/>
      <c r="U702" s="402"/>
      <c r="V702" s="402"/>
      <c r="W702" s="402"/>
      <c r="X702" s="402"/>
      <c r="Y702" s="402"/>
      <c r="Z702" s="402"/>
    </row>
    <row r="703" ht="14.25" customHeight="1">
      <c r="A703" s="402"/>
      <c r="B703" s="402"/>
      <c r="C703" s="402"/>
      <c r="D703" s="402"/>
      <c r="E703" s="402"/>
      <c r="F703" s="403"/>
      <c r="G703" s="403"/>
      <c r="H703" s="402"/>
      <c r="I703" s="402"/>
      <c r="J703" s="402"/>
      <c r="K703" s="402"/>
      <c r="L703" s="402"/>
      <c r="M703" s="402"/>
      <c r="N703" s="402"/>
      <c r="O703" s="402"/>
      <c r="P703" s="402"/>
      <c r="Q703" s="402"/>
      <c r="R703" s="402"/>
      <c r="S703" s="402"/>
      <c r="T703" s="402"/>
      <c r="U703" s="402"/>
      <c r="V703" s="402"/>
      <c r="W703" s="402"/>
      <c r="X703" s="402"/>
      <c r="Y703" s="402"/>
      <c r="Z703" s="402"/>
    </row>
    <row r="704" ht="14.25" customHeight="1">
      <c r="A704" s="402"/>
      <c r="B704" s="402"/>
      <c r="C704" s="402"/>
      <c r="D704" s="402"/>
      <c r="E704" s="402"/>
      <c r="F704" s="403"/>
      <c r="G704" s="403"/>
      <c r="H704" s="402"/>
      <c r="I704" s="402"/>
      <c r="J704" s="402"/>
      <c r="K704" s="402"/>
      <c r="L704" s="402"/>
      <c r="M704" s="402"/>
      <c r="N704" s="402"/>
      <c r="O704" s="402"/>
      <c r="P704" s="402"/>
      <c r="Q704" s="402"/>
      <c r="R704" s="402"/>
      <c r="S704" s="402"/>
      <c r="T704" s="402"/>
      <c r="U704" s="402"/>
      <c r="V704" s="402"/>
      <c r="W704" s="402"/>
      <c r="X704" s="402"/>
      <c r="Y704" s="402"/>
      <c r="Z704" s="402"/>
    </row>
    <row r="705" ht="14.25" customHeight="1">
      <c r="A705" s="402"/>
      <c r="B705" s="402"/>
      <c r="C705" s="402"/>
      <c r="D705" s="402"/>
      <c r="E705" s="402"/>
      <c r="F705" s="403"/>
      <c r="G705" s="403"/>
      <c r="H705" s="402"/>
      <c r="I705" s="402"/>
      <c r="J705" s="402"/>
      <c r="K705" s="402"/>
      <c r="L705" s="402"/>
      <c r="M705" s="402"/>
      <c r="N705" s="402"/>
      <c r="O705" s="402"/>
      <c r="P705" s="402"/>
      <c r="Q705" s="402"/>
      <c r="R705" s="402"/>
      <c r="S705" s="402"/>
      <c r="T705" s="402"/>
      <c r="U705" s="402"/>
      <c r="V705" s="402"/>
      <c r="W705" s="402"/>
      <c r="X705" s="402"/>
      <c r="Y705" s="402"/>
      <c r="Z705" s="402"/>
    </row>
    <row r="706" ht="14.25" customHeight="1">
      <c r="A706" s="402"/>
      <c r="B706" s="402"/>
      <c r="C706" s="402"/>
      <c r="D706" s="402"/>
      <c r="E706" s="402"/>
      <c r="F706" s="403"/>
      <c r="G706" s="403"/>
      <c r="H706" s="402"/>
      <c r="I706" s="402"/>
      <c r="J706" s="402"/>
      <c r="K706" s="402"/>
      <c r="L706" s="402"/>
      <c r="M706" s="402"/>
      <c r="N706" s="402"/>
      <c r="O706" s="402"/>
      <c r="P706" s="402"/>
      <c r="Q706" s="402"/>
      <c r="R706" s="402"/>
      <c r="S706" s="402"/>
      <c r="T706" s="402"/>
      <c r="U706" s="402"/>
      <c r="V706" s="402"/>
      <c r="W706" s="402"/>
      <c r="X706" s="402"/>
      <c r="Y706" s="402"/>
      <c r="Z706" s="402"/>
    </row>
    <row r="707" ht="14.25" customHeight="1">
      <c r="A707" s="402"/>
      <c r="B707" s="402"/>
      <c r="C707" s="402"/>
      <c r="D707" s="402"/>
      <c r="E707" s="402"/>
      <c r="F707" s="403"/>
      <c r="G707" s="403"/>
      <c r="H707" s="402"/>
      <c r="I707" s="402"/>
      <c r="J707" s="402"/>
      <c r="K707" s="402"/>
      <c r="L707" s="402"/>
      <c r="M707" s="402"/>
      <c r="N707" s="402"/>
      <c r="O707" s="402"/>
      <c r="P707" s="402"/>
      <c r="Q707" s="402"/>
      <c r="R707" s="402"/>
      <c r="S707" s="402"/>
      <c r="T707" s="402"/>
      <c r="U707" s="402"/>
      <c r="V707" s="402"/>
      <c r="W707" s="402"/>
      <c r="X707" s="402"/>
      <c r="Y707" s="402"/>
      <c r="Z707" s="402"/>
    </row>
    <row r="708" ht="14.25" customHeight="1">
      <c r="A708" s="402"/>
      <c r="B708" s="402"/>
      <c r="C708" s="402"/>
      <c r="D708" s="402"/>
      <c r="E708" s="402"/>
      <c r="F708" s="403"/>
      <c r="G708" s="403"/>
      <c r="H708" s="402"/>
      <c r="I708" s="402"/>
      <c r="J708" s="402"/>
      <c r="K708" s="402"/>
      <c r="L708" s="402"/>
      <c r="M708" s="402"/>
      <c r="N708" s="402"/>
      <c r="O708" s="402"/>
      <c r="P708" s="402"/>
      <c r="Q708" s="402"/>
      <c r="R708" s="402"/>
      <c r="S708" s="402"/>
      <c r="T708" s="402"/>
      <c r="U708" s="402"/>
      <c r="V708" s="402"/>
      <c r="W708" s="402"/>
      <c r="X708" s="402"/>
      <c r="Y708" s="402"/>
      <c r="Z708" s="402"/>
    </row>
    <row r="709" ht="14.25" customHeight="1">
      <c r="A709" s="402"/>
      <c r="B709" s="402"/>
      <c r="C709" s="402"/>
      <c r="D709" s="402"/>
      <c r="E709" s="402"/>
      <c r="F709" s="403"/>
      <c r="G709" s="403"/>
      <c r="H709" s="402"/>
      <c r="I709" s="402"/>
      <c r="J709" s="402"/>
      <c r="K709" s="402"/>
      <c r="L709" s="402"/>
      <c r="M709" s="402"/>
      <c r="N709" s="402"/>
      <c r="O709" s="402"/>
      <c r="P709" s="402"/>
      <c r="Q709" s="402"/>
      <c r="R709" s="402"/>
      <c r="S709" s="402"/>
      <c r="T709" s="402"/>
      <c r="U709" s="402"/>
      <c r="V709" s="402"/>
      <c r="W709" s="402"/>
      <c r="X709" s="402"/>
      <c r="Y709" s="402"/>
      <c r="Z709" s="402"/>
    </row>
    <row r="710" ht="14.25" customHeight="1">
      <c r="A710" s="402"/>
      <c r="B710" s="402"/>
      <c r="C710" s="402"/>
      <c r="D710" s="402"/>
      <c r="E710" s="402"/>
      <c r="F710" s="403"/>
      <c r="G710" s="403"/>
      <c r="H710" s="402"/>
      <c r="I710" s="402"/>
      <c r="J710" s="402"/>
      <c r="K710" s="402"/>
      <c r="L710" s="402"/>
      <c r="M710" s="402"/>
      <c r="N710" s="402"/>
      <c r="O710" s="402"/>
      <c r="P710" s="402"/>
      <c r="Q710" s="402"/>
      <c r="R710" s="402"/>
      <c r="S710" s="402"/>
      <c r="T710" s="402"/>
      <c r="U710" s="402"/>
      <c r="V710" s="402"/>
      <c r="W710" s="402"/>
      <c r="X710" s="402"/>
      <c r="Y710" s="402"/>
      <c r="Z710" s="402"/>
    </row>
    <row r="711" ht="14.25" customHeight="1">
      <c r="A711" s="402"/>
      <c r="B711" s="402"/>
      <c r="C711" s="402"/>
      <c r="D711" s="402"/>
      <c r="E711" s="402"/>
      <c r="F711" s="403"/>
      <c r="G711" s="403"/>
      <c r="H711" s="402"/>
      <c r="I711" s="402"/>
      <c r="J711" s="402"/>
      <c r="K711" s="402"/>
      <c r="L711" s="402"/>
      <c r="M711" s="402"/>
      <c r="N711" s="402"/>
      <c r="O711" s="402"/>
      <c r="P711" s="402"/>
      <c r="Q711" s="402"/>
      <c r="R711" s="402"/>
      <c r="S711" s="402"/>
      <c r="T711" s="402"/>
      <c r="U711" s="402"/>
      <c r="V711" s="402"/>
      <c r="W711" s="402"/>
      <c r="X711" s="402"/>
      <c r="Y711" s="402"/>
      <c r="Z711" s="402"/>
    </row>
    <row r="712" ht="14.25" customHeight="1">
      <c r="A712" s="402"/>
      <c r="B712" s="402"/>
      <c r="C712" s="402"/>
      <c r="D712" s="402"/>
      <c r="E712" s="402"/>
      <c r="F712" s="403"/>
      <c r="G712" s="403"/>
      <c r="H712" s="402"/>
      <c r="I712" s="402"/>
      <c r="J712" s="402"/>
      <c r="K712" s="402"/>
      <c r="L712" s="402"/>
      <c r="M712" s="402"/>
      <c r="N712" s="402"/>
      <c r="O712" s="402"/>
      <c r="P712" s="402"/>
      <c r="Q712" s="402"/>
      <c r="R712" s="402"/>
      <c r="S712" s="402"/>
      <c r="T712" s="402"/>
      <c r="U712" s="402"/>
      <c r="V712" s="402"/>
      <c r="W712" s="402"/>
      <c r="X712" s="402"/>
      <c r="Y712" s="402"/>
      <c r="Z712" s="402"/>
    </row>
    <row r="713" ht="14.25" customHeight="1">
      <c r="A713" s="402"/>
      <c r="B713" s="402"/>
      <c r="C713" s="402"/>
      <c r="D713" s="402"/>
      <c r="E713" s="402"/>
      <c r="F713" s="403"/>
      <c r="G713" s="403"/>
      <c r="H713" s="402"/>
      <c r="I713" s="402"/>
      <c r="J713" s="402"/>
      <c r="K713" s="402"/>
      <c r="L713" s="402"/>
      <c r="M713" s="402"/>
      <c r="N713" s="402"/>
      <c r="O713" s="402"/>
      <c r="P713" s="402"/>
      <c r="Q713" s="402"/>
      <c r="R713" s="402"/>
      <c r="S713" s="402"/>
      <c r="T713" s="402"/>
      <c r="U713" s="402"/>
      <c r="V713" s="402"/>
      <c r="W713" s="402"/>
      <c r="X713" s="402"/>
      <c r="Y713" s="402"/>
      <c r="Z713" s="402"/>
    </row>
    <row r="714" ht="14.25" customHeight="1">
      <c r="A714" s="402"/>
      <c r="B714" s="402"/>
      <c r="C714" s="402"/>
      <c r="D714" s="402"/>
      <c r="E714" s="402"/>
      <c r="F714" s="403"/>
      <c r="G714" s="403"/>
      <c r="H714" s="402"/>
      <c r="I714" s="402"/>
      <c r="J714" s="402"/>
      <c r="K714" s="402"/>
      <c r="L714" s="402"/>
      <c r="M714" s="402"/>
      <c r="N714" s="402"/>
      <c r="O714" s="402"/>
      <c r="P714" s="402"/>
      <c r="Q714" s="402"/>
      <c r="R714" s="402"/>
      <c r="S714" s="402"/>
      <c r="T714" s="402"/>
      <c r="U714" s="402"/>
      <c r="V714" s="402"/>
      <c r="W714" s="402"/>
      <c r="X714" s="402"/>
      <c r="Y714" s="402"/>
      <c r="Z714" s="402"/>
    </row>
    <row r="715" ht="14.25" customHeight="1">
      <c r="A715" s="402"/>
      <c r="B715" s="402"/>
      <c r="C715" s="402"/>
      <c r="D715" s="402"/>
      <c r="E715" s="402"/>
      <c r="F715" s="403"/>
      <c r="G715" s="403"/>
      <c r="H715" s="402"/>
      <c r="I715" s="402"/>
      <c r="J715" s="402"/>
      <c r="K715" s="402"/>
      <c r="L715" s="402"/>
      <c r="M715" s="402"/>
      <c r="N715" s="402"/>
      <c r="O715" s="402"/>
      <c r="P715" s="402"/>
      <c r="Q715" s="402"/>
      <c r="R715" s="402"/>
      <c r="S715" s="402"/>
      <c r="T715" s="402"/>
      <c r="U715" s="402"/>
      <c r="V715" s="402"/>
      <c r="W715" s="402"/>
      <c r="X715" s="402"/>
      <c r="Y715" s="402"/>
      <c r="Z715" s="402"/>
    </row>
    <row r="716" ht="14.25" customHeight="1">
      <c r="A716" s="402"/>
      <c r="B716" s="402"/>
      <c r="C716" s="402"/>
      <c r="D716" s="402"/>
      <c r="E716" s="402"/>
      <c r="F716" s="403"/>
      <c r="G716" s="403"/>
      <c r="H716" s="402"/>
      <c r="I716" s="402"/>
      <c r="J716" s="402"/>
      <c r="K716" s="402"/>
      <c r="L716" s="402"/>
      <c r="M716" s="402"/>
      <c r="N716" s="402"/>
      <c r="O716" s="402"/>
      <c r="P716" s="402"/>
      <c r="Q716" s="402"/>
      <c r="R716" s="402"/>
      <c r="S716" s="402"/>
      <c r="T716" s="402"/>
      <c r="U716" s="402"/>
      <c r="V716" s="402"/>
      <c r="W716" s="402"/>
      <c r="X716" s="402"/>
      <c r="Y716" s="402"/>
      <c r="Z716" s="402"/>
    </row>
    <row r="717" ht="14.25" customHeight="1">
      <c r="A717" s="402"/>
      <c r="B717" s="402"/>
      <c r="C717" s="402"/>
      <c r="D717" s="402"/>
      <c r="E717" s="402"/>
      <c r="F717" s="403"/>
      <c r="G717" s="403"/>
      <c r="H717" s="402"/>
      <c r="I717" s="402"/>
      <c r="J717" s="402"/>
      <c r="K717" s="402"/>
      <c r="L717" s="402"/>
      <c r="M717" s="402"/>
      <c r="N717" s="402"/>
      <c r="O717" s="402"/>
      <c r="P717" s="402"/>
      <c r="Q717" s="402"/>
      <c r="R717" s="402"/>
      <c r="S717" s="402"/>
      <c r="T717" s="402"/>
      <c r="U717" s="402"/>
      <c r="V717" s="402"/>
      <c r="W717" s="402"/>
      <c r="X717" s="402"/>
      <c r="Y717" s="402"/>
      <c r="Z717" s="402"/>
    </row>
    <row r="718" ht="14.25" customHeight="1">
      <c r="A718" s="402"/>
      <c r="B718" s="402"/>
      <c r="C718" s="402"/>
      <c r="D718" s="402"/>
      <c r="E718" s="402"/>
      <c r="F718" s="403"/>
      <c r="G718" s="403"/>
      <c r="H718" s="402"/>
      <c r="I718" s="402"/>
      <c r="J718" s="402"/>
      <c r="K718" s="402"/>
      <c r="L718" s="402"/>
      <c r="M718" s="402"/>
      <c r="N718" s="402"/>
      <c r="O718" s="402"/>
      <c r="P718" s="402"/>
      <c r="Q718" s="402"/>
      <c r="R718" s="402"/>
      <c r="S718" s="402"/>
      <c r="T718" s="402"/>
      <c r="U718" s="402"/>
      <c r="V718" s="402"/>
      <c r="W718" s="402"/>
      <c r="X718" s="402"/>
      <c r="Y718" s="402"/>
      <c r="Z718" s="402"/>
    </row>
    <row r="719" ht="14.25" customHeight="1">
      <c r="A719" s="402"/>
      <c r="B719" s="402"/>
      <c r="C719" s="402"/>
      <c r="D719" s="402"/>
      <c r="E719" s="402"/>
      <c r="F719" s="403"/>
      <c r="G719" s="403"/>
      <c r="H719" s="402"/>
      <c r="I719" s="402"/>
      <c r="J719" s="402"/>
      <c r="K719" s="402"/>
      <c r="L719" s="402"/>
      <c r="M719" s="402"/>
      <c r="N719" s="402"/>
      <c r="O719" s="402"/>
      <c r="P719" s="402"/>
      <c r="Q719" s="402"/>
      <c r="R719" s="402"/>
      <c r="S719" s="402"/>
      <c r="T719" s="402"/>
      <c r="U719" s="402"/>
      <c r="V719" s="402"/>
      <c r="W719" s="402"/>
      <c r="X719" s="402"/>
      <c r="Y719" s="402"/>
      <c r="Z719" s="402"/>
    </row>
    <row r="720" ht="14.25" customHeight="1">
      <c r="A720" s="402"/>
      <c r="B720" s="402"/>
      <c r="C720" s="402"/>
      <c r="D720" s="402"/>
      <c r="E720" s="402"/>
      <c r="F720" s="403"/>
      <c r="G720" s="403"/>
      <c r="H720" s="402"/>
      <c r="I720" s="402"/>
      <c r="J720" s="402"/>
      <c r="K720" s="402"/>
      <c r="L720" s="402"/>
      <c r="M720" s="402"/>
      <c r="N720" s="402"/>
      <c r="O720" s="402"/>
      <c r="P720" s="402"/>
      <c r="Q720" s="402"/>
      <c r="R720" s="402"/>
      <c r="S720" s="402"/>
      <c r="T720" s="402"/>
      <c r="U720" s="402"/>
      <c r="V720" s="402"/>
      <c r="W720" s="402"/>
      <c r="X720" s="402"/>
      <c r="Y720" s="402"/>
      <c r="Z720" s="402"/>
    </row>
    <row r="721" ht="14.25" customHeight="1">
      <c r="A721" s="402"/>
      <c r="B721" s="402"/>
      <c r="C721" s="402"/>
      <c r="D721" s="402"/>
      <c r="E721" s="402"/>
      <c r="F721" s="403"/>
      <c r="G721" s="403"/>
      <c r="H721" s="402"/>
      <c r="I721" s="402"/>
      <c r="J721" s="402"/>
      <c r="K721" s="402"/>
      <c r="L721" s="402"/>
      <c r="M721" s="402"/>
      <c r="N721" s="402"/>
      <c r="O721" s="402"/>
      <c r="P721" s="402"/>
      <c r="Q721" s="402"/>
      <c r="R721" s="402"/>
      <c r="S721" s="402"/>
      <c r="T721" s="402"/>
      <c r="U721" s="402"/>
      <c r="V721" s="402"/>
      <c r="W721" s="402"/>
      <c r="X721" s="402"/>
      <c r="Y721" s="402"/>
      <c r="Z721" s="402"/>
    </row>
    <row r="722" ht="14.25" customHeight="1">
      <c r="A722" s="402"/>
      <c r="B722" s="402"/>
      <c r="C722" s="402"/>
      <c r="D722" s="402"/>
      <c r="E722" s="402"/>
      <c r="F722" s="403"/>
      <c r="G722" s="403"/>
      <c r="H722" s="402"/>
      <c r="I722" s="402"/>
      <c r="J722" s="402"/>
      <c r="K722" s="402"/>
      <c r="L722" s="402"/>
      <c r="M722" s="402"/>
      <c r="N722" s="402"/>
      <c r="O722" s="402"/>
      <c r="P722" s="402"/>
      <c r="Q722" s="402"/>
      <c r="R722" s="402"/>
      <c r="S722" s="402"/>
      <c r="T722" s="402"/>
      <c r="U722" s="402"/>
      <c r="V722" s="402"/>
      <c r="W722" s="402"/>
      <c r="X722" s="402"/>
      <c r="Y722" s="402"/>
      <c r="Z722" s="402"/>
    </row>
    <row r="723" ht="14.25" customHeight="1">
      <c r="A723" s="402"/>
      <c r="B723" s="402"/>
      <c r="C723" s="402"/>
      <c r="D723" s="402"/>
      <c r="E723" s="402"/>
      <c r="F723" s="403"/>
      <c r="G723" s="403"/>
      <c r="H723" s="402"/>
      <c r="I723" s="402"/>
      <c r="J723" s="402"/>
      <c r="K723" s="402"/>
      <c r="L723" s="402"/>
      <c r="M723" s="402"/>
      <c r="N723" s="402"/>
      <c r="O723" s="402"/>
      <c r="P723" s="402"/>
      <c r="Q723" s="402"/>
      <c r="R723" s="402"/>
      <c r="S723" s="402"/>
      <c r="T723" s="402"/>
      <c r="U723" s="402"/>
      <c r="V723" s="402"/>
      <c r="W723" s="402"/>
      <c r="X723" s="402"/>
      <c r="Y723" s="402"/>
      <c r="Z723" s="402"/>
    </row>
    <row r="724" ht="14.25" customHeight="1">
      <c r="A724" s="402"/>
      <c r="B724" s="402"/>
      <c r="C724" s="402"/>
      <c r="D724" s="402"/>
      <c r="E724" s="402"/>
      <c r="F724" s="403"/>
      <c r="G724" s="403"/>
      <c r="H724" s="402"/>
      <c r="I724" s="402"/>
      <c r="J724" s="402"/>
      <c r="K724" s="402"/>
      <c r="L724" s="402"/>
      <c r="M724" s="402"/>
      <c r="N724" s="402"/>
      <c r="O724" s="402"/>
      <c r="P724" s="402"/>
      <c r="Q724" s="402"/>
      <c r="R724" s="402"/>
      <c r="S724" s="402"/>
      <c r="T724" s="402"/>
      <c r="U724" s="402"/>
      <c r="V724" s="402"/>
      <c r="W724" s="402"/>
      <c r="X724" s="402"/>
      <c r="Y724" s="402"/>
      <c r="Z724" s="402"/>
    </row>
    <row r="725" ht="14.25" customHeight="1">
      <c r="A725" s="402"/>
      <c r="B725" s="402"/>
      <c r="C725" s="402"/>
      <c r="D725" s="402"/>
      <c r="E725" s="402"/>
      <c r="F725" s="403"/>
      <c r="G725" s="403"/>
      <c r="H725" s="402"/>
      <c r="I725" s="402"/>
      <c r="J725" s="402"/>
      <c r="K725" s="402"/>
      <c r="L725" s="402"/>
      <c r="M725" s="402"/>
      <c r="N725" s="402"/>
      <c r="O725" s="402"/>
      <c r="P725" s="402"/>
      <c r="Q725" s="402"/>
      <c r="R725" s="402"/>
      <c r="S725" s="402"/>
      <c r="T725" s="402"/>
      <c r="U725" s="402"/>
      <c r="V725" s="402"/>
      <c r="W725" s="402"/>
      <c r="X725" s="402"/>
      <c r="Y725" s="402"/>
      <c r="Z725" s="402"/>
    </row>
    <row r="726" ht="14.25" customHeight="1">
      <c r="A726" s="402"/>
      <c r="B726" s="402"/>
      <c r="C726" s="402"/>
      <c r="D726" s="402"/>
      <c r="E726" s="402"/>
      <c r="F726" s="403"/>
      <c r="G726" s="403"/>
      <c r="H726" s="402"/>
      <c r="I726" s="402"/>
      <c r="J726" s="402"/>
      <c r="K726" s="402"/>
      <c r="L726" s="402"/>
      <c r="M726" s="402"/>
      <c r="N726" s="402"/>
      <c r="O726" s="402"/>
      <c r="P726" s="402"/>
      <c r="Q726" s="402"/>
      <c r="R726" s="402"/>
      <c r="S726" s="402"/>
      <c r="T726" s="402"/>
      <c r="U726" s="402"/>
      <c r="V726" s="402"/>
      <c r="W726" s="402"/>
      <c r="X726" s="402"/>
      <c r="Y726" s="402"/>
      <c r="Z726" s="402"/>
    </row>
    <row r="727" ht="14.25" customHeight="1">
      <c r="A727" s="402"/>
      <c r="B727" s="402"/>
      <c r="C727" s="402"/>
      <c r="D727" s="402"/>
      <c r="E727" s="402"/>
      <c r="F727" s="403"/>
      <c r="G727" s="403"/>
      <c r="H727" s="402"/>
      <c r="I727" s="402"/>
      <c r="J727" s="402"/>
      <c r="K727" s="402"/>
      <c r="L727" s="402"/>
      <c r="M727" s="402"/>
      <c r="N727" s="402"/>
      <c r="O727" s="402"/>
      <c r="P727" s="402"/>
      <c r="Q727" s="402"/>
      <c r="R727" s="402"/>
      <c r="S727" s="402"/>
      <c r="T727" s="402"/>
      <c r="U727" s="402"/>
      <c r="V727" s="402"/>
      <c r="W727" s="402"/>
      <c r="X727" s="402"/>
      <c r="Y727" s="402"/>
      <c r="Z727" s="402"/>
    </row>
    <row r="728" ht="14.25" customHeight="1">
      <c r="A728" s="402"/>
      <c r="B728" s="402"/>
      <c r="C728" s="402"/>
      <c r="D728" s="402"/>
      <c r="E728" s="402"/>
      <c r="F728" s="403"/>
      <c r="G728" s="403"/>
      <c r="H728" s="402"/>
      <c r="I728" s="402"/>
      <c r="J728" s="402"/>
      <c r="K728" s="402"/>
      <c r="L728" s="402"/>
      <c r="M728" s="402"/>
      <c r="N728" s="402"/>
      <c r="O728" s="402"/>
      <c r="P728" s="402"/>
      <c r="Q728" s="402"/>
      <c r="R728" s="402"/>
      <c r="S728" s="402"/>
      <c r="T728" s="402"/>
      <c r="U728" s="402"/>
      <c r="V728" s="402"/>
      <c r="W728" s="402"/>
      <c r="X728" s="402"/>
      <c r="Y728" s="402"/>
      <c r="Z728" s="402"/>
    </row>
    <row r="729" ht="14.25" customHeight="1">
      <c r="A729" s="402"/>
      <c r="B729" s="402"/>
      <c r="C729" s="402"/>
      <c r="D729" s="402"/>
      <c r="E729" s="402"/>
      <c r="F729" s="403"/>
      <c r="G729" s="403"/>
      <c r="H729" s="402"/>
      <c r="I729" s="402"/>
      <c r="J729" s="402"/>
      <c r="K729" s="402"/>
      <c r="L729" s="402"/>
      <c r="M729" s="402"/>
      <c r="N729" s="402"/>
      <c r="O729" s="402"/>
      <c r="P729" s="402"/>
      <c r="Q729" s="402"/>
      <c r="R729" s="402"/>
      <c r="S729" s="402"/>
      <c r="T729" s="402"/>
      <c r="U729" s="402"/>
      <c r="V729" s="402"/>
      <c r="W729" s="402"/>
      <c r="X729" s="402"/>
      <c r="Y729" s="402"/>
      <c r="Z729" s="402"/>
    </row>
    <row r="730" ht="14.25" customHeight="1">
      <c r="A730" s="402"/>
      <c r="B730" s="402"/>
      <c r="C730" s="402"/>
      <c r="D730" s="402"/>
      <c r="E730" s="402"/>
      <c r="F730" s="403"/>
      <c r="G730" s="403"/>
      <c r="H730" s="402"/>
      <c r="I730" s="402"/>
      <c r="J730" s="402"/>
      <c r="K730" s="402"/>
      <c r="L730" s="402"/>
      <c r="M730" s="402"/>
      <c r="N730" s="402"/>
      <c r="O730" s="402"/>
      <c r="P730" s="402"/>
      <c r="Q730" s="402"/>
      <c r="R730" s="402"/>
      <c r="S730" s="402"/>
      <c r="T730" s="402"/>
      <c r="U730" s="402"/>
      <c r="V730" s="402"/>
      <c r="W730" s="402"/>
      <c r="X730" s="402"/>
      <c r="Y730" s="402"/>
      <c r="Z730" s="402"/>
    </row>
    <row r="731" ht="14.25" customHeight="1">
      <c r="A731" s="402"/>
      <c r="B731" s="402"/>
      <c r="C731" s="402"/>
      <c r="D731" s="402"/>
      <c r="E731" s="402"/>
      <c r="F731" s="403"/>
      <c r="G731" s="403"/>
      <c r="H731" s="402"/>
      <c r="I731" s="402"/>
      <c r="J731" s="402"/>
      <c r="K731" s="402"/>
      <c r="L731" s="402"/>
      <c r="M731" s="402"/>
      <c r="N731" s="402"/>
      <c r="O731" s="402"/>
      <c r="P731" s="402"/>
      <c r="Q731" s="402"/>
      <c r="R731" s="402"/>
      <c r="S731" s="402"/>
      <c r="T731" s="402"/>
      <c r="U731" s="402"/>
      <c r="V731" s="402"/>
      <c r="W731" s="402"/>
      <c r="X731" s="402"/>
      <c r="Y731" s="402"/>
      <c r="Z731" s="402"/>
    </row>
    <row r="732" ht="14.25" customHeight="1">
      <c r="A732" s="402"/>
      <c r="B732" s="402"/>
      <c r="C732" s="402"/>
      <c r="D732" s="402"/>
      <c r="E732" s="402"/>
      <c r="F732" s="403"/>
      <c r="G732" s="403"/>
      <c r="H732" s="402"/>
      <c r="I732" s="402"/>
      <c r="J732" s="402"/>
      <c r="K732" s="402"/>
      <c r="L732" s="402"/>
      <c r="M732" s="402"/>
      <c r="N732" s="402"/>
      <c r="O732" s="402"/>
      <c r="P732" s="402"/>
      <c r="Q732" s="402"/>
      <c r="R732" s="402"/>
      <c r="S732" s="402"/>
      <c r="T732" s="402"/>
      <c r="U732" s="402"/>
      <c r="V732" s="402"/>
      <c r="W732" s="402"/>
      <c r="X732" s="402"/>
      <c r="Y732" s="402"/>
      <c r="Z732" s="402"/>
    </row>
    <row r="733" ht="14.25" customHeight="1">
      <c r="A733" s="402"/>
      <c r="B733" s="402"/>
      <c r="C733" s="402"/>
      <c r="D733" s="402"/>
      <c r="E733" s="402"/>
      <c r="F733" s="403"/>
      <c r="G733" s="403"/>
      <c r="H733" s="402"/>
      <c r="I733" s="402"/>
      <c r="J733" s="402"/>
      <c r="K733" s="402"/>
      <c r="L733" s="402"/>
      <c r="M733" s="402"/>
      <c r="N733" s="402"/>
      <c r="O733" s="402"/>
      <c r="P733" s="402"/>
      <c r="Q733" s="402"/>
      <c r="R733" s="402"/>
      <c r="S733" s="402"/>
      <c r="T733" s="402"/>
      <c r="U733" s="402"/>
      <c r="V733" s="402"/>
      <c r="W733" s="402"/>
      <c r="X733" s="402"/>
      <c r="Y733" s="402"/>
      <c r="Z733" s="402"/>
    </row>
    <row r="734" ht="14.25" customHeight="1">
      <c r="A734" s="402"/>
      <c r="B734" s="402"/>
      <c r="C734" s="402"/>
      <c r="D734" s="402"/>
      <c r="E734" s="402"/>
      <c r="F734" s="403"/>
      <c r="G734" s="403"/>
      <c r="H734" s="402"/>
      <c r="I734" s="402"/>
      <c r="J734" s="402"/>
      <c r="K734" s="402"/>
      <c r="L734" s="402"/>
      <c r="M734" s="402"/>
      <c r="N734" s="402"/>
      <c r="O734" s="402"/>
      <c r="P734" s="402"/>
      <c r="Q734" s="402"/>
      <c r="R734" s="402"/>
      <c r="S734" s="402"/>
      <c r="T734" s="402"/>
      <c r="U734" s="402"/>
      <c r="V734" s="402"/>
      <c r="W734" s="402"/>
      <c r="X734" s="402"/>
      <c r="Y734" s="402"/>
      <c r="Z734" s="402"/>
    </row>
    <row r="735" ht="14.25" customHeight="1">
      <c r="A735" s="402"/>
      <c r="B735" s="402"/>
      <c r="C735" s="402"/>
      <c r="D735" s="402"/>
      <c r="E735" s="402"/>
      <c r="F735" s="403"/>
      <c r="G735" s="403"/>
      <c r="H735" s="402"/>
      <c r="I735" s="402"/>
      <c r="J735" s="402"/>
      <c r="K735" s="402"/>
      <c r="L735" s="402"/>
      <c r="M735" s="402"/>
      <c r="N735" s="402"/>
      <c r="O735" s="402"/>
      <c r="P735" s="402"/>
      <c r="Q735" s="402"/>
      <c r="R735" s="402"/>
      <c r="S735" s="402"/>
      <c r="T735" s="402"/>
      <c r="U735" s="402"/>
      <c r="V735" s="402"/>
      <c r="W735" s="402"/>
      <c r="X735" s="402"/>
      <c r="Y735" s="402"/>
      <c r="Z735" s="402"/>
    </row>
    <row r="736" ht="14.25" customHeight="1">
      <c r="A736" s="402"/>
      <c r="B736" s="402"/>
      <c r="C736" s="402"/>
      <c r="D736" s="402"/>
      <c r="E736" s="402"/>
      <c r="F736" s="403"/>
      <c r="G736" s="403"/>
      <c r="H736" s="402"/>
      <c r="I736" s="402"/>
      <c r="J736" s="402"/>
      <c r="K736" s="402"/>
      <c r="L736" s="402"/>
      <c r="M736" s="402"/>
      <c r="N736" s="402"/>
      <c r="O736" s="402"/>
      <c r="P736" s="402"/>
      <c r="Q736" s="402"/>
      <c r="R736" s="402"/>
      <c r="S736" s="402"/>
      <c r="T736" s="402"/>
      <c r="U736" s="402"/>
      <c r="V736" s="402"/>
      <c r="W736" s="402"/>
      <c r="X736" s="402"/>
      <c r="Y736" s="402"/>
      <c r="Z736" s="402"/>
    </row>
    <row r="737" ht="14.25" customHeight="1">
      <c r="A737" s="402"/>
      <c r="B737" s="402"/>
      <c r="C737" s="402"/>
      <c r="D737" s="402"/>
      <c r="E737" s="402"/>
      <c r="F737" s="403"/>
      <c r="G737" s="403"/>
      <c r="H737" s="402"/>
      <c r="I737" s="402"/>
      <c r="J737" s="402"/>
      <c r="K737" s="402"/>
      <c r="L737" s="402"/>
      <c r="M737" s="402"/>
      <c r="N737" s="402"/>
      <c r="O737" s="402"/>
      <c r="P737" s="402"/>
      <c r="Q737" s="402"/>
      <c r="R737" s="402"/>
      <c r="S737" s="402"/>
      <c r="T737" s="402"/>
      <c r="U737" s="402"/>
      <c r="V737" s="402"/>
      <c r="W737" s="402"/>
      <c r="X737" s="402"/>
      <c r="Y737" s="402"/>
      <c r="Z737" s="402"/>
    </row>
    <row r="738" ht="14.25" customHeight="1">
      <c r="A738" s="402"/>
      <c r="B738" s="402"/>
      <c r="C738" s="402"/>
      <c r="D738" s="402"/>
      <c r="E738" s="402"/>
      <c r="F738" s="403"/>
      <c r="G738" s="403"/>
      <c r="H738" s="402"/>
      <c r="I738" s="402"/>
      <c r="J738" s="402"/>
      <c r="K738" s="402"/>
      <c r="L738" s="402"/>
      <c r="M738" s="402"/>
      <c r="N738" s="402"/>
      <c r="O738" s="402"/>
      <c r="P738" s="402"/>
      <c r="Q738" s="402"/>
      <c r="R738" s="402"/>
      <c r="S738" s="402"/>
      <c r="T738" s="402"/>
      <c r="U738" s="402"/>
      <c r="V738" s="402"/>
      <c r="W738" s="402"/>
      <c r="X738" s="402"/>
      <c r="Y738" s="402"/>
      <c r="Z738" s="402"/>
    </row>
    <row r="739" ht="14.25" customHeight="1">
      <c r="A739" s="402"/>
      <c r="B739" s="402"/>
      <c r="C739" s="402"/>
      <c r="D739" s="402"/>
      <c r="E739" s="402"/>
      <c r="F739" s="403"/>
      <c r="G739" s="403"/>
      <c r="H739" s="402"/>
      <c r="I739" s="402"/>
      <c r="J739" s="402"/>
      <c r="K739" s="402"/>
      <c r="L739" s="402"/>
      <c r="M739" s="402"/>
      <c r="N739" s="402"/>
      <c r="O739" s="402"/>
      <c r="P739" s="402"/>
      <c r="Q739" s="402"/>
      <c r="R739" s="402"/>
      <c r="S739" s="402"/>
      <c r="T739" s="402"/>
      <c r="U739" s="402"/>
      <c r="V739" s="402"/>
      <c r="W739" s="402"/>
      <c r="X739" s="402"/>
      <c r="Y739" s="402"/>
      <c r="Z739" s="402"/>
    </row>
    <row r="740" ht="14.25" customHeight="1">
      <c r="A740" s="402"/>
      <c r="B740" s="402"/>
      <c r="C740" s="402"/>
      <c r="D740" s="402"/>
      <c r="E740" s="402"/>
      <c r="F740" s="403"/>
      <c r="G740" s="403"/>
      <c r="H740" s="402"/>
      <c r="I740" s="402"/>
      <c r="J740" s="402"/>
      <c r="K740" s="402"/>
      <c r="L740" s="402"/>
      <c r="M740" s="402"/>
      <c r="N740" s="402"/>
      <c r="O740" s="402"/>
      <c r="P740" s="402"/>
      <c r="Q740" s="402"/>
      <c r="R740" s="402"/>
      <c r="S740" s="402"/>
      <c r="T740" s="402"/>
      <c r="U740" s="402"/>
      <c r="V740" s="402"/>
      <c r="W740" s="402"/>
      <c r="X740" s="402"/>
      <c r="Y740" s="402"/>
      <c r="Z740" s="402"/>
    </row>
    <row r="741" ht="14.25" customHeight="1">
      <c r="A741" s="402"/>
      <c r="B741" s="402"/>
      <c r="C741" s="402"/>
      <c r="D741" s="402"/>
      <c r="E741" s="402"/>
      <c r="F741" s="403"/>
      <c r="G741" s="403"/>
      <c r="H741" s="402"/>
      <c r="I741" s="402"/>
      <c r="J741" s="402"/>
      <c r="K741" s="402"/>
      <c r="L741" s="402"/>
      <c r="M741" s="402"/>
      <c r="N741" s="402"/>
      <c r="O741" s="402"/>
      <c r="P741" s="402"/>
      <c r="Q741" s="402"/>
      <c r="R741" s="402"/>
      <c r="S741" s="402"/>
      <c r="T741" s="402"/>
      <c r="U741" s="402"/>
      <c r="V741" s="402"/>
      <c r="W741" s="402"/>
      <c r="X741" s="402"/>
      <c r="Y741" s="402"/>
      <c r="Z741" s="402"/>
    </row>
    <row r="742" ht="14.25" customHeight="1">
      <c r="A742" s="402"/>
      <c r="B742" s="402"/>
      <c r="C742" s="402"/>
      <c r="D742" s="402"/>
      <c r="E742" s="402"/>
      <c r="F742" s="403"/>
      <c r="G742" s="403"/>
      <c r="H742" s="402"/>
      <c r="I742" s="402"/>
      <c r="J742" s="402"/>
      <c r="K742" s="402"/>
      <c r="L742" s="402"/>
      <c r="M742" s="402"/>
      <c r="N742" s="402"/>
      <c r="O742" s="402"/>
      <c r="P742" s="402"/>
      <c r="Q742" s="402"/>
      <c r="R742" s="402"/>
      <c r="S742" s="402"/>
      <c r="T742" s="402"/>
      <c r="U742" s="402"/>
      <c r="V742" s="402"/>
      <c r="W742" s="402"/>
      <c r="X742" s="402"/>
      <c r="Y742" s="402"/>
      <c r="Z742" s="402"/>
    </row>
    <row r="743" ht="14.25" customHeight="1">
      <c r="A743" s="402"/>
      <c r="B743" s="402"/>
      <c r="C743" s="402"/>
      <c r="D743" s="402"/>
      <c r="E743" s="402"/>
      <c r="F743" s="403"/>
      <c r="G743" s="403"/>
      <c r="H743" s="402"/>
      <c r="I743" s="402"/>
      <c r="J743" s="402"/>
      <c r="K743" s="402"/>
      <c r="L743" s="402"/>
      <c r="M743" s="402"/>
      <c r="N743" s="402"/>
      <c r="O743" s="402"/>
      <c r="P743" s="402"/>
      <c r="Q743" s="402"/>
      <c r="R743" s="402"/>
      <c r="S743" s="402"/>
      <c r="T743" s="402"/>
      <c r="U743" s="402"/>
      <c r="V743" s="402"/>
      <c r="W743" s="402"/>
      <c r="X743" s="402"/>
      <c r="Y743" s="402"/>
      <c r="Z743" s="402"/>
    </row>
    <row r="744" ht="14.25" customHeight="1">
      <c r="A744" s="402"/>
      <c r="B744" s="402"/>
      <c r="C744" s="402"/>
      <c r="D744" s="402"/>
      <c r="E744" s="402"/>
      <c r="F744" s="403"/>
      <c r="G744" s="403"/>
      <c r="H744" s="402"/>
      <c r="I744" s="402"/>
      <c r="J744" s="402"/>
      <c r="K744" s="402"/>
      <c r="L744" s="402"/>
      <c r="M744" s="402"/>
      <c r="N744" s="402"/>
      <c r="O744" s="402"/>
      <c r="P744" s="402"/>
      <c r="Q744" s="402"/>
      <c r="R744" s="402"/>
      <c r="S744" s="402"/>
      <c r="T744" s="402"/>
      <c r="U744" s="402"/>
      <c r="V744" s="402"/>
      <c r="W744" s="402"/>
      <c r="X744" s="402"/>
      <c r="Y744" s="402"/>
      <c r="Z744" s="402"/>
    </row>
    <row r="745" ht="14.25" customHeight="1">
      <c r="A745" s="402"/>
      <c r="B745" s="402"/>
      <c r="C745" s="402"/>
      <c r="D745" s="402"/>
      <c r="E745" s="402"/>
      <c r="F745" s="403"/>
      <c r="G745" s="403"/>
      <c r="H745" s="402"/>
      <c r="I745" s="402"/>
      <c r="J745" s="402"/>
      <c r="K745" s="402"/>
      <c r="L745" s="402"/>
      <c r="M745" s="402"/>
      <c r="N745" s="402"/>
      <c r="O745" s="402"/>
      <c r="P745" s="402"/>
      <c r="Q745" s="402"/>
      <c r="R745" s="402"/>
      <c r="S745" s="402"/>
      <c r="T745" s="402"/>
      <c r="U745" s="402"/>
      <c r="V745" s="402"/>
      <c r="W745" s="402"/>
      <c r="X745" s="402"/>
      <c r="Y745" s="402"/>
      <c r="Z745" s="402"/>
    </row>
    <row r="746" ht="14.25" customHeight="1">
      <c r="A746" s="402"/>
      <c r="B746" s="402"/>
      <c r="C746" s="402"/>
      <c r="D746" s="402"/>
      <c r="E746" s="402"/>
      <c r="F746" s="403"/>
      <c r="G746" s="403"/>
      <c r="H746" s="402"/>
      <c r="I746" s="402"/>
      <c r="J746" s="402"/>
      <c r="K746" s="402"/>
      <c r="L746" s="402"/>
      <c r="M746" s="402"/>
      <c r="N746" s="402"/>
      <c r="O746" s="402"/>
      <c r="P746" s="402"/>
      <c r="Q746" s="402"/>
      <c r="R746" s="402"/>
      <c r="S746" s="402"/>
      <c r="T746" s="402"/>
      <c r="U746" s="402"/>
      <c r="V746" s="402"/>
      <c r="W746" s="402"/>
      <c r="X746" s="402"/>
      <c r="Y746" s="402"/>
      <c r="Z746" s="402"/>
    </row>
    <row r="747" ht="14.25" customHeight="1">
      <c r="A747" s="402"/>
      <c r="B747" s="402"/>
      <c r="C747" s="402"/>
      <c r="D747" s="402"/>
      <c r="E747" s="402"/>
      <c r="F747" s="403"/>
      <c r="G747" s="403"/>
      <c r="H747" s="402"/>
      <c r="I747" s="402"/>
      <c r="J747" s="402"/>
      <c r="K747" s="402"/>
      <c r="L747" s="402"/>
      <c r="M747" s="402"/>
      <c r="N747" s="402"/>
      <c r="O747" s="402"/>
      <c r="P747" s="402"/>
      <c r="Q747" s="402"/>
      <c r="R747" s="402"/>
      <c r="S747" s="402"/>
      <c r="T747" s="402"/>
      <c r="U747" s="402"/>
      <c r="V747" s="402"/>
      <c r="W747" s="402"/>
      <c r="X747" s="402"/>
      <c r="Y747" s="402"/>
      <c r="Z747" s="402"/>
    </row>
    <row r="748" ht="14.25" customHeight="1">
      <c r="A748" s="402"/>
      <c r="B748" s="402"/>
      <c r="C748" s="402"/>
      <c r="D748" s="402"/>
      <c r="E748" s="402"/>
      <c r="F748" s="403"/>
      <c r="G748" s="403"/>
      <c r="H748" s="402"/>
      <c r="I748" s="402"/>
      <c r="J748" s="402"/>
      <c r="K748" s="402"/>
      <c r="L748" s="402"/>
      <c r="M748" s="402"/>
      <c r="N748" s="402"/>
      <c r="O748" s="402"/>
      <c r="P748" s="402"/>
      <c r="Q748" s="402"/>
      <c r="R748" s="402"/>
      <c r="S748" s="402"/>
      <c r="T748" s="402"/>
      <c r="U748" s="402"/>
      <c r="V748" s="402"/>
      <c r="W748" s="402"/>
      <c r="X748" s="402"/>
      <c r="Y748" s="402"/>
      <c r="Z748" s="402"/>
    </row>
    <row r="749" ht="14.25" customHeight="1">
      <c r="A749" s="402"/>
      <c r="B749" s="402"/>
      <c r="C749" s="402"/>
      <c r="D749" s="402"/>
      <c r="E749" s="402"/>
      <c r="F749" s="403"/>
      <c r="G749" s="403"/>
      <c r="H749" s="402"/>
      <c r="I749" s="402"/>
      <c r="J749" s="402"/>
      <c r="K749" s="402"/>
      <c r="L749" s="402"/>
      <c r="M749" s="402"/>
      <c r="N749" s="402"/>
      <c r="O749" s="402"/>
      <c r="P749" s="402"/>
      <c r="Q749" s="402"/>
      <c r="R749" s="402"/>
      <c r="S749" s="402"/>
      <c r="T749" s="402"/>
      <c r="U749" s="402"/>
      <c r="V749" s="402"/>
      <c r="W749" s="402"/>
      <c r="X749" s="402"/>
      <c r="Y749" s="402"/>
      <c r="Z749" s="402"/>
    </row>
    <row r="750" ht="14.25" customHeight="1">
      <c r="A750" s="402"/>
      <c r="B750" s="402"/>
      <c r="C750" s="402"/>
      <c r="D750" s="402"/>
      <c r="E750" s="402"/>
      <c r="F750" s="403"/>
      <c r="G750" s="403"/>
      <c r="H750" s="402"/>
      <c r="I750" s="402"/>
      <c r="J750" s="402"/>
      <c r="K750" s="402"/>
      <c r="L750" s="402"/>
      <c r="M750" s="402"/>
      <c r="N750" s="402"/>
      <c r="O750" s="402"/>
      <c r="P750" s="402"/>
      <c r="Q750" s="402"/>
      <c r="R750" s="402"/>
      <c r="S750" s="402"/>
      <c r="T750" s="402"/>
      <c r="U750" s="402"/>
      <c r="V750" s="402"/>
      <c r="W750" s="402"/>
      <c r="X750" s="402"/>
      <c r="Y750" s="402"/>
      <c r="Z750" s="402"/>
    </row>
    <row r="751" ht="14.25" customHeight="1">
      <c r="A751" s="402"/>
      <c r="B751" s="402"/>
      <c r="C751" s="402"/>
      <c r="D751" s="402"/>
      <c r="E751" s="402"/>
      <c r="F751" s="403"/>
      <c r="G751" s="403"/>
      <c r="H751" s="402"/>
      <c r="I751" s="402"/>
      <c r="J751" s="402"/>
      <c r="K751" s="402"/>
      <c r="L751" s="402"/>
      <c r="M751" s="402"/>
      <c r="N751" s="402"/>
      <c r="O751" s="402"/>
      <c r="P751" s="402"/>
      <c r="Q751" s="402"/>
      <c r="R751" s="402"/>
      <c r="S751" s="402"/>
      <c r="T751" s="402"/>
      <c r="U751" s="402"/>
      <c r="V751" s="402"/>
      <c r="W751" s="402"/>
      <c r="X751" s="402"/>
      <c r="Y751" s="402"/>
      <c r="Z751" s="402"/>
    </row>
    <row r="752" ht="14.25" customHeight="1">
      <c r="A752" s="402"/>
      <c r="B752" s="402"/>
      <c r="C752" s="402"/>
      <c r="D752" s="402"/>
      <c r="E752" s="402"/>
      <c r="F752" s="403"/>
      <c r="G752" s="403"/>
      <c r="H752" s="402"/>
      <c r="I752" s="402"/>
      <c r="J752" s="402"/>
      <c r="K752" s="402"/>
      <c r="L752" s="402"/>
      <c r="M752" s="402"/>
      <c r="N752" s="402"/>
      <c r="O752" s="402"/>
      <c r="P752" s="402"/>
      <c r="Q752" s="402"/>
      <c r="R752" s="402"/>
      <c r="S752" s="402"/>
      <c r="T752" s="402"/>
      <c r="U752" s="402"/>
      <c r="V752" s="402"/>
      <c r="W752" s="402"/>
      <c r="X752" s="402"/>
      <c r="Y752" s="402"/>
      <c r="Z752" s="402"/>
    </row>
    <row r="753" ht="14.25" customHeight="1">
      <c r="A753" s="402"/>
      <c r="B753" s="402"/>
      <c r="C753" s="402"/>
      <c r="D753" s="402"/>
      <c r="E753" s="402"/>
      <c r="F753" s="403"/>
      <c r="G753" s="403"/>
      <c r="H753" s="402"/>
      <c r="I753" s="402"/>
      <c r="J753" s="402"/>
      <c r="K753" s="402"/>
      <c r="L753" s="402"/>
      <c r="M753" s="402"/>
      <c r="N753" s="402"/>
      <c r="O753" s="402"/>
      <c r="P753" s="402"/>
      <c r="Q753" s="402"/>
      <c r="R753" s="402"/>
      <c r="S753" s="402"/>
      <c r="T753" s="402"/>
      <c r="U753" s="402"/>
      <c r="V753" s="402"/>
      <c r="W753" s="402"/>
      <c r="X753" s="402"/>
      <c r="Y753" s="402"/>
      <c r="Z753" s="402"/>
    </row>
    <row r="754" ht="14.25" customHeight="1">
      <c r="A754" s="402"/>
      <c r="B754" s="402"/>
      <c r="C754" s="402"/>
      <c r="D754" s="402"/>
      <c r="E754" s="402"/>
      <c r="F754" s="403"/>
      <c r="G754" s="403"/>
      <c r="H754" s="402"/>
      <c r="I754" s="402"/>
      <c r="J754" s="402"/>
      <c r="K754" s="402"/>
      <c r="L754" s="402"/>
      <c r="M754" s="402"/>
      <c r="N754" s="402"/>
      <c r="O754" s="402"/>
      <c r="P754" s="402"/>
      <c r="Q754" s="402"/>
      <c r="R754" s="402"/>
      <c r="S754" s="402"/>
      <c r="T754" s="402"/>
      <c r="U754" s="402"/>
      <c r="V754" s="402"/>
      <c r="W754" s="402"/>
      <c r="X754" s="402"/>
      <c r="Y754" s="402"/>
      <c r="Z754" s="402"/>
    </row>
    <row r="755" ht="14.25" customHeight="1">
      <c r="A755" s="402"/>
      <c r="B755" s="402"/>
      <c r="C755" s="402"/>
      <c r="D755" s="402"/>
      <c r="E755" s="402"/>
      <c r="F755" s="403"/>
      <c r="G755" s="403"/>
      <c r="H755" s="402"/>
      <c r="I755" s="402"/>
      <c r="J755" s="402"/>
      <c r="K755" s="402"/>
      <c r="L755" s="402"/>
      <c r="M755" s="402"/>
      <c r="N755" s="402"/>
      <c r="O755" s="402"/>
      <c r="P755" s="402"/>
      <c r="Q755" s="402"/>
      <c r="R755" s="402"/>
      <c r="S755" s="402"/>
      <c r="T755" s="402"/>
      <c r="U755" s="402"/>
      <c r="V755" s="402"/>
      <c r="W755" s="402"/>
      <c r="X755" s="402"/>
      <c r="Y755" s="402"/>
      <c r="Z755" s="402"/>
    </row>
    <row r="756" ht="14.25" customHeight="1">
      <c r="A756" s="402"/>
      <c r="B756" s="402"/>
      <c r="C756" s="402"/>
      <c r="D756" s="402"/>
      <c r="E756" s="402"/>
      <c r="F756" s="403"/>
      <c r="G756" s="403"/>
      <c r="H756" s="402"/>
      <c r="I756" s="402"/>
      <c r="J756" s="402"/>
      <c r="K756" s="402"/>
      <c r="L756" s="402"/>
      <c r="M756" s="402"/>
      <c r="N756" s="402"/>
      <c r="O756" s="402"/>
      <c r="P756" s="402"/>
      <c r="Q756" s="402"/>
      <c r="R756" s="402"/>
      <c r="S756" s="402"/>
      <c r="T756" s="402"/>
      <c r="U756" s="402"/>
      <c r="V756" s="402"/>
      <c r="W756" s="402"/>
      <c r="X756" s="402"/>
      <c r="Y756" s="402"/>
      <c r="Z756" s="402"/>
    </row>
    <row r="757" ht="14.25" customHeight="1">
      <c r="A757" s="402"/>
      <c r="B757" s="402"/>
      <c r="C757" s="402"/>
      <c r="D757" s="402"/>
      <c r="E757" s="402"/>
      <c r="F757" s="403"/>
      <c r="G757" s="403"/>
      <c r="H757" s="402"/>
      <c r="I757" s="402"/>
      <c r="J757" s="402"/>
      <c r="K757" s="402"/>
      <c r="L757" s="402"/>
      <c r="M757" s="402"/>
      <c r="N757" s="402"/>
      <c r="O757" s="402"/>
      <c r="P757" s="402"/>
      <c r="Q757" s="402"/>
      <c r="R757" s="402"/>
      <c r="S757" s="402"/>
      <c r="T757" s="402"/>
      <c r="U757" s="402"/>
      <c r="V757" s="402"/>
      <c r="W757" s="402"/>
      <c r="X757" s="402"/>
      <c r="Y757" s="402"/>
      <c r="Z757" s="402"/>
    </row>
    <row r="758" ht="14.25" customHeight="1">
      <c r="A758" s="402"/>
      <c r="B758" s="402"/>
      <c r="C758" s="402"/>
      <c r="D758" s="402"/>
      <c r="E758" s="402"/>
      <c r="F758" s="403"/>
      <c r="G758" s="403"/>
      <c r="H758" s="402"/>
      <c r="I758" s="402"/>
      <c r="J758" s="402"/>
      <c r="K758" s="402"/>
      <c r="L758" s="402"/>
      <c r="M758" s="402"/>
      <c r="N758" s="402"/>
      <c r="O758" s="402"/>
      <c r="P758" s="402"/>
      <c r="Q758" s="402"/>
      <c r="R758" s="402"/>
      <c r="S758" s="402"/>
      <c r="T758" s="402"/>
      <c r="U758" s="402"/>
      <c r="V758" s="402"/>
      <c r="W758" s="402"/>
      <c r="X758" s="402"/>
      <c r="Y758" s="402"/>
      <c r="Z758" s="402"/>
    </row>
    <row r="759" ht="14.25" customHeight="1">
      <c r="A759" s="402"/>
      <c r="B759" s="402"/>
      <c r="C759" s="402"/>
      <c r="D759" s="402"/>
      <c r="E759" s="402"/>
      <c r="F759" s="403"/>
      <c r="G759" s="403"/>
      <c r="H759" s="402"/>
      <c r="I759" s="402"/>
      <c r="J759" s="402"/>
      <c r="K759" s="402"/>
      <c r="L759" s="402"/>
      <c r="M759" s="402"/>
      <c r="N759" s="402"/>
      <c r="O759" s="402"/>
      <c r="P759" s="402"/>
      <c r="Q759" s="402"/>
      <c r="R759" s="402"/>
      <c r="S759" s="402"/>
      <c r="T759" s="402"/>
      <c r="U759" s="402"/>
      <c r="V759" s="402"/>
      <c r="W759" s="402"/>
      <c r="X759" s="402"/>
      <c r="Y759" s="402"/>
      <c r="Z759" s="402"/>
    </row>
    <row r="760" ht="14.25" customHeight="1">
      <c r="A760" s="402"/>
      <c r="B760" s="402"/>
      <c r="C760" s="402"/>
      <c r="D760" s="402"/>
      <c r="E760" s="402"/>
      <c r="F760" s="403"/>
      <c r="G760" s="403"/>
      <c r="H760" s="402"/>
      <c r="I760" s="402"/>
      <c r="J760" s="402"/>
      <c r="K760" s="402"/>
      <c r="L760" s="402"/>
      <c r="M760" s="402"/>
      <c r="N760" s="402"/>
      <c r="O760" s="402"/>
      <c r="P760" s="402"/>
      <c r="Q760" s="402"/>
      <c r="R760" s="402"/>
      <c r="S760" s="402"/>
      <c r="T760" s="402"/>
      <c r="U760" s="402"/>
      <c r="V760" s="402"/>
      <c r="W760" s="402"/>
      <c r="X760" s="402"/>
      <c r="Y760" s="402"/>
      <c r="Z760" s="402"/>
    </row>
    <row r="761" ht="14.25" customHeight="1">
      <c r="A761" s="402"/>
      <c r="B761" s="402"/>
      <c r="C761" s="402"/>
      <c r="D761" s="402"/>
      <c r="E761" s="402"/>
      <c r="F761" s="403"/>
      <c r="G761" s="403"/>
      <c r="H761" s="402"/>
      <c r="I761" s="402"/>
      <c r="J761" s="402"/>
      <c r="K761" s="402"/>
      <c r="L761" s="402"/>
      <c r="M761" s="402"/>
      <c r="N761" s="402"/>
      <c r="O761" s="402"/>
      <c r="P761" s="402"/>
      <c r="Q761" s="402"/>
      <c r="R761" s="402"/>
      <c r="S761" s="402"/>
      <c r="T761" s="402"/>
      <c r="U761" s="402"/>
      <c r="V761" s="402"/>
      <c r="W761" s="402"/>
      <c r="X761" s="402"/>
      <c r="Y761" s="402"/>
      <c r="Z761" s="402"/>
    </row>
    <row r="762" ht="14.25" customHeight="1">
      <c r="A762" s="402"/>
      <c r="B762" s="402"/>
      <c r="C762" s="402"/>
      <c r="D762" s="402"/>
      <c r="E762" s="402"/>
      <c r="F762" s="403"/>
      <c r="G762" s="403"/>
      <c r="H762" s="402"/>
      <c r="I762" s="402"/>
      <c r="J762" s="402"/>
      <c r="K762" s="402"/>
      <c r="L762" s="402"/>
      <c r="M762" s="402"/>
      <c r="N762" s="402"/>
      <c r="O762" s="402"/>
      <c r="P762" s="402"/>
      <c r="Q762" s="402"/>
      <c r="R762" s="402"/>
      <c r="S762" s="402"/>
      <c r="T762" s="402"/>
      <c r="U762" s="402"/>
      <c r="V762" s="402"/>
      <c r="W762" s="402"/>
      <c r="X762" s="402"/>
      <c r="Y762" s="402"/>
      <c r="Z762" s="402"/>
    </row>
    <row r="763" ht="14.25" customHeight="1">
      <c r="A763" s="402"/>
      <c r="B763" s="402"/>
      <c r="C763" s="402"/>
      <c r="D763" s="402"/>
      <c r="E763" s="402"/>
      <c r="F763" s="403"/>
      <c r="G763" s="403"/>
      <c r="H763" s="402"/>
      <c r="I763" s="402"/>
      <c r="J763" s="402"/>
      <c r="K763" s="402"/>
      <c r="L763" s="402"/>
      <c r="M763" s="402"/>
      <c r="N763" s="402"/>
      <c r="O763" s="402"/>
      <c r="P763" s="402"/>
      <c r="Q763" s="402"/>
      <c r="R763" s="402"/>
      <c r="S763" s="402"/>
      <c r="T763" s="402"/>
      <c r="U763" s="402"/>
      <c r="V763" s="402"/>
      <c r="W763" s="402"/>
      <c r="X763" s="402"/>
      <c r="Y763" s="402"/>
      <c r="Z763" s="402"/>
    </row>
    <row r="764" ht="14.25" customHeight="1">
      <c r="A764" s="402"/>
      <c r="B764" s="402"/>
      <c r="C764" s="402"/>
      <c r="D764" s="402"/>
      <c r="E764" s="402"/>
      <c r="F764" s="403"/>
      <c r="G764" s="403"/>
      <c r="H764" s="402"/>
      <c r="I764" s="402"/>
      <c r="J764" s="402"/>
      <c r="K764" s="402"/>
      <c r="L764" s="402"/>
      <c r="M764" s="402"/>
      <c r="N764" s="402"/>
      <c r="O764" s="402"/>
      <c r="P764" s="402"/>
      <c r="Q764" s="402"/>
      <c r="R764" s="402"/>
      <c r="S764" s="402"/>
      <c r="T764" s="402"/>
      <c r="U764" s="402"/>
      <c r="V764" s="402"/>
      <c r="W764" s="402"/>
      <c r="X764" s="402"/>
      <c r="Y764" s="402"/>
      <c r="Z764" s="402"/>
    </row>
    <row r="765" ht="14.25" customHeight="1">
      <c r="A765" s="402"/>
      <c r="B765" s="402"/>
      <c r="C765" s="402"/>
      <c r="D765" s="402"/>
      <c r="E765" s="402"/>
      <c r="F765" s="403"/>
      <c r="G765" s="403"/>
      <c r="H765" s="402"/>
      <c r="I765" s="402"/>
      <c r="J765" s="402"/>
      <c r="K765" s="402"/>
      <c r="L765" s="402"/>
      <c r="M765" s="402"/>
      <c r="N765" s="402"/>
      <c r="O765" s="402"/>
      <c r="P765" s="402"/>
      <c r="Q765" s="402"/>
      <c r="R765" s="402"/>
      <c r="S765" s="402"/>
      <c r="T765" s="402"/>
      <c r="U765" s="402"/>
      <c r="V765" s="402"/>
      <c r="W765" s="402"/>
      <c r="X765" s="402"/>
      <c r="Y765" s="402"/>
      <c r="Z765" s="402"/>
    </row>
    <row r="766" ht="14.25" customHeight="1">
      <c r="A766" s="402"/>
      <c r="B766" s="402"/>
      <c r="C766" s="402"/>
      <c r="D766" s="402"/>
      <c r="E766" s="402"/>
      <c r="F766" s="403"/>
      <c r="G766" s="403"/>
      <c r="H766" s="402"/>
      <c r="I766" s="402"/>
      <c r="J766" s="402"/>
      <c r="K766" s="402"/>
      <c r="L766" s="402"/>
      <c r="M766" s="402"/>
      <c r="N766" s="402"/>
      <c r="O766" s="402"/>
      <c r="P766" s="402"/>
      <c r="Q766" s="402"/>
      <c r="R766" s="402"/>
      <c r="S766" s="402"/>
      <c r="T766" s="402"/>
      <c r="U766" s="402"/>
      <c r="V766" s="402"/>
      <c r="W766" s="402"/>
      <c r="X766" s="402"/>
      <c r="Y766" s="402"/>
      <c r="Z766" s="402"/>
    </row>
    <row r="767" ht="14.25" customHeight="1">
      <c r="A767" s="402"/>
      <c r="B767" s="402"/>
      <c r="C767" s="402"/>
      <c r="D767" s="402"/>
      <c r="E767" s="402"/>
      <c r="F767" s="403"/>
      <c r="G767" s="403"/>
      <c r="H767" s="402"/>
      <c r="I767" s="402"/>
      <c r="J767" s="402"/>
      <c r="K767" s="402"/>
      <c r="L767" s="402"/>
      <c r="M767" s="402"/>
      <c r="N767" s="402"/>
      <c r="O767" s="402"/>
      <c r="P767" s="402"/>
      <c r="Q767" s="402"/>
      <c r="R767" s="402"/>
      <c r="S767" s="402"/>
      <c r="T767" s="402"/>
      <c r="U767" s="402"/>
      <c r="V767" s="402"/>
      <c r="W767" s="402"/>
      <c r="X767" s="402"/>
      <c r="Y767" s="402"/>
      <c r="Z767" s="402"/>
    </row>
    <row r="768" ht="14.25" customHeight="1">
      <c r="A768" s="402"/>
      <c r="B768" s="402"/>
      <c r="C768" s="402"/>
      <c r="D768" s="402"/>
      <c r="E768" s="402"/>
      <c r="F768" s="403"/>
      <c r="G768" s="403"/>
      <c r="H768" s="402"/>
      <c r="I768" s="402"/>
      <c r="J768" s="402"/>
      <c r="K768" s="402"/>
      <c r="L768" s="402"/>
      <c r="M768" s="402"/>
      <c r="N768" s="402"/>
      <c r="O768" s="402"/>
      <c r="P768" s="402"/>
      <c r="Q768" s="402"/>
      <c r="R768" s="402"/>
      <c r="S768" s="402"/>
      <c r="T768" s="402"/>
      <c r="U768" s="402"/>
      <c r="V768" s="402"/>
      <c r="W768" s="402"/>
      <c r="X768" s="402"/>
      <c r="Y768" s="402"/>
      <c r="Z768" s="402"/>
    </row>
    <row r="769" ht="14.25" customHeight="1">
      <c r="A769" s="402"/>
      <c r="B769" s="402"/>
      <c r="C769" s="402"/>
      <c r="D769" s="402"/>
      <c r="E769" s="402"/>
      <c r="F769" s="403"/>
      <c r="G769" s="403"/>
      <c r="H769" s="402"/>
      <c r="I769" s="402"/>
      <c r="J769" s="402"/>
      <c r="K769" s="402"/>
      <c r="L769" s="402"/>
      <c r="M769" s="402"/>
      <c r="N769" s="402"/>
      <c r="O769" s="402"/>
      <c r="P769" s="402"/>
      <c r="Q769" s="402"/>
      <c r="R769" s="402"/>
      <c r="S769" s="402"/>
      <c r="T769" s="402"/>
      <c r="U769" s="402"/>
      <c r="V769" s="402"/>
      <c r="W769" s="402"/>
      <c r="X769" s="402"/>
      <c r="Y769" s="402"/>
      <c r="Z769" s="402"/>
    </row>
    <row r="770" ht="14.25" customHeight="1">
      <c r="A770" s="402"/>
      <c r="B770" s="402"/>
      <c r="C770" s="402"/>
      <c r="D770" s="402"/>
      <c r="E770" s="402"/>
      <c r="F770" s="403"/>
      <c r="G770" s="403"/>
      <c r="H770" s="402"/>
      <c r="I770" s="402"/>
      <c r="J770" s="402"/>
      <c r="K770" s="402"/>
      <c r="L770" s="402"/>
      <c r="M770" s="402"/>
      <c r="N770" s="402"/>
      <c r="O770" s="402"/>
      <c r="P770" s="402"/>
      <c r="Q770" s="402"/>
      <c r="R770" s="402"/>
      <c r="S770" s="402"/>
      <c r="T770" s="402"/>
      <c r="U770" s="402"/>
      <c r="V770" s="402"/>
      <c r="W770" s="402"/>
      <c r="X770" s="402"/>
      <c r="Y770" s="402"/>
      <c r="Z770" s="402"/>
    </row>
    <row r="771" ht="14.25" customHeight="1">
      <c r="A771" s="402"/>
      <c r="B771" s="402"/>
      <c r="C771" s="402"/>
      <c r="D771" s="402"/>
      <c r="E771" s="402"/>
      <c r="F771" s="403"/>
      <c r="G771" s="403"/>
      <c r="H771" s="402"/>
      <c r="I771" s="402"/>
      <c r="J771" s="402"/>
      <c r="K771" s="402"/>
      <c r="L771" s="402"/>
      <c r="M771" s="402"/>
      <c r="N771" s="402"/>
      <c r="O771" s="402"/>
      <c r="P771" s="402"/>
      <c r="Q771" s="402"/>
      <c r="R771" s="402"/>
      <c r="S771" s="402"/>
      <c r="T771" s="402"/>
      <c r="U771" s="402"/>
      <c r="V771" s="402"/>
      <c r="W771" s="402"/>
      <c r="X771" s="402"/>
      <c r="Y771" s="402"/>
      <c r="Z771" s="402"/>
    </row>
    <row r="772" ht="14.25" customHeight="1">
      <c r="A772" s="402"/>
      <c r="B772" s="402"/>
      <c r="C772" s="402"/>
      <c r="D772" s="402"/>
      <c r="E772" s="402"/>
      <c r="F772" s="403"/>
      <c r="G772" s="403"/>
      <c r="H772" s="402"/>
      <c r="I772" s="402"/>
      <c r="J772" s="402"/>
      <c r="K772" s="402"/>
      <c r="L772" s="402"/>
      <c r="M772" s="402"/>
      <c r="N772" s="402"/>
      <c r="O772" s="402"/>
      <c r="P772" s="402"/>
      <c r="Q772" s="402"/>
      <c r="R772" s="402"/>
      <c r="S772" s="402"/>
      <c r="T772" s="402"/>
      <c r="U772" s="402"/>
      <c r="V772" s="402"/>
      <c r="W772" s="402"/>
      <c r="X772" s="402"/>
      <c r="Y772" s="402"/>
      <c r="Z772" s="402"/>
    </row>
    <row r="773" ht="14.25" customHeight="1">
      <c r="A773" s="402"/>
      <c r="B773" s="402"/>
      <c r="C773" s="402"/>
      <c r="D773" s="402"/>
      <c r="E773" s="402"/>
      <c r="F773" s="403"/>
      <c r="G773" s="403"/>
      <c r="H773" s="402"/>
      <c r="I773" s="402"/>
      <c r="J773" s="402"/>
      <c r="K773" s="402"/>
      <c r="L773" s="402"/>
      <c r="M773" s="402"/>
      <c r="N773" s="402"/>
      <c r="O773" s="402"/>
      <c r="P773" s="402"/>
      <c r="Q773" s="402"/>
      <c r="R773" s="402"/>
      <c r="S773" s="402"/>
      <c r="T773" s="402"/>
      <c r="U773" s="402"/>
      <c r="V773" s="402"/>
      <c r="W773" s="402"/>
      <c r="X773" s="402"/>
      <c r="Y773" s="402"/>
      <c r="Z773" s="402"/>
    </row>
    <row r="774" ht="14.25" customHeight="1">
      <c r="A774" s="402"/>
      <c r="B774" s="402"/>
      <c r="C774" s="402"/>
      <c r="D774" s="402"/>
      <c r="E774" s="402"/>
      <c r="F774" s="403"/>
      <c r="G774" s="403"/>
      <c r="H774" s="402"/>
      <c r="I774" s="402"/>
      <c r="J774" s="402"/>
      <c r="K774" s="402"/>
      <c r="L774" s="402"/>
      <c r="M774" s="402"/>
      <c r="N774" s="402"/>
      <c r="O774" s="402"/>
      <c r="P774" s="402"/>
      <c r="Q774" s="402"/>
      <c r="R774" s="402"/>
      <c r="S774" s="402"/>
      <c r="T774" s="402"/>
      <c r="U774" s="402"/>
      <c r="V774" s="402"/>
      <c r="W774" s="402"/>
      <c r="X774" s="402"/>
      <c r="Y774" s="402"/>
      <c r="Z774" s="402"/>
    </row>
    <row r="775" ht="14.25" customHeight="1">
      <c r="A775" s="402"/>
      <c r="B775" s="402"/>
      <c r="C775" s="402"/>
      <c r="D775" s="402"/>
      <c r="E775" s="402"/>
      <c r="F775" s="403"/>
      <c r="G775" s="403"/>
      <c r="H775" s="402"/>
      <c r="I775" s="402"/>
      <c r="J775" s="402"/>
      <c r="K775" s="402"/>
      <c r="L775" s="402"/>
      <c r="M775" s="402"/>
      <c r="N775" s="402"/>
      <c r="O775" s="402"/>
      <c r="P775" s="402"/>
      <c r="Q775" s="402"/>
      <c r="R775" s="402"/>
      <c r="S775" s="402"/>
      <c r="T775" s="402"/>
      <c r="U775" s="402"/>
      <c r="V775" s="402"/>
      <c r="W775" s="402"/>
      <c r="X775" s="402"/>
      <c r="Y775" s="402"/>
      <c r="Z775" s="402"/>
    </row>
    <row r="776" ht="14.25" customHeight="1">
      <c r="A776" s="402"/>
      <c r="B776" s="402"/>
      <c r="C776" s="402"/>
      <c r="D776" s="402"/>
      <c r="E776" s="402"/>
      <c r="F776" s="403"/>
      <c r="G776" s="403"/>
      <c r="H776" s="402"/>
      <c r="I776" s="402"/>
      <c r="J776" s="402"/>
      <c r="K776" s="402"/>
      <c r="L776" s="402"/>
      <c r="M776" s="402"/>
      <c r="N776" s="402"/>
      <c r="O776" s="402"/>
      <c r="P776" s="402"/>
      <c r="Q776" s="402"/>
      <c r="R776" s="402"/>
      <c r="S776" s="402"/>
      <c r="T776" s="402"/>
      <c r="U776" s="402"/>
      <c r="V776" s="402"/>
      <c r="W776" s="402"/>
      <c r="X776" s="402"/>
      <c r="Y776" s="402"/>
      <c r="Z776" s="402"/>
    </row>
    <row r="777" ht="14.25" customHeight="1">
      <c r="A777" s="402"/>
      <c r="B777" s="402"/>
      <c r="C777" s="402"/>
      <c r="D777" s="402"/>
      <c r="E777" s="402"/>
      <c r="F777" s="403"/>
      <c r="G777" s="403"/>
      <c r="H777" s="402"/>
      <c r="I777" s="402"/>
      <c r="J777" s="402"/>
      <c r="K777" s="402"/>
      <c r="L777" s="402"/>
      <c r="M777" s="402"/>
      <c r="N777" s="402"/>
      <c r="O777" s="402"/>
      <c r="P777" s="402"/>
      <c r="Q777" s="402"/>
      <c r="R777" s="402"/>
      <c r="S777" s="402"/>
      <c r="T777" s="402"/>
      <c r="U777" s="402"/>
      <c r="V777" s="402"/>
      <c r="W777" s="402"/>
      <c r="X777" s="402"/>
      <c r="Y777" s="402"/>
      <c r="Z777" s="402"/>
    </row>
    <row r="778" ht="14.25" customHeight="1">
      <c r="A778" s="402"/>
      <c r="B778" s="402"/>
      <c r="C778" s="402"/>
      <c r="D778" s="402"/>
      <c r="E778" s="402"/>
      <c r="F778" s="403"/>
      <c r="G778" s="403"/>
      <c r="H778" s="402"/>
      <c r="I778" s="402"/>
      <c r="J778" s="402"/>
      <c r="K778" s="402"/>
      <c r="L778" s="402"/>
      <c r="M778" s="402"/>
      <c r="N778" s="402"/>
      <c r="O778" s="402"/>
      <c r="P778" s="402"/>
      <c r="Q778" s="402"/>
      <c r="R778" s="402"/>
      <c r="S778" s="402"/>
      <c r="T778" s="402"/>
      <c r="U778" s="402"/>
      <c r="V778" s="402"/>
      <c r="W778" s="402"/>
      <c r="X778" s="402"/>
      <c r="Y778" s="402"/>
      <c r="Z778" s="402"/>
    </row>
    <row r="779" ht="14.25" customHeight="1">
      <c r="A779" s="402"/>
      <c r="B779" s="402"/>
      <c r="C779" s="402"/>
      <c r="D779" s="402"/>
      <c r="E779" s="402"/>
      <c r="F779" s="403"/>
      <c r="G779" s="403"/>
      <c r="H779" s="402"/>
      <c r="I779" s="402"/>
      <c r="J779" s="402"/>
      <c r="K779" s="402"/>
      <c r="L779" s="402"/>
      <c r="M779" s="402"/>
      <c r="N779" s="402"/>
      <c r="O779" s="402"/>
      <c r="P779" s="402"/>
      <c r="Q779" s="402"/>
      <c r="R779" s="402"/>
      <c r="S779" s="402"/>
      <c r="T779" s="402"/>
      <c r="U779" s="402"/>
      <c r="V779" s="402"/>
      <c r="W779" s="402"/>
      <c r="X779" s="402"/>
      <c r="Y779" s="402"/>
      <c r="Z779" s="402"/>
    </row>
    <row r="780" ht="14.25" customHeight="1">
      <c r="A780" s="402"/>
      <c r="B780" s="402"/>
      <c r="C780" s="402"/>
      <c r="D780" s="402"/>
      <c r="E780" s="402"/>
      <c r="F780" s="403"/>
      <c r="G780" s="403"/>
      <c r="H780" s="402"/>
      <c r="I780" s="402"/>
      <c r="J780" s="402"/>
      <c r="K780" s="402"/>
      <c r="L780" s="402"/>
      <c r="M780" s="402"/>
      <c r="N780" s="402"/>
      <c r="O780" s="402"/>
      <c r="P780" s="402"/>
      <c r="Q780" s="402"/>
      <c r="R780" s="402"/>
      <c r="S780" s="402"/>
      <c r="T780" s="402"/>
      <c r="U780" s="402"/>
      <c r="V780" s="402"/>
      <c r="W780" s="402"/>
      <c r="X780" s="402"/>
      <c r="Y780" s="402"/>
      <c r="Z780" s="402"/>
    </row>
    <row r="781" ht="14.25" customHeight="1">
      <c r="A781" s="402"/>
      <c r="B781" s="402"/>
      <c r="C781" s="402"/>
      <c r="D781" s="402"/>
      <c r="E781" s="402"/>
      <c r="F781" s="403"/>
      <c r="G781" s="403"/>
      <c r="H781" s="402"/>
      <c r="I781" s="402"/>
      <c r="J781" s="402"/>
      <c r="K781" s="402"/>
      <c r="L781" s="402"/>
      <c r="M781" s="402"/>
      <c r="N781" s="402"/>
      <c r="O781" s="402"/>
      <c r="P781" s="402"/>
      <c r="Q781" s="402"/>
      <c r="R781" s="402"/>
      <c r="S781" s="402"/>
      <c r="T781" s="402"/>
      <c r="U781" s="402"/>
      <c r="V781" s="402"/>
      <c r="W781" s="402"/>
      <c r="X781" s="402"/>
      <c r="Y781" s="402"/>
      <c r="Z781" s="402"/>
    </row>
    <row r="782" ht="14.25" customHeight="1">
      <c r="A782" s="402"/>
      <c r="B782" s="402"/>
      <c r="C782" s="402"/>
      <c r="D782" s="402"/>
      <c r="E782" s="402"/>
      <c r="F782" s="403"/>
      <c r="G782" s="403"/>
      <c r="H782" s="402"/>
      <c r="I782" s="402"/>
      <c r="J782" s="402"/>
      <c r="K782" s="402"/>
      <c r="L782" s="402"/>
      <c r="M782" s="402"/>
      <c r="N782" s="402"/>
      <c r="O782" s="402"/>
      <c r="P782" s="402"/>
      <c r="Q782" s="402"/>
      <c r="R782" s="402"/>
      <c r="S782" s="402"/>
      <c r="T782" s="402"/>
      <c r="U782" s="402"/>
      <c r="V782" s="402"/>
      <c r="W782" s="402"/>
      <c r="X782" s="402"/>
      <c r="Y782" s="402"/>
      <c r="Z782" s="402"/>
    </row>
    <row r="783" ht="14.25" customHeight="1">
      <c r="A783" s="402"/>
      <c r="B783" s="402"/>
      <c r="C783" s="402"/>
      <c r="D783" s="402"/>
      <c r="E783" s="402"/>
      <c r="F783" s="403"/>
      <c r="G783" s="403"/>
      <c r="H783" s="402"/>
      <c r="I783" s="402"/>
      <c r="J783" s="402"/>
      <c r="K783" s="402"/>
      <c r="L783" s="402"/>
      <c r="M783" s="402"/>
      <c r="N783" s="402"/>
      <c r="O783" s="402"/>
      <c r="P783" s="402"/>
      <c r="Q783" s="402"/>
      <c r="R783" s="402"/>
      <c r="S783" s="402"/>
      <c r="T783" s="402"/>
      <c r="U783" s="402"/>
      <c r="V783" s="402"/>
      <c r="W783" s="402"/>
      <c r="X783" s="402"/>
      <c r="Y783" s="402"/>
      <c r="Z783" s="402"/>
    </row>
    <row r="784" ht="14.25" customHeight="1">
      <c r="A784" s="402"/>
      <c r="B784" s="402"/>
      <c r="C784" s="402"/>
      <c r="D784" s="402"/>
      <c r="E784" s="402"/>
      <c r="F784" s="403"/>
      <c r="G784" s="403"/>
      <c r="H784" s="402"/>
      <c r="I784" s="402"/>
      <c r="J784" s="402"/>
      <c r="K784" s="402"/>
      <c r="L784" s="402"/>
      <c r="M784" s="402"/>
      <c r="N784" s="402"/>
      <c r="O784" s="402"/>
      <c r="P784" s="402"/>
      <c r="Q784" s="402"/>
      <c r="R784" s="402"/>
      <c r="S784" s="402"/>
      <c r="T784" s="402"/>
      <c r="U784" s="402"/>
      <c r="V784" s="402"/>
      <c r="W784" s="402"/>
      <c r="X784" s="402"/>
      <c r="Y784" s="402"/>
      <c r="Z784" s="402"/>
    </row>
    <row r="785" ht="14.25" customHeight="1">
      <c r="A785" s="402"/>
      <c r="B785" s="402"/>
      <c r="C785" s="402"/>
      <c r="D785" s="402"/>
      <c r="E785" s="402"/>
      <c r="F785" s="403"/>
      <c r="G785" s="403"/>
      <c r="H785" s="402"/>
      <c r="I785" s="402"/>
      <c r="J785" s="402"/>
      <c r="K785" s="402"/>
      <c r="L785" s="402"/>
      <c r="M785" s="402"/>
      <c r="N785" s="402"/>
      <c r="O785" s="402"/>
      <c r="P785" s="402"/>
      <c r="Q785" s="402"/>
      <c r="R785" s="402"/>
      <c r="S785" s="402"/>
      <c r="T785" s="402"/>
      <c r="U785" s="402"/>
      <c r="V785" s="402"/>
      <c r="W785" s="402"/>
      <c r="X785" s="402"/>
      <c r="Y785" s="402"/>
      <c r="Z785" s="402"/>
    </row>
    <row r="786" ht="14.25" customHeight="1">
      <c r="A786" s="402"/>
      <c r="B786" s="402"/>
      <c r="C786" s="402"/>
      <c r="D786" s="402"/>
      <c r="E786" s="402"/>
      <c r="F786" s="403"/>
      <c r="G786" s="403"/>
      <c r="H786" s="402"/>
      <c r="I786" s="402"/>
      <c r="J786" s="402"/>
      <c r="K786" s="402"/>
      <c r="L786" s="402"/>
      <c r="M786" s="402"/>
      <c r="N786" s="402"/>
      <c r="O786" s="402"/>
      <c r="P786" s="402"/>
      <c r="Q786" s="402"/>
      <c r="R786" s="402"/>
      <c r="S786" s="402"/>
      <c r="T786" s="402"/>
      <c r="U786" s="402"/>
      <c r="V786" s="402"/>
      <c r="W786" s="402"/>
      <c r="X786" s="402"/>
      <c r="Y786" s="402"/>
      <c r="Z786" s="402"/>
    </row>
    <row r="787" ht="14.25" customHeight="1">
      <c r="A787" s="402"/>
      <c r="B787" s="402"/>
      <c r="C787" s="402"/>
      <c r="D787" s="402"/>
      <c r="E787" s="402"/>
      <c r="F787" s="403"/>
      <c r="G787" s="403"/>
      <c r="H787" s="402"/>
      <c r="I787" s="402"/>
      <c r="J787" s="402"/>
      <c r="K787" s="402"/>
      <c r="L787" s="402"/>
      <c r="M787" s="402"/>
      <c r="N787" s="402"/>
      <c r="O787" s="402"/>
      <c r="P787" s="402"/>
      <c r="Q787" s="402"/>
      <c r="R787" s="402"/>
      <c r="S787" s="402"/>
      <c r="T787" s="402"/>
      <c r="U787" s="402"/>
      <c r="V787" s="402"/>
      <c r="W787" s="402"/>
      <c r="X787" s="402"/>
      <c r="Y787" s="402"/>
      <c r="Z787" s="402"/>
    </row>
    <row r="788" ht="14.25" customHeight="1">
      <c r="A788" s="402"/>
      <c r="B788" s="402"/>
      <c r="C788" s="402"/>
      <c r="D788" s="402"/>
      <c r="E788" s="402"/>
      <c r="F788" s="403"/>
      <c r="G788" s="403"/>
      <c r="H788" s="402"/>
      <c r="I788" s="402"/>
      <c r="J788" s="402"/>
      <c r="K788" s="402"/>
      <c r="L788" s="402"/>
      <c r="M788" s="402"/>
      <c r="N788" s="402"/>
      <c r="O788" s="402"/>
      <c r="P788" s="402"/>
      <c r="Q788" s="402"/>
      <c r="R788" s="402"/>
      <c r="S788" s="402"/>
      <c r="T788" s="402"/>
      <c r="U788" s="402"/>
      <c r="V788" s="402"/>
      <c r="W788" s="402"/>
      <c r="X788" s="402"/>
      <c r="Y788" s="402"/>
      <c r="Z788" s="402"/>
    </row>
    <row r="789" ht="14.25" customHeight="1">
      <c r="A789" s="402"/>
      <c r="B789" s="402"/>
      <c r="C789" s="402"/>
      <c r="D789" s="402"/>
      <c r="E789" s="402"/>
      <c r="F789" s="403"/>
      <c r="G789" s="403"/>
      <c r="H789" s="402"/>
      <c r="I789" s="402"/>
      <c r="J789" s="402"/>
      <c r="K789" s="402"/>
      <c r="L789" s="402"/>
      <c r="M789" s="402"/>
      <c r="N789" s="402"/>
      <c r="O789" s="402"/>
      <c r="P789" s="402"/>
      <c r="Q789" s="402"/>
      <c r="R789" s="402"/>
      <c r="S789" s="402"/>
      <c r="T789" s="402"/>
      <c r="U789" s="402"/>
      <c r="V789" s="402"/>
      <c r="W789" s="402"/>
      <c r="X789" s="402"/>
      <c r="Y789" s="402"/>
      <c r="Z789" s="402"/>
    </row>
    <row r="790" ht="14.25" customHeight="1">
      <c r="A790" s="402"/>
      <c r="B790" s="402"/>
      <c r="C790" s="402"/>
      <c r="D790" s="402"/>
      <c r="E790" s="402"/>
      <c r="F790" s="403"/>
      <c r="G790" s="403"/>
      <c r="H790" s="402"/>
      <c r="I790" s="402"/>
      <c r="J790" s="402"/>
      <c r="K790" s="402"/>
      <c r="L790" s="402"/>
      <c r="M790" s="402"/>
      <c r="N790" s="402"/>
      <c r="O790" s="402"/>
      <c r="P790" s="402"/>
      <c r="Q790" s="402"/>
      <c r="R790" s="402"/>
      <c r="S790" s="402"/>
      <c r="T790" s="402"/>
      <c r="U790" s="402"/>
      <c r="V790" s="402"/>
      <c r="W790" s="402"/>
      <c r="X790" s="402"/>
      <c r="Y790" s="402"/>
      <c r="Z790" s="402"/>
    </row>
    <row r="791" ht="14.25" customHeight="1">
      <c r="A791" s="402"/>
      <c r="B791" s="402"/>
      <c r="C791" s="402"/>
      <c r="D791" s="402"/>
      <c r="E791" s="402"/>
      <c r="F791" s="403"/>
      <c r="G791" s="403"/>
      <c r="H791" s="402"/>
      <c r="I791" s="402"/>
      <c r="J791" s="402"/>
      <c r="K791" s="402"/>
      <c r="L791" s="402"/>
      <c r="M791" s="402"/>
      <c r="N791" s="402"/>
      <c r="O791" s="402"/>
      <c r="P791" s="402"/>
      <c r="Q791" s="402"/>
      <c r="R791" s="402"/>
      <c r="S791" s="402"/>
      <c r="T791" s="402"/>
      <c r="U791" s="402"/>
      <c r="V791" s="402"/>
      <c r="W791" s="402"/>
      <c r="X791" s="402"/>
      <c r="Y791" s="402"/>
      <c r="Z791" s="402"/>
    </row>
    <row r="792" ht="14.25" customHeight="1">
      <c r="A792" s="402"/>
      <c r="B792" s="402"/>
      <c r="C792" s="402"/>
      <c r="D792" s="402"/>
      <c r="E792" s="402"/>
      <c r="F792" s="403"/>
      <c r="G792" s="403"/>
      <c r="H792" s="402"/>
      <c r="I792" s="402"/>
      <c r="J792" s="402"/>
      <c r="K792" s="402"/>
      <c r="L792" s="402"/>
      <c r="M792" s="402"/>
      <c r="N792" s="402"/>
      <c r="O792" s="402"/>
      <c r="P792" s="402"/>
      <c r="Q792" s="402"/>
      <c r="R792" s="402"/>
      <c r="S792" s="402"/>
      <c r="T792" s="402"/>
      <c r="U792" s="402"/>
      <c r="V792" s="402"/>
      <c r="W792" s="402"/>
      <c r="X792" s="402"/>
      <c r="Y792" s="402"/>
      <c r="Z792" s="402"/>
    </row>
    <row r="793" ht="14.25" customHeight="1">
      <c r="A793" s="402"/>
      <c r="B793" s="402"/>
      <c r="C793" s="402"/>
      <c r="D793" s="402"/>
      <c r="E793" s="402"/>
      <c r="F793" s="403"/>
      <c r="G793" s="403"/>
      <c r="H793" s="402"/>
      <c r="I793" s="402"/>
      <c r="J793" s="402"/>
      <c r="K793" s="402"/>
      <c r="L793" s="402"/>
      <c r="M793" s="402"/>
      <c r="N793" s="402"/>
      <c r="O793" s="402"/>
      <c r="P793" s="402"/>
      <c r="Q793" s="402"/>
      <c r="R793" s="402"/>
      <c r="S793" s="402"/>
      <c r="T793" s="402"/>
      <c r="U793" s="402"/>
      <c r="V793" s="402"/>
      <c r="W793" s="402"/>
      <c r="X793" s="402"/>
      <c r="Y793" s="402"/>
      <c r="Z793" s="402"/>
    </row>
    <row r="794" ht="14.25" customHeight="1">
      <c r="A794" s="402"/>
      <c r="B794" s="402"/>
      <c r="C794" s="402"/>
      <c r="D794" s="402"/>
      <c r="E794" s="402"/>
      <c r="F794" s="403"/>
      <c r="G794" s="403"/>
      <c r="H794" s="402"/>
      <c r="I794" s="402"/>
      <c r="J794" s="402"/>
      <c r="K794" s="402"/>
      <c r="L794" s="402"/>
      <c r="M794" s="402"/>
      <c r="N794" s="402"/>
      <c r="O794" s="402"/>
      <c r="P794" s="402"/>
      <c r="Q794" s="402"/>
      <c r="R794" s="402"/>
      <c r="S794" s="402"/>
      <c r="T794" s="402"/>
      <c r="U794" s="402"/>
      <c r="V794" s="402"/>
      <c r="W794" s="402"/>
      <c r="X794" s="402"/>
      <c r="Y794" s="402"/>
      <c r="Z794" s="402"/>
    </row>
    <row r="795" ht="14.25" customHeight="1">
      <c r="A795" s="402"/>
      <c r="B795" s="402"/>
      <c r="C795" s="402"/>
      <c r="D795" s="402"/>
      <c r="E795" s="402"/>
      <c r="F795" s="403"/>
      <c r="G795" s="403"/>
      <c r="H795" s="402"/>
      <c r="I795" s="402"/>
      <c r="J795" s="402"/>
      <c r="K795" s="402"/>
      <c r="L795" s="402"/>
      <c r="M795" s="402"/>
      <c r="N795" s="402"/>
      <c r="O795" s="402"/>
      <c r="P795" s="402"/>
      <c r="Q795" s="402"/>
      <c r="R795" s="402"/>
      <c r="S795" s="402"/>
      <c r="T795" s="402"/>
      <c r="U795" s="402"/>
      <c r="V795" s="402"/>
      <c r="W795" s="402"/>
      <c r="X795" s="402"/>
      <c r="Y795" s="402"/>
      <c r="Z795" s="402"/>
    </row>
    <row r="796" ht="14.25" customHeight="1">
      <c r="A796" s="402"/>
      <c r="B796" s="402"/>
      <c r="C796" s="402"/>
      <c r="D796" s="402"/>
      <c r="E796" s="402"/>
      <c r="F796" s="403"/>
      <c r="G796" s="403"/>
      <c r="H796" s="402"/>
      <c r="I796" s="402"/>
      <c r="J796" s="402"/>
      <c r="K796" s="402"/>
      <c r="L796" s="402"/>
      <c r="M796" s="402"/>
      <c r="N796" s="402"/>
      <c r="O796" s="402"/>
      <c r="P796" s="402"/>
      <c r="Q796" s="402"/>
      <c r="R796" s="402"/>
      <c r="S796" s="402"/>
      <c r="T796" s="402"/>
      <c r="U796" s="402"/>
      <c r="V796" s="402"/>
      <c r="W796" s="402"/>
      <c r="X796" s="402"/>
      <c r="Y796" s="402"/>
      <c r="Z796" s="402"/>
    </row>
    <row r="797" ht="14.25" customHeight="1">
      <c r="A797" s="402"/>
      <c r="B797" s="402"/>
      <c r="C797" s="402"/>
      <c r="D797" s="402"/>
      <c r="E797" s="402"/>
      <c r="F797" s="403"/>
      <c r="G797" s="403"/>
      <c r="H797" s="402"/>
      <c r="I797" s="402"/>
      <c r="J797" s="402"/>
      <c r="K797" s="402"/>
      <c r="L797" s="402"/>
      <c r="M797" s="402"/>
      <c r="N797" s="402"/>
      <c r="O797" s="402"/>
      <c r="P797" s="402"/>
      <c r="Q797" s="402"/>
      <c r="R797" s="402"/>
      <c r="S797" s="402"/>
      <c r="T797" s="402"/>
      <c r="U797" s="402"/>
      <c r="V797" s="402"/>
      <c r="W797" s="402"/>
      <c r="X797" s="402"/>
      <c r="Y797" s="402"/>
      <c r="Z797" s="402"/>
    </row>
    <row r="798" ht="14.25" customHeight="1">
      <c r="A798" s="402"/>
      <c r="B798" s="402"/>
      <c r="C798" s="402"/>
      <c r="D798" s="402"/>
      <c r="E798" s="402"/>
      <c r="F798" s="403"/>
      <c r="G798" s="403"/>
      <c r="H798" s="402"/>
      <c r="I798" s="402"/>
      <c r="J798" s="402"/>
      <c r="K798" s="402"/>
      <c r="L798" s="402"/>
      <c r="M798" s="402"/>
      <c r="N798" s="402"/>
      <c r="O798" s="402"/>
      <c r="P798" s="402"/>
      <c r="Q798" s="402"/>
      <c r="R798" s="402"/>
      <c r="S798" s="402"/>
      <c r="T798" s="402"/>
      <c r="U798" s="402"/>
      <c r="V798" s="402"/>
      <c r="W798" s="402"/>
      <c r="X798" s="402"/>
      <c r="Y798" s="402"/>
      <c r="Z798" s="402"/>
    </row>
    <row r="799" ht="14.25" customHeight="1">
      <c r="A799" s="402"/>
      <c r="B799" s="402"/>
      <c r="C799" s="402"/>
      <c r="D799" s="402"/>
      <c r="E799" s="402"/>
      <c r="F799" s="403"/>
      <c r="G799" s="403"/>
      <c r="H799" s="402"/>
      <c r="I799" s="402"/>
      <c r="J799" s="402"/>
      <c r="K799" s="402"/>
      <c r="L799" s="402"/>
      <c r="M799" s="402"/>
      <c r="N799" s="402"/>
      <c r="O799" s="402"/>
      <c r="P799" s="402"/>
      <c r="Q799" s="402"/>
      <c r="R799" s="402"/>
      <c r="S799" s="402"/>
      <c r="T799" s="402"/>
      <c r="U799" s="402"/>
      <c r="V799" s="402"/>
      <c r="W799" s="402"/>
      <c r="X799" s="402"/>
      <c r="Y799" s="402"/>
      <c r="Z799" s="402"/>
    </row>
    <row r="800" ht="14.25" customHeight="1">
      <c r="A800" s="402"/>
      <c r="B800" s="402"/>
      <c r="C800" s="402"/>
      <c r="D800" s="402"/>
      <c r="E800" s="402"/>
      <c r="F800" s="403"/>
      <c r="G800" s="403"/>
      <c r="H800" s="402"/>
      <c r="I800" s="402"/>
      <c r="J800" s="402"/>
      <c r="K800" s="402"/>
      <c r="L800" s="402"/>
      <c r="M800" s="402"/>
      <c r="N800" s="402"/>
      <c r="O800" s="402"/>
      <c r="P800" s="402"/>
      <c r="Q800" s="402"/>
      <c r="R800" s="402"/>
      <c r="S800" s="402"/>
      <c r="T800" s="402"/>
      <c r="U800" s="402"/>
      <c r="V800" s="402"/>
      <c r="W800" s="402"/>
      <c r="X800" s="402"/>
      <c r="Y800" s="402"/>
      <c r="Z800" s="402"/>
    </row>
    <row r="801" ht="14.25" customHeight="1">
      <c r="A801" s="402"/>
      <c r="B801" s="402"/>
      <c r="C801" s="402"/>
      <c r="D801" s="402"/>
      <c r="E801" s="402"/>
      <c r="F801" s="403"/>
      <c r="G801" s="403"/>
      <c r="H801" s="402"/>
      <c r="I801" s="402"/>
      <c r="J801" s="402"/>
      <c r="K801" s="402"/>
      <c r="L801" s="402"/>
      <c r="M801" s="402"/>
      <c r="N801" s="402"/>
      <c r="O801" s="402"/>
      <c r="P801" s="402"/>
      <c r="Q801" s="402"/>
      <c r="R801" s="402"/>
      <c r="S801" s="402"/>
      <c r="T801" s="402"/>
      <c r="U801" s="402"/>
      <c r="V801" s="402"/>
      <c r="W801" s="402"/>
      <c r="X801" s="402"/>
      <c r="Y801" s="402"/>
      <c r="Z801" s="402"/>
    </row>
    <row r="802" ht="14.25" customHeight="1">
      <c r="A802" s="402"/>
      <c r="B802" s="402"/>
      <c r="C802" s="402"/>
      <c r="D802" s="402"/>
      <c r="E802" s="402"/>
      <c r="F802" s="403"/>
      <c r="G802" s="403"/>
      <c r="H802" s="402"/>
      <c r="I802" s="402"/>
      <c r="J802" s="402"/>
      <c r="K802" s="402"/>
      <c r="L802" s="402"/>
      <c r="M802" s="402"/>
      <c r="N802" s="402"/>
      <c r="O802" s="402"/>
      <c r="P802" s="402"/>
      <c r="Q802" s="402"/>
      <c r="R802" s="402"/>
      <c r="S802" s="402"/>
      <c r="T802" s="402"/>
      <c r="U802" s="402"/>
      <c r="V802" s="402"/>
      <c r="W802" s="402"/>
      <c r="X802" s="402"/>
      <c r="Y802" s="402"/>
      <c r="Z802" s="402"/>
    </row>
    <row r="803" ht="14.25" customHeight="1">
      <c r="A803" s="402"/>
      <c r="B803" s="402"/>
      <c r="C803" s="402"/>
      <c r="D803" s="402"/>
      <c r="E803" s="402"/>
      <c r="F803" s="403"/>
      <c r="G803" s="403"/>
      <c r="H803" s="402"/>
      <c r="I803" s="402"/>
      <c r="J803" s="402"/>
      <c r="K803" s="402"/>
      <c r="L803" s="402"/>
      <c r="M803" s="402"/>
      <c r="N803" s="402"/>
      <c r="O803" s="402"/>
      <c r="P803" s="402"/>
      <c r="Q803" s="402"/>
      <c r="R803" s="402"/>
      <c r="S803" s="402"/>
      <c r="T803" s="402"/>
      <c r="U803" s="402"/>
      <c r="V803" s="402"/>
      <c r="W803" s="402"/>
      <c r="X803" s="402"/>
      <c r="Y803" s="402"/>
      <c r="Z803" s="402"/>
    </row>
    <row r="804" ht="14.25" customHeight="1">
      <c r="A804" s="402"/>
      <c r="B804" s="402"/>
      <c r="C804" s="402"/>
      <c r="D804" s="402"/>
      <c r="E804" s="402"/>
      <c r="F804" s="403"/>
      <c r="G804" s="403"/>
      <c r="H804" s="402"/>
      <c r="I804" s="402"/>
      <c r="J804" s="402"/>
      <c r="K804" s="402"/>
      <c r="L804" s="402"/>
      <c r="M804" s="402"/>
      <c r="N804" s="402"/>
      <c r="O804" s="402"/>
      <c r="P804" s="402"/>
      <c r="Q804" s="402"/>
      <c r="R804" s="402"/>
      <c r="S804" s="402"/>
      <c r="T804" s="402"/>
      <c r="U804" s="402"/>
      <c r="V804" s="402"/>
      <c r="W804" s="402"/>
      <c r="X804" s="402"/>
      <c r="Y804" s="402"/>
      <c r="Z804" s="402"/>
    </row>
    <row r="805" ht="14.25" customHeight="1">
      <c r="A805" s="402"/>
      <c r="B805" s="402"/>
      <c r="C805" s="402"/>
      <c r="D805" s="402"/>
      <c r="E805" s="402"/>
      <c r="F805" s="403"/>
      <c r="G805" s="403"/>
      <c r="H805" s="402"/>
      <c r="I805" s="402"/>
      <c r="J805" s="402"/>
      <c r="K805" s="402"/>
      <c r="L805" s="402"/>
      <c r="M805" s="402"/>
      <c r="N805" s="402"/>
      <c r="O805" s="402"/>
      <c r="P805" s="402"/>
      <c r="Q805" s="402"/>
      <c r="R805" s="402"/>
      <c r="S805" s="402"/>
      <c r="T805" s="402"/>
      <c r="U805" s="402"/>
      <c r="V805" s="402"/>
      <c r="W805" s="402"/>
      <c r="X805" s="402"/>
      <c r="Y805" s="402"/>
      <c r="Z805" s="402"/>
    </row>
    <row r="806" ht="14.25" customHeight="1">
      <c r="A806" s="402"/>
      <c r="B806" s="402"/>
      <c r="C806" s="402"/>
      <c r="D806" s="402"/>
      <c r="E806" s="402"/>
      <c r="F806" s="403"/>
      <c r="G806" s="403"/>
      <c r="H806" s="402"/>
      <c r="I806" s="402"/>
      <c r="J806" s="402"/>
      <c r="K806" s="402"/>
      <c r="L806" s="402"/>
      <c r="M806" s="402"/>
      <c r="N806" s="402"/>
      <c r="O806" s="402"/>
      <c r="P806" s="402"/>
      <c r="Q806" s="402"/>
      <c r="R806" s="402"/>
      <c r="S806" s="402"/>
      <c r="T806" s="402"/>
      <c r="U806" s="402"/>
      <c r="V806" s="402"/>
      <c r="W806" s="402"/>
      <c r="X806" s="402"/>
      <c r="Y806" s="402"/>
      <c r="Z806" s="402"/>
    </row>
    <row r="807" ht="14.25" customHeight="1">
      <c r="A807" s="402"/>
      <c r="B807" s="402"/>
      <c r="C807" s="402"/>
      <c r="D807" s="402"/>
      <c r="E807" s="402"/>
      <c r="F807" s="403"/>
      <c r="G807" s="403"/>
      <c r="H807" s="402"/>
      <c r="I807" s="402"/>
      <c r="J807" s="402"/>
      <c r="K807" s="402"/>
      <c r="L807" s="402"/>
      <c r="M807" s="402"/>
      <c r="N807" s="402"/>
      <c r="O807" s="402"/>
      <c r="P807" s="402"/>
      <c r="Q807" s="402"/>
      <c r="R807" s="402"/>
      <c r="S807" s="402"/>
      <c r="T807" s="402"/>
      <c r="U807" s="402"/>
      <c r="V807" s="402"/>
      <c r="W807" s="402"/>
      <c r="X807" s="402"/>
      <c r="Y807" s="402"/>
      <c r="Z807" s="402"/>
    </row>
    <row r="808" ht="14.25" customHeight="1">
      <c r="A808" s="402"/>
      <c r="B808" s="402"/>
      <c r="C808" s="402"/>
      <c r="D808" s="402"/>
      <c r="E808" s="402"/>
      <c r="F808" s="403"/>
      <c r="G808" s="403"/>
      <c r="H808" s="402"/>
      <c r="I808" s="402"/>
      <c r="J808" s="402"/>
      <c r="K808" s="402"/>
      <c r="L808" s="402"/>
      <c r="M808" s="402"/>
      <c r="N808" s="402"/>
      <c r="O808" s="402"/>
      <c r="P808" s="402"/>
      <c r="Q808" s="402"/>
      <c r="R808" s="402"/>
      <c r="S808" s="402"/>
      <c r="T808" s="402"/>
      <c r="U808" s="402"/>
      <c r="V808" s="402"/>
      <c r="W808" s="402"/>
      <c r="X808" s="402"/>
      <c r="Y808" s="402"/>
      <c r="Z808" s="402"/>
    </row>
    <row r="809" ht="14.25" customHeight="1">
      <c r="A809" s="402"/>
      <c r="B809" s="402"/>
      <c r="C809" s="402"/>
      <c r="D809" s="402"/>
      <c r="E809" s="402"/>
      <c r="F809" s="403"/>
      <c r="G809" s="403"/>
      <c r="H809" s="402"/>
      <c r="I809" s="402"/>
      <c r="J809" s="402"/>
      <c r="K809" s="402"/>
      <c r="L809" s="402"/>
      <c r="M809" s="402"/>
      <c r="N809" s="402"/>
      <c r="O809" s="402"/>
      <c r="P809" s="402"/>
      <c r="Q809" s="402"/>
      <c r="R809" s="402"/>
      <c r="S809" s="402"/>
      <c r="T809" s="402"/>
      <c r="U809" s="402"/>
      <c r="V809" s="402"/>
      <c r="W809" s="402"/>
      <c r="X809" s="402"/>
      <c r="Y809" s="402"/>
      <c r="Z809" s="402"/>
    </row>
    <row r="810" ht="14.25" customHeight="1">
      <c r="A810" s="402"/>
      <c r="B810" s="402"/>
      <c r="C810" s="402"/>
      <c r="D810" s="402"/>
      <c r="E810" s="402"/>
      <c r="F810" s="403"/>
      <c r="G810" s="403"/>
      <c r="H810" s="402"/>
      <c r="I810" s="402"/>
      <c r="J810" s="402"/>
      <c r="K810" s="402"/>
      <c r="L810" s="402"/>
      <c r="M810" s="402"/>
      <c r="N810" s="402"/>
      <c r="O810" s="402"/>
      <c r="P810" s="402"/>
      <c r="Q810" s="402"/>
      <c r="R810" s="402"/>
      <c r="S810" s="402"/>
      <c r="T810" s="402"/>
      <c r="U810" s="402"/>
      <c r="V810" s="402"/>
      <c r="W810" s="402"/>
      <c r="X810" s="402"/>
      <c r="Y810" s="402"/>
      <c r="Z810" s="402"/>
    </row>
    <row r="811" ht="14.25" customHeight="1">
      <c r="A811" s="402"/>
      <c r="B811" s="402"/>
      <c r="C811" s="402"/>
      <c r="D811" s="402"/>
      <c r="E811" s="402"/>
      <c r="F811" s="403"/>
      <c r="G811" s="403"/>
      <c r="H811" s="402"/>
      <c r="I811" s="402"/>
      <c r="J811" s="402"/>
      <c r="K811" s="402"/>
      <c r="L811" s="402"/>
      <c r="M811" s="402"/>
      <c r="N811" s="402"/>
      <c r="O811" s="402"/>
      <c r="P811" s="402"/>
      <c r="Q811" s="402"/>
      <c r="R811" s="402"/>
      <c r="S811" s="402"/>
      <c r="T811" s="402"/>
      <c r="U811" s="402"/>
      <c r="V811" s="402"/>
      <c r="W811" s="402"/>
      <c r="X811" s="402"/>
      <c r="Y811" s="402"/>
      <c r="Z811" s="402"/>
    </row>
    <row r="812" ht="14.25" customHeight="1">
      <c r="A812" s="402"/>
      <c r="B812" s="402"/>
      <c r="C812" s="402"/>
      <c r="D812" s="402"/>
      <c r="E812" s="402"/>
      <c r="F812" s="403"/>
      <c r="G812" s="403"/>
      <c r="H812" s="402"/>
      <c r="I812" s="402"/>
      <c r="J812" s="402"/>
      <c r="K812" s="402"/>
      <c r="L812" s="402"/>
      <c r="M812" s="402"/>
      <c r="N812" s="402"/>
      <c r="O812" s="402"/>
      <c r="P812" s="402"/>
      <c r="Q812" s="402"/>
      <c r="R812" s="402"/>
      <c r="S812" s="402"/>
      <c r="T812" s="402"/>
      <c r="U812" s="402"/>
      <c r="V812" s="402"/>
      <c r="W812" s="402"/>
      <c r="X812" s="402"/>
      <c r="Y812" s="402"/>
      <c r="Z812" s="402"/>
    </row>
    <row r="813" ht="14.25" customHeight="1">
      <c r="A813" s="402"/>
      <c r="B813" s="402"/>
      <c r="C813" s="402"/>
      <c r="D813" s="402"/>
      <c r="E813" s="402"/>
      <c r="F813" s="403"/>
      <c r="G813" s="403"/>
      <c r="H813" s="402"/>
      <c r="I813" s="402"/>
      <c r="J813" s="402"/>
      <c r="K813" s="402"/>
      <c r="L813" s="402"/>
      <c r="M813" s="402"/>
      <c r="N813" s="402"/>
      <c r="O813" s="402"/>
      <c r="P813" s="402"/>
      <c r="Q813" s="402"/>
      <c r="R813" s="402"/>
      <c r="S813" s="402"/>
      <c r="T813" s="402"/>
      <c r="U813" s="402"/>
      <c r="V813" s="402"/>
      <c r="W813" s="402"/>
      <c r="X813" s="402"/>
      <c r="Y813" s="402"/>
      <c r="Z813" s="402"/>
    </row>
    <row r="814" ht="14.25" customHeight="1">
      <c r="A814" s="402"/>
      <c r="B814" s="402"/>
      <c r="C814" s="402"/>
      <c r="D814" s="402"/>
      <c r="E814" s="402"/>
      <c r="F814" s="403"/>
      <c r="G814" s="403"/>
      <c r="H814" s="402"/>
      <c r="I814" s="402"/>
      <c r="J814" s="402"/>
      <c r="K814" s="402"/>
      <c r="L814" s="402"/>
      <c r="M814" s="402"/>
      <c r="N814" s="402"/>
      <c r="O814" s="402"/>
      <c r="P814" s="402"/>
      <c r="Q814" s="402"/>
      <c r="R814" s="402"/>
      <c r="S814" s="402"/>
      <c r="T814" s="402"/>
      <c r="U814" s="402"/>
      <c r="V814" s="402"/>
      <c r="W814" s="402"/>
      <c r="X814" s="402"/>
      <c r="Y814" s="402"/>
      <c r="Z814" s="402"/>
    </row>
    <row r="815" ht="14.25" customHeight="1">
      <c r="A815" s="402"/>
      <c r="B815" s="402"/>
      <c r="C815" s="402"/>
      <c r="D815" s="402"/>
      <c r="E815" s="402"/>
      <c r="F815" s="403"/>
      <c r="G815" s="403"/>
      <c r="H815" s="402"/>
      <c r="I815" s="402"/>
      <c r="J815" s="402"/>
      <c r="K815" s="402"/>
      <c r="L815" s="402"/>
      <c r="M815" s="402"/>
      <c r="N815" s="402"/>
      <c r="O815" s="402"/>
      <c r="P815" s="402"/>
      <c r="Q815" s="402"/>
      <c r="R815" s="402"/>
      <c r="S815" s="402"/>
      <c r="T815" s="402"/>
      <c r="U815" s="402"/>
      <c r="V815" s="402"/>
      <c r="W815" s="402"/>
      <c r="X815" s="402"/>
      <c r="Y815" s="402"/>
      <c r="Z815" s="402"/>
    </row>
    <row r="816" ht="14.25" customHeight="1">
      <c r="A816" s="402"/>
      <c r="B816" s="402"/>
      <c r="C816" s="402"/>
      <c r="D816" s="402"/>
      <c r="E816" s="402"/>
      <c r="F816" s="403"/>
      <c r="G816" s="403"/>
      <c r="H816" s="402"/>
      <c r="I816" s="402"/>
      <c r="J816" s="402"/>
      <c r="K816" s="402"/>
      <c r="L816" s="402"/>
      <c r="M816" s="402"/>
      <c r="N816" s="402"/>
      <c r="O816" s="402"/>
      <c r="P816" s="402"/>
      <c r="Q816" s="402"/>
      <c r="R816" s="402"/>
      <c r="S816" s="402"/>
      <c r="T816" s="402"/>
      <c r="U816" s="402"/>
      <c r="V816" s="402"/>
      <c r="W816" s="402"/>
      <c r="X816" s="402"/>
      <c r="Y816" s="402"/>
      <c r="Z816" s="402"/>
    </row>
    <row r="817" ht="14.25" customHeight="1">
      <c r="A817" s="402"/>
      <c r="B817" s="402"/>
      <c r="C817" s="402"/>
      <c r="D817" s="402"/>
      <c r="E817" s="402"/>
      <c r="F817" s="403"/>
      <c r="G817" s="403"/>
      <c r="H817" s="402"/>
      <c r="I817" s="402"/>
      <c r="J817" s="402"/>
      <c r="K817" s="402"/>
      <c r="L817" s="402"/>
      <c r="M817" s="402"/>
      <c r="N817" s="402"/>
      <c r="O817" s="402"/>
      <c r="P817" s="402"/>
      <c r="Q817" s="402"/>
      <c r="R817" s="402"/>
      <c r="S817" s="402"/>
      <c r="T817" s="402"/>
      <c r="U817" s="402"/>
      <c r="V817" s="402"/>
      <c r="W817" s="402"/>
      <c r="X817" s="402"/>
      <c r="Y817" s="402"/>
      <c r="Z817" s="402"/>
    </row>
    <row r="818" ht="14.25" customHeight="1">
      <c r="A818" s="402"/>
      <c r="B818" s="402"/>
      <c r="C818" s="402"/>
      <c r="D818" s="402"/>
      <c r="E818" s="402"/>
      <c r="F818" s="403"/>
      <c r="G818" s="403"/>
      <c r="H818" s="402"/>
      <c r="I818" s="402"/>
      <c r="J818" s="402"/>
      <c r="K818" s="402"/>
      <c r="L818" s="402"/>
      <c r="M818" s="402"/>
      <c r="N818" s="402"/>
      <c r="O818" s="402"/>
      <c r="P818" s="402"/>
      <c r="Q818" s="402"/>
      <c r="R818" s="402"/>
      <c r="S818" s="402"/>
      <c r="T818" s="402"/>
      <c r="U818" s="402"/>
      <c r="V818" s="402"/>
      <c r="W818" s="402"/>
      <c r="X818" s="402"/>
      <c r="Y818" s="402"/>
      <c r="Z818" s="402"/>
    </row>
    <row r="819" ht="14.25" customHeight="1">
      <c r="A819" s="402"/>
      <c r="B819" s="402"/>
      <c r="C819" s="402"/>
      <c r="D819" s="402"/>
      <c r="E819" s="402"/>
      <c r="F819" s="403"/>
      <c r="G819" s="403"/>
      <c r="H819" s="402"/>
      <c r="I819" s="402"/>
      <c r="J819" s="402"/>
      <c r="K819" s="402"/>
      <c r="L819" s="402"/>
      <c r="M819" s="402"/>
      <c r="N819" s="402"/>
      <c r="O819" s="402"/>
      <c r="P819" s="402"/>
      <c r="Q819" s="402"/>
      <c r="R819" s="402"/>
      <c r="S819" s="402"/>
      <c r="T819" s="402"/>
      <c r="U819" s="402"/>
      <c r="V819" s="402"/>
      <c r="W819" s="402"/>
      <c r="X819" s="402"/>
      <c r="Y819" s="402"/>
      <c r="Z819" s="402"/>
    </row>
    <row r="820" ht="14.25" customHeight="1">
      <c r="A820" s="402"/>
      <c r="B820" s="402"/>
      <c r="C820" s="402"/>
      <c r="D820" s="402"/>
      <c r="E820" s="402"/>
      <c r="F820" s="403"/>
      <c r="G820" s="403"/>
      <c r="H820" s="402"/>
      <c r="I820" s="402"/>
      <c r="J820" s="402"/>
      <c r="K820" s="402"/>
      <c r="L820" s="402"/>
      <c r="M820" s="402"/>
      <c r="N820" s="402"/>
      <c r="O820" s="402"/>
      <c r="P820" s="402"/>
      <c r="Q820" s="402"/>
      <c r="R820" s="402"/>
      <c r="S820" s="402"/>
      <c r="T820" s="402"/>
      <c r="U820" s="402"/>
      <c r="V820" s="402"/>
      <c r="W820" s="402"/>
      <c r="X820" s="402"/>
      <c r="Y820" s="402"/>
      <c r="Z820" s="402"/>
    </row>
    <row r="821" ht="14.25" customHeight="1">
      <c r="A821" s="402"/>
      <c r="B821" s="402"/>
      <c r="C821" s="402"/>
      <c r="D821" s="402"/>
      <c r="E821" s="402"/>
      <c r="F821" s="403"/>
      <c r="G821" s="403"/>
      <c r="H821" s="402"/>
      <c r="I821" s="402"/>
      <c r="J821" s="402"/>
      <c r="K821" s="402"/>
      <c r="L821" s="402"/>
      <c r="M821" s="402"/>
      <c r="N821" s="402"/>
      <c r="O821" s="402"/>
      <c r="P821" s="402"/>
      <c r="Q821" s="402"/>
      <c r="R821" s="402"/>
      <c r="S821" s="402"/>
      <c r="T821" s="402"/>
      <c r="U821" s="402"/>
      <c r="V821" s="402"/>
      <c r="W821" s="402"/>
      <c r="X821" s="402"/>
      <c r="Y821" s="402"/>
      <c r="Z821" s="402"/>
    </row>
    <row r="822" ht="14.25" customHeight="1">
      <c r="A822" s="402"/>
      <c r="B822" s="402"/>
      <c r="C822" s="402"/>
      <c r="D822" s="402"/>
      <c r="E822" s="402"/>
      <c r="F822" s="403"/>
      <c r="G822" s="403"/>
      <c r="H822" s="402"/>
      <c r="I822" s="402"/>
      <c r="J822" s="402"/>
      <c r="K822" s="402"/>
      <c r="L822" s="402"/>
      <c r="M822" s="402"/>
      <c r="N822" s="402"/>
      <c r="O822" s="402"/>
      <c r="P822" s="402"/>
      <c r="Q822" s="402"/>
      <c r="R822" s="402"/>
      <c r="S822" s="402"/>
      <c r="T822" s="402"/>
      <c r="U822" s="402"/>
      <c r="V822" s="402"/>
      <c r="W822" s="402"/>
      <c r="X822" s="402"/>
      <c r="Y822" s="402"/>
      <c r="Z822" s="402"/>
    </row>
    <row r="823" ht="14.25" customHeight="1">
      <c r="A823" s="402"/>
      <c r="B823" s="402"/>
      <c r="C823" s="402"/>
      <c r="D823" s="402"/>
      <c r="E823" s="402"/>
      <c r="F823" s="403"/>
      <c r="G823" s="403"/>
      <c r="H823" s="402"/>
      <c r="I823" s="402"/>
      <c r="J823" s="402"/>
      <c r="K823" s="402"/>
      <c r="L823" s="402"/>
      <c r="M823" s="402"/>
      <c r="N823" s="402"/>
      <c r="O823" s="402"/>
      <c r="P823" s="402"/>
      <c r="Q823" s="402"/>
      <c r="R823" s="402"/>
      <c r="S823" s="402"/>
      <c r="T823" s="402"/>
      <c r="U823" s="402"/>
      <c r="V823" s="402"/>
      <c r="W823" s="402"/>
      <c r="X823" s="402"/>
      <c r="Y823" s="402"/>
      <c r="Z823" s="402"/>
    </row>
    <row r="824" ht="14.25" customHeight="1">
      <c r="A824" s="402"/>
      <c r="B824" s="402"/>
      <c r="C824" s="402"/>
      <c r="D824" s="402"/>
      <c r="E824" s="402"/>
      <c r="F824" s="403"/>
      <c r="G824" s="403"/>
      <c r="H824" s="402"/>
      <c r="I824" s="402"/>
      <c r="J824" s="402"/>
      <c r="K824" s="402"/>
      <c r="L824" s="402"/>
      <c r="M824" s="402"/>
      <c r="N824" s="402"/>
      <c r="O824" s="402"/>
      <c r="P824" s="402"/>
      <c r="Q824" s="402"/>
      <c r="R824" s="402"/>
      <c r="S824" s="402"/>
      <c r="T824" s="402"/>
      <c r="U824" s="402"/>
      <c r="V824" s="402"/>
      <c r="W824" s="402"/>
      <c r="X824" s="402"/>
      <c r="Y824" s="402"/>
      <c r="Z824" s="402"/>
    </row>
    <row r="825" ht="14.25" customHeight="1">
      <c r="A825" s="402"/>
      <c r="B825" s="402"/>
      <c r="C825" s="402"/>
      <c r="D825" s="402"/>
      <c r="E825" s="402"/>
      <c r="F825" s="403"/>
      <c r="G825" s="403"/>
      <c r="H825" s="402"/>
      <c r="I825" s="402"/>
      <c r="J825" s="402"/>
      <c r="K825" s="402"/>
      <c r="L825" s="402"/>
      <c r="M825" s="402"/>
      <c r="N825" s="402"/>
      <c r="O825" s="402"/>
      <c r="P825" s="402"/>
      <c r="Q825" s="402"/>
      <c r="R825" s="402"/>
      <c r="S825" s="402"/>
      <c r="T825" s="402"/>
      <c r="U825" s="402"/>
      <c r="V825" s="402"/>
      <c r="W825" s="402"/>
      <c r="X825" s="402"/>
      <c r="Y825" s="402"/>
      <c r="Z825" s="402"/>
    </row>
    <row r="826" ht="14.25" customHeight="1">
      <c r="A826" s="402"/>
      <c r="B826" s="402"/>
      <c r="C826" s="402"/>
      <c r="D826" s="402"/>
      <c r="E826" s="402"/>
      <c r="F826" s="403"/>
      <c r="G826" s="403"/>
      <c r="H826" s="402"/>
      <c r="I826" s="402"/>
      <c r="J826" s="402"/>
      <c r="K826" s="402"/>
      <c r="L826" s="402"/>
      <c r="M826" s="402"/>
      <c r="N826" s="402"/>
      <c r="O826" s="402"/>
      <c r="P826" s="402"/>
      <c r="Q826" s="402"/>
      <c r="R826" s="402"/>
      <c r="S826" s="402"/>
      <c r="T826" s="402"/>
      <c r="U826" s="402"/>
      <c r="V826" s="402"/>
      <c r="W826" s="402"/>
      <c r="X826" s="402"/>
      <c r="Y826" s="402"/>
      <c r="Z826" s="402"/>
    </row>
    <row r="827" ht="14.25" customHeight="1">
      <c r="A827" s="402"/>
      <c r="B827" s="402"/>
      <c r="C827" s="402"/>
      <c r="D827" s="402"/>
      <c r="E827" s="402"/>
      <c r="F827" s="403"/>
      <c r="G827" s="403"/>
      <c r="H827" s="402"/>
      <c r="I827" s="402"/>
      <c r="J827" s="402"/>
      <c r="K827" s="402"/>
      <c r="L827" s="402"/>
      <c r="M827" s="402"/>
      <c r="N827" s="402"/>
      <c r="O827" s="402"/>
      <c r="P827" s="402"/>
      <c r="Q827" s="402"/>
      <c r="R827" s="402"/>
      <c r="S827" s="402"/>
      <c r="T827" s="402"/>
      <c r="U827" s="402"/>
      <c r="V827" s="402"/>
      <c r="W827" s="402"/>
      <c r="X827" s="402"/>
      <c r="Y827" s="402"/>
      <c r="Z827" s="402"/>
    </row>
    <row r="828" ht="14.25" customHeight="1">
      <c r="A828" s="402"/>
      <c r="B828" s="402"/>
      <c r="C828" s="402"/>
      <c r="D828" s="402"/>
      <c r="E828" s="402"/>
      <c r="F828" s="403"/>
      <c r="G828" s="403"/>
      <c r="H828" s="402"/>
      <c r="I828" s="402"/>
      <c r="J828" s="402"/>
      <c r="K828" s="402"/>
      <c r="L828" s="402"/>
      <c r="M828" s="402"/>
      <c r="N828" s="402"/>
      <c r="O828" s="402"/>
      <c r="P828" s="402"/>
      <c r="Q828" s="402"/>
      <c r="R828" s="402"/>
      <c r="S828" s="402"/>
      <c r="T828" s="402"/>
      <c r="U828" s="402"/>
      <c r="V828" s="402"/>
      <c r="W828" s="402"/>
      <c r="X828" s="402"/>
      <c r="Y828" s="402"/>
      <c r="Z828" s="402"/>
    </row>
    <row r="829" ht="14.25" customHeight="1">
      <c r="A829" s="402"/>
      <c r="B829" s="402"/>
      <c r="C829" s="402"/>
      <c r="D829" s="402"/>
      <c r="E829" s="402"/>
      <c r="F829" s="403"/>
      <c r="G829" s="403"/>
      <c r="H829" s="402"/>
      <c r="I829" s="402"/>
      <c r="J829" s="402"/>
      <c r="K829" s="402"/>
      <c r="L829" s="402"/>
      <c r="M829" s="402"/>
      <c r="N829" s="402"/>
      <c r="O829" s="402"/>
      <c r="P829" s="402"/>
      <c r="Q829" s="402"/>
      <c r="R829" s="402"/>
      <c r="S829" s="402"/>
      <c r="T829" s="402"/>
      <c r="U829" s="402"/>
      <c r="V829" s="402"/>
      <c r="W829" s="402"/>
      <c r="X829" s="402"/>
      <c r="Y829" s="402"/>
      <c r="Z829" s="402"/>
    </row>
    <row r="830" ht="14.25" customHeight="1">
      <c r="A830" s="402"/>
      <c r="B830" s="402"/>
      <c r="C830" s="402"/>
      <c r="D830" s="402"/>
      <c r="E830" s="402"/>
      <c r="F830" s="403"/>
      <c r="G830" s="403"/>
      <c r="H830" s="402"/>
      <c r="I830" s="402"/>
      <c r="J830" s="402"/>
      <c r="K830" s="402"/>
      <c r="L830" s="402"/>
      <c r="M830" s="402"/>
      <c r="N830" s="402"/>
      <c r="O830" s="402"/>
      <c r="P830" s="402"/>
      <c r="Q830" s="402"/>
      <c r="R830" s="402"/>
      <c r="S830" s="402"/>
      <c r="T830" s="402"/>
      <c r="U830" s="402"/>
      <c r="V830" s="402"/>
      <c r="W830" s="402"/>
      <c r="X830" s="402"/>
      <c r="Y830" s="402"/>
      <c r="Z830" s="402"/>
    </row>
    <row r="831" ht="14.25" customHeight="1">
      <c r="A831" s="402"/>
      <c r="B831" s="402"/>
      <c r="C831" s="402"/>
      <c r="D831" s="402"/>
      <c r="E831" s="402"/>
      <c r="F831" s="403"/>
      <c r="G831" s="403"/>
      <c r="H831" s="402"/>
      <c r="I831" s="402"/>
      <c r="J831" s="402"/>
      <c r="K831" s="402"/>
      <c r="L831" s="402"/>
      <c r="M831" s="402"/>
      <c r="N831" s="402"/>
      <c r="O831" s="402"/>
      <c r="P831" s="402"/>
      <c r="Q831" s="402"/>
      <c r="R831" s="402"/>
      <c r="S831" s="402"/>
      <c r="T831" s="402"/>
      <c r="U831" s="402"/>
      <c r="V831" s="402"/>
      <c r="W831" s="402"/>
      <c r="X831" s="402"/>
      <c r="Y831" s="402"/>
      <c r="Z831" s="402"/>
    </row>
    <row r="832" ht="14.25" customHeight="1">
      <c r="A832" s="402"/>
      <c r="B832" s="402"/>
      <c r="C832" s="402"/>
      <c r="D832" s="402"/>
      <c r="E832" s="402"/>
      <c r="F832" s="403"/>
      <c r="G832" s="403"/>
      <c r="H832" s="402"/>
      <c r="I832" s="402"/>
      <c r="J832" s="402"/>
      <c r="K832" s="402"/>
      <c r="L832" s="402"/>
      <c r="M832" s="402"/>
      <c r="N832" s="402"/>
      <c r="O832" s="402"/>
      <c r="P832" s="402"/>
      <c r="Q832" s="402"/>
      <c r="R832" s="402"/>
      <c r="S832" s="402"/>
      <c r="T832" s="402"/>
      <c r="U832" s="402"/>
      <c r="V832" s="402"/>
      <c r="W832" s="402"/>
      <c r="X832" s="402"/>
      <c r="Y832" s="402"/>
      <c r="Z832" s="402"/>
    </row>
    <row r="833" ht="14.25" customHeight="1">
      <c r="A833" s="402"/>
      <c r="B833" s="402"/>
      <c r="C833" s="402"/>
      <c r="D833" s="402"/>
      <c r="E833" s="402"/>
      <c r="F833" s="403"/>
      <c r="G833" s="403"/>
      <c r="H833" s="402"/>
      <c r="I833" s="402"/>
      <c r="J833" s="402"/>
      <c r="K833" s="402"/>
      <c r="L833" s="402"/>
      <c r="M833" s="402"/>
      <c r="N833" s="402"/>
      <c r="O833" s="402"/>
      <c r="P833" s="402"/>
      <c r="Q833" s="402"/>
      <c r="R833" s="402"/>
      <c r="S833" s="402"/>
      <c r="T833" s="402"/>
      <c r="U833" s="402"/>
      <c r="V833" s="402"/>
      <c r="W833" s="402"/>
      <c r="X833" s="402"/>
      <c r="Y833" s="402"/>
      <c r="Z833" s="402"/>
    </row>
    <row r="834" ht="14.25" customHeight="1">
      <c r="A834" s="402"/>
      <c r="B834" s="402"/>
      <c r="C834" s="402"/>
      <c r="D834" s="402"/>
      <c r="E834" s="402"/>
      <c r="F834" s="403"/>
      <c r="G834" s="403"/>
      <c r="H834" s="402"/>
      <c r="I834" s="402"/>
      <c r="J834" s="402"/>
      <c r="K834" s="402"/>
      <c r="L834" s="402"/>
      <c r="M834" s="402"/>
      <c r="N834" s="402"/>
      <c r="O834" s="402"/>
      <c r="P834" s="402"/>
      <c r="Q834" s="402"/>
      <c r="R834" s="402"/>
      <c r="S834" s="402"/>
      <c r="T834" s="402"/>
      <c r="U834" s="402"/>
      <c r="V834" s="402"/>
      <c r="W834" s="402"/>
      <c r="X834" s="402"/>
      <c r="Y834" s="402"/>
      <c r="Z834" s="402"/>
    </row>
    <row r="835" ht="14.25" customHeight="1">
      <c r="A835" s="402"/>
      <c r="B835" s="402"/>
      <c r="C835" s="402"/>
      <c r="D835" s="402"/>
      <c r="E835" s="402"/>
      <c r="F835" s="403"/>
      <c r="G835" s="403"/>
      <c r="H835" s="402"/>
      <c r="I835" s="402"/>
      <c r="J835" s="402"/>
      <c r="K835" s="402"/>
      <c r="L835" s="402"/>
      <c r="M835" s="402"/>
      <c r="N835" s="402"/>
      <c r="O835" s="402"/>
      <c r="P835" s="402"/>
      <c r="Q835" s="402"/>
      <c r="R835" s="402"/>
      <c r="S835" s="402"/>
      <c r="T835" s="402"/>
      <c r="U835" s="402"/>
      <c r="V835" s="402"/>
      <c r="W835" s="402"/>
      <c r="X835" s="402"/>
      <c r="Y835" s="402"/>
      <c r="Z835" s="402"/>
    </row>
    <row r="836" ht="14.25" customHeight="1">
      <c r="A836" s="402"/>
      <c r="B836" s="402"/>
      <c r="C836" s="402"/>
      <c r="D836" s="402"/>
      <c r="E836" s="402"/>
      <c r="F836" s="403"/>
      <c r="G836" s="403"/>
      <c r="H836" s="402"/>
      <c r="I836" s="402"/>
      <c r="J836" s="402"/>
      <c r="K836" s="402"/>
      <c r="L836" s="402"/>
      <c r="M836" s="402"/>
      <c r="N836" s="402"/>
      <c r="O836" s="402"/>
      <c r="P836" s="402"/>
      <c r="Q836" s="402"/>
      <c r="R836" s="402"/>
      <c r="S836" s="402"/>
      <c r="T836" s="402"/>
      <c r="U836" s="402"/>
      <c r="V836" s="402"/>
      <c r="W836" s="402"/>
      <c r="X836" s="402"/>
      <c r="Y836" s="402"/>
      <c r="Z836" s="402"/>
    </row>
    <row r="837" ht="14.25" customHeight="1">
      <c r="A837" s="402"/>
      <c r="B837" s="402"/>
      <c r="C837" s="402"/>
      <c r="D837" s="402"/>
      <c r="E837" s="402"/>
      <c r="F837" s="403"/>
      <c r="G837" s="403"/>
      <c r="H837" s="402"/>
      <c r="I837" s="402"/>
      <c r="J837" s="402"/>
      <c r="K837" s="402"/>
      <c r="L837" s="402"/>
      <c r="M837" s="402"/>
      <c r="N837" s="402"/>
      <c r="O837" s="402"/>
      <c r="P837" s="402"/>
      <c r="Q837" s="402"/>
      <c r="R837" s="402"/>
      <c r="S837" s="402"/>
      <c r="T837" s="402"/>
      <c r="U837" s="402"/>
      <c r="V837" s="402"/>
      <c r="W837" s="402"/>
      <c r="X837" s="402"/>
      <c r="Y837" s="402"/>
      <c r="Z837" s="402"/>
    </row>
    <row r="838" ht="14.25" customHeight="1">
      <c r="A838" s="402"/>
      <c r="B838" s="402"/>
      <c r="C838" s="402"/>
      <c r="D838" s="402"/>
      <c r="E838" s="402"/>
      <c r="F838" s="403"/>
      <c r="G838" s="403"/>
      <c r="H838" s="402"/>
      <c r="I838" s="402"/>
      <c r="J838" s="402"/>
      <c r="K838" s="402"/>
      <c r="L838" s="402"/>
      <c r="M838" s="402"/>
      <c r="N838" s="402"/>
      <c r="O838" s="402"/>
      <c r="P838" s="402"/>
      <c r="Q838" s="402"/>
      <c r="R838" s="402"/>
      <c r="S838" s="402"/>
      <c r="T838" s="402"/>
      <c r="U838" s="402"/>
      <c r="V838" s="402"/>
      <c r="W838" s="402"/>
      <c r="X838" s="402"/>
      <c r="Y838" s="402"/>
      <c r="Z838" s="402"/>
    </row>
    <row r="839" ht="14.25" customHeight="1">
      <c r="A839" s="402"/>
      <c r="B839" s="402"/>
      <c r="C839" s="402"/>
      <c r="D839" s="402"/>
      <c r="E839" s="402"/>
      <c r="F839" s="403"/>
      <c r="G839" s="403"/>
      <c r="H839" s="402"/>
      <c r="I839" s="402"/>
      <c r="J839" s="402"/>
      <c r="K839" s="402"/>
      <c r="L839" s="402"/>
      <c r="M839" s="402"/>
      <c r="N839" s="402"/>
      <c r="O839" s="402"/>
      <c r="P839" s="402"/>
      <c r="Q839" s="402"/>
      <c r="R839" s="402"/>
      <c r="S839" s="402"/>
      <c r="T839" s="402"/>
      <c r="U839" s="402"/>
      <c r="V839" s="402"/>
      <c r="W839" s="402"/>
      <c r="X839" s="402"/>
      <c r="Y839" s="402"/>
      <c r="Z839" s="402"/>
    </row>
    <row r="840" ht="14.25" customHeight="1">
      <c r="A840" s="402"/>
      <c r="B840" s="402"/>
      <c r="C840" s="402"/>
      <c r="D840" s="402"/>
      <c r="E840" s="402"/>
      <c r="F840" s="403"/>
      <c r="G840" s="403"/>
      <c r="H840" s="402"/>
      <c r="I840" s="402"/>
      <c r="J840" s="402"/>
      <c r="K840" s="402"/>
      <c r="L840" s="402"/>
      <c r="M840" s="402"/>
      <c r="N840" s="402"/>
      <c r="O840" s="402"/>
      <c r="P840" s="402"/>
      <c r="Q840" s="402"/>
      <c r="R840" s="402"/>
      <c r="S840" s="402"/>
      <c r="T840" s="402"/>
      <c r="U840" s="402"/>
      <c r="V840" s="402"/>
      <c r="W840" s="402"/>
      <c r="X840" s="402"/>
      <c r="Y840" s="402"/>
      <c r="Z840" s="402"/>
    </row>
    <row r="841" ht="14.25" customHeight="1">
      <c r="A841" s="402"/>
      <c r="B841" s="402"/>
      <c r="C841" s="402"/>
      <c r="D841" s="402"/>
      <c r="E841" s="402"/>
      <c r="F841" s="403"/>
      <c r="G841" s="403"/>
      <c r="H841" s="402"/>
      <c r="I841" s="402"/>
      <c r="J841" s="402"/>
      <c r="K841" s="402"/>
      <c r="L841" s="402"/>
      <c r="M841" s="402"/>
      <c r="N841" s="402"/>
      <c r="O841" s="402"/>
      <c r="P841" s="402"/>
      <c r="Q841" s="402"/>
      <c r="R841" s="402"/>
      <c r="S841" s="402"/>
      <c r="T841" s="402"/>
      <c r="U841" s="402"/>
      <c r="V841" s="402"/>
      <c r="W841" s="402"/>
      <c r="X841" s="402"/>
      <c r="Y841" s="402"/>
      <c r="Z841" s="402"/>
    </row>
    <row r="842" ht="14.25" customHeight="1">
      <c r="A842" s="402"/>
      <c r="B842" s="402"/>
      <c r="C842" s="402"/>
      <c r="D842" s="402"/>
      <c r="E842" s="402"/>
      <c r="F842" s="403"/>
      <c r="G842" s="403"/>
      <c r="H842" s="402"/>
      <c r="I842" s="402"/>
      <c r="J842" s="402"/>
      <c r="K842" s="402"/>
      <c r="L842" s="402"/>
      <c r="M842" s="402"/>
      <c r="N842" s="402"/>
      <c r="O842" s="402"/>
      <c r="P842" s="402"/>
      <c r="Q842" s="402"/>
      <c r="R842" s="402"/>
      <c r="S842" s="402"/>
      <c r="T842" s="402"/>
      <c r="U842" s="402"/>
      <c r="V842" s="402"/>
      <c r="W842" s="402"/>
      <c r="X842" s="402"/>
      <c r="Y842" s="402"/>
      <c r="Z842" s="402"/>
    </row>
    <row r="843" ht="14.25" customHeight="1">
      <c r="A843" s="402"/>
      <c r="B843" s="402"/>
      <c r="C843" s="402"/>
      <c r="D843" s="402"/>
      <c r="E843" s="402"/>
      <c r="F843" s="403"/>
      <c r="G843" s="403"/>
      <c r="H843" s="402"/>
      <c r="I843" s="402"/>
      <c r="J843" s="402"/>
      <c r="K843" s="402"/>
      <c r="L843" s="402"/>
      <c r="M843" s="402"/>
      <c r="N843" s="402"/>
      <c r="O843" s="402"/>
      <c r="P843" s="402"/>
      <c r="Q843" s="402"/>
      <c r="R843" s="402"/>
      <c r="S843" s="402"/>
      <c r="T843" s="402"/>
      <c r="U843" s="402"/>
      <c r="V843" s="402"/>
      <c r="W843" s="402"/>
      <c r="X843" s="402"/>
      <c r="Y843" s="402"/>
      <c r="Z843" s="402"/>
    </row>
    <row r="844" ht="14.25" customHeight="1">
      <c r="A844" s="402"/>
      <c r="B844" s="402"/>
      <c r="C844" s="402"/>
      <c r="D844" s="402"/>
      <c r="E844" s="402"/>
      <c r="F844" s="403"/>
      <c r="G844" s="403"/>
      <c r="H844" s="402"/>
      <c r="I844" s="402"/>
      <c r="J844" s="402"/>
      <c r="K844" s="402"/>
      <c r="L844" s="402"/>
      <c r="M844" s="402"/>
      <c r="N844" s="402"/>
      <c r="O844" s="402"/>
      <c r="P844" s="402"/>
      <c r="Q844" s="402"/>
      <c r="R844" s="402"/>
      <c r="S844" s="402"/>
      <c r="T844" s="402"/>
      <c r="U844" s="402"/>
      <c r="V844" s="402"/>
      <c r="W844" s="402"/>
      <c r="X844" s="402"/>
      <c r="Y844" s="402"/>
      <c r="Z844" s="402"/>
    </row>
    <row r="845" ht="14.25" customHeight="1">
      <c r="A845" s="402"/>
      <c r="B845" s="402"/>
      <c r="C845" s="402"/>
      <c r="D845" s="402"/>
      <c r="E845" s="402"/>
      <c r="F845" s="403"/>
      <c r="G845" s="403"/>
      <c r="H845" s="402"/>
      <c r="I845" s="402"/>
      <c r="J845" s="402"/>
      <c r="K845" s="402"/>
      <c r="L845" s="402"/>
      <c r="M845" s="402"/>
      <c r="N845" s="402"/>
      <c r="O845" s="402"/>
      <c r="P845" s="402"/>
      <c r="Q845" s="402"/>
      <c r="R845" s="402"/>
      <c r="S845" s="402"/>
      <c r="T845" s="402"/>
      <c r="U845" s="402"/>
      <c r="V845" s="402"/>
      <c r="W845" s="402"/>
      <c r="X845" s="402"/>
      <c r="Y845" s="402"/>
      <c r="Z845" s="402"/>
    </row>
    <row r="846" ht="14.25" customHeight="1">
      <c r="A846" s="402"/>
      <c r="B846" s="402"/>
      <c r="C846" s="402"/>
      <c r="D846" s="402"/>
      <c r="E846" s="402"/>
      <c r="F846" s="403"/>
      <c r="G846" s="403"/>
      <c r="H846" s="402"/>
      <c r="I846" s="402"/>
      <c r="J846" s="402"/>
      <c r="K846" s="402"/>
      <c r="L846" s="402"/>
      <c r="M846" s="402"/>
      <c r="N846" s="402"/>
      <c r="O846" s="402"/>
      <c r="P846" s="402"/>
      <c r="Q846" s="402"/>
      <c r="R846" s="402"/>
      <c r="S846" s="402"/>
      <c r="T846" s="402"/>
      <c r="U846" s="402"/>
      <c r="V846" s="402"/>
      <c r="W846" s="402"/>
      <c r="X846" s="402"/>
      <c r="Y846" s="402"/>
      <c r="Z846" s="402"/>
    </row>
    <row r="847" ht="14.25" customHeight="1">
      <c r="A847" s="402"/>
      <c r="B847" s="402"/>
      <c r="C847" s="402"/>
      <c r="D847" s="402"/>
      <c r="E847" s="402"/>
      <c r="F847" s="403"/>
      <c r="G847" s="403"/>
      <c r="H847" s="402"/>
      <c r="I847" s="402"/>
      <c r="J847" s="402"/>
      <c r="K847" s="402"/>
      <c r="L847" s="402"/>
      <c r="M847" s="402"/>
      <c r="N847" s="402"/>
      <c r="O847" s="402"/>
      <c r="P847" s="402"/>
      <c r="Q847" s="402"/>
      <c r="R847" s="402"/>
      <c r="S847" s="402"/>
      <c r="T847" s="402"/>
      <c r="U847" s="402"/>
      <c r="V847" s="402"/>
      <c r="W847" s="402"/>
      <c r="X847" s="402"/>
      <c r="Y847" s="402"/>
      <c r="Z847" s="402"/>
    </row>
    <row r="848" ht="14.25" customHeight="1">
      <c r="A848" s="402"/>
      <c r="B848" s="402"/>
      <c r="C848" s="402"/>
      <c r="D848" s="402"/>
      <c r="E848" s="402"/>
      <c r="F848" s="403"/>
      <c r="G848" s="403"/>
      <c r="H848" s="402"/>
      <c r="I848" s="402"/>
      <c r="J848" s="402"/>
      <c r="K848" s="402"/>
      <c r="L848" s="402"/>
      <c r="M848" s="402"/>
      <c r="N848" s="402"/>
      <c r="O848" s="402"/>
      <c r="P848" s="402"/>
      <c r="Q848" s="402"/>
      <c r="R848" s="402"/>
      <c r="S848" s="402"/>
      <c r="T848" s="402"/>
      <c r="U848" s="402"/>
      <c r="V848" s="402"/>
      <c r="W848" s="402"/>
      <c r="X848" s="402"/>
      <c r="Y848" s="402"/>
      <c r="Z848" s="402"/>
    </row>
    <row r="849" ht="14.25" customHeight="1">
      <c r="A849" s="402"/>
      <c r="B849" s="402"/>
      <c r="C849" s="402"/>
      <c r="D849" s="402"/>
      <c r="E849" s="402"/>
      <c r="F849" s="403"/>
      <c r="G849" s="403"/>
      <c r="H849" s="402"/>
      <c r="I849" s="402"/>
      <c r="J849" s="402"/>
      <c r="K849" s="402"/>
      <c r="L849" s="402"/>
      <c r="M849" s="402"/>
      <c r="N849" s="402"/>
      <c r="O849" s="402"/>
      <c r="P849" s="402"/>
      <c r="Q849" s="402"/>
      <c r="R849" s="402"/>
      <c r="S849" s="402"/>
      <c r="T849" s="402"/>
      <c r="U849" s="402"/>
      <c r="V849" s="402"/>
      <c r="W849" s="402"/>
      <c r="X849" s="402"/>
      <c r="Y849" s="402"/>
      <c r="Z849" s="402"/>
    </row>
    <row r="850" ht="14.25" customHeight="1">
      <c r="A850" s="402"/>
      <c r="B850" s="402"/>
      <c r="C850" s="402"/>
      <c r="D850" s="402"/>
      <c r="E850" s="402"/>
      <c r="F850" s="403"/>
      <c r="G850" s="403"/>
      <c r="H850" s="402"/>
      <c r="I850" s="402"/>
      <c r="J850" s="402"/>
      <c r="K850" s="402"/>
      <c r="L850" s="402"/>
      <c r="M850" s="402"/>
      <c r="N850" s="402"/>
      <c r="O850" s="402"/>
      <c r="P850" s="402"/>
      <c r="Q850" s="402"/>
      <c r="R850" s="402"/>
      <c r="S850" s="402"/>
      <c r="T850" s="402"/>
      <c r="U850" s="402"/>
      <c r="V850" s="402"/>
      <c r="W850" s="402"/>
      <c r="X850" s="402"/>
      <c r="Y850" s="402"/>
      <c r="Z850" s="402"/>
    </row>
    <row r="851" ht="14.25" customHeight="1">
      <c r="A851" s="402"/>
      <c r="B851" s="402"/>
      <c r="C851" s="402"/>
      <c r="D851" s="402"/>
      <c r="E851" s="402"/>
      <c r="F851" s="403"/>
      <c r="G851" s="403"/>
      <c r="H851" s="402"/>
      <c r="I851" s="402"/>
      <c r="J851" s="402"/>
      <c r="K851" s="402"/>
      <c r="L851" s="402"/>
      <c r="M851" s="402"/>
      <c r="N851" s="402"/>
      <c r="O851" s="402"/>
      <c r="P851" s="402"/>
      <c r="Q851" s="402"/>
      <c r="R851" s="402"/>
      <c r="S851" s="402"/>
      <c r="T851" s="402"/>
      <c r="U851" s="402"/>
      <c r="V851" s="402"/>
      <c r="W851" s="402"/>
      <c r="X851" s="402"/>
      <c r="Y851" s="402"/>
      <c r="Z851" s="402"/>
    </row>
    <row r="852" ht="14.25" customHeight="1">
      <c r="A852" s="402"/>
      <c r="B852" s="402"/>
      <c r="C852" s="402"/>
      <c r="D852" s="402"/>
      <c r="E852" s="402"/>
      <c r="F852" s="403"/>
      <c r="G852" s="403"/>
      <c r="H852" s="402"/>
      <c r="I852" s="402"/>
      <c r="J852" s="402"/>
      <c r="K852" s="402"/>
      <c r="L852" s="402"/>
      <c r="M852" s="402"/>
      <c r="N852" s="402"/>
      <c r="O852" s="402"/>
      <c r="P852" s="402"/>
      <c r="Q852" s="402"/>
      <c r="R852" s="402"/>
      <c r="S852" s="402"/>
      <c r="T852" s="402"/>
      <c r="U852" s="402"/>
      <c r="V852" s="402"/>
      <c r="W852" s="402"/>
      <c r="X852" s="402"/>
      <c r="Y852" s="402"/>
      <c r="Z852" s="402"/>
    </row>
    <row r="853" ht="14.25" customHeight="1">
      <c r="A853" s="402"/>
      <c r="B853" s="402"/>
      <c r="C853" s="402"/>
      <c r="D853" s="402"/>
      <c r="E853" s="402"/>
      <c r="F853" s="403"/>
      <c r="G853" s="403"/>
      <c r="H853" s="402"/>
      <c r="I853" s="402"/>
      <c r="J853" s="402"/>
      <c r="K853" s="402"/>
      <c r="L853" s="402"/>
      <c r="M853" s="402"/>
      <c r="N853" s="402"/>
      <c r="O853" s="402"/>
      <c r="P853" s="402"/>
      <c r="Q853" s="402"/>
      <c r="R853" s="402"/>
      <c r="S853" s="402"/>
      <c r="T853" s="402"/>
      <c r="U853" s="402"/>
      <c r="V853" s="402"/>
      <c r="W853" s="402"/>
      <c r="X853" s="402"/>
      <c r="Y853" s="402"/>
      <c r="Z853" s="402"/>
    </row>
    <row r="854" ht="14.25" customHeight="1">
      <c r="A854" s="402"/>
      <c r="B854" s="402"/>
      <c r="C854" s="402"/>
      <c r="D854" s="402"/>
      <c r="E854" s="402"/>
      <c r="F854" s="403"/>
      <c r="G854" s="403"/>
      <c r="H854" s="402"/>
      <c r="I854" s="402"/>
      <c r="J854" s="402"/>
      <c r="K854" s="402"/>
      <c r="L854" s="402"/>
      <c r="M854" s="402"/>
      <c r="N854" s="402"/>
      <c r="O854" s="402"/>
      <c r="P854" s="402"/>
      <c r="Q854" s="402"/>
      <c r="R854" s="402"/>
      <c r="S854" s="402"/>
      <c r="T854" s="402"/>
      <c r="U854" s="402"/>
      <c r="V854" s="402"/>
      <c r="W854" s="402"/>
      <c r="X854" s="402"/>
      <c r="Y854" s="402"/>
      <c r="Z854" s="402"/>
    </row>
    <row r="855" ht="14.25" customHeight="1">
      <c r="A855" s="402"/>
      <c r="B855" s="402"/>
      <c r="C855" s="402"/>
      <c r="D855" s="402"/>
      <c r="E855" s="402"/>
      <c r="F855" s="403"/>
      <c r="G855" s="403"/>
      <c r="H855" s="402"/>
      <c r="I855" s="402"/>
      <c r="J855" s="402"/>
      <c r="K855" s="402"/>
      <c r="L855" s="402"/>
      <c r="M855" s="402"/>
      <c r="N855" s="402"/>
      <c r="O855" s="402"/>
      <c r="P855" s="402"/>
      <c r="Q855" s="402"/>
      <c r="R855" s="402"/>
      <c r="S855" s="402"/>
      <c r="T855" s="402"/>
      <c r="U855" s="402"/>
      <c r="V855" s="402"/>
      <c r="W855" s="402"/>
      <c r="X855" s="402"/>
      <c r="Y855" s="402"/>
      <c r="Z855" s="402"/>
    </row>
    <row r="856" ht="14.25" customHeight="1">
      <c r="A856" s="402"/>
      <c r="B856" s="402"/>
      <c r="C856" s="402"/>
      <c r="D856" s="402"/>
      <c r="E856" s="402"/>
      <c r="F856" s="403"/>
      <c r="G856" s="403"/>
      <c r="H856" s="402"/>
      <c r="I856" s="402"/>
      <c r="J856" s="402"/>
      <c r="K856" s="402"/>
      <c r="L856" s="402"/>
      <c r="M856" s="402"/>
      <c r="N856" s="402"/>
      <c r="O856" s="402"/>
      <c r="P856" s="402"/>
      <c r="Q856" s="402"/>
      <c r="R856" s="402"/>
      <c r="S856" s="402"/>
      <c r="T856" s="402"/>
      <c r="U856" s="402"/>
      <c r="V856" s="402"/>
      <c r="W856" s="402"/>
      <c r="X856" s="402"/>
      <c r="Y856" s="402"/>
      <c r="Z856" s="402"/>
    </row>
    <row r="857" ht="14.25" customHeight="1">
      <c r="A857" s="402"/>
      <c r="B857" s="402"/>
      <c r="C857" s="402"/>
      <c r="D857" s="402"/>
      <c r="E857" s="402"/>
      <c r="F857" s="403"/>
      <c r="G857" s="403"/>
      <c r="H857" s="402"/>
      <c r="I857" s="402"/>
      <c r="J857" s="402"/>
      <c r="K857" s="402"/>
      <c r="L857" s="402"/>
      <c r="M857" s="402"/>
      <c r="N857" s="402"/>
      <c r="O857" s="402"/>
      <c r="P857" s="402"/>
      <c r="Q857" s="402"/>
      <c r="R857" s="402"/>
      <c r="S857" s="402"/>
      <c r="T857" s="402"/>
      <c r="U857" s="402"/>
      <c r="V857" s="402"/>
      <c r="W857" s="402"/>
      <c r="X857" s="402"/>
      <c r="Y857" s="402"/>
      <c r="Z857" s="402"/>
    </row>
    <row r="858" ht="14.25" customHeight="1">
      <c r="A858" s="402"/>
      <c r="B858" s="402"/>
      <c r="C858" s="402"/>
      <c r="D858" s="402"/>
      <c r="E858" s="402"/>
      <c r="F858" s="403"/>
      <c r="G858" s="403"/>
      <c r="H858" s="402"/>
      <c r="I858" s="402"/>
      <c r="J858" s="402"/>
      <c r="K858" s="402"/>
      <c r="L858" s="402"/>
      <c r="M858" s="402"/>
      <c r="N858" s="402"/>
      <c r="O858" s="402"/>
      <c r="P858" s="402"/>
      <c r="Q858" s="402"/>
      <c r="R858" s="402"/>
      <c r="S858" s="402"/>
      <c r="T858" s="402"/>
      <c r="U858" s="402"/>
      <c r="V858" s="402"/>
      <c r="W858" s="402"/>
      <c r="X858" s="402"/>
      <c r="Y858" s="402"/>
      <c r="Z858" s="402"/>
    </row>
    <row r="859" ht="14.25" customHeight="1">
      <c r="A859" s="402"/>
      <c r="B859" s="402"/>
      <c r="C859" s="402"/>
      <c r="D859" s="402"/>
      <c r="E859" s="402"/>
      <c r="F859" s="403"/>
      <c r="G859" s="403"/>
      <c r="H859" s="402"/>
      <c r="I859" s="402"/>
      <c r="J859" s="402"/>
      <c r="K859" s="402"/>
      <c r="L859" s="402"/>
      <c r="M859" s="402"/>
      <c r="N859" s="402"/>
      <c r="O859" s="402"/>
      <c r="P859" s="402"/>
      <c r="Q859" s="402"/>
      <c r="R859" s="402"/>
      <c r="S859" s="402"/>
      <c r="T859" s="402"/>
      <c r="U859" s="402"/>
      <c r="V859" s="402"/>
      <c r="W859" s="402"/>
      <c r="X859" s="402"/>
      <c r="Y859" s="402"/>
      <c r="Z859" s="402"/>
    </row>
    <row r="860" ht="14.25" customHeight="1">
      <c r="A860" s="402"/>
      <c r="B860" s="402"/>
      <c r="C860" s="402"/>
      <c r="D860" s="402"/>
      <c r="E860" s="402"/>
      <c r="F860" s="403"/>
      <c r="G860" s="403"/>
      <c r="H860" s="402"/>
      <c r="I860" s="402"/>
      <c r="J860" s="402"/>
      <c r="K860" s="402"/>
      <c r="L860" s="402"/>
      <c r="M860" s="402"/>
      <c r="N860" s="402"/>
      <c r="O860" s="402"/>
      <c r="P860" s="402"/>
      <c r="Q860" s="402"/>
      <c r="R860" s="402"/>
      <c r="S860" s="402"/>
      <c r="T860" s="402"/>
      <c r="U860" s="402"/>
      <c r="V860" s="402"/>
      <c r="W860" s="402"/>
      <c r="X860" s="402"/>
      <c r="Y860" s="402"/>
      <c r="Z860" s="402"/>
    </row>
    <row r="861" ht="14.25" customHeight="1">
      <c r="A861" s="402"/>
      <c r="B861" s="402"/>
      <c r="C861" s="402"/>
      <c r="D861" s="402"/>
      <c r="E861" s="402"/>
      <c r="F861" s="403"/>
      <c r="G861" s="403"/>
      <c r="H861" s="402"/>
      <c r="I861" s="402"/>
      <c r="J861" s="402"/>
      <c r="K861" s="402"/>
      <c r="L861" s="402"/>
      <c r="M861" s="402"/>
      <c r="N861" s="402"/>
      <c r="O861" s="402"/>
      <c r="P861" s="402"/>
      <c r="Q861" s="402"/>
      <c r="R861" s="402"/>
      <c r="S861" s="402"/>
      <c r="T861" s="402"/>
      <c r="U861" s="402"/>
      <c r="V861" s="402"/>
      <c r="W861" s="402"/>
      <c r="X861" s="402"/>
      <c r="Y861" s="402"/>
      <c r="Z861" s="402"/>
    </row>
    <row r="862" ht="14.25" customHeight="1">
      <c r="A862" s="402"/>
      <c r="B862" s="402"/>
      <c r="C862" s="402"/>
      <c r="D862" s="402"/>
      <c r="E862" s="402"/>
      <c r="F862" s="403"/>
      <c r="G862" s="403"/>
      <c r="H862" s="402"/>
      <c r="I862" s="402"/>
      <c r="J862" s="402"/>
      <c r="K862" s="402"/>
      <c r="L862" s="402"/>
      <c r="M862" s="402"/>
      <c r="N862" s="402"/>
      <c r="O862" s="402"/>
      <c r="P862" s="402"/>
      <c r="Q862" s="402"/>
      <c r="R862" s="402"/>
      <c r="S862" s="402"/>
      <c r="T862" s="402"/>
      <c r="U862" s="402"/>
      <c r="V862" s="402"/>
      <c r="W862" s="402"/>
      <c r="X862" s="402"/>
      <c r="Y862" s="402"/>
      <c r="Z862" s="402"/>
    </row>
    <row r="863" ht="14.25" customHeight="1">
      <c r="A863" s="402"/>
      <c r="B863" s="402"/>
      <c r="C863" s="402"/>
      <c r="D863" s="402"/>
      <c r="E863" s="402"/>
      <c r="F863" s="403"/>
      <c r="G863" s="403"/>
      <c r="H863" s="402"/>
      <c r="I863" s="402"/>
      <c r="J863" s="402"/>
      <c r="K863" s="402"/>
      <c r="L863" s="402"/>
      <c r="M863" s="402"/>
      <c r="N863" s="402"/>
      <c r="O863" s="402"/>
      <c r="P863" s="402"/>
      <c r="Q863" s="402"/>
      <c r="R863" s="402"/>
      <c r="S863" s="402"/>
      <c r="T863" s="402"/>
      <c r="U863" s="402"/>
      <c r="V863" s="402"/>
      <c r="W863" s="402"/>
      <c r="X863" s="402"/>
      <c r="Y863" s="402"/>
      <c r="Z863" s="402"/>
    </row>
    <row r="864" ht="14.25" customHeight="1">
      <c r="A864" s="402"/>
      <c r="B864" s="402"/>
      <c r="C864" s="402"/>
      <c r="D864" s="402"/>
      <c r="E864" s="402"/>
      <c r="F864" s="403"/>
      <c r="G864" s="403"/>
      <c r="H864" s="402"/>
      <c r="I864" s="402"/>
      <c r="J864" s="402"/>
      <c r="K864" s="402"/>
      <c r="L864" s="402"/>
      <c r="M864" s="402"/>
      <c r="N864" s="402"/>
      <c r="O864" s="402"/>
      <c r="P864" s="402"/>
      <c r="Q864" s="402"/>
      <c r="R864" s="402"/>
      <c r="S864" s="402"/>
      <c r="T864" s="402"/>
      <c r="U864" s="402"/>
      <c r="V864" s="402"/>
      <c r="W864" s="402"/>
      <c r="X864" s="402"/>
      <c r="Y864" s="402"/>
      <c r="Z864" s="402"/>
    </row>
    <row r="865" ht="14.25" customHeight="1">
      <c r="A865" s="402"/>
      <c r="B865" s="402"/>
      <c r="C865" s="402"/>
      <c r="D865" s="402"/>
      <c r="E865" s="402"/>
      <c r="F865" s="403"/>
      <c r="G865" s="403"/>
      <c r="H865" s="402"/>
      <c r="I865" s="402"/>
      <c r="J865" s="402"/>
      <c r="K865" s="402"/>
      <c r="L865" s="402"/>
      <c r="M865" s="402"/>
      <c r="N865" s="402"/>
      <c r="O865" s="402"/>
      <c r="P865" s="402"/>
      <c r="Q865" s="402"/>
      <c r="R865" s="402"/>
      <c r="S865" s="402"/>
      <c r="T865" s="402"/>
      <c r="U865" s="402"/>
      <c r="V865" s="402"/>
      <c r="W865" s="402"/>
      <c r="X865" s="402"/>
      <c r="Y865" s="402"/>
      <c r="Z865" s="402"/>
    </row>
    <row r="866" ht="14.25" customHeight="1">
      <c r="A866" s="402"/>
      <c r="B866" s="402"/>
      <c r="C866" s="402"/>
      <c r="D866" s="402"/>
      <c r="E866" s="402"/>
      <c r="F866" s="403"/>
      <c r="G866" s="403"/>
      <c r="H866" s="402"/>
      <c r="I866" s="402"/>
      <c r="J866" s="402"/>
      <c r="K866" s="402"/>
      <c r="L866" s="402"/>
      <c r="M866" s="402"/>
      <c r="N866" s="402"/>
      <c r="O866" s="402"/>
      <c r="P866" s="402"/>
      <c r="Q866" s="402"/>
      <c r="R866" s="402"/>
      <c r="S866" s="402"/>
      <c r="T866" s="402"/>
      <c r="U866" s="402"/>
      <c r="V866" s="402"/>
      <c r="W866" s="402"/>
      <c r="X866" s="402"/>
      <c r="Y866" s="402"/>
      <c r="Z866" s="402"/>
    </row>
    <row r="867" ht="14.25" customHeight="1">
      <c r="A867" s="402"/>
      <c r="B867" s="402"/>
      <c r="C867" s="402"/>
      <c r="D867" s="402"/>
      <c r="E867" s="402"/>
      <c r="F867" s="403"/>
      <c r="G867" s="403"/>
      <c r="H867" s="402"/>
      <c r="I867" s="402"/>
      <c r="J867" s="402"/>
      <c r="K867" s="402"/>
      <c r="L867" s="402"/>
      <c r="M867" s="402"/>
      <c r="N867" s="402"/>
      <c r="O867" s="402"/>
      <c r="P867" s="402"/>
      <c r="Q867" s="402"/>
      <c r="R867" s="402"/>
      <c r="S867" s="402"/>
      <c r="T867" s="402"/>
      <c r="U867" s="402"/>
      <c r="V867" s="402"/>
      <c r="W867" s="402"/>
      <c r="X867" s="402"/>
      <c r="Y867" s="402"/>
      <c r="Z867" s="402"/>
    </row>
    <row r="868" ht="14.25" customHeight="1">
      <c r="A868" s="402"/>
      <c r="B868" s="402"/>
      <c r="C868" s="402"/>
      <c r="D868" s="402"/>
      <c r="E868" s="402"/>
      <c r="F868" s="403"/>
      <c r="G868" s="403"/>
      <c r="H868" s="402"/>
      <c r="I868" s="402"/>
      <c r="J868" s="402"/>
      <c r="K868" s="402"/>
      <c r="L868" s="402"/>
      <c r="M868" s="402"/>
      <c r="N868" s="402"/>
      <c r="O868" s="402"/>
      <c r="P868" s="402"/>
      <c r="Q868" s="402"/>
      <c r="R868" s="402"/>
      <c r="S868" s="402"/>
      <c r="T868" s="402"/>
      <c r="U868" s="402"/>
      <c r="V868" s="402"/>
      <c r="W868" s="402"/>
      <c r="X868" s="402"/>
      <c r="Y868" s="402"/>
      <c r="Z868" s="402"/>
    </row>
    <row r="869" ht="14.25" customHeight="1">
      <c r="A869" s="402"/>
      <c r="B869" s="402"/>
      <c r="C869" s="402"/>
      <c r="D869" s="402"/>
      <c r="E869" s="402"/>
      <c r="F869" s="403"/>
      <c r="G869" s="403"/>
      <c r="H869" s="402"/>
      <c r="I869" s="402"/>
      <c r="J869" s="402"/>
      <c r="K869" s="402"/>
      <c r="L869" s="402"/>
      <c r="M869" s="402"/>
      <c r="N869" s="402"/>
      <c r="O869" s="402"/>
      <c r="P869" s="402"/>
      <c r="Q869" s="402"/>
      <c r="R869" s="402"/>
      <c r="S869" s="402"/>
      <c r="T869" s="402"/>
      <c r="U869" s="402"/>
      <c r="V869" s="402"/>
      <c r="W869" s="402"/>
      <c r="X869" s="402"/>
      <c r="Y869" s="402"/>
      <c r="Z869" s="402"/>
    </row>
    <row r="870" ht="14.25" customHeight="1">
      <c r="A870" s="402"/>
      <c r="B870" s="402"/>
      <c r="C870" s="402"/>
      <c r="D870" s="402"/>
      <c r="E870" s="402"/>
      <c r="F870" s="403"/>
      <c r="G870" s="403"/>
      <c r="H870" s="402"/>
      <c r="I870" s="402"/>
      <c r="J870" s="402"/>
      <c r="K870" s="402"/>
      <c r="L870" s="402"/>
      <c r="M870" s="402"/>
      <c r="N870" s="402"/>
      <c r="O870" s="402"/>
      <c r="P870" s="402"/>
      <c r="Q870" s="402"/>
      <c r="R870" s="402"/>
      <c r="S870" s="402"/>
      <c r="T870" s="402"/>
      <c r="U870" s="402"/>
      <c r="V870" s="402"/>
      <c r="W870" s="402"/>
      <c r="X870" s="402"/>
      <c r="Y870" s="402"/>
      <c r="Z870" s="402"/>
    </row>
    <row r="871" ht="14.25" customHeight="1">
      <c r="A871" s="402"/>
      <c r="B871" s="402"/>
      <c r="C871" s="402"/>
      <c r="D871" s="402"/>
      <c r="E871" s="402"/>
      <c r="F871" s="403"/>
      <c r="G871" s="403"/>
      <c r="H871" s="402"/>
      <c r="I871" s="402"/>
      <c r="J871" s="402"/>
      <c r="K871" s="402"/>
      <c r="L871" s="402"/>
      <c r="M871" s="402"/>
      <c r="N871" s="402"/>
      <c r="O871" s="402"/>
      <c r="P871" s="402"/>
      <c r="Q871" s="402"/>
      <c r="R871" s="402"/>
      <c r="S871" s="402"/>
      <c r="T871" s="402"/>
      <c r="U871" s="402"/>
      <c r="V871" s="402"/>
      <c r="W871" s="402"/>
      <c r="X871" s="402"/>
      <c r="Y871" s="402"/>
      <c r="Z871" s="402"/>
    </row>
    <row r="872" ht="14.25" customHeight="1">
      <c r="A872" s="402"/>
      <c r="B872" s="402"/>
      <c r="C872" s="402"/>
      <c r="D872" s="402"/>
      <c r="E872" s="402"/>
      <c r="F872" s="403"/>
      <c r="G872" s="403"/>
      <c r="H872" s="402"/>
      <c r="I872" s="402"/>
      <c r="J872" s="402"/>
      <c r="K872" s="402"/>
      <c r="L872" s="402"/>
      <c r="M872" s="402"/>
      <c r="N872" s="402"/>
      <c r="O872" s="402"/>
      <c r="P872" s="402"/>
      <c r="Q872" s="402"/>
      <c r="R872" s="402"/>
      <c r="S872" s="402"/>
      <c r="T872" s="402"/>
      <c r="U872" s="402"/>
      <c r="V872" s="402"/>
      <c r="W872" s="402"/>
      <c r="X872" s="402"/>
      <c r="Y872" s="402"/>
      <c r="Z872" s="402"/>
    </row>
    <row r="873" ht="14.25" customHeight="1">
      <c r="A873" s="402"/>
      <c r="B873" s="402"/>
      <c r="C873" s="402"/>
      <c r="D873" s="402"/>
      <c r="E873" s="402"/>
      <c r="F873" s="403"/>
      <c r="G873" s="403"/>
      <c r="H873" s="402"/>
      <c r="I873" s="402"/>
      <c r="J873" s="402"/>
      <c r="K873" s="402"/>
      <c r="L873" s="402"/>
      <c r="M873" s="402"/>
      <c r="N873" s="402"/>
      <c r="O873" s="402"/>
      <c r="P873" s="402"/>
      <c r="Q873" s="402"/>
      <c r="R873" s="402"/>
      <c r="S873" s="402"/>
      <c r="T873" s="402"/>
      <c r="U873" s="402"/>
      <c r="V873" s="402"/>
      <c r="W873" s="402"/>
      <c r="X873" s="402"/>
      <c r="Y873" s="402"/>
      <c r="Z873" s="402"/>
    </row>
    <row r="874" ht="14.25" customHeight="1">
      <c r="A874" s="402"/>
      <c r="B874" s="402"/>
      <c r="C874" s="402"/>
      <c r="D874" s="402"/>
      <c r="E874" s="402"/>
      <c r="F874" s="403"/>
      <c r="G874" s="403"/>
      <c r="H874" s="402"/>
      <c r="I874" s="402"/>
      <c r="J874" s="402"/>
      <c r="K874" s="402"/>
      <c r="L874" s="402"/>
      <c r="M874" s="402"/>
      <c r="N874" s="402"/>
      <c r="O874" s="402"/>
      <c r="P874" s="402"/>
      <c r="Q874" s="402"/>
      <c r="R874" s="402"/>
      <c r="S874" s="402"/>
      <c r="T874" s="402"/>
      <c r="U874" s="402"/>
      <c r="V874" s="402"/>
      <c r="W874" s="402"/>
      <c r="X874" s="402"/>
      <c r="Y874" s="402"/>
      <c r="Z874" s="402"/>
    </row>
    <row r="875" ht="14.25" customHeight="1">
      <c r="A875" s="402"/>
      <c r="B875" s="402"/>
      <c r="C875" s="402"/>
      <c r="D875" s="402"/>
      <c r="E875" s="402"/>
      <c r="F875" s="403"/>
      <c r="G875" s="403"/>
      <c r="H875" s="402"/>
      <c r="I875" s="402"/>
      <c r="J875" s="402"/>
      <c r="K875" s="402"/>
      <c r="L875" s="402"/>
      <c r="M875" s="402"/>
      <c r="N875" s="402"/>
      <c r="O875" s="402"/>
      <c r="P875" s="402"/>
      <c r="Q875" s="402"/>
      <c r="R875" s="402"/>
      <c r="S875" s="402"/>
      <c r="T875" s="402"/>
      <c r="U875" s="402"/>
      <c r="V875" s="402"/>
      <c r="W875" s="402"/>
      <c r="X875" s="402"/>
      <c r="Y875" s="402"/>
      <c r="Z875" s="402"/>
    </row>
    <row r="876" ht="14.25" customHeight="1">
      <c r="A876" s="402"/>
      <c r="B876" s="402"/>
      <c r="C876" s="402"/>
      <c r="D876" s="402"/>
      <c r="E876" s="402"/>
      <c r="F876" s="403"/>
      <c r="G876" s="403"/>
      <c r="H876" s="402"/>
      <c r="I876" s="402"/>
      <c r="J876" s="402"/>
      <c r="K876" s="402"/>
      <c r="L876" s="402"/>
      <c r="M876" s="402"/>
      <c r="N876" s="402"/>
      <c r="O876" s="402"/>
      <c r="P876" s="402"/>
      <c r="Q876" s="402"/>
      <c r="R876" s="402"/>
      <c r="S876" s="402"/>
      <c r="T876" s="402"/>
      <c r="U876" s="402"/>
      <c r="V876" s="402"/>
      <c r="W876" s="402"/>
      <c r="X876" s="402"/>
      <c r="Y876" s="402"/>
      <c r="Z876" s="402"/>
    </row>
    <row r="877" ht="14.25" customHeight="1">
      <c r="A877" s="402"/>
      <c r="B877" s="402"/>
      <c r="C877" s="402"/>
      <c r="D877" s="402"/>
      <c r="E877" s="402"/>
      <c r="F877" s="403"/>
      <c r="G877" s="403"/>
      <c r="H877" s="402"/>
      <c r="I877" s="402"/>
      <c r="J877" s="402"/>
      <c r="K877" s="402"/>
      <c r="L877" s="402"/>
      <c r="M877" s="402"/>
      <c r="N877" s="402"/>
      <c r="O877" s="402"/>
      <c r="P877" s="402"/>
      <c r="Q877" s="402"/>
      <c r="R877" s="402"/>
      <c r="S877" s="402"/>
      <c r="T877" s="402"/>
      <c r="U877" s="402"/>
      <c r="V877" s="402"/>
      <c r="W877" s="402"/>
      <c r="X877" s="402"/>
      <c r="Y877" s="402"/>
      <c r="Z877" s="402"/>
    </row>
    <row r="878" ht="14.25" customHeight="1">
      <c r="A878" s="402"/>
      <c r="B878" s="402"/>
      <c r="C878" s="402"/>
      <c r="D878" s="402"/>
      <c r="E878" s="402"/>
      <c r="F878" s="403"/>
      <c r="G878" s="403"/>
      <c r="H878" s="402"/>
      <c r="I878" s="402"/>
      <c r="J878" s="402"/>
      <c r="K878" s="402"/>
      <c r="L878" s="402"/>
      <c r="M878" s="402"/>
      <c r="N878" s="402"/>
      <c r="O878" s="402"/>
      <c r="P878" s="402"/>
      <c r="Q878" s="402"/>
      <c r="R878" s="402"/>
      <c r="S878" s="402"/>
      <c r="T878" s="402"/>
      <c r="U878" s="402"/>
      <c r="V878" s="402"/>
      <c r="W878" s="402"/>
      <c r="X878" s="402"/>
      <c r="Y878" s="402"/>
      <c r="Z878" s="402"/>
    </row>
    <row r="879" ht="14.25" customHeight="1">
      <c r="A879" s="402"/>
      <c r="B879" s="402"/>
      <c r="C879" s="402"/>
      <c r="D879" s="402"/>
      <c r="E879" s="402"/>
      <c r="F879" s="403"/>
      <c r="G879" s="403"/>
      <c r="H879" s="402"/>
      <c r="I879" s="402"/>
      <c r="J879" s="402"/>
      <c r="K879" s="402"/>
      <c r="L879" s="402"/>
      <c r="M879" s="402"/>
      <c r="N879" s="402"/>
      <c r="O879" s="402"/>
      <c r="P879" s="402"/>
      <c r="Q879" s="402"/>
      <c r="R879" s="402"/>
      <c r="S879" s="402"/>
      <c r="T879" s="402"/>
      <c r="U879" s="402"/>
      <c r="V879" s="402"/>
      <c r="W879" s="402"/>
      <c r="X879" s="402"/>
      <c r="Y879" s="402"/>
      <c r="Z879" s="402"/>
    </row>
    <row r="880" ht="14.25" customHeight="1">
      <c r="A880" s="402"/>
      <c r="B880" s="402"/>
      <c r="C880" s="402"/>
      <c r="D880" s="402"/>
      <c r="E880" s="402"/>
      <c r="F880" s="403"/>
      <c r="G880" s="403"/>
      <c r="H880" s="402"/>
      <c r="I880" s="402"/>
      <c r="J880" s="402"/>
      <c r="K880" s="402"/>
      <c r="L880" s="402"/>
      <c r="M880" s="402"/>
      <c r="N880" s="402"/>
      <c r="O880" s="402"/>
      <c r="P880" s="402"/>
      <c r="Q880" s="402"/>
      <c r="R880" s="402"/>
      <c r="S880" s="402"/>
      <c r="T880" s="402"/>
      <c r="U880" s="402"/>
      <c r="V880" s="402"/>
      <c r="W880" s="402"/>
      <c r="X880" s="402"/>
      <c r="Y880" s="402"/>
      <c r="Z880" s="402"/>
    </row>
    <row r="881" ht="14.25" customHeight="1">
      <c r="A881" s="402"/>
      <c r="B881" s="402"/>
      <c r="C881" s="402"/>
      <c r="D881" s="402"/>
      <c r="E881" s="402"/>
      <c r="F881" s="403"/>
      <c r="G881" s="403"/>
      <c r="H881" s="402"/>
      <c r="I881" s="402"/>
      <c r="J881" s="402"/>
      <c r="K881" s="402"/>
      <c r="L881" s="402"/>
      <c r="M881" s="402"/>
      <c r="N881" s="402"/>
      <c r="O881" s="402"/>
      <c r="P881" s="402"/>
      <c r="Q881" s="402"/>
      <c r="R881" s="402"/>
      <c r="S881" s="402"/>
      <c r="T881" s="402"/>
      <c r="U881" s="402"/>
      <c r="V881" s="402"/>
      <c r="W881" s="402"/>
      <c r="X881" s="402"/>
      <c r="Y881" s="402"/>
      <c r="Z881" s="402"/>
    </row>
    <row r="882" ht="14.25" customHeight="1">
      <c r="A882" s="402"/>
      <c r="B882" s="402"/>
      <c r="C882" s="402"/>
      <c r="D882" s="402"/>
      <c r="E882" s="402"/>
      <c r="F882" s="403"/>
      <c r="G882" s="403"/>
      <c r="H882" s="402"/>
      <c r="I882" s="402"/>
      <c r="J882" s="402"/>
      <c r="K882" s="402"/>
      <c r="L882" s="402"/>
      <c r="M882" s="402"/>
      <c r="N882" s="402"/>
      <c r="O882" s="402"/>
      <c r="P882" s="402"/>
      <c r="Q882" s="402"/>
      <c r="R882" s="402"/>
      <c r="S882" s="402"/>
      <c r="T882" s="402"/>
      <c r="U882" s="402"/>
      <c r="V882" s="402"/>
      <c r="W882" s="402"/>
      <c r="X882" s="402"/>
      <c r="Y882" s="402"/>
      <c r="Z882" s="402"/>
    </row>
    <row r="883" ht="14.25" customHeight="1">
      <c r="A883" s="402"/>
      <c r="B883" s="402"/>
      <c r="C883" s="402"/>
      <c r="D883" s="402"/>
      <c r="E883" s="402"/>
      <c r="F883" s="403"/>
      <c r="G883" s="403"/>
      <c r="H883" s="402"/>
      <c r="I883" s="402"/>
      <c r="J883" s="402"/>
      <c r="K883" s="402"/>
      <c r="L883" s="402"/>
      <c r="M883" s="402"/>
      <c r="N883" s="402"/>
      <c r="O883" s="402"/>
      <c r="P883" s="402"/>
      <c r="Q883" s="402"/>
      <c r="R883" s="402"/>
      <c r="S883" s="402"/>
      <c r="T883" s="402"/>
      <c r="U883" s="402"/>
      <c r="V883" s="402"/>
      <c r="W883" s="402"/>
      <c r="X883" s="402"/>
      <c r="Y883" s="402"/>
      <c r="Z883" s="402"/>
    </row>
    <row r="884" ht="14.25" customHeight="1">
      <c r="A884" s="402"/>
      <c r="B884" s="402"/>
      <c r="C884" s="402"/>
      <c r="D884" s="402"/>
      <c r="E884" s="402"/>
      <c r="F884" s="403"/>
      <c r="G884" s="403"/>
      <c r="H884" s="402"/>
      <c r="I884" s="402"/>
      <c r="J884" s="402"/>
      <c r="K884" s="402"/>
      <c r="L884" s="402"/>
      <c r="M884" s="402"/>
      <c r="N884" s="402"/>
      <c r="O884" s="402"/>
      <c r="P884" s="402"/>
      <c r="Q884" s="402"/>
      <c r="R884" s="402"/>
      <c r="S884" s="402"/>
      <c r="T884" s="402"/>
      <c r="U884" s="402"/>
      <c r="V884" s="402"/>
      <c r="W884" s="402"/>
      <c r="X884" s="402"/>
      <c r="Y884" s="402"/>
      <c r="Z884" s="402"/>
    </row>
    <row r="885" ht="14.25" customHeight="1">
      <c r="A885" s="402"/>
      <c r="B885" s="402"/>
      <c r="C885" s="402"/>
      <c r="D885" s="402"/>
      <c r="E885" s="402"/>
      <c r="F885" s="403"/>
      <c r="G885" s="403"/>
      <c r="H885" s="402"/>
      <c r="I885" s="402"/>
      <c r="J885" s="402"/>
      <c r="K885" s="402"/>
      <c r="L885" s="402"/>
      <c r="M885" s="402"/>
      <c r="N885" s="402"/>
      <c r="O885" s="402"/>
      <c r="P885" s="402"/>
      <c r="Q885" s="402"/>
      <c r="R885" s="402"/>
      <c r="S885" s="402"/>
      <c r="T885" s="402"/>
      <c r="U885" s="402"/>
      <c r="V885" s="402"/>
      <c r="W885" s="402"/>
      <c r="X885" s="402"/>
      <c r="Y885" s="402"/>
      <c r="Z885" s="402"/>
    </row>
    <row r="886" ht="14.25" customHeight="1">
      <c r="A886" s="402"/>
      <c r="B886" s="402"/>
      <c r="C886" s="402"/>
      <c r="D886" s="402"/>
      <c r="E886" s="402"/>
      <c r="F886" s="403"/>
      <c r="G886" s="403"/>
      <c r="H886" s="402"/>
      <c r="I886" s="402"/>
      <c r="J886" s="402"/>
      <c r="K886" s="402"/>
      <c r="L886" s="402"/>
      <c r="M886" s="402"/>
      <c r="N886" s="402"/>
      <c r="O886" s="402"/>
      <c r="P886" s="402"/>
      <c r="Q886" s="402"/>
      <c r="R886" s="402"/>
      <c r="S886" s="402"/>
      <c r="T886" s="402"/>
      <c r="U886" s="402"/>
      <c r="V886" s="402"/>
      <c r="W886" s="402"/>
      <c r="X886" s="402"/>
      <c r="Y886" s="402"/>
      <c r="Z886" s="402"/>
    </row>
    <row r="887" ht="14.25" customHeight="1">
      <c r="A887" s="402"/>
      <c r="B887" s="402"/>
      <c r="C887" s="402"/>
      <c r="D887" s="402"/>
      <c r="E887" s="402"/>
      <c r="F887" s="403"/>
      <c r="G887" s="403"/>
      <c r="H887" s="402"/>
      <c r="I887" s="402"/>
      <c r="J887" s="402"/>
      <c r="K887" s="402"/>
      <c r="L887" s="402"/>
      <c r="M887" s="402"/>
      <c r="N887" s="402"/>
      <c r="O887" s="402"/>
      <c r="P887" s="402"/>
      <c r="Q887" s="402"/>
      <c r="R887" s="402"/>
      <c r="S887" s="402"/>
      <c r="T887" s="402"/>
      <c r="U887" s="402"/>
      <c r="V887" s="402"/>
      <c r="W887" s="402"/>
      <c r="X887" s="402"/>
      <c r="Y887" s="402"/>
      <c r="Z887" s="402"/>
    </row>
    <row r="888" ht="14.25" customHeight="1">
      <c r="A888" s="402"/>
      <c r="B888" s="402"/>
      <c r="C888" s="402"/>
      <c r="D888" s="402"/>
      <c r="E888" s="402"/>
      <c r="F888" s="403"/>
      <c r="G888" s="403"/>
      <c r="H888" s="402"/>
      <c r="I888" s="402"/>
      <c r="J888" s="402"/>
      <c r="K888" s="402"/>
      <c r="L888" s="402"/>
      <c r="M888" s="402"/>
      <c r="N888" s="402"/>
      <c r="O888" s="402"/>
      <c r="P888" s="402"/>
      <c r="Q888" s="402"/>
      <c r="R888" s="402"/>
      <c r="S888" s="402"/>
      <c r="T888" s="402"/>
      <c r="U888" s="402"/>
      <c r="V888" s="402"/>
      <c r="W888" s="402"/>
      <c r="X888" s="402"/>
      <c r="Y888" s="402"/>
      <c r="Z888" s="402"/>
    </row>
    <row r="889" ht="14.25" customHeight="1">
      <c r="A889" s="402"/>
      <c r="B889" s="402"/>
      <c r="C889" s="402"/>
      <c r="D889" s="402"/>
      <c r="E889" s="402"/>
      <c r="F889" s="403"/>
      <c r="G889" s="403"/>
      <c r="H889" s="402"/>
      <c r="I889" s="402"/>
      <c r="J889" s="402"/>
      <c r="K889" s="402"/>
      <c r="L889" s="402"/>
      <c r="M889" s="402"/>
      <c r="N889" s="402"/>
      <c r="O889" s="402"/>
      <c r="P889" s="402"/>
      <c r="Q889" s="402"/>
      <c r="R889" s="402"/>
      <c r="S889" s="402"/>
      <c r="T889" s="402"/>
      <c r="U889" s="402"/>
      <c r="V889" s="402"/>
      <c r="W889" s="402"/>
      <c r="X889" s="402"/>
      <c r="Y889" s="402"/>
      <c r="Z889" s="402"/>
    </row>
    <row r="890" ht="14.25" customHeight="1">
      <c r="A890" s="402"/>
      <c r="B890" s="402"/>
      <c r="C890" s="402"/>
      <c r="D890" s="402"/>
      <c r="E890" s="402"/>
      <c r="F890" s="403"/>
      <c r="G890" s="403"/>
      <c r="H890" s="402"/>
      <c r="I890" s="402"/>
      <c r="J890" s="402"/>
      <c r="K890" s="402"/>
      <c r="L890" s="402"/>
      <c r="M890" s="402"/>
      <c r="N890" s="402"/>
      <c r="O890" s="402"/>
      <c r="P890" s="402"/>
      <c r="Q890" s="402"/>
      <c r="R890" s="402"/>
      <c r="S890" s="402"/>
      <c r="T890" s="402"/>
      <c r="U890" s="402"/>
      <c r="V890" s="402"/>
      <c r="W890" s="402"/>
      <c r="X890" s="402"/>
      <c r="Y890" s="402"/>
      <c r="Z890" s="402"/>
    </row>
    <row r="891" ht="14.25" customHeight="1">
      <c r="A891" s="402"/>
      <c r="B891" s="402"/>
      <c r="C891" s="402"/>
      <c r="D891" s="402"/>
      <c r="E891" s="402"/>
      <c r="F891" s="403"/>
      <c r="G891" s="403"/>
      <c r="H891" s="402"/>
      <c r="I891" s="402"/>
      <c r="J891" s="402"/>
      <c r="K891" s="402"/>
      <c r="L891" s="402"/>
      <c r="M891" s="402"/>
      <c r="N891" s="402"/>
      <c r="O891" s="402"/>
      <c r="P891" s="402"/>
      <c r="Q891" s="402"/>
      <c r="R891" s="402"/>
      <c r="S891" s="402"/>
      <c r="T891" s="402"/>
      <c r="U891" s="402"/>
      <c r="V891" s="402"/>
      <c r="W891" s="402"/>
      <c r="X891" s="402"/>
      <c r="Y891" s="402"/>
      <c r="Z891" s="402"/>
    </row>
    <row r="892" ht="14.25" customHeight="1">
      <c r="A892" s="402"/>
      <c r="B892" s="402"/>
      <c r="C892" s="402"/>
      <c r="D892" s="402"/>
      <c r="E892" s="402"/>
      <c r="F892" s="403"/>
      <c r="G892" s="403"/>
      <c r="H892" s="402"/>
      <c r="I892" s="402"/>
      <c r="J892" s="402"/>
      <c r="K892" s="402"/>
      <c r="L892" s="402"/>
      <c r="M892" s="402"/>
      <c r="N892" s="402"/>
      <c r="O892" s="402"/>
      <c r="P892" s="402"/>
      <c r="Q892" s="402"/>
      <c r="R892" s="402"/>
      <c r="S892" s="402"/>
      <c r="T892" s="402"/>
      <c r="U892" s="402"/>
      <c r="V892" s="402"/>
      <c r="W892" s="402"/>
      <c r="X892" s="402"/>
      <c r="Y892" s="402"/>
      <c r="Z892" s="402"/>
    </row>
    <row r="893" ht="14.25" customHeight="1">
      <c r="A893" s="402"/>
      <c r="B893" s="402"/>
      <c r="C893" s="402"/>
      <c r="D893" s="402"/>
      <c r="E893" s="402"/>
      <c r="F893" s="403"/>
      <c r="G893" s="403"/>
      <c r="H893" s="402"/>
      <c r="I893" s="402"/>
      <c r="J893" s="402"/>
      <c r="K893" s="402"/>
      <c r="L893" s="402"/>
      <c r="M893" s="402"/>
      <c r="N893" s="402"/>
      <c r="O893" s="402"/>
      <c r="P893" s="402"/>
      <c r="Q893" s="402"/>
      <c r="R893" s="402"/>
      <c r="S893" s="402"/>
      <c r="T893" s="402"/>
      <c r="U893" s="402"/>
      <c r="V893" s="402"/>
      <c r="W893" s="402"/>
      <c r="X893" s="402"/>
      <c r="Y893" s="402"/>
      <c r="Z893" s="402"/>
    </row>
    <row r="894" ht="14.25" customHeight="1">
      <c r="A894" s="402"/>
      <c r="B894" s="402"/>
      <c r="C894" s="402"/>
      <c r="D894" s="402"/>
      <c r="E894" s="402"/>
      <c r="F894" s="403"/>
      <c r="G894" s="403"/>
      <c r="H894" s="402"/>
      <c r="I894" s="402"/>
      <c r="J894" s="402"/>
      <c r="K894" s="402"/>
      <c r="L894" s="402"/>
      <c r="M894" s="402"/>
      <c r="N894" s="402"/>
      <c r="O894" s="402"/>
      <c r="P894" s="402"/>
      <c r="Q894" s="402"/>
      <c r="R894" s="402"/>
      <c r="S894" s="402"/>
      <c r="T894" s="402"/>
      <c r="U894" s="402"/>
      <c r="V894" s="402"/>
      <c r="W894" s="402"/>
      <c r="X894" s="402"/>
      <c r="Y894" s="402"/>
      <c r="Z894" s="402"/>
    </row>
    <row r="895" ht="14.25" customHeight="1">
      <c r="A895" s="402"/>
      <c r="B895" s="402"/>
      <c r="C895" s="402"/>
      <c r="D895" s="402"/>
      <c r="E895" s="402"/>
      <c r="F895" s="403"/>
      <c r="G895" s="403"/>
      <c r="H895" s="402"/>
      <c r="I895" s="402"/>
      <c r="J895" s="402"/>
      <c r="K895" s="402"/>
      <c r="L895" s="402"/>
      <c r="M895" s="402"/>
      <c r="N895" s="402"/>
      <c r="O895" s="402"/>
      <c r="P895" s="402"/>
      <c r="Q895" s="402"/>
      <c r="R895" s="402"/>
      <c r="S895" s="402"/>
      <c r="T895" s="402"/>
      <c r="U895" s="402"/>
      <c r="V895" s="402"/>
      <c r="W895" s="402"/>
      <c r="X895" s="402"/>
      <c r="Y895" s="402"/>
      <c r="Z895" s="402"/>
    </row>
    <row r="896" ht="14.25" customHeight="1">
      <c r="A896" s="402"/>
      <c r="B896" s="402"/>
      <c r="C896" s="402"/>
      <c r="D896" s="402"/>
      <c r="E896" s="402"/>
      <c r="F896" s="403"/>
      <c r="G896" s="403"/>
      <c r="H896" s="402"/>
      <c r="I896" s="402"/>
      <c r="J896" s="402"/>
      <c r="K896" s="402"/>
      <c r="L896" s="402"/>
      <c r="M896" s="402"/>
      <c r="N896" s="402"/>
      <c r="O896" s="402"/>
      <c r="P896" s="402"/>
      <c r="Q896" s="402"/>
      <c r="R896" s="402"/>
      <c r="S896" s="402"/>
      <c r="T896" s="402"/>
      <c r="U896" s="402"/>
      <c r="V896" s="402"/>
      <c r="W896" s="402"/>
      <c r="X896" s="402"/>
      <c r="Y896" s="402"/>
      <c r="Z896" s="402"/>
    </row>
    <row r="897" ht="14.25" customHeight="1">
      <c r="A897" s="402"/>
      <c r="B897" s="402"/>
      <c r="C897" s="402"/>
      <c r="D897" s="402"/>
      <c r="E897" s="402"/>
      <c r="F897" s="403"/>
      <c r="G897" s="403"/>
      <c r="H897" s="402"/>
      <c r="I897" s="402"/>
      <c r="J897" s="402"/>
      <c r="K897" s="402"/>
      <c r="L897" s="402"/>
      <c r="M897" s="402"/>
      <c r="N897" s="402"/>
      <c r="O897" s="402"/>
      <c r="P897" s="402"/>
      <c r="Q897" s="402"/>
      <c r="R897" s="402"/>
      <c r="S897" s="402"/>
      <c r="T897" s="402"/>
      <c r="U897" s="402"/>
      <c r="V897" s="402"/>
      <c r="W897" s="402"/>
      <c r="X897" s="402"/>
      <c r="Y897" s="402"/>
      <c r="Z897" s="402"/>
    </row>
    <row r="898" ht="14.25" customHeight="1">
      <c r="A898" s="402"/>
      <c r="B898" s="402"/>
      <c r="C898" s="402"/>
      <c r="D898" s="402"/>
      <c r="E898" s="402"/>
      <c r="F898" s="403"/>
      <c r="G898" s="403"/>
      <c r="H898" s="402"/>
      <c r="I898" s="402"/>
      <c r="J898" s="402"/>
      <c r="K898" s="402"/>
      <c r="L898" s="402"/>
      <c r="M898" s="402"/>
      <c r="N898" s="402"/>
      <c r="O898" s="402"/>
      <c r="P898" s="402"/>
      <c r="Q898" s="402"/>
      <c r="R898" s="402"/>
      <c r="S898" s="402"/>
      <c r="T898" s="402"/>
      <c r="U898" s="402"/>
      <c r="V898" s="402"/>
      <c r="W898" s="402"/>
      <c r="X898" s="402"/>
      <c r="Y898" s="402"/>
      <c r="Z898" s="402"/>
    </row>
    <row r="899" ht="14.25" customHeight="1">
      <c r="A899" s="402"/>
      <c r="B899" s="402"/>
      <c r="C899" s="402"/>
      <c r="D899" s="402"/>
      <c r="E899" s="402"/>
      <c r="F899" s="403"/>
      <c r="G899" s="403"/>
      <c r="H899" s="402"/>
      <c r="I899" s="402"/>
      <c r="J899" s="402"/>
      <c r="K899" s="402"/>
      <c r="L899" s="402"/>
      <c r="M899" s="402"/>
      <c r="N899" s="402"/>
      <c r="O899" s="402"/>
      <c r="P899" s="402"/>
      <c r="Q899" s="402"/>
      <c r="R899" s="402"/>
      <c r="S899" s="402"/>
      <c r="T899" s="402"/>
      <c r="U899" s="402"/>
      <c r="V899" s="402"/>
      <c r="W899" s="402"/>
      <c r="X899" s="402"/>
      <c r="Y899" s="402"/>
      <c r="Z899" s="402"/>
    </row>
    <row r="900" ht="14.25" customHeight="1">
      <c r="A900" s="402"/>
      <c r="B900" s="402"/>
      <c r="C900" s="402"/>
      <c r="D900" s="402"/>
      <c r="E900" s="402"/>
      <c r="F900" s="403"/>
      <c r="G900" s="403"/>
      <c r="H900" s="402"/>
      <c r="I900" s="402"/>
      <c r="J900" s="402"/>
      <c r="K900" s="402"/>
      <c r="L900" s="402"/>
      <c r="M900" s="402"/>
      <c r="N900" s="402"/>
      <c r="O900" s="402"/>
      <c r="P900" s="402"/>
      <c r="Q900" s="402"/>
      <c r="R900" s="402"/>
      <c r="S900" s="402"/>
      <c r="T900" s="402"/>
      <c r="U900" s="402"/>
      <c r="V900" s="402"/>
      <c r="W900" s="402"/>
      <c r="X900" s="402"/>
      <c r="Y900" s="402"/>
      <c r="Z900" s="402"/>
    </row>
    <row r="901" ht="14.25" customHeight="1">
      <c r="A901" s="402"/>
      <c r="B901" s="402"/>
      <c r="C901" s="402"/>
      <c r="D901" s="402"/>
      <c r="E901" s="402"/>
      <c r="F901" s="403"/>
      <c r="G901" s="403"/>
      <c r="H901" s="402"/>
      <c r="I901" s="402"/>
      <c r="J901" s="402"/>
      <c r="K901" s="402"/>
      <c r="L901" s="402"/>
      <c r="M901" s="402"/>
      <c r="N901" s="402"/>
      <c r="O901" s="402"/>
      <c r="P901" s="402"/>
      <c r="Q901" s="402"/>
      <c r="R901" s="402"/>
      <c r="S901" s="402"/>
      <c r="T901" s="402"/>
      <c r="U901" s="402"/>
      <c r="V901" s="402"/>
      <c r="W901" s="402"/>
      <c r="X901" s="402"/>
      <c r="Y901" s="402"/>
      <c r="Z901" s="402"/>
    </row>
    <row r="902" ht="14.25" customHeight="1">
      <c r="A902" s="402"/>
      <c r="B902" s="402"/>
      <c r="C902" s="402"/>
      <c r="D902" s="402"/>
      <c r="E902" s="402"/>
      <c r="F902" s="403"/>
      <c r="G902" s="403"/>
      <c r="H902" s="402"/>
      <c r="I902" s="402"/>
      <c r="J902" s="402"/>
      <c r="K902" s="402"/>
      <c r="L902" s="402"/>
      <c r="M902" s="402"/>
      <c r="N902" s="402"/>
      <c r="O902" s="402"/>
      <c r="P902" s="402"/>
      <c r="Q902" s="402"/>
      <c r="R902" s="402"/>
      <c r="S902" s="402"/>
      <c r="T902" s="402"/>
      <c r="U902" s="402"/>
      <c r="V902" s="402"/>
      <c r="W902" s="402"/>
      <c r="X902" s="402"/>
      <c r="Y902" s="402"/>
      <c r="Z902" s="402"/>
    </row>
    <row r="903" ht="14.25" customHeight="1">
      <c r="A903" s="402"/>
      <c r="B903" s="402"/>
      <c r="C903" s="402"/>
      <c r="D903" s="402"/>
      <c r="E903" s="402"/>
      <c r="F903" s="403"/>
      <c r="G903" s="403"/>
      <c r="H903" s="402"/>
      <c r="I903" s="402"/>
      <c r="J903" s="402"/>
      <c r="K903" s="402"/>
      <c r="L903" s="402"/>
      <c r="M903" s="402"/>
      <c r="N903" s="402"/>
      <c r="O903" s="402"/>
      <c r="P903" s="402"/>
      <c r="Q903" s="402"/>
      <c r="R903" s="402"/>
      <c r="S903" s="402"/>
      <c r="T903" s="402"/>
      <c r="U903" s="402"/>
      <c r="V903" s="402"/>
      <c r="W903" s="402"/>
      <c r="X903" s="402"/>
      <c r="Y903" s="402"/>
      <c r="Z903" s="402"/>
    </row>
    <row r="904" ht="14.25" customHeight="1">
      <c r="A904" s="402"/>
      <c r="B904" s="402"/>
      <c r="C904" s="402"/>
      <c r="D904" s="402"/>
      <c r="E904" s="402"/>
      <c r="F904" s="403"/>
      <c r="G904" s="403"/>
      <c r="H904" s="402"/>
      <c r="I904" s="402"/>
      <c r="J904" s="402"/>
      <c r="K904" s="402"/>
      <c r="L904" s="402"/>
      <c r="M904" s="402"/>
      <c r="N904" s="402"/>
      <c r="O904" s="402"/>
      <c r="P904" s="402"/>
      <c r="Q904" s="402"/>
      <c r="R904" s="402"/>
      <c r="S904" s="402"/>
      <c r="T904" s="402"/>
      <c r="U904" s="402"/>
      <c r="V904" s="402"/>
      <c r="W904" s="402"/>
      <c r="X904" s="402"/>
      <c r="Y904" s="402"/>
      <c r="Z904" s="402"/>
    </row>
    <row r="905" ht="14.25" customHeight="1">
      <c r="A905" s="402"/>
      <c r="B905" s="402"/>
      <c r="C905" s="402"/>
      <c r="D905" s="402"/>
      <c r="E905" s="402"/>
      <c r="F905" s="403"/>
      <c r="G905" s="403"/>
      <c r="H905" s="402"/>
      <c r="I905" s="402"/>
      <c r="J905" s="402"/>
      <c r="K905" s="402"/>
      <c r="L905" s="402"/>
      <c r="M905" s="402"/>
      <c r="N905" s="402"/>
      <c r="O905" s="402"/>
      <c r="P905" s="402"/>
      <c r="Q905" s="402"/>
      <c r="R905" s="402"/>
      <c r="S905" s="402"/>
      <c r="T905" s="402"/>
      <c r="U905" s="402"/>
      <c r="V905" s="402"/>
      <c r="W905" s="402"/>
      <c r="X905" s="402"/>
      <c r="Y905" s="402"/>
      <c r="Z905" s="402"/>
    </row>
    <row r="906" ht="14.25" customHeight="1">
      <c r="A906" s="402"/>
      <c r="B906" s="402"/>
      <c r="C906" s="402"/>
      <c r="D906" s="402"/>
      <c r="E906" s="402"/>
      <c r="F906" s="403"/>
      <c r="G906" s="403"/>
      <c r="H906" s="402"/>
      <c r="I906" s="402"/>
      <c r="J906" s="402"/>
      <c r="K906" s="402"/>
      <c r="L906" s="402"/>
      <c r="M906" s="402"/>
      <c r="N906" s="402"/>
      <c r="O906" s="402"/>
      <c r="P906" s="402"/>
      <c r="Q906" s="402"/>
      <c r="R906" s="402"/>
      <c r="S906" s="402"/>
      <c r="T906" s="402"/>
      <c r="U906" s="402"/>
      <c r="V906" s="402"/>
      <c r="W906" s="402"/>
      <c r="X906" s="402"/>
      <c r="Y906" s="402"/>
      <c r="Z906" s="402"/>
    </row>
    <row r="907" ht="14.25" customHeight="1">
      <c r="A907" s="402"/>
      <c r="B907" s="402"/>
      <c r="C907" s="402"/>
      <c r="D907" s="402"/>
      <c r="E907" s="402"/>
      <c r="F907" s="403"/>
      <c r="G907" s="403"/>
      <c r="H907" s="402"/>
      <c r="I907" s="402"/>
      <c r="J907" s="402"/>
      <c r="K907" s="402"/>
      <c r="L907" s="402"/>
      <c r="M907" s="402"/>
      <c r="N907" s="402"/>
      <c r="O907" s="402"/>
      <c r="P907" s="402"/>
      <c r="Q907" s="402"/>
      <c r="R907" s="402"/>
      <c r="S907" s="402"/>
      <c r="T907" s="402"/>
      <c r="U907" s="402"/>
      <c r="V907" s="402"/>
      <c r="W907" s="402"/>
      <c r="X907" s="402"/>
      <c r="Y907" s="402"/>
      <c r="Z907" s="402"/>
    </row>
    <row r="908" ht="14.25" customHeight="1">
      <c r="A908" s="402"/>
      <c r="B908" s="402"/>
      <c r="C908" s="402"/>
      <c r="D908" s="402"/>
      <c r="E908" s="402"/>
      <c r="F908" s="403"/>
      <c r="G908" s="403"/>
      <c r="H908" s="402"/>
      <c r="I908" s="402"/>
      <c r="J908" s="402"/>
      <c r="K908" s="402"/>
      <c r="L908" s="402"/>
      <c r="M908" s="402"/>
      <c r="N908" s="402"/>
      <c r="O908" s="402"/>
      <c r="P908" s="402"/>
      <c r="Q908" s="402"/>
      <c r="R908" s="402"/>
      <c r="S908" s="402"/>
      <c r="T908" s="402"/>
      <c r="U908" s="402"/>
      <c r="V908" s="402"/>
      <c r="W908" s="402"/>
      <c r="X908" s="402"/>
      <c r="Y908" s="402"/>
      <c r="Z908" s="402"/>
    </row>
    <row r="909" ht="14.25" customHeight="1">
      <c r="A909" s="402"/>
      <c r="B909" s="402"/>
      <c r="C909" s="402"/>
      <c r="D909" s="402"/>
      <c r="E909" s="402"/>
      <c r="F909" s="403"/>
      <c r="G909" s="403"/>
      <c r="H909" s="402"/>
      <c r="I909" s="402"/>
      <c r="J909" s="402"/>
      <c r="K909" s="402"/>
      <c r="L909" s="402"/>
      <c r="M909" s="402"/>
      <c r="N909" s="402"/>
      <c r="O909" s="402"/>
      <c r="P909" s="402"/>
      <c r="Q909" s="402"/>
      <c r="R909" s="402"/>
      <c r="S909" s="402"/>
      <c r="T909" s="402"/>
      <c r="U909" s="402"/>
      <c r="V909" s="402"/>
      <c r="W909" s="402"/>
      <c r="X909" s="402"/>
      <c r="Y909" s="402"/>
      <c r="Z909" s="402"/>
    </row>
    <row r="910" ht="14.25" customHeight="1">
      <c r="A910" s="402"/>
      <c r="B910" s="402"/>
      <c r="C910" s="402"/>
      <c r="D910" s="402"/>
      <c r="E910" s="402"/>
      <c r="F910" s="403"/>
      <c r="G910" s="403"/>
      <c r="H910" s="402"/>
      <c r="I910" s="402"/>
      <c r="J910" s="402"/>
      <c r="K910" s="402"/>
      <c r="L910" s="402"/>
      <c r="M910" s="402"/>
      <c r="N910" s="402"/>
      <c r="O910" s="402"/>
      <c r="P910" s="402"/>
      <c r="Q910" s="402"/>
      <c r="R910" s="402"/>
      <c r="S910" s="402"/>
      <c r="T910" s="402"/>
      <c r="U910" s="402"/>
      <c r="V910" s="402"/>
      <c r="W910" s="402"/>
      <c r="X910" s="402"/>
      <c r="Y910" s="402"/>
      <c r="Z910" s="402"/>
    </row>
    <row r="911" ht="14.25" customHeight="1">
      <c r="A911" s="402"/>
      <c r="B911" s="402"/>
      <c r="C911" s="402"/>
      <c r="D911" s="402"/>
      <c r="E911" s="402"/>
      <c r="F911" s="403"/>
      <c r="G911" s="403"/>
      <c r="H911" s="402"/>
      <c r="I911" s="402"/>
      <c r="J911" s="402"/>
      <c r="K911" s="402"/>
      <c r="L911" s="402"/>
      <c r="M911" s="402"/>
      <c r="N911" s="402"/>
      <c r="O911" s="402"/>
      <c r="P911" s="402"/>
      <c r="Q911" s="402"/>
      <c r="R911" s="402"/>
      <c r="S911" s="402"/>
      <c r="T911" s="402"/>
      <c r="U911" s="402"/>
      <c r="V911" s="402"/>
      <c r="W911" s="402"/>
      <c r="X911" s="402"/>
      <c r="Y911" s="402"/>
      <c r="Z911" s="402"/>
    </row>
    <row r="912" ht="14.25" customHeight="1">
      <c r="A912" s="402"/>
      <c r="B912" s="402"/>
      <c r="C912" s="402"/>
      <c r="D912" s="402"/>
      <c r="E912" s="402"/>
      <c r="F912" s="403"/>
      <c r="G912" s="403"/>
      <c r="H912" s="402"/>
      <c r="I912" s="402"/>
      <c r="J912" s="402"/>
      <c r="K912" s="402"/>
      <c r="L912" s="402"/>
      <c r="M912" s="402"/>
      <c r="N912" s="402"/>
      <c r="O912" s="402"/>
      <c r="P912" s="402"/>
      <c r="Q912" s="402"/>
      <c r="R912" s="402"/>
      <c r="S912" s="402"/>
      <c r="T912" s="402"/>
      <c r="U912" s="402"/>
      <c r="V912" s="402"/>
      <c r="W912" s="402"/>
      <c r="X912" s="402"/>
      <c r="Y912" s="402"/>
      <c r="Z912" s="402"/>
    </row>
    <row r="913" ht="14.25" customHeight="1">
      <c r="A913" s="402"/>
      <c r="B913" s="402"/>
      <c r="C913" s="402"/>
      <c r="D913" s="402"/>
      <c r="E913" s="402"/>
      <c r="F913" s="403"/>
      <c r="G913" s="403"/>
      <c r="H913" s="402"/>
      <c r="I913" s="402"/>
      <c r="J913" s="402"/>
      <c r="K913" s="402"/>
      <c r="L913" s="402"/>
      <c r="M913" s="402"/>
      <c r="N913" s="402"/>
      <c r="O913" s="402"/>
      <c r="P913" s="402"/>
      <c r="Q913" s="402"/>
      <c r="R913" s="402"/>
      <c r="S913" s="402"/>
      <c r="T913" s="402"/>
      <c r="U913" s="402"/>
      <c r="V913" s="402"/>
      <c r="W913" s="402"/>
      <c r="X913" s="402"/>
      <c r="Y913" s="402"/>
      <c r="Z913" s="402"/>
    </row>
    <row r="914" ht="14.25" customHeight="1">
      <c r="A914" s="402"/>
      <c r="B914" s="402"/>
      <c r="C914" s="402"/>
      <c r="D914" s="402"/>
      <c r="E914" s="402"/>
      <c r="F914" s="403"/>
      <c r="G914" s="403"/>
      <c r="H914" s="402"/>
      <c r="I914" s="402"/>
      <c r="J914" s="402"/>
      <c r="K914" s="402"/>
      <c r="L914" s="402"/>
      <c r="M914" s="402"/>
      <c r="N914" s="402"/>
      <c r="O914" s="402"/>
      <c r="P914" s="402"/>
      <c r="Q914" s="402"/>
      <c r="R914" s="402"/>
      <c r="S914" s="402"/>
      <c r="T914" s="402"/>
      <c r="U914" s="402"/>
      <c r="V914" s="402"/>
      <c r="W914" s="402"/>
      <c r="X914" s="402"/>
      <c r="Y914" s="402"/>
      <c r="Z914" s="402"/>
    </row>
    <row r="915" ht="14.25" customHeight="1">
      <c r="A915" s="402"/>
      <c r="B915" s="402"/>
      <c r="C915" s="402"/>
      <c r="D915" s="402"/>
      <c r="E915" s="402"/>
      <c r="F915" s="403"/>
      <c r="G915" s="403"/>
      <c r="H915" s="402"/>
      <c r="I915" s="402"/>
      <c r="J915" s="402"/>
      <c r="K915" s="402"/>
      <c r="L915" s="402"/>
      <c r="M915" s="402"/>
      <c r="N915" s="402"/>
      <c r="O915" s="402"/>
      <c r="P915" s="402"/>
      <c r="Q915" s="402"/>
      <c r="R915" s="402"/>
      <c r="S915" s="402"/>
      <c r="T915" s="402"/>
      <c r="U915" s="402"/>
      <c r="V915" s="402"/>
      <c r="W915" s="402"/>
      <c r="X915" s="402"/>
      <c r="Y915" s="402"/>
      <c r="Z915" s="402"/>
    </row>
    <row r="916" ht="14.25" customHeight="1">
      <c r="A916" s="402"/>
      <c r="B916" s="402"/>
      <c r="C916" s="402"/>
      <c r="D916" s="402"/>
      <c r="E916" s="402"/>
      <c r="F916" s="403"/>
      <c r="G916" s="403"/>
      <c r="H916" s="402"/>
      <c r="I916" s="402"/>
      <c r="J916" s="402"/>
      <c r="K916" s="402"/>
      <c r="L916" s="402"/>
      <c r="M916" s="402"/>
      <c r="N916" s="402"/>
      <c r="O916" s="402"/>
      <c r="P916" s="402"/>
      <c r="Q916" s="402"/>
      <c r="R916" s="402"/>
      <c r="S916" s="402"/>
      <c r="T916" s="402"/>
      <c r="U916" s="402"/>
      <c r="V916" s="402"/>
      <c r="W916" s="402"/>
      <c r="X916" s="402"/>
      <c r="Y916" s="402"/>
      <c r="Z916" s="402"/>
    </row>
    <row r="917" ht="14.25" customHeight="1">
      <c r="A917" s="402"/>
      <c r="B917" s="402"/>
      <c r="C917" s="402"/>
      <c r="D917" s="402"/>
      <c r="E917" s="402"/>
      <c r="F917" s="403"/>
      <c r="G917" s="403"/>
      <c r="H917" s="402"/>
      <c r="I917" s="402"/>
      <c r="J917" s="402"/>
      <c r="K917" s="402"/>
      <c r="L917" s="402"/>
      <c r="M917" s="402"/>
      <c r="N917" s="402"/>
      <c r="O917" s="402"/>
      <c r="P917" s="402"/>
      <c r="Q917" s="402"/>
      <c r="R917" s="402"/>
      <c r="S917" s="402"/>
      <c r="T917" s="402"/>
      <c r="U917" s="402"/>
      <c r="V917" s="402"/>
      <c r="W917" s="402"/>
      <c r="X917" s="402"/>
      <c r="Y917" s="402"/>
      <c r="Z917" s="402"/>
    </row>
    <row r="918" ht="14.25" customHeight="1">
      <c r="A918" s="402"/>
      <c r="B918" s="402"/>
      <c r="C918" s="402"/>
      <c r="D918" s="402"/>
      <c r="E918" s="402"/>
      <c r="F918" s="403"/>
      <c r="G918" s="403"/>
      <c r="H918" s="402"/>
      <c r="I918" s="402"/>
      <c r="J918" s="402"/>
      <c r="K918" s="402"/>
      <c r="L918" s="402"/>
      <c r="M918" s="402"/>
      <c r="N918" s="402"/>
      <c r="O918" s="402"/>
      <c r="P918" s="402"/>
      <c r="Q918" s="402"/>
      <c r="R918" s="402"/>
      <c r="S918" s="402"/>
      <c r="T918" s="402"/>
      <c r="U918" s="402"/>
      <c r="V918" s="402"/>
      <c r="W918" s="402"/>
      <c r="X918" s="402"/>
      <c r="Y918" s="402"/>
      <c r="Z918" s="402"/>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16.0"/>
    <col customWidth="1" min="3" max="3" width="26.86"/>
    <col customWidth="1" min="4" max="4" width="12.14"/>
    <col customWidth="1" min="5" max="5" width="14.29"/>
    <col customWidth="1" min="6" max="6" width="21.71"/>
    <col customWidth="1" min="7" max="7" width="17.14"/>
    <col customWidth="1" min="8" max="8" width="55.14"/>
    <col customWidth="1" min="9" max="10" width="8.71"/>
    <col customWidth="1" min="11" max="11" width="16.29"/>
    <col customWidth="1" min="12" max="26" width="8.71"/>
  </cols>
  <sheetData>
    <row r="1" ht="14.25" customHeight="1">
      <c r="A1" s="424">
        <v>8.0</v>
      </c>
      <c r="B1" s="584" t="s">
        <v>39</v>
      </c>
      <c r="C1" s="584" t="s">
        <v>48</v>
      </c>
      <c r="D1" s="584" t="s">
        <v>49</v>
      </c>
      <c r="E1" s="584" t="s">
        <v>50</v>
      </c>
      <c r="F1" s="584" t="s">
        <v>2</v>
      </c>
      <c r="G1" s="584" t="s">
        <v>44</v>
      </c>
      <c r="H1" s="584" t="s">
        <v>45</v>
      </c>
      <c r="I1" s="584"/>
      <c r="J1" s="584"/>
      <c r="K1" s="584"/>
      <c r="L1" s="584"/>
      <c r="M1" s="584"/>
      <c r="N1" s="584"/>
      <c r="O1" s="584"/>
      <c r="P1" s="584"/>
      <c r="Q1" s="584"/>
      <c r="R1" s="584"/>
      <c r="S1" s="584"/>
      <c r="T1" s="584"/>
      <c r="U1" s="584"/>
      <c r="V1" s="584"/>
      <c r="W1" s="584"/>
      <c r="X1" s="584"/>
      <c r="Y1" s="584"/>
      <c r="Z1" s="584"/>
    </row>
    <row r="2" ht="14.25" customHeight="1">
      <c r="A2" s="818">
        <v>45495.0</v>
      </c>
      <c r="B2" s="349" t="s">
        <v>4322</v>
      </c>
      <c r="C2" s="349" t="s">
        <v>4323</v>
      </c>
      <c r="D2" s="349" t="s">
        <v>439</v>
      </c>
      <c r="E2" s="349" t="s">
        <v>4324</v>
      </c>
      <c r="F2" s="683">
        <v>86000.0</v>
      </c>
      <c r="G2" s="349">
        <v>0.0</v>
      </c>
      <c r="H2" s="349" t="s">
        <v>4325</v>
      </c>
      <c r="I2" s="402"/>
      <c r="J2" s="402"/>
      <c r="K2" s="736" t="str">
        <f t="shared" ref="K2:K5" si="1">IF(G2&gt;=F2,"FULLY PAID",IF(G2=0,"NOT PAID","PARTIALLY PAID"))</f>
        <v>NOT PAID</v>
      </c>
      <c r="L2" s="402"/>
      <c r="M2" s="402"/>
      <c r="N2" s="402"/>
      <c r="O2" s="402"/>
      <c r="P2" s="402"/>
      <c r="Q2" s="402"/>
      <c r="R2" s="402"/>
      <c r="S2" s="402"/>
      <c r="T2" s="402"/>
      <c r="U2" s="402"/>
      <c r="V2" s="402"/>
      <c r="W2" s="402"/>
      <c r="X2" s="402"/>
      <c r="Y2" s="402"/>
      <c r="Z2" s="402"/>
    </row>
    <row r="3" ht="14.25" customHeight="1">
      <c r="A3" s="818">
        <v>45495.0</v>
      </c>
      <c r="B3" s="349" t="s">
        <v>4326</v>
      </c>
      <c r="C3" s="349" t="s">
        <v>4327</v>
      </c>
      <c r="D3" s="349" t="s">
        <v>439</v>
      </c>
      <c r="E3" s="349" t="s">
        <v>4324</v>
      </c>
      <c r="F3" s="683">
        <v>70000.0</v>
      </c>
      <c r="G3" s="349">
        <v>0.0</v>
      </c>
      <c r="H3" s="349" t="s">
        <v>4328</v>
      </c>
      <c r="I3" s="402"/>
      <c r="J3" s="402"/>
      <c r="K3" s="736" t="str">
        <f t="shared" si="1"/>
        <v>NOT PAID</v>
      </c>
      <c r="L3" s="402"/>
      <c r="M3" s="402"/>
      <c r="N3" s="402"/>
      <c r="O3" s="402"/>
      <c r="P3" s="402"/>
      <c r="Q3" s="402"/>
      <c r="R3" s="402"/>
      <c r="S3" s="402"/>
      <c r="T3" s="402"/>
      <c r="U3" s="402"/>
      <c r="V3" s="402"/>
      <c r="W3" s="402"/>
      <c r="X3" s="402"/>
      <c r="Y3" s="402"/>
      <c r="Z3" s="402"/>
    </row>
    <row r="4" ht="14.25" customHeight="1">
      <c r="A4" s="818">
        <v>45495.0</v>
      </c>
      <c r="B4" s="349" t="s">
        <v>4329</v>
      </c>
      <c r="C4" s="349" t="s">
        <v>4330</v>
      </c>
      <c r="D4" s="349" t="s">
        <v>439</v>
      </c>
      <c r="E4" s="349" t="s">
        <v>4324</v>
      </c>
      <c r="F4" s="349">
        <v>137000.0</v>
      </c>
      <c r="G4" s="349">
        <v>0.0</v>
      </c>
      <c r="H4" s="349" t="s">
        <v>4331</v>
      </c>
      <c r="I4" s="402"/>
      <c r="J4" s="402"/>
      <c r="K4" s="736" t="str">
        <f t="shared" si="1"/>
        <v>NOT PAID</v>
      </c>
      <c r="L4" s="402"/>
      <c r="M4" s="402"/>
      <c r="N4" s="402"/>
      <c r="O4" s="402"/>
      <c r="P4" s="402"/>
      <c r="Q4" s="402"/>
      <c r="R4" s="402"/>
      <c r="S4" s="402"/>
      <c r="T4" s="402"/>
      <c r="U4" s="402"/>
      <c r="V4" s="402"/>
      <c r="W4" s="402"/>
      <c r="X4" s="402"/>
      <c r="Y4" s="402"/>
      <c r="Z4" s="402"/>
    </row>
    <row r="5" ht="14.25" customHeight="1">
      <c r="A5" s="406">
        <v>45495.0</v>
      </c>
      <c r="B5" s="349" t="s">
        <v>4332</v>
      </c>
      <c r="C5" s="349" t="s">
        <v>4333</v>
      </c>
      <c r="D5" s="349" t="s">
        <v>439</v>
      </c>
      <c r="E5" s="349" t="s">
        <v>4324</v>
      </c>
      <c r="F5" s="349">
        <v>15936.0</v>
      </c>
      <c r="G5" s="349">
        <v>15936.0</v>
      </c>
      <c r="H5" s="349" t="s">
        <v>772</v>
      </c>
      <c r="I5" s="402"/>
      <c r="J5" s="402"/>
      <c r="K5" s="736" t="str">
        <f t="shared" si="1"/>
        <v>FULLY PAID</v>
      </c>
      <c r="L5" s="402"/>
      <c r="M5" s="402"/>
      <c r="N5" s="402"/>
      <c r="O5" s="402"/>
      <c r="P5" s="402"/>
      <c r="Q5" s="402"/>
      <c r="R5" s="402"/>
      <c r="S5" s="402"/>
      <c r="T5" s="402"/>
      <c r="U5" s="402"/>
      <c r="V5" s="402"/>
      <c r="W5" s="402"/>
      <c r="X5" s="402"/>
      <c r="Y5" s="402"/>
      <c r="Z5" s="402"/>
    </row>
    <row r="6" ht="14.25" customHeight="1">
      <c r="A6" s="402"/>
      <c r="B6" s="402"/>
      <c r="C6" s="402"/>
      <c r="D6" s="402"/>
      <c r="E6" s="402"/>
      <c r="F6" s="402"/>
      <c r="G6" s="402"/>
      <c r="H6" s="402"/>
      <c r="I6" s="402"/>
      <c r="J6" s="402"/>
      <c r="K6" s="736"/>
      <c r="L6" s="402"/>
      <c r="M6" s="402"/>
      <c r="N6" s="402"/>
      <c r="O6" s="402"/>
      <c r="P6" s="402"/>
      <c r="Q6" s="402"/>
      <c r="R6" s="402"/>
      <c r="S6" s="402"/>
      <c r="T6" s="402"/>
      <c r="U6" s="402"/>
      <c r="V6" s="402"/>
      <c r="W6" s="402"/>
      <c r="X6" s="402"/>
      <c r="Y6" s="402"/>
      <c r="Z6" s="402"/>
    </row>
    <row r="7" ht="14.25" customHeight="1">
      <c r="A7" s="402"/>
      <c r="B7" s="402"/>
      <c r="C7" s="402"/>
      <c r="D7" s="402"/>
      <c r="E7" s="402"/>
      <c r="F7" s="402"/>
      <c r="G7" s="402"/>
      <c r="H7" s="402"/>
      <c r="I7" s="402"/>
      <c r="J7" s="402"/>
      <c r="K7" s="736"/>
      <c r="L7" s="402"/>
      <c r="M7" s="402"/>
      <c r="N7" s="402"/>
      <c r="O7" s="402"/>
      <c r="P7" s="402"/>
      <c r="Q7" s="402"/>
      <c r="R7" s="402"/>
      <c r="S7" s="402"/>
      <c r="T7" s="402"/>
      <c r="U7" s="402"/>
      <c r="V7" s="402"/>
      <c r="W7" s="402"/>
      <c r="X7" s="402"/>
      <c r="Y7" s="402"/>
      <c r="Z7" s="402"/>
    </row>
    <row r="8" ht="14.25" customHeight="1">
      <c r="A8" s="818">
        <v>45496.0</v>
      </c>
      <c r="B8" s="349" t="s">
        <v>4322</v>
      </c>
      <c r="C8" s="349" t="s">
        <v>4334</v>
      </c>
      <c r="D8" s="349" t="s">
        <v>4311</v>
      </c>
      <c r="E8" s="349" t="s">
        <v>4335</v>
      </c>
      <c r="F8" s="349">
        <v>86000.0</v>
      </c>
      <c r="G8" s="402"/>
      <c r="H8" s="349" t="s">
        <v>4336</v>
      </c>
      <c r="I8" s="402"/>
      <c r="J8" s="402"/>
      <c r="K8" s="736" t="str">
        <f t="shared" ref="K8:K11" si="2">IF(G8&gt;=F8,"FULLY PAID",IF(G8=0,"NOT PAID","PARTIALLY PAID"))</f>
        <v>NOT PAID</v>
      </c>
      <c r="L8" s="402"/>
      <c r="M8" s="402"/>
      <c r="N8" s="402"/>
      <c r="O8" s="402"/>
      <c r="P8" s="402"/>
      <c r="Q8" s="402"/>
      <c r="R8" s="402"/>
      <c r="S8" s="402"/>
      <c r="T8" s="402"/>
      <c r="U8" s="402"/>
      <c r="V8" s="402"/>
      <c r="W8" s="402"/>
      <c r="X8" s="402"/>
      <c r="Y8" s="402"/>
      <c r="Z8" s="402"/>
    </row>
    <row r="9" ht="14.25" customHeight="1">
      <c r="A9" s="818">
        <v>45496.0</v>
      </c>
      <c r="B9" s="349" t="s">
        <v>4326</v>
      </c>
      <c r="C9" s="349" t="s">
        <v>4337</v>
      </c>
      <c r="D9" s="349" t="s">
        <v>4311</v>
      </c>
      <c r="E9" s="349" t="s">
        <v>4335</v>
      </c>
      <c r="F9" s="683">
        <v>5000.0</v>
      </c>
      <c r="G9" s="402"/>
      <c r="H9" s="349" t="s">
        <v>4338</v>
      </c>
      <c r="I9" s="402"/>
      <c r="J9" s="402"/>
      <c r="K9" s="736" t="str">
        <f t="shared" si="2"/>
        <v>NOT PAID</v>
      </c>
      <c r="L9" s="402"/>
      <c r="M9" s="402"/>
      <c r="N9" s="402"/>
      <c r="O9" s="402"/>
      <c r="P9" s="402"/>
      <c r="Q9" s="402"/>
      <c r="R9" s="402"/>
      <c r="S9" s="402"/>
      <c r="T9" s="402"/>
      <c r="U9" s="402"/>
      <c r="V9" s="402"/>
      <c r="W9" s="402"/>
      <c r="X9" s="402"/>
      <c r="Y9" s="402"/>
      <c r="Z9" s="402"/>
    </row>
    <row r="10" ht="14.25" customHeight="1">
      <c r="A10" s="818">
        <v>45496.0</v>
      </c>
      <c r="B10" s="349" t="s">
        <v>4329</v>
      </c>
      <c r="C10" s="349" t="s">
        <v>4339</v>
      </c>
      <c r="D10" s="349" t="s">
        <v>4311</v>
      </c>
      <c r="E10" s="349" t="s">
        <v>4335</v>
      </c>
      <c r="F10" s="683">
        <v>137000.0</v>
      </c>
      <c r="G10" s="402"/>
      <c r="H10" s="349" t="s">
        <v>4340</v>
      </c>
      <c r="I10" s="402"/>
      <c r="J10" s="402"/>
      <c r="K10" s="736" t="str">
        <f t="shared" si="2"/>
        <v>NOT PAID</v>
      </c>
      <c r="L10" s="402"/>
      <c r="M10" s="402"/>
      <c r="N10" s="402"/>
      <c r="O10" s="402"/>
      <c r="P10" s="402"/>
      <c r="Q10" s="402"/>
      <c r="R10" s="402"/>
      <c r="S10" s="402"/>
      <c r="T10" s="402"/>
      <c r="U10" s="402"/>
      <c r="V10" s="402"/>
      <c r="W10" s="402"/>
      <c r="X10" s="402"/>
      <c r="Y10" s="402"/>
      <c r="Z10" s="402"/>
    </row>
    <row r="11" ht="14.25" customHeight="1">
      <c r="A11" s="818">
        <v>45496.0</v>
      </c>
      <c r="B11" s="349" t="s">
        <v>4341</v>
      </c>
      <c r="C11" s="349" t="s">
        <v>4342</v>
      </c>
      <c r="D11" s="349" t="s">
        <v>4311</v>
      </c>
      <c r="E11" s="349" t="s">
        <v>4335</v>
      </c>
      <c r="F11" s="349">
        <v>4000.0</v>
      </c>
      <c r="G11" s="402"/>
      <c r="H11" s="349" t="s">
        <v>4336</v>
      </c>
      <c r="I11" s="402"/>
      <c r="J11" s="402"/>
      <c r="K11" s="736" t="str">
        <f t="shared" si="2"/>
        <v>NOT PAID</v>
      </c>
      <c r="L11" s="402"/>
      <c r="M11" s="402"/>
      <c r="N11" s="402"/>
      <c r="O11" s="402"/>
      <c r="P11" s="402"/>
      <c r="Q11" s="402"/>
      <c r="R11" s="402"/>
      <c r="S11" s="402"/>
      <c r="T11" s="402"/>
      <c r="U11" s="402"/>
      <c r="V11" s="402"/>
      <c r="W11" s="402"/>
      <c r="X11" s="402"/>
      <c r="Y11" s="402"/>
      <c r="Z11" s="402"/>
    </row>
    <row r="12" ht="14.25" customHeight="1">
      <c r="A12" s="402"/>
      <c r="B12" s="402"/>
      <c r="C12" s="402"/>
      <c r="D12" s="402"/>
      <c r="E12" s="402"/>
      <c r="F12" s="402"/>
      <c r="G12" s="402"/>
      <c r="H12" s="402"/>
      <c r="I12" s="402"/>
      <c r="J12" s="402"/>
      <c r="K12" s="736"/>
      <c r="L12" s="402"/>
      <c r="M12" s="402"/>
      <c r="N12" s="402"/>
      <c r="O12" s="402"/>
      <c r="P12" s="402"/>
      <c r="Q12" s="402"/>
      <c r="R12" s="402"/>
      <c r="S12" s="402"/>
      <c r="T12" s="402"/>
      <c r="U12" s="402"/>
      <c r="V12" s="402"/>
      <c r="W12" s="402"/>
      <c r="X12" s="402"/>
      <c r="Y12" s="402"/>
      <c r="Z12" s="402"/>
    </row>
    <row r="13" ht="14.25" customHeight="1">
      <c r="A13" s="402"/>
      <c r="B13" s="402"/>
      <c r="C13" s="402"/>
      <c r="D13" s="402"/>
      <c r="E13" s="402"/>
      <c r="F13" s="402"/>
      <c r="G13" s="402"/>
      <c r="H13" s="402"/>
      <c r="I13" s="402"/>
      <c r="J13" s="402"/>
      <c r="K13" s="736"/>
      <c r="L13" s="402"/>
      <c r="M13" s="402"/>
      <c r="N13" s="402"/>
      <c r="O13" s="402"/>
      <c r="P13" s="402"/>
      <c r="Q13" s="402"/>
      <c r="R13" s="402"/>
      <c r="S13" s="402"/>
      <c r="T13" s="402"/>
      <c r="U13" s="402"/>
      <c r="V13" s="402"/>
      <c r="W13" s="402"/>
      <c r="X13" s="402"/>
      <c r="Y13" s="402"/>
      <c r="Z13" s="402"/>
    </row>
    <row r="14" ht="14.25" customHeight="1">
      <c r="A14" s="818">
        <v>45497.0</v>
      </c>
      <c r="B14" s="349" t="s">
        <v>4322</v>
      </c>
      <c r="C14" s="349" t="s">
        <v>4334</v>
      </c>
      <c r="D14" s="349" t="s">
        <v>4311</v>
      </c>
      <c r="E14" s="349" t="s">
        <v>4335</v>
      </c>
      <c r="F14" s="349">
        <v>20000.0</v>
      </c>
      <c r="G14" s="349">
        <v>10000.0</v>
      </c>
      <c r="H14" s="349" t="s">
        <v>4343</v>
      </c>
      <c r="I14" s="402"/>
      <c r="J14" s="402"/>
      <c r="K14" s="736" t="str">
        <f t="shared" ref="K14:K17" si="3">IF(G14&gt;=F14,"FULLY PAID",IF(G14=0,"NOT PAID","PARTIALLY PAID"))</f>
        <v>PARTIALLY PAID</v>
      </c>
      <c r="L14" s="402"/>
      <c r="M14" s="402"/>
      <c r="N14" s="402"/>
      <c r="O14" s="402"/>
      <c r="P14" s="402"/>
      <c r="Q14" s="402"/>
      <c r="R14" s="402"/>
      <c r="S14" s="402"/>
      <c r="T14" s="402"/>
      <c r="U14" s="402"/>
      <c r="V14" s="402"/>
      <c r="W14" s="402"/>
      <c r="X14" s="402"/>
      <c r="Y14" s="402"/>
      <c r="Z14" s="402"/>
    </row>
    <row r="15" ht="14.25" customHeight="1">
      <c r="A15" s="818">
        <v>45497.0</v>
      </c>
      <c r="B15" s="562" t="s">
        <v>4344</v>
      </c>
      <c r="C15" s="562" t="s">
        <v>4345</v>
      </c>
      <c r="D15" s="349" t="s">
        <v>4311</v>
      </c>
      <c r="E15" s="349" t="s">
        <v>4335</v>
      </c>
      <c r="F15" s="683">
        <v>30000.0</v>
      </c>
      <c r="G15" s="349">
        <v>0.0</v>
      </c>
      <c r="H15" s="349" t="s">
        <v>4346</v>
      </c>
      <c r="I15" s="402"/>
      <c r="J15" s="402"/>
      <c r="K15" s="736" t="str">
        <f t="shared" si="3"/>
        <v>NOT PAID</v>
      </c>
      <c r="L15" s="402"/>
      <c r="M15" s="402"/>
      <c r="N15" s="402"/>
      <c r="O15" s="402"/>
      <c r="P15" s="402"/>
      <c r="Q15" s="402"/>
      <c r="R15" s="402"/>
      <c r="S15" s="402"/>
      <c r="T15" s="402"/>
      <c r="U15" s="402"/>
      <c r="V15" s="402"/>
      <c r="W15" s="402"/>
      <c r="X15" s="402"/>
      <c r="Y15" s="402"/>
      <c r="Z15" s="402"/>
    </row>
    <row r="16" ht="14.25" customHeight="1">
      <c r="A16" s="818">
        <v>45497.0</v>
      </c>
      <c r="B16" s="562" t="s">
        <v>4347</v>
      </c>
      <c r="C16" s="562" t="s">
        <v>4348</v>
      </c>
      <c r="D16" s="349" t="s">
        <v>4311</v>
      </c>
      <c r="E16" s="349" t="s">
        <v>4335</v>
      </c>
      <c r="F16" s="683">
        <v>64000.0</v>
      </c>
      <c r="G16" s="349">
        <v>82000.0</v>
      </c>
      <c r="H16" s="349" t="s">
        <v>4349</v>
      </c>
      <c r="I16" s="402"/>
      <c r="J16" s="402"/>
      <c r="K16" s="736" t="str">
        <f t="shared" si="3"/>
        <v>FULLY PAID</v>
      </c>
      <c r="L16" s="402"/>
      <c r="M16" s="402"/>
      <c r="N16" s="402"/>
      <c r="O16" s="402"/>
      <c r="P16" s="402"/>
      <c r="Q16" s="402"/>
      <c r="R16" s="402"/>
      <c r="S16" s="402"/>
      <c r="T16" s="402"/>
      <c r="U16" s="402"/>
      <c r="V16" s="402"/>
      <c r="W16" s="402"/>
      <c r="X16" s="402"/>
      <c r="Y16" s="402"/>
      <c r="Z16" s="402"/>
    </row>
    <row r="17" ht="14.25" customHeight="1">
      <c r="A17" s="818">
        <v>45497.0</v>
      </c>
      <c r="B17" s="349" t="s">
        <v>4341</v>
      </c>
      <c r="C17" s="349" t="s">
        <v>4350</v>
      </c>
      <c r="D17" s="349" t="s">
        <v>4311</v>
      </c>
      <c r="E17" s="349" t="s">
        <v>4335</v>
      </c>
      <c r="F17" s="349">
        <v>5000.0</v>
      </c>
      <c r="G17" s="349">
        <v>5000.0</v>
      </c>
      <c r="H17" s="349" t="s">
        <v>4351</v>
      </c>
      <c r="I17" s="402"/>
      <c r="J17" s="402"/>
      <c r="K17" s="736" t="str">
        <f t="shared" si="3"/>
        <v>FULLY PAID</v>
      </c>
      <c r="L17" s="402"/>
      <c r="M17" s="402"/>
      <c r="N17" s="402"/>
      <c r="O17" s="402"/>
      <c r="P17" s="402"/>
      <c r="Q17" s="402"/>
      <c r="R17" s="402"/>
      <c r="S17" s="402"/>
      <c r="T17" s="402"/>
      <c r="U17" s="402"/>
      <c r="V17" s="402"/>
      <c r="W17" s="402"/>
      <c r="X17" s="402"/>
      <c r="Y17" s="402"/>
      <c r="Z17" s="402"/>
    </row>
    <row r="18" ht="16.5" customHeight="1">
      <c r="A18" s="402"/>
      <c r="B18" s="402"/>
      <c r="C18" s="402"/>
      <c r="D18" s="402"/>
      <c r="E18" s="402"/>
      <c r="F18" s="402"/>
      <c r="G18" s="402"/>
      <c r="H18" s="402"/>
      <c r="I18" s="402"/>
      <c r="J18" s="402"/>
      <c r="K18" s="736"/>
      <c r="L18" s="402"/>
      <c r="M18" s="402"/>
      <c r="N18" s="402"/>
      <c r="O18" s="402"/>
      <c r="P18" s="402"/>
      <c r="Q18" s="402"/>
      <c r="R18" s="402"/>
      <c r="S18" s="402"/>
      <c r="T18" s="402"/>
      <c r="U18" s="402"/>
      <c r="V18" s="402"/>
      <c r="W18" s="402"/>
      <c r="X18" s="402"/>
      <c r="Y18" s="402"/>
      <c r="Z18" s="402"/>
    </row>
    <row r="19" ht="14.25" customHeight="1">
      <c r="A19" s="402"/>
      <c r="B19" s="402"/>
      <c r="C19" s="402"/>
      <c r="D19" s="402"/>
      <c r="E19" s="402"/>
      <c r="F19" s="402"/>
      <c r="G19" s="402"/>
      <c r="H19" s="402"/>
      <c r="I19" s="402"/>
      <c r="J19" s="402"/>
      <c r="K19" s="736"/>
      <c r="L19" s="402"/>
      <c r="M19" s="402"/>
      <c r="N19" s="402"/>
      <c r="O19" s="402"/>
      <c r="P19" s="402"/>
      <c r="Q19" s="402"/>
      <c r="R19" s="402"/>
      <c r="S19" s="402"/>
      <c r="T19" s="402"/>
      <c r="U19" s="402"/>
      <c r="V19" s="402"/>
      <c r="W19" s="402"/>
      <c r="X19" s="402"/>
      <c r="Y19" s="402"/>
      <c r="Z19" s="402"/>
    </row>
    <row r="20" ht="14.25" customHeight="1">
      <c r="A20" s="402"/>
      <c r="B20" s="402"/>
      <c r="C20" s="402"/>
      <c r="D20" s="402"/>
      <c r="E20" s="402"/>
      <c r="F20" s="402"/>
      <c r="G20" s="402"/>
      <c r="H20" s="402"/>
      <c r="I20" s="402"/>
      <c r="J20" s="402"/>
      <c r="K20" s="736"/>
      <c r="L20" s="402"/>
      <c r="M20" s="402"/>
      <c r="N20" s="402"/>
      <c r="O20" s="402"/>
      <c r="P20" s="402"/>
      <c r="Q20" s="402"/>
      <c r="R20" s="402"/>
      <c r="S20" s="402"/>
      <c r="T20" s="402"/>
      <c r="U20" s="402"/>
      <c r="V20" s="402"/>
      <c r="W20" s="402"/>
      <c r="X20" s="402"/>
      <c r="Y20" s="402"/>
      <c r="Z20" s="402"/>
    </row>
    <row r="21" ht="14.25" customHeight="1">
      <c r="A21" s="818">
        <v>45498.0</v>
      </c>
      <c r="B21" s="555" t="s">
        <v>4326</v>
      </c>
      <c r="C21" s="555" t="s">
        <v>4352</v>
      </c>
      <c r="D21" s="471" t="s">
        <v>54</v>
      </c>
      <c r="E21" s="599" t="s">
        <v>4335</v>
      </c>
      <c r="F21" s="570">
        <v>50000.0</v>
      </c>
      <c r="G21" s="402"/>
      <c r="H21" s="599"/>
      <c r="I21" s="402"/>
      <c r="J21" s="402"/>
      <c r="K21" s="736" t="str">
        <f t="shared" ref="K21:K24" si="4">IF(G21&gt;=F21,"FULLY PAID",IF(G21=0,"NOT PAID","PARTIALLY PAID"))</f>
        <v>NOT PAID</v>
      </c>
      <c r="L21" s="402"/>
      <c r="M21" s="402"/>
      <c r="N21" s="402"/>
      <c r="O21" s="402"/>
      <c r="P21" s="402"/>
      <c r="Q21" s="402"/>
      <c r="R21" s="402"/>
      <c r="S21" s="402"/>
      <c r="T21" s="402"/>
      <c r="U21" s="402"/>
      <c r="V21" s="402"/>
      <c r="W21" s="402"/>
      <c r="X21" s="402"/>
      <c r="Y21" s="402"/>
      <c r="Z21" s="402"/>
    </row>
    <row r="22" ht="14.25" customHeight="1">
      <c r="A22" s="818">
        <v>45498.0</v>
      </c>
      <c r="B22" s="349" t="s">
        <v>4341</v>
      </c>
      <c r="C22" s="349" t="s">
        <v>4350</v>
      </c>
      <c r="D22" s="349" t="s">
        <v>54</v>
      </c>
      <c r="E22" s="349" t="s">
        <v>4335</v>
      </c>
      <c r="F22" s="683">
        <v>20000.0</v>
      </c>
      <c r="G22" s="349">
        <v>6000.0</v>
      </c>
      <c r="H22" s="402"/>
      <c r="I22" s="402"/>
      <c r="J22" s="402"/>
      <c r="K22" s="736" t="str">
        <f t="shared" si="4"/>
        <v>PARTIALLY PAID</v>
      </c>
      <c r="L22" s="402"/>
      <c r="M22" s="402"/>
      <c r="N22" s="402"/>
      <c r="O22" s="402"/>
      <c r="P22" s="402"/>
      <c r="Q22" s="402"/>
      <c r="R22" s="402"/>
      <c r="S22" s="402"/>
      <c r="T22" s="402"/>
      <c r="U22" s="402"/>
      <c r="V22" s="402"/>
      <c r="W22" s="402"/>
      <c r="X22" s="402"/>
      <c r="Y22" s="402"/>
      <c r="Z22" s="402"/>
    </row>
    <row r="23" ht="14.25" customHeight="1">
      <c r="A23" s="818">
        <v>45498.0</v>
      </c>
      <c r="B23" s="349" t="s">
        <v>4353</v>
      </c>
      <c r="C23" s="349" t="s">
        <v>4354</v>
      </c>
      <c r="D23" s="349" t="s">
        <v>54</v>
      </c>
      <c r="E23" s="349" t="s">
        <v>4335</v>
      </c>
      <c r="F23" s="683">
        <v>15000.0</v>
      </c>
      <c r="G23" s="349" t="s">
        <v>4355</v>
      </c>
      <c r="H23" s="402"/>
      <c r="I23" s="402"/>
      <c r="J23" s="402"/>
      <c r="K23" s="736" t="str">
        <f t="shared" si="4"/>
        <v>FULLY PAID</v>
      </c>
      <c r="L23" s="402"/>
      <c r="M23" s="402"/>
      <c r="N23" s="402"/>
      <c r="O23" s="402"/>
      <c r="P23" s="402"/>
      <c r="Q23" s="402"/>
      <c r="R23" s="402"/>
      <c r="S23" s="402"/>
      <c r="T23" s="402"/>
      <c r="U23" s="402"/>
      <c r="V23" s="402"/>
      <c r="W23" s="402"/>
      <c r="X23" s="402"/>
      <c r="Y23" s="402"/>
      <c r="Z23" s="402"/>
    </row>
    <row r="24" ht="14.25" customHeight="1">
      <c r="A24" s="818">
        <v>45498.0</v>
      </c>
      <c r="B24" s="349" t="s">
        <v>4329</v>
      </c>
      <c r="C24" s="349" t="s">
        <v>4339</v>
      </c>
      <c r="D24" s="349" t="s">
        <v>54</v>
      </c>
      <c r="E24" s="349" t="s">
        <v>4335</v>
      </c>
      <c r="F24" s="683">
        <v>20000.0</v>
      </c>
      <c r="G24" s="349" t="s">
        <v>4355</v>
      </c>
      <c r="H24" s="402"/>
      <c r="I24" s="402"/>
      <c r="J24" s="402"/>
      <c r="K24" s="736" t="str">
        <f t="shared" si="4"/>
        <v>FULLY PAID</v>
      </c>
      <c r="L24" s="402"/>
      <c r="M24" s="402"/>
      <c r="N24" s="402"/>
      <c r="O24" s="402"/>
      <c r="P24" s="402"/>
      <c r="Q24" s="402"/>
      <c r="R24" s="402"/>
      <c r="S24" s="402"/>
      <c r="T24" s="402"/>
      <c r="U24" s="402"/>
      <c r="V24" s="402"/>
      <c r="W24" s="402"/>
      <c r="X24" s="402"/>
      <c r="Y24" s="402"/>
      <c r="Z24" s="402"/>
    </row>
    <row r="25" ht="14.25" customHeight="1">
      <c r="A25" s="402"/>
      <c r="B25" s="402"/>
      <c r="C25" s="349"/>
      <c r="E25" s="402"/>
      <c r="F25" s="402"/>
      <c r="G25" s="402"/>
      <c r="H25" s="402"/>
      <c r="I25" s="402"/>
      <c r="J25" s="402"/>
      <c r="K25" s="736"/>
      <c r="L25" s="402"/>
      <c r="M25" s="402"/>
      <c r="N25" s="402"/>
      <c r="O25" s="402"/>
      <c r="P25" s="402"/>
      <c r="Q25" s="402"/>
      <c r="R25" s="402"/>
      <c r="S25" s="402"/>
      <c r="T25" s="402"/>
      <c r="U25" s="402"/>
      <c r="V25" s="402"/>
      <c r="W25" s="402"/>
      <c r="X25" s="402"/>
      <c r="Y25" s="402"/>
      <c r="Z25" s="402"/>
    </row>
    <row r="26" ht="14.25" customHeight="1">
      <c r="A26" s="818">
        <v>45499.0</v>
      </c>
      <c r="B26" s="349" t="s">
        <v>4329</v>
      </c>
      <c r="C26" s="349" t="s">
        <v>4339</v>
      </c>
      <c r="D26" s="349" t="s">
        <v>439</v>
      </c>
      <c r="E26" s="349" t="s">
        <v>4335</v>
      </c>
      <c r="F26" s="683">
        <v>30000.0</v>
      </c>
      <c r="G26" s="402"/>
      <c r="H26" s="402"/>
      <c r="I26" s="402"/>
      <c r="J26" s="402"/>
      <c r="K26" s="736" t="str">
        <f t="shared" ref="K26:K30" si="5">IF(G26&gt;=F26,"FULLY PAID",IF(G26=0,"NOT PAID","PARTIALLY PAID"))</f>
        <v>NOT PAID</v>
      </c>
      <c r="L26" s="402"/>
      <c r="M26" s="402"/>
      <c r="N26" s="402"/>
      <c r="O26" s="402"/>
      <c r="P26" s="402"/>
      <c r="Q26" s="402"/>
      <c r="R26" s="402"/>
      <c r="S26" s="402"/>
      <c r="T26" s="402"/>
      <c r="U26" s="402"/>
      <c r="V26" s="402"/>
      <c r="W26" s="402"/>
      <c r="X26" s="402"/>
      <c r="Y26" s="402"/>
      <c r="Z26" s="402"/>
    </row>
    <row r="27" ht="14.25" customHeight="1">
      <c r="A27" s="818">
        <v>45499.0</v>
      </c>
      <c r="B27" s="349" t="s">
        <v>4353</v>
      </c>
      <c r="C27" s="349" t="s">
        <v>4334</v>
      </c>
      <c r="D27" s="349" t="s">
        <v>439</v>
      </c>
      <c r="E27" s="349" t="s">
        <v>4335</v>
      </c>
      <c r="F27" s="683">
        <v>20000.0</v>
      </c>
      <c r="G27" s="349">
        <v>10000.0</v>
      </c>
      <c r="H27" s="349" t="s">
        <v>4356</v>
      </c>
      <c r="I27" s="402"/>
      <c r="J27" s="402"/>
      <c r="K27" s="736" t="str">
        <f t="shared" si="5"/>
        <v>PARTIALLY PAID</v>
      </c>
      <c r="L27" s="402"/>
      <c r="M27" s="402"/>
      <c r="N27" s="402"/>
      <c r="O27" s="402"/>
      <c r="P27" s="402"/>
      <c r="Q27" s="402"/>
      <c r="R27" s="402"/>
      <c r="S27" s="402"/>
      <c r="T27" s="402"/>
      <c r="U27" s="402"/>
      <c r="V27" s="402"/>
      <c r="W27" s="402"/>
      <c r="X27" s="402"/>
      <c r="Y27" s="402"/>
      <c r="Z27" s="402"/>
    </row>
    <row r="28" ht="14.25" customHeight="1">
      <c r="A28" s="818">
        <v>45499.0</v>
      </c>
      <c r="B28" s="349" t="s">
        <v>4341</v>
      </c>
      <c r="C28" s="349" t="s">
        <v>4350</v>
      </c>
      <c r="D28" s="349" t="s">
        <v>439</v>
      </c>
      <c r="E28" s="349" t="s">
        <v>4335</v>
      </c>
      <c r="F28" s="683">
        <v>20000.0</v>
      </c>
      <c r="G28" s="349">
        <v>3000.0</v>
      </c>
      <c r="H28" s="349" t="s">
        <v>4357</v>
      </c>
      <c r="I28" s="402"/>
      <c r="J28" s="402"/>
      <c r="K28" s="736" t="str">
        <f t="shared" si="5"/>
        <v>PARTIALLY PAID</v>
      </c>
      <c r="L28" s="402"/>
      <c r="M28" s="402"/>
      <c r="N28" s="402"/>
      <c r="O28" s="402"/>
      <c r="P28" s="402"/>
      <c r="Q28" s="402"/>
      <c r="R28" s="402"/>
      <c r="S28" s="402"/>
      <c r="T28" s="402"/>
      <c r="U28" s="402"/>
      <c r="V28" s="402"/>
      <c r="W28" s="402"/>
      <c r="X28" s="402"/>
      <c r="Y28" s="402"/>
      <c r="Z28" s="402"/>
    </row>
    <row r="29" ht="14.25" customHeight="1">
      <c r="A29" s="818">
        <v>45499.0</v>
      </c>
      <c r="B29" s="349" t="s">
        <v>4358</v>
      </c>
      <c r="C29" s="349" t="s">
        <v>4359</v>
      </c>
      <c r="D29" s="349" t="s">
        <v>467</v>
      </c>
      <c r="E29" s="349" t="s">
        <v>4335</v>
      </c>
      <c r="F29" s="349">
        <v>8500.0</v>
      </c>
      <c r="G29" s="349">
        <v>2527.0</v>
      </c>
      <c r="H29" s="349" t="s">
        <v>3207</v>
      </c>
      <c r="I29" s="402"/>
      <c r="J29" s="402"/>
      <c r="K29" s="736" t="str">
        <f t="shared" si="5"/>
        <v>PARTIALLY PAID</v>
      </c>
      <c r="L29" s="402"/>
      <c r="M29" s="402"/>
      <c r="N29" s="402"/>
      <c r="O29" s="402"/>
      <c r="P29" s="402"/>
      <c r="Q29" s="402"/>
      <c r="R29" s="402"/>
      <c r="S29" s="402"/>
      <c r="T29" s="402"/>
      <c r="U29" s="402"/>
      <c r="V29" s="402"/>
      <c r="W29" s="402"/>
      <c r="X29" s="402"/>
      <c r="Y29" s="402"/>
      <c r="Z29" s="402"/>
    </row>
    <row r="30" ht="14.25" customHeight="1">
      <c r="A30" s="818">
        <v>45499.0</v>
      </c>
      <c r="B30" s="349" t="s">
        <v>4360</v>
      </c>
      <c r="C30" s="349" t="s">
        <v>4359</v>
      </c>
      <c r="D30" s="349" t="s">
        <v>439</v>
      </c>
      <c r="E30" s="349" t="s">
        <v>4335</v>
      </c>
      <c r="F30" s="349">
        <v>12500.0</v>
      </c>
      <c r="G30" s="349">
        <v>12473.0</v>
      </c>
      <c r="H30" s="349" t="s">
        <v>3207</v>
      </c>
      <c r="I30" s="402"/>
      <c r="J30" s="402"/>
      <c r="K30" s="736" t="str">
        <f t="shared" si="5"/>
        <v>PARTIALLY PAID</v>
      </c>
      <c r="L30" s="402"/>
      <c r="M30" s="402"/>
      <c r="N30" s="402"/>
      <c r="O30" s="402"/>
      <c r="P30" s="402"/>
      <c r="Q30" s="402"/>
      <c r="R30" s="402"/>
      <c r="S30" s="402"/>
      <c r="T30" s="402"/>
      <c r="U30" s="402"/>
      <c r="V30" s="402"/>
      <c r="W30" s="402"/>
      <c r="X30" s="402"/>
      <c r="Y30" s="402"/>
      <c r="Z30" s="402"/>
    </row>
    <row r="31" ht="14.25" customHeight="1">
      <c r="A31" s="402"/>
      <c r="B31" s="402"/>
      <c r="C31" s="402"/>
      <c r="D31" s="402"/>
      <c r="E31" s="402"/>
      <c r="F31" s="402"/>
      <c r="G31" s="402"/>
      <c r="H31" s="402"/>
      <c r="I31" s="402"/>
      <c r="J31" s="402"/>
      <c r="K31" s="736"/>
      <c r="L31" s="402"/>
      <c r="M31" s="402"/>
      <c r="N31" s="402"/>
      <c r="O31" s="402"/>
      <c r="P31" s="402"/>
      <c r="Q31" s="402"/>
      <c r="R31" s="402"/>
      <c r="S31" s="402"/>
      <c r="T31" s="402"/>
      <c r="U31" s="402"/>
      <c r="V31" s="402"/>
      <c r="W31" s="402"/>
      <c r="X31" s="402"/>
      <c r="Y31" s="402"/>
      <c r="Z31" s="402"/>
    </row>
    <row r="32" ht="14.25" customHeight="1">
      <c r="A32" s="818">
        <v>45500.0</v>
      </c>
      <c r="B32" s="349" t="s">
        <v>4322</v>
      </c>
      <c r="C32" s="349" t="s">
        <v>4334</v>
      </c>
      <c r="D32" s="349" t="s">
        <v>439</v>
      </c>
      <c r="E32" s="349" t="s">
        <v>4335</v>
      </c>
      <c r="F32" s="349">
        <v>10000.0</v>
      </c>
      <c r="G32" s="413">
        <v>5000.0</v>
      </c>
      <c r="H32" s="349" t="s">
        <v>4361</v>
      </c>
      <c r="I32" s="402"/>
      <c r="J32" s="402"/>
      <c r="K32" s="736" t="str">
        <f t="shared" ref="K32:K38" si="6">IF(G32&gt;=F32,"FULLY PAID",IF(G32=0,"NOT PAID","PARTIALLY PAID"))</f>
        <v>PARTIALLY PAID</v>
      </c>
      <c r="L32" s="402"/>
      <c r="M32" s="402"/>
      <c r="N32" s="402"/>
      <c r="O32" s="402"/>
      <c r="P32" s="402"/>
      <c r="Q32" s="402"/>
      <c r="R32" s="402"/>
      <c r="S32" s="402"/>
      <c r="T32" s="402"/>
      <c r="U32" s="402"/>
      <c r="V32" s="402"/>
      <c r="W32" s="402"/>
      <c r="X32" s="402"/>
      <c r="Y32" s="402"/>
      <c r="Z32" s="402"/>
    </row>
    <row r="33" ht="14.25" customHeight="1">
      <c r="A33" s="818">
        <v>45500.0</v>
      </c>
      <c r="B33" s="349" t="s">
        <v>4329</v>
      </c>
      <c r="C33" s="349" t="s">
        <v>4339</v>
      </c>
      <c r="D33" s="349" t="s">
        <v>439</v>
      </c>
      <c r="E33" s="349" t="s">
        <v>4335</v>
      </c>
      <c r="F33" s="349">
        <v>30000.0</v>
      </c>
      <c r="G33" s="402"/>
      <c r="H33" s="349" t="s">
        <v>4362</v>
      </c>
      <c r="I33" s="402"/>
      <c r="J33" s="402"/>
      <c r="K33" s="736" t="str">
        <f t="shared" si="6"/>
        <v>NOT PAID</v>
      </c>
      <c r="L33" s="402"/>
      <c r="M33" s="402"/>
      <c r="N33" s="402"/>
      <c r="O33" s="402"/>
      <c r="P33" s="402"/>
      <c r="Q33" s="402"/>
      <c r="R33" s="402"/>
      <c r="S33" s="402"/>
      <c r="T33" s="402"/>
      <c r="U33" s="402"/>
      <c r="V33" s="402"/>
      <c r="W33" s="402"/>
      <c r="X33" s="402"/>
      <c r="Y33" s="402"/>
      <c r="Z33" s="402"/>
    </row>
    <row r="34" ht="14.25" customHeight="1">
      <c r="A34" s="818"/>
      <c r="B34" s="402"/>
      <c r="C34" s="402"/>
      <c r="D34" s="402"/>
      <c r="E34" s="402"/>
      <c r="F34" s="402"/>
      <c r="G34" s="402"/>
      <c r="H34" s="402"/>
      <c r="I34" s="402"/>
      <c r="J34" s="402"/>
      <c r="K34" s="736" t="str">
        <f t="shared" si="6"/>
        <v>FULLY PAID</v>
      </c>
      <c r="L34" s="402"/>
      <c r="M34" s="402"/>
      <c r="N34" s="402"/>
      <c r="O34" s="402"/>
      <c r="P34" s="402"/>
      <c r="Q34" s="402"/>
      <c r="R34" s="402"/>
      <c r="S34" s="402"/>
      <c r="T34" s="402"/>
      <c r="U34" s="402"/>
      <c r="V34" s="402"/>
      <c r="W34" s="402"/>
      <c r="X34" s="402"/>
      <c r="Y34" s="402"/>
      <c r="Z34" s="402"/>
    </row>
    <row r="35" ht="14.25" customHeight="1">
      <c r="A35" s="402"/>
      <c r="B35" s="402"/>
      <c r="C35" s="402"/>
      <c r="D35" s="402"/>
      <c r="E35" s="402"/>
      <c r="F35" s="402"/>
      <c r="G35" s="402"/>
      <c r="H35" s="402"/>
      <c r="I35" s="402"/>
      <c r="J35" s="402"/>
      <c r="K35" s="736" t="str">
        <f t="shared" si="6"/>
        <v>FULLY PAID</v>
      </c>
      <c r="L35" s="402"/>
      <c r="M35" s="402"/>
      <c r="N35" s="402"/>
      <c r="O35" s="402"/>
      <c r="P35" s="402"/>
      <c r="Q35" s="402"/>
      <c r="R35" s="402"/>
      <c r="S35" s="402"/>
      <c r="T35" s="402"/>
      <c r="U35" s="402"/>
      <c r="V35" s="402"/>
      <c r="W35" s="402"/>
      <c r="X35" s="402"/>
      <c r="Y35" s="402"/>
      <c r="Z35" s="402"/>
    </row>
    <row r="36" ht="14.25" customHeight="1">
      <c r="A36" s="818">
        <v>45502.0</v>
      </c>
      <c r="B36" s="349" t="s">
        <v>4363</v>
      </c>
      <c r="C36" s="349" t="s">
        <v>4364</v>
      </c>
      <c r="D36" s="349" t="s">
        <v>4365</v>
      </c>
      <c r="E36" s="349" t="s">
        <v>4335</v>
      </c>
      <c r="F36" s="683">
        <v>92000.0</v>
      </c>
      <c r="G36" s="349">
        <v>92000.0</v>
      </c>
      <c r="H36" s="349" t="s">
        <v>1238</v>
      </c>
      <c r="I36" s="402"/>
      <c r="J36" s="402"/>
      <c r="K36" s="736" t="str">
        <f t="shared" si="6"/>
        <v>FULLY PAID</v>
      </c>
      <c r="L36" s="402"/>
      <c r="M36" s="402"/>
      <c r="N36" s="402"/>
      <c r="O36" s="402"/>
      <c r="P36" s="402"/>
      <c r="Q36" s="402"/>
      <c r="R36" s="402"/>
      <c r="S36" s="402"/>
      <c r="T36" s="402"/>
      <c r="U36" s="402"/>
      <c r="V36" s="402"/>
      <c r="W36" s="402"/>
      <c r="X36" s="402"/>
      <c r="Y36" s="402"/>
      <c r="Z36" s="402"/>
    </row>
    <row r="37" ht="14.25" customHeight="1">
      <c r="A37" s="818">
        <v>45502.0</v>
      </c>
      <c r="B37" s="349" t="s">
        <v>4326</v>
      </c>
      <c r="C37" s="349" t="s">
        <v>4337</v>
      </c>
      <c r="D37" s="349" t="s">
        <v>439</v>
      </c>
      <c r="E37" s="349" t="s">
        <v>4335</v>
      </c>
      <c r="F37" s="683">
        <v>100000.0</v>
      </c>
      <c r="G37" s="349">
        <v>0.0</v>
      </c>
      <c r="H37" s="349" t="s">
        <v>4366</v>
      </c>
      <c r="I37" s="402"/>
      <c r="J37" s="402"/>
      <c r="K37" s="736" t="str">
        <f t="shared" si="6"/>
        <v>NOT PAID</v>
      </c>
      <c r="L37" s="402"/>
      <c r="M37" s="402"/>
      <c r="N37" s="402"/>
      <c r="O37" s="402"/>
      <c r="P37" s="402"/>
      <c r="Q37" s="402"/>
      <c r="R37" s="402"/>
      <c r="S37" s="402"/>
      <c r="T37" s="402"/>
      <c r="U37" s="402"/>
      <c r="V37" s="402"/>
      <c r="W37" s="402"/>
      <c r="X37" s="402"/>
      <c r="Y37" s="402"/>
      <c r="Z37" s="402"/>
    </row>
    <row r="38" ht="14.25" customHeight="1">
      <c r="A38" s="818">
        <v>45502.0</v>
      </c>
      <c r="B38" s="349" t="s">
        <v>4322</v>
      </c>
      <c r="C38" s="349" t="s">
        <v>4354</v>
      </c>
      <c r="D38" s="349" t="s">
        <v>439</v>
      </c>
      <c r="E38" s="349" t="s">
        <v>4335</v>
      </c>
      <c r="F38" s="683">
        <v>5000.0</v>
      </c>
      <c r="G38" s="349">
        <v>5000.0</v>
      </c>
      <c r="H38" s="349" t="s">
        <v>267</v>
      </c>
      <c r="I38" s="402"/>
      <c r="J38" s="402"/>
      <c r="K38" s="736" t="str">
        <f t="shared" si="6"/>
        <v>FULLY PAID</v>
      </c>
      <c r="L38" s="402"/>
      <c r="M38" s="402"/>
      <c r="N38" s="402"/>
      <c r="O38" s="402"/>
      <c r="P38" s="402"/>
      <c r="Q38" s="402"/>
      <c r="R38" s="402"/>
      <c r="S38" s="402"/>
      <c r="T38" s="402"/>
      <c r="U38" s="402"/>
      <c r="V38" s="402"/>
      <c r="W38" s="402"/>
      <c r="X38" s="402"/>
      <c r="Y38" s="402"/>
      <c r="Z38" s="402"/>
    </row>
    <row r="39" ht="14.25" customHeight="1">
      <c r="A39" s="402"/>
      <c r="B39" s="402"/>
      <c r="C39" s="402"/>
      <c r="D39" s="402"/>
      <c r="E39" s="402"/>
      <c r="F39" s="402"/>
      <c r="G39" s="402"/>
      <c r="H39" s="402"/>
      <c r="I39" s="402"/>
      <c r="J39" s="402"/>
      <c r="K39" s="736"/>
      <c r="L39" s="402"/>
      <c r="M39" s="402"/>
      <c r="N39" s="402"/>
      <c r="O39" s="402"/>
      <c r="P39" s="402"/>
      <c r="Q39" s="402"/>
      <c r="R39" s="402"/>
      <c r="S39" s="402"/>
      <c r="T39" s="402"/>
      <c r="U39" s="402"/>
      <c r="V39" s="402"/>
      <c r="W39" s="402"/>
      <c r="X39" s="402"/>
      <c r="Y39" s="402"/>
      <c r="Z39" s="402"/>
    </row>
    <row r="40" ht="14.25" customHeight="1">
      <c r="A40" s="402"/>
      <c r="B40" s="402"/>
      <c r="C40" s="402"/>
      <c r="D40" s="402"/>
      <c r="E40" s="402"/>
      <c r="F40" s="402"/>
      <c r="G40" s="402"/>
      <c r="H40" s="402"/>
      <c r="I40" s="402"/>
      <c r="J40" s="402"/>
      <c r="K40" s="736"/>
      <c r="L40" s="402"/>
      <c r="M40" s="402"/>
      <c r="N40" s="402"/>
      <c r="O40" s="402"/>
      <c r="P40" s="402"/>
      <c r="Q40" s="402"/>
      <c r="R40" s="402"/>
      <c r="S40" s="402"/>
      <c r="T40" s="402"/>
      <c r="U40" s="402"/>
      <c r="V40" s="402"/>
      <c r="W40" s="402"/>
      <c r="X40" s="402"/>
      <c r="Y40" s="402"/>
      <c r="Z40" s="402"/>
    </row>
    <row r="41" ht="14.25" customHeight="1">
      <c r="A41" s="818">
        <v>45503.0</v>
      </c>
      <c r="B41" s="349" t="s">
        <v>4341</v>
      </c>
      <c r="C41" s="349" t="s">
        <v>4367</v>
      </c>
      <c r="D41" s="349" t="s">
        <v>439</v>
      </c>
      <c r="E41" s="349" t="s">
        <v>4335</v>
      </c>
      <c r="F41" s="349">
        <v>5000.0</v>
      </c>
      <c r="G41" s="349">
        <v>5000.0</v>
      </c>
      <c r="H41" s="349"/>
      <c r="I41" s="402"/>
      <c r="J41" s="402"/>
      <c r="K41" s="736" t="str">
        <f t="shared" ref="K41:K53" si="7">IF(G41&gt;=F41,"FULLY PAID",IF(G41=0,"NOT PAID","PARTIALLY PAID"))</f>
        <v>FULLY PAID</v>
      </c>
      <c r="L41" s="402"/>
      <c r="M41" s="402"/>
      <c r="N41" s="402"/>
      <c r="O41" s="402"/>
      <c r="P41" s="402"/>
      <c r="Q41" s="402"/>
      <c r="R41" s="402"/>
      <c r="S41" s="402"/>
      <c r="T41" s="402"/>
      <c r="U41" s="402"/>
      <c r="V41" s="402"/>
      <c r="W41" s="402"/>
      <c r="X41" s="402"/>
      <c r="Y41" s="402"/>
      <c r="Z41" s="402"/>
    </row>
    <row r="42" ht="14.25" customHeight="1">
      <c r="A42" s="818">
        <v>45503.0</v>
      </c>
      <c r="B42" s="349" t="s">
        <v>4368</v>
      </c>
      <c r="C42" s="349" t="s">
        <v>4334</v>
      </c>
      <c r="D42" s="349" t="s">
        <v>439</v>
      </c>
      <c r="E42" s="349" t="s">
        <v>4335</v>
      </c>
      <c r="F42" s="683">
        <v>10000.0</v>
      </c>
      <c r="G42" s="349">
        <v>5000.0</v>
      </c>
      <c r="H42" s="402"/>
      <c r="I42" s="402"/>
      <c r="J42" s="402"/>
      <c r="K42" s="736" t="str">
        <f t="shared" si="7"/>
        <v>PARTIALLY PAID</v>
      </c>
      <c r="L42" s="402"/>
      <c r="M42" s="402"/>
      <c r="N42" s="402"/>
      <c r="O42" s="402"/>
      <c r="P42" s="402"/>
      <c r="Q42" s="402"/>
      <c r="R42" s="402"/>
      <c r="S42" s="402"/>
      <c r="T42" s="402"/>
      <c r="U42" s="402"/>
      <c r="V42" s="402"/>
      <c r="W42" s="402"/>
      <c r="X42" s="402"/>
      <c r="Y42" s="402"/>
      <c r="Z42" s="402"/>
    </row>
    <row r="43" ht="14.25" customHeight="1">
      <c r="A43" s="818">
        <v>45503.0</v>
      </c>
      <c r="B43" s="349" t="s">
        <v>4360</v>
      </c>
      <c r="C43" s="349" t="s">
        <v>4359</v>
      </c>
      <c r="D43" s="349" t="s">
        <v>439</v>
      </c>
      <c r="E43" s="349" t="s">
        <v>4335</v>
      </c>
      <c r="F43" s="683">
        <v>24115.0</v>
      </c>
      <c r="G43" s="349">
        <v>22200.0</v>
      </c>
      <c r="H43" s="402"/>
      <c r="I43" s="402"/>
      <c r="J43" s="402"/>
      <c r="K43" s="736" t="str">
        <f t="shared" si="7"/>
        <v>PARTIALLY PAID</v>
      </c>
      <c r="L43" s="402"/>
      <c r="M43" s="402"/>
      <c r="N43" s="402"/>
      <c r="O43" s="402"/>
      <c r="P43" s="402"/>
      <c r="Q43" s="402"/>
      <c r="R43" s="402"/>
      <c r="S43" s="402"/>
      <c r="T43" s="402"/>
      <c r="U43" s="402"/>
      <c r="V43" s="402"/>
      <c r="W43" s="402"/>
      <c r="X43" s="402"/>
      <c r="Y43" s="402"/>
      <c r="Z43" s="402"/>
    </row>
    <row r="44" ht="14.25" customHeight="1">
      <c r="A44" s="818">
        <v>45503.0</v>
      </c>
      <c r="B44" s="349" t="s">
        <v>4344</v>
      </c>
      <c r="C44" s="349" t="s">
        <v>4369</v>
      </c>
      <c r="D44" s="349" t="s">
        <v>439</v>
      </c>
      <c r="E44" s="349" t="s">
        <v>4335</v>
      </c>
      <c r="F44" s="683">
        <v>10000.0</v>
      </c>
      <c r="G44" s="349">
        <v>0.0</v>
      </c>
      <c r="H44" s="402"/>
      <c r="I44" s="402"/>
      <c r="J44" s="402"/>
      <c r="K44" s="736" t="str">
        <f t="shared" si="7"/>
        <v>NOT PAID</v>
      </c>
      <c r="L44" s="402"/>
      <c r="M44" s="402"/>
      <c r="N44" s="402"/>
      <c r="O44" s="402"/>
      <c r="P44" s="402"/>
      <c r="Q44" s="402"/>
      <c r="R44" s="402"/>
      <c r="S44" s="402"/>
      <c r="T44" s="402"/>
      <c r="U44" s="402"/>
      <c r="V44" s="402"/>
      <c r="W44" s="402"/>
      <c r="X44" s="402"/>
      <c r="Y44" s="402"/>
      <c r="Z44" s="402"/>
    </row>
    <row r="45" ht="14.25" customHeight="1">
      <c r="A45" s="818">
        <v>45503.0</v>
      </c>
      <c r="B45" s="349" t="s">
        <v>4329</v>
      </c>
      <c r="C45" s="349" t="s">
        <v>4339</v>
      </c>
      <c r="D45" s="349" t="s">
        <v>439</v>
      </c>
      <c r="E45" s="349" t="s">
        <v>4335</v>
      </c>
      <c r="F45" s="683">
        <v>20000.0</v>
      </c>
      <c r="G45" s="683">
        <v>20000.0</v>
      </c>
      <c r="H45" s="349" t="s">
        <v>772</v>
      </c>
      <c r="I45" s="402"/>
      <c r="J45" s="402"/>
      <c r="K45" s="736" t="str">
        <f t="shared" si="7"/>
        <v>FULLY PAID</v>
      </c>
      <c r="L45" s="402"/>
      <c r="M45" s="402"/>
      <c r="N45" s="402"/>
      <c r="O45" s="402"/>
      <c r="P45" s="402"/>
      <c r="Q45" s="402"/>
      <c r="R45" s="402"/>
      <c r="S45" s="402"/>
      <c r="T45" s="402"/>
      <c r="U45" s="402"/>
      <c r="V45" s="402"/>
      <c r="W45" s="402"/>
      <c r="X45" s="402"/>
      <c r="Y45" s="402"/>
      <c r="Z45" s="402"/>
    </row>
    <row r="46" ht="14.25" customHeight="1">
      <c r="A46" s="402"/>
      <c r="B46" s="402"/>
      <c r="C46" s="402"/>
      <c r="D46" s="402"/>
      <c r="E46" s="402"/>
      <c r="F46" s="402"/>
      <c r="G46" s="402"/>
      <c r="H46" s="402"/>
      <c r="I46" s="402"/>
      <c r="J46" s="402"/>
      <c r="K46" s="736" t="str">
        <f t="shared" si="7"/>
        <v>FULLY PAID</v>
      </c>
      <c r="L46" s="402"/>
      <c r="M46" s="402"/>
      <c r="N46" s="402"/>
      <c r="O46" s="402"/>
      <c r="P46" s="402"/>
      <c r="Q46" s="402"/>
      <c r="R46" s="402"/>
      <c r="S46" s="402"/>
      <c r="T46" s="402"/>
      <c r="U46" s="402"/>
      <c r="V46" s="402"/>
      <c r="W46" s="402"/>
      <c r="X46" s="402"/>
      <c r="Y46" s="402"/>
      <c r="Z46" s="402"/>
    </row>
    <row r="47" ht="14.25" customHeight="1">
      <c r="A47" s="818">
        <v>45504.0</v>
      </c>
      <c r="B47" s="349" t="s">
        <v>4341</v>
      </c>
      <c r="C47" s="349" t="s">
        <v>4350</v>
      </c>
      <c r="D47" s="349" t="s">
        <v>439</v>
      </c>
      <c r="E47" s="349" t="s">
        <v>4335</v>
      </c>
      <c r="F47" s="349">
        <v>5000.0</v>
      </c>
      <c r="G47" s="349">
        <v>0.0</v>
      </c>
      <c r="H47" s="349" t="s">
        <v>4370</v>
      </c>
      <c r="I47" s="402"/>
      <c r="J47" s="402"/>
      <c r="K47" s="736" t="str">
        <f t="shared" si="7"/>
        <v>NOT PAID</v>
      </c>
      <c r="L47" s="402"/>
      <c r="M47" s="402"/>
      <c r="N47" s="402"/>
      <c r="O47" s="402"/>
      <c r="P47" s="402"/>
      <c r="Q47" s="402"/>
      <c r="R47" s="402"/>
      <c r="S47" s="402"/>
      <c r="T47" s="402"/>
      <c r="U47" s="402"/>
      <c r="V47" s="402"/>
      <c r="W47" s="402"/>
      <c r="X47" s="402"/>
      <c r="Y47" s="402"/>
      <c r="Z47" s="402"/>
    </row>
    <row r="48" ht="14.25" customHeight="1">
      <c r="A48" s="818">
        <v>45504.0</v>
      </c>
      <c r="B48" s="349" t="s">
        <v>4368</v>
      </c>
      <c r="C48" s="349" t="s">
        <v>4334</v>
      </c>
      <c r="D48" s="349" t="s">
        <v>439</v>
      </c>
      <c r="E48" s="349" t="s">
        <v>4335</v>
      </c>
      <c r="F48" s="683">
        <v>10000.0</v>
      </c>
      <c r="G48" s="349">
        <v>0.0</v>
      </c>
      <c r="H48" s="349" t="s">
        <v>4370</v>
      </c>
      <c r="I48" s="402"/>
      <c r="J48" s="402"/>
      <c r="K48" s="736" t="str">
        <f t="shared" si="7"/>
        <v>NOT PAID</v>
      </c>
      <c r="L48" s="402"/>
      <c r="M48" s="402"/>
      <c r="N48" s="402"/>
      <c r="O48" s="402"/>
      <c r="P48" s="402"/>
      <c r="Q48" s="402"/>
      <c r="R48" s="402"/>
      <c r="S48" s="402"/>
      <c r="T48" s="402"/>
      <c r="U48" s="402"/>
      <c r="V48" s="402"/>
      <c r="W48" s="402"/>
      <c r="X48" s="402"/>
      <c r="Y48" s="402"/>
      <c r="Z48" s="402"/>
    </row>
    <row r="49" ht="14.25" customHeight="1">
      <c r="A49" s="818">
        <v>45504.0</v>
      </c>
      <c r="B49" s="349" t="s">
        <v>4329</v>
      </c>
      <c r="C49" s="349" t="s">
        <v>4339</v>
      </c>
      <c r="D49" s="349" t="s">
        <v>439</v>
      </c>
      <c r="E49" s="349" t="s">
        <v>4335</v>
      </c>
      <c r="F49" s="683">
        <v>50000.0</v>
      </c>
      <c r="G49" s="683">
        <v>11000.0</v>
      </c>
      <c r="H49" s="349" t="s">
        <v>4371</v>
      </c>
      <c r="I49" s="402"/>
      <c r="J49" s="402"/>
      <c r="K49" s="736" t="str">
        <f t="shared" si="7"/>
        <v>PARTIALLY PAID</v>
      </c>
      <c r="L49" s="402"/>
      <c r="M49" s="402"/>
      <c r="N49" s="402"/>
      <c r="O49" s="402"/>
      <c r="P49" s="402"/>
      <c r="Q49" s="402"/>
      <c r="R49" s="402"/>
      <c r="S49" s="402"/>
      <c r="T49" s="402"/>
      <c r="U49" s="402"/>
      <c r="V49" s="402"/>
      <c r="W49" s="402"/>
      <c r="X49" s="402"/>
      <c r="Y49" s="402"/>
      <c r="Z49" s="402"/>
    </row>
    <row r="50" ht="14.25" customHeight="1">
      <c r="A50" s="402"/>
      <c r="B50" s="402"/>
      <c r="C50" s="402"/>
      <c r="D50" s="402"/>
      <c r="E50" s="402"/>
      <c r="F50" s="402"/>
      <c r="G50" s="402"/>
      <c r="H50" s="402"/>
      <c r="I50" s="402"/>
      <c r="J50" s="402"/>
      <c r="K50" s="736" t="str">
        <f t="shared" si="7"/>
        <v>FULLY PAID</v>
      </c>
      <c r="L50" s="402"/>
      <c r="M50" s="402"/>
      <c r="N50" s="402"/>
      <c r="O50" s="402"/>
      <c r="P50" s="402"/>
      <c r="Q50" s="402"/>
      <c r="R50" s="402"/>
      <c r="S50" s="402"/>
      <c r="T50" s="402"/>
      <c r="U50" s="402"/>
      <c r="V50" s="402"/>
      <c r="W50" s="402"/>
      <c r="X50" s="402"/>
      <c r="Y50" s="402"/>
      <c r="Z50" s="402"/>
    </row>
    <row r="51" ht="14.25" customHeight="1">
      <c r="A51" s="818">
        <v>45505.0</v>
      </c>
      <c r="B51" s="349" t="s">
        <v>4329</v>
      </c>
      <c r="C51" s="349" t="s">
        <v>4339</v>
      </c>
      <c r="D51" s="349" t="s">
        <v>439</v>
      </c>
      <c r="E51" s="349" t="s">
        <v>4335</v>
      </c>
      <c r="F51" s="683">
        <v>40000.0</v>
      </c>
      <c r="G51" s="349">
        <v>20000.0</v>
      </c>
      <c r="H51" s="349" t="s">
        <v>4372</v>
      </c>
      <c r="I51" s="402"/>
      <c r="J51" s="402"/>
      <c r="K51" s="736" t="str">
        <f t="shared" si="7"/>
        <v>PARTIALLY PAID</v>
      </c>
      <c r="L51" s="402"/>
      <c r="M51" s="402"/>
      <c r="N51" s="402"/>
      <c r="O51" s="402"/>
      <c r="P51" s="402"/>
      <c r="Q51" s="402"/>
      <c r="R51" s="402"/>
      <c r="S51" s="402"/>
      <c r="T51" s="402"/>
      <c r="U51" s="402"/>
      <c r="V51" s="402"/>
      <c r="W51" s="402"/>
      <c r="X51" s="402"/>
      <c r="Y51" s="402"/>
      <c r="Z51" s="402"/>
    </row>
    <row r="52" ht="14.25" customHeight="1">
      <c r="A52" s="818">
        <v>45505.0</v>
      </c>
      <c r="B52" s="349" t="s">
        <v>4322</v>
      </c>
      <c r="C52" s="349" t="s">
        <v>4373</v>
      </c>
      <c r="D52" s="349" t="s">
        <v>439</v>
      </c>
      <c r="E52" s="349" t="s">
        <v>4335</v>
      </c>
      <c r="F52" s="683">
        <v>10000.0</v>
      </c>
      <c r="G52" s="349">
        <v>0.0</v>
      </c>
      <c r="H52" s="349" t="s">
        <v>4374</v>
      </c>
      <c r="I52" s="402"/>
      <c r="J52" s="402"/>
      <c r="K52" s="736" t="str">
        <f t="shared" si="7"/>
        <v>NOT PAID</v>
      </c>
      <c r="L52" s="402"/>
      <c r="M52" s="402"/>
      <c r="N52" s="402"/>
      <c r="O52" s="402"/>
      <c r="P52" s="402"/>
      <c r="Q52" s="402"/>
      <c r="R52" s="402"/>
      <c r="S52" s="402"/>
      <c r="T52" s="402"/>
      <c r="U52" s="402"/>
      <c r="V52" s="402"/>
      <c r="W52" s="402"/>
      <c r="X52" s="402"/>
      <c r="Y52" s="402"/>
      <c r="Z52" s="402"/>
    </row>
    <row r="53" ht="14.25" customHeight="1">
      <c r="A53" s="818">
        <v>45505.0</v>
      </c>
      <c r="B53" s="349" t="s">
        <v>4341</v>
      </c>
      <c r="C53" s="349" t="s">
        <v>4375</v>
      </c>
      <c r="D53" s="349" t="s">
        <v>439</v>
      </c>
      <c r="E53" s="349" t="s">
        <v>4335</v>
      </c>
      <c r="F53" s="349">
        <v>5000.0</v>
      </c>
      <c r="G53" s="349">
        <v>5000.0</v>
      </c>
      <c r="H53" s="349" t="s">
        <v>267</v>
      </c>
      <c r="I53" s="402"/>
      <c r="J53" s="402"/>
      <c r="K53" s="736" t="str">
        <f t="shared" si="7"/>
        <v>FULLY PAID</v>
      </c>
      <c r="L53" s="402"/>
      <c r="M53" s="402"/>
      <c r="N53" s="402"/>
      <c r="O53" s="402"/>
      <c r="P53" s="402"/>
      <c r="Q53" s="402"/>
      <c r="R53" s="402"/>
      <c r="S53" s="402"/>
      <c r="T53" s="402"/>
      <c r="U53" s="402"/>
      <c r="V53" s="402"/>
      <c r="W53" s="402"/>
      <c r="X53" s="402"/>
      <c r="Y53" s="402"/>
      <c r="Z53" s="402"/>
    </row>
    <row r="54" ht="14.25" customHeight="1">
      <c r="A54" s="402"/>
      <c r="B54" s="402"/>
      <c r="C54" s="402"/>
      <c r="D54" s="402"/>
      <c r="E54" s="402"/>
      <c r="F54" s="402"/>
      <c r="G54" s="402"/>
      <c r="H54" s="402"/>
      <c r="I54" s="402"/>
      <c r="J54" s="402"/>
      <c r="K54" s="736"/>
      <c r="L54" s="402"/>
      <c r="M54" s="402"/>
      <c r="N54" s="402"/>
      <c r="O54" s="402"/>
      <c r="P54" s="402"/>
      <c r="Q54" s="402"/>
      <c r="R54" s="402"/>
      <c r="S54" s="402"/>
      <c r="T54" s="402"/>
      <c r="U54" s="402"/>
      <c r="V54" s="402"/>
      <c r="W54" s="402"/>
      <c r="X54" s="402"/>
      <c r="Y54" s="402"/>
      <c r="Z54" s="402"/>
    </row>
    <row r="55" ht="14.25" customHeight="1">
      <c r="A55" s="818">
        <v>45506.0</v>
      </c>
      <c r="B55" s="349" t="s">
        <v>4376</v>
      </c>
      <c r="C55" s="349" t="s">
        <v>4377</v>
      </c>
      <c r="D55" s="349" t="s">
        <v>439</v>
      </c>
      <c r="E55" s="349" t="s">
        <v>4335</v>
      </c>
      <c r="F55" s="683">
        <v>73000.0</v>
      </c>
      <c r="G55" s="402"/>
      <c r="H55" s="349" t="s">
        <v>4378</v>
      </c>
      <c r="I55" s="402"/>
      <c r="J55" s="402"/>
      <c r="K55" s="736" t="str">
        <f t="shared" ref="K55:K61" si="8">IF(G55&gt;=F55,"FULLY PAID",IF(G55=0,"NOT PAID","PARTIALLY PAID"))</f>
        <v>NOT PAID</v>
      </c>
      <c r="L55" s="402"/>
      <c r="M55" s="402"/>
      <c r="N55" s="402"/>
      <c r="O55" s="402"/>
      <c r="P55" s="402"/>
      <c r="Q55" s="402"/>
      <c r="R55" s="402"/>
      <c r="S55" s="402"/>
      <c r="T55" s="402"/>
      <c r="U55" s="402"/>
      <c r="V55" s="402"/>
      <c r="W55" s="402"/>
      <c r="X55" s="402"/>
      <c r="Y55" s="402"/>
      <c r="Z55" s="402"/>
    </row>
    <row r="56" ht="14.25" customHeight="1">
      <c r="A56" s="818">
        <v>45506.0</v>
      </c>
      <c r="B56" s="349" t="s">
        <v>4329</v>
      </c>
      <c r="C56" s="349" t="s">
        <v>4339</v>
      </c>
      <c r="D56" s="349" t="s">
        <v>439</v>
      </c>
      <c r="E56" s="349" t="s">
        <v>4335</v>
      </c>
      <c r="F56" s="683">
        <v>30000.0</v>
      </c>
      <c r="G56" s="402"/>
      <c r="H56" s="349" t="s">
        <v>4379</v>
      </c>
      <c r="I56" s="402"/>
      <c r="J56" s="402"/>
      <c r="K56" s="736" t="str">
        <f t="shared" si="8"/>
        <v>NOT PAID</v>
      </c>
      <c r="L56" s="402"/>
      <c r="M56" s="402"/>
      <c r="N56" s="402"/>
      <c r="O56" s="402"/>
      <c r="P56" s="402"/>
      <c r="Q56" s="402"/>
      <c r="R56" s="402"/>
      <c r="S56" s="402"/>
      <c r="T56" s="402"/>
      <c r="U56" s="402"/>
      <c r="V56" s="402"/>
      <c r="W56" s="402"/>
      <c r="X56" s="402"/>
      <c r="Y56" s="402"/>
      <c r="Z56" s="402"/>
    </row>
    <row r="57" ht="14.25" customHeight="1">
      <c r="A57" s="818">
        <v>45506.0</v>
      </c>
      <c r="B57" s="349" t="s">
        <v>4322</v>
      </c>
      <c r="C57" s="349" t="s">
        <v>4334</v>
      </c>
      <c r="D57" s="349" t="s">
        <v>439</v>
      </c>
      <c r="E57" s="349" t="s">
        <v>4335</v>
      </c>
      <c r="F57" s="683">
        <v>10000.0</v>
      </c>
      <c r="G57" s="402"/>
      <c r="H57" s="349" t="s">
        <v>4379</v>
      </c>
      <c r="I57" s="402"/>
      <c r="J57" s="402"/>
      <c r="K57" s="736" t="str">
        <f t="shared" si="8"/>
        <v>NOT PAID</v>
      </c>
      <c r="L57" s="402"/>
      <c r="M57" s="402"/>
      <c r="N57" s="402"/>
      <c r="O57" s="402"/>
      <c r="P57" s="402"/>
      <c r="Q57" s="402"/>
      <c r="R57" s="402"/>
      <c r="S57" s="402"/>
      <c r="T57" s="402"/>
      <c r="U57" s="402"/>
      <c r="V57" s="402"/>
      <c r="W57" s="402"/>
      <c r="X57" s="402"/>
      <c r="Y57" s="402"/>
      <c r="Z57" s="402"/>
    </row>
    <row r="58" ht="14.25" customHeight="1">
      <c r="A58" s="402"/>
      <c r="B58" s="402"/>
      <c r="C58" s="402"/>
      <c r="D58" s="402"/>
      <c r="E58" s="402"/>
      <c r="F58" s="402"/>
      <c r="G58" s="402"/>
      <c r="H58" s="402"/>
      <c r="I58" s="402"/>
      <c r="J58" s="402"/>
      <c r="K58" s="736" t="str">
        <f t="shared" si="8"/>
        <v>FULLY PAID</v>
      </c>
      <c r="L58" s="402"/>
      <c r="M58" s="402"/>
      <c r="N58" s="402"/>
      <c r="O58" s="402"/>
      <c r="P58" s="402"/>
      <c r="Q58" s="402"/>
      <c r="R58" s="402"/>
      <c r="S58" s="402"/>
      <c r="T58" s="402"/>
      <c r="U58" s="402"/>
      <c r="V58" s="402"/>
      <c r="W58" s="402"/>
      <c r="X58" s="402"/>
      <c r="Y58" s="402"/>
      <c r="Z58" s="402"/>
    </row>
    <row r="59" ht="14.25" customHeight="1">
      <c r="A59" s="818">
        <v>45507.0</v>
      </c>
      <c r="B59" s="349" t="s">
        <v>4341</v>
      </c>
      <c r="C59" s="349" t="s">
        <v>4350</v>
      </c>
      <c r="D59" s="349" t="s">
        <v>439</v>
      </c>
      <c r="E59" s="349" t="s">
        <v>4324</v>
      </c>
      <c r="F59" s="349">
        <v>5000.0</v>
      </c>
      <c r="G59" s="349">
        <v>3000.0</v>
      </c>
      <c r="H59" s="349" t="s">
        <v>4380</v>
      </c>
      <c r="I59" s="402"/>
      <c r="J59" s="402"/>
      <c r="K59" s="736" t="str">
        <f t="shared" si="8"/>
        <v>PARTIALLY PAID</v>
      </c>
      <c r="L59" s="402"/>
      <c r="M59" s="402"/>
      <c r="N59" s="402"/>
      <c r="O59" s="402"/>
      <c r="P59" s="402"/>
      <c r="Q59" s="402"/>
      <c r="R59" s="402"/>
      <c r="S59" s="402"/>
      <c r="T59" s="402"/>
      <c r="U59" s="402"/>
      <c r="V59" s="402"/>
      <c r="W59" s="402"/>
      <c r="X59" s="402"/>
      <c r="Y59" s="402"/>
      <c r="Z59" s="402"/>
    </row>
    <row r="60" ht="14.25" customHeight="1">
      <c r="A60" s="818">
        <v>45507.0</v>
      </c>
      <c r="B60" s="349" t="s">
        <v>4322</v>
      </c>
      <c r="C60" s="349" t="s">
        <v>4334</v>
      </c>
      <c r="D60" s="349" t="s">
        <v>439</v>
      </c>
      <c r="E60" s="349" t="s">
        <v>4324</v>
      </c>
      <c r="F60" s="683">
        <v>50000.0</v>
      </c>
      <c r="G60" s="402"/>
      <c r="H60" s="349" t="s">
        <v>4381</v>
      </c>
      <c r="I60" s="402"/>
      <c r="J60" s="402"/>
      <c r="K60" s="736" t="str">
        <f t="shared" si="8"/>
        <v>NOT PAID</v>
      </c>
      <c r="L60" s="402"/>
      <c r="M60" s="402"/>
      <c r="N60" s="402"/>
      <c r="O60" s="402"/>
      <c r="P60" s="402"/>
      <c r="Q60" s="402"/>
      <c r="R60" s="402"/>
      <c r="S60" s="402"/>
      <c r="T60" s="402"/>
      <c r="U60" s="402"/>
      <c r="V60" s="402"/>
      <c r="W60" s="402"/>
      <c r="X60" s="402"/>
      <c r="Y60" s="402"/>
      <c r="Z60" s="402"/>
    </row>
    <row r="61" ht="14.25" customHeight="1">
      <c r="A61" s="818">
        <v>45507.0</v>
      </c>
      <c r="B61" s="349" t="s">
        <v>4329</v>
      </c>
      <c r="C61" s="349" t="s">
        <v>4339</v>
      </c>
      <c r="D61" s="349" t="s">
        <v>439</v>
      </c>
      <c r="E61" s="349" t="s">
        <v>4324</v>
      </c>
      <c r="F61" s="683">
        <v>20000.0</v>
      </c>
      <c r="G61" s="402"/>
      <c r="H61" s="349" t="s">
        <v>4381</v>
      </c>
      <c r="I61" s="402"/>
      <c r="J61" s="402"/>
      <c r="K61" s="736" t="str">
        <f t="shared" si="8"/>
        <v>NOT PAID</v>
      </c>
      <c r="L61" s="402"/>
      <c r="M61" s="402"/>
      <c r="N61" s="402"/>
      <c r="O61" s="402"/>
      <c r="P61" s="402"/>
      <c r="Q61" s="402"/>
      <c r="R61" s="402"/>
      <c r="S61" s="402"/>
      <c r="T61" s="402"/>
      <c r="U61" s="402"/>
      <c r="V61" s="402"/>
      <c r="W61" s="402"/>
      <c r="X61" s="402"/>
      <c r="Y61" s="402"/>
      <c r="Z61" s="402"/>
    </row>
    <row r="62" ht="14.25" customHeight="1">
      <c r="A62" s="402"/>
      <c r="B62" s="402"/>
      <c r="C62" s="402"/>
      <c r="D62" s="402"/>
      <c r="E62" s="402"/>
      <c r="F62" s="402"/>
      <c r="G62" s="402"/>
      <c r="H62" s="402"/>
      <c r="I62" s="402"/>
      <c r="J62" s="402"/>
      <c r="K62" s="736"/>
      <c r="L62" s="402"/>
      <c r="M62" s="402"/>
      <c r="N62" s="402"/>
      <c r="O62" s="402"/>
      <c r="P62" s="402"/>
      <c r="Q62" s="402"/>
      <c r="R62" s="402"/>
      <c r="S62" s="402"/>
      <c r="T62" s="402"/>
      <c r="U62" s="402"/>
      <c r="V62" s="402"/>
      <c r="W62" s="402"/>
      <c r="X62" s="402"/>
      <c r="Y62" s="402"/>
      <c r="Z62" s="402"/>
    </row>
    <row r="63" ht="14.25" customHeight="1">
      <c r="A63" s="402"/>
      <c r="B63" s="402"/>
      <c r="C63" s="402"/>
      <c r="D63" s="402"/>
      <c r="E63" s="402"/>
      <c r="F63" s="402"/>
      <c r="G63" s="402"/>
      <c r="H63" s="402"/>
      <c r="I63" s="402"/>
      <c r="J63" s="402"/>
      <c r="K63" s="736"/>
      <c r="L63" s="402"/>
      <c r="M63" s="402"/>
      <c r="N63" s="402"/>
      <c r="O63" s="402"/>
      <c r="P63" s="402"/>
      <c r="Q63" s="402"/>
      <c r="R63" s="402"/>
      <c r="S63" s="402"/>
      <c r="T63" s="402"/>
      <c r="U63" s="402"/>
      <c r="V63" s="402"/>
      <c r="W63" s="402"/>
      <c r="X63" s="402"/>
      <c r="Y63" s="402"/>
      <c r="Z63" s="402"/>
    </row>
    <row r="64" ht="14.25" customHeight="1">
      <c r="A64" s="818">
        <v>45509.0</v>
      </c>
      <c r="B64" s="349" t="s">
        <v>4322</v>
      </c>
      <c r="C64" s="349" t="s">
        <v>4373</v>
      </c>
      <c r="D64" s="349" t="s">
        <v>4382</v>
      </c>
      <c r="E64" s="349" t="s">
        <v>4383</v>
      </c>
      <c r="F64" s="349">
        <v>57000.0</v>
      </c>
      <c r="G64" s="349">
        <v>57700.0</v>
      </c>
      <c r="H64" s="349" t="s">
        <v>56</v>
      </c>
      <c r="I64" s="402"/>
      <c r="J64" s="402"/>
      <c r="K64" s="736" t="str">
        <f t="shared" ref="K64:K66" si="9">IF(G64&gt;=F64,"FULLY PAID",IF(G64=0,"NOT PAID","PARTIALLY PAID"))</f>
        <v>FULLY PAID</v>
      </c>
      <c r="L64" s="402"/>
      <c r="M64" s="402"/>
      <c r="N64" s="402"/>
      <c r="O64" s="402"/>
      <c r="P64" s="402"/>
      <c r="Q64" s="402"/>
      <c r="R64" s="402"/>
      <c r="S64" s="402"/>
      <c r="T64" s="402"/>
      <c r="U64" s="402"/>
      <c r="V64" s="402"/>
      <c r="W64" s="402"/>
      <c r="X64" s="402"/>
      <c r="Y64" s="402"/>
      <c r="Z64" s="402"/>
    </row>
    <row r="65" ht="14.25" customHeight="1">
      <c r="A65" s="818">
        <v>45509.0</v>
      </c>
      <c r="B65" s="349" t="s">
        <v>4384</v>
      </c>
      <c r="C65" s="349" t="s">
        <v>4339</v>
      </c>
      <c r="D65" s="349" t="s">
        <v>4382</v>
      </c>
      <c r="E65" s="349" t="s">
        <v>4383</v>
      </c>
      <c r="F65" s="683">
        <v>30000.0</v>
      </c>
      <c r="G65" s="349">
        <v>0.0</v>
      </c>
      <c r="H65" s="349" t="s">
        <v>4385</v>
      </c>
      <c r="I65" s="402"/>
      <c r="J65" s="402"/>
      <c r="K65" s="736" t="str">
        <f t="shared" si="9"/>
        <v>NOT PAID</v>
      </c>
      <c r="L65" s="402"/>
      <c r="M65" s="402"/>
      <c r="N65" s="402"/>
      <c r="O65" s="402"/>
      <c r="P65" s="402"/>
      <c r="Q65" s="402"/>
      <c r="R65" s="402"/>
      <c r="S65" s="402"/>
      <c r="T65" s="402"/>
      <c r="U65" s="402"/>
      <c r="V65" s="402"/>
      <c r="W65" s="402"/>
      <c r="X65" s="402"/>
      <c r="Y65" s="402"/>
      <c r="Z65" s="402"/>
    </row>
    <row r="66" ht="14.25" customHeight="1">
      <c r="A66" s="818">
        <v>45509.0</v>
      </c>
      <c r="B66" s="349" t="s">
        <v>4386</v>
      </c>
      <c r="C66" s="349" t="s">
        <v>3194</v>
      </c>
      <c r="D66" s="349" t="s">
        <v>4382</v>
      </c>
      <c r="E66" s="349" t="s">
        <v>4383</v>
      </c>
      <c r="F66" s="349">
        <v>76734.0</v>
      </c>
      <c r="G66" s="349">
        <v>0.0</v>
      </c>
      <c r="H66" s="349" t="s">
        <v>4387</v>
      </c>
      <c r="I66" s="402"/>
      <c r="J66" s="402"/>
      <c r="K66" s="736" t="str">
        <f t="shared" si="9"/>
        <v>NOT PAID</v>
      </c>
      <c r="L66" s="402"/>
      <c r="M66" s="402"/>
      <c r="N66" s="402"/>
      <c r="O66" s="402"/>
      <c r="P66" s="402"/>
      <c r="Q66" s="402"/>
      <c r="R66" s="402"/>
      <c r="S66" s="402"/>
      <c r="T66" s="402"/>
      <c r="U66" s="402"/>
      <c r="V66" s="402"/>
      <c r="W66" s="402"/>
      <c r="X66" s="402"/>
      <c r="Y66" s="402"/>
      <c r="Z66" s="402"/>
    </row>
    <row r="67" ht="14.25" customHeight="1">
      <c r="A67" s="402"/>
      <c r="B67" s="402"/>
      <c r="C67" s="402"/>
      <c r="D67" s="402"/>
      <c r="E67" s="402"/>
      <c r="F67" s="402"/>
      <c r="G67" s="402"/>
      <c r="H67" s="402"/>
      <c r="I67" s="402"/>
      <c r="J67" s="402"/>
      <c r="K67" s="736"/>
      <c r="L67" s="402"/>
      <c r="M67" s="402"/>
      <c r="N67" s="402"/>
      <c r="O67" s="402"/>
      <c r="P67" s="402"/>
      <c r="Q67" s="402"/>
      <c r="R67" s="402"/>
      <c r="S67" s="402"/>
      <c r="T67" s="402"/>
      <c r="U67" s="402"/>
      <c r="V67" s="402"/>
      <c r="W67" s="402"/>
      <c r="X67" s="402"/>
      <c r="Y67" s="402"/>
      <c r="Z67" s="402"/>
    </row>
    <row r="68" ht="14.25" customHeight="1">
      <c r="A68" s="818">
        <v>45510.0</v>
      </c>
      <c r="B68" s="349" t="s">
        <v>4329</v>
      </c>
      <c r="C68" s="349" t="s">
        <v>4388</v>
      </c>
      <c r="D68" s="349" t="s">
        <v>439</v>
      </c>
      <c r="E68" s="349" t="s">
        <v>4335</v>
      </c>
      <c r="F68" s="683">
        <v>62000.0</v>
      </c>
      <c r="G68" s="349">
        <v>62000.0</v>
      </c>
      <c r="H68" s="402"/>
      <c r="I68" s="402"/>
      <c r="J68" s="402"/>
      <c r="K68" s="736" t="str">
        <f t="shared" ref="K68:K77" si="10">IF(G68&gt;=F68,"FULLY PAID",IF(G68=0,"NOT PAID","PARTIALLY PAID"))</f>
        <v>FULLY PAID</v>
      </c>
      <c r="L68" s="402"/>
      <c r="M68" s="402"/>
      <c r="N68" s="402"/>
      <c r="O68" s="402"/>
      <c r="P68" s="402"/>
      <c r="Q68" s="402"/>
      <c r="R68" s="402"/>
      <c r="S68" s="402"/>
      <c r="T68" s="402"/>
      <c r="U68" s="402"/>
      <c r="V68" s="402"/>
      <c r="W68" s="402"/>
      <c r="X68" s="402"/>
      <c r="Y68" s="402"/>
      <c r="Z68" s="402"/>
    </row>
    <row r="69" ht="14.25" customHeight="1">
      <c r="A69" s="818">
        <v>45510.0</v>
      </c>
      <c r="B69" s="349" t="s">
        <v>4329</v>
      </c>
      <c r="C69" s="349" t="s">
        <v>4367</v>
      </c>
      <c r="D69" s="349" t="s">
        <v>439</v>
      </c>
      <c r="E69" s="349" t="s">
        <v>4335</v>
      </c>
      <c r="F69" s="683">
        <v>10000.0</v>
      </c>
      <c r="G69" s="349">
        <v>0.0</v>
      </c>
      <c r="H69" s="402"/>
      <c r="I69" s="402"/>
      <c r="J69" s="402"/>
      <c r="K69" s="736" t="str">
        <f t="shared" si="10"/>
        <v>NOT PAID</v>
      </c>
      <c r="L69" s="402"/>
      <c r="M69" s="402"/>
      <c r="N69" s="402"/>
      <c r="O69" s="402"/>
      <c r="P69" s="402"/>
      <c r="Q69" s="402"/>
      <c r="R69" s="402"/>
      <c r="S69" s="402"/>
      <c r="T69" s="402"/>
      <c r="U69" s="402"/>
      <c r="V69" s="402"/>
      <c r="W69" s="402"/>
      <c r="X69" s="402"/>
      <c r="Y69" s="402"/>
      <c r="Z69" s="402"/>
    </row>
    <row r="70" ht="14.25" customHeight="1">
      <c r="A70" s="818"/>
      <c r="B70" s="402"/>
      <c r="C70" s="402"/>
      <c r="D70" s="402"/>
      <c r="E70" s="402"/>
      <c r="F70" s="402"/>
      <c r="G70" s="402"/>
      <c r="H70" s="402"/>
      <c r="I70" s="402"/>
      <c r="J70" s="402"/>
      <c r="K70" s="736" t="str">
        <f t="shared" si="10"/>
        <v>FULLY PAID</v>
      </c>
      <c r="L70" s="402"/>
      <c r="M70" s="402"/>
      <c r="N70" s="402"/>
      <c r="O70" s="402"/>
      <c r="P70" s="402"/>
      <c r="Q70" s="402"/>
      <c r="R70" s="402"/>
      <c r="S70" s="402"/>
      <c r="T70" s="402"/>
      <c r="U70" s="402"/>
      <c r="V70" s="402"/>
      <c r="W70" s="402"/>
      <c r="X70" s="402"/>
      <c r="Y70" s="402"/>
      <c r="Z70" s="402"/>
    </row>
    <row r="71" ht="14.25" customHeight="1">
      <c r="A71" s="818">
        <v>45511.0</v>
      </c>
      <c r="B71" s="349" t="s">
        <v>4341</v>
      </c>
      <c r="C71" s="349" t="s">
        <v>4367</v>
      </c>
      <c r="D71" s="349" t="s">
        <v>4311</v>
      </c>
      <c r="E71" s="349" t="s">
        <v>4335</v>
      </c>
      <c r="F71" s="683">
        <v>14000.0</v>
      </c>
      <c r="G71" s="349">
        <v>0.0</v>
      </c>
      <c r="H71" s="349" t="s">
        <v>3817</v>
      </c>
      <c r="I71" s="402"/>
      <c r="J71" s="402"/>
      <c r="K71" s="736" t="str">
        <f t="shared" si="10"/>
        <v>NOT PAID</v>
      </c>
      <c r="L71" s="402"/>
      <c r="M71" s="402"/>
      <c r="N71" s="402"/>
      <c r="O71" s="402"/>
      <c r="P71" s="402"/>
      <c r="Q71" s="402"/>
      <c r="R71" s="402"/>
      <c r="S71" s="402"/>
      <c r="T71" s="402"/>
      <c r="U71" s="402"/>
      <c r="V71" s="402"/>
      <c r="W71" s="402"/>
      <c r="X71" s="402"/>
      <c r="Y71" s="402"/>
      <c r="Z71" s="402"/>
    </row>
    <row r="72" ht="14.25" customHeight="1">
      <c r="A72" s="818">
        <v>45511.0</v>
      </c>
      <c r="B72" s="65" t="s">
        <v>4376</v>
      </c>
      <c r="C72" s="349" t="s">
        <v>3194</v>
      </c>
      <c r="D72" s="349" t="s">
        <v>4311</v>
      </c>
      <c r="E72" s="349" t="s">
        <v>4335</v>
      </c>
      <c r="F72" s="683">
        <v>77000.0</v>
      </c>
      <c r="G72" s="402"/>
      <c r="H72" s="349" t="s">
        <v>4389</v>
      </c>
      <c r="I72" s="402"/>
      <c r="J72" s="402"/>
      <c r="K72" s="736" t="str">
        <f t="shared" si="10"/>
        <v>NOT PAID</v>
      </c>
      <c r="L72" s="402"/>
      <c r="M72" s="402"/>
      <c r="N72" s="402"/>
      <c r="O72" s="402"/>
      <c r="P72" s="402"/>
      <c r="Q72" s="402"/>
      <c r="R72" s="402"/>
      <c r="S72" s="402"/>
      <c r="T72" s="402"/>
      <c r="U72" s="402"/>
      <c r="V72" s="402"/>
      <c r="W72" s="402"/>
      <c r="X72" s="402"/>
      <c r="Y72" s="402"/>
      <c r="Z72" s="402"/>
    </row>
    <row r="73" ht="14.25" customHeight="1">
      <c r="A73" s="818">
        <v>45511.0</v>
      </c>
      <c r="B73" s="349" t="s">
        <v>4390</v>
      </c>
      <c r="C73" s="349" t="s">
        <v>4391</v>
      </c>
      <c r="D73" s="349" t="s">
        <v>4311</v>
      </c>
      <c r="E73" s="349" t="s">
        <v>4335</v>
      </c>
      <c r="F73" s="683">
        <v>50000.0</v>
      </c>
      <c r="G73" s="402"/>
      <c r="H73" s="349" t="s">
        <v>4389</v>
      </c>
      <c r="I73" s="402"/>
      <c r="J73" s="402"/>
      <c r="K73" s="736" t="str">
        <f t="shared" si="10"/>
        <v>NOT PAID</v>
      </c>
      <c r="L73" s="402"/>
      <c r="M73" s="402"/>
      <c r="N73" s="402"/>
      <c r="O73" s="402"/>
      <c r="P73" s="402"/>
      <c r="Q73" s="402"/>
      <c r="R73" s="402"/>
      <c r="S73" s="402"/>
      <c r="T73" s="402"/>
      <c r="U73" s="402"/>
      <c r="V73" s="402"/>
      <c r="W73" s="402"/>
      <c r="X73" s="402"/>
      <c r="Y73" s="402"/>
      <c r="Z73" s="402"/>
    </row>
    <row r="74" ht="14.25" customHeight="1">
      <c r="A74" s="402"/>
      <c r="B74" s="402"/>
      <c r="C74" s="402"/>
      <c r="D74" s="402"/>
      <c r="E74" s="402"/>
      <c r="F74" s="402"/>
      <c r="G74" s="402"/>
      <c r="H74" s="402"/>
      <c r="I74" s="402"/>
      <c r="J74" s="402"/>
      <c r="K74" s="736" t="str">
        <f t="shared" si="10"/>
        <v>FULLY PAID</v>
      </c>
      <c r="L74" s="402"/>
      <c r="M74" s="402"/>
      <c r="N74" s="402"/>
      <c r="O74" s="402"/>
      <c r="P74" s="402"/>
      <c r="Q74" s="402"/>
      <c r="R74" s="402"/>
      <c r="S74" s="402"/>
      <c r="T74" s="402"/>
      <c r="U74" s="402"/>
      <c r="V74" s="402"/>
      <c r="W74" s="402"/>
      <c r="X74" s="402"/>
      <c r="Y74" s="402"/>
      <c r="Z74" s="402"/>
    </row>
    <row r="75" ht="14.25" customHeight="1">
      <c r="A75" s="402"/>
      <c r="B75" s="402"/>
      <c r="C75" s="402"/>
      <c r="D75" s="402"/>
      <c r="E75" s="402"/>
      <c r="F75" s="402"/>
      <c r="G75" s="402"/>
      <c r="H75" s="402"/>
      <c r="I75" s="402"/>
      <c r="J75" s="402"/>
      <c r="K75" s="736" t="str">
        <f t="shared" si="10"/>
        <v>FULLY PAID</v>
      </c>
      <c r="L75" s="402"/>
      <c r="M75" s="402"/>
      <c r="N75" s="402"/>
      <c r="O75" s="402"/>
      <c r="P75" s="402"/>
      <c r="Q75" s="402"/>
      <c r="R75" s="402"/>
      <c r="S75" s="402"/>
      <c r="T75" s="402"/>
      <c r="U75" s="402"/>
      <c r="V75" s="402"/>
      <c r="W75" s="402"/>
      <c r="X75" s="402"/>
      <c r="Y75" s="402"/>
      <c r="Z75" s="402"/>
    </row>
    <row r="76" ht="14.25" customHeight="1">
      <c r="A76" s="818">
        <v>45512.0</v>
      </c>
      <c r="B76" s="349" t="s">
        <v>4341</v>
      </c>
      <c r="C76" s="349" t="s">
        <v>4367</v>
      </c>
      <c r="D76" s="349" t="s">
        <v>439</v>
      </c>
      <c r="E76" s="349" t="s">
        <v>4335</v>
      </c>
      <c r="F76" s="349">
        <v>14000.0</v>
      </c>
      <c r="G76" s="349">
        <v>6000.0</v>
      </c>
      <c r="H76" s="349" t="s">
        <v>3292</v>
      </c>
      <c r="I76" s="402"/>
      <c r="J76" s="402"/>
      <c r="K76" s="736" t="str">
        <f t="shared" si="10"/>
        <v>PARTIALLY PAID</v>
      </c>
      <c r="L76" s="402"/>
      <c r="M76" s="402"/>
      <c r="N76" s="402"/>
      <c r="O76" s="402"/>
      <c r="P76" s="402"/>
      <c r="Q76" s="402"/>
      <c r="R76" s="402"/>
      <c r="S76" s="402"/>
      <c r="T76" s="402"/>
      <c r="U76" s="402"/>
      <c r="V76" s="402"/>
      <c r="W76" s="402"/>
      <c r="X76" s="402"/>
      <c r="Y76" s="402"/>
      <c r="Z76" s="402"/>
    </row>
    <row r="77" ht="14.25" customHeight="1">
      <c r="A77" s="818">
        <v>45512.0</v>
      </c>
      <c r="B77" s="349" t="s">
        <v>4390</v>
      </c>
      <c r="C77" s="349" t="s">
        <v>4391</v>
      </c>
      <c r="D77" s="349" t="s">
        <v>439</v>
      </c>
      <c r="E77" s="349" t="s">
        <v>4335</v>
      </c>
      <c r="F77" s="683">
        <v>50000.0</v>
      </c>
      <c r="G77" s="402"/>
      <c r="H77" s="349" t="s">
        <v>4379</v>
      </c>
      <c r="I77" s="402"/>
      <c r="J77" s="402"/>
      <c r="K77" s="736" t="str">
        <f t="shared" si="10"/>
        <v>NOT PAID</v>
      </c>
      <c r="L77" s="402"/>
      <c r="M77" s="402"/>
      <c r="N77" s="402"/>
      <c r="O77" s="402"/>
      <c r="P77" s="402"/>
      <c r="Q77" s="402"/>
      <c r="R77" s="402"/>
      <c r="S77" s="402"/>
      <c r="T77" s="402"/>
      <c r="U77" s="402"/>
      <c r="V77" s="402"/>
      <c r="W77" s="402"/>
      <c r="X77" s="402"/>
      <c r="Y77" s="402"/>
      <c r="Z77" s="402"/>
    </row>
    <row r="78" ht="14.25" customHeight="1">
      <c r="A78" s="402"/>
      <c r="B78" s="402"/>
      <c r="C78" s="402"/>
      <c r="D78" s="402"/>
      <c r="E78" s="402"/>
      <c r="F78" s="402"/>
      <c r="H78" s="402"/>
      <c r="I78" s="402"/>
      <c r="J78" s="402"/>
      <c r="K78" s="736"/>
      <c r="L78" s="402"/>
      <c r="M78" s="402"/>
      <c r="N78" s="402"/>
      <c r="O78" s="402"/>
      <c r="P78" s="402"/>
      <c r="Q78" s="402"/>
      <c r="R78" s="402"/>
      <c r="S78" s="402"/>
      <c r="T78" s="402"/>
      <c r="U78" s="402"/>
      <c r="V78" s="402"/>
      <c r="W78" s="402"/>
      <c r="X78" s="402"/>
      <c r="Y78" s="402"/>
      <c r="Z78" s="402"/>
    </row>
    <row r="79" ht="14.25" customHeight="1">
      <c r="A79" s="818">
        <v>45513.0</v>
      </c>
      <c r="B79" s="349" t="s">
        <v>4390</v>
      </c>
      <c r="C79" s="349" t="s">
        <v>4392</v>
      </c>
      <c r="D79" s="349" t="s">
        <v>439</v>
      </c>
      <c r="E79" s="349" t="s">
        <v>4335</v>
      </c>
      <c r="F79" s="683">
        <v>50000.0</v>
      </c>
      <c r="G79" s="683">
        <v>95000.0</v>
      </c>
      <c r="H79" s="349" t="s">
        <v>4393</v>
      </c>
      <c r="I79" s="402"/>
      <c r="J79" s="402"/>
      <c r="K79" s="736" t="str">
        <f t="shared" ref="K79:K85" si="11">IF(G79&gt;=F79,"FULLY PAID",IF(G79=0,"NOT PAID","PARTIALLY PAID"))</f>
        <v>FULLY PAID</v>
      </c>
      <c r="L79" s="402"/>
      <c r="M79" s="402"/>
      <c r="N79" s="402"/>
      <c r="O79" s="402"/>
      <c r="P79" s="402"/>
      <c r="Q79" s="402"/>
      <c r="R79" s="402"/>
      <c r="S79" s="402"/>
      <c r="T79" s="402"/>
      <c r="U79" s="402"/>
      <c r="V79" s="402"/>
      <c r="W79" s="402"/>
      <c r="X79" s="402"/>
      <c r="Y79" s="402"/>
      <c r="Z79" s="402"/>
    </row>
    <row r="80" ht="14.25" customHeight="1">
      <c r="A80" s="818">
        <v>45513.0</v>
      </c>
      <c r="B80" s="349"/>
      <c r="C80" s="349" t="s">
        <v>4345</v>
      </c>
      <c r="D80" s="349" t="s">
        <v>439</v>
      </c>
      <c r="E80" s="349" t="s">
        <v>4335</v>
      </c>
      <c r="F80" s="683">
        <v>100000.0</v>
      </c>
      <c r="G80" s="349">
        <v>0.0</v>
      </c>
      <c r="H80" s="349" t="s">
        <v>3817</v>
      </c>
      <c r="I80" s="402"/>
      <c r="J80" s="402"/>
      <c r="K80" s="736" t="str">
        <f t="shared" si="11"/>
        <v>NOT PAID</v>
      </c>
      <c r="L80" s="402"/>
      <c r="M80" s="402"/>
      <c r="N80" s="402"/>
      <c r="O80" s="402"/>
      <c r="P80" s="402"/>
      <c r="Q80" s="402"/>
      <c r="R80" s="402"/>
      <c r="S80" s="402"/>
      <c r="T80" s="402"/>
      <c r="U80" s="402"/>
      <c r="V80" s="402"/>
      <c r="W80" s="402"/>
      <c r="X80" s="402"/>
      <c r="Y80" s="402"/>
      <c r="Z80" s="402"/>
    </row>
    <row r="81" ht="14.25" customHeight="1">
      <c r="A81" s="818">
        <v>45513.0</v>
      </c>
      <c r="B81" s="349" t="s">
        <v>4394</v>
      </c>
      <c r="C81" s="349" t="s">
        <v>4395</v>
      </c>
      <c r="D81" s="349" t="s">
        <v>439</v>
      </c>
      <c r="E81" s="349" t="s">
        <v>4335</v>
      </c>
      <c r="F81" s="683">
        <v>15000.0</v>
      </c>
      <c r="G81" s="349">
        <v>0.0</v>
      </c>
      <c r="H81" s="349" t="s">
        <v>4396</v>
      </c>
      <c r="I81" s="402"/>
      <c r="J81" s="402"/>
      <c r="K81" s="736" t="str">
        <f t="shared" si="11"/>
        <v>NOT PAID</v>
      </c>
      <c r="L81" s="402"/>
      <c r="M81" s="402"/>
      <c r="N81" s="402"/>
      <c r="O81" s="402"/>
      <c r="P81" s="402"/>
      <c r="Q81" s="402"/>
      <c r="R81" s="402"/>
      <c r="S81" s="402"/>
      <c r="T81" s="402"/>
      <c r="U81" s="402"/>
      <c r="V81" s="402"/>
      <c r="W81" s="402"/>
      <c r="X81" s="402"/>
      <c r="Y81" s="402"/>
      <c r="Z81" s="402"/>
    </row>
    <row r="82" ht="14.25" customHeight="1">
      <c r="A82" s="402"/>
      <c r="B82" s="402"/>
      <c r="C82" s="402"/>
      <c r="D82" s="402"/>
      <c r="E82" s="402"/>
      <c r="F82" s="402"/>
      <c r="G82" s="402"/>
      <c r="H82" s="402"/>
      <c r="I82" s="402"/>
      <c r="J82" s="402"/>
      <c r="K82" s="736" t="str">
        <f t="shared" si="11"/>
        <v>FULLY PAID</v>
      </c>
      <c r="L82" s="402"/>
      <c r="M82" s="402"/>
      <c r="N82" s="402"/>
      <c r="O82" s="402"/>
      <c r="P82" s="402"/>
      <c r="Q82" s="402"/>
      <c r="R82" s="402"/>
      <c r="S82" s="402"/>
      <c r="T82" s="402"/>
      <c r="U82" s="402"/>
      <c r="V82" s="402"/>
      <c r="W82" s="402"/>
      <c r="X82" s="402"/>
      <c r="Y82" s="402"/>
      <c r="Z82" s="402"/>
    </row>
    <row r="83" ht="14.25" customHeight="1">
      <c r="A83" s="818">
        <v>45514.0</v>
      </c>
      <c r="B83" s="349" t="s">
        <v>4397</v>
      </c>
      <c r="C83" s="349" t="s">
        <v>4345</v>
      </c>
      <c r="D83" s="349" t="s">
        <v>439</v>
      </c>
      <c r="E83" s="349" t="s">
        <v>4335</v>
      </c>
      <c r="F83" s="683">
        <v>106200.0</v>
      </c>
      <c r="G83" s="402"/>
      <c r="H83" s="349" t="s">
        <v>3817</v>
      </c>
      <c r="I83" s="402"/>
      <c r="J83" s="402"/>
      <c r="K83" s="736" t="str">
        <f t="shared" si="11"/>
        <v>NOT PAID</v>
      </c>
      <c r="L83" s="402"/>
      <c r="M83" s="402"/>
      <c r="N83" s="402"/>
      <c r="O83" s="402"/>
      <c r="P83" s="402"/>
      <c r="Q83" s="402"/>
      <c r="R83" s="402"/>
      <c r="S83" s="402"/>
      <c r="T83" s="402"/>
      <c r="U83" s="402"/>
      <c r="V83" s="402"/>
      <c r="W83" s="402"/>
      <c r="X83" s="402"/>
      <c r="Y83" s="402"/>
      <c r="Z83" s="402"/>
    </row>
    <row r="84" ht="14.25" customHeight="1">
      <c r="A84" s="818">
        <v>45514.0</v>
      </c>
      <c r="B84" s="349" t="s">
        <v>4394</v>
      </c>
      <c r="C84" s="349" t="s">
        <v>4395</v>
      </c>
      <c r="D84" s="349" t="s">
        <v>439</v>
      </c>
      <c r="E84" s="349" t="s">
        <v>4335</v>
      </c>
      <c r="F84" s="683">
        <v>15000.0</v>
      </c>
      <c r="G84" s="402"/>
      <c r="H84" s="349" t="s">
        <v>4398</v>
      </c>
      <c r="I84" s="402"/>
      <c r="J84" s="402"/>
      <c r="K84" s="736" t="str">
        <f t="shared" si="11"/>
        <v>NOT PAID</v>
      </c>
      <c r="L84" s="402"/>
      <c r="M84" s="402"/>
      <c r="N84" s="402"/>
      <c r="O84" s="402"/>
      <c r="P84" s="402"/>
      <c r="Q84" s="402"/>
      <c r="R84" s="402"/>
      <c r="S84" s="402"/>
      <c r="T84" s="402"/>
      <c r="U84" s="402"/>
      <c r="V84" s="402"/>
      <c r="W84" s="402"/>
      <c r="X84" s="402"/>
      <c r="Y84" s="402"/>
      <c r="Z84" s="402"/>
    </row>
    <row r="85" ht="14.25" customHeight="1">
      <c r="A85" s="818">
        <v>45514.0</v>
      </c>
      <c r="B85" s="349" t="s">
        <v>4341</v>
      </c>
      <c r="C85" s="349" t="s">
        <v>4350</v>
      </c>
      <c r="D85" s="349" t="s">
        <v>439</v>
      </c>
      <c r="E85" s="349" t="s">
        <v>4335</v>
      </c>
      <c r="F85" s="683">
        <v>10000.0</v>
      </c>
      <c r="G85" s="402"/>
      <c r="H85" s="349" t="s">
        <v>3817</v>
      </c>
      <c r="I85" s="402"/>
      <c r="J85" s="402"/>
      <c r="K85" s="736" t="str">
        <f t="shared" si="11"/>
        <v>NOT PAID</v>
      </c>
      <c r="L85" s="402"/>
      <c r="M85" s="402"/>
      <c r="N85" s="402"/>
      <c r="O85" s="402"/>
      <c r="P85" s="402"/>
      <c r="Q85" s="402"/>
      <c r="R85" s="402"/>
      <c r="S85" s="402"/>
      <c r="T85" s="402"/>
      <c r="U85" s="402"/>
      <c r="V85" s="402"/>
      <c r="W85" s="402"/>
      <c r="X85" s="402"/>
      <c r="Y85" s="402"/>
      <c r="Z85" s="402"/>
    </row>
    <row r="86" ht="14.25" customHeight="1">
      <c r="A86" s="402"/>
      <c r="B86" s="402"/>
      <c r="C86" s="402"/>
      <c r="D86" s="402"/>
      <c r="E86" s="402"/>
      <c r="F86" s="402"/>
      <c r="G86" s="402"/>
      <c r="H86" s="402"/>
      <c r="I86" s="402"/>
      <c r="J86" s="402"/>
      <c r="K86" s="736"/>
      <c r="L86" s="402"/>
      <c r="M86" s="402"/>
      <c r="N86" s="402"/>
      <c r="O86" s="402"/>
      <c r="P86" s="402"/>
      <c r="Q86" s="402"/>
      <c r="R86" s="402"/>
      <c r="S86" s="402"/>
      <c r="T86" s="402"/>
      <c r="U86" s="402"/>
      <c r="V86" s="402"/>
      <c r="W86" s="402"/>
      <c r="X86" s="402"/>
      <c r="Y86" s="402"/>
      <c r="Z86" s="402"/>
    </row>
    <row r="87" ht="14.25" customHeight="1">
      <c r="A87" s="818">
        <v>45516.0</v>
      </c>
      <c r="B87" s="349" t="s">
        <v>4399</v>
      </c>
      <c r="C87" s="349" t="s">
        <v>4400</v>
      </c>
      <c r="D87" s="349" t="s">
        <v>439</v>
      </c>
      <c r="E87" s="349" t="s">
        <v>4335</v>
      </c>
      <c r="F87" s="413">
        <v>10750.0</v>
      </c>
      <c r="G87" s="683">
        <v>10750.0</v>
      </c>
      <c r="H87" s="349" t="s">
        <v>267</v>
      </c>
      <c r="I87" s="402"/>
      <c r="J87" s="402"/>
      <c r="K87" s="736" t="str">
        <f t="shared" ref="K87:K90" si="12">IF(G87&gt;=F87,"FULLY PAID",IF(G87=0,"NOT PAID","PARTIALLY PAID"))</f>
        <v>FULLY PAID</v>
      </c>
      <c r="L87" s="402"/>
      <c r="M87" s="402"/>
      <c r="N87" s="402"/>
      <c r="O87" s="402"/>
      <c r="P87" s="402"/>
      <c r="Q87" s="402"/>
      <c r="R87" s="402"/>
      <c r="S87" s="402"/>
      <c r="T87" s="402"/>
      <c r="U87" s="402"/>
      <c r="V87" s="402"/>
      <c r="W87" s="402"/>
      <c r="X87" s="402"/>
      <c r="Y87" s="402"/>
      <c r="Z87" s="402"/>
    </row>
    <row r="88" ht="14.25" customHeight="1">
      <c r="A88" s="818">
        <v>45516.0</v>
      </c>
      <c r="B88" s="349" t="s">
        <v>4344</v>
      </c>
      <c r="C88" s="349" t="s">
        <v>4401</v>
      </c>
      <c r="D88" s="349" t="s">
        <v>439</v>
      </c>
      <c r="E88" s="349" t="s">
        <v>4335</v>
      </c>
      <c r="F88" s="413">
        <v>106000.0</v>
      </c>
      <c r="G88" s="402"/>
      <c r="H88" s="349" t="s">
        <v>4402</v>
      </c>
      <c r="I88" s="402"/>
      <c r="J88" s="402"/>
      <c r="K88" s="736" t="str">
        <f t="shared" si="12"/>
        <v>NOT PAID</v>
      </c>
      <c r="L88" s="402"/>
      <c r="M88" s="402"/>
      <c r="N88" s="402"/>
      <c r="O88" s="402"/>
      <c r="P88" s="402"/>
      <c r="Q88" s="402"/>
      <c r="R88" s="402"/>
      <c r="S88" s="402"/>
      <c r="T88" s="402"/>
      <c r="U88" s="402"/>
      <c r="V88" s="402"/>
      <c r="W88" s="402"/>
      <c r="X88" s="402"/>
      <c r="Y88" s="402"/>
      <c r="Z88" s="402"/>
    </row>
    <row r="89" ht="14.25" customHeight="1">
      <c r="A89" s="818">
        <v>45516.0</v>
      </c>
      <c r="B89" s="349" t="s">
        <v>4329</v>
      </c>
      <c r="C89" s="349" t="s">
        <v>4403</v>
      </c>
      <c r="D89" s="349" t="s">
        <v>439</v>
      </c>
      <c r="E89" s="349" t="s">
        <v>4335</v>
      </c>
      <c r="F89" s="413">
        <v>127160.0</v>
      </c>
      <c r="G89" s="349">
        <v>127160.0</v>
      </c>
      <c r="H89" s="349" t="s">
        <v>4404</v>
      </c>
      <c r="I89" s="402"/>
      <c r="J89" s="402"/>
      <c r="K89" s="736" t="str">
        <f t="shared" si="12"/>
        <v>FULLY PAID</v>
      </c>
      <c r="L89" s="402"/>
      <c r="M89" s="402"/>
      <c r="N89" s="402"/>
      <c r="O89" s="402"/>
      <c r="P89" s="402"/>
      <c r="Q89" s="402"/>
      <c r="R89" s="402"/>
      <c r="S89" s="402"/>
      <c r="T89" s="402"/>
      <c r="U89" s="402"/>
      <c r="V89" s="402"/>
      <c r="W89" s="402"/>
      <c r="X89" s="402"/>
      <c r="Y89" s="402"/>
      <c r="Z89" s="402"/>
    </row>
    <row r="90" ht="14.25" customHeight="1">
      <c r="A90" s="818">
        <v>45516.0</v>
      </c>
      <c r="B90" s="349" t="s">
        <v>4405</v>
      </c>
      <c r="C90" s="349" t="s">
        <v>4406</v>
      </c>
      <c r="D90" s="349" t="s">
        <v>467</v>
      </c>
      <c r="E90" s="349" t="s">
        <v>4335</v>
      </c>
      <c r="F90" s="413">
        <v>10560.0</v>
      </c>
      <c r="G90" s="349">
        <v>10560.0</v>
      </c>
      <c r="H90" s="349" t="s">
        <v>4404</v>
      </c>
      <c r="I90" s="402"/>
      <c r="J90" s="402"/>
      <c r="K90" s="736" t="str">
        <f t="shared" si="12"/>
        <v>FULLY PAID</v>
      </c>
      <c r="L90" s="402"/>
      <c r="M90" s="402"/>
      <c r="N90" s="402"/>
      <c r="O90" s="402"/>
      <c r="P90" s="402"/>
      <c r="Q90" s="402"/>
      <c r="R90" s="402"/>
      <c r="S90" s="402"/>
      <c r="T90" s="402"/>
      <c r="U90" s="402"/>
      <c r="V90" s="402"/>
      <c r="W90" s="402"/>
      <c r="X90" s="402"/>
      <c r="Y90" s="402"/>
      <c r="Z90" s="402"/>
    </row>
    <row r="91" ht="14.25" customHeight="1">
      <c r="A91" s="402"/>
      <c r="B91" s="402"/>
      <c r="C91" s="402"/>
      <c r="D91" s="402"/>
      <c r="E91" s="402"/>
      <c r="F91" s="402"/>
      <c r="G91" s="402"/>
      <c r="H91" s="402"/>
      <c r="I91" s="402"/>
      <c r="J91" s="402"/>
      <c r="K91" s="736"/>
      <c r="L91" s="402"/>
      <c r="M91" s="402"/>
      <c r="N91" s="402"/>
      <c r="O91" s="402"/>
      <c r="P91" s="402"/>
      <c r="Q91" s="402"/>
      <c r="R91" s="402"/>
      <c r="S91" s="402"/>
      <c r="T91" s="402"/>
      <c r="U91" s="402"/>
      <c r="V91" s="402"/>
      <c r="W91" s="402"/>
      <c r="X91" s="402"/>
      <c r="Y91" s="402"/>
      <c r="Z91" s="402"/>
    </row>
    <row r="92" ht="14.25" customHeight="1">
      <c r="A92" s="818">
        <v>45517.0</v>
      </c>
      <c r="B92" s="349" t="s">
        <v>4344</v>
      </c>
      <c r="C92" s="349" t="s">
        <v>4345</v>
      </c>
      <c r="D92" s="349" t="s">
        <v>439</v>
      </c>
      <c r="E92" s="349" t="s">
        <v>4335</v>
      </c>
      <c r="F92" s="683">
        <v>106000.0</v>
      </c>
      <c r="G92" s="683">
        <v>106200.0</v>
      </c>
      <c r="H92" s="349" t="s">
        <v>4407</v>
      </c>
      <c r="I92" s="402"/>
      <c r="J92" s="402"/>
      <c r="K92" s="736" t="str">
        <f t="shared" ref="K92:K109" si="13">IF(G92&gt;=F92,"FULLY PAID",IF(G92=0,"NOT PAID","PARTIALLY PAID"))</f>
        <v>FULLY PAID</v>
      </c>
      <c r="L92" s="402"/>
      <c r="M92" s="402"/>
      <c r="N92" s="402"/>
      <c r="O92" s="402"/>
      <c r="P92" s="402"/>
      <c r="Q92" s="402"/>
      <c r="R92" s="402"/>
      <c r="S92" s="402"/>
      <c r="T92" s="402"/>
      <c r="U92" s="402"/>
      <c r="V92" s="402"/>
      <c r="W92" s="402"/>
      <c r="X92" s="402"/>
      <c r="Y92" s="402"/>
      <c r="Z92" s="402"/>
    </row>
    <row r="93" ht="14.25" customHeight="1">
      <c r="A93" s="818">
        <v>45517.0</v>
      </c>
      <c r="B93" s="349" t="s">
        <v>4341</v>
      </c>
      <c r="C93" s="349" t="s">
        <v>4350</v>
      </c>
      <c r="D93" s="349" t="s">
        <v>439</v>
      </c>
      <c r="E93" s="349" t="s">
        <v>4335</v>
      </c>
      <c r="F93" s="683">
        <v>5000.0</v>
      </c>
      <c r="G93" s="402"/>
      <c r="H93" s="349" t="s">
        <v>4408</v>
      </c>
      <c r="I93" s="402"/>
      <c r="J93" s="402"/>
      <c r="K93" s="736" t="str">
        <f t="shared" si="13"/>
        <v>NOT PAID</v>
      </c>
      <c r="L93" s="402"/>
      <c r="M93" s="402"/>
      <c r="N93" s="402"/>
      <c r="O93" s="402"/>
      <c r="P93" s="402"/>
      <c r="Q93" s="402"/>
      <c r="R93" s="402"/>
      <c r="S93" s="402"/>
      <c r="T93" s="402"/>
      <c r="U93" s="402"/>
      <c r="V93" s="402"/>
      <c r="W93" s="402"/>
      <c r="X93" s="402"/>
      <c r="Y93" s="402"/>
      <c r="Z93" s="402"/>
    </row>
    <row r="94" ht="14.25" customHeight="1">
      <c r="A94" s="818">
        <v>45517.0</v>
      </c>
      <c r="B94" s="349" t="s">
        <v>4376</v>
      </c>
      <c r="C94" s="349" t="s">
        <v>3194</v>
      </c>
      <c r="D94" s="349" t="s">
        <v>439</v>
      </c>
      <c r="E94" s="349" t="s">
        <v>4335</v>
      </c>
      <c r="F94" s="683">
        <v>144000.0</v>
      </c>
      <c r="G94" s="349">
        <v>0.0</v>
      </c>
      <c r="H94" s="349" t="s">
        <v>4409</v>
      </c>
      <c r="I94" s="402"/>
      <c r="J94" s="402"/>
      <c r="K94" s="736" t="str">
        <f t="shared" si="13"/>
        <v>NOT PAID</v>
      </c>
      <c r="L94" s="402"/>
      <c r="M94" s="402"/>
      <c r="N94" s="402"/>
      <c r="O94" s="402"/>
      <c r="P94" s="402"/>
      <c r="Q94" s="402"/>
      <c r="R94" s="402"/>
      <c r="S94" s="402"/>
      <c r="T94" s="402"/>
      <c r="U94" s="402"/>
      <c r="V94" s="402"/>
      <c r="W94" s="402"/>
      <c r="X94" s="402"/>
      <c r="Y94" s="402"/>
      <c r="Z94" s="402"/>
    </row>
    <row r="95" ht="14.25" customHeight="1">
      <c r="A95" s="402"/>
      <c r="B95" s="402"/>
      <c r="C95" s="402"/>
      <c r="D95" s="402"/>
      <c r="E95" s="402"/>
      <c r="F95" s="402"/>
      <c r="G95" s="402"/>
      <c r="H95" s="402"/>
      <c r="I95" s="402"/>
      <c r="J95" s="402"/>
      <c r="K95" s="736" t="str">
        <f t="shared" si="13"/>
        <v>FULLY PAID</v>
      </c>
      <c r="L95" s="402"/>
      <c r="M95" s="402"/>
      <c r="N95" s="402"/>
      <c r="O95" s="402"/>
      <c r="P95" s="402"/>
      <c r="Q95" s="402"/>
      <c r="R95" s="402"/>
      <c r="S95" s="402"/>
      <c r="T95" s="402"/>
      <c r="U95" s="402"/>
      <c r="V95" s="402"/>
      <c r="W95" s="402"/>
      <c r="X95" s="402"/>
      <c r="Y95" s="402"/>
      <c r="Z95" s="402"/>
    </row>
    <row r="96" ht="14.25" customHeight="1">
      <c r="A96" s="818">
        <v>45518.0</v>
      </c>
      <c r="B96" s="349" t="s">
        <v>4390</v>
      </c>
      <c r="C96" s="349" t="s">
        <v>4348</v>
      </c>
      <c r="D96" s="349" t="s">
        <v>439</v>
      </c>
      <c r="E96" s="349" t="s">
        <v>4335</v>
      </c>
      <c r="F96" s="683">
        <v>180000.0</v>
      </c>
      <c r="G96" s="402"/>
      <c r="H96" s="349" t="s">
        <v>4410</v>
      </c>
      <c r="I96" s="402"/>
      <c r="J96" s="402"/>
      <c r="K96" s="736" t="str">
        <f t="shared" si="13"/>
        <v>NOT PAID</v>
      </c>
      <c r="L96" s="402"/>
      <c r="M96" s="402"/>
      <c r="N96" s="402"/>
      <c r="O96" s="402"/>
      <c r="P96" s="402"/>
      <c r="Q96" s="402"/>
      <c r="R96" s="402"/>
      <c r="S96" s="402"/>
      <c r="T96" s="402"/>
      <c r="U96" s="402"/>
      <c r="V96" s="402"/>
      <c r="W96" s="402"/>
      <c r="X96" s="402"/>
      <c r="Y96" s="402"/>
      <c r="Z96" s="402"/>
    </row>
    <row r="97" ht="14.25" customHeight="1">
      <c r="A97" s="818">
        <v>45518.0</v>
      </c>
      <c r="B97" s="349" t="s">
        <v>4341</v>
      </c>
      <c r="C97" s="349" t="s">
        <v>4350</v>
      </c>
      <c r="D97" s="349" t="s">
        <v>439</v>
      </c>
      <c r="E97" s="349" t="s">
        <v>4335</v>
      </c>
      <c r="F97" s="349">
        <v>8500.0</v>
      </c>
      <c r="G97" s="402"/>
      <c r="H97" s="349" t="s">
        <v>4411</v>
      </c>
      <c r="I97" s="402"/>
      <c r="J97" s="402"/>
      <c r="K97" s="736" t="str">
        <f t="shared" si="13"/>
        <v>NOT PAID</v>
      </c>
      <c r="L97" s="402"/>
      <c r="M97" s="402"/>
      <c r="N97" s="402"/>
      <c r="O97" s="402"/>
      <c r="P97" s="402"/>
      <c r="Q97" s="402"/>
      <c r="R97" s="402"/>
      <c r="S97" s="402"/>
      <c r="T97" s="402"/>
      <c r="U97" s="402"/>
      <c r="V97" s="402"/>
      <c r="W97" s="402"/>
      <c r="X97" s="402"/>
      <c r="Y97" s="402"/>
      <c r="Z97" s="402"/>
    </row>
    <row r="98" ht="14.25" customHeight="1">
      <c r="A98" s="818">
        <v>45518.0</v>
      </c>
      <c r="B98" s="349" t="s">
        <v>4394</v>
      </c>
      <c r="C98" s="349" t="s">
        <v>4395</v>
      </c>
      <c r="D98" s="349" t="s">
        <v>439</v>
      </c>
      <c r="E98" s="349" t="s">
        <v>4335</v>
      </c>
      <c r="F98" s="683">
        <v>15000.0</v>
      </c>
      <c r="G98" s="402"/>
      <c r="H98" s="349" t="s">
        <v>4412</v>
      </c>
      <c r="I98" s="402"/>
      <c r="J98" s="402"/>
      <c r="K98" s="736" t="str">
        <f t="shared" si="13"/>
        <v>NOT PAID</v>
      </c>
      <c r="L98" s="402"/>
      <c r="M98" s="402"/>
      <c r="N98" s="402"/>
      <c r="O98" s="402"/>
      <c r="P98" s="402"/>
      <c r="Q98" s="402"/>
      <c r="R98" s="402"/>
      <c r="S98" s="402"/>
      <c r="T98" s="402"/>
      <c r="U98" s="402"/>
      <c r="V98" s="402"/>
      <c r="W98" s="402"/>
      <c r="X98" s="402"/>
      <c r="Y98" s="402"/>
      <c r="Z98" s="402"/>
    </row>
    <row r="99" ht="14.25" customHeight="1">
      <c r="A99" s="402"/>
      <c r="B99" s="402"/>
      <c r="C99" s="402"/>
      <c r="D99" s="402"/>
      <c r="E99" s="402"/>
      <c r="F99" s="402"/>
      <c r="G99" s="402"/>
      <c r="H99" s="402"/>
      <c r="I99" s="402"/>
      <c r="J99" s="402"/>
      <c r="K99" s="736" t="str">
        <f t="shared" si="13"/>
        <v>FULLY PAID</v>
      </c>
      <c r="L99" s="402"/>
      <c r="M99" s="402"/>
      <c r="N99" s="402"/>
      <c r="O99" s="402"/>
      <c r="P99" s="402"/>
      <c r="Q99" s="402"/>
      <c r="R99" s="402"/>
      <c r="S99" s="402"/>
      <c r="T99" s="402"/>
      <c r="U99" s="402"/>
      <c r="V99" s="402"/>
      <c r="W99" s="402"/>
      <c r="X99" s="402"/>
      <c r="Y99" s="402"/>
      <c r="Z99" s="402"/>
    </row>
    <row r="100" ht="14.25" customHeight="1">
      <c r="A100" s="818">
        <v>45519.0</v>
      </c>
      <c r="B100" s="349" t="s">
        <v>4390</v>
      </c>
      <c r="C100" s="349" t="s">
        <v>4413</v>
      </c>
      <c r="D100" s="349" t="s">
        <v>439</v>
      </c>
      <c r="E100" s="349" t="s">
        <v>4335</v>
      </c>
      <c r="F100" s="683">
        <v>180000.0</v>
      </c>
      <c r="G100" s="349">
        <v>0.0</v>
      </c>
      <c r="H100" s="349" t="s">
        <v>4414</v>
      </c>
      <c r="I100" s="402"/>
      <c r="J100" s="402"/>
      <c r="K100" s="736" t="str">
        <f t="shared" si="13"/>
        <v>NOT PAID</v>
      </c>
      <c r="L100" s="402"/>
      <c r="M100" s="402"/>
      <c r="N100" s="402"/>
      <c r="O100" s="402"/>
      <c r="P100" s="402"/>
      <c r="Q100" s="402"/>
      <c r="R100" s="402"/>
      <c r="S100" s="402"/>
      <c r="T100" s="402"/>
      <c r="U100" s="402"/>
      <c r="V100" s="402"/>
      <c r="W100" s="402"/>
      <c r="X100" s="402"/>
      <c r="Y100" s="402"/>
      <c r="Z100" s="402"/>
    </row>
    <row r="101" ht="14.25" customHeight="1">
      <c r="A101" s="818">
        <v>45518.0</v>
      </c>
      <c r="B101" s="349" t="s">
        <v>4341</v>
      </c>
      <c r="C101" s="349" t="s">
        <v>4350</v>
      </c>
      <c r="D101" s="349" t="s">
        <v>439</v>
      </c>
      <c r="E101" s="349" t="s">
        <v>4335</v>
      </c>
      <c r="F101" s="349">
        <v>8500.0</v>
      </c>
      <c r="G101" s="349">
        <v>4000.0</v>
      </c>
      <c r="H101" s="349" t="s">
        <v>4415</v>
      </c>
      <c r="I101" s="402"/>
      <c r="J101" s="402"/>
      <c r="K101" s="736" t="str">
        <f t="shared" si="13"/>
        <v>PARTIALLY PAID</v>
      </c>
      <c r="L101" s="402"/>
      <c r="M101" s="402"/>
      <c r="N101" s="402"/>
      <c r="O101" s="402"/>
      <c r="P101" s="402"/>
      <c r="Q101" s="402"/>
      <c r="R101" s="402"/>
      <c r="S101" s="402"/>
      <c r="T101" s="402"/>
      <c r="U101" s="402"/>
      <c r="V101" s="402"/>
      <c r="W101" s="402"/>
      <c r="X101" s="402"/>
      <c r="Y101" s="402"/>
      <c r="Z101" s="402"/>
    </row>
    <row r="102" ht="14.25" customHeight="1">
      <c r="A102" s="818">
        <v>45518.0</v>
      </c>
      <c r="B102" s="349" t="s">
        <v>4376</v>
      </c>
      <c r="C102" s="349" t="s">
        <v>3194</v>
      </c>
      <c r="D102" s="349" t="s">
        <v>439</v>
      </c>
      <c r="E102" s="349" t="s">
        <v>4335</v>
      </c>
      <c r="F102" s="683">
        <v>144000.0</v>
      </c>
      <c r="G102" s="349">
        <v>0.0</v>
      </c>
      <c r="H102" s="349" t="s">
        <v>4416</v>
      </c>
      <c r="I102" s="402"/>
      <c r="J102" s="402"/>
      <c r="K102" s="736" t="str">
        <f t="shared" si="13"/>
        <v>NOT PAID</v>
      </c>
      <c r="L102" s="402"/>
      <c r="M102" s="402"/>
      <c r="N102" s="402"/>
      <c r="O102" s="402"/>
      <c r="P102" s="402"/>
      <c r="Q102" s="402"/>
      <c r="R102" s="402"/>
      <c r="S102" s="402"/>
      <c r="T102" s="402"/>
      <c r="U102" s="402"/>
      <c r="V102" s="402"/>
      <c r="W102" s="402"/>
      <c r="X102" s="402"/>
      <c r="Y102" s="402"/>
      <c r="Z102" s="402"/>
    </row>
    <row r="103" ht="14.25" customHeight="1">
      <c r="A103" s="402"/>
      <c r="B103" s="402"/>
      <c r="C103" s="402"/>
      <c r="D103" s="402"/>
      <c r="E103" s="402"/>
      <c r="F103" s="402"/>
      <c r="G103" s="402"/>
      <c r="H103" s="402"/>
      <c r="I103" s="402"/>
      <c r="J103" s="402"/>
      <c r="K103" s="736" t="str">
        <f t="shared" si="13"/>
        <v>FULLY PAID</v>
      </c>
      <c r="L103" s="402"/>
      <c r="M103" s="402"/>
      <c r="N103" s="402"/>
      <c r="O103" s="402"/>
      <c r="P103" s="402"/>
      <c r="Q103" s="402"/>
      <c r="R103" s="402"/>
      <c r="S103" s="402"/>
      <c r="T103" s="402"/>
      <c r="U103" s="402"/>
      <c r="V103" s="402"/>
      <c r="W103" s="402"/>
      <c r="X103" s="402"/>
      <c r="Y103" s="402"/>
      <c r="Z103" s="402"/>
    </row>
    <row r="104" ht="14.25" customHeight="1">
      <c r="A104" s="402"/>
      <c r="B104" s="402"/>
      <c r="C104" s="402"/>
      <c r="D104" s="402"/>
      <c r="E104" s="402"/>
      <c r="F104" s="402"/>
      <c r="G104" s="402"/>
      <c r="H104" s="402"/>
      <c r="I104" s="402"/>
      <c r="J104" s="402"/>
      <c r="K104" s="736" t="str">
        <f t="shared" si="13"/>
        <v>FULLY PAID</v>
      </c>
      <c r="L104" s="402"/>
      <c r="M104" s="402"/>
      <c r="N104" s="402"/>
      <c r="O104" s="402"/>
      <c r="P104" s="402"/>
      <c r="Q104" s="402"/>
      <c r="R104" s="402"/>
      <c r="S104" s="402"/>
      <c r="T104" s="402"/>
      <c r="U104" s="402"/>
      <c r="V104" s="402"/>
      <c r="W104" s="402"/>
      <c r="X104" s="402"/>
      <c r="Y104" s="402"/>
      <c r="Z104" s="402"/>
    </row>
    <row r="105" ht="14.25" customHeight="1">
      <c r="A105" s="406">
        <v>45520.0</v>
      </c>
      <c r="B105" s="349" t="s">
        <v>4341</v>
      </c>
      <c r="C105" s="349" t="s">
        <v>4350</v>
      </c>
      <c r="D105" s="349" t="s">
        <v>439</v>
      </c>
      <c r="E105" s="349" t="s">
        <v>4335</v>
      </c>
      <c r="F105" s="349">
        <v>4000.0</v>
      </c>
      <c r="G105" s="349">
        <v>0.0</v>
      </c>
      <c r="H105" s="349" t="s">
        <v>4417</v>
      </c>
      <c r="I105" s="402"/>
      <c r="J105" s="402"/>
      <c r="K105" s="736" t="str">
        <f t="shared" si="13"/>
        <v>NOT PAID</v>
      </c>
      <c r="L105" s="402"/>
      <c r="M105" s="402"/>
      <c r="N105" s="402"/>
      <c r="O105" s="402"/>
      <c r="P105" s="402"/>
      <c r="Q105" s="402"/>
      <c r="R105" s="402"/>
      <c r="S105" s="402"/>
      <c r="T105" s="402"/>
      <c r="U105" s="402"/>
      <c r="V105" s="402"/>
      <c r="W105" s="402"/>
      <c r="X105" s="402"/>
      <c r="Y105" s="402"/>
      <c r="Z105" s="402"/>
    </row>
    <row r="106" ht="14.25" customHeight="1">
      <c r="A106" s="406">
        <v>45520.0</v>
      </c>
      <c r="B106" s="349" t="s">
        <v>4322</v>
      </c>
      <c r="C106" s="349" t="s">
        <v>4354</v>
      </c>
      <c r="D106" s="349" t="s">
        <v>439</v>
      </c>
      <c r="E106" s="349" t="s">
        <v>4335</v>
      </c>
      <c r="F106" s="349">
        <v>45000.0</v>
      </c>
      <c r="G106" s="349">
        <v>0.0</v>
      </c>
      <c r="H106" s="349" t="s">
        <v>4418</v>
      </c>
      <c r="I106" s="402"/>
      <c r="J106" s="402"/>
      <c r="K106" s="736" t="str">
        <f t="shared" si="13"/>
        <v>NOT PAID</v>
      </c>
      <c r="L106" s="402"/>
      <c r="M106" s="402"/>
      <c r="N106" s="402"/>
      <c r="O106" s="402"/>
      <c r="P106" s="402"/>
      <c r="Q106" s="402"/>
      <c r="R106" s="402"/>
      <c r="S106" s="402"/>
      <c r="T106" s="402"/>
      <c r="U106" s="402"/>
      <c r="V106" s="402"/>
      <c r="W106" s="402"/>
      <c r="X106" s="402"/>
      <c r="Y106" s="402"/>
      <c r="Z106" s="402"/>
    </row>
    <row r="107" ht="14.25" customHeight="1">
      <c r="A107" s="406">
        <v>45520.0</v>
      </c>
      <c r="B107" s="349" t="s">
        <v>4394</v>
      </c>
      <c r="C107" s="349" t="s">
        <v>4395</v>
      </c>
      <c r="D107" s="349" t="s">
        <v>439</v>
      </c>
      <c r="E107" s="349" t="s">
        <v>4335</v>
      </c>
      <c r="F107" s="683">
        <v>15000.0</v>
      </c>
      <c r="G107" s="349">
        <v>0.0</v>
      </c>
      <c r="H107" s="349" t="s">
        <v>772</v>
      </c>
      <c r="I107" s="402"/>
      <c r="J107" s="402"/>
      <c r="K107" s="736" t="str">
        <f t="shared" si="13"/>
        <v>NOT PAID</v>
      </c>
      <c r="L107" s="402"/>
      <c r="M107" s="402"/>
      <c r="N107" s="402"/>
      <c r="O107" s="402"/>
      <c r="P107" s="402"/>
      <c r="Q107" s="402"/>
      <c r="R107" s="402"/>
      <c r="S107" s="402"/>
      <c r="T107" s="402"/>
      <c r="U107" s="402"/>
      <c r="V107" s="402"/>
      <c r="W107" s="402"/>
      <c r="X107" s="402"/>
      <c r="Y107" s="402"/>
      <c r="Z107" s="402"/>
    </row>
    <row r="108" ht="14.25" customHeight="1">
      <c r="A108" s="406">
        <v>45520.0</v>
      </c>
      <c r="B108" s="349" t="s">
        <v>4419</v>
      </c>
      <c r="C108" s="349" t="s">
        <v>4420</v>
      </c>
      <c r="D108" s="349" t="s">
        <v>467</v>
      </c>
      <c r="E108" s="349" t="s">
        <v>4335</v>
      </c>
      <c r="F108" s="349">
        <v>9050.0</v>
      </c>
      <c r="G108" s="349">
        <v>9050.0</v>
      </c>
      <c r="H108" s="349" t="s">
        <v>3450</v>
      </c>
      <c r="I108" s="402"/>
      <c r="J108" s="402"/>
      <c r="K108" s="736" t="str">
        <f t="shared" si="13"/>
        <v>FULLY PAID</v>
      </c>
      <c r="L108" s="402"/>
      <c r="M108" s="402"/>
      <c r="N108" s="402"/>
      <c r="O108" s="402"/>
      <c r="P108" s="402"/>
      <c r="Q108" s="402"/>
      <c r="R108" s="402"/>
      <c r="S108" s="402"/>
      <c r="T108" s="402"/>
      <c r="U108" s="402"/>
      <c r="V108" s="402"/>
      <c r="W108" s="402"/>
      <c r="X108" s="402"/>
      <c r="Y108" s="402"/>
      <c r="Z108" s="402"/>
    </row>
    <row r="109" ht="14.25" customHeight="1">
      <c r="A109" s="406">
        <v>45520.0</v>
      </c>
      <c r="B109" s="349" t="s">
        <v>4421</v>
      </c>
      <c r="C109" s="349" t="s">
        <v>4422</v>
      </c>
      <c r="D109" s="349" t="s">
        <v>439</v>
      </c>
      <c r="E109" s="349" t="s">
        <v>4335</v>
      </c>
      <c r="F109" s="349">
        <v>259000.0</v>
      </c>
      <c r="G109" s="349">
        <v>263945.0</v>
      </c>
      <c r="H109" s="402"/>
      <c r="I109" s="402"/>
      <c r="J109" s="402"/>
      <c r="K109" s="736" t="str">
        <f t="shared" si="13"/>
        <v>FULLY PAID</v>
      </c>
      <c r="L109" s="402"/>
      <c r="M109" s="402"/>
      <c r="N109" s="402"/>
      <c r="O109" s="402"/>
      <c r="P109" s="402"/>
      <c r="Q109" s="402"/>
      <c r="R109" s="402"/>
      <c r="S109" s="402"/>
      <c r="T109" s="402"/>
      <c r="U109" s="402"/>
      <c r="V109" s="402"/>
      <c r="W109" s="402"/>
      <c r="X109" s="402"/>
      <c r="Y109" s="402"/>
      <c r="Z109" s="402"/>
    </row>
    <row r="110" ht="14.25" customHeight="1">
      <c r="A110" s="402"/>
      <c r="B110" s="402"/>
      <c r="C110" s="402"/>
      <c r="D110" s="402"/>
      <c r="E110" s="402"/>
      <c r="F110" s="402"/>
      <c r="G110" s="402"/>
      <c r="H110" s="402"/>
      <c r="I110" s="402"/>
      <c r="J110" s="402"/>
      <c r="K110" s="736"/>
      <c r="L110" s="402"/>
      <c r="M110" s="402"/>
      <c r="N110" s="402"/>
      <c r="O110" s="402"/>
      <c r="P110" s="402"/>
      <c r="Q110" s="402"/>
      <c r="R110" s="402"/>
      <c r="S110" s="402"/>
      <c r="T110" s="402"/>
      <c r="U110" s="402"/>
      <c r="V110" s="402"/>
      <c r="W110" s="402"/>
      <c r="X110" s="402"/>
      <c r="Y110" s="402"/>
      <c r="Z110" s="402"/>
    </row>
    <row r="111" ht="14.25" customHeight="1">
      <c r="A111" s="402"/>
      <c r="B111" s="402"/>
      <c r="C111" s="402"/>
      <c r="D111" s="402"/>
      <c r="E111" s="402"/>
      <c r="F111" s="402"/>
      <c r="G111" s="402"/>
      <c r="I111" s="402"/>
      <c r="J111" s="402"/>
      <c r="K111" s="736" t="str">
        <f t="shared" ref="K111:K114" si="14">IF(G111&gt;=F111,"FULLY PAID",IF(G111=0,"NOT PAID","PARTIALLY PAID"))</f>
        <v>FULLY PAID</v>
      </c>
      <c r="L111" s="402"/>
      <c r="M111" s="402"/>
      <c r="N111" s="402"/>
      <c r="O111" s="402"/>
      <c r="P111" s="402"/>
      <c r="Q111" s="402"/>
      <c r="R111" s="402"/>
      <c r="S111" s="402"/>
      <c r="T111" s="402"/>
      <c r="U111" s="402"/>
      <c r="V111" s="402"/>
      <c r="W111" s="402"/>
      <c r="X111" s="402"/>
      <c r="Y111" s="402"/>
      <c r="Z111" s="402"/>
    </row>
    <row r="112" ht="14.25" customHeight="1">
      <c r="A112" s="818">
        <v>45521.0</v>
      </c>
      <c r="B112" s="349" t="s">
        <v>4423</v>
      </c>
      <c r="C112" s="349" t="s">
        <v>4354</v>
      </c>
      <c r="D112" s="349" t="s">
        <v>439</v>
      </c>
      <c r="E112" s="349" t="s">
        <v>4335</v>
      </c>
      <c r="F112" s="683">
        <v>45000.0</v>
      </c>
      <c r="G112" s="402"/>
      <c r="H112" s="349" t="s">
        <v>4424</v>
      </c>
      <c r="I112" s="402"/>
      <c r="J112" s="402"/>
      <c r="K112" s="736" t="str">
        <f t="shared" si="14"/>
        <v>NOT PAID</v>
      </c>
      <c r="L112" s="402"/>
      <c r="M112" s="402"/>
      <c r="N112" s="402"/>
      <c r="O112" s="402"/>
      <c r="P112" s="402"/>
      <c r="Q112" s="402"/>
      <c r="R112" s="402"/>
      <c r="S112" s="402"/>
      <c r="T112" s="402"/>
      <c r="U112" s="402"/>
      <c r="V112" s="402"/>
      <c r="W112" s="402"/>
      <c r="X112" s="402"/>
      <c r="Y112" s="402"/>
      <c r="Z112" s="402"/>
    </row>
    <row r="113" ht="14.25" customHeight="1">
      <c r="A113" s="818">
        <v>45521.0</v>
      </c>
      <c r="B113" s="349" t="s">
        <v>4341</v>
      </c>
      <c r="C113" s="349" t="s">
        <v>4350</v>
      </c>
      <c r="D113" s="349" t="s">
        <v>439</v>
      </c>
      <c r="E113" s="349" t="s">
        <v>4335</v>
      </c>
      <c r="F113" s="683">
        <v>4500.0</v>
      </c>
      <c r="G113" s="402"/>
      <c r="H113" s="349" t="s">
        <v>4425</v>
      </c>
      <c r="I113" s="402"/>
      <c r="J113" s="402"/>
      <c r="K113" s="736" t="str">
        <f t="shared" si="14"/>
        <v>NOT PAID</v>
      </c>
      <c r="L113" s="402"/>
      <c r="M113" s="402"/>
      <c r="N113" s="402"/>
      <c r="O113" s="402"/>
      <c r="P113" s="402"/>
      <c r="Q113" s="402"/>
      <c r="R113" s="402"/>
      <c r="S113" s="402"/>
      <c r="T113" s="402"/>
      <c r="U113" s="402"/>
      <c r="V113" s="402"/>
      <c r="W113" s="402"/>
      <c r="X113" s="402"/>
      <c r="Y113" s="402"/>
      <c r="Z113" s="402"/>
    </row>
    <row r="114" ht="14.25" customHeight="1">
      <c r="A114" s="818">
        <v>45521.0</v>
      </c>
      <c r="B114" s="349" t="s">
        <v>4376</v>
      </c>
      <c r="C114" s="349" t="s">
        <v>3194</v>
      </c>
      <c r="D114" s="349" t="s">
        <v>439</v>
      </c>
      <c r="E114" s="349" t="s">
        <v>4335</v>
      </c>
      <c r="F114" s="683">
        <v>144000.0</v>
      </c>
      <c r="G114" s="402"/>
      <c r="H114" s="349" t="s">
        <v>4426</v>
      </c>
      <c r="I114" s="402"/>
      <c r="J114" s="402"/>
      <c r="K114" s="736" t="str">
        <f t="shared" si="14"/>
        <v>NOT PAID</v>
      </c>
      <c r="L114" s="402"/>
      <c r="M114" s="402"/>
      <c r="N114" s="402"/>
      <c r="O114" s="402"/>
      <c r="P114" s="402"/>
      <c r="Q114" s="402"/>
      <c r="R114" s="402"/>
      <c r="S114" s="402"/>
      <c r="T114" s="402"/>
      <c r="U114" s="402"/>
      <c r="V114" s="402"/>
      <c r="W114" s="402"/>
      <c r="X114" s="402"/>
      <c r="Y114" s="402"/>
      <c r="Z114" s="402"/>
    </row>
    <row r="115" ht="14.25" customHeight="1">
      <c r="A115" s="402"/>
      <c r="B115" s="402"/>
      <c r="C115" s="402"/>
      <c r="D115" s="402"/>
      <c r="E115" s="402"/>
      <c r="F115" s="402"/>
      <c r="G115" s="402"/>
      <c r="H115" s="402"/>
      <c r="I115" s="402"/>
      <c r="J115" s="402"/>
      <c r="K115" s="736"/>
      <c r="L115" s="402"/>
      <c r="M115" s="402"/>
      <c r="N115" s="402"/>
      <c r="O115" s="402"/>
      <c r="P115" s="402"/>
      <c r="Q115" s="402"/>
      <c r="R115" s="402"/>
      <c r="S115" s="402"/>
      <c r="T115" s="402"/>
      <c r="U115" s="402"/>
      <c r="V115" s="402"/>
      <c r="W115" s="402"/>
      <c r="X115" s="402"/>
      <c r="Y115" s="402"/>
      <c r="Z115" s="402"/>
    </row>
    <row r="116" ht="14.25" customHeight="1">
      <c r="A116" s="818">
        <v>45523.0</v>
      </c>
      <c r="B116" s="349" t="s">
        <v>4376</v>
      </c>
      <c r="C116" s="349" t="s">
        <v>3194</v>
      </c>
      <c r="D116" s="349" t="s">
        <v>439</v>
      </c>
      <c r="E116" s="349" t="s">
        <v>4335</v>
      </c>
      <c r="F116" s="683">
        <v>145000.0</v>
      </c>
      <c r="G116" s="402"/>
      <c r="H116" s="349" t="s">
        <v>4427</v>
      </c>
      <c r="I116" s="402"/>
      <c r="J116" s="402"/>
      <c r="K116" s="736" t="str">
        <f t="shared" ref="K116:K118" si="15">IF(G116&gt;=F116,"FULLY PAID",IF(G116=0,"NOT PAID","PARTIALLY PAID"))</f>
        <v>NOT PAID</v>
      </c>
      <c r="L116" s="402"/>
      <c r="M116" s="402"/>
      <c r="N116" s="402"/>
      <c r="O116" s="402"/>
      <c r="P116" s="402"/>
      <c r="Q116" s="402"/>
      <c r="R116" s="402"/>
      <c r="S116" s="402"/>
      <c r="T116" s="402"/>
      <c r="U116" s="402"/>
      <c r="V116" s="402"/>
      <c r="W116" s="402"/>
      <c r="X116" s="402"/>
      <c r="Y116" s="402"/>
      <c r="Z116" s="402"/>
    </row>
    <row r="117" ht="14.25" customHeight="1">
      <c r="A117" s="818">
        <v>45523.0</v>
      </c>
      <c r="B117" s="349" t="s">
        <v>4341</v>
      </c>
      <c r="C117" s="349" t="s">
        <v>4350</v>
      </c>
      <c r="D117" s="349" t="s">
        <v>439</v>
      </c>
      <c r="E117" s="349" t="s">
        <v>4335</v>
      </c>
      <c r="F117" s="683">
        <v>5000.0</v>
      </c>
      <c r="G117" s="349"/>
      <c r="H117" s="349" t="s">
        <v>4428</v>
      </c>
      <c r="I117" s="402"/>
      <c r="J117" s="402"/>
      <c r="K117" s="736" t="str">
        <f t="shared" si="15"/>
        <v>NOT PAID</v>
      </c>
      <c r="L117" s="402"/>
      <c r="M117" s="402"/>
      <c r="N117" s="402"/>
      <c r="O117" s="402"/>
      <c r="P117" s="402"/>
      <c r="Q117" s="402"/>
      <c r="R117" s="402"/>
      <c r="S117" s="402"/>
      <c r="T117" s="402"/>
      <c r="U117" s="402"/>
      <c r="V117" s="402"/>
      <c r="W117" s="402"/>
      <c r="X117" s="402"/>
      <c r="Y117" s="402"/>
      <c r="Z117" s="402"/>
    </row>
    <row r="118" ht="14.25" customHeight="1">
      <c r="A118" s="818">
        <v>45523.0</v>
      </c>
      <c r="B118" s="349" t="s">
        <v>4423</v>
      </c>
      <c r="C118" s="349" t="s">
        <v>4354</v>
      </c>
      <c r="D118" s="349" t="s">
        <v>439</v>
      </c>
      <c r="E118" s="349" t="s">
        <v>4335</v>
      </c>
      <c r="F118" s="683">
        <v>50000.0</v>
      </c>
      <c r="G118" s="402"/>
      <c r="H118" s="349" t="s">
        <v>4429</v>
      </c>
      <c r="I118" s="402"/>
      <c r="J118" s="402"/>
      <c r="K118" s="736" t="str">
        <f t="shared" si="15"/>
        <v>NOT PAID</v>
      </c>
      <c r="L118" s="402"/>
      <c r="M118" s="402"/>
      <c r="N118" s="402"/>
      <c r="O118" s="402"/>
      <c r="P118" s="402"/>
      <c r="Q118" s="402"/>
      <c r="R118" s="402"/>
      <c r="S118" s="402"/>
      <c r="T118" s="402"/>
      <c r="U118" s="402"/>
      <c r="V118" s="402"/>
      <c r="W118" s="402"/>
      <c r="X118" s="402"/>
      <c r="Y118" s="402"/>
      <c r="Z118" s="402"/>
    </row>
    <row r="119" ht="14.25" customHeight="1">
      <c r="A119" s="402"/>
      <c r="B119" s="402"/>
      <c r="C119" s="402"/>
      <c r="D119" s="402"/>
      <c r="E119" s="402"/>
      <c r="F119" s="402"/>
      <c r="G119" s="402"/>
      <c r="H119" s="402"/>
      <c r="I119" s="402"/>
      <c r="J119" s="402"/>
      <c r="K119" s="736"/>
      <c r="L119" s="402"/>
      <c r="M119" s="402"/>
      <c r="N119" s="402"/>
      <c r="O119" s="402"/>
      <c r="P119" s="402"/>
      <c r="Q119" s="402"/>
      <c r="R119" s="402"/>
      <c r="S119" s="402"/>
      <c r="T119" s="402"/>
      <c r="U119" s="402"/>
      <c r="V119" s="402"/>
      <c r="W119" s="402"/>
      <c r="X119" s="402"/>
      <c r="Y119" s="402"/>
      <c r="Z119" s="402"/>
    </row>
    <row r="120" ht="14.25" customHeight="1">
      <c r="A120" s="818">
        <v>45524.0</v>
      </c>
      <c r="B120" s="349" t="s">
        <v>4329</v>
      </c>
      <c r="C120" s="349" t="s">
        <v>4339</v>
      </c>
      <c r="D120" s="349" t="s">
        <v>439</v>
      </c>
      <c r="E120" s="349" t="s">
        <v>4335</v>
      </c>
      <c r="F120" s="683">
        <v>127000.0</v>
      </c>
      <c r="G120" s="349">
        <v>0.0</v>
      </c>
      <c r="H120" s="349" t="s">
        <v>4430</v>
      </c>
      <c r="I120" s="402"/>
      <c r="J120" s="402"/>
      <c r="K120" s="736"/>
      <c r="L120" s="402"/>
      <c r="M120" s="402"/>
      <c r="N120" s="402"/>
      <c r="O120" s="402"/>
      <c r="P120" s="402"/>
      <c r="Q120" s="402"/>
      <c r="R120" s="402"/>
      <c r="S120" s="402"/>
      <c r="T120" s="402"/>
      <c r="U120" s="402"/>
      <c r="V120" s="402"/>
      <c r="W120" s="402"/>
      <c r="X120" s="402"/>
      <c r="Y120" s="402"/>
      <c r="Z120" s="402"/>
    </row>
    <row r="121" ht="14.25" customHeight="1">
      <c r="A121" s="818">
        <v>45524.0</v>
      </c>
      <c r="B121" s="349" t="s">
        <v>4341</v>
      </c>
      <c r="C121" s="349" t="s">
        <v>4431</v>
      </c>
      <c r="D121" s="349" t="s">
        <v>439</v>
      </c>
      <c r="E121" s="349" t="s">
        <v>4335</v>
      </c>
      <c r="F121" s="349">
        <v>4000.0</v>
      </c>
      <c r="G121" s="349">
        <v>2000.0</v>
      </c>
      <c r="H121" s="349" t="s">
        <v>4432</v>
      </c>
      <c r="I121" s="402"/>
      <c r="J121" s="402"/>
      <c r="K121" s="736"/>
      <c r="L121" s="402"/>
      <c r="M121" s="402"/>
      <c r="N121" s="402"/>
      <c r="O121" s="402"/>
      <c r="P121" s="402"/>
      <c r="Q121" s="402"/>
      <c r="R121" s="402"/>
      <c r="S121" s="402"/>
      <c r="T121" s="402"/>
      <c r="U121" s="402"/>
      <c r="V121" s="402"/>
      <c r="W121" s="402"/>
      <c r="X121" s="402"/>
      <c r="Y121" s="402"/>
      <c r="Z121" s="402"/>
    </row>
    <row r="122" ht="14.25" customHeight="1">
      <c r="A122" s="402"/>
      <c r="B122" s="402"/>
      <c r="C122" s="402"/>
      <c r="D122" s="402"/>
      <c r="E122" s="402"/>
      <c r="F122" s="402"/>
      <c r="G122" s="402"/>
      <c r="H122" s="402"/>
      <c r="I122" s="402"/>
      <c r="J122" s="402"/>
      <c r="L122" s="402"/>
      <c r="M122" s="402"/>
      <c r="N122" s="402"/>
      <c r="O122" s="402"/>
      <c r="P122" s="402"/>
      <c r="Q122" s="402"/>
      <c r="R122" s="402"/>
      <c r="S122" s="402"/>
      <c r="T122" s="402"/>
      <c r="U122" s="402"/>
      <c r="V122" s="402"/>
      <c r="W122" s="402"/>
      <c r="X122" s="402"/>
      <c r="Y122" s="402"/>
      <c r="Z122" s="402"/>
    </row>
    <row r="123" ht="14.25" customHeight="1">
      <c r="A123" s="402"/>
      <c r="B123" s="402"/>
      <c r="C123" s="402"/>
      <c r="D123" s="402"/>
      <c r="E123" s="402"/>
      <c r="F123" s="402"/>
      <c r="G123" s="402"/>
      <c r="H123" s="402"/>
      <c r="I123" s="402"/>
      <c r="J123" s="402"/>
      <c r="K123" s="736"/>
      <c r="L123" s="402"/>
      <c r="M123" s="402"/>
      <c r="N123" s="402"/>
      <c r="O123" s="402"/>
      <c r="P123" s="402"/>
      <c r="Q123" s="402"/>
      <c r="R123" s="402"/>
      <c r="S123" s="402"/>
      <c r="T123" s="402"/>
      <c r="U123" s="402"/>
      <c r="V123" s="402"/>
      <c r="W123" s="402"/>
      <c r="X123" s="402"/>
      <c r="Y123" s="402"/>
      <c r="Z123" s="402"/>
    </row>
    <row r="124" ht="14.25" customHeight="1">
      <c r="A124" s="818">
        <v>45525.0</v>
      </c>
      <c r="B124" s="349" t="s">
        <v>4423</v>
      </c>
      <c r="C124" s="349" t="s">
        <v>4334</v>
      </c>
      <c r="D124" s="349" t="s">
        <v>4433</v>
      </c>
      <c r="E124" s="349" t="s">
        <v>4335</v>
      </c>
      <c r="F124" s="683">
        <v>56000.0</v>
      </c>
      <c r="G124" s="349">
        <v>0.0</v>
      </c>
      <c r="H124" s="349" t="s">
        <v>4434</v>
      </c>
      <c r="I124" s="402"/>
      <c r="J124" s="402"/>
      <c r="K124" s="736"/>
      <c r="L124" s="402"/>
      <c r="M124" s="402"/>
      <c r="N124" s="402"/>
      <c r="O124" s="402"/>
      <c r="P124" s="402"/>
      <c r="Q124" s="402"/>
      <c r="R124" s="402"/>
      <c r="S124" s="402"/>
      <c r="T124" s="402"/>
      <c r="U124" s="402"/>
      <c r="V124" s="402"/>
      <c r="W124" s="402"/>
      <c r="X124" s="402"/>
      <c r="Y124" s="402"/>
      <c r="Z124" s="402"/>
    </row>
    <row r="125" ht="14.25" customHeight="1">
      <c r="A125" s="818">
        <v>45525.0</v>
      </c>
      <c r="B125" s="349" t="s">
        <v>4329</v>
      </c>
      <c r="C125" s="349" t="s">
        <v>4435</v>
      </c>
      <c r="D125" s="349" t="s">
        <v>4433</v>
      </c>
      <c r="E125" s="349" t="s">
        <v>4335</v>
      </c>
      <c r="F125" s="683">
        <v>128000.0</v>
      </c>
      <c r="G125" s="349">
        <v>0.0</v>
      </c>
      <c r="H125" s="349" t="s">
        <v>4436</v>
      </c>
      <c r="I125" s="402"/>
      <c r="J125" s="402"/>
      <c r="K125" s="736"/>
      <c r="L125" s="402"/>
      <c r="M125" s="402"/>
      <c r="N125" s="402"/>
      <c r="O125" s="402"/>
      <c r="P125" s="402"/>
      <c r="Q125" s="402"/>
      <c r="R125" s="402"/>
      <c r="S125" s="402"/>
      <c r="T125" s="402"/>
      <c r="U125" s="402"/>
      <c r="V125" s="402"/>
      <c r="W125" s="402"/>
      <c r="X125" s="402"/>
      <c r="Y125" s="402"/>
      <c r="Z125" s="402"/>
    </row>
    <row r="126" ht="14.25" customHeight="1">
      <c r="A126" s="818">
        <v>45525.0</v>
      </c>
      <c r="B126" s="349" t="s">
        <v>4376</v>
      </c>
      <c r="C126" s="349" t="s">
        <v>3194</v>
      </c>
      <c r="D126" s="349" t="s">
        <v>4433</v>
      </c>
      <c r="E126" s="349" t="s">
        <v>4335</v>
      </c>
      <c r="F126" s="683">
        <v>145000.0</v>
      </c>
      <c r="G126" s="349">
        <v>0.0</v>
      </c>
      <c r="H126" s="65" t="s">
        <v>4437</v>
      </c>
      <c r="I126" s="402"/>
      <c r="J126" s="402"/>
      <c r="K126" s="736"/>
      <c r="L126" s="402"/>
      <c r="M126" s="402"/>
      <c r="N126" s="402"/>
      <c r="O126" s="402"/>
      <c r="P126" s="402"/>
      <c r="Q126" s="402"/>
      <c r="R126" s="402"/>
      <c r="S126" s="402"/>
      <c r="T126" s="402"/>
      <c r="U126" s="402"/>
      <c r="V126" s="402"/>
      <c r="W126" s="402"/>
      <c r="X126" s="402"/>
      <c r="Y126" s="402"/>
      <c r="Z126" s="402"/>
    </row>
    <row r="127" ht="14.25" customHeight="1">
      <c r="A127" s="818">
        <v>45525.0</v>
      </c>
      <c r="B127" s="349" t="s">
        <v>4341</v>
      </c>
      <c r="C127" s="349" t="s">
        <v>4350</v>
      </c>
      <c r="D127" s="349" t="s">
        <v>4433</v>
      </c>
      <c r="E127" s="349" t="s">
        <v>4335</v>
      </c>
      <c r="F127" s="683">
        <v>4000.0</v>
      </c>
      <c r="G127" s="349">
        <v>0.0</v>
      </c>
      <c r="H127" s="349" t="s">
        <v>4438</v>
      </c>
      <c r="I127" s="402"/>
      <c r="J127" s="402"/>
      <c r="K127" s="736"/>
      <c r="L127" s="402"/>
      <c r="M127" s="402"/>
      <c r="N127" s="402"/>
      <c r="O127" s="402"/>
      <c r="P127" s="402"/>
      <c r="Q127" s="402"/>
      <c r="R127" s="402"/>
      <c r="S127" s="402"/>
      <c r="T127" s="402"/>
      <c r="U127" s="402"/>
      <c r="V127" s="402"/>
      <c r="W127" s="402"/>
      <c r="X127" s="402"/>
      <c r="Y127" s="402"/>
      <c r="Z127" s="402"/>
    </row>
    <row r="128" ht="14.25" customHeight="1">
      <c r="A128" s="818">
        <v>45525.0</v>
      </c>
      <c r="B128" s="349" t="s">
        <v>4360</v>
      </c>
      <c r="C128" s="349" t="s">
        <v>4439</v>
      </c>
      <c r="D128" s="349" t="s">
        <v>4433</v>
      </c>
      <c r="E128" s="349" t="s">
        <v>4335</v>
      </c>
      <c r="F128" s="349">
        <v>3515.0</v>
      </c>
      <c r="G128" s="349">
        <v>0.0</v>
      </c>
      <c r="H128" s="349" t="s">
        <v>4440</v>
      </c>
      <c r="I128" s="402"/>
      <c r="J128" s="402"/>
      <c r="K128" s="736"/>
      <c r="L128" s="402"/>
      <c r="M128" s="402"/>
      <c r="N128" s="402"/>
      <c r="O128" s="402"/>
      <c r="P128" s="402"/>
      <c r="Q128" s="402"/>
      <c r="R128" s="402"/>
      <c r="S128" s="402"/>
      <c r="T128" s="402"/>
      <c r="U128" s="402"/>
      <c r="V128" s="402"/>
      <c r="W128" s="402"/>
      <c r="X128" s="402"/>
      <c r="Y128" s="402"/>
      <c r="Z128" s="402"/>
    </row>
    <row r="129" ht="14.25" customHeight="1">
      <c r="A129" s="402"/>
      <c r="B129" s="402"/>
      <c r="C129" s="402"/>
      <c r="D129" s="402"/>
      <c r="E129" s="402"/>
      <c r="F129" s="402"/>
      <c r="G129" s="402"/>
      <c r="H129" s="402"/>
      <c r="I129" s="402"/>
      <c r="J129" s="402"/>
      <c r="K129" s="736"/>
      <c r="L129" s="402"/>
      <c r="M129" s="402"/>
      <c r="N129" s="402"/>
      <c r="O129" s="402"/>
      <c r="P129" s="402"/>
      <c r="Q129" s="402"/>
      <c r="R129" s="402"/>
      <c r="S129" s="402"/>
      <c r="T129" s="402"/>
      <c r="U129" s="402"/>
      <c r="V129" s="402"/>
      <c r="W129" s="402"/>
      <c r="X129" s="402"/>
      <c r="Y129" s="402"/>
      <c r="Z129" s="402"/>
    </row>
    <row r="130" ht="14.25" customHeight="1">
      <c r="A130" s="818">
        <v>45526.0</v>
      </c>
      <c r="B130" s="349" t="s">
        <v>4360</v>
      </c>
      <c r="C130" s="349" t="s">
        <v>4359</v>
      </c>
      <c r="D130" s="349" t="s">
        <v>439</v>
      </c>
      <c r="E130" s="349" t="s">
        <v>4335</v>
      </c>
      <c r="F130" s="683">
        <v>3180.0</v>
      </c>
      <c r="G130" s="349">
        <v>0.0</v>
      </c>
      <c r="H130" s="349" t="s">
        <v>4441</v>
      </c>
      <c r="I130" s="402"/>
      <c r="J130" s="402"/>
      <c r="K130" s="736"/>
      <c r="L130" s="402"/>
      <c r="M130" s="402"/>
      <c r="N130" s="402"/>
      <c r="O130" s="402"/>
      <c r="P130" s="402"/>
      <c r="Q130" s="402"/>
      <c r="R130" s="402"/>
      <c r="S130" s="402"/>
      <c r="T130" s="402"/>
      <c r="U130" s="402"/>
      <c r="V130" s="402"/>
      <c r="W130" s="402"/>
      <c r="X130" s="402"/>
      <c r="Y130" s="402"/>
      <c r="Z130" s="402"/>
    </row>
    <row r="131" ht="14.25" customHeight="1">
      <c r="A131" s="818">
        <v>45526.0</v>
      </c>
      <c r="B131" s="349" t="s">
        <v>4358</v>
      </c>
      <c r="C131" s="349" t="s">
        <v>4359</v>
      </c>
      <c r="D131" s="349" t="s">
        <v>467</v>
      </c>
      <c r="E131" s="349" t="s">
        <v>4335</v>
      </c>
      <c r="F131" s="349">
        <v>314.0</v>
      </c>
      <c r="G131" s="349">
        <v>0.0</v>
      </c>
      <c r="H131" s="349" t="s">
        <v>4441</v>
      </c>
      <c r="I131" s="402"/>
      <c r="J131" s="402"/>
      <c r="K131" s="402"/>
      <c r="L131" s="402"/>
      <c r="M131" s="402"/>
      <c r="N131" s="402"/>
      <c r="O131" s="402"/>
      <c r="P131" s="402"/>
      <c r="Q131" s="402"/>
      <c r="R131" s="402"/>
      <c r="S131" s="402"/>
      <c r="T131" s="402"/>
      <c r="U131" s="402"/>
      <c r="V131" s="402"/>
      <c r="W131" s="402"/>
      <c r="X131" s="402"/>
      <c r="Y131" s="402"/>
      <c r="Z131" s="402"/>
    </row>
    <row r="132" ht="14.25" customHeight="1">
      <c r="A132" s="818">
        <v>45526.0</v>
      </c>
      <c r="B132" s="349" t="s">
        <v>4442</v>
      </c>
      <c r="C132" s="349" t="s">
        <v>3194</v>
      </c>
      <c r="D132" s="349" t="s">
        <v>439</v>
      </c>
      <c r="E132" s="349" t="s">
        <v>4335</v>
      </c>
      <c r="F132" s="683">
        <v>145000.0</v>
      </c>
      <c r="G132" s="349">
        <v>0.0</v>
      </c>
      <c r="H132" s="349" t="s">
        <v>4443</v>
      </c>
      <c r="I132" s="402"/>
      <c r="J132" s="402"/>
      <c r="K132" s="402"/>
      <c r="L132" s="402"/>
      <c r="M132" s="402"/>
      <c r="N132" s="402"/>
      <c r="O132" s="402"/>
      <c r="P132" s="402"/>
      <c r="Q132" s="402"/>
      <c r="R132" s="402"/>
      <c r="S132" s="402"/>
      <c r="T132" s="402"/>
      <c r="U132" s="402"/>
      <c r="V132" s="402"/>
      <c r="W132" s="402"/>
      <c r="X132" s="402"/>
      <c r="Y132" s="402"/>
      <c r="Z132" s="402"/>
    </row>
    <row r="133" ht="14.25" customHeight="1">
      <c r="A133" s="818">
        <v>45526.0</v>
      </c>
      <c r="B133" s="349" t="s">
        <v>4329</v>
      </c>
      <c r="C133" s="349" t="s">
        <v>4403</v>
      </c>
      <c r="D133" s="349" t="s">
        <v>439</v>
      </c>
      <c r="E133" s="349" t="s">
        <v>4335</v>
      </c>
      <c r="F133" s="683">
        <v>137000.0</v>
      </c>
      <c r="G133" s="349">
        <v>0.0</v>
      </c>
      <c r="I133" s="402"/>
      <c r="J133" s="402"/>
      <c r="K133" s="402"/>
      <c r="L133" s="402"/>
      <c r="M133" s="402"/>
      <c r="N133" s="402"/>
      <c r="O133" s="402"/>
      <c r="P133" s="402"/>
      <c r="Q133" s="402"/>
      <c r="R133" s="402"/>
      <c r="S133" s="402"/>
      <c r="T133" s="402"/>
      <c r="U133" s="402"/>
      <c r="V133" s="402"/>
      <c r="W133" s="402"/>
      <c r="X133" s="402"/>
      <c r="Y133" s="402"/>
      <c r="Z133" s="402"/>
    </row>
    <row r="134" ht="14.25" customHeight="1">
      <c r="A134" s="818">
        <v>45526.0</v>
      </c>
      <c r="B134" s="349" t="s">
        <v>4341</v>
      </c>
      <c r="C134" s="349" t="s">
        <v>4350</v>
      </c>
      <c r="D134" s="349" t="s">
        <v>439</v>
      </c>
      <c r="E134" s="349" t="s">
        <v>4335</v>
      </c>
      <c r="F134" s="349">
        <v>4000.0</v>
      </c>
      <c r="G134" s="349">
        <v>0.0</v>
      </c>
      <c r="H134" s="349" t="s">
        <v>4444</v>
      </c>
      <c r="I134" s="402"/>
      <c r="J134" s="402"/>
      <c r="K134" s="402"/>
      <c r="L134" s="402"/>
      <c r="M134" s="402"/>
      <c r="N134" s="402"/>
      <c r="O134" s="402"/>
      <c r="P134" s="402"/>
      <c r="Q134" s="402"/>
      <c r="R134" s="402"/>
      <c r="S134" s="402"/>
      <c r="T134" s="402"/>
      <c r="U134" s="402"/>
      <c r="V134" s="402"/>
      <c r="W134" s="402"/>
      <c r="X134" s="402"/>
      <c r="Y134" s="402"/>
      <c r="Z134" s="402"/>
    </row>
    <row r="135" ht="14.25" customHeight="1">
      <c r="A135" s="402"/>
      <c r="B135" s="402"/>
      <c r="C135" s="402"/>
      <c r="D135" s="40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row>
    <row r="136" ht="14.25" customHeight="1">
      <c r="A136" s="818">
        <v>45527.0</v>
      </c>
      <c r="B136" s="349" t="s">
        <v>4423</v>
      </c>
      <c r="C136" s="349" t="s">
        <v>4354</v>
      </c>
      <c r="D136" s="349" t="s">
        <v>439</v>
      </c>
      <c r="E136" s="349" t="s">
        <v>4335</v>
      </c>
      <c r="F136" s="683">
        <v>57000.0</v>
      </c>
      <c r="G136" s="349">
        <v>0.0</v>
      </c>
      <c r="H136" s="349" t="s">
        <v>4445</v>
      </c>
      <c r="I136" s="402"/>
      <c r="J136" s="402"/>
      <c r="K136" s="402"/>
      <c r="L136" s="402"/>
      <c r="M136" s="402"/>
      <c r="N136" s="402"/>
      <c r="O136" s="402"/>
      <c r="P136" s="402"/>
      <c r="Q136" s="402"/>
      <c r="R136" s="402"/>
      <c r="S136" s="402"/>
      <c r="T136" s="402"/>
      <c r="U136" s="402"/>
      <c r="V136" s="402"/>
      <c r="W136" s="402"/>
      <c r="X136" s="402"/>
      <c r="Y136" s="402"/>
      <c r="Z136" s="402"/>
    </row>
    <row r="137" ht="14.25" customHeight="1">
      <c r="A137" s="818">
        <v>45527.0</v>
      </c>
      <c r="B137" s="349" t="s">
        <v>4360</v>
      </c>
      <c r="C137" s="349" t="s">
        <v>4359</v>
      </c>
      <c r="D137" s="349" t="s">
        <v>439</v>
      </c>
      <c r="E137" s="349" t="s">
        <v>4335</v>
      </c>
      <c r="F137" s="349">
        <v>3180.0</v>
      </c>
      <c r="G137" s="349">
        <v>0.0</v>
      </c>
      <c r="H137" s="349" t="s">
        <v>4446</v>
      </c>
      <c r="I137" s="402"/>
      <c r="J137" s="402"/>
      <c r="K137" s="402"/>
      <c r="L137" s="402"/>
      <c r="M137" s="402"/>
      <c r="N137" s="402"/>
      <c r="O137" s="402"/>
      <c r="P137" s="402"/>
      <c r="Q137" s="402"/>
      <c r="R137" s="402"/>
      <c r="S137" s="402"/>
      <c r="T137" s="402"/>
      <c r="U137" s="402"/>
      <c r="V137" s="402"/>
      <c r="W137" s="402"/>
      <c r="X137" s="402"/>
      <c r="Y137" s="402"/>
      <c r="Z137" s="402"/>
    </row>
    <row r="138" ht="14.25" customHeight="1">
      <c r="A138" s="818">
        <v>45527.0</v>
      </c>
      <c r="B138" s="349" t="s">
        <v>4358</v>
      </c>
      <c r="C138" s="349" t="s">
        <v>4359</v>
      </c>
      <c r="D138" s="349" t="s">
        <v>4447</v>
      </c>
      <c r="E138" s="349" t="s">
        <v>4335</v>
      </c>
      <c r="F138" s="349">
        <v>315.0</v>
      </c>
      <c r="G138" s="349">
        <v>0.0</v>
      </c>
      <c r="H138" s="349" t="s">
        <v>4446</v>
      </c>
      <c r="I138" s="402"/>
      <c r="J138" s="402"/>
      <c r="K138" s="402"/>
      <c r="L138" s="402"/>
      <c r="M138" s="402"/>
      <c r="N138" s="402"/>
      <c r="O138" s="402"/>
      <c r="P138" s="402"/>
      <c r="Q138" s="402"/>
      <c r="R138" s="402"/>
      <c r="S138" s="402"/>
      <c r="T138" s="402"/>
      <c r="U138" s="402"/>
      <c r="V138" s="402"/>
      <c r="W138" s="402"/>
      <c r="X138" s="402"/>
      <c r="Y138" s="402"/>
      <c r="Z138" s="402"/>
    </row>
    <row r="139" ht="14.25" customHeight="1">
      <c r="A139" s="818">
        <v>45527.0</v>
      </c>
      <c r="B139" s="349" t="s">
        <v>4341</v>
      </c>
      <c r="C139" s="349" t="s">
        <v>4350</v>
      </c>
      <c r="D139" s="349" t="s">
        <v>439</v>
      </c>
      <c r="E139" s="349" t="s">
        <v>4335</v>
      </c>
      <c r="F139" s="349">
        <v>4000.0</v>
      </c>
      <c r="G139" s="349">
        <v>0.0</v>
      </c>
      <c r="H139" s="349" t="s">
        <v>4448</v>
      </c>
      <c r="I139" s="402"/>
      <c r="J139" s="402"/>
      <c r="K139" s="402"/>
      <c r="L139" s="402"/>
      <c r="M139" s="402"/>
      <c r="N139" s="402"/>
      <c r="O139" s="402"/>
      <c r="P139" s="402"/>
      <c r="Q139" s="402"/>
      <c r="R139" s="402"/>
      <c r="S139" s="402"/>
      <c r="T139" s="402"/>
      <c r="U139" s="402"/>
      <c r="V139" s="402"/>
      <c r="W139" s="402"/>
      <c r="X139" s="402"/>
      <c r="Y139" s="402"/>
      <c r="Z139" s="402"/>
    </row>
    <row r="140" ht="14.25" customHeight="1">
      <c r="A140" s="818">
        <v>45527.0</v>
      </c>
      <c r="B140" s="349" t="s">
        <v>4329</v>
      </c>
      <c r="C140" s="349" t="s">
        <v>4403</v>
      </c>
      <c r="D140" s="349" t="s">
        <v>439</v>
      </c>
      <c r="E140" s="349" t="s">
        <v>4335</v>
      </c>
      <c r="F140" s="683">
        <v>137000.0</v>
      </c>
      <c r="G140" s="349">
        <v>0.0</v>
      </c>
      <c r="H140" s="349" t="s">
        <v>4445</v>
      </c>
      <c r="I140" s="402"/>
      <c r="J140" s="402"/>
      <c r="K140" s="402"/>
      <c r="L140" s="402"/>
      <c r="M140" s="402"/>
      <c r="N140" s="402"/>
      <c r="O140" s="402"/>
      <c r="P140" s="402"/>
      <c r="Q140" s="402"/>
      <c r="R140" s="402"/>
      <c r="S140" s="402"/>
      <c r="T140" s="402"/>
      <c r="U140" s="402"/>
      <c r="V140" s="402"/>
      <c r="W140" s="402"/>
      <c r="X140" s="402"/>
      <c r="Y140" s="402"/>
      <c r="Z140" s="402"/>
    </row>
    <row r="141" ht="14.25" customHeight="1">
      <c r="A141" s="818">
        <v>45527.0</v>
      </c>
      <c r="B141" s="349" t="s">
        <v>4390</v>
      </c>
      <c r="C141" s="349" t="s">
        <v>4413</v>
      </c>
      <c r="D141" s="349" t="s">
        <v>439</v>
      </c>
      <c r="E141" s="349" t="s">
        <v>4335</v>
      </c>
      <c r="F141" s="683">
        <v>65000.0</v>
      </c>
      <c r="G141" s="349">
        <v>0.0</v>
      </c>
      <c r="H141" s="349" t="s">
        <v>4449</v>
      </c>
      <c r="I141" s="402"/>
      <c r="J141" s="402"/>
      <c r="K141" s="402"/>
      <c r="L141" s="402"/>
      <c r="M141" s="402"/>
      <c r="N141" s="402"/>
      <c r="O141" s="402"/>
      <c r="P141" s="402"/>
      <c r="Q141" s="402"/>
      <c r="R141" s="402"/>
      <c r="S141" s="402"/>
      <c r="T141" s="402"/>
      <c r="U141" s="402"/>
      <c r="V141" s="402"/>
      <c r="W141" s="402"/>
      <c r="X141" s="402"/>
      <c r="Y141" s="402"/>
      <c r="Z141" s="402"/>
    </row>
    <row r="142" ht="14.25" customHeight="1">
      <c r="A142" s="402"/>
      <c r="B142" s="402"/>
      <c r="C142" s="402"/>
      <c r="D142" s="40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row>
    <row r="143" ht="14.25" customHeight="1">
      <c r="A143" s="818">
        <v>45528.0</v>
      </c>
      <c r="B143" s="349" t="s">
        <v>4329</v>
      </c>
      <c r="C143" s="349" t="s">
        <v>4450</v>
      </c>
      <c r="D143" s="349" t="s">
        <v>439</v>
      </c>
      <c r="E143" s="349" t="s">
        <v>4335</v>
      </c>
      <c r="F143" s="819">
        <v>137000.0</v>
      </c>
      <c r="G143" s="349">
        <v>0.0</v>
      </c>
      <c r="H143" s="349" t="s">
        <v>4451</v>
      </c>
      <c r="I143" s="402"/>
      <c r="J143" s="402"/>
      <c r="K143" s="402"/>
      <c r="L143" s="402"/>
      <c r="M143" s="402"/>
      <c r="N143" s="402"/>
      <c r="O143" s="402"/>
      <c r="P143" s="402"/>
      <c r="Q143" s="402"/>
      <c r="R143" s="402"/>
      <c r="S143" s="402"/>
      <c r="T143" s="402"/>
      <c r="U143" s="402"/>
      <c r="V143" s="402"/>
      <c r="W143" s="402"/>
      <c r="X143" s="402"/>
      <c r="Y143" s="402"/>
      <c r="Z143" s="402"/>
    </row>
    <row r="144" ht="14.25" customHeight="1">
      <c r="A144" s="818">
        <v>45528.0</v>
      </c>
      <c r="B144" s="349" t="s">
        <v>4452</v>
      </c>
      <c r="C144" s="349" t="s">
        <v>4364</v>
      </c>
      <c r="D144" s="349" t="s">
        <v>439</v>
      </c>
      <c r="E144" s="349" t="s">
        <v>4335</v>
      </c>
      <c r="F144" s="819">
        <v>102414.0</v>
      </c>
      <c r="G144" s="402"/>
      <c r="H144" s="349" t="s">
        <v>4453</v>
      </c>
      <c r="I144" s="402"/>
      <c r="J144" s="402"/>
      <c r="K144" s="402"/>
      <c r="L144" s="402"/>
      <c r="M144" s="402"/>
      <c r="N144" s="402"/>
      <c r="O144" s="402"/>
      <c r="P144" s="402"/>
      <c r="Q144" s="402"/>
      <c r="R144" s="402"/>
      <c r="S144" s="402"/>
      <c r="T144" s="402"/>
      <c r="U144" s="402"/>
      <c r="V144" s="402"/>
      <c r="W144" s="402"/>
      <c r="X144" s="402"/>
      <c r="Y144" s="402"/>
      <c r="Z144" s="402"/>
    </row>
    <row r="145" ht="14.25" customHeight="1">
      <c r="A145" s="818">
        <v>45528.0</v>
      </c>
      <c r="B145" s="349" t="s">
        <v>4360</v>
      </c>
      <c r="C145" s="349" t="s">
        <v>4359</v>
      </c>
      <c r="D145" s="349" t="s">
        <v>439</v>
      </c>
      <c r="E145" s="349" t="s">
        <v>4335</v>
      </c>
      <c r="F145" s="819">
        <v>3180.0</v>
      </c>
      <c r="G145" s="402"/>
      <c r="H145" s="349" t="s">
        <v>4454</v>
      </c>
      <c r="I145" s="402"/>
      <c r="J145" s="402"/>
      <c r="K145" s="402"/>
      <c r="L145" s="402"/>
      <c r="M145" s="402"/>
      <c r="N145" s="402"/>
      <c r="O145" s="402"/>
      <c r="P145" s="402"/>
      <c r="Q145" s="402"/>
      <c r="R145" s="402"/>
      <c r="S145" s="402"/>
      <c r="T145" s="402"/>
      <c r="U145" s="402"/>
      <c r="V145" s="402"/>
      <c r="W145" s="402"/>
      <c r="X145" s="402"/>
      <c r="Y145" s="402"/>
      <c r="Z145" s="402"/>
    </row>
    <row r="146" ht="14.25" customHeight="1">
      <c r="A146" s="818">
        <v>45528.0</v>
      </c>
      <c r="B146" s="349" t="s">
        <v>4358</v>
      </c>
      <c r="C146" s="349" t="s">
        <v>4359</v>
      </c>
      <c r="D146" s="349" t="s">
        <v>467</v>
      </c>
      <c r="E146" s="349" t="s">
        <v>4335</v>
      </c>
      <c r="F146" s="819">
        <v>314.0</v>
      </c>
      <c r="G146" s="402"/>
      <c r="H146" s="349" t="s">
        <v>4454</v>
      </c>
      <c r="I146" s="402"/>
      <c r="J146" s="402"/>
      <c r="K146" s="402"/>
      <c r="L146" s="402"/>
      <c r="M146" s="402"/>
      <c r="N146" s="402"/>
      <c r="O146" s="402"/>
      <c r="P146" s="402"/>
      <c r="Q146" s="402"/>
      <c r="R146" s="402"/>
      <c r="S146" s="402"/>
      <c r="T146" s="402"/>
      <c r="U146" s="402"/>
      <c r="V146" s="402"/>
      <c r="W146" s="402"/>
      <c r="X146" s="402"/>
      <c r="Y146" s="402"/>
      <c r="Z146" s="402"/>
    </row>
    <row r="147" ht="14.25" customHeight="1">
      <c r="A147" s="818">
        <v>45528.0</v>
      </c>
      <c r="B147" s="349" t="s">
        <v>4423</v>
      </c>
      <c r="C147" s="349" t="s">
        <v>4354</v>
      </c>
      <c r="D147" s="349" t="s">
        <v>439</v>
      </c>
      <c r="E147" s="349" t="s">
        <v>4335</v>
      </c>
      <c r="F147" s="819">
        <v>57000.0</v>
      </c>
      <c r="G147" s="402"/>
      <c r="H147" s="349" t="s">
        <v>4455</v>
      </c>
      <c r="I147" s="402"/>
      <c r="J147" s="402"/>
      <c r="K147" s="402"/>
      <c r="L147" s="402"/>
      <c r="M147" s="402"/>
      <c r="N147" s="402"/>
      <c r="O147" s="402"/>
      <c r="P147" s="402"/>
      <c r="Q147" s="402"/>
      <c r="R147" s="402"/>
      <c r="S147" s="402"/>
      <c r="T147" s="402"/>
      <c r="U147" s="402"/>
      <c r="V147" s="402"/>
      <c r="W147" s="402"/>
      <c r="X147" s="402"/>
      <c r="Y147" s="402"/>
      <c r="Z147" s="402"/>
    </row>
    <row r="148" ht="14.25" customHeight="1">
      <c r="A148" s="402"/>
      <c r="B148" s="402"/>
      <c r="C148" s="402"/>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row>
    <row r="149" ht="14.25" customHeight="1">
      <c r="A149" s="402"/>
      <c r="B149" s="402"/>
      <c r="C149" s="402"/>
      <c r="D149" s="40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row>
    <row r="150" ht="14.25" customHeight="1">
      <c r="A150" s="818">
        <v>45530.0</v>
      </c>
      <c r="B150" s="349" t="s">
        <v>4423</v>
      </c>
      <c r="C150" s="349" t="s">
        <v>4334</v>
      </c>
      <c r="D150" s="349" t="s">
        <v>439</v>
      </c>
      <c r="E150" s="349" t="s">
        <v>4335</v>
      </c>
      <c r="F150" s="683">
        <v>57000.0</v>
      </c>
      <c r="G150" s="683">
        <v>10000.0</v>
      </c>
      <c r="H150" s="349" t="s">
        <v>4456</v>
      </c>
      <c r="I150" s="402"/>
      <c r="J150" s="402"/>
      <c r="K150" s="402"/>
      <c r="L150" s="402"/>
      <c r="M150" s="402"/>
      <c r="N150" s="402"/>
      <c r="O150" s="402"/>
      <c r="P150" s="402"/>
      <c r="Q150" s="402"/>
      <c r="R150" s="402"/>
      <c r="S150" s="402"/>
      <c r="T150" s="402"/>
      <c r="U150" s="402"/>
      <c r="V150" s="402"/>
      <c r="W150" s="402"/>
      <c r="X150" s="402"/>
      <c r="Y150" s="402"/>
      <c r="Z150" s="402"/>
    </row>
    <row r="151" ht="14.25" customHeight="1">
      <c r="A151" s="818">
        <v>45530.0</v>
      </c>
      <c r="B151" s="349" t="s">
        <v>4452</v>
      </c>
      <c r="C151" s="349" t="s">
        <v>4457</v>
      </c>
      <c r="D151" s="349" t="s">
        <v>439</v>
      </c>
      <c r="E151" s="349" t="s">
        <v>4335</v>
      </c>
      <c r="F151" s="683">
        <v>102414.0</v>
      </c>
      <c r="G151" s="349">
        <v>0.0</v>
      </c>
      <c r="H151" s="349" t="s">
        <v>4458</v>
      </c>
      <c r="I151" s="402"/>
      <c r="J151" s="402"/>
      <c r="K151" s="402"/>
      <c r="L151" s="402"/>
      <c r="M151" s="402"/>
      <c r="N151" s="402"/>
      <c r="O151" s="402"/>
      <c r="P151" s="402"/>
      <c r="Q151" s="402"/>
      <c r="R151" s="402"/>
      <c r="S151" s="402"/>
      <c r="T151" s="402"/>
      <c r="U151" s="402"/>
      <c r="V151" s="402"/>
      <c r="W151" s="402"/>
      <c r="X151" s="402"/>
      <c r="Y151" s="402"/>
      <c r="Z151" s="402"/>
    </row>
    <row r="152" ht="14.25" customHeight="1">
      <c r="A152" s="818">
        <v>45530.0</v>
      </c>
      <c r="B152" s="349" t="s">
        <v>4341</v>
      </c>
      <c r="C152" s="349" t="s">
        <v>4367</v>
      </c>
      <c r="D152" s="349" t="s">
        <v>439</v>
      </c>
      <c r="E152" s="349" t="s">
        <v>4335</v>
      </c>
      <c r="F152" s="683">
        <v>20000.0</v>
      </c>
      <c r="G152" s="349">
        <v>0.0</v>
      </c>
      <c r="H152" s="349" t="s">
        <v>4459</v>
      </c>
      <c r="I152" s="402"/>
      <c r="J152" s="402"/>
      <c r="K152" s="402"/>
      <c r="L152" s="402"/>
      <c r="M152" s="402"/>
      <c r="N152" s="402"/>
      <c r="O152" s="402"/>
      <c r="P152" s="402"/>
      <c r="Q152" s="402"/>
      <c r="R152" s="402"/>
      <c r="S152" s="402"/>
      <c r="T152" s="402"/>
      <c r="U152" s="402"/>
      <c r="V152" s="402"/>
      <c r="W152" s="402"/>
      <c r="X152" s="402"/>
      <c r="Y152" s="402"/>
      <c r="Z152" s="402"/>
    </row>
    <row r="153" ht="14.25" customHeight="1">
      <c r="A153" s="818">
        <v>45530.0</v>
      </c>
      <c r="B153" s="349" t="s">
        <v>4329</v>
      </c>
      <c r="C153" s="349" t="s">
        <v>4403</v>
      </c>
      <c r="D153" s="349" t="s">
        <v>439</v>
      </c>
      <c r="E153" s="349" t="s">
        <v>4335</v>
      </c>
      <c r="F153" s="683">
        <v>137000.0</v>
      </c>
      <c r="G153" s="349">
        <v>0.0</v>
      </c>
      <c r="H153" s="349" t="s">
        <v>4460</v>
      </c>
      <c r="I153" s="402"/>
      <c r="J153" s="402"/>
      <c r="K153" s="402"/>
      <c r="L153" s="402"/>
      <c r="M153" s="402"/>
      <c r="N153" s="402"/>
      <c r="O153" s="402"/>
      <c r="P153" s="402"/>
      <c r="Q153" s="402"/>
      <c r="R153" s="402"/>
      <c r="S153" s="402"/>
      <c r="T153" s="402"/>
      <c r="U153" s="402"/>
      <c r="V153" s="402"/>
      <c r="W153" s="402"/>
      <c r="X153" s="402"/>
      <c r="Y153" s="402"/>
      <c r="Z153" s="402"/>
    </row>
    <row r="154" ht="14.25" customHeight="1">
      <c r="A154" s="406">
        <v>45530.0</v>
      </c>
      <c r="B154" s="745" t="s">
        <v>4394</v>
      </c>
      <c r="C154" s="578" t="s">
        <v>4395</v>
      </c>
      <c r="D154" s="820" t="s">
        <v>54</v>
      </c>
      <c r="E154" s="349" t="s">
        <v>4335</v>
      </c>
      <c r="F154" s="758">
        <v>39634.8</v>
      </c>
      <c r="G154" s="821">
        <v>21500.0</v>
      </c>
      <c r="H154" s="349" t="s">
        <v>4461</v>
      </c>
      <c r="I154" s="402"/>
      <c r="J154" s="402"/>
      <c r="K154" s="402"/>
      <c r="L154" s="402"/>
      <c r="M154" s="402"/>
      <c r="N154" s="402"/>
      <c r="O154" s="402"/>
      <c r="P154" s="402"/>
      <c r="Q154" s="402"/>
      <c r="R154" s="402"/>
      <c r="S154" s="402"/>
      <c r="T154" s="402"/>
      <c r="U154" s="402"/>
      <c r="V154" s="402"/>
      <c r="W154" s="402"/>
      <c r="X154" s="402"/>
      <c r="Y154" s="402"/>
      <c r="Z154" s="402"/>
    </row>
    <row r="155" ht="14.25" customHeight="1">
      <c r="A155" s="402"/>
      <c r="B155" s="402"/>
      <c r="C155" s="402"/>
      <c r="D155" s="40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row>
    <row r="156" ht="14.25" customHeight="1">
      <c r="A156" s="818">
        <v>45531.0</v>
      </c>
      <c r="B156" s="349" t="s">
        <v>4322</v>
      </c>
      <c r="C156" s="349" t="s">
        <v>4334</v>
      </c>
      <c r="D156" s="349" t="s">
        <v>439</v>
      </c>
      <c r="E156" s="349" t="s">
        <v>4335</v>
      </c>
      <c r="F156" s="349">
        <v>43400.0</v>
      </c>
      <c r="G156" s="683">
        <v>44000.0</v>
      </c>
      <c r="H156" s="349" t="s">
        <v>4462</v>
      </c>
      <c r="I156" s="402"/>
      <c r="J156" s="402"/>
      <c r="K156" s="402"/>
      <c r="L156" s="402"/>
      <c r="M156" s="402"/>
      <c r="N156" s="402"/>
      <c r="O156" s="402"/>
      <c r="P156" s="402"/>
      <c r="Q156" s="402"/>
      <c r="R156" s="402"/>
      <c r="S156" s="402"/>
      <c r="T156" s="402"/>
      <c r="U156" s="402"/>
      <c r="V156" s="402"/>
      <c r="W156" s="402"/>
      <c r="X156" s="402"/>
      <c r="Y156" s="402"/>
      <c r="Z156" s="402"/>
    </row>
    <row r="157" ht="14.25" customHeight="1">
      <c r="A157" s="818">
        <v>45531.0</v>
      </c>
      <c r="B157" s="349" t="s">
        <v>4452</v>
      </c>
      <c r="C157" s="349" t="s">
        <v>4457</v>
      </c>
      <c r="D157" s="349" t="s">
        <v>439</v>
      </c>
      <c r="E157" s="349" t="s">
        <v>4335</v>
      </c>
      <c r="F157" s="349">
        <v>107500.0</v>
      </c>
      <c r="G157" s="349">
        <v>0.0</v>
      </c>
      <c r="H157" s="349" t="s">
        <v>4463</v>
      </c>
      <c r="I157" s="402"/>
      <c r="J157" s="402"/>
      <c r="K157" s="402"/>
      <c r="L157" s="402"/>
      <c r="M157" s="402"/>
      <c r="N157" s="402"/>
      <c r="O157" s="402"/>
      <c r="P157" s="402"/>
      <c r="Q157" s="402"/>
      <c r="R157" s="402"/>
      <c r="S157" s="402"/>
      <c r="T157" s="402"/>
      <c r="U157" s="402"/>
      <c r="V157" s="402"/>
      <c r="W157" s="402"/>
      <c r="X157" s="402"/>
      <c r="Y157" s="402"/>
      <c r="Z157" s="402"/>
    </row>
    <row r="158" ht="14.25" customHeight="1">
      <c r="A158" s="818">
        <v>45531.0</v>
      </c>
      <c r="B158" s="349" t="s">
        <v>4341</v>
      </c>
      <c r="C158" s="349" t="s">
        <v>4350</v>
      </c>
      <c r="D158" s="349" t="s">
        <v>439</v>
      </c>
      <c r="E158" s="349" t="s">
        <v>4335</v>
      </c>
      <c r="F158" s="683">
        <v>54000.0</v>
      </c>
      <c r="G158" s="349">
        <v>0.0</v>
      </c>
      <c r="H158" s="349" t="s">
        <v>4464</v>
      </c>
      <c r="I158" s="402"/>
      <c r="J158" s="402"/>
      <c r="K158" s="402"/>
      <c r="L158" s="402"/>
      <c r="M158" s="402"/>
      <c r="N158" s="402"/>
      <c r="O158" s="402"/>
      <c r="P158" s="402"/>
      <c r="Q158" s="402"/>
      <c r="R158" s="402"/>
      <c r="S158" s="402"/>
      <c r="T158" s="402"/>
      <c r="U158" s="402"/>
      <c r="V158" s="402"/>
      <c r="W158" s="402"/>
      <c r="X158" s="402"/>
      <c r="Y158" s="402"/>
      <c r="Z158" s="402"/>
    </row>
    <row r="159" ht="14.25" customHeight="1">
      <c r="A159" s="818">
        <v>45531.0</v>
      </c>
      <c r="B159" s="349" t="s">
        <v>4360</v>
      </c>
      <c r="C159" s="349" t="s">
        <v>4465</v>
      </c>
      <c r="D159" s="349" t="s">
        <v>439</v>
      </c>
      <c r="E159" s="349" t="s">
        <v>4335</v>
      </c>
      <c r="F159" s="349">
        <v>3180.0</v>
      </c>
      <c r="G159" s="402"/>
      <c r="H159" s="349" t="s">
        <v>4466</v>
      </c>
      <c r="I159" s="402"/>
      <c r="J159" s="402"/>
      <c r="K159" s="402"/>
      <c r="L159" s="402"/>
      <c r="M159" s="402"/>
      <c r="N159" s="402"/>
      <c r="O159" s="402"/>
      <c r="P159" s="402"/>
      <c r="Q159" s="402"/>
      <c r="R159" s="402"/>
      <c r="S159" s="402"/>
      <c r="T159" s="402"/>
      <c r="U159" s="402"/>
      <c r="V159" s="402"/>
      <c r="W159" s="402"/>
      <c r="X159" s="402"/>
      <c r="Y159" s="402"/>
      <c r="Z159" s="402"/>
    </row>
    <row r="160" ht="14.25" customHeight="1">
      <c r="A160" s="818">
        <v>45531.0</v>
      </c>
      <c r="B160" s="349" t="s">
        <v>4358</v>
      </c>
      <c r="C160" s="349" t="s">
        <v>4465</v>
      </c>
      <c r="D160" s="349" t="s">
        <v>467</v>
      </c>
      <c r="E160" s="349" t="s">
        <v>4335</v>
      </c>
      <c r="F160" s="349">
        <v>315.0</v>
      </c>
      <c r="G160" s="402"/>
      <c r="H160" s="349" t="s">
        <v>4466</v>
      </c>
      <c r="I160" s="402"/>
      <c r="J160" s="402"/>
      <c r="K160" s="402"/>
      <c r="L160" s="402"/>
      <c r="M160" s="402"/>
      <c r="N160" s="402"/>
      <c r="O160" s="402"/>
      <c r="P160" s="402"/>
      <c r="Q160" s="402"/>
      <c r="R160" s="402"/>
      <c r="S160" s="402"/>
      <c r="T160" s="402"/>
      <c r="U160" s="402"/>
      <c r="V160" s="402"/>
      <c r="W160" s="402"/>
      <c r="X160" s="402"/>
      <c r="Y160" s="402"/>
      <c r="Z160" s="402"/>
    </row>
    <row r="161" ht="14.25" customHeight="1">
      <c r="A161" s="402"/>
      <c r="B161" s="402"/>
      <c r="C161" s="402"/>
      <c r="D161" s="40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row>
    <row r="162" ht="14.25" customHeight="1">
      <c r="A162" s="818">
        <v>45532.0</v>
      </c>
      <c r="B162" s="349" t="s">
        <v>4467</v>
      </c>
      <c r="C162" s="349" t="s">
        <v>4457</v>
      </c>
      <c r="D162" s="349" t="s">
        <v>439</v>
      </c>
      <c r="E162" s="349" t="s">
        <v>4335</v>
      </c>
      <c r="F162" s="683">
        <v>107535.0</v>
      </c>
      <c r="G162" s="683">
        <v>107535.0</v>
      </c>
      <c r="H162" s="349" t="s">
        <v>4468</v>
      </c>
      <c r="I162" s="402"/>
      <c r="J162" s="402"/>
      <c r="K162" s="402"/>
      <c r="L162" s="402"/>
      <c r="M162" s="402"/>
      <c r="N162" s="402"/>
      <c r="O162" s="402"/>
      <c r="P162" s="402"/>
      <c r="Q162" s="402"/>
      <c r="R162" s="402"/>
      <c r="S162" s="402"/>
      <c r="T162" s="402"/>
      <c r="U162" s="402"/>
      <c r="V162" s="402"/>
      <c r="W162" s="402"/>
      <c r="X162" s="402"/>
      <c r="Y162" s="402"/>
      <c r="Z162" s="402"/>
    </row>
    <row r="163" ht="14.25" customHeight="1">
      <c r="A163" s="818">
        <v>45532.0</v>
      </c>
      <c r="B163" s="349" t="s">
        <v>4360</v>
      </c>
      <c r="C163" s="349" t="s">
        <v>4359</v>
      </c>
      <c r="D163" s="349" t="s">
        <v>439</v>
      </c>
      <c r="E163" s="349" t="s">
        <v>4335</v>
      </c>
      <c r="F163" s="349">
        <v>44685.0</v>
      </c>
      <c r="G163" s="683">
        <v>44685.0</v>
      </c>
      <c r="H163" s="349" t="s">
        <v>8</v>
      </c>
      <c r="I163" s="402"/>
      <c r="J163" s="402"/>
      <c r="K163" s="402"/>
      <c r="L163" s="402"/>
      <c r="M163" s="402"/>
      <c r="N163" s="402"/>
      <c r="O163" s="402"/>
      <c r="P163" s="402"/>
      <c r="Q163" s="402"/>
      <c r="R163" s="402"/>
      <c r="S163" s="402"/>
      <c r="T163" s="402"/>
      <c r="U163" s="402"/>
      <c r="V163" s="402"/>
      <c r="W163" s="402"/>
      <c r="X163" s="402"/>
      <c r="Y163" s="402"/>
      <c r="Z163" s="402"/>
    </row>
    <row r="164" ht="14.25" customHeight="1">
      <c r="A164" s="818">
        <v>45532.0</v>
      </c>
      <c r="B164" s="349" t="s">
        <v>4358</v>
      </c>
      <c r="C164" s="349" t="s">
        <v>4359</v>
      </c>
      <c r="D164" s="349" t="s">
        <v>467</v>
      </c>
      <c r="E164" s="349" t="s">
        <v>4335</v>
      </c>
      <c r="F164" s="349">
        <v>315.0</v>
      </c>
      <c r="G164" s="349">
        <v>315.0</v>
      </c>
      <c r="H164" s="349" t="s">
        <v>8</v>
      </c>
      <c r="I164" s="402"/>
      <c r="J164" s="402"/>
      <c r="K164" s="402"/>
      <c r="L164" s="402"/>
      <c r="M164" s="402"/>
      <c r="N164" s="402"/>
      <c r="O164" s="402"/>
      <c r="P164" s="402"/>
      <c r="Q164" s="402"/>
      <c r="R164" s="402"/>
      <c r="S164" s="402"/>
      <c r="T164" s="402"/>
      <c r="U164" s="402"/>
      <c r="V164" s="402"/>
      <c r="W164" s="402"/>
      <c r="X164" s="402"/>
      <c r="Y164" s="402"/>
      <c r="Z164" s="402"/>
    </row>
    <row r="165" ht="14.25" customHeight="1">
      <c r="A165" s="818">
        <v>45532.0</v>
      </c>
      <c r="B165" s="349" t="s">
        <v>4341</v>
      </c>
      <c r="C165" s="349" t="s">
        <v>4350</v>
      </c>
      <c r="D165" s="349" t="s">
        <v>439</v>
      </c>
      <c r="E165" s="349" t="s">
        <v>4335</v>
      </c>
      <c r="F165" s="349">
        <v>37252.0</v>
      </c>
      <c r="G165" s="683">
        <v>5000.0</v>
      </c>
      <c r="H165" s="349" t="s">
        <v>4469</v>
      </c>
      <c r="I165" s="402"/>
      <c r="J165" s="402"/>
      <c r="K165" s="402"/>
      <c r="L165" s="402"/>
      <c r="M165" s="402"/>
      <c r="N165" s="402"/>
      <c r="O165" s="402"/>
      <c r="P165" s="402"/>
      <c r="Q165" s="402"/>
      <c r="R165" s="402"/>
      <c r="S165" s="402"/>
      <c r="T165" s="402"/>
      <c r="U165" s="402"/>
      <c r="V165" s="402"/>
      <c r="W165" s="402"/>
      <c r="X165" s="402"/>
      <c r="Y165" s="402"/>
      <c r="Z165" s="402"/>
    </row>
    <row r="166" ht="14.25" customHeight="1">
      <c r="A166" s="818">
        <v>45532.0</v>
      </c>
      <c r="B166" s="349" t="s">
        <v>4329</v>
      </c>
      <c r="C166" s="349" t="s">
        <v>4403</v>
      </c>
      <c r="D166" s="349" t="s">
        <v>439</v>
      </c>
      <c r="E166" s="349" t="s">
        <v>4335</v>
      </c>
      <c r="F166" s="683">
        <v>137000.0</v>
      </c>
      <c r="G166" s="349">
        <v>0.0</v>
      </c>
      <c r="H166" s="349" t="s">
        <v>4470</v>
      </c>
      <c r="I166" s="402"/>
      <c r="J166" s="402"/>
      <c r="K166" s="402"/>
      <c r="L166" s="402"/>
      <c r="M166" s="402"/>
      <c r="N166" s="402"/>
      <c r="O166" s="402"/>
      <c r="P166" s="402"/>
      <c r="Q166" s="402"/>
      <c r="R166" s="402"/>
      <c r="S166" s="402"/>
      <c r="T166" s="402"/>
      <c r="U166" s="402"/>
      <c r="V166" s="402"/>
      <c r="W166" s="402"/>
      <c r="X166" s="402"/>
      <c r="Y166" s="402"/>
      <c r="Z166" s="402"/>
    </row>
    <row r="167" ht="14.25" customHeight="1">
      <c r="A167" s="402"/>
      <c r="B167" s="402"/>
      <c r="C167" s="402"/>
      <c r="D167" s="40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row>
    <row r="168" ht="14.25" customHeight="1">
      <c r="A168" s="818">
        <v>45533.0</v>
      </c>
      <c r="B168" s="349" t="s">
        <v>4376</v>
      </c>
      <c r="C168" s="349" t="s">
        <v>4471</v>
      </c>
      <c r="D168" s="349" t="s">
        <v>439</v>
      </c>
      <c r="E168" s="349" t="s">
        <v>4335</v>
      </c>
      <c r="F168" s="683">
        <v>145000.0</v>
      </c>
      <c r="G168" s="349">
        <v>0.0</v>
      </c>
      <c r="H168" s="349" t="s">
        <v>4472</v>
      </c>
      <c r="I168" s="402"/>
      <c r="J168" s="402"/>
      <c r="K168" s="402"/>
      <c r="L168" s="402"/>
      <c r="M168" s="402"/>
      <c r="N168" s="402"/>
      <c r="O168" s="402"/>
      <c r="P168" s="402"/>
      <c r="Q168" s="402"/>
      <c r="R168" s="402"/>
      <c r="S168" s="402"/>
      <c r="T168" s="402"/>
      <c r="U168" s="402"/>
      <c r="V168" s="402"/>
      <c r="W168" s="402"/>
      <c r="X168" s="402"/>
      <c r="Y168" s="402"/>
      <c r="Z168" s="402"/>
    </row>
    <row r="169" ht="14.25" customHeight="1">
      <c r="A169" s="818">
        <v>45533.0</v>
      </c>
      <c r="B169" s="349" t="s">
        <v>4329</v>
      </c>
      <c r="C169" s="349" t="s">
        <v>4403</v>
      </c>
      <c r="D169" s="349" t="s">
        <v>439</v>
      </c>
      <c r="E169" s="349" t="s">
        <v>4335</v>
      </c>
      <c r="F169" s="683">
        <v>137000.0</v>
      </c>
      <c r="G169" s="349">
        <v>0.0</v>
      </c>
      <c r="H169" s="349" t="s">
        <v>4473</v>
      </c>
      <c r="I169" s="402"/>
      <c r="J169" s="402"/>
      <c r="K169" s="402"/>
      <c r="L169" s="402"/>
      <c r="M169" s="402"/>
      <c r="N169" s="402"/>
      <c r="O169" s="402"/>
      <c r="P169" s="402"/>
      <c r="Q169" s="402"/>
      <c r="R169" s="402"/>
      <c r="S169" s="402"/>
      <c r="T169" s="402"/>
      <c r="U169" s="402"/>
      <c r="V169" s="402"/>
      <c r="W169" s="402"/>
      <c r="X169" s="402"/>
      <c r="Y169" s="402"/>
      <c r="Z169" s="402"/>
    </row>
    <row r="170" ht="14.25" customHeight="1">
      <c r="A170" s="818">
        <v>45533.0</v>
      </c>
      <c r="B170" s="349" t="s">
        <v>4341</v>
      </c>
      <c r="C170" s="349" t="s">
        <v>4350</v>
      </c>
      <c r="D170" s="349" t="s">
        <v>439</v>
      </c>
      <c r="E170" s="349" t="s">
        <v>4335</v>
      </c>
      <c r="F170" s="349">
        <v>5000.0</v>
      </c>
      <c r="G170" s="349">
        <v>4000.0</v>
      </c>
      <c r="H170" s="349" t="s">
        <v>4474</v>
      </c>
      <c r="I170" s="402"/>
      <c r="J170" s="402"/>
      <c r="K170" s="402"/>
      <c r="L170" s="402"/>
      <c r="M170" s="402"/>
      <c r="N170" s="402"/>
      <c r="O170" s="402"/>
      <c r="P170" s="402"/>
      <c r="Q170" s="402"/>
      <c r="R170" s="402"/>
      <c r="S170" s="402"/>
      <c r="T170" s="402"/>
      <c r="U170" s="402"/>
      <c r="V170" s="402"/>
      <c r="W170" s="402"/>
      <c r="X170" s="402"/>
      <c r="Y170" s="402"/>
      <c r="Z170" s="402"/>
    </row>
    <row r="171" ht="14.25" customHeight="1">
      <c r="A171" s="402"/>
      <c r="B171" s="402"/>
      <c r="C171" s="402"/>
      <c r="D171" s="40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row>
    <row r="172" ht="14.25" customHeight="1">
      <c r="A172" s="818">
        <v>45534.0</v>
      </c>
      <c r="B172" s="349" t="s">
        <v>4475</v>
      </c>
      <c r="C172" s="349" t="s">
        <v>4364</v>
      </c>
      <c r="D172" s="349" t="s">
        <v>4476</v>
      </c>
      <c r="E172" s="349" t="s">
        <v>4335</v>
      </c>
      <c r="F172" s="683">
        <v>92000.0</v>
      </c>
      <c r="G172" s="683">
        <v>92000.0</v>
      </c>
      <c r="H172" s="349" t="s">
        <v>4477</v>
      </c>
      <c r="I172" s="402"/>
      <c r="J172" s="402"/>
      <c r="K172" s="402"/>
      <c r="L172" s="402"/>
      <c r="M172" s="402"/>
      <c r="N172" s="402"/>
      <c r="O172" s="402"/>
      <c r="P172" s="402"/>
      <c r="Q172" s="402"/>
      <c r="R172" s="402"/>
      <c r="S172" s="402"/>
      <c r="T172" s="402"/>
      <c r="U172" s="402"/>
      <c r="V172" s="402"/>
      <c r="W172" s="402"/>
      <c r="X172" s="402"/>
      <c r="Y172" s="402"/>
      <c r="Z172" s="402"/>
    </row>
    <row r="173" ht="14.25" customHeight="1">
      <c r="A173" s="818">
        <v>45534.0</v>
      </c>
      <c r="B173" s="349" t="s">
        <v>4358</v>
      </c>
      <c r="C173" s="349" t="s">
        <v>4359</v>
      </c>
      <c r="D173" s="349" t="s">
        <v>467</v>
      </c>
      <c r="E173" s="349" t="s">
        <v>4335</v>
      </c>
      <c r="F173" s="413">
        <v>8845.0</v>
      </c>
      <c r="G173" s="349">
        <v>0.0</v>
      </c>
      <c r="H173" s="349" t="s">
        <v>4336</v>
      </c>
      <c r="I173" s="402"/>
      <c r="J173" s="402"/>
      <c r="K173" s="402"/>
      <c r="L173" s="402"/>
      <c r="M173" s="402"/>
      <c r="N173" s="402"/>
      <c r="O173" s="402"/>
      <c r="P173" s="402"/>
      <c r="Q173" s="402"/>
      <c r="R173" s="402"/>
      <c r="S173" s="402"/>
      <c r="T173" s="402"/>
      <c r="U173" s="402"/>
      <c r="V173" s="402"/>
      <c r="W173" s="402"/>
      <c r="X173" s="402"/>
      <c r="Y173" s="402"/>
      <c r="Z173" s="402"/>
    </row>
    <row r="174" ht="14.25" customHeight="1">
      <c r="A174" s="818">
        <v>45534.0</v>
      </c>
      <c r="B174" s="349" t="s">
        <v>4329</v>
      </c>
      <c r="C174" s="349" t="s">
        <v>4403</v>
      </c>
      <c r="D174" s="349" t="s">
        <v>439</v>
      </c>
      <c r="E174" s="349" t="s">
        <v>4335</v>
      </c>
      <c r="F174" s="683">
        <v>147000.0</v>
      </c>
      <c r="G174" s="349">
        <v>0.0</v>
      </c>
      <c r="H174" s="349" t="s">
        <v>4478</v>
      </c>
      <c r="I174" s="402"/>
      <c r="J174" s="402"/>
      <c r="K174" s="402"/>
      <c r="L174" s="402"/>
      <c r="M174" s="402"/>
      <c r="N174" s="402"/>
      <c r="O174" s="402"/>
      <c r="P174" s="402"/>
      <c r="Q174" s="402"/>
      <c r="R174" s="402"/>
      <c r="S174" s="402"/>
      <c r="T174" s="402"/>
      <c r="U174" s="402"/>
      <c r="V174" s="402"/>
      <c r="W174" s="402"/>
      <c r="X174" s="402"/>
      <c r="Y174" s="402"/>
      <c r="Z174" s="402"/>
    </row>
    <row r="175" ht="14.25" customHeight="1">
      <c r="A175" s="818"/>
      <c r="B175" s="349"/>
      <c r="C175" s="349"/>
      <c r="D175" s="349"/>
      <c r="E175" s="349"/>
      <c r="F175" s="349"/>
      <c r="G175" s="402"/>
      <c r="H175" s="402"/>
      <c r="I175" s="402"/>
      <c r="J175" s="402"/>
      <c r="K175" s="402"/>
      <c r="L175" s="402"/>
      <c r="M175" s="402"/>
      <c r="N175" s="402"/>
      <c r="O175" s="402"/>
      <c r="P175" s="402"/>
      <c r="Q175" s="402"/>
      <c r="R175" s="402"/>
      <c r="S175" s="402"/>
      <c r="T175" s="402"/>
      <c r="U175" s="402"/>
      <c r="V175" s="402"/>
      <c r="W175" s="402"/>
      <c r="X175" s="402"/>
      <c r="Y175" s="402"/>
      <c r="Z175" s="402"/>
    </row>
    <row r="176" ht="14.25" customHeight="1">
      <c r="A176" s="406">
        <v>45535.0</v>
      </c>
      <c r="B176" s="349" t="s">
        <v>4329</v>
      </c>
      <c r="C176" s="349" t="s">
        <v>4388</v>
      </c>
      <c r="D176" s="349" t="s">
        <v>439</v>
      </c>
      <c r="E176" s="349" t="s">
        <v>4335</v>
      </c>
      <c r="F176" s="683">
        <v>147000.0</v>
      </c>
      <c r="G176" s="349">
        <v>0.0</v>
      </c>
      <c r="H176" s="349" t="s">
        <v>4479</v>
      </c>
      <c r="I176" s="402"/>
      <c r="J176" s="402"/>
      <c r="K176" s="402"/>
      <c r="L176" s="402"/>
      <c r="M176" s="402"/>
      <c r="N176" s="402"/>
      <c r="O176" s="402"/>
      <c r="P176" s="402"/>
      <c r="Q176" s="402"/>
      <c r="R176" s="402"/>
      <c r="S176" s="402"/>
      <c r="T176" s="402"/>
      <c r="U176" s="402"/>
      <c r="V176" s="402"/>
      <c r="W176" s="402"/>
      <c r="X176" s="402"/>
      <c r="Y176" s="402"/>
      <c r="Z176" s="402"/>
    </row>
    <row r="177" ht="14.25" customHeight="1">
      <c r="A177" s="818">
        <v>45535.0</v>
      </c>
      <c r="B177" s="349" t="s">
        <v>4341</v>
      </c>
      <c r="C177" s="349" t="s">
        <v>4350</v>
      </c>
      <c r="D177" s="349" t="s">
        <v>439</v>
      </c>
      <c r="E177" s="349" t="s">
        <v>4335</v>
      </c>
      <c r="F177" s="349">
        <v>5000.0</v>
      </c>
      <c r="G177" s="349">
        <v>0.0</v>
      </c>
      <c r="H177" s="349" t="s">
        <v>4480</v>
      </c>
      <c r="I177" s="402"/>
      <c r="J177" s="402"/>
      <c r="K177" s="402"/>
      <c r="L177" s="402"/>
      <c r="M177" s="402"/>
      <c r="N177" s="402"/>
      <c r="O177" s="402"/>
      <c r="P177" s="402"/>
      <c r="Q177" s="402"/>
      <c r="R177" s="402"/>
      <c r="S177" s="402"/>
      <c r="T177" s="402"/>
      <c r="U177" s="402"/>
      <c r="V177" s="402"/>
      <c r="W177" s="402"/>
      <c r="X177" s="402"/>
      <c r="Y177" s="402"/>
      <c r="Z177" s="402"/>
    </row>
    <row r="178" ht="14.25" customHeight="1">
      <c r="A178" s="818">
        <v>45535.0</v>
      </c>
      <c r="B178" s="349" t="s">
        <v>4376</v>
      </c>
      <c r="C178" s="349" t="s">
        <v>3194</v>
      </c>
      <c r="D178" s="349" t="s">
        <v>439</v>
      </c>
      <c r="E178" s="349" t="s">
        <v>4335</v>
      </c>
      <c r="F178" s="683">
        <v>145000.0</v>
      </c>
      <c r="G178" s="349">
        <v>0.0</v>
      </c>
      <c r="H178" s="349" t="s">
        <v>4481</v>
      </c>
      <c r="I178" s="402"/>
      <c r="J178" s="402"/>
      <c r="K178" s="402"/>
      <c r="L178" s="402"/>
      <c r="M178" s="402"/>
      <c r="N178" s="402"/>
      <c r="O178" s="402"/>
      <c r="P178" s="402"/>
      <c r="Q178" s="402"/>
      <c r="R178" s="402"/>
      <c r="S178" s="402"/>
      <c r="T178" s="402"/>
      <c r="U178" s="402"/>
      <c r="V178" s="402"/>
      <c r="W178" s="402"/>
      <c r="X178" s="402"/>
      <c r="Y178" s="402"/>
      <c r="Z178" s="402"/>
    </row>
    <row r="179" ht="14.25" customHeight="1">
      <c r="A179" s="402"/>
      <c r="B179" s="402"/>
      <c r="C179" s="402"/>
      <c r="D179" s="40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row>
    <row r="180" ht="14.25" customHeight="1">
      <c r="A180" s="406">
        <v>45537.0</v>
      </c>
      <c r="B180" s="349" t="s">
        <v>4341</v>
      </c>
      <c r="C180" s="349" t="s">
        <v>4350</v>
      </c>
      <c r="D180" s="349" t="s">
        <v>439</v>
      </c>
      <c r="E180" s="349" t="s">
        <v>4335</v>
      </c>
      <c r="F180" s="349">
        <v>5000.0</v>
      </c>
      <c r="G180" s="349">
        <v>0.0</v>
      </c>
      <c r="H180" s="349" t="s">
        <v>4482</v>
      </c>
      <c r="I180" s="402"/>
      <c r="J180" s="402"/>
      <c r="K180" s="402"/>
      <c r="L180" s="402"/>
      <c r="M180" s="402"/>
      <c r="N180" s="402"/>
      <c r="O180" s="402"/>
      <c r="P180" s="402"/>
      <c r="Q180" s="402"/>
      <c r="R180" s="402"/>
      <c r="S180" s="402"/>
      <c r="T180" s="402"/>
      <c r="U180" s="402"/>
      <c r="V180" s="402"/>
      <c r="W180" s="402"/>
      <c r="X180" s="402"/>
      <c r="Y180" s="402"/>
      <c r="Z180" s="402"/>
    </row>
    <row r="181" ht="14.25" customHeight="1">
      <c r="A181" s="406">
        <v>45537.0</v>
      </c>
      <c r="B181" s="349" t="s">
        <v>4329</v>
      </c>
      <c r="C181" s="349" t="s">
        <v>4403</v>
      </c>
      <c r="D181" s="349" t="s">
        <v>439</v>
      </c>
      <c r="E181" s="349" t="s">
        <v>4335</v>
      </c>
      <c r="F181" s="349">
        <v>147000.0</v>
      </c>
      <c r="G181" s="683">
        <v>30000.0</v>
      </c>
      <c r="H181" s="349" t="s">
        <v>4483</v>
      </c>
      <c r="I181" s="402"/>
      <c r="J181" s="402"/>
      <c r="K181" s="402"/>
      <c r="L181" s="402"/>
      <c r="M181" s="402"/>
      <c r="N181" s="402"/>
      <c r="O181" s="402"/>
      <c r="P181" s="402"/>
      <c r="Q181" s="402"/>
      <c r="R181" s="402"/>
      <c r="S181" s="402"/>
      <c r="T181" s="402"/>
      <c r="U181" s="402"/>
      <c r="V181" s="402"/>
      <c r="W181" s="402"/>
      <c r="X181" s="402"/>
      <c r="Y181" s="402"/>
      <c r="Z181" s="402"/>
    </row>
    <row r="182" ht="14.25" customHeight="1">
      <c r="A182" s="406">
        <v>45537.0</v>
      </c>
      <c r="B182" s="349" t="s">
        <v>4376</v>
      </c>
      <c r="C182" s="349" t="s">
        <v>3194</v>
      </c>
      <c r="D182" s="349" t="s">
        <v>439</v>
      </c>
      <c r="E182" s="349" t="s">
        <v>4335</v>
      </c>
      <c r="F182" s="683">
        <v>145000.0</v>
      </c>
      <c r="G182" s="349">
        <v>0.0</v>
      </c>
      <c r="H182" s="349" t="s">
        <v>4484</v>
      </c>
      <c r="I182" s="402"/>
      <c r="J182" s="402"/>
      <c r="K182" s="402"/>
      <c r="L182" s="402"/>
      <c r="M182" s="402"/>
      <c r="N182" s="402"/>
      <c r="O182" s="402"/>
      <c r="P182" s="402"/>
      <c r="Q182" s="402"/>
      <c r="R182" s="402"/>
      <c r="S182" s="402"/>
      <c r="T182" s="402"/>
      <c r="U182" s="402"/>
      <c r="V182" s="402"/>
      <c r="W182" s="402"/>
      <c r="X182" s="402"/>
      <c r="Y182" s="402"/>
      <c r="Z182" s="402"/>
    </row>
    <row r="183" ht="14.25" customHeight="1">
      <c r="A183" s="406"/>
      <c r="B183" s="402"/>
      <c r="C183" s="402"/>
      <c r="D183" s="40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row>
    <row r="184" ht="14.25" customHeight="1">
      <c r="A184" s="406">
        <v>45538.0</v>
      </c>
      <c r="B184" s="349" t="s">
        <v>4329</v>
      </c>
      <c r="C184" s="349" t="s">
        <v>4403</v>
      </c>
      <c r="D184" s="349" t="s">
        <v>439</v>
      </c>
      <c r="E184" s="349" t="s">
        <v>4335</v>
      </c>
      <c r="F184" s="683">
        <v>50000.0</v>
      </c>
      <c r="G184" s="402"/>
      <c r="H184" s="402"/>
      <c r="I184" s="402"/>
      <c r="J184" s="402"/>
      <c r="K184" s="402"/>
      <c r="L184" s="402"/>
      <c r="M184" s="402"/>
      <c r="N184" s="402"/>
      <c r="O184" s="402"/>
      <c r="P184" s="402"/>
      <c r="Q184" s="402"/>
      <c r="R184" s="402"/>
      <c r="S184" s="402"/>
      <c r="T184" s="402"/>
      <c r="U184" s="402"/>
      <c r="V184" s="402"/>
      <c r="W184" s="402"/>
      <c r="X184" s="402"/>
      <c r="Y184" s="402"/>
      <c r="Z184" s="402"/>
    </row>
    <row r="185" ht="14.25" customHeight="1">
      <c r="A185" s="406">
        <v>45538.0</v>
      </c>
      <c r="B185" s="349" t="s">
        <v>4341</v>
      </c>
      <c r="C185" s="349" t="s">
        <v>4350</v>
      </c>
      <c r="D185" s="349" t="s">
        <v>439</v>
      </c>
      <c r="E185" s="349" t="s">
        <v>4335</v>
      </c>
      <c r="F185" s="349">
        <v>5000.0</v>
      </c>
      <c r="G185" s="402"/>
      <c r="H185" s="402"/>
      <c r="I185" s="402"/>
      <c r="J185" s="402"/>
      <c r="K185" s="402"/>
      <c r="L185" s="402"/>
      <c r="M185" s="402"/>
      <c r="N185" s="402"/>
      <c r="O185" s="402"/>
      <c r="P185" s="402"/>
      <c r="Q185" s="402"/>
      <c r="R185" s="402"/>
      <c r="S185" s="402"/>
      <c r="T185" s="402"/>
      <c r="U185" s="402"/>
      <c r="V185" s="402"/>
      <c r="W185" s="402"/>
      <c r="X185" s="402"/>
      <c r="Y185" s="402"/>
      <c r="Z185" s="402"/>
    </row>
    <row r="186" ht="14.25" customHeight="1">
      <c r="A186" s="406">
        <v>45538.0</v>
      </c>
      <c r="B186" s="349" t="s">
        <v>4376</v>
      </c>
      <c r="C186" s="349" t="s">
        <v>3194</v>
      </c>
      <c r="D186" s="349" t="s">
        <v>439</v>
      </c>
      <c r="E186" s="349" t="s">
        <v>4335</v>
      </c>
      <c r="F186" s="683">
        <v>145000.0</v>
      </c>
      <c r="G186" s="402"/>
      <c r="H186" s="402"/>
      <c r="I186" s="402"/>
      <c r="J186" s="402"/>
      <c r="K186" s="402"/>
      <c r="L186" s="402"/>
      <c r="M186" s="402"/>
      <c r="N186" s="402"/>
      <c r="O186" s="402"/>
      <c r="P186" s="402"/>
      <c r="Q186" s="402"/>
      <c r="R186" s="402"/>
      <c r="S186" s="402"/>
      <c r="T186" s="402"/>
      <c r="U186" s="402"/>
      <c r="V186" s="402"/>
      <c r="W186" s="402"/>
      <c r="X186" s="402"/>
      <c r="Y186" s="402"/>
      <c r="Z186" s="402"/>
    </row>
    <row r="187" ht="14.25" customHeight="1">
      <c r="A187" s="402"/>
      <c r="B187" s="402"/>
      <c r="C187" s="402"/>
      <c r="D187" s="40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row>
    <row r="188" ht="14.25" customHeight="1">
      <c r="A188" s="402"/>
      <c r="B188" s="402"/>
      <c r="C188" s="402"/>
      <c r="D188" s="40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row>
    <row r="189" ht="14.25" customHeight="1">
      <c r="A189" s="402"/>
      <c r="B189" s="402"/>
      <c r="C189" s="402"/>
      <c r="D189" s="40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row>
    <row r="190" ht="14.25" customHeight="1">
      <c r="A190" s="402"/>
      <c r="B190" s="402"/>
      <c r="C190" s="402"/>
      <c r="D190" s="40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row>
    <row r="191" ht="14.25" customHeight="1">
      <c r="A191" s="402"/>
      <c r="B191" s="402"/>
      <c r="C191" s="402"/>
      <c r="D191" s="40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row>
    <row r="192" ht="14.25" customHeight="1">
      <c r="A192" s="402"/>
      <c r="B192" s="402"/>
      <c r="C192" s="402"/>
      <c r="D192" s="40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row>
    <row r="193" ht="14.25" customHeight="1">
      <c r="A193" s="402"/>
      <c r="B193" s="402"/>
      <c r="C193" s="402"/>
      <c r="D193" s="40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row>
    <row r="194" ht="14.25" customHeight="1">
      <c r="A194" s="402"/>
      <c r="B194" s="402"/>
      <c r="C194" s="402"/>
      <c r="D194" s="40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row>
    <row r="195" ht="14.25" customHeight="1">
      <c r="A195" s="402"/>
      <c r="B195" s="402"/>
      <c r="C195" s="402"/>
      <c r="D195" s="40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row>
    <row r="196" ht="14.25" customHeight="1">
      <c r="A196" s="402"/>
      <c r="B196" s="402"/>
      <c r="C196" s="402"/>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row>
    <row r="197" ht="14.25" customHeight="1">
      <c r="A197" s="402"/>
      <c r="B197" s="402"/>
      <c r="C197" s="402"/>
      <c r="D197" s="40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row>
    <row r="198" ht="14.25" customHeight="1">
      <c r="A198" s="402"/>
      <c r="B198" s="402"/>
      <c r="C198" s="402"/>
      <c r="D198" s="40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row>
    <row r="199" ht="14.25" customHeight="1">
      <c r="A199" s="402"/>
      <c r="B199" s="402"/>
      <c r="C199" s="402"/>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row>
    <row r="200" ht="14.25" customHeight="1">
      <c r="A200" s="402"/>
      <c r="B200" s="402"/>
      <c r="C200" s="402"/>
      <c r="D200" s="40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row>
    <row r="201" ht="14.25" customHeight="1">
      <c r="A201" s="402"/>
      <c r="B201" s="402"/>
      <c r="C201" s="402"/>
      <c r="D201" s="40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row>
    <row r="202" ht="14.25" customHeight="1">
      <c r="A202" s="402"/>
      <c r="B202" s="402"/>
      <c r="C202" s="402"/>
      <c r="D202" s="40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row>
    <row r="203" ht="14.25" customHeight="1">
      <c r="A203" s="402"/>
      <c r="B203" s="402"/>
      <c r="C203" s="402"/>
      <c r="D203" s="40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row>
    <row r="204" ht="14.25" customHeight="1">
      <c r="A204" s="402"/>
      <c r="B204" s="402"/>
      <c r="C204" s="402"/>
      <c r="D204" s="40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row>
    <row r="205" ht="14.25" customHeight="1">
      <c r="A205" s="402"/>
      <c r="B205" s="402"/>
      <c r="C205" s="402"/>
      <c r="D205" s="40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row>
    <row r="206" ht="14.25" customHeight="1">
      <c r="A206" s="402"/>
      <c r="B206" s="402"/>
      <c r="C206" s="402"/>
      <c r="D206" s="40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row>
    <row r="207" ht="14.25" customHeight="1">
      <c r="A207" s="402"/>
      <c r="B207" s="402"/>
      <c r="C207" s="402"/>
      <c r="D207" s="40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row>
    <row r="208" ht="14.25" customHeight="1">
      <c r="A208" s="402"/>
      <c r="B208" s="402"/>
      <c r="C208" s="402"/>
      <c r="D208" s="40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row>
    <row r="209" ht="14.25" customHeight="1">
      <c r="A209" s="402"/>
      <c r="B209" s="402"/>
      <c r="C209" s="402"/>
      <c r="D209" s="40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row>
    <row r="210" ht="14.25" customHeight="1">
      <c r="A210" s="402"/>
      <c r="B210" s="402"/>
      <c r="C210" s="402"/>
      <c r="D210" s="40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row>
    <row r="211" ht="14.25" customHeight="1">
      <c r="A211" s="402"/>
      <c r="B211" s="402"/>
      <c r="C211" s="402"/>
      <c r="D211" s="40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row>
    <row r="212" ht="14.25" customHeight="1">
      <c r="A212" s="402"/>
      <c r="B212" s="402"/>
      <c r="C212" s="402"/>
      <c r="D212" s="40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row>
    <row r="213" ht="14.25" customHeight="1">
      <c r="A213" s="402"/>
      <c r="B213" s="402"/>
      <c r="C213" s="402"/>
      <c r="D213" s="40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row>
    <row r="214" ht="14.25" customHeight="1">
      <c r="A214" s="402"/>
      <c r="B214" s="402"/>
      <c r="C214" s="402"/>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row>
    <row r="215" ht="14.25" customHeight="1">
      <c r="A215" s="402"/>
      <c r="B215" s="402"/>
      <c r="C215" s="402"/>
      <c r="D215" s="40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row>
    <row r="216" ht="14.25" customHeight="1">
      <c r="A216" s="402"/>
      <c r="B216" s="402"/>
      <c r="C216" s="402"/>
      <c r="D216" s="40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row>
    <row r="217" ht="14.25" customHeight="1">
      <c r="A217" s="402"/>
      <c r="B217" s="402"/>
      <c r="C217" s="402"/>
      <c r="D217" s="40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row>
    <row r="218" ht="14.25" customHeight="1">
      <c r="A218" s="402"/>
      <c r="B218" s="402"/>
      <c r="C218" s="402"/>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row>
    <row r="219" ht="14.25" customHeight="1">
      <c r="A219" s="402"/>
      <c r="B219" s="402"/>
      <c r="C219" s="402"/>
      <c r="D219" s="40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row>
    <row r="220" ht="14.25" customHeight="1">
      <c r="A220" s="402"/>
      <c r="B220" s="402"/>
      <c r="C220" s="402"/>
      <c r="D220" s="40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row>
    <row r="221" ht="14.25" customHeight="1">
      <c r="A221" s="402"/>
      <c r="B221" s="402"/>
      <c r="C221" s="402"/>
      <c r="D221" s="40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row>
    <row r="222" ht="14.25" customHeight="1">
      <c r="A222" s="402"/>
      <c r="B222" s="402"/>
      <c r="C222" s="402"/>
      <c r="D222" s="40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row>
    <row r="223" ht="14.25" customHeight="1">
      <c r="A223" s="402"/>
      <c r="B223" s="402"/>
      <c r="C223" s="402"/>
      <c r="D223" s="40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row>
    <row r="224" ht="14.25" customHeight="1">
      <c r="A224" s="402"/>
      <c r="B224" s="402"/>
      <c r="C224" s="402"/>
      <c r="D224" s="40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row>
    <row r="225" ht="14.25" customHeight="1">
      <c r="A225" s="402"/>
      <c r="B225" s="402"/>
      <c r="C225" s="402"/>
      <c r="D225" s="40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row>
    <row r="226" ht="14.25" customHeight="1">
      <c r="A226" s="402"/>
      <c r="B226" s="402"/>
      <c r="C226" s="402"/>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row>
    <row r="227" ht="14.25" customHeight="1">
      <c r="A227" s="402"/>
      <c r="B227" s="402"/>
      <c r="C227" s="402"/>
      <c r="D227" s="40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row>
    <row r="228" ht="14.25" customHeight="1">
      <c r="A228" s="402"/>
      <c r="B228" s="402"/>
      <c r="C228" s="402"/>
      <c r="D228" s="40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row>
    <row r="229" ht="14.25" customHeight="1">
      <c r="A229" s="402"/>
      <c r="B229" s="402"/>
      <c r="C229" s="402"/>
      <c r="D229" s="40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row>
    <row r="230" ht="14.25" customHeight="1">
      <c r="A230" s="402"/>
      <c r="B230" s="402"/>
      <c r="C230" s="402"/>
      <c r="D230" s="40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row>
    <row r="231" ht="14.25" customHeight="1">
      <c r="A231" s="402"/>
      <c r="B231" s="402"/>
      <c r="C231" s="402"/>
      <c r="D231" s="40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row>
    <row r="232" ht="14.25" customHeight="1">
      <c r="A232" s="402"/>
      <c r="B232" s="402"/>
      <c r="C232" s="402"/>
      <c r="D232" s="40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row>
    <row r="233" ht="14.25" customHeight="1">
      <c r="A233" s="402"/>
      <c r="B233" s="402"/>
      <c r="C233" s="402"/>
      <c r="D233" s="40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row>
    <row r="234" ht="14.25" customHeight="1">
      <c r="A234" s="402"/>
      <c r="B234" s="402"/>
      <c r="C234" s="402"/>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row>
    <row r="235" ht="14.25" customHeight="1">
      <c r="A235" s="402"/>
      <c r="B235" s="402"/>
      <c r="C235" s="402"/>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row>
    <row r="236" ht="14.25" customHeight="1">
      <c r="A236" s="402"/>
      <c r="B236" s="402"/>
      <c r="C236" s="402"/>
      <c r="D236" s="40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row>
    <row r="237" ht="14.25" customHeight="1">
      <c r="A237" s="402"/>
      <c r="B237" s="402"/>
      <c r="C237" s="402"/>
      <c r="D237" s="40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row>
    <row r="238" ht="14.25" customHeight="1">
      <c r="A238" s="402"/>
      <c r="B238" s="402"/>
      <c r="C238" s="402"/>
      <c r="D238" s="40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row>
    <row r="239" ht="14.25" customHeight="1">
      <c r="A239" s="402"/>
      <c r="B239" s="402"/>
      <c r="C239" s="402"/>
      <c r="D239" s="40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row>
    <row r="240" ht="14.25" customHeight="1">
      <c r="A240" s="402"/>
      <c r="B240" s="402"/>
      <c r="C240" s="402"/>
      <c r="D240" s="40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row>
    <row r="241" ht="14.25" customHeight="1">
      <c r="A241" s="402"/>
      <c r="B241" s="402"/>
      <c r="C241" s="402"/>
      <c r="D241" s="40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row>
    <row r="242" ht="14.25" customHeight="1">
      <c r="A242" s="402"/>
      <c r="B242" s="402"/>
      <c r="C242" s="402"/>
      <c r="D242" s="40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row>
    <row r="243" ht="14.25" customHeight="1">
      <c r="A243" s="402"/>
      <c r="B243" s="402"/>
      <c r="C243" s="402"/>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row>
    <row r="244" ht="14.25" customHeight="1">
      <c r="A244" s="402"/>
      <c r="B244" s="402"/>
      <c r="C244" s="402"/>
      <c r="D244" s="40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row>
    <row r="245" ht="14.25" customHeight="1">
      <c r="A245" s="402"/>
      <c r="B245" s="402"/>
      <c r="C245" s="402"/>
      <c r="D245" s="40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row>
    <row r="246" ht="14.25" customHeight="1">
      <c r="A246" s="402"/>
      <c r="B246" s="402"/>
      <c r="C246" s="402"/>
      <c r="D246" s="40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row>
    <row r="247" ht="14.25" customHeight="1">
      <c r="A247" s="402"/>
      <c r="B247" s="402"/>
      <c r="C247" s="402"/>
      <c r="D247" s="40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row>
    <row r="248" ht="14.25" customHeight="1">
      <c r="A248" s="402"/>
      <c r="B248" s="402"/>
      <c r="C248" s="402"/>
      <c r="D248" s="40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row>
    <row r="249" ht="14.25" customHeight="1">
      <c r="A249" s="402"/>
      <c r="B249" s="402"/>
      <c r="C249" s="402"/>
      <c r="D249" s="40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row>
    <row r="250" ht="14.25" customHeight="1">
      <c r="A250" s="402"/>
      <c r="B250" s="402"/>
      <c r="C250" s="402"/>
      <c r="D250" s="40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row>
    <row r="251" ht="14.25" customHeight="1">
      <c r="A251" s="402"/>
      <c r="B251" s="402"/>
      <c r="C251" s="402"/>
      <c r="D251" s="40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row>
    <row r="252" ht="14.25" customHeight="1">
      <c r="A252" s="402"/>
      <c r="B252" s="402"/>
      <c r="C252" s="402"/>
      <c r="D252" s="40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row>
    <row r="253" ht="14.25" customHeight="1">
      <c r="A253" s="402"/>
      <c r="B253" s="402"/>
      <c r="C253" s="402"/>
      <c r="D253" s="40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row>
    <row r="254" ht="14.25" customHeight="1">
      <c r="A254" s="402"/>
      <c r="B254" s="402"/>
      <c r="C254" s="402"/>
      <c r="D254" s="40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row>
    <row r="255" ht="14.25" customHeight="1">
      <c r="A255" s="402"/>
      <c r="B255" s="402"/>
      <c r="C255" s="402"/>
      <c r="D255" s="40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row>
    <row r="256" ht="14.25" customHeight="1">
      <c r="A256" s="402"/>
      <c r="B256" s="402"/>
      <c r="C256" s="402"/>
      <c r="D256" s="40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row>
    <row r="257" ht="14.25" customHeight="1">
      <c r="A257" s="402"/>
      <c r="B257" s="402"/>
      <c r="C257" s="402"/>
      <c r="D257" s="40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row>
    <row r="258" ht="14.25" customHeight="1">
      <c r="A258" s="402"/>
      <c r="B258" s="402"/>
      <c r="C258" s="402"/>
      <c r="D258" s="40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row>
    <row r="259" ht="14.25" customHeight="1">
      <c r="A259" s="402"/>
      <c r="B259" s="402"/>
      <c r="C259" s="402"/>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row>
    <row r="260" ht="14.25" customHeight="1">
      <c r="A260" s="402"/>
      <c r="B260" s="402"/>
      <c r="C260" s="402"/>
      <c r="D260" s="40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row>
    <row r="261" ht="14.25" customHeight="1">
      <c r="A261" s="402"/>
      <c r="B261" s="402"/>
      <c r="C261" s="402"/>
      <c r="D261" s="40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row>
    <row r="262" ht="14.25" customHeight="1">
      <c r="A262" s="402"/>
      <c r="B262" s="402"/>
      <c r="C262" s="402"/>
      <c r="D262" s="40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row>
    <row r="263" ht="14.25" customHeight="1">
      <c r="A263" s="402"/>
      <c r="B263" s="402"/>
      <c r="C263" s="402"/>
      <c r="D263" s="40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row>
    <row r="264" ht="14.25" customHeight="1">
      <c r="A264" s="402"/>
      <c r="B264" s="402"/>
      <c r="C264" s="402"/>
      <c r="D264" s="40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row>
    <row r="265" ht="14.25" customHeight="1">
      <c r="A265" s="402"/>
      <c r="B265" s="402"/>
      <c r="C265" s="402"/>
      <c r="D265" s="40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row>
    <row r="266" ht="14.25" customHeight="1">
      <c r="A266" s="402"/>
      <c r="B266" s="402"/>
      <c r="C266" s="402"/>
      <c r="D266" s="40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row>
    <row r="267" ht="14.25" customHeight="1">
      <c r="A267" s="402"/>
      <c r="B267" s="402"/>
      <c r="C267" s="402"/>
      <c r="D267" s="40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row>
    <row r="268" ht="14.25" customHeight="1">
      <c r="A268" s="402"/>
      <c r="B268" s="402"/>
      <c r="C268" s="402"/>
      <c r="D268" s="40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row>
    <row r="269" ht="14.25" customHeight="1">
      <c r="A269" s="402"/>
      <c r="B269" s="402"/>
      <c r="C269" s="402"/>
      <c r="D269" s="40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row>
    <row r="270" ht="14.25" customHeight="1">
      <c r="A270" s="402"/>
      <c r="B270" s="402"/>
      <c r="C270" s="402"/>
      <c r="D270" s="40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row>
    <row r="271" ht="14.25" customHeight="1">
      <c r="A271" s="402"/>
      <c r="B271" s="402"/>
      <c r="C271" s="402"/>
      <c r="D271" s="40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row>
    <row r="272" ht="14.25" customHeight="1">
      <c r="A272" s="402"/>
      <c r="B272" s="402"/>
      <c r="C272" s="402"/>
      <c r="D272" s="40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row>
    <row r="273" ht="14.25" customHeight="1">
      <c r="A273" s="402"/>
      <c r="B273" s="402"/>
      <c r="C273" s="402"/>
      <c r="D273" s="40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row>
    <row r="274" ht="14.25" customHeight="1">
      <c r="A274" s="402"/>
      <c r="B274" s="402"/>
      <c r="C274" s="402"/>
      <c r="D274" s="40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row>
    <row r="275" ht="14.25" customHeight="1">
      <c r="A275" s="402"/>
      <c r="B275" s="402"/>
      <c r="C275" s="402"/>
      <c r="D275" s="40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row>
    <row r="276" ht="14.25" customHeight="1">
      <c r="A276" s="402"/>
      <c r="B276" s="402"/>
      <c r="C276" s="402"/>
      <c r="D276" s="40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row>
    <row r="277" ht="14.25" customHeight="1">
      <c r="A277" s="402"/>
      <c r="B277" s="402"/>
      <c r="C277" s="402"/>
      <c r="D277" s="40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row>
    <row r="278" ht="14.25" customHeight="1">
      <c r="A278" s="402"/>
      <c r="B278" s="402"/>
      <c r="C278" s="402"/>
      <c r="D278" s="40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row>
    <row r="279" ht="14.25" customHeight="1">
      <c r="A279" s="402"/>
      <c r="B279" s="402"/>
      <c r="C279" s="402"/>
      <c r="D279" s="40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row>
    <row r="280" ht="14.25" customHeight="1">
      <c r="A280" s="402"/>
      <c r="B280" s="402"/>
      <c r="C280" s="402"/>
      <c r="D280" s="40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row>
    <row r="281" ht="14.25" customHeight="1">
      <c r="A281" s="402"/>
      <c r="B281" s="402"/>
      <c r="C281" s="402"/>
      <c r="D281" s="40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row>
    <row r="282" ht="14.25" customHeight="1">
      <c r="A282" s="402"/>
      <c r="B282" s="402"/>
      <c r="C282" s="402"/>
      <c r="D282" s="40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row>
    <row r="283" ht="14.25" customHeight="1">
      <c r="A283" s="402"/>
      <c r="B283" s="402"/>
      <c r="C283" s="402"/>
      <c r="D283" s="40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row>
    <row r="284" ht="14.25" customHeight="1">
      <c r="A284" s="402"/>
      <c r="B284" s="402"/>
      <c r="C284" s="402"/>
      <c r="D284" s="40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row>
    <row r="285" ht="14.25" customHeight="1">
      <c r="A285" s="402"/>
      <c r="B285" s="402"/>
      <c r="C285" s="402"/>
      <c r="D285" s="40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row>
    <row r="286" ht="14.25" customHeight="1">
      <c r="A286" s="402"/>
      <c r="B286" s="402"/>
      <c r="C286" s="402"/>
      <c r="D286" s="40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row>
    <row r="287" ht="14.25" customHeight="1">
      <c r="A287" s="402"/>
      <c r="B287" s="402"/>
      <c r="C287" s="402"/>
      <c r="D287" s="40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row>
    <row r="288" ht="14.25" customHeight="1">
      <c r="A288" s="402"/>
      <c r="B288" s="402"/>
      <c r="C288" s="402"/>
      <c r="D288" s="40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row>
    <row r="289" ht="14.25" customHeight="1">
      <c r="A289" s="402"/>
      <c r="B289" s="402"/>
      <c r="C289" s="402"/>
      <c r="D289" s="40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row>
    <row r="290" ht="14.25" customHeight="1">
      <c r="A290" s="402"/>
      <c r="B290" s="402"/>
      <c r="C290" s="402"/>
      <c r="D290" s="40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row>
    <row r="291" ht="14.25" customHeight="1">
      <c r="A291" s="402"/>
      <c r="B291" s="402"/>
      <c r="C291" s="402"/>
      <c r="D291" s="40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row>
    <row r="292" ht="14.25" customHeight="1">
      <c r="A292" s="402"/>
      <c r="B292" s="402"/>
      <c r="C292" s="402"/>
      <c r="D292" s="40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row>
    <row r="293" ht="14.25" customHeight="1">
      <c r="A293" s="402"/>
      <c r="B293" s="402"/>
      <c r="C293" s="402"/>
      <c r="D293" s="40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row>
    <row r="294" ht="14.25" customHeight="1">
      <c r="A294" s="402"/>
      <c r="B294" s="402"/>
      <c r="C294" s="402"/>
      <c r="D294" s="40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row>
    <row r="295" ht="14.25" customHeight="1">
      <c r="A295" s="402"/>
      <c r="B295" s="402"/>
      <c r="C295" s="402"/>
      <c r="D295" s="40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row>
    <row r="296" ht="14.25" customHeight="1">
      <c r="A296" s="402"/>
      <c r="B296" s="402"/>
      <c r="C296" s="402"/>
      <c r="D296" s="40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row>
    <row r="297" ht="14.25" customHeight="1">
      <c r="A297" s="402"/>
      <c r="B297" s="402"/>
      <c r="C297" s="402"/>
      <c r="D297" s="40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row>
    <row r="298" ht="14.25" customHeight="1">
      <c r="A298" s="402"/>
      <c r="B298" s="402"/>
      <c r="C298" s="402"/>
      <c r="D298" s="40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row>
    <row r="299" ht="14.25" customHeight="1">
      <c r="A299" s="402"/>
      <c r="B299" s="402"/>
      <c r="C299" s="402"/>
      <c r="D299" s="40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row>
    <row r="300" ht="14.25" customHeight="1">
      <c r="A300" s="402"/>
      <c r="B300" s="402"/>
      <c r="C300" s="402"/>
      <c r="D300" s="40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row>
    <row r="301" ht="14.25" customHeight="1">
      <c r="A301" s="402"/>
      <c r="B301" s="402"/>
      <c r="C301" s="402"/>
      <c r="D301" s="40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row>
    <row r="302" ht="14.25" customHeight="1">
      <c r="A302" s="402"/>
      <c r="B302" s="402"/>
      <c r="C302" s="402"/>
      <c r="D302" s="40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row>
    <row r="303" ht="14.25" customHeight="1">
      <c r="A303" s="402"/>
      <c r="B303" s="402"/>
      <c r="C303" s="402"/>
      <c r="D303" s="40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row>
    <row r="304" ht="14.25" customHeight="1">
      <c r="A304" s="402"/>
      <c r="B304" s="402"/>
      <c r="C304" s="402"/>
      <c r="D304" s="40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row>
    <row r="305" ht="14.25" customHeight="1">
      <c r="A305" s="402"/>
      <c r="B305" s="402"/>
      <c r="C305" s="402"/>
      <c r="D305" s="40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row>
    <row r="306" ht="14.25" customHeight="1">
      <c r="A306" s="402"/>
      <c r="B306" s="402"/>
      <c r="C306" s="402"/>
      <c r="D306" s="40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row>
    <row r="307" ht="14.25" customHeight="1">
      <c r="A307" s="402"/>
      <c r="B307" s="402"/>
      <c r="C307" s="402"/>
      <c r="D307" s="40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row>
    <row r="308" ht="14.25" customHeight="1">
      <c r="A308" s="402"/>
      <c r="B308" s="402"/>
      <c r="C308" s="402"/>
      <c r="D308" s="40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row>
    <row r="309" ht="14.25" customHeight="1">
      <c r="A309" s="402"/>
      <c r="B309" s="402"/>
      <c r="C309" s="402"/>
      <c r="D309" s="40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row>
    <row r="310" ht="14.25" customHeight="1">
      <c r="A310" s="402"/>
      <c r="B310" s="402"/>
      <c r="C310" s="402"/>
      <c r="D310" s="40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row>
    <row r="311" ht="14.25" customHeight="1">
      <c r="A311" s="402"/>
      <c r="B311" s="402"/>
      <c r="C311" s="402"/>
      <c r="D311" s="40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row>
    <row r="312" ht="14.25" customHeight="1">
      <c r="A312" s="402"/>
      <c r="B312" s="402"/>
      <c r="C312" s="402"/>
      <c r="D312" s="40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row>
    <row r="313" ht="14.25" customHeight="1">
      <c r="A313" s="402"/>
      <c r="B313" s="402"/>
      <c r="C313" s="402"/>
      <c r="D313" s="40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row>
    <row r="314" ht="14.25" customHeight="1">
      <c r="A314" s="402"/>
      <c r="B314" s="402"/>
      <c r="C314" s="402"/>
      <c r="D314" s="40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row>
    <row r="315" ht="14.25" customHeight="1">
      <c r="A315" s="402"/>
      <c r="B315" s="402"/>
      <c r="C315" s="402"/>
      <c r="D315" s="40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row>
    <row r="316" ht="14.25" customHeight="1">
      <c r="A316" s="402"/>
      <c r="B316" s="402"/>
      <c r="C316" s="402"/>
      <c r="D316" s="40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row>
    <row r="317" ht="14.25" customHeight="1">
      <c r="A317" s="402"/>
      <c r="B317" s="402"/>
      <c r="C317" s="402"/>
      <c r="D317" s="40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row>
    <row r="318" ht="14.25" customHeight="1">
      <c r="A318" s="402"/>
      <c r="B318" s="402"/>
      <c r="C318" s="402"/>
      <c r="D318" s="40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row>
    <row r="319" ht="14.25" customHeight="1">
      <c r="A319" s="402"/>
      <c r="B319" s="402"/>
      <c r="C319" s="402"/>
      <c r="D319" s="40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row>
    <row r="320" ht="14.25" customHeight="1">
      <c r="A320" s="402"/>
      <c r="B320" s="402"/>
      <c r="C320" s="402"/>
      <c r="D320" s="40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row>
    <row r="321" ht="14.25" customHeight="1">
      <c r="A321" s="402"/>
      <c r="B321" s="402"/>
      <c r="C321" s="402"/>
      <c r="D321" s="40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row>
    <row r="322" ht="14.25" customHeight="1">
      <c r="A322" s="402"/>
      <c r="B322" s="402"/>
      <c r="C322" s="402"/>
      <c r="D322" s="40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row>
    <row r="323" ht="14.25" customHeight="1">
      <c r="A323" s="402"/>
      <c r="B323" s="402"/>
      <c r="C323" s="402"/>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row>
    <row r="324" ht="14.25" customHeight="1">
      <c r="A324" s="402"/>
      <c r="B324" s="402"/>
      <c r="C324" s="402"/>
      <c r="D324" s="40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row>
    <row r="325" ht="14.25" customHeight="1">
      <c r="A325" s="402"/>
      <c r="B325" s="402"/>
      <c r="C325" s="402"/>
      <c r="D325" s="40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row>
    <row r="326" ht="14.25" customHeight="1">
      <c r="A326" s="402"/>
      <c r="B326" s="402"/>
      <c r="C326" s="402"/>
      <c r="D326" s="40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row>
    <row r="327" ht="14.25" customHeight="1">
      <c r="A327" s="402"/>
      <c r="B327" s="402"/>
      <c r="C327" s="402"/>
      <c r="D327" s="40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row>
    <row r="328" ht="14.25" customHeight="1">
      <c r="A328" s="402"/>
      <c r="B328" s="402"/>
      <c r="C328" s="402"/>
      <c r="D328" s="40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row>
    <row r="329" ht="14.25" customHeight="1">
      <c r="A329" s="402"/>
      <c r="B329" s="402"/>
      <c r="C329" s="402"/>
      <c r="D329" s="40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row>
    <row r="330" ht="14.25" customHeight="1">
      <c r="A330" s="402"/>
      <c r="B330" s="402"/>
      <c r="C330" s="402"/>
      <c r="D330" s="40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row>
    <row r="331" ht="14.25" customHeight="1">
      <c r="A331" s="402"/>
      <c r="B331" s="402"/>
      <c r="C331" s="402"/>
      <c r="D331" s="40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row>
    <row r="332" ht="14.25" customHeight="1">
      <c r="A332" s="402"/>
      <c r="B332" s="402"/>
      <c r="C332" s="402"/>
      <c r="D332" s="40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row>
    <row r="333" ht="14.25" customHeight="1">
      <c r="A333" s="402"/>
      <c r="B333" s="402"/>
      <c r="C333" s="402"/>
      <c r="D333" s="40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row>
    <row r="334" ht="14.25" customHeight="1">
      <c r="A334" s="402"/>
      <c r="B334" s="402"/>
      <c r="C334" s="402"/>
      <c r="D334" s="40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row>
    <row r="335" ht="14.25" customHeight="1">
      <c r="A335" s="402"/>
      <c r="B335" s="402"/>
      <c r="C335" s="402"/>
      <c r="D335" s="40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row>
    <row r="336" ht="14.25" customHeight="1">
      <c r="A336" s="402"/>
      <c r="B336" s="402"/>
      <c r="C336" s="402"/>
      <c r="D336" s="40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row>
    <row r="337" ht="14.25" customHeight="1">
      <c r="A337" s="402"/>
      <c r="B337" s="402"/>
      <c r="C337" s="402"/>
      <c r="D337" s="40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row>
    <row r="338" ht="14.25" customHeight="1">
      <c r="A338" s="402"/>
      <c r="B338" s="402"/>
      <c r="C338" s="402"/>
      <c r="D338" s="40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row>
    <row r="339" ht="14.25" customHeight="1">
      <c r="A339" s="402"/>
      <c r="B339" s="402"/>
      <c r="C339" s="402"/>
      <c r="D339" s="40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row>
    <row r="340" ht="14.25" customHeight="1">
      <c r="A340" s="402"/>
      <c r="B340" s="402"/>
      <c r="C340" s="402"/>
      <c r="D340" s="40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row>
    <row r="341" ht="14.25" customHeight="1">
      <c r="A341" s="402"/>
      <c r="B341" s="402"/>
      <c r="C341" s="402"/>
      <c r="D341" s="40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row>
    <row r="342" ht="14.25" customHeight="1">
      <c r="A342" s="402"/>
      <c r="B342" s="402"/>
      <c r="C342" s="402"/>
      <c r="D342" s="40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row>
    <row r="343" ht="14.25" customHeight="1">
      <c r="A343" s="402"/>
      <c r="B343" s="402"/>
      <c r="C343" s="402"/>
      <c r="D343" s="40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row>
    <row r="344" ht="14.25" customHeight="1">
      <c r="A344" s="402"/>
      <c r="B344" s="402"/>
      <c r="C344" s="402"/>
      <c r="D344" s="40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row>
    <row r="345" ht="14.25" customHeight="1">
      <c r="A345" s="402"/>
      <c r="B345" s="402"/>
      <c r="C345" s="402"/>
      <c r="D345" s="40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row>
    <row r="346" ht="14.25" customHeight="1">
      <c r="A346" s="402"/>
      <c r="B346" s="402"/>
      <c r="C346" s="402"/>
      <c r="D346" s="40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row>
    <row r="347" ht="14.25" customHeight="1">
      <c r="A347" s="402"/>
      <c r="B347" s="402"/>
      <c r="C347" s="402"/>
      <c r="D347" s="40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row>
    <row r="348" ht="14.25" customHeight="1">
      <c r="A348" s="402"/>
      <c r="B348" s="402"/>
      <c r="C348" s="402"/>
      <c r="D348" s="40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row>
    <row r="349" ht="14.25" customHeight="1">
      <c r="A349" s="402"/>
      <c r="B349" s="402"/>
      <c r="C349" s="402"/>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row>
    <row r="350" ht="14.25" customHeight="1">
      <c r="A350" s="402"/>
      <c r="B350" s="402"/>
      <c r="C350" s="402"/>
      <c r="D350" s="40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row>
    <row r="351" ht="14.25" customHeight="1">
      <c r="A351" s="402"/>
      <c r="B351" s="402"/>
      <c r="C351" s="402"/>
      <c r="D351" s="40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row>
    <row r="352" ht="14.25" customHeight="1">
      <c r="A352" s="402"/>
      <c r="B352" s="402"/>
      <c r="C352" s="402"/>
      <c r="D352" s="40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row>
    <row r="353" ht="14.25" customHeight="1">
      <c r="A353" s="402"/>
      <c r="B353" s="402"/>
      <c r="C353" s="402"/>
      <c r="D353" s="40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row>
    <row r="354" ht="14.25" customHeight="1">
      <c r="A354" s="402"/>
      <c r="B354" s="402"/>
      <c r="C354" s="402"/>
      <c r="D354" s="40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row>
    <row r="355" ht="14.25" customHeight="1">
      <c r="A355" s="402"/>
      <c r="B355" s="402"/>
      <c r="C355" s="402"/>
      <c r="D355" s="40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row>
    <row r="356" ht="14.25" customHeight="1">
      <c r="A356" s="402"/>
      <c r="B356" s="402"/>
      <c r="C356" s="402"/>
      <c r="D356" s="40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row>
    <row r="357" ht="14.25" customHeight="1">
      <c r="A357" s="402"/>
      <c r="B357" s="402"/>
      <c r="C357" s="402"/>
      <c r="D357" s="40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row>
    <row r="358" ht="14.25" customHeight="1">
      <c r="A358" s="402"/>
      <c r="B358" s="402"/>
      <c r="C358" s="402"/>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row>
    <row r="359" ht="14.25" customHeight="1">
      <c r="A359" s="402"/>
      <c r="B359" s="402"/>
      <c r="C359" s="402"/>
      <c r="D359" s="40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row>
    <row r="360" ht="14.25" customHeight="1">
      <c r="A360" s="402"/>
      <c r="B360" s="402"/>
      <c r="C360" s="402"/>
      <c r="D360" s="40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row>
    <row r="361" ht="14.25" customHeight="1">
      <c r="A361" s="402"/>
      <c r="B361" s="402"/>
      <c r="C361" s="402"/>
      <c r="D361" s="40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row>
    <row r="362" ht="14.25" customHeight="1">
      <c r="A362" s="402"/>
      <c r="B362" s="402"/>
      <c r="C362" s="402"/>
      <c r="D362" s="40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row>
    <row r="363" ht="14.25" customHeight="1">
      <c r="A363" s="402"/>
      <c r="B363" s="402"/>
      <c r="C363" s="402"/>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row>
    <row r="364" ht="14.25" customHeight="1">
      <c r="A364" s="402"/>
      <c r="B364" s="402"/>
      <c r="C364" s="402"/>
      <c r="D364" s="40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row>
    <row r="365" ht="14.25" customHeight="1">
      <c r="A365" s="402"/>
      <c r="B365" s="402"/>
      <c r="C365" s="402"/>
      <c r="D365" s="40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row>
    <row r="366" ht="14.25" customHeight="1">
      <c r="A366" s="402"/>
      <c r="B366" s="402"/>
      <c r="C366" s="402"/>
      <c r="D366" s="40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row>
    <row r="367" ht="14.25" customHeight="1">
      <c r="A367" s="402"/>
      <c r="B367" s="402"/>
      <c r="C367" s="402"/>
      <c r="D367" s="40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row>
    <row r="368" ht="14.25" customHeight="1">
      <c r="A368" s="402"/>
      <c r="B368" s="402"/>
      <c r="C368" s="402"/>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row>
    <row r="369" ht="14.25" customHeight="1">
      <c r="A369" s="402"/>
      <c r="B369" s="402"/>
      <c r="C369" s="402"/>
      <c r="D369" s="40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row>
    <row r="370" ht="14.25" customHeight="1">
      <c r="A370" s="402"/>
      <c r="B370" s="402"/>
      <c r="C370" s="402"/>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row>
    <row r="371" ht="14.25" customHeight="1">
      <c r="A371" s="402"/>
      <c r="B371" s="402"/>
      <c r="C371" s="402"/>
      <c r="D371" s="40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row>
    <row r="372" ht="14.25" customHeight="1">
      <c r="A372" s="402"/>
      <c r="B372" s="402"/>
      <c r="C372" s="402"/>
      <c r="D372" s="40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row>
    <row r="373" ht="14.25" customHeight="1">
      <c r="A373" s="402"/>
      <c r="B373" s="402"/>
      <c r="C373" s="402"/>
      <c r="D373" s="40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row>
    <row r="374" ht="14.25" customHeight="1">
      <c r="A374" s="402"/>
      <c r="B374" s="402"/>
      <c r="C374" s="402"/>
      <c r="D374" s="40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row>
    <row r="375" ht="14.25" customHeight="1">
      <c r="A375" s="402"/>
      <c r="B375" s="402"/>
      <c r="C375" s="402"/>
      <c r="D375" s="40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row>
    <row r="376" ht="14.25" customHeight="1">
      <c r="A376" s="402"/>
      <c r="B376" s="402"/>
      <c r="C376" s="402"/>
      <c r="D376" s="40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row>
    <row r="377" ht="14.25" customHeight="1">
      <c r="A377" s="402"/>
      <c r="B377" s="402"/>
      <c r="C377" s="402"/>
      <c r="D377" s="40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row>
    <row r="378" ht="14.25" customHeight="1">
      <c r="A378" s="402"/>
      <c r="B378" s="402"/>
      <c r="C378" s="402"/>
      <c r="D378" s="40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row>
    <row r="379" ht="14.25" customHeight="1">
      <c r="A379" s="402"/>
      <c r="B379" s="402"/>
      <c r="C379" s="402"/>
      <c r="D379" s="40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row>
    <row r="380" ht="14.25" customHeight="1">
      <c r="A380" s="402"/>
      <c r="B380" s="402"/>
      <c r="C380" s="402"/>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row>
    <row r="381" ht="14.25" customHeight="1">
      <c r="A381" s="402"/>
      <c r="B381" s="402"/>
      <c r="C381" s="402"/>
      <c r="D381" s="40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row>
    <row r="382" ht="14.25" customHeight="1">
      <c r="A382" s="402"/>
      <c r="B382" s="402"/>
      <c r="C382" s="402"/>
      <c r="D382" s="40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row>
    <row r="383" ht="14.25" customHeight="1">
      <c r="A383" s="402"/>
      <c r="B383" s="402"/>
      <c r="C383" s="402"/>
      <c r="D383" s="40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row>
    <row r="384" ht="14.25" customHeight="1">
      <c r="A384" s="402"/>
      <c r="B384" s="402"/>
      <c r="C384" s="402"/>
      <c r="D384" s="40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row>
    <row r="385" ht="14.25" customHeight="1">
      <c r="A385" s="402"/>
      <c r="B385" s="402"/>
      <c r="C385" s="402"/>
      <c r="D385" s="40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row>
    <row r="386" ht="14.25" customHeight="1">
      <c r="A386" s="402"/>
      <c r="B386" s="402"/>
      <c r="C386" s="402"/>
      <c r="D386" s="40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row>
    <row r="387" ht="14.25" customHeight="1">
      <c r="A387" s="402"/>
      <c r="B387" s="402"/>
      <c r="C387" s="402"/>
      <c r="D387" s="40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row>
    <row r="388" ht="14.25" customHeight="1">
      <c r="A388" s="402"/>
      <c r="B388" s="402"/>
      <c r="C388" s="402"/>
      <c r="D388" s="40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row>
    <row r="389" ht="14.25" customHeight="1">
      <c r="A389" s="402"/>
      <c r="B389" s="402"/>
      <c r="C389" s="402"/>
      <c r="D389" s="40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row>
    <row r="390" ht="14.25" customHeight="1">
      <c r="A390" s="402"/>
      <c r="B390" s="402"/>
      <c r="C390" s="402"/>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row>
    <row r="391" ht="14.25" customHeight="1">
      <c r="A391" s="402"/>
      <c r="B391" s="402"/>
      <c r="C391" s="402"/>
      <c r="D391" s="40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row>
    <row r="392" ht="14.25" customHeight="1">
      <c r="A392" s="402"/>
      <c r="B392" s="402"/>
      <c r="C392" s="402"/>
      <c r="D392" s="40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row>
    <row r="393" ht="14.25" customHeight="1">
      <c r="A393" s="402"/>
      <c r="B393" s="402"/>
      <c r="C393" s="402"/>
      <c r="D393" s="40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row>
    <row r="394" ht="14.25" customHeight="1">
      <c r="A394" s="402"/>
      <c r="B394" s="402"/>
      <c r="C394" s="402"/>
      <c r="D394" s="40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row>
    <row r="395" ht="14.25" customHeight="1">
      <c r="A395" s="402"/>
      <c r="B395" s="402"/>
      <c r="C395" s="402"/>
      <c r="D395" s="40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row>
    <row r="396" ht="14.25" customHeight="1">
      <c r="A396" s="402"/>
      <c r="B396" s="402"/>
      <c r="C396" s="402"/>
      <c r="D396" s="40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row>
    <row r="397" ht="14.25" customHeight="1">
      <c r="A397" s="402"/>
      <c r="B397" s="402"/>
      <c r="C397" s="402"/>
      <c r="D397" s="40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row>
    <row r="398" ht="14.25" customHeight="1">
      <c r="A398" s="402"/>
      <c r="B398" s="402"/>
      <c r="C398" s="402"/>
      <c r="D398" s="40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row>
    <row r="399" ht="14.25" customHeight="1">
      <c r="A399" s="402"/>
      <c r="B399" s="402"/>
      <c r="C399" s="402"/>
      <c r="D399" s="40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row>
    <row r="400" ht="14.25" customHeight="1">
      <c r="A400" s="402"/>
      <c r="B400" s="402"/>
      <c r="C400" s="402"/>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row>
    <row r="401" ht="14.25" customHeight="1">
      <c r="A401" s="402"/>
      <c r="B401" s="402"/>
      <c r="C401" s="402"/>
      <c r="D401" s="40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row>
    <row r="402" ht="14.25" customHeight="1">
      <c r="A402" s="402"/>
      <c r="B402" s="402"/>
      <c r="C402" s="402"/>
      <c r="D402" s="40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row>
    <row r="403" ht="14.25" customHeight="1">
      <c r="A403" s="402"/>
      <c r="B403" s="402"/>
      <c r="C403" s="402"/>
      <c r="D403" s="40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row>
    <row r="404" ht="14.25" customHeight="1">
      <c r="A404" s="402"/>
      <c r="B404" s="402"/>
      <c r="C404" s="402"/>
      <c r="D404" s="40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row>
    <row r="405" ht="14.25" customHeight="1">
      <c r="A405" s="402"/>
      <c r="B405" s="402"/>
      <c r="C405" s="402"/>
      <c r="D405" s="40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row>
    <row r="406" ht="14.25" customHeight="1">
      <c r="A406" s="402"/>
      <c r="B406" s="402"/>
      <c r="C406" s="402"/>
      <c r="D406" s="40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row>
    <row r="407" ht="14.25" customHeight="1">
      <c r="A407" s="402"/>
      <c r="B407" s="402"/>
      <c r="C407" s="402"/>
      <c r="D407" s="40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row>
    <row r="408" ht="14.25" customHeight="1">
      <c r="A408" s="402"/>
      <c r="B408" s="402"/>
      <c r="C408" s="402"/>
      <c r="D408" s="40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row>
    <row r="409" ht="14.25" customHeight="1">
      <c r="A409" s="402"/>
      <c r="B409" s="402"/>
      <c r="C409" s="402"/>
      <c r="D409" s="40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row>
    <row r="410" ht="14.25" customHeight="1">
      <c r="A410" s="402"/>
      <c r="B410" s="402"/>
      <c r="C410" s="402"/>
      <c r="D410" s="40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row>
    <row r="411" ht="14.25" customHeight="1">
      <c r="A411" s="402"/>
      <c r="B411" s="402"/>
      <c r="C411" s="402"/>
      <c r="D411" s="40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row>
    <row r="412" ht="14.25" customHeight="1">
      <c r="A412" s="402"/>
      <c r="B412" s="402"/>
      <c r="C412" s="402"/>
      <c r="D412" s="40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row>
    <row r="413" ht="14.25" customHeight="1">
      <c r="A413" s="402"/>
      <c r="B413" s="402"/>
      <c r="C413" s="402"/>
      <c r="D413" s="40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row>
    <row r="414" ht="14.25" customHeight="1">
      <c r="A414" s="402"/>
      <c r="B414" s="402"/>
      <c r="C414" s="402"/>
      <c r="D414" s="40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row>
    <row r="415" ht="14.25" customHeight="1">
      <c r="A415" s="402"/>
      <c r="B415" s="402"/>
      <c r="C415" s="402"/>
      <c r="D415" s="40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row>
    <row r="416" ht="14.25" customHeight="1">
      <c r="A416" s="402"/>
      <c r="B416" s="402"/>
      <c r="C416" s="402"/>
      <c r="D416" s="40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row>
    <row r="417" ht="14.25" customHeight="1">
      <c r="A417" s="402"/>
      <c r="B417" s="402"/>
      <c r="C417" s="402"/>
      <c r="D417" s="40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row>
    <row r="418" ht="14.25" customHeight="1">
      <c r="A418" s="402"/>
      <c r="B418" s="402"/>
      <c r="C418" s="402"/>
      <c r="D418" s="40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row>
    <row r="419" ht="14.25" customHeight="1">
      <c r="A419" s="402"/>
      <c r="B419" s="402"/>
      <c r="C419" s="402"/>
      <c r="D419" s="40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row>
    <row r="420" ht="14.25" customHeight="1">
      <c r="A420" s="402"/>
      <c r="B420" s="402"/>
      <c r="C420" s="402"/>
      <c r="D420" s="40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row>
    <row r="421" ht="14.25" customHeight="1">
      <c r="A421" s="402"/>
      <c r="B421" s="402"/>
      <c r="C421" s="402"/>
      <c r="D421" s="40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row>
    <row r="422" ht="14.25" customHeight="1">
      <c r="A422" s="402"/>
      <c r="B422" s="402"/>
      <c r="C422" s="402"/>
      <c r="D422" s="40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row>
    <row r="423" ht="14.25" customHeight="1">
      <c r="A423" s="402"/>
      <c r="B423" s="402"/>
      <c r="C423" s="402"/>
      <c r="D423" s="40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row>
    <row r="424" ht="14.25" customHeight="1">
      <c r="A424" s="402"/>
      <c r="B424" s="402"/>
      <c r="C424" s="402"/>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row>
    <row r="425" ht="14.25" customHeight="1">
      <c r="A425" s="402"/>
      <c r="B425" s="402"/>
      <c r="C425" s="402"/>
      <c r="D425" s="40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row>
    <row r="426" ht="14.25" customHeight="1">
      <c r="A426" s="402"/>
      <c r="B426" s="402"/>
      <c r="C426" s="402"/>
      <c r="D426" s="40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row>
    <row r="427" ht="14.25" customHeight="1">
      <c r="A427" s="402"/>
      <c r="B427" s="402"/>
      <c r="C427" s="402"/>
      <c r="D427" s="40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row>
    <row r="428" ht="14.25" customHeight="1">
      <c r="A428" s="402"/>
      <c r="B428" s="402"/>
      <c r="C428" s="402"/>
      <c r="D428" s="40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row>
    <row r="429" ht="14.25" customHeight="1">
      <c r="A429" s="402"/>
      <c r="B429" s="402"/>
      <c r="C429" s="402"/>
      <c r="D429" s="40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row>
    <row r="430" ht="14.25" customHeight="1">
      <c r="A430" s="402"/>
      <c r="B430" s="402"/>
      <c r="C430" s="402"/>
      <c r="D430" s="40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row>
    <row r="431" ht="14.25" customHeight="1">
      <c r="A431" s="402"/>
      <c r="B431" s="402"/>
      <c r="C431" s="402"/>
      <c r="D431" s="40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row>
    <row r="432" ht="14.25" customHeight="1">
      <c r="A432" s="402"/>
      <c r="B432" s="402"/>
      <c r="C432" s="402"/>
      <c r="D432" s="40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row>
    <row r="433" ht="14.25" customHeight="1">
      <c r="A433" s="402"/>
      <c r="B433" s="402"/>
      <c r="C433" s="402"/>
      <c r="D433" s="40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row>
    <row r="434" ht="14.25" customHeight="1">
      <c r="A434" s="402"/>
      <c r="B434" s="402"/>
      <c r="C434" s="402"/>
      <c r="D434" s="40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row>
    <row r="435" ht="14.25" customHeight="1">
      <c r="A435" s="402"/>
      <c r="B435" s="402"/>
      <c r="C435" s="402"/>
      <c r="D435" s="40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row>
    <row r="436" ht="14.25" customHeight="1">
      <c r="A436" s="402"/>
      <c r="B436" s="402"/>
      <c r="C436" s="402"/>
      <c r="D436" s="40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row>
    <row r="437" ht="14.25" customHeight="1">
      <c r="A437" s="402"/>
      <c r="B437" s="402"/>
      <c r="C437" s="402"/>
      <c r="D437" s="40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row>
    <row r="438" ht="14.25" customHeight="1">
      <c r="A438" s="402"/>
      <c r="B438" s="402"/>
      <c r="C438" s="402"/>
      <c r="D438" s="40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row>
    <row r="439" ht="14.25" customHeight="1">
      <c r="A439" s="402"/>
      <c r="B439" s="402"/>
      <c r="C439" s="402"/>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row>
    <row r="440" ht="14.25" customHeight="1">
      <c r="A440" s="402"/>
      <c r="B440" s="402"/>
      <c r="C440" s="402"/>
      <c r="D440" s="40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row>
    <row r="441" ht="14.25" customHeight="1">
      <c r="A441" s="402"/>
      <c r="B441" s="402"/>
      <c r="C441" s="402"/>
      <c r="D441" s="40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row>
    <row r="442" ht="14.25" customHeight="1">
      <c r="A442" s="402"/>
      <c r="B442" s="402"/>
      <c r="C442" s="402"/>
      <c r="D442" s="40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row>
    <row r="443" ht="14.25" customHeight="1">
      <c r="A443" s="402"/>
      <c r="B443" s="402"/>
      <c r="C443" s="402"/>
      <c r="D443" s="40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row>
    <row r="444" ht="14.25" customHeight="1">
      <c r="A444" s="402"/>
      <c r="B444" s="402"/>
      <c r="C444" s="402"/>
      <c r="D444" s="40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row>
    <row r="445" ht="14.25" customHeight="1">
      <c r="A445" s="402"/>
      <c r="B445" s="402"/>
      <c r="C445" s="402"/>
      <c r="D445" s="40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row>
    <row r="446" ht="14.25" customHeight="1">
      <c r="A446" s="402"/>
      <c r="B446" s="402"/>
      <c r="C446" s="402"/>
      <c r="D446" s="40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row>
    <row r="447" ht="14.25" customHeight="1">
      <c r="A447" s="402"/>
      <c r="B447" s="402"/>
      <c r="C447" s="402"/>
      <c r="D447" s="40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row>
    <row r="448" ht="14.25" customHeight="1">
      <c r="A448" s="402"/>
      <c r="B448" s="402"/>
      <c r="C448" s="402"/>
      <c r="D448" s="40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row>
    <row r="449" ht="14.25" customHeight="1">
      <c r="A449" s="402"/>
      <c r="B449" s="402"/>
      <c r="C449" s="402"/>
      <c r="D449" s="40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row>
    <row r="450" ht="14.25" customHeight="1">
      <c r="A450" s="402"/>
      <c r="B450" s="402"/>
      <c r="C450" s="402"/>
      <c r="D450" s="40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row>
    <row r="451" ht="14.25" customHeight="1">
      <c r="A451" s="402"/>
      <c r="B451" s="402"/>
      <c r="C451" s="402"/>
      <c r="D451" s="40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row>
    <row r="452" ht="14.25" customHeight="1">
      <c r="A452" s="402"/>
      <c r="B452" s="402"/>
      <c r="C452" s="402"/>
      <c r="D452" s="40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row>
    <row r="453" ht="14.25" customHeight="1">
      <c r="A453" s="402"/>
      <c r="B453" s="402"/>
      <c r="C453" s="402"/>
      <c r="D453" s="40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row>
    <row r="454" ht="14.25" customHeight="1">
      <c r="A454" s="402"/>
      <c r="B454" s="402"/>
      <c r="C454" s="402"/>
      <c r="D454" s="40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row>
    <row r="455" ht="14.25" customHeight="1">
      <c r="A455" s="402"/>
      <c r="B455" s="402"/>
      <c r="C455" s="402"/>
      <c r="D455" s="40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row>
    <row r="456" ht="14.25" customHeight="1">
      <c r="A456" s="402"/>
      <c r="B456" s="402"/>
      <c r="C456" s="402"/>
      <c r="D456" s="40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row>
    <row r="457" ht="14.25" customHeight="1">
      <c r="A457" s="402"/>
      <c r="B457" s="402"/>
      <c r="C457" s="402"/>
      <c r="D457" s="40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row>
    <row r="458" ht="14.25" customHeight="1">
      <c r="A458" s="402"/>
      <c r="B458" s="402"/>
      <c r="C458" s="402"/>
      <c r="D458" s="40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row>
    <row r="459" ht="14.25" customHeight="1">
      <c r="A459" s="402"/>
      <c r="B459" s="402"/>
      <c r="C459" s="402"/>
      <c r="D459" s="40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row>
    <row r="460" ht="14.25" customHeight="1">
      <c r="A460" s="402"/>
      <c r="B460" s="402"/>
      <c r="C460" s="402"/>
      <c r="D460" s="40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row>
    <row r="461" ht="14.25" customHeight="1">
      <c r="A461" s="402"/>
      <c r="B461" s="402"/>
      <c r="C461" s="402"/>
      <c r="D461" s="40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row>
    <row r="462" ht="14.25" customHeight="1">
      <c r="A462" s="402"/>
      <c r="B462" s="402"/>
      <c r="C462" s="402"/>
      <c r="D462" s="40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row>
    <row r="463" ht="14.25" customHeight="1">
      <c r="A463" s="402"/>
      <c r="B463" s="402"/>
      <c r="C463" s="402"/>
      <c r="D463" s="40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row>
    <row r="464" ht="14.25" customHeight="1">
      <c r="A464" s="402"/>
      <c r="B464" s="402"/>
      <c r="C464" s="402"/>
      <c r="D464" s="40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row>
    <row r="465" ht="14.25" customHeight="1">
      <c r="A465" s="402"/>
      <c r="B465" s="402"/>
      <c r="C465" s="402"/>
      <c r="D465" s="40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row>
    <row r="466" ht="14.25" customHeight="1">
      <c r="A466" s="402"/>
      <c r="B466" s="402"/>
      <c r="C466" s="402"/>
      <c r="D466" s="40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row>
    <row r="467" ht="14.25" customHeight="1">
      <c r="A467" s="402"/>
      <c r="B467" s="402"/>
      <c r="C467" s="402"/>
      <c r="D467" s="40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row>
    <row r="468" ht="14.25" customHeight="1">
      <c r="A468" s="402"/>
      <c r="B468" s="402"/>
      <c r="C468" s="402"/>
      <c r="D468" s="40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row>
    <row r="469" ht="14.25" customHeight="1">
      <c r="A469" s="402"/>
      <c r="B469" s="402"/>
      <c r="C469" s="402"/>
      <c r="D469" s="40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row>
    <row r="470" ht="14.25" customHeight="1">
      <c r="A470" s="402"/>
      <c r="B470" s="402"/>
      <c r="C470" s="402"/>
      <c r="D470" s="40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row>
    <row r="471" ht="14.25" customHeight="1">
      <c r="A471" s="402"/>
      <c r="B471" s="402"/>
      <c r="C471" s="402"/>
      <c r="D471" s="40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row>
    <row r="472" ht="14.25" customHeight="1">
      <c r="A472" s="402"/>
      <c r="B472" s="402"/>
      <c r="C472" s="402"/>
      <c r="D472" s="40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row>
    <row r="473" ht="14.25" customHeight="1">
      <c r="A473" s="402"/>
      <c r="B473" s="402"/>
      <c r="C473" s="402"/>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row>
    <row r="474" ht="14.25" customHeight="1">
      <c r="A474" s="402"/>
      <c r="B474" s="402"/>
      <c r="C474" s="402"/>
      <c r="D474" s="40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row>
    <row r="475" ht="14.25" customHeight="1">
      <c r="A475" s="402"/>
      <c r="B475" s="402"/>
      <c r="C475" s="402"/>
      <c r="D475" s="40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row>
    <row r="476" ht="14.25" customHeight="1">
      <c r="A476" s="402"/>
      <c r="B476" s="402"/>
      <c r="C476" s="402"/>
      <c r="D476" s="40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row>
    <row r="477" ht="14.25" customHeight="1">
      <c r="A477" s="402"/>
      <c r="B477" s="402"/>
      <c r="C477" s="402"/>
      <c r="D477" s="40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row>
    <row r="478" ht="14.25" customHeight="1">
      <c r="A478" s="402"/>
      <c r="B478" s="402"/>
      <c r="C478" s="402"/>
      <c r="D478" s="40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row>
    <row r="479" ht="14.25" customHeight="1">
      <c r="A479" s="402"/>
      <c r="B479" s="402"/>
      <c r="C479" s="402"/>
      <c r="D479" s="40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row>
    <row r="480" ht="14.25" customHeight="1">
      <c r="A480" s="402"/>
      <c r="B480" s="402"/>
      <c r="C480" s="402"/>
      <c r="D480" s="40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row>
    <row r="481" ht="14.25" customHeight="1">
      <c r="A481" s="402"/>
      <c r="B481" s="402"/>
      <c r="C481" s="402"/>
      <c r="D481" s="40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row>
    <row r="482" ht="14.25" customHeight="1">
      <c r="A482" s="402"/>
      <c r="B482" s="402"/>
      <c r="C482" s="402"/>
      <c r="D482" s="40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row>
    <row r="483" ht="14.25" customHeight="1">
      <c r="A483" s="402"/>
      <c r="B483" s="402"/>
      <c r="C483" s="402"/>
      <c r="D483" s="40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row>
    <row r="484" ht="14.25" customHeight="1">
      <c r="A484" s="402"/>
      <c r="B484" s="402"/>
      <c r="C484" s="402"/>
      <c r="D484" s="40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row>
    <row r="485" ht="14.25" customHeight="1">
      <c r="A485" s="402"/>
      <c r="B485" s="402"/>
      <c r="C485" s="402"/>
      <c r="D485" s="40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row>
    <row r="486" ht="14.25" customHeight="1">
      <c r="A486" s="402"/>
      <c r="B486" s="402"/>
      <c r="C486" s="402"/>
      <c r="D486" s="40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row>
    <row r="487" ht="14.25" customHeight="1">
      <c r="A487" s="402"/>
      <c r="B487" s="402"/>
      <c r="C487" s="402"/>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row>
    <row r="488" ht="14.25" customHeight="1">
      <c r="A488" s="402"/>
      <c r="B488" s="402"/>
      <c r="C488" s="402"/>
      <c r="D488" s="40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row>
    <row r="489" ht="14.25" customHeight="1">
      <c r="A489" s="402"/>
      <c r="B489" s="402"/>
      <c r="C489" s="402"/>
      <c r="D489" s="40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row>
    <row r="490" ht="14.25" customHeight="1">
      <c r="A490" s="402"/>
      <c r="B490" s="402"/>
      <c r="C490" s="402"/>
      <c r="D490" s="40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row>
    <row r="491" ht="14.25" customHeight="1">
      <c r="A491" s="402"/>
      <c r="B491" s="402"/>
      <c r="C491" s="402"/>
      <c r="D491" s="40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row>
    <row r="492" ht="14.25" customHeight="1">
      <c r="A492" s="402"/>
      <c r="B492" s="402"/>
      <c r="C492" s="402"/>
      <c r="D492" s="40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row>
    <row r="493" ht="14.25" customHeight="1">
      <c r="A493" s="402"/>
      <c r="B493" s="402"/>
      <c r="C493" s="402"/>
      <c r="D493" s="40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row>
    <row r="494" ht="14.25" customHeight="1">
      <c r="A494" s="402"/>
      <c r="B494" s="402"/>
      <c r="C494" s="402"/>
      <c r="D494" s="40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row>
    <row r="495" ht="14.25" customHeight="1">
      <c r="A495" s="402"/>
      <c r="B495" s="402"/>
      <c r="C495" s="402"/>
      <c r="D495" s="40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row>
    <row r="496" ht="14.25" customHeight="1">
      <c r="A496" s="402"/>
      <c r="B496" s="402"/>
      <c r="C496" s="402"/>
      <c r="D496" s="40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row>
    <row r="497" ht="14.25" customHeight="1">
      <c r="A497" s="402"/>
      <c r="B497" s="402"/>
      <c r="C497" s="402"/>
      <c r="D497" s="40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row>
    <row r="498" ht="14.25" customHeight="1">
      <c r="A498" s="402"/>
      <c r="B498" s="402"/>
      <c r="C498" s="402"/>
      <c r="D498" s="40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row>
    <row r="499" ht="14.25" customHeight="1">
      <c r="A499" s="402"/>
      <c r="B499" s="402"/>
      <c r="C499" s="402"/>
      <c r="D499" s="40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row>
    <row r="500" ht="14.25" customHeight="1">
      <c r="A500" s="402"/>
      <c r="B500" s="402"/>
      <c r="C500" s="402"/>
      <c r="D500" s="40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row>
    <row r="501" ht="14.25" customHeight="1">
      <c r="A501" s="402"/>
      <c r="B501" s="402"/>
      <c r="C501" s="402"/>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row>
    <row r="502" ht="14.25" customHeight="1">
      <c r="A502" s="402"/>
      <c r="B502" s="402"/>
      <c r="C502" s="402"/>
      <c r="D502" s="40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row>
    <row r="503" ht="14.25" customHeight="1">
      <c r="A503" s="402"/>
      <c r="B503" s="402"/>
      <c r="C503" s="402"/>
      <c r="D503" s="40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row>
    <row r="504" ht="14.25" customHeight="1">
      <c r="A504" s="402"/>
      <c r="B504" s="402"/>
      <c r="C504" s="402"/>
      <c r="D504" s="40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row>
    <row r="505" ht="14.25" customHeight="1">
      <c r="A505" s="402"/>
      <c r="B505" s="402"/>
      <c r="C505" s="402"/>
      <c r="D505" s="40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row>
    <row r="506" ht="14.25" customHeight="1">
      <c r="A506" s="402"/>
      <c r="B506" s="402"/>
      <c r="C506" s="402"/>
      <c r="D506" s="40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row>
    <row r="507" ht="14.25" customHeight="1">
      <c r="A507" s="402"/>
      <c r="B507" s="402"/>
      <c r="C507" s="402"/>
      <c r="D507" s="40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row>
    <row r="508" ht="14.25" customHeight="1">
      <c r="A508" s="402"/>
      <c r="B508" s="402"/>
      <c r="C508" s="402"/>
      <c r="D508" s="40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row>
    <row r="509" ht="14.25" customHeight="1">
      <c r="A509" s="402"/>
      <c r="B509" s="402"/>
      <c r="C509" s="402"/>
      <c r="D509" s="40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row>
    <row r="510" ht="14.25" customHeight="1">
      <c r="A510" s="402"/>
      <c r="B510" s="402"/>
      <c r="C510" s="402"/>
      <c r="D510" s="40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row>
    <row r="511" ht="14.25" customHeight="1">
      <c r="A511" s="402"/>
      <c r="B511" s="402"/>
      <c r="C511" s="402"/>
      <c r="D511" s="40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row>
    <row r="512" ht="14.25" customHeight="1">
      <c r="A512" s="402"/>
      <c r="B512" s="402"/>
      <c r="C512" s="402"/>
      <c r="D512" s="40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row>
    <row r="513" ht="14.25" customHeight="1">
      <c r="A513" s="402"/>
      <c r="B513" s="402"/>
      <c r="C513" s="402"/>
      <c r="D513" s="40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row>
    <row r="514" ht="14.25" customHeight="1">
      <c r="A514" s="402"/>
      <c r="B514" s="402"/>
      <c r="C514" s="402"/>
      <c r="D514" s="40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row>
    <row r="515" ht="14.25" customHeight="1">
      <c r="A515" s="402"/>
      <c r="B515" s="402"/>
      <c r="C515" s="402"/>
      <c r="D515" s="40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row>
    <row r="516" ht="14.25" customHeight="1">
      <c r="A516" s="402"/>
      <c r="B516" s="402"/>
      <c r="C516" s="402"/>
      <c r="D516" s="40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row>
    <row r="517" ht="14.25" customHeight="1">
      <c r="A517" s="402"/>
      <c r="B517" s="402"/>
      <c r="C517" s="402"/>
      <c r="D517" s="40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row>
    <row r="518" ht="14.25" customHeight="1">
      <c r="A518" s="402"/>
      <c r="B518" s="402"/>
      <c r="C518" s="402"/>
      <c r="D518" s="40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row>
    <row r="519" ht="14.25" customHeight="1">
      <c r="A519" s="402"/>
      <c r="B519" s="402"/>
      <c r="C519" s="402"/>
      <c r="D519" s="40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row>
    <row r="520" ht="14.25" customHeight="1">
      <c r="A520" s="402"/>
      <c r="B520" s="402"/>
      <c r="C520" s="402"/>
      <c r="D520" s="40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row>
    <row r="521" ht="14.25" customHeight="1">
      <c r="A521" s="402"/>
      <c r="B521" s="402"/>
      <c r="C521" s="402"/>
      <c r="D521" s="40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row>
    <row r="522" ht="14.25" customHeight="1">
      <c r="A522" s="402"/>
      <c r="B522" s="402"/>
      <c r="C522" s="402"/>
      <c r="D522" s="40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row>
    <row r="523" ht="14.25" customHeight="1">
      <c r="A523" s="402"/>
      <c r="B523" s="402"/>
      <c r="C523" s="402"/>
      <c r="D523" s="40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row>
    <row r="524" ht="14.25" customHeight="1">
      <c r="A524" s="402"/>
      <c r="B524" s="402"/>
      <c r="C524" s="402"/>
      <c r="D524" s="40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row>
    <row r="525" ht="14.25" customHeight="1">
      <c r="A525" s="402"/>
      <c r="B525" s="402"/>
      <c r="C525" s="402"/>
      <c r="D525" s="40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row>
    <row r="526" ht="14.25" customHeight="1">
      <c r="A526" s="402"/>
      <c r="B526" s="402"/>
      <c r="C526" s="402"/>
      <c r="D526" s="40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row>
    <row r="527" ht="14.25" customHeight="1">
      <c r="A527" s="402"/>
      <c r="B527" s="402"/>
      <c r="C527" s="402"/>
      <c r="D527" s="40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row>
    <row r="528" ht="14.25" customHeight="1">
      <c r="A528" s="402"/>
      <c r="B528" s="402"/>
      <c r="C528" s="402"/>
      <c r="D528" s="40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row>
    <row r="529" ht="14.25" customHeight="1">
      <c r="A529" s="402"/>
      <c r="B529" s="402"/>
      <c r="C529" s="402"/>
      <c r="D529" s="40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row>
    <row r="530" ht="14.25" customHeight="1">
      <c r="A530" s="402"/>
      <c r="B530" s="402"/>
      <c r="C530" s="402"/>
      <c r="D530" s="40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row>
    <row r="531" ht="14.25" customHeight="1">
      <c r="A531" s="402"/>
      <c r="B531" s="402"/>
      <c r="C531" s="402"/>
      <c r="D531" s="40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row>
    <row r="532" ht="14.25" customHeight="1">
      <c r="A532" s="402"/>
      <c r="B532" s="402"/>
      <c r="C532" s="402"/>
      <c r="D532" s="40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row>
    <row r="533" ht="14.25" customHeight="1">
      <c r="A533" s="402"/>
      <c r="B533" s="402"/>
      <c r="C533" s="402"/>
      <c r="D533" s="40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row>
    <row r="534" ht="14.25" customHeight="1">
      <c r="A534" s="402"/>
      <c r="B534" s="402"/>
      <c r="C534" s="402"/>
      <c r="D534" s="40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row>
    <row r="535" ht="14.25" customHeight="1">
      <c r="A535" s="402"/>
      <c r="B535" s="402"/>
      <c r="C535" s="402"/>
      <c r="D535" s="40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row>
    <row r="536" ht="14.25" customHeight="1">
      <c r="A536" s="402"/>
      <c r="B536" s="402"/>
      <c r="C536" s="402"/>
      <c r="D536" s="40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row>
    <row r="537" ht="14.25" customHeight="1">
      <c r="A537" s="402"/>
      <c r="B537" s="402"/>
      <c r="C537" s="402"/>
      <c r="D537" s="40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row>
    <row r="538" ht="14.25" customHeight="1">
      <c r="A538" s="402"/>
      <c r="B538" s="402"/>
      <c r="C538" s="402"/>
      <c r="D538" s="40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row>
    <row r="539" ht="14.25" customHeight="1">
      <c r="A539" s="402"/>
      <c r="B539" s="402"/>
      <c r="C539" s="402"/>
      <c r="D539" s="40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row>
    <row r="540" ht="14.25" customHeight="1">
      <c r="A540" s="402"/>
      <c r="B540" s="402"/>
      <c r="C540" s="402"/>
      <c r="D540" s="40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row>
    <row r="541" ht="14.25" customHeight="1">
      <c r="A541" s="402"/>
      <c r="B541" s="402"/>
      <c r="C541" s="402"/>
      <c r="D541" s="40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row>
    <row r="542" ht="14.25" customHeight="1">
      <c r="A542" s="402"/>
      <c r="B542" s="402"/>
      <c r="C542" s="402"/>
      <c r="D542" s="40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row>
    <row r="543" ht="14.25" customHeight="1">
      <c r="A543" s="402"/>
      <c r="B543" s="402"/>
      <c r="C543" s="402"/>
      <c r="D543" s="40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row>
    <row r="544" ht="14.25" customHeight="1">
      <c r="A544" s="402"/>
      <c r="B544" s="402"/>
      <c r="C544" s="402"/>
      <c r="D544" s="40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row>
    <row r="545" ht="14.25" customHeight="1">
      <c r="A545" s="402"/>
      <c r="B545" s="402"/>
      <c r="C545" s="402"/>
      <c r="D545" s="40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row>
    <row r="546" ht="14.25" customHeight="1">
      <c r="A546" s="402"/>
      <c r="B546" s="402"/>
      <c r="C546" s="402"/>
      <c r="D546" s="40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row>
    <row r="547" ht="14.25" customHeight="1">
      <c r="A547" s="402"/>
      <c r="B547" s="402"/>
      <c r="C547" s="402"/>
      <c r="D547" s="40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row>
    <row r="548" ht="14.25" customHeight="1">
      <c r="A548" s="402"/>
      <c r="B548" s="402"/>
      <c r="C548" s="402"/>
      <c r="D548" s="40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row>
    <row r="549" ht="14.25" customHeight="1">
      <c r="A549" s="402"/>
      <c r="B549" s="402"/>
      <c r="C549" s="402"/>
      <c r="D549" s="40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row>
    <row r="550" ht="14.25" customHeight="1">
      <c r="A550" s="402"/>
      <c r="B550" s="402"/>
      <c r="C550" s="402"/>
      <c r="D550" s="40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row>
    <row r="551" ht="14.25" customHeight="1">
      <c r="A551" s="402"/>
      <c r="B551" s="402"/>
      <c r="C551" s="402"/>
      <c r="D551" s="40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row>
    <row r="552" ht="14.25" customHeight="1">
      <c r="A552" s="402"/>
      <c r="B552" s="402"/>
      <c r="C552" s="402"/>
      <c r="D552" s="40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row>
    <row r="553" ht="14.25" customHeight="1">
      <c r="A553" s="402"/>
      <c r="B553" s="402"/>
      <c r="C553" s="402"/>
      <c r="D553" s="40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row>
    <row r="554" ht="14.25" customHeight="1">
      <c r="A554" s="402"/>
      <c r="B554" s="402"/>
      <c r="C554" s="402"/>
      <c r="D554" s="40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row>
    <row r="555" ht="14.25" customHeight="1">
      <c r="A555" s="402"/>
      <c r="B555" s="402"/>
      <c r="C555" s="402"/>
      <c r="D555" s="40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row>
    <row r="556" ht="14.25" customHeight="1">
      <c r="A556" s="402"/>
      <c r="B556" s="402"/>
      <c r="C556" s="402"/>
      <c r="D556" s="40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row>
    <row r="557" ht="14.25" customHeight="1">
      <c r="A557" s="402"/>
      <c r="B557" s="402"/>
      <c r="C557" s="402"/>
      <c r="D557" s="40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row>
    <row r="558" ht="14.25" customHeight="1">
      <c r="A558" s="402"/>
      <c r="B558" s="402"/>
      <c r="C558" s="402"/>
      <c r="D558" s="40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row>
    <row r="559" ht="14.25" customHeight="1">
      <c r="A559" s="402"/>
      <c r="B559" s="402"/>
      <c r="C559" s="402"/>
      <c r="D559" s="40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row>
    <row r="560" ht="14.25" customHeight="1">
      <c r="A560" s="402"/>
      <c r="B560" s="402"/>
      <c r="C560" s="402"/>
      <c r="D560" s="40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row>
    <row r="561" ht="14.25" customHeight="1">
      <c r="A561" s="402"/>
      <c r="B561" s="402"/>
      <c r="C561" s="402"/>
      <c r="D561" s="40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row>
    <row r="562" ht="14.25" customHeight="1">
      <c r="A562" s="402"/>
      <c r="B562" s="402"/>
      <c r="C562" s="402"/>
      <c r="D562" s="40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row>
    <row r="563" ht="14.25" customHeight="1">
      <c r="A563" s="402"/>
      <c r="B563" s="402"/>
      <c r="C563" s="402"/>
      <c r="D563" s="40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row>
    <row r="564" ht="14.25" customHeight="1">
      <c r="A564" s="402"/>
      <c r="B564" s="402"/>
      <c r="C564" s="402"/>
      <c r="D564" s="40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row>
    <row r="565" ht="14.25" customHeight="1">
      <c r="A565" s="402"/>
      <c r="B565" s="402"/>
      <c r="C565" s="402"/>
      <c r="D565" s="40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row>
    <row r="566" ht="14.25" customHeight="1">
      <c r="A566" s="402"/>
      <c r="B566" s="402"/>
      <c r="C566" s="402"/>
      <c r="D566" s="40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row>
    <row r="567" ht="14.25" customHeight="1">
      <c r="A567" s="402"/>
      <c r="B567" s="402"/>
      <c r="C567" s="402"/>
      <c r="D567" s="40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row>
    <row r="568" ht="14.25" customHeight="1">
      <c r="A568" s="402"/>
      <c r="B568" s="402"/>
      <c r="C568" s="402"/>
      <c r="D568" s="40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row>
    <row r="569" ht="14.25" customHeight="1">
      <c r="A569" s="402"/>
      <c r="B569" s="402"/>
      <c r="C569" s="402"/>
      <c r="D569" s="40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row>
    <row r="570" ht="14.25" customHeight="1">
      <c r="A570" s="402"/>
      <c r="B570" s="402"/>
      <c r="C570" s="402"/>
      <c r="D570" s="40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row>
    <row r="571" ht="14.25" customHeight="1">
      <c r="A571" s="402"/>
      <c r="B571" s="402"/>
      <c r="C571" s="402"/>
      <c r="D571" s="40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row>
    <row r="572" ht="14.25" customHeight="1">
      <c r="A572" s="402"/>
      <c r="B572" s="402"/>
      <c r="C572" s="402"/>
      <c r="D572" s="40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row>
    <row r="573" ht="14.25" customHeight="1">
      <c r="A573" s="402"/>
      <c r="B573" s="402"/>
      <c r="C573" s="402"/>
      <c r="D573" s="40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row>
    <row r="574" ht="14.25" customHeight="1">
      <c r="A574" s="402"/>
      <c r="B574" s="402"/>
      <c r="C574" s="402"/>
      <c r="D574" s="40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row>
    <row r="575" ht="14.25" customHeight="1">
      <c r="A575" s="402"/>
      <c r="B575" s="402"/>
      <c r="C575" s="402"/>
      <c r="D575" s="40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row>
    <row r="576" ht="14.25" customHeight="1">
      <c r="A576" s="402"/>
      <c r="B576" s="402"/>
      <c r="C576" s="402"/>
      <c r="D576" s="40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row>
    <row r="577" ht="14.25" customHeight="1">
      <c r="A577" s="402"/>
      <c r="B577" s="402"/>
      <c r="C577" s="402"/>
      <c r="D577" s="40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row>
    <row r="578" ht="14.25" customHeight="1">
      <c r="A578" s="402"/>
      <c r="B578" s="402"/>
      <c r="C578" s="402"/>
      <c r="D578" s="40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row>
    <row r="579" ht="14.25" customHeight="1">
      <c r="A579" s="402"/>
      <c r="B579" s="402"/>
      <c r="C579" s="402"/>
      <c r="D579" s="40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row>
    <row r="580" ht="14.25" customHeight="1">
      <c r="A580" s="402"/>
      <c r="B580" s="402"/>
      <c r="C580" s="402"/>
      <c r="D580" s="40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row>
    <row r="581" ht="14.25" customHeight="1">
      <c r="A581" s="402"/>
      <c r="B581" s="402"/>
      <c r="C581" s="402"/>
      <c r="D581" s="40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row>
    <row r="582" ht="14.25" customHeight="1">
      <c r="A582" s="402"/>
      <c r="B582" s="402"/>
      <c r="C582" s="402"/>
      <c r="D582" s="40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row>
    <row r="583" ht="14.25" customHeight="1">
      <c r="A583" s="402"/>
      <c r="B583" s="402"/>
      <c r="C583" s="402"/>
      <c r="D583" s="40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row>
    <row r="584" ht="14.25" customHeight="1">
      <c r="A584" s="402"/>
      <c r="B584" s="402"/>
      <c r="C584" s="402"/>
      <c r="D584" s="40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row>
    <row r="585" ht="14.25" customHeight="1">
      <c r="A585" s="402"/>
      <c r="B585" s="402"/>
      <c r="C585" s="402"/>
      <c r="D585" s="40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row>
    <row r="586" ht="14.25" customHeight="1">
      <c r="A586" s="402"/>
      <c r="B586" s="402"/>
      <c r="C586" s="402"/>
      <c r="D586" s="40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row>
    <row r="587" ht="14.25" customHeight="1">
      <c r="A587" s="402"/>
      <c r="B587" s="402"/>
      <c r="C587" s="402"/>
      <c r="D587" s="40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row>
    <row r="588" ht="14.25" customHeight="1">
      <c r="A588" s="402"/>
      <c r="B588" s="402"/>
      <c r="C588" s="402"/>
      <c r="D588" s="40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row>
    <row r="589" ht="14.25" customHeight="1">
      <c r="A589" s="402"/>
      <c r="B589" s="402"/>
      <c r="C589" s="402"/>
      <c r="D589" s="40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row>
    <row r="590" ht="14.25" customHeight="1">
      <c r="A590" s="402"/>
      <c r="B590" s="402"/>
      <c r="C590" s="402"/>
      <c r="D590" s="40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row>
    <row r="591" ht="14.25" customHeight="1">
      <c r="A591" s="402"/>
      <c r="B591" s="402"/>
      <c r="C591" s="402"/>
      <c r="D591" s="40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row>
    <row r="592" ht="14.25" customHeight="1">
      <c r="A592" s="402"/>
      <c r="B592" s="402"/>
      <c r="C592" s="402"/>
      <c r="D592" s="40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row>
    <row r="593" ht="14.25" customHeight="1">
      <c r="A593" s="402"/>
      <c r="B593" s="402"/>
      <c r="C593" s="402"/>
      <c r="D593" s="40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row>
    <row r="594" ht="14.25" customHeight="1">
      <c r="A594" s="402"/>
      <c r="B594" s="402"/>
      <c r="C594" s="402"/>
      <c r="D594" s="40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row>
    <row r="595" ht="14.25" customHeight="1">
      <c r="A595" s="402"/>
      <c r="B595" s="402"/>
      <c r="C595" s="402"/>
      <c r="D595" s="40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row>
    <row r="596" ht="14.25" customHeight="1">
      <c r="A596" s="402"/>
      <c r="B596" s="402"/>
      <c r="C596" s="402"/>
      <c r="D596" s="40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row>
    <row r="597" ht="14.25" customHeight="1">
      <c r="A597" s="402"/>
      <c r="B597" s="402"/>
      <c r="C597" s="402"/>
      <c r="D597" s="40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row>
    <row r="598" ht="14.25" customHeight="1">
      <c r="A598" s="402"/>
      <c r="B598" s="402"/>
      <c r="C598" s="402"/>
      <c r="D598" s="40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row>
    <row r="599" ht="14.25" customHeight="1">
      <c r="A599" s="402"/>
      <c r="B599" s="402"/>
      <c r="C599" s="402"/>
      <c r="D599" s="40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row>
    <row r="600" ht="14.25" customHeight="1">
      <c r="A600" s="402"/>
      <c r="B600" s="402"/>
      <c r="C600" s="402"/>
      <c r="D600" s="40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row>
    <row r="601" ht="14.25" customHeight="1">
      <c r="A601" s="402"/>
      <c r="B601" s="402"/>
      <c r="C601" s="402"/>
      <c r="D601" s="40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row>
    <row r="602" ht="14.25" customHeight="1">
      <c r="A602" s="402"/>
      <c r="B602" s="402"/>
      <c r="C602" s="402"/>
      <c r="D602" s="40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row>
    <row r="603" ht="14.25" customHeight="1">
      <c r="A603" s="402"/>
      <c r="B603" s="402"/>
      <c r="C603" s="402"/>
      <c r="D603" s="40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row>
    <row r="604" ht="14.25" customHeight="1">
      <c r="A604" s="402"/>
      <c r="B604" s="402"/>
      <c r="C604" s="402"/>
      <c r="D604" s="40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row>
    <row r="605" ht="14.25" customHeight="1">
      <c r="A605" s="402"/>
      <c r="B605" s="402"/>
      <c r="C605" s="402"/>
      <c r="D605" s="40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row>
    <row r="606" ht="14.25" customHeight="1">
      <c r="A606" s="402"/>
      <c r="B606" s="402"/>
      <c r="C606" s="402"/>
      <c r="D606" s="40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row>
    <row r="607" ht="14.25" customHeight="1">
      <c r="A607" s="402"/>
      <c r="B607" s="402"/>
      <c r="C607" s="402"/>
      <c r="D607" s="40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row>
    <row r="608" ht="14.25" customHeight="1">
      <c r="A608" s="402"/>
      <c r="B608" s="402"/>
      <c r="C608" s="402"/>
      <c r="D608" s="40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row>
    <row r="609" ht="14.25" customHeight="1">
      <c r="A609" s="402"/>
      <c r="B609" s="402"/>
      <c r="C609" s="402"/>
      <c r="D609" s="40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row>
    <row r="610" ht="14.25" customHeight="1">
      <c r="A610" s="402"/>
      <c r="B610" s="402"/>
      <c r="C610" s="402"/>
      <c r="D610" s="40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row>
    <row r="611" ht="14.25" customHeight="1">
      <c r="A611" s="402"/>
      <c r="B611" s="402"/>
      <c r="C611" s="402"/>
      <c r="D611" s="40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row>
    <row r="612" ht="14.25" customHeight="1">
      <c r="A612" s="402"/>
      <c r="B612" s="402"/>
      <c r="C612" s="402"/>
      <c r="D612" s="40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row>
    <row r="613" ht="14.25" customHeight="1">
      <c r="A613" s="402"/>
      <c r="B613" s="402"/>
      <c r="C613" s="402"/>
      <c r="D613" s="40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row>
    <row r="614" ht="14.25" customHeight="1">
      <c r="A614" s="402"/>
      <c r="B614" s="402"/>
      <c r="C614" s="402"/>
      <c r="D614" s="40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row>
    <row r="615" ht="14.25" customHeight="1">
      <c r="A615" s="402"/>
      <c r="B615" s="402"/>
      <c r="C615" s="402"/>
      <c r="D615" s="40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row>
    <row r="616" ht="14.25" customHeight="1">
      <c r="A616" s="402"/>
      <c r="B616" s="402"/>
      <c r="C616" s="402"/>
      <c r="D616" s="40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row>
    <row r="617" ht="14.25" customHeight="1">
      <c r="A617" s="402"/>
      <c r="B617" s="402"/>
      <c r="C617" s="402"/>
      <c r="D617" s="40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row>
    <row r="618" ht="14.25" customHeight="1">
      <c r="A618" s="402"/>
      <c r="B618" s="402"/>
      <c r="C618" s="402"/>
      <c r="D618" s="40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row>
    <row r="619" ht="14.25" customHeight="1">
      <c r="A619" s="402"/>
      <c r="B619" s="402"/>
      <c r="C619" s="402"/>
      <c r="D619" s="40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row>
    <row r="620" ht="14.25" customHeight="1">
      <c r="A620" s="402"/>
      <c r="B620" s="402"/>
      <c r="C620" s="402"/>
      <c r="D620" s="40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row>
    <row r="621" ht="14.25" customHeight="1">
      <c r="A621" s="402"/>
      <c r="B621" s="402"/>
      <c r="C621" s="402"/>
      <c r="D621" s="40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row>
    <row r="622" ht="14.25" customHeight="1">
      <c r="A622" s="402"/>
      <c r="B622" s="402"/>
      <c r="C622" s="402"/>
      <c r="D622" s="40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row>
    <row r="623" ht="14.25" customHeight="1">
      <c r="A623" s="402"/>
      <c r="B623" s="402"/>
      <c r="C623" s="402"/>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row>
    <row r="624" ht="14.25" customHeight="1">
      <c r="A624" s="402"/>
      <c r="B624" s="402"/>
      <c r="C624" s="402"/>
      <c r="D624" s="40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row>
    <row r="625" ht="14.25" customHeight="1">
      <c r="A625" s="402"/>
      <c r="B625" s="402"/>
      <c r="C625" s="402"/>
      <c r="D625" s="40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row>
    <row r="626" ht="14.25" customHeight="1">
      <c r="A626" s="402"/>
      <c r="B626" s="402"/>
      <c r="C626" s="402"/>
      <c r="D626" s="40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row>
    <row r="627" ht="14.25" customHeight="1">
      <c r="A627" s="402"/>
      <c r="B627" s="402"/>
      <c r="C627" s="402"/>
      <c r="D627" s="40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row>
    <row r="628" ht="14.25" customHeight="1">
      <c r="A628" s="402"/>
      <c r="B628" s="402"/>
      <c r="C628" s="402"/>
      <c r="D628" s="40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row>
    <row r="629" ht="14.25" customHeight="1">
      <c r="A629" s="402"/>
      <c r="B629" s="402"/>
      <c r="C629" s="402"/>
      <c r="D629" s="40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row>
    <row r="630" ht="14.25" customHeight="1">
      <c r="A630" s="402"/>
      <c r="B630" s="402"/>
      <c r="C630" s="402"/>
      <c r="D630" s="40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row>
    <row r="631" ht="14.25" customHeight="1">
      <c r="A631" s="402"/>
      <c r="B631" s="402"/>
      <c r="C631" s="402"/>
      <c r="D631" s="40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row>
    <row r="632" ht="14.25" customHeight="1">
      <c r="A632" s="402"/>
      <c r="B632" s="402"/>
      <c r="C632" s="402"/>
      <c r="D632" s="40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row>
    <row r="633" ht="14.25" customHeight="1">
      <c r="A633" s="402"/>
      <c r="B633" s="402"/>
      <c r="C633" s="402"/>
      <c r="D633" s="40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row>
    <row r="634" ht="14.25" customHeight="1">
      <c r="A634" s="402"/>
      <c r="B634" s="402"/>
      <c r="C634" s="402"/>
      <c r="D634" s="40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row>
    <row r="635" ht="14.25" customHeight="1">
      <c r="A635" s="402"/>
      <c r="B635" s="402"/>
      <c r="C635" s="402"/>
      <c r="D635" s="40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row>
    <row r="636" ht="14.25" customHeight="1">
      <c r="A636" s="402"/>
      <c r="B636" s="402"/>
      <c r="C636" s="402"/>
      <c r="D636" s="40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row>
    <row r="637" ht="14.25" customHeight="1">
      <c r="A637" s="402"/>
      <c r="B637" s="402"/>
      <c r="C637" s="402"/>
      <c r="D637" s="40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row>
    <row r="638" ht="14.25" customHeight="1">
      <c r="A638" s="402"/>
      <c r="B638" s="402"/>
      <c r="C638" s="402"/>
      <c r="D638" s="40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row>
    <row r="639" ht="14.25" customHeight="1">
      <c r="A639" s="402"/>
      <c r="B639" s="402"/>
      <c r="C639" s="402"/>
      <c r="D639" s="40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row>
    <row r="640" ht="14.25" customHeight="1">
      <c r="A640" s="402"/>
      <c r="B640" s="402"/>
      <c r="C640" s="402"/>
      <c r="D640" s="40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row>
    <row r="641" ht="14.25" customHeight="1">
      <c r="A641" s="402"/>
      <c r="B641" s="402"/>
      <c r="C641" s="402"/>
      <c r="D641" s="40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row>
    <row r="642" ht="14.25" customHeight="1">
      <c r="A642" s="402"/>
      <c r="B642" s="402"/>
      <c r="C642" s="402"/>
      <c r="D642" s="40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row>
    <row r="643" ht="14.25" customHeight="1">
      <c r="A643" s="402"/>
      <c r="B643" s="402"/>
      <c r="C643" s="402"/>
      <c r="D643" s="40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row>
    <row r="644" ht="14.25" customHeight="1">
      <c r="A644" s="402"/>
      <c r="B644" s="402"/>
      <c r="C644" s="402"/>
      <c r="D644" s="40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row>
    <row r="645" ht="14.25" customHeight="1">
      <c r="A645" s="402"/>
      <c r="B645" s="402"/>
      <c r="C645" s="402"/>
      <c r="D645" s="40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row>
    <row r="646" ht="14.25" customHeight="1">
      <c r="A646" s="402"/>
      <c r="B646" s="402"/>
      <c r="C646" s="402"/>
      <c r="D646" s="40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row>
    <row r="647" ht="14.25" customHeight="1">
      <c r="A647" s="402"/>
      <c r="B647" s="402"/>
      <c r="C647" s="402"/>
      <c r="D647" s="40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row>
    <row r="648" ht="14.25" customHeight="1">
      <c r="A648" s="402"/>
      <c r="B648" s="402"/>
      <c r="C648" s="402"/>
      <c r="D648" s="40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row>
    <row r="649" ht="14.25" customHeight="1">
      <c r="A649" s="402"/>
      <c r="B649" s="402"/>
      <c r="C649" s="402"/>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row>
    <row r="650" ht="14.25" customHeight="1">
      <c r="A650" s="402"/>
      <c r="B650" s="402"/>
      <c r="C650" s="402"/>
      <c r="D650" s="40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row>
    <row r="651" ht="14.25" customHeight="1">
      <c r="A651" s="402"/>
      <c r="B651" s="402"/>
      <c r="C651" s="402"/>
      <c r="D651" s="40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row>
    <row r="652" ht="14.25" customHeight="1">
      <c r="A652" s="402"/>
      <c r="B652" s="402"/>
      <c r="C652" s="402"/>
      <c r="D652" s="40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row>
    <row r="653" ht="14.25" customHeight="1">
      <c r="A653" s="402"/>
      <c r="B653" s="402"/>
      <c r="C653" s="402"/>
      <c r="D653" s="40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row>
    <row r="654" ht="14.25" customHeight="1">
      <c r="A654" s="402"/>
      <c r="B654" s="402"/>
      <c r="C654" s="402"/>
      <c r="D654" s="40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row>
    <row r="655" ht="14.25" customHeight="1">
      <c r="A655" s="402"/>
      <c r="B655" s="402"/>
      <c r="C655" s="402"/>
      <c r="D655" s="40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row>
    <row r="656" ht="14.25" customHeight="1">
      <c r="A656" s="402"/>
      <c r="B656" s="402"/>
      <c r="C656" s="402"/>
      <c r="D656" s="40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row>
    <row r="657" ht="14.25" customHeight="1">
      <c r="A657" s="402"/>
      <c r="B657" s="402"/>
      <c r="C657" s="402"/>
      <c r="D657" s="40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row>
    <row r="658" ht="14.25" customHeight="1">
      <c r="A658" s="402"/>
      <c r="B658" s="402"/>
      <c r="C658" s="402"/>
      <c r="D658" s="40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row>
    <row r="659" ht="14.25" customHeight="1">
      <c r="A659" s="402"/>
      <c r="B659" s="402"/>
      <c r="C659" s="402"/>
      <c r="D659" s="40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row>
    <row r="660" ht="14.25" customHeight="1">
      <c r="A660" s="402"/>
      <c r="B660" s="402"/>
      <c r="C660" s="402"/>
      <c r="D660" s="40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row>
    <row r="661" ht="14.25" customHeight="1">
      <c r="A661" s="402"/>
      <c r="B661" s="402"/>
      <c r="C661" s="402"/>
      <c r="D661" s="40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row>
    <row r="662" ht="14.25" customHeight="1">
      <c r="A662" s="402"/>
      <c r="B662" s="402"/>
      <c r="C662" s="402"/>
      <c r="D662" s="40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row>
    <row r="663" ht="14.25" customHeight="1">
      <c r="A663" s="402"/>
      <c r="B663" s="402"/>
      <c r="C663" s="402"/>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row>
    <row r="664" ht="14.25" customHeight="1">
      <c r="A664" s="402"/>
      <c r="B664" s="402"/>
      <c r="C664" s="402"/>
      <c r="D664" s="40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row>
    <row r="665" ht="14.25" customHeight="1">
      <c r="A665" s="402"/>
      <c r="B665" s="402"/>
      <c r="C665" s="402"/>
      <c r="D665" s="40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row>
    <row r="666" ht="14.25" customHeight="1">
      <c r="A666" s="402"/>
      <c r="B666" s="402"/>
      <c r="C666" s="402"/>
      <c r="D666" s="40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row>
    <row r="667" ht="14.25" customHeight="1">
      <c r="A667" s="402"/>
      <c r="B667" s="402"/>
      <c r="C667" s="402"/>
      <c r="D667" s="40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row>
    <row r="668" ht="14.25" customHeight="1">
      <c r="A668" s="402"/>
      <c r="B668" s="402"/>
      <c r="C668" s="402"/>
      <c r="D668" s="40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row>
    <row r="669" ht="14.25" customHeight="1">
      <c r="A669" s="402"/>
      <c r="B669" s="402"/>
      <c r="C669" s="402"/>
      <c r="D669" s="40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row>
    <row r="670" ht="14.25" customHeight="1">
      <c r="A670" s="402"/>
      <c r="B670" s="402"/>
      <c r="C670" s="402"/>
      <c r="D670" s="40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row>
    <row r="671" ht="14.25" customHeight="1">
      <c r="A671" s="402"/>
      <c r="B671" s="402"/>
      <c r="C671" s="402"/>
      <c r="D671" s="40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row>
    <row r="672" ht="14.25" customHeight="1">
      <c r="A672" s="402"/>
      <c r="B672" s="402"/>
      <c r="C672" s="402"/>
      <c r="D672" s="40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row>
    <row r="673" ht="14.25" customHeight="1">
      <c r="A673" s="402"/>
      <c r="B673" s="402"/>
      <c r="C673" s="402"/>
      <c r="D673" s="40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row>
    <row r="674" ht="14.25" customHeight="1">
      <c r="A674" s="402"/>
      <c r="B674" s="402"/>
      <c r="C674" s="402"/>
      <c r="D674" s="40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row>
    <row r="675" ht="14.25" customHeight="1">
      <c r="A675" s="402"/>
      <c r="B675" s="402"/>
      <c r="C675" s="402"/>
      <c r="D675" s="40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row>
    <row r="676" ht="14.25" customHeight="1">
      <c r="A676" s="402"/>
      <c r="B676" s="402"/>
      <c r="C676" s="402"/>
      <c r="D676" s="40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row>
    <row r="677" ht="14.25" customHeight="1">
      <c r="A677" s="402"/>
      <c r="B677" s="402"/>
      <c r="C677" s="402"/>
      <c r="D677" s="40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row>
    <row r="678" ht="14.25" customHeight="1">
      <c r="A678" s="402"/>
      <c r="B678" s="402"/>
      <c r="C678" s="402"/>
      <c r="D678" s="40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row>
    <row r="679" ht="14.25" customHeight="1">
      <c r="A679" s="402"/>
      <c r="B679" s="402"/>
      <c r="C679" s="402"/>
      <c r="D679" s="40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row>
    <row r="680" ht="14.25" customHeight="1">
      <c r="A680" s="402"/>
      <c r="B680" s="402"/>
      <c r="C680" s="402"/>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row>
    <row r="681" ht="14.25" customHeight="1">
      <c r="A681" s="402"/>
      <c r="B681" s="402"/>
      <c r="C681" s="402"/>
      <c r="D681" s="40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row>
    <row r="682" ht="14.25" customHeight="1">
      <c r="A682" s="402"/>
      <c r="B682" s="402"/>
      <c r="C682" s="402"/>
      <c r="D682" s="40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row>
    <row r="683" ht="14.25" customHeight="1">
      <c r="A683" s="402"/>
      <c r="B683" s="402"/>
      <c r="C683" s="402"/>
      <c r="D683" s="40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row>
    <row r="684" ht="14.25" customHeight="1">
      <c r="A684" s="402"/>
      <c r="B684" s="402"/>
      <c r="C684" s="402"/>
      <c r="D684" s="40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row>
    <row r="685" ht="14.25" customHeight="1">
      <c r="A685" s="402"/>
      <c r="B685" s="402"/>
      <c r="C685" s="402"/>
      <c r="D685" s="40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row>
    <row r="686" ht="14.25" customHeight="1">
      <c r="A686" s="402"/>
      <c r="B686" s="402"/>
      <c r="C686" s="402"/>
      <c r="D686" s="40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row>
    <row r="687" ht="14.25" customHeight="1">
      <c r="A687" s="402"/>
      <c r="B687" s="402"/>
      <c r="C687" s="402"/>
      <c r="D687" s="40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row>
    <row r="688" ht="14.25" customHeight="1">
      <c r="A688" s="402"/>
      <c r="B688" s="402"/>
      <c r="C688" s="402"/>
      <c r="D688" s="40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row>
    <row r="689" ht="14.25" customHeight="1">
      <c r="A689" s="402"/>
      <c r="B689" s="402"/>
      <c r="C689" s="402"/>
      <c r="D689" s="40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row>
    <row r="690" ht="14.25" customHeight="1">
      <c r="A690" s="402"/>
      <c r="B690" s="402"/>
      <c r="C690" s="402"/>
      <c r="D690" s="40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row>
    <row r="691" ht="14.25" customHeight="1">
      <c r="A691" s="402"/>
      <c r="B691" s="402"/>
      <c r="C691" s="402"/>
      <c r="D691" s="40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row>
    <row r="692" ht="14.25" customHeight="1">
      <c r="A692" s="402"/>
      <c r="B692" s="402"/>
      <c r="C692" s="402"/>
      <c r="D692" s="40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row>
    <row r="693" ht="14.25" customHeight="1">
      <c r="A693" s="402"/>
      <c r="B693" s="402"/>
      <c r="C693" s="402"/>
      <c r="D693" s="40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row>
    <row r="694" ht="14.25" customHeight="1">
      <c r="A694" s="402"/>
      <c r="B694" s="402"/>
      <c r="C694" s="402"/>
      <c r="D694" s="40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row>
    <row r="695" ht="14.25" customHeight="1">
      <c r="A695" s="402"/>
      <c r="B695" s="402"/>
      <c r="C695" s="402"/>
      <c r="D695" s="40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row>
    <row r="696" ht="14.25" customHeight="1">
      <c r="A696" s="402"/>
      <c r="B696" s="402"/>
      <c r="C696" s="402"/>
      <c r="D696" s="40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row>
    <row r="697" ht="14.25" customHeight="1">
      <c r="A697" s="402"/>
      <c r="B697" s="402"/>
      <c r="C697" s="402"/>
      <c r="D697" s="40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row>
    <row r="698" ht="14.25" customHeight="1">
      <c r="A698" s="402"/>
      <c r="B698" s="402"/>
      <c r="C698" s="402"/>
      <c r="D698" s="40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row>
    <row r="699" ht="14.25" customHeight="1">
      <c r="A699" s="402"/>
      <c r="B699" s="402"/>
      <c r="C699" s="402"/>
      <c r="D699" s="40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row>
    <row r="700" ht="14.25" customHeight="1">
      <c r="A700" s="402"/>
      <c r="B700" s="402"/>
      <c r="C700" s="402"/>
      <c r="D700" s="40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row>
    <row r="701" ht="14.25" customHeight="1">
      <c r="A701" s="402"/>
      <c r="B701" s="402"/>
      <c r="C701" s="402"/>
      <c r="D701" s="40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row>
    <row r="702" ht="14.25" customHeight="1">
      <c r="A702" s="402"/>
      <c r="B702" s="402"/>
      <c r="C702" s="402"/>
      <c r="D702" s="40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row>
    <row r="703" ht="14.25" customHeight="1">
      <c r="A703" s="402"/>
      <c r="B703" s="402"/>
      <c r="C703" s="402"/>
      <c r="D703" s="40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row>
    <row r="704" ht="14.25" customHeight="1">
      <c r="A704" s="402"/>
      <c r="B704" s="402"/>
      <c r="C704" s="402"/>
      <c r="D704" s="40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row>
    <row r="705" ht="14.25" customHeight="1">
      <c r="A705" s="402"/>
      <c r="B705" s="402"/>
      <c r="C705" s="402"/>
      <c r="D705" s="40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row>
    <row r="706" ht="14.25" customHeight="1">
      <c r="A706" s="402"/>
      <c r="B706" s="402"/>
      <c r="C706" s="402"/>
      <c r="D706" s="40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row>
    <row r="707" ht="14.25" customHeight="1">
      <c r="A707" s="402"/>
      <c r="B707" s="402"/>
      <c r="C707" s="402"/>
      <c r="D707" s="40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row>
    <row r="708" ht="14.25" customHeight="1">
      <c r="A708" s="402"/>
      <c r="B708" s="402"/>
      <c r="C708" s="402"/>
      <c r="D708" s="40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row>
    <row r="709" ht="14.25" customHeight="1">
      <c r="A709" s="402"/>
      <c r="B709" s="402"/>
      <c r="C709" s="402"/>
      <c r="D709" s="40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row>
    <row r="710" ht="14.25" customHeight="1">
      <c r="A710" s="402"/>
      <c r="B710" s="402"/>
      <c r="C710" s="402"/>
      <c r="D710" s="40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row>
    <row r="711" ht="14.25" customHeight="1">
      <c r="A711" s="402"/>
      <c r="B711" s="402"/>
      <c r="C711" s="402"/>
      <c r="D711" s="40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row>
    <row r="712" ht="14.25" customHeight="1">
      <c r="A712" s="402"/>
      <c r="B712" s="402"/>
      <c r="C712" s="402"/>
      <c r="D712" s="40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row>
    <row r="713" ht="14.25" customHeight="1">
      <c r="A713" s="402"/>
      <c r="B713" s="402"/>
      <c r="C713" s="402"/>
      <c r="D713" s="40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row>
    <row r="714" ht="14.25" customHeight="1">
      <c r="A714" s="402"/>
      <c r="B714" s="402"/>
      <c r="C714" s="402"/>
      <c r="D714" s="40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row>
    <row r="715" ht="14.25" customHeight="1">
      <c r="A715" s="402"/>
      <c r="B715" s="402"/>
      <c r="C715" s="402"/>
      <c r="D715" s="40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row>
    <row r="716" ht="14.25" customHeight="1">
      <c r="A716" s="402"/>
      <c r="B716" s="402"/>
      <c r="C716" s="402"/>
      <c r="D716" s="40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row>
    <row r="717" ht="14.25" customHeight="1">
      <c r="A717" s="402"/>
      <c r="B717" s="402"/>
      <c r="C717" s="402"/>
      <c r="D717" s="40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row>
    <row r="718" ht="14.25" customHeight="1">
      <c r="A718" s="402"/>
      <c r="B718" s="402"/>
      <c r="C718" s="402"/>
      <c r="D718" s="40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row>
    <row r="719" ht="14.25" customHeight="1">
      <c r="A719" s="402"/>
      <c r="B719" s="402"/>
      <c r="C719" s="402"/>
      <c r="D719" s="40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row>
    <row r="720" ht="14.25" customHeight="1">
      <c r="A720" s="402"/>
      <c r="B720" s="402"/>
      <c r="C720" s="402"/>
      <c r="D720" s="40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row>
    <row r="721" ht="14.25" customHeight="1">
      <c r="A721" s="402"/>
      <c r="B721" s="402"/>
      <c r="C721" s="402"/>
      <c r="D721" s="40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row>
    <row r="722" ht="14.25" customHeight="1">
      <c r="A722" s="402"/>
      <c r="B722" s="402"/>
      <c r="C722" s="402"/>
      <c r="D722" s="40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row>
    <row r="723" ht="14.25" customHeight="1">
      <c r="A723" s="402"/>
      <c r="B723" s="402"/>
      <c r="C723" s="402"/>
      <c r="D723" s="40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row>
    <row r="724" ht="14.25" customHeight="1">
      <c r="A724" s="402"/>
      <c r="B724" s="402"/>
      <c r="C724" s="402"/>
      <c r="D724" s="40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row>
    <row r="725" ht="14.25" customHeight="1">
      <c r="A725" s="402"/>
      <c r="B725" s="402"/>
      <c r="C725" s="402"/>
      <c r="D725" s="40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row>
    <row r="726" ht="14.25" customHeight="1">
      <c r="A726" s="402"/>
      <c r="B726" s="402"/>
      <c r="C726" s="402"/>
      <c r="D726" s="40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row>
    <row r="727" ht="14.25" customHeight="1">
      <c r="A727" s="402"/>
      <c r="B727" s="402"/>
      <c r="C727" s="402"/>
      <c r="D727" s="40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row>
    <row r="728" ht="14.25" customHeight="1">
      <c r="A728" s="402"/>
      <c r="B728" s="402"/>
      <c r="C728" s="402"/>
      <c r="D728" s="40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row>
    <row r="729" ht="14.25" customHeight="1">
      <c r="A729" s="402"/>
      <c r="B729" s="402"/>
      <c r="C729" s="402"/>
      <c r="D729" s="40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row>
    <row r="730" ht="14.25" customHeight="1">
      <c r="A730" s="402"/>
      <c r="B730" s="402"/>
      <c r="C730" s="402"/>
      <c r="D730" s="40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row>
    <row r="731" ht="14.25" customHeight="1">
      <c r="A731" s="402"/>
      <c r="B731" s="402"/>
      <c r="C731" s="402"/>
      <c r="D731" s="40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row>
    <row r="732" ht="14.25" customHeight="1">
      <c r="A732" s="402"/>
      <c r="B732" s="402"/>
      <c r="C732" s="402"/>
      <c r="D732" s="40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row>
    <row r="733" ht="14.25" customHeight="1">
      <c r="A733" s="402"/>
      <c r="B733" s="402"/>
      <c r="C733" s="402"/>
      <c r="D733" s="40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row>
    <row r="734" ht="14.25" customHeight="1">
      <c r="A734" s="402"/>
      <c r="B734" s="402"/>
      <c r="C734" s="402"/>
      <c r="D734" s="40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row>
    <row r="735" ht="14.25" customHeight="1">
      <c r="A735" s="402"/>
      <c r="B735" s="402"/>
      <c r="C735" s="402"/>
      <c r="D735" s="40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row>
    <row r="736" ht="14.25" customHeight="1">
      <c r="A736" s="402"/>
      <c r="B736" s="402"/>
      <c r="C736" s="402"/>
      <c r="D736" s="40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row>
    <row r="737" ht="14.25" customHeight="1">
      <c r="A737" s="402"/>
      <c r="B737" s="402"/>
      <c r="C737" s="402"/>
      <c r="D737" s="40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row>
    <row r="738" ht="14.25" customHeight="1">
      <c r="A738" s="402"/>
      <c r="B738" s="402"/>
      <c r="C738" s="402"/>
      <c r="D738" s="40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row>
    <row r="739" ht="14.25" customHeight="1">
      <c r="A739" s="402"/>
      <c r="B739" s="402"/>
      <c r="C739" s="402"/>
      <c r="D739" s="40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row>
    <row r="740" ht="14.25" customHeight="1">
      <c r="A740" s="402"/>
      <c r="B740" s="402"/>
      <c r="C740" s="402"/>
      <c r="D740" s="40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row>
    <row r="741" ht="14.25" customHeight="1">
      <c r="A741" s="402"/>
      <c r="B741" s="402"/>
      <c r="C741" s="402"/>
      <c r="D741" s="40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row>
    <row r="742" ht="14.25" customHeight="1">
      <c r="A742" s="402"/>
      <c r="B742" s="402"/>
      <c r="C742" s="402"/>
      <c r="D742" s="40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row>
    <row r="743" ht="14.25" customHeight="1">
      <c r="A743" s="402"/>
      <c r="B743" s="402"/>
      <c r="C743" s="402"/>
      <c r="D743" s="40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row>
    <row r="744" ht="14.25" customHeight="1">
      <c r="A744" s="402"/>
      <c r="B744" s="402"/>
      <c r="C744" s="402"/>
      <c r="D744" s="40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row>
    <row r="745" ht="14.25" customHeight="1">
      <c r="A745" s="402"/>
      <c r="B745" s="402"/>
      <c r="C745" s="402"/>
      <c r="D745" s="40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row>
    <row r="746" ht="14.25" customHeight="1">
      <c r="A746" s="402"/>
      <c r="B746" s="402"/>
      <c r="C746" s="402"/>
      <c r="D746" s="40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row>
    <row r="747" ht="14.25" customHeight="1">
      <c r="A747" s="402"/>
      <c r="B747" s="402"/>
      <c r="C747" s="402"/>
      <c r="D747" s="40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row>
    <row r="748" ht="14.25" customHeight="1">
      <c r="A748" s="402"/>
      <c r="B748" s="402"/>
      <c r="C748" s="402"/>
      <c r="D748" s="40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row>
    <row r="749" ht="14.25" customHeight="1">
      <c r="A749" s="402"/>
      <c r="B749" s="402"/>
      <c r="C749" s="402"/>
      <c r="D749" s="40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row>
    <row r="750" ht="14.25" customHeight="1">
      <c r="A750" s="402"/>
      <c r="B750" s="402"/>
      <c r="C750" s="402"/>
      <c r="D750" s="40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row>
    <row r="751" ht="14.25" customHeight="1">
      <c r="A751" s="402"/>
      <c r="B751" s="402"/>
      <c r="C751" s="402"/>
      <c r="D751" s="40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row>
    <row r="752" ht="14.25" customHeight="1">
      <c r="A752" s="402"/>
      <c r="B752" s="402"/>
      <c r="C752" s="402"/>
      <c r="D752" s="40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row>
    <row r="753" ht="14.25" customHeight="1">
      <c r="A753" s="402"/>
      <c r="B753" s="402"/>
      <c r="C753" s="402"/>
      <c r="D753" s="40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row>
    <row r="754" ht="14.25" customHeight="1">
      <c r="A754" s="402"/>
      <c r="B754" s="402"/>
      <c r="C754" s="402"/>
      <c r="D754" s="40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row>
    <row r="755" ht="14.25" customHeight="1">
      <c r="A755" s="402"/>
      <c r="B755" s="402"/>
      <c r="C755" s="402"/>
      <c r="D755" s="40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row>
    <row r="756" ht="14.25" customHeight="1">
      <c r="A756" s="402"/>
      <c r="B756" s="402"/>
      <c r="C756" s="402"/>
      <c r="D756" s="40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row>
    <row r="757" ht="14.25" customHeight="1">
      <c r="A757" s="402"/>
      <c r="B757" s="402"/>
      <c r="C757" s="402"/>
      <c r="D757" s="40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row>
    <row r="758" ht="14.25" customHeight="1">
      <c r="A758" s="402"/>
      <c r="B758" s="402"/>
      <c r="C758" s="402"/>
      <c r="D758" s="40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row>
    <row r="759" ht="14.25" customHeight="1">
      <c r="A759" s="402"/>
      <c r="B759" s="402"/>
      <c r="C759" s="402"/>
      <c r="D759" s="40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row>
    <row r="760" ht="14.25" customHeight="1">
      <c r="A760" s="402"/>
      <c r="B760" s="402"/>
      <c r="C760" s="402"/>
      <c r="D760" s="40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row>
    <row r="761" ht="14.25" customHeight="1">
      <c r="A761" s="402"/>
      <c r="B761" s="402"/>
      <c r="C761" s="402"/>
      <c r="D761" s="40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row>
    <row r="762" ht="14.25" customHeight="1">
      <c r="A762" s="402"/>
      <c r="B762" s="402"/>
      <c r="C762" s="402"/>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row>
    <row r="763" ht="14.25" customHeight="1">
      <c r="A763" s="402"/>
      <c r="B763" s="402"/>
      <c r="C763" s="402"/>
      <c r="D763" s="40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row>
    <row r="764" ht="14.25" customHeight="1">
      <c r="A764" s="402"/>
      <c r="B764" s="402"/>
      <c r="C764" s="402"/>
      <c r="D764" s="40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row>
    <row r="765" ht="14.25" customHeight="1">
      <c r="A765" s="402"/>
      <c r="B765" s="402"/>
      <c r="C765" s="402"/>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row>
    <row r="766" ht="14.25" customHeight="1">
      <c r="A766" s="402"/>
      <c r="B766" s="402"/>
      <c r="C766" s="402"/>
      <c r="D766" s="40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row>
    <row r="767" ht="14.25" customHeight="1">
      <c r="A767" s="402"/>
      <c r="B767" s="402"/>
      <c r="C767" s="402"/>
      <c r="D767" s="40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row>
    <row r="768" ht="14.25" customHeight="1">
      <c r="A768" s="402"/>
      <c r="B768" s="402"/>
      <c r="C768" s="402"/>
      <c r="D768" s="40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row>
    <row r="769" ht="14.25" customHeight="1">
      <c r="A769" s="402"/>
      <c r="B769" s="402"/>
      <c r="C769" s="402"/>
      <c r="D769" s="40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row>
    <row r="770" ht="14.25" customHeight="1">
      <c r="A770" s="402"/>
      <c r="B770" s="402"/>
      <c r="C770" s="402"/>
      <c r="D770" s="40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row>
    <row r="771" ht="14.25" customHeight="1">
      <c r="A771" s="402"/>
      <c r="B771" s="402"/>
      <c r="C771" s="402"/>
      <c r="D771" s="40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row>
    <row r="772" ht="14.25" customHeight="1">
      <c r="A772" s="402"/>
      <c r="B772" s="402"/>
      <c r="C772" s="402"/>
      <c r="D772" s="40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row>
    <row r="773" ht="14.25" customHeight="1">
      <c r="A773" s="402"/>
      <c r="B773" s="402"/>
      <c r="C773" s="402"/>
      <c r="D773" s="40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row>
    <row r="774" ht="14.25" customHeight="1">
      <c r="A774" s="402"/>
      <c r="B774" s="402"/>
      <c r="C774" s="402"/>
      <c r="D774" s="40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row>
    <row r="775" ht="14.25" customHeight="1">
      <c r="A775" s="402"/>
      <c r="B775" s="402"/>
      <c r="C775" s="402"/>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row>
    <row r="776" ht="14.25" customHeight="1">
      <c r="A776" s="402"/>
      <c r="B776" s="402"/>
      <c r="C776" s="402"/>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row>
    <row r="777" ht="14.25" customHeight="1">
      <c r="A777" s="402"/>
      <c r="B777" s="402"/>
      <c r="C777" s="402"/>
      <c r="D777" s="40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row>
    <row r="778" ht="14.25" customHeight="1">
      <c r="A778" s="402"/>
      <c r="B778" s="402"/>
      <c r="C778" s="402"/>
      <c r="D778" s="40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row>
    <row r="779" ht="14.25" customHeight="1">
      <c r="A779" s="402"/>
      <c r="B779" s="402"/>
      <c r="C779" s="402"/>
      <c r="D779" s="40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row>
    <row r="780" ht="14.25" customHeight="1">
      <c r="A780" s="402"/>
      <c r="B780" s="402"/>
      <c r="C780" s="402"/>
      <c r="D780" s="40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row>
    <row r="781" ht="14.25" customHeight="1">
      <c r="A781" s="402"/>
      <c r="B781" s="402"/>
      <c r="C781" s="402"/>
      <c r="D781" s="40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row>
    <row r="782" ht="14.25" customHeight="1">
      <c r="A782" s="402"/>
      <c r="B782" s="402"/>
      <c r="C782" s="402"/>
      <c r="D782" s="40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row>
    <row r="783" ht="14.25" customHeight="1">
      <c r="A783" s="402"/>
      <c r="B783" s="402"/>
      <c r="C783" s="402"/>
      <c r="D783" s="40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row>
    <row r="784" ht="14.25" customHeight="1">
      <c r="A784" s="402"/>
      <c r="B784" s="402"/>
      <c r="C784" s="402"/>
      <c r="D784" s="40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row>
    <row r="785" ht="14.25" customHeight="1">
      <c r="A785" s="402"/>
      <c r="B785" s="402"/>
      <c r="C785" s="402"/>
      <c r="D785" s="40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row>
    <row r="786" ht="14.25" customHeight="1">
      <c r="A786" s="402"/>
      <c r="B786" s="402"/>
      <c r="C786" s="402"/>
      <c r="D786" s="40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row>
    <row r="787" ht="14.25" customHeight="1">
      <c r="A787" s="402"/>
      <c r="B787" s="402"/>
      <c r="C787" s="402"/>
      <c r="D787" s="40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row>
    <row r="788" ht="14.25" customHeight="1">
      <c r="A788" s="402"/>
      <c r="B788" s="402"/>
      <c r="C788" s="402"/>
      <c r="D788" s="40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row>
    <row r="789" ht="14.25" customHeight="1">
      <c r="A789" s="402"/>
      <c r="B789" s="402"/>
      <c r="C789" s="402"/>
      <c r="D789" s="40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row>
    <row r="790" ht="14.25" customHeight="1">
      <c r="A790" s="402"/>
      <c r="B790" s="402"/>
      <c r="C790" s="402"/>
      <c r="D790" s="40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row>
    <row r="791" ht="14.25" customHeight="1">
      <c r="A791" s="402"/>
      <c r="B791" s="402"/>
      <c r="C791" s="402"/>
      <c r="D791" s="40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row>
    <row r="792" ht="14.25" customHeight="1">
      <c r="A792" s="402"/>
      <c r="B792" s="402"/>
      <c r="C792" s="402"/>
      <c r="D792" s="40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row>
    <row r="793" ht="14.25" customHeight="1">
      <c r="A793" s="402"/>
      <c r="B793" s="402"/>
      <c r="C793" s="402"/>
      <c r="D793" s="40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row>
    <row r="794" ht="14.25" customHeight="1">
      <c r="A794" s="402"/>
      <c r="B794" s="402"/>
      <c r="C794" s="402"/>
      <c r="D794" s="40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row>
    <row r="795" ht="14.25" customHeight="1">
      <c r="A795" s="402"/>
      <c r="B795" s="402"/>
      <c r="C795" s="402"/>
      <c r="D795" s="40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row>
    <row r="796" ht="14.25" customHeight="1">
      <c r="A796" s="402"/>
      <c r="B796" s="402"/>
      <c r="C796" s="402"/>
      <c r="D796" s="40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row>
    <row r="797" ht="14.25" customHeight="1">
      <c r="A797" s="402"/>
      <c r="B797" s="402"/>
      <c r="C797" s="402"/>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row>
    <row r="798" ht="14.25" customHeight="1">
      <c r="A798" s="402"/>
      <c r="B798" s="402"/>
      <c r="C798" s="402"/>
      <c r="D798" s="40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row>
    <row r="799" ht="14.25" customHeight="1">
      <c r="A799" s="402"/>
      <c r="B799" s="402"/>
      <c r="C799" s="402"/>
      <c r="D799" s="40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row>
    <row r="800" ht="14.25" customHeight="1">
      <c r="A800" s="402"/>
      <c r="B800" s="402"/>
      <c r="C800" s="402"/>
      <c r="D800" s="40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row>
    <row r="801" ht="14.25" customHeight="1">
      <c r="A801" s="402"/>
      <c r="B801" s="402"/>
      <c r="C801" s="402"/>
      <c r="D801" s="40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row>
    <row r="802" ht="14.25" customHeight="1">
      <c r="A802" s="402"/>
      <c r="B802" s="402"/>
      <c r="C802" s="402"/>
      <c r="D802" s="40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row>
    <row r="803" ht="14.25" customHeight="1">
      <c r="A803" s="402"/>
      <c r="B803" s="402"/>
      <c r="C803" s="402"/>
      <c r="D803" s="40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row>
    <row r="804" ht="14.25" customHeight="1">
      <c r="A804" s="402"/>
      <c r="B804" s="402"/>
      <c r="C804" s="402"/>
      <c r="D804" s="40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row>
    <row r="805" ht="14.25" customHeight="1">
      <c r="A805" s="402"/>
      <c r="B805" s="402"/>
      <c r="C805" s="402"/>
      <c r="D805" s="40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row>
    <row r="806" ht="14.25" customHeight="1">
      <c r="A806" s="402"/>
      <c r="B806" s="402"/>
      <c r="C806" s="402"/>
      <c r="D806" s="40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row>
    <row r="807" ht="14.25" customHeight="1">
      <c r="A807" s="402"/>
      <c r="B807" s="402"/>
      <c r="C807" s="402"/>
      <c r="D807" s="40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row>
    <row r="808" ht="14.25" customHeight="1">
      <c r="A808" s="402"/>
      <c r="B808" s="402"/>
      <c r="C808" s="402"/>
      <c r="D808" s="40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row>
    <row r="809" ht="14.25" customHeight="1">
      <c r="A809" s="402"/>
      <c r="B809" s="402"/>
      <c r="C809" s="402"/>
      <c r="D809" s="40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row>
    <row r="810" ht="14.25" customHeight="1">
      <c r="A810" s="402"/>
      <c r="B810" s="402"/>
      <c r="C810" s="402"/>
      <c r="D810" s="40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row>
    <row r="811" ht="14.25" customHeight="1">
      <c r="A811" s="402"/>
      <c r="B811" s="402"/>
      <c r="C811" s="402"/>
      <c r="D811" s="40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row>
    <row r="812" ht="14.25" customHeight="1">
      <c r="A812" s="402"/>
      <c r="B812" s="402"/>
      <c r="C812" s="402"/>
      <c r="D812" s="40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row>
    <row r="813" ht="14.25" customHeight="1">
      <c r="A813" s="402"/>
      <c r="B813" s="402"/>
      <c r="C813" s="402"/>
      <c r="D813" s="40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row>
    <row r="814" ht="14.25" customHeight="1">
      <c r="A814" s="402"/>
      <c r="B814" s="402"/>
      <c r="C814" s="402"/>
      <c r="D814" s="40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row>
    <row r="815" ht="14.25" customHeight="1">
      <c r="A815" s="402"/>
      <c r="B815" s="402"/>
      <c r="C815" s="402"/>
      <c r="D815" s="40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row>
    <row r="816" ht="14.25" customHeight="1">
      <c r="A816" s="402"/>
      <c r="B816" s="402"/>
      <c r="C816" s="402"/>
      <c r="D816" s="40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row>
    <row r="817" ht="14.25" customHeight="1">
      <c r="A817" s="402"/>
      <c r="B817" s="402"/>
      <c r="C817" s="402"/>
      <c r="D817" s="40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row>
    <row r="818" ht="14.25" customHeight="1">
      <c r="A818" s="402"/>
      <c r="B818" s="402"/>
      <c r="C818" s="402"/>
      <c r="D818" s="40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row>
    <row r="819" ht="14.25" customHeight="1">
      <c r="A819" s="402"/>
      <c r="B819" s="402"/>
      <c r="C819" s="402"/>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row>
    <row r="820" ht="14.25" customHeight="1">
      <c r="A820" s="402"/>
      <c r="B820" s="402"/>
      <c r="C820" s="402"/>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row>
    <row r="821" ht="14.25" customHeight="1">
      <c r="A821" s="402"/>
      <c r="B821" s="402"/>
      <c r="C821" s="402"/>
      <c r="D821" s="40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row>
    <row r="822" ht="14.25" customHeight="1">
      <c r="A822" s="402"/>
      <c r="B822" s="402"/>
      <c r="C822" s="402"/>
      <c r="D822" s="40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row>
    <row r="823" ht="14.25" customHeight="1">
      <c r="A823" s="402"/>
      <c r="B823" s="402"/>
      <c r="C823" s="402"/>
      <c r="D823" s="40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row>
    <row r="824" ht="14.25" customHeight="1">
      <c r="A824" s="402"/>
      <c r="B824" s="402"/>
      <c r="C824" s="402"/>
      <c r="D824" s="40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row>
    <row r="825" ht="14.25" customHeight="1">
      <c r="A825" s="402"/>
      <c r="B825" s="402"/>
      <c r="C825" s="402"/>
      <c r="D825" s="40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row>
    <row r="826" ht="14.25" customHeight="1">
      <c r="A826" s="402"/>
      <c r="B826" s="402"/>
      <c r="C826" s="402"/>
      <c r="D826" s="40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row>
    <row r="827" ht="14.25" customHeight="1">
      <c r="A827" s="402"/>
      <c r="B827" s="402"/>
      <c r="C827" s="402"/>
      <c r="D827" s="40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row>
    <row r="828" ht="14.25" customHeight="1">
      <c r="A828" s="402"/>
      <c r="B828" s="402"/>
      <c r="C828" s="402"/>
      <c r="D828" s="40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row>
    <row r="829" ht="14.25" customHeight="1">
      <c r="A829" s="402"/>
      <c r="B829" s="402"/>
      <c r="C829" s="402"/>
      <c r="D829" s="40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row>
    <row r="830" ht="14.25" customHeight="1">
      <c r="A830" s="402"/>
      <c r="B830" s="402"/>
      <c r="C830" s="402"/>
      <c r="D830" s="40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row>
    <row r="831" ht="14.25" customHeight="1">
      <c r="A831" s="402"/>
      <c r="B831" s="402"/>
      <c r="C831" s="402"/>
      <c r="D831" s="40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row>
    <row r="832" ht="14.25" customHeight="1">
      <c r="A832" s="402"/>
      <c r="B832" s="402"/>
      <c r="C832" s="402"/>
      <c r="D832" s="40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row>
    <row r="833" ht="14.25" customHeight="1">
      <c r="A833" s="402"/>
      <c r="B833" s="402"/>
      <c r="C833" s="402"/>
      <c r="D833" s="40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row>
    <row r="834" ht="14.25" customHeight="1">
      <c r="A834" s="402"/>
      <c r="B834" s="402"/>
      <c r="C834" s="402"/>
      <c r="D834" s="40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row>
    <row r="835" ht="14.25" customHeight="1">
      <c r="A835" s="402"/>
      <c r="B835" s="402"/>
      <c r="C835" s="402"/>
      <c r="D835" s="40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row>
    <row r="836" ht="14.25" customHeight="1">
      <c r="A836" s="402"/>
      <c r="B836" s="402"/>
      <c r="C836" s="402"/>
      <c r="D836" s="40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row>
    <row r="837" ht="14.25" customHeight="1">
      <c r="A837" s="402"/>
      <c r="B837" s="402"/>
      <c r="C837" s="402"/>
      <c r="D837" s="40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row>
    <row r="838" ht="14.25" customHeight="1">
      <c r="A838" s="402"/>
      <c r="B838" s="402"/>
      <c r="C838" s="402"/>
      <c r="D838" s="40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row>
    <row r="839" ht="14.25" customHeight="1">
      <c r="A839" s="402"/>
      <c r="B839" s="402"/>
      <c r="C839" s="402"/>
      <c r="D839" s="40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row>
    <row r="840" ht="14.25" customHeight="1">
      <c r="A840" s="402"/>
      <c r="B840" s="402"/>
      <c r="C840" s="402"/>
      <c r="D840" s="40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row>
    <row r="841" ht="14.25" customHeight="1">
      <c r="A841" s="402"/>
      <c r="B841" s="402"/>
      <c r="C841" s="402"/>
      <c r="D841" s="40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row>
    <row r="842" ht="14.25" customHeight="1">
      <c r="A842" s="402"/>
      <c r="B842" s="402"/>
      <c r="C842" s="402"/>
      <c r="D842" s="40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row>
    <row r="843" ht="14.25" customHeight="1">
      <c r="A843" s="402"/>
      <c r="B843" s="402"/>
      <c r="C843" s="402"/>
      <c r="D843" s="40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row>
    <row r="844" ht="14.25" customHeight="1">
      <c r="A844" s="402"/>
      <c r="B844" s="402"/>
      <c r="C844" s="402"/>
      <c r="D844" s="40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row>
    <row r="845" ht="14.25" customHeight="1">
      <c r="A845" s="402"/>
      <c r="B845" s="402"/>
      <c r="C845" s="402"/>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row>
    <row r="846" ht="14.25" customHeight="1">
      <c r="A846" s="402"/>
      <c r="B846" s="402"/>
      <c r="C846" s="402"/>
      <c r="D846" s="40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row>
    <row r="847" ht="14.25" customHeight="1">
      <c r="A847" s="402"/>
      <c r="B847" s="402"/>
      <c r="C847" s="402"/>
      <c r="D847" s="40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row>
    <row r="848" ht="14.25" customHeight="1">
      <c r="A848" s="402"/>
      <c r="B848" s="402"/>
      <c r="C848" s="402"/>
      <c r="D848" s="40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row>
    <row r="849" ht="14.25" customHeight="1">
      <c r="A849" s="402"/>
      <c r="B849" s="402"/>
      <c r="C849" s="402"/>
      <c r="D849" s="40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row>
    <row r="850" ht="14.25" customHeight="1">
      <c r="A850" s="402"/>
      <c r="B850" s="402"/>
      <c r="C850" s="402"/>
      <c r="D850" s="40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row>
    <row r="851" ht="14.25" customHeight="1">
      <c r="A851" s="402"/>
      <c r="B851" s="402"/>
      <c r="C851" s="402"/>
      <c r="D851" s="40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row>
    <row r="852" ht="14.25" customHeight="1">
      <c r="A852" s="402"/>
      <c r="B852" s="402"/>
      <c r="C852" s="402"/>
      <c r="D852" s="40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row>
    <row r="853" ht="14.25" customHeight="1">
      <c r="A853" s="402"/>
      <c r="B853" s="402"/>
      <c r="C853" s="402"/>
      <c r="D853" s="40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row>
    <row r="854" ht="14.25" customHeight="1">
      <c r="A854" s="402"/>
      <c r="B854" s="402"/>
      <c r="C854" s="402"/>
      <c r="D854" s="40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row>
    <row r="855" ht="14.25" customHeight="1">
      <c r="A855" s="402"/>
      <c r="B855" s="402"/>
      <c r="C855" s="402"/>
      <c r="D855" s="40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row>
    <row r="856" ht="14.25" customHeight="1">
      <c r="A856" s="402"/>
      <c r="B856" s="402"/>
      <c r="C856" s="402"/>
      <c r="D856" s="40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row>
    <row r="857" ht="14.25" customHeight="1">
      <c r="A857" s="402"/>
      <c r="B857" s="402"/>
      <c r="C857" s="402"/>
      <c r="D857" s="40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row>
    <row r="858" ht="14.25" customHeight="1">
      <c r="A858" s="402"/>
      <c r="B858" s="402"/>
      <c r="C858" s="402"/>
      <c r="D858" s="40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row>
    <row r="859" ht="14.25" customHeight="1">
      <c r="A859" s="402"/>
      <c r="B859" s="402"/>
      <c r="C859" s="402"/>
      <c r="D859" s="40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row>
    <row r="860" ht="14.25" customHeight="1">
      <c r="A860" s="402"/>
      <c r="B860" s="402"/>
      <c r="C860" s="402"/>
      <c r="D860" s="40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row>
    <row r="861" ht="14.25" customHeight="1">
      <c r="A861" s="402"/>
      <c r="B861" s="402"/>
      <c r="C861" s="402"/>
      <c r="D861" s="40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row>
    <row r="862" ht="14.25" customHeight="1">
      <c r="A862" s="402"/>
      <c r="B862" s="402"/>
      <c r="C862" s="402"/>
      <c r="D862" s="40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row>
    <row r="863" ht="14.25" customHeight="1">
      <c r="A863" s="402"/>
      <c r="B863" s="402"/>
      <c r="C863" s="402"/>
      <c r="D863" s="40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row>
    <row r="864" ht="14.25" customHeight="1">
      <c r="A864" s="402"/>
      <c r="B864" s="402"/>
      <c r="C864" s="402"/>
      <c r="D864" s="40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row>
    <row r="865" ht="14.25" customHeight="1">
      <c r="A865" s="402"/>
      <c r="B865" s="402"/>
      <c r="C865" s="402"/>
      <c r="D865" s="40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row>
    <row r="866" ht="14.25" customHeight="1">
      <c r="A866" s="402"/>
      <c r="B866" s="402"/>
      <c r="C866" s="402"/>
      <c r="D866" s="40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row>
    <row r="867" ht="14.25" customHeight="1">
      <c r="A867" s="402"/>
      <c r="B867" s="402"/>
      <c r="C867" s="402"/>
      <c r="D867" s="40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row>
    <row r="868" ht="14.25" customHeight="1">
      <c r="A868" s="402"/>
      <c r="B868" s="402"/>
      <c r="C868" s="402"/>
      <c r="D868" s="40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row>
    <row r="869" ht="14.25" customHeight="1">
      <c r="A869" s="402"/>
      <c r="B869" s="402"/>
      <c r="C869" s="402"/>
      <c r="D869" s="40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row>
    <row r="870" ht="14.25" customHeight="1">
      <c r="A870" s="402"/>
      <c r="B870" s="402"/>
      <c r="C870" s="402"/>
      <c r="D870" s="40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row>
    <row r="871" ht="14.25" customHeight="1">
      <c r="A871" s="402"/>
      <c r="B871" s="402"/>
      <c r="C871" s="402"/>
      <c r="D871" s="40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row>
    <row r="872" ht="14.25" customHeight="1">
      <c r="A872" s="402"/>
      <c r="B872" s="402"/>
      <c r="C872" s="402"/>
      <c r="D872" s="40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row>
    <row r="873" ht="14.25" customHeight="1">
      <c r="A873" s="402"/>
      <c r="B873" s="402"/>
      <c r="C873" s="402"/>
      <c r="D873" s="40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row>
    <row r="874" ht="14.25" customHeight="1">
      <c r="A874" s="402"/>
      <c r="B874" s="402"/>
      <c r="C874" s="402"/>
      <c r="D874" s="40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row>
    <row r="875" ht="14.25" customHeight="1">
      <c r="A875" s="402"/>
      <c r="B875" s="402"/>
      <c r="C875" s="402"/>
      <c r="D875" s="40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row>
    <row r="876" ht="14.25" customHeight="1">
      <c r="A876" s="402"/>
      <c r="B876" s="402"/>
      <c r="C876" s="402"/>
      <c r="D876" s="40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row>
    <row r="877" ht="14.25" customHeight="1">
      <c r="A877" s="402"/>
      <c r="B877" s="402"/>
      <c r="C877" s="402"/>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row>
    <row r="878" ht="14.25" customHeight="1">
      <c r="A878" s="402"/>
      <c r="B878" s="402"/>
      <c r="C878" s="402"/>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row>
    <row r="879" ht="14.25" customHeight="1">
      <c r="A879" s="402"/>
      <c r="B879" s="402"/>
      <c r="C879" s="402"/>
      <c r="D879" s="40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row>
    <row r="880" ht="14.25" customHeight="1">
      <c r="A880" s="402"/>
      <c r="B880" s="402"/>
      <c r="C880" s="402"/>
      <c r="D880" s="40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row>
    <row r="881" ht="14.25" customHeight="1">
      <c r="A881" s="402"/>
      <c r="B881" s="402"/>
      <c r="C881" s="402"/>
      <c r="D881" s="40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row>
    <row r="882" ht="14.25" customHeight="1">
      <c r="A882" s="402"/>
      <c r="B882" s="402"/>
      <c r="C882" s="402"/>
      <c r="D882" s="40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row>
    <row r="883" ht="14.25" customHeight="1">
      <c r="A883" s="402"/>
      <c r="B883" s="402"/>
      <c r="C883" s="402"/>
      <c r="D883" s="40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row>
    <row r="884" ht="14.25" customHeight="1">
      <c r="A884" s="402"/>
      <c r="B884" s="402"/>
      <c r="C884" s="402"/>
      <c r="D884" s="40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row>
    <row r="885" ht="14.25" customHeight="1">
      <c r="A885" s="402"/>
      <c r="B885" s="402"/>
      <c r="C885" s="402"/>
      <c r="D885" s="40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row>
    <row r="886" ht="14.25" customHeight="1">
      <c r="A886" s="402"/>
      <c r="B886" s="402"/>
      <c r="C886" s="402"/>
      <c r="D886" s="40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row>
    <row r="887" ht="14.25" customHeight="1">
      <c r="A887" s="402"/>
      <c r="B887" s="402"/>
      <c r="C887" s="402"/>
      <c r="D887" s="40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row>
    <row r="888" ht="14.25" customHeight="1">
      <c r="A888" s="402"/>
      <c r="B888" s="402"/>
      <c r="C888" s="402"/>
      <c r="D888" s="40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row>
    <row r="889" ht="14.25" customHeight="1">
      <c r="A889" s="402"/>
      <c r="B889" s="402"/>
      <c r="C889" s="402"/>
      <c r="D889" s="40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row>
    <row r="890" ht="14.25" customHeight="1">
      <c r="A890" s="402"/>
      <c r="B890" s="402"/>
      <c r="C890" s="402"/>
      <c r="D890" s="40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row>
    <row r="891" ht="14.25" customHeight="1">
      <c r="A891" s="402"/>
      <c r="B891" s="402"/>
      <c r="C891" s="402"/>
      <c r="D891" s="40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row>
    <row r="892" ht="14.25" customHeight="1">
      <c r="A892" s="402"/>
      <c r="B892" s="402"/>
      <c r="C892" s="402"/>
      <c r="D892" s="40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row>
    <row r="893" ht="14.25" customHeight="1">
      <c r="A893" s="402"/>
      <c r="B893" s="402"/>
      <c r="C893" s="402"/>
      <c r="D893" s="40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row>
    <row r="894" ht="14.25" customHeight="1">
      <c r="A894" s="402"/>
      <c r="B894" s="402"/>
      <c r="C894" s="402"/>
      <c r="D894" s="40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row>
    <row r="895" ht="14.25" customHeight="1">
      <c r="A895" s="402"/>
      <c r="B895" s="402"/>
      <c r="C895" s="402"/>
      <c r="D895" s="40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row>
    <row r="896" ht="14.25" customHeight="1">
      <c r="A896" s="402"/>
      <c r="B896" s="402"/>
      <c r="C896" s="402"/>
      <c r="D896" s="40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row>
    <row r="897" ht="14.25" customHeight="1">
      <c r="A897" s="402"/>
      <c r="B897" s="402"/>
      <c r="C897" s="402"/>
      <c r="D897" s="40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row>
    <row r="898" ht="14.25" customHeight="1">
      <c r="A898" s="402"/>
      <c r="B898" s="402"/>
      <c r="C898" s="402"/>
      <c r="D898" s="40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row>
    <row r="899" ht="14.25" customHeight="1">
      <c r="A899" s="402"/>
      <c r="B899" s="402"/>
      <c r="C899" s="402"/>
      <c r="D899" s="40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row>
    <row r="900" ht="14.25" customHeight="1">
      <c r="A900" s="402"/>
      <c r="B900" s="402"/>
      <c r="C900" s="402"/>
      <c r="D900" s="40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row>
    <row r="901" ht="14.25" customHeight="1">
      <c r="A901" s="402"/>
      <c r="B901" s="402"/>
      <c r="C901" s="402"/>
      <c r="D901" s="40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row>
    <row r="902" ht="14.25" customHeight="1">
      <c r="A902" s="402"/>
      <c r="B902" s="402"/>
      <c r="C902" s="402"/>
      <c r="D902" s="40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row>
    <row r="903" ht="14.25" customHeight="1">
      <c r="A903" s="402"/>
      <c r="B903" s="402"/>
      <c r="C903" s="402"/>
      <c r="D903" s="40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row>
    <row r="904" ht="14.25" customHeight="1">
      <c r="A904" s="402"/>
      <c r="B904" s="402"/>
      <c r="C904" s="402"/>
      <c r="D904" s="40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row>
    <row r="905" ht="14.25" customHeight="1">
      <c r="A905" s="402"/>
      <c r="B905" s="402"/>
      <c r="C905" s="402"/>
      <c r="D905" s="40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row>
    <row r="906" ht="14.25" customHeight="1">
      <c r="A906" s="402"/>
      <c r="B906" s="402"/>
      <c r="C906" s="402"/>
      <c r="D906" s="40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row>
    <row r="907" ht="14.25" customHeight="1">
      <c r="A907" s="402"/>
      <c r="B907" s="402"/>
      <c r="C907" s="402"/>
      <c r="D907" s="40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row>
    <row r="908" ht="14.25" customHeight="1">
      <c r="A908" s="402"/>
      <c r="B908" s="402"/>
      <c r="C908" s="402"/>
      <c r="D908" s="40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row>
    <row r="909" ht="14.25" customHeight="1">
      <c r="A909" s="402"/>
      <c r="B909" s="402"/>
      <c r="C909" s="402"/>
      <c r="D909" s="40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row>
    <row r="910" ht="14.25" customHeight="1">
      <c r="A910" s="402"/>
      <c r="B910" s="402"/>
      <c r="C910" s="402"/>
      <c r="D910" s="40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row>
    <row r="911" ht="14.25" customHeight="1">
      <c r="A911" s="402"/>
      <c r="B911" s="402"/>
      <c r="C911" s="402"/>
      <c r="D911" s="40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row>
    <row r="912" ht="14.25" customHeight="1">
      <c r="A912" s="402"/>
      <c r="B912" s="402"/>
      <c r="C912" s="402"/>
      <c r="D912" s="40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row>
    <row r="913" ht="14.25" customHeight="1">
      <c r="A913" s="402"/>
      <c r="B913" s="402"/>
      <c r="C913" s="402"/>
      <c r="D913" s="40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row>
    <row r="914" ht="14.25" customHeight="1">
      <c r="A914" s="402"/>
      <c r="B914" s="402"/>
      <c r="C914" s="402"/>
      <c r="D914" s="40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row>
    <row r="915" ht="14.25" customHeight="1">
      <c r="A915" s="402"/>
      <c r="B915" s="402"/>
      <c r="C915" s="402"/>
      <c r="D915" s="40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row>
    <row r="916" ht="14.25" customHeight="1">
      <c r="A916" s="402"/>
      <c r="B916" s="402"/>
      <c r="C916" s="402"/>
      <c r="D916" s="40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row>
    <row r="917" ht="14.25" customHeight="1">
      <c r="A917" s="402"/>
      <c r="B917" s="402"/>
      <c r="C917" s="402"/>
      <c r="D917" s="40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row>
    <row r="918" ht="14.25" customHeight="1">
      <c r="A918" s="402"/>
      <c r="B918" s="402"/>
      <c r="C918" s="402"/>
      <c r="D918" s="40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row>
    <row r="919" ht="14.25" customHeight="1">
      <c r="A919" s="402"/>
      <c r="B919" s="402"/>
      <c r="C919" s="402"/>
      <c r="D919" s="40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row>
    <row r="920" ht="14.25" customHeight="1">
      <c r="A920" s="402"/>
      <c r="B920" s="402"/>
      <c r="C920" s="402"/>
      <c r="D920" s="40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row>
    <row r="921" ht="14.25" customHeight="1">
      <c r="A921" s="402"/>
      <c r="B921" s="402"/>
      <c r="C921" s="402"/>
      <c r="D921" s="40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row>
    <row r="922" ht="14.25" customHeight="1">
      <c r="A922" s="402"/>
      <c r="B922" s="402"/>
      <c r="C922" s="402"/>
      <c r="D922" s="40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row>
    <row r="923" ht="14.25" customHeight="1">
      <c r="A923" s="402"/>
      <c r="B923" s="402"/>
      <c r="C923" s="402"/>
      <c r="D923" s="40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row>
    <row r="924" ht="14.25" customHeight="1">
      <c r="A924" s="402"/>
      <c r="B924" s="402"/>
      <c r="C924" s="402"/>
      <c r="D924" s="40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row>
    <row r="925" ht="14.25" customHeight="1">
      <c r="A925" s="402"/>
      <c r="B925" s="402"/>
      <c r="C925" s="402"/>
      <c r="D925" s="40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row>
    <row r="926" ht="14.25" customHeight="1">
      <c r="A926" s="402"/>
      <c r="B926" s="402"/>
      <c r="C926" s="402"/>
      <c r="D926" s="40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row>
    <row r="927" ht="14.25" customHeight="1">
      <c r="A927" s="402"/>
      <c r="B927" s="402"/>
      <c r="C927" s="402"/>
      <c r="D927" s="40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row>
    <row r="928" ht="14.25" customHeight="1">
      <c r="A928" s="402"/>
      <c r="B928" s="402"/>
      <c r="C928" s="402"/>
      <c r="D928" s="40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row>
    <row r="929" ht="14.25" customHeight="1">
      <c r="A929" s="402"/>
      <c r="B929" s="402"/>
      <c r="C929" s="402"/>
      <c r="D929" s="40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row>
    <row r="930" ht="14.25" customHeight="1">
      <c r="A930" s="402"/>
      <c r="B930" s="402"/>
      <c r="C930" s="402"/>
      <c r="D930" s="40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row>
    <row r="931" ht="14.25" customHeight="1">
      <c r="A931" s="402"/>
      <c r="B931" s="402"/>
      <c r="C931" s="402"/>
      <c r="D931" s="40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row>
    <row r="932" ht="14.25" customHeight="1">
      <c r="A932" s="402"/>
      <c r="B932" s="402"/>
      <c r="C932" s="402"/>
      <c r="D932" s="40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row>
    <row r="933" ht="14.25" customHeight="1">
      <c r="A933" s="402"/>
      <c r="B933" s="402"/>
      <c r="C933" s="402"/>
      <c r="D933" s="40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row>
    <row r="934" ht="14.25" customHeight="1">
      <c r="A934" s="402"/>
      <c r="B934" s="402"/>
      <c r="C934" s="402"/>
      <c r="D934" s="40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row>
    <row r="935" ht="14.25" customHeight="1">
      <c r="A935" s="402"/>
      <c r="B935" s="402"/>
      <c r="C935" s="402"/>
      <c r="D935" s="40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row>
    <row r="936" ht="14.25" customHeight="1">
      <c r="A936" s="402"/>
      <c r="B936" s="402"/>
      <c r="C936" s="402"/>
      <c r="D936" s="40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row>
    <row r="937" ht="14.25" customHeight="1">
      <c r="A937" s="402"/>
      <c r="B937" s="402"/>
      <c r="C937" s="402"/>
      <c r="D937" s="40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row>
    <row r="938" ht="14.25" customHeight="1">
      <c r="A938" s="402"/>
      <c r="B938" s="402"/>
      <c r="C938" s="402"/>
      <c r="D938" s="40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row>
    <row r="939" ht="14.25" customHeight="1">
      <c r="A939" s="402"/>
      <c r="B939" s="402"/>
      <c r="C939" s="402"/>
      <c r="D939" s="40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row>
    <row r="940" ht="14.25" customHeight="1">
      <c r="A940" s="402"/>
      <c r="B940" s="402"/>
      <c r="C940" s="402"/>
      <c r="D940" s="40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row>
    <row r="941" ht="14.25" customHeight="1">
      <c r="A941" s="402"/>
      <c r="B941" s="402"/>
      <c r="C941" s="402"/>
      <c r="D941" s="40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row>
    <row r="942" ht="14.25" customHeight="1">
      <c r="A942" s="402"/>
      <c r="B942" s="402"/>
      <c r="C942" s="402"/>
      <c r="D942" s="40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row>
    <row r="943" ht="14.25" customHeight="1">
      <c r="A943" s="402"/>
      <c r="B943" s="402"/>
      <c r="C943" s="402"/>
      <c r="D943" s="40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row>
    <row r="944" ht="14.25" customHeight="1">
      <c r="A944" s="402"/>
      <c r="B944" s="402"/>
      <c r="C944" s="402"/>
      <c r="D944" s="40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row>
    <row r="945" ht="14.25" customHeight="1">
      <c r="A945" s="402"/>
      <c r="B945" s="402"/>
      <c r="C945" s="402"/>
      <c r="D945" s="40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row>
    <row r="946" ht="14.25" customHeight="1">
      <c r="A946" s="402"/>
      <c r="B946" s="402"/>
      <c r="C946" s="402"/>
      <c r="D946" s="40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row>
    <row r="947" ht="14.25" customHeight="1">
      <c r="A947" s="402"/>
      <c r="B947" s="402"/>
      <c r="C947" s="402"/>
      <c r="D947" s="40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row>
    <row r="948" ht="14.25" customHeight="1">
      <c r="A948" s="402"/>
      <c r="B948" s="402"/>
      <c r="C948" s="402"/>
      <c r="D948" s="40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row>
    <row r="949" ht="14.25" customHeight="1">
      <c r="A949" s="402"/>
      <c r="B949" s="402"/>
      <c r="C949" s="402"/>
      <c r="D949" s="40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row>
    <row r="950" ht="14.25" customHeight="1">
      <c r="A950" s="402"/>
      <c r="B950" s="402"/>
      <c r="C950" s="402"/>
      <c r="D950" s="40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row>
    <row r="951" ht="14.25" customHeight="1">
      <c r="A951" s="402"/>
      <c r="B951" s="402"/>
      <c r="C951" s="402"/>
      <c r="D951" s="40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row>
    <row r="952" ht="14.25" customHeight="1">
      <c r="A952" s="402"/>
      <c r="B952" s="402"/>
      <c r="C952" s="402"/>
      <c r="D952" s="40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row>
    <row r="953" ht="14.25" customHeight="1">
      <c r="A953" s="402"/>
      <c r="B953" s="402"/>
      <c r="C953" s="402"/>
      <c r="D953" s="40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row>
    <row r="954" ht="14.25" customHeight="1">
      <c r="A954" s="402"/>
      <c r="B954" s="402"/>
      <c r="C954" s="402"/>
      <c r="D954" s="40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row>
    <row r="955" ht="14.25" customHeight="1">
      <c r="A955" s="402"/>
      <c r="B955" s="402"/>
      <c r="C955" s="402"/>
      <c r="D955" s="40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row>
    <row r="956" ht="14.25" customHeight="1">
      <c r="A956" s="402"/>
      <c r="B956" s="402"/>
      <c r="C956" s="402"/>
      <c r="D956" s="40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row>
    <row r="957" ht="14.25" customHeight="1">
      <c r="A957" s="402"/>
      <c r="B957" s="402"/>
      <c r="C957" s="402"/>
      <c r="D957" s="40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18.0"/>
    <col customWidth="1" min="3" max="3" width="28.29"/>
    <col customWidth="1" min="4" max="4" width="20.86"/>
    <col customWidth="1" min="5" max="5" width="17.29"/>
    <col customWidth="1" min="6" max="6" width="21.71"/>
    <col customWidth="1" min="7" max="7" width="13.71"/>
    <col customWidth="1" min="8" max="8" width="80.43"/>
    <col customWidth="1" min="9" max="9" width="14.43"/>
    <col customWidth="1" min="10" max="26" width="8.71"/>
  </cols>
  <sheetData>
    <row r="1" ht="14.25" customHeight="1">
      <c r="A1" s="584" t="s">
        <v>2130</v>
      </c>
      <c r="B1" s="584" t="s">
        <v>39</v>
      </c>
      <c r="C1" s="584" t="s">
        <v>48</v>
      </c>
      <c r="D1" s="584" t="s">
        <v>49</v>
      </c>
      <c r="E1" s="584" t="s">
        <v>50</v>
      </c>
      <c r="F1" s="586" t="s">
        <v>2</v>
      </c>
      <c r="G1" s="586" t="s">
        <v>44</v>
      </c>
      <c r="H1" s="584" t="s">
        <v>45</v>
      </c>
      <c r="I1" s="584"/>
      <c r="J1" s="584"/>
      <c r="K1" s="584"/>
      <c r="L1" s="584"/>
      <c r="M1" s="584"/>
      <c r="N1" s="584"/>
      <c r="O1" s="584"/>
      <c r="P1" s="584"/>
      <c r="Q1" s="584"/>
      <c r="R1" s="584"/>
      <c r="S1" s="584"/>
      <c r="T1" s="584"/>
      <c r="U1" s="584"/>
      <c r="V1" s="584"/>
      <c r="W1" s="584"/>
      <c r="X1" s="584"/>
      <c r="Y1" s="584"/>
      <c r="Z1" s="584"/>
    </row>
    <row r="2" ht="14.25" customHeight="1">
      <c r="A2" s="406">
        <v>45495.0</v>
      </c>
      <c r="B2" s="349" t="s">
        <v>4485</v>
      </c>
      <c r="C2" s="349" t="s">
        <v>4486</v>
      </c>
      <c r="D2" s="349" t="s">
        <v>439</v>
      </c>
      <c r="E2" s="349" t="s">
        <v>4487</v>
      </c>
      <c r="F2" s="413">
        <v>58100.0</v>
      </c>
      <c r="G2" s="413">
        <v>0.0</v>
      </c>
      <c r="H2" s="349" t="s">
        <v>4488</v>
      </c>
      <c r="I2" s="404" t="str">
        <f t="shared" ref="I2:I3" si="1">IF(G2&gt;=F2,"FULLY PAID",IF(G2=0,"NOT PAID","PARTIALLY PAID"))</f>
        <v>NOT PAID</v>
      </c>
      <c r="J2" s="402"/>
      <c r="K2" s="402"/>
      <c r="L2" s="402"/>
      <c r="M2" s="402"/>
      <c r="N2" s="402"/>
      <c r="O2" s="402"/>
      <c r="P2" s="402"/>
      <c r="Q2" s="402"/>
      <c r="R2" s="402"/>
      <c r="S2" s="402"/>
      <c r="T2" s="402"/>
      <c r="U2" s="402"/>
      <c r="V2" s="402"/>
      <c r="W2" s="402"/>
      <c r="X2" s="402"/>
      <c r="Y2" s="402"/>
      <c r="Z2" s="402"/>
    </row>
    <row r="3" ht="14.25" customHeight="1">
      <c r="A3" s="406">
        <v>45495.0</v>
      </c>
      <c r="B3" s="349" t="s">
        <v>4489</v>
      </c>
      <c r="C3" s="349" t="s">
        <v>4490</v>
      </c>
      <c r="D3" s="349" t="s">
        <v>439</v>
      </c>
      <c r="E3" s="349" t="s">
        <v>4487</v>
      </c>
      <c r="F3" s="413">
        <v>118376.0</v>
      </c>
      <c r="G3" s="822">
        <v>50000.0</v>
      </c>
      <c r="H3" s="349" t="s">
        <v>4491</v>
      </c>
      <c r="I3" s="404" t="str">
        <f t="shared" si="1"/>
        <v>PARTIALLY PAID</v>
      </c>
      <c r="J3" s="402"/>
      <c r="K3" s="402"/>
      <c r="L3" s="402"/>
      <c r="M3" s="402"/>
      <c r="N3" s="402"/>
      <c r="O3" s="402"/>
      <c r="P3" s="402"/>
      <c r="Q3" s="402"/>
      <c r="R3" s="402"/>
      <c r="S3" s="402"/>
      <c r="T3" s="402"/>
      <c r="U3" s="402"/>
      <c r="V3" s="402"/>
      <c r="W3" s="402"/>
      <c r="X3" s="402"/>
      <c r="Y3" s="402"/>
      <c r="Z3" s="402"/>
    </row>
    <row r="4" ht="14.25" customHeight="1">
      <c r="A4" s="402"/>
      <c r="B4" s="402"/>
      <c r="C4" s="402"/>
      <c r="D4" s="402"/>
      <c r="E4" s="402"/>
      <c r="F4" s="403"/>
      <c r="G4" s="403"/>
      <c r="H4" s="402"/>
      <c r="I4" s="404"/>
      <c r="J4" s="402"/>
      <c r="K4" s="402"/>
      <c r="L4" s="402"/>
      <c r="M4" s="402"/>
      <c r="N4" s="402"/>
      <c r="O4" s="402"/>
      <c r="P4" s="402"/>
      <c r="Q4" s="402"/>
      <c r="R4" s="402"/>
      <c r="S4" s="402"/>
      <c r="T4" s="402"/>
      <c r="U4" s="402"/>
      <c r="V4" s="402"/>
      <c r="W4" s="402"/>
      <c r="X4" s="402"/>
      <c r="Y4" s="402"/>
      <c r="Z4" s="402"/>
    </row>
    <row r="5" ht="14.25" customHeight="1">
      <c r="A5" s="406">
        <v>45496.0</v>
      </c>
      <c r="B5" s="349" t="s">
        <v>4485</v>
      </c>
      <c r="C5" s="349" t="s">
        <v>4486</v>
      </c>
      <c r="D5" s="349" t="s">
        <v>439</v>
      </c>
      <c r="E5" s="349" t="s">
        <v>4487</v>
      </c>
      <c r="F5" s="413">
        <v>58100.0</v>
      </c>
      <c r="G5" s="413">
        <v>0.0</v>
      </c>
      <c r="H5" s="349" t="s">
        <v>4492</v>
      </c>
      <c r="I5" s="404" t="str">
        <f t="shared" ref="I5:I6" si="2">IF(G5&gt;=F5,"FULLY PAID",IF(G5=0,"NOT PAID","PARTIALLY PAID"))</f>
        <v>NOT PAID</v>
      </c>
      <c r="J5" s="402"/>
      <c r="K5" s="402"/>
      <c r="L5" s="402"/>
      <c r="M5" s="402"/>
      <c r="N5" s="402"/>
      <c r="O5" s="402"/>
      <c r="P5" s="402"/>
      <c r="Q5" s="402"/>
      <c r="R5" s="402"/>
      <c r="S5" s="402"/>
      <c r="T5" s="402"/>
      <c r="U5" s="402"/>
      <c r="V5" s="402"/>
      <c r="W5" s="402"/>
      <c r="X5" s="402"/>
      <c r="Y5" s="402"/>
      <c r="Z5" s="402"/>
    </row>
    <row r="6" ht="14.25" customHeight="1">
      <c r="A6" s="406">
        <v>45496.0</v>
      </c>
      <c r="B6" s="349" t="s">
        <v>4489</v>
      </c>
      <c r="C6" s="349" t="s">
        <v>4490</v>
      </c>
      <c r="D6" s="349" t="s">
        <v>4493</v>
      </c>
      <c r="E6" s="349" t="s">
        <v>4487</v>
      </c>
      <c r="F6" s="413">
        <v>78100.0</v>
      </c>
      <c r="G6" s="413">
        <v>0.0</v>
      </c>
      <c r="H6" s="349" t="s">
        <v>4494</v>
      </c>
      <c r="I6" s="404" t="str">
        <f t="shared" si="2"/>
        <v>NOT PAID</v>
      </c>
      <c r="J6" s="402"/>
      <c r="K6" s="402"/>
      <c r="L6" s="402"/>
      <c r="M6" s="402"/>
      <c r="N6" s="402"/>
      <c r="O6" s="402"/>
      <c r="P6" s="402"/>
      <c r="Q6" s="402"/>
      <c r="R6" s="402"/>
      <c r="S6" s="402"/>
      <c r="T6" s="402"/>
      <c r="U6" s="402"/>
      <c r="V6" s="402"/>
      <c r="W6" s="402"/>
      <c r="X6" s="402"/>
      <c r="Y6" s="402"/>
      <c r="Z6" s="402"/>
    </row>
    <row r="7" ht="14.25" customHeight="1">
      <c r="A7" s="402"/>
      <c r="B7" s="402"/>
      <c r="C7" s="402"/>
      <c r="D7" s="402"/>
      <c r="E7" s="402"/>
      <c r="F7" s="403"/>
      <c r="G7" s="403"/>
      <c r="H7" s="402"/>
      <c r="I7" s="404"/>
      <c r="J7" s="402"/>
      <c r="K7" s="402"/>
      <c r="L7" s="402"/>
      <c r="M7" s="402"/>
      <c r="N7" s="402"/>
      <c r="O7" s="402"/>
      <c r="P7" s="402"/>
      <c r="Q7" s="402"/>
      <c r="R7" s="402"/>
      <c r="S7" s="402"/>
      <c r="T7" s="402"/>
      <c r="U7" s="402"/>
      <c r="V7" s="402"/>
      <c r="W7" s="402"/>
      <c r="X7" s="402"/>
      <c r="Y7" s="402"/>
      <c r="Z7" s="402"/>
    </row>
    <row r="8" ht="14.25" customHeight="1">
      <c r="A8" s="406">
        <v>45497.0</v>
      </c>
      <c r="B8" s="349" t="s">
        <v>4485</v>
      </c>
      <c r="C8" s="349" t="s">
        <v>4486</v>
      </c>
      <c r="D8" s="349" t="s">
        <v>439</v>
      </c>
      <c r="E8" s="349" t="s">
        <v>4487</v>
      </c>
      <c r="F8" s="413">
        <v>58100.0</v>
      </c>
      <c r="G8" s="413">
        <v>0.0</v>
      </c>
      <c r="H8" s="349" t="s">
        <v>4495</v>
      </c>
      <c r="I8" s="404" t="str">
        <f t="shared" ref="I8:I9" si="3">IF(G8&gt;=F8,"FULLY PAID",IF(G8=0,"NOT PAID","PARTIALLY PAID"))</f>
        <v>NOT PAID</v>
      </c>
      <c r="J8" s="402"/>
      <c r="K8" s="402"/>
      <c r="L8" s="402"/>
      <c r="M8" s="402"/>
      <c r="N8" s="402"/>
      <c r="O8" s="402"/>
      <c r="P8" s="402"/>
      <c r="Q8" s="402"/>
      <c r="R8" s="402"/>
      <c r="S8" s="402"/>
      <c r="T8" s="402"/>
      <c r="U8" s="402"/>
      <c r="V8" s="402"/>
      <c r="W8" s="402"/>
      <c r="X8" s="402"/>
      <c r="Y8" s="402"/>
      <c r="Z8" s="402"/>
    </row>
    <row r="9" ht="14.25" customHeight="1">
      <c r="A9" s="406">
        <v>45497.0</v>
      </c>
      <c r="B9" s="349" t="s">
        <v>4489</v>
      </c>
      <c r="C9" s="349" t="s">
        <v>4490</v>
      </c>
      <c r="D9" s="349" t="s">
        <v>4493</v>
      </c>
      <c r="E9" s="349" t="s">
        <v>4487</v>
      </c>
      <c r="F9" s="413">
        <v>78100.0</v>
      </c>
      <c r="G9" s="413">
        <v>98000.0</v>
      </c>
      <c r="H9" s="349" t="s">
        <v>267</v>
      </c>
      <c r="I9" s="404" t="str">
        <f t="shared" si="3"/>
        <v>FULLY PAID</v>
      </c>
      <c r="J9" s="402"/>
      <c r="K9" s="402"/>
      <c r="L9" s="402"/>
      <c r="M9" s="402"/>
      <c r="N9" s="402"/>
      <c r="O9" s="402"/>
      <c r="P9" s="402"/>
      <c r="Q9" s="402"/>
      <c r="R9" s="402"/>
      <c r="S9" s="402"/>
      <c r="T9" s="402"/>
      <c r="U9" s="402"/>
      <c r="V9" s="402"/>
      <c r="W9" s="402"/>
      <c r="X9" s="402"/>
      <c r="Y9" s="402"/>
      <c r="Z9" s="402"/>
    </row>
    <row r="10" ht="14.25" customHeight="1">
      <c r="A10" s="402"/>
      <c r="B10" s="402"/>
      <c r="C10" s="402"/>
      <c r="D10" s="402"/>
      <c r="E10" s="402"/>
      <c r="F10" s="403"/>
      <c r="G10" s="403"/>
      <c r="H10" s="402"/>
      <c r="I10" s="404"/>
      <c r="J10" s="402"/>
      <c r="K10" s="402"/>
      <c r="L10" s="402"/>
      <c r="M10" s="402"/>
      <c r="N10" s="402"/>
      <c r="O10" s="402"/>
      <c r="P10" s="402"/>
      <c r="Q10" s="402"/>
      <c r="R10" s="402"/>
      <c r="S10" s="402"/>
      <c r="T10" s="402"/>
      <c r="U10" s="402"/>
      <c r="V10" s="402"/>
      <c r="W10" s="402"/>
      <c r="X10" s="402"/>
      <c r="Y10" s="402"/>
      <c r="Z10" s="402"/>
    </row>
    <row r="11" ht="14.25" customHeight="1">
      <c r="A11" s="406">
        <v>45498.0</v>
      </c>
      <c r="B11" s="349" t="s">
        <v>4485</v>
      </c>
      <c r="C11" s="349" t="s">
        <v>4486</v>
      </c>
      <c r="D11" s="349" t="s">
        <v>439</v>
      </c>
      <c r="E11" s="349" t="s">
        <v>4487</v>
      </c>
      <c r="F11" s="413">
        <v>60128.0</v>
      </c>
      <c r="G11" s="413">
        <v>0.0</v>
      </c>
      <c r="H11" s="349" t="s">
        <v>4496</v>
      </c>
      <c r="I11" s="404" t="str">
        <f t="shared" ref="I11:I15" si="4">IF(G11&gt;=F11,"FULLY PAID",IF(G11=0,"NOT PAID","PARTIALLY PAID"))</f>
        <v>NOT PAID</v>
      </c>
      <c r="J11" s="402"/>
      <c r="K11" s="402"/>
      <c r="L11" s="402"/>
      <c r="M11" s="402"/>
      <c r="N11" s="402"/>
      <c r="O11" s="402"/>
      <c r="P11" s="402"/>
      <c r="Q11" s="402"/>
      <c r="R11" s="402"/>
      <c r="S11" s="402"/>
      <c r="T11" s="402"/>
      <c r="U11" s="402"/>
      <c r="V11" s="402"/>
      <c r="W11" s="402"/>
      <c r="X11" s="402"/>
      <c r="Y11" s="402"/>
      <c r="Z11" s="402"/>
    </row>
    <row r="12" ht="14.25" customHeight="1">
      <c r="A12" s="406">
        <v>45498.0</v>
      </c>
      <c r="B12" s="349" t="s">
        <v>4497</v>
      </c>
      <c r="C12" s="349" t="s">
        <v>4490</v>
      </c>
      <c r="D12" s="349" t="s">
        <v>4498</v>
      </c>
      <c r="E12" s="349" t="s">
        <v>4487</v>
      </c>
      <c r="F12" s="413">
        <v>63125.0</v>
      </c>
      <c r="G12" s="413">
        <v>0.0</v>
      </c>
      <c r="H12" s="349" t="s">
        <v>4499</v>
      </c>
      <c r="I12" s="404" t="str">
        <f t="shared" si="4"/>
        <v>NOT PAID</v>
      </c>
      <c r="J12" s="402"/>
      <c r="K12" s="402"/>
      <c r="L12" s="402"/>
      <c r="M12" s="402"/>
      <c r="N12" s="402"/>
      <c r="O12" s="402"/>
      <c r="P12" s="402"/>
      <c r="Q12" s="402"/>
      <c r="R12" s="402"/>
      <c r="S12" s="402"/>
      <c r="T12" s="402"/>
      <c r="U12" s="402"/>
      <c r="V12" s="402"/>
      <c r="W12" s="402"/>
      <c r="X12" s="402"/>
      <c r="Y12" s="402"/>
      <c r="Z12" s="402"/>
    </row>
    <row r="13" ht="14.25" customHeight="1">
      <c r="A13" s="402"/>
      <c r="B13" s="402"/>
      <c r="C13" s="402"/>
      <c r="D13" s="402"/>
      <c r="E13" s="402"/>
      <c r="F13" s="403"/>
      <c r="G13" s="403"/>
      <c r="H13" s="402"/>
      <c r="I13" s="404" t="str">
        <f t="shared" si="4"/>
        <v>FULLY PAID</v>
      </c>
      <c r="J13" s="402"/>
      <c r="K13" s="402"/>
      <c r="L13" s="402"/>
      <c r="M13" s="402"/>
      <c r="N13" s="402"/>
      <c r="O13" s="402"/>
      <c r="P13" s="402"/>
      <c r="Q13" s="402"/>
      <c r="R13" s="402"/>
      <c r="S13" s="402"/>
      <c r="T13" s="402"/>
      <c r="U13" s="402"/>
      <c r="V13" s="402"/>
      <c r="W13" s="402"/>
      <c r="X13" s="402"/>
      <c r="Y13" s="402"/>
      <c r="Z13" s="402"/>
    </row>
    <row r="14" ht="14.25" customHeight="1">
      <c r="A14" s="406">
        <v>45499.0</v>
      </c>
      <c r="B14" s="349" t="s">
        <v>4485</v>
      </c>
      <c r="C14" s="349" t="s">
        <v>4486</v>
      </c>
      <c r="D14" s="349" t="s">
        <v>439</v>
      </c>
      <c r="E14" s="349" t="s">
        <v>4500</v>
      </c>
      <c r="F14" s="413">
        <v>60128.0</v>
      </c>
      <c r="G14" s="403"/>
      <c r="H14" s="349" t="s">
        <v>4496</v>
      </c>
      <c r="I14" s="404" t="str">
        <f t="shared" si="4"/>
        <v>NOT PAID</v>
      </c>
      <c r="J14" s="402"/>
      <c r="K14" s="402"/>
      <c r="L14" s="402"/>
      <c r="M14" s="402"/>
      <c r="N14" s="402"/>
      <c r="O14" s="402"/>
      <c r="P14" s="402"/>
      <c r="Q14" s="402"/>
      <c r="R14" s="402"/>
      <c r="S14" s="402"/>
      <c r="T14" s="402"/>
      <c r="U14" s="402"/>
      <c r="V14" s="402"/>
      <c r="W14" s="402"/>
      <c r="X14" s="402"/>
      <c r="Y14" s="402"/>
      <c r="Z14" s="402"/>
    </row>
    <row r="15" ht="14.25" customHeight="1">
      <c r="A15" s="406">
        <v>45499.0</v>
      </c>
      <c r="B15" s="349" t="s">
        <v>4489</v>
      </c>
      <c r="C15" s="349" t="s">
        <v>4490</v>
      </c>
      <c r="D15" s="349" t="s">
        <v>4493</v>
      </c>
      <c r="E15" s="349" t="s">
        <v>4500</v>
      </c>
      <c r="F15" s="413">
        <v>63125.0</v>
      </c>
      <c r="G15" s="403"/>
      <c r="H15" s="402"/>
      <c r="I15" s="404" t="str">
        <f t="shared" si="4"/>
        <v>NOT PAID</v>
      </c>
      <c r="J15" s="402"/>
      <c r="K15" s="402"/>
      <c r="L15" s="402"/>
      <c r="M15" s="402"/>
      <c r="N15" s="402"/>
      <c r="O15" s="402"/>
      <c r="P15" s="402"/>
      <c r="Q15" s="402"/>
      <c r="R15" s="402"/>
      <c r="S15" s="402"/>
      <c r="T15" s="402"/>
      <c r="U15" s="402"/>
      <c r="V15" s="402"/>
      <c r="W15" s="402"/>
      <c r="X15" s="402"/>
      <c r="Y15" s="402"/>
      <c r="Z15" s="402"/>
    </row>
    <row r="16" ht="14.25" customHeight="1">
      <c r="A16" s="402"/>
      <c r="B16" s="402"/>
      <c r="C16" s="402"/>
      <c r="D16" s="402"/>
      <c r="E16" s="402"/>
      <c r="F16" s="403"/>
      <c r="G16" s="403"/>
      <c r="H16" s="402"/>
      <c r="I16" s="404"/>
      <c r="J16" s="402"/>
      <c r="K16" s="402"/>
      <c r="L16" s="402"/>
      <c r="M16" s="402"/>
      <c r="N16" s="402"/>
      <c r="O16" s="402"/>
      <c r="P16" s="402"/>
      <c r="Q16" s="402"/>
      <c r="R16" s="402"/>
      <c r="S16" s="402"/>
      <c r="T16" s="402"/>
      <c r="U16" s="402"/>
      <c r="V16" s="402"/>
      <c r="W16" s="402"/>
      <c r="X16" s="402"/>
      <c r="Y16" s="402"/>
      <c r="Z16" s="402"/>
    </row>
    <row r="17" ht="14.25" customHeight="1">
      <c r="A17" s="406">
        <v>45500.0</v>
      </c>
      <c r="B17" s="349" t="s">
        <v>4501</v>
      </c>
      <c r="C17" s="349" t="s">
        <v>4502</v>
      </c>
      <c r="D17" s="349" t="s">
        <v>439</v>
      </c>
      <c r="E17" s="349" t="s">
        <v>4487</v>
      </c>
      <c r="F17" s="413">
        <v>43633.0</v>
      </c>
      <c r="G17" s="403"/>
      <c r="H17" s="402"/>
      <c r="I17" s="404" t="str">
        <f t="shared" ref="I17:I26" si="5">IF(G17&gt;=F17,"FULLY PAID",IF(G17=0,"NOT PAID","PARTIALLY PAID"))</f>
        <v>NOT PAID</v>
      </c>
      <c r="J17" s="402"/>
      <c r="K17" s="402"/>
      <c r="L17" s="402"/>
      <c r="M17" s="402"/>
      <c r="N17" s="402"/>
      <c r="O17" s="402"/>
      <c r="P17" s="402"/>
      <c r="Q17" s="402"/>
      <c r="R17" s="402"/>
      <c r="S17" s="402"/>
      <c r="T17" s="402"/>
      <c r="U17" s="402"/>
      <c r="V17" s="402"/>
      <c r="W17" s="402"/>
      <c r="X17" s="402"/>
      <c r="Y17" s="402"/>
      <c r="Z17" s="402"/>
    </row>
    <row r="18" ht="14.25" customHeight="1">
      <c r="A18" s="402"/>
      <c r="B18" s="402"/>
      <c r="C18" s="402"/>
      <c r="D18" s="402"/>
      <c r="E18" s="402"/>
      <c r="F18" s="403"/>
      <c r="G18" s="403"/>
      <c r="H18" s="402"/>
      <c r="I18" s="404" t="str">
        <f t="shared" si="5"/>
        <v>FULLY PAID</v>
      </c>
      <c r="J18" s="402"/>
      <c r="K18" s="402"/>
      <c r="L18" s="402"/>
      <c r="M18" s="402"/>
      <c r="N18" s="402"/>
      <c r="O18" s="402"/>
      <c r="P18" s="402"/>
      <c r="Q18" s="402"/>
      <c r="R18" s="402"/>
      <c r="S18" s="402"/>
      <c r="T18" s="402"/>
      <c r="U18" s="402"/>
      <c r="V18" s="402"/>
      <c r="W18" s="402"/>
      <c r="X18" s="402"/>
      <c r="Y18" s="402"/>
      <c r="Z18" s="402"/>
    </row>
    <row r="19" ht="14.25" customHeight="1">
      <c r="A19" s="406">
        <v>45502.0</v>
      </c>
      <c r="B19" s="349" t="s">
        <v>4501</v>
      </c>
      <c r="C19" s="349" t="s">
        <v>4502</v>
      </c>
      <c r="D19" s="349" t="s">
        <v>439</v>
      </c>
      <c r="E19" s="349" t="s">
        <v>4500</v>
      </c>
      <c r="F19" s="413">
        <v>43633.0</v>
      </c>
      <c r="G19" s="823">
        <v>21486.0</v>
      </c>
      <c r="H19" s="349" t="s">
        <v>4503</v>
      </c>
      <c r="I19" s="404" t="str">
        <f t="shared" si="5"/>
        <v>PARTIALLY PAID</v>
      </c>
      <c r="J19" s="402"/>
      <c r="K19" s="402"/>
      <c r="L19" s="402"/>
      <c r="M19" s="402"/>
      <c r="N19" s="402"/>
      <c r="O19" s="402"/>
      <c r="P19" s="402"/>
      <c r="Q19" s="402"/>
      <c r="R19" s="402"/>
      <c r="S19" s="402"/>
      <c r="T19" s="402"/>
      <c r="U19" s="402"/>
      <c r="V19" s="402"/>
      <c r="W19" s="402"/>
      <c r="X19" s="402"/>
      <c r="Y19" s="402"/>
      <c r="Z19" s="402"/>
    </row>
    <row r="20" ht="14.25" customHeight="1">
      <c r="A20" s="406">
        <v>45502.0</v>
      </c>
      <c r="B20" s="349" t="s">
        <v>4504</v>
      </c>
      <c r="C20" s="349" t="s">
        <v>4502</v>
      </c>
      <c r="D20" s="349" t="s">
        <v>2538</v>
      </c>
      <c r="E20" s="349" t="s">
        <v>4500</v>
      </c>
      <c r="F20" s="413">
        <v>8514.0</v>
      </c>
      <c r="G20" s="823">
        <v>8514.0</v>
      </c>
      <c r="H20" s="349" t="s">
        <v>175</v>
      </c>
      <c r="I20" s="404" t="str">
        <f t="shared" si="5"/>
        <v>FULLY PAID</v>
      </c>
      <c r="J20" s="402"/>
      <c r="K20" s="402"/>
      <c r="L20" s="402"/>
      <c r="M20" s="402"/>
      <c r="N20" s="402"/>
      <c r="O20" s="402"/>
      <c r="P20" s="402"/>
      <c r="Q20" s="402"/>
      <c r="R20" s="402"/>
      <c r="S20" s="402"/>
      <c r="T20" s="402"/>
      <c r="U20" s="402"/>
      <c r="V20" s="402"/>
      <c r="W20" s="402"/>
      <c r="X20" s="402"/>
      <c r="Y20" s="402"/>
      <c r="Z20" s="402"/>
    </row>
    <row r="21" ht="14.25" customHeight="1">
      <c r="A21" s="406">
        <v>45502.0</v>
      </c>
      <c r="B21" s="349" t="s">
        <v>4485</v>
      </c>
      <c r="C21" s="349" t="s">
        <v>4486</v>
      </c>
      <c r="D21" s="349" t="s">
        <v>439</v>
      </c>
      <c r="E21" s="349" t="s">
        <v>4500</v>
      </c>
      <c r="F21" s="413">
        <v>60128.0</v>
      </c>
      <c r="G21" s="413">
        <v>0.0</v>
      </c>
      <c r="H21" s="402"/>
      <c r="I21" s="404" t="str">
        <f t="shared" si="5"/>
        <v>NOT PAID</v>
      </c>
      <c r="J21" s="402"/>
      <c r="K21" s="402"/>
      <c r="L21" s="402"/>
      <c r="M21" s="402"/>
      <c r="N21" s="402"/>
      <c r="O21" s="402"/>
      <c r="P21" s="402"/>
      <c r="Q21" s="402"/>
      <c r="R21" s="402"/>
      <c r="S21" s="402"/>
      <c r="T21" s="402"/>
      <c r="U21" s="402"/>
      <c r="V21" s="402"/>
      <c r="W21" s="402"/>
      <c r="X21" s="402"/>
      <c r="Y21" s="402"/>
      <c r="Z21" s="402"/>
    </row>
    <row r="22" ht="14.25" customHeight="1">
      <c r="A22" s="406">
        <v>45502.0</v>
      </c>
      <c r="B22" s="349" t="s">
        <v>4489</v>
      </c>
      <c r="C22" s="349" t="s">
        <v>4490</v>
      </c>
      <c r="D22" s="349" t="s">
        <v>439</v>
      </c>
      <c r="E22" s="349" t="s">
        <v>4500</v>
      </c>
      <c r="F22" s="413">
        <v>63125.0</v>
      </c>
      <c r="G22" s="403"/>
      <c r="H22" s="402"/>
      <c r="I22" s="404" t="str">
        <f t="shared" si="5"/>
        <v>NOT PAID</v>
      </c>
      <c r="J22" s="402"/>
      <c r="K22" s="402"/>
      <c r="L22" s="402"/>
      <c r="M22" s="402"/>
      <c r="N22" s="402"/>
      <c r="O22" s="402"/>
      <c r="P22" s="402"/>
      <c r="Q22" s="402"/>
      <c r="R22" s="402"/>
      <c r="S22" s="402"/>
      <c r="T22" s="402"/>
      <c r="U22" s="402"/>
      <c r="V22" s="402"/>
      <c r="W22" s="402"/>
      <c r="X22" s="402"/>
      <c r="Y22" s="402"/>
      <c r="Z22" s="402"/>
    </row>
    <row r="23" ht="14.25" customHeight="1">
      <c r="A23" s="402"/>
      <c r="B23" s="402"/>
      <c r="C23" s="402"/>
      <c r="D23" s="402"/>
      <c r="E23" s="402"/>
      <c r="F23" s="403"/>
      <c r="G23" s="403"/>
      <c r="H23" s="402"/>
      <c r="I23" s="404" t="str">
        <f t="shared" si="5"/>
        <v>FULLY PAID</v>
      </c>
      <c r="J23" s="402"/>
      <c r="K23" s="402"/>
      <c r="L23" s="402"/>
      <c r="M23" s="402"/>
      <c r="N23" s="402"/>
      <c r="O23" s="402"/>
      <c r="P23" s="402"/>
      <c r="Q23" s="402"/>
      <c r="R23" s="402"/>
      <c r="S23" s="402"/>
      <c r="T23" s="402"/>
      <c r="U23" s="402"/>
      <c r="V23" s="402"/>
      <c r="W23" s="402"/>
      <c r="X23" s="402"/>
      <c r="Y23" s="402"/>
      <c r="Z23" s="402"/>
    </row>
    <row r="24" ht="14.25" customHeight="1">
      <c r="A24" s="406">
        <v>45503.0</v>
      </c>
      <c r="B24" s="349" t="s">
        <v>4501</v>
      </c>
      <c r="C24" s="349" t="s">
        <v>4502</v>
      </c>
      <c r="D24" s="349" t="s">
        <v>439</v>
      </c>
      <c r="E24" s="349" t="s">
        <v>4500</v>
      </c>
      <c r="F24" s="413">
        <v>22147.0</v>
      </c>
      <c r="G24" s="413">
        <v>10000.0</v>
      </c>
      <c r="H24" s="349" t="s">
        <v>4505</v>
      </c>
      <c r="I24" s="404" t="str">
        <f t="shared" si="5"/>
        <v>PARTIALLY PAID</v>
      </c>
      <c r="J24" s="402"/>
      <c r="K24" s="402"/>
      <c r="L24" s="402"/>
      <c r="M24" s="402"/>
      <c r="N24" s="402"/>
      <c r="O24" s="402"/>
      <c r="P24" s="402"/>
      <c r="Q24" s="402"/>
      <c r="R24" s="402"/>
      <c r="S24" s="402"/>
      <c r="T24" s="402"/>
      <c r="U24" s="402"/>
      <c r="V24" s="402"/>
      <c r="W24" s="402"/>
      <c r="X24" s="402"/>
      <c r="Y24" s="402"/>
      <c r="Z24" s="402"/>
    </row>
    <row r="25" ht="14.25" customHeight="1">
      <c r="A25" s="406">
        <v>45503.0</v>
      </c>
      <c r="B25" s="349" t="s">
        <v>4485</v>
      </c>
      <c r="C25" s="349" t="s">
        <v>4486</v>
      </c>
      <c r="D25" s="349" t="s">
        <v>439</v>
      </c>
      <c r="E25" s="349" t="s">
        <v>4500</v>
      </c>
      <c r="F25" s="413">
        <v>113870.0</v>
      </c>
      <c r="G25" s="403"/>
      <c r="H25" s="824" t="s">
        <v>3153</v>
      </c>
      <c r="I25" s="404" t="str">
        <f t="shared" si="5"/>
        <v>NOT PAID</v>
      </c>
      <c r="J25" s="402"/>
      <c r="K25" s="402"/>
      <c r="L25" s="402"/>
      <c r="M25" s="402"/>
      <c r="N25" s="402"/>
      <c r="O25" s="402"/>
      <c r="P25" s="402"/>
      <c r="Q25" s="402"/>
      <c r="R25" s="402"/>
      <c r="S25" s="402"/>
      <c r="T25" s="402"/>
      <c r="U25" s="402"/>
      <c r="V25" s="402"/>
      <c r="W25" s="402"/>
      <c r="X25" s="402"/>
      <c r="Y25" s="402"/>
      <c r="Z25" s="402"/>
    </row>
    <row r="26" ht="14.25" customHeight="1">
      <c r="A26" s="818">
        <v>45503.0</v>
      </c>
      <c r="B26" s="349" t="s">
        <v>4489</v>
      </c>
      <c r="C26" s="349" t="s">
        <v>4490</v>
      </c>
      <c r="D26" s="349" t="s">
        <v>4123</v>
      </c>
      <c r="E26" s="349" t="s">
        <v>4500</v>
      </c>
      <c r="F26" s="413">
        <v>63125.0</v>
      </c>
      <c r="G26" s="403"/>
      <c r="H26" s="349" t="s">
        <v>4506</v>
      </c>
      <c r="I26" s="404" t="str">
        <f t="shared" si="5"/>
        <v>NOT PAID</v>
      </c>
      <c r="J26" s="402"/>
      <c r="K26" s="402"/>
      <c r="L26" s="402"/>
      <c r="M26" s="402"/>
      <c r="N26" s="402"/>
      <c r="O26" s="402"/>
      <c r="P26" s="402"/>
      <c r="Q26" s="402"/>
      <c r="R26" s="402"/>
      <c r="S26" s="402"/>
      <c r="T26" s="402"/>
      <c r="U26" s="402"/>
      <c r="V26" s="402"/>
      <c r="W26" s="402"/>
      <c r="X26" s="402"/>
      <c r="Y26" s="402"/>
      <c r="Z26" s="402"/>
    </row>
    <row r="27" ht="14.25" customHeight="1">
      <c r="A27" s="402"/>
      <c r="B27" s="402"/>
      <c r="C27" s="402"/>
      <c r="D27" s="402"/>
      <c r="E27" s="402"/>
      <c r="F27" s="403"/>
      <c r="G27" s="403"/>
      <c r="H27" s="402"/>
      <c r="I27" s="404"/>
      <c r="J27" s="402"/>
      <c r="K27" s="402"/>
      <c r="L27" s="402"/>
      <c r="M27" s="402"/>
      <c r="N27" s="402"/>
      <c r="O27" s="402"/>
      <c r="P27" s="402"/>
      <c r="Q27" s="402"/>
      <c r="R27" s="402"/>
      <c r="S27" s="402"/>
      <c r="T27" s="402"/>
      <c r="U27" s="402"/>
      <c r="V27" s="402"/>
      <c r="W27" s="402"/>
      <c r="X27" s="402"/>
      <c r="Y27" s="402"/>
      <c r="Z27" s="402"/>
    </row>
    <row r="28" ht="14.25" customHeight="1">
      <c r="A28" s="402"/>
      <c r="B28" s="402"/>
      <c r="C28" s="402"/>
      <c r="D28" s="402"/>
      <c r="E28" s="402"/>
      <c r="F28" s="403"/>
      <c r="G28" s="403"/>
      <c r="H28" s="402"/>
      <c r="I28" s="404"/>
      <c r="J28" s="402"/>
      <c r="K28" s="402"/>
      <c r="L28" s="402"/>
      <c r="M28" s="402"/>
      <c r="N28" s="402"/>
      <c r="O28" s="402"/>
      <c r="P28" s="402"/>
      <c r="Q28" s="402"/>
      <c r="R28" s="402"/>
      <c r="S28" s="402"/>
      <c r="T28" s="402"/>
      <c r="U28" s="402"/>
      <c r="V28" s="402"/>
      <c r="W28" s="402"/>
      <c r="X28" s="402"/>
      <c r="Y28" s="402"/>
      <c r="Z28" s="402"/>
    </row>
    <row r="29" ht="14.25" customHeight="1">
      <c r="A29" s="406">
        <v>45504.0</v>
      </c>
      <c r="B29" s="349" t="s">
        <v>4501</v>
      </c>
      <c r="C29" s="349" t="s">
        <v>4502</v>
      </c>
      <c r="D29" s="349" t="s">
        <v>439</v>
      </c>
      <c r="E29" s="349" t="s">
        <v>4500</v>
      </c>
      <c r="F29" s="413">
        <v>12147.0</v>
      </c>
      <c r="G29" s="413">
        <v>13000.0</v>
      </c>
      <c r="H29" s="349" t="s">
        <v>1462</v>
      </c>
      <c r="I29" s="404" t="str">
        <f t="shared" ref="I29:I74" si="6">IF(G29&gt;=F29,"FULLY PAID",IF(G29=0,"NOT PAID","PARTIALLY PAID"))</f>
        <v>FULLY PAID</v>
      </c>
      <c r="J29" s="402"/>
      <c r="K29" s="402"/>
      <c r="L29" s="402"/>
      <c r="M29" s="402"/>
      <c r="N29" s="402"/>
      <c r="O29" s="402"/>
      <c r="P29" s="402"/>
      <c r="Q29" s="402"/>
      <c r="R29" s="402"/>
      <c r="S29" s="402"/>
      <c r="T29" s="402"/>
      <c r="U29" s="402"/>
      <c r="V29" s="402"/>
      <c r="W29" s="402"/>
      <c r="X29" s="402"/>
      <c r="Y29" s="402"/>
      <c r="Z29" s="402"/>
    </row>
    <row r="30" ht="14.25" customHeight="1">
      <c r="A30" s="406">
        <v>45504.0</v>
      </c>
      <c r="B30" s="349" t="s">
        <v>4485</v>
      </c>
      <c r="C30" s="349" t="s">
        <v>4486</v>
      </c>
      <c r="D30" s="349" t="s">
        <v>439</v>
      </c>
      <c r="E30" s="349" t="s">
        <v>4500</v>
      </c>
      <c r="F30" s="413">
        <v>113870.0</v>
      </c>
      <c r="G30" s="413">
        <v>0.0</v>
      </c>
      <c r="H30" s="824" t="s">
        <v>3153</v>
      </c>
      <c r="I30" s="404" t="str">
        <f t="shared" si="6"/>
        <v>NOT PAID</v>
      </c>
      <c r="J30" s="402"/>
      <c r="K30" s="402"/>
      <c r="L30" s="402"/>
      <c r="M30" s="402"/>
      <c r="N30" s="402"/>
      <c r="O30" s="402"/>
      <c r="P30" s="402"/>
      <c r="Q30" s="402"/>
      <c r="R30" s="402"/>
      <c r="S30" s="402"/>
      <c r="T30" s="402"/>
      <c r="U30" s="402"/>
      <c r="V30" s="402"/>
      <c r="W30" s="402"/>
      <c r="X30" s="402"/>
      <c r="Y30" s="402"/>
      <c r="Z30" s="402"/>
    </row>
    <row r="31" ht="14.25" customHeight="1">
      <c r="A31" s="406">
        <v>45504.0</v>
      </c>
      <c r="B31" s="349" t="s">
        <v>4489</v>
      </c>
      <c r="C31" s="349" t="s">
        <v>4490</v>
      </c>
      <c r="D31" s="349" t="s">
        <v>4123</v>
      </c>
      <c r="E31" s="349" t="s">
        <v>4500</v>
      </c>
      <c r="F31" s="413">
        <v>63125.0</v>
      </c>
      <c r="G31" s="413">
        <v>37000.0</v>
      </c>
      <c r="H31" s="349" t="s">
        <v>4506</v>
      </c>
      <c r="I31" s="404" t="str">
        <f t="shared" si="6"/>
        <v>PARTIALLY PAID</v>
      </c>
      <c r="J31" s="402"/>
      <c r="K31" s="402"/>
      <c r="L31" s="402"/>
      <c r="M31" s="402"/>
      <c r="N31" s="402"/>
      <c r="O31" s="402"/>
      <c r="P31" s="402"/>
      <c r="Q31" s="402"/>
      <c r="R31" s="402"/>
      <c r="S31" s="402"/>
      <c r="T31" s="402"/>
      <c r="U31" s="402"/>
      <c r="V31" s="402"/>
      <c r="W31" s="402"/>
      <c r="X31" s="402"/>
      <c r="Y31" s="402"/>
      <c r="Z31" s="402"/>
    </row>
    <row r="32" ht="14.25" customHeight="1">
      <c r="A32" s="402"/>
      <c r="B32" s="402"/>
      <c r="C32" s="402"/>
      <c r="D32" s="402"/>
      <c r="E32" s="402"/>
      <c r="F32" s="403"/>
      <c r="G32" s="403"/>
      <c r="H32" s="402"/>
      <c r="I32" s="404" t="str">
        <f t="shared" si="6"/>
        <v>FULLY PAID</v>
      </c>
      <c r="J32" s="402"/>
      <c r="K32" s="402"/>
      <c r="L32" s="402"/>
      <c r="M32" s="402"/>
      <c r="N32" s="402"/>
      <c r="O32" s="402"/>
      <c r="P32" s="402"/>
      <c r="Q32" s="402"/>
      <c r="R32" s="402"/>
      <c r="S32" s="402"/>
      <c r="T32" s="402"/>
      <c r="U32" s="402"/>
      <c r="V32" s="402"/>
      <c r="W32" s="402"/>
      <c r="X32" s="402"/>
      <c r="Y32" s="402"/>
      <c r="Z32" s="402"/>
    </row>
    <row r="33" ht="14.25" customHeight="1">
      <c r="A33" s="402"/>
      <c r="B33" s="402"/>
      <c r="C33" s="402"/>
      <c r="D33" s="402"/>
      <c r="E33" s="402"/>
      <c r="F33" s="403"/>
      <c r="G33" s="403"/>
      <c r="H33" s="402"/>
      <c r="I33" s="404" t="str">
        <f t="shared" si="6"/>
        <v>FULLY PAID</v>
      </c>
      <c r="J33" s="402"/>
      <c r="K33" s="402"/>
      <c r="L33" s="402"/>
      <c r="M33" s="402"/>
      <c r="N33" s="402"/>
      <c r="O33" s="402"/>
      <c r="P33" s="402"/>
      <c r="Q33" s="402"/>
      <c r="R33" s="402"/>
      <c r="S33" s="402"/>
      <c r="T33" s="402"/>
      <c r="U33" s="402"/>
      <c r="V33" s="402"/>
      <c r="W33" s="402"/>
      <c r="X33" s="402"/>
      <c r="Y33" s="402"/>
      <c r="Z33" s="402"/>
    </row>
    <row r="34" ht="14.25" customHeight="1">
      <c r="A34" s="825">
        <v>45505.0</v>
      </c>
      <c r="B34" s="826" t="s">
        <v>4489</v>
      </c>
      <c r="C34" s="826" t="s">
        <v>4490</v>
      </c>
      <c r="D34" s="826" t="s">
        <v>4123</v>
      </c>
      <c r="E34" s="826" t="s">
        <v>21</v>
      </c>
      <c r="F34" s="827">
        <v>26125.0</v>
      </c>
      <c r="G34" s="828">
        <v>27127.0</v>
      </c>
      <c r="H34" s="829" t="s">
        <v>1462</v>
      </c>
      <c r="I34" s="404" t="str">
        <f t="shared" si="6"/>
        <v>FULLY PAID</v>
      </c>
      <c r="J34" s="500"/>
      <c r="K34" s="500"/>
      <c r="L34" s="500"/>
      <c r="M34" s="500"/>
      <c r="N34" s="500"/>
      <c r="O34" s="500"/>
      <c r="P34" s="500"/>
      <c r="Q34" s="500"/>
      <c r="R34" s="500"/>
      <c r="S34" s="500"/>
      <c r="T34" s="500"/>
      <c r="U34" s="500"/>
      <c r="V34" s="500"/>
      <c r="W34" s="500"/>
      <c r="X34" s="500"/>
      <c r="Y34" s="500"/>
      <c r="Z34" s="500"/>
    </row>
    <row r="35" ht="14.25" customHeight="1">
      <c r="A35" s="825">
        <v>45505.0</v>
      </c>
      <c r="B35" s="438" t="s">
        <v>4507</v>
      </c>
      <c r="C35" s="438" t="s">
        <v>4486</v>
      </c>
      <c r="D35" s="438" t="s">
        <v>439</v>
      </c>
      <c r="E35" s="438" t="s">
        <v>21</v>
      </c>
      <c r="F35" s="440">
        <v>110835.0</v>
      </c>
      <c r="G35" s="413">
        <v>0.0</v>
      </c>
      <c r="H35" s="824" t="s">
        <v>3153</v>
      </c>
      <c r="I35" s="404" t="str">
        <f t="shared" si="6"/>
        <v>NOT PAID</v>
      </c>
      <c r="J35" s="402"/>
      <c r="K35" s="402"/>
      <c r="L35" s="402"/>
      <c r="M35" s="402"/>
      <c r="N35" s="402"/>
      <c r="O35" s="402"/>
      <c r="P35" s="402"/>
      <c r="Q35" s="402"/>
      <c r="R35" s="402"/>
      <c r="S35" s="402"/>
      <c r="T35" s="402"/>
      <c r="U35" s="402"/>
      <c r="V35" s="402"/>
      <c r="W35" s="402"/>
      <c r="X35" s="402"/>
      <c r="Y35" s="402"/>
      <c r="Z35" s="402"/>
    </row>
    <row r="36" ht="14.25" customHeight="1">
      <c r="A36" s="402"/>
      <c r="B36" s="402"/>
      <c r="C36" s="402"/>
      <c r="D36" s="402"/>
      <c r="E36" s="402"/>
      <c r="F36" s="403"/>
      <c r="G36" s="403"/>
      <c r="H36" s="402"/>
      <c r="I36" s="404" t="str">
        <f t="shared" si="6"/>
        <v>FULLY PAID</v>
      </c>
      <c r="J36" s="402"/>
      <c r="K36" s="402"/>
      <c r="L36" s="402"/>
      <c r="M36" s="402"/>
      <c r="N36" s="402"/>
      <c r="O36" s="402"/>
      <c r="P36" s="402"/>
      <c r="Q36" s="402"/>
      <c r="R36" s="402"/>
      <c r="S36" s="402"/>
      <c r="T36" s="402"/>
      <c r="U36" s="402"/>
      <c r="V36" s="402"/>
      <c r="W36" s="402"/>
      <c r="X36" s="402"/>
      <c r="Y36" s="402"/>
      <c r="Z36" s="402"/>
    </row>
    <row r="37" ht="14.25" customHeight="1">
      <c r="A37" s="497">
        <v>45506.0</v>
      </c>
      <c r="B37" s="349" t="s">
        <v>4507</v>
      </c>
      <c r="C37" s="349" t="s">
        <v>4486</v>
      </c>
      <c r="D37" s="349" t="s">
        <v>439</v>
      </c>
      <c r="E37" s="349" t="s">
        <v>21</v>
      </c>
      <c r="F37" s="413">
        <v>115630.0</v>
      </c>
      <c r="G37" s="403"/>
      <c r="H37" s="349" t="s">
        <v>4508</v>
      </c>
      <c r="I37" s="404" t="str">
        <f t="shared" si="6"/>
        <v>NOT PAID</v>
      </c>
      <c r="J37" s="402"/>
      <c r="K37" s="402"/>
      <c r="L37" s="402"/>
      <c r="M37" s="402"/>
      <c r="N37" s="402"/>
      <c r="O37" s="402"/>
      <c r="P37" s="402"/>
      <c r="Q37" s="402"/>
      <c r="R37" s="402"/>
      <c r="S37" s="402"/>
      <c r="T37" s="402"/>
      <c r="U37" s="402"/>
      <c r="V37" s="402"/>
      <c r="W37" s="402"/>
      <c r="X37" s="402"/>
      <c r="Y37" s="402"/>
      <c r="Z37" s="402"/>
    </row>
    <row r="38" ht="14.25" customHeight="1">
      <c r="A38" s="402"/>
      <c r="B38" s="402"/>
      <c r="C38" s="402"/>
      <c r="D38" s="402"/>
      <c r="E38" s="402"/>
      <c r="F38" s="403"/>
      <c r="G38" s="403"/>
      <c r="H38" s="402"/>
      <c r="I38" s="404" t="str">
        <f t="shared" si="6"/>
        <v>FULLY PAID</v>
      </c>
      <c r="J38" s="402"/>
      <c r="K38" s="402"/>
      <c r="L38" s="402"/>
      <c r="M38" s="402"/>
      <c r="N38" s="402"/>
      <c r="O38" s="402"/>
      <c r="P38" s="402"/>
      <c r="Q38" s="402"/>
      <c r="R38" s="402"/>
      <c r="S38" s="402"/>
      <c r="T38" s="402"/>
      <c r="U38" s="402"/>
      <c r="V38" s="402"/>
      <c r="W38" s="402"/>
      <c r="X38" s="402"/>
      <c r="Y38" s="402"/>
      <c r="Z38" s="402"/>
    </row>
    <row r="39" ht="14.25" customHeight="1">
      <c r="A39" s="497">
        <v>45507.0</v>
      </c>
      <c r="B39" s="455" t="s">
        <v>4509</v>
      </c>
      <c r="C39" s="349" t="s">
        <v>4510</v>
      </c>
      <c r="D39" s="349" t="s">
        <v>439</v>
      </c>
      <c r="E39" s="349" t="s">
        <v>21</v>
      </c>
      <c r="F39" s="413">
        <f>59000+4000</f>
        <v>63000</v>
      </c>
      <c r="G39" s="413">
        <v>0.0</v>
      </c>
      <c r="H39" s="349" t="s">
        <v>4511</v>
      </c>
      <c r="I39" s="404" t="str">
        <f t="shared" si="6"/>
        <v>NOT PAID</v>
      </c>
      <c r="J39" s="402"/>
      <c r="K39" s="402"/>
      <c r="L39" s="402"/>
      <c r="M39" s="402"/>
      <c r="N39" s="402"/>
      <c r="O39" s="402"/>
      <c r="P39" s="402"/>
      <c r="Q39" s="402"/>
      <c r="R39" s="402"/>
      <c r="S39" s="402"/>
      <c r="T39" s="402"/>
      <c r="U39" s="402"/>
      <c r="V39" s="402"/>
      <c r="W39" s="402"/>
      <c r="X39" s="402"/>
      <c r="Y39" s="402"/>
      <c r="Z39" s="402"/>
    </row>
    <row r="40" ht="14.25" customHeight="1">
      <c r="A40" s="402"/>
      <c r="B40" s="402"/>
      <c r="C40" s="402"/>
      <c r="D40" s="402"/>
      <c r="E40" s="349"/>
      <c r="F40" s="403"/>
      <c r="G40" s="403"/>
      <c r="H40" s="402"/>
      <c r="I40" s="404" t="str">
        <f t="shared" si="6"/>
        <v>FULLY PAID</v>
      </c>
      <c r="J40" s="402"/>
      <c r="K40" s="402"/>
      <c r="L40" s="402"/>
      <c r="M40" s="402"/>
      <c r="N40" s="402"/>
      <c r="O40" s="402"/>
      <c r="P40" s="402"/>
      <c r="Q40" s="402"/>
      <c r="R40" s="402"/>
      <c r="S40" s="402"/>
      <c r="T40" s="402"/>
      <c r="U40" s="402"/>
      <c r="V40" s="402"/>
      <c r="W40" s="402"/>
      <c r="X40" s="402"/>
      <c r="Y40" s="402"/>
      <c r="Z40" s="402"/>
    </row>
    <row r="41" ht="14.25" customHeight="1">
      <c r="A41" s="497">
        <v>45509.0</v>
      </c>
      <c r="B41" s="349" t="s">
        <v>4509</v>
      </c>
      <c r="C41" s="349" t="s">
        <v>4512</v>
      </c>
      <c r="D41" s="349" t="s">
        <v>4311</v>
      </c>
      <c r="E41" s="349" t="s">
        <v>21</v>
      </c>
      <c r="F41" s="413">
        <v>63000.0</v>
      </c>
      <c r="G41" s="413">
        <v>67000.0</v>
      </c>
      <c r="H41" s="349" t="s">
        <v>772</v>
      </c>
      <c r="I41" s="404" t="str">
        <f t="shared" si="6"/>
        <v>FULLY PAID</v>
      </c>
      <c r="J41" s="402"/>
      <c r="K41" s="402"/>
      <c r="L41" s="402"/>
      <c r="M41" s="402"/>
      <c r="N41" s="402"/>
      <c r="O41" s="402"/>
      <c r="P41" s="402"/>
      <c r="Q41" s="402"/>
      <c r="R41" s="402"/>
      <c r="S41" s="402"/>
      <c r="T41" s="402"/>
      <c r="U41" s="402"/>
      <c r="V41" s="402"/>
      <c r="W41" s="402"/>
      <c r="X41" s="402"/>
      <c r="Y41" s="402"/>
      <c r="Z41" s="402"/>
    </row>
    <row r="42" ht="14.25" customHeight="1">
      <c r="A42" s="349" t="s">
        <v>4513</v>
      </c>
      <c r="B42" s="349" t="s">
        <v>4507</v>
      </c>
      <c r="C42" s="349" t="s">
        <v>4486</v>
      </c>
      <c r="D42" s="349" t="s">
        <v>4311</v>
      </c>
      <c r="E42" s="349" t="s">
        <v>21</v>
      </c>
      <c r="F42" s="413">
        <v>115630.0</v>
      </c>
      <c r="G42" s="413">
        <v>0.0</v>
      </c>
      <c r="H42" s="349" t="s">
        <v>4514</v>
      </c>
      <c r="I42" s="404" t="str">
        <f t="shared" si="6"/>
        <v>NOT PAID</v>
      </c>
      <c r="J42" s="402"/>
      <c r="K42" s="402"/>
      <c r="L42" s="402"/>
      <c r="M42" s="402"/>
      <c r="N42" s="402"/>
      <c r="O42" s="402"/>
      <c r="P42" s="402"/>
      <c r="Q42" s="402"/>
      <c r="R42" s="402"/>
      <c r="S42" s="402"/>
      <c r="T42" s="402"/>
      <c r="U42" s="402"/>
      <c r="V42" s="402"/>
      <c r="W42" s="402"/>
      <c r="X42" s="402"/>
      <c r="Y42" s="402"/>
      <c r="Z42" s="402"/>
    </row>
    <row r="43" ht="14.25" customHeight="1">
      <c r="A43" s="402"/>
      <c r="B43" s="402"/>
      <c r="C43" s="402"/>
      <c r="D43" s="402"/>
      <c r="E43" s="402"/>
      <c r="F43" s="403"/>
      <c r="G43" s="403"/>
      <c r="H43" s="402"/>
      <c r="I43" s="404" t="str">
        <f t="shared" si="6"/>
        <v>FULLY PAID</v>
      </c>
      <c r="J43" s="402"/>
      <c r="K43" s="402"/>
      <c r="L43" s="402"/>
      <c r="M43" s="402"/>
      <c r="N43" s="402"/>
      <c r="O43" s="402"/>
      <c r="P43" s="402"/>
      <c r="Q43" s="402"/>
      <c r="R43" s="402"/>
      <c r="S43" s="402"/>
      <c r="T43" s="402"/>
      <c r="U43" s="402"/>
      <c r="V43" s="402"/>
      <c r="W43" s="402"/>
      <c r="X43" s="402"/>
      <c r="Y43" s="402"/>
      <c r="Z43" s="402"/>
    </row>
    <row r="44" ht="14.25" customHeight="1">
      <c r="A44" s="402"/>
      <c r="B44" s="402"/>
      <c r="C44" s="402"/>
      <c r="D44" s="402"/>
      <c r="E44" s="402"/>
      <c r="F44" s="403"/>
      <c r="G44" s="403"/>
      <c r="H44" s="402"/>
      <c r="I44" s="404" t="str">
        <f t="shared" si="6"/>
        <v>FULLY PAID</v>
      </c>
      <c r="J44" s="402"/>
      <c r="K44" s="402"/>
      <c r="L44" s="402"/>
      <c r="M44" s="402"/>
      <c r="N44" s="402"/>
      <c r="O44" s="402"/>
      <c r="P44" s="402"/>
      <c r="Q44" s="402"/>
      <c r="R44" s="402"/>
      <c r="S44" s="402"/>
      <c r="T44" s="402"/>
      <c r="U44" s="402"/>
      <c r="V44" s="402"/>
      <c r="W44" s="402"/>
      <c r="X44" s="402"/>
      <c r="Y44" s="402"/>
      <c r="Z44" s="402"/>
    </row>
    <row r="45" ht="14.25" customHeight="1">
      <c r="A45" s="497">
        <v>45511.0</v>
      </c>
      <c r="B45" s="349" t="s">
        <v>4515</v>
      </c>
      <c r="C45" s="349" t="s">
        <v>4516</v>
      </c>
      <c r="D45" s="349" t="s">
        <v>439</v>
      </c>
      <c r="E45" s="349" t="s">
        <v>21</v>
      </c>
      <c r="F45" s="413">
        <v>14051.0</v>
      </c>
      <c r="G45" s="413">
        <v>14060.0</v>
      </c>
      <c r="H45" s="349" t="s">
        <v>267</v>
      </c>
      <c r="I45" s="404" t="str">
        <f t="shared" si="6"/>
        <v>FULLY PAID</v>
      </c>
      <c r="J45" s="402"/>
      <c r="K45" s="402"/>
      <c r="L45" s="402"/>
      <c r="M45" s="402"/>
      <c r="N45" s="402"/>
      <c r="O45" s="402"/>
      <c r="P45" s="402"/>
      <c r="Q45" s="402"/>
      <c r="R45" s="402"/>
      <c r="S45" s="402"/>
      <c r="T45" s="402"/>
      <c r="U45" s="402"/>
      <c r="V45" s="402"/>
      <c r="W45" s="402"/>
      <c r="X45" s="402"/>
      <c r="Y45" s="402"/>
      <c r="Z45" s="402"/>
    </row>
    <row r="46" ht="14.25" customHeight="1">
      <c r="A46" s="497">
        <v>45511.0</v>
      </c>
      <c r="B46" s="349" t="s">
        <v>4485</v>
      </c>
      <c r="C46" s="349" t="s">
        <v>4486</v>
      </c>
      <c r="D46" s="349" t="s">
        <v>439</v>
      </c>
      <c r="E46" s="349" t="s">
        <v>21</v>
      </c>
      <c r="F46" s="413">
        <v>119556.0</v>
      </c>
      <c r="G46" s="413">
        <v>0.0</v>
      </c>
      <c r="H46" s="349" t="s">
        <v>4517</v>
      </c>
      <c r="I46" s="404" t="str">
        <f t="shared" si="6"/>
        <v>NOT PAID</v>
      </c>
      <c r="J46" s="402"/>
      <c r="K46" s="402"/>
      <c r="L46" s="402"/>
      <c r="M46" s="402"/>
      <c r="N46" s="402"/>
      <c r="O46" s="402"/>
      <c r="P46" s="402"/>
      <c r="Q46" s="402"/>
      <c r="R46" s="402"/>
      <c r="S46" s="402"/>
      <c r="T46" s="402"/>
      <c r="U46" s="402"/>
      <c r="V46" s="402"/>
      <c r="W46" s="402"/>
      <c r="X46" s="402"/>
      <c r="Y46" s="402"/>
      <c r="Z46" s="402"/>
    </row>
    <row r="47" ht="14.25" customHeight="1">
      <c r="A47" s="402"/>
      <c r="B47" s="402"/>
      <c r="C47" s="402"/>
      <c r="D47" s="402"/>
      <c r="E47" s="402"/>
      <c r="F47" s="403"/>
      <c r="G47" s="403"/>
      <c r="H47" s="402"/>
      <c r="I47" s="404" t="str">
        <f t="shared" si="6"/>
        <v>FULLY PAID</v>
      </c>
      <c r="J47" s="402"/>
      <c r="K47" s="402"/>
      <c r="L47" s="402"/>
      <c r="M47" s="402"/>
      <c r="N47" s="402"/>
      <c r="O47" s="402"/>
      <c r="P47" s="402"/>
      <c r="Q47" s="402"/>
      <c r="R47" s="402"/>
      <c r="S47" s="402"/>
      <c r="T47" s="402"/>
      <c r="U47" s="402"/>
      <c r="V47" s="402"/>
      <c r="W47" s="402"/>
      <c r="X47" s="402"/>
      <c r="Y47" s="402"/>
      <c r="Z47" s="402"/>
    </row>
    <row r="48" ht="14.25" customHeight="1">
      <c r="A48" s="402"/>
      <c r="B48" s="402"/>
      <c r="C48" s="402"/>
      <c r="D48" s="402"/>
      <c r="E48" s="402"/>
      <c r="F48" s="403"/>
      <c r="G48" s="403"/>
      <c r="H48" s="402"/>
      <c r="I48" s="404" t="str">
        <f t="shared" si="6"/>
        <v>FULLY PAID</v>
      </c>
      <c r="J48" s="402"/>
      <c r="K48" s="402"/>
      <c r="L48" s="402"/>
      <c r="M48" s="402"/>
      <c r="N48" s="402"/>
      <c r="O48" s="402"/>
      <c r="P48" s="402"/>
      <c r="Q48" s="402"/>
      <c r="R48" s="402"/>
      <c r="S48" s="402"/>
      <c r="T48" s="402"/>
      <c r="U48" s="402"/>
      <c r="V48" s="402"/>
      <c r="W48" s="402"/>
      <c r="X48" s="402"/>
      <c r="Y48" s="402"/>
      <c r="Z48" s="402"/>
    </row>
    <row r="49" ht="14.25" customHeight="1">
      <c r="A49" s="497">
        <v>45512.0</v>
      </c>
      <c r="B49" s="349" t="s">
        <v>4507</v>
      </c>
      <c r="C49" s="349" t="s">
        <v>4486</v>
      </c>
      <c r="D49" s="349" t="s">
        <v>439</v>
      </c>
      <c r="E49" s="349" t="s">
        <v>21</v>
      </c>
      <c r="F49" s="413">
        <v>119556.0</v>
      </c>
      <c r="G49" s="403"/>
      <c r="H49" s="349" t="s">
        <v>4518</v>
      </c>
      <c r="I49" s="404" t="str">
        <f t="shared" si="6"/>
        <v>NOT PAID</v>
      </c>
      <c r="J49" s="402"/>
      <c r="K49" s="402"/>
      <c r="L49" s="402"/>
      <c r="M49" s="402"/>
      <c r="N49" s="402"/>
      <c r="O49" s="402"/>
      <c r="P49" s="402"/>
      <c r="Q49" s="402"/>
      <c r="R49" s="402"/>
      <c r="S49" s="402"/>
      <c r="T49" s="402"/>
      <c r="U49" s="402"/>
      <c r="V49" s="402"/>
      <c r="W49" s="402"/>
      <c r="X49" s="402"/>
      <c r="Y49" s="402"/>
      <c r="Z49" s="402"/>
    </row>
    <row r="50" ht="14.25" customHeight="1">
      <c r="A50" s="497">
        <v>45512.0</v>
      </c>
      <c r="B50" s="349" t="s">
        <v>4519</v>
      </c>
      <c r="C50" s="349" t="s">
        <v>4520</v>
      </c>
      <c r="D50" s="349" t="s">
        <v>439</v>
      </c>
      <c r="E50" s="349" t="s">
        <v>21</v>
      </c>
      <c r="F50" s="413">
        <v>27064.0</v>
      </c>
      <c r="G50" s="403"/>
      <c r="H50" s="349" t="s">
        <v>4518</v>
      </c>
      <c r="I50" s="404" t="str">
        <f t="shared" si="6"/>
        <v>NOT PAID</v>
      </c>
      <c r="J50" s="402"/>
      <c r="K50" s="402"/>
      <c r="L50" s="402"/>
      <c r="M50" s="402"/>
      <c r="N50" s="402"/>
      <c r="O50" s="402"/>
      <c r="P50" s="402"/>
      <c r="Q50" s="402"/>
      <c r="R50" s="402"/>
      <c r="S50" s="402"/>
      <c r="T50" s="402"/>
      <c r="U50" s="402"/>
      <c r="V50" s="402"/>
      <c r="W50" s="402"/>
      <c r="X50" s="402"/>
      <c r="Y50" s="402"/>
      <c r="Z50" s="402"/>
    </row>
    <row r="51" ht="14.25" customHeight="1">
      <c r="A51" s="497">
        <v>45512.0</v>
      </c>
      <c r="B51" s="349" t="s">
        <v>4501</v>
      </c>
      <c r="C51" s="349" t="s">
        <v>4502</v>
      </c>
      <c r="D51" s="349" t="s">
        <v>439</v>
      </c>
      <c r="E51" s="349" t="s">
        <v>21</v>
      </c>
      <c r="F51" s="413">
        <v>775.0</v>
      </c>
      <c r="G51" s="403"/>
      <c r="H51" s="402"/>
      <c r="I51" s="404" t="str">
        <f t="shared" si="6"/>
        <v>NOT PAID</v>
      </c>
      <c r="J51" s="402"/>
      <c r="K51" s="402"/>
      <c r="L51" s="402"/>
      <c r="M51" s="402"/>
      <c r="N51" s="402"/>
      <c r="O51" s="402"/>
      <c r="P51" s="402"/>
      <c r="Q51" s="402"/>
      <c r="R51" s="402"/>
      <c r="S51" s="402"/>
      <c r="T51" s="402"/>
      <c r="U51" s="402"/>
      <c r="V51" s="402"/>
      <c r="W51" s="402"/>
      <c r="X51" s="402"/>
      <c r="Y51" s="402"/>
      <c r="Z51" s="402"/>
    </row>
    <row r="52" ht="14.25" customHeight="1">
      <c r="A52" s="402"/>
      <c r="B52" s="402"/>
      <c r="C52" s="402"/>
      <c r="D52" s="402"/>
      <c r="E52" s="402"/>
      <c r="F52" s="403"/>
      <c r="G52" s="403"/>
      <c r="H52" s="402"/>
      <c r="I52" s="404" t="str">
        <f t="shared" si="6"/>
        <v>FULLY PAID</v>
      </c>
      <c r="J52" s="402"/>
      <c r="K52" s="402"/>
      <c r="L52" s="402"/>
      <c r="M52" s="402"/>
      <c r="N52" s="402"/>
      <c r="O52" s="402"/>
      <c r="P52" s="402"/>
      <c r="Q52" s="402"/>
      <c r="R52" s="402"/>
      <c r="S52" s="402"/>
      <c r="T52" s="402"/>
      <c r="U52" s="402"/>
      <c r="V52" s="402"/>
      <c r="W52" s="402"/>
      <c r="X52" s="402"/>
      <c r="Y52" s="402"/>
      <c r="Z52" s="402"/>
    </row>
    <row r="53" ht="14.25" customHeight="1">
      <c r="A53" s="402"/>
      <c r="B53" s="402"/>
      <c r="C53" s="402"/>
      <c r="D53" s="402"/>
      <c r="E53" s="402"/>
      <c r="F53" s="403"/>
      <c r="G53" s="403"/>
      <c r="H53" s="402"/>
      <c r="I53" s="404" t="str">
        <f t="shared" si="6"/>
        <v>FULLY PAID</v>
      </c>
      <c r="J53" s="402"/>
      <c r="K53" s="402"/>
      <c r="L53" s="402"/>
      <c r="M53" s="402"/>
      <c r="N53" s="402"/>
      <c r="O53" s="402"/>
      <c r="P53" s="402"/>
      <c r="Q53" s="402"/>
      <c r="R53" s="402"/>
      <c r="S53" s="402"/>
      <c r="T53" s="402"/>
      <c r="U53" s="402"/>
      <c r="V53" s="402"/>
      <c r="W53" s="402"/>
      <c r="X53" s="402"/>
      <c r="Y53" s="402"/>
      <c r="Z53" s="402"/>
    </row>
    <row r="54" ht="14.25" customHeight="1">
      <c r="A54" s="497">
        <v>45513.0</v>
      </c>
      <c r="B54" s="349" t="s">
        <v>4521</v>
      </c>
      <c r="C54" s="349" t="s">
        <v>4502</v>
      </c>
      <c r="D54" s="349" t="s">
        <v>439</v>
      </c>
      <c r="E54" s="349" t="s">
        <v>21</v>
      </c>
      <c r="F54" s="413">
        <v>775.0</v>
      </c>
      <c r="G54" s="403"/>
      <c r="H54" s="402"/>
      <c r="I54" s="404" t="str">
        <f t="shared" si="6"/>
        <v>NOT PAID</v>
      </c>
      <c r="J54" s="402"/>
      <c r="K54" s="402"/>
      <c r="L54" s="402"/>
      <c r="M54" s="402"/>
      <c r="N54" s="402"/>
      <c r="O54" s="402"/>
      <c r="P54" s="402"/>
      <c r="Q54" s="402"/>
      <c r="R54" s="402"/>
      <c r="S54" s="402"/>
      <c r="T54" s="402"/>
      <c r="U54" s="402"/>
      <c r="V54" s="402"/>
      <c r="W54" s="402"/>
      <c r="X54" s="402"/>
      <c r="Y54" s="402"/>
      <c r="Z54" s="402"/>
    </row>
    <row r="55" ht="14.25" customHeight="1">
      <c r="A55" s="402"/>
      <c r="B55" s="402"/>
      <c r="C55" s="402"/>
      <c r="D55" s="402"/>
      <c r="E55" s="402"/>
      <c r="F55" s="403"/>
      <c r="G55" s="403"/>
      <c r="H55" s="402"/>
      <c r="I55" s="404" t="str">
        <f t="shared" si="6"/>
        <v>FULLY PAID</v>
      </c>
      <c r="J55" s="402"/>
      <c r="K55" s="402"/>
      <c r="L55" s="402"/>
      <c r="M55" s="402"/>
      <c r="N55" s="402"/>
      <c r="O55" s="402"/>
      <c r="P55" s="402"/>
      <c r="Q55" s="402"/>
      <c r="R55" s="402"/>
      <c r="S55" s="402"/>
      <c r="T55" s="402"/>
      <c r="U55" s="402"/>
      <c r="V55" s="402"/>
      <c r="W55" s="402"/>
      <c r="X55" s="402"/>
      <c r="Y55" s="402"/>
      <c r="Z55" s="402"/>
    </row>
    <row r="56" ht="14.25" customHeight="1">
      <c r="A56" s="402"/>
      <c r="B56" s="402"/>
      <c r="C56" s="402"/>
      <c r="D56" s="402"/>
      <c r="E56" s="402"/>
      <c r="F56" s="403"/>
      <c r="G56" s="403"/>
      <c r="H56" s="402"/>
      <c r="I56" s="404" t="str">
        <f t="shared" si="6"/>
        <v>FULLY PAID</v>
      </c>
      <c r="J56" s="402"/>
      <c r="K56" s="402"/>
      <c r="L56" s="402"/>
      <c r="M56" s="402"/>
      <c r="N56" s="402"/>
      <c r="O56" s="402"/>
      <c r="P56" s="402"/>
      <c r="Q56" s="402"/>
      <c r="R56" s="402"/>
      <c r="S56" s="402"/>
      <c r="T56" s="402"/>
      <c r="U56" s="402"/>
      <c r="V56" s="402"/>
      <c r="W56" s="402"/>
      <c r="X56" s="402"/>
      <c r="Y56" s="402"/>
      <c r="Z56" s="402"/>
    </row>
    <row r="57" ht="14.25" customHeight="1">
      <c r="A57" s="497">
        <v>45516.0</v>
      </c>
      <c r="B57" s="349" t="s">
        <v>4522</v>
      </c>
      <c r="C57" s="349" t="s">
        <v>4502</v>
      </c>
      <c r="D57" s="349" t="s">
        <v>439</v>
      </c>
      <c r="E57" s="349" t="s">
        <v>4500</v>
      </c>
      <c r="F57" s="413">
        <v>775.0</v>
      </c>
      <c r="G57" s="413">
        <v>1000.0</v>
      </c>
      <c r="H57" s="349" t="s">
        <v>772</v>
      </c>
      <c r="I57" s="404" t="str">
        <f t="shared" si="6"/>
        <v>FULLY PAID</v>
      </c>
      <c r="J57" s="402"/>
      <c r="K57" s="402"/>
      <c r="L57" s="402"/>
      <c r="M57" s="402"/>
      <c r="N57" s="402"/>
      <c r="O57" s="402"/>
      <c r="P57" s="402"/>
      <c r="Q57" s="402"/>
      <c r="R57" s="402"/>
      <c r="S57" s="402"/>
      <c r="T57" s="402"/>
      <c r="U57" s="402"/>
      <c r="V57" s="402"/>
      <c r="W57" s="402"/>
      <c r="X57" s="402"/>
      <c r="Y57" s="402"/>
      <c r="Z57" s="402"/>
    </row>
    <row r="58" ht="14.25" customHeight="1">
      <c r="A58" s="497">
        <v>45516.0</v>
      </c>
      <c r="B58" s="349" t="s">
        <v>4485</v>
      </c>
      <c r="C58" s="349" t="s">
        <v>4486</v>
      </c>
      <c r="D58" s="349" t="s">
        <v>439</v>
      </c>
      <c r="E58" s="349" t="s">
        <v>4500</v>
      </c>
      <c r="F58" s="413">
        <v>55000.0</v>
      </c>
      <c r="G58" s="403"/>
      <c r="H58" s="349" t="s">
        <v>4523</v>
      </c>
      <c r="I58" s="404" t="str">
        <f t="shared" si="6"/>
        <v>NOT PAID</v>
      </c>
      <c r="J58" s="402"/>
      <c r="K58" s="402"/>
      <c r="L58" s="402"/>
      <c r="M58" s="402"/>
      <c r="N58" s="402"/>
      <c r="O58" s="402"/>
      <c r="P58" s="402"/>
      <c r="Q58" s="402"/>
      <c r="R58" s="402"/>
      <c r="S58" s="402"/>
      <c r="T58" s="402"/>
      <c r="U58" s="402"/>
      <c r="V58" s="402"/>
      <c r="W58" s="402"/>
      <c r="X58" s="402"/>
      <c r="Y58" s="402"/>
      <c r="Z58" s="402"/>
    </row>
    <row r="59" ht="14.25" customHeight="1">
      <c r="A59" s="402"/>
      <c r="B59" s="402"/>
      <c r="C59" s="402"/>
      <c r="D59" s="402"/>
      <c r="E59" s="402"/>
      <c r="F59" s="403"/>
      <c r="G59" s="403"/>
      <c r="H59" s="402"/>
      <c r="I59" s="404" t="str">
        <f t="shared" si="6"/>
        <v>FULLY PAID</v>
      </c>
      <c r="J59" s="402"/>
      <c r="K59" s="402"/>
      <c r="L59" s="402"/>
      <c r="M59" s="402"/>
      <c r="N59" s="402"/>
      <c r="O59" s="402"/>
      <c r="P59" s="402"/>
      <c r="Q59" s="402"/>
      <c r="R59" s="402"/>
      <c r="S59" s="402"/>
      <c r="T59" s="402"/>
      <c r="U59" s="402"/>
      <c r="V59" s="402"/>
      <c r="W59" s="402"/>
      <c r="X59" s="402"/>
      <c r="Y59" s="402"/>
      <c r="Z59" s="402"/>
    </row>
    <row r="60" ht="14.25" customHeight="1">
      <c r="A60" s="402"/>
      <c r="B60" s="402"/>
      <c r="C60" s="402"/>
      <c r="D60" s="402"/>
      <c r="E60" s="402"/>
      <c r="F60" s="403"/>
      <c r="G60" s="403"/>
      <c r="H60" s="402"/>
      <c r="I60" s="404" t="str">
        <f t="shared" si="6"/>
        <v>FULLY PAID</v>
      </c>
      <c r="J60" s="402"/>
      <c r="K60" s="402"/>
      <c r="L60" s="402"/>
      <c r="M60" s="402"/>
      <c r="N60" s="402"/>
      <c r="O60" s="402"/>
      <c r="P60" s="402"/>
      <c r="Q60" s="402"/>
      <c r="R60" s="402"/>
      <c r="S60" s="402"/>
      <c r="T60" s="402"/>
      <c r="U60" s="402"/>
      <c r="V60" s="402"/>
      <c r="W60" s="402"/>
      <c r="X60" s="402"/>
      <c r="Y60" s="402"/>
      <c r="Z60" s="402"/>
    </row>
    <row r="61" ht="14.25" customHeight="1">
      <c r="A61" s="497">
        <v>45517.0</v>
      </c>
      <c r="B61" s="349" t="s">
        <v>4485</v>
      </c>
      <c r="C61" s="349" t="s">
        <v>4486</v>
      </c>
      <c r="D61" s="349" t="s">
        <v>439</v>
      </c>
      <c r="E61" s="349" t="s">
        <v>4500</v>
      </c>
      <c r="F61" s="413">
        <v>120000.0</v>
      </c>
      <c r="G61" s="403"/>
      <c r="H61" s="349" t="s">
        <v>4524</v>
      </c>
      <c r="I61" s="404" t="str">
        <f t="shared" si="6"/>
        <v>NOT PAID</v>
      </c>
      <c r="J61" s="402"/>
      <c r="K61" s="402"/>
      <c r="L61" s="402"/>
      <c r="M61" s="402"/>
      <c r="N61" s="402"/>
      <c r="O61" s="402"/>
      <c r="P61" s="402"/>
      <c r="Q61" s="402"/>
      <c r="R61" s="402"/>
      <c r="S61" s="402"/>
      <c r="T61" s="402"/>
      <c r="U61" s="402"/>
      <c r="V61" s="402"/>
      <c r="W61" s="402"/>
      <c r="X61" s="402"/>
      <c r="Y61" s="402"/>
      <c r="Z61" s="402"/>
    </row>
    <row r="62" ht="14.25" customHeight="1">
      <c r="A62" s="402"/>
      <c r="B62" s="402"/>
      <c r="C62" s="402"/>
      <c r="D62" s="402"/>
      <c r="E62" s="402"/>
      <c r="F62" s="403"/>
      <c r="G62" s="403"/>
      <c r="H62" s="402"/>
      <c r="I62" s="404" t="str">
        <f t="shared" si="6"/>
        <v>FULLY PAID</v>
      </c>
      <c r="J62" s="402"/>
      <c r="K62" s="402"/>
      <c r="L62" s="402"/>
      <c r="M62" s="402"/>
      <c r="N62" s="402"/>
      <c r="O62" s="402"/>
      <c r="P62" s="402"/>
      <c r="Q62" s="402"/>
      <c r="R62" s="402"/>
      <c r="S62" s="402"/>
      <c r="T62" s="402"/>
      <c r="U62" s="402"/>
      <c r="V62" s="402"/>
      <c r="W62" s="402"/>
      <c r="X62" s="402"/>
      <c r="Y62" s="402"/>
      <c r="Z62" s="402"/>
    </row>
    <row r="63" ht="14.25" customHeight="1">
      <c r="A63" s="497">
        <v>45518.0</v>
      </c>
      <c r="B63" s="349" t="s">
        <v>4525</v>
      </c>
      <c r="C63" s="349" t="s">
        <v>4526</v>
      </c>
      <c r="D63" s="349" t="s">
        <v>439</v>
      </c>
      <c r="E63" s="349" t="s">
        <v>4487</v>
      </c>
      <c r="F63" s="413">
        <v>47808.0</v>
      </c>
      <c r="G63" s="413">
        <v>48000.0</v>
      </c>
      <c r="H63" s="349" t="s">
        <v>772</v>
      </c>
      <c r="I63" s="404" t="str">
        <f t="shared" si="6"/>
        <v>FULLY PAID</v>
      </c>
      <c r="J63" s="402"/>
      <c r="K63" s="402"/>
      <c r="L63" s="402"/>
      <c r="M63" s="402"/>
      <c r="N63" s="402"/>
      <c r="O63" s="402"/>
      <c r="P63" s="402"/>
      <c r="Q63" s="402"/>
      <c r="R63" s="402"/>
      <c r="S63" s="402"/>
      <c r="T63" s="402"/>
      <c r="U63" s="402"/>
      <c r="V63" s="402"/>
      <c r="W63" s="402"/>
      <c r="X63" s="402"/>
      <c r="Y63" s="402"/>
      <c r="Z63" s="402"/>
    </row>
    <row r="64" ht="14.25" customHeight="1">
      <c r="A64" s="402"/>
      <c r="B64" s="402"/>
      <c r="C64" s="402"/>
      <c r="D64" s="402"/>
      <c r="E64" s="402"/>
      <c r="F64" s="403"/>
      <c r="G64" s="403"/>
      <c r="H64" s="402"/>
      <c r="I64" s="404" t="str">
        <f t="shared" si="6"/>
        <v>FULLY PAID</v>
      </c>
      <c r="J64" s="402"/>
      <c r="K64" s="402"/>
      <c r="L64" s="402"/>
      <c r="M64" s="402"/>
      <c r="N64" s="402"/>
      <c r="O64" s="402"/>
      <c r="P64" s="402"/>
      <c r="Q64" s="402"/>
      <c r="R64" s="402"/>
      <c r="S64" s="402"/>
      <c r="T64" s="402"/>
      <c r="U64" s="402"/>
      <c r="V64" s="402"/>
      <c r="W64" s="402"/>
      <c r="X64" s="402"/>
      <c r="Y64" s="402"/>
      <c r="Z64" s="402"/>
    </row>
    <row r="65" ht="14.25" customHeight="1">
      <c r="A65" s="497">
        <v>45519.0</v>
      </c>
      <c r="B65" s="349" t="s">
        <v>4527</v>
      </c>
      <c r="C65" s="349" t="s">
        <v>4528</v>
      </c>
      <c r="D65" s="349" t="s">
        <v>439</v>
      </c>
      <c r="E65" s="349" t="s">
        <v>4500</v>
      </c>
      <c r="F65" s="413">
        <v>32939.0</v>
      </c>
      <c r="G65" s="413">
        <v>0.0</v>
      </c>
      <c r="H65" s="349" t="s">
        <v>4529</v>
      </c>
      <c r="I65" s="404" t="str">
        <f t="shared" si="6"/>
        <v>NOT PAID</v>
      </c>
      <c r="J65" s="402"/>
      <c r="K65" s="402"/>
      <c r="L65" s="402"/>
      <c r="M65" s="402"/>
      <c r="N65" s="402"/>
      <c r="O65" s="402"/>
      <c r="P65" s="402"/>
      <c r="Q65" s="402"/>
      <c r="R65" s="402"/>
      <c r="S65" s="402"/>
      <c r="T65" s="402"/>
      <c r="U65" s="402"/>
      <c r="V65" s="402"/>
      <c r="W65" s="402"/>
      <c r="X65" s="402"/>
      <c r="Y65" s="402"/>
      <c r="Z65" s="402"/>
    </row>
    <row r="66" ht="14.25" customHeight="1">
      <c r="A66" s="402"/>
      <c r="B66" s="402"/>
      <c r="C66" s="402"/>
      <c r="D66" s="402"/>
      <c r="E66" s="402"/>
      <c r="F66" s="403"/>
      <c r="G66" s="403"/>
      <c r="H66" s="402"/>
      <c r="I66" s="404" t="str">
        <f t="shared" si="6"/>
        <v>FULLY PAID</v>
      </c>
      <c r="J66" s="402"/>
      <c r="K66" s="402"/>
      <c r="L66" s="402"/>
      <c r="M66" s="402"/>
      <c r="N66" s="402"/>
      <c r="O66" s="402"/>
      <c r="P66" s="402"/>
      <c r="Q66" s="402"/>
      <c r="R66" s="402"/>
      <c r="S66" s="402"/>
      <c r="T66" s="402"/>
      <c r="U66" s="402"/>
      <c r="V66" s="402"/>
      <c r="W66" s="402"/>
      <c r="X66" s="402"/>
      <c r="Y66" s="402"/>
      <c r="Z66" s="402"/>
    </row>
    <row r="67" ht="14.25" customHeight="1">
      <c r="A67" s="497">
        <v>45520.0</v>
      </c>
      <c r="B67" s="349" t="s">
        <v>4527</v>
      </c>
      <c r="C67" s="349" t="s">
        <v>4530</v>
      </c>
      <c r="D67" s="349" t="s">
        <v>439</v>
      </c>
      <c r="E67" s="349" t="s">
        <v>4500</v>
      </c>
      <c r="F67" s="413">
        <v>32939.0</v>
      </c>
      <c r="G67" s="413">
        <v>36860.0</v>
      </c>
      <c r="H67" s="349" t="s">
        <v>56</v>
      </c>
      <c r="I67" s="404" t="str">
        <f t="shared" si="6"/>
        <v>FULLY PAID</v>
      </c>
      <c r="J67" s="402"/>
      <c r="K67" s="402"/>
      <c r="L67" s="402"/>
      <c r="M67" s="402"/>
      <c r="N67" s="402"/>
      <c r="O67" s="402"/>
      <c r="P67" s="402"/>
      <c r="Q67" s="402"/>
      <c r="R67" s="402"/>
      <c r="S67" s="402"/>
      <c r="T67" s="402"/>
      <c r="U67" s="402"/>
      <c r="V67" s="402"/>
      <c r="W67" s="402"/>
      <c r="X67" s="402"/>
      <c r="Y67" s="402"/>
      <c r="Z67" s="402"/>
    </row>
    <row r="68" ht="14.25" customHeight="1">
      <c r="A68" s="497">
        <v>45520.0</v>
      </c>
      <c r="B68" s="349" t="s">
        <v>4531</v>
      </c>
      <c r="C68" s="349" t="s">
        <v>4486</v>
      </c>
      <c r="D68" s="349" t="s">
        <v>439</v>
      </c>
      <c r="E68" s="349" t="s">
        <v>4500</v>
      </c>
      <c r="F68" s="413">
        <v>126125.0</v>
      </c>
      <c r="G68" s="413">
        <v>50000.0</v>
      </c>
      <c r="H68" s="349" t="s">
        <v>4532</v>
      </c>
      <c r="I68" s="404" t="str">
        <f t="shared" si="6"/>
        <v>PARTIALLY PAID</v>
      </c>
      <c r="J68" s="402"/>
      <c r="K68" s="402"/>
      <c r="L68" s="402"/>
      <c r="M68" s="402"/>
      <c r="N68" s="402"/>
      <c r="O68" s="402"/>
      <c r="P68" s="402"/>
      <c r="Q68" s="402"/>
      <c r="R68" s="402"/>
      <c r="S68" s="402"/>
      <c r="T68" s="402"/>
      <c r="U68" s="402"/>
      <c r="V68" s="402"/>
      <c r="W68" s="402"/>
      <c r="X68" s="402"/>
      <c r="Y68" s="402"/>
      <c r="Z68" s="402"/>
    </row>
    <row r="69" ht="14.25" customHeight="1">
      <c r="A69" s="402"/>
      <c r="B69" s="402"/>
      <c r="C69" s="402"/>
      <c r="D69" s="402"/>
      <c r="E69" s="402"/>
      <c r="F69" s="403"/>
      <c r="G69" s="403"/>
      <c r="H69" s="402"/>
      <c r="I69" s="404" t="str">
        <f t="shared" si="6"/>
        <v>FULLY PAID</v>
      </c>
      <c r="J69" s="402"/>
      <c r="K69" s="402"/>
      <c r="L69" s="402"/>
      <c r="M69" s="402"/>
      <c r="N69" s="402"/>
      <c r="O69" s="402"/>
      <c r="P69" s="402"/>
      <c r="Q69" s="402"/>
      <c r="R69" s="402"/>
      <c r="S69" s="402"/>
      <c r="T69" s="402"/>
      <c r="U69" s="402"/>
      <c r="V69" s="402"/>
      <c r="W69" s="402"/>
      <c r="X69" s="402"/>
      <c r="Y69" s="402"/>
      <c r="Z69" s="402"/>
    </row>
    <row r="70" ht="14.25" customHeight="1">
      <c r="A70" s="402"/>
      <c r="B70" s="402"/>
      <c r="C70" s="402"/>
      <c r="D70" s="402"/>
      <c r="E70" s="402"/>
      <c r="F70" s="403"/>
      <c r="G70" s="403"/>
      <c r="H70" s="402"/>
      <c r="I70" s="404" t="str">
        <f t="shared" si="6"/>
        <v>FULLY PAID</v>
      </c>
      <c r="J70" s="402"/>
      <c r="K70" s="402"/>
      <c r="L70" s="402"/>
      <c r="M70" s="402"/>
      <c r="N70" s="402"/>
      <c r="O70" s="402"/>
      <c r="P70" s="402"/>
      <c r="Q70" s="402"/>
      <c r="R70" s="402"/>
      <c r="S70" s="402"/>
      <c r="T70" s="402"/>
      <c r="U70" s="402"/>
      <c r="V70" s="402"/>
      <c r="W70" s="402"/>
      <c r="X70" s="402"/>
      <c r="Y70" s="402"/>
      <c r="Z70" s="402"/>
    </row>
    <row r="71" ht="14.25" customHeight="1">
      <c r="A71" s="497">
        <v>45523.0</v>
      </c>
      <c r="B71" s="349" t="s">
        <v>4485</v>
      </c>
      <c r="C71" s="349" t="s">
        <v>4486</v>
      </c>
      <c r="D71" s="349" t="s">
        <v>439</v>
      </c>
      <c r="E71" s="349" t="s">
        <v>4487</v>
      </c>
      <c r="F71" s="413">
        <v>76125.0</v>
      </c>
      <c r="G71" s="413">
        <v>0.0</v>
      </c>
      <c r="H71" s="402"/>
      <c r="I71" s="404" t="str">
        <f t="shared" si="6"/>
        <v>NOT PAID</v>
      </c>
      <c r="J71" s="402"/>
      <c r="K71" s="402"/>
      <c r="L71" s="402"/>
      <c r="M71" s="402"/>
      <c r="N71" s="402"/>
      <c r="O71" s="402"/>
      <c r="P71" s="402"/>
      <c r="Q71" s="402"/>
      <c r="R71" s="402"/>
      <c r="S71" s="402"/>
      <c r="T71" s="402"/>
      <c r="U71" s="402"/>
      <c r="V71" s="402"/>
      <c r="W71" s="402"/>
      <c r="X71" s="402"/>
      <c r="Y71" s="402"/>
      <c r="Z71" s="402"/>
    </row>
    <row r="72" ht="14.25" customHeight="1">
      <c r="A72" s="402"/>
      <c r="B72" s="402"/>
      <c r="C72" s="402"/>
      <c r="D72" s="402"/>
      <c r="E72" s="402"/>
      <c r="F72" s="403"/>
      <c r="G72" s="403"/>
      <c r="H72" s="402"/>
      <c r="I72" s="404" t="str">
        <f t="shared" si="6"/>
        <v>FULLY PAID</v>
      </c>
      <c r="J72" s="402"/>
      <c r="K72" s="402"/>
      <c r="L72" s="402"/>
      <c r="M72" s="402"/>
      <c r="N72" s="402"/>
      <c r="O72" s="402"/>
      <c r="P72" s="402"/>
      <c r="Q72" s="402"/>
      <c r="R72" s="402"/>
      <c r="S72" s="402"/>
      <c r="T72" s="402"/>
      <c r="U72" s="402"/>
      <c r="V72" s="402"/>
      <c r="W72" s="402"/>
      <c r="X72" s="402"/>
      <c r="Y72" s="402"/>
      <c r="Z72" s="402"/>
    </row>
    <row r="73" ht="14.25" customHeight="1">
      <c r="A73" s="497">
        <v>45524.0</v>
      </c>
      <c r="B73" s="349" t="s">
        <v>4485</v>
      </c>
      <c r="C73" s="349" t="s">
        <v>4486</v>
      </c>
      <c r="D73" s="349" t="s">
        <v>439</v>
      </c>
      <c r="E73" s="349" t="s">
        <v>4487</v>
      </c>
      <c r="F73" s="413">
        <v>76125.0</v>
      </c>
      <c r="G73" s="403"/>
      <c r="H73" s="402"/>
      <c r="I73" s="404" t="str">
        <f t="shared" si="6"/>
        <v>NOT PAID</v>
      </c>
      <c r="J73" s="402"/>
      <c r="K73" s="402"/>
      <c r="L73" s="402"/>
      <c r="M73" s="402"/>
      <c r="N73" s="402"/>
      <c r="O73" s="402"/>
      <c r="P73" s="402"/>
      <c r="Q73" s="402"/>
      <c r="R73" s="402"/>
      <c r="S73" s="402"/>
      <c r="T73" s="402"/>
      <c r="U73" s="402"/>
      <c r="V73" s="402"/>
      <c r="W73" s="402"/>
      <c r="X73" s="402"/>
      <c r="Y73" s="402"/>
      <c r="Z73" s="402"/>
    </row>
    <row r="74" ht="14.25" customHeight="1">
      <c r="A74" s="497">
        <v>45524.0</v>
      </c>
      <c r="B74" s="349" t="s">
        <v>4497</v>
      </c>
      <c r="C74" s="349" t="s">
        <v>4490</v>
      </c>
      <c r="D74" s="349" t="s">
        <v>4533</v>
      </c>
      <c r="E74" s="349" t="s">
        <v>4487</v>
      </c>
      <c r="F74" s="413">
        <v>45816.0</v>
      </c>
      <c r="G74" s="413">
        <v>0.0</v>
      </c>
      <c r="H74" s="349" t="s">
        <v>4534</v>
      </c>
      <c r="I74" s="404" t="str">
        <f t="shared" si="6"/>
        <v>NOT PAID</v>
      </c>
      <c r="J74" s="402"/>
      <c r="K74" s="402"/>
      <c r="L74" s="402"/>
      <c r="M74" s="402"/>
      <c r="N74" s="402"/>
      <c r="O74" s="402"/>
      <c r="P74" s="402"/>
      <c r="Q74" s="402"/>
      <c r="R74" s="402"/>
      <c r="S74" s="402"/>
      <c r="T74" s="402"/>
      <c r="U74" s="402"/>
      <c r="V74" s="402"/>
      <c r="W74" s="402"/>
      <c r="X74" s="402"/>
      <c r="Y74" s="402"/>
      <c r="Z74" s="402"/>
    </row>
    <row r="75" ht="14.25" customHeight="1">
      <c r="A75" s="402"/>
      <c r="B75" s="402"/>
      <c r="C75" s="402"/>
      <c r="D75" s="402"/>
      <c r="E75" s="402"/>
      <c r="F75" s="403"/>
      <c r="G75" s="403"/>
      <c r="H75" s="402"/>
      <c r="I75" s="402"/>
      <c r="J75" s="402"/>
      <c r="K75" s="402"/>
      <c r="L75" s="402"/>
      <c r="M75" s="402"/>
      <c r="N75" s="402"/>
      <c r="O75" s="402"/>
      <c r="P75" s="402"/>
      <c r="Q75" s="402"/>
      <c r="R75" s="402"/>
      <c r="S75" s="402"/>
      <c r="T75" s="402"/>
      <c r="U75" s="402"/>
      <c r="V75" s="402"/>
      <c r="W75" s="402"/>
      <c r="X75" s="402"/>
      <c r="Y75" s="402"/>
      <c r="Z75" s="402"/>
    </row>
    <row r="76" ht="14.25" customHeight="1">
      <c r="A76" s="497">
        <v>45525.0</v>
      </c>
      <c r="B76" s="349" t="s">
        <v>4485</v>
      </c>
      <c r="C76" s="349" t="s">
        <v>4486</v>
      </c>
      <c r="D76" s="349" t="s">
        <v>439</v>
      </c>
      <c r="E76" s="349" t="s">
        <v>4487</v>
      </c>
      <c r="F76" s="413">
        <v>76125.0</v>
      </c>
      <c r="G76" s="413">
        <v>0.0</v>
      </c>
      <c r="H76" s="349" t="s">
        <v>4535</v>
      </c>
      <c r="I76" s="402"/>
      <c r="J76" s="402"/>
      <c r="K76" s="402"/>
      <c r="L76" s="402"/>
      <c r="M76" s="402"/>
      <c r="N76" s="402"/>
      <c r="O76" s="402"/>
      <c r="P76" s="402"/>
      <c r="Q76" s="402"/>
      <c r="R76" s="402"/>
      <c r="S76" s="402"/>
      <c r="T76" s="402"/>
      <c r="U76" s="402"/>
      <c r="V76" s="402"/>
      <c r="W76" s="402"/>
      <c r="X76" s="402"/>
      <c r="Y76" s="402"/>
      <c r="Z76" s="402"/>
    </row>
    <row r="77" ht="14.25" customHeight="1">
      <c r="A77" s="497">
        <v>45525.0</v>
      </c>
      <c r="B77" s="349" t="s">
        <v>4497</v>
      </c>
      <c r="C77" s="349" t="s">
        <v>4490</v>
      </c>
      <c r="D77" s="349" t="s">
        <v>4533</v>
      </c>
      <c r="E77" s="349" t="s">
        <v>4487</v>
      </c>
      <c r="F77" s="413">
        <v>45816.0</v>
      </c>
      <c r="G77" s="413">
        <v>0.0</v>
      </c>
      <c r="H77" s="349" t="s">
        <v>4536</v>
      </c>
      <c r="I77" s="402"/>
      <c r="J77" s="402"/>
      <c r="K77" s="402"/>
      <c r="L77" s="402"/>
      <c r="M77" s="402"/>
      <c r="N77" s="402"/>
      <c r="O77" s="402"/>
      <c r="P77" s="402"/>
      <c r="Q77" s="402"/>
      <c r="R77" s="402"/>
      <c r="S77" s="402"/>
      <c r="T77" s="402"/>
      <c r="U77" s="402"/>
      <c r="V77" s="402"/>
      <c r="W77" s="402"/>
      <c r="X77" s="402"/>
      <c r="Y77" s="402"/>
      <c r="Z77" s="402"/>
    </row>
    <row r="78" ht="14.25" customHeight="1">
      <c r="A78" s="402"/>
      <c r="B78" s="402"/>
      <c r="C78" s="402"/>
      <c r="D78" s="402"/>
      <c r="E78" s="402"/>
      <c r="F78" s="403"/>
      <c r="G78" s="403"/>
      <c r="H78" s="402"/>
      <c r="I78" s="402"/>
      <c r="J78" s="402"/>
      <c r="K78" s="402"/>
      <c r="L78" s="402"/>
      <c r="M78" s="402"/>
      <c r="N78" s="402"/>
      <c r="O78" s="402"/>
      <c r="P78" s="402"/>
      <c r="Q78" s="402"/>
      <c r="R78" s="402"/>
      <c r="S78" s="402"/>
      <c r="T78" s="402"/>
      <c r="U78" s="402"/>
      <c r="V78" s="402"/>
      <c r="W78" s="402"/>
      <c r="X78" s="402"/>
      <c r="Y78" s="402"/>
      <c r="Z78" s="402"/>
    </row>
    <row r="79" ht="14.25" customHeight="1">
      <c r="A79" s="497">
        <v>45526.0</v>
      </c>
      <c r="B79" s="349" t="s">
        <v>4485</v>
      </c>
      <c r="C79" s="349" t="s">
        <v>4486</v>
      </c>
      <c r="D79" s="349" t="s">
        <v>439</v>
      </c>
      <c r="E79" s="349" t="s">
        <v>4500</v>
      </c>
      <c r="F79" s="413">
        <v>79309.0</v>
      </c>
      <c r="G79" s="413">
        <v>0.0</v>
      </c>
      <c r="H79" s="349" t="s">
        <v>4537</v>
      </c>
      <c r="I79" s="402"/>
      <c r="J79" s="402"/>
      <c r="K79" s="402"/>
      <c r="L79" s="402"/>
      <c r="M79" s="402"/>
      <c r="N79" s="402"/>
      <c r="O79" s="402"/>
      <c r="P79" s="402"/>
      <c r="Q79" s="402"/>
      <c r="R79" s="402"/>
      <c r="S79" s="402"/>
      <c r="T79" s="402"/>
      <c r="U79" s="402"/>
      <c r="V79" s="402"/>
      <c r="W79" s="402"/>
      <c r="X79" s="402"/>
      <c r="Y79" s="402"/>
      <c r="Z79" s="402"/>
    </row>
    <row r="80" ht="14.25" customHeight="1">
      <c r="A80" s="402"/>
      <c r="B80" s="402"/>
      <c r="C80" s="402"/>
      <c r="D80" s="402"/>
      <c r="E80" s="402"/>
      <c r="F80" s="403"/>
      <c r="G80" s="403"/>
      <c r="H80" s="402"/>
      <c r="I80" s="402"/>
      <c r="J80" s="402"/>
      <c r="K80" s="402"/>
      <c r="L80" s="402"/>
      <c r="M80" s="402"/>
      <c r="N80" s="402"/>
      <c r="O80" s="402"/>
      <c r="P80" s="402"/>
      <c r="Q80" s="402"/>
      <c r="R80" s="402"/>
      <c r="S80" s="402"/>
      <c r="T80" s="402"/>
      <c r="U80" s="402"/>
      <c r="V80" s="402"/>
      <c r="W80" s="402"/>
      <c r="X80" s="402"/>
      <c r="Y80" s="402"/>
      <c r="Z80" s="402"/>
    </row>
    <row r="81" ht="14.25" customHeight="1">
      <c r="A81" s="497">
        <v>45527.0</v>
      </c>
      <c r="B81" s="349" t="s">
        <v>4485</v>
      </c>
      <c r="C81" s="349" t="s">
        <v>4486</v>
      </c>
      <c r="D81" s="349" t="s">
        <v>439</v>
      </c>
      <c r="E81" s="349" t="s">
        <v>4500</v>
      </c>
      <c r="F81" s="413">
        <v>79309.0</v>
      </c>
      <c r="G81" s="413">
        <v>0.0</v>
      </c>
      <c r="H81" s="402"/>
      <c r="I81" s="402"/>
      <c r="J81" s="402"/>
      <c r="K81" s="402"/>
      <c r="L81" s="402"/>
      <c r="M81" s="402"/>
      <c r="N81" s="402"/>
      <c r="O81" s="402"/>
      <c r="P81" s="402"/>
      <c r="Q81" s="402"/>
      <c r="R81" s="402"/>
      <c r="S81" s="402"/>
      <c r="T81" s="402"/>
      <c r="U81" s="402"/>
      <c r="V81" s="402"/>
      <c r="W81" s="402"/>
      <c r="X81" s="402"/>
      <c r="Y81" s="402"/>
      <c r="Z81" s="402"/>
    </row>
    <row r="82" ht="14.25" customHeight="1">
      <c r="A82" s="402"/>
      <c r="B82" s="402"/>
      <c r="C82" s="402"/>
      <c r="D82" s="402"/>
      <c r="E82" s="402"/>
      <c r="F82" s="403"/>
      <c r="G82" s="403"/>
      <c r="H82" s="402"/>
      <c r="I82" s="402"/>
      <c r="J82" s="402"/>
      <c r="K82" s="402"/>
      <c r="L82" s="402"/>
      <c r="M82" s="402"/>
      <c r="N82" s="402"/>
      <c r="O82" s="402"/>
      <c r="P82" s="402"/>
      <c r="Q82" s="402"/>
      <c r="R82" s="402"/>
      <c r="S82" s="402"/>
      <c r="T82" s="402"/>
      <c r="U82" s="402"/>
      <c r="V82" s="402"/>
      <c r="W82" s="402"/>
      <c r="X82" s="402"/>
      <c r="Y82" s="402"/>
      <c r="Z82" s="402"/>
    </row>
    <row r="83" ht="14.25" customHeight="1">
      <c r="A83" s="497">
        <v>45530.0</v>
      </c>
      <c r="B83" s="349" t="s">
        <v>4485</v>
      </c>
      <c r="C83" s="349" t="s">
        <v>4486</v>
      </c>
      <c r="D83" s="349" t="s">
        <v>439</v>
      </c>
      <c r="E83" s="349" t="s">
        <v>4500</v>
      </c>
      <c r="F83" s="413">
        <v>79309.0</v>
      </c>
      <c r="G83" s="413">
        <v>0.0</v>
      </c>
      <c r="H83" s="402"/>
      <c r="I83" s="402"/>
      <c r="J83" s="402"/>
      <c r="K83" s="402"/>
      <c r="L83" s="402"/>
      <c r="M83" s="402"/>
      <c r="N83" s="402"/>
      <c r="O83" s="402"/>
      <c r="P83" s="402"/>
      <c r="Q83" s="402"/>
      <c r="R83" s="402"/>
      <c r="S83" s="402"/>
      <c r="T83" s="402"/>
      <c r="U83" s="402"/>
      <c r="V83" s="402"/>
      <c r="W83" s="402"/>
      <c r="X83" s="402"/>
      <c r="Y83" s="402"/>
      <c r="Z83" s="402"/>
    </row>
    <row r="84" ht="14.25" customHeight="1">
      <c r="A84" s="402"/>
      <c r="B84" s="402"/>
      <c r="C84" s="402"/>
      <c r="D84" s="402"/>
      <c r="E84" s="402"/>
      <c r="F84" s="403"/>
      <c r="G84" s="403"/>
      <c r="H84" s="402"/>
      <c r="I84" s="402"/>
      <c r="J84" s="402"/>
      <c r="K84" s="402"/>
      <c r="L84" s="402"/>
      <c r="M84" s="402"/>
      <c r="N84" s="402"/>
      <c r="O84" s="402"/>
      <c r="P84" s="402"/>
      <c r="Q84" s="402"/>
      <c r="R84" s="402"/>
      <c r="S84" s="402"/>
      <c r="T84" s="402"/>
      <c r="U84" s="402"/>
      <c r="V84" s="402"/>
      <c r="W84" s="402"/>
      <c r="X84" s="402"/>
      <c r="Y84" s="402"/>
      <c r="Z84" s="402"/>
    </row>
    <row r="85" ht="14.25" customHeight="1">
      <c r="A85" s="402"/>
      <c r="B85" s="402"/>
      <c r="C85" s="402"/>
      <c r="D85" s="402"/>
      <c r="E85" s="402"/>
      <c r="F85" s="403"/>
      <c r="G85" s="403"/>
      <c r="H85" s="402"/>
      <c r="I85" s="402"/>
      <c r="J85" s="402"/>
      <c r="K85" s="402"/>
      <c r="L85" s="402"/>
      <c r="M85" s="402"/>
      <c r="N85" s="402"/>
      <c r="O85" s="402"/>
      <c r="P85" s="402"/>
      <c r="Q85" s="402"/>
      <c r="R85" s="402"/>
      <c r="S85" s="402"/>
      <c r="T85" s="402"/>
      <c r="U85" s="402"/>
      <c r="V85" s="402"/>
      <c r="W85" s="402"/>
      <c r="X85" s="402"/>
      <c r="Y85" s="402"/>
      <c r="Z85" s="402"/>
    </row>
    <row r="86" ht="14.25" customHeight="1">
      <c r="A86" s="497">
        <v>45531.0</v>
      </c>
      <c r="B86" s="349" t="s">
        <v>4485</v>
      </c>
      <c r="C86" s="349" t="s">
        <v>4486</v>
      </c>
      <c r="D86" s="349" t="s">
        <v>439</v>
      </c>
      <c r="E86" s="349" t="s">
        <v>4500</v>
      </c>
      <c r="F86" s="413">
        <v>79309.0</v>
      </c>
      <c r="G86" s="413">
        <v>0.0</v>
      </c>
      <c r="H86" s="349" t="s">
        <v>4538</v>
      </c>
      <c r="I86" s="402"/>
      <c r="J86" s="402"/>
      <c r="K86" s="402"/>
      <c r="L86" s="402"/>
      <c r="M86" s="402"/>
      <c r="N86" s="402"/>
      <c r="O86" s="402"/>
      <c r="P86" s="402"/>
      <c r="Q86" s="402"/>
      <c r="R86" s="402"/>
      <c r="S86" s="402"/>
      <c r="T86" s="402"/>
      <c r="U86" s="402"/>
      <c r="V86" s="402"/>
      <c r="W86" s="402"/>
      <c r="X86" s="402"/>
      <c r="Y86" s="402"/>
      <c r="Z86" s="402"/>
    </row>
    <row r="87" ht="14.25" customHeight="1">
      <c r="A87" s="497">
        <v>45531.0</v>
      </c>
      <c r="B87" s="349" t="s">
        <v>4501</v>
      </c>
      <c r="C87" s="349" t="s">
        <v>4502</v>
      </c>
      <c r="D87" s="349" t="s">
        <v>439</v>
      </c>
      <c r="E87" s="349" t="s">
        <v>4500</v>
      </c>
      <c r="F87" s="413">
        <v>49474.0</v>
      </c>
      <c r="G87" s="413">
        <v>0.0</v>
      </c>
      <c r="H87" s="349" t="s">
        <v>4539</v>
      </c>
      <c r="I87" s="402"/>
      <c r="J87" s="402"/>
      <c r="K87" s="402"/>
      <c r="L87" s="402"/>
      <c r="M87" s="402"/>
      <c r="N87" s="402"/>
      <c r="O87" s="402"/>
      <c r="P87" s="402"/>
      <c r="Q87" s="402"/>
      <c r="R87" s="402"/>
      <c r="S87" s="402"/>
      <c r="T87" s="402"/>
      <c r="U87" s="402"/>
      <c r="V87" s="402"/>
      <c r="W87" s="402"/>
      <c r="X87" s="402"/>
      <c r="Y87" s="402"/>
      <c r="Z87" s="402"/>
    </row>
    <row r="88" ht="14.25" customHeight="1">
      <c r="A88" s="402"/>
      <c r="B88" s="402"/>
      <c r="C88" s="402"/>
      <c r="D88" s="402"/>
      <c r="E88" s="402"/>
      <c r="F88" s="403"/>
      <c r="G88" s="403"/>
      <c r="H88" s="402"/>
      <c r="I88" s="402"/>
      <c r="J88" s="402"/>
      <c r="K88" s="402"/>
      <c r="L88" s="402"/>
      <c r="M88" s="402"/>
      <c r="N88" s="402"/>
      <c r="O88" s="402"/>
      <c r="P88" s="402"/>
      <c r="Q88" s="402"/>
      <c r="R88" s="402"/>
      <c r="S88" s="402"/>
      <c r="T88" s="402"/>
      <c r="U88" s="402"/>
      <c r="V88" s="402"/>
      <c r="W88" s="402"/>
      <c r="X88" s="402"/>
      <c r="Y88" s="402"/>
      <c r="Z88" s="402"/>
    </row>
    <row r="89" ht="14.25" customHeight="1">
      <c r="A89" s="402"/>
      <c r="B89" s="402"/>
      <c r="C89" s="402"/>
      <c r="D89" s="402"/>
      <c r="E89" s="402"/>
      <c r="F89" s="403"/>
      <c r="G89" s="403"/>
      <c r="H89" s="402"/>
      <c r="I89" s="402"/>
      <c r="J89" s="402"/>
      <c r="K89" s="402"/>
      <c r="L89" s="402"/>
      <c r="M89" s="402"/>
      <c r="N89" s="402"/>
      <c r="O89" s="402"/>
      <c r="P89" s="402"/>
      <c r="Q89" s="402"/>
      <c r="R89" s="402"/>
      <c r="S89" s="402"/>
      <c r="T89" s="402"/>
      <c r="U89" s="402"/>
      <c r="V89" s="402"/>
      <c r="W89" s="402"/>
      <c r="X89" s="402"/>
      <c r="Y89" s="402"/>
      <c r="Z89" s="402"/>
    </row>
    <row r="90" ht="14.25" customHeight="1">
      <c r="A90" s="497">
        <v>45533.0</v>
      </c>
      <c r="B90" s="417" t="s">
        <v>4501</v>
      </c>
      <c r="C90" s="417" t="s">
        <v>4502</v>
      </c>
      <c r="D90" s="417" t="s">
        <v>439</v>
      </c>
      <c r="E90" s="417" t="s">
        <v>4500</v>
      </c>
      <c r="F90" s="73">
        <v>49474.0</v>
      </c>
      <c r="G90" s="413">
        <v>0.0</v>
      </c>
      <c r="H90" s="349" t="s">
        <v>4540</v>
      </c>
      <c r="I90" s="402"/>
      <c r="J90" s="402"/>
      <c r="K90" s="402"/>
      <c r="L90" s="402"/>
      <c r="M90" s="402"/>
      <c r="N90" s="402"/>
      <c r="O90" s="402"/>
      <c r="P90" s="402"/>
      <c r="Q90" s="402"/>
      <c r="R90" s="402"/>
      <c r="S90" s="402"/>
      <c r="T90" s="402"/>
      <c r="U90" s="402"/>
      <c r="V90" s="402"/>
      <c r="W90" s="402"/>
      <c r="X90" s="402"/>
      <c r="Y90" s="402"/>
      <c r="Z90" s="402"/>
    </row>
    <row r="91" ht="14.25" customHeight="1">
      <c r="A91" s="497">
        <v>45533.0</v>
      </c>
      <c r="B91" s="417" t="s">
        <v>4504</v>
      </c>
      <c r="C91" s="417" t="s">
        <v>4502</v>
      </c>
      <c r="D91" s="417" t="s">
        <v>2538</v>
      </c>
      <c r="E91" s="417" t="s">
        <v>4500</v>
      </c>
      <c r="F91" s="69">
        <v>8514.0</v>
      </c>
      <c r="G91" s="413">
        <v>0.0</v>
      </c>
      <c r="H91" s="349" t="s">
        <v>4540</v>
      </c>
      <c r="I91" s="402"/>
      <c r="J91" s="402"/>
      <c r="K91" s="402"/>
      <c r="L91" s="402"/>
      <c r="M91" s="402"/>
      <c r="N91" s="402"/>
      <c r="O91" s="402"/>
      <c r="P91" s="402"/>
      <c r="Q91" s="402"/>
      <c r="R91" s="402"/>
      <c r="S91" s="402"/>
      <c r="T91" s="402"/>
      <c r="U91" s="402"/>
      <c r="V91" s="402"/>
      <c r="W91" s="402"/>
      <c r="X91" s="402"/>
      <c r="Y91" s="402"/>
      <c r="Z91" s="402"/>
    </row>
    <row r="92" ht="14.25" customHeight="1">
      <c r="A92" s="497">
        <v>45532.0</v>
      </c>
      <c r="B92" s="349" t="s">
        <v>4485</v>
      </c>
      <c r="C92" s="349" t="s">
        <v>4486</v>
      </c>
      <c r="D92" s="349" t="s">
        <v>439</v>
      </c>
      <c r="E92" s="349" t="s">
        <v>4500</v>
      </c>
      <c r="F92" s="413">
        <v>79309.0</v>
      </c>
      <c r="G92" s="413">
        <v>0.0</v>
      </c>
      <c r="H92" s="349" t="s">
        <v>4541</v>
      </c>
      <c r="I92" s="402"/>
      <c r="J92" s="402"/>
      <c r="K92" s="402"/>
      <c r="L92" s="402"/>
      <c r="M92" s="402"/>
      <c r="N92" s="402"/>
      <c r="O92" s="402"/>
      <c r="P92" s="402"/>
      <c r="Q92" s="402"/>
      <c r="R92" s="402"/>
      <c r="S92" s="402"/>
      <c r="T92" s="402"/>
      <c r="U92" s="402"/>
      <c r="V92" s="402"/>
      <c r="W92" s="402"/>
      <c r="X92" s="402"/>
      <c r="Y92" s="402"/>
      <c r="Z92" s="402"/>
    </row>
    <row r="93" ht="14.25" customHeight="1">
      <c r="A93" s="402"/>
      <c r="B93" s="402"/>
      <c r="C93" s="402"/>
      <c r="D93" s="402"/>
      <c r="E93" s="402"/>
      <c r="F93" s="403"/>
      <c r="G93" s="403"/>
      <c r="H93" s="402"/>
      <c r="I93" s="402"/>
      <c r="J93" s="402"/>
      <c r="K93" s="402"/>
      <c r="L93" s="402"/>
      <c r="M93" s="402"/>
      <c r="N93" s="402"/>
      <c r="O93" s="402"/>
      <c r="P93" s="402"/>
      <c r="Q93" s="402"/>
      <c r="R93" s="402"/>
      <c r="S93" s="402"/>
      <c r="T93" s="402"/>
      <c r="U93" s="402"/>
      <c r="V93" s="402"/>
      <c r="W93" s="402"/>
      <c r="X93" s="402"/>
      <c r="Y93" s="402"/>
      <c r="Z93" s="402"/>
    </row>
    <row r="94" ht="14.25" customHeight="1">
      <c r="A94" s="830">
        <v>45534.0</v>
      </c>
      <c r="B94" s="417" t="s">
        <v>4501</v>
      </c>
      <c r="C94" s="417" t="s">
        <v>4502</v>
      </c>
      <c r="D94" s="417" t="s">
        <v>439</v>
      </c>
      <c r="E94" s="417" t="s">
        <v>4500</v>
      </c>
      <c r="F94" s="73">
        <v>49474.0</v>
      </c>
      <c r="G94" s="413">
        <v>0.0</v>
      </c>
      <c r="H94" s="402"/>
      <c r="I94" s="402"/>
      <c r="J94" s="402"/>
      <c r="K94" s="402"/>
      <c r="L94" s="402"/>
      <c r="M94" s="402"/>
      <c r="N94" s="402"/>
      <c r="O94" s="402"/>
      <c r="P94" s="402"/>
      <c r="Q94" s="402"/>
      <c r="R94" s="402"/>
      <c r="S94" s="402"/>
      <c r="T94" s="402"/>
      <c r="U94" s="402"/>
      <c r="V94" s="402"/>
      <c r="W94" s="402"/>
      <c r="X94" s="402"/>
      <c r="Y94" s="402"/>
      <c r="Z94" s="402"/>
    </row>
    <row r="95" ht="14.25" customHeight="1">
      <c r="A95" s="830">
        <v>45534.0</v>
      </c>
      <c r="B95" s="417" t="s">
        <v>4504</v>
      </c>
      <c r="C95" s="417" t="s">
        <v>4502</v>
      </c>
      <c r="D95" s="417" t="s">
        <v>2538</v>
      </c>
      <c r="E95" s="417" t="s">
        <v>4500</v>
      </c>
      <c r="F95" s="69">
        <v>8514.0</v>
      </c>
      <c r="G95" s="413">
        <v>0.0</v>
      </c>
      <c r="H95" s="402"/>
      <c r="I95" s="402"/>
      <c r="J95" s="402"/>
      <c r="K95" s="402"/>
      <c r="L95" s="402"/>
      <c r="M95" s="402"/>
      <c r="N95" s="402"/>
      <c r="O95" s="402"/>
      <c r="P95" s="402"/>
      <c r="Q95" s="402"/>
      <c r="R95" s="402"/>
      <c r="S95" s="402"/>
      <c r="T95" s="402"/>
      <c r="U95" s="402"/>
      <c r="V95" s="402"/>
      <c r="W95" s="402"/>
      <c r="X95" s="402"/>
      <c r="Y95" s="402"/>
      <c r="Z95" s="402"/>
    </row>
    <row r="96" ht="14.25" customHeight="1">
      <c r="A96" s="497">
        <v>45534.0</v>
      </c>
      <c r="B96" s="349" t="s">
        <v>4485</v>
      </c>
      <c r="C96" s="349" t="s">
        <v>4486</v>
      </c>
      <c r="D96" s="349" t="s">
        <v>439</v>
      </c>
      <c r="E96" s="349" t="s">
        <v>4500</v>
      </c>
      <c r="F96" s="413">
        <v>143255.0</v>
      </c>
      <c r="G96" s="413">
        <v>0.0</v>
      </c>
      <c r="H96" s="402"/>
      <c r="I96" s="402"/>
      <c r="J96" s="402"/>
      <c r="K96" s="402"/>
      <c r="L96" s="402"/>
      <c r="M96" s="402"/>
      <c r="N96" s="402"/>
      <c r="O96" s="402"/>
      <c r="P96" s="402"/>
      <c r="Q96" s="402"/>
      <c r="R96" s="402"/>
      <c r="S96" s="402"/>
      <c r="T96" s="402"/>
      <c r="U96" s="402"/>
      <c r="V96" s="402"/>
      <c r="W96" s="402"/>
      <c r="X96" s="402"/>
      <c r="Y96" s="402"/>
      <c r="Z96" s="402"/>
    </row>
    <row r="97" ht="14.25" customHeight="1">
      <c r="A97" s="497">
        <v>45534.0</v>
      </c>
      <c r="B97" s="349" t="s">
        <v>4489</v>
      </c>
      <c r="C97" s="349" t="s">
        <v>4490</v>
      </c>
      <c r="D97" s="349" t="s">
        <v>4533</v>
      </c>
      <c r="E97" s="349" t="s">
        <v>4487</v>
      </c>
      <c r="F97" s="413">
        <v>45816.0</v>
      </c>
      <c r="G97" s="413">
        <v>0.0</v>
      </c>
      <c r="H97" s="349" t="s">
        <v>4542</v>
      </c>
      <c r="I97" s="402"/>
      <c r="J97" s="402"/>
      <c r="K97" s="402"/>
      <c r="L97" s="402"/>
      <c r="M97" s="402"/>
      <c r="N97" s="402"/>
      <c r="O97" s="402"/>
      <c r="P97" s="402"/>
      <c r="Q97" s="402"/>
      <c r="R97" s="402"/>
      <c r="S97" s="402"/>
      <c r="T97" s="402"/>
      <c r="U97" s="402"/>
      <c r="V97" s="402"/>
      <c r="W97" s="402"/>
      <c r="X97" s="402"/>
      <c r="Y97" s="402"/>
      <c r="Z97" s="402"/>
    </row>
    <row r="98" ht="14.25" customHeight="1">
      <c r="A98" s="402"/>
      <c r="B98" s="402"/>
      <c r="C98" s="402"/>
      <c r="D98" s="402"/>
      <c r="E98" s="402"/>
      <c r="F98" s="403"/>
      <c r="G98" s="403"/>
      <c r="H98" s="402"/>
      <c r="I98" s="402"/>
      <c r="J98" s="402"/>
      <c r="K98" s="402"/>
      <c r="L98" s="402"/>
      <c r="M98" s="402"/>
      <c r="N98" s="402"/>
      <c r="O98" s="402"/>
      <c r="P98" s="402"/>
      <c r="Q98" s="402"/>
      <c r="R98" s="402"/>
      <c r="S98" s="402"/>
      <c r="T98" s="402"/>
      <c r="U98" s="402"/>
      <c r="V98" s="402"/>
      <c r="W98" s="402"/>
      <c r="X98" s="402"/>
      <c r="Y98" s="402"/>
      <c r="Z98" s="402"/>
    </row>
    <row r="99" ht="14.25" customHeight="1">
      <c r="A99" s="402"/>
      <c r="B99" s="402"/>
      <c r="C99" s="402"/>
      <c r="D99" s="402"/>
      <c r="E99" s="402"/>
      <c r="F99" s="403"/>
      <c r="G99" s="403"/>
      <c r="H99" s="402"/>
      <c r="I99" s="402"/>
      <c r="J99" s="402"/>
      <c r="K99" s="402"/>
      <c r="L99" s="402"/>
      <c r="M99" s="402"/>
      <c r="N99" s="402"/>
      <c r="O99" s="402"/>
      <c r="P99" s="402"/>
      <c r="Q99" s="402"/>
      <c r="R99" s="402"/>
      <c r="S99" s="402"/>
      <c r="T99" s="402"/>
      <c r="U99" s="402"/>
      <c r="V99" s="402"/>
      <c r="W99" s="402"/>
      <c r="X99" s="402"/>
      <c r="Y99" s="402"/>
      <c r="Z99" s="402"/>
    </row>
    <row r="100" ht="14.25" customHeight="1">
      <c r="A100" s="497">
        <v>45535.0</v>
      </c>
      <c r="B100" s="417" t="s">
        <v>4501</v>
      </c>
      <c r="C100" s="417" t="s">
        <v>4502</v>
      </c>
      <c r="D100" s="417" t="s">
        <v>439</v>
      </c>
      <c r="E100" s="417" t="s">
        <v>4500</v>
      </c>
      <c r="F100" s="73">
        <v>52745.0</v>
      </c>
      <c r="G100" s="413">
        <v>52000.0</v>
      </c>
      <c r="H100" s="349" t="s">
        <v>4543</v>
      </c>
      <c r="I100" s="402"/>
      <c r="J100" s="402"/>
      <c r="K100" s="402"/>
      <c r="L100" s="402"/>
      <c r="M100" s="402"/>
      <c r="N100" s="402"/>
      <c r="O100" s="402"/>
      <c r="P100" s="402"/>
      <c r="Q100" s="402"/>
      <c r="R100" s="402"/>
      <c r="S100" s="402"/>
      <c r="T100" s="402"/>
      <c r="U100" s="402"/>
      <c r="V100" s="402"/>
      <c r="W100" s="402"/>
      <c r="X100" s="402"/>
      <c r="Y100" s="402"/>
      <c r="Z100" s="402"/>
    </row>
    <row r="101" ht="14.25" customHeight="1">
      <c r="A101" s="497">
        <v>45535.0</v>
      </c>
      <c r="B101" s="417" t="s">
        <v>4504</v>
      </c>
      <c r="C101" s="417" t="s">
        <v>4502</v>
      </c>
      <c r="D101" s="417" t="s">
        <v>2538</v>
      </c>
      <c r="E101" s="417" t="s">
        <v>4500</v>
      </c>
      <c r="F101" s="73">
        <v>8939.0</v>
      </c>
      <c r="G101" s="413">
        <v>0.0</v>
      </c>
      <c r="H101" s="349" t="s">
        <v>4543</v>
      </c>
      <c r="I101" s="402"/>
      <c r="J101" s="402"/>
      <c r="K101" s="402"/>
      <c r="L101" s="402"/>
      <c r="M101" s="402"/>
      <c r="N101" s="402"/>
      <c r="O101" s="402"/>
      <c r="P101" s="402"/>
      <c r="Q101" s="402"/>
      <c r="R101" s="402"/>
      <c r="S101" s="402"/>
      <c r="T101" s="402"/>
      <c r="U101" s="402"/>
      <c r="V101" s="402"/>
      <c r="W101" s="402"/>
      <c r="X101" s="402"/>
      <c r="Y101" s="402"/>
      <c r="Z101" s="402"/>
    </row>
    <row r="102" ht="14.25" customHeight="1">
      <c r="A102" s="497">
        <v>45535.0</v>
      </c>
      <c r="B102" s="349" t="s">
        <v>4489</v>
      </c>
      <c r="C102" s="349" t="s">
        <v>4490</v>
      </c>
      <c r="D102" s="349" t="s">
        <v>4533</v>
      </c>
      <c r="E102" s="349" t="s">
        <v>4500</v>
      </c>
      <c r="F102" s="413">
        <v>45816.0</v>
      </c>
      <c r="G102" s="413">
        <v>0.0</v>
      </c>
      <c r="H102" s="349" t="s">
        <v>4544</v>
      </c>
      <c r="I102" s="402"/>
      <c r="J102" s="402"/>
      <c r="K102" s="402"/>
      <c r="L102" s="402"/>
      <c r="M102" s="402"/>
      <c r="N102" s="402"/>
      <c r="O102" s="402"/>
      <c r="P102" s="402"/>
      <c r="Q102" s="402"/>
      <c r="R102" s="402"/>
      <c r="S102" s="402"/>
      <c r="T102" s="402"/>
      <c r="U102" s="402"/>
      <c r="V102" s="402"/>
      <c r="W102" s="402"/>
      <c r="X102" s="402"/>
      <c r="Y102" s="402"/>
      <c r="Z102" s="402"/>
    </row>
    <row r="103" ht="14.25" customHeight="1">
      <c r="A103" s="402"/>
      <c r="B103" s="402"/>
      <c r="C103" s="402"/>
      <c r="D103" s="402"/>
      <c r="E103" s="402"/>
      <c r="F103" s="403"/>
      <c r="G103" s="403"/>
      <c r="H103" s="402"/>
      <c r="I103" s="402"/>
      <c r="J103" s="402"/>
      <c r="K103" s="402"/>
      <c r="L103" s="402"/>
      <c r="M103" s="402"/>
      <c r="N103" s="402"/>
      <c r="O103" s="402"/>
      <c r="P103" s="402"/>
      <c r="Q103" s="402"/>
      <c r="R103" s="402"/>
      <c r="S103" s="402"/>
      <c r="T103" s="402"/>
      <c r="U103" s="402"/>
      <c r="V103" s="402"/>
      <c r="W103" s="402"/>
      <c r="X103" s="402"/>
      <c r="Y103" s="402"/>
      <c r="Z103" s="402"/>
    </row>
    <row r="104" ht="14.25" customHeight="1">
      <c r="A104" s="497">
        <v>45537.0</v>
      </c>
      <c r="B104" s="417" t="s">
        <v>4501</v>
      </c>
      <c r="C104" s="417" t="s">
        <v>4502</v>
      </c>
      <c r="D104" s="417" t="s">
        <v>439</v>
      </c>
      <c r="E104" s="417" t="s">
        <v>4500</v>
      </c>
      <c r="F104" s="73">
        <v>745.0</v>
      </c>
      <c r="G104" s="413">
        <v>745.0</v>
      </c>
      <c r="H104" s="349" t="s">
        <v>267</v>
      </c>
      <c r="I104" s="402"/>
      <c r="J104" s="402"/>
      <c r="K104" s="402"/>
      <c r="L104" s="402"/>
      <c r="M104" s="402"/>
      <c r="N104" s="402"/>
      <c r="O104" s="402"/>
      <c r="P104" s="402"/>
      <c r="Q104" s="402"/>
      <c r="R104" s="402"/>
      <c r="S104" s="402"/>
      <c r="T104" s="402"/>
      <c r="U104" s="402"/>
      <c r="V104" s="402"/>
      <c r="W104" s="402"/>
      <c r="X104" s="402"/>
      <c r="Y104" s="402"/>
      <c r="Z104" s="402"/>
    </row>
    <row r="105" ht="14.25" customHeight="1">
      <c r="A105" s="497">
        <v>45537.0</v>
      </c>
      <c r="B105" s="417" t="s">
        <v>4504</v>
      </c>
      <c r="C105" s="417" t="s">
        <v>4502</v>
      </c>
      <c r="D105" s="417" t="s">
        <v>2538</v>
      </c>
      <c r="E105" s="417" t="s">
        <v>4500</v>
      </c>
      <c r="F105" s="73">
        <v>8939.0</v>
      </c>
      <c r="G105" s="413">
        <v>8939.0</v>
      </c>
      <c r="H105" s="349" t="s">
        <v>267</v>
      </c>
      <c r="I105" s="402"/>
      <c r="J105" s="402"/>
      <c r="K105" s="402"/>
      <c r="L105" s="402"/>
      <c r="M105" s="402"/>
      <c r="N105" s="402"/>
      <c r="O105" s="402"/>
      <c r="P105" s="402"/>
      <c r="Q105" s="402"/>
      <c r="R105" s="402"/>
      <c r="S105" s="402"/>
      <c r="T105" s="402"/>
      <c r="U105" s="402"/>
      <c r="V105" s="402"/>
      <c r="W105" s="402"/>
      <c r="X105" s="402"/>
      <c r="Y105" s="402"/>
      <c r="Z105" s="402"/>
    </row>
    <row r="106" ht="14.25" customHeight="1">
      <c r="A106" s="497">
        <v>45537.0</v>
      </c>
      <c r="B106" s="349" t="s">
        <v>4489</v>
      </c>
      <c r="C106" s="349" t="s">
        <v>4490</v>
      </c>
      <c r="D106" s="349" t="s">
        <v>4533</v>
      </c>
      <c r="E106" s="349" t="s">
        <v>4500</v>
      </c>
      <c r="F106" s="413">
        <v>45816.0</v>
      </c>
      <c r="G106" s="403"/>
      <c r="H106" s="402"/>
      <c r="I106" s="402"/>
      <c r="J106" s="402"/>
      <c r="K106" s="402"/>
      <c r="L106" s="402"/>
      <c r="M106" s="402"/>
      <c r="N106" s="402"/>
      <c r="O106" s="402"/>
      <c r="P106" s="402"/>
      <c r="Q106" s="402"/>
      <c r="R106" s="402"/>
      <c r="S106" s="402"/>
      <c r="T106" s="402"/>
      <c r="U106" s="402"/>
      <c r="V106" s="402"/>
      <c r="W106" s="402"/>
      <c r="X106" s="402"/>
      <c r="Y106" s="402"/>
      <c r="Z106" s="402"/>
    </row>
    <row r="107" ht="14.25" customHeight="1">
      <c r="A107" s="402"/>
      <c r="B107" s="402"/>
      <c r="C107" s="402"/>
      <c r="D107" s="402"/>
      <c r="E107" s="402"/>
      <c r="F107" s="403"/>
      <c r="G107" s="403"/>
      <c r="H107" s="402"/>
      <c r="I107" s="402"/>
      <c r="J107" s="402"/>
      <c r="K107" s="402"/>
      <c r="L107" s="402"/>
      <c r="M107" s="402"/>
      <c r="N107" s="402"/>
      <c r="O107" s="402"/>
      <c r="P107" s="402"/>
      <c r="Q107" s="402"/>
      <c r="R107" s="402"/>
      <c r="S107" s="402"/>
      <c r="T107" s="402"/>
      <c r="U107" s="402"/>
      <c r="V107" s="402"/>
      <c r="W107" s="402"/>
      <c r="X107" s="402"/>
      <c r="Y107" s="402"/>
      <c r="Z107" s="402"/>
    </row>
    <row r="108" ht="14.25" customHeight="1">
      <c r="A108" s="660">
        <v>45537.0</v>
      </c>
      <c r="B108" s="831" t="s">
        <v>4545</v>
      </c>
      <c r="C108" s="832" t="s">
        <v>4546</v>
      </c>
      <c r="D108" s="468" t="s">
        <v>59</v>
      </c>
      <c r="E108" s="833" t="s">
        <v>273</v>
      </c>
      <c r="F108" s="834">
        <v>1977503.36</v>
      </c>
      <c r="G108" s="835"/>
      <c r="H108" s="833"/>
      <c r="I108" s="402"/>
      <c r="J108" s="402"/>
      <c r="K108" s="402"/>
      <c r="L108" s="402"/>
      <c r="M108" s="402"/>
      <c r="N108" s="402"/>
      <c r="O108" s="402"/>
      <c r="P108" s="402"/>
      <c r="Q108" s="402"/>
      <c r="R108" s="402"/>
      <c r="S108" s="402"/>
      <c r="T108" s="402"/>
      <c r="U108" s="402"/>
      <c r="V108" s="402"/>
      <c r="W108" s="402"/>
      <c r="X108" s="402"/>
      <c r="Y108" s="402"/>
      <c r="Z108" s="402"/>
    </row>
    <row r="109" ht="14.25" customHeight="1">
      <c r="A109" s="660">
        <v>45537.0</v>
      </c>
      <c r="B109" s="350" t="s">
        <v>4547</v>
      </c>
      <c r="C109" s="351" t="s">
        <v>4548</v>
      </c>
      <c r="D109" s="352" t="s">
        <v>59</v>
      </c>
      <c r="E109" s="396" t="s">
        <v>273</v>
      </c>
      <c r="F109" s="354">
        <v>617498.61</v>
      </c>
      <c r="G109" s="353"/>
      <c r="H109" s="396"/>
      <c r="I109" s="402"/>
      <c r="J109" s="402"/>
      <c r="K109" s="402"/>
      <c r="L109" s="402"/>
      <c r="M109" s="402"/>
      <c r="N109" s="402"/>
      <c r="O109" s="402"/>
      <c r="P109" s="402"/>
      <c r="Q109" s="402"/>
      <c r="R109" s="402"/>
      <c r="S109" s="402"/>
      <c r="T109" s="402"/>
      <c r="U109" s="402"/>
      <c r="V109" s="402"/>
      <c r="W109" s="402"/>
      <c r="X109" s="402"/>
      <c r="Y109" s="402"/>
      <c r="Z109" s="402"/>
    </row>
    <row r="110" ht="14.25" customHeight="1">
      <c r="A110" s="402"/>
      <c r="B110" s="402"/>
      <c r="C110" s="402"/>
      <c r="D110" s="402"/>
      <c r="E110" s="402"/>
      <c r="F110" s="403"/>
      <c r="G110" s="403"/>
      <c r="H110" s="402"/>
      <c r="I110" s="402"/>
      <c r="J110" s="402"/>
      <c r="K110" s="402"/>
      <c r="L110" s="402"/>
      <c r="M110" s="402"/>
      <c r="N110" s="402"/>
      <c r="O110" s="402"/>
      <c r="P110" s="402"/>
      <c r="Q110" s="402"/>
      <c r="R110" s="402"/>
      <c r="S110" s="402"/>
      <c r="T110" s="402"/>
      <c r="U110" s="402"/>
      <c r="V110" s="402"/>
      <c r="W110" s="402"/>
      <c r="X110" s="402"/>
      <c r="Y110" s="402"/>
      <c r="Z110" s="402"/>
    </row>
    <row r="111" ht="14.25" customHeight="1">
      <c r="A111" s="402"/>
      <c r="B111" s="402"/>
      <c r="C111" s="402"/>
      <c r="D111" s="402"/>
      <c r="E111" s="402"/>
      <c r="F111" s="403"/>
      <c r="G111" s="403"/>
      <c r="H111" s="402"/>
      <c r="I111" s="402"/>
      <c r="J111" s="402"/>
      <c r="K111" s="402"/>
      <c r="L111" s="402"/>
      <c r="M111" s="402"/>
      <c r="N111" s="402"/>
      <c r="O111" s="402"/>
      <c r="P111" s="402"/>
      <c r="Q111" s="402"/>
      <c r="R111" s="402"/>
      <c r="S111" s="402"/>
      <c r="T111" s="402"/>
      <c r="U111" s="402"/>
      <c r="V111" s="402"/>
      <c r="W111" s="402"/>
      <c r="X111" s="402"/>
      <c r="Y111" s="402"/>
      <c r="Z111" s="402"/>
    </row>
    <row r="112" ht="14.25" customHeight="1">
      <c r="A112" s="402"/>
      <c r="B112" s="402"/>
      <c r="C112" s="402"/>
      <c r="D112" s="402"/>
      <c r="E112" s="402"/>
      <c r="F112" s="403"/>
      <c r="G112" s="403"/>
      <c r="H112" s="402"/>
      <c r="I112" s="402"/>
      <c r="J112" s="402"/>
      <c r="K112" s="402"/>
      <c r="L112" s="402"/>
      <c r="M112" s="402"/>
      <c r="N112" s="402"/>
      <c r="O112" s="402"/>
      <c r="P112" s="402"/>
      <c r="Q112" s="402"/>
      <c r="R112" s="402"/>
      <c r="S112" s="402"/>
      <c r="T112" s="402"/>
      <c r="U112" s="402"/>
      <c r="V112" s="402"/>
      <c r="W112" s="402"/>
      <c r="X112" s="402"/>
      <c r="Y112" s="402"/>
      <c r="Z112" s="402"/>
    </row>
    <row r="113" ht="14.25" customHeight="1">
      <c r="A113" s="402"/>
      <c r="B113" s="402"/>
      <c r="C113" s="402"/>
      <c r="D113" s="402"/>
      <c r="E113" s="402"/>
      <c r="F113" s="403"/>
      <c r="G113" s="403"/>
      <c r="H113" s="402"/>
      <c r="I113" s="402"/>
      <c r="J113" s="402"/>
      <c r="K113" s="402"/>
      <c r="L113" s="402"/>
      <c r="M113" s="402"/>
      <c r="N113" s="402"/>
      <c r="O113" s="402"/>
      <c r="P113" s="402"/>
      <c r="Q113" s="402"/>
      <c r="R113" s="402"/>
      <c r="S113" s="402"/>
      <c r="T113" s="402"/>
      <c r="U113" s="402"/>
      <c r="V113" s="402"/>
      <c r="W113" s="402"/>
      <c r="X113" s="402"/>
      <c r="Y113" s="402"/>
      <c r="Z113" s="402"/>
    </row>
    <row r="114" ht="14.25" customHeight="1">
      <c r="A114" s="402"/>
      <c r="B114" s="402"/>
      <c r="C114" s="402"/>
      <c r="D114" s="402"/>
      <c r="E114" s="402"/>
      <c r="F114" s="403"/>
      <c r="G114" s="403"/>
      <c r="H114" s="402"/>
      <c r="I114" s="402"/>
      <c r="J114" s="402"/>
      <c r="K114" s="402"/>
      <c r="L114" s="402"/>
      <c r="M114" s="402"/>
      <c r="N114" s="402"/>
      <c r="O114" s="402"/>
      <c r="P114" s="402"/>
      <c r="Q114" s="402"/>
      <c r="R114" s="402"/>
      <c r="S114" s="402"/>
      <c r="T114" s="402"/>
      <c r="U114" s="402"/>
      <c r="V114" s="402"/>
      <c r="W114" s="402"/>
      <c r="X114" s="402"/>
      <c r="Y114" s="402"/>
      <c r="Z114" s="402"/>
    </row>
    <row r="115" ht="14.25" customHeight="1">
      <c r="A115" s="402"/>
      <c r="B115" s="402"/>
      <c r="C115" s="402"/>
      <c r="D115" s="402"/>
      <c r="E115" s="402"/>
      <c r="F115" s="403"/>
      <c r="G115" s="403"/>
      <c r="H115" s="402"/>
      <c r="I115" s="402"/>
      <c r="J115" s="402"/>
      <c r="K115" s="402"/>
      <c r="L115" s="402"/>
      <c r="M115" s="402"/>
      <c r="N115" s="402"/>
      <c r="O115" s="402"/>
      <c r="P115" s="402"/>
      <c r="Q115" s="402"/>
      <c r="R115" s="402"/>
      <c r="S115" s="402"/>
      <c r="T115" s="402"/>
      <c r="U115" s="402"/>
      <c r="V115" s="402"/>
      <c r="W115" s="402"/>
      <c r="X115" s="402"/>
      <c r="Y115" s="402"/>
      <c r="Z115" s="402"/>
    </row>
    <row r="116" ht="14.25" customHeight="1">
      <c r="A116" s="402"/>
      <c r="B116" s="402"/>
      <c r="C116" s="402"/>
      <c r="D116" s="402"/>
      <c r="E116" s="402"/>
      <c r="F116" s="403"/>
      <c r="G116" s="403"/>
      <c r="H116" s="402"/>
      <c r="I116" s="402"/>
      <c r="J116" s="402"/>
      <c r="K116" s="402"/>
      <c r="L116" s="402"/>
      <c r="M116" s="402"/>
      <c r="N116" s="402"/>
      <c r="O116" s="402"/>
      <c r="P116" s="402"/>
      <c r="Q116" s="402"/>
      <c r="R116" s="402"/>
      <c r="S116" s="402"/>
      <c r="T116" s="402"/>
      <c r="U116" s="402"/>
      <c r="V116" s="402"/>
      <c r="W116" s="402"/>
      <c r="X116" s="402"/>
      <c r="Y116" s="402"/>
      <c r="Z116" s="402"/>
    </row>
    <row r="117" ht="14.25" customHeight="1">
      <c r="A117" s="402"/>
      <c r="B117" s="402"/>
      <c r="C117" s="402"/>
      <c r="D117" s="402"/>
      <c r="E117" s="402"/>
      <c r="F117" s="403"/>
      <c r="G117" s="403"/>
      <c r="H117" s="402"/>
      <c r="I117" s="402"/>
      <c r="J117" s="402"/>
      <c r="K117" s="402"/>
      <c r="L117" s="402"/>
      <c r="M117" s="402"/>
      <c r="N117" s="402"/>
      <c r="O117" s="402"/>
      <c r="P117" s="402"/>
      <c r="Q117" s="402"/>
      <c r="R117" s="402"/>
      <c r="S117" s="402"/>
      <c r="T117" s="402"/>
      <c r="U117" s="402"/>
      <c r="V117" s="402"/>
      <c r="W117" s="402"/>
      <c r="X117" s="402"/>
      <c r="Y117" s="402"/>
      <c r="Z117" s="402"/>
    </row>
    <row r="118" ht="14.25" customHeight="1">
      <c r="A118" s="402"/>
      <c r="B118" s="402"/>
      <c r="C118" s="402"/>
      <c r="D118" s="402"/>
      <c r="E118" s="402"/>
      <c r="F118" s="403"/>
      <c r="G118" s="403"/>
      <c r="H118" s="402"/>
      <c r="I118" s="402"/>
      <c r="J118" s="402"/>
      <c r="K118" s="402"/>
      <c r="L118" s="402"/>
      <c r="M118" s="402"/>
      <c r="N118" s="402"/>
      <c r="O118" s="402"/>
      <c r="P118" s="402"/>
      <c r="Q118" s="402"/>
      <c r="R118" s="402"/>
      <c r="S118" s="402"/>
      <c r="T118" s="402"/>
      <c r="U118" s="402"/>
      <c r="V118" s="402"/>
      <c r="W118" s="402"/>
      <c r="X118" s="402"/>
      <c r="Y118" s="402"/>
      <c r="Z118" s="402"/>
    </row>
    <row r="119" ht="14.25" customHeight="1">
      <c r="A119" s="402"/>
      <c r="B119" s="402"/>
      <c r="C119" s="402"/>
      <c r="D119" s="402"/>
      <c r="E119" s="402"/>
      <c r="F119" s="403"/>
      <c r="G119" s="403"/>
      <c r="H119" s="402"/>
      <c r="I119" s="402"/>
      <c r="J119" s="402"/>
      <c r="K119" s="402"/>
      <c r="L119" s="402"/>
      <c r="M119" s="402"/>
      <c r="N119" s="402"/>
      <c r="O119" s="402"/>
      <c r="P119" s="402"/>
      <c r="Q119" s="402"/>
      <c r="R119" s="402"/>
      <c r="S119" s="402"/>
      <c r="T119" s="402"/>
      <c r="U119" s="402"/>
      <c r="V119" s="402"/>
      <c r="W119" s="402"/>
      <c r="X119" s="402"/>
      <c r="Y119" s="402"/>
      <c r="Z119" s="402"/>
    </row>
    <row r="120" ht="14.25" customHeight="1">
      <c r="A120" s="402"/>
      <c r="B120" s="402"/>
      <c r="C120" s="402"/>
      <c r="D120" s="402"/>
      <c r="E120" s="402"/>
      <c r="F120" s="403"/>
      <c r="G120" s="403"/>
      <c r="H120" s="402"/>
      <c r="I120" s="402"/>
      <c r="J120" s="402"/>
      <c r="K120" s="402"/>
      <c r="L120" s="402"/>
      <c r="M120" s="402"/>
      <c r="N120" s="402"/>
      <c r="O120" s="402"/>
      <c r="P120" s="402"/>
      <c r="Q120" s="402"/>
      <c r="R120" s="402"/>
      <c r="S120" s="402"/>
      <c r="T120" s="402"/>
      <c r="U120" s="402"/>
      <c r="V120" s="402"/>
      <c r="W120" s="402"/>
      <c r="X120" s="402"/>
      <c r="Y120" s="402"/>
      <c r="Z120" s="402"/>
    </row>
    <row r="121" ht="14.25" customHeight="1">
      <c r="A121" s="402"/>
      <c r="B121" s="402"/>
      <c r="C121" s="402"/>
      <c r="D121" s="402"/>
      <c r="E121" s="402"/>
      <c r="F121" s="403"/>
      <c r="G121" s="403"/>
      <c r="H121" s="402"/>
      <c r="I121" s="402"/>
      <c r="J121" s="402"/>
      <c r="K121" s="402"/>
      <c r="L121" s="402"/>
      <c r="M121" s="402"/>
      <c r="N121" s="402"/>
      <c r="O121" s="402"/>
      <c r="P121" s="402"/>
      <c r="Q121" s="402"/>
      <c r="R121" s="402"/>
      <c r="S121" s="402"/>
      <c r="T121" s="402"/>
      <c r="U121" s="402"/>
      <c r="V121" s="402"/>
      <c r="W121" s="402"/>
      <c r="X121" s="402"/>
      <c r="Y121" s="402"/>
      <c r="Z121" s="402"/>
    </row>
    <row r="122" ht="14.25" customHeight="1">
      <c r="A122" s="402"/>
      <c r="B122" s="402"/>
      <c r="C122" s="402"/>
      <c r="D122" s="402"/>
      <c r="E122" s="402"/>
      <c r="F122" s="403"/>
      <c r="G122" s="403"/>
      <c r="H122" s="402"/>
      <c r="I122" s="402"/>
      <c r="J122" s="402"/>
      <c r="K122" s="402"/>
      <c r="L122" s="402"/>
      <c r="M122" s="402"/>
      <c r="N122" s="402"/>
      <c r="O122" s="402"/>
      <c r="P122" s="402"/>
      <c r="Q122" s="402"/>
      <c r="R122" s="402"/>
      <c r="S122" s="402"/>
      <c r="T122" s="402"/>
      <c r="U122" s="402"/>
      <c r="V122" s="402"/>
      <c r="W122" s="402"/>
      <c r="X122" s="402"/>
      <c r="Y122" s="402"/>
      <c r="Z122" s="402"/>
    </row>
    <row r="123" ht="14.25" customHeight="1">
      <c r="A123" s="402"/>
      <c r="B123" s="402"/>
      <c r="C123" s="402"/>
      <c r="D123" s="402"/>
      <c r="E123" s="402"/>
      <c r="F123" s="403"/>
      <c r="G123" s="403"/>
      <c r="H123" s="402"/>
      <c r="I123" s="402"/>
      <c r="J123" s="402"/>
      <c r="K123" s="402"/>
      <c r="L123" s="402"/>
      <c r="M123" s="402"/>
      <c r="N123" s="402"/>
      <c r="O123" s="402"/>
      <c r="P123" s="402"/>
      <c r="Q123" s="402"/>
      <c r="R123" s="402"/>
      <c r="S123" s="402"/>
      <c r="T123" s="402"/>
      <c r="U123" s="402"/>
      <c r="V123" s="402"/>
      <c r="W123" s="402"/>
      <c r="X123" s="402"/>
      <c r="Y123" s="402"/>
      <c r="Z123" s="402"/>
    </row>
    <row r="124" ht="14.25" customHeight="1">
      <c r="A124" s="402"/>
      <c r="B124" s="402"/>
      <c r="C124" s="402"/>
      <c r="D124" s="402"/>
      <c r="E124" s="402"/>
      <c r="F124" s="403"/>
      <c r="G124" s="403"/>
      <c r="H124" s="402"/>
      <c r="I124" s="402"/>
      <c r="J124" s="402"/>
      <c r="K124" s="402"/>
      <c r="L124" s="402"/>
      <c r="M124" s="402"/>
      <c r="N124" s="402"/>
      <c r="O124" s="402"/>
      <c r="P124" s="402"/>
      <c r="Q124" s="402"/>
      <c r="R124" s="402"/>
      <c r="S124" s="402"/>
      <c r="T124" s="402"/>
      <c r="U124" s="402"/>
      <c r="V124" s="402"/>
      <c r="W124" s="402"/>
      <c r="X124" s="402"/>
      <c r="Y124" s="402"/>
      <c r="Z124" s="402"/>
    </row>
    <row r="125" ht="14.25" customHeight="1">
      <c r="A125" s="402"/>
      <c r="B125" s="402"/>
      <c r="C125" s="402"/>
      <c r="D125" s="402"/>
      <c r="E125" s="402"/>
      <c r="F125" s="403"/>
      <c r="G125" s="403"/>
      <c r="H125" s="402"/>
      <c r="I125" s="402"/>
      <c r="J125" s="402"/>
      <c r="K125" s="402"/>
      <c r="L125" s="402"/>
      <c r="M125" s="402"/>
      <c r="N125" s="402"/>
      <c r="O125" s="402"/>
      <c r="P125" s="402"/>
      <c r="Q125" s="402"/>
      <c r="R125" s="402"/>
      <c r="S125" s="402"/>
      <c r="T125" s="402"/>
      <c r="U125" s="402"/>
      <c r="V125" s="402"/>
      <c r="W125" s="402"/>
      <c r="X125" s="402"/>
      <c r="Y125" s="402"/>
      <c r="Z125" s="402"/>
    </row>
    <row r="126" ht="14.25" customHeight="1">
      <c r="A126" s="402"/>
      <c r="B126" s="402"/>
      <c r="C126" s="402"/>
      <c r="D126" s="402"/>
      <c r="E126" s="402"/>
      <c r="F126" s="403"/>
      <c r="G126" s="403"/>
      <c r="H126" s="402"/>
      <c r="I126" s="402"/>
      <c r="J126" s="402"/>
      <c r="K126" s="402"/>
      <c r="L126" s="402"/>
      <c r="M126" s="402"/>
      <c r="N126" s="402"/>
      <c r="O126" s="402"/>
      <c r="P126" s="402"/>
      <c r="Q126" s="402"/>
      <c r="R126" s="402"/>
      <c r="S126" s="402"/>
      <c r="T126" s="402"/>
      <c r="U126" s="402"/>
      <c r="V126" s="402"/>
      <c r="W126" s="402"/>
      <c r="X126" s="402"/>
      <c r="Y126" s="402"/>
      <c r="Z126" s="402"/>
    </row>
    <row r="127" ht="14.25" customHeight="1">
      <c r="A127" s="402"/>
      <c r="B127" s="402"/>
      <c r="C127" s="402"/>
      <c r="D127" s="402"/>
      <c r="E127" s="402"/>
      <c r="F127" s="403"/>
      <c r="G127" s="403"/>
      <c r="H127" s="402"/>
      <c r="I127" s="402"/>
      <c r="J127" s="402"/>
      <c r="K127" s="402"/>
      <c r="L127" s="402"/>
      <c r="M127" s="402"/>
      <c r="N127" s="402"/>
      <c r="O127" s="402"/>
      <c r="P127" s="402"/>
      <c r="Q127" s="402"/>
      <c r="R127" s="402"/>
      <c r="S127" s="402"/>
      <c r="T127" s="402"/>
      <c r="U127" s="402"/>
      <c r="V127" s="402"/>
      <c r="W127" s="402"/>
      <c r="X127" s="402"/>
      <c r="Y127" s="402"/>
      <c r="Z127" s="402"/>
    </row>
    <row r="128" ht="14.25" customHeight="1">
      <c r="A128" s="402"/>
      <c r="B128" s="402"/>
      <c r="C128" s="402"/>
      <c r="D128" s="402"/>
      <c r="E128" s="402"/>
      <c r="F128" s="403"/>
      <c r="G128" s="403"/>
      <c r="H128" s="402"/>
      <c r="I128" s="402"/>
      <c r="J128" s="402"/>
      <c r="K128" s="402"/>
      <c r="L128" s="402"/>
      <c r="M128" s="402"/>
      <c r="N128" s="402"/>
      <c r="O128" s="402"/>
      <c r="P128" s="402"/>
      <c r="Q128" s="402"/>
      <c r="R128" s="402"/>
      <c r="S128" s="402"/>
      <c r="T128" s="402"/>
      <c r="U128" s="402"/>
      <c r="V128" s="402"/>
      <c r="W128" s="402"/>
      <c r="X128" s="402"/>
      <c r="Y128" s="402"/>
      <c r="Z128" s="402"/>
    </row>
    <row r="129" ht="14.25" customHeight="1">
      <c r="A129" s="402"/>
      <c r="B129" s="402"/>
      <c r="C129" s="402"/>
      <c r="D129" s="402"/>
      <c r="E129" s="402"/>
      <c r="F129" s="403"/>
      <c r="G129" s="403"/>
      <c r="H129" s="402"/>
      <c r="I129" s="402"/>
      <c r="J129" s="402"/>
      <c r="K129" s="402"/>
      <c r="L129" s="402"/>
      <c r="M129" s="402"/>
      <c r="N129" s="402"/>
      <c r="O129" s="402"/>
      <c r="P129" s="402"/>
      <c r="Q129" s="402"/>
      <c r="R129" s="402"/>
      <c r="S129" s="402"/>
      <c r="T129" s="402"/>
      <c r="U129" s="402"/>
      <c r="V129" s="402"/>
      <c r="W129" s="402"/>
      <c r="X129" s="402"/>
      <c r="Y129" s="402"/>
      <c r="Z129" s="402"/>
    </row>
    <row r="130" ht="14.25" customHeight="1">
      <c r="A130" s="402"/>
      <c r="B130" s="402"/>
      <c r="C130" s="402"/>
      <c r="D130" s="402"/>
      <c r="E130" s="402"/>
      <c r="F130" s="403"/>
      <c r="G130" s="403"/>
      <c r="H130" s="402"/>
      <c r="I130" s="402"/>
      <c r="J130" s="402"/>
      <c r="K130" s="402"/>
      <c r="L130" s="402"/>
      <c r="M130" s="402"/>
      <c r="N130" s="402"/>
      <c r="O130" s="402"/>
      <c r="P130" s="402"/>
      <c r="Q130" s="402"/>
      <c r="R130" s="402"/>
      <c r="S130" s="402"/>
      <c r="T130" s="402"/>
      <c r="U130" s="402"/>
      <c r="V130" s="402"/>
      <c r="W130" s="402"/>
      <c r="X130" s="402"/>
      <c r="Y130" s="402"/>
      <c r="Z130" s="402"/>
    </row>
    <row r="131" ht="14.25" customHeight="1">
      <c r="A131" s="402"/>
      <c r="B131" s="402"/>
      <c r="C131" s="402"/>
      <c r="D131" s="402"/>
      <c r="E131" s="402"/>
      <c r="F131" s="403"/>
      <c r="G131" s="403"/>
      <c r="H131" s="402"/>
      <c r="I131" s="402"/>
      <c r="J131" s="402"/>
      <c r="K131" s="402"/>
      <c r="L131" s="402"/>
      <c r="M131" s="402"/>
      <c r="N131" s="402"/>
      <c r="O131" s="402"/>
      <c r="P131" s="402"/>
      <c r="Q131" s="402"/>
      <c r="R131" s="402"/>
      <c r="S131" s="402"/>
      <c r="T131" s="402"/>
      <c r="U131" s="402"/>
      <c r="V131" s="402"/>
      <c r="W131" s="402"/>
      <c r="X131" s="402"/>
      <c r="Y131" s="402"/>
      <c r="Z131" s="402"/>
    </row>
    <row r="132" ht="14.25" customHeight="1">
      <c r="A132" s="402"/>
      <c r="B132" s="402"/>
      <c r="C132" s="402"/>
      <c r="D132" s="402"/>
      <c r="E132" s="402"/>
      <c r="F132" s="403"/>
      <c r="G132" s="403"/>
      <c r="H132" s="402"/>
      <c r="I132" s="402"/>
      <c r="J132" s="402"/>
      <c r="K132" s="402"/>
      <c r="L132" s="402"/>
      <c r="M132" s="402"/>
      <c r="N132" s="402"/>
      <c r="O132" s="402"/>
      <c r="P132" s="402"/>
      <c r="Q132" s="402"/>
      <c r="R132" s="402"/>
      <c r="S132" s="402"/>
      <c r="T132" s="402"/>
      <c r="U132" s="402"/>
      <c r="V132" s="402"/>
      <c r="W132" s="402"/>
      <c r="X132" s="402"/>
      <c r="Y132" s="402"/>
      <c r="Z132" s="402"/>
    </row>
    <row r="133" ht="14.25" customHeight="1">
      <c r="A133" s="402"/>
      <c r="B133" s="402"/>
      <c r="C133" s="402"/>
      <c r="D133" s="402"/>
      <c r="E133" s="402"/>
      <c r="F133" s="403"/>
      <c r="G133" s="403"/>
      <c r="H133" s="402"/>
      <c r="I133" s="402"/>
      <c r="J133" s="402"/>
      <c r="K133" s="402"/>
      <c r="L133" s="402"/>
      <c r="M133" s="402"/>
      <c r="N133" s="402"/>
      <c r="O133" s="402"/>
      <c r="P133" s="402"/>
      <c r="Q133" s="402"/>
      <c r="R133" s="402"/>
      <c r="S133" s="402"/>
      <c r="T133" s="402"/>
      <c r="U133" s="402"/>
      <c r="V133" s="402"/>
      <c r="W133" s="402"/>
      <c r="X133" s="402"/>
      <c r="Y133" s="402"/>
      <c r="Z133" s="402"/>
    </row>
    <row r="134" ht="14.25" customHeight="1">
      <c r="A134" s="402"/>
      <c r="B134" s="402"/>
      <c r="C134" s="402"/>
      <c r="D134" s="402"/>
      <c r="E134" s="402"/>
      <c r="F134" s="403"/>
      <c r="G134" s="403"/>
      <c r="H134" s="402"/>
      <c r="I134" s="402"/>
      <c r="J134" s="402"/>
      <c r="K134" s="402"/>
      <c r="L134" s="402"/>
      <c r="M134" s="402"/>
      <c r="N134" s="402"/>
      <c r="O134" s="402"/>
      <c r="P134" s="402"/>
      <c r="Q134" s="402"/>
      <c r="R134" s="402"/>
      <c r="S134" s="402"/>
      <c r="T134" s="402"/>
      <c r="U134" s="402"/>
      <c r="V134" s="402"/>
      <c r="W134" s="402"/>
      <c r="X134" s="402"/>
      <c r="Y134" s="402"/>
      <c r="Z134" s="402"/>
    </row>
    <row r="135" ht="14.25" customHeight="1">
      <c r="A135" s="402"/>
      <c r="B135" s="402"/>
      <c r="C135" s="402"/>
      <c r="D135" s="402"/>
      <c r="E135" s="402"/>
      <c r="F135" s="403"/>
      <c r="G135" s="403"/>
      <c r="H135" s="402"/>
      <c r="I135" s="402"/>
      <c r="J135" s="402"/>
      <c r="K135" s="402"/>
      <c r="L135" s="402"/>
      <c r="M135" s="402"/>
      <c r="N135" s="402"/>
      <c r="O135" s="402"/>
      <c r="P135" s="402"/>
      <c r="Q135" s="402"/>
      <c r="R135" s="402"/>
      <c r="S135" s="402"/>
      <c r="T135" s="402"/>
      <c r="U135" s="402"/>
      <c r="V135" s="402"/>
      <c r="W135" s="402"/>
      <c r="X135" s="402"/>
      <c r="Y135" s="402"/>
      <c r="Z135" s="402"/>
    </row>
    <row r="136" ht="14.25" customHeight="1">
      <c r="A136" s="402"/>
      <c r="B136" s="402"/>
      <c r="C136" s="402"/>
      <c r="D136" s="402"/>
      <c r="E136" s="402"/>
      <c r="F136" s="403"/>
      <c r="G136" s="403"/>
      <c r="H136" s="402"/>
      <c r="I136" s="402"/>
      <c r="J136" s="402"/>
      <c r="K136" s="402"/>
      <c r="L136" s="402"/>
      <c r="M136" s="402"/>
      <c r="N136" s="402"/>
      <c r="O136" s="402"/>
      <c r="P136" s="402"/>
      <c r="Q136" s="402"/>
      <c r="R136" s="402"/>
      <c r="S136" s="402"/>
      <c r="T136" s="402"/>
      <c r="U136" s="402"/>
      <c r="V136" s="402"/>
      <c r="W136" s="402"/>
      <c r="X136" s="402"/>
      <c r="Y136" s="402"/>
      <c r="Z136" s="402"/>
    </row>
    <row r="137" ht="14.25" customHeight="1">
      <c r="A137" s="402"/>
      <c r="B137" s="402"/>
      <c r="C137" s="402"/>
      <c r="D137" s="402"/>
      <c r="E137" s="402"/>
      <c r="F137" s="403"/>
      <c r="G137" s="403"/>
      <c r="H137" s="402"/>
      <c r="I137" s="402"/>
      <c r="J137" s="402"/>
      <c r="K137" s="402"/>
      <c r="L137" s="402"/>
      <c r="M137" s="402"/>
      <c r="N137" s="402"/>
      <c r="O137" s="402"/>
      <c r="P137" s="402"/>
      <c r="Q137" s="402"/>
      <c r="R137" s="402"/>
      <c r="S137" s="402"/>
      <c r="T137" s="402"/>
      <c r="U137" s="402"/>
      <c r="V137" s="402"/>
      <c r="W137" s="402"/>
      <c r="X137" s="402"/>
      <c r="Y137" s="402"/>
      <c r="Z137" s="402"/>
    </row>
    <row r="138" ht="14.25" customHeight="1">
      <c r="A138" s="402"/>
      <c r="B138" s="402"/>
      <c r="C138" s="402"/>
      <c r="D138" s="402"/>
      <c r="E138" s="402"/>
      <c r="F138" s="403"/>
      <c r="G138" s="403"/>
      <c r="H138" s="402"/>
      <c r="I138" s="402"/>
      <c r="J138" s="402"/>
      <c r="K138" s="402"/>
      <c r="L138" s="402"/>
      <c r="M138" s="402"/>
      <c r="N138" s="402"/>
      <c r="O138" s="402"/>
      <c r="P138" s="402"/>
      <c r="Q138" s="402"/>
      <c r="R138" s="402"/>
      <c r="S138" s="402"/>
      <c r="T138" s="402"/>
      <c r="U138" s="402"/>
      <c r="V138" s="402"/>
      <c r="W138" s="402"/>
      <c r="X138" s="402"/>
      <c r="Y138" s="402"/>
      <c r="Z138" s="402"/>
    </row>
    <row r="139" ht="14.25" customHeight="1">
      <c r="A139" s="402"/>
      <c r="B139" s="402"/>
      <c r="C139" s="402"/>
      <c r="D139" s="402"/>
      <c r="E139" s="402"/>
      <c r="F139" s="403"/>
      <c r="G139" s="403"/>
      <c r="H139" s="402"/>
      <c r="I139" s="402"/>
      <c r="J139" s="402"/>
      <c r="K139" s="402"/>
      <c r="L139" s="402"/>
      <c r="M139" s="402"/>
      <c r="N139" s="402"/>
      <c r="O139" s="402"/>
      <c r="P139" s="402"/>
      <c r="Q139" s="402"/>
      <c r="R139" s="402"/>
      <c r="S139" s="402"/>
      <c r="T139" s="402"/>
      <c r="U139" s="402"/>
      <c r="V139" s="402"/>
      <c r="W139" s="402"/>
      <c r="X139" s="402"/>
      <c r="Y139" s="402"/>
      <c r="Z139" s="402"/>
    </row>
    <row r="140" ht="14.25" customHeight="1">
      <c r="A140" s="402"/>
      <c r="B140" s="402"/>
      <c r="C140" s="402"/>
      <c r="D140" s="402"/>
      <c r="E140" s="402"/>
      <c r="F140" s="403"/>
      <c r="G140" s="403"/>
      <c r="H140" s="402"/>
      <c r="I140" s="402"/>
      <c r="J140" s="402"/>
      <c r="K140" s="402"/>
      <c r="L140" s="402"/>
      <c r="M140" s="402"/>
      <c r="N140" s="402"/>
      <c r="O140" s="402"/>
      <c r="P140" s="402"/>
      <c r="Q140" s="402"/>
      <c r="R140" s="402"/>
      <c r="S140" s="402"/>
      <c r="T140" s="402"/>
      <c r="U140" s="402"/>
      <c r="V140" s="402"/>
      <c r="W140" s="402"/>
      <c r="X140" s="402"/>
      <c r="Y140" s="402"/>
      <c r="Z140" s="402"/>
    </row>
    <row r="141" ht="14.25" customHeight="1">
      <c r="A141" s="402"/>
      <c r="B141" s="402"/>
      <c r="C141" s="402"/>
      <c r="D141" s="402"/>
      <c r="E141" s="402"/>
      <c r="F141" s="403"/>
      <c r="G141" s="403"/>
      <c r="H141" s="402"/>
      <c r="I141" s="402"/>
      <c r="J141" s="402"/>
      <c r="K141" s="402"/>
      <c r="L141" s="402"/>
      <c r="M141" s="402"/>
      <c r="N141" s="402"/>
      <c r="O141" s="402"/>
      <c r="P141" s="402"/>
      <c r="Q141" s="402"/>
      <c r="R141" s="402"/>
      <c r="S141" s="402"/>
      <c r="T141" s="402"/>
      <c r="U141" s="402"/>
      <c r="V141" s="402"/>
      <c r="W141" s="402"/>
      <c r="X141" s="402"/>
      <c r="Y141" s="402"/>
      <c r="Z141" s="402"/>
    </row>
    <row r="142" ht="14.25" customHeight="1">
      <c r="A142" s="402"/>
      <c r="B142" s="402"/>
      <c r="C142" s="402"/>
      <c r="D142" s="402"/>
      <c r="E142" s="402"/>
      <c r="F142" s="403"/>
      <c r="G142" s="403"/>
      <c r="H142" s="402"/>
      <c r="I142" s="402"/>
      <c r="J142" s="402"/>
      <c r="K142" s="402"/>
      <c r="L142" s="402"/>
      <c r="M142" s="402"/>
      <c r="N142" s="402"/>
      <c r="O142" s="402"/>
      <c r="P142" s="402"/>
      <c r="Q142" s="402"/>
      <c r="R142" s="402"/>
      <c r="S142" s="402"/>
      <c r="T142" s="402"/>
      <c r="U142" s="402"/>
      <c r="V142" s="402"/>
      <c r="W142" s="402"/>
      <c r="X142" s="402"/>
      <c r="Y142" s="402"/>
      <c r="Z142" s="402"/>
    </row>
    <row r="143" ht="14.25" customHeight="1">
      <c r="A143" s="402"/>
      <c r="B143" s="402"/>
      <c r="C143" s="402"/>
      <c r="D143" s="402"/>
      <c r="E143" s="402"/>
      <c r="F143" s="403"/>
      <c r="G143" s="403"/>
      <c r="H143" s="402"/>
      <c r="I143" s="402"/>
      <c r="J143" s="402"/>
      <c r="K143" s="402"/>
      <c r="L143" s="402"/>
      <c r="M143" s="402"/>
      <c r="N143" s="402"/>
      <c r="O143" s="402"/>
      <c r="P143" s="402"/>
      <c r="Q143" s="402"/>
      <c r="R143" s="402"/>
      <c r="S143" s="402"/>
      <c r="T143" s="402"/>
      <c r="U143" s="402"/>
      <c r="V143" s="402"/>
      <c r="W143" s="402"/>
      <c r="X143" s="402"/>
      <c r="Y143" s="402"/>
      <c r="Z143" s="402"/>
    </row>
    <row r="144" ht="14.25" customHeight="1">
      <c r="A144" s="402"/>
      <c r="B144" s="402"/>
      <c r="C144" s="402"/>
      <c r="D144" s="402"/>
      <c r="E144" s="402"/>
      <c r="F144" s="403"/>
      <c r="G144" s="403"/>
      <c r="H144" s="402"/>
      <c r="I144" s="402"/>
      <c r="J144" s="402"/>
      <c r="K144" s="402"/>
      <c r="L144" s="402"/>
      <c r="M144" s="402"/>
      <c r="N144" s="402"/>
      <c r="O144" s="402"/>
      <c r="P144" s="402"/>
      <c r="Q144" s="402"/>
      <c r="R144" s="402"/>
      <c r="S144" s="402"/>
      <c r="T144" s="402"/>
      <c r="U144" s="402"/>
      <c r="V144" s="402"/>
      <c r="W144" s="402"/>
      <c r="X144" s="402"/>
      <c r="Y144" s="402"/>
      <c r="Z144" s="402"/>
    </row>
    <row r="145" ht="14.25" customHeight="1">
      <c r="A145" s="402"/>
      <c r="B145" s="402"/>
      <c r="C145" s="402"/>
      <c r="D145" s="402"/>
      <c r="E145" s="402"/>
      <c r="F145" s="403"/>
      <c r="G145" s="403"/>
      <c r="H145" s="402"/>
      <c r="I145" s="402"/>
      <c r="J145" s="402"/>
      <c r="K145" s="402"/>
      <c r="L145" s="402"/>
      <c r="M145" s="402"/>
      <c r="N145" s="402"/>
      <c r="O145" s="402"/>
      <c r="P145" s="402"/>
      <c r="Q145" s="402"/>
      <c r="R145" s="402"/>
      <c r="S145" s="402"/>
      <c r="T145" s="402"/>
      <c r="U145" s="402"/>
      <c r="V145" s="402"/>
      <c r="W145" s="402"/>
      <c r="X145" s="402"/>
      <c r="Y145" s="402"/>
      <c r="Z145" s="402"/>
    </row>
    <row r="146" ht="14.25" customHeight="1">
      <c r="A146" s="402"/>
      <c r="B146" s="402"/>
      <c r="C146" s="402"/>
      <c r="D146" s="402"/>
      <c r="E146" s="402"/>
      <c r="F146" s="403"/>
      <c r="G146" s="403"/>
      <c r="H146" s="402"/>
      <c r="I146" s="402"/>
      <c r="J146" s="402"/>
      <c r="K146" s="402"/>
      <c r="L146" s="402"/>
      <c r="M146" s="402"/>
      <c r="N146" s="402"/>
      <c r="O146" s="402"/>
      <c r="P146" s="402"/>
      <c r="Q146" s="402"/>
      <c r="R146" s="402"/>
      <c r="S146" s="402"/>
      <c r="T146" s="402"/>
      <c r="U146" s="402"/>
      <c r="V146" s="402"/>
      <c r="W146" s="402"/>
      <c r="X146" s="402"/>
      <c r="Y146" s="402"/>
      <c r="Z146" s="402"/>
    </row>
    <row r="147" ht="14.25" customHeight="1">
      <c r="A147" s="402"/>
      <c r="B147" s="402"/>
      <c r="C147" s="402"/>
      <c r="D147" s="402"/>
      <c r="E147" s="402"/>
      <c r="F147" s="403"/>
      <c r="G147" s="403"/>
      <c r="H147" s="402"/>
      <c r="I147" s="402"/>
      <c r="J147" s="402"/>
      <c r="K147" s="402"/>
      <c r="L147" s="402"/>
      <c r="M147" s="402"/>
      <c r="N147" s="402"/>
      <c r="O147" s="402"/>
      <c r="P147" s="402"/>
      <c r="Q147" s="402"/>
      <c r="R147" s="402"/>
      <c r="S147" s="402"/>
      <c r="T147" s="402"/>
      <c r="U147" s="402"/>
      <c r="V147" s="402"/>
      <c r="W147" s="402"/>
      <c r="X147" s="402"/>
      <c r="Y147" s="402"/>
      <c r="Z147" s="402"/>
    </row>
    <row r="148" ht="14.25" customHeight="1">
      <c r="A148" s="402"/>
      <c r="B148" s="402"/>
      <c r="C148" s="402"/>
      <c r="D148" s="402"/>
      <c r="E148" s="402"/>
      <c r="F148" s="403"/>
      <c r="G148" s="403"/>
      <c r="H148" s="402"/>
      <c r="I148" s="402"/>
      <c r="J148" s="402"/>
      <c r="K148" s="402"/>
      <c r="L148" s="402"/>
      <c r="M148" s="402"/>
      <c r="N148" s="402"/>
      <c r="O148" s="402"/>
      <c r="P148" s="402"/>
      <c r="Q148" s="402"/>
      <c r="R148" s="402"/>
      <c r="S148" s="402"/>
      <c r="T148" s="402"/>
      <c r="U148" s="402"/>
      <c r="V148" s="402"/>
      <c r="W148" s="402"/>
      <c r="X148" s="402"/>
      <c r="Y148" s="402"/>
      <c r="Z148" s="402"/>
    </row>
    <row r="149" ht="14.25" customHeight="1">
      <c r="A149" s="402"/>
      <c r="B149" s="402"/>
      <c r="C149" s="402"/>
      <c r="D149" s="402"/>
      <c r="E149" s="402"/>
      <c r="F149" s="403"/>
      <c r="G149" s="403"/>
      <c r="H149" s="402"/>
      <c r="I149" s="402"/>
      <c r="J149" s="402"/>
      <c r="K149" s="402"/>
      <c r="L149" s="402"/>
      <c r="M149" s="402"/>
      <c r="N149" s="402"/>
      <c r="O149" s="402"/>
      <c r="P149" s="402"/>
      <c r="Q149" s="402"/>
      <c r="R149" s="402"/>
      <c r="S149" s="402"/>
      <c r="T149" s="402"/>
      <c r="U149" s="402"/>
      <c r="V149" s="402"/>
      <c r="W149" s="402"/>
      <c r="X149" s="402"/>
      <c r="Y149" s="402"/>
      <c r="Z149" s="402"/>
    </row>
    <row r="150" ht="14.25" customHeight="1">
      <c r="A150" s="402"/>
      <c r="B150" s="402"/>
      <c r="C150" s="402"/>
      <c r="D150" s="402"/>
      <c r="E150" s="402"/>
      <c r="F150" s="403"/>
      <c r="G150" s="403"/>
      <c r="H150" s="402"/>
      <c r="I150" s="402"/>
      <c r="J150" s="402"/>
      <c r="K150" s="402"/>
      <c r="L150" s="402"/>
      <c r="M150" s="402"/>
      <c r="N150" s="402"/>
      <c r="O150" s="402"/>
      <c r="P150" s="402"/>
      <c r="Q150" s="402"/>
      <c r="R150" s="402"/>
      <c r="S150" s="402"/>
      <c r="T150" s="402"/>
      <c r="U150" s="402"/>
      <c r="V150" s="402"/>
      <c r="W150" s="402"/>
      <c r="X150" s="402"/>
      <c r="Y150" s="402"/>
      <c r="Z150" s="402"/>
    </row>
    <row r="151" ht="14.25" customHeight="1">
      <c r="A151" s="402"/>
      <c r="B151" s="402"/>
      <c r="C151" s="402"/>
      <c r="D151" s="402"/>
      <c r="E151" s="402"/>
      <c r="F151" s="403"/>
      <c r="G151" s="403"/>
      <c r="H151" s="402"/>
      <c r="I151" s="402"/>
      <c r="J151" s="402"/>
      <c r="K151" s="402"/>
      <c r="L151" s="402"/>
      <c r="M151" s="402"/>
      <c r="N151" s="402"/>
      <c r="O151" s="402"/>
      <c r="P151" s="402"/>
      <c r="Q151" s="402"/>
      <c r="R151" s="402"/>
      <c r="S151" s="402"/>
      <c r="T151" s="402"/>
      <c r="U151" s="402"/>
      <c r="V151" s="402"/>
      <c r="W151" s="402"/>
      <c r="X151" s="402"/>
      <c r="Y151" s="402"/>
      <c r="Z151" s="402"/>
    </row>
    <row r="152" ht="14.25" customHeight="1">
      <c r="A152" s="402"/>
      <c r="B152" s="402"/>
      <c r="C152" s="402"/>
      <c r="D152" s="402"/>
      <c r="E152" s="402"/>
      <c r="F152" s="403"/>
      <c r="G152" s="403"/>
      <c r="H152" s="402"/>
      <c r="I152" s="402"/>
      <c r="J152" s="402"/>
      <c r="K152" s="402"/>
      <c r="L152" s="402"/>
      <c r="M152" s="402"/>
      <c r="N152" s="402"/>
      <c r="O152" s="402"/>
      <c r="P152" s="402"/>
      <c r="Q152" s="402"/>
      <c r="R152" s="402"/>
      <c r="S152" s="402"/>
      <c r="T152" s="402"/>
      <c r="U152" s="402"/>
      <c r="V152" s="402"/>
      <c r="W152" s="402"/>
      <c r="X152" s="402"/>
      <c r="Y152" s="402"/>
      <c r="Z152" s="402"/>
    </row>
    <row r="153" ht="14.25" customHeight="1">
      <c r="A153" s="402"/>
      <c r="B153" s="402"/>
      <c r="C153" s="402"/>
      <c r="D153" s="402"/>
      <c r="E153" s="402"/>
      <c r="F153" s="403"/>
      <c r="G153" s="403"/>
      <c r="H153" s="402"/>
      <c r="I153" s="402"/>
      <c r="J153" s="402"/>
      <c r="K153" s="402"/>
      <c r="L153" s="402"/>
      <c r="M153" s="402"/>
      <c r="N153" s="402"/>
      <c r="O153" s="402"/>
      <c r="P153" s="402"/>
      <c r="Q153" s="402"/>
      <c r="R153" s="402"/>
      <c r="S153" s="402"/>
      <c r="T153" s="402"/>
      <c r="U153" s="402"/>
      <c r="V153" s="402"/>
      <c r="W153" s="402"/>
      <c r="X153" s="402"/>
      <c r="Y153" s="402"/>
      <c r="Z153" s="402"/>
    </row>
    <row r="154" ht="14.25" customHeight="1">
      <c r="A154" s="402"/>
      <c r="B154" s="402"/>
      <c r="C154" s="402"/>
      <c r="D154" s="402"/>
      <c r="E154" s="402"/>
      <c r="F154" s="403"/>
      <c r="G154" s="403"/>
      <c r="H154" s="402"/>
      <c r="I154" s="402"/>
      <c r="J154" s="402"/>
      <c r="K154" s="402"/>
      <c r="L154" s="402"/>
      <c r="M154" s="402"/>
      <c r="N154" s="402"/>
      <c r="O154" s="402"/>
      <c r="P154" s="402"/>
      <c r="Q154" s="402"/>
      <c r="R154" s="402"/>
      <c r="S154" s="402"/>
      <c r="T154" s="402"/>
      <c r="U154" s="402"/>
      <c r="V154" s="402"/>
      <c r="W154" s="402"/>
      <c r="X154" s="402"/>
      <c r="Y154" s="402"/>
      <c r="Z154" s="402"/>
    </row>
    <row r="155" ht="14.25" customHeight="1">
      <c r="A155" s="402"/>
      <c r="B155" s="402"/>
      <c r="C155" s="402"/>
      <c r="D155" s="402"/>
      <c r="E155" s="402"/>
      <c r="F155" s="403"/>
      <c r="G155" s="403"/>
      <c r="H155" s="402"/>
      <c r="I155" s="402"/>
      <c r="J155" s="402"/>
      <c r="K155" s="402"/>
      <c r="L155" s="402"/>
      <c r="M155" s="402"/>
      <c r="N155" s="402"/>
      <c r="O155" s="402"/>
      <c r="P155" s="402"/>
      <c r="Q155" s="402"/>
      <c r="R155" s="402"/>
      <c r="S155" s="402"/>
      <c r="T155" s="402"/>
      <c r="U155" s="402"/>
      <c r="V155" s="402"/>
      <c r="W155" s="402"/>
      <c r="X155" s="402"/>
      <c r="Y155" s="402"/>
      <c r="Z155" s="402"/>
    </row>
    <row r="156" ht="14.25" customHeight="1">
      <c r="A156" s="402"/>
      <c r="B156" s="402"/>
      <c r="C156" s="402"/>
      <c r="D156" s="402"/>
      <c r="E156" s="402"/>
      <c r="F156" s="403"/>
      <c r="G156" s="403"/>
      <c r="H156" s="402"/>
      <c r="I156" s="402"/>
      <c r="J156" s="402"/>
      <c r="K156" s="402"/>
      <c r="L156" s="402"/>
      <c r="M156" s="402"/>
      <c r="N156" s="402"/>
      <c r="O156" s="402"/>
      <c r="P156" s="402"/>
      <c r="Q156" s="402"/>
      <c r="R156" s="402"/>
      <c r="S156" s="402"/>
      <c r="T156" s="402"/>
      <c r="U156" s="402"/>
      <c r="V156" s="402"/>
      <c r="W156" s="402"/>
      <c r="X156" s="402"/>
      <c r="Y156" s="402"/>
      <c r="Z156" s="402"/>
    </row>
    <row r="157" ht="14.25" customHeight="1">
      <c r="A157" s="402"/>
      <c r="B157" s="402"/>
      <c r="C157" s="402"/>
      <c r="D157" s="402"/>
      <c r="E157" s="402"/>
      <c r="F157" s="403"/>
      <c r="G157" s="403"/>
      <c r="H157" s="402"/>
      <c r="I157" s="402"/>
      <c r="J157" s="402"/>
      <c r="K157" s="402"/>
      <c r="L157" s="402"/>
      <c r="M157" s="402"/>
      <c r="N157" s="402"/>
      <c r="O157" s="402"/>
      <c r="P157" s="402"/>
      <c r="Q157" s="402"/>
      <c r="R157" s="402"/>
      <c r="S157" s="402"/>
      <c r="T157" s="402"/>
      <c r="U157" s="402"/>
      <c r="V157" s="402"/>
      <c r="W157" s="402"/>
      <c r="X157" s="402"/>
      <c r="Y157" s="402"/>
      <c r="Z157" s="402"/>
    </row>
    <row r="158" ht="14.25" customHeight="1">
      <c r="A158" s="402"/>
      <c r="B158" s="402"/>
      <c r="C158" s="402"/>
      <c r="D158" s="402"/>
      <c r="E158" s="402"/>
      <c r="F158" s="403"/>
      <c r="G158" s="403"/>
      <c r="H158" s="402"/>
      <c r="I158" s="402"/>
      <c r="J158" s="402"/>
      <c r="K158" s="402"/>
      <c r="L158" s="402"/>
      <c r="M158" s="402"/>
      <c r="N158" s="402"/>
      <c r="O158" s="402"/>
      <c r="P158" s="402"/>
      <c r="Q158" s="402"/>
      <c r="R158" s="402"/>
      <c r="S158" s="402"/>
      <c r="T158" s="402"/>
      <c r="U158" s="402"/>
      <c r="V158" s="402"/>
      <c r="W158" s="402"/>
      <c r="X158" s="402"/>
      <c r="Y158" s="402"/>
      <c r="Z158" s="402"/>
    </row>
    <row r="159" ht="14.25" customHeight="1">
      <c r="A159" s="402"/>
      <c r="B159" s="402"/>
      <c r="C159" s="402"/>
      <c r="D159" s="402"/>
      <c r="E159" s="402"/>
      <c r="F159" s="403"/>
      <c r="G159" s="403"/>
      <c r="H159" s="402"/>
      <c r="I159" s="402"/>
      <c r="J159" s="402"/>
      <c r="K159" s="402"/>
      <c r="L159" s="402"/>
      <c r="M159" s="402"/>
      <c r="N159" s="402"/>
      <c r="O159" s="402"/>
      <c r="P159" s="402"/>
      <c r="Q159" s="402"/>
      <c r="R159" s="402"/>
      <c r="S159" s="402"/>
      <c r="T159" s="402"/>
      <c r="U159" s="402"/>
      <c r="V159" s="402"/>
      <c r="W159" s="402"/>
      <c r="X159" s="402"/>
      <c r="Y159" s="402"/>
      <c r="Z159" s="402"/>
    </row>
    <row r="160" ht="14.25" customHeight="1">
      <c r="A160" s="402"/>
      <c r="B160" s="402"/>
      <c r="C160" s="402"/>
      <c r="D160" s="402"/>
      <c r="E160" s="402"/>
      <c r="F160" s="403"/>
      <c r="G160" s="403"/>
      <c r="H160" s="402"/>
      <c r="I160" s="402"/>
      <c r="J160" s="402"/>
      <c r="K160" s="402"/>
      <c r="L160" s="402"/>
      <c r="M160" s="402"/>
      <c r="N160" s="402"/>
      <c r="O160" s="402"/>
      <c r="P160" s="402"/>
      <c r="Q160" s="402"/>
      <c r="R160" s="402"/>
      <c r="S160" s="402"/>
      <c r="T160" s="402"/>
      <c r="U160" s="402"/>
      <c r="V160" s="402"/>
      <c r="W160" s="402"/>
      <c r="X160" s="402"/>
      <c r="Y160" s="402"/>
      <c r="Z160" s="402"/>
    </row>
    <row r="161" ht="14.25" customHeight="1">
      <c r="A161" s="402"/>
      <c r="B161" s="402"/>
      <c r="C161" s="402"/>
      <c r="D161" s="402"/>
      <c r="E161" s="402"/>
      <c r="F161" s="403"/>
      <c r="G161" s="403"/>
      <c r="H161" s="402"/>
      <c r="I161" s="402"/>
      <c r="J161" s="402"/>
      <c r="K161" s="402"/>
      <c r="L161" s="402"/>
      <c r="M161" s="402"/>
      <c r="N161" s="402"/>
      <c r="O161" s="402"/>
      <c r="P161" s="402"/>
      <c r="Q161" s="402"/>
      <c r="R161" s="402"/>
      <c r="S161" s="402"/>
      <c r="T161" s="402"/>
      <c r="U161" s="402"/>
      <c r="V161" s="402"/>
      <c r="W161" s="402"/>
      <c r="X161" s="402"/>
      <c r="Y161" s="402"/>
      <c r="Z161" s="402"/>
    </row>
    <row r="162" ht="14.25" customHeight="1">
      <c r="A162" s="402"/>
      <c r="B162" s="402"/>
      <c r="C162" s="402"/>
      <c r="D162" s="402"/>
      <c r="E162" s="402"/>
      <c r="F162" s="403"/>
      <c r="G162" s="403"/>
      <c r="H162" s="402"/>
      <c r="I162" s="402"/>
      <c r="J162" s="402"/>
      <c r="K162" s="402"/>
      <c r="L162" s="402"/>
      <c r="M162" s="402"/>
      <c r="N162" s="402"/>
      <c r="O162" s="402"/>
      <c r="P162" s="402"/>
      <c r="Q162" s="402"/>
      <c r="R162" s="402"/>
      <c r="S162" s="402"/>
      <c r="T162" s="402"/>
      <c r="U162" s="402"/>
      <c r="V162" s="402"/>
      <c r="W162" s="402"/>
      <c r="X162" s="402"/>
      <c r="Y162" s="402"/>
      <c r="Z162" s="402"/>
    </row>
    <row r="163" ht="14.25" customHeight="1">
      <c r="A163" s="402"/>
      <c r="B163" s="402"/>
      <c r="C163" s="402"/>
      <c r="D163" s="402"/>
      <c r="E163" s="402"/>
      <c r="F163" s="403"/>
      <c r="G163" s="403"/>
      <c r="H163" s="402"/>
      <c r="I163" s="402"/>
      <c r="J163" s="402"/>
      <c r="K163" s="402"/>
      <c r="L163" s="402"/>
      <c r="M163" s="402"/>
      <c r="N163" s="402"/>
      <c r="O163" s="402"/>
      <c r="P163" s="402"/>
      <c r="Q163" s="402"/>
      <c r="R163" s="402"/>
      <c r="S163" s="402"/>
      <c r="T163" s="402"/>
      <c r="U163" s="402"/>
      <c r="V163" s="402"/>
      <c r="W163" s="402"/>
      <c r="X163" s="402"/>
      <c r="Y163" s="402"/>
      <c r="Z163" s="402"/>
    </row>
    <row r="164" ht="14.25" customHeight="1">
      <c r="A164" s="402"/>
      <c r="B164" s="402"/>
      <c r="C164" s="402"/>
      <c r="D164" s="402"/>
      <c r="E164" s="402"/>
      <c r="F164" s="403"/>
      <c r="G164" s="403"/>
      <c r="H164" s="402"/>
      <c r="I164" s="402"/>
      <c r="J164" s="402"/>
      <c r="K164" s="402"/>
      <c r="L164" s="402"/>
      <c r="M164" s="402"/>
      <c r="N164" s="402"/>
      <c r="O164" s="402"/>
      <c r="P164" s="402"/>
      <c r="Q164" s="402"/>
      <c r="R164" s="402"/>
      <c r="S164" s="402"/>
      <c r="T164" s="402"/>
      <c r="U164" s="402"/>
      <c r="V164" s="402"/>
      <c r="W164" s="402"/>
      <c r="X164" s="402"/>
      <c r="Y164" s="402"/>
      <c r="Z164" s="402"/>
    </row>
    <row r="165" ht="14.25" customHeight="1">
      <c r="A165" s="402"/>
      <c r="B165" s="402"/>
      <c r="C165" s="402"/>
      <c r="D165" s="402"/>
      <c r="E165" s="402"/>
      <c r="F165" s="403"/>
      <c r="G165" s="403"/>
      <c r="H165" s="402"/>
      <c r="I165" s="402"/>
      <c r="J165" s="402"/>
      <c r="K165" s="402"/>
      <c r="L165" s="402"/>
      <c r="M165" s="402"/>
      <c r="N165" s="402"/>
      <c r="O165" s="402"/>
      <c r="P165" s="402"/>
      <c r="Q165" s="402"/>
      <c r="R165" s="402"/>
      <c r="S165" s="402"/>
      <c r="T165" s="402"/>
      <c r="U165" s="402"/>
      <c r="V165" s="402"/>
      <c r="W165" s="402"/>
      <c r="X165" s="402"/>
      <c r="Y165" s="402"/>
      <c r="Z165" s="402"/>
    </row>
    <row r="166" ht="14.25" customHeight="1">
      <c r="A166" s="402"/>
      <c r="B166" s="402"/>
      <c r="C166" s="402"/>
      <c r="D166" s="402"/>
      <c r="E166" s="402"/>
      <c r="F166" s="403"/>
      <c r="G166" s="403"/>
      <c r="H166" s="402"/>
      <c r="I166" s="402"/>
      <c r="J166" s="402"/>
      <c r="K166" s="402"/>
      <c r="L166" s="402"/>
      <c r="M166" s="402"/>
      <c r="N166" s="402"/>
      <c r="O166" s="402"/>
      <c r="P166" s="402"/>
      <c r="Q166" s="402"/>
      <c r="R166" s="402"/>
      <c r="S166" s="402"/>
      <c r="T166" s="402"/>
      <c r="U166" s="402"/>
      <c r="V166" s="402"/>
      <c r="W166" s="402"/>
      <c r="X166" s="402"/>
      <c r="Y166" s="402"/>
      <c r="Z166" s="402"/>
    </row>
    <row r="167" ht="14.25" customHeight="1">
      <c r="A167" s="402"/>
      <c r="B167" s="402"/>
      <c r="C167" s="402"/>
      <c r="D167" s="402"/>
      <c r="E167" s="402"/>
      <c r="F167" s="403"/>
      <c r="G167" s="403"/>
      <c r="H167" s="402"/>
      <c r="I167" s="402"/>
      <c r="J167" s="402"/>
      <c r="K167" s="402"/>
      <c r="L167" s="402"/>
      <c r="M167" s="402"/>
      <c r="N167" s="402"/>
      <c r="O167" s="402"/>
      <c r="P167" s="402"/>
      <c r="Q167" s="402"/>
      <c r="R167" s="402"/>
      <c r="S167" s="402"/>
      <c r="T167" s="402"/>
      <c r="U167" s="402"/>
      <c r="V167" s="402"/>
      <c r="W167" s="402"/>
      <c r="X167" s="402"/>
      <c r="Y167" s="402"/>
      <c r="Z167" s="402"/>
    </row>
    <row r="168" ht="14.25" customHeight="1">
      <c r="A168" s="402"/>
      <c r="B168" s="402"/>
      <c r="C168" s="402"/>
      <c r="D168" s="402"/>
      <c r="E168" s="402"/>
      <c r="F168" s="403"/>
      <c r="G168" s="403"/>
      <c r="H168" s="402"/>
      <c r="I168" s="402"/>
      <c r="J168" s="402"/>
      <c r="K168" s="402"/>
      <c r="L168" s="402"/>
      <c r="M168" s="402"/>
      <c r="N168" s="402"/>
      <c r="O168" s="402"/>
      <c r="P168" s="402"/>
      <c r="Q168" s="402"/>
      <c r="R168" s="402"/>
      <c r="S168" s="402"/>
      <c r="T168" s="402"/>
      <c r="U168" s="402"/>
      <c r="V168" s="402"/>
      <c r="W168" s="402"/>
      <c r="X168" s="402"/>
      <c r="Y168" s="402"/>
      <c r="Z168" s="402"/>
    </row>
    <row r="169" ht="14.25" customHeight="1">
      <c r="A169" s="402"/>
      <c r="B169" s="402"/>
      <c r="C169" s="402"/>
      <c r="D169" s="402"/>
      <c r="E169" s="402"/>
      <c r="F169" s="403"/>
      <c r="G169" s="403"/>
      <c r="H169" s="402"/>
      <c r="I169" s="402"/>
      <c r="J169" s="402"/>
      <c r="K169" s="402"/>
      <c r="L169" s="402"/>
      <c r="M169" s="402"/>
      <c r="N169" s="402"/>
      <c r="O169" s="402"/>
      <c r="P169" s="402"/>
      <c r="Q169" s="402"/>
      <c r="R169" s="402"/>
      <c r="S169" s="402"/>
      <c r="T169" s="402"/>
      <c r="U169" s="402"/>
      <c r="V169" s="402"/>
      <c r="W169" s="402"/>
      <c r="X169" s="402"/>
      <c r="Y169" s="402"/>
      <c r="Z169" s="402"/>
    </row>
    <row r="170" ht="14.25" customHeight="1">
      <c r="A170" s="402"/>
      <c r="B170" s="402"/>
      <c r="C170" s="402"/>
      <c r="D170" s="402"/>
      <c r="E170" s="402"/>
      <c r="F170" s="403"/>
      <c r="G170" s="403"/>
      <c r="H170" s="402"/>
      <c r="I170" s="402"/>
      <c r="J170" s="402"/>
      <c r="K170" s="402"/>
      <c r="L170" s="402"/>
      <c r="M170" s="402"/>
      <c r="N170" s="402"/>
      <c r="O170" s="402"/>
      <c r="P170" s="402"/>
      <c r="Q170" s="402"/>
      <c r="R170" s="402"/>
      <c r="S170" s="402"/>
      <c r="T170" s="402"/>
      <c r="U170" s="402"/>
      <c r="V170" s="402"/>
      <c r="W170" s="402"/>
      <c r="X170" s="402"/>
      <c r="Y170" s="402"/>
      <c r="Z170" s="402"/>
    </row>
    <row r="171" ht="14.25" customHeight="1">
      <c r="A171" s="402"/>
      <c r="B171" s="402"/>
      <c r="C171" s="402"/>
      <c r="D171" s="402"/>
      <c r="E171" s="402"/>
      <c r="F171" s="403"/>
      <c r="G171" s="403"/>
      <c r="H171" s="402"/>
      <c r="I171" s="402"/>
      <c r="J171" s="402"/>
      <c r="K171" s="402"/>
      <c r="L171" s="402"/>
      <c r="M171" s="402"/>
      <c r="N171" s="402"/>
      <c r="O171" s="402"/>
      <c r="P171" s="402"/>
      <c r="Q171" s="402"/>
      <c r="R171" s="402"/>
      <c r="S171" s="402"/>
      <c r="T171" s="402"/>
      <c r="U171" s="402"/>
      <c r="V171" s="402"/>
      <c r="W171" s="402"/>
      <c r="X171" s="402"/>
      <c r="Y171" s="402"/>
      <c r="Z171" s="402"/>
    </row>
    <row r="172" ht="14.25" customHeight="1">
      <c r="A172" s="402"/>
      <c r="B172" s="402"/>
      <c r="C172" s="402"/>
      <c r="D172" s="402"/>
      <c r="E172" s="402"/>
      <c r="F172" s="403"/>
      <c r="G172" s="403"/>
      <c r="H172" s="402"/>
      <c r="I172" s="402"/>
      <c r="J172" s="402"/>
      <c r="K172" s="402"/>
      <c r="L172" s="402"/>
      <c r="M172" s="402"/>
      <c r="N172" s="402"/>
      <c r="O172" s="402"/>
      <c r="P172" s="402"/>
      <c r="Q172" s="402"/>
      <c r="R172" s="402"/>
      <c r="S172" s="402"/>
      <c r="T172" s="402"/>
      <c r="U172" s="402"/>
      <c r="V172" s="402"/>
      <c r="W172" s="402"/>
      <c r="X172" s="402"/>
      <c r="Y172" s="402"/>
      <c r="Z172" s="402"/>
    </row>
    <row r="173" ht="14.25" customHeight="1">
      <c r="A173" s="402"/>
      <c r="B173" s="402"/>
      <c r="C173" s="402"/>
      <c r="D173" s="402"/>
      <c r="E173" s="402"/>
      <c r="F173" s="403"/>
      <c r="G173" s="403"/>
      <c r="H173" s="402"/>
      <c r="I173" s="402"/>
      <c r="J173" s="402"/>
      <c r="K173" s="402"/>
      <c r="L173" s="402"/>
      <c r="M173" s="402"/>
      <c r="N173" s="402"/>
      <c r="O173" s="402"/>
      <c r="P173" s="402"/>
      <c r="Q173" s="402"/>
      <c r="R173" s="402"/>
      <c r="S173" s="402"/>
      <c r="T173" s="402"/>
      <c r="U173" s="402"/>
      <c r="V173" s="402"/>
      <c r="W173" s="402"/>
      <c r="X173" s="402"/>
      <c r="Y173" s="402"/>
      <c r="Z173" s="402"/>
    </row>
    <row r="174" ht="14.25" customHeight="1">
      <c r="A174" s="402"/>
      <c r="B174" s="402"/>
      <c r="C174" s="402"/>
      <c r="D174" s="402"/>
      <c r="E174" s="402"/>
      <c r="F174" s="403"/>
      <c r="G174" s="403"/>
      <c r="H174" s="402"/>
      <c r="I174" s="402"/>
      <c r="J174" s="402"/>
      <c r="K174" s="402"/>
      <c r="L174" s="402"/>
      <c r="M174" s="402"/>
      <c r="N174" s="402"/>
      <c r="O174" s="402"/>
      <c r="P174" s="402"/>
      <c r="Q174" s="402"/>
      <c r="R174" s="402"/>
      <c r="S174" s="402"/>
      <c r="T174" s="402"/>
      <c r="U174" s="402"/>
      <c r="V174" s="402"/>
      <c r="W174" s="402"/>
      <c r="X174" s="402"/>
      <c r="Y174" s="402"/>
      <c r="Z174" s="402"/>
    </row>
    <row r="175" ht="14.25" customHeight="1">
      <c r="A175" s="402"/>
      <c r="B175" s="402"/>
      <c r="C175" s="402"/>
      <c r="D175" s="402"/>
      <c r="E175" s="402"/>
      <c r="F175" s="403"/>
      <c r="G175" s="403"/>
      <c r="H175" s="402"/>
      <c r="I175" s="402"/>
      <c r="J175" s="402"/>
      <c r="K175" s="402"/>
      <c r="L175" s="402"/>
      <c r="M175" s="402"/>
      <c r="N175" s="402"/>
      <c r="O175" s="402"/>
      <c r="P175" s="402"/>
      <c r="Q175" s="402"/>
      <c r="R175" s="402"/>
      <c r="S175" s="402"/>
      <c r="T175" s="402"/>
      <c r="U175" s="402"/>
      <c r="V175" s="402"/>
      <c r="W175" s="402"/>
      <c r="X175" s="402"/>
      <c r="Y175" s="402"/>
      <c r="Z175" s="402"/>
    </row>
    <row r="176" ht="14.25" customHeight="1">
      <c r="A176" s="402"/>
      <c r="B176" s="402"/>
      <c r="C176" s="402"/>
      <c r="D176" s="402"/>
      <c r="E176" s="402"/>
      <c r="F176" s="403"/>
      <c r="G176" s="403"/>
      <c r="H176" s="402"/>
      <c r="I176" s="402"/>
      <c r="J176" s="402"/>
      <c r="K176" s="402"/>
      <c r="L176" s="402"/>
      <c r="M176" s="402"/>
      <c r="N176" s="402"/>
      <c r="O176" s="402"/>
      <c r="P176" s="402"/>
      <c r="Q176" s="402"/>
      <c r="R176" s="402"/>
      <c r="S176" s="402"/>
      <c r="T176" s="402"/>
      <c r="U176" s="402"/>
      <c r="V176" s="402"/>
      <c r="W176" s="402"/>
      <c r="X176" s="402"/>
      <c r="Y176" s="402"/>
      <c r="Z176" s="402"/>
    </row>
    <row r="177" ht="14.25" customHeight="1">
      <c r="A177" s="402"/>
      <c r="B177" s="402"/>
      <c r="C177" s="402"/>
      <c r="D177" s="402"/>
      <c r="E177" s="402"/>
      <c r="F177" s="403"/>
      <c r="G177" s="403"/>
      <c r="H177" s="402"/>
      <c r="I177" s="402"/>
      <c r="J177" s="402"/>
      <c r="K177" s="402"/>
      <c r="L177" s="402"/>
      <c r="M177" s="402"/>
      <c r="N177" s="402"/>
      <c r="O177" s="402"/>
      <c r="P177" s="402"/>
      <c r="Q177" s="402"/>
      <c r="R177" s="402"/>
      <c r="S177" s="402"/>
      <c r="T177" s="402"/>
      <c r="U177" s="402"/>
      <c r="V177" s="402"/>
      <c r="W177" s="402"/>
      <c r="X177" s="402"/>
      <c r="Y177" s="402"/>
      <c r="Z177" s="402"/>
    </row>
    <row r="178" ht="14.25" customHeight="1">
      <c r="A178" s="402"/>
      <c r="B178" s="402"/>
      <c r="C178" s="402"/>
      <c r="D178" s="402"/>
      <c r="E178" s="402"/>
      <c r="F178" s="403"/>
      <c r="G178" s="403"/>
      <c r="H178" s="402"/>
      <c r="I178" s="402"/>
      <c r="J178" s="402"/>
      <c r="K178" s="402"/>
      <c r="L178" s="402"/>
      <c r="M178" s="402"/>
      <c r="N178" s="402"/>
      <c r="O178" s="402"/>
      <c r="P178" s="402"/>
      <c r="Q178" s="402"/>
      <c r="R178" s="402"/>
      <c r="S178" s="402"/>
      <c r="T178" s="402"/>
      <c r="U178" s="402"/>
      <c r="V178" s="402"/>
      <c r="W178" s="402"/>
      <c r="X178" s="402"/>
      <c r="Y178" s="402"/>
      <c r="Z178" s="402"/>
    </row>
    <row r="179" ht="14.25" customHeight="1">
      <c r="A179" s="402"/>
      <c r="B179" s="402"/>
      <c r="C179" s="402"/>
      <c r="D179" s="402"/>
      <c r="E179" s="402"/>
      <c r="F179" s="403"/>
      <c r="G179" s="403"/>
      <c r="H179" s="402"/>
      <c r="I179" s="402"/>
      <c r="J179" s="402"/>
      <c r="K179" s="402"/>
      <c r="L179" s="402"/>
      <c r="M179" s="402"/>
      <c r="N179" s="402"/>
      <c r="O179" s="402"/>
      <c r="P179" s="402"/>
      <c r="Q179" s="402"/>
      <c r="R179" s="402"/>
      <c r="S179" s="402"/>
      <c r="T179" s="402"/>
      <c r="U179" s="402"/>
      <c r="V179" s="402"/>
      <c r="W179" s="402"/>
      <c r="X179" s="402"/>
      <c r="Y179" s="402"/>
      <c r="Z179" s="402"/>
    </row>
    <row r="180" ht="14.25" customHeight="1">
      <c r="A180" s="402"/>
      <c r="B180" s="402"/>
      <c r="C180" s="402"/>
      <c r="D180" s="402"/>
      <c r="E180" s="402"/>
      <c r="F180" s="403"/>
      <c r="G180" s="403"/>
      <c r="H180" s="402"/>
      <c r="I180" s="402"/>
      <c r="J180" s="402"/>
      <c r="K180" s="402"/>
      <c r="L180" s="402"/>
      <c r="M180" s="402"/>
      <c r="N180" s="402"/>
      <c r="O180" s="402"/>
      <c r="P180" s="402"/>
      <c r="Q180" s="402"/>
      <c r="R180" s="402"/>
      <c r="S180" s="402"/>
      <c r="T180" s="402"/>
      <c r="U180" s="402"/>
      <c r="V180" s="402"/>
      <c r="W180" s="402"/>
      <c r="X180" s="402"/>
      <c r="Y180" s="402"/>
      <c r="Z180" s="402"/>
    </row>
    <row r="181" ht="14.25" customHeight="1">
      <c r="A181" s="402"/>
      <c r="B181" s="402"/>
      <c r="C181" s="402"/>
      <c r="D181" s="402"/>
      <c r="E181" s="402"/>
      <c r="F181" s="403"/>
      <c r="G181" s="403"/>
      <c r="H181" s="402"/>
      <c r="I181" s="402"/>
      <c r="J181" s="402"/>
      <c r="K181" s="402"/>
      <c r="L181" s="402"/>
      <c r="M181" s="402"/>
      <c r="N181" s="402"/>
      <c r="O181" s="402"/>
      <c r="P181" s="402"/>
      <c r="Q181" s="402"/>
      <c r="R181" s="402"/>
      <c r="S181" s="402"/>
      <c r="T181" s="402"/>
      <c r="U181" s="402"/>
      <c r="V181" s="402"/>
      <c r="W181" s="402"/>
      <c r="X181" s="402"/>
      <c r="Y181" s="402"/>
      <c r="Z181" s="402"/>
    </row>
    <row r="182" ht="14.25" customHeight="1">
      <c r="A182" s="402"/>
      <c r="B182" s="402"/>
      <c r="C182" s="402"/>
      <c r="D182" s="402"/>
      <c r="E182" s="402"/>
      <c r="F182" s="403"/>
      <c r="G182" s="403"/>
      <c r="H182" s="402"/>
      <c r="I182" s="402"/>
      <c r="J182" s="402"/>
      <c r="K182" s="402"/>
      <c r="L182" s="402"/>
      <c r="M182" s="402"/>
      <c r="N182" s="402"/>
      <c r="O182" s="402"/>
      <c r="P182" s="402"/>
      <c r="Q182" s="402"/>
      <c r="R182" s="402"/>
      <c r="S182" s="402"/>
      <c r="T182" s="402"/>
      <c r="U182" s="402"/>
      <c r="V182" s="402"/>
      <c r="W182" s="402"/>
      <c r="X182" s="402"/>
      <c r="Y182" s="402"/>
      <c r="Z182" s="402"/>
    </row>
    <row r="183" ht="14.25" customHeight="1">
      <c r="A183" s="402"/>
      <c r="B183" s="402"/>
      <c r="C183" s="402"/>
      <c r="D183" s="402"/>
      <c r="E183" s="402"/>
      <c r="F183" s="403"/>
      <c r="G183" s="403"/>
      <c r="H183" s="402"/>
      <c r="I183" s="402"/>
      <c r="J183" s="402"/>
      <c r="K183" s="402"/>
      <c r="L183" s="402"/>
      <c r="M183" s="402"/>
      <c r="N183" s="402"/>
      <c r="O183" s="402"/>
      <c r="P183" s="402"/>
      <c r="Q183" s="402"/>
      <c r="R183" s="402"/>
      <c r="S183" s="402"/>
      <c r="T183" s="402"/>
      <c r="U183" s="402"/>
      <c r="V183" s="402"/>
      <c r="W183" s="402"/>
      <c r="X183" s="402"/>
      <c r="Y183" s="402"/>
      <c r="Z183" s="402"/>
    </row>
    <row r="184" ht="14.25" customHeight="1">
      <c r="A184" s="402"/>
      <c r="B184" s="402"/>
      <c r="C184" s="402"/>
      <c r="D184" s="402"/>
      <c r="E184" s="402"/>
      <c r="F184" s="403"/>
      <c r="G184" s="403"/>
      <c r="H184" s="402"/>
      <c r="I184" s="402"/>
      <c r="J184" s="402"/>
      <c r="K184" s="402"/>
      <c r="L184" s="402"/>
      <c r="M184" s="402"/>
      <c r="N184" s="402"/>
      <c r="O184" s="402"/>
      <c r="P184" s="402"/>
      <c r="Q184" s="402"/>
      <c r="R184" s="402"/>
      <c r="S184" s="402"/>
      <c r="T184" s="402"/>
      <c r="U184" s="402"/>
      <c r="V184" s="402"/>
      <c r="W184" s="402"/>
      <c r="X184" s="402"/>
      <c r="Y184" s="402"/>
      <c r="Z184" s="402"/>
    </row>
    <row r="185" ht="14.25" customHeight="1">
      <c r="A185" s="402"/>
      <c r="B185" s="402"/>
      <c r="C185" s="402"/>
      <c r="D185" s="402"/>
      <c r="E185" s="402"/>
      <c r="F185" s="403"/>
      <c r="G185" s="403"/>
      <c r="H185" s="402"/>
      <c r="I185" s="402"/>
      <c r="J185" s="402"/>
      <c r="K185" s="402"/>
      <c r="L185" s="402"/>
      <c r="M185" s="402"/>
      <c r="N185" s="402"/>
      <c r="O185" s="402"/>
      <c r="P185" s="402"/>
      <c r="Q185" s="402"/>
      <c r="R185" s="402"/>
      <c r="S185" s="402"/>
      <c r="T185" s="402"/>
      <c r="U185" s="402"/>
      <c r="V185" s="402"/>
      <c r="W185" s="402"/>
      <c r="X185" s="402"/>
      <c r="Y185" s="402"/>
      <c r="Z185" s="402"/>
    </row>
    <row r="186" ht="14.25" customHeight="1">
      <c r="A186" s="402"/>
      <c r="B186" s="402"/>
      <c r="C186" s="402"/>
      <c r="D186" s="402"/>
      <c r="E186" s="402"/>
      <c r="F186" s="403"/>
      <c r="G186" s="403"/>
      <c r="H186" s="402"/>
      <c r="I186" s="402"/>
      <c r="J186" s="402"/>
      <c r="K186" s="402"/>
      <c r="L186" s="402"/>
      <c r="M186" s="402"/>
      <c r="N186" s="402"/>
      <c r="O186" s="402"/>
      <c r="P186" s="402"/>
      <c r="Q186" s="402"/>
      <c r="R186" s="402"/>
      <c r="S186" s="402"/>
      <c r="T186" s="402"/>
      <c r="U186" s="402"/>
      <c r="V186" s="402"/>
      <c r="W186" s="402"/>
      <c r="X186" s="402"/>
      <c r="Y186" s="402"/>
      <c r="Z186" s="402"/>
    </row>
    <row r="187" ht="14.25" customHeight="1">
      <c r="A187" s="402"/>
      <c r="B187" s="402"/>
      <c r="C187" s="402"/>
      <c r="D187" s="402"/>
      <c r="E187" s="402"/>
      <c r="F187" s="403"/>
      <c r="G187" s="403"/>
      <c r="H187" s="402"/>
      <c r="I187" s="402"/>
      <c r="J187" s="402"/>
      <c r="K187" s="402"/>
      <c r="L187" s="402"/>
      <c r="M187" s="402"/>
      <c r="N187" s="402"/>
      <c r="O187" s="402"/>
      <c r="P187" s="402"/>
      <c r="Q187" s="402"/>
      <c r="R187" s="402"/>
      <c r="S187" s="402"/>
      <c r="T187" s="402"/>
      <c r="U187" s="402"/>
      <c r="V187" s="402"/>
      <c r="W187" s="402"/>
      <c r="X187" s="402"/>
      <c r="Y187" s="402"/>
      <c r="Z187" s="402"/>
    </row>
    <row r="188" ht="14.25" customHeight="1">
      <c r="A188" s="402"/>
      <c r="B188" s="402"/>
      <c r="C188" s="402"/>
      <c r="D188" s="402"/>
      <c r="E188" s="402"/>
      <c r="F188" s="403"/>
      <c r="G188" s="403"/>
      <c r="H188" s="402"/>
      <c r="I188" s="402"/>
      <c r="J188" s="402"/>
      <c r="K188" s="402"/>
      <c r="L188" s="402"/>
      <c r="M188" s="402"/>
      <c r="N188" s="402"/>
      <c r="O188" s="402"/>
      <c r="P188" s="402"/>
      <c r="Q188" s="402"/>
      <c r="R188" s="402"/>
      <c r="S188" s="402"/>
      <c r="T188" s="402"/>
      <c r="U188" s="402"/>
      <c r="V188" s="402"/>
      <c r="W188" s="402"/>
      <c r="X188" s="402"/>
      <c r="Y188" s="402"/>
      <c r="Z188" s="402"/>
    </row>
    <row r="189" ht="14.25" customHeight="1">
      <c r="A189" s="402"/>
      <c r="B189" s="402"/>
      <c r="C189" s="402"/>
      <c r="D189" s="402"/>
      <c r="E189" s="402"/>
      <c r="F189" s="403"/>
      <c r="G189" s="403"/>
      <c r="H189" s="402"/>
      <c r="I189" s="402"/>
      <c r="J189" s="402"/>
      <c r="K189" s="402"/>
      <c r="L189" s="402"/>
      <c r="M189" s="402"/>
      <c r="N189" s="402"/>
      <c r="O189" s="402"/>
      <c r="P189" s="402"/>
      <c r="Q189" s="402"/>
      <c r="R189" s="402"/>
      <c r="S189" s="402"/>
      <c r="T189" s="402"/>
      <c r="U189" s="402"/>
      <c r="V189" s="402"/>
      <c r="W189" s="402"/>
      <c r="X189" s="402"/>
      <c r="Y189" s="402"/>
      <c r="Z189" s="402"/>
    </row>
    <row r="190" ht="14.25" customHeight="1">
      <c r="A190" s="402"/>
      <c r="B190" s="402"/>
      <c r="C190" s="402"/>
      <c r="D190" s="402"/>
      <c r="E190" s="402"/>
      <c r="F190" s="403"/>
      <c r="G190" s="403"/>
      <c r="H190" s="402"/>
      <c r="I190" s="402"/>
      <c r="J190" s="402"/>
      <c r="K190" s="402"/>
      <c r="L190" s="402"/>
      <c r="M190" s="402"/>
      <c r="N190" s="402"/>
      <c r="O190" s="402"/>
      <c r="P190" s="402"/>
      <c r="Q190" s="402"/>
      <c r="R190" s="402"/>
      <c r="S190" s="402"/>
      <c r="T190" s="402"/>
      <c r="U190" s="402"/>
      <c r="V190" s="402"/>
      <c r="W190" s="402"/>
      <c r="X190" s="402"/>
      <c r="Y190" s="402"/>
      <c r="Z190" s="402"/>
    </row>
    <row r="191" ht="14.25" customHeight="1">
      <c r="A191" s="402"/>
      <c r="B191" s="402"/>
      <c r="C191" s="402"/>
      <c r="D191" s="402"/>
      <c r="E191" s="402"/>
      <c r="F191" s="403"/>
      <c r="G191" s="403"/>
      <c r="H191" s="402"/>
      <c r="I191" s="402"/>
      <c r="J191" s="402"/>
      <c r="K191" s="402"/>
      <c r="L191" s="402"/>
      <c r="M191" s="402"/>
      <c r="N191" s="402"/>
      <c r="O191" s="402"/>
      <c r="P191" s="402"/>
      <c r="Q191" s="402"/>
      <c r="R191" s="402"/>
      <c r="S191" s="402"/>
      <c r="T191" s="402"/>
      <c r="U191" s="402"/>
      <c r="V191" s="402"/>
      <c r="W191" s="402"/>
      <c r="X191" s="402"/>
      <c r="Y191" s="402"/>
      <c r="Z191" s="402"/>
    </row>
    <row r="192" ht="14.25" customHeight="1">
      <c r="A192" s="402"/>
      <c r="B192" s="402"/>
      <c r="C192" s="402"/>
      <c r="D192" s="402"/>
      <c r="E192" s="402"/>
      <c r="F192" s="403"/>
      <c r="G192" s="403"/>
      <c r="H192" s="402"/>
      <c r="I192" s="402"/>
      <c r="J192" s="402"/>
      <c r="K192" s="402"/>
      <c r="L192" s="402"/>
      <c r="M192" s="402"/>
      <c r="N192" s="402"/>
      <c r="O192" s="402"/>
      <c r="P192" s="402"/>
      <c r="Q192" s="402"/>
      <c r="R192" s="402"/>
      <c r="S192" s="402"/>
      <c r="T192" s="402"/>
      <c r="U192" s="402"/>
      <c r="V192" s="402"/>
      <c r="W192" s="402"/>
      <c r="X192" s="402"/>
      <c r="Y192" s="402"/>
      <c r="Z192" s="402"/>
    </row>
    <row r="193" ht="14.25" customHeight="1">
      <c r="A193" s="402"/>
      <c r="B193" s="402"/>
      <c r="C193" s="402"/>
      <c r="D193" s="402"/>
      <c r="E193" s="402"/>
      <c r="F193" s="403"/>
      <c r="G193" s="403"/>
      <c r="H193" s="402"/>
      <c r="I193" s="402"/>
      <c r="J193" s="402"/>
      <c r="K193" s="402"/>
      <c r="L193" s="402"/>
      <c r="M193" s="402"/>
      <c r="N193" s="402"/>
      <c r="O193" s="402"/>
      <c r="P193" s="402"/>
      <c r="Q193" s="402"/>
      <c r="R193" s="402"/>
      <c r="S193" s="402"/>
      <c r="T193" s="402"/>
      <c r="U193" s="402"/>
      <c r="V193" s="402"/>
      <c r="W193" s="402"/>
      <c r="X193" s="402"/>
      <c r="Y193" s="402"/>
      <c r="Z193" s="402"/>
    </row>
    <row r="194" ht="14.25" customHeight="1">
      <c r="A194" s="402"/>
      <c r="B194" s="402"/>
      <c r="C194" s="402"/>
      <c r="D194" s="402"/>
      <c r="E194" s="402"/>
      <c r="F194" s="403"/>
      <c r="G194" s="403"/>
      <c r="H194" s="402"/>
      <c r="I194" s="402"/>
      <c r="J194" s="402"/>
      <c r="K194" s="402"/>
      <c r="L194" s="402"/>
      <c r="M194" s="402"/>
      <c r="N194" s="402"/>
      <c r="O194" s="402"/>
      <c r="P194" s="402"/>
      <c r="Q194" s="402"/>
      <c r="R194" s="402"/>
      <c r="S194" s="402"/>
      <c r="T194" s="402"/>
      <c r="U194" s="402"/>
      <c r="V194" s="402"/>
      <c r="W194" s="402"/>
      <c r="X194" s="402"/>
      <c r="Y194" s="402"/>
      <c r="Z194" s="402"/>
    </row>
    <row r="195" ht="14.25" customHeight="1">
      <c r="A195" s="402"/>
      <c r="B195" s="402"/>
      <c r="C195" s="402"/>
      <c r="D195" s="402"/>
      <c r="E195" s="402"/>
      <c r="F195" s="403"/>
      <c r="G195" s="403"/>
      <c r="H195" s="402"/>
      <c r="I195" s="402"/>
      <c r="J195" s="402"/>
      <c r="K195" s="402"/>
      <c r="L195" s="402"/>
      <c r="M195" s="402"/>
      <c r="N195" s="402"/>
      <c r="O195" s="402"/>
      <c r="P195" s="402"/>
      <c r="Q195" s="402"/>
      <c r="R195" s="402"/>
      <c r="S195" s="402"/>
      <c r="T195" s="402"/>
      <c r="U195" s="402"/>
      <c r="V195" s="402"/>
      <c r="W195" s="402"/>
      <c r="X195" s="402"/>
      <c r="Y195" s="402"/>
      <c r="Z195" s="402"/>
    </row>
    <row r="196" ht="14.25" customHeight="1">
      <c r="A196" s="402"/>
      <c r="B196" s="402"/>
      <c r="C196" s="402"/>
      <c r="D196" s="402"/>
      <c r="E196" s="402"/>
      <c r="F196" s="403"/>
      <c r="G196" s="403"/>
      <c r="H196" s="402"/>
      <c r="I196" s="402"/>
      <c r="J196" s="402"/>
      <c r="K196" s="402"/>
      <c r="L196" s="402"/>
      <c r="M196" s="402"/>
      <c r="N196" s="402"/>
      <c r="O196" s="402"/>
      <c r="P196" s="402"/>
      <c r="Q196" s="402"/>
      <c r="R196" s="402"/>
      <c r="S196" s="402"/>
      <c r="T196" s="402"/>
      <c r="U196" s="402"/>
      <c r="V196" s="402"/>
      <c r="W196" s="402"/>
      <c r="X196" s="402"/>
      <c r="Y196" s="402"/>
      <c r="Z196" s="402"/>
    </row>
    <row r="197" ht="14.25" customHeight="1">
      <c r="A197" s="402"/>
      <c r="B197" s="402"/>
      <c r="C197" s="402"/>
      <c r="D197" s="402"/>
      <c r="E197" s="402"/>
      <c r="F197" s="403"/>
      <c r="G197" s="403"/>
      <c r="H197" s="402"/>
      <c r="I197" s="402"/>
      <c r="J197" s="402"/>
      <c r="K197" s="402"/>
      <c r="L197" s="402"/>
      <c r="M197" s="402"/>
      <c r="N197" s="402"/>
      <c r="O197" s="402"/>
      <c r="P197" s="402"/>
      <c r="Q197" s="402"/>
      <c r="R197" s="402"/>
      <c r="S197" s="402"/>
      <c r="T197" s="402"/>
      <c r="U197" s="402"/>
      <c r="V197" s="402"/>
      <c r="W197" s="402"/>
      <c r="X197" s="402"/>
      <c r="Y197" s="402"/>
      <c r="Z197" s="402"/>
    </row>
    <row r="198" ht="14.25" customHeight="1">
      <c r="A198" s="402"/>
      <c r="B198" s="402"/>
      <c r="C198" s="402"/>
      <c r="D198" s="402"/>
      <c r="E198" s="402"/>
      <c r="F198" s="403"/>
      <c r="G198" s="403"/>
      <c r="H198" s="402"/>
      <c r="I198" s="402"/>
      <c r="J198" s="402"/>
      <c r="K198" s="402"/>
      <c r="L198" s="402"/>
      <c r="M198" s="402"/>
      <c r="N198" s="402"/>
      <c r="O198" s="402"/>
      <c r="P198" s="402"/>
      <c r="Q198" s="402"/>
      <c r="R198" s="402"/>
      <c r="S198" s="402"/>
      <c r="T198" s="402"/>
      <c r="U198" s="402"/>
      <c r="V198" s="402"/>
      <c r="W198" s="402"/>
      <c r="X198" s="402"/>
      <c r="Y198" s="402"/>
      <c r="Z198" s="402"/>
    </row>
    <row r="199" ht="14.25" customHeight="1">
      <c r="A199" s="402"/>
      <c r="B199" s="402"/>
      <c r="C199" s="402"/>
      <c r="D199" s="402"/>
      <c r="E199" s="402"/>
      <c r="F199" s="403"/>
      <c r="G199" s="403"/>
      <c r="H199" s="402"/>
      <c r="I199" s="402"/>
      <c r="J199" s="402"/>
      <c r="K199" s="402"/>
      <c r="L199" s="402"/>
      <c r="M199" s="402"/>
      <c r="N199" s="402"/>
      <c r="O199" s="402"/>
      <c r="P199" s="402"/>
      <c r="Q199" s="402"/>
      <c r="R199" s="402"/>
      <c r="S199" s="402"/>
      <c r="T199" s="402"/>
      <c r="U199" s="402"/>
      <c r="V199" s="402"/>
      <c r="W199" s="402"/>
      <c r="X199" s="402"/>
      <c r="Y199" s="402"/>
      <c r="Z199" s="402"/>
    </row>
    <row r="200" ht="14.25" customHeight="1">
      <c r="A200" s="402"/>
      <c r="B200" s="402"/>
      <c r="C200" s="402"/>
      <c r="D200" s="402"/>
      <c r="E200" s="402"/>
      <c r="F200" s="403"/>
      <c r="G200" s="403"/>
      <c r="H200" s="402"/>
      <c r="I200" s="402"/>
      <c r="J200" s="402"/>
      <c r="K200" s="402"/>
      <c r="L200" s="402"/>
      <c r="M200" s="402"/>
      <c r="N200" s="402"/>
      <c r="O200" s="402"/>
      <c r="P200" s="402"/>
      <c r="Q200" s="402"/>
      <c r="R200" s="402"/>
      <c r="S200" s="402"/>
      <c r="T200" s="402"/>
      <c r="U200" s="402"/>
      <c r="V200" s="402"/>
      <c r="W200" s="402"/>
      <c r="X200" s="402"/>
      <c r="Y200" s="402"/>
      <c r="Z200" s="402"/>
    </row>
    <row r="201" ht="14.25" customHeight="1">
      <c r="A201" s="402"/>
      <c r="B201" s="402"/>
      <c r="C201" s="402"/>
      <c r="D201" s="402"/>
      <c r="E201" s="402"/>
      <c r="F201" s="403"/>
      <c r="G201" s="403"/>
      <c r="H201" s="402"/>
      <c r="I201" s="402"/>
      <c r="J201" s="402"/>
      <c r="K201" s="402"/>
      <c r="L201" s="402"/>
      <c r="M201" s="402"/>
      <c r="N201" s="402"/>
      <c r="O201" s="402"/>
      <c r="P201" s="402"/>
      <c r="Q201" s="402"/>
      <c r="R201" s="402"/>
      <c r="S201" s="402"/>
      <c r="T201" s="402"/>
      <c r="U201" s="402"/>
      <c r="V201" s="402"/>
      <c r="W201" s="402"/>
      <c r="X201" s="402"/>
      <c r="Y201" s="402"/>
      <c r="Z201" s="402"/>
    </row>
    <row r="202" ht="14.25" customHeight="1">
      <c r="A202" s="402"/>
      <c r="B202" s="402"/>
      <c r="C202" s="402"/>
      <c r="D202" s="402"/>
      <c r="E202" s="402"/>
      <c r="F202" s="403"/>
      <c r="G202" s="403"/>
      <c r="H202" s="402"/>
      <c r="I202" s="402"/>
      <c r="J202" s="402"/>
      <c r="K202" s="402"/>
      <c r="L202" s="402"/>
      <c r="M202" s="402"/>
      <c r="N202" s="402"/>
      <c r="O202" s="402"/>
      <c r="P202" s="402"/>
      <c r="Q202" s="402"/>
      <c r="R202" s="402"/>
      <c r="S202" s="402"/>
      <c r="T202" s="402"/>
      <c r="U202" s="402"/>
      <c r="V202" s="402"/>
      <c r="W202" s="402"/>
      <c r="X202" s="402"/>
      <c r="Y202" s="402"/>
      <c r="Z202" s="402"/>
    </row>
    <row r="203" ht="14.25" customHeight="1">
      <c r="A203" s="402"/>
      <c r="B203" s="402"/>
      <c r="C203" s="402"/>
      <c r="D203" s="402"/>
      <c r="E203" s="402"/>
      <c r="F203" s="403"/>
      <c r="G203" s="403"/>
      <c r="H203" s="402"/>
      <c r="I203" s="402"/>
      <c r="J203" s="402"/>
      <c r="K203" s="402"/>
      <c r="L203" s="402"/>
      <c r="M203" s="402"/>
      <c r="N203" s="402"/>
      <c r="O203" s="402"/>
      <c r="P203" s="402"/>
      <c r="Q203" s="402"/>
      <c r="R203" s="402"/>
      <c r="S203" s="402"/>
      <c r="T203" s="402"/>
      <c r="U203" s="402"/>
      <c r="V203" s="402"/>
      <c r="W203" s="402"/>
      <c r="X203" s="402"/>
      <c r="Y203" s="402"/>
      <c r="Z203" s="402"/>
    </row>
    <row r="204" ht="14.25" customHeight="1">
      <c r="A204" s="402"/>
      <c r="B204" s="402"/>
      <c r="C204" s="402"/>
      <c r="D204" s="402"/>
      <c r="E204" s="402"/>
      <c r="F204" s="403"/>
      <c r="G204" s="403"/>
      <c r="H204" s="402"/>
      <c r="I204" s="402"/>
      <c r="J204" s="402"/>
      <c r="K204" s="402"/>
      <c r="L204" s="402"/>
      <c r="M204" s="402"/>
      <c r="N204" s="402"/>
      <c r="O204" s="402"/>
      <c r="P204" s="402"/>
      <c r="Q204" s="402"/>
      <c r="R204" s="402"/>
      <c r="S204" s="402"/>
      <c r="T204" s="402"/>
      <c r="U204" s="402"/>
      <c r="V204" s="402"/>
      <c r="W204" s="402"/>
      <c r="X204" s="402"/>
      <c r="Y204" s="402"/>
      <c r="Z204" s="402"/>
    </row>
    <row r="205" ht="14.25" customHeight="1">
      <c r="A205" s="402"/>
      <c r="B205" s="402"/>
      <c r="C205" s="402"/>
      <c r="D205" s="402"/>
      <c r="E205" s="402"/>
      <c r="F205" s="403"/>
      <c r="G205" s="403"/>
      <c r="H205" s="402"/>
      <c r="I205" s="402"/>
      <c r="J205" s="402"/>
      <c r="K205" s="402"/>
      <c r="L205" s="402"/>
      <c r="M205" s="402"/>
      <c r="N205" s="402"/>
      <c r="O205" s="402"/>
      <c r="P205" s="402"/>
      <c r="Q205" s="402"/>
      <c r="R205" s="402"/>
      <c r="S205" s="402"/>
      <c r="T205" s="402"/>
      <c r="U205" s="402"/>
      <c r="V205" s="402"/>
      <c r="W205" s="402"/>
      <c r="X205" s="402"/>
      <c r="Y205" s="402"/>
      <c r="Z205" s="402"/>
    </row>
    <row r="206" ht="14.25" customHeight="1">
      <c r="A206" s="402"/>
      <c r="B206" s="402"/>
      <c r="C206" s="402"/>
      <c r="D206" s="402"/>
      <c r="E206" s="402"/>
      <c r="F206" s="403"/>
      <c r="G206" s="403"/>
      <c r="H206" s="402"/>
      <c r="I206" s="402"/>
      <c r="J206" s="402"/>
      <c r="K206" s="402"/>
      <c r="L206" s="402"/>
      <c r="M206" s="402"/>
      <c r="N206" s="402"/>
      <c r="O206" s="402"/>
      <c r="P206" s="402"/>
      <c r="Q206" s="402"/>
      <c r="R206" s="402"/>
      <c r="S206" s="402"/>
      <c r="T206" s="402"/>
      <c r="U206" s="402"/>
      <c r="V206" s="402"/>
      <c r="W206" s="402"/>
      <c r="X206" s="402"/>
      <c r="Y206" s="402"/>
      <c r="Z206" s="402"/>
    </row>
    <row r="207" ht="14.25" customHeight="1">
      <c r="A207" s="402"/>
      <c r="B207" s="402"/>
      <c r="C207" s="402"/>
      <c r="D207" s="402"/>
      <c r="E207" s="402"/>
      <c r="F207" s="403"/>
      <c r="G207" s="403"/>
      <c r="H207" s="402"/>
      <c r="I207" s="402"/>
      <c r="J207" s="402"/>
      <c r="K207" s="402"/>
      <c r="L207" s="402"/>
      <c r="M207" s="402"/>
      <c r="N207" s="402"/>
      <c r="O207" s="402"/>
      <c r="P207" s="402"/>
      <c r="Q207" s="402"/>
      <c r="R207" s="402"/>
      <c r="S207" s="402"/>
      <c r="T207" s="402"/>
      <c r="U207" s="402"/>
      <c r="V207" s="402"/>
      <c r="W207" s="402"/>
      <c r="X207" s="402"/>
      <c r="Y207" s="402"/>
      <c r="Z207" s="402"/>
    </row>
    <row r="208" ht="14.25" customHeight="1">
      <c r="A208" s="402"/>
      <c r="B208" s="402"/>
      <c r="C208" s="402"/>
      <c r="D208" s="402"/>
      <c r="E208" s="402"/>
      <c r="F208" s="403"/>
      <c r="G208" s="403"/>
      <c r="H208" s="402"/>
      <c r="I208" s="402"/>
      <c r="J208" s="402"/>
      <c r="K208" s="402"/>
      <c r="L208" s="402"/>
      <c r="M208" s="402"/>
      <c r="N208" s="402"/>
      <c r="O208" s="402"/>
      <c r="P208" s="402"/>
      <c r="Q208" s="402"/>
      <c r="R208" s="402"/>
      <c r="S208" s="402"/>
      <c r="T208" s="402"/>
      <c r="U208" s="402"/>
      <c r="V208" s="402"/>
      <c r="W208" s="402"/>
      <c r="X208" s="402"/>
      <c r="Y208" s="402"/>
      <c r="Z208" s="402"/>
    </row>
    <row r="209" ht="14.25" customHeight="1">
      <c r="A209" s="402"/>
      <c r="B209" s="402"/>
      <c r="C209" s="402"/>
      <c r="D209" s="402"/>
      <c r="E209" s="402"/>
      <c r="F209" s="403"/>
      <c r="G209" s="403"/>
      <c r="H209" s="402"/>
      <c r="I209" s="402"/>
      <c r="J209" s="402"/>
      <c r="K209" s="402"/>
      <c r="L209" s="402"/>
      <c r="M209" s="402"/>
      <c r="N209" s="402"/>
      <c r="O209" s="402"/>
      <c r="P209" s="402"/>
      <c r="Q209" s="402"/>
      <c r="R209" s="402"/>
      <c r="S209" s="402"/>
      <c r="T209" s="402"/>
      <c r="U209" s="402"/>
      <c r="V209" s="402"/>
      <c r="W209" s="402"/>
      <c r="X209" s="402"/>
      <c r="Y209" s="402"/>
      <c r="Z209" s="402"/>
    </row>
    <row r="210" ht="14.25" customHeight="1">
      <c r="A210" s="402"/>
      <c r="B210" s="402"/>
      <c r="C210" s="402"/>
      <c r="D210" s="402"/>
      <c r="E210" s="402"/>
      <c r="F210" s="403"/>
      <c r="G210" s="403"/>
      <c r="H210" s="402"/>
      <c r="I210" s="402"/>
      <c r="J210" s="402"/>
      <c r="K210" s="402"/>
      <c r="L210" s="402"/>
      <c r="M210" s="402"/>
      <c r="N210" s="402"/>
      <c r="O210" s="402"/>
      <c r="P210" s="402"/>
      <c r="Q210" s="402"/>
      <c r="R210" s="402"/>
      <c r="S210" s="402"/>
      <c r="T210" s="402"/>
      <c r="U210" s="402"/>
      <c r="V210" s="402"/>
      <c r="W210" s="402"/>
      <c r="X210" s="402"/>
      <c r="Y210" s="402"/>
      <c r="Z210" s="402"/>
    </row>
    <row r="211" ht="14.25" customHeight="1">
      <c r="A211" s="402"/>
      <c r="B211" s="402"/>
      <c r="C211" s="402"/>
      <c r="D211" s="402"/>
      <c r="E211" s="402"/>
      <c r="F211" s="403"/>
      <c r="G211" s="403"/>
      <c r="H211" s="402"/>
      <c r="I211" s="402"/>
      <c r="J211" s="402"/>
      <c r="K211" s="402"/>
      <c r="L211" s="402"/>
      <c r="M211" s="402"/>
      <c r="N211" s="402"/>
      <c r="O211" s="402"/>
      <c r="P211" s="402"/>
      <c r="Q211" s="402"/>
      <c r="R211" s="402"/>
      <c r="S211" s="402"/>
      <c r="T211" s="402"/>
      <c r="U211" s="402"/>
      <c r="V211" s="402"/>
      <c r="W211" s="402"/>
      <c r="X211" s="402"/>
      <c r="Y211" s="402"/>
      <c r="Z211" s="402"/>
    </row>
    <row r="212" ht="14.25" customHeight="1">
      <c r="A212" s="402"/>
      <c r="B212" s="402"/>
      <c r="C212" s="402"/>
      <c r="D212" s="402"/>
      <c r="E212" s="402"/>
      <c r="F212" s="403"/>
      <c r="G212" s="403"/>
      <c r="H212" s="402"/>
      <c r="I212" s="402"/>
      <c r="J212" s="402"/>
      <c r="K212" s="402"/>
      <c r="L212" s="402"/>
      <c r="M212" s="402"/>
      <c r="N212" s="402"/>
      <c r="O212" s="402"/>
      <c r="P212" s="402"/>
      <c r="Q212" s="402"/>
      <c r="R212" s="402"/>
      <c r="S212" s="402"/>
      <c r="T212" s="402"/>
      <c r="U212" s="402"/>
      <c r="V212" s="402"/>
      <c r="W212" s="402"/>
      <c r="X212" s="402"/>
      <c r="Y212" s="402"/>
      <c r="Z212" s="402"/>
    </row>
    <row r="213" ht="14.25" customHeight="1">
      <c r="A213" s="402"/>
      <c r="B213" s="402"/>
      <c r="C213" s="402"/>
      <c r="D213" s="402"/>
      <c r="E213" s="402"/>
      <c r="F213" s="403"/>
      <c r="G213" s="403"/>
      <c r="H213" s="402"/>
      <c r="I213" s="402"/>
      <c r="J213" s="402"/>
      <c r="K213" s="402"/>
      <c r="L213" s="402"/>
      <c r="M213" s="402"/>
      <c r="N213" s="402"/>
      <c r="O213" s="402"/>
      <c r="P213" s="402"/>
      <c r="Q213" s="402"/>
      <c r="R213" s="402"/>
      <c r="S213" s="402"/>
      <c r="T213" s="402"/>
      <c r="U213" s="402"/>
      <c r="V213" s="402"/>
      <c r="W213" s="402"/>
      <c r="X213" s="402"/>
      <c r="Y213" s="402"/>
      <c r="Z213" s="402"/>
    </row>
    <row r="214" ht="14.25" customHeight="1">
      <c r="A214" s="402"/>
      <c r="B214" s="402"/>
      <c r="C214" s="402"/>
      <c r="D214" s="402"/>
      <c r="E214" s="402"/>
      <c r="F214" s="403"/>
      <c r="G214" s="403"/>
      <c r="H214" s="402"/>
      <c r="I214" s="402"/>
      <c r="J214" s="402"/>
      <c r="K214" s="402"/>
      <c r="L214" s="402"/>
      <c r="M214" s="402"/>
      <c r="N214" s="402"/>
      <c r="O214" s="402"/>
      <c r="P214" s="402"/>
      <c r="Q214" s="402"/>
      <c r="R214" s="402"/>
      <c r="S214" s="402"/>
      <c r="T214" s="402"/>
      <c r="U214" s="402"/>
      <c r="V214" s="402"/>
      <c r="W214" s="402"/>
      <c r="X214" s="402"/>
      <c r="Y214" s="402"/>
      <c r="Z214" s="402"/>
    </row>
    <row r="215" ht="14.25" customHeight="1">
      <c r="A215" s="402"/>
      <c r="B215" s="402"/>
      <c r="C215" s="402"/>
      <c r="D215" s="402"/>
      <c r="E215" s="402"/>
      <c r="F215" s="403"/>
      <c r="G215" s="403"/>
      <c r="H215" s="402"/>
      <c r="I215" s="402"/>
      <c r="J215" s="402"/>
      <c r="K215" s="402"/>
      <c r="L215" s="402"/>
      <c r="M215" s="402"/>
      <c r="N215" s="402"/>
      <c r="O215" s="402"/>
      <c r="P215" s="402"/>
      <c r="Q215" s="402"/>
      <c r="R215" s="402"/>
      <c r="S215" s="402"/>
      <c r="T215" s="402"/>
      <c r="U215" s="402"/>
      <c r="V215" s="402"/>
      <c r="W215" s="402"/>
      <c r="X215" s="402"/>
      <c r="Y215" s="402"/>
      <c r="Z215" s="402"/>
    </row>
    <row r="216" ht="14.25" customHeight="1">
      <c r="A216" s="402"/>
      <c r="B216" s="402"/>
      <c r="C216" s="402"/>
      <c r="D216" s="402"/>
      <c r="E216" s="402"/>
      <c r="F216" s="403"/>
      <c r="G216" s="403"/>
      <c r="H216" s="402"/>
      <c r="I216" s="402"/>
      <c r="J216" s="402"/>
      <c r="K216" s="402"/>
      <c r="L216" s="402"/>
      <c r="M216" s="402"/>
      <c r="N216" s="402"/>
      <c r="O216" s="402"/>
      <c r="P216" s="402"/>
      <c r="Q216" s="402"/>
      <c r="R216" s="402"/>
      <c r="S216" s="402"/>
      <c r="T216" s="402"/>
      <c r="U216" s="402"/>
      <c r="V216" s="402"/>
      <c r="W216" s="402"/>
      <c r="X216" s="402"/>
      <c r="Y216" s="402"/>
      <c r="Z216" s="402"/>
    </row>
    <row r="217" ht="14.25" customHeight="1">
      <c r="A217" s="402"/>
      <c r="B217" s="402"/>
      <c r="C217" s="402"/>
      <c r="D217" s="402"/>
      <c r="E217" s="402"/>
      <c r="F217" s="403"/>
      <c r="G217" s="403"/>
      <c r="H217" s="402"/>
      <c r="I217" s="402"/>
      <c r="J217" s="402"/>
      <c r="K217" s="402"/>
      <c r="L217" s="402"/>
      <c r="M217" s="402"/>
      <c r="N217" s="402"/>
      <c r="O217" s="402"/>
      <c r="P217" s="402"/>
      <c r="Q217" s="402"/>
      <c r="R217" s="402"/>
      <c r="S217" s="402"/>
      <c r="T217" s="402"/>
      <c r="U217" s="402"/>
      <c r="V217" s="402"/>
      <c r="W217" s="402"/>
      <c r="X217" s="402"/>
      <c r="Y217" s="402"/>
      <c r="Z217" s="402"/>
    </row>
    <row r="218" ht="14.25" customHeight="1">
      <c r="A218" s="402"/>
      <c r="B218" s="402"/>
      <c r="C218" s="402"/>
      <c r="D218" s="402"/>
      <c r="E218" s="402"/>
      <c r="F218" s="403"/>
      <c r="G218" s="403"/>
      <c r="H218" s="402"/>
      <c r="I218" s="402"/>
      <c r="J218" s="402"/>
      <c r="K218" s="402"/>
      <c r="L218" s="402"/>
      <c r="M218" s="402"/>
      <c r="N218" s="402"/>
      <c r="O218" s="402"/>
      <c r="P218" s="402"/>
      <c r="Q218" s="402"/>
      <c r="R218" s="402"/>
      <c r="S218" s="402"/>
      <c r="T218" s="402"/>
      <c r="U218" s="402"/>
      <c r="V218" s="402"/>
      <c r="W218" s="402"/>
      <c r="X218" s="402"/>
      <c r="Y218" s="402"/>
      <c r="Z218" s="402"/>
    </row>
    <row r="219" ht="14.25" customHeight="1">
      <c r="A219" s="402"/>
      <c r="B219" s="402"/>
      <c r="C219" s="402"/>
      <c r="D219" s="402"/>
      <c r="E219" s="402"/>
      <c r="F219" s="403"/>
      <c r="G219" s="403"/>
      <c r="H219" s="402"/>
      <c r="I219" s="402"/>
      <c r="J219" s="402"/>
      <c r="K219" s="402"/>
      <c r="L219" s="402"/>
      <c r="M219" s="402"/>
      <c r="N219" s="402"/>
      <c r="O219" s="402"/>
      <c r="P219" s="402"/>
      <c r="Q219" s="402"/>
      <c r="R219" s="402"/>
      <c r="S219" s="402"/>
      <c r="T219" s="402"/>
      <c r="U219" s="402"/>
      <c r="V219" s="402"/>
      <c r="W219" s="402"/>
      <c r="X219" s="402"/>
      <c r="Y219" s="402"/>
      <c r="Z219" s="402"/>
    </row>
    <row r="220" ht="14.25" customHeight="1">
      <c r="A220" s="402"/>
      <c r="B220" s="402"/>
      <c r="C220" s="402"/>
      <c r="D220" s="402"/>
      <c r="E220" s="402"/>
      <c r="F220" s="403"/>
      <c r="G220" s="403"/>
      <c r="H220" s="402"/>
      <c r="I220" s="402"/>
      <c r="J220" s="402"/>
      <c r="K220" s="402"/>
      <c r="L220" s="402"/>
      <c r="M220" s="402"/>
      <c r="N220" s="402"/>
      <c r="O220" s="402"/>
      <c r="P220" s="402"/>
      <c r="Q220" s="402"/>
      <c r="R220" s="402"/>
      <c r="S220" s="402"/>
      <c r="T220" s="402"/>
      <c r="U220" s="402"/>
      <c r="V220" s="402"/>
      <c r="W220" s="402"/>
      <c r="X220" s="402"/>
      <c r="Y220" s="402"/>
      <c r="Z220" s="402"/>
    </row>
    <row r="221" ht="14.25" customHeight="1">
      <c r="A221" s="402"/>
      <c r="B221" s="402"/>
      <c r="C221" s="402"/>
      <c r="D221" s="402"/>
      <c r="E221" s="402"/>
      <c r="F221" s="403"/>
      <c r="G221" s="403"/>
      <c r="H221" s="402"/>
      <c r="I221" s="402"/>
      <c r="J221" s="402"/>
      <c r="K221" s="402"/>
      <c r="L221" s="402"/>
      <c r="M221" s="402"/>
      <c r="N221" s="402"/>
      <c r="O221" s="402"/>
      <c r="P221" s="402"/>
      <c r="Q221" s="402"/>
      <c r="R221" s="402"/>
      <c r="S221" s="402"/>
      <c r="T221" s="402"/>
      <c r="U221" s="402"/>
      <c r="V221" s="402"/>
      <c r="W221" s="402"/>
      <c r="X221" s="402"/>
      <c r="Y221" s="402"/>
      <c r="Z221" s="402"/>
    </row>
    <row r="222" ht="14.25" customHeight="1">
      <c r="A222" s="402"/>
      <c r="B222" s="402"/>
      <c r="C222" s="402"/>
      <c r="D222" s="402"/>
      <c r="E222" s="402"/>
      <c r="F222" s="403"/>
      <c r="G222" s="403"/>
      <c r="H222" s="402"/>
      <c r="I222" s="402"/>
      <c r="J222" s="402"/>
      <c r="K222" s="402"/>
      <c r="L222" s="402"/>
      <c r="M222" s="402"/>
      <c r="N222" s="402"/>
      <c r="O222" s="402"/>
      <c r="P222" s="402"/>
      <c r="Q222" s="402"/>
      <c r="R222" s="402"/>
      <c r="S222" s="402"/>
      <c r="T222" s="402"/>
      <c r="U222" s="402"/>
      <c r="V222" s="402"/>
      <c r="W222" s="402"/>
      <c r="X222" s="402"/>
      <c r="Y222" s="402"/>
      <c r="Z222" s="402"/>
    </row>
    <row r="223" ht="14.25" customHeight="1">
      <c r="A223" s="402"/>
      <c r="B223" s="402"/>
      <c r="C223" s="402"/>
      <c r="D223" s="402"/>
      <c r="E223" s="402"/>
      <c r="F223" s="403"/>
      <c r="G223" s="403"/>
      <c r="H223" s="402"/>
      <c r="I223" s="402"/>
      <c r="J223" s="402"/>
      <c r="K223" s="402"/>
      <c r="L223" s="402"/>
      <c r="M223" s="402"/>
      <c r="N223" s="402"/>
      <c r="O223" s="402"/>
      <c r="P223" s="402"/>
      <c r="Q223" s="402"/>
      <c r="R223" s="402"/>
      <c r="S223" s="402"/>
      <c r="T223" s="402"/>
      <c r="U223" s="402"/>
      <c r="V223" s="402"/>
      <c r="W223" s="402"/>
      <c r="X223" s="402"/>
      <c r="Y223" s="402"/>
      <c r="Z223" s="402"/>
    </row>
    <row r="224" ht="14.25" customHeight="1">
      <c r="A224" s="402"/>
      <c r="B224" s="402"/>
      <c r="C224" s="402"/>
      <c r="D224" s="402"/>
      <c r="E224" s="402"/>
      <c r="F224" s="403"/>
      <c r="G224" s="403"/>
      <c r="H224" s="402"/>
      <c r="I224" s="402"/>
      <c r="J224" s="402"/>
      <c r="K224" s="402"/>
      <c r="L224" s="402"/>
      <c r="M224" s="402"/>
      <c r="N224" s="402"/>
      <c r="O224" s="402"/>
      <c r="P224" s="402"/>
      <c r="Q224" s="402"/>
      <c r="R224" s="402"/>
      <c r="S224" s="402"/>
      <c r="T224" s="402"/>
      <c r="U224" s="402"/>
      <c r="V224" s="402"/>
      <c r="W224" s="402"/>
      <c r="X224" s="402"/>
      <c r="Y224" s="402"/>
      <c r="Z224" s="402"/>
    </row>
    <row r="225" ht="14.25" customHeight="1">
      <c r="A225" s="402"/>
      <c r="B225" s="402"/>
      <c r="C225" s="402"/>
      <c r="D225" s="402"/>
      <c r="E225" s="402"/>
      <c r="F225" s="403"/>
      <c r="G225" s="403"/>
      <c r="H225" s="402"/>
      <c r="I225" s="402"/>
      <c r="J225" s="402"/>
      <c r="K225" s="402"/>
      <c r="L225" s="402"/>
      <c r="M225" s="402"/>
      <c r="N225" s="402"/>
      <c r="O225" s="402"/>
      <c r="P225" s="402"/>
      <c r="Q225" s="402"/>
      <c r="R225" s="402"/>
      <c r="S225" s="402"/>
      <c r="T225" s="402"/>
      <c r="U225" s="402"/>
      <c r="V225" s="402"/>
      <c r="W225" s="402"/>
      <c r="X225" s="402"/>
      <c r="Y225" s="402"/>
      <c r="Z225" s="402"/>
    </row>
    <row r="226" ht="14.25" customHeight="1">
      <c r="A226" s="402"/>
      <c r="B226" s="402"/>
      <c r="C226" s="402"/>
      <c r="D226" s="402"/>
      <c r="E226" s="402"/>
      <c r="F226" s="403"/>
      <c r="G226" s="403"/>
      <c r="H226" s="402"/>
      <c r="I226" s="402"/>
      <c r="J226" s="402"/>
      <c r="K226" s="402"/>
      <c r="L226" s="402"/>
      <c r="M226" s="402"/>
      <c r="N226" s="402"/>
      <c r="O226" s="402"/>
      <c r="P226" s="402"/>
      <c r="Q226" s="402"/>
      <c r="R226" s="402"/>
      <c r="S226" s="402"/>
      <c r="T226" s="402"/>
      <c r="U226" s="402"/>
      <c r="V226" s="402"/>
      <c r="W226" s="402"/>
      <c r="X226" s="402"/>
      <c r="Y226" s="402"/>
      <c r="Z226" s="402"/>
    </row>
    <row r="227" ht="14.25" customHeight="1">
      <c r="A227" s="402"/>
      <c r="B227" s="402"/>
      <c r="C227" s="402"/>
      <c r="D227" s="402"/>
      <c r="E227" s="402"/>
      <c r="F227" s="403"/>
      <c r="G227" s="403"/>
      <c r="H227" s="402"/>
      <c r="I227" s="402"/>
      <c r="J227" s="402"/>
      <c r="K227" s="402"/>
      <c r="L227" s="402"/>
      <c r="M227" s="402"/>
      <c r="N227" s="402"/>
      <c r="O227" s="402"/>
      <c r="P227" s="402"/>
      <c r="Q227" s="402"/>
      <c r="R227" s="402"/>
      <c r="S227" s="402"/>
      <c r="T227" s="402"/>
      <c r="U227" s="402"/>
      <c r="V227" s="402"/>
      <c r="W227" s="402"/>
      <c r="X227" s="402"/>
      <c r="Y227" s="402"/>
      <c r="Z227" s="402"/>
    </row>
    <row r="228" ht="14.25" customHeight="1">
      <c r="A228" s="402"/>
      <c r="B228" s="402"/>
      <c r="C228" s="402"/>
      <c r="D228" s="402"/>
      <c r="E228" s="402"/>
      <c r="F228" s="403"/>
      <c r="G228" s="403"/>
      <c r="H228" s="402"/>
      <c r="I228" s="402"/>
      <c r="J228" s="402"/>
      <c r="K228" s="402"/>
      <c r="L228" s="402"/>
      <c r="M228" s="402"/>
      <c r="N228" s="402"/>
      <c r="O228" s="402"/>
      <c r="P228" s="402"/>
      <c r="Q228" s="402"/>
      <c r="R228" s="402"/>
      <c r="S228" s="402"/>
      <c r="T228" s="402"/>
      <c r="U228" s="402"/>
      <c r="V228" s="402"/>
      <c r="W228" s="402"/>
      <c r="X228" s="402"/>
      <c r="Y228" s="402"/>
      <c r="Z228" s="402"/>
    </row>
    <row r="229" ht="14.25" customHeight="1">
      <c r="A229" s="402"/>
      <c r="B229" s="402"/>
      <c r="C229" s="402"/>
      <c r="D229" s="402"/>
      <c r="E229" s="402"/>
      <c r="F229" s="403"/>
      <c r="G229" s="403"/>
      <c r="H229" s="402"/>
      <c r="I229" s="402"/>
      <c r="J229" s="402"/>
      <c r="K229" s="402"/>
      <c r="L229" s="402"/>
      <c r="M229" s="402"/>
      <c r="N229" s="402"/>
      <c r="O229" s="402"/>
      <c r="P229" s="402"/>
      <c r="Q229" s="402"/>
      <c r="R229" s="402"/>
      <c r="S229" s="402"/>
      <c r="T229" s="402"/>
      <c r="U229" s="402"/>
      <c r="V229" s="402"/>
      <c r="W229" s="402"/>
      <c r="X229" s="402"/>
      <c r="Y229" s="402"/>
      <c r="Z229" s="402"/>
    </row>
    <row r="230" ht="14.25" customHeight="1">
      <c r="A230" s="402"/>
      <c r="B230" s="402"/>
      <c r="C230" s="402"/>
      <c r="D230" s="402"/>
      <c r="E230" s="402"/>
      <c r="F230" s="403"/>
      <c r="G230" s="403"/>
      <c r="H230" s="402"/>
      <c r="I230" s="402"/>
      <c r="J230" s="402"/>
      <c r="K230" s="402"/>
      <c r="L230" s="402"/>
      <c r="M230" s="402"/>
      <c r="N230" s="402"/>
      <c r="O230" s="402"/>
      <c r="P230" s="402"/>
      <c r="Q230" s="402"/>
      <c r="R230" s="402"/>
      <c r="S230" s="402"/>
      <c r="T230" s="402"/>
      <c r="U230" s="402"/>
      <c r="V230" s="402"/>
      <c r="W230" s="402"/>
      <c r="X230" s="402"/>
      <c r="Y230" s="402"/>
      <c r="Z230" s="402"/>
    </row>
    <row r="231" ht="14.25" customHeight="1">
      <c r="A231" s="402"/>
      <c r="B231" s="402"/>
      <c r="C231" s="402"/>
      <c r="D231" s="402"/>
      <c r="E231" s="402"/>
      <c r="F231" s="403"/>
      <c r="G231" s="403"/>
      <c r="H231" s="402"/>
      <c r="I231" s="402"/>
      <c r="J231" s="402"/>
      <c r="K231" s="402"/>
      <c r="L231" s="402"/>
      <c r="M231" s="402"/>
      <c r="N231" s="402"/>
      <c r="O231" s="402"/>
      <c r="P231" s="402"/>
      <c r="Q231" s="402"/>
      <c r="R231" s="402"/>
      <c r="S231" s="402"/>
      <c r="T231" s="402"/>
      <c r="U231" s="402"/>
      <c r="V231" s="402"/>
      <c r="W231" s="402"/>
      <c r="X231" s="402"/>
      <c r="Y231" s="402"/>
      <c r="Z231" s="402"/>
    </row>
    <row r="232" ht="14.25" customHeight="1">
      <c r="A232" s="402"/>
      <c r="B232" s="402"/>
      <c r="C232" s="402"/>
      <c r="D232" s="402"/>
      <c r="E232" s="402"/>
      <c r="F232" s="403"/>
      <c r="G232" s="403"/>
      <c r="H232" s="402"/>
      <c r="I232" s="402"/>
      <c r="J232" s="402"/>
      <c r="K232" s="402"/>
      <c r="L232" s="402"/>
      <c r="M232" s="402"/>
      <c r="N232" s="402"/>
      <c r="O232" s="402"/>
      <c r="P232" s="402"/>
      <c r="Q232" s="402"/>
      <c r="R232" s="402"/>
      <c r="S232" s="402"/>
      <c r="T232" s="402"/>
      <c r="U232" s="402"/>
      <c r="V232" s="402"/>
      <c r="W232" s="402"/>
      <c r="X232" s="402"/>
      <c r="Y232" s="402"/>
      <c r="Z232" s="402"/>
    </row>
    <row r="233" ht="14.25" customHeight="1">
      <c r="A233" s="402"/>
      <c r="B233" s="402"/>
      <c r="C233" s="402"/>
      <c r="D233" s="402"/>
      <c r="E233" s="402"/>
      <c r="F233" s="403"/>
      <c r="G233" s="403"/>
      <c r="H233" s="402"/>
      <c r="I233" s="402"/>
      <c r="J233" s="402"/>
      <c r="K233" s="402"/>
      <c r="L233" s="402"/>
      <c r="M233" s="402"/>
      <c r="N233" s="402"/>
      <c r="O233" s="402"/>
      <c r="P233" s="402"/>
      <c r="Q233" s="402"/>
      <c r="R233" s="402"/>
      <c r="S233" s="402"/>
      <c r="T233" s="402"/>
      <c r="U233" s="402"/>
      <c r="V233" s="402"/>
      <c r="W233" s="402"/>
      <c r="X233" s="402"/>
      <c r="Y233" s="402"/>
      <c r="Z233" s="402"/>
    </row>
    <row r="234" ht="14.25" customHeight="1">
      <c r="A234" s="402"/>
      <c r="B234" s="402"/>
      <c r="C234" s="402"/>
      <c r="D234" s="402"/>
      <c r="E234" s="402"/>
      <c r="F234" s="403"/>
      <c r="G234" s="403"/>
      <c r="H234" s="402"/>
      <c r="I234" s="402"/>
      <c r="J234" s="402"/>
      <c r="K234" s="402"/>
      <c r="L234" s="402"/>
      <c r="M234" s="402"/>
      <c r="N234" s="402"/>
      <c r="O234" s="402"/>
      <c r="P234" s="402"/>
      <c r="Q234" s="402"/>
      <c r="R234" s="402"/>
      <c r="S234" s="402"/>
      <c r="T234" s="402"/>
      <c r="U234" s="402"/>
      <c r="V234" s="402"/>
      <c r="W234" s="402"/>
      <c r="X234" s="402"/>
      <c r="Y234" s="402"/>
      <c r="Z234" s="402"/>
    </row>
    <row r="235" ht="14.25" customHeight="1">
      <c r="A235" s="402"/>
      <c r="B235" s="402"/>
      <c r="C235" s="402"/>
      <c r="D235" s="402"/>
      <c r="E235" s="402"/>
      <c r="F235" s="403"/>
      <c r="G235" s="403"/>
      <c r="H235" s="402"/>
      <c r="I235" s="402"/>
      <c r="J235" s="402"/>
      <c r="K235" s="402"/>
      <c r="L235" s="402"/>
      <c r="M235" s="402"/>
      <c r="N235" s="402"/>
      <c r="O235" s="402"/>
      <c r="P235" s="402"/>
      <c r="Q235" s="402"/>
      <c r="R235" s="402"/>
      <c r="S235" s="402"/>
      <c r="T235" s="402"/>
      <c r="U235" s="402"/>
      <c r="V235" s="402"/>
      <c r="W235" s="402"/>
      <c r="X235" s="402"/>
      <c r="Y235" s="402"/>
      <c r="Z235" s="402"/>
    </row>
    <row r="236" ht="14.25" customHeight="1">
      <c r="A236" s="402"/>
      <c r="B236" s="402"/>
      <c r="C236" s="402"/>
      <c r="D236" s="402"/>
      <c r="E236" s="402"/>
      <c r="F236" s="403"/>
      <c r="G236" s="403"/>
      <c r="H236" s="402"/>
      <c r="I236" s="402"/>
      <c r="J236" s="402"/>
      <c r="K236" s="402"/>
      <c r="L236" s="402"/>
      <c r="M236" s="402"/>
      <c r="N236" s="402"/>
      <c r="O236" s="402"/>
      <c r="P236" s="402"/>
      <c r="Q236" s="402"/>
      <c r="R236" s="402"/>
      <c r="S236" s="402"/>
      <c r="T236" s="402"/>
      <c r="U236" s="402"/>
      <c r="V236" s="402"/>
      <c r="W236" s="402"/>
      <c r="X236" s="402"/>
      <c r="Y236" s="402"/>
      <c r="Z236" s="402"/>
    </row>
    <row r="237" ht="14.25" customHeight="1">
      <c r="A237" s="402"/>
      <c r="B237" s="402"/>
      <c r="C237" s="402"/>
      <c r="D237" s="402"/>
      <c r="E237" s="402"/>
      <c r="F237" s="403"/>
      <c r="G237" s="403"/>
      <c r="H237" s="402"/>
      <c r="I237" s="402"/>
      <c r="J237" s="402"/>
      <c r="K237" s="402"/>
      <c r="L237" s="402"/>
      <c r="M237" s="402"/>
      <c r="N237" s="402"/>
      <c r="O237" s="402"/>
      <c r="P237" s="402"/>
      <c r="Q237" s="402"/>
      <c r="R237" s="402"/>
      <c r="S237" s="402"/>
      <c r="T237" s="402"/>
      <c r="U237" s="402"/>
      <c r="V237" s="402"/>
      <c r="W237" s="402"/>
      <c r="X237" s="402"/>
      <c r="Y237" s="402"/>
      <c r="Z237" s="402"/>
    </row>
    <row r="238" ht="14.25" customHeight="1">
      <c r="A238" s="402"/>
      <c r="B238" s="402"/>
      <c r="C238" s="402"/>
      <c r="D238" s="402"/>
      <c r="E238" s="402"/>
      <c r="F238" s="403"/>
      <c r="G238" s="403"/>
      <c r="H238" s="402"/>
      <c r="I238" s="402"/>
      <c r="J238" s="402"/>
      <c r="K238" s="402"/>
      <c r="L238" s="402"/>
      <c r="M238" s="402"/>
      <c r="N238" s="402"/>
      <c r="O238" s="402"/>
      <c r="P238" s="402"/>
      <c r="Q238" s="402"/>
      <c r="R238" s="402"/>
      <c r="S238" s="402"/>
      <c r="T238" s="402"/>
      <c r="U238" s="402"/>
      <c r="V238" s="402"/>
      <c r="W238" s="402"/>
      <c r="X238" s="402"/>
      <c r="Y238" s="402"/>
      <c r="Z238" s="402"/>
    </row>
    <row r="239" ht="14.25" customHeight="1">
      <c r="A239" s="402"/>
      <c r="B239" s="402"/>
      <c r="C239" s="402"/>
      <c r="D239" s="402"/>
      <c r="E239" s="402"/>
      <c r="F239" s="403"/>
      <c r="G239" s="403"/>
      <c r="H239" s="402"/>
      <c r="I239" s="402"/>
      <c r="J239" s="402"/>
      <c r="K239" s="402"/>
      <c r="L239" s="402"/>
      <c r="M239" s="402"/>
      <c r="N239" s="402"/>
      <c r="O239" s="402"/>
      <c r="P239" s="402"/>
      <c r="Q239" s="402"/>
      <c r="R239" s="402"/>
      <c r="S239" s="402"/>
      <c r="T239" s="402"/>
      <c r="U239" s="402"/>
      <c r="V239" s="402"/>
      <c r="W239" s="402"/>
      <c r="X239" s="402"/>
      <c r="Y239" s="402"/>
      <c r="Z239" s="402"/>
    </row>
    <row r="240" ht="14.25" customHeight="1">
      <c r="A240" s="402"/>
      <c r="B240" s="402"/>
      <c r="C240" s="402"/>
      <c r="D240" s="402"/>
      <c r="E240" s="402"/>
      <c r="F240" s="403"/>
      <c r="G240" s="403"/>
      <c r="H240" s="402"/>
      <c r="I240" s="402"/>
      <c r="J240" s="402"/>
      <c r="K240" s="402"/>
      <c r="L240" s="402"/>
      <c r="M240" s="402"/>
      <c r="N240" s="402"/>
      <c r="O240" s="402"/>
      <c r="P240" s="402"/>
      <c r="Q240" s="402"/>
      <c r="R240" s="402"/>
      <c r="S240" s="402"/>
      <c r="T240" s="402"/>
      <c r="U240" s="402"/>
      <c r="V240" s="402"/>
      <c r="W240" s="402"/>
      <c r="X240" s="402"/>
      <c r="Y240" s="402"/>
      <c r="Z240" s="402"/>
    </row>
    <row r="241" ht="14.25" customHeight="1">
      <c r="A241" s="402"/>
      <c r="B241" s="402"/>
      <c r="C241" s="402"/>
      <c r="D241" s="402"/>
      <c r="E241" s="402"/>
      <c r="F241" s="403"/>
      <c r="G241" s="403"/>
      <c r="H241" s="402"/>
      <c r="I241" s="402"/>
      <c r="J241" s="402"/>
      <c r="K241" s="402"/>
      <c r="L241" s="402"/>
      <c r="M241" s="402"/>
      <c r="N241" s="402"/>
      <c r="O241" s="402"/>
      <c r="P241" s="402"/>
      <c r="Q241" s="402"/>
      <c r="R241" s="402"/>
      <c r="S241" s="402"/>
      <c r="T241" s="402"/>
      <c r="U241" s="402"/>
      <c r="V241" s="402"/>
      <c r="W241" s="402"/>
      <c r="X241" s="402"/>
      <c r="Y241" s="402"/>
      <c r="Z241" s="402"/>
    </row>
    <row r="242" ht="14.25" customHeight="1">
      <c r="A242" s="402"/>
      <c r="B242" s="402"/>
      <c r="C242" s="402"/>
      <c r="D242" s="402"/>
      <c r="E242" s="402"/>
      <c r="F242" s="403"/>
      <c r="G242" s="403"/>
      <c r="H242" s="402"/>
      <c r="I242" s="402"/>
      <c r="J242" s="402"/>
      <c r="K242" s="402"/>
      <c r="L242" s="402"/>
      <c r="M242" s="402"/>
      <c r="N242" s="402"/>
      <c r="O242" s="402"/>
      <c r="P242" s="402"/>
      <c r="Q242" s="402"/>
      <c r="R242" s="402"/>
      <c r="S242" s="402"/>
      <c r="T242" s="402"/>
      <c r="U242" s="402"/>
      <c r="V242" s="402"/>
      <c r="W242" s="402"/>
      <c r="X242" s="402"/>
      <c r="Y242" s="402"/>
      <c r="Z242" s="402"/>
    </row>
    <row r="243" ht="14.25" customHeight="1">
      <c r="A243" s="402"/>
      <c r="B243" s="402"/>
      <c r="C243" s="402"/>
      <c r="D243" s="402"/>
      <c r="E243" s="402"/>
      <c r="F243" s="403"/>
      <c r="G243" s="403"/>
      <c r="H243" s="402"/>
      <c r="I243" s="402"/>
      <c r="J243" s="402"/>
      <c r="K243" s="402"/>
      <c r="L243" s="402"/>
      <c r="M243" s="402"/>
      <c r="N243" s="402"/>
      <c r="O243" s="402"/>
      <c r="P243" s="402"/>
      <c r="Q243" s="402"/>
      <c r="R243" s="402"/>
      <c r="S243" s="402"/>
      <c r="T243" s="402"/>
      <c r="U243" s="402"/>
      <c r="V243" s="402"/>
      <c r="W243" s="402"/>
      <c r="X243" s="402"/>
      <c r="Y243" s="402"/>
      <c r="Z243" s="402"/>
    </row>
    <row r="244" ht="14.25" customHeight="1">
      <c r="A244" s="402"/>
      <c r="B244" s="402"/>
      <c r="C244" s="402"/>
      <c r="D244" s="402"/>
      <c r="E244" s="402"/>
      <c r="F244" s="403"/>
      <c r="G244" s="403"/>
      <c r="H244" s="402"/>
      <c r="I244" s="402"/>
      <c r="J244" s="402"/>
      <c r="K244" s="402"/>
      <c r="L244" s="402"/>
      <c r="M244" s="402"/>
      <c r="N244" s="402"/>
      <c r="O244" s="402"/>
      <c r="P244" s="402"/>
      <c r="Q244" s="402"/>
      <c r="R244" s="402"/>
      <c r="S244" s="402"/>
      <c r="T244" s="402"/>
      <c r="U244" s="402"/>
      <c r="V244" s="402"/>
      <c r="W244" s="402"/>
      <c r="X244" s="402"/>
      <c r="Y244" s="402"/>
      <c r="Z244" s="402"/>
    </row>
    <row r="245" ht="14.25" customHeight="1">
      <c r="A245" s="402"/>
      <c r="B245" s="402"/>
      <c r="C245" s="402"/>
      <c r="D245" s="402"/>
      <c r="E245" s="402"/>
      <c r="F245" s="403"/>
      <c r="G245" s="403"/>
      <c r="H245" s="402"/>
      <c r="I245" s="402"/>
      <c r="J245" s="402"/>
      <c r="K245" s="402"/>
      <c r="L245" s="402"/>
      <c r="M245" s="402"/>
      <c r="N245" s="402"/>
      <c r="O245" s="402"/>
      <c r="P245" s="402"/>
      <c r="Q245" s="402"/>
      <c r="R245" s="402"/>
      <c r="S245" s="402"/>
      <c r="T245" s="402"/>
      <c r="U245" s="402"/>
      <c r="V245" s="402"/>
      <c r="W245" s="402"/>
      <c r="X245" s="402"/>
      <c r="Y245" s="402"/>
      <c r="Z245" s="402"/>
    </row>
    <row r="246" ht="14.25" customHeight="1">
      <c r="A246" s="402"/>
      <c r="B246" s="402"/>
      <c r="C246" s="402"/>
      <c r="D246" s="402"/>
      <c r="E246" s="402"/>
      <c r="F246" s="403"/>
      <c r="G246" s="403"/>
      <c r="H246" s="402"/>
      <c r="I246" s="402"/>
      <c r="J246" s="402"/>
      <c r="K246" s="402"/>
      <c r="L246" s="402"/>
      <c r="M246" s="402"/>
      <c r="N246" s="402"/>
      <c r="O246" s="402"/>
      <c r="P246" s="402"/>
      <c r="Q246" s="402"/>
      <c r="R246" s="402"/>
      <c r="S246" s="402"/>
      <c r="T246" s="402"/>
      <c r="U246" s="402"/>
      <c r="V246" s="402"/>
      <c r="W246" s="402"/>
      <c r="X246" s="402"/>
      <c r="Y246" s="402"/>
      <c r="Z246" s="402"/>
    </row>
    <row r="247" ht="14.25" customHeight="1">
      <c r="A247" s="402"/>
      <c r="B247" s="402"/>
      <c r="C247" s="402"/>
      <c r="D247" s="402"/>
      <c r="E247" s="402"/>
      <c r="F247" s="403"/>
      <c r="G247" s="403"/>
      <c r="H247" s="402"/>
      <c r="I247" s="402"/>
      <c r="J247" s="402"/>
      <c r="K247" s="402"/>
      <c r="L247" s="402"/>
      <c r="M247" s="402"/>
      <c r="N247" s="402"/>
      <c r="O247" s="402"/>
      <c r="P247" s="402"/>
      <c r="Q247" s="402"/>
      <c r="R247" s="402"/>
      <c r="S247" s="402"/>
      <c r="T247" s="402"/>
      <c r="U247" s="402"/>
      <c r="V247" s="402"/>
      <c r="W247" s="402"/>
      <c r="X247" s="402"/>
      <c r="Y247" s="402"/>
      <c r="Z247" s="402"/>
    </row>
    <row r="248" ht="14.25" customHeight="1">
      <c r="A248" s="402"/>
      <c r="B248" s="402"/>
      <c r="C248" s="402"/>
      <c r="D248" s="402"/>
      <c r="E248" s="402"/>
      <c r="F248" s="403"/>
      <c r="G248" s="403"/>
      <c r="H248" s="402"/>
      <c r="I248" s="402"/>
      <c r="J248" s="402"/>
      <c r="K248" s="402"/>
      <c r="L248" s="402"/>
      <c r="M248" s="402"/>
      <c r="N248" s="402"/>
      <c r="O248" s="402"/>
      <c r="P248" s="402"/>
      <c r="Q248" s="402"/>
      <c r="R248" s="402"/>
      <c r="S248" s="402"/>
      <c r="T248" s="402"/>
      <c r="U248" s="402"/>
      <c r="V248" s="402"/>
      <c r="W248" s="402"/>
      <c r="X248" s="402"/>
      <c r="Y248" s="402"/>
      <c r="Z248" s="402"/>
    </row>
    <row r="249" ht="14.25" customHeight="1">
      <c r="A249" s="402"/>
      <c r="B249" s="402"/>
      <c r="C249" s="402"/>
      <c r="D249" s="402"/>
      <c r="E249" s="402"/>
      <c r="F249" s="403"/>
      <c r="G249" s="403"/>
      <c r="H249" s="402"/>
      <c r="I249" s="402"/>
      <c r="J249" s="402"/>
      <c r="K249" s="402"/>
      <c r="L249" s="402"/>
      <c r="M249" s="402"/>
      <c r="N249" s="402"/>
      <c r="O249" s="402"/>
      <c r="P249" s="402"/>
      <c r="Q249" s="402"/>
      <c r="R249" s="402"/>
      <c r="S249" s="402"/>
      <c r="T249" s="402"/>
      <c r="U249" s="402"/>
      <c r="V249" s="402"/>
      <c r="W249" s="402"/>
      <c r="X249" s="402"/>
      <c r="Y249" s="402"/>
      <c r="Z249" s="402"/>
    </row>
    <row r="250" ht="14.25" customHeight="1">
      <c r="A250" s="402"/>
      <c r="B250" s="402"/>
      <c r="C250" s="402"/>
      <c r="D250" s="402"/>
      <c r="E250" s="402"/>
      <c r="F250" s="403"/>
      <c r="G250" s="403"/>
      <c r="H250" s="402"/>
      <c r="I250" s="402"/>
      <c r="J250" s="402"/>
      <c r="K250" s="402"/>
      <c r="L250" s="402"/>
      <c r="M250" s="402"/>
      <c r="N250" s="402"/>
      <c r="O250" s="402"/>
      <c r="P250" s="402"/>
      <c r="Q250" s="402"/>
      <c r="R250" s="402"/>
      <c r="S250" s="402"/>
      <c r="T250" s="402"/>
      <c r="U250" s="402"/>
      <c r="V250" s="402"/>
      <c r="W250" s="402"/>
      <c r="X250" s="402"/>
      <c r="Y250" s="402"/>
      <c r="Z250" s="402"/>
    </row>
    <row r="251" ht="14.25" customHeight="1">
      <c r="A251" s="402"/>
      <c r="B251" s="402"/>
      <c r="C251" s="402"/>
      <c r="D251" s="402"/>
      <c r="E251" s="402"/>
      <c r="F251" s="403"/>
      <c r="G251" s="403"/>
      <c r="H251" s="402"/>
      <c r="I251" s="402"/>
      <c r="J251" s="402"/>
      <c r="K251" s="402"/>
      <c r="L251" s="402"/>
      <c r="M251" s="402"/>
      <c r="N251" s="402"/>
      <c r="O251" s="402"/>
      <c r="P251" s="402"/>
      <c r="Q251" s="402"/>
      <c r="R251" s="402"/>
      <c r="S251" s="402"/>
      <c r="T251" s="402"/>
      <c r="U251" s="402"/>
      <c r="V251" s="402"/>
      <c r="W251" s="402"/>
      <c r="X251" s="402"/>
      <c r="Y251" s="402"/>
      <c r="Z251" s="402"/>
    </row>
    <row r="252" ht="14.25" customHeight="1">
      <c r="A252" s="402"/>
      <c r="B252" s="402"/>
      <c r="C252" s="402"/>
      <c r="D252" s="402"/>
      <c r="E252" s="402"/>
      <c r="F252" s="403"/>
      <c r="G252" s="403"/>
      <c r="H252" s="402"/>
      <c r="I252" s="402"/>
      <c r="J252" s="402"/>
      <c r="K252" s="402"/>
      <c r="L252" s="402"/>
      <c r="M252" s="402"/>
      <c r="N252" s="402"/>
      <c r="O252" s="402"/>
      <c r="P252" s="402"/>
      <c r="Q252" s="402"/>
      <c r="R252" s="402"/>
      <c r="S252" s="402"/>
      <c r="T252" s="402"/>
      <c r="U252" s="402"/>
      <c r="V252" s="402"/>
      <c r="W252" s="402"/>
      <c r="X252" s="402"/>
      <c r="Y252" s="402"/>
      <c r="Z252" s="402"/>
    </row>
    <row r="253" ht="14.25" customHeight="1">
      <c r="A253" s="402"/>
      <c r="B253" s="402"/>
      <c r="C253" s="402"/>
      <c r="D253" s="402"/>
      <c r="E253" s="402"/>
      <c r="F253" s="403"/>
      <c r="G253" s="403"/>
      <c r="H253" s="402"/>
      <c r="I253" s="402"/>
      <c r="J253" s="402"/>
      <c r="K253" s="402"/>
      <c r="L253" s="402"/>
      <c r="M253" s="402"/>
      <c r="N253" s="402"/>
      <c r="O253" s="402"/>
      <c r="P253" s="402"/>
      <c r="Q253" s="402"/>
      <c r="R253" s="402"/>
      <c r="S253" s="402"/>
      <c r="T253" s="402"/>
      <c r="U253" s="402"/>
      <c r="V253" s="402"/>
      <c r="W253" s="402"/>
      <c r="X253" s="402"/>
      <c r="Y253" s="402"/>
      <c r="Z253" s="402"/>
    </row>
    <row r="254" ht="14.25" customHeight="1">
      <c r="A254" s="402"/>
      <c r="B254" s="402"/>
      <c r="C254" s="402"/>
      <c r="D254" s="402"/>
      <c r="E254" s="402"/>
      <c r="F254" s="403"/>
      <c r="G254" s="403"/>
      <c r="H254" s="402"/>
      <c r="I254" s="402"/>
      <c r="J254" s="402"/>
      <c r="K254" s="402"/>
      <c r="L254" s="402"/>
      <c r="M254" s="402"/>
      <c r="N254" s="402"/>
      <c r="O254" s="402"/>
      <c r="P254" s="402"/>
      <c r="Q254" s="402"/>
      <c r="R254" s="402"/>
      <c r="S254" s="402"/>
      <c r="T254" s="402"/>
      <c r="U254" s="402"/>
      <c r="V254" s="402"/>
      <c r="W254" s="402"/>
      <c r="X254" s="402"/>
      <c r="Y254" s="402"/>
      <c r="Z254" s="402"/>
    </row>
    <row r="255" ht="14.25" customHeight="1">
      <c r="A255" s="402"/>
      <c r="B255" s="402"/>
      <c r="C255" s="402"/>
      <c r="D255" s="402"/>
      <c r="E255" s="402"/>
      <c r="F255" s="403"/>
      <c r="G255" s="403"/>
      <c r="H255" s="402"/>
      <c r="I255" s="402"/>
      <c r="J255" s="402"/>
      <c r="K255" s="402"/>
      <c r="L255" s="402"/>
      <c r="M255" s="402"/>
      <c r="N255" s="402"/>
      <c r="O255" s="402"/>
      <c r="P255" s="402"/>
      <c r="Q255" s="402"/>
      <c r="R255" s="402"/>
      <c r="S255" s="402"/>
      <c r="T255" s="402"/>
      <c r="U255" s="402"/>
      <c r="V255" s="402"/>
      <c r="W255" s="402"/>
      <c r="X255" s="402"/>
      <c r="Y255" s="402"/>
      <c r="Z255" s="402"/>
    </row>
    <row r="256" ht="14.25" customHeight="1">
      <c r="A256" s="402"/>
      <c r="B256" s="402"/>
      <c r="C256" s="402"/>
      <c r="D256" s="402"/>
      <c r="E256" s="402"/>
      <c r="F256" s="403"/>
      <c r="G256" s="403"/>
      <c r="H256" s="402"/>
      <c r="I256" s="402"/>
      <c r="J256" s="402"/>
      <c r="K256" s="402"/>
      <c r="L256" s="402"/>
      <c r="M256" s="402"/>
      <c r="N256" s="402"/>
      <c r="O256" s="402"/>
      <c r="P256" s="402"/>
      <c r="Q256" s="402"/>
      <c r="R256" s="402"/>
      <c r="S256" s="402"/>
      <c r="T256" s="402"/>
      <c r="U256" s="402"/>
      <c r="V256" s="402"/>
      <c r="W256" s="402"/>
      <c r="X256" s="402"/>
      <c r="Y256" s="402"/>
      <c r="Z256" s="402"/>
    </row>
    <row r="257" ht="14.25" customHeight="1">
      <c r="A257" s="402"/>
      <c r="B257" s="402"/>
      <c r="C257" s="402"/>
      <c r="D257" s="402"/>
      <c r="E257" s="402"/>
      <c r="F257" s="403"/>
      <c r="G257" s="403"/>
      <c r="H257" s="402"/>
      <c r="I257" s="402"/>
      <c r="J257" s="402"/>
      <c r="K257" s="402"/>
      <c r="L257" s="402"/>
      <c r="M257" s="402"/>
      <c r="N257" s="402"/>
      <c r="O257" s="402"/>
      <c r="P257" s="402"/>
      <c r="Q257" s="402"/>
      <c r="R257" s="402"/>
      <c r="S257" s="402"/>
      <c r="T257" s="402"/>
      <c r="U257" s="402"/>
      <c r="V257" s="402"/>
      <c r="W257" s="402"/>
      <c r="X257" s="402"/>
      <c r="Y257" s="402"/>
      <c r="Z257" s="402"/>
    </row>
    <row r="258" ht="14.25" customHeight="1">
      <c r="A258" s="402"/>
      <c r="B258" s="402"/>
      <c r="C258" s="402"/>
      <c r="D258" s="402"/>
      <c r="E258" s="402"/>
      <c r="F258" s="403"/>
      <c r="G258" s="403"/>
      <c r="H258" s="402"/>
      <c r="I258" s="402"/>
      <c r="J258" s="402"/>
      <c r="K258" s="402"/>
      <c r="L258" s="402"/>
      <c r="M258" s="402"/>
      <c r="N258" s="402"/>
      <c r="O258" s="402"/>
      <c r="P258" s="402"/>
      <c r="Q258" s="402"/>
      <c r="R258" s="402"/>
      <c r="S258" s="402"/>
      <c r="T258" s="402"/>
      <c r="U258" s="402"/>
      <c r="V258" s="402"/>
      <c r="W258" s="402"/>
      <c r="X258" s="402"/>
      <c r="Y258" s="402"/>
      <c r="Z258" s="402"/>
    </row>
    <row r="259" ht="14.25" customHeight="1">
      <c r="A259" s="402"/>
      <c r="B259" s="402"/>
      <c r="C259" s="402"/>
      <c r="D259" s="402"/>
      <c r="E259" s="402"/>
      <c r="F259" s="403"/>
      <c r="G259" s="403"/>
      <c r="H259" s="402"/>
      <c r="I259" s="402"/>
      <c r="J259" s="402"/>
      <c r="K259" s="402"/>
      <c r="L259" s="402"/>
      <c r="M259" s="402"/>
      <c r="N259" s="402"/>
      <c r="O259" s="402"/>
      <c r="P259" s="402"/>
      <c r="Q259" s="402"/>
      <c r="R259" s="402"/>
      <c r="S259" s="402"/>
      <c r="T259" s="402"/>
      <c r="U259" s="402"/>
      <c r="V259" s="402"/>
      <c r="W259" s="402"/>
      <c r="X259" s="402"/>
      <c r="Y259" s="402"/>
      <c r="Z259" s="402"/>
    </row>
    <row r="260" ht="14.25" customHeight="1">
      <c r="A260" s="402"/>
      <c r="B260" s="402"/>
      <c r="C260" s="402"/>
      <c r="D260" s="402"/>
      <c r="E260" s="402"/>
      <c r="F260" s="403"/>
      <c r="G260" s="403"/>
      <c r="H260" s="402"/>
      <c r="I260" s="402"/>
      <c r="J260" s="402"/>
      <c r="K260" s="402"/>
      <c r="L260" s="402"/>
      <c r="M260" s="402"/>
      <c r="N260" s="402"/>
      <c r="O260" s="402"/>
      <c r="P260" s="402"/>
      <c r="Q260" s="402"/>
      <c r="R260" s="402"/>
      <c r="S260" s="402"/>
      <c r="T260" s="402"/>
      <c r="U260" s="402"/>
      <c r="V260" s="402"/>
      <c r="W260" s="402"/>
      <c r="X260" s="402"/>
      <c r="Y260" s="402"/>
      <c r="Z260" s="402"/>
    </row>
    <row r="261" ht="14.25" customHeight="1">
      <c r="A261" s="402"/>
      <c r="B261" s="402"/>
      <c r="C261" s="402"/>
      <c r="D261" s="402"/>
      <c r="E261" s="402"/>
      <c r="F261" s="403"/>
      <c r="G261" s="403"/>
      <c r="H261" s="402"/>
      <c r="I261" s="402"/>
      <c r="J261" s="402"/>
      <c r="K261" s="402"/>
      <c r="L261" s="402"/>
      <c r="M261" s="402"/>
      <c r="N261" s="402"/>
      <c r="O261" s="402"/>
      <c r="P261" s="402"/>
      <c r="Q261" s="402"/>
      <c r="R261" s="402"/>
      <c r="S261" s="402"/>
      <c r="T261" s="402"/>
      <c r="U261" s="402"/>
      <c r="V261" s="402"/>
      <c r="W261" s="402"/>
      <c r="X261" s="402"/>
      <c r="Y261" s="402"/>
      <c r="Z261" s="402"/>
    </row>
    <row r="262" ht="14.25" customHeight="1">
      <c r="A262" s="402"/>
      <c r="B262" s="402"/>
      <c r="C262" s="402"/>
      <c r="D262" s="402"/>
      <c r="E262" s="402"/>
      <c r="F262" s="403"/>
      <c r="G262" s="403"/>
      <c r="H262" s="402"/>
      <c r="I262" s="402"/>
      <c r="J262" s="402"/>
      <c r="K262" s="402"/>
      <c r="L262" s="402"/>
      <c r="M262" s="402"/>
      <c r="N262" s="402"/>
      <c r="O262" s="402"/>
      <c r="P262" s="402"/>
      <c r="Q262" s="402"/>
      <c r="R262" s="402"/>
      <c r="S262" s="402"/>
      <c r="T262" s="402"/>
      <c r="U262" s="402"/>
      <c r="V262" s="402"/>
      <c r="W262" s="402"/>
      <c r="X262" s="402"/>
      <c r="Y262" s="402"/>
      <c r="Z262" s="402"/>
    </row>
    <row r="263" ht="14.25" customHeight="1">
      <c r="A263" s="402"/>
      <c r="B263" s="402"/>
      <c r="C263" s="402"/>
      <c r="D263" s="402"/>
      <c r="E263" s="402"/>
      <c r="F263" s="403"/>
      <c r="G263" s="403"/>
      <c r="H263" s="402"/>
      <c r="I263" s="402"/>
      <c r="J263" s="402"/>
      <c r="K263" s="402"/>
      <c r="L263" s="402"/>
      <c r="M263" s="402"/>
      <c r="N263" s="402"/>
      <c r="O263" s="402"/>
      <c r="P263" s="402"/>
      <c r="Q263" s="402"/>
      <c r="R263" s="402"/>
      <c r="S263" s="402"/>
      <c r="T263" s="402"/>
      <c r="U263" s="402"/>
      <c r="V263" s="402"/>
      <c r="W263" s="402"/>
      <c r="X263" s="402"/>
      <c r="Y263" s="402"/>
      <c r="Z263" s="402"/>
    </row>
    <row r="264" ht="14.25" customHeight="1">
      <c r="A264" s="402"/>
      <c r="B264" s="402"/>
      <c r="C264" s="402"/>
      <c r="D264" s="402"/>
      <c r="E264" s="402"/>
      <c r="F264" s="403"/>
      <c r="G264" s="403"/>
      <c r="H264" s="402"/>
      <c r="I264" s="402"/>
      <c r="J264" s="402"/>
      <c r="K264" s="402"/>
      <c r="L264" s="402"/>
      <c r="M264" s="402"/>
      <c r="N264" s="402"/>
      <c r="O264" s="402"/>
      <c r="P264" s="402"/>
      <c r="Q264" s="402"/>
      <c r="R264" s="402"/>
      <c r="S264" s="402"/>
      <c r="T264" s="402"/>
      <c r="U264" s="402"/>
      <c r="V264" s="402"/>
      <c r="W264" s="402"/>
      <c r="X264" s="402"/>
      <c r="Y264" s="402"/>
      <c r="Z264" s="402"/>
    </row>
    <row r="265" ht="14.25" customHeight="1">
      <c r="A265" s="402"/>
      <c r="B265" s="402"/>
      <c r="C265" s="402"/>
      <c r="D265" s="402"/>
      <c r="E265" s="402"/>
      <c r="F265" s="403"/>
      <c r="G265" s="403"/>
      <c r="H265" s="402"/>
      <c r="I265" s="402"/>
      <c r="J265" s="402"/>
      <c r="K265" s="402"/>
      <c r="L265" s="402"/>
      <c r="M265" s="402"/>
      <c r="N265" s="402"/>
      <c r="O265" s="402"/>
      <c r="P265" s="402"/>
      <c r="Q265" s="402"/>
      <c r="R265" s="402"/>
      <c r="S265" s="402"/>
      <c r="T265" s="402"/>
      <c r="U265" s="402"/>
      <c r="V265" s="402"/>
      <c r="W265" s="402"/>
      <c r="X265" s="402"/>
      <c r="Y265" s="402"/>
      <c r="Z265" s="402"/>
    </row>
    <row r="266" ht="14.25" customHeight="1">
      <c r="A266" s="402"/>
      <c r="B266" s="402"/>
      <c r="C266" s="402"/>
      <c r="D266" s="402"/>
      <c r="E266" s="402"/>
      <c r="F266" s="403"/>
      <c r="G266" s="403"/>
      <c r="H266" s="402"/>
      <c r="I266" s="402"/>
      <c r="J266" s="402"/>
      <c r="K266" s="402"/>
      <c r="L266" s="402"/>
      <c r="M266" s="402"/>
      <c r="N266" s="402"/>
      <c r="O266" s="402"/>
      <c r="P266" s="402"/>
      <c r="Q266" s="402"/>
      <c r="R266" s="402"/>
      <c r="S266" s="402"/>
      <c r="T266" s="402"/>
      <c r="U266" s="402"/>
      <c r="V266" s="402"/>
      <c r="W266" s="402"/>
      <c r="X266" s="402"/>
      <c r="Y266" s="402"/>
      <c r="Z266" s="402"/>
    </row>
    <row r="267" ht="14.25" customHeight="1">
      <c r="A267" s="402"/>
      <c r="B267" s="402"/>
      <c r="C267" s="402"/>
      <c r="D267" s="402"/>
      <c r="E267" s="402"/>
      <c r="F267" s="403"/>
      <c r="G267" s="403"/>
      <c r="H267" s="402"/>
      <c r="I267" s="402"/>
      <c r="J267" s="402"/>
      <c r="K267" s="402"/>
      <c r="L267" s="402"/>
      <c r="M267" s="402"/>
      <c r="N267" s="402"/>
      <c r="O267" s="402"/>
      <c r="P267" s="402"/>
      <c r="Q267" s="402"/>
      <c r="R267" s="402"/>
      <c r="S267" s="402"/>
      <c r="T267" s="402"/>
      <c r="U267" s="402"/>
      <c r="V267" s="402"/>
      <c r="W267" s="402"/>
      <c r="X267" s="402"/>
      <c r="Y267" s="402"/>
      <c r="Z267" s="402"/>
    </row>
    <row r="268" ht="14.25" customHeight="1">
      <c r="A268" s="402"/>
      <c r="B268" s="402"/>
      <c r="C268" s="402"/>
      <c r="D268" s="402"/>
      <c r="E268" s="402"/>
      <c r="F268" s="403"/>
      <c r="G268" s="403"/>
      <c r="H268" s="402"/>
      <c r="I268" s="402"/>
      <c r="J268" s="402"/>
      <c r="K268" s="402"/>
      <c r="L268" s="402"/>
      <c r="M268" s="402"/>
      <c r="N268" s="402"/>
      <c r="O268" s="402"/>
      <c r="P268" s="402"/>
      <c r="Q268" s="402"/>
      <c r="R268" s="402"/>
      <c r="S268" s="402"/>
      <c r="T268" s="402"/>
      <c r="U268" s="402"/>
      <c r="V268" s="402"/>
      <c r="W268" s="402"/>
      <c r="X268" s="402"/>
      <c r="Y268" s="402"/>
      <c r="Z268" s="402"/>
    </row>
    <row r="269" ht="14.25" customHeight="1">
      <c r="A269" s="402"/>
      <c r="B269" s="402"/>
      <c r="C269" s="402"/>
      <c r="D269" s="402"/>
      <c r="E269" s="402"/>
      <c r="F269" s="403"/>
      <c r="G269" s="403"/>
      <c r="H269" s="402"/>
      <c r="I269" s="402"/>
      <c r="J269" s="402"/>
      <c r="K269" s="402"/>
      <c r="L269" s="402"/>
      <c r="M269" s="402"/>
      <c r="N269" s="402"/>
      <c r="O269" s="402"/>
      <c r="P269" s="402"/>
      <c r="Q269" s="402"/>
      <c r="R269" s="402"/>
      <c r="S269" s="402"/>
      <c r="T269" s="402"/>
      <c r="U269" s="402"/>
      <c r="V269" s="402"/>
      <c r="W269" s="402"/>
      <c r="X269" s="402"/>
      <c r="Y269" s="402"/>
      <c r="Z269" s="402"/>
    </row>
    <row r="270" ht="14.25" customHeight="1">
      <c r="A270" s="402"/>
      <c r="B270" s="402"/>
      <c r="C270" s="402"/>
      <c r="D270" s="402"/>
      <c r="E270" s="402"/>
      <c r="F270" s="403"/>
      <c r="G270" s="403"/>
      <c r="H270" s="402"/>
      <c r="I270" s="402"/>
      <c r="J270" s="402"/>
      <c r="K270" s="402"/>
      <c r="L270" s="402"/>
      <c r="M270" s="402"/>
      <c r="N270" s="402"/>
      <c r="O270" s="402"/>
      <c r="P270" s="402"/>
      <c r="Q270" s="402"/>
      <c r="R270" s="402"/>
      <c r="S270" s="402"/>
      <c r="T270" s="402"/>
      <c r="U270" s="402"/>
      <c r="V270" s="402"/>
      <c r="W270" s="402"/>
      <c r="X270" s="402"/>
      <c r="Y270" s="402"/>
      <c r="Z270" s="402"/>
    </row>
    <row r="271" ht="14.25" customHeight="1">
      <c r="A271" s="402"/>
      <c r="B271" s="402"/>
      <c r="C271" s="402"/>
      <c r="D271" s="402"/>
      <c r="E271" s="402"/>
      <c r="F271" s="403"/>
      <c r="G271" s="403"/>
      <c r="H271" s="402"/>
      <c r="I271" s="402"/>
      <c r="J271" s="402"/>
      <c r="K271" s="402"/>
      <c r="L271" s="402"/>
      <c r="M271" s="402"/>
      <c r="N271" s="402"/>
      <c r="O271" s="402"/>
      <c r="P271" s="402"/>
      <c r="Q271" s="402"/>
      <c r="R271" s="402"/>
      <c r="S271" s="402"/>
      <c r="T271" s="402"/>
      <c r="U271" s="402"/>
      <c r="V271" s="402"/>
      <c r="W271" s="402"/>
      <c r="X271" s="402"/>
      <c r="Y271" s="402"/>
      <c r="Z271" s="402"/>
    </row>
    <row r="272" ht="14.25" customHeight="1">
      <c r="A272" s="402"/>
      <c r="B272" s="402"/>
      <c r="C272" s="402"/>
      <c r="D272" s="402"/>
      <c r="E272" s="402"/>
      <c r="F272" s="403"/>
      <c r="G272" s="403"/>
      <c r="H272" s="402"/>
      <c r="I272" s="402"/>
      <c r="J272" s="402"/>
      <c r="K272" s="402"/>
      <c r="L272" s="402"/>
      <c r="M272" s="402"/>
      <c r="N272" s="402"/>
      <c r="O272" s="402"/>
      <c r="P272" s="402"/>
      <c r="Q272" s="402"/>
      <c r="R272" s="402"/>
      <c r="S272" s="402"/>
      <c r="T272" s="402"/>
      <c r="U272" s="402"/>
      <c r="V272" s="402"/>
      <c r="W272" s="402"/>
      <c r="X272" s="402"/>
      <c r="Y272" s="402"/>
      <c r="Z272" s="402"/>
    </row>
    <row r="273" ht="14.25" customHeight="1">
      <c r="A273" s="402"/>
      <c r="B273" s="402"/>
      <c r="C273" s="402"/>
      <c r="D273" s="402"/>
      <c r="E273" s="402"/>
      <c r="F273" s="403"/>
      <c r="G273" s="403"/>
      <c r="H273" s="402"/>
      <c r="I273" s="402"/>
      <c r="J273" s="402"/>
      <c r="K273" s="402"/>
      <c r="L273" s="402"/>
      <c r="M273" s="402"/>
      <c r="N273" s="402"/>
      <c r="O273" s="402"/>
      <c r="P273" s="402"/>
      <c r="Q273" s="402"/>
      <c r="R273" s="402"/>
      <c r="S273" s="402"/>
      <c r="T273" s="402"/>
      <c r="U273" s="402"/>
      <c r="V273" s="402"/>
      <c r="W273" s="402"/>
      <c r="X273" s="402"/>
      <c r="Y273" s="402"/>
      <c r="Z273" s="402"/>
    </row>
    <row r="274" ht="14.25" customHeight="1">
      <c r="A274" s="402"/>
      <c r="B274" s="402"/>
      <c r="C274" s="402"/>
      <c r="D274" s="402"/>
      <c r="E274" s="402"/>
      <c r="F274" s="403"/>
      <c r="G274" s="403"/>
      <c r="H274" s="402"/>
      <c r="I274" s="402"/>
      <c r="J274" s="402"/>
      <c r="K274" s="402"/>
      <c r="L274" s="402"/>
      <c r="M274" s="402"/>
      <c r="N274" s="402"/>
      <c r="O274" s="402"/>
      <c r="P274" s="402"/>
      <c r="Q274" s="402"/>
      <c r="R274" s="402"/>
      <c r="S274" s="402"/>
      <c r="T274" s="402"/>
      <c r="U274" s="402"/>
      <c r="V274" s="402"/>
      <c r="W274" s="402"/>
      <c r="X274" s="402"/>
      <c r="Y274" s="402"/>
      <c r="Z274" s="402"/>
    </row>
    <row r="275" ht="14.25" customHeight="1">
      <c r="A275" s="402"/>
      <c r="B275" s="402"/>
      <c r="C275" s="402"/>
      <c r="D275" s="402"/>
      <c r="E275" s="402"/>
      <c r="F275" s="403"/>
      <c r="G275" s="403"/>
      <c r="H275" s="402"/>
      <c r="I275" s="402"/>
      <c r="J275" s="402"/>
      <c r="K275" s="402"/>
      <c r="L275" s="402"/>
      <c r="M275" s="402"/>
      <c r="N275" s="402"/>
      <c r="O275" s="402"/>
      <c r="P275" s="402"/>
      <c r="Q275" s="402"/>
      <c r="R275" s="402"/>
      <c r="S275" s="402"/>
      <c r="T275" s="402"/>
      <c r="U275" s="402"/>
      <c r="V275" s="402"/>
      <c r="W275" s="402"/>
      <c r="X275" s="402"/>
      <c r="Y275" s="402"/>
      <c r="Z275" s="402"/>
    </row>
    <row r="276" ht="14.25" customHeight="1">
      <c r="A276" s="402"/>
      <c r="B276" s="402"/>
      <c r="C276" s="402"/>
      <c r="D276" s="402"/>
      <c r="E276" s="402"/>
      <c r="F276" s="403"/>
      <c r="G276" s="403"/>
      <c r="H276" s="402"/>
      <c r="I276" s="402"/>
      <c r="J276" s="402"/>
      <c r="K276" s="402"/>
      <c r="L276" s="402"/>
      <c r="M276" s="402"/>
      <c r="N276" s="402"/>
      <c r="O276" s="402"/>
      <c r="P276" s="402"/>
      <c r="Q276" s="402"/>
      <c r="R276" s="402"/>
      <c r="S276" s="402"/>
      <c r="T276" s="402"/>
      <c r="U276" s="402"/>
      <c r="V276" s="402"/>
      <c r="W276" s="402"/>
      <c r="X276" s="402"/>
      <c r="Y276" s="402"/>
      <c r="Z276" s="402"/>
    </row>
    <row r="277" ht="14.25" customHeight="1">
      <c r="A277" s="402"/>
      <c r="B277" s="402"/>
      <c r="C277" s="402"/>
      <c r="D277" s="402"/>
      <c r="E277" s="402"/>
      <c r="F277" s="403"/>
      <c r="G277" s="403"/>
      <c r="H277" s="402"/>
      <c r="I277" s="402"/>
      <c r="J277" s="402"/>
      <c r="K277" s="402"/>
      <c r="L277" s="402"/>
      <c r="M277" s="402"/>
      <c r="N277" s="402"/>
      <c r="O277" s="402"/>
      <c r="P277" s="402"/>
      <c r="Q277" s="402"/>
      <c r="R277" s="402"/>
      <c r="S277" s="402"/>
      <c r="T277" s="402"/>
      <c r="U277" s="402"/>
      <c r="V277" s="402"/>
      <c r="W277" s="402"/>
      <c r="X277" s="402"/>
      <c r="Y277" s="402"/>
      <c r="Z277" s="402"/>
    </row>
    <row r="278" ht="14.25" customHeight="1">
      <c r="A278" s="402"/>
      <c r="B278" s="402"/>
      <c r="C278" s="402"/>
      <c r="D278" s="402"/>
      <c r="E278" s="402"/>
      <c r="F278" s="403"/>
      <c r="G278" s="403"/>
      <c r="H278" s="402"/>
      <c r="I278" s="402"/>
      <c r="J278" s="402"/>
      <c r="K278" s="402"/>
      <c r="L278" s="402"/>
      <c r="M278" s="402"/>
      <c r="N278" s="402"/>
      <c r="O278" s="402"/>
      <c r="P278" s="402"/>
      <c r="Q278" s="402"/>
      <c r="R278" s="402"/>
      <c r="S278" s="402"/>
      <c r="T278" s="402"/>
      <c r="U278" s="402"/>
      <c r="V278" s="402"/>
      <c r="W278" s="402"/>
      <c r="X278" s="402"/>
      <c r="Y278" s="402"/>
      <c r="Z278" s="402"/>
    </row>
    <row r="279" ht="14.25" customHeight="1">
      <c r="A279" s="402"/>
      <c r="B279" s="402"/>
      <c r="C279" s="402"/>
      <c r="D279" s="402"/>
      <c r="E279" s="402"/>
      <c r="F279" s="403"/>
      <c r="G279" s="403"/>
      <c r="H279" s="402"/>
      <c r="I279" s="402"/>
      <c r="J279" s="402"/>
      <c r="K279" s="402"/>
      <c r="L279" s="402"/>
      <c r="M279" s="402"/>
      <c r="N279" s="402"/>
      <c r="O279" s="402"/>
      <c r="P279" s="402"/>
      <c r="Q279" s="402"/>
      <c r="R279" s="402"/>
      <c r="S279" s="402"/>
      <c r="T279" s="402"/>
      <c r="U279" s="402"/>
      <c r="V279" s="402"/>
      <c r="W279" s="402"/>
      <c r="X279" s="402"/>
      <c r="Y279" s="402"/>
      <c r="Z279" s="402"/>
    </row>
    <row r="280" ht="14.25" customHeight="1">
      <c r="A280" s="402"/>
      <c r="B280" s="402"/>
      <c r="C280" s="402"/>
      <c r="D280" s="402"/>
      <c r="E280" s="402"/>
      <c r="F280" s="403"/>
      <c r="G280" s="403"/>
      <c r="H280" s="402"/>
      <c r="I280" s="402"/>
      <c r="J280" s="402"/>
      <c r="K280" s="402"/>
      <c r="L280" s="402"/>
      <c r="M280" s="402"/>
      <c r="N280" s="402"/>
      <c r="O280" s="402"/>
      <c r="P280" s="402"/>
      <c r="Q280" s="402"/>
      <c r="R280" s="402"/>
      <c r="S280" s="402"/>
      <c r="T280" s="402"/>
      <c r="U280" s="402"/>
      <c r="V280" s="402"/>
      <c r="W280" s="402"/>
      <c r="X280" s="402"/>
      <c r="Y280" s="402"/>
      <c r="Z280" s="402"/>
    </row>
    <row r="281" ht="14.25" customHeight="1">
      <c r="A281" s="402"/>
      <c r="B281" s="402"/>
      <c r="C281" s="402"/>
      <c r="D281" s="402"/>
      <c r="E281" s="402"/>
      <c r="F281" s="403"/>
      <c r="G281" s="403"/>
      <c r="H281" s="402"/>
      <c r="I281" s="402"/>
      <c r="J281" s="402"/>
      <c r="K281" s="402"/>
      <c r="L281" s="402"/>
      <c r="M281" s="402"/>
      <c r="N281" s="402"/>
      <c r="O281" s="402"/>
      <c r="P281" s="402"/>
      <c r="Q281" s="402"/>
      <c r="R281" s="402"/>
      <c r="S281" s="402"/>
      <c r="T281" s="402"/>
      <c r="U281" s="402"/>
      <c r="V281" s="402"/>
      <c r="W281" s="402"/>
      <c r="X281" s="402"/>
      <c r="Y281" s="402"/>
      <c r="Z281" s="402"/>
    </row>
    <row r="282" ht="14.25" customHeight="1">
      <c r="A282" s="402"/>
      <c r="B282" s="402"/>
      <c r="C282" s="402"/>
      <c r="D282" s="402"/>
      <c r="E282" s="402"/>
      <c r="F282" s="403"/>
      <c r="G282" s="403"/>
      <c r="H282" s="402"/>
      <c r="I282" s="402"/>
      <c r="J282" s="402"/>
      <c r="K282" s="402"/>
      <c r="L282" s="402"/>
      <c r="M282" s="402"/>
      <c r="N282" s="402"/>
      <c r="O282" s="402"/>
      <c r="P282" s="402"/>
      <c r="Q282" s="402"/>
      <c r="R282" s="402"/>
      <c r="S282" s="402"/>
      <c r="T282" s="402"/>
      <c r="U282" s="402"/>
      <c r="V282" s="402"/>
      <c r="W282" s="402"/>
      <c r="X282" s="402"/>
      <c r="Y282" s="402"/>
      <c r="Z282" s="402"/>
    </row>
    <row r="283" ht="14.25" customHeight="1">
      <c r="A283" s="402"/>
      <c r="B283" s="402"/>
      <c r="C283" s="402"/>
      <c r="D283" s="402"/>
      <c r="E283" s="402"/>
      <c r="F283" s="403"/>
      <c r="G283" s="403"/>
      <c r="H283" s="402"/>
      <c r="I283" s="402"/>
      <c r="J283" s="402"/>
      <c r="K283" s="402"/>
      <c r="L283" s="402"/>
      <c r="M283" s="402"/>
      <c r="N283" s="402"/>
      <c r="O283" s="402"/>
      <c r="P283" s="402"/>
      <c r="Q283" s="402"/>
      <c r="R283" s="402"/>
      <c r="S283" s="402"/>
      <c r="T283" s="402"/>
      <c r="U283" s="402"/>
      <c r="V283" s="402"/>
      <c r="W283" s="402"/>
      <c r="X283" s="402"/>
      <c r="Y283" s="402"/>
      <c r="Z283" s="402"/>
    </row>
    <row r="284" ht="14.25" customHeight="1">
      <c r="A284" s="402"/>
      <c r="B284" s="402"/>
      <c r="C284" s="402"/>
      <c r="D284" s="402"/>
      <c r="E284" s="402"/>
      <c r="F284" s="403"/>
      <c r="G284" s="403"/>
      <c r="H284" s="402"/>
      <c r="I284" s="402"/>
      <c r="J284" s="402"/>
      <c r="K284" s="402"/>
      <c r="L284" s="402"/>
      <c r="M284" s="402"/>
      <c r="N284" s="402"/>
      <c r="O284" s="402"/>
      <c r="P284" s="402"/>
      <c r="Q284" s="402"/>
      <c r="R284" s="402"/>
      <c r="S284" s="402"/>
      <c r="T284" s="402"/>
      <c r="U284" s="402"/>
      <c r="V284" s="402"/>
      <c r="W284" s="402"/>
      <c r="X284" s="402"/>
      <c r="Y284" s="402"/>
      <c r="Z284" s="402"/>
    </row>
    <row r="285" ht="14.25" customHeight="1">
      <c r="A285" s="402"/>
      <c r="B285" s="402"/>
      <c r="C285" s="402"/>
      <c r="D285" s="402"/>
      <c r="E285" s="402"/>
      <c r="F285" s="403"/>
      <c r="G285" s="403"/>
      <c r="H285" s="402"/>
      <c r="I285" s="402"/>
      <c r="J285" s="402"/>
      <c r="K285" s="402"/>
      <c r="L285" s="402"/>
      <c r="M285" s="402"/>
      <c r="N285" s="402"/>
      <c r="O285" s="402"/>
      <c r="P285" s="402"/>
      <c r="Q285" s="402"/>
      <c r="R285" s="402"/>
      <c r="S285" s="402"/>
      <c r="T285" s="402"/>
      <c r="U285" s="402"/>
      <c r="V285" s="402"/>
      <c r="W285" s="402"/>
      <c r="X285" s="402"/>
      <c r="Y285" s="402"/>
      <c r="Z285" s="402"/>
    </row>
    <row r="286" ht="14.25" customHeight="1">
      <c r="A286" s="402"/>
      <c r="B286" s="402"/>
      <c r="C286" s="402"/>
      <c r="D286" s="402"/>
      <c r="E286" s="402"/>
      <c r="F286" s="403"/>
      <c r="G286" s="403"/>
      <c r="H286" s="402"/>
      <c r="I286" s="402"/>
      <c r="J286" s="402"/>
      <c r="K286" s="402"/>
      <c r="L286" s="402"/>
      <c r="M286" s="402"/>
      <c r="N286" s="402"/>
      <c r="O286" s="402"/>
      <c r="P286" s="402"/>
      <c r="Q286" s="402"/>
      <c r="R286" s="402"/>
      <c r="S286" s="402"/>
      <c r="T286" s="402"/>
      <c r="U286" s="402"/>
      <c r="V286" s="402"/>
      <c r="W286" s="402"/>
      <c r="X286" s="402"/>
      <c r="Y286" s="402"/>
      <c r="Z286" s="402"/>
    </row>
    <row r="287" ht="14.25" customHeight="1">
      <c r="A287" s="402"/>
      <c r="B287" s="402"/>
      <c r="C287" s="402"/>
      <c r="D287" s="402"/>
      <c r="E287" s="402"/>
      <c r="F287" s="403"/>
      <c r="G287" s="403"/>
      <c r="H287" s="402"/>
      <c r="I287" s="402"/>
      <c r="J287" s="402"/>
      <c r="K287" s="402"/>
      <c r="L287" s="402"/>
      <c r="M287" s="402"/>
      <c r="N287" s="402"/>
      <c r="O287" s="402"/>
      <c r="P287" s="402"/>
      <c r="Q287" s="402"/>
      <c r="R287" s="402"/>
      <c r="S287" s="402"/>
      <c r="T287" s="402"/>
      <c r="U287" s="402"/>
      <c r="V287" s="402"/>
      <c r="W287" s="402"/>
      <c r="X287" s="402"/>
      <c r="Y287" s="402"/>
      <c r="Z287" s="402"/>
    </row>
    <row r="288" ht="14.25" customHeight="1">
      <c r="A288" s="402"/>
      <c r="B288" s="402"/>
      <c r="C288" s="402"/>
      <c r="D288" s="402"/>
      <c r="E288" s="402"/>
      <c r="F288" s="403"/>
      <c r="G288" s="403"/>
      <c r="H288" s="402"/>
      <c r="I288" s="402"/>
      <c r="J288" s="402"/>
      <c r="K288" s="402"/>
      <c r="L288" s="402"/>
      <c r="M288" s="402"/>
      <c r="N288" s="402"/>
      <c r="O288" s="402"/>
      <c r="P288" s="402"/>
      <c r="Q288" s="402"/>
      <c r="R288" s="402"/>
      <c r="S288" s="402"/>
      <c r="T288" s="402"/>
      <c r="U288" s="402"/>
      <c r="V288" s="402"/>
      <c r="W288" s="402"/>
      <c r="X288" s="402"/>
      <c r="Y288" s="402"/>
      <c r="Z288" s="402"/>
    </row>
    <row r="289" ht="14.25" customHeight="1">
      <c r="A289" s="402"/>
      <c r="B289" s="402"/>
      <c r="C289" s="402"/>
      <c r="D289" s="402"/>
      <c r="E289" s="402"/>
      <c r="F289" s="403"/>
      <c r="G289" s="403"/>
      <c r="H289" s="402"/>
      <c r="I289" s="402"/>
      <c r="J289" s="402"/>
      <c r="K289" s="402"/>
      <c r="L289" s="402"/>
      <c r="M289" s="402"/>
      <c r="N289" s="402"/>
      <c r="O289" s="402"/>
      <c r="P289" s="402"/>
      <c r="Q289" s="402"/>
      <c r="R289" s="402"/>
      <c r="S289" s="402"/>
      <c r="T289" s="402"/>
      <c r="U289" s="402"/>
      <c r="V289" s="402"/>
      <c r="W289" s="402"/>
      <c r="X289" s="402"/>
      <c r="Y289" s="402"/>
      <c r="Z289" s="402"/>
    </row>
    <row r="290" ht="14.25" customHeight="1">
      <c r="A290" s="402"/>
      <c r="B290" s="402"/>
      <c r="C290" s="402"/>
      <c r="D290" s="402"/>
      <c r="E290" s="402"/>
      <c r="F290" s="403"/>
      <c r="G290" s="403"/>
      <c r="H290" s="402"/>
      <c r="I290" s="402"/>
      <c r="J290" s="402"/>
      <c r="K290" s="402"/>
      <c r="L290" s="402"/>
      <c r="M290" s="402"/>
      <c r="N290" s="402"/>
      <c r="O290" s="402"/>
      <c r="P290" s="402"/>
      <c r="Q290" s="402"/>
      <c r="R290" s="402"/>
      <c r="S290" s="402"/>
      <c r="T290" s="402"/>
      <c r="U290" s="402"/>
      <c r="V290" s="402"/>
      <c r="W290" s="402"/>
      <c r="X290" s="402"/>
      <c r="Y290" s="402"/>
      <c r="Z290" s="402"/>
    </row>
    <row r="291" ht="14.25" customHeight="1">
      <c r="A291" s="402"/>
      <c r="B291" s="402"/>
      <c r="C291" s="402"/>
      <c r="D291" s="402"/>
      <c r="E291" s="402"/>
      <c r="F291" s="403"/>
      <c r="G291" s="403"/>
      <c r="H291" s="402"/>
      <c r="I291" s="402"/>
      <c r="J291" s="402"/>
      <c r="K291" s="402"/>
      <c r="L291" s="402"/>
      <c r="M291" s="402"/>
      <c r="N291" s="402"/>
      <c r="O291" s="402"/>
      <c r="P291" s="402"/>
      <c r="Q291" s="402"/>
      <c r="R291" s="402"/>
      <c r="S291" s="402"/>
      <c r="T291" s="402"/>
      <c r="U291" s="402"/>
      <c r="V291" s="402"/>
      <c r="W291" s="402"/>
      <c r="X291" s="402"/>
      <c r="Y291" s="402"/>
      <c r="Z291" s="402"/>
    </row>
    <row r="292" ht="14.25" customHeight="1">
      <c r="A292" s="402"/>
      <c r="B292" s="402"/>
      <c r="C292" s="402"/>
      <c r="D292" s="402"/>
      <c r="E292" s="402"/>
      <c r="F292" s="403"/>
      <c r="G292" s="403"/>
      <c r="H292" s="402"/>
      <c r="I292" s="402"/>
      <c r="J292" s="402"/>
      <c r="K292" s="402"/>
      <c r="L292" s="402"/>
      <c r="M292" s="402"/>
      <c r="N292" s="402"/>
      <c r="O292" s="402"/>
      <c r="P292" s="402"/>
      <c r="Q292" s="402"/>
      <c r="R292" s="402"/>
      <c r="S292" s="402"/>
      <c r="T292" s="402"/>
      <c r="U292" s="402"/>
      <c r="V292" s="402"/>
      <c r="W292" s="402"/>
      <c r="X292" s="402"/>
      <c r="Y292" s="402"/>
      <c r="Z292" s="402"/>
    </row>
    <row r="293" ht="14.25" customHeight="1">
      <c r="A293" s="402"/>
      <c r="B293" s="402"/>
      <c r="C293" s="402"/>
      <c r="D293" s="402"/>
      <c r="E293" s="402"/>
      <c r="F293" s="403"/>
      <c r="G293" s="403"/>
      <c r="H293" s="402"/>
      <c r="I293" s="402"/>
      <c r="J293" s="402"/>
      <c r="K293" s="402"/>
      <c r="L293" s="402"/>
      <c r="M293" s="402"/>
      <c r="N293" s="402"/>
      <c r="O293" s="402"/>
      <c r="P293" s="402"/>
      <c r="Q293" s="402"/>
      <c r="R293" s="402"/>
      <c r="S293" s="402"/>
      <c r="T293" s="402"/>
      <c r="U293" s="402"/>
      <c r="V293" s="402"/>
      <c r="W293" s="402"/>
      <c r="X293" s="402"/>
      <c r="Y293" s="402"/>
      <c r="Z293" s="402"/>
    </row>
    <row r="294" ht="14.25" customHeight="1">
      <c r="A294" s="402"/>
      <c r="B294" s="402"/>
      <c r="C294" s="402"/>
      <c r="D294" s="402"/>
      <c r="E294" s="402"/>
      <c r="F294" s="403"/>
      <c r="G294" s="403"/>
      <c r="H294" s="402"/>
      <c r="I294" s="402"/>
      <c r="J294" s="402"/>
      <c r="K294" s="402"/>
      <c r="L294" s="402"/>
      <c r="M294" s="402"/>
      <c r="N294" s="402"/>
      <c r="O294" s="402"/>
      <c r="P294" s="402"/>
      <c r="Q294" s="402"/>
      <c r="R294" s="402"/>
      <c r="S294" s="402"/>
      <c r="T294" s="402"/>
      <c r="U294" s="402"/>
      <c r="V294" s="402"/>
      <c r="W294" s="402"/>
      <c r="X294" s="402"/>
      <c r="Y294" s="402"/>
      <c r="Z294" s="402"/>
    </row>
    <row r="295" ht="14.25" customHeight="1">
      <c r="A295" s="402"/>
      <c r="B295" s="402"/>
      <c r="C295" s="402"/>
      <c r="D295" s="402"/>
      <c r="E295" s="402"/>
      <c r="F295" s="403"/>
      <c r="G295" s="403"/>
      <c r="H295" s="402"/>
      <c r="I295" s="402"/>
      <c r="J295" s="402"/>
      <c r="K295" s="402"/>
      <c r="L295" s="402"/>
      <c r="M295" s="402"/>
      <c r="N295" s="402"/>
      <c r="O295" s="402"/>
      <c r="P295" s="402"/>
      <c r="Q295" s="402"/>
      <c r="R295" s="402"/>
      <c r="S295" s="402"/>
      <c r="T295" s="402"/>
      <c r="U295" s="402"/>
      <c r="V295" s="402"/>
      <c r="W295" s="402"/>
      <c r="X295" s="402"/>
      <c r="Y295" s="402"/>
      <c r="Z295" s="402"/>
    </row>
    <row r="296" ht="14.25" customHeight="1">
      <c r="A296" s="402"/>
      <c r="B296" s="402"/>
      <c r="C296" s="402"/>
      <c r="D296" s="402"/>
      <c r="E296" s="402"/>
      <c r="F296" s="403"/>
      <c r="G296" s="403"/>
      <c r="H296" s="402"/>
      <c r="I296" s="402"/>
      <c r="J296" s="402"/>
      <c r="K296" s="402"/>
      <c r="L296" s="402"/>
      <c r="M296" s="402"/>
      <c r="N296" s="402"/>
      <c r="O296" s="402"/>
      <c r="P296" s="402"/>
      <c r="Q296" s="402"/>
      <c r="R296" s="402"/>
      <c r="S296" s="402"/>
      <c r="T296" s="402"/>
      <c r="U296" s="402"/>
      <c r="V296" s="402"/>
      <c r="W296" s="402"/>
      <c r="X296" s="402"/>
      <c r="Y296" s="402"/>
      <c r="Z296" s="402"/>
    </row>
    <row r="297" ht="14.25" customHeight="1">
      <c r="A297" s="402"/>
      <c r="B297" s="402"/>
      <c r="C297" s="402"/>
      <c r="D297" s="402"/>
      <c r="E297" s="402"/>
      <c r="F297" s="403"/>
      <c r="G297" s="403"/>
      <c r="H297" s="402"/>
      <c r="I297" s="402"/>
      <c r="J297" s="402"/>
      <c r="K297" s="402"/>
      <c r="L297" s="402"/>
      <c r="M297" s="402"/>
      <c r="N297" s="402"/>
      <c r="O297" s="402"/>
      <c r="P297" s="402"/>
      <c r="Q297" s="402"/>
      <c r="R297" s="402"/>
      <c r="S297" s="402"/>
      <c r="T297" s="402"/>
      <c r="U297" s="402"/>
      <c r="V297" s="402"/>
      <c r="W297" s="402"/>
      <c r="X297" s="402"/>
      <c r="Y297" s="402"/>
      <c r="Z297" s="402"/>
    </row>
    <row r="298" ht="14.25" customHeight="1">
      <c r="A298" s="402"/>
      <c r="B298" s="402"/>
      <c r="C298" s="402"/>
      <c r="D298" s="402"/>
      <c r="E298" s="402"/>
      <c r="F298" s="403"/>
      <c r="G298" s="403"/>
      <c r="H298" s="402"/>
      <c r="I298" s="402"/>
      <c r="J298" s="402"/>
      <c r="K298" s="402"/>
      <c r="L298" s="402"/>
      <c r="M298" s="402"/>
      <c r="N298" s="402"/>
      <c r="O298" s="402"/>
      <c r="P298" s="402"/>
      <c r="Q298" s="402"/>
      <c r="R298" s="402"/>
      <c r="S298" s="402"/>
      <c r="T298" s="402"/>
      <c r="U298" s="402"/>
      <c r="V298" s="402"/>
      <c r="W298" s="402"/>
      <c r="X298" s="402"/>
      <c r="Y298" s="402"/>
      <c r="Z298" s="402"/>
    </row>
    <row r="299" ht="14.25" customHeight="1">
      <c r="A299" s="402"/>
      <c r="B299" s="402"/>
      <c r="C299" s="402"/>
      <c r="D299" s="402"/>
      <c r="E299" s="402"/>
      <c r="F299" s="403"/>
      <c r="G299" s="403"/>
      <c r="H299" s="402"/>
      <c r="I299" s="402"/>
      <c r="J299" s="402"/>
      <c r="K299" s="402"/>
      <c r="L299" s="402"/>
      <c r="M299" s="402"/>
      <c r="N299" s="402"/>
      <c r="O299" s="402"/>
      <c r="P299" s="402"/>
      <c r="Q299" s="402"/>
      <c r="R299" s="402"/>
      <c r="S299" s="402"/>
      <c r="T299" s="402"/>
      <c r="U299" s="402"/>
      <c r="V299" s="402"/>
      <c r="W299" s="402"/>
      <c r="X299" s="402"/>
      <c r="Y299" s="402"/>
      <c r="Z299" s="402"/>
    </row>
    <row r="300" ht="14.25" customHeight="1">
      <c r="A300" s="402"/>
      <c r="B300" s="402"/>
      <c r="C300" s="402"/>
      <c r="D300" s="402"/>
      <c r="E300" s="402"/>
      <c r="F300" s="403"/>
      <c r="G300" s="403"/>
      <c r="H300" s="402"/>
      <c r="I300" s="402"/>
      <c r="J300" s="402"/>
      <c r="K300" s="402"/>
      <c r="L300" s="402"/>
      <c r="M300" s="402"/>
      <c r="N300" s="402"/>
      <c r="O300" s="402"/>
      <c r="P300" s="402"/>
      <c r="Q300" s="402"/>
      <c r="R300" s="402"/>
      <c r="S300" s="402"/>
      <c r="T300" s="402"/>
      <c r="U300" s="402"/>
      <c r="V300" s="402"/>
      <c r="W300" s="402"/>
      <c r="X300" s="402"/>
      <c r="Y300" s="402"/>
      <c r="Z300" s="402"/>
    </row>
    <row r="301" ht="14.25" customHeight="1">
      <c r="A301" s="402"/>
      <c r="B301" s="402"/>
      <c r="C301" s="402"/>
      <c r="D301" s="402"/>
      <c r="E301" s="402"/>
      <c r="F301" s="403"/>
      <c r="G301" s="403"/>
      <c r="H301" s="402"/>
      <c r="I301" s="402"/>
      <c r="J301" s="402"/>
      <c r="K301" s="402"/>
      <c r="L301" s="402"/>
      <c r="M301" s="402"/>
      <c r="N301" s="402"/>
      <c r="O301" s="402"/>
      <c r="P301" s="402"/>
      <c r="Q301" s="402"/>
      <c r="R301" s="402"/>
      <c r="S301" s="402"/>
      <c r="T301" s="402"/>
      <c r="U301" s="402"/>
      <c r="V301" s="402"/>
      <c r="W301" s="402"/>
      <c r="X301" s="402"/>
      <c r="Y301" s="402"/>
      <c r="Z301" s="402"/>
    </row>
    <row r="302" ht="14.25" customHeight="1">
      <c r="A302" s="402"/>
      <c r="B302" s="402"/>
      <c r="C302" s="402"/>
      <c r="D302" s="402"/>
      <c r="E302" s="402"/>
      <c r="F302" s="403"/>
      <c r="G302" s="403"/>
      <c r="H302" s="402"/>
      <c r="I302" s="402"/>
      <c r="J302" s="402"/>
      <c r="K302" s="402"/>
      <c r="L302" s="402"/>
      <c r="M302" s="402"/>
      <c r="N302" s="402"/>
      <c r="O302" s="402"/>
      <c r="P302" s="402"/>
      <c r="Q302" s="402"/>
      <c r="R302" s="402"/>
      <c r="S302" s="402"/>
      <c r="T302" s="402"/>
      <c r="U302" s="402"/>
      <c r="V302" s="402"/>
      <c r="W302" s="402"/>
      <c r="X302" s="402"/>
      <c r="Y302" s="402"/>
      <c r="Z302" s="402"/>
    </row>
    <row r="303" ht="14.25" customHeight="1">
      <c r="A303" s="402"/>
      <c r="B303" s="402"/>
      <c r="C303" s="402"/>
      <c r="D303" s="402"/>
      <c r="E303" s="402"/>
      <c r="F303" s="403"/>
      <c r="G303" s="403"/>
      <c r="H303" s="402"/>
      <c r="I303" s="402"/>
      <c r="J303" s="402"/>
      <c r="K303" s="402"/>
      <c r="L303" s="402"/>
      <c r="M303" s="402"/>
      <c r="N303" s="402"/>
      <c r="O303" s="402"/>
      <c r="P303" s="402"/>
      <c r="Q303" s="402"/>
      <c r="R303" s="402"/>
      <c r="S303" s="402"/>
      <c r="T303" s="402"/>
      <c r="U303" s="402"/>
      <c r="V303" s="402"/>
      <c r="W303" s="402"/>
      <c r="X303" s="402"/>
      <c r="Y303" s="402"/>
      <c r="Z303" s="402"/>
    </row>
    <row r="304" ht="14.25" customHeight="1">
      <c r="A304" s="402"/>
      <c r="B304" s="402"/>
      <c r="C304" s="402"/>
      <c r="D304" s="402"/>
      <c r="E304" s="402"/>
      <c r="F304" s="403"/>
      <c r="G304" s="403"/>
      <c r="H304" s="402"/>
      <c r="I304" s="402"/>
      <c r="J304" s="402"/>
      <c r="K304" s="402"/>
      <c r="L304" s="402"/>
      <c r="M304" s="402"/>
      <c r="N304" s="402"/>
      <c r="O304" s="402"/>
      <c r="P304" s="402"/>
      <c r="Q304" s="402"/>
      <c r="R304" s="402"/>
      <c r="S304" s="402"/>
      <c r="T304" s="402"/>
      <c r="U304" s="402"/>
      <c r="V304" s="402"/>
      <c r="W304" s="402"/>
      <c r="X304" s="402"/>
      <c r="Y304" s="402"/>
      <c r="Z304" s="402"/>
    </row>
    <row r="305" ht="14.25" customHeight="1">
      <c r="A305" s="402"/>
      <c r="B305" s="402"/>
      <c r="C305" s="402"/>
      <c r="D305" s="402"/>
      <c r="E305" s="402"/>
      <c r="F305" s="403"/>
      <c r="G305" s="403"/>
      <c r="H305" s="402"/>
      <c r="I305" s="402"/>
      <c r="J305" s="402"/>
      <c r="K305" s="402"/>
      <c r="L305" s="402"/>
      <c r="M305" s="402"/>
      <c r="N305" s="402"/>
      <c r="O305" s="402"/>
      <c r="P305" s="402"/>
      <c r="Q305" s="402"/>
      <c r="R305" s="402"/>
      <c r="S305" s="402"/>
      <c r="T305" s="402"/>
      <c r="U305" s="402"/>
      <c r="V305" s="402"/>
      <c r="W305" s="402"/>
      <c r="X305" s="402"/>
      <c r="Y305" s="402"/>
      <c r="Z305" s="402"/>
    </row>
    <row r="306" ht="14.25" customHeight="1">
      <c r="A306" s="402"/>
      <c r="B306" s="402"/>
      <c r="C306" s="402"/>
      <c r="D306" s="402"/>
      <c r="E306" s="402"/>
      <c r="F306" s="403"/>
      <c r="G306" s="403"/>
      <c r="H306" s="402"/>
      <c r="I306" s="402"/>
      <c r="J306" s="402"/>
      <c r="K306" s="402"/>
      <c r="L306" s="402"/>
      <c r="M306" s="402"/>
      <c r="N306" s="402"/>
      <c r="O306" s="402"/>
      <c r="P306" s="402"/>
      <c r="Q306" s="402"/>
      <c r="R306" s="402"/>
      <c r="S306" s="402"/>
      <c r="T306" s="402"/>
      <c r="U306" s="402"/>
      <c r="V306" s="402"/>
      <c r="W306" s="402"/>
      <c r="X306" s="402"/>
      <c r="Y306" s="402"/>
      <c r="Z306" s="402"/>
    </row>
    <row r="307" ht="14.25" customHeight="1">
      <c r="A307" s="402"/>
      <c r="B307" s="402"/>
      <c r="C307" s="402"/>
      <c r="D307" s="402"/>
      <c r="E307" s="402"/>
      <c r="F307" s="403"/>
      <c r="G307" s="403"/>
      <c r="H307" s="402"/>
      <c r="I307" s="402"/>
      <c r="J307" s="402"/>
      <c r="K307" s="402"/>
      <c r="L307" s="402"/>
      <c r="M307" s="402"/>
      <c r="N307" s="402"/>
      <c r="O307" s="402"/>
      <c r="P307" s="402"/>
      <c r="Q307" s="402"/>
      <c r="R307" s="402"/>
      <c r="S307" s="402"/>
      <c r="T307" s="402"/>
      <c r="U307" s="402"/>
      <c r="V307" s="402"/>
      <c r="W307" s="402"/>
      <c r="X307" s="402"/>
      <c r="Y307" s="402"/>
      <c r="Z307" s="402"/>
    </row>
    <row r="308" ht="14.25" customHeight="1">
      <c r="A308" s="402"/>
      <c r="B308" s="402"/>
      <c r="C308" s="402"/>
      <c r="D308" s="402"/>
      <c r="E308" s="402"/>
      <c r="F308" s="403"/>
      <c r="G308" s="403"/>
      <c r="H308" s="402"/>
      <c r="I308" s="402"/>
      <c r="J308" s="402"/>
      <c r="K308" s="402"/>
      <c r="L308" s="402"/>
      <c r="M308" s="402"/>
      <c r="N308" s="402"/>
      <c r="O308" s="402"/>
      <c r="P308" s="402"/>
      <c r="Q308" s="402"/>
      <c r="R308" s="402"/>
      <c r="S308" s="402"/>
      <c r="T308" s="402"/>
      <c r="U308" s="402"/>
      <c r="V308" s="402"/>
      <c r="W308" s="402"/>
      <c r="X308" s="402"/>
      <c r="Y308" s="402"/>
      <c r="Z308" s="402"/>
    </row>
    <row r="309" ht="14.25" customHeight="1">
      <c r="A309" s="402"/>
      <c r="B309" s="402"/>
      <c r="C309" s="402"/>
      <c r="D309" s="402"/>
      <c r="E309" s="402"/>
      <c r="F309" s="403"/>
      <c r="G309" s="403"/>
      <c r="H309" s="402"/>
      <c r="I309" s="402"/>
      <c r="J309" s="402"/>
      <c r="K309" s="402"/>
      <c r="L309" s="402"/>
      <c r="M309" s="402"/>
      <c r="N309" s="402"/>
      <c r="O309" s="402"/>
      <c r="P309" s="402"/>
      <c r="Q309" s="402"/>
      <c r="R309" s="402"/>
      <c r="S309" s="402"/>
      <c r="T309" s="402"/>
      <c r="U309" s="402"/>
      <c r="V309" s="402"/>
      <c r="W309" s="402"/>
      <c r="X309" s="402"/>
      <c r="Y309" s="402"/>
      <c r="Z309" s="402"/>
    </row>
    <row r="310" ht="14.25" customHeight="1">
      <c r="A310" s="402"/>
      <c r="B310" s="402"/>
      <c r="C310" s="402"/>
      <c r="D310" s="402"/>
      <c r="E310" s="402"/>
      <c r="F310" s="403"/>
      <c r="G310" s="403"/>
      <c r="H310" s="402"/>
      <c r="I310" s="402"/>
      <c r="J310" s="402"/>
      <c r="K310" s="402"/>
      <c r="L310" s="402"/>
      <c r="M310" s="402"/>
      <c r="N310" s="402"/>
      <c r="O310" s="402"/>
      <c r="P310" s="402"/>
      <c r="Q310" s="402"/>
      <c r="R310" s="402"/>
      <c r="S310" s="402"/>
      <c r="T310" s="402"/>
      <c r="U310" s="402"/>
      <c r="V310" s="402"/>
      <c r="W310" s="402"/>
      <c r="X310" s="402"/>
      <c r="Y310" s="402"/>
      <c r="Z310" s="402"/>
    </row>
    <row r="311" ht="14.25" customHeight="1">
      <c r="A311" s="402"/>
      <c r="B311" s="402"/>
      <c r="C311" s="402"/>
      <c r="D311" s="402"/>
      <c r="E311" s="402"/>
      <c r="F311" s="403"/>
      <c r="G311" s="403"/>
      <c r="H311" s="402"/>
      <c r="I311" s="402"/>
      <c r="J311" s="402"/>
      <c r="K311" s="402"/>
      <c r="L311" s="402"/>
      <c r="M311" s="402"/>
      <c r="N311" s="402"/>
      <c r="O311" s="402"/>
      <c r="P311" s="402"/>
      <c r="Q311" s="402"/>
      <c r="R311" s="402"/>
      <c r="S311" s="402"/>
      <c r="T311" s="402"/>
      <c r="U311" s="402"/>
      <c r="V311" s="402"/>
      <c r="W311" s="402"/>
      <c r="X311" s="402"/>
      <c r="Y311" s="402"/>
      <c r="Z311" s="402"/>
    </row>
    <row r="312" ht="14.25" customHeight="1">
      <c r="A312" s="402"/>
      <c r="B312" s="402"/>
      <c r="C312" s="402"/>
      <c r="D312" s="402"/>
      <c r="E312" s="402"/>
      <c r="F312" s="403"/>
      <c r="G312" s="403"/>
      <c r="H312" s="402"/>
      <c r="I312" s="402"/>
      <c r="J312" s="402"/>
      <c r="K312" s="402"/>
      <c r="L312" s="402"/>
      <c r="M312" s="402"/>
      <c r="N312" s="402"/>
      <c r="O312" s="402"/>
      <c r="P312" s="402"/>
      <c r="Q312" s="402"/>
      <c r="R312" s="402"/>
      <c r="S312" s="402"/>
      <c r="T312" s="402"/>
      <c r="U312" s="402"/>
      <c r="V312" s="402"/>
      <c r="W312" s="402"/>
      <c r="X312" s="402"/>
      <c r="Y312" s="402"/>
      <c r="Z312" s="402"/>
    </row>
    <row r="313" ht="14.25" customHeight="1">
      <c r="A313" s="402"/>
      <c r="B313" s="402"/>
      <c r="C313" s="402"/>
      <c r="D313" s="402"/>
      <c r="E313" s="402"/>
      <c r="F313" s="403"/>
      <c r="G313" s="403"/>
      <c r="H313" s="402"/>
      <c r="I313" s="402"/>
      <c r="J313" s="402"/>
      <c r="K313" s="402"/>
      <c r="L313" s="402"/>
      <c r="M313" s="402"/>
      <c r="N313" s="402"/>
      <c r="O313" s="402"/>
      <c r="P313" s="402"/>
      <c r="Q313" s="402"/>
      <c r="R313" s="402"/>
      <c r="S313" s="402"/>
      <c r="T313" s="402"/>
      <c r="U313" s="402"/>
      <c r="V313" s="402"/>
      <c r="W313" s="402"/>
      <c r="X313" s="402"/>
      <c r="Y313" s="402"/>
      <c r="Z313" s="402"/>
    </row>
    <row r="314" ht="14.25" customHeight="1">
      <c r="A314" s="402"/>
      <c r="B314" s="402"/>
      <c r="C314" s="402"/>
      <c r="D314" s="402"/>
      <c r="E314" s="402"/>
      <c r="F314" s="403"/>
      <c r="G314" s="403"/>
      <c r="H314" s="402"/>
      <c r="I314" s="402"/>
      <c r="J314" s="402"/>
      <c r="K314" s="402"/>
      <c r="L314" s="402"/>
      <c r="M314" s="402"/>
      <c r="N314" s="402"/>
      <c r="O314" s="402"/>
      <c r="P314" s="402"/>
      <c r="Q314" s="402"/>
      <c r="R314" s="402"/>
      <c r="S314" s="402"/>
      <c r="T314" s="402"/>
      <c r="U314" s="402"/>
      <c r="V314" s="402"/>
      <c r="W314" s="402"/>
      <c r="X314" s="402"/>
      <c r="Y314" s="402"/>
      <c r="Z314" s="402"/>
    </row>
    <row r="315" ht="14.25" customHeight="1">
      <c r="A315" s="402"/>
      <c r="B315" s="402"/>
      <c r="C315" s="402"/>
      <c r="D315" s="402"/>
      <c r="E315" s="402"/>
      <c r="F315" s="403"/>
      <c r="G315" s="403"/>
      <c r="H315" s="402"/>
      <c r="I315" s="402"/>
      <c r="J315" s="402"/>
      <c r="K315" s="402"/>
      <c r="L315" s="402"/>
      <c r="M315" s="402"/>
      <c r="N315" s="402"/>
      <c r="O315" s="402"/>
      <c r="P315" s="402"/>
      <c r="Q315" s="402"/>
      <c r="R315" s="402"/>
      <c r="S315" s="402"/>
      <c r="T315" s="402"/>
      <c r="U315" s="402"/>
      <c r="V315" s="402"/>
      <c r="W315" s="402"/>
      <c r="X315" s="402"/>
      <c r="Y315" s="402"/>
      <c r="Z315" s="402"/>
    </row>
    <row r="316" ht="14.25" customHeight="1">
      <c r="A316" s="402"/>
      <c r="B316" s="402"/>
      <c r="C316" s="402"/>
      <c r="D316" s="402"/>
      <c r="E316" s="402"/>
      <c r="F316" s="403"/>
      <c r="G316" s="403"/>
      <c r="H316" s="402"/>
      <c r="I316" s="402"/>
      <c r="J316" s="402"/>
      <c r="K316" s="402"/>
      <c r="L316" s="402"/>
      <c r="M316" s="402"/>
      <c r="N316" s="402"/>
      <c r="O316" s="402"/>
      <c r="P316" s="402"/>
      <c r="Q316" s="402"/>
      <c r="R316" s="402"/>
      <c r="S316" s="402"/>
      <c r="T316" s="402"/>
      <c r="U316" s="402"/>
      <c r="V316" s="402"/>
      <c r="W316" s="402"/>
      <c r="X316" s="402"/>
      <c r="Y316" s="402"/>
      <c r="Z316" s="402"/>
    </row>
    <row r="317" ht="14.25" customHeight="1">
      <c r="A317" s="402"/>
      <c r="B317" s="402"/>
      <c r="C317" s="402"/>
      <c r="D317" s="402"/>
      <c r="E317" s="402"/>
      <c r="F317" s="403"/>
      <c r="G317" s="403"/>
      <c r="H317" s="402"/>
      <c r="I317" s="402"/>
      <c r="J317" s="402"/>
      <c r="K317" s="402"/>
      <c r="L317" s="402"/>
      <c r="M317" s="402"/>
      <c r="N317" s="402"/>
      <c r="O317" s="402"/>
      <c r="P317" s="402"/>
      <c r="Q317" s="402"/>
      <c r="R317" s="402"/>
      <c r="S317" s="402"/>
      <c r="T317" s="402"/>
      <c r="U317" s="402"/>
      <c r="V317" s="402"/>
      <c r="W317" s="402"/>
      <c r="X317" s="402"/>
      <c r="Y317" s="402"/>
      <c r="Z317" s="402"/>
    </row>
    <row r="318" ht="14.25" customHeight="1">
      <c r="A318" s="402"/>
      <c r="B318" s="402"/>
      <c r="C318" s="402"/>
      <c r="D318" s="402"/>
      <c r="E318" s="402"/>
      <c r="F318" s="403"/>
      <c r="G318" s="403"/>
      <c r="H318" s="402"/>
      <c r="I318" s="402"/>
      <c r="J318" s="402"/>
      <c r="K318" s="402"/>
      <c r="L318" s="402"/>
      <c r="M318" s="402"/>
      <c r="N318" s="402"/>
      <c r="O318" s="402"/>
      <c r="P318" s="402"/>
      <c r="Q318" s="402"/>
      <c r="R318" s="402"/>
      <c r="S318" s="402"/>
      <c r="T318" s="402"/>
      <c r="U318" s="402"/>
      <c r="V318" s="402"/>
      <c r="W318" s="402"/>
      <c r="X318" s="402"/>
      <c r="Y318" s="402"/>
      <c r="Z318" s="402"/>
    </row>
    <row r="319" ht="14.25" customHeight="1">
      <c r="A319" s="402"/>
      <c r="B319" s="402"/>
      <c r="C319" s="402"/>
      <c r="D319" s="402"/>
      <c r="E319" s="402"/>
      <c r="F319" s="403"/>
      <c r="G319" s="403"/>
      <c r="H319" s="402"/>
      <c r="I319" s="402"/>
      <c r="J319" s="402"/>
      <c r="K319" s="402"/>
      <c r="L319" s="402"/>
      <c r="M319" s="402"/>
      <c r="N319" s="402"/>
      <c r="O319" s="402"/>
      <c r="P319" s="402"/>
      <c r="Q319" s="402"/>
      <c r="R319" s="402"/>
      <c r="S319" s="402"/>
      <c r="T319" s="402"/>
      <c r="U319" s="402"/>
      <c r="V319" s="402"/>
      <c r="W319" s="402"/>
      <c r="X319" s="402"/>
      <c r="Y319" s="402"/>
      <c r="Z319" s="402"/>
    </row>
    <row r="320" ht="14.25" customHeight="1">
      <c r="A320" s="402"/>
      <c r="B320" s="402"/>
      <c r="C320" s="402"/>
      <c r="D320" s="402"/>
      <c r="E320" s="402"/>
      <c r="F320" s="403"/>
      <c r="G320" s="403"/>
      <c r="H320" s="402"/>
      <c r="I320" s="402"/>
      <c r="J320" s="402"/>
      <c r="K320" s="402"/>
      <c r="L320" s="402"/>
      <c r="M320" s="402"/>
      <c r="N320" s="402"/>
      <c r="O320" s="402"/>
      <c r="P320" s="402"/>
      <c r="Q320" s="402"/>
      <c r="R320" s="402"/>
      <c r="S320" s="402"/>
      <c r="T320" s="402"/>
      <c r="U320" s="402"/>
      <c r="V320" s="402"/>
      <c r="W320" s="402"/>
      <c r="X320" s="402"/>
      <c r="Y320" s="402"/>
      <c r="Z320" s="402"/>
    </row>
    <row r="321" ht="14.25" customHeight="1">
      <c r="A321" s="402"/>
      <c r="B321" s="402"/>
      <c r="C321" s="402"/>
      <c r="D321" s="402"/>
      <c r="E321" s="402"/>
      <c r="F321" s="403"/>
      <c r="G321" s="403"/>
      <c r="H321" s="402"/>
      <c r="I321" s="402"/>
      <c r="J321" s="402"/>
      <c r="K321" s="402"/>
      <c r="L321" s="402"/>
      <c r="M321" s="402"/>
      <c r="N321" s="402"/>
      <c r="O321" s="402"/>
      <c r="P321" s="402"/>
      <c r="Q321" s="402"/>
      <c r="R321" s="402"/>
      <c r="S321" s="402"/>
      <c r="T321" s="402"/>
      <c r="U321" s="402"/>
      <c r="V321" s="402"/>
      <c r="W321" s="402"/>
      <c r="X321" s="402"/>
      <c r="Y321" s="402"/>
      <c r="Z321" s="402"/>
    </row>
    <row r="322" ht="14.25" customHeight="1">
      <c r="A322" s="402"/>
      <c r="B322" s="402"/>
      <c r="C322" s="402"/>
      <c r="D322" s="402"/>
      <c r="E322" s="402"/>
      <c r="F322" s="403"/>
      <c r="G322" s="403"/>
      <c r="H322" s="402"/>
      <c r="I322" s="402"/>
      <c r="J322" s="402"/>
      <c r="K322" s="402"/>
      <c r="L322" s="402"/>
      <c r="M322" s="402"/>
      <c r="N322" s="402"/>
      <c r="O322" s="402"/>
      <c r="P322" s="402"/>
      <c r="Q322" s="402"/>
      <c r="R322" s="402"/>
      <c r="S322" s="402"/>
      <c r="T322" s="402"/>
      <c r="U322" s="402"/>
      <c r="V322" s="402"/>
      <c r="W322" s="402"/>
      <c r="X322" s="402"/>
      <c r="Y322" s="402"/>
      <c r="Z322" s="402"/>
    </row>
    <row r="323" ht="14.25" customHeight="1">
      <c r="A323" s="402"/>
      <c r="B323" s="402"/>
      <c r="C323" s="402"/>
      <c r="D323" s="402"/>
      <c r="E323" s="402"/>
      <c r="F323" s="403"/>
      <c r="G323" s="403"/>
      <c r="H323" s="402"/>
      <c r="I323" s="402"/>
      <c r="J323" s="402"/>
      <c r="K323" s="402"/>
      <c r="L323" s="402"/>
      <c r="M323" s="402"/>
      <c r="N323" s="402"/>
      <c r="O323" s="402"/>
      <c r="P323" s="402"/>
      <c r="Q323" s="402"/>
      <c r="R323" s="402"/>
      <c r="S323" s="402"/>
      <c r="T323" s="402"/>
      <c r="U323" s="402"/>
      <c r="V323" s="402"/>
      <c r="W323" s="402"/>
      <c r="X323" s="402"/>
      <c r="Y323" s="402"/>
      <c r="Z323" s="402"/>
    </row>
    <row r="324" ht="14.25" customHeight="1">
      <c r="A324" s="402"/>
      <c r="B324" s="402"/>
      <c r="C324" s="402"/>
      <c r="D324" s="402"/>
      <c r="E324" s="402"/>
      <c r="F324" s="403"/>
      <c r="G324" s="403"/>
      <c r="H324" s="402"/>
      <c r="I324" s="402"/>
      <c r="J324" s="402"/>
      <c r="K324" s="402"/>
      <c r="L324" s="402"/>
      <c r="M324" s="402"/>
      <c r="N324" s="402"/>
      <c r="O324" s="402"/>
      <c r="P324" s="402"/>
      <c r="Q324" s="402"/>
      <c r="R324" s="402"/>
      <c r="S324" s="402"/>
      <c r="T324" s="402"/>
      <c r="U324" s="402"/>
      <c r="V324" s="402"/>
      <c r="W324" s="402"/>
      <c r="X324" s="402"/>
      <c r="Y324" s="402"/>
      <c r="Z324" s="402"/>
    </row>
    <row r="325" ht="14.25" customHeight="1">
      <c r="A325" s="402"/>
      <c r="B325" s="402"/>
      <c r="C325" s="402"/>
      <c r="D325" s="402"/>
      <c r="E325" s="402"/>
      <c r="F325" s="403"/>
      <c r="G325" s="403"/>
      <c r="H325" s="402"/>
      <c r="I325" s="402"/>
      <c r="J325" s="402"/>
      <c r="K325" s="402"/>
      <c r="L325" s="402"/>
      <c r="M325" s="402"/>
      <c r="N325" s="402"/>
      <c r="O325" s="402"/>
      <c r="P325" s="402"/>
      <c r="Q325" s="402"/>
      <c r="R325" s="402"/>
      <c r="S325" s="402"/>
      <c r="T325" s="402"/>
      <c r="U325" s="402"/>
      <c r="V325" s="402"/>
      <c r="W325" s="402"/>
      <c r="X325" s="402"/>
      <c r="Y325" s="402"/>
      <c r="Z325" s="402"/>
    </row>
    <row r="326" ht="14.25" customHeight="1">
      <c r="A326" s="402"/>
      <c r="B326" s="402"/>
      <c r="C326" s="402"/>
      <c r="D326" s="402"/>
      <c r="E326" s="402"/>
      <c r="F326" s="403"/>
      <c r="G326" s="403"/>
      <c r="H326" s="402"/>
      <c r="I326" s="402"/>
      <c r="J326" s="402"/>
      <c r="K326" s="402"/>
      <c r="L326" s="402"/>
      <c r="M326" s="402"/>
      <c r="N326" s="402"/>
      <c r="O326" s="402"/>
      <c r="P326" s="402"/>
      <c r="Q326" s="402"/>
      <c r="R326" s="402"/>
      <c r="S326" s="402"/>
      <c r="T326" s="402"/>
      <c r="U326" s="402"/>
      <c r="V326" s="402"/>
      <c r="W326" s="402"/>
      <c r="X326" s="402"/>
      <c r="Y326" s="402"/>
      <c r="Z326" s="402"/>
    </row>
    <row r="327" ht="14.25" customHeight="1">
      <c r="A327" s="402"/>
      <c r="B327" s="402"/>
      <c r="C327" s="402"/>
      <c r="D327" s="402"/>
      <c r="E327" s="402"/>
      <c r="F327" s="403"/>
      <c r="G327" s="403"/>
      <c r="H327" s="402"/>
      <c r="I327" s="402"/>
      <c r="J327" s="402"/>
      <c r="K327" s="402"/>
      <c r="L327" s="402"/>
      <c r="M327" s="402"/>
      <c r="N327" s="402"/>
      <c r="O327" s="402"/>
      <c r="P327" s="402"/>
      <c r="Q327" s="402"/>
      <c r="R327" s="402"/>
      <c r="S327" s="402"/>
      <c r="T327" s="402"/>
      <c r="U327" s="402"/>
      <c r="V327" s="402"/>
      <c r="W327" s="402"/>
      <c r="X327" s="402"/>
      <c r="Y327" s="402"/>
      <c r="Z327" s="402"/>
    </row>
    <row r="328" ht="14.25" customHeight="1">
      <c r="A328" s="402"/>
      <c r="B328" s="402"/>
      <c r="C328" s="402"/>
      <c r="D328" s="402"/>
      <c r="E328" s="402"/>
      <c r="F328" s="403"/>
      <c r="G328" s="403"/>
      <c r="H328" s="402"/>
      <c r="I328" s="402"/>
      <c r="J328" s="402"/>
      <c r="K328" s="402"/>
      <c r="L328" s="402"/>
      <c r="M328" s="402"/>
      <c r="N328" s="402"/>
      <c r="O328" s="402"/>
      <c r="P328" s="402"/>
      <c r="Q328" s="402"/>
      <c r="R328" s="402"/>
      <c r="S328" s="402"/>
      <c r="T328" s="402"/>
      <c r="U328" s="402"/>
      <c r="V328" s="402"/>
      <c r="W328" s="402"/>
      <c r="X328" s="402"/>
      <c r="Y328" s="402"/>
      <c r="Z328" s="402"/>
    </row>
    <row r="329" ht="14.25" customHeight="1">
      <c r="A329" s="402"/>
      <c r="B329" s="402"/>
      <c r="C329" s="402"/>
      <c r="D329" s="402"/>
      <c r="E329" s="402"/>
      <c r="F329" s="403"/>
      <c r="G329" s="403"/>
      <c r="H329" s="402"/>
      <c r="I329" s="402"/>
      <c r="J329" s="402"/>
      <c r="K329" s="402"/>
      <c r="L329" s="402"/>
      <c r="M329" s="402"/>
      <c r="N329" s="402"/>
      <c r="O329" s="402"/>
      <c r="P329" s="402"/>
      <c r="Q329" s="402"/>
      <c r="R329" s="402"/>
      <c r="S329" s="402"/>
      <c r="T329" s="402"/>
      <c r="U329" s="402"/>
      <c r="V329" s="402"/>
      <c r="W329" s="402"/>
      <c r="X329" s="402"/>
      <c r="Y329" s="402"/>
      <c r="Z329" s="402"/>
    </row>
    <row r="330" ht="14.25" customHeight="1">
      <c r="A330" s="402"/>
      <c r="B330" s="402"/>
      <c r="C330" s="402"/>
      <c r="D330" s="402"/>
      <c r="E330" s="402"/>
      <c r="F330" s="403"/>
      <c r="G330" s="403"/>
      <c r="H330" s="402"/>
      <c r="I330" s="402"/>
      <c r="J330" s="402"/>
      <c r="K330" s="402"/>
      <c r="L330" s="402"/>
      <c r="M330" s="402"/>
      <c r="N330" s="402"/>
      <c r="O330" s="402"/>
      <c r="P330" s="402"/>
      <c r="Q330" s="402"/>
      <c r="R330" s="402"/>
      <c r="S330" s="402"/>
      <c r="T330" s="402"/>
      <c r="U330" s="402"/>
      <c r="V330" s="402"/>
      <c r="W330" s="402"/>
      <c r="X330" s="402"/>
      <c r="Y330" s="402"/>
      <c r="Z330" s="402"/>
    </row>
    <row r="331" ht="14.25" customHeight="1">
      <c r="A331" s="402"/>
      <c r="B331" s="402"/>
      <c r="C331" s="402"/>
      <c r="D331" s="402"/>
      <c r="E331" s="402"/>
      <c r="F331" s="403"/>
      <c r="G331" s="403"/>
      <c r="H331" s="402"/>
      <c r="I331" s="402"/>
      <c r="J331" s="402"/>
      <c r="K331" s="402"/>
      <c r="L331" s="402"/>
      <c r="M331" s="402"/>
      <c r="N331" s="402"/>
      <c r="O331" s="402"/>
      <c r="P331" s="402"/>
      <c r="Q331" s="402"/>
      <c r="R331" s="402"/>
      <c r="S331" s="402"/>
      <c r="T331" s="402"/>
      <c r="U331" s="402"/>
      <c r="V331" s="402"/>
      <c r="W331" s="402"/>
      <c r="X331" s="402"/>
      <c r="Y331" s="402"/>
      <c r="Z331" s="402"/>
    </row>
    <row r="332" ht="14.25" customHeight="1">
      <c r="A332" s="402"/>
      <c r="B332" s="402"/>
      <c r="C332" s="402"/>
      <c r="D332" s="402"/>
      <c r="E332" s="402"/>
      <c r="F332" s="403"/>
      <c r="G332" s="403"/>
      <c r="H332" s="402"/>
      <c r="I332" s="402"/>
      <c r="J332" s="402"/>
      <c r="K332" s="402"/>
      <c r="L332" s="402"/>
      <c r="M332" s="402"/>
      <c r="N332" s="402"/>
      <c r="O332" s="402"/>
      <c r="P332" s="402"/>
      <c r="Q332" s="402"/>
      <c r="R332" s="402"/>
      <c r="S332" s="402"/>
      <c r="T332" s="402"/>
      <c r="U332" s="402"/>
      <c r="V332" s="402"/>
      <c r="W332" s="402"/>
      <c r="X332" s="402"/>
      <c r="Y332" s="402"/>
      <c r="Z332" s="402"/>
    </row>
    <row r="333" ht="14.25" customHeight="1">
      <c r="A333" s="402"/>
      <c r="B333" s="402"/>
      <c r="C333" s="402"/>
      <c r="D333" s="402"/>
      <c r="E333" s="402"/>
      <c r="F333" s="403"/>
      <c r="G333" s="403"/>
      <c r="H333" s="402"/>
      <c r="I333" s="402"/>
      <c r="J333" s="402"/>
      <c r="K333" s="402"/>
      <c r="L333" s="402"/>
      <c r="M333" s="402"/>
      <c r="N333" s="402"/>
      <c r="O333" s="402"/>
      <c r="P333" s="402"/>
      <c r="Q333" s="402"/>
      <c r="R333" s="402"/>
      <c r="S333" s="402"/>
      <c r="T333" s="402"/>
      <c r="U333" s="402"/>
      <c r="V333" s="402"/>
      <c r="W333" s="402"/>
      <c r="X333" s="402"/>
      <c r="Y333" s="402"/>
      <c r="Z333" s="402"/>
    </row>
    <row r="334" ht="14.25" customHeight="1">
      <c r="A334" s="402"/>
      <c r="B334" s="402"/>
      <c r="C334" s="402"/>
      <c r="D334" s="402"/>
      <c r="E334" s="402"/>
      <c r="F334" s="403"/>
      <c r="G334" s="403"/>
      <c r="H334" s="402"/>
      <c r="I334" s="402"/>
      <c r="J334" s="402"/>
      <c r="K334" s="402"/>
      <c r="L334" s="402"/>
      <c r="M334" s="402"/>
      <c r="N334" s="402"/>
      <c r="O334" s="402"/>
      <c r="P334" s="402"/>
      <c r="Q334" s="402"/>
      <c r="R334" s="402"/>
      <c r="S334" s="402"/>
      <c r="T334" s="402"/>
      <c r="U334" s="402"/>
      <c r="V334" s="402"/>
      <c r="W334" s="402"/>
      <c r="X334" s="402"/>
      <c r="Y334" s="402"/>
      <c r="Z334" s="402"/>
    </row>
    <row r="335" ht="14.25" customHeight="1">
      <c r="A335" s="402"/>
      <c r="B335" s="402"/>
      <c r="C335" s="402"/>
      <c r="D335" s="402"/>
      <c r="E335" s="402"/>
      <c r="F335" s="403"/>
      <c r="G335" s="403"/>
      <c r="H335" s="402"/>
      <c r="I335" s="402"/>
      <c r="J335" s="402"/>
      <c r="K335" s="402"/>
      <c r="L335" s="402"/>
      <c r="M335" s="402"/>
      <c r="N335" s="402"/>
      <c r="O335" s="402"/>
      <c r="P335" s="402"/>
      <c r="Q335" s="402"/>
      <c r="R335" s="402"/>
      <c r="S335" s="402"/>
      <c r="T335" s="402"/>
      <c r="U335" s="402"/>
      <c r="V335" s="402"/>
      <c r="W335" s="402"/>
      <c r="X335" s="402"/>
      <c r="Y335" s="402"/>
      <c r="Z335" s="402"/>
    </row>
    <row r="336" ht="14.25" customHeight="1">
      <c r="A336" s="402"/>
      <c r="B336" s="402"/>
      <c r="C336" s="402"/>
      <c r="D336" s="402"/>
      <c r="E336" s="402"/>
      <c r="F336" s="403"/>
      <c r="G336" s="403"/>
      <c r="H336" s="402"/>
      <c r="I336" s="402"/>
      <c r="J336" s="402"/>
      <c r="K336" s="402"/>
      <c r="L336" s="402"/>
      <c r="M336" s="402"/>
      <c r="N336" s="402"/>
      <c r="O336" s="402"/>
      <c r="P336" s="402"/>
      <c r="Q336" s="402"/>
      <c r="R336" s="402"/>
      <c r="S336" s="402"/>
      <c r="T336" s="402"/>
      <c r="U336" s="402"/>
      <c r="V336" s="402"/>
      <c r="W336" s="402"/>
      <c r="X336" s="402"/>
      <c r="Y336" s="402"/>
      <c r="Z336" s="402"/>
    </row>
    <row r="337" ht="14.25" customHeight="1">
      <c r="A337" s="402"/>
      <c r="B337" s="402"/>
      <c r="C337" s="402"/>
      <c r="D337" s="402"/>
      <c r="E337" s="402"/>
      <c r="F337" s="403"/>
      <c r="G337" s="403"/>
      <c r="H337" s="402"/>
      <c r="I337" s="402"/>
      <c r="J337" s="402"/>
      <c r="K337" s="402"/>
      <c r="L337" s="402"/>
      <c r="M337" s="402"/>
      <c r="N337" s="402"/>
      <c r="O337" s="402"/>
      <c r="P337" s="402"/>
      <c r="Q337" s="402"/>
      <c r="R337" s="402"/>
      <c r="S337" s="402"/>
      <c r="T337" s="402"/>
      <c r="U337" s="402"/>
      <c r="V337" s="402"/>
      <c r="W337" s="402"/>
      <c r="X337" s="402"/>
      <c r="Y337" s="402"/>
      <c r="Z337" s="402"/>
    </row>
    <row r="338" ht="14.25" customHeight="1">
      <c r="A338" s="402"/>
      <c r="B338" s="402"/>
      <c r="C338" s="402"/>
      <c r="D338" s="402"/>
      <c r="E338" s="402"/>
      <c r="F338" s="403"/>
      <c r="G338" s="403"/>
      <c r="H338" s="402"/>
      <c r="I338" s="402"/>
      <c r="J338" s="402"/>
      <c r="K338" s="402"/>
      <c r="L338" s="402"/>
      <c r="M338" s="402"/>
      <c r="N338" s="402"/>
      <c r="O338" s="402"/>
      <c r="P338" s="402"/>
      <c r="Q338" s="402"/>
      <c r="R338" s="402"/>
      <c r="S338" s="402"/>
      <c r="T338" s="402"/>
      <c r="U338" s="402"/>
      <c r="V338" s="402"/>
      <c r="W338" s="402"/>
      <c r="X338" s="402"/>
      <c r="Y338" s="402"/>
      <c r="Z338" s="402"/>
    </row>
    <row r="339" ht="14.25" customHeight="1">
      <c r="A339" s="402"/>
      <c r="B339" s="402"/>
      <c r="C339" s="402"/>
      <c r="D339" s="402"/>
      <c r="E339" s="402"/>
      <c r="F339" s="403"/>
      <c r="G339" s="403"/>
      <c r="H339" s="402"/>
      <c r="I339" s="402"/>
      <c r="J339" s="402"/>
      <c r="K339" s="402"/>
      <c r="L339" s="402"/>
      <c r="M339" s="402"/>
      <c r="N339" s="402"/>
      <c r="O339" s="402"/>
      <c r="P339" s="402"/>
      <c r="Q339" s="402"/>
      <c r="R339" s="402"/>
      <c r="S339" s="402"/>
      <c r="T339" s="402"/>
      <c r="U339" s="402"/>
      <c r="V339" s="402"/>
      <c r="W339" s="402"/>
      <c r="X339" s="402"/>
      <c r="Y339" s="402"/>
      <c r="Z339" s="402"/>
    </row>
    <row r="340" ht="14.25" customHeight="1">
      <c r="A340" s="402"/>
      <c r="B340" s="402"/>
      <c r="C340" s="402"/>
      <c r="D340" s="402"/>
      <c r="E340" s="402"/>
      <c r="F340" s="403"/>
      <c r="G340" s="403"/>
      <c r="H340" s="402"/>
      <c r="I340" s="402"/>
      <c r="J340" s="402"/>
      <c r="K340" s="402"/>
      <c r="L340" s="402"/>
      <c r="M340" s="402"/>
      <c r="N340" s="402"/>
      <c r="O340" s="402"/>
      <c r="P340" s="402"/>
      <c r="Q340" s="402"/>
      <c r="R340" s="402"/>
      <c r="S340" s="402"/>
      <c r="T340" s="402"/>
      <c r="U340" s="402"/>
      <c r="V340" s="402"/>
      <c r="W340" s="402"/>
      <c r="X340" s="402"/>
      <c r="Y340" s="402"/>
      <c r="Z340" s="402"/>
    </row>
    <row r="341" ht="14.25" customHeight="1">
      <c r="A341" s="402"/>
      <c r="B341" s="402"/>
      <c r="C341" s="402"/>
      <c r="D341" s="402"/>
      <c r="E341" s="402"/>
      <c r="F341" s="403"/>
      <c r="G341" s="403"/>
      <c r="H341" s="402"/>
      <c r="I341" s="402"/>
      <c r="J341" s="402"/>
      <c r="K341" s="402"/>
      <c r="L341" s="402"/>
      <c r="M341" s="402"/>
      <c r="N341" s="402"/>
      <c r="O341" s="402"/>
      <c r="P341" s="402"/>
      <c r="Q341" s="402"/>
      <c r="R341" s="402"/>
      <c r="S341" s="402"/>
      <c r="T341" s="402"/>
      <c r="U341" s="402"/>
      <c r="V341" s="402"/>
      <c r="W341" s="402"/>
      <c r="X341" s="402"/>
      <c r="Y341" s="402"/>
      <c r="Z341" s="402"/>
    </row>
    <row r="342" ht="14.25" customHeight="1">
      <c r="A342" s="402"/>
      <c r="B342" s="402"/>
      <c r="C342" s="402"/>
      <c r="D342" s="402"/>
      <c r="E342" s="402"/>
      <c r="F342" s="403"/>
      <c r="G342" s="403"/>
      <c r="H342" s="402"/>
      <c r="I342" s="402"/>
      <c r="J342" s="402"/>
      <c r="K342" s="402"/>
      <c r="L342" s="402"/>
      <c r="M342" s="402"/>
      <c r="N342" s="402"/>
      <c r="O342" s="402"/>
      <c r="P342" s="402"/>
      <c r="Q342" s="402"/>
      <c r="R342" s="402"/>
      <c r="S342" s="402"/>
      <c r="T342" s="402"/>
      <c r="U342" s="402"/>
      <c r="V342" s="402"/>
      <c r="W342" s="402"/>
      <c r="X342" s="402"/>
      <c r="Y342" s="402"/>
      <c r="Z342" s="402"/>
    </row>
    <row r="343" ht="14.25" customHeight="1">
      <c r="A343" s="402"/>
      <c r="B343" s="402"/>
      <c r="C343" s="402"/>
      <c r="D343" s="402"/>
      <c r="E343" s="402"/>
      <c r="F343" s="403"/>
      <c r="G343" s="403"/>
      <c r="H343" s="402"/>
      <c r="I343" s="402"/>
      <c r="J343" s="402"/>
      <c r="K343" s="402"/>
      <c r="L343" s="402"/>
      <c r="M343" s="402"/>
      <c r="N343" s="402"/>
      <c r="O343" s="402"/>
      <c r="P343" s="402"/>
      <c r="Q343" s="402"/>
      <c r="R343" s="402"/>
      <c r="S343" s="402"/>
      <c r="T343" s="402"/>
      <c r="U343" s="402"/>
      <c r="V343" s="402"/>
      <c r="W343" s="402"/>
      <c r="X343" s="402"/>
      <c r="Y343" s="402"/>
      <c r="Z343" s="402"/>
    </row>
    <row r="344" ht="14.25" customHeight="1">
      <c r="A344" s="402"/>
      <c r="B344" s="402"/>
      <c r="C344" s="402"/>
      <c r="D344" s="402"/>
      <c r="E344" s="402"/>
      <c r="F344" s="403"/>
      <c r="G344" s="403"/>
      <c r="H344" s="402"/>
      <c r="I344" s="402"/>
      <c r="J344" s="402"/>
      <c r="K344" s="402"/>
      <c r="L344" s="402"/>
      <c r="M344" s="402"/>
      <c r="N344" s="402"/>
      <c r="O344" s="402"/>
      <c r="P344" s="402"/>
      <c r="Q344" s="402"/>
      <c r="R344" s="402"/>
      <c r="S344" s="402"/>
      <c r="T344" s="402"/>
      <c r="U344" s="402"/>
      <c r="V344" s="402"/>
      <c r="W344" s="402"/>
      <c r="X344" s="402"/>
      <c r="Y344" s="402"/>
      <c r="Z344" s="402"/>
    </row>
    <row r="345" ht="14.25" customHeight="1">
      <c r="A345" s="402"/>
      <c r="B345" s="402"/>
      <c r="C345" s="402"/>
      <c r="D345" s="402"/>
      <c r="E345" s="402"/>
      <c r="F345" s="403"/>
      <c r="G345" s="403"/>
      <c r="H345" s="402"/>
      <c r="I345" s="402"/>
      <c r="J345" s="402"/>
      <c r="K345" s="402"/>
      <c r="L345" s="402"/>
      <c r="M345" s="402"/>
      <c r="N345" s="402"/>
      <c r="O345" s="402"/>
      <c r="P345" s="402"/>
      <c r="Q345" s="402"/>
      <c r="R345" s="402"/>
      <c r="S345" s="402"/>
      <c r="T345" s="402"/>
      <c r="U345" s="402"/>
      <c r="V345" s="402"/>
      <c r="W345" s="402"/>
      <c r="X345" s="402"/>
      <c r="Y345" s="402"/>
      <c r="Z345" s="402"/>
    </row>
    <row r="346" ht="14.25" customHeight="1">
      <c r="A346" s="402"/>
      <c r="B346" s="402"/>
      <c r="C346" s="402"/>
      <c r="D346" s="402"/>
      <c r="E346" s="402"/>
      <c r="F346" s="403"/>
      <c r="G346" s="403"/>
      <c r="H346" s="402"/>
      <c r="I346" s="402"/>
      <c r="J346" s="402"/>
      <c r="K346" s="402"/>
      <c r="L346" s="402"/>
      <c r="M346" s="402"/>
      <c r="N346" s="402"/>
      <c r="O346" s="402"/>
      <c r="P346" s="402"/>
      <c r="Q346" s="402"/>
      <c r="R346" s="402"/>
      <c r="S346" s="402"/>
      <c r="T346" s="402"/>
      <c r="U346" s="402"/>
      <c r="V346" s="402"/>
      <c r="W346" s="402"/>
      <c r="X346" s="402"/>
      <c r="Y346" s="402"/>
      <c r="Z346" s="402"/>
    </row>
    <row r="347" ht="14.25" customHeight="1">
      <c r="A347" s="402"/>
      <c r="B347" s="402"/>
      <c r="C347" s="402"/>
      <c r="D347" s="402"/>
      <c r="E347" s="402"/>
      <c r="F347" s="403"/>
      <c r="G347" s="403"/>
      <c r="H347" s="402"/>
      <c r="I347" s="402"/>
      <c r="J347" s="402"/>
      <c r="K347" s="402"/>
      <c r="L347" s="402"/>
      <c r="M347" s="402"/>
      <c r="N347" s="402"/>
      <c r="O347" s="402"/>
      <c r="P347" s="402"/>
      <c r="Q347" s="402"/>
      <c r="R347" s="402"/>
      <c r="S347" s="402"/>
      <c r="T347" s="402"/>
      <c r="U347" s="402"/>
      <c r="V347" s="402"/>
      <c r="W347" s="402"/>
      <c r="X347" s="402"/>
      <c r="Y347" s="402"/>
      <c r="Z347" s="402"/>
    </row>
    <row r="348" ht="14.25" customHeight="1">
      <c r="A348" s="402"/>
      <c r="B348" s="402"/>
      <c r="C348" s="402"/>
      <c r="D348" s="402"/>
      <c r="E348" s="402"/>
      <c r="F348" s="403"/>
      <c r="G348" s="403"/>
      <c r="H348" s="402"/>
      <c r="I348" s="402"/>
      <c r="J348" s="402"/>
      <c r="K348" s="402"/>
      <c r="L348" s="402"/>
      <c r="M348" s="402"/>
      <c r="N348" s="402"/>
      <c r="O348" s="402"/>
      <c r="P348" s="402"/>
      <c r="Q348" s="402"/>
      <c r="R348" s="402"/>
      <c r="S348" s="402"/>
      <c r="T348" s="402"/>
      <c r="U348" s="402"/>
      <c r="V348" s="402"/>
      <c r="W348" s="402"/>
      <c r="X348" s="402"/>
      <c r="Y348" s="402"/>
      <c r="Z348" s="402"/>
    </row>
    <row r="349" ht="14.25" customHeight="1">
      <c r="A349" s="402"/>
      <c r="B349" s="402"/>
      <c r="C349" s="402"/>
      <c r="D349" s="402"/>
      <c r="E349" s="402"/>
      <c r="F349" s="403"/>
      <c r="G349" s="403"/>
      <c r="H349" s="402"/>
      <c r="I349" s="402"/>
      <c r="J349" s="402"/>
      <c r="K349" s="402"/>
      <c r="L349" s="402"/>
      <c r="M349" s="402"/>
      <c r="N349" s="402"/>
      <c r="O349" s="402"/>
      <c r="P349" s="402"/>
      <c r="Q349" s="402"/>
      <c r="R349" s="402"/>
      <c r="S349" s="402"/>
      <c r="T349" s="402"/>
      <c r="U349" s="402"/>
      <c r="V349" s="402"/>
      <c r="W349" s="402"/>
      <c r="X349" s="402"/>
      <c r="Y349" s="402"/>
      <c r="Z349" s="402"/>
    </row>
    <row r="350" ht="14.25" customHeight="1">
      <c r="A350" s="402"/>
      <c r="B350" s="402"/>
      <c r="C350" s="402"/>
      <c r="D350" s="402"/>
      <c r="E350" s="402"/>
      <c r="F350" s="403"/>
      <c r="G350" s="403"/>
      <c r="H350" s="402"/>
      <c r="I350" s="402"/>
      <c r="J350" s="402"/>
      <c r="K350" s="402"/>
      <c r="L350" s="402"/>
      <c r="M350" s="402"/>
      <c r="N350" s="402"/>
      <c r="O350" s="402"/>
      <c r="P350" s="402"/>
      <c r="Q350" s="402"/>
      <c r="R350" s="402"/>
      <c r="S350" s="402"/>
      <c r="T350" s="402"/>
      <c r="U350" s="402"/>
      <c r="V350" s="402"/>
      <c r="W350" s="402"/>
      <c r="X350" s="402"/>
      <c r="Y350" s="402"/>
      <c r="Z350" s="402"/>
    </row>
    <row r="351" ht="14.25" customHeight="1">
      <c r="A351" s="402"/>
      <c r="B351" s="402"/>
      <c r="C351" s="402"/>
      <c r="D351" s="402"/>
      <c r="E351" s="402"/>
      <c r="F351" s="403"/>
      <c r="G351" s="403"/>
      <c r="H351" s="402"/>
      <c r="I351" s="402"/>
      <c r="J351" s="402"/>
      <c r="K351" s="402"/>
      <c r="L351" s="402"/>
      <c r="M351" s="402"/>
      <c r="N351" s="402"/>
      <c r="O351" s="402"/>
      <c r="P351" s="402"/>
      <c r="Q351" s="402"/>
      <c r="R351" s="402"/>
      <c r="S351" s="402"/>
      <c r="T351" s="402"/>
      <c r="U351" s="402"/>
      <c r="V351" s="402"/>
      <c r="W351" s="402"/>
      <c r="X351" s="402"/>
      <c r="Y351" s="402"/>
      <c r="Z351" s="402"/>
    </row>
    <row r="352" ht="14.25" customHeight="1">
      <c r="A352" s="402"/>
      <c r="B352" s="402"/>
      <c r="C352" s="402"/>
      <c r="D352" s="402"/>
      <c r="E352" s="402"/>
      <c r="F352" s="403"/>
      <c r="G352" s="403"/>
      <c r="H352" s="402"/>
      <c r="I352" s="402"/>
      <c r="J352" s="402"/>
      <c r="K352" s="402"/>
      <c r="L352" s="402"/>
      <c r="M352" s="402"/>
      <c r="N352" s="402"/>
      <c r="O352" s="402"/>
      <c r="P352" s="402"/>
      <c r="Q352" s="402"/>
      <c r="R352" s="402"/>
      <c r="S352" s="402"/>
      <c r="T352" s="402"/>
      <c r="U352" s="402"/>
      <c r="V352" s="402"/>
      <c r="W352" s="402"/>
      <c r="X352" s="402"/>
      <c r="Y352" s="402"/>
      <c r="Z352" s="402"/>
    </row>
    <row r="353" ht="14.25" customHeight="1">
      <c r="A353" s="402"/>
      <c r="B353" s="402"/>
      <c r="C353" s="402"/>
      <c r="D353" s="402"/>
      <c r="E353" s="402"/>
      <c r="F353" s="403"/>
      <c r="G353" s="403"/>
      <c r="H353" s="402"/>
      <c r="I353" s="402"/>
      <c r="J353" s="402"/>
      <c r="K353" s="402"/>
      <c r="L353" s="402"/>
      <c r="M353" s="402"/>
      <c r="N353" s="402"/>
      <c r="O353" s="402"/>
      <c r="P353" s="402"/>
      <c r="Q353" s="402"/>
      <c r="R353" s="402"/>
      <c r="S353" s="402"/>
      <c r="T353" s="402"/>
      <c r="U353" s="402"/>
      <c r="V353" s="402"/>
      <c r="W353" s="402"/>
      <c r="X353" s="402"/>
      <c r="Y353" s="402"/>
      <c r="Z353" s="402"/>
    </row>
    <row r="354" ht="14.25" customHeight="1">
      <c r="A354" s="402"/>
      <c r="B354" s="402"/>
      <c r="C354" s="402"/>
      <c r="D354" s="402"/>
      <c r="E354" s="402"/>
      <c r="F354" s="403"/>
      <c r="G354" s="403"/>
      <c r="H354" s="402"/>
      <c r="I354" s="402"/>
      <c r="J354" s="402"/>
      <c r="K354" s="402"/>
      <c r="L354" s="402"/>
      <c r="M354" s="402"/>
      <c r="N354" s="402"/>
      <c r="O354" s="402"/>
      <c r="P354" s="402"/>
      <c r="Q354" s="402"/>
      <c r="R354" s="402"/>
      <c r="S354" s="402"/>
      <c r="T354" s="402"/>
      <c r="U354" s="402"/>
      <c r="V354" s="402"/>
      <c r="W354" s="402"/>
      <c r="X354" s="402"/>
      <c r="Y354" s="402"/>
      <c r="Z354" s="402"/>
    </row>
    <row r="355" ht="14.25" customHeight="1">
      <c r="A355" s="402"/>
      <c r="B355" s="402"/>
      <c r="C355" s="402"/>
      <c r="D355" s="402"/>
      <c r="E355" s="402"/>
      <c r="F355" s="403"/>
      <c r="G355" s="403"/>
      <c r="H355" s="402"/>
      <c r="I355" s="402"/>
      <c r="J355" s="402"/>
      <c r="K355" s="402"/>
      <c r="L355" s="402"/>
      <c r="M355" s="402"/>
      <c r="N355" s="402"/>
      <c r="O355" s="402"/>
      <c r="P355" s="402"/>
      <c r="Q355" s="402"/>
      <c r="R355" s="402"/>
      <c r="S355" s="402"/>
      <c r="T355" s="402"/>
      <c r="U355" s="402"/>
      <c r="V355" s="402"/>
      <c r="W355" s="402"/>
      <c r="X355" s="402"/>
      <c r="Y355" s="402"/>
      <c r="Z355" s="402"/>
    </row>
    <row r="356" ht="14.25" customHeight="1">
      <c r="A356" s="402"/>
      <c r="B356" s="402"/>
      <c r="C356" s="402"/>
      <c r="D356" s="402"/>
      <c r="E356" s="402"/>
      <c r="F356" s="403"/>
      <c r="G356" s="403"/>
      <c r="H356" s="402"/>
      <c r="I356" s="402"/>
      <c r="J356" s="402"/>
      <c r="K356" s="402"/>
      <c r="L356" s="402"/>
      <c r="M356" s="402"/>
      <c r="N356" s="402"/>
      <c r="O356" s="402"/>
      <c r="P356" s="402"/>
      <c r="Q356" s="402"/>
      <c r="R356" s="402"/>
      <c r="S356" s="402"/>
      <c r="T356" s="402"/>
      <c r="U356" s="402"/>
      <c r="V356" s="402"/>
      <c r="W356" s="402"/>
      <c r="X356" s="402"/>
      <c r="Y356" s="402"/>
      <c r="Z356" s="402"/>
    </row>
    <row r="357" ht="14.25" customHeight="1">
      <c r="A357" s="402"/>
      <c r="B357" s="402"/>
      <c r="C357" s="402"/>
      <c r="D357" s="402"/>
      <c r="E357" s="402"/>
      <c r="F357" s="403"/>
      <c r="G357" s="403"/>
      <c r="H357" s="402"/>
      <c r="I357" s="402"/>
      <c r="J357" s="402"/>
      <c r="K357" s="402"/>
      <c r="L357" s="402"/>
      <c r="M357" s="402"/>
      <c r="N357" s="402"/>
      <c r="O357" s="402"/>
      <c r="P357" s="402"/>
      <c r="Q357" s="402"/>
      <c r="R357" s="402"/>
      <c r="S357" s="402"/>
      <c r="T357" s="402"/>
      <c r="U357" s="402"/>
      <c r="V357" s="402"/>
      <c r="W357" s="402"/>
      <c r="X357" s="402"/>
      <c r="Y357" s="402"/>
      <c r="Z357" s="402"/>
    </row>
    <row r="358" ht="14.25" customHeight="1">
      <c r="A358" s="402"/>
      <c r="B358" s="402"/>
      <c r="C358" s="402"/>
      <c r="D358" s="402"/>
      <c r="E358" s="402"/>
      <c r="F358" s="403"/>
      <c r="G358" s="403"/>
      <c r="H358" s="402"/>
      <c r="I358" s="402"/>
      <c r="J358" s="402"/>
      <c r="K358" s="402"/>
      <c r="L358" s="402"/>
      <c r="M358" s="402"/>
      <c r="N358" s="402"/>
      <c r="O358" s="402"/>
      <c r="P358" s="402"/>
      <c r="Q358" s="402"/>
      <c r="R358" s="402"/>
      <c r="S358" s="402"/>
      <c r="T358" s="402"/>
      <c r="U358" s="402"/>
      <c r="V358" s="402"/>
      <c r="W358" s="402"/>
      <c r="X358" s="402"/>
      <c r="Y358" s="402"/>
      <c r="Z358" s="402"/>
    </row>
    <row r="359" ht="14.25" customHeight="1">
      <c r="A359" s="402"/>
      <c r="B359" s="402"/>
      <c r="C359" s="402"/>
      <c r="D359" s="402"/>
      <c r="E359" s="402"/>
      <c r="F359" s="403"/>
      <c r="G359" s="403"/>
      <c r="H359" s="402"/>
      <c r="I359" s="402"/>
      <c r="J359" s="402"/>
      <c r="K359" s="402"/>
      <c r="L359" s="402"/>
      <c r="M359" s="402"/>
      <c r="N359" s="402"/>
      <c r="O359" s="402"/>
      <c r="P359" s="402"/>
      <c r="Q359" s="402"/>
      <c r="R359" s="402"/>
      <c r="S359" s="402"/>
      <c r="T359" s="402"/>
      <c r="U359" s="402"/>
      <c r="V359" s="402"/>
      <c r="W359" s="402"/>
      <c r="X359" s="402"/>
      <c r="Y359" s="402"/>
      <c r="Z359" s="402"/>
    </row>
    <row r="360" ht="14.25" customHeight="1">
      <c r="A360" s="402"/>
      <c r="B360" s="402"/>
      <c r="C360" s="402"/>
      <c r="D360" s="402"/>
      <c r="E360" s="402"/>
      <c r="F360" s="403"/>
      <c r="G360" s="403"/>
      <c r="H360" s="402"/>
      <c r="I360" s="402"/>
      <c r="J360" s="402"/>
      <c r="K360" s="402"/>
      <c r="L360" s="402"/>
      <c r="M360" s="402"/>
      <c r="N360" s="402"/>
      <c r="O360" s="402"/>
      <c r="P360" s="402"/>
      <c r="Q360" s="402"/>
      <c r="R360" s="402"/>
      <c r="S360" s="402"/>
      <c r="T360" s="402"/>
      <c r="U360" s="402"/>
      <c r="V360" s="402"/>
      <c r="W360" s="402"/>
      <c r="X360" s="402"/>
      <c r="Y360" s="402"/>
      <c r="Z360" s="402"/>
    </row>
    <row r="361" ht="14.25" customHeight="1">
      <c r="A361" s="402"/>
      <c r="B361" s="402"/>
      <c r="C361" s="402"/>
      <c r="D361" s="402"/>
      <c r="E361" s="402"/>
      <c r="F361" s="403"/>
      <c r="G361" s="403"/>
      <c r="H361" s="402"/>
      <c r="I361" s="402"/>
      <c r="J361" s="402"/>
      <c r="K361" s="402"/>
      <c r="L361" s="402"/>
      <c r="M361" s="402"/>
      <c r="N361" s="402"/>
      <c r="O361" s="402"/>
      <c r="P361" s="402"/>
      <c r="Q361" s="402"/>
      <c r="R361" s="402"/>
      <c r="S361" s="402"/>
      <c r="T361" s="402"/>
      <c r="U361" s="402"/>
      <c r="V361" s="402"/>
      <c r="W361" s="402"/>
      <c r="X361" s="402"/>
      <c r="Y361" s="402"/>
      <c r="Z361" s="402"/>
    </row>
    <row r="362" ht="14.25" customHeight="1">
      <c r="A362" s="402"/>
      <c r="B362" s="402"/>
      <c r="C362" s="402"/>
      <c r="D362" s="402"/>
      <c r="E362" s="402"/>
      <c r="F362" s="403"/>
      <c r="G362" s="403"/>
      <c r="H362" s="402"/>
      <c r="I362" s="402"/>
      <c r="J362" s="402"/>
      <c r="K362" s="402"/>
      <c r="L362" s="402"/>
      <c r="M362" s="402"/>
      <c r="N362" s="402"/>
      <c r="O362" s="402"/>
      <c r="P362" s="402"/>
      <c r="Q362" s="402"/>
      <c r="R362" s="402"/>
      <c r="S362" s="402"/>
      <c r="T362" s="402"/>
      <c r="U362" s="402"/>
      <c r="V362" s="402"/>
      <c r="W362" s="402"/>
      <c r="X362" s="402"/>
      <c r="Y362" s="402"/>
      <c r="Z362" s="402"/>
    </row>
    <row r="363" ht="14.25" customHeight="1">
      <c r="A363" s="402"/>
      <c r="B363" s="402"/>
      <c r="C363" s="402"/>
      <c r="D363" s="402"/>
      <c r="E363" s="402"/>
      <c r="F363" s="403"/>
      <c r="G363" s="403"/>
      <c r="H363" s="402"/>
      <c r="I363" s="402"/>
      <c r="J363" s="402"/>
      <c r="K363" s="402"/>
      <c r="L363" s="402"/>
      <c r="M363" s="402"/>
      <c r="N363" s="402"/>
      <c r="O363" s="402"/>
      <c r="P363" s="402"/>
      <c r="Q363" s="402"/>
      <c r="R363" s="402"/>
      <c r="S363" s="402"/>
      <c r="T363" s="402"/>
      <c r="U363" s="402"/>
      <c r="V363" s="402"/>
      <c r="W363" s="402"/>
      <c r="X363" s="402"/>
      <c r="Y363" s="402"/>
      <c r="Z363" s="402"/>
    </row>
    <row r="364" ht="14.25" customHeight="1">
      <c r="A364" s="402"/>
      <c r="B364" s="402"/>
      <c r="C364" s="402"/>
      <c r="D364" s="402"/>
      <c r="E364" s="402"/>
      <c r="F364" s="403"/>
      <c r="G364" s="403"/>
      <c r="H364" s="402"/>
      <c r="I364" s="402"/>
      <c r="J364" s="402"/>
      <c r="K364" s="402"/>
      <c r="L364" s="402"/>
      <c r="M364" s="402"/>
      <c r="N364" s="402"/>
      <c r="O364" s="402"/>
      <c r="P364" s="402"/>
      <c r="Q364" s="402"/>
      <c r="R364" s="402"/>
      <c r="S364" s="402"/>
      <c r="T364" s="402"/>
      <c r="U364" s="402"/>
      <c r="V364" s="402"/>
      <c r="W364" s="402"/>
      <c r="X364" s="402"/>
      <c r="Y364" s="402"/>
      <c r="Z364" s="402"/>
    </row>
    <row r="365" ht="14.25" customHeight="1">
      <c r="A365" s="402"/>
      <c r="B365" s="402"/>
      <c r="C365" s="402"/>
      <c r="D365" s="402"/>
      <c r="E365" s="402"/>
      <c r="F365" s="403"/>
      <c r="G365" s="403"/>
      <c r="H365" s="402"/>
      <c r="I365" s="402"/>
      <c r="J365" s="402"/>
      <c r="K365" s="402"/>
      <c r="L365" s="402"/>
      <c r="M365" s="402"/>
      <c r="N365" s="402"/>
      <c r="O365" s="402"/>
      <c r="P365" s="402"/>
      <c r="Q365" s="402"/>
      <c r="R365" s="402"/>
      <c r="S365" s="402"/>
      <c r="T365" s="402"/>
      <c r="U365" s="402"/>
      <c r="V365" s="402"/>
      <c r="W365" s="402"/>
      <c r="X365" s="402"/>
      <c r="Y365" s="402"/>
      <c r="Z365" s="402"/>
    </row>
    <row r="366" ht="14.25" customHeight="1">
      <c r="A366" s="402"/>
      <c r="B366" s="402"/>
      <c r="C366" s="402"/>
      <c r="D366" s="402"/>
      <c r="E366" s="402"/>
      <c r="F366" s="403"/>
      <c r="G366" s="403"/>
      <c r="H366" s="402"/>
      <c r="I366" s="402"/>
      <c r="J366" s="402"/>
      <c r="K366" s="402"/>
      <c r="L366" s="402"/>
      <c r="M366" s="402"/>
      <c r="N366" s="402"/>
      <c r="O366" s="402"/>
      <c r="P366" s="402"/>
      <c r="Q366" s="402"/>
      <c r="R366" s="402"/>
      <c r="S366" s="402"/>
      <c r="T366" s="402"/>
      <c r="U366" s="402"/>
      <c r="V366" s="402"/>
      <c r="W366" s="402"/>
      <c r="X366" s="402"/>
      <c r="Y366" s="402"/>
      <c r="Z366" s="402"/>
    </row>
    <row r="367" ht="14.25" customHeight="1">
      <c r="A367" s="402"/>
      <c r="B367" s="402"/>
      <c r="C367" s="402"/>
      <c r="D367" s="402"/>
      <c r="E367" s="402"/>
      <c r="F367" s="403"/>
      <c r="G367" s="403"/>
      <c r="H367" s="402"/>
      <c r="I367" s="402"/>
      <c r="J367" s="402"/>
      <c r="K367" s="402"/>
      <c r="L367" s="402"/>
      <c r="M367" s="402"/>
      <c r="N367" s="402"/>
      <c r="O367" s="402"/>
      <c r="P367" s="402"/>
      <c r="Q367" s="402"/>
      <c r="R367" s="402"/>
      <c r="S367" s="402"/>
      <c r="T367" s="402"/>
      <c r="U367" s="402"/>
      <c r="V367" s="402"/>
      <c r="W367" s="402"/>
      <c r="X367" s="402"/>
      <c r="Y367" s="402"/>
      <c r="Z367" s="402"/>
    </row>
    <row r="368" ht="14.25" customHeight="1">
      <c r="A368" s="402"/>
      <c r="B368" s="402"/>
      <c r="C368" s="402"/>
      <c r="D368" s="402"/>
      <c r="E368" s="402"/>
      <c r="F368" s="403"/>
      <c r="G368" s="403"/>
      <c r="H368" s="402"/>
      <c r="I368" s="402"/>
      <c r="J368" s="402"/>
      <c r="K368" s="402"/>
      <c r="L368" s="402"/>
      <c r="M368" s="402"/>
      <c r="N368" s="402"/>
      <c r="O368" s="402"/>
      <c r="P368" s="402"/>
      <c r="Q368" s="402"/>
      <c r="R368" s="402"/>
      <c r="S368" s="402"/>
      <c r="T368" s="402"/>
      <c r="U368" s="402"/>
      <c r="V368" s="402"/>
      <c r="W368" s="402"/>
      <c r="X368" s="402"/>
      <c r="Y368" s="402"/>
      <c r="Z368" s="402"/>
    </row>
    <row r="369" ht="14.25" customHeight="1">
      <c r="A369" s="402"/>
      <c r="B369" s="402"/>
      <c r="C369" s="402"/>
      <c r="D369" s="402"/>
      <c r="E369" s="402"/>
      <c r="F369" s="403"/>
      <c r="G369" s="403"/>
      <c r="H369" s="402"/>
      <c r="I369" s="402"/>
      <c r="J369" s="402"/>
      <c r="K369" s="402"/>
      <c r="L369" s="402"/>
      <c r="M369" s="402"/>
      <c r="N369" s="402"/>
      <c r="O369" s="402"/>
      <c r="P369" s="402"/>
      <c r="Q369" s="402"/>
      <c r="R369" s="402"/>
      <c r="S369" s="402"/>
      <c r="T369" s="402"/>
      <c r="U369" s="402"/>
      <c r="V369" s="402"/>
      <c r="W369" s="402"/>
      <c r="X369" s="402"/>
      <c r="Y369" s="402"/>
      <c r="Z369" s="402"/>
    </row>
    <row r="370" ht="14.25" customHeight="1">
      <c r="A370" s="402"/>
      <c r="B370" s="402"/>
      <c r="C370" s="402"/>
      <c r="D370" s="402"/>
      <c r="E370" s="402"/>
      <c r="F370" s="403"/>
      <c r="G370" s="403"/>
      <c r="H370" s="402"/>
      <c r="I370" s="402"/>
      <c r="J370" s="402"/>
      <c r="K370" s="402"/>
      <c r="L370" s="402"/>
      <c r="M370" s="402"/>
      <c r="N370" s="402"/>
      <c r="O370" s="402"/>
      <c r="P370" s="402"/>
      <c r="Q370" s="402"/>
      <c r="R370" s="402"/>
      <c r="S370" s="402"/>
      <c r="T370" s="402"/>
      <c r="U370" s="402"/>
      <c r="V370" s="402"/>
      <c r="W370" s="402"/>
      <c r="X370" s="402"/>
      <c r="Y370" s="402"/>
      <c r="Z370" s="402"/>
    </row>
    <row r="371" ht="14.25" customHeight="1">
      <c r="A371" s="402"/>
      <c r="B371" s="402"/>
      <c r="C371" s="402"/>
      <c r="D371" s="402"/>
      <c r="E371" s="402"/>
      <c r="F371" s="403"/>
      <c r="G371" s="403"/>
      <c r="H371" s="402"/>
      <c r="I371" s="402"/>
      <c r="J371" s="402"/>
      <c r="K371" s="402"/>
      <c r="L371" s="402"/>
      <c r="M371" s="402"/>
      <c r="N371" s="402"/>
      <c r="O371" s="402"/>
      <c r="P371" s="402"/>
      <c r="Q371" s="402"/>
      <c r="R371" s="402"/>
      <c r="S371" s="402"/>
      <c r="T371" s="402"/>
      <c r="U371" s="402"/>
      <c r="V371" s="402"/>
      <c r="W371" s="402"/>
      <c r="X371" s="402"/>
      <c r="Y371" s="402"/>
      <c r="Z371" s="402"/>
    </row>
    <row r="372" ht="14.25" customHeight="1">
      <c r="A372" s="402"/>
      <c r="B372" s="402"/>
      <c r="C372" s="402"/>
      <c r="D372" s="402"/>
      <c r="E372" s="402"/>
      <c r="F372" s="403"/>
      <c r="G372" s="403"/>
      <c r="H372" s="402"/>
      <c r="I372" s="402"/>
      <c r="J372" s="402"/>
      <c r="K372" s="402"/>
      <c r="L372" s="402"/>
      <c r="M372" s="402"/>
      <c r="N372" s="402"/>
      <c r="O372" s="402"/>
      <c r="P372" s="402"/>
      <c r="Q372" s="402"/>
      <c r="R372" s="402"/>
      <c r="S372" s="402"/>
      <c r="T372" s="402"/>
      <c r="U372" s="402"/>
      <c r="V372" s="402"/>
      <c r="W372" s="402"/>
      <c r="X372" s="402"/>
      <c r="Y372" s="402"/>
      <c r="Z372" s="402"/>
    </row>
    <row r="373" ht="14.25" customHeight="1">
      <c r="A373" s="402"/>
      <c r="B373" s="402"/>
      <c r="C373" s="402"/>
      <c r="D373" s="402"/>
      <c r="E373" s="402"/>
      <c r="F373" s="403"/>
      <c r="G373" s="403"/>
      <c r="H373" s="402"/>
      <c r="I373" s="402"/>
      <c r="J373" s="402"/>
      <c r="K373" s="402"/>
      <c r="L373" s="402"/>
      <c r="M373" s="402"/>
      <c r="N373" s="402"/>
      <c r="O373" s="402"/>
      <c r="P373" s="402"/>
      <c r="Q373" s="402"/>
      <c r="R373" s="402"/>
      <c r="S373" s="402"/>
      <c r="T373" s="402"/>
      <c r="U373" s="402"/>
      <c r="V373" s="402"/>
      <c r="W373" s="402"/>
      <c r="X373" s="402"/>
      <c r="Y373" s="402"/>
      <c r="Z373" s="402"/>
    </row>
    <row r="374" ht="14.25" customHeight="1">
      <c r="A374" s="402"/>
      <c r="B374" s="402"/>
      <c r="C374" s="402"/>
      <c r="D374" s="402"/>
      <c r="E374" s="402"/>
      <c r="F374" s="403"/>
      <c r="G374" s="403"/>
      <c r="H374" s="402"/>
      <c r="I374" s="402"/>
      <c r="J374" s="402"/>
      <c r="K374" s="402"/>
      <c r="L374" s="402"/>
      <c r="M374" s="402"/>
      <c r="N374" s="402"/>
      <c r="O374" s="402"/>
      <c r="P374" s="402"/>
      <c r="Q374" s="402"/>
      <c r="R374" s="402"/>
      <c r="S374" s="402"/>
      <c r="T374" s="402"/>
      <c r="U374" s="402"/>
      <c r="V374" s="402"/>
      <c r="W374" s="402"/>
      <c r="X374" s="402"/>
      <c r="Y374" s="402"/>
      <c r="Z374" s="402"/>
    </row>
    <row r="375" ht="14.25" customHeight="1">
      <c r="A375" s="402"/>
      <c r="B375" s="402"/>
      <c r="C375" s="402"/>
      <c r="D375" s="402"/>
      <c r="E375" s="402"/>
      <c r="F375" s="403"/>
      <c r="G375" s="403"/>
      <c r="H375" s="402"/>
      <c r="I375" s="402"/>
      <c r="J375" s="402"/>
      <c r="K375" s="402"/>
      <c r="L375" s="402"/>
      <c r="M375" s="402"/>
      <c r="N375" s="402"/>
      <c r="O375" s="402"/>
      <c r="P375" s="402"/>
      <c r="Q375" s="402"/>
      <c r="R375" s="402"/>
      <c r="S375" s="402"/>
      <c r="T375" s="402"/>
      <c r="U375" s="402"/>
      <c r="V375" s="402"/>
      <c r="W375" s="402"/>
      <c r="X375" s="402"/>
      <c r="Y375" s="402"/>
      <c r="Z375" s="402"/>
    </row>
    <row r="376" ht="14.25" customHeight="1">
      <c r="A376" s="402"/>
      <c r="B376" s="402"/>
      <c r="C376" s="402"/>
      <c r="D376" s="402"/>
      <c r="E376" s="402"/>
      <c r="F376" s="403"/>
      <c r="G376" s="403"/>
      <c r="H376" s="402"/>
      <c r="I376" s="402"/>
      <c r="J376" s="402"/>
      <c r="K376" s="402"/>
      <c r="L376" s="402"/>
      <c r="M376" s="402"/>
      <c r="N376" s="402"/>
      <c r="O376" s="402"/>
      <c r="P376" s="402"/>
      <c r="Q376" s="402"/>
      <c r="R376" s="402"/>
      <c r="S376" s="402"/>
      <c r="T376" s="402"/>
      <c r="U376" s="402"/>
      <c r="V376" s="402"/>
      <c r="W376" s="402"/>
      <c r="X376" s="402"/>
      <c r="Y376" s="402"/>
      <c r="Z376" s="402"/>
    </row>
    <row r="377" ht="14.25" customHeight="1">
      <c r="A377" s="402"/>
      <c r="B377" s="402"/>
      <c r="C377" s="402"/>
      <c r="D377" s="402"/>
      <c r="E377" s="402"/>
      <c r="F377" s="403"/>
      <c r="G377" s="403"/>
      <c r="H377" s="402"/>
      <c r="I377" s="402"/>
      <c r="J377" s="402"/>
      <c r="K377" s="402"/>
      <c r="L377" s="402"/>
      <c r="M377" s="402"/>
      <c r="N377" s="402"/>
      <c r="O377" s="402"/>
      <c r="P377" s="402"/>
      <c r="Q377" s="402"/>
      <c r="R377" s="402"/>
      <c r="S377" s="402"/>
      <c r="T377" s="402"/>
      <c r="U377" s="402"/>
      <c r="V377" s="402"/>
      <c r="W377" s="402"/>
      <c r="X377" s="402"/>
      <c r="Y377" s="402"/>
      <c r="Z377" s="402"/>
    </row>
    <row r="378" ht="14.25" customHeight="1">
      <c r="A378" s="402"/>
      <c r="B378" s="402"/>
      <c r="C378" s="402"/>
      <c r="D378" s="402"/>
      <c r="E378" s="402"/>
      <c r="F378" s="403"/>
      <c r="G378" s="403"/>
      <c r="H378" s="402"/>
      <c r="I378" s="402"/>
      <c r="J378" s="402"/>
      <c r="K378" s="402"/>
      <c r="L378" s="402"/>
      <c r="M378" s="402"/>
      <c r="N378" s="402"/>
      <c r="O378" s="402"/>
      <c r="P378" s="402"/>
      <c r="Q378" s="402"/>
      <c r="R378" s="402"/>
      <c r="S378" s="402"/>
      <c r="T378" s="402"/>
      <c r="U378" s="402"/>
      <c r="V378" s="402"/>
      <c r="W378" s="402"/>
      <c r="X378" s="402"/>
      <c r="Y378" s="402"/>
      <c r="Z378" s="402"/>
    </row>
    <row r="379" ht="14.25" customHeight="1">
      <c r="A379" s="402"/>
      <c r="B379" s="402"/>
      <c r="C379" s="402"/>
      <c r="D379" s="402"/>
      <c r="E379" s="402"/>
      <c r="F379" s="403"/>
      <c r="G379" s="403"/>
      <c r="H379" s="402"/>
      <c r="I379" s="402"/>
      <c r="J379" s="402"/>
      <c r="K379" s="402"/>
      <c r="L379" s="402"/>
      <c r="M379" s="402"/>
      <c r="N379" s="402"/>
      <c r="O379" s="402"/>
      <c r="P379" s="402"/>
      <c r="Q379" s="402"/>
      <c r="R379" s="402"/>
      <c r="S379" s="402"/>
      <c r="T379" s="402"/>
      <c r="U379" s="402"/>
      <c r="V379" s="402"/>
      <c r="W379" s="402"/>
      <c r="X379" s="402"/>
      <c r="Y379" s="402"/>
      <c r="Z379" s="402"/>
    </row>
    <row r="380" ht="14.25" customHeight="1">
      <c r="A380" s="402"/>
      <c r="B380" s="402"/>
      <c r="C380" s="402"/>
      <c r="D380" s="402"/>
      <c r="E380" s="402"/>
      <c r="F380" s="403"/>
      <c r="G380" s="403"/>
      <c r="H380" s="402"/>
      <c r="I380" s="402"/>
      <c r="J380" s="402"/>
      <c r="K380" s="402"/>
      <c r="L380" s="402"/>
      <c r="M380" s="402"/>
      <c r="N380" s="402"/>
      <c r="O380" s="402"/>
      <c r="P380" s="402"/>
      <c r="Q380" s="402"/>
      <c r="R380" s="402"/>
      <c r="S380" s="402"/>
      <c r="T380" s="402"/>
      <c r="U380" s="402"/>
      <c r="V380" s="402"/>
      <c r="W380" s="402"/>
      <c r="X380" s="402"/>
      <c r="Y380" s="402"/>
      <c r="Z380" s="402"/>
    </row>
    <row r="381" ht="14.25" customHeight="1">
      <c r="A381" s="402"/>
      <c r="B381" s="402"/>
      <c r="C381" s="402"/>
      <c r="D381" s="402"/>
      <c r="E381" s="402"/>
      <c r="F381" s="403"/>
      <c r="G381" s="403"/>
      <c r="H381" s="402"/>
      <c r="I381" s="402"/>
      <c r="J381" s="402"/>
      <c r="K381" s="402"/>
      <c r="L381" s="402"/>
      <c r="M381" s="402"/>
      <c r="N381" s="402"/>
      <c r="O381" s="402"/>
      <c r="P381" s="402"/>
      <c r="Q381" s="402"/>
      <c r="R381" s="402"/>
      <c r="S381" s="402"/>
      <c r="T381" s="402"/>
      <c r="U381" s="402"/>
      <c r="V381" s="402"/>
      <c r="W381" s="402"/>
      <c r="X381" s="402"/>
      <c r="Y381" s="402"/>
      <c r="Z381" s="402"/>
    </row>
    <row r="382" ht="14.25" customHeight="1">
      <c r="A382" s="402"/>
      <c r="B382" s="402"/>
      <c r="C382" s="402"/>
      <c r="D382" s="402"/>
      <c r="E382" s="402"/>
      <c r="F382" s="403"/>
      <c r="G382" s="403"/>
      <c r="H382" s="402"/>
      <c r="I382" s="402"/>
      <c r="J382" s="402"/>
      <c r="K382" s="402"/>
      <c r="L382" s="402"/>
      <c r="M382" s="402"/>
      <c r="N382" s="402"/>
      <c r="O382" s="402"/>
      <c r="P382" s="402"/>
      <c r="Q382" s="402"/>
      <c r="R382" s="402"/>
      <c r="S382" s="402"/>
      <c r="T382" s="402"/>
      <c r="U382" s="402"/>
      <c r="V382" s="402"/>
      <c r="W382" s="402"/>
      <c r="X382" s="402"/>
      <c r="Y382" s="402"/>
      <c r="Z382" s="402"/>
    </row>
    <row r="383" ht="14.25" customHeight="1">
      <c r="A383" s="402"/>
      <c r="B383" s="402"/>
      <c r="C383" s="402"/>
      <c r="D383" s="402"/>
      <c r="E383" s="402"/>
      <c r="F383" s="403"/>
      <c r="G383" s="403"/>
      <c r="H383" s="402"/>
      <c r="I383" s="402"/>
      <c r="J383" s="402"/>
      <c r="K383" s="402"/>
      <c r="L383" s="402"/>
      <c r="M383" s="402"/>
      <c r="N383" s="402"/>
      <c r="O383" s="402"/>
      <c r="P383" s="402"/>
      <c r="Q383" s="402"/>
      <c r="R383" s="402"/>
      <c r="S383" s="402"/>
      <c r="T383" s="402"/>
      <c r="U383" s="402"/>
      <c r="V383" s="402"/>
      <c r="W383" s="402"/>
      <c r="X383" s="402"/>
      <c r="Y383" s="402"/>
      <c r="Z383" s="402"/>
    </row>
    <row r="384" ht="14.25" customHeight="1">
      <c r="A384" s="402"/>
      <c r="B384" s="402"/>
      <c r="C384" s="402"/>
      <c r="D384" s="402"/>
      <c r="E384" s="402"/>
      <c r="F384" s="403"/>
      <c r="G384" s="403"/>
      <c r="H384" s="402"/>
      <c r="I384" s="402"/>
      <c r="J384" s="402"/>
      <c r="K384" s="402"/>
      <c r="L384" s="402"/>
      <c r="M384" s="402"/>
      <c r="N384" s="402"/>
      <c r="O384" s="402"/>
      <c r="P384" s="402"/>
      <c r="Q384" s="402"/>
      <c r="R384" s="402"/>
      <c r="S384" s="402"/>
      <c r="T384" s="402"/>
      <c r="U384" s="402"/>
      <c r="V384" s="402"/>
      <c r="W384" s="402"/>
      <c r="X384" s="402"/>
      <c r="Y384" s="402"/>
      <c r="Z384" s="402"/>
    </row>
    <row r="385" ht="14.25" customHeight="1">
      <c r="A385" s="402"/>
      <c r="B385" s="402"/>
      <c r="C385" s="402"/>
      <c r="D385" s="402"/>
      <c r="E385" s="402"/>
      <c r="F385" s="403"/>
      <c r="G385" s="403"/>
      <c r="H385" s="402"/>
      <c r="I385" s="402"/>
      <c r="J385" s="402"/>
      <c r="K385" s="402"/>
      <c r="L385" s="402"/>
      <c r="M385" s="402"/>
      <c r="N385" s="402"/>
      <c r="O385" s="402"/>
      <c r="P385" s="402"/>
      <c r="Q385" s="402"/>
      <c r="R385" s="402"/>
      <c r="S385" s="402"/>
      <c r="T385" s="402"/>
      <c r="U385" s="402"/>
      <c r="V385" s="402"/>
      <c r="W385" s="402"/>
      <c r="X385" s="402"/>
      <c r="Y385" s="402"/>
      <c r="Z385" s="402"/>
    </row>
    <row r="386" ht="14.25" customHeight="1">
      <c r="A386" s="402"/>
      <c r="B386" s="402"/>
      <c r="C386" s="402"/>
      <c r="D386" s="402"/>
      <c r="E386" s="402"/>
      <c r="F386" s="403"/>
      <c r="G386" s="403"/>
      <c r="H386" s="402"/>
      <c r="I386" s="402"/>
      <c r="J386" s="402"/>
      <c r="K386" s="402"/>
      <c r="L386" s="402"/>
      <c r="M386" s="402"/>
      <c r="N386" s="402"/>
      <c r="O386" s="402"/>
      <c r="P386" s="402"/>
      <c r="Q386" s="402"/>
      <c r="R386" s="402"/>
      <c r="S386" s="402"/>
      <c r="T386" s="402"/>
      <c r="U386" s="402"/>
      <c r="V386" s="402"/>
      <c r="W386" s="402"/>
      <c r="X386" s="402"/>
      <c r="Y386" s="402"/>
      <c r="Z386" s="402"/>
    </row>
    <row r="387" ht="14.25" customHeight="1">
      <c r="A387" s="402"/>
      <c r="B387" s="402"/>
      <c r="C387" s="402"/>
      <c r="D387" s="402"/>
      <c r="E387" s="402"/>
      <c r="F387" s="403"/>
      <c r="G387" s="403"/>
      <c r="H387" s="402"/>
      <c r="I387" s="402"/>
      <c r="J387" s="402"/>
      <c r="K387" s="402"/>
      <c r="L387" s="402"/>
      <c r="M387" s="402"/>
      <c r="N387" s="402"/>
      <c r="O387" s="402"/>
      <c r="P387" s="402"/>
      <c r="Q387" s="402"/>
      <c r="R387" s="402"/>
      <c r="S387" s="402"/>
      <c r="T387" s="402"/>
      <c r="U387" s="402"/>
      <c r="V387" s="402"/>
      <c r="W387" s="402"/>
      <c r="X387" s="402"/>
      <c r="Y387" s="402"/>
      <c r="Z387" s="402"/>
    </row>
    <row r="388" ht="14.25" customHeight="1">
      <c r="A388" s="402"/>
      <c r="B388" s="402"/>
      <c r="C388" s="402"/>
      <c r="D388" s="402"/>
      <c r="E388" s="402"/>
      <c r="F388" s="403"/>
      <c r="G388" s="403"/>
      <c r="H388" s="402"/>
      <c r="I388" s="402"/>
      <c r="J388" s="402"/>
      <c r="K388" s="402"/>
      <c r="L388" s="402"/>
      <c r="M388" s="402"/>
      <c r="N388" s="402"/>
      <c r="O388" s="402"/>
      <c r="P388" s="402"/>
      <c r="Q388" s="402"/>
      <c r="R388" s="402"/>
      <c r="S388" s="402"/>
      <c r="T388" s="402"/>
      <c r="U388" s="402"/>
      <c r="V388" s="402"/>
      <c r="W388" s="402"/>
      <c r="X388" s="402"/>
      <c r="Y388" s="402"/>
      <c r="Z388" s="402"/>
    </row>
    <row r="389" ht="14.25" customHeight="1">
      <c r="A389" s="402"/>
      <c r="B389" s="402"/>
      <c r="C389" s="402"/>
      <c r="D389" s="402"/>
      <c r="E389" s="402"/>
      <c r="F389" s="403"/>
      <c r="G389" s="403"/>
      <c r="H389" s="402"/>
      <c r="I389" s="402"/>
      <c r="J389" s="402"/>
      <c r="K389" s="402"/>
      <c r="L389" s="402"/>
      <c r="M389" s="402"/>
      <c r="N389" s="402"/>
      <c r="O389" s="402"/>
      <c r="P389" s="402"/>
      <c r="Q389" s="402"/>
      <c r="R389" s="402"/>
      <c r="S389" s="402"/>
      <c r="T389" s="402"/>
      <c r="U389" s="402"/>
      <c r="V389" s="402"/>
      <c r="W389" s="402"/>
      <c r="X389" s="402"/>
      <c r="Y389" s="402"/>
      <c r="Z389" s="402"/>
    </row>
    <row r="390" ht="14.25" customHeight="1">
      <c r="A390" s="402"/>
      <c r="B390" s="402"/>
      <c r="C390" s="402"/>
      <c r="D390" s="402"/>
      <c r="E390" s="402"/>
      <c r="F390" s="403"/>
      <c r="G390" s="403"/>
      <c r="H390" s="402"/>
      <c r="I390" s="402"/>
      <c r="J390" s="402"/>
      <c r="K390" s="402"/>
      <c r="L390" s="402"/>
      <c r="M390" s="402"/>
      <c r="N390" s="402"/>
      <c r="O390" s="402"/>
      <c r="P390" s="402"/>
      <c r="Q390" s="402"/>
      <c r="R390" s="402"/>
      <c r="S390" s="402"/>
      <c r="T390" s="402"/>
      <c r="U390" s="402"/>
      <c r="V390" s="402"/>
      <c r="W390" s="402"/>
      <c r="X390" s="402"/>
      <c r="Y390" s="402"/>
      <c r="Z390" s="402"/>
    </row>
    <row r="391" ht="14.25" customHeight="1">
      <c r="A391" s="402"/>
      <c r="B391" s="402"/>
      <c r="C391" s="402"/>
      <c r="D391" s="402"/>
      <c r="E391" s="402"/>
      <c r="F391" s="403"/>
      <c r="G391" s="403"/>
      <c r="H391" s="402"/>
      <c r="I391" s="402"/>
      <c r="J391" s="402"/>
      <c r="K391" s="402"/>
      <c r="L391" s="402"/>
      <c r="M391" s="402"/>
      <c r="N391" s="402"/>
      <c r="O391" s="402"/>
      <c r="P391" s="402"/>
      <c r="Q391" s="402"/>
      <c r="R391" s="402"/>
      <c r="S391" s="402"/>
      <c r="T391" s="402"/>
      <c r="U391" s="402"/>
      <c r="V391" s="402"/>
      <c r="W391" s="402"/>
      <c r="X391" s="402"/>
      <c r="Y391" s="402"/>
      <c r="Z391" s="402"/>
    </row>
    <row r="392" ht="14.25" customHeight="1">
      <c r="A392" s="402"/>
      <c r="B392" s="402"/>
      <c r="C392" s="402"/>
      <c r="D392" s="402"/>
      <c r="E392" s="402"/>
      <c r="F392" s="403"/>
      <c r="G392" s="403"/>
      <c r="H392" s="402"/>
      <c r="I392" s="402"/>
      <c r="J392" s="402"/>
      <c r="K392" s="402"/>
      <c r="L392" s="402"/>
      <c r="M392" s="402"/>
      <c r="N392" s="402"/>
      <c r="O392" s="402"/>
      <c r="P392" s="402"/>
      <c r="Q392" s="402"/>
      <c r="R392" s="402"/>
      <c r="S392" s="402"/>
      <c r="T392" s="402"/>
      <c r="U392" s="402"/>
      <c r="V392" s="402"/>
      <c r="W392" s="402"/>
      <c r="X392" s="402"/>
      <c r="Y392" s="402"/>
      <c r="Z392" s="402"/>
    </row>
    <row r="393" ht="14.25" customHeight="1">
      <c r="A393" s="402"/>
      <c r="B393" s="402"/>
      <c r="C393" s="402"/>
      <c r="D393" s="402"/>
      <c r="E393" s="402"/>
      <c r="F393" s="403"/>
      <c r="G393" s="403"/>
      <c r="H393" s="402"/>
      <c r="I393" s="402"/>
      <c r="J393" s="402"/>
      <c r="K393" s="402"/>
      <c r="L393" s="402"/>
      <c r="M393" s="402"/>
      <c r="N393" s="402"/>
      <c r="O393" s="402"/>
      <c r="P393" s="402"/>
      <c r="Q393" s="402"/>
      <c r="R393" s="402"/>
      <c r="S393" s="402"/>
      <c r="T393" s="402"/>
      <c r="U393" s="402"/>
      <c r="V393" s="402"/>
      <c r="W393" s="402"/>
      <c r="X393" s="402"/>
      <c r="Y393" s="402"/>
      <c r="Z393" s="402"/>
    </row>
    <row r="394" ht="14.25" customHeight="1">
      <c r="A394" s="402"/>
      <c r="B394" s="402"/>
      <c r="C394" s="402"/>
      <c r="D394" s="402"/>
      <c r="E394" s="402"/>
      <c r="F394" s="403"/>
      <c r="G394" s="403"/>
      <c r="H394" s="402"/>
      <c r="I394" s="402"/>
      <c r="J394" s="402"/>
      <c r="K394" s="402"/>
      <c r="L394" s="402"/>
      <c r="M394" s="402"/>
      <c r="N394" s="402"/>
      <c r="O394" s="402"/>
      <c r="P394" s="402"/>
      <c r="Q394" s="402"/>
      <c r="R394" s="402"/>
      <c r="S394" s="402"/>
      <c r="T394" s="402"/>
      <c r="U394" s="402"/>
      <c r="V394" s="402"/>
      <c r="W394" s="402"/>
      <c r="X394" s="402"/>
      <c r="Y394" s="402"/>
      <c r="Z394" s="402"/>
    </row>
    <row r="395" ht="14.25" customHeight="1">
      <c r="A395" s="402"/>
      <c r="B395" s="402"/>
      <c r="C395" s="402"/>
      <c r="D395" s="402"/>
      <c r="E395" s="402"/>
      <c r="F395" s="403"/>
      <c r="G395" s="403"/>
      <c r="H395" s="402"/>
      <c r="I395" s="402"/>
      <c r="J395" s="402"/>
      <c r="K395" s="402"/>
      <c r="L395" s="402"/>
      <c r="M395" s="402"/>
      <c r="N395" s="402"/>
      <c r="O395" s="402"/>
      <c r="P395" s="402"/>
      <c r="Q395" s="402"/>
      <c r="R395" s="402"/>
      <c r="S395" s="402"/>
      <c r="T395" s="402"/>
      <c r="U395" s="402"/>
      <c r="V395" s="402"/>
      <c r="W395" s="402"/>
      <c r="X395" s="402"/>
      <c r="Y395" s="402"/>
      <c r="Z395" s="402"/>
    </row>
    <row r="396" ht="14.25" customHeight="1">
      <c r="A396" s="402"/>
      <c r="B396" s="402"/>
      <c r="C396" s="402"/>
      <c r="D396" s="402"/>
      <c r="E396" s="402"/>
      <c r="F396" s="403"/>
      <c r="G396" s="403"/>
      <c r="H396" s="402"/>
      <c r="I396" s="402"/>
      <c r="J396" s="402"/>
      <c r="K396" s="402"/>
      <c r="L396" s="402"/>
      <c r="M396" s="402"/>
      <c r="N396" s="402"/>
      <c r="O396" s="402"/>
      <c r="P396" s="402"/>
      <c r="Q396" s="402"/>
      <c r="R396" s="402"/>
      <c r="S396" s="402"/>
      <c r="T396" s="402"/>
      <c r="U396" s="402"/>
      <c r="V396" s="402"/>
      <c r="W396" s="402"/>
      <c r="X396" s="402"/>
      <c r="Y396" s="402"/>
      <c r="Z396" s="402"/>
    </row>
    <row r="397" ht="14.25" customHeight="1">
      <c r="A397" s="402"/>
      <c r="B397" s="402"/>
      <c r="C397" s="402"/>
      <c r="D397" s="402"/>
      <c r="E397" s="402"/>
      <c r="F397" s="403"/>
      <c r="G397" s="403"/>
      <c r="H397" s="402"/>
      <c r="I397" s="402"/>
      <c r="J397" s="402"/>
      <c r="K397" s="402"/>
      <c r="L397" s="402"/>
      <c r="M397" s="402"/>
      <c r="N397" s="402"/>
      <c r="O397" s="402"/>
      <c r="P397" s="402"/>
      <c r="Q397" s="402"/>
      <c r="R397" s="402"/>
      <c r="S397" s="402"/>
      <c r="T397" s="402"/>
      <c r="U397" s="402"/>
      <c r="V397" s="402"/>
      <c r="W397" s="402"/>
      <c r="X397" s="402"/>
      <c r="Y397" s="402"/>
      <c r="Z397" s="402"/>
    </row>
    <row r="398" ht="14.25" customHeight="1">
      <c r="A398" s="402"/>
      <c r="B398" s="402"/>
      <c r="C398" s="402"/>
      <c r="D398" s="402"/>
      <c r="E398" s="402"/>
      <c r="F398" s="403"/>
      <c r="G398" s="403"/>
      <c r="H398" s="402"/>
      <c r="I398" s="402"/>
      <c r="J398" s="402"/>
      <c r="K398" s="402"/>
      <c r="L398" s="402"/>
      <c r="M398" s="402"/>
      <c r="N398" s="402"/>
      <c r="O398" s="402"/>
      <c r="P398" s="402"/>
      <c r="Q398" s="402"/>
      <c r="R398" s="402"/>
      <c r="S398" s="402"/>
      <c r="T398" s="402"/>
      <c r="U398" s="402"/>
      <c r="V398" s="402"/>
      <c r="W398" s="402"/>
      <c r="X398" s="402"/>
      <c r="Y398" s="402"/>
      <c r="Z398" s="402"/>
    </row>
    <row r="399" ht="14.25" customHeight="1">
      <c r="A399" s="402"/>
      <c r="B399" s="402"/>
      <c r="C399" s="402"/>
      <c r="D399" s="402"/>
      <c r="E399" s="402"/>
      <c r="F399" s="403"/>
      <c r="G399" s="403"/>
      <c r="H399" s="402"/>
      <c r="I399" s="402"/>
      <c r="J399" s="402"/>
      <c r="K399" s="402"/>
      <c r="L399" s="402"/>
      <c r="M399" s="402"/>
      <c r="N399" s="402"/>
      <c r="O399" s="402"/>
      <c r="P399" s="402"/>
      <c r="Q399" s="402"/>
      <c r="R399" s="402"/>
      <c r="S399" s="402"/>
      <c r="T399" s="402"/>
      <c r="U399" s="402"/>
      <c r="V399" s="402"/>
      <c r="W399" s="402"/>
      <c r="X399" s="402"/>
      <c r="Y399" s="402"/>
      <c r="Z399" s="402"/>
    </row>
    <row r="400" ht="14.25" customHeight="1">
      <c r="A400" s="402"/>
      <c r="B400" s="402"/>
      <c r="C400" s="402"/>
      <c r="D400" s="402"/>
      <c r="E400" s="402"/>
      <c r="F400" s="403"/>
      <c r="G400" s="403"/>
      <c r="H400" s="402"/>
      <c r="I400" s="402"/>
      <c r="J400" s="402"/>
      <c r="K400" s="402"/>
      <c r="L400" s="402"/>
      <c r="M400" s="402"/>
      <c r="N400" s="402"/>
      <c r="O400" s="402"/>
      <c r="P400" s="402"/>
      <c r="Q400" s="402"/>
      <c r="R400" s="402"/>
      <c r="S400" s="402"/>
      <c r="T400" s="402"/>
      <c r="U400" s="402"/>
      <c r="V400" s="402"/>
      <c r="W400" s="402"/>
      <c r="X400" s="402"/>
      <c r="Y400" s="402"/>
      <c r="Z400" s="402"/>
    </row>
    <row r="401" ht="14.25" customHeight="1">
      <c r="A401" s="402"/>
      <c r="B401" s="402"/>
      <c r="C401" s="402"/>
      <c r="D401" s="402"/>
      <c r="E401" s="402"/>
      <c r="F401" s="403"/>
      <c r="G401" s="403"/>
      <c r="H401" s="402"/>
      <c r="I401" s="402"/>
      <c r="J401" s="402"/>
      <c r="K401" s="402"/>
      <c r="L401" s="402"/>
      <c r="M401" s="402"/>
      <c r="N401" s="402"/>
      <c r="O401" s="402"/>
      <c r="P401" s="402"/>
      <c r="Q401" s="402"/>
      <c r="R401" s="402"/>
      <c r="S401" s="402"/>
      <c r="T401" s="402"/>
      <c r="U401" s="402"/>
      <c r="V401" s="402"/>
      <c r="W401" s="402"/>
      <c r="X401" s="402"/>
      <c r="Y401" s="402"/>
      <c r="Z401" s="402"/>
    </row>
    <row r="402" ht="14.25" customHeight="1">
      <c r="A402" s="402"/>
      <c r="B402" s="402"/>
      <c r="C402" s="402"/>
      <c r="D402" s="402"/>
      <c r="E402" s="402"/>
      <c r="F402" s="403"/>
      <c r="G402" s="403"/>
      <c r="H402" s="402"/>
      <c r="I402" s="402"/>
      <c r="J402" s="402"/>
      <c r="K402" s="402"/>
      <c r="L402" s="402"/>
      <c r="M402" s="402"/>
      <c r="N402" s="402"/>
      <c r="O402" s="402"/>
      <c r="P402" s="402"/>
      <c r="Q402" s="402"/>
      <c r="R402" s="402"/>
      <c r="S402" s="402"/>
      <c r="T402" s="402"/>
      <c r="U402" s="402"/>
      <c r="V402" s="402"/>
      <c r="W402" s="402"/>
      <c r="X402" s="402"/>
      <c r="Y402" s="402"/>
      <c r="Z402" s="402"/>
    </row>
    <row r="403" ht="14.25" customHeight="1">
      <c r="A403" s="402"/>
      <c r="B403" s="402"/>
      <c r="C403" s="402"/>
      <c r="D403" s="402"/>
      <c r="E403" s="402"/>
      <c r="F403" s="403"/>
      <c r="G403" s="403"/>
      <c r="H403" s="402"/>
      <c r="I403" s="402"/>
      <c r="J403" s="402"/>
      <c r="K403" s="402"/>
      <c r="L403" s="402"/>
      <c r="M403" s="402"/>
      <c r="N403" s="402"/>
      <c r="O403" s="402"/>
      <c r="P403" s="402"/>
      <c r="Q403" s="402"/>
      <c r="R403" s="402"/>
      <c r="S403" s="402"/>
      <c r="T403" s="402"/>
      <c r="U403" s="402"/>
      <c r="V403" s="402"/>
      <c r="W403" s="402"/>
      <c r="X403" s="402"/>
      <c r="Y403" s="402"/>
      <c r="Z403" s="402"/>
    </row>
    <row r="404" ht="14.25" customHeight="1">
      <c r="A404" s="402"/>
      <c r="B404" s="402"/>
      <c r="C404" s="402"/>
      <c r="D404" s="402"/>
      <c r="E404" s="402"/>
      <c r="F404" s="403"/>
      <c r="G404" s="403"/>
      <c r="H404" s="402"/>
      <c r="I404" s="402"/>
      <c r="J404" s="402"/>
      <c r="K404" s="402"/>
      <c r="L404" s="402"/>
      <c r="M404" s="402"/>
      <c r="N404" s="402"/>
      <c r="O404" s="402"/>
      <c r="P404" s="402"/>
      <c r="Q404" s="402"/>
      <c r="R404" s="402"/>
      <c r="S404" s="402"/>
      <c r="T404" s="402"/>
      <c r="U404" s="402"/>
      <c r="V404" s="402"/>
      <c r="W404" s="402"/>
      <c r="X404" s="402"/>
      <c r="Y404" s="402"/>
      <c r="Z404" s="402"/>
    </row>
    <row r="405" ht="14.25" customHeight="1">
      <c r="A405" s="402"/>
      <c r="B405" s="402"/>
      <c r="C405" s="402"/>
      <c r="D405" s="402"/>
      <c r="E405" s="402"/>
      <c r="F405" s="403"/>
      <c r="G405" s="403"/>
      <c r="H405" s="402"/>
      <c r="I405" s="402"/>
      <c r="J405" s="402"/>
      <c r="K405" s="402"/>
      <c r="L405" s="402"/>
      <c r="M405" s="402"/>
      <c r="N405" s="402"/>
      <c r="O405" s="402"/>
      <c r="P405" s="402"/>
      <c r="Q405" s="402"/>
      <c r="R405" s="402"/>
      <c r="S405" s="402"/>
      <c r="T405" s="402"/>
      <c r="U405" s="402"/>
      <c r="V405" s="402"/>
      <c r="W405" s="402"/>
      <c r="X405" s="402"/>
      <c r="Y405" s="402"/>
      <c r="Z405" s="402"/>
    </row>
    <row r="406" ht="14.25" customHeight="1">
      <c r="A406" s="402"/>
      <c r="B406" s="402"/>
      <c r="C406" s="402"/>
      <c r="D406" s="402"/>
      <c r="E406" s="402"/>
      <c r="F406" s="403"/>
      <c r="G406" s="403"/>
      <c r="H406" s="402"/>
      <c r="I406" s="402"/>
      <c r="J406" s="402"/>
      <c r="K406" s="402"/>
      <c r="L406" s="402"/>
      <c r="M406" s="402"/>
      <c r="N406" s="402"/>
      <c r="O406" s="402"/>
      <c r="P406" s="402"/>
      <c r="Q406" s="402"/>
      <c r="R406" s="402"/>
      <c r="S406" s="402"/>
      <c r="T406" s="402"/>
      <c r="U406" s="402"/>
      <c r="V406" s="402"/>
      <c r="W406" s="402"/>
      <c r="X406" s="402"/>
      <c r="Y406" s="402"/>
      <c r="Z406" s="402"/>
    </row>
    <row r="407" ht="14.25" customHeight="1">
      <c r="A407" s="402"/>
      <c r="B407" s="402"/>
      <c r="C407" s="402"/>
      <c r="D407" s="402"/>
      <c r="E407" s="402"/>
      <c r="F407" s="403"/>
      <c r="G407" s="403"/>
      <c r="H407" s="402"/>
      <c r="I407" s="402"/>
      <c r="J407" s="402"/>
      <c r="K407" s="402"/>
      <c r="L407" s="402"/>
      <c r="M407" s="402"/>
      <c r="N407" s="402"/>
      <c r="O407" s="402"/>
      <c r="P407" s="402"/>
      <c r="Q407" s="402"/>
      <c r="R407" s="402"/>
      <c r="S407" s="402"/>
      <c r="T407" s="402"/>
      <c r="U407" s="402"/>
      <c r="V407" s="402"/>
      <c r="W407" s="402"/>
      <c r="X407" s="402"/>
      <c r="Y407" s="402"/>
      <c r="Z407" s="402"/>
    </row>
    <row r="408" ht="14.25" customHeight="1">
      <c r="A408" s="402"/>
      <c r="B408" s="402"/>
      <c r="C408" s="402"/>
      <c r="D408" s="402"/>
      <c r="E408" s="402"/>
      <c r="F408" s="403"/>
      <c r="G408" s="403"/>
      <c r="H408" s="402"/>
      <c r="I408" s="402"/>
      <c r="J408" s="402"/>
      <c r="K408" s="402"/>
      <c r="L408" s="402"/>
      <c r="M408" s="402"/>
      <c r="N408" s="402"/>
      <c r="O408" s="402"/>
      <c r="P408" s="402"/>
      <c r="Q408" s="402"/>
      <c r="R408" s="402"/>
      <c r="S408" s="402"/>
      <c r="T408" s="402"/>
      <c r="U408" s="402"/>
      <c r="V408" s="402"/>
      <c r="W408" s="402"/>
      <c r="X408" s="402"/>
      <c r="Y408" s="402"/>
      <c r="Z408" s="402"/>
    </row>
    <row r="409" ht="14.25" customHeight="1">
      <c r="A409" s="402"/>
      <c r="B409" s="402"/>
      <c r="C409" s="402"/>
      <c r="D409" s="402"/>
      <c r="E409" s="402"/>
      <c r="F409" s="403"/>
      <c r="G409" s="403"/>
      <c r="H409" s="402"/>
      <c r="I409" s="402"/>
      <c r="J409" s="402"/>
      <c r="K409" s="402"/>
      <c r="L409" s="402"/>
      <c r="M409" s="402"/>
      <c r="N409" s="402"/>
      <c r="O409" s="402"/>
      <c r="P409" s="402"/>
      <c r="Q409" s="402"/>
      <c r="R409" s="402"/>
      <c r="S409" s="402"/>
      <c r="T409" s="402"/>
      <c r="U409" s="402"/>
      <c r="V409" s="402"/>
      <c r="W409" s="402"/>
      <c r="X409" s="402"/>
      <c r="Y409" s="402"/>
      <c r="Z409" s="402"/>
    </row>
    <row r="410" ht="14.25" customHeight="1">
      <c r="A410" s="402"/>
      <c r="B410" s="402"/>
      <c r="C410" s="402"/>
      <c r="D410" s="402"/>
      <c r="E410" s="402"/>
      <c r="F410" s="403"/>
      <c r="G410" s="403"/>
      <c r="H410" s="402"/>
      <c r="I410" s="402"/>
      <c r="J410" s="402"/>
      <c r="K410" s="402"/>
      <c r="L410" s="402"/>
      <c r="M410" s="402"/>
      <c r="N410" s="402"/>
      <c r="O410" s="402"/>
      <c r="P410" s="402"/>
      <c r="Q410" s="402"/>
      <c r="R410" s="402"/>
      <c r="S410" s="402"/>
      <c r="T410" s="402"/>
      <c r="U410" s="402"/>
      <c r="V410" s="402"/>
      <c r="W410" s="402"/>
      <c r="X410" s="402"/>
      <c r="Y410" s="402"/>
      <c r="Z410" s="402"/>
    </row>
    <row r="411" ht="14.25" customHeight="1">
      <c r="A411" s="402"/>
      <c r="B411" s="402"/>
      <c r="C411" s="402"/>
      <c r="D411" s="402"/>
      <c r="E411" s="402"/>
      <c r="F411" s="403"/>
      <c r="G411" s="403"/>
      <c r="H411" s="402"/>
      <c r="I411" s="402"/>
      <c r="J411" s="402"/>
      <c r="K411" s="402"/>
      <c r="L411" s="402"/>
      <c r="M411" s="402"/>
      <c r="N411" s="402"/>
      <c r="O411" s="402"/>
      <c r="P411" s="402"/>
      <c r="Q411" s="402"/>
      <c r="R411" s="402"/>
      <c r="S411" s="402"/>
      <c r="T411" s="402"/>
      <c r="U411" s="402"/>
      <c r="V411" s="402"/>
      <c r="W411" s="402"/>
      <c r="X411" s="402"/>
      <c r="Y411" s="402"/>
      <c r="Z411" s="402"/>
    </row>
    <row r="412" ht="14.25" customHeight="1">
      <c r="A412" s="402"/>
      <c r="B412" s="402"/>
      <c r="C412" s="402"/>
      <c r="D412" s="402"/>
      <c r="E412" s="402"/>
      <c r="F412" s="403"/>
      <c r="G412" s="403"/>
      <c r="H412" s="402"/>
      <c r="I412" s="402"/>
      <c r="J412" s="402"/>
      <c r="K412" s="402"/>
      <c r="L412" s="402"/>
      <c r="M412" s="402"/>
      <c r="N412" s="402"/>
      <c r="O412" s="402"/>
      <c r="P412" s="402"/>
      <c r="Q412" s="402"/>
      <c r="R412" s="402"/>
      <c r="S412" s="402"/>
      <c r="T412" s="402"/>
      <c r="U412" s="402"/>
      <c r="V412" s="402"/>
      <c r="W412" s="402"/>
      <c r="X412" s="402"/>
      <c r="Y412" s="402"/>
      <c r="Z412" s="402"/>
    </row>
    <row r="413" ht="14.25" customHeight="1">
      <c r="A413" s="402"/>
      <c r="B413" s="402"/>
      <c r="C413" s="402"/>
      <c r="D413" s="402"/>
      <c r="E413" s="402"/>
      <c r="F413" s="403"/>
      <c r="G413" s="403"/>
      <c r="H413" s="402"/>
      <c r="I413" s="402"/>
      <c r="J413" s="402"/>
      <c r="K413" s="402"/>
      <c r="L413" s="402"/>
      <c r="M413" s="402"/>
      <c r="N413" s="402"/>
      <c r="O413" s="402"/>
      <c r="P413" s="402"/>
      <c r="Q413" s="402"/>
      <c r="R413" s="402"/>
      <c r="S413" s="402"/>
      <c r="T413" s="402"/>
      <c r="U413" s="402"/>
      <c r="V413" s="402"/>
      <c r="W413" s="402"/>
      <c r="X413" s="402"/>
      <c r="Y413" s="402"/>
      <c r="Z413" s="402"/>
    </row>
    <row r="414" ht="14.25" customHeight="1">
      <c r="A414" s="402"/>
      <c r="B414" s="402"/>
      <c r="C414" s="402"/>
      <c r="D414" s="402"/>
      <c r="E414" s="402"/>
      <c r="F414" s="403"/>
      <c r="G414" s="403"/>
      <c r="H414" s="402"/>
      <c r="I414" s="402"/>
      <c r="J414" s="402"/>
      <c r="K414" s="402"/>
      <c r="L414" s="402"/>
      <c r="M414" s="402"/>
      <c r="N414" s="402"/>
      <c r="O414" s="402"/>
      <c r="P414" s="402"/>
      <c r="Q414" s="402"/>
      <c r="R414" s="402"/>
      <c r="S414" s="402"/>
      <c r="T414" s="402"/>
      <c r="U414" s="402"/>
      <c r="V414" s="402"/>
      <c r="W414" s="402"/>
      <c r="X414" s="402"/>
      <c r="Y414" s="402"/>
      <c r="Z414" s="402"/>
    </row>
    <row r="415" ht="14.25" customHeight="1">
      <c r="A415" s="402"/>
      <c r="B415" s="402"/>
      <c r="C415" s="402"/>
      <c r="D415" s="402"/>
      <c r="E415" s="402"/>
      <c r="F415" s="403"/>
      <c r="G415" s="403"/>
      <c r="H415" s="402"/>
      <c r="I415" s="402"/>
      <c r="J415" s="402"/>
      <c r="K415" s="402"/>
      <c r="L415" s="402"/>
      <c r="M415" s="402"/>
      <c r="N415" s="402"/>
      <c r="O415" s="402"/>
      <c r="P415" s="402"/>
      <c r="Q415" s="402"/>
      <c r="R415" s="402"/>
      <c r="S415" s="402"/>
      <c r="T415" s="402"/>
      <c r="U415" s="402"/>
      <c r="V415" s="402"/>
      <c r="W415" s="402"/>
      <c r="X415" s="402"/>
      <c r="Y415" s="402"/>
      <c r="Z415" s="402"/>
    </row>
    <row r="416" ht="14.25" customHeight="1">
      <c r="A416" s="402"/>
      <c r="B416" s="402"/>
      <c r="C416" s="402"/>
      <c r="D416" s="402"/>
      <c r="E416" s="402"/>
      <c r="F416" s="403"/>
      <c r="G416" s="403"/>
      <c r="H416" s="402"/>
      <c r="I416" s="402"/>
      <c r="J416" s="402"/>
      <c r="K416" s="402"/>
      <c r="L416" s="402"/>
      <c r="M416" s="402"/>
      <c r="N416" s="402"/>
      <c r="O416" s="402"/>
      <c r="P416" s="402"/>
      <c r="Q416" s="402"/>
      <c r="R416" s="402"/>
      <c r="S416" s="402"/>
      <c r="T416" s="402"/>
      <c r="U416" s="402"/>
      <c r="V416" s="402"/>
      <c r="W416" s="402"/>
      <c r="X416" s="402"/>
      <c r="Y416" s="402"/>
      <c r="Z416" s="402"/>
    </row>
    <row r="417" ht="14.25" customHeight="1">
      <c r="A417" s="402"/>
      <c r="B417" s="402"/>
      <c r="C417" s="402"/>
      <c r="D417" s="402"/>
      <c r="E417" s="402"/>
      <c r="F417" s="403"/>
      <c r="G417" s="403"/>
      <c r="H417" s="402"/>
      <c r="I417" s="402"/>
      <c r="J417" s="402"/>
      <c r="K417" s="402"/>
      <c r="L417" s="402"/>
      <c r="M417" s="402"/>
      <c r="N417" s="402"/>
      <c r="O417" s="402"/>
      <c r="P417" s="402"/>
      <c r="Q417" s="402"/>
      <c r="R417" s="402"/>
      <c r="S417" s="402"/>
      <c r="T417" s="402"/>
      <c r="U417" s="402"/>
      <c r="V417" s="402"/>
      <c r="W417" s="402"/>
      <c r="X417" s="402"/>
      <c r="Y417" s="402"/>
      <c r="Z417" s="402"/>
    </row>
    <row r="418" ht="14.25" customHeight="1">
      <c r="A418" s="402"/>
      <c r="B418" s="402"/>
      <c r="C418" s="402"/>
      <c r="D418" s="402"/>
      <c r="E418" s="402"/>
      <c r="F418" s="403"/>
      <c r="G418" s="403"/>
      <c r="H418" s="402"/>
      <c r="I418" s="402"/>
      <c r="J418" s="402"/>
      <c r="K418" s="402"/>
      <c r="L418" s="402"/>
      <c r="M418" s="402"/>
      <c r="N418" s="402"/>
      <c r="O418" s="402"/>
      <c r="P418" s="402"/>
      <c r="Q418" s="402"/>
      <c r="R418" s="402"/>
      <c r="S418" s="402"/>
      <c r="T418" s="402"/>
      <c r="U418" s="402"/>
      <c r="V418" s="402"/>
      <c r="W418" s="402"/>
      <c r="X418" s="402"/>
      <c r="Y418" s="402"/>
      <c r="Z418" s="402"/>
    </row>
    <row r="419" ht="14.25" customHeight="1">
      <c r="A419" s="402"/>
      <c r="B419" s="402"/>
      <c r="C419" s="402"/>
      <c r="D419" s="402"/>
      <c r="E419" s="402"/>
      <c r="F419" s="403"/>
      <c r="G419" s="403"/>
      <c r="H419" s="402"/>
      <c r="I419" s="402"/>
      <c r="J419" s="402"/>
      <c r="K419" s="402"/>
      <c r="L419" s="402"/>
      <c r="M419" s="402"/>
      <c r="N419" s="402"/>
      <c r="O419" s="402"/>
      <c r="P419" s="402"/>
      <c r="Q419" s="402"/>
      <c r="R419" s="402"/>
      <c r="S419" s="402"/>
      <c r="T419" s="402"/>
      <c r="U419" s="402"/>
      <c r="V419" s="402"/>
      <c r="W419" s="402"/>
      <c r="X419" s="402"/>
      <c r="Y419" s="402"/>
      <c r="Z419" s="402"/>
    </row>
    <row r="420" ht="14.25" customHeight="1">
      <c r="A420" s="402"/>
      <c r="B420" s="402"/>
      <c r="C420" s="402"/>
      <c r="D420" s="402"/>
      <c r="E420" s="402"/>
      <c r="F420" s="403"/>
      <c r="G420" s="403"/>
      <c r="H420" s="402"/>
      <c r="I420" s="402"/>
      <c r="J420" s="402"/>
      <c r="K420" s="402"/>
      <c r="L420" s="402"/>
      <c r="M420" s="402"/>
      <c r="N420" s="402"/>
      <c r="O420" s="402"/>
      <c r="P420" s="402"/>
      <c r="Q420" s="402"/>
      <c r="R420" s="402"/>
      <c r="S420" s="402"/>
      <c r="T420" s="402"/>
      <c r="U420" s="402"/>
      <c r="V420" s="402"/>
      <c r="W420" s="402"/>
      <c r="X420" s="402"/>
      <c r="Y420" s="402"/>
      <c r="Z420" s="402"/>
    </row>
    <row r="421" ht="14.25" customHeight="1">
      <c r="A421" s="402"/>
      <c r="B421" s="402"/>
      <c r="C421" s="402"/>
      <c r="D421" s="402"/>
      <c r="E421" s="402"/>
      <c r="F421" s="403"/>
      <c r="G421" s="403"/>
      <c r="H421" s="402"/>
      <c r="I421" s="402"/>
      <c r="J421" s="402"/>
      <c r="K421" s="402"/>
      <c r="L421" s="402"/>
      <c r="M421" s="402"/>
      <c r="N421" s="402"/>
      <c r="O421" s="402"/>
      <c r="P421" s="402"/>
      <c r="Q421" s="402"/>
      <c r="R421" s="402"/>
      <c r="S421" s="402"/>
      <c r="T421" s="402"/>
      <c r="U421" s="402"/>
      <c r="V421" s="402"/>
      <c r="W421" s="402"/>
      <c r="X421" s="402"/>
      <c r="Y421" s="402"/>
      <c r="Z421" s="402"/>
    </row>
    <row r="422" ht="14.25" customHeight="1">
      <c r="A422" s="402"/>
      <c r="B422" s="402"/>
      <c r="C422" s="402"/>
      <c r="D422" s="402"/>
      <c r="E422" s="402"/>
      <c r="F422" s="403"/>
      <c r="G422" s="403"/>
      <c r="H422" s="402"/>
      <c r="I422" s="402"/>
      <c r="J422" s="402"/>
      <c r="K422" s="402"/>
      <c r="L422" s="402"/>
      <c r="M422" s="402"/>
      <c r="N422" s="402"/>
      <c r="O422" s="402"/>
      <c r="P422" s="402"/>
      <c r="Q422" s="402"/>
      <c r="R422" s="402"/>
      <c r="S422" s="402"/>
      <c r="T422" s="402"/>
      <c r="U422" s="402"/>
      <c r="V422" s="402"/>
      <c r="W422" s="402"/>
      <c r="X422" s="402"/>
      <c r="Y422" s="402"/>
      <c r="Z422" s="402"/>
    </row>
    <row r="423" ht="14.25" customHeight="1">
      <c r="A423" s="402"/>
      <c r="B423" s="402"/>
      <c r="C423" s="402"/>
      <c r="D423" s="402"/>
      <c r="E423" s="402"/>
      <c r="F423" s="403"/>
      <c r="G423" s="403"/>
      <c r="H423" s="402"/>
      <c r="I423" s="402"/>
      <c r="J423" s="402"/>
      <c r="K423" s="402"/>
      <c r="L423" s="402"/>
      <c r="M423" s="402"/>
      <c r="N423" s="402"/>
      <c r="O423" s="402"/>
      <c r="P423" s="402"/>
      <c r="Q423" s="402"/>
      <c r="R423" s="402"/>
      <c r="S423" s="402"/>
      <c r="T423" s="402"/>
      <c r="U423" s="402"/>
      <c r="V423" s="402"/>
      <c r="W423" s="402"/>
      <c r="X423" s="402"/>
      <c r="Y423" s="402"/>
      <c r="Z423" s="402"/>
    </row>
    <row r="424" ht="14.25" customHeight="1">
      <c r="A424" s="402"/>
      <c r="B424" s="402"/>
      <c r="C424" s="402"/>
      <c r="D424" s="402"/>
      <c r="E424" s="402"/>
      <c r="F424" s="403"/>
      <c r="G424" s="403"/>
      <c r="H424" s="402"/>
      <c r="I424" s="402"/>
      <c r="J424" s="402"/>
      <c r="K424" s="402"/>
      <c r="L424" s="402"/>
      <c r="M424" s="402"/>
      <c r="N424" s="402"/>
      <c r="O424" s="402"/>
      <c r="P424" s="402"/>
      <c r="Q424" s="402"/>
      <c r="R424" s="402"/>
      <c r="S424" s="402"/>
      <c r="T424" s="402"/>
      <c r="U424" s="402"/>
      <c r="V424" s="402"/>
      <c r="W424" s="402"/>
      <c r="X424" s="402"/>
      <c r="Y424" s="402"/>
      <c r="Z424" s="402"/>
    </row>
    <row r="425" ht="14.25" customHeight="1">
      <c r="A425" s="402"/>
      <c r="B425" s="402"/>
      <c r="C425" s="402"/>
      <c r="D425" s="402"/>
      <c r="E425" s="402"/>
      <c r="F425" s="403"/>
      <c r="G425" s="403"/>
      <c r="H425" s="402"/>
      <c r="I425" s="402"/>
      <c r="J425" s="402"/>
      <c r="K425" s="402"/>
      <c r="L425" s="402"/>
      <c r="M425" s="402"/>
      <c r="N425" s="402"/>
      <c r="O425" s="402"/>
      <c r="P425" s="402"/>
      <c r="Q425" s="402"/>
      <c r="R425" s="402"/>
      <c r="S425" s="402"/>
      <c r="T425" s="402"/>
      <c r="U425" s="402"/>
      <c r="V425" s="402"/>
      <c r="W425" s="402"/>
      <c r="X425" s="402"/>
      <c r="Y425" s="402"/>
      <c r="Z425" s="402"/>
    </row>
    <row r="426" ht="14.25" customHeight="1">
      <c r="A426" s="402"/>
      <c r="B426" s="402"/>
      <c r="C426" s="402"/>
      <c r="D426" s="402"/>
      <c r="E426" s="402"/>
      <c r="F426" s="403"/>
      <c r="G426" s="403"/>
      <c r="H426" s="402"/>
      <c r="I426" s="402"/>
      <c r="J426" s="402"/>
      <c r="K426" s="402"/>
      <c r="L426" s="402"/>
      <c r="M426" s="402"/>
      <c r="N426" s="402"/>
      <c r="O426" s="402"/>
      <c r="P426" s="402"/>
      <c r="Q426" s="402"/>
      <c r="R426" s="402"/>
      <c r="S426" s="402"/>
      <c r="T426" s="402"/>
      <c r="U426" s="402"/>
      <c r="V426" s="402"/>
      <c r="W426" s="402"/>
      <c r="X426" s="402"/>
      <c r="Y426" s="402"/>
      <c r="Z426" s="402"/>
    </row>
    <row r="427" ht="14.25" customHeight="1">
      <c r="A427" s="402"/>
      <c r="B427" s="402"/>
      <c r="C427" s="402"/>
      <c r="D427" s="402"/>
      <c r="E427" s="402"/>
      <c r="F427" s="403"/>
      <c r="G427" s="403"/>
      <c r="H427" s="402"/>
      <c r="I427" s="402"/>
      <c r="J427" s="402"/>
      <c r="K427" s="402"/>
      <c r="L427" s="402"/>
      <c r="M427" s="402"/>
      <c r="N427" s="402"/>
      <c r="O427" s="402"/>
      <c r="P427" s="402"/>
      <c r="Q427" s="402"/>
      <c r="R427" s="402"/>
      <c r="S427" s="402"/>
      <c r="T427" s="402"/>
      <c r="U427" s="402"/>
      <c r="V427" s="402"/>
      <c r="W427" s="402"/>
      <c r="X427" s="402"/>
      <c r="Y427" s="402"/>
      <c r="Z427" s="402"/>
    </row>
    <row r="428" ht="14.25" customHeight="1">
      <c r="A428" s="402"/>
      <c r="B428" s="402"/>
      <c r="C428" s="402"/>
      <c r="D428" s="402"/>
      <c r="E428" s="402"/>
      <c r="F428" s="403"/>
      <c r="G428" s="403"/>
      <c r="H428" s="402"/>
      <c r="I428" s="402"/>
      <c r="J428" s="402"/>
      <c r="K428" s="402"/>
      <c r="L428" s="402"/>
      <c r="M428" s="402"/>
      <c r="N428" s="402"/>
      <c r="O428" s="402"/>
      <c r="P428" s="402"/>
      <c r="Q428" s="402"/>
      <c r="R428" s="402"/>
      <c r="S428" s="402"/>
      <c r="T428" s="402"/>
      <c r="U428" s="402"/>
      <c r="V428" s="402"/>
      <c r="W428" s="402"/>
      <c r="X428" s="402"/>
      <c r="Y428" s="402"/>
      <c r="Z428" s="402"/>
    </row>
    <row r="429" ht="14.25" customHeight="1">
      <c r="A429" s="402"/>
      <c r="B429" s="402"/>
      <c r="C429" s="402"/>
      <c r="D429" s="402"/>
      <c r="E429" s="402"/>
      <c r="F429" s="403"/>
      <c r="G429" s="403"/>
      <c r="H429" s="402"/>
      <c r="I429" s="402"/>
      <c r="J429" s="402"/>
      <c r="K429" s="402"/>
      <c r="L429" s="402"/>
      <c r="M429" s="402"/>
      <c r="N429" s="402"/>
      <c r="O429" s="402"/>
      <c r="P429" s="402"/>
      <c r="Q429" s="402"/>
      <c r="R429" s="402"/>
      <c r="S429" s="402"/>
      <c r="T429" s="402"/>
      <c r="U429" s="402"/>
      <c r="V429" s="402"/>
      <c r="W429" s="402"/>
      <c r="X429" s="402"/>
      <c r="Y429" s="402"/>
      <c r="Z429" s="402"/>
    </row>
    <row r="430" ht="14.25" customHeight="1">
      <c r="A430" s="402"/>
      <c r="B430" s="402"/>
      <c r="C430" s="402"/>
      <c r="D430" s="402"/>
      <c r="E430" s="402"/>
      <c r="F430" s="403"/>
      <c r="G430" s="403"/>
      <c r="H430" s="402"/>
      <c r="I430" s="402"/>
      <c r="J430" s="402"/>
      <c r="K430" s="402"/>
      <c r="L430" s="402"/>
      <c r="M430" s="402"/>
      <c r="N430" s="402"/>
      <c r="O430" s="402"/>
      <c r="P430" s="402"/>
      <c r="Q430" s="402"/>
      <c r="R430" s="402"/>
      <c r="S430" s="402"/>
      <c r="T430" s="402"/>
      <c r="U430" s="402"/>
      <c r="V430" s="402"/>
      <c r="W430" s="402"/>
      <c r="X430" s="402"/>
      <c r="Y430" s="402"/>
      <c r="Z430" s="402"/>
    </row>
    <row r="431" ht="14.25" customHeight="1">
      <c r="A431" s="402"/>
      <c r="B431" s="402"/>
      <c r="C431" s="402"/>
      <c r="D431" s="402"/>
      <c r="E431" s="402"/>
      <c r="F431" s="403"/>
      <c r="G431" s="403"/>
      <c r="H431" s="402"/>
      <c r="I431" s="402"/>
      <c r="J431" s="402"/>
      <c r="K431" s="402"/>
      <c r="L431" s="402"/>
      <c r="M431" s="402"/>
      <c r="N431" s="402"/>
      <c r="O431" s="402"/>
      <c r="P431" s="402"/>
      <c r="Q431" s="402"/>
      <c r="R431" s="402"/>
      <c r="S431" s="402"/>
      <c r="T431" s="402"/>
      <c r="U431" s="402"/>
      <c r="V431" s="402"/>
      <c r="W431" s="402"/>
      <c r="X431" s="402"/>
      <c r="Y431" s="402"/>
      <c r="Z431" s="402"/>
    </row>
    <row r="432" ht="14.25" customHeight="1">
      <c r="A432" s="402"/>
      <c r="B432" s="402"/>
      <c r="C432" s="402"/>
      <c r="D432" s="402"/>
      <c r="E432" s="402"/>
      <c r="F432" s="403"/>
      <c r="G432" s="403"/>
      <c r="H432" s="402"/>
      <c r="I432" s="402"/>
      <c r="J432" s="402"/>
      <c r="K432" s="402"/>
      <c r="L432" s="402"/>
      <c r="M432" s="402"/>
      <c r="N432" s="402"/>
      <c r="O432" s="402"/>
      <c r="P432" s="402"/>
      <c r="Q432" s="402"/>
      <c r="R432" s="402"/>
      <c r="S432" s="402"/>
      <c r="T432" s="402"/>
      <c r="U432" s="402"/>
      <c r="V432" s="402"/>
      <c r="W432" s="402"/>
      <c r="X432" s="402"/>
      <c r="Y432" s="402"/>
      <c r="Z432" s="402"/>
    </row>
    <row r="433" ht="14.25" customHeight="1">
      <c r="A433" s="402"/>
      <c r="B433" s="402"/>
      <c r="C433" s="402"/>
      <c r="D433" s="402"/>
      <c r="E433" s="402"/>
      <c r="F433" s="403"/>
      <c r="G433" s="403"/>
      <c r="H433" s="402"/>
      <c r="I433" s="402"/>
      <c r="J433" s="402"/>
      <c r="K433" s="402"/>
      <c r="L433" s="402"/>
      <c r="M433" s="402"/>
      <c r="N433" s="402"/>
      <c r="O433" s="402"/>
      <c r="P433" s="402"/>
      <c r="Q433" s="402"/>
      <c r="R433" s="402"/>
      <c r="S433" s="402"/>
      <c r="T433" s="402"/>
      <c r="U433" s="402"/>
      <c r="V433" s="402"/>
      <c r="W433" s="402"/>
      <c r="X433" s="402"/>
      <c r="Y433" s="402"/>
      <c r="Z433" s="402"/>
    </row>
    <row r="434" ht="14.25" customHeight="1">
      <c r="A434" s="402"/>
      <c r="B434" s="402"/>
      <c r="C434" s="402"/>
      <c r="D434" s="402"/>
      <c r="E434" s="402"/>
      <c r="F434" s="403"/>
      <c r="G434" s="403"/>
      <c r="H434" s="402"/>
      <c r="I434" s="402"/>
      <c r="J434" s="402"/>
      <c r="K434" s="402"/>
      <c r="L434" s="402"/>
      <c r="M434" s="402"/>
      <c r="N434" s="402"/>
      <c r="O434" s="402"/>
      <c r="P434" s="402"/>
      <c r="Q434" s="402"/>
      <c r="R434" s="402"/>
      <c r="S434" s="402"/>
      <c r="T434" s="402"/>
      <c r="U434" s="402"/>
      <c r="V434" s="402"/>
      <c r="W434" s="402"/>
      <c r="X434" s="402"/>
      <c r="Y434" s="402"/>
      <c r="Z434" s="402"/>
    </row>
    <row r="435" ht="14.25" customHeight="1">
      <c r="A435" s="402"/>
      <c r="B435" s="402"/>
      <c r="C435" s="402"/>
      <c r="D435" s="402"/>
      <c r="E435" s="402"/>
      <c r="F435" s="403"/>
      <c r="G435" s="403"/>
      <c r="H435" s="402"/>
      <c r="I435" s="402"/>
      <c r="J435" s="402"/>
      <c r="K435" s="402"/>
      <c r="L435" s="402"/>
      <c r="M435" s="402"/>
      <c r="N435" s="402"/>
      <c r="O435" s="402"/>
      <c r="P435" s="402"/>
      <c r="Q435" s="402"/>
      <c r="R435" s="402"/>
      <c r="S435" s="402"/>
      <c r="T435" s="402"/>
      <c r="U435" s="402"/>
      <c r="V435" s="402"/>
      <c r="W435" s="402"/>
      <c r="X435" s="402"/>
      <c r="Y435" s="402"/>
      <c r="Z435" s="402"/>
    </row>
    <row r="436" ht="14.25" customHeight="1">
      <c r="A436" s="402"/>
      <c r="B436" s="402"/>
      <c r="C436" s="402"/>
      <c r="D436" s="402"/>
      <c r="E436" s="402"/>
      <c r="F436" s="403"/>
      <c r="G436" s="403"/>
      <c r="H436" s="402"/>
      <c r="I436" s="402"/>
      <c r="J436" s="402"/>
      <c r="K436" s="402"/>
      <c r="L436" s="402"/>
      <c r="M436" s="402"/>
      <c r="N436" s="402"/>
      <c r="O436" s="402"/>
      <c r="P436" s="402"/>
      <c r="Q436" s="402"/>
      <c r="R436" s="402"/>
      <c r="S436" s="402"/>
      <c r="T436" s="402"/>
      <c r="U436" s="402"/>
      <c r="V436" s="402"/>
      <c r="W436" s="402"/>
      <c r="X436" s="402"/>
      <c r="Y436" s="402"/>
      <c r="Z436" s="402"/>
    </row>
    <row r="437" ht="14.25" customHeight="1">
      <c r="A437" s="402"/>
      <c r="B437" s="402"/>
      <c r="C437" s="402"/>
      <c r="D437" s="402"/>
      <c r="E437" s="402"/>
      <c r="F437" s="403"/>
      <c r="G437" s="403"/>
      <c r="H437" s="402"/>
      <c r="I437" s="402"/>
      <c r="J437" s="402"/>
      <c r="K437" s="402"/>
      <c r="L437" s="402"/>
      <c r="M437" s="402"/>
      <c r="N437" s="402"/>
      <c r="O437" s="402"/>
      <c r="P437" s="402"/>
      <c r="Q437" s="402"/>
      <c r="R437" s="402"/>
      <c r="S437" s="402"/>
      <c r="T437" s="402"/>
      <c r="U437" s="402"/>
      <c r="V437" s="402"/>
      <c r="W437" s="402"/>
      <c r="X437" s="402"/>
      <c r="Y437" s="402"/>
      <c r="Z437" s="402"/>
    </row>
    <row r="438" ht="14.25" customHeight="1">
      <c r="A438" s="402"/>
      <c r="B438" s="402"/>
      <c r="C438" s="402"/>
      <c r="D438" s="402"/>
      <c r="E438" s="402"/>
      <c r="F438" s="403"/>
      <c r="G438" s="403"/>
      <c r="H438" s="402"/>
      <c r="I438" s="402"/>
      <c r="J438" s="402"/>
      <c r="K438" s="402"/>
      <c r="L438" s="402"/>
      <c r="M438" s="402"/>
      <c r="N438" s="402"/>
      <c r="O438" s="402"/>
      <c r="P438" s="402"/>
      <c r="Q438" s="402"/>
      <c r="R438" s="402"/>
      <c r="S438" s="402"/>
      <c r="T438" s="402"/>
      <c r="U438" s="402"/>
      <c r="V438" s="402"/>
      <c r="W438" s="402"/>
      <c r="X438" s="402"/>
      <c r="Y438" s="402"/>
      <c r="Z438" s="402"/>
    </row>
    <row r="439" ht="14.25" customHeight="1">
      <c r="A439" s="402"/>
      <c r="B439" s="402"/>
      <c r="C439" s="402"/>
      <c r="D439" s="402"/>
      <c r="E439" s="402"/>
      <c r="F439" s="403"/>
      <c r="G439" s="403"/>
      <c r="H439" s="402"/>
      <c r="I439" s="402"/>
      <c r="J439" s="402"/>
      <c r="K439" s="402"/>
      <c r="L439" s="402"/>
      <c r="M439" s="402"/>
      <c r="N439" s="402"/>
      <c r="O439" s="402"/>
      <c r="P439" s="402"/>
      <c r="Q439" s="402"/>
      <c r="R439" s="402"/>
      <c r="S439" s="402"/>
      <c r="T439" s="402"/>
      <c r="U439" s="402"/>
      <c r="V439" s="402"/>
      <c r="W439" s="402"/>
      <c r="X439" s="402"/>
      <c r="Y439" s="402"/>
      <c r="Z439" s="402"/>
    </row>
    <row r="440" ht="14.25" customHeight="1">
      <c r="A440" s="402"/>
      <c r="B440" s="402"/>
      <c r="C440" s="402"/>
      <c r="D440" s="402"/>
      <c r="E440" s="402"/>
      <c r="F440" s="403"/>
      <c r="G440" s="403"/>
      <c r="H440" s="402"/>
      <c r="I440" s="402"/>
      <c r="J440" s="402"/>
      <c r="K440" s="402"/>
      <c r="L440" s="402"/>
      <c r="M440" s="402"/>
      <c r="N440" s="402"/>
      <c r="O440" s="402"/>
      <c r="P440" s="402"/>
      <c r="Q440" s="402"/>
      <c r="R440" s="402"/>
      <c r="S440" s="402"/>
      <c r="T440" s="402"/>
      <c r="U440" s="402"/>
      <c r="V440" s="402"/>
      <c r="W440" s="402"/>
      <c r="X440" s="402"/>
      <c r="Y440" s="402"/>
      <c r="Z440" s="402"/>
    </row>
    <row r="441" ht="14.25" customHeight="1">
      <c r="A441" s="402"/>
      <c r="B441" s="402"/>
      <c r="C441" s="402"/>
      <c r="D441" s="402"/>
      <c r="E441" s="402"/>
      <c r="F441" s="403"/>
      <c r="G441" s="403"/>
      <c r="H441" s="402"/>
      <c r="I441" s="402"/>
      <c r="J441" s="402"/>
      <c r="K441" s="402"/>
      <c r="L441" s="402"/>
      <c r="M441" s="402"/>
      <c r="N441" s="402"/>
      <c r="O441" s="402"/>
      <c r="P441" s="402"/>
      <c r="Q441" s="402"/>
      <c r="R441" s="402"/>
      <c r="S441" s="402"/>
      <c r="T441" s="402"/>
      <c r="U441" s="402"/>
      <c r="V441" s="402"/>
      <c r="W441" s="402"/>
      <c r="X441" s="402"/>
      <c r="Y441" s="402"/>
      <c r="Z441" s="402"/>
    </row>
    <row r="442" ht="14.25" customHeight="1">
      <c r="A442" s="402"/>
      <c r="B442" s="402"/>
      <c r="C442" s="402"/>
      <c r="D442" s="402"/>
      <c r="E442" s="402"/>
      <c r="F442" s="403"/>
      <c r="G442" s="403"/>
      <c r="H442" s="402"/>
      <c r="I442" s="402"/>
      <c r="J442" s="402"/>
      <c r="K442" s="402"/>
      <c r="L442" s="402"/>
      <c r="M442" s="402"/>
      <c r="N442" s="402"/>
      <c r="O442" s="402"/>
      <c r="P442" s="402"/>
      <c r="Q442" s="402"/>
      <c r="R442" s="402"/>
      <c r="S442" s="402"/>
      <c r="T442" s="402"/>
      <c r="U442" s="402"/>
      <c r="V442" s="402"/>
      <c r="W442" s="402"/>
      <c r="X442" s="402"/>
      <c r="Y442" s="402"/>
      <c r="Z442" s="402"/>
    </row>
    <row r="443" ht="14.25" customHeight="1">
      <c r="A443" s="402"/>
      <c r="B443" s="402"/>
      <c r="C443" s="402"/>
      <c r="D443" s="402"/>
      <c r="E443" s="402"/>
      <c r="F443" s="403"/>
      <c r="G443" s="403"/>
      <c r="H443" s="402"/>
      <c r="I443" s="402"/>
      <c r="J443" s="402"/>
      <c r="K443" s="402"/>
      <c r="L443" s="402"/>
      <c r="M443" s="402"/>
      <c r="N443" s="402"/>
      <c r="O443" s="402"/>
      <c r="P443" s="402"/>
      <c r="Q443" s="402"/>
      <c r="R443" s="402"/>
      <c r="S443" s="402"/>
      <c r="T443" s="402"/>
      <c r="U443" s="402"/>
      <c r="V443" s="402"/>
      <c r="W443" s="402"/>
      <c r="X443" s="402"/>
      <c r="Y443" s="402"/>
      <c r="Z443" s="402"/>
    </row>
    <row r="444" ht="14.25" customHeight="1">
      <c r="A444" s="402"/>
      <c r="B444" s="402"/>
      <c r="C444" s="402"/>
      <c r="D444" s="402"/>
      <c r="E444" s="402"/>
      <c r="F444" s="403"/>
      <c r="G444" s="403"/>
      <c r="H444" s="402"/>
      <c r="I444" s="402"/>
      <c r="J444" s="402"/>
      <c r="K444" s="402"/>
      <c r="L444" s="402"/>
      <c r="M444" s="402"/>
      <c r="N444" s="402"/>
      <c r="O444" s="402"/>
      <c r="P444" s="402"/>
      <c r="Q444" s="402"/>
      <c r="R444" s="402"/>
      <c r="S444" s="402"/>
      <c r="T444" s="402"/>
      <c r="U444" s="402"/>
      <c r="V444" s="402"/>
      <c r="W444" s="402"/>
      <c r="X444" s="402"/>
      <c r="Y444" s="402"/>
      <c r="Z444" s="402"/>
    </row>
    <row r="445" ht="14.25" customHeight="1">
      <c r="A445" s="402"/>
      <c r="B445" s="402"/>
      <c r="C445" s="402"/>
      <c r="D445" s="402"/>
      <c r="E445" s="402"/>
      <c r="F445" s="403"/>
      <c r="G445" s="403"/>
      <c r="H445" s="402"/>
      <c r="I445" s="402"/>
      <c r="J445" s="402"/>
      <c r="K445" s="402"/>
      <c r="L445" s="402"/>
      <c r="M445" s="402"/>
      <c r="N445" s="402"/>
      <c r="O445" s="402"/>
      <c r="P445" s="402"/>
      <c r="Q445" s="402"/>
      <c r="R445" s="402"/>
      <c r="S445" s="402"/>
      <c r="T445" s="402"/>
      <c r="U445" s="402"/>
      <c r="V445" s="402"/>
      <c r="W445" s="402"/>
      <c r="X445" s="402"/>
      <c r="Y445" s="402"/>
      <c r="Z445" s="402"/>
    </row>
    <row r="446" ht="14.25" customHeight="1">
      <c r="A446" s="402"/>
      <c r="B446" s="402"/>
      <c r="C446" s="402"/>
      <c r="D446" s="402"/>
      <c r="E446" s="402"/>
      <c r="F446" s="403"/>
      <c r="G446" s="403"/>
      <c r="H446" s="402"/>
      <c r="I446" s="402"/>
      <c r="J446" s="402"/>
      <c r="K446" s="402"/>
      <c r="L446" s="402"/>
      <c r="M446" s="402"/>
      <c r="N446" s="402"/>
      <c r="O446" s="402"/>
      <c r="P446" s="402"/>
      <c r="Q446" s="402"/>
      <c r="R446" s="402"/>
      <c r="S446" s="402"/>
      <c r="T446" s="402"/>
      <c r="U446" s="402"/>
      <c r="V446" s="402"/>
      <c r="W446" s="402"/>
      <c r="X446" s="402"/>
      <c r="Y446" s="402"/>
      <c r="Z446" s="402"/>
    </row>
    <row r="447" ht="14.25" customHeight="1">
      <c r="A447" s="402"/>
      <c r="B447" s="402"/>
      <c r="C447" s="402"/>
      <c r="D447" s="402"/>
      <c r="E447" s="402"/>
      <c r="F447" s="403"/>
      <c r="G447" s="403"/>
      <c r="H447" s="402"/>
      <c r="I447" s="402"/>
      <c r="J447" s="402"/>
      <c r="K447" s="402"/>
      <c r="L447" s="402"/>
      <c r="M447" s="402"/>
      <c r="N447" s="402"/>
      <c r="O447" s="402"/>
      <c r="P447" s="402"/>
      <c r="Q447" s="402"/>
      <c r="R447" s="402"/>
      <c r="S447" s="402"/>
      <c r="T447" s="402"/>
      <c r="U447" s="402"/>
      <c r="V447" s="402"/>
      <c r="W447" s="402"/>
      <c r="X447" s="402"/>
      <c r="Y447" s="402"/>
      <c r="Z447" s="402"/>
    </row>
    <row r="448" ht="14.25" customHeight="1">
      <c r="A448" s="402"/>
      <c r="B448" s="402"/>
      <c r="C448" s="402"/>
      <c r="D448" s="402"/>
      <c r="E448" s="402"/>
      <c r="F448" s="403"/>
      <c r="G448" s="403"/>
      <c r="H448" s="402"/>
      <c r="I448" s="402"/>
      <c r="J448" s="402"/>
      <c r="K448" s="402"/>
      <c r="L448" s="402"/>
      <c r="M448" s="402"/>
      <c r="N448" s="402"/>
      <c r="O448" s="402"/>
      <c r="P448" s="402"/>
      <c r="Q448" s="402"/>
      <c r="R448" s="402"/>
      <c r="S448" s="402"/>
      <c r="T448" s="402"/>
      <c r="U448" s="402"/>
      <c r="V448" s="402"/>
      <c r="W448" s="402"/>
      <c r="X448" s="402"/>
      <c r="Y448" s="402"/>
      <c r="Z448" s="402"/>
    </row>
    <row r="449" ht="14.25" customHeight="1">
      <c r="A449" s="402"/>
      <c r="B449" s="402"/>
      <c r="C449" s="402"/>
      <c r="D449" s="402"/>
      <c r="E449" s="402"/>
      <c r="F449" s="403"/>
      <c r="G449" s="403"/>
      <c r="H449" s="402"/>
      <c r="I449" s="402"/>
      <c r="J449" s="402"/>
      <c r="K449" s="402"/>
      <c r="L449" s="402"/>
      <c r="M449" s="402"/>
      <c r="N449" s="402"/>
      <c r="O449" s="402"/>
      <c r="P449" s="402"/>
      <c r="Q449" s="402"/>
      <c r="R449" s="402"/>
      <c r="S449" s="402"/>
      <c r="T449" s="402"/>
      <c r="U449" s="402"/>
      <c r="V449" s="402"/>
      <c r="W449" s="402"/>
      <c r="X449" s="402"/>
      <c r="Y449" s="402"/>
      <c r="Z449" s="402"/>
    </row>
    <row r="450" ht="14.25" customHeight="1">
      <c r="A450" s="402"/>
      <c r="B450" s="402"/>
      <c r="C450" s="402"/>
      <c r="D450" s="402"/>
      <c r="E450" s="402"/>
      <c r="F450" s="403"/>
      <c r="G450" s="403"/>
      <c r="H450" s="402"/>
      <c r="I450" s="402"/>
      <c r="J450" s="402"/>
      <c r="K450" s="402"/>
      <c r="L450" s="402"/>
      <c r="M450" s="402"/>
      <c r="N450" s="402"/>
      <c r="O450" s="402"/>
      <c r="P450" s="402"/>
      <c r="Q450" s="402"/>
      <c r="R450" s="402"/>
      <c r="S450" s="402"/>
      <c r="T450" s="402"/>
      <c r="U450" s="402"/>
      <c r="V450" s="402"/>
      <c r="W450" s="402"/>
      <c r="X450" s="402"/>
      <c r="Y450" s="402"/>
      <c r="Z450" s="402"/>
    </row>
    <row r="451" ht="14.25" customHeight="1">
      <c r="A451" s="402"/>
      <c r="B451" s="402"/>
      <c r="C451" s="402"/>
      <c r="D451" s="402"/>
      <c r="E451" s="402"/>
      <c r="F451" s="403"/>
      <c r="G451" s="403"/>
      <c r="H451" s="402"/>
      <c r="I451" s="402"/>
      <c r="J451" s="402"/>
      <c r="K451" s="402"/>
      <c r="L451" s="402"/>
      <c r="M451" s="402"/>
      <c r="N451" s="402"/>
      <c r="O451" s="402"/>
      <c r="P451" s="402"/>
      <c r="Q451" s="402"/>
      <c r="R451" s="402"/>
      <c r="S451" s="402"/>
      <c r="T451" s="402"/>
      <c r="U451" s="402"/>
      <c r="V451" s="402"/>
      <c r="W451" s="402"/>
      <c r="X451" s="402"/>
      <c r="Y451" s="402"/>
      <c r="Z451" s="402"/>
    </row>
    <row r="452" ht="14.25" customHeight="1">
      <c r="A452" s="402"/>
      <c r="B452" s="402"/>
      <c r="C452" s="402"/>
      <c r="D452" s="402"/>
      <c r="E452" s="402"/>
      <c r="F452" s="403"/>
      <c r="G452" s="403"/>
      <c r="H452" s="402"/>
      <c r="I452" s="402"/>
      <c r="J452" s="402"/>
      <c r="K452" s="402"/>
      <c r="L452" s="402"/>
      <c r="M452" s="402"/>
      <c r="N452" s="402"/>
      <c r="O452" s="402"/>
      <c r="P452" s="402"/>
      <c r="Q452" s="402"/>
      <c r="R452" s="402"/>
      <c r="S452" s="402"/>
      <c r="T452" s="402"/>
      <c r="U452" s="402"/>
      <c r="V452" s="402"/>
      <c r="W452" s="402"/>
      <c r="X452" s="402"/>
      <c r="Y452" s="402"/>
      <c r="Z452" s="402"/>
    </row>
    <row r="453" ht="14.25" customHeight="1">
      <c r="A453" s="402"/>
      <c r="B453" s="402"/>
      <c r="C453" s="402"/>
      <c r="D453" s="402"/>
      <c r="E453" s="402"/>
      <c r="F453" s="403"/>
      <c r="G453" s="403"/>
      <c r="H453" s="402"/>
      <c r="I453" s="402"/>
      <c r="J453" s="402"/>
      <c r="K453" s="402"/>
      <c r="L453" s="402"/>
      <c r="M453" s="402"/>
      <c r="N453" s="402"/>
      <c r="O453" s="402"/>
      <c r="P453" s="402"/>
      <c r="Q453" s="402"/>
      <c r="R453" s="402"/>
      <c r="S453" s="402"/>
      <c r="T453" s="402"/>
      <c r="U453" s="402"/>
      <c r="V453" s="402"/>
      <c r="W453" s="402"/>
      <c r="X453" s="402"/>
      <c r="Y453" s="402"/>
      <c r="Z453" s="402"/>
    </row>
    <row r="454" ht="14.25" customHeight="1">
      <c r="A454" s="402"/>
      <c r="B454" s="402"/>
      <c r="C454" s="402"/>
      <c r="D454" s="402"/>
      <c r="E454" s="402"/>
      <c r="F454" s="403"/>
      <c r="G454" s="403"/>
      <c r="H454" s="402"/>
      <c r="I454" s="402"/>
      <c r="J454" s="402"/>
      <c r="K454" s="402"/>
      <c r="L454" s="402"/>
      <c r="M454" s="402"/>
      <c r="N454" s="402"/>
      <c r="O454" s="402"/>
      <c r="P454" s="402"/>
      <c r="Q454" s="402"/>
      <c r="R454" s="402"/>
      <c r="S454" s="402"/>
      <c r="T454" s="402"/>
      <c r="U454" s="402"/>
      <c r="V454" s="402"/>
      <c r="W454" s="402"/>
      <c r="X454" s="402"/>
      <c r="Y454" s="402"/>
      <c r="Z454" s="402"/>
    </row>
    <row r="455" ht="14.25" customHeight="1">
      <c r="A455" s="402"/>
      <c r="B455" s="402"/>
      <c r="C455" s="402"/>
      <c r="D455" s="402"/>
      <c r="E455" s="402"/>
      <c r="F455" s="403"/>
      <c r="G455" s="403"/>
      <c r="H455" s="402"/>
      <c r="I455" s="402"/>
      <c r="J455" s="402"/>
      <c r="K455" s="402"/>
      <c r="L455" s="402"/>
      <c r="M455" s="402"/>
      <c r="N455" s="402"/>
      <c r="O455" s="402"/>
      <c r="P455" s="402"/>
      <c r="Q455" s="402"/>
      <c r="R455" s="402"/>
      <c r="S455" s="402"/>
      <c r="T455" s="402"/>
      <c r="U455" s="402"/>
      <c r="V455" s="402"/>
      <c r="W455" s="402"/>
      <c r="X455" s="402"/>
      <c r="Y455" s="402"/>
      <c r="Z455" s="402"/>
    </row>
    <row r="456" ht="14.25" customHeight="1">
      <c r="A456" s="402"/>
      <c r="B456" s="402"/>
      <c r="C456" s="402"/>
      <c r="D456" s="402"/>
      <c r="E456" s="402"/>
      <c r="F456" s="403"/>
      <c r="G456" s="403"/>
      <c r="H456" s="402"/>
      <c r="I456" s="402"/>
      <c r="J456" s="402"/>
      <c r="K456" s="402"/>
      <c r="L456" s="402"/>
      <c r="M456" s="402"/>
      <c r="N456" s="402"/>
      <c r="O456" s="402"/>
      <c r="P456" s="402"/>
      <c r="Q456" s="402"/>
      <c r="R456" s="402"/>
      <c r="S456" s="402"/>
      <c r="T456" s="402"/>
      <c r="U456" s="402"/>
      <c r="V456" s="402"/>
      <c r="W456" s="402"/>
      <c r="X456" s="402"/>
      <c r="Y456" s="402"/>
      <c r="Z456" s="402"/>
    </row>
    <row r="457" ht="14.25" customHeight="1">
      <c r="A457" s="402"/>
      <c r="B457" s="402"/>
      <c r="C457" s="402"/>
      <c r="D457" s="402"/>
      <c r="E457" s="402"/>
      <c r="F457" s="403"/>
      <c r="G457" s="403"/>
      <c r="H457" s="402"/>
      <c r="I457" s="402"/>
      <c r="J457" s="402"/>
      <c r="K457" s="402"/>
      <c r="L457" s="402"/>
      <c r="M457" s="402"/>
      <c r="N457" s="402"/>
      <c r="O457" s="402"/>
      <c r="P457" s="402"/>
      <c r="Q457" s="402"/>
      <c r="R457" s="402"/>
      <c r="S457" s="402"/>
      <c r="T457" s="402"/>
      <c r="U457" s="402"/>
      <c r="V457" s="402"/>
      <c r="W457" s="402"/>
      <c r="X457" s="402"/>
      <c r="Y457" s="402"/>
      <c r="Z457" s="402"/>
    </row>
    <row r="458" ht="14.25" customHeight="1">
      <c r="A458" s="402"/>
      <c r="B458" s="402"/>
      <c r="C458" s="402"/>
      <c r="D458" s="402"/>
      <c r="E458" s="402"/>
      <c r="F458" s="403"/>
      <c r="G458" s="403"/>
      <c r="H458" s="402"/>
      <c r="I458" s="402"/>
      <c r="J458" s="402"/>
      <c r="K458" s="402"/>
      <c r="L458" s="402"/>
      <c r="M458" s="402"/>
      <c r="N458" s="402"/>
      <c r="O458" s="402"/>
      <c r="P458" s="402"/>
      <c r="Q458" s="402"/>
      <c r="R458" s="402"/>
      <c r="S458" s="402"/>
      <c r="T458" s="402"/>
      <c r="U458" s="402"/>
      <c r="V458" s="402"/>
      <c r="W458" s="402"/>
      <c r="X458" s="402"/>
      <c r="Y458" s="402"/>
      <c r="Z458" s="402"/>
    </row>
    <row r="459" ht="14.25" customHeight="1">
      <c r="A459" s="402"/>
      <c r="B459" s="402"/>
      <c r="C459" s="402"/>
      <c r="D459" s="402"/>
      <c r="E459" s="402"/>
      <c r="F459" s="403"/>
      <c r="G459" s="403"/>
      <c r="H459" s="402"/>
      <c r="I459" s="402"/>
      <c r="J459" s="402"/>
      <c r="K459" s="402"/>
      <c r="L459" s="402"/>
      <c r="M459" s="402"/>
      <c r="N459" s="402"/>
      <c r="O459" s="402"/>
      <c r="P459" s="402"/>
      <c r="Q459" s="402"/>
      <c r="R459" s="402"/>
      <c r="S459" s="402"/>
      <c r="T459" s="402"/>
      <c r="U459" s="402"/>
      <c r="V459" s="402"/>
      <c r="W459" s="402"/>
      <c r="X459" s="402"/>
      <c r="Y459" s="402"/>
      <c r="Z459" s="402"/>
    </row>
    <row r="460" ht="14.25" customHeight="1">
      <c r="A460" s="402"/>
      <c r="B460" s="402"/>
      <c r="C460" s="402"/>
      <c r="D460" s="402"/>
      <c r="E460" s="402"/>
      <c r="F460" s="403"/>
      <c r="G460" s="403"/>
      <c r="H460" s="402"/>
      <c r="I460" s="402"/>
      <c r="J460" s="402"/>
      <c r="K460" s="402"/>
      <c r="L460" s="402"/>
      <c r="M460" s="402"/>
      <c r="N460" s="402"/>
      <c r="O460" s="402"/>
      <c r="P460" s="402"/>
      <c r="Q460" s="402"/>
      <c r="R460" s="402"/>
      <c r="S460" s="402"/>
      <c r="T460" s="402"/>
      <c r="U460" s="402"/>
      <c r="V460" s="402"/>
      <c r="W460" s="402"/>
      <c r="X460" s="402"/>
      <c r="Y460" s="402"/>
      <c r="Z460" s="402"/>
    </row>
    <row r="461" ht="14.25" customHeight="1">
      <c r="A461" s="402"/>
      <c r="B461" s="402"/>
      <c r="C461" s="402"/>
      <c r="D461" s="402"/>
      <c r="E461" s="402"/>
      <c r="F461" s="403"/>
      <c r="G461" s="403"/>
      <c r="H461" s="402"/>
      <c r="I461" s="402"/>
      <c r="J461" s="402"/>
      <c r="K461" s="402"/>
      <c r="L461" s="402"/>
      <c r="M461" s="402"/>
      <c r="N461" s="402"/>
      <c r="O461" s="402"/>
      <c r="P461" s="402"/>
      <c r="Q461" s="402"/>
      <c r="R461" s="402"/>
      <c r="S461" s="402"/>
      <c r="T461" s="402"/>
      <c r="U461" s="402"/>
      <c r="V461" s="402"/>
      <c r="W461" s="402"/>
      <c r="X461" s="402"/>
      <c r="Y461" s="402"/>
      <c r="Z461" s="402"/>
    </row>
    <row r="462" ht="14.25" customHeight="1">
      <c r="A462" s="402"/>
      <c r="B462" s="402"/>
      <c r="C462" s="402"/>
      <c r="D462" s="402"/>
      <c r="E462" s="402"/>
      <c r="F462" s="403"/>
      <c r="G462" s="403"/>
      <c r="H462" s="402"/>
      <c r="I462" s="402"/>
      <c r="J462" s="402"/>
      <c r="K462" s="402"/>
      <c r="L462" s="402"/>
      <c r="M462" s="402"/>
      <c r="N462" s="402"/>
      <c r="O462" s="402"/>
      <c r="P462" s="402"/>
      <c r="Q462" s="402"/>
      <c r="R462" s="402"/>
      <c r="S462" s="402"/>
      <c r="T462" s="402"/>
      <c r="U462" s="402"/>
      <c r="V462" s="402"/>
      <c r="W462" s="402"/>
      <c r="X462" s="402"/>
      <c r="Y462" s="402"/>
      <c r="Z462" s="402"/>
    </row>
    <row r="463" ht="14.25" customHeight="1">
      <c r="A463" s="402"/>
      <c r="B463" s="402"/>
      <c r="C463" s="402"/>
      <c r="D463" s="402"/>
      <c r="E463" s="402"/>
      <c r="F463" s="403"/>
      <c r="G463" s="403"/>
      <c r="H463" s="402"/>
      <c r="I463" s="402"/>
      <c r="J463" s="402"/>
      <c r="K463" s="402"/>
      <c r="L463" s="402"/>
      <c r="M463" s="402"/>
      <c r="N463" s="402"/>
      <c r="O463" s="402"/>
      <c r="P463" s="402"/>
      <c r="Q463" s="402"/>
      <c r="R463" s="402"/>
      <c r="S463" s="402"/>
      <c r="T463" s="402"/>
      <c r="U463" s="402"/>
      <c r="V463" s="402"/>
      <c r="W463" s="402"/>
      <c r="X463" s="402"/>
      <c r="Y463" s="402"/>
      <c r="Z463" s="402"/>
    </row>
    <row r="464" ht="14.25" customHeight="1">
      <c r="A464" s="402"/>
      <c r="B464" s="402"/>
      <c r="C464" s="402"/>
      <c r="D464" s="402"/>
      <c r="E464" s="402"/>
      <c r="F464" s="403"/>
      <c r="G464" s="403"/>
      <c r="H464" s="402"/>
      <c r="I464" s="402"/>
      <c r="J464" s="402"/>
      <c r="K464" s="402"/>
      <c r="L464" s="402"/>
      <c r="M464" s="402"/>
      <c r="N464" s="402"/>
      <c r="O464" s="402"/>
      <c r="P464" s="402"/>
      <c r="Q464" s="402"/>
      <c r="R464" s="402"/>
      <c r="S464" s="402"/>
      <c r="T464" s="402"/>
      <c r="U464" s="402"/>
      <c r="V464" s="402"/>
      <c r="W464" s="402"/>
      <c r="X464" s="402"/>
      <c r="Y464" s="402"/>
      <c r="Z464" s="402"/>
    </row>
    <row r="465" ht="14.25" customHeight="1">
      <c r="A465" s="402"/>
      <c r="B465" s="402"/>
      <c r="C465" s="402"/>
      <c r="D465" s="402"/>
      <c r="E465" s="402"/>
      <c r="F465" s="403"/>
      <c r="G465" s="403"/>
      <c r="H465" s="402"/>
      <c r="I465" s="402"/>
      <c r="J465" s="402"/>
      <c r="K465" s="402"/>
      <c r="L465" s="402"/>
      <c r="M465" s="402"/>
      <c r="N465" s="402"/>
      <c r="O465" s="402"/>
      <c r="P465" s="402"/>
      <c r="Q465" s="402"/>
      <c r="R465" s="402"/>
      <c r="S465" s="402"/>
      <c r="T465" s="402"/>
      <c r="U465" s="402"/>
      <c r="V465" s="402"/>
      <c r="W465" s="402"/>
      <c r="X465" s="402"/>
      <c r="Y465" s="402"/>
      <c r="Z465" s="402"/>
    </row>
    <row r="466" ht="14.25" customHeight="1">
      <c r="A466" s="402"/>
      <c r="B466" s="402"/>
      <c r="C466" s="402"/>
      <c r="D466" s="402"/>
      <c r="E466" s="402"/>
      <c r="F466" s="403"/>
      <c r="G466" s="403"/>
      <c r="H466" s="402"/>
      <c r="I466" s="402"/>
      <c r="J466" s="402"/>
      <c r="K466" s="402"/>
      <c r="L466" s="402"/>
      <c r="M466" s="402"/>
      <c r="N466" s="402"/>
      <c r="O466" s="402"/>
      <c r="P466" s="402"/>
      <c r="Q466" s="402"/>
      <c r="R466" s="402"/>
      <c r="S466" s="402"/>
      <c r="T466" s="402"/>
      <c r="U466" s="402"/>
      <c r="V466" s="402"/>
      <c r="W466" s="402"/>
      <c r="X466" s="402"/>
      <c r="Y466" s="402"/>
      <c r="Z466" s="402"/>
    </row>
    <row r="467" ht="14.25" customHeight="1">
      <c r="A467" s="402"/>
      <c r="B467" s="402"/>
      <c r="C467" s="402"/>
      <c r="D467" s="402"/>
      <c r="E467" s="402"/>
      <c r="F467" s="403"/>
      <c r="G467" s="403"/>
      <c r="H467" s="402"/>
      <c r="I467" s="402"/>
      <c r="J467" s="402"/>
      <c r="K467" s="402"/>
      <c r="L467" s="402"/>
      <c r="M467" s="402"/>
      <c r="N467" s="402"/>
      <c r="O467" s="402"/>
      <c r="P467" s="402"/>
      <c r="Q467" s="402"/>
      <c r="R467" s="402"/>
      <c r="S467" s="402"/>
      <c r="T467" s="402"/>
      <c r="U467" s="402"/>
      <c r="V467" s="402"/>
      <c r="W467" s="402"/>
      <c r="X467" s="402"/>
      <c r="Y467" s="402"/>
      <c r="Z467" s="402"/>
    </row>
    <row r="468" ht="14.25" customHeight="1">
      <c r="A468" s="402"/>
      <c r="B468" s="402"/>
      <c r="C468" s="402"/>
      <c r="D468" s="402"/>
      <c r="E468" s="402"/>
      <c r="F468" s="403"/>
      <c r="G468" s="403"/>
      <c r="H468" s="402"/>
      <c r="I468" s="402"/>
      <c r="J468" s="402"/>
      <c r="K468" s="402"/>
      <c r="L468" s="402"/>
      <c r="M468" s="402"/>
      <c r="N468" s="402"/>
      <c r="O468" s="402"/>
      <c r="P468" s="402"/>
      <c r="Q468" s="402"/>
      <c r="R468" s="402"/>
      <c r="S468" s="402"/>
      <c r="T468" s="402"/>
      <c r="U468" s="402"/>
      <c r="V468" s="402"/>
      <c r="W468" s="402"/>
      <c r="X468" s="402"/>
      <c r="Y468" s="402"/>
      <c r="Z468" s="402"/>
    </row>
    <row r="469" ht="14.25" customHeight="1">
      <c r="A469" s="402"/>
      <c r="B469" s="402"/>
      <c r="C469" s="402"/>
      <c r="D469" s="402"/>
      <c r="E469" s="402"/>
      <c r="F469" s="403"/>
      <c r="G469" s="403"/>
      <c r="H469" s="402"/>
      <c r="I469" s="402"/>
      <c r="J469" s="402"/>
      <c r="K469" s="402"/>
      <c r="L469" s="402"/>
      <c r="M469" s="402"/>
      <c r="N469" s="402"/>
      <c r="O469" s="402"/>
      <c r="P469" s="402"/>
      <c r="Q469" s="402"/>
      <c r="R469" s="402"/>
      <c r="S469" s="402"/>
      <c r="T469" s="402"/>
      <c r="U469" s="402"/>
      <c r="V469" s="402"/>
      <c r="W469" s="402"/>
      <c r="X469" s="402"/>
      <c r="Y469" s="402"/>
      <c r="Z469" s="402"/>
    </row>
    <row r="470" ht="14.25" customHeight="1">
      <c r="A470" s="402"/>
      <c r="B470" s="402"/>
      <c r="C470" s="402"/>
      <c r="D470" s="402"/>
      <c r="E470" s="402"/>
      <c r="F470" s="403"/>
      <c r="G470" s="403"/>
      <c r="H470" s="402"/>
      <c r="I470" s="402"/>
      <c r="J470" s="402"/>
      <c r="K470" s="402"/>
      <c r="L470" s="402"/>
      <c r="M470" s="402"/>
      <c r="N470" s="402"/>
      <c r="O470" s="402"/>
      <c r="P470" s="402"/>
      <c r="Q470" s="402"/>
      <c r="R470" s="402"/>
      <c r="S470" s="402"/>
      <c r="T470" s="402"/>
      <c r="U470" s="402"/>
      <c r="V470" s="402"/>
      <c r="W470" s="402"/>
      <c r="X470" s="402"/>
      <c r="Y470" s="402"/>
      <c r="Z470" s="402"/>
    </row>
    <row r="471" ht="14.25" customHeight="1">
      <c r="A471" s="402"/>
      <c r="B471" s="402"/>
      <c r="C471" s="402"/>
      <c r="D471" s="402"/>
      <c r="E471" s="402"/>
      <c r="F471" s="403"/>
      <c r="G471" s="403"/>
      <c r="H471" s="402"/>
      <c r="I471" s="402"/>
      <c r="J471" s="402"/>
      <c r="K471" s="402"/>
      <c r="L471" s="402"/>
      <c r="M471" s="402"/>
      <c r="N471" s="402"/>
      <c r="O471" s="402"/>
      <c r="P471" s="402"/>
      <c r="Q471" s="402"/>
      <c r="R471" s="402"/>
      <c r="S471" s="402"/>
      <c r="T471" s="402"/>
      <c r="U471" s="402"/>
      <c r="V471" s="402"/>
      <c r="W471" s="402"/>
      <c r="X471" s="402"/>
      <c r="Y471" s="402"/>
      <c r="Z471" s="402"/>
    </row>
    <row r="472" ht="14.25" customHeight="1">
      <c r="A472" s="402"/>
      <c r="B472" s="402"/>
      <c r="C472" s="402"/>
      <c r="D472" s="402"/>
      <c r="E472" s="402"/>
      <c r="F472" s="403"/>
      <c r="G472" s="403"/>
      <c r="H472" s="402"/>
      <c r="I472" s="402"/>
      <c r="J472" s="402"/>
      <c r="K472" s="402"/>
      <c r="L472" s="402"/>
      <c r="M472" s="402"/>
      <c r="N472" s="402"/>
      <c r="O472" s="402"/>
      <c r="P472" s="402"/>
      <c r="Q472" s="402"/>
      <c r="R472" s="402"/>
      <c r="S472" s="402"/>
      <c r="T472" s="402"/>
      <c r="U472" s="402"/>
      <c r="V472" s="402"/>
      <c r="W472" s="402"/>
      <c r="X472" s="402"/>
      <c r="Y472" s="402"/>
      <c r="Z472" s="402"/>
    </row>
    <row r="473" ht="14.25" customHeight="1">
      <c r="A473" s="402"/>
      <c r="B473" s="402"/>
      <c r="C473" s="402"/>
      <c r="D473" s="402"/>
      <c r="E473" s="402"/>
      <c r="F473" s="403"/>
      <c r="G473" s="403"/>
      <c r="H473" s="402"/>
      <c r="I473" s="402"/>
      <c r="J473" s="402"/>
      <c r="K473" s="402"/>
      <c r="L473" s="402"/>
      <c r="M473" s="402"/>
      <c r="N473" s="402"/>
      <c r="O473" s="402"/>
      <c r="P473" s="402"/>
      <c r="Q473" s="402"/>
      <c r="R473" s="402"/>
      <c r="S473" s="402"/>
      <c r="T473" s="402"/>
      <c r="U473" s="402"/>
      <c r="V473" s="402"/>
      <c r="W473" s="402"/>
      <c r="X473" s="402"/>
      <c r="Y473" s="402"/>
      <c r="Z473" s="402"/>
    </row>
    <row r="474" ht="14.25" customHeight="1">
      <c r="A474" s="402"/>
      <c r="B474" s="402"/>
      <c r="C474" s="402"/>
      <c r="D474" s="402"/>
      <c r="E474" s="402"/>
      <c r="F474" s="403"/>
      <c r="G474" s="403"/>
      <c r="H474" s="402"/>
      <c r="I474" s="402"/>
      <c r="J474" s="402"/>
      <c r="K474" s="402"/>
      <c r="L474" s="402"/>
      <c r="M474" s="402"/>
      <c r="N474" s="402"/>
      <c r="O474" s="402"/>
      <c r="P474" s="402"/>
      <c r="Q474" s="402"/>
      <c r="R474" s="402"/>
      <c r="S474" s="402"/>
      <c r="T474" s="402"/>
      <c r="U474" s="402"/>
      <c r="V474" s="402"/>
      <c r="W474" s="402"/>
      <c r="X474" s="402"/>
      <c r="Y474" s="402"/>
      <c r="Z474" s="402"/>
    </row>
    <row r="475" ht="14.25" customHeight="1">
      <c r="A475" s="402"/>
      <c r="B475" s="402"/>
      <c r="C475" s="402"/>
      <c r="D475" s="402"/>
      <c r="E475" s="402"/>
      <c r="F475" s="403"/>
      <c r="G475" s="403"/>
      <c r="H475" s="402"/>
      <c r="I475" s="402"/>
      <c r="J475" s="402"/>
      <c r="K475" s="402"/>
      <c r="L475" s="402"/>
      <c r="M475" s="402"/>
      <c r="N475" s="402"/>
      <c r="O475" s="402"/>
      <c r="P475" s="402"/>
      <c r="Q475" s="402"/>
      <c r="R475" s="402"/>
      <c r="S475" s="402"/>
      <c r="T475" s="402"/>
      <c r="U475" s="402"/>
      <c r="V475" s="402"/>
      <c r="W475" s="402"/>
      <c r="X475" s="402"/>
      <c r="Y475" s="402"/>
      <c r="Z475" s="402"/>
    </row>
    <row r="476" ht="14.25" customHeight="1">
      <c r="A476" s="402"/>
      <c r="B476" s="402"/>
      <c r="C476" s="402"/>
      <c r="D476" s="402"/>
      <c r="E476" s="402"/>
      <c r="F476" s="403"/>
      <c r="G476" s="403"/>
      <c r="H476" s="402"/>
      <c r="I476" s="402"/>
      <c r="J476" s="402"/>
      <c r="K476" s="402"/>
      <c r="L476" s="402"/>
      <c r="M476" s="402"/>
      <c r="N476" s="402"/>
      <c r="O476" s="402"/>
      <c r="P476" s="402"/>
      <c r="Q476" s="402"/>
      <c r="R476" s="402"/>
      <c r="S476" s="402"/>
      <c r="T476" s="402"/>
      <c r="U476" s="402"/>
      <c r="V476" s="402"/>
      <c r="W476" s="402"/>
      <c r="X476" s="402"/>
      <c r="Y476" s="402"/>
      <c r="Z476" s="402"/>
    </row>
    <row r="477" ht="14.25" customHeight="1">
      <c r="A477" s="402"/>
      <c r="B477" s="402"/>
      <c r="C477" s="402"/>
      <c r="D477" s="402"/>
      <c r="E477" s="402"/>
      <c r="F477" s="403"/>
      <c r="G477" s="403"/>
      <c r="H477" s="402"/>
      <c r="I477" s="402"/>
      <c r="J477" s="402"/>
      <c r="K477" s="402"/>
      <c r="L477" s="402"/>
      <c r="M477" s="402"/>
      <c r="N477" s="402"/>
      <c r="O477" s="402"/>
      <c r="P477" s="402"/>
      <c r="Q477" s="402"/>
      <c r="R477" s="402"/>
      <c r="S477" s="402"/>
      <c r="T477" s="402"/>
      <c r="U477" s="402"/>
      <c r="V477" s="402"/>
      <c r="W477" s="402"/>
      <c r="X477" s="402"/>
      <c r="Y477" s="402"/>
      <c r="Z477" s="402"/>
    </row>
    <row r="478" ht="14.25" customHeight="1">
      <c r="A478" s="402"/>
      <c r="B478" s="402"/>
      <c r="C478" s="402"/>
      <c r="D478" s="402"/>
      <c r="E478" s="402"/>
      <c r="F478" s="403"/>
      <c r="G478" s="403"/>
      <c r="H478" s="402"/>
      <c r="I478" s="402"/>
      <c r="J478" s="402"/>
      <c r="K478" s="402"/>
      <c r="L478" s="402"/>
      <c r="M478" s="402"/>
      <c r="N478" s="402"/>
      <c r="O478" s="402"/>
      <c r="P478" s="402"/>
      <c r="Q478" s="402"/>
      <c r="R478" s="402"/>
      <c r="S478" s="402"/>
      <c r="T478" s="402"/>
      <c r="U478" s="402"/>
      <c r="V478" s="402"/>
      <c r="W478" s="402"/>
      <c r="X478" s="402"/>
      <c r="Y478" s="402"/>
      <c r="Z478" s="402"/>
    </row>
    <row r="479" ht="14.25" customHeight="1">
      <c r="A479" s="402"/>
      <c r="B479" s="402"/>
      <c r="C479" s="402"/>
      <c r="D479" s="402"/>
      <c r="E479" s="402"/>
      <c r="F479" s="403"/>
      <c r="G479" s="403"/>
      <c r="H479" s="402"/>
      <c r="I479" s="402"/>
      <c r="J479" s="402"/>
      <c r="K479" s="402"/>
      <c r="L479" s="402"/>
      <c r="M479" s="402"/>
      <c r="N479" s="402"/>
      <c r="O479" s="402"/>
      <c r="P479" s="402"/>
      <c r="Q479" s="402"/>
      <c r="R479" s="402"/>
      <c r="S479" s="402"/>
      <c r="T479" s="402"/>
      <c r="U479" s="402"/>
      <c r="V479" s="402"/>
      <c r="W479" s="402"/>
      <c r="X479" s="402"/>
      <c r="Y479" s="402"/>
      <c r="Z479" s="402"/>
    </row>
    <row r="480" ht="14.25" customHeight="1">
      <c r="A480" s="402"/>
      <c r="B480" s="402"/>
      <c r="C480" s="402"/>
      <c r="D480" s="402"/>
      <c r="E480" s="402"/>
      <c r="F480" s="403"/>
      <c r="G480" s="403"/>
      <c r="H480" s="402"/>
      <c r="I480" s="402"/>
      <c r="J480" s="402"/>
      <c r="K480" s="402"/>
      <c r="L480" s="402"/>
      <c r="M480" s="402"/>
      <c r="N480" s="402"/>
      <c r="O480" s="402"/>
      <c r="P480" s="402"/>
      <c r="Q480" s="402"/>
      <c r="R480" s="402"/>
      <c r="S480" s="402"/>
      <c r="T480" s="402"/>
      <c r="U480" s="402"/>
      <c r="V480" s="402"/>
      <c r="W480" s="402"/>
      <c r="X480" s="402"/>
      <c r="Y480" s="402"/>
      <c r="Z480" s="402"/>
    </row>
    <row r="481" ht="14.25" customHeight="1">
      <c r="A481" s="402"/>
      <c r="B481" s="402"/>
      <c r="C481" s="402"/>
      <c r="D481" s="402"/>
      <c r="E481" s="402"/>
      <c r="F481" s="403"/>
      <c r="G481" s="403"/>
      <c r="H481" s="402"/>
      <c r="I481" s="402"/>
      <c r="J481" s="402"/>
      <c r="K481" s="402"/>
      <c r="L481" s="402"/>
      <c r="M481" s="402"/>
      <c r="N481" s="402"/>
      <c r="O481" s="402"/>
      <c r="P481" s="402"/>
      <c r="Q481" s="402"/>
      <c r="R481" s="402"/>
      <c r="S481" s="402"/>
      <c r="T481" s="402"/>
      <c r="U481" s="402"/>
      <c r="V481" s="402"/>
      <c r="W481" s="402"/>
      <c r="X481" s="402"/>
      <c r="Y481" s="402"/>
      <c r="Z481" s="402"/>
    </row>
    <row r="482" ht="14.25" customHeight="1">
      <c r="A482" s="402"/>
      <c r="B482" s="402"/>
      <c r="C482" s="402"/>
      <c r="D482" s="402"/>
      <c r="E482" s="402"/>
      <c r="F482" s="403"/>
      <c r="G482" s="403"/>
      <c r="H482" s="402"/>
      <c r="I482" s="402"/>
      <c r="J482" s="402"/>
      <c r="K482" s="402"/>
      <c r="L482" s="402"/>
      <c r="M482" s="402"/>
      <c r="N482" s="402"/>
      <c r="O482" s="402"/>
      <c r="P482" s="402"/>
      <c r="Q482" s="402"/>
      <c r="R482" s="402"/>
      <c r="S482" s="402"/>
      <c r="T482" s="402"/>
      <c r="U482" s="402"/>
      <c r="V482" s="402"/>
      <c r="W482" s="402"/>
      <c r="X482" s="402"/>
      <c r="Y482" s="402"/>
      <c r="Z482" s="402"/>
    </row>
    <row r="483" ht="14.25" customHeight="1">
      <c r="A483" s="402"/>
      <c r="B483" s="402"/>
      <c r="C483" s="402"/>
      <c r="D483" s="402"/>
      <c r="E483" s="402"/>
      <c r="F483" s="403"/>
      <c r="G483" s="403"/>
      <c r="H483" s="402"/>
      <c r="I483" s="402"/>
      <c r="J483" s="402"/>
      <c r="K483" s="402"/>
      <c r="L483" s="402"/>
      <c r="M483" s="402"/>
      <c r="N483" s="402"/>
      <c r="O483" s="402"/>
      <c r="P483" s="402"/>
      <c r="Q483" s="402"/>
      <c r="R483" s="402"/>
      <c r="S483" s="402"/>
      <c r="T483" s="402"/>
      <c r="U483" s="402"/>
      <c r="V483" s="402"/>
      <c r="W483" s="402"/>
      <c r="X483" s="402"/>
      <c r="Y483" s="402"/>
      <c r="Z483" s="402"/>
    </row>
    <row r="484" ht="14.25" customHeight="1">
      <c r="A484" s="402"/>
      <c r="B484" s="402"/>
      <c r="C484" s="402"/>
      <c r="D484" s="402"/>
      <c r="E484" s="402"/>
      <c r="F484" s="403"/>
      <c r="G484" s="403"/>
      <c r="H484" s="402"/>
      <c r="I484" s="402"/>
      <c r="J484" s="402"/>
      <c r="K484" s="402"/>
      <c r="L484" s="402"/>
      <c r="M484" s="402"/>
      <c r="N484" s="402"/>
      <c r="O484" s="402"/>
      <c r="P484" s="402"/>
      <c r="Q484" s="402"/>
      <c r="R484" s="402"/>
      <c r="S484" s="402"/>
      <c r="T484" s="402"/>
      <c r="U484" s="402"/>
      <c r="V484" s="402"/>
      <c r="W484" s="402"/>
      <c r="X484" s="402"/>
      <c r="Y484" s="402"/>
      <c r="Z484" s="402"/>
    </row>
    <row r="485" ht="14.25" customHeight="1">
      <c r="A485" s="402"/>
      <c r="B485" s="402"/>
      <c r="C485" s="402"/>
      <c r="D485" s="402"/>
      <c r="E485" s="402"/>
      <c r="F485" s="403"/>
      <c r="G485" s="403"/>
      <c r="H485" s="402"/>
      <c r="I485" s="402"/>
      <c r="J485" s="402"/>
      <c r="K485" s="402"/>
      <c r="L485" s="402"/>
      <c r="M485" s="402"/>
      <c r="N485" s="402"/>
      <c r="O485" s="402"/>
      <c r="P485" s="402"/>
      <c r="Q485" s="402"/>
      <c r="R485" s="402"/>
      <c r="S485" s="402"/>
      <c r="T485" s="402"/>
      <c r="U485" s="402"/>
      <c r="V485" s="402"/>
      <c r="W485" s="402"/>
      <c r="X485" s="402"/>
      <c r="Y485" s="402"/>
      <c r="Z485" s="402"/>
    </row>
    <row r="486" ht="14.25" customHeight="1">
      <c r="A486" s="402"/>
      <c r="B486" s="402"/>
      <c r="C486" s="402"/>
      <c r="D486" s="402"/>
      <c r="E486" s="402"/>
      <c r="F486" s="403"/>
      <c r="G486" s="403"/>
      <c r="H486" s="402"/>
      <c r="I486" s="402"/>
      <c r="J486" s="402"/>
      <c r="K486" s="402"/>
      <c r="L486" s="402"/>
      <c r="M486" s="402"/>
      <c r="N486" s="402"/>
      <c r="O486" s="402"/>
      <c r="P486" s="402"/>
      <c r="Q486" s="402"/>
      <c r="R486" s="402"/>
      <c r="S486" s="402"/>
      <c r="T486" s="402"/>
      <c r="U486" s="402"/>
      <c r="V486" s="402"/>
      <c r="W486" s="402"/>
      <c r="X486" s="402"/>
      <c r="Y486" s="402"/>
      <c r="Z486" s="402"/>
    </row>
    <row r="487" ht="14.25" customHeight="1">
      <c r="A487" s="402"/>
      <c r="B487" s="402"/>
      <c r="C487" s="402"/>
      <c r="D487" s="402"/>
      <c r="E487" s="402"/>
      <c r="F487" s="403"/>
      <c r="G487" s="403"/>
      <c r="H487" s="402"/>
      <c r="I487" s="402"/>
      <c r="J487" s="402"/>
      <c r="K487" s="402"/>
      <c r="L487" s="402"/>
      <c r="M487" s="402"/>
      <c r="N487" s="402"/>
      <c r="O487" s="402"/>
      <c r="P487" s="402"/>
      <c r="Q487" s="402"/>
      <c r="R487" s="402"/>
      <c r="S487" s="402"/>
      <c r="T487" s="402"/>
      <c r="U487" s="402"/>
      <c r="V487" s="402"/>
      <c r="W487" s="402"/>
      <c r="X487" s="402"/>
      <c r="Y487" s="402"/>
      <c r="Z487" s="402"/>
    </row>
    <row r="488" ht="14.25" customHeight="1">
      <c r="A488" s="402"/>
      <c r="B488" s="402"/>
      <c r="C488" s="402"/>
      <c r="D488" s="402"/>
      <c r="E488" s="402"/>
      <c r="F488" s="403"/>
      <c r="G488" s="403"/>
      <c r="H488" s="402"/>
      <c r="I488" s="402"/>
      <c r="J488" s="402"/>
      <c r="K488" s="402"/>
      <c r="L488" s="402"/>
      <c r="M488" s="402"/>
      <c r="N488" s="402"/>
      <c r="O488" s="402"/>
      <c r="P488" s="402"/>
      <c r="Q488" s="402"/>
      <c r="R488" s="402"/>
      <c r="S488" s="402"/>
      <c r="T488" s="402"/>
      <c r="U488" s="402"/>
      <c r="V488" s="402"/>
      <c r="W488" s="402"/>
      <c r="X488" s="402"/>
      <c r="Y488" s="402"/>
      <c r="Z488" s="402"/>
    </row>
    <row r="489" ht="14.25" customHeight="1">
      <c r="A489" s="402"/>
      <c r="B489" s="402"/>
      <c r="C489" s="402"/>
      <c r="D489" s="402"/>
      <c r="E489" s="402"/>
      <c r="F489" s="403"/>
      <c r="G489" s="403"/>
      <c r="H489" s="402"/>
      <c r="I489" s="402"/>
      <c r="J489" s="402"/>
      <c r="K489" s="402"/>
      <c r="L489" s="402"/>
      <c r="M489" s="402"/>
      <c r="N489" s="402"/>
      <c r="O489" s="402"/>
      <c r="P489" s="402"/>
      <c r="Q489" s="402"/>
      <c r="R489" s="402"/>
      <c r="S489" s="402"/>
      <c r="T489" s="402"/>
      <c r="U489" s="402"/>
      <c r="V489" s="402"/>
      <c r="W489" s="402"/>
      <c r="X489" s="402"/>
      <c r="Y489" s="402"/>
      <c r="Z489" s="402"/>
    </row>
    <row r="490" ht="14.25" customHeight="1">
      <c r="A490" s="402"/>
      <c r="B490" s="402"/>
      <c r="C490" s="402"/>
      <c r="D490" s="402"/>
      <c r="E490" s="402"/>
      <c r="F490" s="403"/>
      <c r="G490" s="403"/>
      <c r="H490" s="402"/>
      <c r="I490" s="402"/>
      <c r="J490" s="402"/>
      <c r="K490" s="402"/>
      <c r="L490" s="402"/>
      <c r="M490" s="402"/>
      <c r="N490" s="402"/>
      <c r="O490" s="402"/>
      <c r="P490" s="402"/>
      <c r="Q490" s="402"/>
      <c r="R490" s="402"/>
      <c r="S490" s="402"/>
      <c r="T490" s="402"/>
      <c r="U490" s="402"/>
      <c r="V490" s="402"/>
      <c r="W490" s="402"/>
      <c r="X490" s="402"/>
      <c r="Y490" s="402"/>
      <c r="Z490" s="402"/>
    </row>
    <row r="491" ht="14.25" customHeight="1">
      <c r="A491" s="402"/>
      <c r="B491" s="402"/>
      <c r="C491" s="402"/>
      <c r="D491" s="402"/>
      <c r="E491" s="402"/>
      <c r="F491" s="403"/>
      <c r="G491" s="403"/>
      <c r="H491" s="402"/>
      <c r="I491" s="402"/>
      <c r="J491" s="402"/>
      <c r="K491" s="402"/>
      <c r="L491" s="402"/>
      <c r="M491" s="402"/>
      <c r="N491" s="402"/>
      <c r="O491" s="402"/>
      <c r="P491" s="402"/>
      <c r="Q491" s="402"/>
      <c r="R491" s="402"/>
      <c r="S491" s="402"/>
      <c r="T491" s="402"/>
      <c r="U491" s="402"/>
      <c r="V491" s="402"/>
      <c r="W491" s="402"/>
      <c r="X491" s="402"/>
      <c r="Y491" s="402"/>
      <c r="Z491" s="402"/>
    </row>
    <row r="492" ht="14.25" customHeight="1">
      <c r="A492" s="402"/>
      <c r="B492" s="402"/>
      <c r="C492" s="402"/>
      <c r="D492" s="402"/>
      <c r="E492" s="402"/>
      <c r="F492" s="403"/>
      <c r="G492" s="403"/>
      <c r="H492" s="402"/>
      <c r="I492" s="402"/>
      <c r="J492" s="402"/>
      <c r="K492" s="402"/>
      <c r="L492" s="402"/>
      <c r="M492" s="402"/>
      <c r="N492" s="402"/>
      <c r="O492" s="402"/>
      <c r="P492" s="402"/>
      <c r="Q492" s="402"/>
      <c r="R492" s="402"/>
      <c r="S492" s="402"/>
      <c r="T492" s="402"/>
      <c r="U492" s="402"/>
      <c r="V492" s="402"/>
      <c r="W492" s="402"/>
      <c r="X492" s="402"/>
      <c r="Y492" s="402"/>
      <c r="Z492" s="402"/>
    </row>
    <row r="493" ht="14.25" customHeight="1">
      <c r="A493" s="402"/>
      <c r="B493" s="402"/>
      <c r="C493" s="402"/>
      <c r="D493" s="402"/>
      <c r="E493" s="402"/>
      <c r="F493" s="403"/>
      <c r="G493" s="403"/>
      <c r="H493" s="402"/>
      <c r="I493" s="402"/>
      <c r="J493" s="402"/>
      <c r="K493" s="402"/>
      <c r="L493" s="402"/>
      <c r="M493" s="402"/>
      <c r="N493" s="402"/>
      <c r="O493" s="402"/>
      <c r="P493" s="402"/>
      <c r="Q493" s="402"/>
      <c r="R493" s="402"/>
      <c r="S493" s="402"/>
      <c r="T493" s="402"/>
      <c r="U493" s="402"/>
      <c r="V493" s="402"/>
      <c r="W493" s="402"/>
      <c r="X493" s="402"/>
      <c r="Y493" s="402"/>
      <c r="Z493" s="402"/>
    </row>
    <row r="494" ht="14.25" customHeight="1">
      <c r="A494" s="402"/>
      <c r="B494" s="402"/>
      <c r="C494" s="402"/>
      <c r="D494" s="402"/>
      <c r="E494" s="402"/>
      <c r="F494" s="403"/>
      <c r="G494" s="403"/>
      <c r="H494" s="402"/>
      <c r="I494" s="402"/>
      <c r="J494" s="402"/>
      <c r="K494" s="402"/>
      <c r="L494" s="402"/>
      <c r="M494" s="402"/>
      <c r="N494" s="402"/>
      <c r="O494" s="402"/>
      <c r="P494" s="402"/>
      <c r="Q494" s="402"/>
      <c r="R494" s="402"/>
      <c r="S494" s="402"/>
      <c r="T494" s="402"/>
      <c r="U494" s="402"/>
      <c r="V494" s="402"/>
      <c r="W494" s="402"/>
      <c r="X494" s="402"/>
      <c r="Y494" s="402"/>
      <c r="Z494" s="402"/>
    </row>
    <row r="495" ht="14.25" customHeight="1">
      <c r="A495" s="402"/>
      <c r="B495" s="402"/>
      <c r="C495" s="402"/>
      <c r="D495" s="402"/>
      <c r="E495" s="402"/>
      <c r="F495" s="403"/>
      <c r="G495" s="403"/>
      <c r="H495" s="402"/>
      <c r="I495" s="402"/>
      <c r="J495" s="402"/>
      <c r="K495" s="402"/>
      <c r="L495" s="402"/>
      <c r="M495" s="402"/>
      <c r="N495" s="402"/>
      <c r="O495" s="402"/>
      <c r="P495" s="402"/>
      <c r="Q495" s="402"/>
      <c r="R495" s="402"/>
      <c r="S495" s="402"/>
      <c r="T495" s="402"/>
      <c r="U495" s="402"/>
      <c r="V495" s="402"/>
      <c r="W495" s="402"/>
      <c r="X495" s="402"/>
      <c r="Y495" s="402"/>
      <c r="Z495" s="402"/>
    </row>
    <row r="496" ht="14.25" customHeight="1">
      <c r="A496" s="402"/>
      <c r="B496" s="402"/>
      <c r="C496" s="402"/>
      <c r="D496" s="402"/>
      <c r="E496" s="402"/>
      <c r="F496" s="403"/>
      <c r="G496" s="403"/>
      <c r="H496" s="402"/>
      <c r="I496" s="402"/>
      <c r="J496" s="402"/>
      <c r="K496" s="402"/>
      <c r="L496" s="402"/>
      <c r="M496" s="402"/>
      <c r="N496" s="402"/>
      <c r="O496" s="402"/>
      <c r="P496" s="402"/>
      <c r="Q496" s="402"/>
      <c r="R496" s="402"/>
      <c r="S496" s="402"/>
      <c r="T496" s="402"/>
      <c r="U496" s="402"/>
      <c r="V496" s="402"/>
      <c r="W496" s="402"/>
      <c r="X496" s="402"/>
      <c r="Y496" s="402"/>
      <c r="Z496" s="402"/>
    </row>
    <row r="497" ht="14.25" customHeight="1">
      <c r="A497" s="402"/>
      <c r="B497" s="402"/>
      <c r="C497" s="402"/>
      <c r="D497" s="402"/>
      <c r="E497" s="402"/>
      <c r="F497" s="403"/>
      <c r="G497" s="403"/>
      <c r="H497" s="402"/>
      <c r="I497" s="402"/>
      <c r="J497" s="402"/>
      <c r="K497" s="402"/>
      <c r="L497" s="402"/>
      <c r="M497" s="402"/>
      <c r="N497" s="402"/>
      <c r="O497" s="402"/>
      <c r="P497" s="402"/>
      <c r="Q497" s="402"/>
      <c r="R497" s="402"/>
      <c r="S497" s="402"/>
      <c r="T497" s="402"/>
      <c r="U497" s="402"/>
      <c r="V497" s="402"/>
      <c r="W497" s="402"/>
      <c r="X497" s="402"/>
      <c r="Y497" s="402"/>
      <c r="Z497" s="402"/>
    </row>
    <row r="498" ht="14.25" customHeight="1">
      <c r="A498" s="402"/>
      <c r="B498" s="402"/>
      <c r="C498" s="402"/>
      <c r="D498" s="402"/>
      <c r="E498" s="402"/>
      <c r="F498" s="403"/>
      <c r="G498" s="403"/>
      <c r="H498" s="402"/>
      <c r="I498" s="402"/>
      <c r="J498" s="402"/>
      <c r="K498" s="402"/>
      <c r="L498" s="402"/>
      <c r="M498" s="402"/>
      <c r="N498" s="402"/>
      <c r="O498" s="402"/>
      <c r="P498" s="402"/>
      <c r="Q498" s="402"/>
      <c r="R498" s="402"/>
      <c r="S498" s="402"/>
      <c r="T498" s="402"/>
      <c r="U498" s="402"/>
      <c r="V498" s="402"/>
      <c r="W498" s="402"/>
      <c r="X498" s="402"/>
      <c r="Y498" s="402"/>
      <c r="Z498" s="402"/>
    </row>
    <row r="499" ht="14.25" customHeight="1">
      <c r="A499" s="402"/>
      <c r="B499" s="402"/>
      <c r="C499" s="402"/>
      <c r="D499" s="402"/>
      <c r="E499" s="402"/>
      <c r="F499" s="403"/>
      <c r="G499" s="403"/>
      <c r="H499" s="402"/>
      <c r="I499" s="402"/>
      <c r="J499" s="402"/>
      <c r="K499" s="402"/>
      <c r="L499" s="402"/>
      <c r="M499" s="402"/>
      <c r="N499" s="402"/>
      <c r="O499" s="402"/>
      <c r="P499" s="402"/>
      <c r="Q499" s="402"/>
      <c r="R499" s="402"/>
      <c r="S499" s="402"/>
      <c r="T499" s="402"/>
      <c r="U499" s="402"/>
      <c r="V499" s="402"/>
      <c r="W499" s="402"/>
      <c r="X499" s="402"/>
      <c r="Y499" s="402"/>
      <c r="Z499" s="402"/>
    </row>
    <row r="500" ht="14.25" customHeight="1">
      <c r="A500" s="402"/>
      <c r="B500" s="402"/>
      <c r="C500" s="402"/>
      <c r="D500" s="402"/>
      <c r="E500" s="402"/>
      <c r="F500" s="403"/>
      <c r="G500" s="403"/>
      <c r="H500" s="402"/>
      <c r="I500" s="402"/>
      <c r="J500" s="402"/>
      <c r="K500" s="402"/>
      <c r="L500" s="402"/>
      <c r="M500" s="402"/>
      <c r="N500" s="402"/>
      <c r="O500" s="402"/>
      <c r="P500" s="402"/>
      <c r="Q500" s="402"/>
      <c r="R500" s="402"/>
      <c r="S500" s="402"/>
      <c r="T500" s="402"/>
      <c r="U500" s="402"/>
      <c r="V500" s="402"/>
      <c r="W500" s="402"/>
      <c r="X500" s="402"/>
      <c r="Y500" s="402"/>
      <c r="Z500" s="402"/>
    </row>
    <row r="501" ht="14.25" customHeight="1">
      <c r="A501" s="402"/>
      <c r="B501" s="402"/>
      <c r="C501" s="402"/>
      <c r="D501" s="402"/>
      <c r="E501" s="402"/>
      <c r="F501" s="403"/>
      <c r="G501" s="403"/>
      <c r="H501" s="402"/>
      <c r="I501" s="402"/>
      <c r="J501" s="402"/>
      <c r="K501" s="402"/>
      <c r="L501" s="402"/>
      <c r="M501" s="402"/>
      <c r="N501" s="402"/>
      <c r="O501" s="402"/>
      <c r="P501" s="402"/>
      <c r="Q501" s="402"/>
      <c r="R501" s="402"/>
      <c r="S501" s="402"/>
      <c r="T501" s="402"/>
      <c r="U501" s="402"/>
      <c r="V501" s="402"/>
      <c r="W501" s="402"/>
      <c r="X501" s="402"/>
      <c r="Y501" s="402"/>
      <c r="Z501" s="402"/>
    </row>
    <row r="502" ht="14.25" customHeight="1">
      <c r="A502" s="402"/>
      <c r="B502" s="402"/>
      <c r="C502" s="402"/>
      <c r="D502" s="402"/>
      <c r="E502" s="402"/>
      <c r="F502" s="403"/>
      <c r="G502" s="403"/>
      <c r="H502" s="402"/>
      <c r="I502" s="402"/>
      <c r="J502" s="402"/>
      <c r="K502" s="402"/>
      <c r="L502" s="402"/>
      <c r="M502" s="402"/>
      <c r="N502" s="402"/>
      <c r="O502" s="402"/>
      <c r="P502" s="402"/>
      <c r="Q502" s="402"/>
      <c r="R502" s="402"/>
      <c r="S502" s="402"/>
      <c r="T502" s="402"/>
      <c r="U502" s="402"/>
      <c r="V502" s="402"/>
      <c r="W502" s="402"/>
      <c r="X502" s="402"/>
      <c r="Y502" s="402"/>
      <c r="Z502" s="402"/>
    </row>
    <row r="503" ht="14.25" customHeight="1">
      <c r="A503" s="402"/>
      <c r="B503" s="402"/>
      <c r="C503" s="402"/>
      <c r="D503" s="402"/>
      <c r="E503" s="402"/>
      <c r="F503" s="403"/>
      <c r="G503" s="403"/>
      <c r="H503" s="402"/>
      <c r="I503" s="402"/>
      <c r="J503" s="402"/>
      <c r="K503" s="402"/>
      <c r="L503" s="402"/>
      <c r="M503" s="402"/>
      <c r="N503" s="402"/>
      <c r="O503" s="402"/>
      <c r="P503" s="402"/>
      <c r="Q503" s="402"/>
      <c r="R503" s="402"/>
      <c r="S503" s="402"/>
      <c r="T503" s="402"/>
      <c r="U503" s="402"/>
      <c r="V503" s="402"/>
      <c r="W503" s="402"/>
      <c r="X503" s="402"/>
      <c r="Y503" s="402"/>
      <c r="Z503" s="402"/>
    </row>
    <row r="504" ht="14.25" customHeight="1">
      <c r="A504" s="402"/>
      <c r="B504" s="402"/>
      <c r="C504" s="402"/>
      <c r="D504" s="402"/>
      <c r="E504" s="402"/>
      <c r="F504" s="403"/>
      <c r="G504" s="403"/>
      <c r="H504" s="402"/>
      <c r="I504" s="402"/>
      <c r="J504" s="402"/>
      <c r="K504" s="402"/>
      <c r="L504" s="402"/>
      <c r="M504" s="402"/>
      <c r="N504" s="402"/>
      <c r="O504" s="402"/>
      <c r="P504" s="402"/>
      <c r="Q504" s="402"/>
      <c r="R504" s="402"/>
      <c r="S504" s="402"/>
      <c r="T504" s="402"/>
      <c r="U504" s="402"/>
      <c r="V504" s="402"/>
      <c r="W504" s="402"/>
      <c r="X504" s="402"/>
      <c r="Y504" s="402"/>
      <c r="Z504" s="402"/>
    </row>
    <row r="505" ht="14.25" customHeight="1">
      <c r="A505" s="402"/>
      <c r="B505" s="402"/>
      <c r="C505" s="402"/>
      <c r="D505" s="402"/>
      <c r="E505" s="402"/>
      <c r="F505" s="403"/>
      <c r="G505" s="403"/>
      <c r="H505" s="402"/>
      <c r="I505" s="402"/>
      <c r="J505" s="402"/>
      <c r="K505" s="402"/>
      <c r="L505" s="402"/>
      <c r="M505" s="402"/>
      <c r="N505" s="402"/>
      <c r="O505" s="402"/>
      <c r="P505" s="402"/>
      <c r="Q505" s="402"/>
      <c r="R505" s="402"/>
      <c r="S505" s="402"/>
      <c r="T505" s="402"/>
      <c r="U505" s="402"/>
      <c r="V505" s="402"/>
      <c r="W505" s="402"/>
      <c r="X505" s="402"/>
      <c r="Y505" s="402"/>
      <c r="Z505" s="402"/>
    </row>
    <row r="506" ht="14.25" customHeight="1">
      <c r="A506" s="402"/>
      <c r="B506" s="402"/>
      <c r="C506" s="402"/>
      <c r="D506" s="402"/>
      <c r="E506" s="402"/>
      <c r="F506" s="403"/>
      <c r="G506" s="403"/>
      <c r="H506" s="402"/>
      <c r="I506" s="402"/>
      <c r="J506" s="402"/>
      <c r="K506" s="402"/>
      <c r="L506" s="402"/>
      <c r="M506" s="402"/>
      <c r="N506" s="402"/>
      <c r="O506" s="402"/>
      <c r="P506" s="402"/>
      <c r="Q506" s="402"/>
      <c r="R506" s="402"/>
      <c r="S506" s="402"/>
      <c r="T506" s="402"/>
      <c r="U506" s="402"/>
      <c r="V506" s="402"/>
      <c r="W506" s="402"/>
      <c r="X506" s="402"/>
      <c r="Y506" s="402"/>
      <c r="Z506" s="402"/>
    </row>
    <row r="507" ht="14.25" customHeight="1">
      <c r="A507" s="402"/>
      <c r="B507" s="402"/>
      <c r="C507" s="402"/>
      <c r="D507" s="402"/>
      <c r="E507" s="402"/>
      <c r="F507" s="403"/>
      <c r="G507" s="403"/>
      <c r="H507" s="402"/>
      <c r="I507" s="402"/>
      <c r="J507" s="402"/>
      <c r="K507" s="402"/>
      <c r="L507" s="402"/>
      <c r="M507" s="402"/>
      <c r="N507" s="402"/>
      <c r="O507" s="402"/>
      <c r="P507" s="402"/>
      <c r="Q507" s="402"/>
      <c r="R507" s="402"/>
      <c r="S507" s="402"/>
      <c r="T507" s="402"/>
      <c r="U507" s="402"/>
      <c r="V507" s="402"/>
      <c r="W507" s="402"/>
      <c r="X507" s="402"/>
      <c r="Y507" s="402"/>
      <c r="Z507" s="402"/>
    </row>
    <row r="508" ht="14.25" customHeight="1">
      <c r="A508" s="402"/>
      <c r="B508" s="402"/>
      <c r="C508" s="402"/>
      <c r="D508" s="402"/>
      <c r="E508" s="402"/>
      <c r="F508" s="403"/>
      <c r="G508" s="403"/>
      <c r="H508" s="402"/>
      <c r="I508" s="402"/>
      <c r="J508" s="402"/>
      <c r="K508" s="402"/>
      <c r="L508" s="402"/>
      <c r="M508" s="402"/>
      <c r="N508" s="402"/>
      <c r="O508" s="402"/>
      <c r="P508" s="402"/>
      <c r="Q508" s="402"/>
      <c r="R508" s="402"/>
      <c r="S508" s="402"/>
      <c r="T508" s="402"/>
      <c r="U508" s="402"/>
      <c r="V508" s="402"/>
      <c r="W508" s="402"/>
      <c r="X508" s="402"/>
      <c r="Y508" s="402"/>
      <c r="Z508" s="402"/>
    </row>
    <row r="509" ht="14.25" customHeight="1">
      <c r="A509" s="402"/>
      <c r="B509" s="402"/>
      <c r="C509" s="402"/>
      <c r="D509" s="402"/>
      <c r="E509" s="402"/>
      <c r="F509" s="403"/>
      <c r="G509" s="403"/>
      <c r="H509" s="402"/>
      <c r="I509" s="402"/>
      <c r="J509" s="402"/>
      <c r="K509" s="402"/>
      <c r="L509" s="402"/>
      <c r="M509" s="402"/>
      <c r="N509" s="402"/>
      <c r="O509" s="402"/>
      <c r="P509" s="402"/>
      <c r="Q509" s="402"/>
      <c r="R509" s="402"/>
      <c r="S509" s="402"/>
      <c r="T509" s="402"/>
      <c r="U509" s="402"/>
      <c r="V509" s="402"/>
      <c r="W509" s="402"/>
      <c r="X509" s="402"/>
      <c r="Y509" s="402"/>
      <c r="Z509" s="402"/>
    </row>
    <row r="510" ht="14.25" customHeight="1">
      <c r="A510" s="402"/>
      <c r="B510" s="402"/>
      <c r="C510" s="402"/>
      <c r="D510" s="402"/>
      <c r="E510" s="402"/>
      <c r="F510" s="403"/>
      <c r="G510" s="403"/>
      <c r="H510" s="402"/>
      <c r="I510" s="402"/>
      <c r="J510" s="402"/>
      <c r="K510" s="402"/>
      <c r="L510" s="402"/>
      <c r="M510" s="402"/>
      <c r="N510" s="402"/>
      <c r="O510" s="402"/>
      <c r="P510" s="402"/>
      <c r="Q510" s="402"/>
      <c r="R510" s="402"/>
      <c r="S510" s="402"/>
      <c r="T510" s="402"/>
      <c r="U510" s="402"/>
      <c r="V510" s="402"/>
      <c r="W510" s="402"/>
      <c r="X510" s="402"/>
      <c r="Y510" s="402"/>
      <c r="Z510" s="402"/>
    </row>
    <row r="511" ht="14.25" customHeight="1">
      <c r="A511" s="402"/>
      <c r="B511" s="402"/>
      <c r="C511" s="402"/>
      <c r="D511" s="402"/>
      <c r="E511" s="402"/>
      <c r="F511" s="403"/>
      <c r="G511" s="403"/>
      <c r="H511" s="402"/>
      <c r="I511" s="402"/>
      <c r="J511" s="402"/>
      <c r="K511" s="402"/>
      <c r="L511" s="402"/>
      <c r="M511" s="402"/>
      <c r="N511" s="402"/>
      <c r="O511" s="402"/>
      <c r="P511" s="402"/>
      <c r="Q511" s="402"/>
      <c r="R511" s="402"/>
      <c r="S511" s="402"/>
      <c r="T511" s="402"/>
      <c r="U511" s="402"/>
      <c r="V511" s="402"/>
      <c r="W511" s="402"/>
      <c r="X511" s="402"/>
      <c r="Y511" s="402"/>
      <c r="Z511" s="402"/>
    </row>
    <row r="512" ht="14.25" customHeight="1">
      <c r="A512" s="402"/>
      <c r="B512" s="402"/>
      <c r="C512" s="402"/>
      <c r="D512" s="402"/>
      <c r="E512" s="402"/>
      <c r="F512" s="403"/>
      <c r="G512" s="403"/>
      <c r="H512" s="402"/>
      <c r="I512" s="402"/>
      <c r="J512" s="402"/>
      <c r="K512" s="402"/>
      <c r="L512" s="402"/>
      <c r="M512" s="402"/>
      <c r="N512" s="402"/>
      <c r="O512" s="402"/>
      <c r="P512" s="402"/>
      <c r="Q512" s="402"/>
      <c r="R512" s="402"/>
      <c r="S512" s="402"/>
      <c r="T512" s="402"/>
      <c r="U512" s="402"/>
      <c r="V512" s="402"/>
      <c r="W512" s="402"/>
      <c r="X512" s="402"/>
      <c r="Y512" s="402"/>
      <c r="Z512" s="402"/>
    </row>
    <row r="513" ht="14.25" customHeight="1">
      <c r="A513" s="402"/>
      <c r="B513" s="402"/>
      <c r="C513" s="402"/>
      <c r="D513" s="402"/>
      <c r="E513" s="402"/>
      <c r="F513" s="403"/>
      <c r="G513" s="403"/>
      <c r="H513" s="402"/>
      <c r="I513" s="402"/>
      <c r="J513" s="402"/>
      <c r="K513" s="402"/>
      <c r="L513" s="402"/>
      <c r="M513" s="402"/>
      <c r="N513" s="402"/>
      <c r="O513" s="402"/>
      <c r="P513" s="402"/>
      <c r="Q513" s="402"/>
      <c r="R513" s="402"/>
      <c r="S513" s="402"/>
      <c r="T513" s="402"/>
      <c r="U513" s="402"/>
      <c r="V513" s="402"/>
      <c r="W513" s="402"/>
      <c r="X513" s="402"/>
      <c r="Y513" s="402"/>
      <c r="Z513" s="402"/>
    </row>
    <row r="514" ht="14.25" customHeight="1">
      <c r="A514" s="402"/>
      <c r="B514" s="402"/>
      <c r="C514" s="402"/>
      <c r="D514" s="402"/>
      <c r="E514" s="402"/>
      <c r="F514" s="403"/>
      <c r="G514" s="403"/>
      <c r="H514" s="402"/>
      <c r="I514" s="402"/>
      <c r="J514" s="402"/>
      <c r="K514" s="402"/>
      <c r="L514" s="402"/>
      <c r="M514" s="402"/>
      <c r="N514" s="402"/>
      <c r="O514" s="402"/>
      <c r="P514" s="402"/>
      <c r="Q514" s="402"/>
      <c r="R514" s="402"/>
      <c r="S514" s="402"/>
      <c r="T514" s="402"/>
      <c r="U514" s="402"/>
      <c r="V514" s="402"/>
      <c r="W514" s="402"/>
      <c r="X514" s="402"/>
      <c r="Y514" s="402"/>
      <c r="Z514" s="402"/>
    </row>
    <row r="515" ht="14.25" customHeight="1">
      <c r="A515" s="402"/>
      <c r="B515" s="402"/>
      <c r="C515" s="402"/>
      <c r="D515" s="402"/>
      <c r="E515" s="402"/>
      <c r="F515" s="403"/>
      <c r="G515" s="403"/>
      <c r="H515" s="402"/>
      <c r="I515" s="402"/>
      <c r="J515" s="402"/>
      <c r="K515" s="402"/>
      <c r="L515" s="402"/>
      <c r="M515" s="402"/>
      <c r="N515" s="402"/>
      <c r="O515" s="402"/>
      <c r="P515" s="402"/>
      <c r="Q515" s="402"/>
      <c r="R515" s="402"/>
      <c r="S515" s="402"/>
      <c r="T515" s="402"/>
      <c r="U515" s="402"/>
      <c r="V515" s="402"/>
      <c r="W515" s="402"/>
      <c r="X515" s="402"/>
      <c r="Y515" s="402"/>
      <c r="Z515" s="402"/>
    </row>
    <row r="516" ht="14.25" customHeight="1">
      <c r="A516" s="402"/>
      <c r="B516" s="402"/>
      <c r="C516" s="402"/>
      <c r="D516" s="402"/>
      <c r="E516" s="402"/>
      <c r="F516" s="403"/>
      <c r="G516" s="403"/>
      <c r="H516" s="402"/>
      <c r="I516" s="402"/>
      <c r="J516" s="402"/>
      <c r="K516" s="402"/>
      <c r="L516" s="402"/>
      <c r="M516" s="402"/>
      <c r="N516" s="402"/>
      <c r="O516" s="402"/>
      <c r="P516" s="402"/>
      <c r="Q516" s="402"/>
      <c r="R516" s="402"/>
      <c r="S516" s="402"/>
      <c r="T516" s="402"/>
      <c r="U516" s="402"/>
      <c r="V516" s="402"/>
      <c r="W516" s="402"/>
      <c r="X516" s="402"/>
      <c r="Y516" s="402"/>
      <c r="Z516" s="402"/>
    </row>
    <row r="517" ht="14.25" customHeight="1">
      <c r="A517" s="402"/>
      <c r="B517" s="402"/>
      <c r="C517" s="402"/>
      <c r="D517" s="402"/>
      <c r="E517" s="402"/>
      <c r="F517" s="403"/>
      <c r="G517" s="403"/>
      <c r="H517" s="402"/>
      <c r="I517" s="402"/>
      <c r="J517" s="402"/>
      <c r="K517" s="402"/>
      <c r="L517" s="402"/>
      <c r="M517" s="402"/>
      <c r="N517" s="402"/>
      <c r="O517" s="402"/>
      <c r="P517" s="402"/>
      <c r="Q517" s="402"/>
      <c r="R517" s="402"/>
      <c r="S517" s="402"/>
      <c r="T517" s="402"/>
      <c r="U517" s="402"/>
      <c r="V517" s="402"/>
      <c r="W517" s="402"/>
      <c r="X517" s="402"/>
      <c r="Y517" s="402"/>
      <c r="Z517" s="402"/>
    </row>
    <row r="518" ht="14.25" customHeight="1">
      <c r="A518" s="402"/>
      <c r="B518" s="402"/>
      <c r="C518" s="402"/>
      <c r="D518" s="402"/>
      <c r="E518" s="402"/>
      <c r="F518" s="403"/>
      <c r="G518" s="403"/>
      <c r="H518" s="402"/>
      <c r="I518" s="402"/>
      <c r="J518" s="402"/>
      <c r="K518" s="402"/>
      <c r="L518" s="402"/>
      <c r="M518" s="402"/>
      <c r="N518" s="402"/>
      <c r="O518" s="402"/>
      <c r="P518" s="402"/>
      <c r="Q518" s="402"/>
      <c r="R518" s="402"/>
      <c r="S518" s="402"/>
      <c r="T518" s="402"/>
      <c r="U518" s="402"/>
      <c r="V518" s="402"/>
      <c r="W518" s="402"/>
      <c r="X518" s="402"/>
      <c r="Y518" s="402"/>
      <c r="Z518" s="402"/>
    </row>
    <row r="519" ht="14.25" customHeight="1">
      <c r="A519" s="402"/>
      <c r="B519" s="402"/>
      <c r="C519" s="402"/>
      <c r="D519" s="402"/>
      <c r="E519" s="402"/>
      <c r="F519" s="403"/>
      <c r="G519" s="403"/>
      <c r="H519" s="402"/>
      <c r="I519" s="402"/>
      <c r="J519" s="402"/>
      <c r="K519" s="402"/>
      <c r="L519" s="402"/>
      <c r="M519" s="402"/>
      <c r="N519" s="402"/>
      <c r="O519" s="402"/>
      <c r="P519" s="402"/>
      <c r="Q519" s="402"/>
      <c r="R519" s="402"/>
      <c r="S519" s="402"/>
      <c r="T519" s="402"/>
      <c r="U519" s="402"/>
      <c r="V519" s="402"/>
      <c r="W519" s="402"/>
      <c r="X519" s="402"/>
      <c r="Y519" s="402"/>
      <c r="Z519" s="402"/>
    </row>
    <row r="520" ht="14.25" customHeight="1">
      <c r="A520" s="402"/>
      <c r="B520" s="402"/>
      <c r="C520" s="402"/>
      <c r="D520" s="402"/>
      <c r="E520" s="402"/>
      <c r="F520" s="403"/>
      <c r="G520" s="403"/>
      <c r="H520" s="402"/>
      <c r="I520" s="402"/>
      <c r="J520" s="402"/>
      <c r="K520" s="402"/>
      <c r="L520" s="402"/>
      <c r="M520" s="402"/>
      <c r="N520" s="402"/>
      <c r="O520" s="402"/>
      <c r="P520" s="402"/>
      <c r="Q520" s="402"/>
      <c r="R520" s="402"/>
      <c r="S520" s="402"/>
      <c r="T520" s="402"/>
      <c r="U520" s="402"/>
      <c r="V520" s="402"/>
      <c r="W520" s="402"/>
      <c r="X520" s="402"/>
      <c r="Y520" s="402"/>
      <c r="Z520" s="402"/>
    </row>
    <row r="521" ht="14.25" customHeight="1">
      <c r="A521" s="402"/>
      <c r="B521" s="402"/>
      <c r="C521" s="402"/>
      <c r="D521" s="402"/>
      <c r="E521" s="402"/>
      <c r="F521" s="403"/>
      <c r="G521" s="403"/>
      <c r="H521" s="402"/>
      <c r="I521" s="402"/>
      <c r="J521" s="402"/>
      <c r="K521" s="402"/>
      <c r="L521" s="402"/>
      <c r="M521" s="402"/>
      <c r="N521" s="402"/>
      <c r="O521" s="402"/>
      <c r="P521" s="402"/>
      <c r="Q521" s="402"/>
      <c r="R521" s="402"/>
      <c r="S521" s="402"/>
      <c r="T521" s="402"/>
      <c r="U521" s="402"/>
      <c r="V521" s="402"/>
      <c r="W521" s="402"/>
      <c r="X521" s="402"/>
      <c r="Y521" s="402"/>
      <c r="Z521" s="402"/>
    </row>
    <row r="522" ht="14.25" customHeight="1">
      <c r="A522" s="402"/>
      <c r="B522" s="402"/>
      <c r="C522" s="402"/>
      <c r="D522" s="402"/>
      <c r="E522" s="402"/>
      <c r="F522" s="403"/>
      <c r="G522" s="403"/>
      <c r="H522" s="402"/>
      <c r="I522" s="402"/>
      <c r="J522" s="402"/>
      <c r="K522" s="402"/>
      <c r="L522" s="402"/>
      <c r="M522" s="402"/>
      <c r="N522" s="402"/>
      <c r="O522" s="402"/>
      <c r="P522" s="402"/>
      <c r="Q522" s="402"/>
      <c r="R522" s="402"/>
      <c r="S522" s="402"/>
      <c r="T522" s="402"/>
      <c r="U522" s="402"/>
      <c r="V522" s="402"/>
      <c r="W522" s="402"/>
      <c r="X522" s="402"/>
      <c r="Y522" s="402"/>
      <c r="Z522" s="402"/>
    </row>
    <row r="523" ht="14.25" customHeight="1">
      <c r="A523" s="402"/>
      <c r="B523" s="402"/>
      <c r="C523" s="402"/>
      <c r="D523" s="402"/>
      <c r="E523" s="402"/>
      <c r="F523" s="403"/>
      <c r="G523" s="403"/>
      <c r="H523" s="402"/>
      <c r="I523" s="402"/>
      <c r="J523" s="402"/>
      <c r="K523" s="402"/>
      <c r="L523" s="402"/>
      <c r="M523" s="402"/>
      <c r="N523" s="402"/>
      <c r="O523" s="402"/>
      <c r="P523" s="402"/>
      <c r="Q523" s="402"/>
      <c r="R523" s="402"/>
      <c r="S523" s="402"/>
      <c r="T523" s="402"/>
      <c r="U523" s="402"/>
      <c r="V523" s="402"/>
      <c r="W523" s="402"/>
      <c r="X523" s="402"/>
      <c r="Y523" s="402"/>
      <c r="Z523" s="402"/>
    </row>
    <row r="524" ht="14.25" customHeight="1">
      <c r="A524" s="402"/>
      <c r="B524" s="402"/>
      <c r="C524" s="402"/>
      <c r="D524" s="402"/>
      <c r="E524" s="402"/>
      <c r="F524" s="403"/>
      <c r="G524" s="403"/>
      <c r="H524" s="402"/>
      <c r="I524" s="402"/>
      <c r="J524" s="402"/>
      <c r="K524" s="402"/>
      <c r="L524" s="402"/>
      <c r="M524" s="402"/>
      <c r="N524" s="402"/>
      <c r="O524" s="402"/>
      <c r="P524" s="402"/>
      <c r="Q524" s="402"/>
      <c r="R524" s="402"/>
      <c r="S524" s="402"/>
      <c r="T524" s="402"/>
      <c r="U524" s="402"/>
      <c r="V524" s="402"/>
      <c r="W524" s="402"/>
      <c r="X524" s="402"/>
      <c r="Y524" s="402"/>
      <c r="Z524" s="402"/>
    </row>
    <row r="525" ht="14.25" customHeight="1">
      <c r="A525" s="402"/>
      <c r="B525" s="402"/>
      <c r="C525" s="402"/>
      <c r="D525" s="402"/>
      <c r="E525" s="402"/>
      <c r="F525" s="403"/>
      <c r="G525" s="403"/>
      <c r="H525" s="402"/>
      <c r="I525" s="402"/>
      <c r="J525" s="402"/>
      <c r="K525" s="402"/>
      <c r="L525" s="402"/>
      <c r="M525" s="402"/>
      <c r="N525" s="402"/>
      <c r="O525" s="402"/>
      <c r="P525" s="402"/>
      <c r="Q525" s="402"/>
      <c r="R525" s="402"/>
      <c r="S525" s="402"/>
      <c r="T525" s="402"/>
      <c r="U525" s="402"/>
      <c r="V525" s="402"/>
      <c r="W525" s="402"/>
      <c r="X525" s="402"/>
      <c r="Y525" s="402"/>
      <c r="Z525" s="402"/>
    </row>
    <row r="526" ht="14.25" customHeight="1">
      <c r="A526" s="402"/>
      <c r="B526" s="402"/>
      <c r="C526" s="402"/>
      <c r="D526" s="402"/>
      <c r="E526" s="402"/>
      <c r="F526" s="403"/>
      <c r="G526" s="403"/>
      <c r="H526" s="402"/>
      <c r="I526" s="402"/>
      <c r="J526" s="402"/>
      <c r="K526" s="402"/>
      <c r="L526" s="402"/>
      <c r="M526" s="402"/>
      <c r="N526" s="402"/>
      <c r="O526" s="402"/>
      <c r="P526" s="402"/>
      <c r="Q526" s="402"/>
      <c r="R526" s="402"/>
      <c r="S526" s="402"/>
      <c r="T526" s="402"/>
      <c r="U526" s="402"/>
      <c r="V526" s="402"/>
      <c r="W526" s="402"/>
      <c r="X526" s="402"/>
      <c r="Y526" s="402"/>
      <c r="Z526" s="402"/>
    </row>
    <row r="527" ht="14.25" customHeight="1">
      <c r="A527" s="402"/>
      <c r="B527" s="402"/>
      <c r="C527" s="402"/>
      <c r="D527" s="402"/>
      <c r="E527" s="402"/>
      <c r="F527" s="403"/>
      <c r="G527" s="403"/>
      <c r="H527" s="402"/>
      <c r="I527" s="402"/>
      <c r="J527" s="402"/>
      <c r="K527" s="402"/>
      <c r="L527" s="402"/>
      <c r="M527" s="402"/>
      <c r="N527" s="402"/>
      <c r="O527" s="402"/>
      <c r="P527" s="402"/>
      <c r="Q527" s="402"/>
      <c r="R527" s="402"/>
      <c r="S527" s="402"/>
      <c r="T527" s="402"/>
      <c r="U527" s="402"/>
      <c r="V527" s="402"/>
      <c r="W527" s="402"/>
      <c r="X527" s="402"/>
      <c r="Y527" s="402"/>
      <c r="Z527" s="402"/>
    </row>
    <row r="528" ht="14.25" customHeight="1">
      <c r="A528" s="402"/>
      <c r="B528" s="402"/>
      <c r="C528" s="402"/>
      <c r="D528" s="402"/>
      <c r="E528" s="402"/>
      <c r="F528" s="403"/>
      <c r="G528" s="403"/>
      <c r="H528" s="402"/>
      <c r="I528" s="402"/>
      <c r="J528" s="402"/>
      <c r="K528" s="402"/>
      <c r="L528" s="402"/>
      <c r="M528" s="402"/>
      <c r="N528" s="402"/>
      <c r="O528" s="402"/>
      <c r="P528" s="402"/>
      <c r="Q528" s="402"/>
      <c r="R528" s="402"/>
      <c r="S528" s="402"/>
      <c r="T528" s="402"/>
      <c r="U528" s="402"/>
      <c r="V528" s="402"/>
      <c r="W528" s="402"/>
      <c r="X528" s="402"/>
      <c r="Y528" s="402"/>
      <c r="Z528" s="402"/>
    </row>
    <row r="529" ht="14.25" customHeight="1">
      <c r="A529" s="402"/>
      <c r="B529" s="402"/>
      <c r="C529" s="402"/>
      <c r="D529" s="402"/>
      <c r="E529" s="402"/>
      <c r="F529" s="403"/>
      <c r="G529" s="403"/>
      <c r="H529" s="402"/>
      <c r="I529" s="402"/>
      <c r="J529" s="402"/>
      <c r="K529" s="402"/>
      <c r="L529" s="402"/>
      <c r="M529" s="402"/>
      <c r="N529" s="402"/>
      <c r="O529" s="402"/>
      <c r="P529" s="402"/>
      <c r="Q529" s="402"/>
      <c r="R529" s="402"/>
      <c r="S529" s="402"/>
      <c r="T529" s="402"/>
      <c r="U529" s="402"/>
      <c r="V529" s="402"/>
      <c r="W529" s="402"/>
      <c r="X529" s="402"/>
      <c r="Y529" s="402"/>
      <c r="Z529" s="402"/>
    </row>
    <row r="530" ht="14.25" customHeight="1">
      <c r="A530" s="402"/>
      <c r="B530" s="402"/>
      <c r="C530" s="402"/>
      <c r="D530" s="402"/>
      <c r="E530" s="402"/>
      <c r="F530" s="403"/>
      <c r="G530" s="403"/>
      <c r="H530" s="402"/>
      <c r="I530" s="402"/>
      <c r="J530" s="402"/>
      <c r="K530" s="402"/>
      <c r="L530" s="402"/>
      <c r="M530" s="402"/>
      <c r="N530" s="402"/>
      <c r="O530" s="402"/>
      <c r="P530" s="402"/>
      <c r="Q530" s="402"/>
      <c r="R530" s="402"/>
      <c r="S530" s="402"/>
      <c r="T530" s="402"/>
      <c r="U530" s="402"/>
      <c r="V530" s="402"/>
      <c r="W530" s="402"/>
      <c r="X530" s="402"/>
      <c r="Y530" s="402"/>
      <c r="Z530" s="402"/>
    </row>
    <row r="531" ht="14.25" customHeight="1">
      <c r="A531" s="402"/>
      <c r="B531" s="402"/>
      <c r="C531" s="402"/>
      <c r="D531" s="402"/>
      <c r="E531" s="402"/>
      <c r="F531" s="403"/>
      <c r="G531" s="403"/>
      <c r="H531" s="402"/>
      <c r="I531" s="402"/>
      <c r="J531" s="402"/>
      <c r="K531" s="402"/>
      <c r="L531" s="402"/>
      <c r="M531" s="402"/>
      <c r="N531" s="402"/>
      <c r="O531" s="402"/>
      <c r="P531" s="402"/>
      <c r="Q531" s="402"/>
      <c r="R531" s="402"/>
      <c r="S531" s="402"/>
      <c r="T531" s="402"/>
      <c r="U531" s="402"/>
      <c r="V531" s="402"/>
      <c r="W531" s="402"/>
      <c r="X531" s="402"/>
      <c r="Y531" s="402"/>
      <c r="Z531" s="402"/>
    </row>
    <row r="532" ht="14.25" customHeight="1">
      <c r="A532" s="402"/>
      <c r="B532" s="402"/>
      <c r="C532" s="402"/>
      <c r="D532" s="402"/>
      <c r="E532" s="402"/>
      <c r="F532" s="403"/>
      <c r="G532" s="403"/>
      <c r="H532" s="402"/>
      <c r="I532" s="402"/>
      <c r="J532" s="402"/>
      <c r="K532" s="402"/>
      <c r="L532" s="402"/>
      <c r="M532" s="402"/>
      <c r="N532" s="402"/>
      <c r="O532" s="402"/>
      <c r="P532" s="402"/>
      <c r="Q532" s="402"/>
      <c r="R532" s="402"/>
      <c r="S532" s="402"/>
      <c r="T532" s="402"/>
      <c r="U532" s="402"/>
      <c r="V532" s="402"/>
      <c r="W532" s="402"/>
      <c r="X532" s="402"/>
      <c r="Y532" s="402"/>
      <c r="Z532" s="402"/>
    </row>
    <row r="533" ht="14.25" customHeight="1">
      <c r="A533" s="402"/>
      <c r="B533" s="402"/>
      <c r="C533" s="402"/>
      <c r="D533" s="402"/>
      <c r="E533" s="402"/>
      <c r="F533" s="403"/>
      <c r="G533" s="403"/>
      <c r="H533" s="402"/>
      <c r="I533" s="402"/>
      <c r="J533" s="402"/>
      <c r="K533" s="402"/>
      <c r="L533" s="402"/>
      <c r="M533" s="402"/>
      <c r="N533" s="402"/>
      <c r="O533" s="402"/>
      <c r="P533" s="402"/>
      <c r="Q533" s="402"/>
      <c r="R533" s="402"/>
      <c r="S533" s="402"/>
      <c r="T533" s="402"/>
      <c r="U533" s="402"/>
      <c r="V533" s="402"/>
      <c r="W533" s="402"/>
      <c r="X533" s="402"/>
      <c r="Y533" s="402"/>
      <c r="Z533" s="402"/>
    </row>
    <row r="534" ht="14.25" customHeight="1">
      <c r="A534" s="402"/>
      <c r="B534" s="402"/>
      <c r="C534" s="402"/>
      <c r="D534" s="402"/>
      <c r="E534" s="402"/>
      <c r="F534" s="403"/>
      <c r="G534" s="403"/>
      <c r="H534" s="402"/>
      <c r="I534" s="402"/>
      <c r="J534" s="402"/>
      <c r="K534" s="402"/>
      <c r="L534" s="402"/>
      <c r="M534" s="402"/>
      <c r="N534" s="402"/>
      <c r="O534" s="402"/>
      <c r="P534" s="402"/>
      <c r="Q534" s="402"/>
      <c r="R534" s="402"/>
      <c r="S534" s="402"/>
      <c r="T534" s="402"/>
      <c r="U534" s="402"/>
      <c r="V534" s="402"/>
      <c r="W534" s="402"/>
      <c r="X534" s="402"/>
      <c r="Y534" s="402"/>
      <c r="Z534" s="402"/>
    </row>
    <row r="535" ht="14.25" customHeight="1">
      <c r="A535" s="402"/>
      <c r="B535" s="402"/>
      <c r="C535" s="402"/>
      <c r="D535" s="402"/>
      <c r="E535" s="402"/>
      <c r="F535" s="403"/>
      <c r="G535" s="403"/>
      <c r="H535" s="402"/>
      <c r="I535" s="402"/>
      <c r="J535" s="402"/>
      <c r="K535" s="402"/>
      <c r="L535" s="402"/>
      <c r="M535" s="402"/>
      <c r="N535" s="402"/>
      <c r="O535" s="402"/>
      <c r="P535" s="402"/>
      <c r="Q535" s="402"/>
      <c r="R535" s="402"/>
      <c r="S535" s="402"/>
      <c r="T535" s="402"/>
      <c r="U535" s="402"/>
      <c r="V535" s="402"/>
      <c r="W535" s="402"/>
      <c r="X535" s="402"/>
      <c r="Y535" s="402"/>
      <c r="Z535" s="402"/>
    </row>
    <row r="536" ht="14.25" customHeight="1">
      <c r="A536" s="402"/>
      <c r="B536" s="402"/>
      <c r="C536" s="402"/>
      <c r="D536" s="402"/>
      <c r="E536" s="402"/>
      <c r="F536" s="403"/>
      <c r="G536" s="403"/>
      <c r="H536" s="402"/>
      <c r="I536" s="402"/>
      <c r="J536" s="402"/>
      <c r="K536" s="402"/>
      <c r="L536" s="402"/>
      <c r="M536" s="402"/>
      <c r="N536" s="402"/>
      <c r="O536" s="402"/>
      <c r="P536" s="402"/>
      <c r="Q536" s="402"/>
      <c r="R536" s="402"/>
      <c r="S536" s="402"/>
      <c r="T536" s="402"/>
      <c r="U536" s="402"/>
      <c r="V536" s="402"/>
      <c r="W536" s="402"/>
      <c r="X536" s="402"/>
      <c r="Y536" s="402"/>
      <c r="Z536" s="402"/>
    </row>
    <row r="537" ht="14.25" customHeight="1">
      <c r="A537" s="402"/>
      <c r="B537" s="402"/>
      <c r="C537" s="402"/>
      <c r="D537" s="402"/>
      <c r="E537" s="402"/>
      <c r="F537" s="403"/>
      <c r="G537" s="403"/>
      <c r="H537" s="402"/>
      <c r="I537" s="402"/>
      <c r="J537" s="402"/>
      <c r="K537" s="402"/>
      <c r="L537" s="402"/>
      <c r="M537" s="402"/>
      <c r="N537" s="402"/>
      <c r="O537" s="402"/>
      <c r="P537" s="402"/>
      <c r="Q537" s="402"/>
      <c r="R537" s="402"/>
      <c r="S537" s="402"/>
      <c r="T537" s="402"/>
      <c r="U537" s="402"/>
      <c r="V537" s="402"/>
      <c r="W537" s="402"/>
      <c r="X537" s="402"/>
      <c r="Y537" s="402"/>
      <c r="Z537" s="402"/>
    </row>
    <row r="538" ht="14.25" customHeight="1">
      <c r="A538" s="402"/>
      <c r="B538" s="402"/>
      <c r="C538" s="402"/>
      <c r="D538" s="402"/>
      <c r="E538" s="402"/>
      <c r="F538" s="403"/>
      <c r="G538" s="403"/>
      <c r="H538" s="402"/>
      <c r="I538" s="402"/>
      <c r="J538" s="402"/>
      <c r="K538" s="402"/>
      <c r="L538" s="402"/>
      <c r="M538" s="402"/>
      <c r="N538" s="402"/>
      <c r="O538" s="402"/>
      <c r="P538" s="402"/>
      <c r="Q538" s="402"/>
      <c r="R538" s="402"/>
      <c r="S538" s="402"/>
      <c r="T538" s="402"/>
      <c r="U538" s="402"/>
      <c r="V538" s="402"/>
      <c r="W538" s="402"/>
      <c r="X538" s="402"/>
      <c r="Y538" s="402"/>
      <c r="Z538" s="402"/>
    </row>
    <row r="539" ht="14.25" customHeight="1">
      <c r="A539" s="402"/>
      <c r="B539" s="402"/>
      <c r="C539" s="402"/>
      <c r="D539" s="402"/>
      <c r="E539" s="402"/>
      <c r="F539" s="403"/>
      <c r="G539" s="403"/>
      <c r="H539" s="402"/>
      <c r="I539" s="402"/>
      <c r="J539" s="402"/>
      <c r="K539" s="402"/>
      <c r="L539" s="402"/>
      <c r="M539" s="402"/>
      <c r="N539" s="402"/>
      <c r="O539" s="402"/>
      <c r="P539" s="402"/>
      <c r="Q539" s="402"/>
      <c r="R539" s="402"/>
      <c r="S539" s="402"/>
      <c r="T539" s="402"/>
      <c r="U539" s="402"/>
      <c r="V539" s="402"/>
      <c r="W539" s="402"/>
      <c r="X539" s="402"/>
      <c r="Y539" s="402"/>
      <c r="Z539" s="402"/>
    </row>
    <row r="540" ht="14.25" customHeight="1">
      <c r="A540" s="402"/>
      <c r="B540" s="402"/>
      <c r="C540" s="402"/>
      <c r="D540" s="402"/>
      <c r="E540" s="402"/>
      <c r="F540" s="403"/>
      <c r="G540" s="403"/>
      <c r="H540" s="402"/>
      <c r="I540" s="402"/>
      <c r="J540" s="402"/>
      <c r="K540" s="402"/>
      <c r="L540" s="402"/>
      <c r="M540" s="402"/>
      <c r="N540" s="402"/>
      <c r="O540" s="402"/>
      <c r="P540" s="402"/>
      <c r="Q540" s="402"/>
      <c r="R540" s="402"/>
      <c r="S540" s="402"/>
      <c r="T540" s="402"/>
      <c r="U540" s="402"/>
      <c r="V540" s="402"/>
      <c r="W540" s="402"/>
      <c r="X540" s="402"/>
      <c r="Y540" s="402"/>
      <c r="Z540" s="402"/>
    </row>
    <row r="541" ht="14.25" customHeight="1">
      <c r="A541" s="402"/>
      <c r="B541" s="402"/>
      <c r="C541" s="402"/>
      <c r="D541" s="402"/>
      <c r="E541" s="402"/>
      <c r="F541" s="403"/>
      <c r="G541" s="403"/>
      <c r="H541" s="402"/>
      <c r="I541" s="402"/>
      <c r="J541" s="402"/>
      <c r="K541" s="402"/>
      <c r="L541" s="402"/>
      <c r="M541" s="402"/>
      <c r="N541" s="402"/>
      <c r="O541" s="402"/>
      <c r="P541" s="402"/>
      <c r="Q541" s="402"/>
      <c r="R541" s="402"/>
      <c r="S541" s="402"/>
      <c r="T541" s="402"/>
      <c r="U541" s="402"/>
      <c r="V541" s="402"/>
      <c r="W541" s="402"/>
      <c r="X541" s="402"/>
      <c r="Y541" s="402"/>
      <c r="Z541" s="402"/>
    </row>
    <row r="542" ht="14.25" customHeight="1">
      <c r="A542" s="402"/>
      <c r="B542" s="402"/>
      <c r="C542" s="402"/>
      <c r="D542" s="402"/>
      <c r="E542" s="402"/>
      <c r="F542" s="403"/>
      <c r="G542" s="403"/>
      <c r="H542" s="402"/>
      <c r="I542" s="402"/>
      <c r="J542" s="402"/>
      <c r="K542" s="402"/>
      <c r="L542" s="402"/>
      <c r="M542" s="402"/>
      <c r="N542" s="402"/>
      <c r="O542" s="402"/>
      <c r="P542" s="402"/>
      <c r="Q542" s="402"/>
      <c r="R542" s="402"/>
      <c r="S542" s="402"/>
      <c r="T542" s="402"/>
      <c r="U542" s="402"/>
      <c r="V542" s="402"/>
      <c r="W542" s="402"/>
      <c r="X542" s="402"/>
      <c r="Y542" s="402"/>
      <c r="Z542" s="402"/>
    </row>
    <row r="543" ht="14.25" customHeight="1">
      <c r="A543" s="402"/>
      <c r="B543" s="402"/>
      <c r="C543" s="402"/>
      <c r="D543" s="402"/>
      <c r="E543" s="402"/>
      <c r="F543" s="403"/>
      <c r="G543" s="403"/>
      <c r="H543" s="402"/>
      <c r="I543" s="402"/>
      <c r="J543" s="402"/>
      <c r="K543" s="402"/>
      <c r="L543" s="402"/>
      <c r="M543" s="402"/>
      <c r="N543" s="402"/>
      <c r="O543" s="402"/>
      <c r="P543" s="402"/>
      <c r="Q543" s="402"/>
      <c r="R543" s="402"/>
      <c r="S543" s="402"/>
      <c r="T543" s="402"/>
      <c r="U543" s="402"/>
      <c r="V543" s="402"/>
      <c r="W543" s="402"/>
      <c r="X543" s="402"/>
      <c r="Y543" s="402"/>
      <c r="Z543" s="402"/>
    </row>
    <row r="544" ht="14.25" customHeight="1">
      <c r="A544" s="402"/>
      <c r="B544" s="402"/>
      <c r="C544" s="402"/>
      <c r="D544" s="402"/>
      <c r="E544" s="402"/>
      <c r="F544" s="403"/>
      <c r="G544" s="403"/>
      <c r="H544" s="402"/>
      <c r="I544" s="402"/>
      <c r="J544" s="402"/>
      <c r="K544" s="402"/>
      <c r="L544" s="402"/>
      <c r="M544" s="402"/>
      <c r="N544" s="402"/>
      <c r="O544" s="402"/>
      <c r="P544" s="402"/>
      <c r="Q544" s="402"/>
      <c r="R544" s="402"/>
      <c r="S544" s="402"/>
      <c r="T544" s="402"/>
      <c r="U544" s="402"/>
      <c r="V544" s="402"/>
      <c r="W544" s="402"/>
      <c r="X544" s="402"/>
      <c r="Y544" s="402"/>
      <c r="Z544" s="402"/>
    </row>
    <row r="545" ht="14.25" customHeight="1">
      <c r="A545" s="402"/>
      <c r="B545" s="402"/>
      <c r="C545" s="402"/>
      <c r="D545" s="402"/>
      <c r="E545" s="402"/>
      <c r="F545" s="403"/>
      <c r="G545" s="403"/>
      <c r="H545" s="402"/>
      <c r="I545" s="402"/>
      <c r="J545" s="402"/>
      <c r="K545" s="402"/>
      <c r="L545" s="402"/>
      <c r="M545" s="402"/>
      <c r="N545" s="402"/>
      <c r="O545" s="402"/>
      <c r="P545" s="402"/>
      <c r="Q545" s="402"/>
      <c r="R545" s="402"/>
      <c r="S545" s="402"/>
      <c r="T545" s="402"/>
      <c r="U545" s="402"/>
      <c r="V545" s="402"/>
      <c r="W545" s="402"/>
      <c r="X545" s="402"/>
      <c r="Y545" s="402"/>
      <c r="Z545" s="402"/>
    </row>
    <row r="546" ht="14.25" customHeight="1">
      <c r="A546" s="402"/>
      <c r="B546" s="402"/>
      <c r="C546" s="402"/>
      <c r="D546" s="402"/>
      <c r="E546" s="402"/>
      <c r="F546" s="403"/>
      <c r="G546" s="403"/>
      <c r="H546" s="402"/>
      <c r="I546" s="402"/>
      <c r="J546" s="402"/>
      <c r="K546" s="402"/>
      <c r="L546" s="402"/>
      <c r="M546" s="402"/>
      <c r="N546" s="402"/>
      <c r="O546" s="402"/>
      <c r="P546" s="402"/>
      <c r="Q546" s="402"/>
      <c r="R546" s="402"/>
      <c r="S546" s="402"/>
      <c r="T546" s="402"/>
      <c r="U546" s="402"/>
      <c r="V546" s="402"/>
      <c r="W546" s="402"/>
      <c r="X546" s="402"/>
      <c r="Y546" s="402"/>
      <c r="Z546" s="402"/>
    </row>
    <row r="547" ht="14.25" customHeight="1">
      <c r="A547" s="402"/>
      <c r="B547" s="402"/>
      <c r="C547" s="402"/>
      <c r="D547" s="402"/>
      <c r="E547" s="402"/>
      <c r="F547" s="403"/>
      <c r="G547" s="403"/>
      <c r="H547" s="402"/>
      <c r="I547" s="402"/>
      <c r="J547" s="402"/>
      <c r="K547" s="402"/>
      <c r="L547" s="402"/>
      <c r="M547" s="402"/>
      <c r="N547" s="402"/>
      <c r="O547" s="402"/>
      <c r="P547" s="402"/>
      <c r="Q547" s="402"/>
      <c r="R547" s="402"/>
      <c r="S547" s="402"/>
      <c r="T547" s="402"/>
      <c r="U547" s="402"/>
      <c r="V547" s="402"/>
      <c r="W547" s="402"/>
      <c r="X547" s="402"/>
      <c r="Y547" s="402"/>
      <c r="Z547" s="402"/>
    </row>
    <row r="548" ht="14.25" customHeight="1">
      <c r="A548" s="402"/>
      <c r="B548" s="402"/>
      <c r="C548" s="402"/>
      <c r="D548" s="402"/>
      <c r="E548" s="402"/>
      <c r="F548" s="403"/>
      <c r="G548" s="403"/>
      <c r="H548" s="402"/>
      <c r="I548" s="402"/>
      <c r="J548" s="402"/>
      <c r="K548" s="402"/>
      <c r="L548" s="402"/>
      <c r="M548" s="402"/>
      <c r="N548" s="402"/>
      <c r="O548" s="402"/>
      <c r="P548" s="402"/>
      <c r="Q548" s="402"/>
      <c r="R548" s="402"/>
      <c r="S548" s="402"/>
      <c r="T548" s="402"/>
      <c r="U548" s="402"/>
      <c r="V548" s="402"/>
      <c r="W548" s="402"/>
      <c r="X548" s="402"/>
      <c r="Y548" s="402"/>
      <c r="Z548" s="402"/>
    </row>
    <row r="549" ht="14.25" customHeight="1">
      <c r="A549" s="402"/>
      <c r="B549" s="402"/>
      <c r="C549" s="402"/>
      <c r="D549" s="402"/>
      <c r="E549" s="402"/>
      <c r="F549" s="403"/>
      <c r="G549" s="403"/>
      <c r="H549" s="402"/>
      <c r="I549" s="402"/>
      <c r="J549" s="402"/>
      <c r="K549" s="402"/>
      <c r="L549" s="402"/>
      <c r="M549" s="402"/>
      <c r="N549" s="402"/>
      <c r="O549" s="402"/>
      <c r="P549" s="402"/>
      <c r="Q549" s="402"/>
      <c r="R549" s="402"/>
      <c r="S549" s="402"/>
      <c r="T549" s="402"/>
      <c r="U549" s="402"/>
      <c r="V549" s="402"/>
      <c r="W549" s="402"/>
      <c r="X549" s="402"/>
      <c r="Y549" s="402"/>
      <c r="Z549" s="402"/>
    </row>
    <row r="550" ht="14.25" customHeight="1">
      <c r="A550" s="402"/>
      <c r="B550" s="402"/>
      <c r="C550" s="402"/>
      <c r="D550" s="402"/>
      <c r="E550" s="402"/>
      <c r="F550" s="403"/>
      <c r="G550" s="403"/>
      <c r="H550" s="402"/>
      <c r="I550" s="402"/>
      <c r="J550" s="402"/>
      <c r="K550" s="402"/>
      <c r="L550" s="402"/>
      <c r="M550" s="402"/>
      <c r="N550" s="402"/>
      <c r="O550" s="402"/>
      <c r="P550" s="402"/>
      <c r="Q550" s="402"/>
      <c r="R550" s="402"/>
      <c r="S550" s="402"/>
      <c r="T550" s="402"/>
      <c r="U550" s="402"/>
      <c r="V550" s="402"/>
      <c r="W550" s="402"/>
      <c r="X550" s="402"/>
      <c r="Y550" s="402"/>
      <c r="Z550" s="402"/>
    </row>
    <row r="551" ht="14.25" customHeight="1">
      <c r="A551" s="402"/>
      <c r="B551" s="402"/>
      <c r="C551" s="402"/>
      <c r="D551" s="402"/>
      <c r="E551" s="402"/>
      <c r="F551" s="403"/>
      <c r="G551" s="403"/>
      <c r="H551" s="402"/>
      <c r="I551" s="402"/>
      <c r="J551" s="402"/>
      <c r="K551" s="402"/>
      <c r="L551" s="402"/>
      <c r="M551" s="402"/>
      <c r="N551" s="402"/>
      <c r="O551" s="402"/>
      <c r="P551" s="402"/>
      <c r="Q551" s="402"/>
      <c r="R551" s="402"/>
      <c r="S551" s="402"/>
      <c r="T551" s="402"/>
      <c r="U551" s="402"/>
      <c r="V551" s="402"/>
      <c r="W551" s="402"/>
      <c r="X551" s="402"/>
      <c r="Y551" s="402"/>
      <c r="Z551" s="402"/>
    </row>
    <row r="552" ht="14.25" customHeight="1">
      <c r="A552" s="402"/>
      <c r="B552" s="402"/>
      <c r="C552" s="402"/>
      <c r="D552" s="402"/>
      <c r="E552" s="402"/>
      <c r="F552" s="403"/>
      <c r="G552" s="403"/>
      <c r="H552" s="402"/>
      <c r="I552" s="402"/>
      <c r="J552" s="402"/>
      <c r="K552" s="402"/>
      <c r="L552" s="402"/>
      <c r="M552" s="402"/>
      <c r="N552" s="402"/>
      <c r="O552" s="402"/>
      <c r="P552" s="402"/>
      <c r="Q552" s="402"/>
      <c r="R552" s="402"/>
      <c r="S552" s="402"/>
      <c r="T552" s="402"/>
      <c r="U552" s="402"/>
      <c r="V552" s="402"/>
      <c r="W552" s="402"/>
      <c r="X552" s="402"/>
      <c r="Y552" s="402"/>
      <c r="Z552" s="402"/>
    </row>
    <row r="553" ht="14.25" customHeight="1">
      <c r="A553" s="402"/>
      <c r="B553" s="402"/>
      <c r="C553" s="402"/>
      <c r="D553" s="402"/>
      <c r="E553" s="402"/>
      <c r="F553" s="403"/>
      <c r="G553" s="403"/>
      <c r="H553" s="402"/>
      <c r="I553" s="402"/>
      <c r="J553" s="402"/>
      <c r="K553" s="402"/>
      <c r="L553" s="402"/>
      <c r="M553" s="402"/>
      <c r="N553" s="402"/>
      <c r="O553" s="402"/>
      <c r="P553" s="402"/>
      <c r="Q553" s="402"/>
      <c r="R553" s="402"/>
      <c r="S553" s="402"/>
      <c r="T553" s="402"/>
      <c r="U553" s="402"/>
      <c r="V553" s="402"/>
      <c r="W553" s="402"/>
      <c r="X553" s="402"/>
      <c r="Y553" s="402"/>
      <c r="Z553" s="402"/>
    </row>
    <row r="554" ht="14.25" customHeight="1">
      <c r="A554" s="402"/>
      <c r="B554" s="402"/>
      <c r="C554" s="402"/>
      <c r="D554" s="402"/>
      <c r="E554" s="402"/>
      <c r="F554" s="403"/>
      <c r="G554" s="403"/>
      <c r="H554" s="402"/>
      <c r="I554" s="402"/>
      <c r="J554" s="402"/>
      <c r="K554" s="402"/>
      <c r="L554" s="402"/>
      <c r="M554" s="402"/>
      <c r="N554" s="402"/>
      <c r="O554" s="402"/>
      <c r="P554" s="402"/>
      <c r="Q554" s="402"/>
      <c r="R554" s="402"/>
      <c r="S554" s="402"/>
      <c r="T554" s="402"/>
      <c r="U554" s="402"/>
      <c r="V554" s="402"/>
      <c r="W554" s="402"/>
      <c r="X554" s="402"/>
      <c r="Y554" s="402"/>
      <c r="Z554" s="402"/>
    </row>
    <row r="555" ht="14.25" customHeight="1">
      <c r="A555" s="402"/>
      <c r="B555" s="402"/>
      <c r="C555" s="402"/>
      <c r="D555" s="402"/>
      <c r="E555" s="402"/>
      <c r="F555" s="403"/>
      <c r="G555" s="403"/>
      <c r="H555" s="402"/>
      <c r="I555" s="402"/>
      <c r="J555" s="402"/>
      <c r="K555" s="402"/>
      <c r="L555" s="402"/>
      <c r="M555" s="402"/>
      <c r="N555" s="402"/>
      <c r="O555" s="402"/>
      <c r="P555" s="402"/>
      <c r="Q555" s="402"/>
      <c r="R555" s="402"/>
      <c r="S555" s="402"/>
      <c r="T555" s="402"/>
      <c r="U555" s="402"/>
      <c r="V555" s="402"/>
      <c r="W555" s="402"/>
      <c r="X555" s="402"/>
      <c r="Y555" s="402"/>
      <c r="Z555" s="402"/>
    </row>
    <row r="556" ht="14.25" customHeight="1">
      <c r="A556" s="402"/>
      <c r="B556" s="402"/>
      <c r="C556" s="402"/>
      <c r="D556" s="402"/>
      <c r="E556" s="402"/>
      <c r="F556" s="403"/>
      <c r="G556" s="403"/>
      <c r="H556" s="402"/>
      <c r="I556" s="402"/>
      <c r="J556" s="402"/>
      <c r="K556" s="402"/>
      <c r="L556" s="402"/>
      <c r="M556" s="402"/>
      <c r="N556" s="402"/>
      <c r="O556" s="402"/>
      <c r="P556" s="402"/>
      <c r="Q556" s="402"/>
      <c r="R556" s="402"/>
      <c r="S556" s="402"/>
      <c r="T556" s="402"/>
      <c r="U556" s="402"/>
      <c r="V556" s="402"/>
      <c r="W556" s="402"/>
      <c r="X556" s="402"/>
      <c r="Y556" s="402"/>
      <c r="Z556" s="402"/>
    </row>
    <row r="557" ht="14.25" customHeight="1">
      <c r="A557" s="402"/>
      <c r="B557" s="402"/>
      <c r="C557" s="402"/>
      <c r="D557" s="402"/>
      <c r="E557" s="402"/>
      <c r="F557" s="403"/>
      <c r="G557" s="403"/>
      <c r="H557" s="402"/>
      <c r="I557" s="402"/>
      <c r="J557" s="402"/>
      <c r="K557" s="402"/>
      <c r="L557" s="402"/>
      <c r="M557" s="402"/>
      <c r="N557" s="402"/>
      <c r="O557" s="402"/>
      <c r="P557" s="402"/>
      <c r="Q557" s="402"/>
      <c r="R557" s="402"/>
      <c r="S557" s="402"/>
      <c r="T557" s="402"/>
      <c r="U557" s="402"/>
      <c r="V557" s="402"/>
      <c r="W557" s="402"/>
      <c r="X557" s="402"/>
      <c r="Y557" s="402"/>
      <c r="Z557" s="402"/>
    </row>
    <row r="558" ht="14.25" customHeight="1">
      <c r="A558" s="402"/>
      <c r="B558" s="402"/>
      <c r="C558" s="402"/>
      <c r="D558" s="402"/>
      <c r="E558" s="402"/>
      <c r="F558" s="403"/>
      <c r="G558" s="403"/>
      <c r="H558" s="402"/>
      <c r="I558" s="402"/>
      <c r="J558" s="402"/>
      <c r="K558" s="402"/>
      <c r="L558" s="402"/>
      <c r="M558" s="402"/>
      <c r="N558" s="402"/>
      <c r="O558" s="402"/>
      <c r="P558" s="402"/>
      <c r="Q558" s="402"/>
      <c r="R558" s="402"/>
      <c r="S558" s="402"/>
      <c r="T558" s="402"/>
      <c r="U558" s="402"/>
      <c r="V558" s="402"/>
      <c r="W558" s="402"/>
      <c r="X558" s="402"/>
      <c r="Y558" s="402"/>
      <c r="Z558" s="402"/>
    </row>
    <row r="559" ht="14.25" customHeight="1">
      <c r="A559" s="402"/>
      <c r="B559" s="402"/>
      <c r="C559" s="402"/>
      <c r="D559" s="402"/>
      <c r="E559" s="402"/>
      <c r="F559" s="403"/>
      <c r="G559" s="403"/>
      <c r="H559" s="402"/>
      <c r="I559" s="402"/>
      <c r="J559" s="402"/>
      <c r="K559" s="402"/>
      <c r="L559" s="402"/>
      <c r="M559" s="402"/>
      <c r="N559" s="402"/>
      <c r="O559" s="402"/>
      <c r="P559" s="402"/>
      <c r="Q559" s="402"/>
      <c r="R559" s="402"/>
      <c r="S559" s="402"/>
      <c r="T559" s="402"/>
      <c r="U559" s="402"/>
      <c r="V559" s="402"/>
      <c r="W559" s="402"/>
      <c r="X559" s="402"/>
      <c r="Y559" s="402"/>
      <c r="Z559" s="402"/>
    </row>
    <row r="560" ht="14.25" customHeight="1">
      <c r="A560" s="402"/>
      <c r="B560" s="402"/>
      <c r="C560" s="402"/>
      <c r="D560" s="402"/>
      <c r="E560" s="402"/>
      <c r="F560" s="403"/>
      <c r="G560" s="403"/>
      <c r="H560" s="402"/>
      <c r="I560" s="402"/>
      <c r="J560" s="402"/>
      <c r="K560" s="402"/>
      <c r="L560" s="402"/>
      <c r="M560" s="402"/>
      <c r="N560" s="402"/>
      <c r="O560" s="402"/>
      <c r="P560" s="402"/>
      <c r="Q560" s="402"/>
      <c r="R560" s="402"/>
      <c r="S560" s="402"/>
      <c r="T560" s="402"/>
      <c r="U560" s="402"/>
      <c r="V560" s="402"/>
      <c r="W560" s="402"/>
      <c r="X560" s="402"/>
      <c r="Y560" s="402"/>
      <c r="Z560" s="402"/>
    </row>
    <row r="561" ht="14.25" customHeight="1">
      <c r="A561" s="402"/>
      <c r="B561" s="402"/>
      <c r="C561" s="402"/>
      <c r="D561" s="402"/>
      <c r="E561" s="402"/>
      <c r="F561" s="403"/>
      <c r="G561" s="403"/>
      <c r="H561" s="402"/>
      <c r="I561" s="402"/>
      <c r="J561" s="402"/>
      <c r="K561" s="402"/>
      <c r="L561" s="402"/>
      <c r="M561" s="402"/>
      <c r="N561" s="402"/>
      <c r="O561" s="402"/>
      <c r="P561" s="402"/>
      <c r="Q561" s="402"/>
      <c r="R561" s="402"/>
      <c r="S561" s="402"/>
      <c r="T561" s="402"/>
      <c r="U561" s="402"/>
      <c r="V561" s="402"/>
      <c r="W561" s="402"/>
      <c r="X561" s="402"/>
      <c r="Y561" s="402"/>
      <c r="Z561" s="402"/>
    </row>
    <row r="562" ht="14.25" customHeight="1">
      <c r="A562" s="402"/>
      <c r="B562" s="402"/>
      <c r="C562" s="402"/>
      <c r="D562" s="402"/>
      <c r="E562" s="402"/>
      <c r="F562" s="403"/>
      <c r="G562" s="403"/>
      <c r="H562" s="402"/>
      <c r="I562" s="402"/>
      <c r="J562" s="402"/>
      <c r="K562" s="402"/>
      <c r="L562" s="402"/>
      <c r="M562" s="402"/>
      <c r="N562" s="402"/>
      <c r="O562" s="402"/>
      <c r="P562" s="402"/>
      <c r="Q562" s="402"/>
      <c r="R562" s="402"/>
      <c r="S562" s="402"/>
      <c r="T562" s="402"/>
      <c r="U562" s="402"/>
      <c r="V562" s="402"/>
      <c r="W562" s="402"/>
      <c r="X562" s="402"/>
      <c r="Y562" s="402"/>
      <c r="Z562" s="402"/>
    </row>
    <row r="563" ht="14.25" customHeight="1">
      <c r="A563" s="402"/>
      <c r="B563" s="402"/>
      <c r="C563" s="402"/>
      <c r="D563" s="402"/>
      <c r="E563" s="402"/>
      <c r="F563" s="403"/>
      <c r="G563" s="403"/>
      <c r="H563" s="402"/>
      <c r="I563" s="402"/>
      <c r="J563" s="402"/>
      <c r="K563" s="402"/>
      <c r="L563" s="402"/>
      <c r="M563" s="402"/>
      <c r="N563" s="402"/>
      <c r="O563" s="402"/>
      <c r="P563" s="402"/>
      <c r="Q563" s="402"/>
      <c r="R563" s="402"/>
      <c r="S563" s="402"/>
      <c r="T563" s="402"/>
      <c r="U563" s="402"/>
      <c r="V563" s="402"/>
      <c r="W563" s="402"/>
      <c r="X563" s="402"/>
      <c r="Y563" s="402"/>
      <c r="Z563" s="402"/>
    </row>
    <row r="564" ht="14.25" customHeight="1">
      <c r="A564" s="402"/>
      <c r="B564" s="402"/>
      <c r="C564" s="402"/>
      <c r="D564" s="402"/>
      <c r="E564" s="402"/>
      <c r="F564" s="403"/>
      <c r="G564" s="403"/>
      <c r="H564" s="402"/>
      <c r="I564" s="402"/>
      <c r="J564" s="402"/>
      <c r="K564" s="402"/>
      <c r="L564" s="402"/>
      <c r="M564" s="402"/>
      <c r="N564" s="402"/>
      <c r="O564" s="402"/>
      <c r="P564" s="402"/>
      <c r="Q564" s="402"/>
      <c r="R564" s="402"/>
      <c r="S564" s="402"/>
      <c r="T564" s="402"/>
      <c r="U564" s="402"/>
      <c r="V564" s="402"/>
      <c r="W564" s="402"/>
      <c r="X564" s="402"/>
      <c r="Y564" s="402"/>
      <c r="Z564" s="402"/>
    </row>
    <row r="565" ht="14.25" customHeight="1">
      <c r="A565" s="402"/>
      <c r="B565" s="402"/>
      <c r="C565" s="402"/>
      <c r="D565" s="402"/>
      <c r="E565" s="402"/>
      <c r="F565" s="403"/>
      <c r="G565" s="403"/>
      <c r="H565" s="402"/>
      <c r="I565" s="402"/>
      <c r="J565" s="402"/>
      <c r="K565" s="402"/>
      <c r="L565" s="402"/>
      <c r="M565" s="402"/>
      <c r="N565" s="402"/>
      <c r="O565" s="402"/>
      <c r="P565" s="402"/>
      <c r="Q565" s="402"/>
      <c r="R565" s="402"/>
      <c r="S565" s="402"/>
      <c r="T565" s="402"/>
      <c r="U565" s="402"/>
      <c r="V565" s="402"/>
      <c r="W565" s="402"/>
      <c r="X565" s="402"/>
      <c r="Y565" s="402"/>
      <c r="Z565" s="402"/>
    </row>
    <row r="566" ht="14.25" customHeight="1">
      <c r="A566" s="402"/>
      <c r="B566" s="402"/>
      <c r="C566" s="402"/>
      <c r="D566" s="402"/>
      <c r="E566" s="402"/>
      <c r="F566" s="403"/>
      <c r="G566" s="403"/>
      <c r="H566" s="402"/>
      <c r="I566" s="402"/>
      <c r="J566" s="402"/>
      <c r="K566" s="402"/>
      <c r="L566" s="402"/>
      <c r="M566" s="402"/>
      <c r="N566" s="402"/>
      <c r="O566" s="402"/>
      <c r="P566" s="402"/>
      <c r="Q566" s="402"/>
      <c r="R566" s="402"/>
      <c r="S566" s="402"/>
      <c r="T566" s="402"/>
      <c r="U566" s="402"/>
      <c r="V566" s="402"/>
      <c r="W566" s="402"/>
      <c r="X566" s="402"/>
      <c r="Y566" s="402"/>
      <c r="Z566" s="402"/>
    </row>
    <row r="567" ht="14.25" customHeight="1">
      <c r="A567" s="402"/>
      <c r="B567" s="402"/>
      <c r="C567" s="402"/>
      <c r="D567" s="402"/>
      <c r="E567" s="402"/>
      <c r="F567" s="403"/>
      <c r="G567" s="403"/>
      <c r="H567" s="402"/>
      <c r="I567" s="402"/>
      <c r="J567" s="402"/>
      <c r="K567" s="402"/>
      <c r="L567" s="402"/>
      <c r="M567" s="402"/>
      <c r="N567" s="402"/>
      <c r="O567" s="402"/>
      <c r="P567" s="402"/>
      <c r="Q567" s="402"/>
      <c r="R567" s="402"/>
      <c r="S567" s="402"/>
      <c r="T567" s="402"/>
      <c r="U567" s="402"/>
      <c r="V567" s="402"/>
      <c r="W567" s="402"/>
      <c r="X567" s="402"/>
      <c r="Y567" s="402"/>
      <c r="Z567" s="402"/>
    </row>
    <row r="568" ht="14.25" customHeight="1">
      <c r="A568" s="402"/>
      <c r="B568" s="402"/>
      <c r="C568" s="402"/>
      <c r="D568" s="402"/>
      <c r="E568" s="402"/>
      <c r="F568" s="403"/>
      <c r="G568" s="403"/>
      <c r="H568" s="402"/>
      <c r="I568" s="402"/>
      <c r="J568" s="402"/>
      <c r="K568" s="402"/>
      <c r="L568" s="402"/>
      <c r="M568" s="402"/>
      <c r="N568" s="402"/>
      <c r="O568" s="402"/>
      <c r="P568" s="402"/>
      <c r="Q568" s="402"/>
      <c r="R568" s="402"/>
      <c r="S568" s="402"/>
      <c r="T568" s="402"/>
      <c r="U568" s="402"/>
      <c r="V568" s="402"/>
      <c r="W568" s="402"/>
      <c r="X568" s="402"/>
      <c r="Y568" s="402"/>
      <c r="Z568" s="402"/>
    </row>
    <row r="569" ht="14.25" customHeight="1">
      <c r="A569" s="402"/>
      <c r="B569" s="402"/>
      <c r="C569" s="402"/>
      <c r="D569" s="402"/>
      <c r="E569" s="402"/>
      <c r="F569" s="403"/>
      <c r="G569" s="403"/>
      <c r="H569" s="402"/>
      <c r="I569" s="402"/>
      <c r="J569" s="402"/>
      <c r="K569" s="402"/>
      <c r="L569" s="402"/>
      <c r="M569" s="402"/>
      <c r="N569" s="402"/>
      <c r="O569" s="402"/>
      <c r="P569" s="402"/>
      <c r="Q569" s="402"/>
      <c r="R569" s="402"/>
      <c r="S569" s="402"/>
      <c r="T569" s="402"/>
      <c r="U569" s="402"/>
      <c r="V569" s="402"/>
      <c r="W569" s="402"/>
      <c r="X569" s="402"/>
      <c r="Y569" s="402"/>
      <c r="Z569" s="402"/>
    </row>
    <row r="570" ht="14.25" customHeight="1">
      <c r="A570" s="402"/>
      <c r="B570" s="402"/>
      <c r="C570" s="402"/>
      <c r="D570" s="402"/>
      <c r="E570" s="402"/>
      <c r="F570" s="403"/>
      <c r="G570" s="403"/>
      <c r="H570" s="402"/>
      <c r="I570" s="402"/>
      <c r="J570" s="402"/>
      <c r="K570" s="402"/>
      <c r="L570" s="402"/>
      <c r="M570" s="402"/>
      <c r="N570" s="402"/>
      <c r="O570" s="402"/>
      <c r="P570" s="402"/>
      <c r="Q570" s="402"/>
      <c r="R570" s="402"/>
      <c r="S570" s="402"/>
      <c r="T570" s="402"/>
      <c r="U570" s="402"/>
      <c r="V570" s="402"/>
      <c r="W570" s="402"/>
      <c r="X570" s="402"/>
      <c r="Y570" s="402"/>
      <c r="Z570" s="402"/>
    </row>
    <row r="571" ht="14.25" customHeight="1">
      <c r="A571" s="402"/>
      <c r="B571" s="402"/>
      <c r="C571" s="402"/>
      <c r="D571" s="402"/>
      <c r="E571" s="402"/>
      <c r="F571" s="403"/>
      <c r="G571" s="403"/>
      <c r="H571" s="402"/>
      <c r="I571" s="402"/>
      <c r="J571" s="402"/>
      <c r="K571" s="402"/>
      <c r="L571" s="402"/>
      <c r="M571" s="402"/>
      <c r="N571" s="402"/>
      <c r="O571" s="402"/>
      <c r="P571" s="402"/>
      <c r="Q571" s="402"/>
      <c r="R571" s="402"/>
      <c r="S571" s="402"/>
      <c r="T571" s="402"/>
      <c r="U571" s="402"/>
      <c r="V571" s="402"/>
      <c r="W571" s="402"/>
      <c r="X571" s="402"/>
      <c r="Y571" s="402"/>
      <c r="Z571" s="402"/>
    </row>
    <row r="572" ht="14.25" customHeight="1">
      <c r="A572" s="402"/>
      <c r="B572" s="402"/>
      <c r="C572" s="402"/>
      <c r="D572" s="402"/>
      <c r="E572" s="402"/>
      <c r="F572" s="403"/>
      <c r="G572" s="403"/>
      <c r="H572" s="402"/>
      <c r="I572" s="402"/>
      <c r="J572" s="402"/>
      <c r="K572" s="402"/>
      <c r="L572" s="402"/>
      <c r="M572" s="402"/>
      <c r="N572" s="402"/>
      <c r="O572" s="402"/>
      <c r="P572" s="402"/>
      <c r="Q572" s="402"/>
      <c r="R572" s="402"/>
      <c r="S572" s="402"/>
      <c r="T572" s="402"/>
      <c r="U572" s="402"/>
      <c r="V572" s="402"/>
      <c r="W572" s="402"/>
      <c r="X572" s="402"/>
      <c r="Y572" s="402"/>
      <c r="Z572" s="402"/>
    </row>
    <row r="573" ht="14.25" customHeight="1">
      <c r="A573" s="402"/>
      <c r="B573" s="402"/>
      <c r="C573" s="402"/>
      <c r="D573" s="402"/>
      <c r="E573" s="402"/>
      <c r="F573" s="403"/>
      <c r="G573" s="403"/>
      <c r="H573" s="402"/>
      <c r="I573" s="402"/>
      <c r="J573" s="402"/>
      <c r="K573" s="402"/>
      <c r="L573" s="402"/>
      <c r="M573" s="402"/>
      <c r="N573" s="402"/>
      <c r="O573" s="402"/>
      <c r="P573" s="402"/>
      <c r="Q573" s="402"/>
      <c r="R573" s="402"/>
      <c r="S573" s="402"/>
      <c r="T573" s="402"/>
      <c r="U573" s="402"/>
      <c r="V573" s="402"/>
      <c r="W573" s="402"/>
      <c r="X573" s="402"/>
      <c r="Y573" s="402"/>
      <c r="Z573" s="402"/>
    </row>
    <row r="574" ht="14.25" customHeight="1">
      <c r="A574" s="402"/>
      <c r="B574" s="402"/>
      <c r="C574" s="402"/>
      <c r="D574" s="402"/>
      <c r="E574" s="402"/>
      <c r="F574" s="403"/>
      <c r="G574" s="403"/>
      <c r="H574" s="402"/>
      <c r="I574" s="402"/>
      <c r="J574" s="402"/>
      <c r="K574" s="402"/>
      <c r="L574" s="402"/>
      <c r="M574" s="402"/>
      <c r="N574" s="402"/>
      <c r="O574" s="402"/>
      <c r="P574" s="402"/>
      <c r="Q574" s="402"/>
      <c r="R574" s="402"/>
      <c r="S574" s="402"/>
      <c r="T574" s="402"/>
      <c r="U574" s="402"/>
      <c r="V574" s="402"/>
      <c r="W574" s="402"/>
      <c r="X574" s="402"/>
      <c r="Y574" s="402"/>
      <c r="Z574" s="402"/>
    </row>
    <row r="575" ht="14.25" customHeight="1">
      <c r="A575" s="402"/>
      <c r="B575" s="402"/>
      <c r="C575" s="402"/>
      <c r="D575" s="402"/>
      <c r="E575" s="402"/>
      <c r="F575" s="403"/>
      <c r="G575" s="403"/>
      <c r="H575" s="402"/>
      <c r="I575" s="402"/>
      <c r="J575" s="402"/>
      <c r="K575" s="402"/>
      <c r="L575" s="402"/>
      <c r="M575" s="402"/>
      <c r="N575" s="402"/>
      <c r="O575" s="402"/>
      <c r="P575" s="402"/>
      <c r="Q575" s="402"/>
      <c r="R575" s="402"/>
      <c r="S575" s="402"/>
      <c r="T575" s="402"/>
      <c r="U575" s="402"/>
      <c r="V575" s="402"/>
      <c r="W575" s="402"/>
      <c r="X575" s="402"/>
      <c r="Y575" s="402"/>
      <c r="Z575" s="402"/>
    </row>
    <row r="576" ht="14.25" customHeight="1">
      <c r="A576" s="402"/>
      <c r="B576" s="402"/>
      <c r="C576" s="402"/>
      <c r="D576" s="402"/>
      <c r="E576" s="402"/>
      <c r="F576" s="403"/>
      <c r="G576" s="403"/>
      <c r="H576" s="402"/>
      <c r="I576" s="402"/>
      <c r="J576" s="402"/>
      <c r="K576" s="402"/>
      <c r="L576" s="402"/>
      <c r="M576" s="402"/>
      <c r="N576" s="402"/>
      <c r="O576" s="402"/>
      <c r="P576" s="402"/>
      <c r="Q576" s="402"/>
      <c r="R576" s="402"/>
      <c r="S576" s="402"/>
      <c r="T576" s="402"/>
      <c r="U576" s="402"/>
      <c r="V576" s="402"/>
      <c r="W576" s="402"/>
      <c r="X576" s="402"/>
      <c r="Y576" s="402"/>
      <c r="Z576" s="402"/>
    </row>
    <row r="577" ht="14.25" customHeight="1">
      <c r="A577" s="402"/>
      <c r="B577" s="402"/>
      <c r="C577" s="402"/>
      <c r="D577" s="402"/>
      <c r="E577" s="402"/>
      <c r="F577" s="403"/>
      <c r="G577" s="403"/>
      <c r="H577" s="402"/>
      <c r="I577" s="402"/>
      <c r="J577" s="402"/>
      <c r="K577" s="402"/>
      <c r="L577" s="402"/>
      <c r="M577" s="402"/>
      <c r="N577" s="402"/>
      <c r="O577" s="402"/>
      <c r="P577" s="402"/>
      <c r="Q577" s="402"/>
      <c r="R577" s="402"/>
      <c r="S577" s="402"/>
      <c r="T577" s="402"/>
      <c r="U577" s="402"/>
      <c r="V577" s="402"/>
      <c r="W577" s="402"/>
      <c r="X577" s="402"/>
      <c r="Y577" s="402"/>
      <c r="Z577" s="402"/>
    </row>
    <row r="578" ht="14.25" customHeight="1">
      <c r="A578" s="402"/>
      <c r="B578" s="402"/>
      <c r="C578" s="402"/>
      <c r="D578" s="402"/>
      <c r="E578" s="402"/>
      <c r="F578" s="403"/>
      <c r="G578" s="403"/>
      <c r="H578" s="402"/>
      <c r="I578" s="402"/>
      <c r="J578" s="402"/>
      <c r="K578" s="402"/>
      <c r="L578" s="402"/>
      <c r="M578" s="402"/>
      <c r="N578" s="402"/>
      <c r="O578" s="402"/>
      <c r="P578" s="402"/>
      <c r="Q578" s="402"/>
      <c r="R578" s="402"/>
      <c r="S578" s="402"/>
      <c r="T578" s="402"/>
      <c r="U578" s="402"/>
      <c r="V578" s="402"/>
      <c r="W578" s="402"/>
      <c r="X578" s="402"/>
      <c r="Y578" s="402"/>
      <c r="Z578" s="402"/>
    </row>
    <row r="579" ht="14.25" customHeight="1">
      <c r="A579" s="402"/>
      <c r="B579" s="402"/>
      <c r="C579" s="402"/>
      <c r="D579" s="402"/>
      <c r="E579" s="402"/>
      <c r="F579" s="403"/>
      <c r="G579" s="403"/>
      <c r="H579" s="402"/>
      <c r="I579" s="402"/>
      <c r="J579" s="402"/>
      <c r="K579" s="402"/>
      <c r="L579" s="402"/>
      <c r="M579" s="402"/>
      <c r="N579" s="402"/>
      <c r="O579" s="402"/>
      <c r="P579" s="402"/>
      <c r="Q579" s="402"/>
      <c r="R579" s="402"/>
      <c r="S579" s="402"/>
      <c r="T579" s="402"/>
      <c r="U579" s="402"/>
      <c r="V579" s="402"/>
      <c r="W579" s="402"/>
      <c r="X579" s="402"/>
      <c r="Y579" s="402"/>
      <c r="Z579" s="402"/>
    </row>
    <row r="580" ht="14.25" customHeight="1">
      <c r="A580" s="402"/>
      <c r="B580" s="402"/>
      <c r="C580" s="402"/>
      <c r="D580" s="402"/>
      <c r="E580" s="402"/>
      <c r="F580" s="403"/>
      <c r="G580" s="403"/>
      <c r="H580" s="402"/>
      <c r="I580" s="402"/>
      <c r="J580" s="402"/>
      <c r="K580" s="402"/>
      <c r="L580" s="402"/>
      <c r="M580" s="402"/>
      <c r="N580" s="402"/>
      <c r="O580" s="402"/>
      <c r="P580" s="402"/>
      <c r="Q580" s="402"/>
      <c r="R580" s="402"/>
      <c r="S580" s="402"/>
      <c r="T580" s="402"/>
      <c r="U580" s="402"/>
      <c r="V580" s="402"/>
      <c r="W580" s="402"/>
      <c r="X580" s="402"/>
      <c r="Y580" s="402"/>
      <c r="Z580" s="402"/>
    </row>
    <row r="581" ht="14.25" customHeight="1">
      <c r="A581" s="402"/>
      <c r="B581" s="402"/>
      <c r="C581" s="402"/>
      <c r="D581" s="402"/>
      <c r="E581" s="402"/>
      <c r="F581" s="403"/>
      <c r="G581" s="403"/>
      <c r="H581" s="402"/>
      <c r="I581" s="402"/>
      <c r="J581" s="402"/>
      <c r="K581" s="402"/>
      <c r="L581" s="402"/>
      <c r="M581" s="402"/>
      <c r="N581" s="402"/>
      <c r="O581" s="402"/>
      <c r="P581" s="402"/>
      <c r="Q581" s="402"/>
      <c r="R581" s="402"/>
      <c r="S581" s="402"/>
      <c r="T581" s="402"/>
      <c r="U581" s="402"/>
      <c r="V581" s="402"/>
      <c r="W581" s="402"/>
      <c r="X581" s="402"/>
      <c r="Y581" s="402"/>
      <c r="Z581" s="402"/>
    </row>
    <row r="582" ht="14.25" customHeight="1">
      <c r="A582" s="402"/>
      <c r="B582" s="402"/>
      <c r="C582" s="402"/>
      <c r="D582" s="402"/>
      <c r="E582" s="402"/>
      <c r="F582" s="403"/>
      <c r="G582" s="403"/>
      <c r="H582" s="402"/>
      <c r="I582" s="402"/>
      <c r="J582" s="402"/>
      <c r="K582" s="402"/>
      <c r="L582" s="402"/>
      <c r="M582" s="402"/>
      <c r="N582" s="402"/>
      <c r="O582" s="402"/>
      <c r="P582" s="402"/>
      <c r="Q582" s="402"/>
      <c r="R582" s="402"/>
      <c r="S582" s="402"/>
      <c r="T582" s="402"/>
      <c r="U582" s="402"/>
      <c r="V582" s="402"/>
      <c r="W582" s="402"/>
      <c r="X582" s="402"/>
      <c r="Y582" s="402"/>
      <c r="Z582" s="402"/>
    </row>
    <row r="583" ht="14.25" customHeight="1">
      <c r="A583" s="402"/>
      <c r="B583" s="402"/>
      <c r="C583" s="402"/>
      <c r="D583" s="402"/>
      <c r="E583" s="402"/>
      <c r="F583" s="403"/>
      <c r="G583" s="403"/>
      <c r="H583" s="402"/>
      <c r="I583" s="402"/>
      <c r="J583" s="402"/>
      <c r="K583" s="402"/>
      <c r="L583" s="402"/>
      <c r="M583" s="402"/>
      <c r="N583" s="402"/>
      <c r="O583" s="402"/>
      <c r="P583" s="402"/>
      <c r="Q583" s="402"/>
      <c r="R583" s="402"/>
      <c r="S583" s="402"/>
      <c r="T583" s="402"/>
      <c r="U583" s="402"/>
      <c r="V583" s="402"/>
      <c r="W583" s="402"/>
      <c r="X583" s="402"/>
      <c r="Y583" s="402"/>
      <c r="Z583" s="402"/>
    </row>
    <row r="584" ht="14.25" customHeight="1">
      <c r="A584" s="402"/>
      <c r="B584" s="402"/>
      <c r="C584" s="402"/>
      <c r="D584" s="402"/>
      <c r="E584" s="402"/>
      <c r="F584" s="403"/>
      <c r="G584" s="403"/>
      <c r="H584" s="402"/>
      <c r="I584" s="402"/>
      <c r="J584" s="402"/>
      <c r="K584" s="402"/>
      <c r="L584" s="402"/>
      <c r="M584" s="402"/>
      <c r="N584" s="402"/>
      <c r="O584" s="402"/>
      <c r="P584" s="402"/>
      <c r="Q584" s="402"/>
      <c r="R584" s="402"/>
      <c r="S584" s="402"/>
      <c r="T584" s="402"/>
      <c r="U584" s="402"/>
      <c r="V584" s="402"/>
      <c r="W584" s="402"/>
      <c r="X584" s="402"/>
      <c r="Y584" s="402"/>
      <c r="Z584" s="402"/>
    </row>
    <row r="585" ht="14.25" customHeight="1">
      <c r="A585" s="402"/>
      <c r="B585" s="402"/>
      <c r="C585" s="402"/>
      <c r="D585" s="402"/>
      <c r="E585" s="402"/>
      <c r="F585" s="403"/>
      <c r="G585" s="403"/>
      <c r="H585" s="402"/>
      <c r="I585" s="402"/>
      <c r="J585" s="402"/>
      <c r="K585" s="402"/>
      <c r="L585" s="402"/>
      <c r="M585" s="402"/>
      <c r="N585" s="402"/>
      <c r="O585" s="402"/>
      <c r="P585" s="402"/>
      <c r="Q585" s="402"/>
      <c r="R585" s="402"/>
      <c r="S585" s="402"/>
      <c r="T585" s="402"/>
      <c r="U585" s="402"/>
      <c r="V585" s="402"/>
      <c r="W585" s="402"/>
      <c r="X585" s="402"/>
      <c r="Y585" s="402"/>
      <c r="Z585" s="402"/>
    </row>
    <row r="586" ht="14.25" customHeight="1">
      <c r="A586" s="402"/>
      <c r="B586" s="402"/>
      <c r="C586" s="402"/>
      <c r="D586" s="402"/>
      <c r="E586" s="402"/>
      <c r="F586" s="403"/>
      <c r="G586" s="403"/>
      <c r="H586" s="402"/>
      <c r="I586" s="402"/>
      <c r="J586" s="402"/>
      <c r="K586" s="402"/>
      <c r="L586" s="402"/>
      <c r="M586" s="402"/>
      <c r="N586" s="402"/>
      <c r="O586" s="402"/>
      <c r="P586" s="402"/>
      <c r="Q586" s="402"/>
      <c r="R586" s="402"/>
      <c r="S586" s="402"/>
      <c r="T586" s="402"/>
      <c r="U586" s="402"/>
      <c r="V586" s="402"/>
      <c r="W586" s="402"/>
      <c r="X586" s="402"/>
      <c r="Y586" s="402"/>
      <c r="Z586" s="402"/>
    </row>
    <row r="587" ht="14.25" customHeight="1">
      <c r="A587" s="402"/>
      <c r="B587" s="402"/>
      <c r="C587" s="402"/>
      <c r="D587" s="402"/>
      <c r="E587" s="402"/>
      <c r="F587" s="403"/>
      <c r="G587" s="403"/>
      <c r="H587" s="402"/>
      <c r="I587" s="402"/>
      <c r="J587" s="402"/>
      <c r="K587" s="402"/>
      <c r="L587" s="402"/>
      <c r="M587" s="402"/>
      <c r="N587" s="402"/>
      <c r="O587" s="402"/>
      <c r="P587" s="402"/>
      <c r="Q587" s="402"/>
      <c r="R587" s="402"/>
      <c r="S587" s="402"/>
      <c r="T587" s="402"/>
      <c r="U587" s="402"/>
      <c r="V587" s="402"/>
      <c r="W587" s="402"/>
      <c r="X587" s="402"/>
      <c r="Y587" s="402"/>
      <c r="Z587" s="402"/>
    </row>
    <row r="588" ht="14.25" customHeight="1">
      <c r="A588" s="402"/>
      <c r="B588" s="402"/>
      <c r="C588" s="402"/>
      <c r="D588" s="402"/>
      <c r="E588" s="402"/>
      <c r="F588" s="403"/>
      <c r="G588" s="403"/>
      <c r="H588" s="402"/>
      <c r="I588" s="402"/>
      <c r="J588" s="402"/>
      <c r="K588" s="402"/>
      <c r="L588" s="402"/>
      <c r="M588" s="402"/>
      <c r="N588" s="402"/>
      <c r="O588" s="402"/>
      <c r="P588" s="402"/>
      <c r="Q588" s="402"/>
      <c r="R588" s="402"/>
      <c r="S588" s="402"/>
      <c r="T588" s="402"/>
      <c r="U588" s="402"/>
      <c r="V588" s="402"/>
      <c r="W588" s="402"/>
      <c r="X588" s="402"/>
      <c r="Y588" s="402"/>
      <c r="Z588" s="402"/>
    </row>
    <row r="589" ht="14.25" customHeight="1">
      <c r="A589" s="402"/>
      <c r="B589" s="402"/>
      <c r="C589" s="402"/>
      <c r="D589" s="402"/>
      <c r="E589" s="402"/>
      <c r="F589" s="403"/>
      <c r="G589" s="403"/>
      <c r="H589" s="402"/>
      <c r="I589" s="402"/>
      <c r="J589" s="402"/>
      <c r="K589" s="402"/>
      <c r="L589" s="402"/>
      <c r="M589" s="402"/>
      <c r="N589" s="402"/>
      <c r="O589" s="402"/>
      <c r="P589" s="402"/>
      <c r="Q589" s="402"/>
      <c r="R589" s="402"/>
      <c r="S589" s="402"/>
      <c r="T589" s="402"/>
      <c r="U589" s="402"/>
      <c r="V589" s="402"/>
      <c r="W589" s="402"/>
      <c r="X589" s="402"/>
      <c r="Y589" s="402"/>
      <c r="Z589" s="402"/>
    </row>
    <row r="590" ht="14.25" customHeight="1">
      <c r="A590" s="402"/>
      <c r="B590" s="402"/>
      <c r="C590" s="402"/>
      <c r="D590" s="402"/>
      <c r="E590" s="402"/>
      <c r="F590" s="403"/>
      <c r="G590" s="403"/>
      <c r="H590" s="402"/>
      <c r="I590" s="402"/>
      <c r="J590" s="402"/>
      <c r="K590" s="402"/>
      <c r="L590" s="402"/>
      <c r="M590" s="402"/>
      <c r="N590" s="402"/>
      <c r="O590" s="402"/>
      <c r="P590" s="402"/>
      <c r="Q590" s="402"/>
      <c r="R590" s="402"/>
      <c r="S590" s="402"/>
      <c r="T590" s="402"/>
      <c r="U590" s="402"/>
      <c r="V590" s="402"/>
      <c r="W590" s="402"/>
      <c r="X590" s="402"/>
      <c r="Y590" s="402"/>
      <c r="Z590" s="402"/>
    </row>
    <row r="591" ht="14.25" customHeight="1">
      <c r="A591" s="402"/>
      <c r="B591" s="402"/>
      <c r="C591" s="402"/>
      <c r="D591" s="402"/>
      <c r="E591" s="402"/>
      <c r="F591" s="403"/>
      <c r="G591" s="403"/>
      <c r="H591" s="402"/>
      <c r="I591" s="402"/>
      <c r="J591" s="402"/>
      <c r="K591" s="402"/>
      <c r="L591" s="402"/>
      <c r="M591" s="402"/>
      <c r="N591" s="402"/>
      <c r="O591" s="402"/>
      <c r="P591" s="402"/>
      <c r="Q591" s="402"/>
      <c r="R591" s="402"/>
      <c r="S591" s="402"/>
      <c r="T591" s="402"/>
      <c r="U591" s="402"/>
      <c r="V591" s="402"/>
      <c r="W591" s="402"/>
      <c r="X591" s="402"/>
      <c r="Y591" s="402"/>
      <c r="Z591" s="402"/>
    </row>
    <row r="592" ht="14.25" customHeight="1">
      <c r="A592" s="402"/>
      <c r="B592" s="402"/>
      <c r="C592" s="402"/>
      <c r="D592" s="402"/>
      <c r="E592" s="402"/>
      <c r="F592" s="403"/>
      <c r="G592" s="403"/>
      <c r="H592" s="402"/>
      <c r="I592" s="402"/>
      <c r="J592" s="402"/>
      <c r="K592" s="402"/>
      <c r="L592" s="402"/>
      <c r="M592" s="402"/>
      <c r="N592" s="402"/>
      <c r="O592" s="402"/>
      <c r="P592" s="402"/>
      <c r="Q592" s="402"/>
      <c r="R592" s="402"/>
      <c r="S592" s="402"/>
      <c r="T592" s="402"/>
      <c r="U592" s="402"/>
      <c r="V592" s="402"/>
      <c r="W592" s="402"/>
      <c r="X592" s="402"/>
      <c r="Y592" s="402"/>
      <c r="Z592" s="402"/>
    </row>
    <row r="593" ht="14.25" customHeight="1">
      <c r="A593" s="402"/>
      <c r="B593" s="402"/>
      <c r="C593" s="402"/>
      <c r="D593" s="402"/>
      <c r="E593" s="402"/>
      <c r="F593" s="403"/>
      <c r="G593" s="403"/>
      <c r="H593" s="402"/>
      <c r="I593" s="402"/>
      <c r="J593" s="402"/>
      <c r="K593" s="402"/>
      <c r="L593" s="402"/>
      <c r="M593" s="402"/>
      <c r="N593" s="402"/>
      <c r="O593" s="402"/>
      <c r="P593" s="402"/>
      <c r="Q593" s="402"/>
      <c r="R593" s="402"/>
      <c r="S593" s="402"/>
      <c r="T593" s="402"/>
      <c r="U593" s="402"/>
      <c r="V593" s="402"/>
      <c r="W593" s="402"/>
      <c r="X593" s="402"/>
      <c r="Y593" s="402"/>
      <c r="Z593" s="402"/>
    </row>
    <row r="594" ht="14.25" customHeight="1">
      <c r="A594" s="402"/>
      <c r="B594" s="402"/>
      <c r="C594" s="402"/>
      <c r="D594" s="402"/>
      <c r="E594" s="402"/>
      <c r="F594" s="403"/>
      <c r="G594" s="403"/>
      <c r="H594" s="402"/>
      <c r="I594" s="402"/>
      <c r="J594" s="402"/>
      <c r="K594" s="402"/>
      <c r="L594" s="402"/>
      <c r="M594" s="402"/>
      <c r="N594" s="402"/>
      <c r="O594" s="402"/>
      <c r="P594" s="402"/>
      <c r="Q594" s="402"/>
      <c r="R594" s="402"/>
      <c r="S594" s="402"/>
      <c r="T594" s="402"/>
      <c r="U594" s="402"/>
      <c r="V594" s="402"/>
      <c r="W594" s="402"/>
      <c r="X594" s="402"/>
      <c r="Y594" s="402"/>
      <c r="Z594" s="402"/>
    </row>
    <row r="595" ht="14.25" customHeight="1">
      <c r="A595" s="402"/>
      <c r="B595" s="402"/>
      <c r="C595" s="402"/>
      <c r="D595" s="402"/>
      <c r="E595" s="402"/>
      <c r="F595" s="403"/>
      <c r="G595" s="403"/>
      <c r="H595" s="402"/>
      <c r="I595" s="402"/>
      <c r="J595" s="402"/>
      <c r="K595" s="402"/>
      <c r="L595" s="402"/>
      <c r="M595" s="402"/>
      <c r="N595" s="402"/>
      <c r="O595" s="402"/>
      <c r="P595" s="402"/>
      <c r="Q595" s="402"/>
      <c r="R595" s="402"/>
      <c r="S595" s="402"/>
      <c r="T595" s="402"/>
      <c r="U595" s="402"/>
      <c r="V595" s="402"/>
      <c r="W595" s="402"/>
      <c r="X595" s="402"/>
      <c r="Y595" s="402"/>
      <c r="Z595" s="402"/>
    </row>
    <row r="596" ht="14.25" customHeight="1">
      <c r="A596" s="402"/>
      <c r="B596" s="402"/>
      <c r="C596" s="402"/>
      <c r="D596" s="402"/>
      <c r="E596" s="402"/>
      <c r="F596" s="403"/>
      <c r="G596" s="403"/>
      <c r="H596" s="402"/>
      <c r="I596" s="402"/>
      <c r="J596" s="402"/>
      <c r="K596" s="402"/>
      <c r="L596" s="402"/>
      <c r="M596" s="402"/>
      <c r="N596" s="402"/>
      <c r="O596" s="402"/>
      <c r="P596" s="402"/>
      <c r="Q596" s="402"/>
      <c r="R596" s="402"/>
      <c r="S596" s="402"/>
      <c r="T596" s="402"/>
      <c r="U596" s="402"/>
      <c r="V596" s="402"/>
      <c r="W596" s="402"/>
      <c r="X596" s="402"/>
      <c r="Y596" s="402"/>
      <c r="Z596" s="402"/>
    </row>
    <row r="597" ht="14.25" customHeight="1">
      <c r="A597" s="402"/>
      <c r="B597" s="402"/>
      <c r="C597" s="402"/>
      <c r="D597" s="402"/>
      <c r="E597" s="402"/>
      <c r="F597" s="403"/>
      <c r="G597" s="403"/>
      <c r="H597" s="402"/>
      <c r="I597" s="402"/>
      <c r="J597" s="402"/>
      <c r="K597" s="402"/>
      <c r="L597" s="402"/>
      <c r="M597" s="402"/>
      <c r="N597" s="402"/>
      <c r="O597" s="402"/>
      <c r="P597" s="402"/>
      <c r="Q597" s="402"/>
      <c r="R597" s="402"/>
      <c r="S597" s="402"/>
      <c r="T597" s="402"/>
      <c r="U597" s="402"/>
      <c r="V597" s="402"/>
      <c r="W597" s="402"/>
      <c r="X597" s="402"/>
      <c r="Y597" s="402"/>
      <c r="Z597" s="402"/>
    </row>
    <row r="598" ht="14.25" customHeight="1">
      <c r="A598" s="402"/>
      <c r="B598" s="402"/>
      <c r="C598" s="402"/>
      <c r="D598" s="402"/>
      <c r="E598" s="402"/>
      <c r="F598" s="403"/>
      <c r="G598" s="403"/>
      <c r="H598" s="402"/>
      <c r="I598" s="402"/>
      <c r="J598" s="402"/>
      <c r="K598" s="402"/>
      <c r="L598" s="402"/>
      <c r="M598" s="402"/>
      <c r="N598" s="402"/>
      <c r="O598" s="402"/>
      <c r="P598" s="402"/>
      <c r="Q598" s="402"/>
      <c r="R598" s="402"/>
      <c r="S598" s="402"/>
      <c r="T598" s="402"/>
      <c r="U598" s="402"/>
      <c r="V598" s="402"/>
      <c r="W598" s="402"/>
      <c r="X598" s="402"/>
      <c r="Y598" s="402"/>
      <c r="Z598" s="402"/>
    </row>
    <row r="599" ht="14.25" customHeight="1">
      <c r="A599" s="402"/>
      <c r="B599" s="402"/>
      <c r="C599" s="402"/>
      <c r="D599" s="402"/>
      <c r="E599" s="402"/>
      <c r="F599" s="403"/>
      <c r="G599" s="403"/>
      <c r="H599" s="402"/>
      <c r="I599" s="402"/>
      <c r="J599" s="402"/>
      <c r="K599" s="402"/>
      <c r="L599" s="402"/>
      <c r="M599" s="402"/>
      <c r="N599" s="402"/>
      <c r="O599" s="402"/>
      <c r="P599" s="402"/>
      <c r="Q599" s="402"/>
      <c r="R599" s="402"/>
      <c r="S599" s="402"/>
      <c r="T599" s="402"/>
      <c r="U599" s="402"/>
      <c r="V599" s="402"/>
      <c r="W599" s="402"/>
      <c r="X599" s="402"/>
      <c r="Y599" s="402"/>
      <c r="Z599" s="402"/>
    </row>
    <row r="600" ht="14.25" customHeight="1">
      <c r="A600" s="402"/>
      <c r="B600" s="402"/>
      <c r="C600" s="402"/>
      <c r="D600" s="402"/>
      <c r="E600" s="402"/>
      <c r="F600" s="403"/>
      <c r="G600" s="403"/>
      <c r="H600" s="402"/>
      <c r="I600" s="402"/>
      <c r="J600" s="402"/>
      <c r="K600" s="402"/>
      <c r="L600" s="402"/>
      <c r="M600" s="402"/>
      <c r="N600" s="402"/>
      <c r="O600" s="402"/>
      <c r="P600" s="402"/>
      <c r="Q600" s="402"/>
      <c r="R600" s="402"/>
      <c r="S600" s="402"/>
      <c r="T600" s="402"/>
      <c r="U600" s="402"/>
      <c r="V600" s="402"/>
      <c r="W600" s="402"/>
      <c r="X600" s="402"/>
      <c r="Y600" s="402"/>
      <c r="Z600" s="402"/>
    </row>
    <row r="601" ht="14.25" customHeight="1">
      <c r="A601" s="402"/>
      <c r="B601" s="402"/>
      <c r="C601" s="402"/>
      <c r="D601" s="402"/>
      <c r="E601" s="402"/>
      <c r="F601" s="403"/>
      <c r="G601" s="403"/>
      <c r="H601" s="402"/>
      <c r="I601" s="402"/>
      <c r="J601" s="402"/>
      <c r="K601" s="402"/>
      <c r="L601" s="402"/>
      <c r="M601" s="402"/>
      <c r="N601" s="402"/>
      <c r="O601" s="402"/>
      <c r="P601" s="402"/>
      <c r="Q601" s="402"/>
      <c r="R601" s="402"/>
      <c r="S601" s="402"/>
      <c r="T601" s="402"/>
      <c r="U601" s="402"/>
      <c r="V601" s="402"/>
      <c r="W601" s="402"/>
      <c r="X601" s="402"/>
      <c r="Y601" s="402"/>
      <c r="Z601" s="402"/>
    </row>
    <row r="602" ht="14.25" customHeight="1">
      <c r="A602" s="402"/>
      <c r="B602" s="402"/>
      <c r="C602" s="402"/>
      <c r="D602" s="402"/>
      <c r="E602" s="402"/>
      <c r="F602" s="403"/>
      <c r="G602" s="403"/>
      <c r="H602" s="402"/>
      <c r="I602" s="402"/>
      <c r="J602" s="402"/>
      <c r="K602" s="402"/>
      <c r="L602" s="402"/>
      <c r="M602" s="402"/>
      <c r="N602" s="402"/>
      <c r="O602" s="402"/>
      <c r="P602" s="402"/>
      <c r="Q602" s="402"/>
      <c r="R602" s="402"/>
      <c r="S602" s="402"/>
      <c r="T602" s="402"/>
      <c r="U602" s="402"/>
      <c r="V602" s="402"/>
      <c r="W602" s="402"/>
      <c r="X602" s="402"/>
      <c r="Y602" s="402"/>
      <c r="Z602" s="402"/>
    </row>
    <row r="603" ht="14.25" customHeight="1">
      <c r="A603" s="402"/>
      <c r="B603" s="402"/>
      <c r="C603" s="402"/>
      <c r="D603" s="402"/>
      <c r="E603" s="402"/>
      <c r="F603" s="403"/>
      <c r="G603" s="403"/>
      <c r="H603" s="402"/>
      <c r="I603" s="402"/>
      <c r="J603" s="402"/>
      <c r="K603" s="402"/>
      <c r="L603" s="402"/>
      <c r="M603" s="402"/>
      <c r="N603" s="402"/>
      <c r="O603" s="402"/>
      <c r="P603" s="402"/>
      <c r="Q603" s="402"/>
      <c r="R603" s="402"/>
      <c r="S603" s="402"/>
      <c r="T603" s="402"/>
      <c r="U603" s="402"/>
      <c r="V603" s="402"/>
      <c r="W603" s="402"/>
      <c r="X603" s="402"/>
      <c r="Y603" s="402"/>
      <c r="Z603" s="402"/>
    </row>
    <row r="604" ht="14.25" customHeight="1">
      <c r="A604" s="402"/>
      <c r="B604" s="402"/>
      <c r="C604" s="402"/>
      <c r="D604" s="402"/>
      <c r="E604" s="402"/>
      <c r="F604" s="403"/>
      <c r="G604" s="403"/>
      <c r="H604" s="402"/>
      <c r="I604" s="402"/>
      <c r="J604" s="402"/>
      <c r="K604" s="402"/>
      <c r="L604" s="402"/>
      <c r="M604" s="402"/>
      <c r="N604" s="402"/>
      <c r="O604" s="402"/>
      <c r="P604" s="402"/>
      <c r="Q604" s="402"/>
      <c r="R604" s="402"/>
      <c r="S604" s="402"/>
      <c r="T604" s="402"/>
      <c r="U604" s="402"/>
      <c r="V604" s="402"/>
      <c r="W604" s="402"/>
      <c r="X604" s="402"/>
      <c r="Y604" s="402"/>
      <c r="Z604" s="402"/>
    </row>
    <row r="605" ht="14.25" customHeight="1">
      <c r="A605" s="402"/>
      <c r="B605" s="402"/>
      <c r="C605" s="402"/>
      <c r="D605" s="402"/>
      <c r="E605" s="402"/>
      <c r="F605" s="403"/>
      <c r="G605" s="403"/>
      <c r="H605" s="402"/>
      <c r="I605" s="402"/>
      <c r="J605" s="402"/>
      <c r="K605" s="402"/>
      <c r="L605" s="402"/>
      <c r="M605" s="402"/>
      <c r="N605" s="402"/>
      <c r="O605" s="402"/>
      <c r="P605" s="402"/>
      <c r="Q605" s="402"/>
      <c r="R605" s="402"/>
      <c r="S605" s="402"/>
      <c r="T605" s="402"/>
      <c r="U605" s="402"/>
      <c r="V605" s="402"/>
      <c r="W605" s="402"/>
      <c r="X605" s="402"/>
      <c r="Y605" s="402"/>
      <c r="Z605" s="402"/>
    </row>
    <row r="606" ht="14.25" customHeight="1">
      <c r="A606" s="402"/>
      <c r="B606" s="402"/>
      <c r="C606" s="402"/>
      <c r="D606" s="402"/>
      <c r="E606" s="402"/>
      <c r="F606" s="403"/>
      <c r="G606" s="403"/>
      <c r="H606" s="402"/>
      <c r="I606" s="402"/>
      <c r="J606" s="402"/>
      <c r="K606" s="402"/>
      <c r="L606" s="402"/>
      <c r="M606" s="402"/>
      <c r="N606" s="402"/>
      <c r="O606" s="402"/>
      <c r="P606" s="402"/>
      <c r="Q606" s="402"/>
      <c r="R606" s="402"/>
      <c r="S606" s="402"/>
      <c r="T606" s="402"/>
      <c r="U606" s="402"/>
      <c r="V606" s="402"/>
      <c r="W606" s="402"/>
      <c r="X606" s="402"/>
      <c r="Y606" s="402"/>
      <c r="Z606" s="402"/>
    </row>
    <row r="607" ht="14.25" customHeight="1">
      <c r="A607" s="402"/>
      <c r="B607" s="402"/>
      <c r="C607" s="402"/>
      <c r="D607" s="402"/>
      <c r="E607" s="402"/>
      <c r="F607" s="403"/>
      <c r="G607" s="403"/>
      <c r="H607" s="402"/>
      <c r="I607" s="402"/>
      <c r="J607" s="402"/>
      <c r="K607" s="402"/>
      <c r="L607" s="402"/>
      <c r="M607" s="402"/>
      <c r="N607" s="402"/>
      <c r="O607" s="402"/>
      <c r="P607" s="402"/>
      <c r="Q607" s="402"/>
      <c r="R607" s="402"/>
      <c r="S607" s="402"/>
      <c r="T607" s="402"/>
      <c r="U607" s="402"/>
      <c r="V607" s="402"/>
      <c r="W607" s="402"/>
      <c r="X607" s="402"/>
      <c r="Y607" s="402"/>
      <c r="Z607" s="402"/>
    </row>
    <row r="608" ht="14.25" customHeight="1">
      <c r="A608" s="402"/>
      <c r="B608" s="402"/>
      <c r="C608" s="402"/>
      <c r="D608" s="402"/>
      <c r="E608" s="402"/>
      <c r="F608" s="403"/>
      <c r="G608" s="403"/>
      <c r="H608" s="402"/>
      <c r="I608" s="402"/>
      <c r="J608" s="402"/>
      <c r="K608" s="402"/>
      <c r="L608" s="402"/>
      <c r="M608" s="402"/>
      <c r="N608" s="402"/>
      <c r="O608" s="402"/>
      <c r="P608" s="402"/>
      <c r="Q608" s="402"/>
      <c r="R608" s="402"/>
      <c r="S608" s="402"/>
      <c r="T608" s="402"/>
      <c r="U608" s="402"/>
      <c r="V608" s="402"/>
      <c r="W608" s="402"/>
      <c r="X608" s="402"/>
      <c r="Y608" s="402"/>
      <c r="Z608" s="402"/>
    </row>
    <row r="609" ht="14.25" customHeight="1">
      <c r="A609" s="402"/>
      <c r="B609" s="402"/>
      <c r="C609" s="402"/>
      <c r="D609" s="402"/>
      <c r="E609" s="402"/>
      <c r="F609" s="403"/>
      <c r="G609" s="403"/>
      <c r="H609" s="402"/>
      <c r="I609" s="402"/>
      <c r="J609" s="402"/>
      <c r="K609" s="402"/>
      <c r="L609" s="402"/>
      <c r="M609" s="402"/>
      <c r="N609" s="402"/>
      <c r="O609" s="402"/>
      <c r="P609" s="402"/>
      <c r="Q609" s="402"/>
      <c r="R609" s="402"/>
      <c r="S609" s="402"/>
      <c r="T609" s="402"/>
      <c r="U609" s="402"/>
      <c r="V609" s="402"/>
      <c r="W609" s="402"/>
      <c r="X609" s="402"/>
      <c r="Y609" s="402"/>
      <c r="Z609" s="402"/>
    </row>
    <row r="610" ht="14.25" customHeight="1">
      <c r="A610" s="402"/>
      <c r="B610" s="402"/>
      <c r="C610" s="402"/>
      <c r="D610" s="402"/>
      <c r="E610" s="402"/>
      <c r="F610" s="403"/>
      <c r="G610" s="403"/>
      <c r="H610" s="402"/>
      <c r="I610" s="402"/>
      <c r="J610" s="402"/>
      <c r="K610" s="402"/>
      <c r="L610" s="402"/>
      <c r="M610" s="402"/>
      <c r="N610" s="402"/>
      <c r="O610" s="402"/>
      <c r="P610" s="402"/>
      <c r="Q610" s="402"/>
      <c r="R610" s="402"/>
      <c r="S610" s="402"/>
      <c r="T610" s="402"/>
      <c r="U610" s="402"/>
      <c r="V610" s="402"/>
      <c r="W610" s="402"/>
      <c r="X610" s="402"/>
      <c r="Y610" s="402"/>
      <c r="Z610" s="402"/>
    </row>
    <row r="611" ht="14.25" customHeight="1">
      <c r="A611" s="402"/>
      <c r="B611" s="402"/>
      <c r="C611" s="402"/>
      <c r="D611" s="402"/>
      <c r="E611" s="402"/>
      <c r="F611" s="403"/>
      <c r="G611" s="403"/>
      <c r="H611" s="402"/>
      <c r="I611" s="402"/>
      <c r="J611" s="402"/>
      <c r="K611" s="402"/>
      <c r="L611" s="402"/>
      <c r="M611" s="402"/>
      <c r="N611" s="402"/>
      <c r="O611" s="402"/>
      <c r="P611" s="402"/>
      <c r="Q611" s="402"/>
      <c r="R611" s="402"/>
      <c r="S611" s="402"/>
      <c r="T611" s="402"/>
      <c r="U611" s="402"/>
      <c r="V611" s="402"/>
      <c r="W611" s="402"/>
      <c r="X611" s="402"/>
      <c r="Y611" s="402"/>
      <c r="Z611" s="402"/>
    </row>
    <row r="612" ht="14.25" customHeight="1">
      <c r="A612" s="402"/>
      <c r="B612" s="402"/>
      <c r="C612" s="402"/>
      <c r="D612" s="402"/>
      <c r="E612" s="402"/>
      <c r="F612" s="403"/>
      <c r="G612" s="403"/>
      <c r="H612" s="402"/>
      <c r="I612" s="402"/>
      <c r="J612" s="402"/>
      <c r="K612" s="402"/>
      <c r="L612" s="402"/>
      <c r="M612" s="402"/>
      <c r="N612" s="402"/>
      <c r="O612" s="402"/>
      <c r="P612" s="402"/>
      <c r="Q612" s="402"/>
      <c r="R612" s="402"/>
      <c r="S612" s="402"/>
      <c r="T612" s="402"/>
      <c r="U612" s="402"/>
      <c r="V612" s="402"/>
      <c r="W612" s="402"/>
      <c r="X612" s="402"/>
      <c r="Y612" s="402"/>
      <c r="Z612" s="402"/>
    </row>
    <row r="613" ht="14.25" customHeight="1">
      <c r="A613" s="402"/>
      <c r="B613" s="402"/>
      <c r="C613" s="402"/>
      <c r="D613" s="402"/>
      <c r="E613" s="402"/>
      <c r="F613" s="403"/>
      <c r="G613" s="403"/>
      <c r="H613" s="402"/>
      <c r="I613" s="402"/>
      <c r="J613" s="402"/>
      <c r="K613" s="402"/>
      <c r="L613" s="402"/>
      <c r="M613" s="402"/>
      <c r="N613" s="402"/>
      <c r="O613" s="402"/>
      <c r="P613" s="402"/>
      <c r="Q613" s="402"/>
      <c r="R613" s="402"/>
      <c r="S613" s="402"/>
      <c r="T613" s="402"/>
      <c r="U613" s="402"/>
      <c r="V613" s="402"/>
      <c r="W613" s="402"/>
      <c r="X613" s="402"/>
      <c r="Y613" s="402"/>
      <c r="Z613" s="402"/>
    </row>
    <row r="614" ht="14.25" customHeight="1">
      <c r="A614" s="402"/>
      <c r="B614" s="402"/>
      <c r="C614" s="402"/>
      <c r="D614" s="402"/>
      <c r="E614" s="402"/>
      <c r="F614" s="403"/>
      <c r="G614" s="403"/>
      <c r="H614" s="402"/>
      <c r="I614" s="402"/>
      <c r="J614" s="402"/>
      <c r="K614" s="402"/>
      <c r="L614" s="402"/>
      <c r="M614" s="402"/>
      <c r="N614" s="402"/>
      <c r="O614" s="402"/>
      <c r="P614" s="402"/>
      <c r="Q614" s="402"/>
      <c r="R614" s="402"/>
      <c r="S614" s="402"/>
      <c r="T614" s="402"/>
      <c r="U614" s="402"/>
      <c r="V614" s="402"/>
      <c r="W614" s="402"/>
      <c r="X614" s="402"/>
      <c r="Y614" s="402"/>
      <c r="Z614" s="402"/>
    </row>
    <row r="615" ht="14.25" customHeight="1">
      <c r="A615" s="402"/>
      <c r="B615" s="402"/>
      <c r="C615" s="402"/>
      <c r="D615" s="402"/>
      <c r="E615" s="402"/>
      <c r="F615" s="403"/>
      <c r="G615" s="403"/>
      <c r="H615" s="402"/>
      <c r="I615" s="402"/>
      <c r="J615" s="402"/>
      <c r="K615" s="402"/>
      <c r="L615" s="402"/>
      <c r="M615" s="402"/>
      <c r="N615" s="402"/>
      <c r="O615" s="402"/>
      <c r="P615" s="402"/>
      <c r="Q615" s="402"/>
      <c r="R615" s="402"/>
      <c r="S615" s="402"/>
      <c r="T615" s="402"/>
      <c r="U615" s="402"/>
      <c r="V615" s="402"/>
      <c r="W615" s="402"/>
      <c r="X615" s="402"/>
      <c r="Y615" s="402"/>
      <c r="Z615" s="402"/>
    </row>
    <row r="616" ht="14.25" customHeight="1">
      <c r="A616" s="402"/>
      <c r="B616" s="402"/>
      <c r="C616" s="402"/>
      <c r="D616" s="402"/>
      <c r="E616" s="402"/>
      <c r="F616" s="403"/>
      <c r="G616" s="403"/>
      <c r="H616" s="402"/>
      <c r="I616" s="402"/>
      <c r="J616" s="402"/>
      <c r="K616" s="402"/>
      <c r="L616" s="402"/>
      <c r="M616" s="402"/>
      <c r="N616" s="402"/>
      <c r="O616" s="402"/>
      <c r="P616" s="402"/>
      <c r="Q616" s="402"/>
      <c r="R616" s="402"/>
      <c r="S616" s="402"/>
      <c r="T616" s="402"/>
      <c r="U616" s="402"/>
      <c r="V616" s="402"/>
      <c r="W616" s="402"/>
      <c r="X616" s="402"/>
      <c r="Y616" s="402"/>
      <c r="Z616" s="402"/>
    </row>
    <row r="617" ht="14.25" customHeight="1">
      <c r="A617" s="402"/>
      <c r="B617" s="402"/>
      <c r="C617" s="402"/>
      <c r="D617" s="402"/>
      <c r="E617" s="402"/>
      <c r="F617" s="403"/>
      <c r="G617" s="403"/>
      <c r="H617" s="402"/>
      <c r="I617" s="402"/>
      <c r="J617" s="402"/>
      <c r="K617" s="402"/>
      <c r="L617" s="402"/>
      <c r="M617" s="402"/>
      <c r="N617" s="402"/>
      <c r="O617" s="402"/>
      <c r="P617" s="402"/>
      <c r="Q617" s="402"/>
      <c r="R617" s="402"/>
      <c r="S617" s="402"/>
      <c r="T617" s="402"/>
      <c r="U617" s="402"/>
      <c r="V617" s="402"/>
      <c r="W617" s="402"/>
      <c r="X617" s="402"/>
      <c r="Y617" s="402"/>
      <c r="Z617" s="402"/>
    </row>
    <row r="618" ht="14.25" customHeight="1">
      <c r="A618" s="402"/>
      <c r="B618" s="402"/>
      <c r="C618" s="402"/>
      <c r="D618" s="402"/>
      <c r="E618" s="402"/>
      <c r="F618" s="403"/>
      <c r="G618" s="403"/>
      <c r="H618" s="402"/>
      <c r="I618" s="402"/>
      <c r="J618" s="402"/>
      <c r="K618" s="402"/>
      <c r="L618" s="402"/>
      <c r="M618" s="402"/>
      <c r="N618" s="402"/>
      <c r="O618" s="402"/>
      <c r="P618" s="402"/>
      <c r="Q618" s="402"/>
      <c r="R618" s="402"/>
      <c r="S618" s="402"/>
      <c r="T618" s="402"/>
      <c r="U618" s="402"/>
      <c r="V618" s="402"/>
      <c r="W618" s="402"/>
      <c r="X618" s="402"/>
      <c r="Y618" s="402"/>
      <c r="Z618" s="402"/>
    </row>
    <row r="619" ht="14.25" customHeight="1">
      <c r="A619" s="402"/>
      <c r="B619" s="402"/>
      <c r="C619" s="402"/>
      <c r="D619" s="402"/>
      <c r="E619" s="402"/>
      <c r="F619" s="403"/>
      <c r="G619" s="403"/>
      <c r="H619" s="402"/>
      <c r="I619" s="402"/>
      <c r="J619" s="402"/>
      <c r="K619" s="402"/>
      <c r="L619" s="402"/>
      <c r="M619" s="402"/>
      <c r="N619" s="402"/>
      <c r="O619" s="402"/>
      <c r="P619" s="402"/>
      <c r="Q619" s="402"/>
      <c r="R619" s="402"/>
      <c r="S619" s="402"/>
      <c r="T619" s="402"/>
      <c r="U619" s="402"/>
      <c r="V619" s="402"/>
      <c r="W619" s="402"/>
      <c r="X619" s="402"/>
      <c r="Y619" s="402"/>
      <c r="Z619" s="402"/>
    </row>
    <row r="620" ht="14.25" customHeight="1">
      <c r="A620" s="402"/>
      <c r="B620" s="402"/>
      <c r="C620" s="402"/>
      <c r="D620" s="402"/>
      <c r="E620" s="402"/>
      <c r="F620" s="403"/>
      <c r="G620" s="403"/>
      <c r="H620" s="402"/>
      <c r="I620" s="402"/>
      <c r="J620" s="402"/>
      <c r="K620" s="402"/>
      <c r="L620" s="402"/>
      <c r="M620" s="402"/>
      <c r="N620" s="402"/>
      <c r="O620" s="402"/>
      <c r="P620" s="402"/>
      <c r="Q620" s="402"/>
      <c r="R620" s="402"/>
      <c r="S620" s="402"/>
      <c r="T620" s="402"/>
      <c r="U620" s="402"/>
      <c r="V620" s="402"/>
      <c r="W620" s="402"/>
      <c r="X620" s="402"/>
      <c r="Y620" s="402"/>
      <c r="Z620" s="402"/>
    </row>
    <row r="621" ht="14.25" customHeight="1">
      <c r="A621" s="402"/>
      <c r="B621" s="402"/>
      <c r="C621" s="402"/>
      <c r="D621" s="402"/>
      <c r="E621" s="402"/>
      <c r="F621" s="403"/>
      <c r="G621" s="403"/>
      <c r="H621" s="402"/>
      <c r="I621" s="402"/>
      <c r="J621" s="402"/>
      <c r="K621" s="402"/>
      <c r="L621" s="402"/>
      <c r="M621" s="402"/>
      <c r="N621" s="402"/>
      <c r="O621" s="402"/>
      <c r="P621" s="402"/>
      <c r="Q621" s="402"/>
      <c r="R621" s="402"/>
      <c r="S621" s="402"/>
      <c r="T621" s="402"/>
      <c r="U621" s="402"/>
      <c r="V621" s="402"/>
      <c r="W621" s="402"/>
      <c r="X621" s="402"/>
      <c r="Y621" s="402"/>
      <c r="Z621" s="402"/>
    </row>
    <row r="622" ht="14.25" customHeight="1">
      <c r="A622" s="402"/>
      <c r="B622" s="402"/>
      <c r="C622" s="402"/>
      <c r="D622" s="402"/>
      <c r="E622" s="402"/>
      <c r="F622" s="403"/>
      <c r="G622" s="403"/>
      <c r="H622" s="402"/>
      <c r="I622" s="402"/>
      <c r="J622" s="402"/>
      <c r="K622" s="402"/>
      <c r="L622" s="402"/>
      <c r="M622" s="402"/>
      <c r="N622" s="402"/>
      <c r="O622" s="402"/>
      <c r="P622" s="402"/>
      <c r="Q622" s="402"/>
      <c r="R622" s="402"/>
      <c r="S622" s="402"/>
      <c r="T622" s="402"/>
      <c r="U622" s="402"/>
      <c r="V622" s="402"/>
      <c r="W622" s="402"/>
      <c r="X622" s="402"/>
      <c r="Y622" s="402"/>
      <c r="Z622" s="402"/>
    </row>
    <row r="623" ht="14.25" customHeight="1">
      <c r="A623" s="402"/>
      <c r="B623" s="402"/>
      <c r="C623" s="402"/>
      <c r="D623" s="402"/>
      <c r="E623" s="402"/>
      <c r="F623" s="403"/>
      <c r="G623" s="403"/>
      <c r="H623" s="402"/>
      <c r="I623" s="402"/>
      <c r="J623" s="402"/>
      <c r="K623" s="402"/>
      <c r="L623" s="402"/>
      <c r="M623" s="402"/>
      <c r="N623" s="402"/>
      <c r="O623" s="402"/>
      <c r="P623" s="402"/>
      <c r="Q623" s="402"/>
      <c r="R623" s="402"/>
      <c r="S623" s="402"/>
      <c r="T623" s="402"/>
      <c r="U623" s="402"/>
      <c r="V623" s="402"/>
      <c r="W623" s="402"/>
      <c r="X623" s="402"/>
      <c r="Y623" s="402"/>
      <c r="Z623" s="402"/>
    </row>
    <row r="624" ht="14.25" customHeight="1">
      <c r="A624" s="402"/>
      <c r="B624" s="402"/>
      <c r="C624" s="402"/>
      <c r="D624" s="402"/>
      <c r="E624" s="402"/>
      <c r="F624" s="403"/>
      <c r="G624" s="403"/>
      <c r="H624" s="402"/>
      <c r="I624" s="402"/>
      <c r="J624" s="402"/>
      <c r="K624" s="402"/>
      <c r="L624" s="402"/>
      <c r="M624" s="402"/>
      <c r="N624" s="402"/>
      <c r="O624" s="402"/>
      <c r="P624" s="402"/>
      <c r="Q624" s="402"/>
      <c r="R624" s="402"/>
      <c r="S624" s="402"/>
      <c r="T624" s="402"/>
      <c r="U624" s="402"/>
      <c r="V624" s="402"/>
      <c r="W624" s="402"/>
      <c r="X624" s="402"/>
      <c r="Y624" s="402"/>
      <c r="Z624" s="402"/>
    </row>
    <row r="625" ht="14.25" customHeight="1">
      <c r="A625" s="402"/>
      <c r="B625" s="402"/>
      <c r="C625" s="402"/>
      <c r="D625" s="402"/>
      <c r="E625" s="402"/>
      <c r="F625" s="403"/>
      <c r="G625" s="403"/>
      <c r="H625" s="402"/>
      <c r="I625" s="402"/>
      <c r="J625" s="402"/>
      <c r="K625" s="402"/>
      <c r="L625" s="402"/>
      <c r="M625" s="402"/>
      <c r="N625" s="402"/>
      <c r="O625" s="402"/>
      <c r="P625" s="402"/>
      <c r="Q625" s="402"/>
      <c r="R625" s="402"/>
      <c r="S625" s="402"/>
      <c r="T625" s="402"/>
      <c r="U625" s="402"/>
      <c r="V625" s="402"/>
      <c r="W625" s="402"/>
      <c r="X625" s="402"/>
      <c r="Y625" s="402"/>
      <c r="Z625" s="402"/>
    </row>
    <row r="626" ht="14.25" customHeight="1">
      <c r="A626" s="402"/>
      <c r="B626" s="402"/>
      <c r="C626" s="402"/>
      <c r="D626" s="402"/>
      <c r="E626" s="402"/>
      <c r="F626" s="403"/>
      <c r="G626" s="403"/>
      <c r="H626" s="402"/>
      <c r="I626" s="402"/>
      <c r="J626" s="402"/>
      <c r="K626" s="402"/>
      <c r="L626" s="402"/>
      <c r="M626" s="402"/>
      <c r="N626" s="402"/>
      <c r="O626" s="402"/>
      <c r="P626" s="402"/>
      <c r="Q626" s="402"/>
      <c r="R626" s="402"/>
      <c r="S626" s="402"/>
      <c r="T626" s="402"/>
      <c r="U626" s="402"/>
      <c r="V626" s="402"/>
      <c r="W626" s="402"/>
      <c r="X626" s="402"/>
      <c r="Y626" s="402"/>
      <c r="Z626" s="402"/>
    </row>
    <row r="627" ht="14.25" customHeight="1">
      <c r="A627" s="402"/>
      <c r="B627" s="402"/>
      <c r="C627" s="402"/>
      <c r="D627" s="402"/>
      <c r="E627" s="402"/>
      <c r="F627" s="403"/>
      <c r="G627" s="403"/>
      <c r="H627" s="402"/>
      <c r="I627" s="402"/>
      <c r="J627" s="402"/>
      <c r="K627" s="402"/>
      <c r="L627" s="402"/>
      <c r="M627" s="402"/>
      <c r="N627" s="402"/>
      <c r="O627" s="402"/>
      <c r="P627" s="402"/>
      <c r="Q627" s="402"/>
      <c r="R627" s="402"/>
      <c r="S627" s="402"/>
      <c r="T627" s="402"/>
      <c r="U627" s="402"/>
      <c r="V627" s="402"/>
      <c r="W627" s="402"/>
      <c r="X627" s="402"/>
      <c r="Y627" s="402"/>
      <c r="Z627" s="402"/>
    </row>
    <row r="628" ht="14.25" customHeight="1">
      <c r="A628" s="402"/>
      <c r="B628" s="402"/>
      <c r="C628" s="402"/>
      <c r="D628" s="402"/>
      <c r="E628" s="402"/>
      <c r="F628" s="403"/>
      <c r="G628" s="403"/>
      <c r="H628" s="402"/>
      <c r="I628" s="402"/>
      <c r="J628" s="402"/>
      <c r="K628" s="402"/>
      <c r="L628" s="402"/>
      <c r="M628" s="402"/>
      <c r="N628" s="402"/>
      <c r="O628" s="402"/>
      <c r="P628" s="402"/>
      <c r="Q628" s="402"/>
      <c r="R628" s="402"/>
      <c r="S628" s="402"/>
      <c r="T628" s="402"/>
      <c r="U628" s="402"/>
      <c r="V628" s="402"/>
      <c r="W628" s="402"/>
      <c r="X628" s="402"/>
      <c r="Y628" s="402"/>
      <c r="Z628" s="402"/>
    </row>
    <row r="629" ht="14.25" customHeight="1">
      <c r="A629" s="402"/>
      <c r="B629" s="402"/>
      <c r="C629" s="402"/>
      <c r="D629" s="402"/>
      <c r="E629" s="402"/>
      <c r="F629" s="403"/>
      <c r="G629" s="403"/>
      <c r="H629" s="402"/>
      <c r="I629" s="402"/>
      <c r="J629" s="402"/>
      <c r="K629" s="402"/>
      <c r="L629" s="402"/>
      <c r="M629" s="402"/>
      <c r="N629" s="402"/>
      <c r="O629" s="402"/>
      <c r="P629" s="402"/>
      <c r="Q629" s="402"/>
      <c r="R629" s="402"/>
      <c r="S629" s="402"/>
      <c r="T629" s="402"/>
      <c r="U629" s="402"/>
      <c r="V629" s="402"/>
      <c r="W629" s="402"/>
      <c r="X629" s="402"/>
      <c r="Y629" s="402"/>
      <c r="Z629" s="402"/>
    </row>
    <row r="630" ht="14.25" customHeight="1">
      <c r="A630" s="402"/>
      <c r="B630" s="402"/>
      <c r="C630" s="402"/>
      <c r="D630" s="402"/>
      <c r="E630" s="402"/>
      <c r="F630" s="403"/>
      <c r="G630" s="403"/>
      <c r="H630" s="402"/>
      <c r="I630" s="402"/>
      <c r="J630" s="402"/>
      <c r="K630" s="402"/>
      <c r="L630" s="402"/>
      <c r="M630" s="402"/>
      <c r="N630" s="402"/>
      <c r="O630" s="402"/>
      <c r="P630" s="402"/>
      <c r="Q630" s="402"/>
      <c r="R630" s="402"/>
      <c r="S630" s="402"/>
      <c r="T630" s="402"/>
      <c r="U630" s="402"/>
      <c r="V630" s="402"/>
      <c r="W630" s="402"/>
      <c r="X630" s="402"/>
      <c r="Y630" s="402"/>
      <c r="Z630" s="402"/>
    </row>
    <row r="631" ht="14.25" customHeight="1">
      <c r="A631" s="402"/>
      <c r="B631" s="402"/>
      <c r="C631" s="402"/>
      <c r="D631" s="402"/>
      <c r="E631" s="402"/>
      <c r="F631" s="403"/>
      <c r="G631" s="403"/>
      <c r="H631" s="402"/>
      <c r="I631" s="402"/>
      <c r="J631" s="402"/>
      <c r="K631" s="402"/>
      <c r="L631" s="402"/>
      <c r="M631" s="402"/>
      <c r="N631" s="402"/>
      <c r="O631" s="402"/>
      <c r="P631" s="402"/>
      <c r="Q631" s="402"/>
      <c r="R631" s="402"/>
      <c r="S631" s="402"/>
      <c r="T631" s="402"/>
      <c r="U631" s="402"/>
      <c r="V631" s="402"/>
      <c r="W631" s="402"/>
      <c r="X631" s="402"/>
      <c r="Y631" s="402"/>
      <c r="Z631" s="402"/>
    </row>
    <row r="632" ht="14.25" customHeight="1">
      <c r="A632" s="402"/>
      <c r="B632" s="402"/>
      <c r="C632" s="402"/>
      <c r="D632" s="402"/>
      <c r="E632" s="402"/>
      <c r="F632" s="403"/>
      <c r="G632" s="403"/>
      <c r="H632" s="402"/>
      <c r="I632" s="402"/>
      <c r="J632" s="402"/>
      <c r="K632" s="402"/>
      <c r="L632" s="402"/>
      <c r="M632" s="402"/>
      <c r="N632" s="402"/>
      <c r="O632" s="402"/>
      <c r="P632" s="402"/>
      <c r="Q632" s="402"/>
      <c r="R632" s="402"/>
      <c r="S632" s="402"/>
      <c r="T632" s="402"/>
      <c r="U632" s="402"/>
      <c r="V632" s="402"/>
      <c r="W632" s="402"/>
      <c r="X632" s="402"/>
      <c r="Y632" s="402"/>
      <c r="Z632" s="402"/>
    </row>
    <row r="633" ht="14.25" customHeight="1">
      <c r="A633" s="402"/>
      <c r="B633" s="402"/>
      <c r="C633" s="402"/>
      <c r="D633" s="402"/>
      <c r="E633" s="402"/>
      <c r="F633" s="403"/>
      <c r="G633" s="403"/>
      <c r="H633" s="402"/>
      <c r="I633" s="402"/>
      <c r="J633" s="402"/>
      <c r="K633" s="402"/>
      <c r="L633" s="402"/>
      <c r="M633" s="402"/>
      <c r="N633" s="402"/>
      <c r="O633" s="402"/>
      <c r="P633" s="402"/>
      <c r="Q633" s="402"/>
      <c r="R633" s="402"/>
      <c r="S633" s="402"/>
      <c r="T633" s="402"/>
      <c r="U633" s="402"/>
      <c r="V633" s="402"/>
      <c r="W633" s="402"/>
      <c r="X633" s="402"/>
      <c r="Y633" s="402"/>
      <c r="Z633" s="402"/>
    </row>
    <row r="634" ht="14.25" customHeight="1">
      <c r="A634" s="402"/>
      <c r="B634" s="402"/>
      <c r="C634" s="402"/>
      <c r="D634" s="402"/>
      <c r="E634" s="402"/>
      <c r="F634" s="403"/>
      <c r="G634" s="403"/>
      <c r="H634" s="402"/>
      <c r="I634" s="402"/>
      <c r="J634" s="402"/>
      <c r="K634" s="402"/>
      <c r="L634" s="402"/>
      <c r="M634" s="402"/>
      <c r="N634" s="402"/>
      <c r="O634" s="402"/>
      <c r="P634" s="402"/>
      <c r="Q634" s="402"/>
      <c r="R634" s="402"/>
      <c r="S634" s="402"/>
      <c r="T634" s="402"/>
      <c r="U634" s="402"/>
      <c r="V634" s="402"/>
      <c r="W634" s="402"/>
      <c r="X634" s="402"/>
      <c r="Y634" s="402"/>
      <c r="Z634" s="402"/>
    </row>
    <row r="635" ht="14.25" customHeight="1">
      <c r="A635" s="402"/>
      <c r="B635" s="402"/>
      <c r="C635" s="402"/>
      <c r="D635" s="402"/>
      <c r="E635" s="402"/>
      <c r="F635" s="403"/>
      <c r="G635" s="403"/>
      <c r="H635" s="402"/>
      <c r="I635" s="402"/>
      <c r="J635" s="402"/>
      <c r="K635" s="402"/>
      <c r="L635" s="402"/>
      <c r="M635" s="402"/>
      <c r="N635" s="402"/>
      <c r="O635" s="402"/>
      <c r="P635" s="402"/>
      <c r="Q635" s="402"/>
      <c r="R635" s="402"/>
      <c r="S635" s="402"/>
      <c r="T635" s="402"/>
      <c r="U635" s="402"/>
      <c r="V635" s="402"/>
      <c r="W635" s="402"/>
      <c r="X635" s="402"/>
      <c r="Y635" s="402"/>
      <c r="Z635" s="402"/>
    </row>
    <row r="636" ht="14.25" customHeight="1">
      <c r="A636" s="402"/>
      <c r="B636" s="402"/>
      <c r="C636" s="402"/>
      <c r="D636" s="402"/>
      <c r="E636" s="402"/>
      <c r="F636" s="403"/>
      <c r="G636" s="403"/>
      <c r="H636" s="402"/>
      <c r="I636" s="402"/>
      <c r="J636" s="402"/>
      <c r="K636" s="402"/>
      <c r="L636" s="402"/>
      <c r="M636" s="402"/>
      <c r="N636" s="402"/>
      <c r="O636" s="402"/>
      <c r="P636" s="402"/>
      <c r="Q636" s="402"/>
      <c r="R636" s="402"/>
      <c r="S636" s="402"/>
      <c r="T636" s="402"/>
      <c r="U636" s="402"/>
      <c r="V636" s="402"/>
      <c r="W636" s="402"/>
      <c r="X636" s="402"/>
      <c r="Y636" s="402"/>
      <c r="Z636" s="402"/>
    </row>
    <row r="637" ht="14.25" customHeight="1">
      <c r="A637" s="402"/>
      <c r="B637" s="402"/>
      <c r="C637" s="402"/>
      <c r="D637" s="402"/>
      <c r="E637" s="402"/>
      <c r="F637" s="403"/>
      <c r="G637" s="403"/>
      <c r="H637" s="402"/>
      <c r="I637" s="402"/>
      <c r="J637" s="402"/>
      <c r="K637" s="402"/>
      <c r="L637" s="402"/>
      <c r="M637" s="402"/>
      <c r="N637" s="402"/>
      <c r="O637" s="402"/>
      <c r="P637" s="402"/>
      <c r="Q637" s="402"/>
      <c r="R637" s="402"/>
      <c r="S637" s="402"/>
      <c r="T637" s="402"/>
      <c r="U637" s="402"/>
      <c r="V637" s="402"/>
      <c r="W637" s="402"/>
      <c r="X637" s="402"/>
      <c r="Y637" s="402"/>
      <c r="Z637" s="402"/>
    </row>
    <row r="638" ht="14.25" customHeight="1">
      <c r="A638" s="402"/>
      <c r="B638" s="402"/>
      <c r="C638" s="402"/>
      <c r="D638" s="402"/>
      <c r="E638" s="402"/>
      <c r="F638" s="403"/>
      <c r="G638" s="403"/>
      <c r="H638" s="402"/>
      <c r="I638" s="402"/>
      <c r="J638" s="402"/>
      <c r="K638" s="402"/>
      <c r="L638" s="402"/>
      <c r="M638" s="402"/>
      <c r="N638" s="402"/>
      <c r="O638" s="402"/>
      <c r="P638" s="402"/>
      <c r="Q638" s="402"/>
      <c r="R638" s="402"/>
      <c r="S638" s="402"/>
      <c r="T638" s="402"/>
      <c r="U638" s="402"/>
      <c r="V638" s="402"/>
      <c r="W638" s="402"/>
      <c r="X638" s="402"/>
      <c r="Y638" s="402"/>
      <c r="Z638" s="402"/>
    </row>
    <row r="639" ht="14.25" customHeight="1">
      <c r="A639" s="402"/>
      <c r="B639" s="402"/>
      <c r="C639" s="402"/>
      <c r="D639" s="402"/>
      <c r="E639" s="402"/>
      <c r="F639" s="403"/>
      <c r="G639" s="403"/>
      <c r="H639" s="402"/>
      <c r="I639" s="402"/>
      <c r="J639" s="402"/>
      <c r="K639" s="402"/>
      <c r="L639" s="402"/>
      <c r="M639" s="402"/>
      <c r="N639" s="402"/>
      <c r="O639" s="402"/>
      <c r="P639" s="402"/>
      <c r="Q639" s="402"/>
      <c r="R639" s="402"/>
      <c r="S639" s="402"/>
      <c r="T639" s="402"/>
      <c r="U639" s="402"/>
      <c r="V639" s="402"/>
      <c r="W639" s="402"/>
      <c r="X639" s="402"/>
      <c r="Y639" s="402"/>
      <c r="Z639" s="402"/>
    </row>
    <row r="640" ht="14.25" customHeight="1">
      <c r="A640" s="402"/>
      <c r="B640" s="402"/>
      <c r="C640" s="402"/>
      <c r="D640" s="402"/>
      <c r="E640" s="402"/>
      <c r="F640" s="403"/>
      <c r="G640" s="403"/>
      <c r="H640" s="402"/>
      <c r="I640" s="402"/>
      <c r="J640" s="402"/>
      <c r="K640" s="402"/>
      <c r="L640" s="402"/>
      <c r="M640" s="402"/>
      <c r="N640" s="402"/>
      <c r="O640" s="402"/>
      <c r="P640" s="402"/>
      <c r="Q640" s="402"/>
      <c r="R640" s="402"/>
      <c r="S640" s="402"/>
      <c r="T640" s="402"/>
      <c r="U640" s="402"/>
      <c r="V640" s="402"/>
      <c r="W640" s="402"/>
      <c r="X640" s="402"/>
      <c r="Y640" s="402"/>
      <c r="Z640" s="402"/>
    </row>
    <row r="641" ht="14.25" customHeight="1">
      <c r="A641" s="402"/>
      <c r="B641" s="402"/>
      <c r="C641" s="402"/>
      <c r="D641" s="402"/>
      <c r="E641" s="402"/>
      <c r="F641" s="403"/>
      <c r="G641" s="403"/>
      <c r="H641" s="402"/>
      <c r="I641" s="402"/>
      <c r="J641" s="402"/>
      <c r="K641" s="402"/>
      <c r="L641" s="402"/>
      <c r="M641" s="402"/>
      <c r="N641" s="402"/>
      <c r="O641" s="402"/>
      <c r="P641" s="402"/>
      <c r="Q641" s="402"/>
      <c r="R641" s="402"/>
      <c r="S641" s="402"/>
      <c r="T641" s="402"/>
      <c r="U641" s="402"/>
      <c r="V641" s="402"/>
      <c r="W641" s="402"/>
      <c r="X641" s="402"/>
      <c r="Y641" s="402"/>
      <c r="Z641" s="402"/>
    </row>
    <row r="642" ht="14.25" customHeight="1">
      <c r="A642" s="402"/>
      <c r="B642" s="402"/>
      <c r="C642" s="402"/>
      <c r="D642" s="402"/>
      <c r="E642" s="402"/>
      <c r="F642" s="403"/>
      <c r="G642" s="403"/>
      <c r="H642" s="402"/>
      <c r="I642" s="402"/>
      <c r="J642" s="402"/>
      <c r="K642" s="402"/>
      <c r="L642" s="402"/>
      <c r="M642" s="402"/>
      <c r="N642" s="402"/>
      <c r="O642" s="402"/>
      <c r="P642" s="402"/>
      <c r="Q642" s="402"/>
      <c r="R642" s="402"/>
      <c r="S642" s="402"/>
      <c r="T642" s="402"/>
      <c r="U642" s="402"/>
      <c r="V642" s="402"/>
      <c r="W642" s="402"/>
      <c r="X642" s="402"/>
      <c r="Y642" s="402"/>
      <c r="Z642" s="402"/>
    </row>
    <row r="643" ht="14.25" customHeight="1">
      <c r="A643" s="402"/>
      <c r="B643" s="402"/>
      <c r="C643" s="402"/>
      <c r="D643" s="402"/>
      <c r="E643" s="402"/>
      <c r="F643" s="403"/>
      <c r="G643" s="403"/>
      <c r="H643" s="402"/>
      <c r="I643" s="402"/>
      <c r="J643" s="402"/>
      <c r="K643" s="402"/>
      <c r="L643" s="402"/>
      <c r="M643" s="402"/>
      <c r="N643" s="402"/>
      <c r="O643" s="402"/>
      <c r="P643" s="402"/>
      <c r="Q643" s="402"/>
      <c r="R643" s="402"/>
      <c r="S643" s="402"/>
      <c r="T643" s="402"/>
      <c r="U643" s="402"/>
      <c r="V643" s="402"/>
      <c r="W643" s="402"/>
      <c r="X643" s="402"/>
      <c r="Y643" s="402"/>
      <c r="Z643" s="402"/>
    </row>
    <row r="644" ht="14.25" customHeight="1">
      <c r="A644" s="402"/>
      <c r="B644" s="402"/>
      <c r="C644" s="402"/>
      <c r="D644" s="402"/>
      <c r="E644" s="402"/>
      <c r="F644" s="403"/>
      <c r="G644" s="403"/>
      <c r="H644" s="402"/>
      <c r="I644" s="402"/>
      <c r="J644" s="402"/>
      <c r="K644" s="402"/>
      <c r="L644" s="402"/>
      <c r="M644" s="402"/>
      <c r="N644" s="402"/>
      <c r="O644" s="402"/>
      <c r="P644" s="402"/>
      <c r="Q644" s="402"/>
      <c r="R644" s="402"/>
      <c r="S644" s="402"/>
      <c r="T644" s="402"/>
      <c r="U644" s="402"/>
      <c r="V644" s="402"/>
      <c r="W644" s="402"/>
      <c r="X644" s="402"/>
      <c r="Y644" s="402"/>
      <c r="Z644" s="402"/>
    </row>
    <row r="645" ht="14.25" customHeight="1">
      <c r="A645" s="402"/>
      <c r="B645" s="402"/>
      <c r="C645" s="402"/>
      <c r="D645" s="402"/>
      <c r="E645" s="402"/>
      <c r="F645" s="403"/>
      <c r="G645" s="403"/>
      <c r="H645" s="402"/>
      <c r="I645" s="402"/>
      <c r="J645" s="402"/>
      <c r="K645" s="402"/>
      <c r="L645" s="402"/>
      <c r="M645" s="402"/>
      <c r="N645" s="402"/>
      <c r="O645" s="402"/>
      <c r="P645" s="402"/>
      <c r="Q645" s="402"/>
      <c r="R645" s="402"/>
      <c r="S645" s="402"/>
      <c r="T645" s="402"/>
      <c r="U645" s="402"/>
      <c r="V645" s="402"/>
      <c r="W645" s="402"/>
      <c r="X645" s="402"/>
      <c r="Y645" s="402"/>
      <c r="Z645" s="402"/>
    </row>
    <row r="646" ht="14.25" customHeight="1">
      <c r="A646" s="402"/>
      <c r="B646" s="402"/>
      <c r="C646" s="402"/>
      <c r="D646" s="402"/>
      <c r="E646" s="402"/>
      <c r="F646" s="403"/>
      <c r="G646" s="403"/>
      <c r="H646" s="402"/>
      <c r="I646" s="402"/>
      <c r="J646" s="402"/>
      <c r="K646" s="402"/>
      <c r="L646" s="402"/>
      <c r="M646" s="402"/>
      <c r="N646" s="402"/>
      <c r="O646" s="402"/>
      <c r="P646" s="402"/>
      <c r="Q646" s="402"/>
      <c r="R646" s="402"/>
      <c r="S646" s="402"/>
      <c r="T646" s="402"/>
      <c r="U646" s="402"/>
      <c r="V646" s="402"/>
      <c r="W646" s="402"/>
      <c r="X646" s="402"/>
      <c r="Y646" s="402"/>
      <c r="Z646" s="402"/>
    </row>
    <row r="647" ht="14.25" customHeight="1">
      <c r="A647" s="402"/>
      <c r="B647" s="402"/>
      <c r="C647" s="402"/>
      <c r="D647" s="402"/>
      <c r="E647" s="402"/>
      <c r="F647" s="403"/>
      <c r="G647" s="403"/>
      <c r="H647" s="402"/>
      <c r="I647" s="402"/>
      <c r="J647" s="402"/>
      <c r="K647" s="402"/>
      <c r="L647" s="402"/>
      <c r="M647" s="402"/>
      <c r="N647" s="402"/>
      <c r="O647" s="402"/>
      <c r="P647" s="402"/>
      <c r="Q647" s="402"/>
      <c r="R647" s="402"/>
      <c r="S647" s="402"/>
      <c r="T647" s="402"/>
      <c r="U647" s="402"/>
      <c r="V647" s="402"/>
      <c r="W647" s="402"/>
      <c r="X647" s="402"/>
      <c r="Y647" s="402"/>
      <c r="Z647" s="402"/>
    </row>
    <row r="648" ht="14.25" customHeight="1">
      <c r="A648" s="402"/>
      <c r="B648" s="402"/>
      <c r="C648" s="402"/>
      <c r="D648" s="402"/>
      <c r="E648" s="402"/>
      <c r="F648" s="403"/>
      <c r="G648" s="403"/>
      <c r="H648" s="402"/>
      <c r="I648" s="402"/>
      <c r="J648" s="402"/>
      <c r="K648" s="402"/>
      <c r="L648" s="402"/>
      <c r="M648" s="402"/>
      <c r="N648" s="402"/>
      <c r="O648" s="402"/>
      <c r="P648" s="402"/>
      <c r="Q648" s="402"/>
      <c r="R648" s="402"/>
      <c r="S648" s="402"/>
      <c r="T648" s="402"/>
      <c r="U648" s="402"/>
      <c r="V648" s="402"/>
      <c r="W648" s="402"/>
      <c r="X648" s="402"/>
      <c r="Y648" s="402"/>
      <c r="Z648" s="402"/>
    </row>
    <row r="649" ht="14.25" customHeight="1">
      <c r="A649" s="402"/>
      <c r="B649" s="402"/>
      <c r="C649" s="402"/>
      <c r="D649" s="402"/>
      <c r="E649" s="402"/>
      <c r="F649" s="403"/>
      <c r="G649" s="403"/>
      <c r="H649" s="402"/>
      <c r="I649" s="402"/>
      <c r="J649" s="402"/>
      <c r="K649" s="402"/>
      <c r="L649" s="402"/>
      <c r="M649" s="402"/>
      <c r="N649" s="402"/>
      <c r="O649" s="402"/>
      <c r="P649" s="402"/>
      <c r="Q649" s="402"/>
      <c r="R649" s="402"/>
      <c r="S649" s="402"/>
      <c r="T649" s="402"/>
      <c r="U649" s="402"/>
      <c r="V649" s="402"/>
      <c r="W649" s="402"/>
      <c r="X649" s="402"/>
      <c r="Y649" s="402"/>
      <c r="Z649" s="402"/>
    </row>
    <row r="650" ht="14.25" customHeight="1">
      <c r="A650" s="402"/>
      <c r="B650" s="402"/>
      <c r="C650" s="402"/>
      <c r="D650" s="402"/>
      <c r="E650" s="402"/>
      <c r="F650" s="403"/>
      <c r="G650" s="403"/>
      <c r="H650" s="402"/>
      <c r="I650" s="402"/>
      <c r="J650" s="402"/>
      <c r="K650" s="402"/>
      <c r="L650" s="402"/>
      <c r="M650" s="402"/>
      <c r="N650" s="402"/>
      <c r="O650" s="402"/>
      <c r="P650" s="402"/>
      <c r="Q650" s="402"/>
      <c r="R650" s="402"/>
      <c r="S650" s="402"/>
      <c r="T650" s="402"/>
      <c r="U650" s="402"/>
      <c r="V650" s="402"/>
      <c r="W650" s="402"/>
      <c r="X650" s="402"/>
      <c r="Y650" s="402"/>
      <c r="Z650" s="402"/>
    </row>
    <row r="651" ht="14.25" customHeight="1">
      <c r="A651" s="402"/>
      <c r="B651" s="402"/>
      <c r="C651" s="402"/>
      <c r="D651" s="402"/>
      <c r="E651" s="402"/>
      <c r="F651" s="403"/>
      <c r="G651" s="403"/>
      <c r="H651" s="402"/>
      <c r="I651" s="402"/>
      <c r="J651" s="402"/>
      <c r="K651" s="402"/>
      <c r="L651" s="402"/>
      <c r="M651" s="402"/>
      <c r="N651" s="402"/>
      <c r="O651" s="402"/>
      <c r="P651" s="402"/>
      <c r="Q651" s="402"/>
      <c r="R651" s="402"/>
      <c r="S651" s="402"/>
      <c r="T651" s="402"/>
      <c r="U651" s="402"/>
      <c r="V651" s="402"/>
      <c r="W651" s="402"/>
      <c r="X651" s="402"/>
      <c r="Y651" s="402"/>
      <c r="Z651" s="402"/>
    </row>
    <row r="652" ht="14.25" customHeight="1">
      <c r="A652" s="402"/>
      <c r="B652" s="402"/>
      <c r="C652" s="402"/>
      <c r="D652" s="402"/>
      <c r="E652" s="402"/>
      <c r="F652" s="403"/>
      <c r="G652" s="403"/>
      <c r="H652" s="402"/>
      <c r="I652" s="402"/>
      <c r="J652" s="402"/>
      <c r="K652" s="402"/>
      <c r="L652" s="402"/>
      <c r="M652" s="402"/>
      <c r="N652" s="402"/>
      <c r="O652" s="402"/>
      <c r="P652" s="402"/>
      <c r="Q652" s="402"/>
      <c r="R652" s="402"/>
      <c r="S652" s="402"/>
      <c r="T652" s="402"/>
      <c r="U652" s="402"/>
      <c r="V652" s="402"/>
      <c r="W652" s="402"/>
      <c r="X652" s="402"/>
      <c r="Y652" s="402"/>
      <c r="Z652" s="402"/>
    </row>
    <row r="653" ht="14.25" customHeight="1">
      <c r="A653" s="402"/>
      <c r="B653" s="402"/>
      <c r="C653" s="402"/>
      <c r="D653" s="402"/>
      <c r="E653" s="402"/>
      <c r="F653" s="403"/>
      <c r="G653" s="403"/>
      <c r="H653" s="402"/>
      <c r="I653" s="402"/>
      <c r="J653" s="402"/>
      <c r="K653" s="402"/>
      <c r="L653" s="402"/>
      <c r="M653" s="402"/>
      <c r="N653" s="402"/>
      <c r="O653" s="402"/>
      <c r="P653" s="402"/>
      <c r="Q653" s="402"/>
      <c r="R653" s="402"/>
      <c r="S653" s="402"/>
      <c r="T653" s="402"/>
      <c r="U653" s="402"/>
      <c r="V653" s="402"/>
      <c r="W653" s="402"/>
      <c r="X653" s="402"/>
      <c r="Y653" s="402"/>
      <c r="Z653" s="402"/>
    </row>
    <row r="654" ht="14.25" customHeight="1">
      <c r="A654" s="402"/>
      <c r="B654" s="402"/>
      <c r="C654" s="402"/>
      <c r="D654" s="402"/>
      <c r="E654" s="402"/>
      <c r="F654" s="403"/>
      <c r="G654" s="403"/>
      <c r="H654" s="402"/>
      <c r="I654" s="402"/>
      <c r="J654" s="402"/>
      <c r="K654" s="402"/>
      <c r="L654" s="402"/>
      <c r="M654" s="402"/>
      <c r="N654" s="402"/>
      <c r="O654" s="402"/>
      <c r="P654" s="402"/>
      <c r="Q654" s="402"/>
      <c r="R654" s="402"/>
      <c r="S654" s="402"/>
      <c r="T654" s="402"/>
      <c r="U654" s="402"/>
      <c r="V654" s="402"/>
      <c r="W654" s="402"/>
      <c r="X654" s="402"/>
      <c r="Y654" s="402"/>
      <c r="Z654" s="402"/>
    </row>
    <row r="655" ht="14.25" customHeight="1">
      <c r="A655" s="402"/>
      <c r="B655" s="402"/>
      <c r="C655" s="402"/>
      <c r="D655" s="402"/>
      <c r="E655" s="402"/>
      <c r="F655" s="403"/>
      <c r="G655" s="403"/>
      <c r="H655" s="402"/>
      <c r="I655" s="402"/>
      <c r="J655" s="402"/>
      <c r="K655" s="402"/>
      <c r="L655" s="402"/>
      <c r="M655" s="402"/>
      <c r="N655" s="402"/>
      <c r="O655" s="402"/>
      <c r="P655" s="402"/>
      <c r="Q655" s="402"/>
      <c r="R655" s="402"/>
      <c r="S655" s="402"/>
      <c r="T655" s="402"/>
      <c r="U655" s="402"/>
      <c r="V655" s="402"/>
      <c r="W655" s="402"/>
      <c r="X655" s="402"/>
      <c r="Y655" s="402"/>
      <c r="Z655" s="402"/>
    </row>
    <row r="656" ht="14.25" customHeight="1">
      <c r="A656" s="402"/>
      <c r="B656" s="402"/>
      <c r="C656" s="402"/>
      <c r="D656" s="402"/>
      <c r="E656" s="402"/>
      <c r="F656" s="403"/>
      <c r="G656" s="403"/>
      <c r="H656" s="402"/>
      <c r="I656" s="402"/>
      <c r="J656" s="402"/>
      <c r="K656" s="402"/>
      <c r="L656" s="402"/>
      <c r="M656" s="402"/>
      <c r="N656" s="402"/>
      <c r="O656" s="402"/>
      <c r="P656" s="402"/>
      <c r="Q656" s="402"/>
      <c r="R656" s="402"/>
      <c r="S656" s="402"/>
      <c r="T656" s="402"/>
      <c r="U656" s="402"/>
      <c r="V656" s="402"/>
      <c r="W656" s="402"/>
      <c r="X656" s="402"/>
      <c r="Y656" s="402"/>
      <c r="Z656" s="402"/>
    </row>
    <row r="657" ht="14.25" customHeight="1">
      <c r="A657" s="402"/>
      <c r="B657" s="402"/>
      <c r="C657" s="402"/>
      <c r="D657" s="402"/>
      <c r="E657" s="402"/>
      <c r="F657" s="403"/>
      <c r="G657" s="403"/>
      <c r="H657" s="402"/>
      <c r="I657" s="402"/>
      <c r="J657" s="402"/>
      <c r="K657" s="402"/>
      <c r="L657" s="402"/>
      <c r="M657" s="402"/>
      <c r="N657" s="402"/>
      <c r="O657" s="402"/>
      <c r="P657" s="402"/>
      <c r="Q657" s="402"/>
      <c r="R657" s="402"/>
      <c r="S657" s="402"/>
      <c r="T657" s="402"/>
      <c r="U657" s="402"/>
      <c r="V657" s="402"/>
      <c r="W657" s="402"/>
      <c r="X657" s="402"/>
      <c r="Y657" s="402"/>
      <c r="Z657" s="402"/>
    </row>
    <row r="658" ht="14.25" customHeight="1">
      <c r="A658" s="402"/>
      <c r="B658" s="402"/>
      <c r="C658" s="402"/>
      <c r="D658" s="402"/>
      <c r="E658" s="402"/>
      <c r="F658" s="403"/>
      <c r="G658" s="403"/>
      <c r="H658" s="402"/>
      <c r="I658" s="402"/>
      <c r="J658" s="402"/>
      <c r="K658" s="402"/>
      <c r="L658" s="402"/>
      <c r="M658" s="402"/>
      <c r="N658" s="402"/>
      <c r="O658" s="402"/>
      <c r="P658" s="402"/>
      <c r="Q658" s="402"/>
      <c r="R658" s="402"/>
      <c r="S658" s="402"/>
      <c r="T658" s="402"/>
      <c r="U658" s="402"/>
      <c r="V658" s="402"/>
      <c r="W658" s="402"/>
      <c r="X658" s="402"/>
      <c r="Y658" s="402"/>
      <c r="Z658" s="402"/>
    </row>
    <row r="659" ht="14.25" customHeight="1">
      <c r="A659" s="402"/>
      <c r="B659" s="402"/>
      <c r="C659" s="402"/>
      <c r="D659" s="402"/>
      <c r="E659" s="402"/>
      <c r="F659" s="403"/>
      <c r="G659" s="403"/>
      <c r="H659" s="402"/>
      <c r="I659" s="402"/>
      <c r="J659" s="402"/>
      <c r="K659" s="402"/>
      <c r="L659" s="402"/>
      <c r="M659" s="402"/>
      <c r="N659" s="402"/>
      <c r="O659" s="402"/>
      <c r="P659" s="402"/>
      <c r="Q659" s="402"/>
      <c r="R659" s="402"/>
      <c r="S659" s="402"/>
      <c r="T659" s="402"/>
      <c r="U659" s="402"/>
      <c r="V659" s="402"/>
      <c r="W659" s="402"/>
      <c r="X659" s="402"/>
      <c r="Y659" s="402"/>
      <c r="Z659" s="402"/>
    </row>
    <row r="660" ht="14.25" customHeight="1">
      <c r="A660" s="402"/>
      <c r="B660" s="402"/>
      <c r="C660" s="402"/>
      <c r="D660" s="402"/>
      <c r="E660" s="402"/>
      <c r="F660" s="403"/>
      <c r="G660" s="403"/>
      <c r="H660" s="402"/>
      <c r="I660" s="402"/>
      <c r="J660" s="402"/>
      <c r="K660" s="402"/>
      <c r="L660" s="402"/>
      <c r="M660" s="402"/>
      <c r="N660" s="402"/>
      <c r="O660" s="402"/>
      <c r="P660" s="402"/>
      <c r="Q660" s="402"/>
      <c r="R660" s="402"/>
      <c r="S660" s="402"/>
      <c r="T660" s="402"/>
      <c r="U660" s="402"/>
      <c r="V660" s="402"/>
      <c r="W660" s="402"/>
      <c r="X660" s="402"/>
      <c r="Y660" s="402"/>
      <c r="Z660" s="402"/>
    </row>
    <row r="661" ht="14.25" customHeight="1">
      <c r="A661" s="402"/>
      <c r="B661" s="402"/>
      <c r="C661" s="402"/>
      <c r="D661" s="402"/>
      <c r="E661" s="402"/>
      <c r="F661" s="403"/>
      <c r="G661" s="403"/>
      <c r="H661" s="402"/>
      <c r="I661" s="402"/>
      <c r="J661" s="402"/>
      <c r="K661" s="402"/>
      <c r="L661" s="402"/>
      <c r="M661" s="402"/>
      <c r="N661" s="402"/>
      <c r="O661" s="402"/>
      <c r="P661" s="402"/>
      <c r="Q661" s="402"/>
      <c r="R661" s="402"/>
      <c r="S661" s="402"/>
      <c r="T661" s="402"/>
      <c r="U661" s="402"/>
      <c r="V661" s="402"/>
      <c r="W661" s="402"/>
      <c r="X661" s="402"/>
      <c r="Y661" s="402"/>
      <c r="Z661" s="402"/>
    </row>
    <row r="662" ht="14.25" customHeight="1">
      <c r="A662" s="402"/>
      <c r="B662" s="402"/>
      <c r="C662" s="402"/>
      <c r="D662" s="402"/>
      <c r="E662" s="402"/>
      <c r="F662" s="403"/>
      <c r="G662" s="403"/>
      <c r="H662" s="402"/>
      <c r="I662" s="402"/>
      <c r="J662" s="402"/>
      <c r="K662" s="402"/>
      <c r="L662" s="402"/>
      <c r="M662" s="402"/>
      <c r="N662" s="402"/>
      <c r="O662" s="402"/>
      <c r="P662" s="402"/>
      <c r="Q662" s="402"/>
      <c r="R662" s="402"/>
      <c r="S662" s="402"/>
      <c r="T662" s="402"/>
      <c r="U662" s="402"/>
      <c r="V662" s="402"/>
      <c r="W662" s="402"/>
      <c r="X662" s="402"/>
      <c r="Y662" s="402"/>
      <c r="Z662" s="402"/>
    </row>
    <row r="663" ht="14.25" customHeight="1">
      <c r="A663" s="402"/>
      <c r="B663" s="402"/>
      <c r="C663" s="402"/>
      <c r="D663" s="402"/>
      <c r="E663" s="402"/>
      <c r="F663" s="403"/>
      <c r="G663" s="403"/>
      <c r="H663" s="402"/>
      <c r="I663" s="402"/>
      <c r="J663" s="402"/>
      <c r="K663" s="402"/>
      <c r="L663" s="402"/>
      <c r="M663" s="402"/>
      <c r="N663" s="402"/>
      <c r="O663" s="402"/>
      <c r="P663" s="402"/>
      <c r="Q663" s="402"/>
      <c r="R663" s="402"/>
      <c r="S663" s="402"/>
      <c r="T663" s="402"/>
      <c r="U663" s="402"/>
      <c r="V663" s="402"/>
      <c r="W663" s="402"/>
      <c r="X663" s="402"/>
      <c r="Y663" s="402"/>
      <c r="Z663" s="402"/>
    </row>
    <row r="664" ht="14.25" customHeight="1">
      <c r="A664" s="402"/>
      <c r="B664" s="402"/>
      <c r="C664" s="402"/>
      <c r="D664" s="402"/>
      <c r="E664" s="402"/>
      <c r="F664" s="403"/>
      <c r="G664" s="403"/>
      <c r="H664" s="402"/>
      <c r="I664" s="402"/>
      <c r="J664" s="402"/>
      <c r="K664" s="402"/>
      <c r="L664" s="402"/>
      <c r="M664" s="402"/>
      <c r="N664" s="402"/>
      <c r="O664" s="402"/>
      <c r="P664" s="402"/>
      <c r="Q664" s="402"/>
      <c r="R664" s="402"/>
      <c r="S664" s="402"/>
      <c r="T664" s="402"/>
      <c r="U664" s="402"/>
      <c r="V664" s="402"/>
      <c r="W664" s="402"/>
      <c r="X664" s="402"/>
      <c r="Y664" s="402"/>
      <c r="Z664" s="402"/>
    </row>
    <row r="665" ht="14.25" customHeight="1">
      <c r="A665" s="402"/>
      <c r="B665" s="402"/>
      <c r="C665" s="402"/>
      <c r="D665" s="402"/>
      <c r="E665" s="402"/>
      <c r="F665" s="403"/>
      <c r="G665" s="403"/>
      <c r="H665" s="402"/>
      <c r="I665" s="402"/>
      <c r="J665" s="402"/>
      <c r="K665" s="402"/>
      <c r="L665" s="402"/>
      <c r="M665" s="402"/>
      <c r="N665" s="402"/>
      <c r="O665" s="402"/>
      <c r="P665" s="402"/>
      <c r="Q665" s="402"/>
      <c r="R665" s="402"/>
      <c r="S665" s="402"/>
      <c r="T665" s="402"/>
      <c r="U665" s="402"/>
      <c r="V665" s="402"/>
      <c r="W665" s="402"/>
      <c r="X665" s="402"/>
      <c r="Y665" s="402"/>
      <c r="Z665" s="402"/>
    </row>
    <row r="666" ht="14.25" customHeight="1">
      <c r="A666" s="402"/>
      <c r="B666" s="402"/>
      <c r="C666" s="402"/>
      <c r="D666" s="402"/>
      <c r="E666" s="402"/>
      <c r="F666" s="403"/>
      <c r="G666" s="403"/>
      <c r="H666" s="402"/>
      <c r="I666" s="402"/>
      <c r="J666" s="402"/>
      <c r="K666" s="402"/>
      <c r="L666" s="402"/>
      <c r="M666" s="402"/>
      <c r="N666" s="402"/>
      <c r="O666" s="402"/>
      <c r="P666" s="402"/>
      <c r="Q666" s="402"/>
      <c r="R666" s="402"/>
      <c r="S666" s="402"/>
      <c r="T666" s="402"/>
      <c r="U666" s="402"/>
      <c r="V666" s="402"/>
      <c r="W666" s="402"/>
      <c r="X666" s="402"/>
      <c r="Y666" s="402"/>
      <c r="Z666" s="402"/>
    </row>
    <row r="667" ht="14.25" customHeight="1">
      <c r="A667" s="402"/>
      <c r="B667" s="402"/>
      <c r="C667" s="402"/>
      <c r="D667" s="402"/>
      <c r="E667" s="402"/>
      <c r="F667" s="403"/>
      <c r="G667" s="403"/>
      <c r="H667" s="402"/>
      <c r="I667" s="402"/>
      <c r="J667" s="402"/>
      <c r="K667" s="402"/>
      <c r="L667" s="402"/>
      <c r="M667" s="402"/>
      <c r="N667" s="402"/>
      <c r="O667" s="402"/>
      <c r="P667" s="402"/>
      <c r="Q667" s="402"/>
      <c r="R667" s="402"/>
      <c r="S667" s="402"/>
      <c r="T667" s="402"/>
      <c r="U667" s="402"/>
      <c r="V667" s="402"/>
      <c r="W667" s="402"/>
      <c r="X667" s="402"/>
      <c r="Y667" s="402"/>
      <c r="Z667" s="402"/>
    </row>
    <row r="668" ht="14.25" customHeight="1">
      <c r="A668" s="402"/>
      <c r="B668" s="402"/>
      <c r="C668" s="402"/>
      <c r="D668" s="402"/>
      <c r="E668" s="402"/>
      <c r="F668" s="403"/>
      <c r="G668" s="403"/>
      <c r="H668" s="402"/>
      <c r="I668" s="402"/>
      <c r="J668" s="402"/>
      <c r="K668" s="402"/>
      <c r="L668" s="402"/>
      <c r="M668" s="402"/>
      <c r="N668" s="402"/>
      <c r="O668" s="402"/>
      <c r="P668" s="402"/>
      <c r="Q668" s="402"/>
      <c r="R668" s="402"/>
      <c r="S668" s="402"/>
      <c r="T668" s="402"/>
      <c r="U668" s="402"/>
      <c r="V668" s="402"/>
      <c r="W668" s="402"/>
      <c r="X668" s="402"/>
      <c r="Y668" s="402"/>
      <c r="Z668" s="402"/>
    </row>
    <row r="669" ht="14.25" customHeight="1">
      <c r="A669" s="402"/>
      <c r="B669" s="402"/>
      <c r="C669" s="402"/>
      <c r="D669" s="402"/>
      <c r="E669" s="402"/>
      <c r="F669" s="403"/>
      <c r="G669" s="403"/>
      <c r="H669" s="402"/>
      <c r="I669" s="402"/>
      <c r="J669" s="402"/>
      <c r="K669" s="402"/>
      <c r="L669" s="402"/>
      <c r="M669" s="402"/>
      <c r="N669" s="402"/>
      <c r="O669" s="402"/>
      <c r="P669" s="402"/>
      <c r="Q669" s="402"/>
      <c r="R669" s="402"/>
      <c r="S669" s="402"/>
      <c r="T669" s="402"/>
      <c r="U669" s="402"/>
      <c r="V669" s="402"/>
      <c r="W669" s="402"/>
      <c r="X669" s="402"/>
      <c r="Y669" s="402"/>
      <c r="Z669" s="402"/>
    </row>
    <row r="670" ht="14.25" customHeight="1">
      <c r="A670" s="402"/>
      <c r="B670" s="402"/>
      <c r="C670" s="402"/>
      <c r="D670" s="402"/>
      <c r="E670" s="402"/>
      <c r="F670" s="403"/>
      <c r="G670" s="403"/>
      <c r="H670" s="402"/>
      <c r="I670" s="402"/>
      <c r="J670" s="402"/>
      <c r="K670" s="402"/>
      <c r="L670" s="402"/>
      <c r="M670" s="402"/>
      <c r="N670" s="402"/>
      <c r="O670" s="402"/>
      <c r="P670" s="402"/>
      <c r="Q670" s="402"/>
      <c r="R670" s="402"/>
      <c r="S670" s="402"/>
      <c r="T670" s="402"/>
      <c r="U670" s="402"/>
      <c r="V670" s="402"/>
      <c r="W670" s="402"/>
      <c r="X670" s="402"/>
      <c r="Y670" s="402"/>
      <c r="Z670" s="402"/>
    </row>
    <row r="671" ht="14.25" customHeight="1">
      <c r="A671" s="402"/>
      <c r="B671" s="402"/>
      <c r="C671" s="402"/>
      <c r="D671" s="402"/>
      <c r="E671" s="402"/>
      <c r="F671" s="403"/>
      <c r="G671" s="403"/>
      <c r="H671" s="402"/>
      <c r="I671" s="402"/>
      <c r="J671" s="402"/>
      <c r="K671" s="402"/>
      <c r="L671" s="402"/>
      <c r="M671" s="402"/>
      <c r="N671" s="402"/>
      <c r="O671" s="402"/>
      <c r="P671" s="402"/>
      <c r="Q671" s="402"/>
      <c r="R671" s="402"/>
      <c r="S671" s="402"/>
      <c r="T671" s="402"/>
      <c r="U671" s="402"/>
      <c r="V671" s="402"/>
      <c r="W671" s="402"/>
      <c r="X671" s="402"/>
      <c r="Y671" s="402"/>
      <c r="Z671" s="402"/>
    </row>
    <row r="672" ht="14.25" customHeight="1">
      <c r="A672" s="402"/>
      <c r="B672" s="402"/>
      <c r="C672" s="402"/>
      <c r="D672" s="402"/>
      <c r="E672" s="402"/>
      <c r="F672" s="403"/>
      <c r="G672" s="403"/>
      <c r="H672" s="402"/>
      <c r="I672" s="402"/>
      <c r="J672" s="402"/>
      <c r="K672" s="402"/>
      <c r="L672" s="402"/>
      <c r="M672" s="402"/>
      <c r="N672" s="402"/>
      <c r="O672" s="402"/>
      <c r="P672" s="402"/>
      <c r="Q672" s="402"/>
      <c r="R672" s="402"/>
      <c r="S672" s="402"/>
      <c r="T672" s="402"/>
      <c r="U672" s="402"/>
      <c r="V672" s="402"/>
      <c r="W672" s="402"/>
      <c r="X672" s="402"/>
      <c r="Y672" s="402"/>
      <c r="Z672" s="402"/>
    </row>
    <row r="673" ht="14.25" customHeight="1">
      <c r="A673" s="402"/>
      <c r="B673" s="402"/>
      <c r="C673" s="402"/>
      <c r="D673" s="402"/>
      <c r="E673" s="402"/>
      <c r="F673" s="403"/>
      <c r="G673" s="403"/>
      <c r="H673" s="402"/>
      <c r="I673" s="402"/>
      <c r="J673" s="402"/>
      <c r="K673" s="402"/>
      <c r="L673" s="402"/>
      <c r="M673" s="402"/>
      <c r="N673" s="402"/>
      <c r="O673" s="402"/>
      <c r="P673" s="402"/>
      <c r="Q673" s="402"/>
      <c r="R673" s="402"/>
      <c r="S673" s="402"/>
      <c r="T673" s="402"/>
      <c r="U673" s="402"/>
      <c r="V673" s="402"/>
      <c r="W673" s="402"/>
      <c r="X673" s="402"/>
      <c r="Y673" s="402"/>
      <c r="Z673" s="402"/>
    </row>
    <row r="674" ht="14.25" customHeight="1">
      <c r="A674" s="402"/>
      <c r="B674" s="402"/>
      <c r="C674" s="402"/>
      <c r="D674" s="402"/>
      <c r="E674" s="402"/>
      <c r="F674" s="403"/>
      <c r="G674" s="403"/>
      <c r="H674" s="402"/>
      <c r="I674" s="402"/>
      <c r="J674" s="402"/>
      <c r="K674" s="402"/>
      <c r="L674" s="402"/>
      <c r="M674" s="402"/>
      <c r="N674" s="402"/>
      <c r="O674" s="402"/>
      <c r="P674" s="402"/>
      <c r="Q674" s="402"/>
      <c r="R674" s="402"/>
      <c r="S674" s="402"/>
      <c r="T674" s="402"/>
      <c r="U674" s="402"/>
      <c r="V674" s="402"/>
      <c r="W674" s="402"/>
      <c r="X674" s="402"/>
      <c r="Y674" s="402"/>
      <c r="Z674" s="402"/>
    </row>
    <row r="675" ht="14.25" customHeight="1">
      <c r="A675" s="402"/>
      <c r="B675" s="402"/>
      <c r="C675" s="402"/>
      <c r="D675" s="402"/>
      <c r="E675" s="402"/>
      <c r="F675" s="403"/>
      <c r="G675" s="403"/>
      <c r="H675" s="402"/>
      <c r="I675" s="402"/>
      <c r="J675" s="402"/>
      <c r="K675" s="402"/>
      <c r="L675" s="402"/>
      <c r="M675" s="402"/>
      <c r="N675" s="402"/>
      <c r="O675" s="402"/>
      <c r="P675" s="402"/>
      <c r="Q675" s="402"/>
      <c r="R675" s="402"/>
      <c r="S675" s="402"/>
      <c r="T675" s="402"/>
      <c r="U675" s="402"/>
      <c r="V675" s="402"/>
      <c r="W675" s="402"/>
      <c r="X675" s="402"/>
      <c r="Y675" s="402"/>
      <c r="Z675" s="402"/>
    </row>
    <row r="676" ht="14.25" customHeight="1">
      <c r="A676" s="402"/>
      <c r="B676" s="402"/>
      <c r="C676" s="402"/>
      <c r="D676" s="402"/>
      <c r="E676" s="402"/>
      <c r="F676" s="403"/>
      <c r="G676" s="403"/>
      <c r="H676" s="402"/>
      <c r="I676" s="402"/>
      <c r="J676" s="402"/>
      <c r="K676" s="402"/>
      <c r="L676" s="402"/>
      <c r="M676" s="402"/>
      <c r="N676" s="402"/>
      <c r="O676" s="402"/>
      <c r="P676" s="402"/>
      <c r="Q676" s="402"/>
      <c r="R676" s="402"/>
      <c r="S676" s="402"/>
      <c r="T676" s="402"/>
      <c r="U676" s="402"/>
      <c r="V676" s="402"/>
      <c r="W676" s="402"/>
      <c r="X676" s="402"/>
      <c r="Y676" s="402"/>
      <c r="Z676" s="402"/>
    </row>
    <row r="677" ht="14.25" customHeight="1">
      <c r="A677" s="402"/>
      <c r="B677" s="402"/>
      <c r="C677" s="402"/>
      <c r="D677" s="402"/>
      <c r="E677" s="402"/>
      <c r="F677" s="403"/>
      <c r="G677" s="403"/>
      <c r="H677" s="402"/>
      <c r="I677" s="402"/>
      <c r="J677" s="402"/>
      <c r="K677" s="402"/>
      <c r="L677" s="402"/>
      <c r="M677" s="402"/>
      <c r="N677" s="402"/>
      <c r="O677" s="402"/>
      <c r="P677" s="402"/>
      <c r="Q677" s="402"/>
      <c r="R677" s="402"/>
      <c r="S677" s="402"/>
      <c r="T677" s="402"/>
      <c r="U677" s="402"/>
      <c r="V677" s="402"/>
      <c r="W677" s="402"/>
      <c r="X677" s="402"/>
      <c r="Y677" s="402"/>
      <c r="Z677" s="402"/>
    </row>
    <row r="678" ht="14.25" customHeight="1">
      <c r="A678" s="402"/>
      <c r="B678" s="402"/>
      <c r="C678" s="402"/>
      <c r="D678" s="402"/>
      <c r="E678" s="402"/>
      <c r="F678" s="403"/>
      <c r="G678" s="403"/>
      <c r="H678" s="402"/>
      <c r="I678" s="402"/>
      <c r="J678" s="402"/>
      <c r="K678" s="402"/>
      <c r="L678" s="402"/>
      <c r="M678" s="402"/>
      <c r="N678" s="402"/>
      <c r="O678" s="402"/>
      <c r="P678" s="402"/>
      <c r="Q678" s="402"/>
      <c r="R678" s="402"/>
      <c r="S678" s="402"/>
      <c r="T678" s="402"/>
      <c r="U678" s="402"/>
      <c r="V678" s="402"/>
      <c r="W678" s="402"/>
      <c r="X678" s="402"/>
      <c r="Y678" s="402"/>
      <c r="Z678" s="402"/>
    </row>
    <row r="679" ht="14.25" customHeight="1">
      <c r="A679" s="402"/>
      <c r="B679" s="402"/>
      <c r="C679" s="402"/>
      <c r="D679" s="402"/>
      <c r="E679" s="402"/>
      <c r="F679" s="403"/>
      <c r="G679" s="403"/>
      <c r="H679" s="402"/>
      <c r="I679" s="402"/>
      <c r="J679" s="402"/>
      <c r="K679" s="402"/>
      <c r="L679" s="402"/>
      <c r="M679" s="402"/>
      <c r="N679" s="402"/>
      <c r="O679" s="402"/>
      <c r="P679" s="402"/>
      <c r="Q679" s="402"/>
      <c r="R679" s="402"/>
      <c r="S679" s="402"/>
      <c r="T679" s="402"/>
      <c r="U679" s="402"/>
      <c r="V679" s="402"/>
      <c r="W679" s="402"/>
      <c r="X679" s="402"/>
      <c r="Y679" s="402"/>
      <c r="Z679" s="402"/>
    </row>
    <row r="680" ht="14.25" customHeight="1">
      <c r="A680" s="402"/>
      <c r="B680" s="402"/>
      <c r="C680" s="402"/>
      <c r="D680" s="402"/>
      <c r="E680" s="402"/>
      <c r="F680" s="403"/>
      <c r="G680" s="403"/>
      <c r="H680" s="402"/>
      <c r="I680" s="402"/>
      <c r="J680" s="402"/>
      <c r="K680" s="402"/>
      <c r="L680" s="402"/>
      <c r="M680" s="402"/>
      <c r="N680" s="402"/>
      <c r="O680" s="402"/>
      <c r="P680" s="402"/>
      <c r="Q680" s="402"/>
      <c r="R680" s="402"/>
      <c r="S680" s="402"/>
      <c r="T680" s="402"/>
      <c r="U680" s="402"/>
      <c r="V680" s="402"/>
      <c r="W680" s="402"/>
      <c r="X680" s="402"/>
      <c r="Y680" s="402"/>
      <c r="Z680" s="402"/>
    </row>
    <row r="681" ht="14.25" customHeight="1">
      <c r="A681" s="402"/>
      <c r="B681" s="402"/>
      <c r="C681" s="402"/>
      <c r="D681" s="402"/>
      <c r="E681" s="402"/>
      <c r="F681" s="403"/>
      <c r="G681" s="403"/>
      <c r="H681" s="402"/>
      <c r="I681" s="402"/>
      <c r="J681" s="402"/>
      <c r="K681" s="402"/>
      <c r="L681" s="402"/>
      <c r="M681" s="402"/>
      <c r="N681" s="402"/>
      <c r="O681" s="402"/>
      <c r="P681" s="402"/>
      <c r="Q681" s="402"/>
      <c r="R681" s="402"/>
      <c r="S681" s="402"/>
      <c r="T681" s="402"/>
      <c r="U681" s="402"/>
      <c r="V681" s="402"/>
      <c r="W681" s="402"/>
      <c r="X681" s="402"/>
      <c r="Y681" s="402"/>
      <c r="Z681" s="402"/>
    </row>
    <row r="682" ht="14.25" customHeight="1">
      <c r="A682" s="402"/>
      <c r="B682" s="402"/>
      <c r="C682" s="402"/>
      <c r="D682" s="402"/>
      <c r="E682" s="402"/>
      <c r="F682" s="403"/>
      <c r="G682" s="403"/>
      <c r="H682" s="402"/>
      <c r="I682" s="402"/>
      <c r="J682" s="402"/>
      <c r="K682" s="402"/>
      <c r="L682" s="402"/>
      <c r="M682" s="402"/>
      <c r="N682" s="402"/>
      <c r="O682" s="402"/>
      <c r="P682" s="402"/>
      <c r="Q682" s="402"/>
      <c r="R682" s="402"/>
      <c r="S682" s="402"/>
      <c r="T682" s="402"/>
      <c r="U682" s="402"/>
      <c r="V682" s="402"/>
      <c r="W682" s="402"/>
      <c r="X682" s="402"/>
      <c r="Y682" s="402"/>
      <c r="Z682" s="402"/>
    </row>
    <row r="683" ht="14.25" customHeight="1">
      <c r="A683" s="402"/>
      <c r="B683" s="402"/>
      <c r="C683" s="402"/>
      <c r="D683" s="402"/>
      <c r="E683" s="402"/>
      <c r="F683" s="403"/>
      <c r="G683" s="403"/>
      <c r="H683" s="402"/>
      <c r="I683" s="402"/>
      <c r="J683" s="402"/>
      <c r="K683" s="402"/>
      <c r="L683" s="402"/>
      <c r="M683" s="402"/>
      <c r="N683" s="402"/>
      <c r="O683" s="402"/>
      <c r="P683" s="402"/>
      <c r="Q683" s="402"/>
      <c r="R683" s="402"/>
      <c r="S683" s="402"/>
      <c r="T683" s="402"/>
      <c r="U683" s="402"/>
      <c r="V683" s="402"/>
      <c r="W683" s="402"/>
      <c r="X683" s="402"/>
      <c r="Y683" s="402"/>
      <c r="Z683" s="402"/>
    </row>
    <row r="684" ht="14.25" customHeight="1">
      <c r="A684" s="402"/>
      <c r="B684" s="402"/>
      <c r="C684" s="402"/>
      <c r="D684" s="402"/>
      <c r="E684" s="402"/>
      <c r="F684" s="403"/>
      <c r="G684" s="403"/>
      <c r="H684" s="402"/>
      <c r="I684" s="402"/>
      <c r="J684" s="402"/>
      <c r="K684" s="402"/>
      <c r="L684" s="402"/>
      <c r="M684" s="402"/>
      <c r="N684" s="402"/>
      <c r="O684" s="402"/>
      <c r="P684" s="402"/>
      <c r="Q684" s="402"/>
      <c r="R684" s="402"/>
      <c r="S684" s="402"/>
      <c r="T684" s="402"/>
      <c r="U684" s="402"/>
      <c r="V684" s="402"/>
      <c r="W684" s="402"/>
      <c r="X684" s="402"/>
      <c r="Y684" s="402"/>
      <c r="Z684" s="402"/>
    </row>
    <row r="685" ht="14.25" customHeight="1">
      <c r="A685" s="402"/>
      <c r="B685" s="402"/>
      <c r="C685" s="402"/>
      <c r="D685" s="402"/>
      <c r="E685" s="402"/>
      <c r="F685" s="403"/>
      <c r="G685" s="403"/>
      <c r="H685" s="402"/>
      <c r="I685" s="402"/>
      <c r="J685" s="402"/>
      <c r="K685" s="402"/>
      <c r="L685" s="402"/>
      <c r="M685" s="402"/>
      <c r="N685" s="402"/>
      <c r="O685" s="402"/>
      <c r="P685" s="402"/>
      <c r="Q685" s="402"/>
      <c r="R685" s="402"/>
      <c r="S685" s="402"/>
      <c r="T685" s="402"/>
      <c r="U685" s="402"/>
      <c r="V685" s="402"/>
      <c r="W685" s="402"/>
      <c r="X685" s="402"/>
      <c r="Y685" s="402"/>
      <c r="Z685" s="402"/>
    </row>
    <row r="686" ht="14.25" customHeight="1">
      <c r="A686" s="402"/>
      <c r="B686" s="402"/>
      <c r="C686" s="402"/>
      <c r="D686" s="402"/>
      <c r="E686" s="402"/>
      <c r="F686" s="403"/>
      <c r="G686" s="403"/>
      <c r="H686" s="402"/>
      <c r="I686" s="402"/>
      <c r="J686" s="402"/>
      <c r="K686" s="402"/>
      <c r="L686" s="402"/>
      <c r="M686" s="402"/>
      <c r="N686" s="402"/>
      <c r="O686" s="402"/>
      <c r="P686" s="402"/>
      <c r="Q686" s="402"/>
      <c r="R686" s="402"/>
      <c r="S686" s="402"/>
      <c r="T686" s="402"/>
      <c r="U686" s="402"/>
      <c r="V686" s="402"/>
      <c r="W686" s="402"/>
      <c r="X686" s="402"/>
      <c r="Y686" s="402"/>
      <c r="Z686" s="402"/>
    </row>
    <row r="687" ht="14.25" customHeight="1">
      <c r="A687" s="402"/>
      <c r="B687" s="402"/>
      <c r="C687" s="402"/>
      <c r="D687" s="402"/>
      <c r="E687" s="402"/>
      <c r="F687" s="403"/>
      <c r="G687" s="403"/>
      <c r="H687" s="402"/>
      <c r="I687" s="402"/>
      <c r="J687" s="402"/>
      <c r="K687" s="402"/>
      <c r="L687" s="402"/>
      <c r="M687" s="402"/>
      <c r="N687" s="402"/>
      <c r="O687" s="402"/>
      <c r="P687" s="402"/>
      <c r="Q687" s="402"/>
      <c r="R687" s="402"/>
      <c r="S687" s="402"/>
      <c r="T687" s="402"/>
      <c r="U687" s="402"/>
      <c r="V687" s="402"/>
      <c r="W687" s="402"/>
      <c r="X687" s="402"/>
      <c r="Y687" s="402"/>
      <c r="Z687" s="402"/>
    </row>
    <row r="688" ht="14.25" customHeight="1">
      <c r="A688" s="402"/>
      <c r="B688" s="402"/>
      <c r="C688" s="402"/>
      <c r="D688" s="402"/>
      <c r="E688" s="402"/>
      <c r="F688" s="403"/>
      <c r="G688" s="403"/>
      <c r="H688" s="402"/>
      <c r="I688" s="402"/>
      <c r="J688" s="402"/>
      <c r="K688" s="402"/>
      <c r="L688" s="402"/>
      <c r="M688" s="402"/>
      <c r="N688" s="402"/>
      <c r="O688" s="402"/>
      <c r="P688" s="402"/>
      <c r="Q688" s="402"/>
      <c r="R688" s="402"/>
      <c r="S688" s="402"/>
      <c r="T688" s="402"/>
      <c r="U688" s="402"/>
      <c r="V688" s="402"/>
      <c r="W688" s="402"/>
      <c r="X688" s="402"/>
      <c r="Y688" s="402"/>
      <c r="Z688" s="402"/>
    </row>
    <row r="689" ht="14.25" customHeight="1">
      <c r="A689" s="402"/>
      <c r="B689" s="402"/>
      <c r="C689" s="402"/>
      <c r="D689" s="402"/>
      <c r="E689" s="402"/>
      <c r="F689" s="403"/>
      <c r="G689" s="403"/>
      <c r="H689" s="402"/>
      <c r="I689" s="402"/>
      <c r="J689" s="402"/>
      <c r="K689" s="402"/>
      <c r="L689" s="402"/>
      <c r="M689" s="402"/>
      <c r="N689" s="402"/>
      <c r="O689" s="402"/>
      <c r="P689" s="402"/>
      <c r="Q689" s="402"/>
      <c r="R689" s="402"/>
      <c r="S689" s="402"/>
      <c r="T689" s="402"/>
      <c r="U689" s="402"/>
      <c r="V689" s="402"/>
      <c r="W689" s="402"/>
      <c r="X689" s="402"/>
      <c r="Y689" s="402"/>
      <c r="Z689" s="402"/>
    </row>
    <row r="690" ht="14.25" customHeight="1">
      <c r="A690" s="402"/>
      <c r="B690" s="402"/>
      <c r="C690" s="402"/>
      <c r="D690" s="402"/>
      <c r="E690" s="402"/>
      <c r="F690" s="403"/>
      <c r="G690" s="403"/>
      <c r="H690" s="402"/>
      <c r="I690" s="402"/>
      <c r="J690" s="402"/>
      <c r="K690" s="402"/>
      <c r="L690" s="402"/>
      <c r="M690" s="402"/>
      <c r="N690" s="402"/>
      <c r="O690" s="402"/>
      <c r="P690" s="402"/>
      <c r="Q690" s="402"/>
      <c r="R690" s="402"/>
      <c r="S690" s="402"/>
      <c r="T690" s="402"/>
      <c r="U690" s="402"/>
      <c r="V690" s="402"/>
      <c r="W690" s="402"/>
      <c r="X690" s="402"/>
      <c r="Y690" s="402"/>
      <c r="Z690" s="402"/>
    </row>
    <row r="691" ht="14.25" customHeight="1">
      <c r="A691" s="402"/>
      <c r="B691" s="402"/>
      <c r="C691" s="402"/>
      <c r="D691" s="402"/>
      <c r="E691" s="402"/>
      <c r="F691" s="403"/>
      <c r="G691" s="403"/>
      <c r="H691" s="402"/>
      <c r="I691" s="402"/>
      <c r="J691" s="402"/>
      <c r="K691" s="402"/>
      <c r="L691" s="402"/>
      <c r="M691" s="402"/>
      <c r="N691" s="402"/>
      <c r="O691" s="402"/>
      <c r="P691" s="402"/>
      <c r="Q691" s="402"/>
      <c r="R691" s="402"/>
      <c r="S691" s="402"/>
      <c r="T691" s="402"/>
      <c r="U691" s="402"/>
      <c r="V691" s="402"/>
      <c r="W691" s="402"/>
      <c r="X691" s="402"/>
      <c r="Y691" s="402"/>
      <c r="Z691" s="402"/>
    </row>
    <row r="692" ht="14.25" customHeight="1">
      <c r="A692" s="402"/>
      <c r="B692" s="402"/>
      <c r="C692" s="402"/>
      <c r="D692" s="402"/>
      <c r="E692" s="402"/>
      <c r="F692" s="403"/>
      <c r="G692" s="403"/>
      <c r="H692" s="402"/>
      <c r="I692" s="402"/>
      <c r="J692" s="402"/>
      <c r="K692" s="402"/>
      <c r="L692" s="402"/>
      <c r="M692" s="402"/>
      <c r="N692" s="402"/>
      <c r="O692" s="402"/>
      <c r="P692" s="402"/>
      <c r="Q692" s="402"/>
      <c r="R692" s="402"/>
      <c r="S692" s="402"/>
      <c r="T692" s="402"/>
      <c r="U692" s="402"/>
      <c r="V692" s="402"/>
      <c r="W692" s="402"/>
      <c r="X692" s="402"/>
      <c r="Y692" s="402"/>
      <c r="Z692" s="402"/>
    </row>
    <row r="693" ht="14.25" customHeight="1">
      <c r="A693" s="402"/>
      <c r="B693" s="402"/>
      <c r="C693" s="402"/>
      <c r="D693" s="402"/>
      <c r="E693" s="402"/>
      <c r="F693" s="403"/>
      <c r="G693" s="403"/>
      <c r="H693" s="402"/>
      <c r="I693" s="402"/>
      <c r="J693" s="402"/>
      <c r="K693" s="402"/>
      <c r="L693" s="402"/>
      <c r="M693" s="402"/>
      <c r="N693" s="402"/>
      <c r="O693" s="402"/>
      <c r="P693" s="402"/>
      <c r="Q693" s="402"/>
      <c r="R693" s="402"/>
      <c r="S693" s="402"/>
      <c r="T693" s="402"/>
      <c r="U693" s="402"/>
      <c r="V693" s="402"/>
      <c r="W693" s="402"/>
      <c r="X693" s="402"/>
      <c r="Y693" s="402"/>
      <c r="Z693" s="402"/>
    </row>
    <row r="694" ht="14.25" customHeight="1">
      <c r="A694" s="402"/>
      <c r="B694" s="402"/>
      <c r="C694" s="402"/>
      <c r="D694" s="402"/>
      <c r="E694" s="402"/>
      <c r="F694" s="403"/>
      <c r="G694" s="403"/>
      <c r="H694" s="402"/>
      <c r="I694" s="402"/>
      <c r="J694" s="402"/>
      <c r="K694" s="402"/>
      <c r="L694" s="402"/>
      <c r="M694" s="402"/>
      <c r="N694" s="402"/>
      <c r="O694" s="402"/>
      <c r="P694" s="402"/>
      <c r="Q694" s="402"/>
      <c r="R694" s="402"/>
      <c r="S694" s="402"/>
      <c r="T694" s="402"/>
      <c r="U694" s="402"/>
      <c r="V694" s="402"/>
      <c r="W694" s="402"/>
      <c r="X694" s="402"/>
      <c r="Y694" s="402"/>
      <c r="Z694" s="402"/>
    </row>
    <row r="695" ht="14.25" customHeight="1">
      <c r="A695" s="402"/>
      <c r="B695" s="402"/>
      <c r="C695" s="402"/>
      <c r="D695" s="402"/>
      <c r="E695" s="402"/>
      <c r="F695" s="403"/>
      <c r="G695" s="403"/>
      <c r="H695" s="402"/>
      <c r="I695" s="402"/>
      <c r="J695" s="402"/>
      <c r="K695" s="402"/>
      <c r="L695" s="402"/>
      <c r="M695" s="402"/>
      <c r="N695" s="402"/>
      <c r="O695" s="402"/>
      <c r="P695" s="402"/>
      <c r="Q695" s="402"/>
      <c r="R695" s="402"/>
      <c r="S695" s="402"/>
      <c r="T695" s="402"/>
      <c r="U695" s="402"/>
      <c r="V695" s="402"/>
      <c r="W695" s="402"/>
      <c r="X695" s="402"/>
      <c r="Y695" s="402"/>
      <c r="Z695" s="402"/>
    </row>
    <row r="696" ht="14.25" customHeight="1">
      <c r="A696" s="402"/>
      <c r="B696" s="402"/>
      <c r="C696" s="402"/>
      <c r="D696" s="402"/>
      <c r="E696" s="402"/>
      <c r="F696" s="403"/>
      <c r="G696" s="403"/>
      <c r="H696" s="402"/>
      <c r="I696" s="402"/>
      <c r="J696" s="402"/>
      <c r="K696" s="402"/>
      <c r="L696" s="402"/>
      <c r="M696" s="402"/>
      <c r="N696" s="402"/>
      <c r="O696" s="402"/>
      <c r="P696" s="402"/>
      <c r="Q696" s="402"/>
      <c r="R696" s="402"/>
      <c r="S696" s="402"/>
      <c r="T696" s="402"/>
      <c r="U696" s="402"/>
      <c r="V696" s="402"/>
      <c r="W696" s="402"/>
      <c r="X696" s="402"/>
      <c r="Y696" s="402"/>
      <c r="Z696" s="402"/>
    </row>
    <row r="697" ht="14.25" customHeight="1">
      <c r="A697" s="402"/>
      <c r="B697" s="402"/>
      <c r="C697" s="402"/>
      <c r="D697" s="402"/>
      <c r="E697" s="402"/>
      <c r="F697" s="403"/>
      <c r="G697" s="403"/>
      <c r="H697" s="402"/>
      <c r="I697" s="402"/>
      <c r="J697" s="402"/>
      <c r="K697" s="402"/>
      <c r="L697" s="402"/>
      <c r="M697" s="402"/>
      <c r="N697" s="402"/>
      <c r="O697" s="402"/>
      <c r="P697" s="402"/>
      <c r="Q697" s="402"/>
      <c r="R697" s="402"/>
      <c r="S697" s="402"/>
      <c r="T697" s="402"/>
      <c r="U697" s="402"/>
      <c r="V697" s="402"/>
      <c r="W697" s="402"/>
      <c r="X697" s="402"/>
      <c r="Y697" s="402"/>
      <c r="Z697" s="402"/>
    </row>
    <row r="698" ht="14.25" customHeight="1">
      <c r="A698" s="402"/>
      <c r="B698" s="402"/>
      <c r="C698" s="402"/>
      <c r="D698" s="402"/>
      <c r="E698" s="402"/>
      <c r="F698" s="403"/>
      <c r="G698" s="403"/>
      <c r="H698" s="402"/>
      <c r="I698" s="402"/>
      <c r="J698" s="402"/>
      <c r="K698" s="402"/>
      <c r="L698" s="402"/>
      <c r="M698" s="402"/>
      <c r="N698" s="402"/>
      <c r="O698" s="402"/>
      <c r="P698" s="402"/>
      <c r="Q698" s="402"/>
      <c r="R698" s="402"/>
      <c r="S698" s="402"/>
      <c r="T698" s="402"/>
      <c r="U698" s="402"/>
      <c r="V698" s="402"/>
      <c r="W698" s="402"/>
      <c r="X698" s="402"/>
      <c r="Y698" s="402"/>
      <c r="Z698" s="402"/>
    </row>
    <row r="699" ht="14.25" customHeight="1">
      <c r="A699" s="402"/>
      <c r="B699" s="402"/>
      <c r="C699" s="402"/>
      <c r="D699" s="402"/>
      <c r="E699" s="402"/>
      <c r="F699" s="403"/>
      <c r="G699" s="403"/>
      <c r="H699" s="402"/>
      <c r="I699" s="402"/>
      <c r="J699" s="402"/>
      <c r="K699" s="402"/>
      <c r="L699" s="402"/>
      <c r="M699" s="402"/>
      <c r="N699" s="402"/>
      <c r="O699" s="402"/>
      <c r="P699" s="402"/>
      <c r="Q699" s="402"/>
      <c r="R699" s="402"/>
      <c r="S699" s="402"/>
      <c r="T699" s="402"/>
      <c r="U699" s="402"/>
      <c r="V699" s="402"/>
      <c r="W699" s="402"/>
      <c r="X699" s="402"/>
      <c r="Y699" s="402"/>
      <c r="Z699" s="402"/>
    </row>
    <row r="700" ht="14.25" customHeight="1">
      <c r="A700" s="402"/>
      <c r="B700" s="402"/>
      <c r="C700" s="402"/>
      <c r="D700" s="402"/>
      <c r="E700" s="402"/>
      <c r="F700" s="403"/>
      <c r="G700" s="403"/>
      <c r="H700" s="402"/>
      <c r="I700" s="402"/>
      <c r="J700" s="402"/>
      <c r="K700" s="402"/>
      <c r="L700" s="402"/>
      <c r="M700" s="402"/>
      <c r="N700" s="402"/>
      <c r="O700" s="402"/>
      <c r="P700" s="402"/>
      <c r="Q700" s="402"/>
      <c r="R700" s="402"/>
      <c r="S700" s="402"/>
      <c r="T700" s="402"/>
      <c r="U700" s="402"/>
      <c r="V700" s="402"/>
      <c r="W700" s="402"/>
      <c r="X700" s="402"/>
      <c r="Y700" s="402"/>
      <c r="Z700" s="402"/>
    </row>
    <row r="701" ht="14.25" customHeight="1">
      <c r="A701" s="402"/>
      <c r="B701" s="402"/>
      <c r="C701" s="402"/>
      <c r="D701" s="402"/>
      <c r="E701" s="402"/>
      <c r="F701" s="403"/>
      <c r="G701" s="403"/>
      <c r="H701" s="402"/>
      <c r="I701" s="402"/>
      <c r="J701" s="402"/>
      <c r="K701" s="402"/>
      <c r="L701" s="402"/>
      <c r="M701" s="402"/>
      <c r="N701" s="402"/>
      <c r="O701" s="402"/>
      <c r="P701" s="402"/>
      <c r="Q701" s="402"/>
      <c r="R701" s="402"/>
      <c r="S701" s="402"/>
      <c r="T701" s="402"/>
      <c r="U701" s="402"/>
      <c r="V701" s="402"/>
      <c r="W701" s="402"/>
      <c r="X701" s="402"/>
      <c r="Y701" s="402"/>
      <c r="Z701" s="402"/>
    </row>
    <row r="702" ht="14.25" customHeight="1">
      <c r="A702" s="402"/>
      <c r="B702" s="402"/>
      <c r="C702" s="402"/>
      <c r="D702" s="402"/>
      <c r="E702" s="402"/>
      <c r="F702" s="403"/>
      <c r="G702" s="403"/>
      <c r="H702" s="402"/>
      <c r="I702" s="402"/>
      <c r="J702" s="402"/>
      <c r="K702" s="402"/>
      <c r="L702" s="402"/>
      <c r="M702" s="402"/>
      <c r="N702" s="402"/>
      <c r="O702" s="402"/>
      <c r="P702" s="402"/>
      <c r="Q702" s="402"/>
      <c r="R702" s="402"/>
      <c r="S702" s="402"/>
      <c r="T702" s="402"/>
      <c r="U702" s="402"/>
      <c r="V702" s="402"/>
      <c r="W702" s="402"/>
      <c r="X702" s="402"/>
      <c r="Y702" s="402"/>
      <c r="Z702" s="402"/>
    </row>
    <row r="703" ht="14.25" customHeight="1">
      <c r="A703" s="402"/>
      <c r="B703" s="402"/>
      <c r="C703" s="402"/>
      <c r="D703" s="402"/>
      <c r="E703" s="402"/>
      <c r="F703" s="403"/>
      <c r="G703" s="403"/>
      <c r="H703" s="402"/>
      <c r="I703" s="402"/>
      <c r="J703" s="402"/>
      <c r="K703" s="402"/>
      <c r="L703" s="402"/>
      <c r="M703" s="402"/>
      <c r="N703" s="402"/>
      <c r="O703" s="402"/>
      <c r="P703" s="402"/>
      <c r="Q703" s="402"/>
      <c r="R703" s="402"/>
      <c r="S703" s="402"/>
      <c r="T703" s="402"/>
      <c r="U703" s="402"/>
      <c r="V703" s="402"/>
      <c r="W703" s="402"/>
      <c r="X703" s="402"/>
      <c r="Y703" s="402"/>
      <c r="Z703" s="402"/>
    </row>
    <row r="704" ht="14.25" customHeight="1">
      <c r="A704" s="402"/>
      <c r="B704" s="402"/>
      <c r="C704" s="402"/>
      <c r="D704" s="402"/>
      <c r="E704" s="402"/>
      <c r="F704" s="403"/>
      <c r="G704" s="403"/>
      <c r="H704" s="402"/>
      <c r="I704" s="402"/>
      <c r="J704" s="402"/>
      <c r="K704" s="402"/>
      <c r="L704" s="402"/>
      <c r="M704" s="402"/>
      <c r="N704" s="402"/>
      <c r="O704" s="402"/>
      <c r="P704" s="402"/>
      <c r="Q704" s="402"/>
      <c r="R704" s="402"/>
      <c r="S704" s="402"/>
      <c r="T704" s="402"/>
      <c r="U704" s="402"/>
      <c r="V704" s="402"/>
      <c r="W704" s="402"/>
      <c r="X704" s="402"/>
      <c r="Y704" s="402"/>
      <c r="Z704" s="402"/>
    </row>
    <row r="705" ht="14.25" customHeight="1">
      <c r="A705" s="402"/>
      <c r="B705" s="402"/>
      <c r="C705" s="402"/>
      <c r="D705" s="402"/>
      <c r="E705" s="402"/>
      <c r="F705" s="403"/>
      <c r="G705" s="403"/>
      <c r="H705" s="402"/>
      <c r="I705" s="402"/>
      <c r="J705" s="402"/>
      <c r="K705" s="402"/>
      <c r="L705" s="402"/>
      <c r="M705" s="402"/>
      <c r="N705" s="402"/>
      <c r="O705" s="402"/>
      <c r="P705" s="402"/>
      <c r="Q705" s="402"/>
      <c r="R705" s="402"/>
      <c r="S705" s="402"/>
      <c r="T705" s="402"/>
      <c r="U705" s="402"/>
      <c r="V705" s="402"/>
      <c r="W705" s="402"/>
      <c r="X705" s="402"/>
      <c r="Y705" s="402"/>
      <c r="Z705" s="402"/>
    </row>
    <row r="706" ht="14.25" customHeight="1">
      <c r="A706" s="402"/>
      <c r="B706" s="402"/>
      <c r="C706" s="402"/>
      <c r="D706" s="402"/>
      <c r="E706" s="402"/>
      <c r="F706" s="403"/>
      <c r="G706" s="403"/>
      <c r="H706" s="402"/>
      <c r="I706" s="402"/>
      <c r="J706" s="402"/>
      <c r="K706" s="402"/>
      <c r="L706" s="402"/>
      <c r="M706" s="402"/>
      <c r="N706" s="402"/>
      <c r="O706" s="402"/>
      <c r="P706" s="402"/>
      <c r="Q706" s="402"/>
      <c r="R706" s="402"/>
      <c r="S706" s="402"/>
      <c r="T706" s="402"/>
      <c r="U706" s="402"/>
      <c r="V706" s="402"/>
      <c r="W706" s="402"/>
      <c r="X706" s="402"/>
      <c r="Y706" s="402"/>
      <c r="Z706" s="402"/>
    </row>
    <row r="707" ht="14.25" customHeight="1">
      <c r="A707" s="402"/>
      <c r="B707" s="402"/>
      <c r="C707" s="402"/>
      <c r="D707" s="402"/>
      <c r="E707" s="402"/>
      <c r="F707" s="403"/>
      <c r="G707" s="403"/>
      <c r="H707" s="402"/>
      <c r="I707" s="402"/>
      <c r="J707" s="402"/>
      <c r="K707" s="402"/>
      <c r="L707" s="402"/>
      <c r="M707" s="402"/>
      <c r="N707" s="402"/>
      <c r="O707" s="402"/>
      <c r="P707" s="402"/>
      <c r="Q707" s="402"/>
      <c r="R707" s="402"/>
      <c r="S707" s="402"/>
      <c r="T707" s="402"/>
      <c r="U707" s="402"/>
      <c r="V707" s="402"/>
      <c r="W707" s="402"/>
      <c r="X707" s="402"/>
      <c r="Y707" s="402"/>
      <c r="Z707" s="402"/>
    </row>
    <row r="708" ht="14.25" customHeight="1">
      <c r="A708" s="402"/>
      <c r="B708" s="402"/>
      <c r="C708" s="402"/>
      <c r="D708" s="402"/>
      <c r="E708" s="402"/>
      <c r="F708" s="403"/>
      <c r="G708" s="403"/>
      <c r="H708" s="402"/>
      <c r="I708" s="402"/>
      <c r="J708" s="402"/>
      <c r="K708" s="402"/>
      <c r="L708" s="402"/>
      <c r="M708" s="402"/>
      <c r="N708" s="402"/>
      <c r="O708" s="402"/>
      <c r="P708" s="402"/>
      <c r="Q708" s="402"/>
      <c r="R708" s="402"/>
      <c r="S708" s="402"/>
      <c r="T708" s="402"/>
      <c r="U708" s="402"/>
      <c r="V708" s="402"/>
      <c r="W708" s="402"/>
      <c r="X708" s="402"/>
      <c r="Y708" s="402"/>
      <c r="Z708" s="402"/>
    </row>
    <row r="709" ht="14.25" customHeight="1">
      <c r="A709" s="402"/>
      <c r="B709" s="402"/>
      <c r="C709" s="402"/>
      <c r="D709" s="402"/>
      <c r="E709" s="402"/>
      <c r="F709" s="403"/>
      <c r="G709" s="403"/>
      <c r="H709" s="402"/>
      <c r="I709" s="402"/>
      <c r="J709" s="402"/>
      <c r="K709" s="402"/>
      <c r="L709" s="402"/>
      <c r="M709" s="402"/>
      <c r="N709" s="402"/>
      <c r="O709" s="402"/>
      <c r="P709" s="402"/>
      <c r="Q709" s="402"/>
      <c r="R709" s="402"/>
      <c r="S709" s="402"/>
      <c r="T709" s="402"/>
      <c r="U709" s="402"/>
      <c r="V709" s="402"/>
      <c r="W709" s="402"/>
      <c r="X709" s="402"/>
      <c r="Y709" s="402"/>
      <c r="Z709" s="402"/>
    </row>
    <row r="710" ht="14.25" customHeight="1">
      <c r="A710" s="402"/>
      <c r="B710" s="402"/>
      <c r="C710" s="402"/>
      <c r="D710" s="402"/>
      <c r="E710" s="402"/>
      <c r="F710" s="403"/>
      <c r="G710" s="403"/>
      <c r="H710" s="402"/>
      <c r="I710" s="402"/>
      <c r="J710" s="402"/>
      <c r="K710" s="402"/>
      <c r="L710" s="402"/>
      <c r="M710" s="402"/>
      <c r="N710" s="402"/>
      <c r="O710" s="402"/>
      <c r="P710" s="402"/>
      <c r="Q710" s="402"/>
      <c r="R710" s="402"/>
      <c r="S710" s="402"/>
      <c r="T710" s="402"/>
      <c r="U710" s="402"/>
      <c r="V710" s="402"/>
      <c r="W710" s="402"/>
      <c r="X710" s="402"/>
      <c r="Y710" s="402"/>
      <c r="Z710" s="402"/>
    </row>
    <row r="711" ht="14.25" customHeight="1">
      <c r="A711" s="402"/>
      <c r="B711" s="402"/>
      <c r="C711" s="402"/>
      <c r="D711" s="402"/>
      <c r="E711" s="402"/>
      <c r="F711" s="403"/>
      <c r="G711" s="403"/>
      <c r="H711" s="402"/>
      <c r="I711" s="402"/>
      <c r="J711" s="402"/>
      <c r="K711" s="402"/>
      <c r="L711" s="402"/>
      <c r="M711" s="402"/>
      <c r="N711" s="402"/>
      <c r="O711" s="402"/>
      <c r="P711" s="402"/>
      <c r="Q711" s="402"/>
      <c r="R711" s="402"/>
      <c r="S711" s="402"/>
      <c r="T711" s="402"/>
      <c r="U711" s="402"/>
      <c r="V711" s="402"/>
      <c r="W711" s="402"/>
      <c r="X711" s="402"/>
      <c r="Y711" s="402"/>
      <c r="Z711" s="402"/>
    </row>
    <row r="712" ht="14.25" customHeight="1">
      <c r="A712" s="402"/>
      <c r="B712" s="402"/>
      <c r="C712" s="402"/>
      <c r="D712" s="402"/>
      <c r="E712" s="402"/>
      <c r="F712" s="403"/>
      <c r="G712" s="403"/>
      <c r="H712" s="402"/>
      <c r="I712" s="402"/>
      <c r="J712" s="402"/>
      <c r="K712" s="402"/>
      <c r="L712" s="402"/>
      <c r="M712" s="402"/>
      <c r="N712" s="402"/>
      <c r="O712" s="402"/>
      <c r="P712" s="402"/>
      <c r="Q712" s="402"/>
      <c r="R712" s="402"/>
      <c r="S712" s="402"/>
      <c r="T712" s="402"/>
      <c r="U712" s="402"/>
      <c r="V712" s="402"/>
      <c r="W712" s="402"/>
      <c r="X712" s="402"/>
      <c r="Y712" s="402"/>
      <c r="Z712" s="402"/>
    </row>
    <row r="713" ht="14.25" customHeight="1">
      <c r="A713" s="402"/>
      <c r="B713" s="402"/>
      <c r="C713" s="402"/>
      <c r="D713" s="402"/>
      <c r="E713" s="402"/>
      <c r="F713" s="403"/>
      <c r="G713" s="403"/>
      <c r="H713" s="402"/>
      <c r="I713" s="402"/>
      <c r="J713" s="402"/>
      <c r="K713" s="402"/>
      <c r="L713" s="402"/>
      <c r="M713" s="402"/>
      <c r="N713" s="402"/>
      <c r="O713" s="402"/>
      <c r="P713" s="402"/>
      <c r="Q713" s="402"/>
      <c r="R713" s="402"/>
      <c r="S713" s="402"/>
      <c r="T713" s="402"/>
      <c r="U713" s="402"/>
      <c r="V713" s="402"/>
      <c r="W713" s="402"/>
      <c r="X713" s="402"/>
      <c r="Y713" s="402"/>
      <c r="Z713" s="402"/>
    </row>
    <row r="714" ht="14.25" customHeight="1">
      <c r="A714" s="402"/>
      <c r="B714" s="402"/>
      <c r="C714" s="402"/>
      <c r="D714" s="402"/>
      <c r="E714" s="402"/>
      <c r="F714" s="403"/>
      <c r="G714" s="403"/>
      <c r="H714" s="402"/>
      <c r="I714" s="402"/>
      <c r="J714" s="402"/>
      <c r="K714" s="402"/>
      <c r="L714" s="402"/>
      <c r="M714" s="402"/>
      <c r="N714" s="402"/>
      <c r="O714" s="402"/>
      <c r="P714" s="402"/>
      <c r="Q714" s="402"/>
      <c r="R714" s="402"/>
      <c r="S714" s="402"/>
      <c r="T714" s="402"/>
      <c r="U714" s="402"/>
      <c r="V714" s="402"/>
      <c r="W714" s="402"/>
      <c r="X714" s="402"/>
      <c r="Y714" s="402"/>
      <c r="Z714" s="402"/>
    </row>
    <row r="715" ht="14.25" customHeight="1">
      <c r="A715" s="402"/>
      <c r="B715" s="402"/>
      <c r="C715" s="402"/>
      <c r="D715" s="402"/>
      <c r="E715" s="402"/>
      <c r="F715" s="403"/>
      <c r="G715" s="403"/>
      <c r="H715" s="402"/>
      <c r="I715" s="402"/>
      <c r="J715" s="402"/>
      <c r="K715" s="402"/>
      <c r="L715" s="402"/>
      <c r="M715" s="402"/>
      <c r="N715" s="402"/>
      <c r="O715" s="402"/>
      <c r="P715" s="402"/>
      <c r="Q715" s="402"/>
      <c r="R715" s="402"/>
      <c r="S715" s="402"/>
      <c r="T715" s="402"/>
      <c r="U715" s="402"/>
      <c r="V715" s="402"/>
      <c r="W715" s="402"/>
      <c r="X715" s="402"/>
      <c r="Y715" s="402"/>
      <c r="Z715" s="402"/>
    </row>
    <row r="716" ht="14.25" customHeight="1">
      <c r="A716" s="402"/>
      <c r="B716" s="402"/>
      <c r="C716" s="402"/>
      <c r="D716" s="402"/>
      <c r="E716" s="402"/>
      <c r="F716" s="403"/>
      <c r="G716" s="403"/>
      <c r="H716" s="402"/>
      <c r="I716" s="402"/>
      <c r="J716" s="402"/>
      <c r="K716" s="402"/>
      <c r="L716" s="402"/>
      <c r="M716" s="402"/>
      <c r="N716" s="402"/>
      <c r="O716" s="402"/>
      <c r="P716" s="402"/>
      <c r="Q716" s="402"/>
      <c r="R716" s="402"/>
      <c r="S716" s="402"/>
      <c r="T716" s="402"/>
      <c r="U716" s="402"/>
      <c r="V716" s="402"/>
      <c r="W716" s="402"/>
      <c r="X716" s="402"/>
      <c r="Y716" s="402"/>
      <c r="Z716" s="402"/>
    </row>
    <row r="717" ht="14.25" customHeight="1">
      <c r="A717" s="402"/>
      <c r="B717" s="402"/>
      <c r="C717" s="402"/>
      <c r="D717" s="402"/>
      <c r="E717" s="402"/>
      <c r="F717" s="403"/>
      <c r="G717" s="403"/>
      <c r="H717" s="402"/>
      <c r="I717" s="402"/>
      <c r="J717" s="402"/>
      <c r="K717" s="402"/>
      <c r="L717" s="402"/>
      <c r="M717" s="402"/>
      <c r="N717" s="402"/>
      <c r="O717" s="402"/>
      <c r="P717" s="402"/>
      <c r="Q717" s="402"/>
      <c r="R717" s="402"/>
      <c r="S717" s="402"/>
      <c r="T717" s="402"/>
      <c r="U717" s="402"/>
      <c r="V717" s="402"/>
      <c r="W717" s="402"/>
      <c r="X717" s="402"/>
      <c r="Y717" s="402"/>
      <c r="Z717" s="402"/>
    </row>
    <row r="718" ht="14.25" customHeight="1">
      <c r="A718" s="402"/>
      <c r="B718" s="402"/>
      <c r="C718" s="402"/>
      <c r="D718" s="402"/>
      <c r="E718" s="402"/>
      <c r="F718" s="403"/>
      <c r="G718" s="403"/>
      <c r="H718" s="402"/>
      <c r="I718" s="402"/>
      <c r="J718" s="402"/>
      <c r="K718" s="402"/>
      <c r="L718" s="402"/>
      <c r="M718" s="402"/>
      <c r="N718" s="402"/>
      <c r="O718" s="402"/>
      <c r="P718" s="402"/>
      <c r="Q718" s="402"/>
      <c r="R718" s="402"/>
      <c r="S718" s="402"/>
      <c r="T718" s="402"/>
      <c r="U718" s="402"/>
      <c r="V718" s="402"/>
      <c r="W718" s="402"/>
      <c r="X718" s="402"/>
      <c r="Y718" s="402"/>
      <c r="Z718" s="402"/>
    </row>
    <row r="719" ht="14.25" customHeight="1">
      <c r="A719" s="402"/>
      <c r="B719" s="402"/>
      <c r="C719" s="402"/>
      <c r="D719" s="402"/>
      <c r="E719" s="402"/>
      <c r="F719" s="403"/>
      <c r="G719" s="403"/>
      <c r="H719" s="402"/>
      <c r="I719" s="402"/>
      <c r="J719" s="402"/>
      <c r="K719" s="402"/>
      <c r="L719" s="402"/>
      <c r="M719" s="402"/>
      <c r="N719" s="402"/>
      <c r="O719" s="402"/>
      <c r="P719" s="402"/>
      <c r="Q719" s="402"/>
      <c r="R719" s="402"/>
      <c r="S719" s="402"/>
      <c r="T719" s="402"/>
      <c r="U719" s="402"/>
      <c r="V719" s="402"/>
      <c r="W719" s="402"/>
      <c r="X719" s="402"/>
      <c r="Y719" s="402"/>
      <c r="Z719" s="402"/>
    </row>
    <row r="720" ht="14.25" customHeight="1">
      <c r="A720" s="402"/>
      <c r="B720" s="402"/>
      <c r="C720" s="402"/>
      <c r="D720" s="402"/>
      <c r="E720" s="402"/>
      <c r="F720" s="403"/>
      <c r="G720" s="403"/>
      <c r="H720" s="402"/>
      <c r="I720" s="402"/>
      <c r="J720" s="402"/>
      <c r="K720" s="402"/>
      <c r="L720" s="402"/>
      <c r="M720" s="402"/>
      <c r="N720" s="402"/>
      <c r="O720" s="402"/>
      <c r="P720" s="402"/>
      <c r="Q720" s="402"/>
      <c r="R720" s="402"/>
      <c r="S720" s="402"/>
      <c r="T720" s="402"/>
      <c r="U720" s="402"/>
      <c r="V720" s="402"/>
      <c r="W720" s="402"/>
      <c r="X720" s="402"/>
      <c r="Y720" s="402"/>
      <c r="Z720" s="402"/>
    </row>
    <row r="721" ht="14.25" customHeight="1">
      <c r="A721" s="402"/>
      <c r="B721" s="402"/>
      <c r="C721" s="402"/>
      <c r="D721" s="402"/>
      <c r="E721" s="402"/>
      <c r="F721" s="403"/>
      <c r="G721" s="403"/>
      <c r="H721" s="402"/>
      <c r="I721" s="402"/>
      <c r="J721" s="402"/>
      <c r="K721" s="402"/>
      <c r="L721" s="402"/>
      <c r="M721" s="402"/>
      <c r="N721" s="402"/>
      <c r="O721" s="402"/>
      <c r="P721" s="402"/>
      <c r="Q721" s="402"/>
      <c r="R721" s="402"/>
      <c r="S721" s="402"/>
      <c r="T721" s="402"/>
      <c r="U721" s="402"/>
      <c r="V721" s="402"/>
      <c r="W721" s="402"/>
      <c r="X721" s="402"/>
      <c r="Y721" s="402"/>
      <c r="Z721" s="402"/>
    </row>
    <row r="722" ht="14.25" customHeight="1">
      <c r="A722" s="402"/>
      <c r="B722" s="402"/>
      <c r="C722" s="402"/>
      <c r="D722" s="402"/>
      <c r="E722" s="402"/>
      <c r="F722" s="403"/>
      <c r="G722" s="403"/>
      <c r="H722" s="402"/>
      <c r="I722" s="402"/>
      <c r="J722" s="402"/>
      <c r="K722" s="402"/>
      <c r="L722" s="402"/>
      <c r="M722" s="402"/>
      <c r="N722" s="402"/>
      <c r="O722" s="402"/>
      <c r="P722" s="402"/>
      <c r="Q722" s="402"/>
      <c r="R722" s="402"/>
      <c r="S722" s="402"/>
      <c r="T722" s="402"/>
      <c r="U722" s="402"/>
      <c r="V722" s="402"/>
      <c r="W722" s="402"/>
      <c r="X722" s="402"/>
      <c r="Y722" s="402"/>
      <c r="Z722" s="402"/>
    </row>
    <row r="723" ht="14.25" customHeight="1">
      <c r="A723" s="402"/>
      <c r="B723" s="402"/>
      <c r="C723" s="402"/>
      <c r="D723" s="402"/>
      <c r="E723" s="402"/>
      <c r="F723" s="403"/>
      <c r="G723" s="403"/>
      <c r="H723" s="402"/>
      <c r="I723" s="402"/>
      <c r="J723" s="402"/>
      <c r="K723" s="402"/>
      <c r="L723" s="402"/>
      <c r="M723" s="402"/>
      <c r="N723" s="402"/>
      <c r="O723" s="402"/>
      <c r="P723" s="402"/>
      <c r="Q723" s="402"/>
      <c r="R723" s="402"/>
      <c r="S723" s="402"/>
      <c r="T723" s="402"/>
      <c r="U723" s="402"/>
      <c r="V723" s="402"/>
      <c r="W723" s="402"/>
      <c r="X723" s="402"/>
      <c r="Y723" s="402"/>
      <c r="Z723" s="402"/>
    </row>
    <row r="724" ht="14.25" customHeight="1">
      <c r="A724" s="402"/>
      <c r="B724" s="402"/>
      <c r="C724" s="402"/>
      <c r="D724" s="402"/>
      <c r="E724" s="402"/>
      <c r="F724" s="403"/>
      <c r="G724" s="403"/>
      <c r="H724" s="402"/>
      <c r="I724" s="402"/>
      <c r="J724" s="402"/>
      <c r="K724" s="402"/>
      <c r="L724" s="402"/>
      <c r="M724" s="402"/>
      <c r="N724" s="402"/>
      <c r="O724" s="402"/>
      <c r="P724" s="402"/>
      <c r="Q724" s="402"/>
      <c r="R724" s="402"/>
      <c r="S724" s="402"/>
      <c r="T724" s="402"/>
      <c r="U724" s="402"/>
      <c r="V724" s="402"/>
      <c r="W724" s="402"/>
      <c r="X724" s="402"/>
      <c r="Y724" s="402"/>
      <c r="Z724" s="402"/>
    </row>
    <row r="725" ht="14.25" customHeight="1">
      <c r="A725" s="402"/>
      <c r="B725" s="402"/>
      <c r="C725" s="402"/>
      <c r="D725" s="402"/>
      <c r="E725" s="402"/>
      <c r="F725" s="403"/>
      <c r="G725" s="403"/>
      <c r="H725" s="402"/>
      <c r="I725" s="402"/>
      <c r="J725" s="402"/>
      <c r="K725" s="402"/>
      <c r="L725" s="402"/>
      <c r="M725" s="402"/>
      <c r="N725" s="402"/>
      <c r="O725" s="402"/>
      <c r="P725" s="402"/>
      <c r="Q725" s="402"/>
      <c r="R725" s="402"/>
      <c r="S725" s="402"/>
      <c r="T725" s="402"/>
      <c r="U725" s="402"/>
      <c r="V725" s="402"/>
      <c r="W725" s="402"/>
      <c r="X725" s="402"/>
      <c r="Y725" s="402"/>
      <c r="Z725" s="402"/>
    </row>
    <row r="726" ht="14.25" customHeight="1">
      <c r="A726" s="402"/>
      <c r="B726" s="402"/>
      <c r="C726" s="402"/>
      <c r="D726" s="402"/>
      <c r="E726" s="402"/>
      <c r="F726" s="403"/>
      <c r="G726" s="403"/>
      <c r="H726" s="402"/>
      <c r="I726" s="402"/>
      <c r="J726" s="402"/>
      <c r="K726" s="402"/>
      <c r="L726" s="402"/>
      <c r="M726" s="402"/>
      <c r="N726" s="402"/>
      <c r="O726" s="402"/>
      <c r="P726" s="402"/>
      <c r="Q726" s="402"/>
      <c r="R726" s="402"/>
      <c r="S726" s="402"/>
      <c r="T726" s="402"/>
      <c r="U726" s="402"/>
      <c r="V726" s="402"/>
      <c r="W726" s="402"/>
      <c r="X726" s="402"/>
      <c r="Y726" s="402"/>
      <c r="Z726" s="402"/>
    </row>
    <row r="727" ht="14.25" customHeight="1">
      <c r="A727" s="402"/>
      <c r="B727" s="402"/>
      <c r="C727" s="402"/>
      <c r="D727" s="402"/>
      <c r="E727" s="402"/>
      <c r="F727" s="403"/>
      <c r="G727" s="403"/>
      <c r="H727" s="402"/>
      <c r="I727" s="402"/>
      <c r="J727" s="402"/>
      <c r="K727" s="402"/>
      <c r="L727" s="402"/>
      <c r="M727" s="402"/>
      <c r="N727" s="402"/>
      <c r="O727" s="402"/>
      <c r="P727" s="402"/>
      <c r="Q727" s="402"/>
      <c r="R727" s="402"/>
      <c r="S727" s="402"/>
      <c r="T727" s="402"/>
      <c r="U727" s="402"/>
      <c r="V727" s="402"/>
      <c r="W727" s="402"/>
      <c r="X727" s="402"/>
      <c r="Y727" s="402"/>
      <c r="Z727" s="402"/>
    </row>
    <row r="728" ht="14.25" customHeight="1">
      <c r="A728" s="402"/>
      <c r="B728" s="402"/>
      <c r="C728" s="402"/>
      <c r="D728" s="402"/>
      <c r="E728" s="402"/>
      <c r="F728" s="403"/>
      <c r="G728" s="403"/>
      <c r="H728" s="402"/>
      <c r="I728" s="402"/>
      <c r="J728" s="402"/>
      <c r="K728" s="402"/>
      <c r="L728" s="402"/>
      <c r="M728" s="402"/>
      <c r="N728" s="402"/>
      <c r="O728" s="402"/>
      <c r="P728" s="402"/>
      <c r="Q728" s="402"/>
      <c r="R728" s="402"/>
      <c r="S728" s="402"/>
      <c r="T728" s="402"/>
      <c r="U728" s="402"/>
      <c r="V728" s="402"/>
      <c r="W728" s="402"/>
      <c r="X728" s="402"/>
      <c r="Y728" s="402"/>
      <c r="Z728" s="402"/>
    </row>
    <row r="729" ht="14.25" customHeight="1">
      <c r="A729" s="402"/>
      <c r="B729" s="402"/>
      <c r="C729" s="402"/>
      <c r="D729" s="402"/>
      <c r="E729" s="402"/>
      <c r="F729" s="403"/>
      <c r="G729" s="403"/>
      <c r="H729" s="402"/>
      <c r="I729" s="402"/>
      <c r="J729" s="402"/>
      <c r="K729" s="402"/>
      <c r="L729" s="402"/>
      <c r="M729" s="402"/>
      <c r="N729" s="402"/>
      <c r="O729" s="402"/>
      <c r="P729" s="402"/>
      <c r="Q729" s="402"/>
      <c r="R729" s="402"/>
      <c r="S729" s="402"/>
      <c r="T729" s="402"/>
      <c r="U729" s="402"/>
      <c r="V729" s="402"/>
      <c r="W729" s="402"/>
      <c r="X729" s="402"/>
      <c r="Y729" s="402"/>
      <c r="Z729" s="402"/>
    </row>
    <row r="730" ht="14.25" customHeight="1">
      <c r="A730" s="402"/>
      <c r="B730" s="402"/>
      <c r="C730" s="402"/>
      <c r="D730" s="402"/>
      <c r="E730" s="402"/>
      <c r="F730" s="403"/>
      <c r="G730" s="403"/>
      <c r="H730" s="402"/>
      <c r="I730" s="402"/>
      <c r="J730" s="402"/>
      <c r="K730" s="402"/>
      <c r="L730" s="402"/>
      <c r="M730" s="402"/>
      <c r="N730" s="402"/>
      <c r="O730" s="402"/>
      <c r="P730" s="402"/>
      <c r="Q730" s="402"/>
      <c r="R730" s="402"/>
      <c r="S730" s="402"/>
      <c r="T730" s="402"/>
      <c r="U730" s="402"/>
      <c r="V730" s="402"/>
      <c r="W730" s="402"/>
      <c r="X730" s="402"/>
      <c r="Y730" s="402"/>
      <c r="Z730" s="402"/>
    </row>
    <row r="731" ht="14.25" customHeight="1">
      <c r="A731" s="402"/>
      <c r="B731" s="402"/>
      <c r="C731" s="402"/>
      <c r="D731" s="402"/>
      <c r="E731" s="402"/>
      <c r="F731" s="403"/>
      <c r="G731" s="403"/>
      <c r="H731" s="402"/>
      <c r="I731" s="402"/>
      <c r="J731" s="402"/>
      <c r="K731" s="402"/>
      <c r="L731" s="402"/>
      <c r="M731" s="402"/>
      <c r="N731" s="402"/>
      <c r="O731" s="402"/>
      <c r="P731" s="402"/>
      <c r="Q731" s="402"/>
      <c r="R731" s="402"/>
      <c r="S731" s="402"/>
      <c r="T731" s="402"/>
      <c r="U731" s="402"/>
      <c r="V731" s="402"/>
      <c r="W731" s="402"/>
      <c r="X731" s="402"/>
      <c r="Y731" s="402"/>
      <c r="Z731" s="402"/>
    </row>
    <row r="732" ht="14.25" customHeight="1">
      <c r="A732" s="402"/>
      <c r="B732" s="402"/>
      <c r="C732" s="402"/>
      <c r="D732" s="402"/>
      <c r="E732" s="402"/>
      <c r="F732" s="403"/>
      <c r="G732" s="403"/>
      <c r="H732" s="402"/>
      <c r="I732" s="402"/>
      <c r="J732" s="402"/>
      <c r="K732" s="402"/>
      <c r="L732" s="402"/>
      <c r="M732" s="402"/>
      <c r="N732" s="402"/>
      <c r="O732" s="402"/>
      <c r="P732" s="402"/>
      <c r="Q732" s="402"/>
      <c r="R732" s="402"/>
      <c r="S732" s="402"/>
      <c r="T732" s="402"/>
      <c r="U732" s="402"/>
      <c r="V732" s="402"/>
      <c r="W732" s="402"/>
      <c r="X732" s="402"/>
      <c r="Y732" s="402"/>
      <c r="Z732" s="402"/>
    </row>
    <row r="733" ht="14.25" customHeight="1">
      <c r="A733" s="402"/>
      <c r="B733" s="402"/>
      <c r="C733" s="402"/>
      <c r="D733" s="402"/>
      <c r="E733" s="402"/>
      <c r="F733" s="403"/>
      <c r="G733" s="403"/>
      <c r="H733" s="402"/>
      <c r="I733" s="402"/>
      <c r="J733" s="402"/>
      <c r="K733" s="402"/>
      <c r="L733" s="402"/>
      <c r="M733" s="402"/>
      <c r="N733" s="402"/>
      <c r="O733" s="402"/>
      <c r="P733" s="402"/>
      <c r="Q733" s="402"/>
      <c r="R733" s="402"/>
      <c r="S733" s="402"/>
      <c r="T733" s="402"/>
      <c r="U733" s="402"/>
      <c r="V733" s="402"/>
      <c r="W733" s="402"/>
      <c r="X733" s="402"/>
      <c r="Y733" s="402"/>
      <c r="Z733" s="402"/>
    </row>
    <row r="734" ht="14.25" customHeight="1">
      <c r="A734" s="402"/>
      <c r="B734" s="402"/>
      <c r="C734" s="402"/>
      <c r="D734" s="402"/>
      <c r="E734" s="402"/>
      <c r="F734" s="403"/>
      <c r="G734" s="403"/>
      <c r="H734" s="402"/>
      <c r="I734" s="402"/>
      <c r="J734" s="402"/>
      <c r="K734" s="402"/>
      <c r="L734" s="402"/>
      <c r="M734" s="402"/>
      <c r="N734" s="402"/>
      <c r="O734" s="402"/>
      <c r="P734" s="402"/>
      <c r="Q734" s="402"/>
      <c r="R734" s="402"/>
      <c r="S734" s="402"/>
      <c r="T734" s="402"/>
      <c r="U734" s="402"/>
      <c r="V734" s="402"/>
      <c r="W734" s="402"/>
      <c r="X734" s="402"/>
      <c r="Y734" s="402"/>
      <c r="Z734" s="402"/>
    </row>
    <row r="735" ht="14.25" customHeight="1">
      <c r="A735" s="402"/>
      <c r="B735" s="402"/>
      <c r="C735" s="402"/>
      <c r="D735" s="402"/>
      <c r="E735" s="402"/>
      <c r="F735" s="403"/>
      <c r="G735" s="403"/>
      <c r="H735" s="402"/>
      <c r="I735" s="402"/>
      <c r="J735" s="402"/>
      <c r="K735" s="402"/>
      <c r="L735" s="402"/>
      <c r="M735" s="402"/>
      <c r="N735" s="402"/>
      <c r="O735" s="402"/>
      <c r="P735" s="402"/>
      <c r="Q735" s="402"/>
      <c r="R735" s="402"/>
      <c r="S735" s="402"/>
      <c r="T735" s="402"/>
      <c r="U735" s="402"/>
      <c r="V735" s="402"/>
      <c r="W735" s="402"/>
      <c r="X735" s="402"/>
      <c r="Y735" s="402"/>
      <c r="Z735" s="402"/>
    </row>
    <row r="736" ht="14.25" customHeight="1">
      <c r="A736" s="402"/>
      <c r="B736" s="402"/>
      <c r="C736" s="402"/>
      <c r="D736" s="402"/>
      <c r="E736" s="402"/>
      <c r="F736" s="403"/>
      <c r="G736" s="403"/>
      <c r="H736" s="402"/>
      <c r="I736" s="402"/>
      <c r="J736" s="402"/>
      <c r="K736" s="402"/>
      <c r="L736" s="402"/>
      <c r="M736" s="402"/>
      <c r="N736" s="402"/>
      <c r="O736" s="402"/>
      <c r="P736" s="402"/>
      <c r="Q736" s="402"/>
      <c r="R736" s="402"/>
      <c r="S736" s="402"/>
      <c r="T736" s="402"/>
      <c r="U736" s="402"/>
      <c r="V736" s="402"/>
      <c r="W736" s="402"/>
      <c r="X736" s="402"/>
      <c r="Y736" s="402"/>
      <c r="Z736" s="402"/>
    </row>
    <row r="737" ht="14.25" customHeight="1">
      <c r="A737" s="402"/>
      <c r="B737" s="402"/>
      <c r="C737" s="402"/>
      <c r="D737" s="402"/>
      <c r="E737" s="402"/>
      <c r="F737" s="403"/>
      <c r="G737" s="403"/>
      <c r="H737" s="402"/>
      <c r="I737" s="402"/>
      <c r="J737" s="402"/>
      <c r="K737" s="402"/>
      <c r="L737" s="402"/>
      <c r="M737" s="402"/>
      <c r="N737" s="402"/>
      <c r="O737" s="402"/>
      <c r="P737" s="402"/>
      <c r="Q737" s="402"/>
      <c r="R737" s="402"/>
      <c r="S737" s="402"/>
      <c r="T737" s="402"/>
      <c r="U737" s="402"/>
      <c r="V737" s="402"/>
      <c r="W737" s="402"/>
      <c r="X737" s="402"/>
      <c r="Y737" s="402"/>
      <c r="Z737" s="402"/>
    </row>
    <row r="738" ht="14.25" customHeight="1">
      <c r="A738" s="402"/>
      <c r="B738" s="402"/>
      <c r="C738" s="402"/>
      <c r="D738" s="402"/>
      <c r="E738" s="402"/>
      <c r="F738" s="403"/>
      <c r="G738" s="403"/>
      <c r="H738" s="402"/>
      <c r="I738" s="402"/>
      <c r="J738" s="402"/>
      <c r="K738" s="402"/>
      <c r="L738" s="402"/>
      <c r="M738" s="402"/>
      <c r="N738" s="402"/>
      <c r="O738" s="402"/>
      <c r="P738" s="402"/>
      <c r="Q738" s="402"/>
      <c r="R738" s="402"/>
      <c r="S738" s="402"/>
      <c r="T738" s="402"/>
      <c r="U738" s="402"/>
      <c r="V738" s="402"/>
      <c r="W738" s="402"/>
      <c r="X738" s="402"/>
      <c r="Y738" s="402"/>
      <c r="Z738" s="402"/>
    </row>
    <row r="739" ht="14.25" customHeight="1">
      <c r="A739" s="402"/>
      <c r="B739" s="402"/>
      <c r="C739" s="402"/>
      <c r="D739" s="402"/>
      <c r="E739" s="402"/>
      <c r="F739" s="403"/>
      <c r="G739" s="403"/>
      <c r="H739" s="402"/>
      <c r="I739" s="402"/>
      <c r="J739" s="402"/>
      <c r="K739" s="402"/>
      <c r="L739" s="402"/>
      <c r="M739" s="402"/>
      <c r="N739" s="402"/>
      <c r="O739" s="402"/>
      <c r="P739" s="402"/>
      <c r="Q739" s="402"/>
      <c r="R739" s="402"/>
      <c r="S739" s="402"/>
      <c r="T739" s="402"/>
      <c r="U739" s="402"/>
      <c r="V739" s="402"/>
      <c r="W739" s="402"/>
      <c r="X739" s="402"/>
      <c r="Y739" s="402"/>
      <c r="Z739" s="402"/>
    </row>
    <row r="740" ht="14.25" customHeight="1">
      <c r="A740" s="402"/>
      <c r="B740" s="402"/>
      <c r="C740" s="402"/>
      <c r="D740" s="402"/>
      <c r="E740" s="402"/>
      <c r="F740" s="403"/>
      <c r="G740" s="403"/>
      <c r="H740" s="402"/>
      <c r="I740" s="402"/>
      <c r="J740" s="402"/>
      <c r="K740" s="402"/>
      <c r="L740" s="402"/>
      <c r="M740" s="402"/>
      <c r="N740" s="402"/>
      <c r="O740" s="402"/>
      <c r="P740" s="402"/>
      <c r="Q740" s="402"/>
      <c r="R740" s="402"/>
      <c r="S740" s="402"/>
      <c r="T740" s="402"/>
      <c r="U740" s="402"/>
      <c r="V740" s="402"/>
      <c r="W740" s="402"/>
      <c r="X740" s="402"/>
      <c r="Y740" s="402"/>
      <c r="Z740" s="402"/>
    </row>
    <row r="741" ht="14.25" customHeight="1">
      <c r="A741" s="402"/>
      <c r="B741" s="402"/>
      <c r="C741" s="402"/>
      <c r="D741" s="402"/>
      <c r="E741" s="402"/>
      <c r="F741" s="403"/>
      <c r="G741" s="403"/>
      <c r="H741" s="402"/>
      <c r="I741" s="402"/>
      <c r="J741" s="402"/>
      <c r="K741" s="402"/>
      <c r="L741" s="402"/>
      <c r="M741" s="402"/>
      <c r="N741" s="402"/>
      <c r="O741" s="402"/>
      <c r="P741" s="402"/>
      <c r="Q741" s="402"/>
      <c r="R741" s="402"/>
      <c r="S741" s="402"/>
      <c r="T741" s="402"/>
      <c r="U741" s="402"/>
      <c r="V741" s="402"/>
      <c r="W741" s="402"/>
      <c r="X741" s="402"/>
      <c r="Y741" s="402"/>
      <c r="Z741" s="402"/>
    </row>
    <row r="742" ht="14.25" customHeight="1">
      <c r="A742" s="402"/>
      <c r="B742" s="402"/>
      <c r="C742" s="402"/>
      <c r="D742" s="402"/>
      <c r="E742" s="402"/>
      <c r="F742" s="403"/>
      <c r="G742" s="403"/>
      <c r="H742" s="402"/>
      <c r="I742" s="402"/>
      <c r="J742" s="402"/>
      <c r="K742" s="402"/>
      <c r="L742" s="402"/>
      <c r="M742" s="402"/>
      <c r="N742" s="402"/>
      <c r="O742" s="402"/>
      <c r="P742" s="402"/>
      <c r="Q742" s="402"/>
      <c r="R742" s="402"/>
      <c r="S742" s="402"/>
      <c r="T742" s="402"/>
      <c r="U742" s="402"/>
      <c r="V742" s="402"/>
      <c r="W742" s="402"/>
      <c r="X742" s="402"/>
      <c r="Y742" s="402"/>
      <c r="Z742" s="402"/>
    </row>
    <row r="743" ht="14.25" customHeight="1">
      <c r="A743" s="402"/>
      <c r="B743" s="402"/>
      <c r="C743" s="402"/>
      <c r="D743" s="402"/>
      <c r="E743" s="402"/>
      <c r="F743" s="403"/>
      <c r="G743" s="403"/>
      <c r="H743" s="402"/>
      <c r="I743" s="402"/>
      <c r="J743" s="402"/>
      <c r="K743" s="402"/>
      <c r="L743" s="402"/>
      <c r="M743" s="402"/>
      <c r="N743" s="402"/>
      <c r="O743" s="402"/>
      <c r="P743" s="402"/>
      <c r="Q743" s="402"/>
      <c r="R743" s="402"/>
      <c r="S743" s="402"/>
      <c r="T743" s="402"/>
      <c r="U743" s="402"/>
      <c r="V743" s="402"/>
      <c r="W743" s="402"/>
      <c r="X743" s="402"/>
      <c r="Y743" s="402"/>
      <c r="Z743" s="402"/>
    </row>
    <row r="744" ht="14.25" customHeight="1">
      <c r="A744" s="402"/>
      <c r="B744" s="402"/>
      <c r="C744" s="402"/>
      <c r="D744" s="402"/>
      <c r="E744" s="402"/>
      <c r="F744" s="403"/>
      <c r="G744" s="403"/>
      <c r="H744" s="402"/>
      <c r="I744" s="402"/>
      <c r="J744" s="402"/>
      <c r="K744" s="402"/>
      <c r="L744" s="402"/>
      <c r="M744" s="402"/>
      <c r="N744" s="402"/>
      <c r="O744" s="402"/>
      <c r="P744" s="402"/>
      <c r="Q744" s="402"/>
      <c r="R744" s="402"/>
      <c r="S744" s="402"/>
      <c r="T744" s="402"/>
      <c r="U744" s="402"/>
      <c r="V744" s="402"/>
      <c r="W744" s="402"/>
      <c r="X744" s="402"/>
      <c r="Y744" s="402"/>
      <c r="Z744" s="402"/>
    </row>
    <row r="745" ht="14.25" customHeight="1">
      <c r="A745" s="402"/>
      <c r="B745" s="402"/>
      <c r="C745" s="402"/>
      <c r="D745" s="402"/>
      <c r="E745" s="402"/>
      <c r="F745" s="403"/>
      <c r="G745" s="403"/>
      <c r="H745" s="402"/>
      <c r="I745" s="402"/>
      <c r="J745" s="402"/>
      <c r="K745" s="402"/>
      <c r="L745" s="402"/>
      <c r="M745" s="402"/>
      <c r="N745" s="402"/>
      <c r="O745" s="402"/>
      <c r="P745" s="402"/>
      <c r="Q745" s="402"/>
      <c r="R745" s="402"/>
      <c r="S745" s="402"/>
      <c r="T745" s="402"/>
      <c r="U745" s="402"/>
      <c r="V745" s="402"/>
      <c r="W745" s="402"/>
      <c r="X745" s="402"/>
      <c r="Y745" s="402"/>
      <c r="Z745" s="402"/>
    </row>
    <row r="746" ht="14.25" customHeight="1">
      <c r="A746" s="402"/>
      <c r="B746" s="402"/>
      <c r="C746" s="402"/>
      <c r="D746" s="402"/>
      <c r="E746" s="402"/>
      <c r="F746" s="403"/>
      <c r="G746" s="403"/>
      <c r="H746" s="402"/>
      <c r="I746" s="402"/>
      <c r="J746" s="402"/>
      <c r="K746" s="402"/>
      <c r="L746" s="402"/>
      <c r="M746" s="402"/>
      <c r="N746" s="402"/>
      <c r="O746" s="402"/>
      <c r="P746" s="402"/>
      <c r="Q746" s="402"/>
      <c r="R746" s="402"/>
      <c r="S746" s="402"/>
      <c r="T746" s="402"/>
      <c r="U746" s="402"/>
      <c r="V746" s="402"/>
      <c r="W746" s="402"/>
      <c r="X746" s="402"/>
      <c r="Y746" s="402"/>
      <c r="Z746" s="402"/>
    </row>
    <row r="747" ht="14.25" customHeight="1">
      <c r="A747" s="402"/>
      <c r="B747" s="402"/>
      <c r="C747" s="402"/>
      <c r="D747" s="402"/>
      <c r="E747" s="402"/>
      <c r="F747" s="403"/>
      <c r="G747" s="403"/>
      <c r="H747" s="402"/>
      <c r="I747" s="402"/>
      <c r="J747" s="402"/>
      <c r="K747" s="402"/>
      <c r="L747" s="402"/>
      <c r="M747" s="402"/>
      <c r="N747" s="402"/>
      <c r="O747" s="402"/>
      <c r="P747" s="402"/>
      <c r="Q747" s="402"/>
      <c r="R747" s="402"/>
      <c r="S747" s="402"/>
      <c r="T747" s="402"/>
      <c r="U747" s="402"/>
      <c r="V747" s="402"/>
      <c r="W747" s="402"/>
      <c r="X747" s="402"/>
      <c r="Y747" s="402"/>
      <c r="Z747" s="402"/>
    </row>
    <row r="748" ht="14.25" customHeight="1">
      <c r="A748" s="402"/>
      <c r="B748" s="402"/>
      <c r="C748" s="402"/>
      <c r="D748" s="402"/>
      <c r="E748" s="402"/>
      <c r="F748" s="403"/>
      <c r="G748" s="403"/>
      <c r="H748" s="402"/>
      <c r="I748" s="402"/>
      <c r="J748" s="402"/>
      <c r="K748" s="402"/>
      <c r="L748" s="402"/>
      <c r="M748" s="402"/>
      <c r="N748" s="402"/>
      <c r="O748" s="402"/>
      <c r="P748" s="402"/>
      <c r="Q748" s="402"/>
      <c r="R748" s="402"/>
      <c r="S748" s="402"/>
      <c r="T748" s="402"/>
      <c r="U748" s="402"/>
      <c r="V748" s="402"/>
      <c r="W748" s="402"/>
      <c r="X748" s="402"/>
      <c r="Y748" s="402"/>
      <c r="Z748" s="402"/>
    </row>
    <row r="749" ht="14.25" customHeight="1">
      <c r="A749" s="402"/>
      <c r="B749" s="402"/>
      <c r="C749" s="402"/>
      <c r="D749" s="402"/>
      <c r="E749" s="402"/>
      <c r="F749" s="403"/>
      <c r="G749" s="403"/>
      <c r="H749" s="402"/>
      <c r="I749" s="402"/>
      <c r="J749" s="402"/>
      <c r="K749" s="402"/>
      <c r="L749" s="402"/>
      <c r="M749" s="402"/>
      <c r="N749" s="402"/>
      <c r="O749" s="402"/>
      <c r="P749" s="402"/>
      <c r="Q749" s="402"/>
      <c r="R749" s="402"/>
      <c r="S749" s="402"/>
      <c r="T749" s="402"/>
      <c r="U749" s="402"/>
      <c r="V749" s="402"/>
      <c r="W749" s="402"/>
      <c r="X749" s="402"/>
      <c r="Y749" s="402"/>
      <c r="Z749" s="402"/>
    </row>
    <row r="750" ht="14.25" customHeight="1">
      <c r="A750" s="402"/>
      <c r="B750" s="402"/>
      <c r="C750" s="402"/>
      <c r="D750" s="402"/>
      <c r="E750" s="402"/>
      <c r="F750" s="403"/>
      <c r="G750" s="403"/>
      <c r="H750" s="402"/>
      <c r="I750" s="402"/>
      <c r="J750" s="402"/>
      <c r="K750" s="402"/>
      <c r="L750" s="402"/>
      <c r="M750" s="402"/>
      <c r="N750" s="402"/>
      <c r="O750" s="402"/>
      <c r="P750" s="402"/>
      <c r="Q750" s="402"/>
      <c r="R750" s="402"/>
      <c r="S750" s="402"/>
      <c r="T750" s="402"/>
      <c r="U750" s="402"/>
      <c r="V750" s="402"/>
      <c r="W750" s="402"/>
      <c r="X750" s="402"/>
      <c r="Y750" s="402"/>
      <c r="Z750" s="402"/>
    </row>
    <row r="751" ht="14.25" customHeight="1">
      <c r="A751" s="402"/>
      <c r="B751" s="402"/>
      <c r="C751" s="402"/>
      <c r="D751" s="402"/>
      <c r="E751" s="402"/>
      <c r="F751" s="403"/>
      <c r="G751" s="403"/>
      <c r="H751" s="402"/>
      <c r="I751" s="402"/>
      <c r="J751" s="402"/>
      <c r="K751" s="402"/>
      <c r="L751" s="402"/>
      <c r="M751" s="402"/>
      <c r="N751" s="402"/>
      <c r="O751" s="402"/>
      <c r="P751" s="402"/>
      <c r="Q751" s="402"/>
      <c r="R751" s="402"/>
      <c r="S751" s="402"/>
      <c r="T751" s="402"/>
      <c r="U751" s="402"/>
      <c r="V751" s="402"/>
      <c r="W751" s="402"/>
      <c r="X751" s="402"/>
      <c r="Y751" s="402"/>
      <c r="Z751" s="402"/>
    </row>
    <row r="752" ht="14.25" customHeight="1">
      <c r="A752" s="402"/>
      <c r="B752" s="402"/>
      <c r="C752" s="402"/>
      <c r="D752" s="402"/>
      <c r="E752" s="402"/>
      <c r="F752" s="403"/>
      <c r="G752" s="403"/>
      <c r="H752" s="402"/>
      <c r="I752" s="402"/>
      <c r="J752" s="402"/>
      <c r="K752" s="402"/>
      <c r="L752" s="402"/>
      <c r="M752" s="402"/>
      <c r="N752" s="402"/>
      <c r="O752" s="402"/>
      <c r="P752" s="402"/>
      <c r="Q752" s="402"/>
      <c r="R752" s="402"/>
      <c r="S752" s="402"/>
      <c r="T752" s="402"/>
      <c r="U752" s="402"/>
      <c r="V752" s="402"/>
      <c r="W752" s="402"/>
      <c r="X752" s="402"/>
      <c r="Y752" s="402"/>
      <c r="Z752" s="402"/>
    </row>
    <row r="753" ht="14.25" customHeight="1">
      <c r="A753" s="402"/>
      <c r="B753" s="402"/>
      <c r="C753" s="402"/>
      <c r="D753" s="402"/>
      <c r="E753" s="402"/>
      <c r="F753" s="403"/>
      <c r="G753" s="403"/>
      <c r="H753" s="402"/>
      <c r="I753" s="402"/>
      <c r="J753" s="402"/>
      <c r="K753" s="402"/>
      <c r="L753" s="402"/>
      <c r="M753" s="402"/>
      <c r="N753" s="402"/>
      <c r="O753" s="402"/>
      <c r="P753" s="402"/>
      <c r="Q753" s="402"/>
      <c r="R753" s="402"/>
      <c r="S753" s="402"/>
      <c r="T753" s="402"/>
      <c r="U753" s="402"/>
      <c r="V753" s="402"/>
      <c r="W753" s="402"/>
      <c r="X753" s="402"/>
      <c r="Y753" s="402"/>
      <c r="Z753" s="402"/>
    </row>
    <row r="754" ht="14.25" customHeight="1">
      <c r="A754" s="402"/>
      <c r="B754" s="402"/>
      <c r="C754" s="402"/>
      <c r="D754" s="402"/>
      <c r="E754" s="402"/>
      <c r="F754" s="403"/>
      <c r="G754" s="403"/>
      <c r="H754" s="402"/>
      <c r="I754" s="402"/>
      <c r="J754" s="402"/>
      <c r="K754" s="402"/>
      <c r="L754" s="402"/>
      <c r="M754" s="402"/>
      <c r="N754" s="402"/>
      <c r="O754" s="402"/>
      <c r="P754" s="402"/>
      <c r="Q754" s="402"/>
      <c r="R754" s="402"/>
      <c r="S754" s="402"/>
      <c r="T754" s="402"/>
      <c r="U754" s="402"/>
      <c r="V754" s="402"/>
      <c r="W754" s="402"/>
      <c r="X754" s="402"/>
      <c r="Y754" s="402"/>
      <c r="Z754" s="402"/>
    </row>
    <row r="755" ht="14.25" customHeight="1">
      <c r="A755" s="402"/>
      <c r="B755" s="402"/>
      <c r="C755" s="402"/>
      <c r="D755" s="402"/>
      <c r="E755" s="402"/>
      <c r="F755" s="403"/>
      <c r="G755" s="403"/>
      <c r="H755" s="402"/>
      <c r="I755" s="402"/>
      <c r="J755" s="402"/>
      <c r="K755" s="402"/>
      <c r="L755" s="402"/>
      <c r="M755" s="402"/>
      <c r="N755" s="402"/>
      <c r="O755" s="402"/>
      <c r="P755" s="402"/>
      <c r="Q755" s="402"/>
      <c r="R755" s="402"/>
      <c r="S755" s="402"/>
      <c r="T755" s="402"/>
      <c r="U755" s="402"/>
      <c r="V755" s="402"/>
      <c r="W755" s="402"/>
      <c r="X755" s="402"/>
      <c r="Y755" s="402"/>
      <c r="Z755" s="402"/>
    </row>
    <row r="756" ht="14.25" customHeight="1">
      <c r="A756" s="402"/>
      <c r="B756" s="402"/>
      <c r="C756" s="402"/>
      <c r="D756" s="402"/>
      <c r="E756" s="402"/>
      <c r="F756" s="403"/>
      <c r="G756" s="403"/>
      <c r="H756" s="402"/>
      <c r="I756" s="402"/>
      <c r="J756" s="402"/>
      <c r="K756" s="402"/>
      <c r="L756" s="402"/>
      <c r="M756" s="402"/>
      <c r="N756" s="402"/>
      <c r="O756" s="402"/>
      <c r="P756" s="402"/>
      <c r="Q756" s="402"/>
      <c r="R756" s="402"/>
      <c r="S756" s="402"/>
      <c r="T756" s="402"/>
      <c r="U756" s="402"/>
      <c r="V756" s="402"/>
      <c r="W756" s="402"/>
      <c r="X756" s="402"/>
      <c r="Y756" s="402"/>
      <c r="Z756" s="402"/>
    </row>
    <row r="757" ht="14.25" customHeight="1">
      <c r="A757" s="402"/>
      <c r="B757" s="402"/>
      <c r="C757" s="402"/>
      <c r="D757" s="402"/>
      <c r="E757" s="402"/>
      <c r="F757" s="403"/>
      <c r="G757" s="403"/>
      <c r="H757" s="402"/>
      <c r="I757" s="402"/>
      <c r="J757" s="402"/>
      <c r="K757" s="402"/>
      <c r="L757" s="402"/>
      <c r="M757" s="402"/>
      <c r="N757" s="402"/>
      <c r="O757" s="402"/>
      <c r="P757" s="402"/>
      <c r="Q757" s="402"/>
      <c r="R757" s="402"/>
      <c r="S757" s="402"/>
      <c r="T757" s="402"/>
      <c r="U757" s="402"/>
      <c r="V757" s="402"/>
      <c r="W757" s="402"/>
      <c r="X757" s="402"/>
      <c r="Y757" s="402"/>
      <c r="Z757" s="402"/>
    </row>
    <row r="758" ht="14.25" customHeight="1">
      <c r="A758" s="402"/>
      <c r="B758" s="402"/>
      <c r="C758" s="402"/>
      <c r="D758" s="402"/>
      <c r="E758" s="402"/>
      <c r="F758" s="403"/>
      <c r="G758" s="403"/>
      <c r="H758" s="402"/>
      <c r="I758" s="402"/>
      <c r="J758" s="402"/>
      <c r="K758" s="402"/>
      <c r="L758" s="402"/>
      <c r="M758" s="402"/>
      <c r="N758" s="402"/>
      <c r="O758" s="402"/>
      <c r="P758" s="402"/>
      <c r="Q758" s="402"/>
      <c r="R758" s="402"/>
      <c r="S758" s="402"/>
      <c r="T758" s="402"/>
      <c r="U758" s="402"/>
      <c r="V758" s="402"/>
      <c r="W758" s="402"/>
      <c r="X758" s="402"/>
      <c r="Y758" s="402"/>
      <c r="Z758" s="402"/>
    </row>
    <row r="759" ht="14.25" customHeight="1">
      <c r="A759" s="402"/>
      <c r="B759" s="402"/>
      <c r="C759" s="402"/>
      <c r="D759" s="402"/>
      <c r="E759" s="402"/>
      <c r="F759" s="403"/>
      <c r="G759" s="403"/>
      <c r="H759" s="402"/>
      <c r="I759" s="402"/>
      <c r="J759" s="402"/>
      <c r="K759" s="402"/>
      <c r="L759" s="402"/>
      <c r="M759" s="402"/>
      <c r="N759" s="402"/>
      <c r="O759" s="402"/>
      <c r="P759" s="402"/>
      <c r="Q759" s="402"/>
      <c r="R759" s="402"/>
      <c r="S759" s="402"/>
      <c r="T759" s="402"/>
      <c r="U759" s="402"/>
      <c r="V759" s="402"/>
      <c r="W759" s="402"/>
      <c r="X759" s="402"/>
      <c r="Y759" s="402"/>
      <c r="Z759" s="402"/>
    </row>
    <row r="760" ht="14.25" customHeight="1">
      <c r="A760" s="402"/>
      <c r="B760" s="402"/>
      <c r="C760" s="402"/>
      <c r="D760" s="402"/>
      <c r="E760" s="402"/>
      <c r="F760" s="403"/>
      <c r="G760" s="403"/>
      <c r="H760" s="402"/>
      <c r="I760" s="402"/>
      <c r="J760" s="402"/>
      <c r="K760" s="402"/>
      <c r="L760" s="402"/>
      <c r="M760" s="402"/>
      <c r="N760" s="402"/>
      <c r="O760" s="402"/>
      <c r="P760" s="402"/>
      <c r="Q760" s="402"/>
      <c r="R760" s="402"/>
      <c r="S760" s="402"/>
      <c r="T760" s="402"/>
      <c r="U760" s="402"/>
      <c r="V760" s="402"/>
      <c r="W760" s="402"/>
      <c r="X760" s="402"/>
      <c r="Y760" s="402"/>
      <c r="Z760" s="402"/>
    </row>
    <row r="761" ht="14.25" customHeight="1">
      <c r="A761" s="402"/>
      <c r="B761" s="402"/>
      <c r="C761" s="402"/>
      <c r="D761" s="402"/>
      <c r="E761" s="402"/>
      <c r="F761" s="403"/>
      <c r="G761" s="403"/>
      <c r="H761" s="402"/>
      <c r="I761" s="402"/>
      <c r="J761" s="402"/>
      <c r="K761" s="402"/>
      <c r="L761" s="402"/>
      <c r="M761" s="402"/>
      <c r="N761" s="402"/>
      <c r="O761" s="402"/>
      <c r="P761" s="402"/>
      <c r="Q761" s="402"/>
      <c r="R761" s="402"/>
      <c r="S761" s="402"/>
      <c r="T761" s="402"/>
      <c r="U761" s="402"/>
      <c r="V761" s="402"/>
      <c r="W761" s="402"/>
      <c r="X761" s="402"/>
      <c r="Y761" s="402"/>
      <c r="Z761" s="402"/>
    </row>
    <row r="762" ht="14.25" customHeight="1">
      <c r="A762" s="402"/>
      <c r="B762" s="402"/>
      <c r="C762" s="402"/>
      <c r="D762" s="402"/>
      <c r="E762" s="402"/>
      <c r="F762" s="403"/>
      <c r="G762" s="403"/>
      <c r="H762" s="402"/>
      <c r="I762" s="402"/>
      <c r="J762" s="402"/>
      <c r="K762" s="402"/>
      <c r="L762" s="402"/>
      <c r="M762" s="402"/>
      <c r="N762" s="402"/>
      <c r="O762" s="402"/>
      <c r="P762" s="402"/>
      <c r="Q762" s="402"/>
      <c r="R762" s="402"/>
      <c r="S762" s="402"/>
      <c r="T762" s="402"/>
      <c r="U762" s="402"/>
      <c r="V762" s="402"/>
      <c r="W762" s="402"/>
      <c r="X762" s="402"/>
      <c r="Y762" s="402"/>
      <c r="Z762" s="402"/>
    </row>
    <row r="763" ht="14.25" customHeight="1">
      <c r="A763" s="402"/>
      <c r="B763" s="402"/>
      <c r="C763" s="402"/>
      <c r="D763" s="402"/>
      <c r="E763" s="402"/>
      <c r="F763" s="403"/>
      <c r="G763" s="403"/>
      <c r="H763" s="402"/>
      <c r="I763" s="402"/>
      <c r="J763" s="402"/>
      <c r="K763" s="402"/>
      <c r="L763" s="402"/>
      <c r="M763" s="402"/>
      <c r="N763" s="402"/>
      <c r="O763" s="402"/>
      <c r="P763" s="402"/>
      <c r="Q763" s="402"/>
      <c r="R763" s="402"/>
      <c r="S763" s="402"/>
      <c r="T763" s="402"/>
      <c r="U763" s="402"/>
      <c r="V763" s="402"/>
      <c r="W763" s="402"/>
      <c r="X763" s="402"/>
      <c r="Y763" s="402"/>
      <c r="Z763" s="402"/>
    </row>
    <row r="764" ht="14.25" customHeight="1">
      <c r="A764" s="402"/>
      <c r="B764" s="402"/>
      <c r="C764" s="402"/>
      <c r="D764" s="402"/>
      <c r="E764" s="402"/>
      <c r="F764" s="403"/>
      <c r="G764" s="403"/>
      <c r="H764" s="402"/>
      <c r="I764" s="402"/>
      <c r="J764" s="402"/>
      <c r="K764" s="402"/>
      <c r="L764" s="402"/>
      <c r="M764" s="402"/>
      <c r="N764" s="402"/>
      <c r="O764" s="402"/>
      <c r="P764" s="402"/>
      <c r="Q764" s="402"/>
      <c r="R764" s="402"/>
      <c r="S764" s="402"/>
      <c r="T764" s="402"/>
      <c r="U764" s="402"/>
      <c r="V764" s="402"/>
      <c r="W764" s="402"/>
      <c r="X764" s="402"/>
      <c r="Y764" s="402"/>
      <c r="Z764" s="402"/>
    </row>
    <row r="765" ht="14.25" customHeight="1">
      <c r="A765" s="402"/>
      <c r="B765" s="402"/>
      <c r="C765" s="402"/>
      <c r="D765" s="402"/>
      <c r="E765" s="402"/>
      <c r="F765" s="403"/>
      <c r="G765" s="403"/>
      <c r="H765" s="402"/>
      <c r="I765" s="402"/>
      <c r="J765" s="402"/>
      <c r="K765" s="402"/>
      <c r="L765" s="402"/>
      <c r="M765" s="402"/>
      <c r="N765" s="402"/>
      <c r="O765" s="402"/>
      <c r="P765" s="402"/>
      <c r="Q765" s="402"/>
      <c r="R765" s="402"/>
      <c r="S765" s="402"/>
      <c r="T765" s="402"/>
      <c r="U765" s="402"/>
      <c r="V765" s="402"/>
      <c r="W765" s="402"/>
      <c r="X765" s="402"/>
      <c r="Y765" s="402"/>
      <c r="Z765" s="402"/>
    </row>
    <row r="766" ht="14.25" customHeight="1">
      <c r="A766" s="402"/>
      <c r="B766" s="402"/>
      <c r="C766" s="402"/>
      <c r="D766" s="402"/>
      <c r="E766" s="402"/>
      <c r="F766" s="403"/>
      <c r="G766" s="403"/>
      <c r="H766" s="402"/>
      <c r="I766" s="402"/>
      <c r="J766" s="402"/>
      <c r="K766" s="402"/>
      <c r="L766" s="402"/>
      <c r="M766" s="402"/>
      <c r="N766" s="402"/>
      <c r="O766" s="402"/>
      <c r="P766" s="402"/>
      <c r="Q766" s="402"/>
      <c r="R766" s="402"/>
      <c r="S766" s="402"/>
      <c r="T766" s="402"/>
      <c r="U766" s="402"/>
      <c r="V766" s="402"/>
      <c r="W766" s="402"/>
      <c r="X766" s="402"/>
      <c r="Y766" s="402"/>
      <c r="Z766" s="402"/>
    </row>
    <row r="767" ht="14.25" customHeight="1">
      <c r="A767" s="402"/>
      <c r="B767" s="402"/>
      <c r="C767" s="402"/>
      <c r="D767" s="402"/>
      <c r="E767" s="402"/>
      <c r="F767" s="403"/>
      <c r="G767" s="403"/>
      <c r="H767" s="402"/>
      <c r="I767" s="402"/>
      <c r="J767" s="402"/>
      <c r="K767" s="402"/>
      <c r="L767" s="402"/>
      <c r="M767" s="402"/>
      <c r="N767" s="402"/>
      <c r="O767" s="402"/>
      <c r="P767" s="402"/>
      <c r="Q767" s="402"/>
      <c r="R767" s="402"/>
      <c r="S767" s="402"/>
      <c r="T767" s="402"/>
      <c r="U767" s="402"/>
      <c r="V767" s="402"/>
      <c r="W767" s="402"/>
      <c r="X767" s="402"/>
      <c r="Y767" s="402"/>
      <c r="Z767" s="402"/>
    </row>
    <row r="768" ht="14.25" customHeight="1">
      <c r="A768" s="402"/>
      <c r="B768" s="402"/>
      <c r="C768" s="402"/>
      <c r="D768" s="402"/>
      <c r="E768" s="402"/>
      <c r="F768" s="403"/>
      <c r="G768" s="403"/>
      <c r="H768" s="402"/>
      <c r="I768" s="402"/>
      <c r="J768" s="402"/>
      <c r="K768" s="402"/>
      <c r="L768" s="402"/>
      <c r="M768" s="402"/>
      <c r="N768" s="402"/>
      <c r="O768" s="402"/>
      <c r="P768" s="402"/>
      <c r="Q768" s="402"/>
      <c r="R768" s="402"/>
      <c r="S768" s="402"/>
      <c r="T768" s="402"/>
      <c r="U768" s="402"/>
      <c r="V768" s="402"/>
      <c r="W768" s="402"/>
      <c r="X768" s="402"/>
      <c r="Y768" s="402"/>
      <c r="Z768" s="402"/>
    </row>
    <row r="769" ht="14.25" customHeight="1">
      <c r="A769" s="402"/>
      <c r="B769" s="402"/>
      <c r="C769" s="402"/>
      <c r="D769" s="402"/>
      <c r="E769" s="402"/>
      <c r="F769" s="403"/>
      <c r="G769" s="403"/>
      <c r="H769" s="402"/>
      <c r="I769" s="402"/>
      <c r="J769" s="402"/>
      <c r="K769" s="402"/>
      <c r="L769" s="402"/>
      <c r="M769" s="402"/>
      <c r="N769" s="402"/>
      <c r="O769" s="402"/>
      <c r="P769" s="402"/>
      <c r="Q769" s="402"/>
      <c r="R769" s="402"/>
      <c r="S769" s="402"/>
      <c r="T769" s="402"/>
      <c r="U769" s="402"/>
      <c r="V769" s="402"/>
      <c r="W769" s="402"/>
      <c r="X769" s="402"/>
      <c r="Y769" s="402"/>
      <c r="Z769" s="402"/>
    </row>
    <row r="770" ht="14.25" customHeight="1">
      <c r="A770" s="402"/>
      <c r="B770" s="402"/>
      <c r="C770" s="402"/>
      <c r="D770" s="402"/>
      <c r="E770" s="402"/>
      <c r="F770" s="403"/>
      <c r="G770" s="403"/>
      <c r="H770" s="402"/>
      <c r="I770" s="402"/>
      <c r="J770" s="402"/>
      <c r="K770" s="402"/>
      <c r="L770" s="402"/>
      <c r="M770" s="402"/>
      <c r="N770" s="402"/>
      <c r="O770" s="402"/>
      <c r="P770" s="402"/>
      <c r="Q770" s="402"/>
      <c r="R770" s="402"/>
      <c r="S770" s="402"/>
      <c r="T770" s="402"/>
      <c r="U770" s="402"/>
      <c r="V770" s="402"/>
      <c r="W770" s="402"/>
      <c r="X770" s="402"/>
      <c r="Y770" s="402"/>
      <c r="Z770" s="402"/>
    </row>
    <row r="771" ht="14.25" customHeight="1">
      <c r="A771" s="402"/>
      <c r="B771" s="402"/>
      <c r="C771" s="402"/>
      <c r="D771" s="402"/>
      <c r="E771" s="402"/>
      <c r="F771" s="403"/>
      <c r="G771" s="403"/>
      <c r="H771" s="402"/>
      <c r="I771" s="402"/>
      <c r="J771" s="402"/>
      <c r="K771" s="402"/>
      <c r="L771" s="402"/>
      <c r="M771" s="402"/>
      <c r="N771" s="402"/>
      <c r="O771" s="402"/>
      <c r="P771" s="402"/>
      <c r="Q771" s="402"/>
      <c r="R771" s="402"/>
      <c r="S771" s="402"/>
      <c r="T771" s="402"/>
      <c r="U771" s="402"/>
      <c r="V771" s="402"/>
      <c r="W771" s="402"/>
      <c r="X771" s="402"/>
      <c r="Y771" s="402"/>
      <c r="Z771" s="402"/>
    </row>
    <row r="772" ht="14.25" customHeight="1">
      <c r="A772" s="402"/>
      <c r="B772" s="402"/>
      <c r="C772" s="402"/>
      <c r="D772" s="402"/>
      <c r="E772" s="402"/>
      <c r="F772" s="403"/>
      <c r="G772" s="403"/>
      <c r="H772" s="402"/>
      <c r="I772" s="402"/>
      <c r="J772" s="402"/>
      <c r="K772" s="402"/>
      <c r="L772" s="402"/>
      <c r="M772" s="402"/>
      <c r="N772" s="402"/>
      <c r="O772" s="402"/>
      <c r="P772" s="402"/>
      <c r="Q772" s="402"/>
      <c r="R772" s="402"/>
      <c r="S772" s="402"/>
      <c r="T772" s="402"/>
      <c r="U772" s="402"/>
      <c r="V772" s="402"/>
      <c r="W772" s="402"/>
      <c r="X772" s="402"/>
      <c r="Y772" s="402"/>
      <c r="Z772" s="402"/>
    </row>
    <row r="773" ht="14.25" customHeight="1">
      <c r="A773" s="402"/>
      <c r="B773" s="402"/>
      <c r="C773" s="402"/>
      <c r="D773" s="402"/>
      <c r="E773" s="402"/>
      <c r="F773" s="403"/>
      <c r="G773" s="403"/>
      <c r="H773" s="402"/>
      <c r="I773" s="402"/>
      <c r="J773" s="402"/>
      <c r="K773" s="402"/>
      <c r="L773" s="402"/>
      <c r="M773" s="402"/>
      <c r="N773" s="402"/>
      <c r="O773" s="402"/>
      <c r="P773" s="402"/>
      <c r="Q773" s="402"/>
      <c r="R773" s="402"/>
      <c r="S773" s="402"/>
      <c r="T773" s="402"/>
      <c r="U773" s="402"/>
      <c r="V773" s="402"/>
      <c r="W773" s="402"/>
      <c r="X773" s="402"/>
      <c r="Y773" s="402"/>
      <c r="Z773" s="402"/>
    </row>
    <row r="774" ht="14.25" customHeight="1">
      <c r="A774" s="402"/>
      <c r="B774" s="402"/>
      <c r="C774" s="402"/>
      <c r="D774" s="402"/>
      <c r="E774" s="402"/>
      <c r="F774" s="403"/>
      <c r="G774" s="403"/>
      <c r="H774" s="402"/>
      <c r="I774" s="402"/>
      <c r="J774" s="402"/>
      <c r="K774" s="402"/>
      <c r="L774" s="402"/>
      <c r="M774" s="402"/>
      <c r="N774" s="402"/>
      <c r="O774" s="402"/>
      <c r="P774" s="402"/>
      <c r="Q774" s="402"/>
      <c r="R774" s="402"/>
      <c r="S774" s="402"/>
      <c r="T774" s="402"/>
      <c r="U774" s="402"/>
      <c r="V774" s="402"/>
      <c r="W774" s="402"/>
      <c r="X774" s="402"/>
      <c r="Y774" s="402"/>
      <c r="Z774" s="402"/>
    </row>
    <row r="775" ht="14.25" customHeight="1">
      <c r="A775" s="402"/>
      <c r="B775" s="402"/>
      <c r="C775" s="402"/>
      <c r="D775" s="402"/>
      <c r="E775" s="402"/>
      <c r="F775" s="403"/>
      <c r="G775" s="403"/>
      <c r="H775" s="402"/>
      <c r="I775" s="402"/>
      <c r="J775" s="402"/>
      <c r="K775" s="402"/>
      <c r="L775" s="402"/>
      <c r="M775" s="402"/>
      <c r="N775" s="402"/>
      <c r="O775" s="402"/>
      <c r="P775" s="402"/>
      <c r="Q775" s="402"/>
      <c r="R775" s="402"/>
      <c r="S775" s="402"/>
      <c r="T775" s="402"/>
      <c r="U775" s="402"/>
      <c r="V775" s="402"/>
      <c r="W775" s="402"/>
      <c r="X775" s="402"/>
      <c r="Y775" s="402"/>
      <c r="Z775" s="402"/>
    </row>
    <row r="776" ht="14.25" customHeight="1">
      <c r="A776" s="402"/>
      <c r="B776" s="402"/>
      <c r="C776" s="402"/>
      <c r="D776" s="402"/>
      <c r="E776" s="402"/>
      <c r="F776" s="403"/>
      <c r="G776" s="403"/>
      <c r="H776" s="402"/>
      <c r="I776" s="402"/>
      <c r="J776" s="402"/>
      <c r="K776" s="402"/>
      <c r="L776" s="402"/>
      <c r="M776" s="402"/>
      <c r="N776" s="402"/>
      <c r="O776" s="402"/>
      <c r="P776" s="402"/>
      <c r="Q776" s="402"/>
      <c r="R776" s="402"/>
      <c r="S776" s="402"/>
      <c r="T776" s="402"/>
      <c r="U776" s="402"/>
      <c r="V776" s="402"/>
      <c r="W776" s="402"/>
      <c r="X776" s="402"/>
      <c r="Y776" s="402"/>
      <c r="Z776" s="402"/>
    </row>
    <row r="777" ht="14.25" customHeight="1">
      <c r="A777" s="402"/>
      <c r="B777" s="402"/>
      <c r="C777" s="402"/>
      <c r="D777" s="402"/>
      <c r="E777" s="402"/>
      <c r="F777" s="403"/>
      <c r="G777" s="403"/>
      <c r="H777" s="402"/>
      <c r="I777" s="402"/>
      <c r="J777" s="402"/>
      <c r="K777" s="402"/>
      <c r="L777" s="402"/>
      <c r="M777" s="402"/>
      <c r="N777" s="402"/>
      <c r="O777" s="402"/>
      <c r="P777" s="402"/>
      <c r="Q777" s="402"/>
      <c r="R777" s="402"/>
      <c r="S777" s="402"/>
      <c r="T777" s="402"/>
      <c r="U777" s="402"/>
      <c r="V777" s="402"/>
      <c r="W777" s="402"/>
      <c r="X777" s="402"/>
      <c r="Y777" s="402"/>
      <c r="Z777" s="402"/>
    </row>
    <row r="778" ht="14.25" customHeight="1">
      <c r="A778" s="402"/>
      <c r="B778" s="402"/>
      <c r="C778" s="402"/>
      <c r="D778" s="402"/>
      <c r="E778" s="402"/>
      <c r="F778" s="403"/>
      <c r="G778" s="403"/>
      <c r="H778" s="402"/>
      <c r="I778" s="402"/>
      <c r="J778" s="402"/>
      <c r="K778" s="402"/>
      <c r="L778" s="402"/>
      <c r="M778" s="402"/>
      <c r="N778" s="402"/>
      <c r="O778" s="402"/>
      <c r="P778" s="402"/>
      <c r="Q778" s="402"/>
      <c r="R778" s="402"/>
      <c r="S778" s="402"/>
      <c r="T778" s="402"/>
      <c r="U778" s="402"/>
      <c r="V778" s="402"/>
      <c r="W778" s="402"/>
      <c r="X778" s="402"/>
      <c r="Y778" s="402"/>
      <c r="Z778" s="402"/>
    </row>
    <row r="779" ht="14.25" customHeight="1">
      <c r="A779" s="402"/>
      <c r="B779" s="402"/>
      <c r="C779" s="402"/>
      <c r="D779" s="402"/>
      <c r="E779" s="402"/>
      <c r="F779" s="403"/>
      <c r="G779" s="403"/>
      <c r="H779" s="402"/>
      <c r="I779" s="402"/>
      <c r="J779" s="402"/>
      <c r="K779" s="402"/>
      <c r="L779" s="402"/>
      <c r="M779" s="402"/>
      <c r="N779" s="402"/>
      <c r="O779" s="402"/>
      <c r="P779" s="402"/>
      <c r="Q779" s="402"/>
      <c r="R779" s="402"/>
      <c r="S779" s="402"/>
      <c r="T779" s="402"/>
      <c r="U779" s="402"/>
      <c r="V779" s="402"/>
      <c r="W779" s="402"/>
      <c r="X779" s="402"/>
      <c r="Y779" s="402"/>
      <c r="Z779" s="402"/>
    </row>
    <row r="780" ht="14.25" customHeight="1">
      <c r="A780" s="402"/>
      <c r="B780" s="402"/>
      <c r="C780" s="402"/>
      <c r="D780" s="402"/>
      <c r="E780" s="402"/>
      <c r="F780" s="403"/>
      <c r="G780" s="403"/>
      <c r="H780" s="402"/>
      <c r="I780" s="402"/>
      <c r="J780" s="402"/>
      <c r="K780" s="402"/>
      <c r="L780" s="402"/>
      <c r="M780" s="402"/>
      <c r="N780" s="402"/>
      <c r="O780" s="402"/>
      <c r="P780" s="402"/>
      <c r="Q780" s="402"/>
      <c r="R780" s="402"/>
      <c r="S780" s="402"/>
      <c r="T780" s="402"/>
      <c r="U780" s="402"/>
      <c r="V780" s="402"/>
      <c r="W780" s="402"/>
      <c r="X780" s="402"/>
      <c r="Y780" s="402"/>
      <c r="Z780" s="402"/>
    </row>
    <row r="781" ht="14.25" customHeight="1">
      <c r="A781" s="402"/>
      <c r="B781" s="402"/>
      <c r="C781" s="402"/>
      <c r="D781" s="402"/>
      <c r="E781" s="402"/>
      <c r="F781" s="403"/>
      <c r="G781" s="403"/>
      <c r="H781" s="402"/>
      <c r="I781" s="402"/>
      <c r="J781" s="402"/>
      <c r="K781" s="402"/>
      <c r="L781" s="402"/>
      <c r="M781" s="402"/>
      <c r="N781" s="402"/>
      <c r="O781" s="402"/>
      <c r="P781" s="402"/>
      <c r="Q781" s="402"/>
      <c r="R781" s="402"/>
      <c r="S781" s="402"/>
      <c r="T781" s="402"/>
      <c r="U781" s="402"/>
      <c r="V781" s="402"/>
      <c r="W781" s="402"/>
      <c r="X781" s="402"/>
      <c r="Y781" s="402"/>
      <c r="Z781" s="402"/>
    </row>
    <row r="782" ht="14.25" customHeight="1">
      <c r="A782" s="402"/>
      <c r="B782" s="402"/>
      <c r="C782" s="402"/>
      <c r="D782" s="402"/>
      <c r="E782" s="402"/>
      <c r="F782" s="403"/>
      <c r="G782" s="403"/>
      <c r="H782" s="402"/>
      <c r="I782" s="402"/>
      <c r="J782" s="402"/>
      <c r="K782" s="402"/>
      <c r="L782" s="402"/>
      <c r="M782" s="402"/>
      <c r="N782" s="402"/>
      <c r="O782" s="402"/>
      <c r="P782" s="402"/>
      <c r="Q782" s="402"/>
      <c r="R782" s="402"/>
      <c r="S782" s="402"/>
      <c r="T782" s="402"/>
      <c r="U782" s="402"/>
      <c r="V782" s="402"/>
      <c r="W782" s="402"/>
      <c r="X782" s="402"/>
      <c r="Y782" s="402"/>
      <c r="Z782" s="402"/>
    </row>
    <row r="783" ht="14.25" customHeight="1">
      <c r="A783" s="402"/>
      <c r="B783" s="402"/>
      <c r="C783" s="402"/>
      <c r="D783" s="402"/>
      <c r="E783" s="402"/>
      <c r="F783" s="403"/>
      <c r="G783" s="403"/>
      <c r="H783" s="402"/>
      <c r="I783" s="402"/>
      <c r="J783" s="402"/>
      <c r="K783" s="402"/>
      <c r="L783" s="402"/>
      <c r="M783" s="402"/>
      <c r="N783" s="402"/>
      <c r="O783" s="402"/>
      <c r="P783" s="402"/>
      <c r="Q783" s="402"/>
      <c r="R783" s="402"/>
      <c r="S783" s="402"/>
      <c r="T783" s="402"/>
      <c r="U783" s="402"/>
      <c r="V783" s="402"/>
      <c r="W783" s="402"/>
      <c r="X783" s="402"/>
      <c r="Y783" s="402"/>
      <c r="Z783" s="402"/>
    </row>
    <row r="784" ht="14.25" customHeight="1">
      <c r="A784" s="402"/>
      <c r="B784" s="402"/>
      <c r="C784" s="402"/>
      <c r="D784" s="402"/>
      <c r="E784" s="402"/>
      <c r="F784" s="403"/>
      <c r="G784" s="403"/>
      <c r="H784" s="402"/>
      <c r="I784" s="402"/>
      <c r="J784" s="402"/>
      <c r="K784" s="402"/>
      <c r="L784" s="402"/>
      <c r="M784" s="402"/>
      <c r="N784" s="402"/>
      <c r="O784" s="402"/>
      <c r="P784" s="402"/>
      <c r="Q784" s="402"/>
      <c r="R784" s="402"/>
      <c r="S784" s="402"/>
      <c r="T784" s="402"/>
      <c r="U784" s="402"/>
      <c r="V784" s="402"/>
      <c r="W784" s="402"/>
      <c r="X784" s="402"/>
      <c r="Y784" s="402"/>
      <c r="Z784" s="402"/>
    </row>
    <row r="785" ht="14.25" customHeight="1">
      <c r="A785" s="402"/>
      <c r="B785" s="402"/>
      <c r="C785" s="402"/>
      <c r="D785" s="402"/>
      <c r="E785" s="402"/>
      <c r="F785" s="403"/>
      <c r="G785" s="403"/>
      <c r="H785" s="402"/>
      <c r="I785" s="402"/>
      <c r="J785" s="402"/>
      <c r="K785" s="402"/>
      <c r="L785" s="402"/>
      <c r="M785" s="402"/>
      <c r="N785" s="402"/>
      <c r="O785" s="402"/>
      <c r="P785" s="402"/>
      <c r="Q785" s="402"/>
      <c r="R785" s="402"/>
      <c r="S785" s="402"/>
      <c r="T785" s="402"/>
      <c r="U785" s="402"/>
      <c r="V785" s="402"/>
      <c r="W785" s="402"/>
      <c r="X785" s="402"/>
      <c r="Y785" s="402"/>
      <c r="Z785" s="402"/>
    </row>
    <row r="786" ht="14.25" customHeight="1">
      <c r="A786" s="402"/>
      <c r="B786" s="402"/>
      <c r="C786" s="402"/>
      <c r="D786" s="402"/>
      <c r="E786" s="402"/>
      <c r="F786" s="403"/>
      <c r="G786" s="403"/>
      <c r="H786" s="402"/>
      <c r="I786" s="402"/>
      <c r="J786" s="402"/>
      <c r="K786" s="402"/>
      <c r="L786" s="402"/>
      <c r="M786" s="402"/>
      <c r="N786" s="402"/>
      <c r="O786" s="402"/>
      <c r="P786" s="402"/>
      <c r="Q786" s="402"/>
      <c r="R786" s="402"/>
      <c r="S786" s="402"/>
      <c r="T786" s="402"/>
      <c r="U786" s="402"/>
      <c r="V786" s="402"/>
      <c r="W786" s="402"/>
      <c r="X786" s="402"/>
      <c r="Y786" s="402"/>
      <c r="Z786" s="402"/>
    </row>
    <row r="787" ht="14.25" customHeight="1">
      <c r="A787" s="402"/>
      <c r="B787" s="402"/>
      <c r="C787" s="402"/>
      <c r="D787" s="402"/>
      <c r="E787" s="402"/>
      <c r="F787" s="403"/>
      <c r="G787" s="403"/>
      <c r="H787" s="402"/>
      <c r="I787" s="402"/>
      <c r="J787" s="402"/>
      <c r="K787" s="402"/>
      <c r="L787" s="402"/>
      <c r="M787" s="402"/>
      <c r="N787" s="402"/>
      <c r="O787" s="402"/>
      <c r="P787" s="402"/>
      <c r="Q787" s="402"/>
      <c r="R787" s="402"/>
      <c r="S787" s="402"/>
      <c r="T787" s="402"/>
      <c r="U787" s="402"/>
      <c r="V787" s="402"/>
      <c r="W787" s="402"/>
      <c r="X787" s="402"/>
      <c r="Y787" s="402"/>
      <c r="Z787" s="402"/>
    </row>
    <row r="788" ht="14.25" customHeight="1">
      <c r="A788" s="402"/>
      <c r="B788" s="402"/>
      <c r="C788" s="402"/>
      <c r="D788" s="402"/>
      <c r="E788" s="402"/>
      <c r="F788" s="403"/>
      <c r="G788" s="403"/>
      <c r="H788" s="402"/>
      <c r="I788" s="402"/>
      <c r="J788" s="402"/>
      <c r="K788" s="402"/>
      <c r="L788" s="402"/>
      <c r="M788" s="402"/>
      <c r="N788" s="402"/>
      <c r="O788" s="402"/>
      <c r="P788" s="402"/>
      <c r="Q788" s="402"/>
      <c r="R788" s="402"/>
      <c r="S788" s="402"/>
      <c r="T788" s="402"/>
      <c r="U788" s="402"/>
      <c r="V788" s="402"/>
      <c r="W788" s="402"/>
      <c r="X788" s="402"/>
      <c r="Y788" s="402"/>
      <c r="Z788" s="402"/>
    </row>
    <row r="789" ht="14.25" customHeight="1">
      <c r="A789" s="402"/>
      <c r="B789" s="402"/>
      <c r="C789" s="402"/>
      <c r="D789" s="402"/>
      <c r="E789" s="402"/>
      <c r="F789" s="403"/>
      <c r="G789" s="403"/>
      <c r="H789" s="402"/>
      <c r="I789" s="402"/>
      <c r="J789" s="402"/>
      <c r="K789" s="402"/>
      <c r="L789" s="402"/>
      <c r="M789" s="402"/>
      <c r="N789" s="402"/>
      <c r="O789" s="402"/>
      <c r="P789" s="402"/>
      <c r="Q789" s="402"/>
      <c r="R789" s="402"/>
      <c r="S789" s="402"/>
      <c r="T789" s="402"/>
      <c r="U789" s="402"/>
      <c r="V789" s="402"/>
      <c r="W789" s="402"/>
      <c r="X789" s="402"/>
      <c r="Y789" s="402"/>
      <c r="Z789" s="402"/>
    </row>
    <row r="790" ht="14.25" customHeight="1">
      <c r="A790" s="402"/>
      <c r="B790" s="402"/>
      <c r="C790" s="402"/>
      <c r="D790" s="402"/>
      <c r="E790" s="402"/>
      <c r="F790" s="403"/>
      <c r="G790" s="403"/>
      <c r="H790" s="402"/>
      <c r="I790" s="402"/>
      <c r="J790" s="402"/>
      <c r="K790" s="402"/>
      <c r="L790" s="402"/>
      <c r="M790" s="402"/>
      <c r="N790" s="402"/>
      <c r="O790" s="402"/>
      <c r="P790" s="402"/>
      <c r="Q790" s="402"/>
      <c r="R790" s="402"/>
      <c r="S790" s="402"/>
      <c r="T790" s="402"/>
      <c r="U790" s="402"/>
      <c r="V790" s="402"/>
      <c r="W790" s="402"/>
      <c r="X790" s="402"/>
      <c r="Y790" s="402"/>
      <c r="Z790" s="402"/>
    </row>
    <row r="791" ht="14.25" customHeight="1">
      <c r="A791" s="402"/>
      <c r="B791" s="402"/>
      <c r="C791" s="402"/>
      <c r="D791" s="402"/>
      <c r="E791" s="402"/>
      <c r="F791" s="403"/>
      <c r="G791" s="403"/>
      <c r="H791" s="402"/>
      <c r="I791" s="402"/>
      <c r="J791" s="402"/>
      <c r="K791" s="402"/>
      <c r="L791" s="402"/>
      <c r="M791" s="402"/>
      <c r="N791" s="402"/>
      <c r="O791" s="402"/>
      <c r="P791" s="402"/>
      <c r="Q791" s="402"/>
      <c r="R791" s="402"/>
      <c r="S791" s="402"/>
      <c r="T791" s="402"/>
      <c r="U791" s="402"/>
      <c r="V791" s="402"/>
      <c r="W791" s="402"/>
      <c r="X791" s="402"/>
      <c r="Y791" s="402"/>
      <c r="Z791" s="402"/>
    </row>
    <row r="792" ht="14.25" customHeight="1">
      <c r="A792" s="402"/>
      <c r="B792" s="402"/>
      <c r="C792" s="402"/>
      <c r="D792" s="402"/>
      <c r="E792" s="402"/>
      <c r="F792" s="403"/>
      <c r="G792" s="403"/>
      <c r="H792" s="402"/>
      <c r="I792" s="402"/>
      <c r="J792" s="402"/>
      <c r="K792" s="402"/>
      <c r="L792" s="402"/>
      <c r="M792" s="402"/>
      <c r="N792" s="402"/>
      <c r="O792" s="402"/>
      <c r="P792" s="402"/>
      <c r="Q792" s="402"/>
      <c r="R792" s="402"/>
      <c r="S792" s="402"/>
      <c r="T792" s="402"/>
      <c r="U792" s="402"/>
      <c r="V792" s="402"/>
      <c r="W792" s="402"/>
      <c r="X792" s="402"/>
      <c r="Y792" s="402"/>
      <c r="Z792" s="402"/>
    </row>
    <row r="793" ht="14.25" customHeight="1">
      <c r="A793" s="402"/>
      <c r="B793" s="402"/>
      <c r="C793" s="402"/>
      <c r="D793" s="402"/>
      <c r="E793" s="402"/>
      <c r="F793" s="403"/>
      <c r="G793" s="403"/>
      <c r="H793" s="402"/>
      <c r="I793" s="402"/>
      <c r="J793" s="402"/>
      <c r="K793" s="402"/>
      <c r="L793" s="402"/>
      <c r="M793" s="402"/>
      <c r="N793" s="402"/>
      <c r="O793" s="402"/>
      <c r="P793" s="402"/>
      <c r="Q793" s="402"/>
      <c r="R793" s="402"/>
      <c r="S793" s="402"/>
      <c r="T793" s="402"/>
      <c r="U793" s="402"/>
      <c r="V793" s="402"/>
      <c r="W793" s="402"/>
      <c r="X793" s="402"/>
      <c r="Y793" s="402"/>
      <c r="Z793" s="402"/>
    </row>
    <row r="794" ht="14.25" customHeight="1">
      <c r="A794" s="402"/>
      <c r="B794" s="402"/>
      <c r="C794" s="402"/>
      <c r="D794" s="402"/>
      <c r="E794" s="402"/>
      <c r="F794" s="403"/>
      <c r="G794" s="403"/>
      <c r="H794" s="402"/>
      <c r="I794" s="402"/>
      <c r="J794" s="402"/>
      <c r="K794" s="402"/>
      <c r="L794" s="402"/>
      <c r="M794" s="402"/>
      <c r="N794" s="402"/>
      <c r="O794" s="402"/>
      <c r="P794" s="402"/>
      <c r="Q794" s="402"/>
      <c r="R794" s="402"/>
      <c r="S794" s="402"/>
      <c r="T794" s="402"/>
      <c r="U794" s="402"/>
      <c r="V794" s="402"/>
      <c r="W794" s="402"/>
      <c r="X794" s="402"/>
      <c r="Y794" s="402"/>
      <c r="Z794" s="402"/>
    </row>
    <row r="795" ht="14.25" customHeight="1">
      <c r="A795" s="402"/>
      <c r="B795" s="402"/>
      <c r="C795" s="402"/>
      <c r="D795" s="402"/>
      <c r="E795" s="402"/>
      <c r="F795" s="403"/>
      <c r="G795" s="403"/>
      <c r="H795" s="402"/>
      <c r="I795" s="402"/>
      <c r="J795" s="402"/>
      <c r="K795" s="402"/>
      <c r="L795" s="402"/>
      <c r="M795" s="402"/>
      <c r="N795" s="402"/>
      <c r="O795" s="402"/>
      <c r="P795" s="402"/>
      <c r="Q795" s="402"/>
      <c r="R795" s="402"/>
      <c r="S795" s="402"/>
      <c r="T795" s="402"/>
      <c r="U795" s="402"/>
      <c r="V795" s="402"/>
      <c r="W795" s="402"/>
      <c r="X795" s="402"/>
      <c r="Y795" s="402"/>
      <c r="Z795" s="402"/>
    </row>
    <row r="796" ht="14.25" customHeight="1">
      <c r="A796" s="402"/>
      <c r="B796" s="402"/>
      <c r="C796" s="402"/>
      <c r="D796" s="402"/>
      <c r="E796" s="402"/>
      <c r="F796" s="403"/>
      <c r="G796" s="403"/>
      <c r="H796" s="402"/>
      <c r="I796" s="402"/>
      <c r="J796" s="402"/>
      <c r="K796" s="402"/>
      <c r="L796" s="402"/>
      <c r="M796" s="402"/>
      <c r="N796" s="402"/>
      <c r="O796" s="402"/>
      <c r="P796" s="402"/>
      <c r="Q796" s="402"/>
      <c r="R796" s="402"/>
      <c r="S796" s="402"/>
      <c r="T796" s="402"/>
      <c r="U796" s="402"/>
      <c r="V796" s="402"/>
      <c r="W796" s="402"/>
      <c r="X796" s="402"/>
      <c r="Y796" s="402"/>
      <c r="Z796" s="402"/>
    </row>
    <row r="797" ht="14.25" customHeight="1">
      <c r="A797" s="402"/>
      <c r="B797" s="402"/>
      <c r="C797" s="402"/>
      <c r="D797" s="402"/>
      <c r="E797" s="402"/>
      <c r="F797" s="403"/>
      <c r="G797" s="403"/>
      <c r="H797" s="402"/>
      <c r="I797" s="402"/>
      <c r="J797" s="402"/>
      <c r="K797" s="402"/>
      <c r="L797" s="402"/>
      <c r="M797" s="402"/>
      <c r="N797" s="402"/>
      <c r="O797" s="402"/>
      <c r="P797" s="402"/>
      <c r="Q797" s="402"/>
      <c r="R797" s="402"/>
      <c r="S797" s="402"/>
      <c r="T797" s="402"/>
      <c r="U797" s="402"/>
      <c r="V797" s="402"/>
      <c r="W797" s="402"/>
      <c r="X797" s="402"/>
      <c r="Y797" s="402"/>
      <c r="Z797" s="402"/>
    </row>
    <row r="798" ht="14.25" customHeight="1">
      <c r="A798" s="402"/>
      <c r="B798" s="402"/>
      <c r="C798" s="402"/>
      <c r="D798" s="402"/>
      <c r="E798" s="402"/>
      <c r="F798" s="403"/>
      <c r="G798" s="403"/>
      <c r="H798" s="402"/>
      <c r="I798" s="402"/>
      <c r="J798" s="402"/>
      <c r="K798" s="402"/>
      <c r="L798" s="402"/>
      <c r="M798" s="402"/>
      <c r="N798" s="402"/>
      <c r="O798" s="402"/>
      <c r="P798" s="402"/>
      <c r="Q798" s="402"/>
      <c r="R798" s="402"/>
      <c r="S798" s="402"/>
      <c r="T798" s="402"/>
      <c r="U798" s="402"/>
      <c r="V798" s="402"/>
      <c r="W798" s="402"/>
      <c r="X798" s="402"/>
      <c r="Y798" s="402"/>
      <c r="Z798" s="402"/>
    </row>
    <row r="799" ht="14.25" customHeight="1">
      <c r="A799" s="402"/>
      <c r="B799" s="402"/>
      <c r="C799" s="402"/>
      <c r="D799" s="402"/>
      <c r="E799" s="402"/>
      <c r="F799" s="403"/>
      <c r="G799" s="403"/>
      <c r="H799" s="402"/>
      <c r="I799" s="402"/>
      <c r="J799" s="402"/>
      <c r="K799" s="402"/>
      <c r="L799" s="402"/>
      <c r="M799" s="402"/>
      <c r="N799" s="402"/>
      <c r="O799" s="402"/>
      <c r="P799" s="402"/>
      <c r="Q799" s="402"/>
      <c r="R799" s="402"/>
      <c r="S799" s="402"/>
      <c r="T799" s="402"/>
      <c r="U799" s="402"/>
      <c r="V799" s="402"/>
      <c r="W799" s="402"/>
      <c r="X799" s="402"/>
      <c r="Y799" s="402"/>
      <c r="Z799" s="402"/>
    </row>
    <row r="800" ht="14.25" customHeight="1">
      <c r="A800" s="402"/>
      <c r="B800" s="402"/>
      <c r="C800" s="402"/>
      <c r="D800" s="402"/>
      <c r="E800" s="402"/>
      <c r="F800" s="403"/>
      <c r="G800" s="403"/>
      <c r="H800" s="402"/>
      <c r="I800" s="402"/>
      <c r="J800" s="402"/>
      <c r="K800" s="402"/>
      <c r="L800" s="402"/>
      <c r="M800" s="402"/>
      <c r="N800" s="402"/>
      <c r="O800" s="402"/>
      <c r="P800" s="402"/>
      <c r="Q800" s="402"/>
      <c r="R800" s="402"/>
      <c r="S800" s="402"/>
      <c r="T800" s="402"/>
      <c r="U800" s="402"/>
      <c r="V800" s="402"/>
      <c r="W800" s="402"/>
      <c r="X800" s="402"/>
      <c r="Y800" s="402"/>
      <c r="Z800" s="402"/>
    </row>
    <row r="801" ht="14.25" customHeight="1">
      <c r="A801" s="402"/>
      <c r="B801" s="402"/>
      <c r="C801" s="402"/>
      <c r="D801" s="402"/>
      <c r="E801" s="402"/>
      <c r="F801" s="403"/>
      <c r="G801" s="403"/>
      <c r="H801" s="402"/>
      <c r="I801" s="402"/>
      <c r="J801" s="402"/>
      <c r="K801" s="402"/>
      <c r="L801" s="402"/>
      <c r="M801" s="402"/>
      <c r="N801" s="402"/>
      <c r="O801" s="402"/>
      <c r="P801" s="402"/>
      <c r="Q801" s="402"/>
      <c r="R801" s="402"/>
      <c r="S801" s="402"/>
      <c r="T801" s="402"/>
      <c r="U801" s="402"/>
      <c r="V801" s="402"/>
      <c r="W801" s="402"/>
      <c r="X801" s="402"/>
      <c r="Y801" s="402"/>
      <c r="Z801" s="402"/>
    </row>
    <row r="802" ht="14.25" customHeight="1">
      <c r="A802" s="402"/>
      <c r="B802" s="402"/>
      <c r="C802" s="402"/>
      <c r="D802" s="402"/>
      <c r="E802" s="402"/>
      <c r="F802" s="403"/>
      <c r="G802" s="403"/>
      <c r="H802" s="402"/>
      <c r="I802" s="402"/>
      <c r="J802" s="402"/>
      <c r="K802" s="402"/>
      <c r="L802" s="402"/>
      <c r="M802" s="402"/>
      <c r="N802" s="402"/>
      <c r="O802" s="402"/>
      <c r="P802" s="402"/>
      <c r="Q802" s="402"/>
      <c r="R802" s="402"/>
      <c r="S802" s="402"/>
      <c r="T802" s="402"/>
      <c r="U802" s="402"/>
      <c r="V802" s="402"/>
      <c r="W802" s="402"/>
      <c r="X802" s="402"/>
      <c r="Y802" s="402"/>
      <c r="Z802" s="402"/>
    </row>
    <row r="803" ht="14.25" customHeight="1">
      <c r="A803" s="402"/>
      <c r="B803" s="402"/>
      <c r="C803" s="402"/>
      <c r="D803" s="402"/>
      <c r="E803" s="402"/>
      <c r="F803" s="403"/>
      <c r="G803" s="403"/>
      <c r="H803" s="402"/>
      <c r="I803" s="402"/>
      <c r="J803" s="402"/>
      <c r="K803" s="402"/>
      <c r="L803" s="402"/>
      <c r="M803" s="402"/>
      <c r="N803" s="402"/>
      <c r="O803" s="402"/>
      <c r="P803" s="402"/>
      <c r="Q803" s="402"/>
      <c r="R803" s="402"/>
      <c r="S803" s="402"/>
      <c r="T803" s="402"/>
      <c r="U803" s="402"/>
      <c r="V803" s="402"/>
      <c r="W803" s="402"/>
      <c r="X803" s="402"/>
      <c r="Y803" s="402"/>
      <c r="Z803" s="402"/>
    </row>
    <row r="804" ht="14.25" customHeight="1">
      <c r="A804" s="402"/>
      <c r="B804" s="402"/>
      <c r="C804" s="402"/>
      <c r="D804" s="402"/>
      <c r="E804" s="402"/>
      <c r="F804" s="403"/>
      <c r="G804" s="403"/>
      <c r="H804" s="402"/>
      <c r="I804" s="402"/>
      <c r="J804" s="402"/>
      <c r="K804" s="402"/>
      <c r="L804" s="402"/>
      <c r="M804" s="402"/>
      <c r="N804" s="402"/>
      <c r="O804" s="402"/>
      <c r="P804" s="402"/>
      <c r="Q804" s="402"/>
      <c r="R804" s="402"/>
      <c r="S804" s="402"/>
      <c r="T804" s="402"/>
      <c r="U804" s="402"/>
      <c r="V804" s="402"/>
      <c r="W804" s="402"/>
      <c r="X804" s="402"/>
      <c r="Y804" s="402"/>
      <c r="Z804" s="402"/>
    </row>
    <row r="805" ht="14.25" customHeight="1">
      <c r="A805" s="402"/>
      <c r="B805" s="402"/>
      <c r="C805" s="402"/>
      <c r="D805" s="402"/>
      <c r="E805" s="402"/>
      <c r="F805" s="403"/>
      <c r="G805" s="403"/>
      <c r="H805" s="402"/>
      <c r="I805" s="402"/>
      <c r="J805" s="402"/>
      <c r="K805" s="402"/>
      <c r="L805" s="402"/>
      <c r="M805" s="402"/>
      <c r="N805" s="402"/>
      <c r="O805" s="402"/>
      <c r="P805" s="402"/>
      <c r="Q805" s="402"/>
      <c r="R805" s="402"/>
      <c r="S805" s="402"/>
      <c r="T805" s="402"/>
      <c r="U805" s="402"/>
      <c r="V805" s="402"/>
      <c r="W805" s="402"/>
      <c r="X805" s="402"/>
      <c r="Y805" s="402"/>
      <c r="Z805" s="402"/>
    </row>
    <row r="806" ht="14.25" customHeight="1">
      <c r="A806" s="402"/>
      <c r="B806" s="402"/>
      <c r="C806" s="402"/>
      <c r="D806" s="402"/>
      <c r="E806" s="402"/>
      <c r="F806" s="403"/>
      <c r="G806" s="403"/>
      <c r="H806" s="402"/>
      <c r="I806" s="402"/>
      <c r="J806" s="402"/>
      <c r="K806" s="402"/>
      <c r="L806" s="402"/>
      <c r="M806" s="402"/>
      <c r="N806" s="402"/>
      <c r="O806" s="402"/>
      <c r="P806" s="402"/>
      <c r="Q806" s="402"/>
      <c r="R806" s="402"/>
      <c r="S806" s="402"/>
      <c r="T806" s="402"/>
      <c r="U806" s="402"/>
      <c r="V806" s="402"/>
      <c r="W806" s="402"/>
      <c r="X806" s="402"/>
      <c r="Y806" s="402"/>
      <c r="Z806" s="402"/>
    </row>
    <row r="807" ht="14.25" customHeight="1">
      <c r="A807" s="402"/>
      <c r="B807" s="402"/>
      <c r="C807" s="402"/>
      <c r="D807" s="402"/>
      <c r="E807" s="402"/>
      <c r="F807" s="403"/>
      <c r="G807" s="403"/>
      <c r="H807" s="402"/>
      <c r="I807" s="402"/>
      <c r="J807" s="402"/>
      <c r="K807" s="402"/>
      <c r="L807" s="402"/>
      <c r="M807" s="402"/>
      <c r="N807" s="402"/>
      <c r="O807" s="402"/>
      <c r="P807" s="402"/>
      <c r="Q807" s="402"/>
      <c r="R807" s="402"/>
      <c r="S807" s="402"/>
      <c r="T807" s="402"/>
      <c r="U807" s="402"/>
      <c r="V807" s="402"/>
      <c r="W807" s="402"/>
      <c r="X807" s="402"/>
      <c r="Y807" s="402"/>
      <c r="Z807" s="402"/>
    </row>
    <row r="808" ht="14.25" customHeight="1">
      <c r="A808" s="402"/>
      <c r="B808" s="402"/>
      <c r="C808" s="402"/>
      <c r="D808" s="402"/>
      <c r="E808" s="402"/>
      <c r="F808" s="403"/>
      <c r="G808" s="403"/>
      <c r="H808" s="402"/>
      <c r="I808" s="402"/>
      <c r="J808" s="402"/>
      <c r="K808" s="402"/>
      <c r="L808" s="402"/>
      <c r="M808" s="402"/>
      <c r="N808" s="402"/>
      <c r="O808" s="402"/>
      <c r="P808" s="402"/>
      <c r="Q808" s="402"/>
      <c r="R808" s="402"/>
      <c r="S808" s="402"/>
      <c r="T808" s="402"/>
      <c r="U808" s="402"/>
      <c r="V808" s="402"/>
      <c r="W808" s="402"/>
      <c r="X808" s="402"/>
      <c r="Y808" s="402"/>
      <c r="Z808" s="402"/>
    </row>
    <row r="809" ht="14.25" customHeight="1">
      <c r="A809" s="402"/>
      <c r="B809" s="402"/>
      <c r="C809" s="402"/>
      <c r="D809" s="402"/>
      <c r="E809" s="402"/>
      <c r="F809" s="403"/>
      <c r="G809" s="403"/>
      <c r="H809" s="402"/>
      <c r="I809" s="402"/>
      <c r="J809" s="402"/>
      <c r="K809" s="402"/>
      <c r="L809" s="402"/>
      <c r="M809" s="402"/>
      <c r="N809" s="402"/>
      <c r="O809" s="402"/>
      <c r="P809" s="402"/>
      <c r="Q809" s="402"/>
      <c r="R809" s="402"/>
      <c r="S809" s="402"/>
      <c r="T809" s="402"/>
      <c r="U809" s="402"/>
      <c r="V809" s="402"/>
      <c r="W809" s="402"/>
      <c r="X809" s="402"/>
      <c r="Y809" s="402"/>
      <c r="Z809" s="402"/>
    </row>
    <row r="810" ht="14.25" customHeight="1">
      <c r="A810" s="402"/>
      <c r="B810" s="402"/>
      <c r="C810" s="402"/>
      <c r="D810" s="402"/>
      <c r="E810" s="402"/>
      <c r="F810" s="403"/>
      <c r="G810" s="403"/>
      <c r="H810" s="402"/>
      <c r="I810" s="402"/>
      <c r="J810" s="402"/>
      <c r="K810" s="402"/>
      <c r="L810" s="402"/>
      <c r="M810" s="402"/>
      <c r="N810" s="402"/>
      <c r="O810" s="402"/>
      <c r="P810" s="402"/>
      <c r="Q810" s="402"/>
      <c r="R810" s="402"/>
      <c r="S810" s="402"/>
      <c r="T810" s="402"/>
      <c r="U810" s="402"/>
      <c r="V810" s="402"/>
      <c r="W810" s="402"/>
      <c r="X810" s="402"/>
      <c r="Y810" s="402"/>
      <c r="Z810" s="402"/>
    </row>
    <row r="811" ht="14.25" customHeight="1">
      <c r="A811" s="402"/>
      <c r="B811" s="402"/>
      <c r="C811" s="402"/>
      <c r="D811" s="402"/>
      <c r="E811" s="402"/>
      <c r="F811" s="403"/>
      <c r="G811" s="403"/>
      <c r="H811" s="402"/>
      <c r="I811" s="402"/>
      <c r="J811" s="402"/>
      <c r="K811" s="402"/>
      <c r="L811" s="402"/>
      <c r="M811" s="402"/>
      <c r="N811" s="402"/>
      <c r="O811" s="402"/>
      <c r="P811" s="402"/>
      <c r="Q811" s="402"/>
      <c r="R811" s="402"/>
      <c r="S811" s="402"/>
      <c r="T811" s="402"/>
      <c r="U811" s="402"/>
      <c r="V811" s="402"/>
      <c r="W811" s="402"/>
      <c r="X811" s="402"/>
      <c r="Y811" s="402"/>
      <c r="Z811" s="402"/>
    </row>
    <row r="812" ht="14.25" customHeight="1">
      <c r="A812" s="402"/>
      <c r="B812" s="402"/>
      <c r="C812" s="402"/>
      <c r="D812" s="402"/>
      <c r="E812" s="402"/>
      <c r="F812" s="403"/>
      <c r="G812" s="403"/>
      <c r="H812" s="402"/>
      <c r="I812" s="402"/>
      <c r="J812" s="402"/>
      <c r="K812" s="402"/>
      <c r="L812" s="402"/>
      <c r="M812" s="402"/>
      <c r="N812" s="402"/>
      <c r="O812" s="402"/>
      <c r="P812" s="402"/>
      <c r="Q812" s="402"/>
      <c r="R812" s="402"/>
      <c r="S812" s="402"/>
      <c r="T812" s="402"/>
      <c r="U812" s="402"/>
      <c r="V812" s="402"/>
      <c r="W812" s="402"/>
      <c r="X812" s="402"/>
      <c r="Y812" s="402"/>
      <c r="Z812" s="402"/>
    </row>
    <row r="813" ht="14.25" customHeight="1">
      <c r="A813" s="402"/>
      <c r="B813" s="402"/>
      <c r="C813" s="402"/>
      <c r="D813" s="402"/>
      <c r="E813" s="402"/>
      <c r="F813" s="403"/>
      <c r="G813" s="403"/>
      <c r="H813" s="402"/>
      <c r="I813" s="402"/>
      <c r="J813" s="402"/>
      <c r="K813" s="402"/>
      <c r="L813" s="402"/>
      <c r="M813" s="402"/>
      <c r="N813" s="402"/>
      <c r="O813" s="402"/>
      <c r="P813" s="402"/>
      <c r="Q813" s="402"/>
      <c r="R813" s="402"/>
      <c r="S813" s="402"/>
      <c r="T813" s="402"/>
      <c r="U813" s="402"/>
      <c r="V813" s="402"/>
      <c r="W813" s="402"/>
      <c r="X813" s="402"/>
      <c r="Y813" s="402"/>
      <c r="Z813" s="402"/>
    </row>
    <row r="814" ht="14.25" customHeight="1">
      <c r="A814" s="402"/>
      <c r="B814" s="402"/>
      <c r="C814" s="402"/>
      <c r="D814" s="402"/>
      <c r="E814" s="402"/>
      <c r="F814" s="403"/>
      <c r="G814" s="403"/>
      <c r="H814" s="402"/>
      <c r="I814" s="402"/>
      <c r="J814" s="402"/>
      <c r="K814" s="402"/>
      <c r="L814" s="402"/>
      <c r="M814" s="402"/>
      <c r="N814" s="402"/>
      <c r="O814" s="402"/>
      <c r="P814" s="402"/>
      <c r="Q814" s="402"/>
      <c r="R814" s="402"/>
      <c r="S814" s="402"/>
      <c r="T814" s="402"/>
      <c r="U814" s="402"/>
      <c r="V814" s="402"/>
      <c r="W814" s="402"/>
      <c r="X814" s="402"/>
      <c r="Y814" s="402"/>
      <c r="Z814" s="402"/>
    </row>
    <row r="815" ht="14.25" customHeight="1">
      <c r="A815" s="402"/>
      <c r="B815" s="402"/>
      <c r="C815" s="402"/>
      <c r="D815" s="402"/>
      <c r="E815" s="402"/>
      <c r="F815" s="403"/>
      <c r="G815" s="403"/>
      <c r="H815" s="402"/>
      <c r="I815" s="402"/>
      <c r="J815" s="402"/>
      <c r="K815" s="402"/>
      <c r="L815" s="402"/>
      <c r="M815" s="402"/>
      <c r="N815" s="402"/>
      <c r="O815" s="402"/>
      <c r="P815" s="402"/>
      <c r="Q815" s="402"/>
      <c r="R815" s="402"/>
      <c r="S815" s="402"/>
      <c r="T815" s="402"/>
      <c r="U815" s="402"/>
      <c r="V815" s="402"/>
      <c r="W815" s="402"/>
      <c r="X815" s="402"/>
      <c r="Y815" s="402"/>
      <c r="Z815" s="402"/>
    </row>
    <row r="816" ht="14.25" customHeight="1">
      <c r="A816" s="402"/>
      <c r="B816" s="402"/>
      <c r="C816" s="402"/>
      <c r="D816" s="402"/>
      <c r="E816" s="402"/>
      <c r="F816" s="403"/>
      <c r="G816" s="403"/>
      <c r="H816" s="402"/>
      <c r="I816" s="402"/>
      <c r="J816" s="402"/>
      <c r="K816" s="402"/>
      <c r="L816" s="402"/>
      <c r="M816" s="402"/>
      <c r="N816" s="402"/>
      <c r="O816" s="402"/>
      <c r="P816" s="402"/>
      <c r="Q816" s="402"/>
      <c r="R816" s="402"/>
      <c r="S816" s="402"/>
      <c r="T816" s="402"/>
      <c r="U816" s="402"/>
      <c r="V816" s="402"/>
      <c r="W816" s="402"/>
      <c r="X816" s="402"/>
      <c r="Y816" s="402"/>
      <c r="Z816" s="402"/>
    </row>
    <row r="817" ht="14.25" customHeight="1">
      <c r="A817" s="402"/>
      <c r="B817" s="402"/>
      <c r="C817" s="402"/>
      <c r="D817" s="402"/>
      <c r="E817" s="402"/>
      <c r="F817" s="403"/>
      <c r="G817" s="403"/>
      <c r="H817" s="402"/>
      <c r="I817" s="402"/>
      <c r="J817" s="402"/>
      <c r="K817" s="402"/>
      <c r="L817" s="402"/>
      <c r="M817" s="402"/>
      <c r="N817" s="402"/>
      <c r="O817" s="402"/>
      <c r="P817" s="402"/>
      <c r="Q817" s="402"/>
      <c r="R817" s="402"/>
      <c r="S817" s="402"/>
      <c r="T817" s="402"/>
      <c r="U817" s="402"/>
      <c r="V817" s="402"/>
      <c r="W817" s="402"/>
      <c r="X817" s="402"/>
      <c r="Y817" s="402"/>
      <c r="Z817" s="402"/>
    </row>
    <row r="818" ht="14.25" customHeight="1">
      <c r="A818" s="402"/>
      <c r="B818" s="402"/>
      <c r="C818" s="402"/>
      <c r="D818" s="402"/>
      <c r="E818" s="402"/>
      <c r="F818" s="403"/>
      <c r="G818" s="403"/>
      <c r="H818" s="402"/>
      <c r="I818" s="402"/>
      <c r="J818" s="402"/>
      <c r="K818" s="402"/>
      <c r="L818" s="402"/>
      <c r="M818" s="402"/>
      <c r="N818" s="402"/>
      <c r="O818" s="402"/>
      <c r="P818" s="402"/>
      <c r="Q818" s="402"/>
      <c r="R818" s="402"/>
      <c r="S818" s="402"/>
      <c r="T818" s="402"/>
      <c r="U818" s="402"/>
      <c r="V818" s="402"/>
      <c r="W818" s="402"/>
      <c r="X818" s="402"/>
      <c r="Y818" s="402"/>
      <c r="Z818" s="402"/>
    </row>
    <row r="819" ht="14.25" customHeight="1">
      <c r="A819" s="402"/>
      <c r="B819" s="402"/>
      <c r="C819" s="402"/>
      <c r="D819" s="402"/>
      <c r="E819" s="402"/>
      <c r="F819" s="403"/>
      <c r="G819" s="403"/>
      <c r="H819" s="402"/>
      <c r="I819" s="402"/>
      <c r="J819" s="402"/>
      <c r="K819" s="402"/>
      <c r="L819" s="402"/>
      <c r="M819" s="402"/>
      <c r="N819" s="402"/>
      <c r="O819" s="402"/>
      <c r="P819" s="402"/>
      <c r="Q819" s="402"/>
      <c r="R819" s="402"/>
      <c r="S819" s="402"/>
      <c r="T819" s="402"/>
      <c r="U819" s="402"/>
      <c r="V819" s="402"/>
      <c r="W819" s="402"/>
      <c r="X819" s="402"/>
      <c r="Y819" s="402"/>
      <c r="Z819" s="402"/>
    </row>
    <row r="820" ht="14.25" customHeight="1">
      <c r="A820" s="402"/>
      <c r="B820" s="402"/>
      <c r="C820" s="402"/>
      <c r="D820" s="402"/>
      <c r="E820" s="402"/>
      <c r="F820" s="403"/>
      <c r="G820" s="403"/>
      <c r="H820" s="402"/>
      <c r="I820" s="402"/>
      <c r="J820" s="402"/>
      <c r="K820" s="402"/>
      <c r="L820" s="402"/>
      <c r="M820" s="402"/>
      <c r="N820" s="402"/>
      <c r="O820" s="402"/>
      <c r="P820" s="402"/>
      <c r="Q820" s="402"/>
      <c r="R820" s="402"/>
      <c r="S820" s="402"/>
      <c r="T820" s="402"/>
      <c r="U820" s="402"/>
      <c r="V820" s="402"/>
      <c r="W820" s="402"/>
      <c r="X820" s="402"/>
      <c r="Y820" s="402"/>
      <c r="Z820" s="402"/>
    </row>
    <row r="821" ht="14.25" customHeight="1">
      <c r="A821" s="402"/>
      <c r="B821" s="402"/>
      <c r="C821" s="402"/>
      <c r="D821" s="402"/>
      <c r="E821" s="402"/>
      <c r="F821" s="403"/>
      <c r="G821" s="403"/>
      <c r="H821" s="402"/>
      <c r="I821" s="402"/>
      <c r="J821" s="402"/>
      <c r="K821" s="402"/>
      <c r="L821" s="402"/>
      <c r="M821" s="402"/>
      <c r="N821" s="402"/>
      <c r="O821" s="402"/>
      <c r="P821" s="402"/>
      <c r="Q821" s="402"/>
      <c r="R821" s="402"/>
      <c r="S821" s="402"/>
      <c r="T821" s="402"/>
      <c r="U821" s="402"/>
      <c r="V821" s="402"/>
      <c r="W821" s="402"/>
      <c r="X821" s="402"/>
      <c r="Y821" s="402"/>
      <c r="Z821" s="402"/>
    </row>
    <row r="822" ht="14.25" customHeight="1">
      <c r="A822" s="402"/>
      <c r="B822" s="402"/>
      <c r="C822" s="402"/>
      <c r="D822" s="402"/>
      <c r="E822" s="402"/>
      <c r="F822" s="403"/>
      <c r="G822" s="403"/>
      <c r="H822" s="402"/>
      <c r="I822" s="402"/>
      <c r="J822" s="402"/>
      <c r="K822" s="402"/>
      <c r="L822" s="402"/>
      <c r="M822" s="402"/>
      <c r="N822" s="402"/>
      <c r="O822" s="402"/>
      <c r="P822" s="402"/>
      <c r="Q822" s="402"/>
      <c r="R822" s="402"/>
      <c r="S822" s="402"/>
      <c r="T822" s="402"/>
      <c r="U822" s="402"/>
      <c r="V822" s="402"/>
      <c r="W822" s="402"/>
      <c r="X822" s="402"/>
      <c r="Y822" s="402"/>
      <c r="Z822" s="402"/>
    </row>
    <row r="823" ht="14.25" customHeight="1">
      <c r="A823" s="402"/>
      <c r="B823" s="402"/>
      <c r="C823" s="402"/>
      <c r="D823" s="402"/>
      <c r="E823" s="402"/>
      <c r="F823" s="403"/>
      <c r="G823" s="403"/>
      <c r="H823" s="402"/>
      <c r="I823" s="402"/>
      <c r="J823" s="402"/>
      <c r="K823" s="402"/>
      <c r="L823" s="402"/>
      <c r="M823" s="402"/>
      <c r="N823" s="402"/>
      <c r="O823" s="402"/>
      <c r="P823" s="402"/>
      <c r="Q823" s="402"/>
      <c r="R823" s="402"/>
      <c r="S823" s="402"/>
      <c r="T823" s="402"/>
      <c r="U823" s="402"/>
      <c r="V823" s="402"/>
      <c r="W823" s="402"/>
      <c r="X823" s="402"/>
      <c r="Y823" s="402"/>
      <c r="Z823" s="402"/>
    </row>
    <row r="824" ht="14.25" customHeight="1">
      <c r="A824" s="402"/>
      <c r="B824" s="402"/>
      <c r="C824" s="402"/>
      <c r="D824" s="402"/>
      <c r="E824" s="402"/>
      <c r="F824" s="403"/>
      <c r="G824" s="403"/>
      <c r="H824" s="402"/>
      <c r="I824" s="402"/>
      <c r="J824" s="402"/>
      <c r="K824" s="402"/>
      <c r="L824" s="402"/>
      <c r="M824" s="402"/>
      <c r="N824" s="402"/>
      <c r="O824" s="402"/>
      <c r="P824" s="402"/>
      <c r="Q824" s="402"/>
      <c r="R824" s="402"/>
      <c r="S824" s="402"/>
      <c r="T824" s="402"/>
      <c r="U824" s="402"/>
      <c r="V824" s="402"/>
      <c r="W824" s="402"/>
      <c r="X824" s="402"/>
      <c r="Y824" s="402"/>
      <c r="Z824" s="402"/>
    </row>
    <row r="825" ht="14.25" customHeight="1">
      <c r="A825" s="402"/>
      <c r="B825" s="402"/>
      <c r="C825" s="402"/>
      <c r="D825" s="402"/>
      <c r="E825" s="402"/>
      <c r="F825" s="403"/>
      <c r="G825" s="403"/>
      <c r="H825" s="402"/>
      <c r="I825" s="402"/>
      <c r="J825" s="402"/>
      <c r="K825" s="402"/>
      <c r="L825" s="402"/>
      <c r="M825" s="402"/>
      <c r="N825" s="402"/>
      <c r="O825" s="402"/>
      <c r="P825" s="402"/>
      <c r="Q825" s="402"/>
      <c r="R825" s="402"/>
      <c r="S825" s="402"/>
      <c r="T825" s="402"/>
      <c r="U825" s="402"/>
      <c r="V825" s="402"/>
      <c r="W825" s="402"/>
      <c r="X825" s="402"/>
      <c r="Y825" s="402"/>
      <c r="Z825" s="402"/>
    </row>
    <row r="826" ht="14.25" customHeight="1">
      <c r="A826" s="402"/>
      <c r="B826" s="402"/>
      <c r="C826" s="402"/>
      <c r="D826" s="402"/>
      <c r="E826" s="402"/>
      <c r="F826" s="403"/>
      <c r="G826" s="403"/>
      <c r="H826" s="402"/>
      <c r="I826" s="402"/>
      <c r="J826" s="402"/>
      <c r="K826" s="402"/>
      <c r="L826" s="402"/>
      <c r="M826" s="402"/>
      <c r="N826" s="402"/>
      <c r="O826" s="402"/>
      <c r="P826" s="402"/>
      <c r="Q826" s="402"/>
      <c r="R826" s="402"/>
      <c r="S826" s="402"/>
      <c r="T826" s="402"/>
      <c r="U826" s="402"/>
      <c r="V826" s="402"/>
      <c r="W826" s="402"/>
      <c r="X826" s="402"/>
      <c r="Y826" s="402"/>
      <c r="Z826" s="402"/>
    </row>
    <row r="827" ht="14.25" customHeight="1">
      <c r="A827" s="402"/>
      <c r="B827" s="402"/>
      <c r="C827" s="402"/>
      <c r="D827" s="402"/>
      <c r="E827" s="402"/>
      <c r="F827" s="403"/>
      <c r="G827" s="403"/>
      <c r="H827" s="402"/>
      <c r="I827" s="402"/>
      <c r="J827" s="402"/>
      <c r="K827" s="402"/>
      <c r="L827" s="402"/>
      <c r="M827" s="402"/>
      <c r="N827" s="402"/>
      <c r="O827" s="402"/>
      <c r="P827" s="402"/>
      <c r="Q827" s="402"/>
      <c r="R827" s="402"/>
      <c r="S827" s="402"/>
      <c r="T827" s="402"/>
      <c r="U827" s="402"/>
      <c r="V827" s="402"/>
      <c r="W827" s="402"/>
      <c r="X827" s="402"/>
      <c r="Y827" s="402"/>
      <c r="Z827" s="402"/>
    </row>
    <row r="828" ht="14.25" customHeight="1">
      <c r="A828" s="402"/>
      <c r="B828" s="402"/>
      <c r="C828" s="402"/>
      <c r="D828" s="402"/>
      <c r="E828" s="402"/>
      <c r="F828" s="403"/>
      <c r="G828" s="403"/>
      <c r="H828" s="402"/>
      <c r="I828" s="402"/>
      <c r="J828" s="402"/>
      <c r="K828" s="402"/>
      <c r="L828" s="402"/>
      <c r="M828" s="402"/>
      <c r="N828" s="402"/>
      <c r="O828" s="402"/>
      <c r="P828" s="402"/>
      <c r="Q828" s="402"/>
      <c r="R828" s="402"/>
      <c r="S828" s="402"/>
      <c r="T828" s="402"/>
      <c r="U828" s="402"/>
      <c r="V828" s="402"/>
      <c r="W828" s="402"/>
      <c r="X828" s="402"/>
      <c r="Y828" s="402"/>
      <c r="Z828" s="402"/>
    </row>
    <row r="829" ht="14.25" customHeight="1">
      <c r="A829" s="402"/>
      <c r="B829" s="402"/>
      <c r="C829" s="402"/>
      <c r="D829" s="402"/>
      <c r="E829" s="402"/>
      <c r="F829" s="403"/>
      <c r="G829" s="403"/>
      <c r="H829" s="402"/>
      <c r="I829" s="402"/>
      <c r="J829" s="402"/>
      <c r="K829" s="402"/>
      <c r="L829" s="402"/>
      <c r="M829" s="402"/>
      <c r="N829" s="402"/>
      <c r="O829" s="402"/>
      <c r="P829" s="402"/>
      <c r="Q829" s="402"/>
      <c r="R829" s="402"/>
      <c r="S829" s="402"/>
      <c r="T829" s="402"/>
      <c r="U829" s="402"/>
      <c r="V829" s="402"/>
      <c r="W829" s="402"/>
      <c r="X829" s="402"/>
      <c r="Y829" s="402"/>
      <c r="Z829" s="402"/>
    </row>
    <row r="830" ht="14.25" customHeight="1">
      <c r="A830" s="402"/>
      <c r="B830" s="402"/>
      <c r="C830" s="402"/>
      <c r="D830" s="402"/>
      <c r="E830" s="402"/>
      <c r="F830" s="403"/>
      <c r="G830" s="403"/>
      <c r="H830" s="402"/>
      <c r="I830" s="402"/>
      <c r="J830" s="402"/>
      <c r="K830" s="402"/>
      <c r="L830" s="402"/>
      <c r="M830" s="402"/>
      <c r="N830" s="402"/>
      <c r="O830" s="402"/>
      <c r="P830" s="402"/>
      <c r="Q830" s="402"/>
      <c r="R830" s="402"/>
      <c r="S830" s="402"/>
      <c r="T830" s="402"/>
      <c r="U830" s="402"/>
      <c r="V830" s="402"/>
      <c r="W830" s="402"/>
      <c r="X830" s="402"/>
      <c r="Y830" s="402"/>
      <c r="Z830" s="402"/>
    </row>
    <row r="831" ht="14.25" customHeight="1">
      <c r="A831" s="402"/>
      <c r="B831" s="402"/>
      <c r="C831" s="402"/>
      <c r="D831" s="402"/>
      <c r="E831" s="402"/>
      <c r="F831" s="403"/>
      <c r="G831" s="403"/>
      <c r="H831" s="402"/>
      <c r="I831" s="402"/>
      <c r="J831" s="402"/>
      <c r="K831" s="402"/>
      <c r="L831" s="402"/>
      <c r="M831" s="402"/>
      <c r="N831" s="402"/>
      <c r="O831" s="402"/>
      <c r="P831" s="402"/>
      <c r="Q831" s="402"/>
      <c r="R831" s="402"/>
      <c r="S831" s="402"/>
      <c r="T831" s="402"/>
      <c r="U831" s="402"/>
      <c r="V831" s="402"/>
      <c r="W831" s="402"/>
      <c r="X831" s="402"/>
      <c r="Y831" s="402"/>
      <c r="Z831" s="402"/>
    </row>
    <row r="832" ht="14.25" customHeight="1">
      <c r="A832" s="402"/>
      <c r="B832" s="402"/>
      <c r="C832" s="402"/>
      <c r="D832" s="402"/>
      <c r="E832" s="402"/>
      <c r="F832" s="403"/>
      <c r="G832" s="403"/>
      <c r="H832" s="402"/>
      <c r="I832" s="402"/>
      <c r="J832" s="402"/>
      <c r="K832" s="402"/>
      <c r="L832" s="402"/>
      <c r="M832" s="402"/>
      <c r="N832" s="402"/>
      <c r="O832" s="402"/>
      <c r="P832" s="402"/>
      <c r="Q832" s="402"/>
      <c r="R832" s="402"/>
      <c r="S832" s="402"/>
      <c r="T832" s="402"/>
      <c r="U832" s="402"/>
      <c r="V832" s="402"/>
      <c r="W832" s="402"/>
      <c r="X832" s="402"/>
      <c r="Y832" s="402"/>
      <c r="Z832" s="402"/>
    </row>
    <row r="833" ht="14.25" customHeight="1">
      <c r="A833" s="402"/>
      <c r="B833" s="402"/>
      <c r="C833" s="402"/>
      <c r="D833" s="402"/>
      <c r="E833" s="402"/>
      <c r="F833" s="403"/>
      <c r="G833" s="403"/>
      <c r="H833" s="402"/>
      <c r="I833" s="402"/>
      <c r="J833" s="402"/>
      <c r="K833" s="402"/>
      <c r="L833" s="402"/>
      <c r="M833" s="402"/>
      <c r="N833" s="402"/>
      <c r="O833" s="402"/>
      <c r="P833" s="402"/>
      <c r="Q833" s="402"/>
      <c r="R833" s="402"/>
      <c r="S833" s="402"/>
      <c r="T833" s="402"/>
      <c r="U833" s="402"/>
      <c r="V833" s="402"/>
      <c r="W833" s="402"/>
      <c r="X833" s="402"/>
      <c r="Y833" s="402"/>
      <c r="Z833" s="402"/>
    </row>
    <row r="834" ht="14.25" customHeight="1">
      <c r="A834" s="402"/>
      <c r="B834" s="402"/>
      <c r="C834" s="402"/>
      <c r="D834" s="402"/>
      <c r="E834" s="402"/>
      <c r="F834" s="403"/>
      <c r="G834" s="403"/>
      <c r="H834" s="402"/>
      <c r="I834" s="402"/>
      <c r="J834" s="402"/>
      <c r="K834" s="402"/>
      <c r="L834" s="402"/>
      <c r="M834" s="402"/>
      <c r="N834" s="402"/>
      <c r="O834" s="402"/>
      <c r="P834" s="402"/>
      <c r="Q834" s="402"/>
      <c r="R834" s="402"/>
      <c r="S834" s="402"/>
      <c r="T834" s="402"/>
      <c r="U834" s="402"/>
      <c r="V834" s="402"/>
      <c r="W834" s="402"/>
      <c r="X834" s="402"/>
      <c r="Y834" s="402"/>
      <c r="Z834" s="402"/>
    </row>
    <row r="835" ht="14.25" customHeight="1">
      <c r="A835" s="402"/>
      <c r="B835" s="402"/>
      <c r="C835" s="402"/>
      <c r="D835" s="402"/>
      <c r="E835" s="402"/>
      <c r="F835" s="403"/>
      <c r="G835" s="403"/>
      <c r="H835" s="402"/>
      <c r="I835" s="402"/>
      <c r="J835" s="402"/>
      <c r="K835" s="402"/>
      <c r="L835" s="402"/>
      <c r="M835" s="402"/>
      <c r="N835" s="402"/>
      <c r="O835" s="402"/>
      <c r="P835" s="402"/>
      <c r="Q835" s="402"/>
      <c r="R835" s="402"/>
      <c r="S835" s="402"/>
      <c r="T835" s="402"/>
      <c r="U835" s="402"/>
      <c r="V835" s="402"/>
      <c r="W835" s="402"/>
      <c r="X835" s="402"/>
      <c r="Y835" s="402"/>
      <c r="Z835" s="402"/>
    </row>
    <row r="836" ht="14.25" customHeight="1">
      <c r="A836" s="402"/>
      <c r="B836" s="402"/>
      <c r="C836" s="402"/>
      <c r="D836" s="402"/>
      <c r="E836" s="402"/>
      <c r="F836" s="403"/>
      <c r="G836" s="403"/>
      <c r="H836" s="402"/>
      <c r="I836" s="402"/>
      <c r="J836" s="402"/>
      <c r="K836" s="402"/>
      <c r="L836" s="402"/>
      <c r="M836" s="402"/>
      <c r="N836" s="402"/>
      <c r="O836" s="402"/>
      <c r="P836" s="402"/>
      <c r="Q836" s="402"/>
      <c r="R836" s="402"/>
      <c r="S836" s="402"/>
      <c r="T836" s="402"/>
      <c r="U836" s="402"/>
      <c r="V836" s="402"/>
      <c r="W836" s="402"/>
      <c r="X836" s="402"/>
      <c r="Y836" s="402"/>
      <c r="Z836" s="402"/>
    </row>
    <row r="837" ht="14.25" customHeight="1">
      <c r="A837" s="402"/>
      <c r="B837" s="402"/>
      <c r="C837" s="402"/>
      <c r="D837" s="402"/>
      <c r="E837" s="402"/>
      <c r="F837" s="403"/>
      <c r="G837" s="403"/>
      <c r="H837" s="402"/>
      <c r="I837" s="402"/>
      <c r="J837" s="402"/>
      <c r="K837" s="402"/>
      <c r="L837" s="402"/>
      <c r="M837" s="402"/>
      <c r="N837" s="402"/>
      <c r="O837" s="402"/>
      <c r="P837" s="402"/>
      <c r="Q837" s="402"/>
      <c r="R837" s="402"/>
      <c r="S837" s="402"/>
      <c r="T837" s="402"/>
      <c r="U837" s="402"/>
      <c r="V837" s="402"/>
      <c r="W837" s="402"/>
      <c r="X837" s="402"/>
      <c r="Y837" s="402"/>
      <c r="Z837" s="402"/>
    </row>
    <row r="838" ht="14.25" customHeight="1">
      <c r="A838" s="402"/>
      <c r="B838" s="402"/>
      <c r="C838" s="402"/>
      <c r="D838" s="402"/>
      <c r="E838" s="402"/>
      <c r="F838" s="403"/>
      <c r="G838" s="403"/>
      <c r="H838" s="402"/>
      <c r="I838" s="402"/>
      <c r="J838" s="402"/>
      <c r="K838" s="402"/>
      <c r="L838" s="402"/>
      <c r="M838" s="402"/>
      <c r="N838" s="402"/>
      <c r="O838" s="402"/>
      <c r="P838" s="402"/>
      <c r="Q838" s="402"/>
      <c r="R838" s="402"/>
      <c r="S838" s="402"/>
      <c r="T838" s="402"/>
      <c r="U838" s="402"/>
      <c r="V838" s="402"/>
      <c r="W838" s="402"/>
      <c r="X838" s="402"/>
      <c r="Y838" s="402"/>
      <c r="Z838" s="402"/>
    </row>
    <row r="839" ht="14.25" customHeight="1">
      <c r="A839" s="402"/>
      <c r="B839" s="402"/>
      <c r="C839" s="402"/>
      <c r="D839" s="402"/>
      <c r="E839" s="402"/>
      <c r="F839" s="403"/>
      <c r="G839" s="403"/>
      <c r="H839" s="402"/>
      <c r="I839" s="402"/>
      <c r="J839" s="402"/>
      <c r="K839" s="402"/>
      <c r="L839" s="402"/>
      <c r="M839" s="402"/>
      <c r="N839" s="402"/>
      <c r="O839" s="402"/>
      <c r="P839" s="402"/>
      <c r="Q839" s="402"/>
      <c r="R839" s="402"/>
      <c r="S839" s="402"/>
      <c r="T839" s="402"/>
      <c r="U839" s="402"/>
      <c r="V839" s="402"/>
      <c r="W839" s="402"/>
      <c r="X839" s="402"/>
      <c r="Y839" s="402"/>
      <c r="Z839" s="402"/>
    </row>
    <row r="840" ht="14.25" customHeight="1">
      <c r="A840" s="402"/>
      <c r="B840" s="402"/>
      <c r="C840" s="402"/>
      <c r="D840" s="402"/>
      <c r="E840" s="402"/>
      <c r="F840" s="403"/>
      <c r="G840" s="403"/>
      <c r="H840" s="402"/>
      <c r="I840" s="402"/>
      <c r="J840" s="402"/>
      <c r="K840" s="402"/>
      <c r="L840" s="402"/>
      <c r="M840" s="402"/>
      <c r="N840" s="402"/>
      <c r="O840" s="402"/>
      <c r="P840" s="402"/>
      <c r="Q840" s="402"/>
      <c r="R840" s="402"/>
      <c r="S840" s="402"/>
      <c r="T840" s="402"/>
      <c r="U840" s="402"/>
      <c r="V840" s="402"/>
      <c r="W840" s="402"/>
      <c r="X840" s="402"/>
      <c r="Y840" s="402"/>
      <c r="Z840" s="402"/>
    </row>
    <row r="841" ht="14.25" customHeight="1">
      <c r="A841" s="402"/>
      <c r="B841" s="402"/>
      <c r="C841" s="402"/>
      <c r="D841" s="402"/>
      <c r="E841" s="402"/>
      <c r="F841" s="403"/>
      <c r="G841" s="403"/>
      <c r="H841" s="402"/>
      <c r="I841" s="402"/>
      <c r="J841" s="402"/>
      <c r="K841" s="402"/>
      <c r="L841" s="402"/>
      <c r="M841" s="402"/>
      <c r="N841" s="402"/>
      <c r="O841" s="402"/>
      <c r="P841" s="402"/>
      <c r="Q841" s="402"/>
      <c r="R841" s="402"/>
      <c r="S841" s="402"/>
      <c r="T841" s="402"/>
      <c r="U841" s="402"/>
      <c r="V841" s="402"/>
      <c r="W841" s="402"/>
      <c r="X841" s="402"/>
      <c r="Y841" s="402"/>
      <c r="Z841" s="402"/>
    </row>
    <row r="842" ht="14.25" customHeight="1">
      <c r="A842" s="402"/>
      <c r="B842" s="402"/>
      <c r="C842" s="402"/>
      <c r="D842" s="402"/>
      <c r="E842" s="402"/>
      <c r="F842" s="403"/>
      <c r="G842" s="403"/>
      <c r="H842" s="402"/>
      <c r="I842" s="402"/>
      <c r="J842" s="402"/>
      <c r="K842" s="402"/>
      <c r="L842" s="402"/>
      <c r="M842" s="402"/>
      <c r="N842" s="402"/>
      <c r="O842" s="402"/>
      <c r="P842" s="402"/>
      <c r="Q842" s="402"/>
      <c r="R842" s="402"/>
      <c r="S842" s="402"/>
      <c r="T842" s="402"/>
      <c r="U842" s="402"/>
      <c r="V842" s="402"/>
      <c r="W842" s="402"/>
      <c r="X842" s="402"/>
      <c r="Y842" s="402"/>
      <c r="Z842" s="402"/>
    </row>
    <row r="843" ht="14.25" customHeight="1">
      <c r="A843" s="402"/>
      <c r="B843" s="402"/>
      <c r="C843" s="402"/>
      <c r="D843" s="402"/>
      <c r="E843" s="402"/>
      <c r="F843" s="403"/>
      <c r="G843" s="403"/>
      <c r="H843" s="402"/>
      <c r="I843" s="402"/>
      <c r="J843" s="402"/>
      <c r="K843" s="402"/>
      <c r="L843" s="402"/>
      <c r="M843" s="402"/>
      <c r="N843" s="402"/>
      <c r="O843" s="402"/>
      <c r="P843" s="402"/>
      <c r="Q843" s="402"/>
      <c r="R843" s="402"/>
      <c r="S843" s="402"/>
      <c r="T843" s="402"/>
      <c r="U843" s="402"/>
      <c r="V843" s="402"/>
      <c r="W843" s="402"/>
      <c r="X843" s="402"/>
      <c r="Y843" s="402"/>
      <c r="Z843" s="402"/>
    </row>
    <row r="844" ht="14.25" customHeight="1">
      <c r="A844" s="402"/>
      <c r="B844" s="402"/>
      <c r="C844" s="402"/>
      <c r="D844" s="402"/>
      <c r="E844" s="402"/>
      <c r="F844" s="403"/>
      <c r="G844" s="403"/>
      <c r="H844" s="402"/>
      <c r="I844" s="402"/>
      <c r="J844" s="402"/>
      <c r="K844" s="402"/>
      <c r="L844" s="402"/>
      <c r="M844" s="402"/>
      <c r="N844" s="402"/>
      <c r="O844" s="402"/>
      <c r="P844" s="402"/>
      <c r="Q844" s="402"/>
      <c r="R844" s="402"/>
      <c r="S844" s="402"/>
      <c r="T844" s="402"/>
      <c r="U844" s="402"/>
      <c r="V844" s="402"/>
      <c r="W844" s="402"/>
      <c r="X844" s="402"/>
      <c r="Y844" s="402"/>
      <c r="Z844" s="402"/>
    </row>
    <row r="845" ht="14.25" customHeight="1">
      <c r="A845" s="402"/>
      <c r="B845" s="402"/>
      <c r="C845" s="402"/>
      <c r="D845" s="402"/>
      <c r="E845" s="402"/>
      <c r="F845" s="403"/>
      <c r="G845" s="403"/>
      <c r="H845" s="402"/>
      <c r="I845" s="402"/>
      <c r="J845" s="402"/>
      <c r="K845" s="402"/>
      <c r="L845" s="402"/>
      <c r="M845" s="402"/>
      <c r="N845" s="402"/>
      <c r="O845" s="402"/>
      <c r="P845" s="402"/>
      <c r="Q845" s="402"/>
      <c r="R845" s="402"/>
      <c r="S845" s="402"/>
      <c r="T845" s="402"/>
      <c r="U845" s="402"/>
      <c r="V845" s="402"/>
      <c r="W845" s="402"/>
      <c r="X845" s="402"/>
      <c r="Y845" s="402"/>
      <c r="Z845" s="402"/>
    </row>
    <row r="846" ht="14.25" customHeight="1">
      <c r="A846" s="402"/>
      <c r="B846" s="402"/>
      <c r="C846" s="402"/>
      <c r="D846" s="402"/>
      <c r="E846" s="402"/>
      <c r="F846" s="403"/>
      <c r="G846" s="403"/>
      <c r="H846" s="402"/>
      <c r="I846" s="402"/>
      <c r="J846" s="402"/>
      <c r="K846" s="402"/>
      <c r="L846" s="402"/>
      <c r="M846" s="402"/>
      <c r="N846" s="402"/>
      <c r="O846" s="402"/>
      <c r="P846" s="402"/>
      <c r="Q846" s="402"/>
      <c r="R846" s="402"/>
      <c r="S846" s="402"/>
      <c r="T846" s="402"/>
      <c r="U846" s="402"/>
      <c r="V846" s="402"/>
      <c r="W846" s="402"/>
      <c r="X846" s="402"/>
      <c r="Y846" s="402"/>
      <c r="Z846" s="402"/>
    </row>
    <row r="847" ht="14.25" customHeight="1">
      <c r="A847" s="402"/>
      <c r="B847" s="402"/>
      <c r="C847" s="402"/>
      <c r="D847" s="402"/>
      <c r="E847" s="402"/>
      <c r="F847" s="403"/>
      <c r="G847" s="403"/>
      <c r="H847" s="402"/>
      <c r="I847" s="402"/>
      <c r="J847" s="402"/>
      <c r="K847" s="402"/>
      <c r="L847" s="402"/>
      <c r="M847" s="402"/>
      <c r="N847" s="402"/>
      <c r="O847" s="402"/>
      <c r="P847" s="402"/>
      <c r="Q847" s="402"/>
      <c r="R847" s="402"/>
      <c r="S847" s="402"/>
      <c r="T847" s="402"/>
      <c r="U847" s="402"/>
      <c r="V847" s="402"/>
      <c r="W847" s="402"/>
      <c r="X847" s="402"/>
      <c r="Y847" s="402"/>
      <c r="Z847" s="402"/>
    </row>
    <row r="848" ht="14.25" customHeight="1">
      <c r="A848" s="402"/>
      <c r="B848" s="402"/>
      <c r="C848" s="402"/>
      <c r="D848" s="402"/>
      <c r="E848" s="402"/>
      <c r="F848" s="403"/>
      <c r="G848" s="403"/>
      <c r="H848" s="402"/>
      <c r="I848" s="402"/>
      <c r="J848" s="402"/>
      <c r="K848" s="402"/>
      <c r="L848" s="402"/>
      <c r="M848" s="402"/>
      <c r="N848" s="402"/>
      <c r="O848" s="402"/>
      <c r="P848" s="402"/>
      <c r="Q848" s="402"/>
      <c r="R848" s="402"/>
      <c r="S848" s="402"/>
      <c r="T848" s="402"/>
      <c r="U848" s="402"/>
      <c r="V848" s="402"/>
      <c r="W848" s="402"/>
      <c r="X848" s="402"/>
      <c r="Y848" s="402"/>
      <c r="Z848" s="402"/>
    </row>
    <row r="849" ht="14.25" customHeight="1">
      <c r="A849" s="402"/>
      <c r="B849" s="402"/>
      <c r="C849" s="402"/>
      <c r="D849" s="402"/>
      <c r="E849" s="402"/>
      <c r="F849" s="403"/>
      <c r="G849" s="403"/>
      <c r="H849" s="402"/>
      <c r="I849" s="402"/>
      <c r="J849" s="402"/>
      <c r="K849" s="402"/>
      <c r="L849" s="402"/>
      <c r="M849" s="402"/>
      <c r="N849" s="402"/>
      <c r="O849" s="402"/>
      <c r="P849" s="402"/>
      <c r="Q849" s="402"/>
      <c r="R849" s="402"/>
      <c r="S849" s="402"/>
      <c r="T849" s="402"/>
      <c r="U849" s="402"/>
      <c r="V849" s="402"/>
      <c r="W849" s="402"/>
      <c r="X849" s="402"/>
      <c r="Y849" s="402"/>
      <c r="Z849" s="402"/>
    </row>
    <row r="850" ht="14.25" customHeight="1">
      <c r="A850" s="402"/>
      <c r="B850" s="402"/>
      <c r="C850" s="402"/>
      <c r="D850" s="402"/>
      <c r="E850" s="402"/>
      <c r="F850" s="403"/>
      <c r="G850" s="403"/>
      <c r="H850" s="402"/>
      <c r="I850" s="402"/>
      <c r="J850" s="402"/>
      <c r="K850" s="402"/>
      <c r="L850" s="402"/>
      <c r="M850" s="402"/>
      <c r="N850" s="402"/>
      <c r="O850" s="402"/>
      <c r="P850" s="402"/>
      <c r="Q850" s="402"/>
      <c r="R850" s="402"/>
      <c r="S850" s="402"/>
      <c r="T850" s="402"/>
      <c r="U850" s="402"/>
      <c r="V850" s="402"/>
      <c r="W850" s="402"/>
      <c r="X850" s="402"/>
      <c r="Y850" s="402"/>
      <c r="Z850" s="402"/>
    </row>
    <row r="851" ht="14.25" customHeight="1">
      <c r="A851" s="402"/>
      <c r="B851" s="402"/>
      <c r="C851" s="402"/>
      <c r="D851" s="402"/>
      <c r="E851" s="402"/>
      <c r="F851" s="403"/>
      <c r="G851" s="403"/>
      <c r="H851" s="402"/>
      <c r="I851" s="402"/>
      <c r="J851" s="402"/>
      <c r="K851" s="402"/>
      <c r="L851" s="402"/>
      <c r="M851" s="402"/>
      <c r="N851" s="402"/>
      <c r="O851" s="402"/>
      <c r="P851" s="402"/>
      <c r="Q851" s="402"/>
      <c r="R851" s="402"/>
      <c r="S851" s="402"/>
      <c r="T851" s="402"/>
      <c r="U851" s="402"/>
      <c r="V851" s="402"/>
      <c r="W851" s="402"/>
      <c r="X851" s="402"/>
      <c r="Y851" s="402"/>
      <c r="Z851" s="402"/>
    </row>
    <row r="852" ht="14.25" customHeight="1">
      <c r="A852" s="402"/>
      <c r="B852" s="402"/>
      <c r="C852" s="402"/>
      <c r="D852" s="402"/>
      <c r="E852" s="402"/>
      <c r="F852" s="403"/>
      <c r="G852" s="403"/>
      <c r="H852" s="402"/>
      <c r="I852" s="402"/>
      <c r="J852" s="402"/>
      <c r="K852" s="402"/>
      <c r="L852" s="402"/>
      <c r="M852" s="402"/>
      <c r="N852" s="402"/>
      <c r="O852" s="402"/>
      <c r="P852" s="402"/>
      <c r="Q852" s="402"/>
      <c r="R852" s="402"/>
      <c r="S852" s="402"/>
      <c r="T852" s="402"/>
      <c r="U852" s="402"/>
      <c r="V852" s="402"/>
      <c r="W852" s="402"/>
      <c r="X852" s="402"/>
      <c r="Y852" s="402"/>
      <c r="Z852" s="402"/>
    </row>
    <row r="853" ht="14.25" customHeight="1">
      <c r="A853" s="402"/>
      <c r="B853" s="402"/>
      <c r="C853" s="402"/>
      <c r="D853" s="402"/>
      <c r="E853" s="402"/>
      <c r="F853" s="403"/>
      <c r="G853" s="403"/>
      <c r="H853" s="402"/>
      <c r="I853" s="402"/>
      <c r="J853" s="402"/>
      <c r="K853" s="402"/>
      <c r="L853" s="402"/>
      <c r="M853" s="402"/>
      <c r="N853" s="402"/>
      <c r="O853" s="402"/>
      <c r="P853" s="402"/>
      <c r="Q853" s="402"/>
      <c r="R853" s="402"/>
      <c r="S853" s="402"/>
      <c r="T853" s="402"/>
      <c r="U853" s="402"/>
      <c r="V853" s="402"/>
      <c r="W853" s="402"/>
      <c r="X853" s="402"/>
      <c r="Y853" s="402"/>
      <c r="Z853" s="402"/>
    </row>
    <row r="854" ht="14.25" customHeight="1">
      <c r="A854" s="402"/>
      <c r="B854" s="402"/>
      <c r="C854" s="402"/>
      <c r="D854" s="402"/>
      <c r="E854" s="402"/>
      <c r="F854" s="403"/>
      <c r="G854" s="403"/>
      <c r="H854" s="402"/>
      <c r="I854" s="402"/>
      <c r="J854" s="402"/>
      <c r="K854" s="402"/>
      <c r="L854" s="402"/>
      <c r="M854" s="402"/>
      <c r="N854" s="402"/>
      <c r="O854" s="402"/>
      <c r="P854" s="402"/>
      <c r="Q854" s="402"/>
      <c r="R854" s="402"/>
      <c r="S854" s="402"/>
      <c r="T854" s="402"/>
      <c r="U854" s="402"/>
      <c r="V854" s="402"/>
      <c r="W854" s="402"/>
      <c r="X854" s="402"/>
      <c r="Y854" s="402"/>
      <c r="Z854" s="402"/>
    </row>
    <row r="855" ht="14.25" customHeight="1">
      <c r="A855" s="402"/>
      <c r="B855" s="402"/>
      <c r="C855" s="402"/>
      <c r="D855" s="402"/>
      <c r="E855" s="402"/>
      <c r="F855" s="403"/>
      <c r="G855" s="403"/>
      <c r="H855" s="402"/>
      <c r="I855" s="402"/>
      <c r="J855" s="402"/>
      <c r="K855" s="402"/>
      <c r="L855" s="402"/>
      <c r="M855" s="402"/>
      <c r="N855" s="402"/>
      <c r="O855" s="402"/>
      <c r="P855" s="402"/>
      <c r="Q855" s="402"/>
      <c r="R855" s="402"/>
      <c r="S855" s="402"/>
      <c r="T855" s="402"/>
      <c r="U855" s="402"/>
      <c r="V855" s="402"/>
      <c r="W855" s="402"/>
      <c r="X855" s="402"/>
      <c r="Y855" s="402"/>
      <c r="Z855" s="402"/>
    </row>
    <row r="856" ht="14.25" customHeight="1">
      <c r="A856" s="402"/>
      <c r="B856" s="402"/>
      <c r="C856" s="402"/>
      <c r="D856" s="402"/>
      <c r="E856" s="402"/>
      <c r="F856" s="403"/>
      <c r="G856" s="403"/>
      <c r="H856" s="402"/>
      <c r="I856" s="402"/>
      <c r="J856" s="402"/>
      <c r="K856" s="402"/>
      <c r="L856" s="402"/>
      <c r="M856" s="402"/>
      <c r="N856" s="402"/>
      <c r="O856" s="402"/>
      <c r="P856" s="402"/>
      <c r="Q856" s="402"/>
      <c r="R856" s="402"/>
      <c r="S856" s="402"/>
      <c r="T856" s="402"/>
      <c r="U856" s="402"/>
      <c r="V856" s="402"/>
      <c r="W856" s="402"/>
      <c r="X856" s="402"/>
      <c r="Y856" s="402"/>
      <c r="Z856" s="402"/>
    </row>
    <row r="857" ht="14.25" customHeight="1">
      <c r="A857" s="402"/>
      <c r="B857" s="402"/>
      <c r="C857" s="402"/>
      <c r="D857" s="402"/>
      <c r="E857" s="402"/>
      <c r="F857" s="403"/>
      <c r="G857" s="403"/>
      <c r="H857" s="402"/>
      <c r="I857" s="402"/>
      <c r="J857" s="402"/>
      <c r="K857" s="402"/>
      <c r="L857" s="402"/>
      <c r="M857" s="402"/>
      <c r="N857" s="402"/>
      <c r="O857" s="402"/>
      <c r="P857" s="402"/>
      <c r="Q857" s="402"/>
      <c r="R857" s="402"/>
      <c r="S857" s="402"/>
      <c r="T857" s="402"/>
      <c r="U857" s="402"/>
      <c r="V857" s="402"/>
      <c r="W857" s="402"/>
      <c r="X857" s="402"/>
      <c r="Y857" s="402"/>
      <c r="Z857" s="402"/>
    </row>
    <row r="858" ht="14.25" customHeight="1">
      <c r="A858" s="402"/>
      <c r="B858" s="402"/>
      <c r="C858" s="402"/>
      <c r="D858" s="402"/>
      <c r="E858" s="402"/>
      <c r="F858" s="403"/>
      <c r="G858" s="403"/>
      <c r="H858" s="402"/>
      <c r="I858" s="402"/>
      <c r="J858" s="402"/>
      <c r="K858" s="402"/>
      <c r="L858" s="402"/>
      <c r="M858" s="402"/>
      <c r="N858" s="402"/>
      <c r="O858" s="402"/>
      <c r="P858" s="402"/>
      <c r="Q858" s="402"/>
      <c r="R858" s="402"/>
      <c r="S858" s="402"/>
      <c r="T858" s="402"/>
      <c r="U858" s="402"/>
      <c r="V858" s="402"/>
      <c r="W858" s="402"/>
      <c r="X858" s="402"/>
      <c r="Y858" s="402"/>
      <c r="Z858" s="402"/>
    </row>
    <row r="859" ht="14.25" customHeight="1">
      <c r="A859" s="402"/>
      <c r="B859" s="402"/>
      <c r="C859" s="402"/>
      <c r="D859" s="402"/>
      <c r="E859" s="402"/>
      <c r="F859" s="403"/>
      <c r="G859" s="403"/>
      <c r="H859" s="402"/>
      <c r="I859" s="402"/>
      <c r="J859" s="402"/>
      <c r="K859" s="402"/>
      <c r="L859" s="402"/>
      <c r="M859" s="402"/>
      <c r="N859" s="402"/>
      <c r="O859" s="402"/>
      <c r="P859" s="402"/>
      <c r="Q859" s="402"/>
      <c r="R859" s="402"/>
      <c r="S859" s="402"/>
      <c r="T859" s="402"/>
      <c r="U859" s="402"/>
      <c r="V859" s="402"/>
      <c r="W859" s="402"/>
      <c r="X859" s="402"/>
      <c r="Y859" s="402"/>
      <c r="Z859" s="402"/>
    </row>
    <row r="860" ht="14.25" customHeight="1">
      <c r="A860" s="402"/>
      <c r="B860" s="402"/>
      <c r="C860" s="402"/>
      <c r="D860" s="402"/>
      <c r="E860" s="402"/>
      <c r="F860" s="403"/>
      <c r="G860" s="403"/>
      <c r="H860" s="402"/>
      <c r="I860" s="402"/>
      <c r="J860" s="402"/>
      <c r="K860" s="402"/>
      <c r="L860" s="402"/>
      <c r="M860" s="402"/>
      <c r="N860" s="402"/>
      <c r="O860" s="402"/>
      <c r="P860" s="402"/>
      <c r="Q860" s="402"/>
      <c r="R860" s="402"/>
      <c r="S860" s="402"/>
      <c r="T860" s="402"/>
      <c r="U860" s="402"/>
      <c r="V860" s="402"/>
      <c r="W860" s="402"/>
      <c r="X860" s="402"/>
      <c r="Y860" s="402"/>
      <c r="Z860" s="402"/>
    </row>
    <row r="861" ht="14.25" customHeight="1">
      <c r="A861" s="402"/>
      <c r="B861" s="402"/>
      <c r="C861" s="402"/>
      <c r="D861" s="402"/>
      <c r="E861" s="402"/>
      <c r="F861" s="403"/>
      <c r="G861" s="403"/>
      <c r="H861" s="402"/>
      <c r="I861" s="402"/>
      <c r="J861" s="402"/>
      <c r="K861" s="402"/>
      <c r="L861" s="402"/>
      <c r="M861" s="402"/>
      <c r="N861" s="402"/>
      <c r="O861" s="402"/>
      <c r="P861" s="402"/>
      <c r="Q861" s="402"/>
      <c r="R861" s="402"/>
      <c r="S861" s="402"/>
      <c r="T861" s="402"/>
      <c r="U861" s="402"/>
      <c r="V861" s="402"/>
      <c r="W861" s="402"/>
      <c r="X861" s="402"/>
      <c r="Y861" s="402"/>
      <c r="Z861" s="402"/>
    </row>
    <row r="862" ht="14.25" customHeight="1">
      <c r="A862" s="402"/>
      <c r="B862" s="402"/>
      <c r="C862" s="402"/>
      <c r="D862" s="402"/>
      <c r="E862" s="402"/>
      <c r="F862" s="403"/>
      <c r="G862" s="403"/>
      <c r="H862" s="402"/>
      <c r="I862" s="402"/>
      <c r="J862" s="402"/>
      <c r="K862" s="402"/>
      <c r="L862" s="402"/>
      <c r="M862" s="402"/>
      <c r="N862" s="402"/>
      <c r="O862" s="402"/>
      <c r="P862" s="402"/>
      <c r="Q862" s="402"/>
      <c r="R862" s="402"/>
      <c r="S862" s="402"/>
      <c r="T862" s="402"/>
      <c r="U862" s="402"/>
      <c r="V862" s="402"/>
      <c r="W862" s="402"/>
      <c r="X862" s="402"/>
      <c r="Y862" s="402"/>
      <c r="Z862" s="402"/>
    </row>
    <row r="863" ht="14.25" customHeight="1">
      <c r="A863" s="402"/>
      <c r="B863" s="402"/>
      <c r="C863" s="402"/>
      <c r="D863" s="402"/>
      <c r="E863" s="402"/>
      <c r="F863" s="403"/>
      <c r="G863" s="403"/>
      <c r="H863" s="402"/>
      <c r="I863" s="402"/>
      <c r="J863" s="402"/>
      <c r="K863" s="402"/>
      <c r="L863" s="402"/>
      <c r="M863" s="402"/>
      <c r="N863" s="402"/>
      <c r="O863" s="402"/>
      <c r="P863" s="402"/>
      <c r="Q863" s="402"/>
      <c r="R863" s="402"/>
      <c r="S863" s="402"/>
      <c r="T863" s="402"/>
      <c r="U863" s="402"/>
      <c r="V863" s="402"/>
      <c r="W863" s="402"/>
      <c r="X863" s="402"/>
      <c r="Y863" s="402"/>
      <c r="Z863" s="402"/>
    </row>
    <row r="864" ht="14.25" customHeight="1">
      <c r="A864" s="402"/>
      <c r="B864" s="402"/>
      <c r="C864" s="402"/>
      <c r="D864" s="402"/>
      <c r="E864" s="402"/>
      <c r="F864" s="403"/>
      <c r="G864" s="403"/>
      <c r="H864" s="402"/>
      <c r="I864" s="402"/>
      <c r="J864" s="402"/>
      <c r="K864" s="402"/>
      <c r="L864" s="402"/>
      <c r="M864" s="402"/>
      <c r="N864" s="402"/>
      <c r="O864" s="402"/>
      <c r="P864" s="402"/>
      <c r="Q864" s="402"/>
      <c r="R864" s="402"/>
      <c r="S864" s="402"/>
      <c r="T864" s="402"/>
      <c r="U864" s="402"/>
      <c r="V864" s="402"/>
      <c r="W864" s="402"/>
      <c r="X864" s="402"/>
      <c r="Y864" s="402"/>
      <c r="Z864" s="402"/>
    </row>
    <row r="865" ht="14.25" customHeight="1">
      <c r="A865" s="402"/>
      <c r="B865" s="402"/>
      <c r="C865" s="402"/>
      <c r="D865" s="402"/>
      <c r="E865" s="402"/>
      <c r="F865" s="403"/>
      <c r="G865" s="403"/>
      <c r="H865" s="402"/>
      <c r="I865" s="402"/>
      <c r="J865" s="402"/>
      <c r="K865" s="402"/>
      <c r="L865" s="402"/>
      <c r="M865" s="402"/>
      <c r="N865" s="402"/>
      <c r="O865" s="402"/>
      <c r="P865" s="402"/>
      <c r="Q865" s="402"/>
      <c r="R865" s="402"/>
      <c r="S865" s="402"/>
      <c r="T865" s="402"/>
      <c r="U865" s="402"/>
      <c r="V865" s="402"/>
      <c r="W865" s="402"/>
      <c r="X865" s="402"/>
      <c r="Y865" s="402"/>
      <c r="Z865" s="402"/>
    </row>
    <row r="866" ht="14.25" customHeight="1">
      <c r="A866" s="402"/>
      <c r="B866" s="402"/>
      <c r="C866" s="402"/>
      <c r="D866" s="402"/>
      <c r="E866" s="402"/>
      <c r="F866" s="403"/>
      <c r="G866" s="403"/>
      <c r="H866" s="402"/>
      <c r="I866" s="402"/>
      <c r="J866" s="402"/>
      <c r="K866" s="402"/>
      <c r="L866" s="402"/>
      <c r="M866" s="402"/>
      <c r="N866" s="402"/>
      <c r="O866" s="402"/>
      <c r="P866" s="402"/>
      <c r="Q866" s="402"/>
      <c r="R866" s="402"/>
      <c r="S866" s="402"/>
      <c r="T866" s="402"/>
      <c r="U866" s="402"/>
      <c r="V866" s="402"/>
      <c r="W866" s="402"/>
      <c r="X866" s="402"/>
      <c r="Y866" s="402"/>
      <c r="Z866" s="402"/>
    </row>
    <row r="867" ht="14.25" customHeight="1">
      <c r="A867" s="402"/>
      <c r="B867" s="402"/>
      <c r="C867" s="402"/>
      <c r="D867" s="402"/>
      <c r="E867" s="402"/>
      <c r="F867" s="403"/>
      <c r="G867" s="403"/>
      <c r="H867" s="402"/>
      <c r="I867" s="402"/>
      <c r="J867" s="402"/>
      <c r="K867" s="402"/>
      <c r="L867" s="402"/>
      <c r="M867" s="402"/>
      <c r="N867" s="402"/>
      <c r="O867" s="402"/>
      <c r="P867" s="402"/>
      <c r="Q867" s="402"/>
      <c r="R867" s="402"/>
      <c r="S867" s="402"/>
      <c r="T867" s="402"/>
      <c r="U867" s="402"/>
      <c r="V867" s="402"/>
      <c r="W867" s="402"/>
      <c r="X867" s="402"/>
      <c r="Y867" s="402"/>
      <c r="Z867" s="402"/>
    </row>
    <row r="868" ht="14.25" customHeight="1">
      <c r="A868" s="402"/>
      <c r="B868" s="402"/>
      <c r="C868" s="402"/>
      <c r="D868" s="402"/>
      <c r="E868" s="402"/>
      <c r="F868" s="403"/>
      <c r="G868" s="403"/>
      <c r="H868" s="402"/>
      <c r="I868" s="402"/>
      <c r="J868" s="402"/>
      <c r="K868" s="402"/>
      <c r="L868" s="402"/>
      <c r="M868" s="402"/>
      <c r="N868" s="402"/>
      <c r="O868" s="402"/>
      <c r="P868" s="402"/>
      <c r="Q868" s="402"/>
      <c r="R868" s="402"/>
      <c r="S868" s="402"/>
      <c r="T868" s="402"/>
      <c r="U868" s="402"/>
      <c r="V868" s="402"/>
      <c r="W868" s="402"/>
      <c r="X868" s="402"/>
      <c r="Y868" s="402"/>
      <c r="Z868" s="402"/>
    </row>
    <row r="869" ht="14.25" customHeight="1">
      <c r="A869" s="402"/>
      <c r="B869" s="402"/>
      <c r="C869" s="402"/>
      <c r="D869" s="402"/>
      <c r="E869" s="402"/>
      <c r="F869" s="403"/>
      <c r="G869" s="403"/>
      <c r="H869" s="402"/>
      <c r="I869" s="402"/>
      <c r="J869" s="402"/>
      <c r="K869" s="402"/>
      <c r="L869" s="402"/>
      <c r="M869" s="402"/>
      <c r="N869" s="402"/>
      <c r="O869" s="402"/>
      <c r="P869" s="402"/>
      <c r="Q869" s="402"/>
      <c r="R869" s="402"/>
      <c r="S869" s="402"/>
      <c r="T869" s="402"/>
      <c r="U869" s="402"/>
      <c r="V869" s="402"/>
      <c r="W869" s="402"/>
      <c r="X869" s="402"/>
      <c r="Y869" s="402"/>
      <c r="Z869" s="402"/>
    </row>
    <row r="870" ht="14.25" customHeight="1">
      <c r="A870" s="402"/>
      <c r="B870" s="402"/>
      <c r="C870" s="402"/>
      <c r="D870" s="402"/>
      <c r="E870" s="402"/>
      <c r="F870" s="403"/>
      <c r="G870" s="403"/>
      <c r="H870" s="402"/>
      <c r="I870" s="402"/>
      <c r="J870" s="402"/>
      <c r="K870" s="402"/>
      <c r="L870" s="402"/>
      <c r="M870" s="402"/>
      <c r="N870" s="402"/>
      <c r="O870" s="402"/>
      <c r="P870" s="402"/>
      <c r="Q870" s="402"/>
      <c r="R870" s="402"/>
      <c r="S870" s="402"/>
      <c r="T870" s="402"/>
      <c r="U870" s="402"/>
      <c r="V870" s="402"/>
      <c r="W870" s="402"/>
      <c r="X870" s="402"/>
      <c r="Y870" s="402"/>
      <c r="Z870" s="402"/>
    </row>
    <row r="871" ht="14.25" customHeight="1">
      <c r="A871" s="402"/>
      <c r="B871" s="402"/>
      <c r="C871" s="402"/>
      <c r="D871" s="402"/>
      <c r="E871" s="402"/>
      <c r="F871" s="403"/>
      <c r="G871" s="403"/>
      <c r="H871" s="402"/>
      <c r="I871" s="402"/>
      <c r="J871" s="402"/>
      <c r="K871" s="402"/>
      <c r="L871" s="402"/>
      <c r="M871" s="402"/>
      <c r="N871" s="402"/>
      <c r="O871" s="402"/>
      <c r="P871" s="402"/>
      <c r="Q871" s="402"/>
      <c r="R871" s="402"/>
      <c r="S871" s="402"/>
      <c r="T871" s="402"/>
      <c r="U871" s="402"/>
      <c r="V871" s="402"/>
      <c r="W871" s="402"/>
      <c r="X871" s="402"/>
      <c r="Y871" s="402"/>
      <c r="Z871" s="402"/>
    </row>
    <row r="872" ht="14.25" customHeight="1">
      <c r="A872" s="402"/>
      <c r="B872" s="402"/>
      <c r="C872" s="402"/>
      <c r="D872" s="402"/>
      <c r="E872" s="402"/>
      <c r="F872" s="403"/>
      <c r="G872" s="403"/>
      <c r="H872" s="402"/>
      <c r="I872" s="402"/>
      <c r="J872" s="402"/>
      <c r="K872" s="402"/>
      <c r="L872" s="402"/>
      <c r="M872" s="402"/>
      <c r="N872" s="402"/>
      <c r="O872" s="402"/>
      <c r="P872" s="402"/>
      <c r="Q872" s="402"/>
      <c r="R872" s="402"/>
      <c r="S872" s="402"/>
      <c r="T872" s="402"/>
      <c r="U872" s="402"/>
      <c r="V872" s="402"/>
      <c r="W872" s="402"/>
      <c r="X872" s="402"/>
      <c r="Y872" s="402"/>
      <c r="Z872" s="402"/>
    </row>
    <row r="873" ht="14.25" customHeight="1">
      <c r="A873" s="402"/>
      <c r="B873" s="402"/>
      <c r="C873" s="402"/>
      <c r="D873" s="402"/>
      <c r="E873" s="402"/>
      <c r="F873" s="403"/>
      <c r="G873" s="403"/>
      <c r="H873" s="402"/>
      <c r="I873" s="402"/>
      <c r="J873" s="402"/>
      <c r="K873" s="402"/>
      <c r="L873" s="402"/>
      <c r="M873" s="402"/>
      <c r="N873" s="402"/>
      <c r="O873" s="402"/>
      <c r="P873" s="402"/>
      <c r="Q873" s="402"/>
      <c r="R873" s="402"/>
      <c r="S873" s="402"/>
      <c r="T873" s="402"/>
      <c r="U873" s="402"/>
      <c r="V873" s="402"/>
      <c r="W873" s="402"/>
      <c r="X873" s="402"/>
      <c r="Y873" s="402"/>
      <c r="Z873" s="402"/>
    </row>
    <row r="874" ht="14.25" customHeight="1">
      <c r="A874" s="402"/>
      <c r="B874" s="402"/>
      <c r="C874" s="402"/>
      <c r="D874" s="402"/>
      <c r="E874" s="402"/>
      <c r="F874" s="403"/>
      <c r="G874" s="403"/>
      <c r="H874" s="402"/>
      <c r="I874" s="402"/>
      <c r="J874" s="402"/>
      <c r="K874" s="402"/>
      <c r="L874" s="402"/>
      <c r="M874" s="402"/>
      <c r="N874" s="402"/>
      <c r="O874" s="402"/>
      <c r="P874" s="402"/>
      <c r="Q874" s="402"/>
      <c r="R874" s="402"/>
      <c r="S874" s="402"/>
      <c r="T874" s="402"/>
      <c r="U874" s="402"/>
      <c r="V874" s="402"/>
      <c r="W874" s="402"/>
      <c r="X874" s="402"/>
      <c r="Y874" s="402"/>
      <c r="Z874" s="402"/>
    </row>
    <row r="875" ht="14.25" customHeight="1">
      <c r="A875" s="402"/>
      <c r="B875" s="402"/>
      <c r="C875" s="402"/>
      <c r="D875" s="402"/>
      <c r="E875" s="402"/>
      <c r="F875" s="403"/>
      <c r="G875" s="403"/>
      <c r="H875" s="402"/>
      <c r="I875" s="402"/>
      <c r="J875" s="402"/>
      <c r="K875" s="402"/>
      <c r="L875" s="402"/>
      <c r="M875" s="402"/>
      <c r="N875" s="402"/>
      <c r="O875" s="402"/>
      <c r="P875" s="402"/>
      <c r="Q875" s="402"/>
      <c r="R875" s="402"/>
      <c r="S875" s="402"/>
      <c r="T875" s="402"/>
      <c r="U875" s="402"/>
      <c r="V875" s="402"/>
      <c r="W875" s="402"/>
      <c r="X875" s="402"/>
      <c r="Y875" s="402"/>
      <c r="Z875" s="402"/>
    </row>
    <row r="876" ht="14.25" customHeight="1">
      <c r="A876" s="402"/>
      <c r="B876" s="402"/>
      <c r="C876" s="402"/>
      <c r="D876" s="402"/>
      <c r="E876" s="402"/>
      <c r="F876" s="403"/>
      <c r="G876" s="403"/>
      <c r="H876" s="402"/>
      <c r="I876" s="402"/>
      <c r="J876" s="402"/>
      <c r="K876" s="402"/>
      <c r="L876" s="402"/>
      <c r="M876" s="402"/>
      <c r="N876" s="402"/>
      <c r="O876" s="402"/>
      <c r="P876" s="402"/>
      <c r="Q876" s="402"/>
      <c r="R876" s="402"/>
      <c r="S876" s="402"/>
      <c r="T876" s="402"/>
      <c r="U876" s="402"/>
      <c r="V876" s="402"/>
      <c r="W876" s="402"/>
      <c r="X876" s="402"/>
      <c r="Y876" s="402"/>
      <c r="Z876" s="402"/>
    </row>
    <row r="877" ht="14.25" customHeight="1">
      <c r="A877" s="402"/>
      <c r="B877" s="402"/>
      <c r="C877" s="402"/>
      <c r="D877" s="402"/>
      <c r="E877" s="402"/>
      <c r="F877" s="403"/>
      <c r="G877" s="403"/>
      <c r="H877" s="402"/>
      <c r="I877" s="402"/>
      <c r="J877" s="402"/>
      <c r="K877" s="402"/>
      <c r="L877" s="402"/>
      <c r="M877" s="402"/>
      <c r="N877" s="402"/>
      <c r="O877" s="402"/>
      <c r="P877" s="402"/>
      <c r="Q877" s="402"/>
      <c r="R877" s="402"/>
      <c r="S877" s="402"/>
      <c r="T877" s="402"/>
      <c r="U877" s="402"/>
      <c r="V877" s="402"/>
      <c r="W877" s="402"/>
      <c r="X877" s="402"/>
      <c r="Y877" s="402"/>
      <c r="Z877" s="402"/>
    </row>
    <row r="878" ht="14.25" customHeight="1">
      <c r="A878" s="402"/>
      <c r="B878" s="402"/>
      <c r="C878" s="402"/>
      <c r="D878" s="402"/>
      <c r="E878" s="402"/>
      <c r="F878" s="403"/>
      <c r="G878" s="403"/>
      <c r="H878" s="402"/>
      <c r="I878" s="402"/>
      <c r="J878" s="402"/>
      <c r="K878" s="402"/>
      <c r="L878" s="402"/>
      <c r="M878" s="402"/>
      <c r="N878" s="402"/>
      <c r="O878" s="402"/>
      <c r="P878" s="402"/>
      <c r="Q878" s="402"/>
      <c r="R878" s="402"/>
      <c r="S878" s="402"/>
      <c r="T878" s="402"/>
      <c r="U878" s="402"/>
      <c r="V878" s="402"/>
      <c r="W878" s="402"/>
      <c r="X878" s="402"/>
      <c r="Y878" s="402"/>
      <c r="Z878" s="402"/>
    </row>
    <row r="879" ht="14.25" customHeight="1">
      <c r="A879" s="402"/>
      <c r="B879" s="402"/>
      <c r="C879" s="402"/>
      <c r="D879" s="402"/>
      <c r="E879" s="402"/>
      <c r="F879" s="403"/>
      <c r="G879" s="403"/>
      <c r="H879" s="402"/>
      <c r="I879" s="402"/>
      <c r="J879" s="402"/>
      <c r="K879" s="402"/>
      <c r="L879" s="402"/>
      <c r="M879" s="402"/>
      <c r="N879" s="402"/>
      <c r="O879" s="402"/>
      <c r="P879" s="402"/>
      <c r="Q879" s="402"/>
      <c r="R879" s="402"/>
      <c r="S879" s="402"/>
      <c r="T879" s="402"/>
      <c r="U879" s="402"/>
      <c r="V879" s="402"/>
      <c r="W879" s="402"/>
      <c r="X879" s="402"/>
      <c r="Y879" s="402"/>
      <c r="Z879" s="402"/>
    </row>
    <row r="880" ht="14.25" customHeight="1">
      <c r="A880" s="402"/>
      <c r="B880" s="402"/>
      <c r="C880" s="402"/>
      <c r="D880" s="402"/>
      <c r="E880" s="402"/>
      <c r="F880" s="403"/>
      <c r="G880" s="403"/>
      <c r="H880" s="402"/>
      <c r="I880" s="402"/>
      <c r="J880" s="402"/>
      <c r="K880" s="402"/>
      <c r="L880" s="402"/>
      <c r="M880" s="402"/>
      <c r="N880" s="402"/>
      <c r="O880" s="402"/>
      <c r="P880" s="402"/>
      <c r="Q880" s="402"/>
      <c r="R880" s="402"/>
      <c r="S880" s="402"/>
      <c r="T880" s="402"/>
      <c r="U880" s="402"/>
      <c r="V880" s="402"/>
      <c r="W880" s="402"/>
      <c r="X880" s="402"/>
      <c r="Y880" s="402"/>
      <c r="Z880" s="402"/>
    </row>
    <row r="881" ht="14.25" customHeight="1">
      <c r="A881" s="402"/>
      <c r="B881" s="402"/>
      <c r="C881" s="402"/>
      <c r="D881" s="402"/>
      <c r="E881" s="402"/>
      <c r="F881" s="403"/>
      <c r="G881" s="403"/>
      <c r="H881" s="402"/>
      <c r="I881" s="402"/>
      <c r="J881" s="402"/>
      <c r="K881" s="402"/>
      <c r="L881" s="402"/>
      <c r="M881" s="402"/>
      <c r="N881" s="402"/>
      <c r="O881" s="402"/>
      <c r="P881" s="402"/>
      <c r="Q881" s="402"/>
      <c r="R881" s="402"/>
      <c r="S881" s="402"/>
      <c r="T881" s="402"/>
      <c r="U881" s="402"/>
      <c r="V881" s="402"/>
      <c r="W881" s="402"/>
      <c r="X881" s="402"/>
      <c r="Y881" s="402"/>
      <c r="Z881" s="402"/>
    </row>
    <row r="882" ht="14.25" customHeight="1">
      <c r="A882" s="402"/>
      <c r="B882" s="402"/>
      <c r="C882" s="402"/>
      <c r="D882" s="402"/>
      <c r="E882" s="402"/>
      <c r="F882" s="403"/>
      <c r="G882" s="403"/>
      <c r="H882" s="402"/>
      <c r="I882" s="402"/>
      <c r="J882" s="402"/>
      <c r="K882" s="402"/>
      <c r="L882" s="402"/>
      <c r="M882" s="402"/>
      <c r="N882" s="402"/>
      <c r="O882" s="402"/>
      <c r="P882" s="402"/>
      <c r="Q882" s="402"/>
      <c r="R882" s="402"/>
      <c r="S882" s="402"/>
      <c r="T882" s="402"/>
      <c r="U882" s="402"/>
      <c r="V882" s="402"/>
      <c r="W882" s="402"/>
      <c r="X882" s="402"/>
      <c r="Y882" s="402"/>
      <c r="Z882" s="402"/>
    </row>
    <row r="883" ht="14.25" customHeight="1">
      <c r="A883" s="402"/>
      <c r="B883" s="402"/>
      <c r="C883" s="402"/>
      <c r="D883" s="402"/>
      <c r="E883" s="402"/>
      <c r="F883" s="403"/>
      <c r="G883" s="403"/>
      <c r="H883" s="402"/>
      <c r="I883" s="402"/>
      <c r="J883" s="402"/>
      <c r="K883" s="402"/>
      <c r="L883" s="402"/>
      <c r="M883" s="402"/>
      <c r="N883" s="402"/>
      <c r="O883" s="402"/>
      <c r="P883" s="402"/>
      <c r="Q883" s="402"/>
      <c r="R883" s="402"/>
      <c r="S883" s="402"/>
      <c r="T883" s="402"/>
      <c r="U883" s="402"/>
      <c r="V883" s="402"/>
      <c r="W883" s="402"/>
      <c r="X883" s="402"/>
      <c r="Y883" s="402"/>
      <c r="Z883" s="402"/>
    </row>
    <row r="884" ht="14.25" customHeight="1">
      <c r="A884" s="402"/>
      <c r="B884" s="402"/>
      <c r="C884" s="402"/>
      <c r="D884" s="402"/>
      <c r="E884" s="402"/>
      <c r="F884" s="403"/>
      <c r="G884" s="403"/>
      <c r="H884" s="402"/>
      <c r="I884" s="402"/>
      <c r="J884" s="402"/>
      <c r="K884" s="402"/>
      <c r="L884" s="402"/>
      <c r="M884" s="402"/>
      <c r="N884" s="402"/>
      <c r="O884" s="402"/>
      <c r="P884" s="402"/>
      <c r="Q884" s="402"/>
      <c r="R884" s="402"/>
      <c r="S884" s="402"/>
      <c r="T884" s="402"/>
      <c r="U884" s="402"/>
      <c r="V884" s="402"/>
      <c r="W884" s="402"/>
      <c r="X884" s="402"/>
      <c r="Y884" s="402"/>
      <c r="Z884" s="402"/>
    </row>
    <row r="885" ht="14.25" customHeight="1">
      <c r="A885" s="402"/>
      <c r="B885" s="402"/>
      <c r="C885" s="402"/>
      <c r="D885" s="402"/>
      <c r="E885" s="402"/>
      <c r="F885" s="403"/>
      <c r="G885" s="403"/>
      <c r="H885" s="402"/>
      <c r="I885" s="402"/>
      <c r="J885" s="402"/>
      <c r="K885" s="402"/>
      <c r="L885" s="402"/>
      <c r="M885" s="402"/>
      <c r="N885" s="402"/>
      <c r="O885" s="402"/>
      <c r="P885" s="402"/>
      <c r="Q885" s="402"/>
      <c r="R885" s="402"/>
      <c r="S885" s="402"/>
      <c r="T885" s="402"/>
      <c r="U885" s="402"/>
      <c r="V885" s="402"/>
      <c r="W885" s="402"/>
      <c r="X885" s="402"/>
      <c r="Y885" s="402"/>
      <c r="Z885" s="402"/>
    </row>
    <row r="886" ht="14.25" customHeight="1">
      <c r="A886" s="402"/>
      <c r="B886" s="402"/>
      <c r="C886" s="402"/>
      <c r="D886" s="402"/>
      <c r="E886" s="402"/>
      <c r="F886" s="403"/>
      <c r="G886" s="403"/>
      <c r="H886" s="402"/>
      <c r="I886" s="402"/>
      <c r="J886" s="402"/>
      <c r="K886" s="402"/>
      <c r="L886" s="402"/>
      <c r="M886" s="402"/>
      <c r="N886" s="402"/>
      <c r="O886" s="402"/>
      <c r="P886" s="402"/>
      <c r="Q886" s="402"/>
      <c r="R886" s="402"/>
      <c r="S886" s="402"/>
      <c r="T886" s="402"/>
      <c r="U886" s="402"/>
      <c r="V886" s="402"/>
      <c r="W886" s="402"/>
      <c r="X886" s="402"/>
      <c r="Y886" s="402"/>
      <c r="Z886" s="402"/>
    </row>
    <row r="887" ht="14.25" customHeight="1">
      <c r="A887" s="402"/>
      <c r="B887" s="402"/>
      <c r="C887" s="402"/>
      <c r="D887" s="402"/>
      <c r="E887" s="402"/>
      <c r="F887" s="403"/>
      <c r="G887" s="403"/>
      <c r="H887" s="402"/>
      <c r="I887" s="402"/>
      <c r="J887" s="402"/>
      <c r="K887" s="402"/>
      <c r="L887" s="402"/>
      <c r="M887" s="402"/>
      <c r="N887" s="402"/>
      <c r="O887" s="402"/>
      <c r="P887" s="402"/>
      <c r="Q887" s="402"/>
      <c r="R887" s="402"/>
      <c r="S887" s="402"/>
      <c r="T887" s="402"/>
      <c r="U887" s="402"/>
      <c r="V887" s="402"/>
      <c r="W887" s="402"/>
      <c r="X887" s="402"/>
      <c r="Y887" s="402"/>
      <c r="Z887" s="402"/>
    </row>
    <row r="888" ht="14.25" customHeight="1">
      <c r="A888" s="402"/>
      <c r="B888" s="402"/>
      <c r="C888" s="402"/>
      <c r="D888" s="402"/>
      <c r="E888" s="402"/>
      <c r="F888" s="403"/>
      <c r="G888" s="403"/>
      <c r="H888" s="402"/>
      <c r="I888" s="402"/>
      <c r="J888" s="402"/>
      <c r="K888" s="402"/>
      <c r="L888" s="402"/>
      <c r="M888" s="402"/>
      <c r="N888" s="402"/>
      <c r="O888" s="402"/>
      <c r="P888" s="402"/>
      <c r="Q888" s="402"/>
      <c r="R888" s="402"/>
      <c r="S888" s="402"/>
      <c r="T888" s="402"/>
      <c r="U888" s="402"/>
      <c r="V888" s="402"/>
      <c r="W888" s="402"/>
      <c r="X888" s="402"/>
      <c r="Y888" s="402"/>
      <c r="Z888" s="402"/>
    </row>
    <row r="889" ht="14.25" customHeight="1">
      <c r="A889" s="402"/>
      <c r="B889" s="402"/>
      <c r="C889" s="402"/>
      <c r="D889" s="402"/>
      <c r="E889" s="402"/>
      <c r="F889" s="403"/>
      <c r="G889" s="403"/>
      <c r="H889" s="402"/>
      <c r="I889" s="402"/>
      <c r="J889" s="402"/>
      <c r="K889" s="402"/>
      <c r="L889" s="402"/>
      <c r="M889" s="402"/>
      <c r="N889" s="402"/>
      <c r="O889" s="402"/>
      <c r="P889" s="402"/>
      <c r="Q889" s="402"/>
      <c r="R889" s="402"/>
      <c r="S889" s="402"/>
      <c r="T889" s="402"/>
      <c r="U889" s="402"/>
      <c r="V889" s="402"/>
      <c r="W889" s="402"/>
      <c r="X889" s="402"/>
      <c r="Y889" s="402"/>
      <c r="Z889" s="402"/>
    </row>
    <row r="890" ht="14.25" customHeight="1">
      <c r="A890" s="402"/>
      <c r="B890" s="402"/>
      <c r="C890" s="402"/>
      <c r="D890" s="402"/>
      <c r="E890" s="402"/>
      <c r="F890" s="403"/>
      <c r="G890" s="403"/>
      <c r="H890" s="402"/>
      <c r="I890" s="402"/>
      <c r="J890" s="402"/>
      <c r="K890" s="402"/>
      <c r="L890" s="402"/>
      <c r="M890" s="402"/>
      <c r="N890" s="402"/>
      <c r="O890" s="402"/>
      <c r="P890" s="402"/>
      <c r="Q890" s="402"/>
      <c r="R890" s="402"/>
      <c r="S890" s="402"/>
      <c r="T890" s="402"/>
      <c r="U890" s="402"/>
      <c r="V890" s="402"/>
      <c r="W890" s="402"/>
      <c r="X890" s="402"/>
      <c r="Y890" s="402"/>
      <c r="Z890" s="402"/>
    </row>
    <row r="891" ht="14.25" customHeight="1">
      <c r="A891" s="402"/>
      <c r="B891" s="402"/>
      <c r="C891" s="402"/>
      <c r="D891" s="402"/>
      <c r="E891" s="402"/>
      <c r="F891" s="403"/>
      <c r="G891" s="403"/>
      <c r="H891" s="402"/>
      <c r="I891" s="402"/>
      <c r="J891" s="402"/>
      <c r="K891" s="402"/>
      <c r="L891" s="402"/>
      <c r="M891" s="402"/>
      <c r="N891" s="402"/>
      <c r="O891" s="402"/>
      <c r="P891" s="402"/>
      <c r="Q891" s="402"/>
      <c r="R891" s="402"/>
      <c r="S891" s="402"/>
      <c r="T891" s="402"/>
      <c r="U891" s="402"/>
      <c r="V891" s="402"/>
      <c r="W891" s="402"/>
      <c r="X891" s="402"/>
      <c r="Y891" s="402"/>
      <c r="Z891" s="402"/>
    </row>
    <row r="892" ht="14.25" customHeight="1">
      <c r="A892" s="402"/>
      <c r="B892" s="402"/>
      <c r="C892" s="402"/>
      <c r="D892" s="402"/>
      <c r="E892" s="402"/>
      <c r="F892" s="403"/>
      <c r="G892" s="403"/>
      <c r="H892" s="402"/>
      <c r="I892" s="402"/>
      <c r="J892" s="402"/>
      <c r="K892" s="402"/>
      <c r="L892" s="402"/>
      <c r="M892" s="402"/>
      <c r="N892" s="402"/>
      <c r="O892" s="402"/>
      <c r="P892" s="402"/>
      <c r="Q892" s="402"/>
      <c r="R892" s="402"/>
      <c r="S892" s="402"/>
      <c r="T892" s="402"/>
      <c r="U892" s="402"/>
      <c r="V892" s="402"/>
      <c r="W892" s="402"/>
      <c r="X892" s="402"/>
      <c r="Y892" s="402"/>
      <c r="Z892" s="402"/>
    </row>
    <row r="893" ht="14.25" customHeight="1">
      <c r="A893" s="402"/>
      <c r="B893" s="402"/>
      <c r="C893" s="402"/>
      <c r="D893" s="402"/>
      <c r="E893" s="402"/>
      <c r="F893" s="403"/>
      <c r="G893" s="403"/>
      <c r="H893" s="402"/>
      <c r="I893" s="402"/>
      <c r="J893" s="402"/>
      <c r="K893" s="402"/>
      <c r="L893" s="402"/>
      <c r="M893" s="402"/>
      <c r="N893" s="402"/>
      <c r="O893" s="402"/>
      <c r="P893" s="402"/>
      <c r="Q893" s="402"/>
      <c r="R893" s="402"/>
      <c r="S893" s="402"/>
      <c r="T893" s="402"/>
      <c r="U893" s="402"/>
      <c r="V893" s="402"/>
      <c r="W893" s="402"/>
      <c r="X893" s="402"/>
      <c r="Y893" s="402"/>
      <c r="Z893" s="402"/>
    </row>
    <row r="894" ht="14.25" customHeight="1">
      <c r="A894" s="402"/>
      <c r="B894" s="402"/>
      <c r="C894" s="402"/>
      <c r="D894" s="402"/>
      <c r="E894" s="402"/>
      <c r="F894" s="403"/>
      <c r="G894" s="403"/>
      <c r="H894" s="402"/>
      <c r="I894" s="402"/>
      <c r="J894" s="402"/>
      <c r="K894" s="402"/>
      <c r="L894" s="402"/>
      <c r="M894" s="402"/>
      <c r="N894" s="402"/>
      <c r="O894" s="402"/>
      <c r="P894" s="402"/>
      <c r="Q894" s="402"/>
      <c r="R894" s="402"/>
      <c r="S894" s="402"/>
      <c r="T894" s="402"/>
      <c r="U894" s="402"/>
      <c r="V894" s="402"/>
      <c r="W894" s="402"/>
      <c r="X894" s="402"/>
      <c r="Y894" s="402"/>
      <c r="Z894" s="402"/>
    </row>
    <row r="895" ht="14.25" customHeight="1">
      <c r="A895" s="402"/>
      <c r="B895" s="402"/>
      <c r="C895" s="402"/>
      <c r="D895" s="402"/>
      <c r="E895" s="402"/>
      <c r="F895" s="403"/>
      <c r="G895" s="403"/>
      <c r="H895" s="402"/>
      <c r="I895" s="402"/>
      <c r="J895" s="402"/>
      <c r="K895" s="402"/>
      <c r="L895" s="402"/>
      <c r="M895" s="402"/>
      <c r="N895" s="402"/>
      <c r="O895" s="402"/>
      <c r="P895" s="402"/>
      <c r="Q895" s="402"/>
      <c r="R895" s="402"/>
      <c r="S895" s="402"/>
      <c r="T895" s="402"/>
      <c r="U895" s="402"/>
      <c r="V895" s="402"/>
      <c r="W895" s="402"/>
      <c r="X895" s="402"/>
      <c r="Y895" s="402"/>
      <c r="Z895" s="402"/>
    </row>
    <row r="896" ht="14.25" customHeight="1">
      <c r="A896" s="402"/>
      <c r="B896" s="402"/>
      <c r="C896" s="402"/>
      <c r="D896" s="402"/>
      <c r="E896" s="402"/>
      <c r="F896" s="403"/>
      <c r="G896" s="403"/>
      <c r="H896" s="402"/>
      <c r="I896" s="402"/>
      <c r="J896" s="402"/>
      <c r="K896" s="402"/>
      <c r="L896" s="402"/>
      <c r="M896" s="402"/>
      <c r="N896" s="402"/>
      <c r="O896" s="402"/>
      <c r="P896" s="402"/>
      <c r="Q896" s="402"/>
      <c r="R896" s="402"/>
      <c r="S896" s="402"/>
      <c r="T896" s="402"/>
      <c r="U896" s="402"/>
      <c r="V896" s="402"/>
      <c r="W896" s="402"/>
      <c r="X896" s="402"/>
      <c r="Y896" s="402"/>
      <c r="Z896" s="402"/>
    </row>
    <row r="897" ht="14.25" customHeight="1">
      <c r="A897" s="402"/>
      <c r="B897" s="402"/>
      <c r="C897" s="402"/>
      <c r="D897" s="402"/>
      <c r="E897" s="402"/>
      <c r="F897" s="403"/>
      <c r="G897" s="403"/>
      <c r="H897" s="402"/>
      <c r="I897" s="402"/>
      <c r="J897" s="402"/>
      <c r="K897" s="402"/>
      <c r="L897" s="402"/>
      <c r="M897" s="402"/>
      <c r="N897" s="402"/>
      <c r="O897" s="402"/>
      <c r="P897" s="402"/>
      <c r="Q897" s="402"/>
      <c r="R897" s="402"/>
      <c r="S897" s="402"/>
      <c r="T897" s="402"/>
      <c r="U897" s="402"/>
      <c r="V897" s="402"/>
      <c r="W897" s="402"/>
      <c r="X897" s="402"/>
      <c r="Y897" s="402"/>
      <c r="Z897" s="402"/>
    </row>
    <row r="898" ht="14.25" customHeight="1">
      <c r="A898" s="402"/>
      <c r="B898" s="402"/>
      <c r="C898" s="402"/>
      <c r="D898" s="402"/>
      <c r="E898" s="402"/>
      <c r="F898" s="403"/>
      <c r="G898" s="403"/>
      <c r="H898" s="402"/>
      <c r="I898" s="402"/>
      <c r="J898" s="402"/>
      <c r="K898" s="402"/>
      <c r="L898" s="402"/>
      <c r="M898" s="402"/>
      <c r="N898" s="402"/>
      <c r="O898" s="402"/>
      <c r="P898" s="402"/>
      <c r="Q898" s="402"/>
      <c r="R898" s="402"/>
      <c r="S898" s="402"/>
      <c r="T898" s="402"/>
      <c r="U898" s="402"/>
      <c r="V898" s="402"/>
      <c r="W898" s="402"/>
      <c r="X898" s="402"/>
      <c r="Y898" s="402"/>
      <c r="Z898" s="402"/>
    </row>
    <row r="899" ht="14.25" customHeight="1">
      <c r="A899" s="402"/>
      <c r="B899" s="402"/>
      <c r="C899" s="402"/>
      <c r="D899" s="402"/>
      <c r="E899" s="402"/>
      <c r="F899" s="403"/>
      <c r="G899" s="403"/>
      <c r="H899" s="402"/>
      <c r="I899" s="402"/>
      <c r="J899" s="402"/>
      <c r="K899" s="402"/>
      <c r="L899" s="402"/>
      <c r="M899" s="402"/>
      <c r="N899" s="402"/>
      <c r="O899" s="402"/>
      <c r="P899" s="402"/>
      <c r="Q899" s="402"/>
      <c r="R899" s="402"/>
      <c r="S899" s="402"/>
      <c r="T899" s="402"/>
      <c r="U899" s="402"/>
      <c r="V899" s="402"/>
      <c r="W899" s="402"/>
      <c r="X899" s="402"/>
      <c r="Y899" s="402"/>
      <c r="Z899" s="402"/>
    </row>
    <row r="900" ht="14.25" customHeight="1">
      <c r="A900" s="402"/>
      <c r="B900" s="402"/>
      <c r="C900" s="402"/>
      <c r="D900" s="402"/>
      <c r="E900" s="402"/>
      <c r="F900" s="403"/>
      <c r="G900" s="403"/>
      <c r="H900" s="402"/>
      <c r="I900" s="402"/>
      <c r="J900" s="402"/>
      <c r="K900" s="402"/>
      <c r="L900" s="402"/>
      <c r="M900" s="402"/>
      <c r="N900" s="402"/>
      <c r="O900" s="402"/>
      <c r="P900" s="402"/>
      <c r="Q900" s="402"/>
      <c r="R900" s="402"/>
      <c r="S900" s="402"/>
      <c r="T900" s="402"/>
      <c r="U900" s="402"/>
      <c r="V900" s="402"/>
      <c r="W900" s="402"/>
      <c r="X900" s="402"/>
      <c r="Y900" s="402"/>
      <c r="Z900" s="402"/>
    </row>
    <row r="901" ht="14.25" customHeight="1">
      <c r="A901" s="402"/>
      <c r="B901" s="402"/>
      <c r="C901" s="402"/>
      <c r="D901" s="402"/>
      <c r="E901" s="402"/>
      <c r="F901" s="403"/>
      <c r="G901" s="403"/>
      <c r="H901" s="402"/>
      <c r="I901" s="402"/>
      <c r="J901" s="402"/>
      <c r="K901" s="402"/>
      <c r="L901" s="402"/>
      <c r="M901" s="402"/>
      <c r="N901" s="402"/>
      <c r="O901" s="402"/>
      <c r="P901" s="402"/>
      <c r="Q901" s="402"/>
      <c r="R901" s="402"/>
      <c r="S901" s="402"/>
      <c r="T901" s="402"/>
      <c r="U901" s="402"/>
      <c r="V901" s="402"/>
      <c r="W901" s="402"/>
      <c r="X901" s="402"/>
      <c r="Y901" s="402"/>
      <c r="Z901" s="402"/>
    </row>
    <row r="902" ht="14.25" customHeight="1">
      <c r="A902" s="402"/>
      <c r="B902" s="402"/>
      <c r="C902" s="402"/>
      <c r="D902" s="402"/>
      <c r="E902" s="402"/>
      <c r="F902" s="403"/>
      <c r="G902" s="403"/>
      <c r="H902" s="402"/>
      <c r="I902" s="402"/>
      <c r="J902" s="402"/>
      <c r="K902" s="402"/>
      <c r="L902" s="402"/>
      <c r="M902" s="402"/>
      <c r="N902" s="402"/>
      <c r="O902" s="402"/>
      <c r="P902" s="402"/>
      <c r="Q902" s="402"/>
      <c r="R902" s="402"/>
      <c r="S902" s="402"/>
      <c r="T902" s="402"/>
      <c r="U902" s="402"/>
      <c r="V902" s="402"/>
      <c r="W902" s="402"/>
      <c r="X902" s="402"/>
      <c r="Y902" s="402"/>
      <c r="Z902" s="402"/>
    </row>
    <row r="903" ht="14.25" customHeight="1">
      <c r="A903" s="402"/>
      <c r="B903" s="402"/>
      <c r="C903" s="402"/>
      <c r="D903" s="402"/>
      <c r="E903" s="402"/>
      <c r="F903" s="403"/>
      <c r="G903" s="403"/>
      <c r="H903" s="402"/>
      <c r="I903" s="402"/>
      <c r="J903" s="402"/>
      <c r="K903" s="402"/>
      <c r="L903" s="402"/>
      <c r="M903" s="402"/>
      <c r="N903" s="402"/>
      <c r="O903" s="402"/>
      <c r="P903" s="402"/>
      <c r="Q903" s="402"/>
      <c r="R903" s="402"/>
      <c r="S903" s="402"/>
      <c r="T903" s="402"/>
      <c r="U903" s="402"/>
      <c r="V903" s="402"/>
      <c r="W903" s="402"/>
      <c r="X903" s="402"/>
      <c r="Y903" s="402"/>
      <c r="Z903" s="402"/>
    </row>
    <row r="904" ht="14.25" customHeight="1">
      <c r="A904" s="402"/>
      <c r="B904" s="402"/>
      <c r="C904" s="402"/>
      <c r="D904" s="402"/>
      <c r="E904" s="402"/>
      <c r="F904" s="403"/>
      <c r="G904" s="403"/>
      <c r="H904" s="402"/>
      <c r="I904" s="402"/>
      <c r="J904" s="402"/>
      <c r="K904" s="402"/>
      <c r="L904" s="402"/>
      <c r="M904" s="402"/>
      <c r="N904" s="402"/>
      <c r="O904" s="402"/>
      <c r="P904" s="402"/>
      <c r="Q904" s="402"/>
      <c r="R904" s="402"/>
      <c r="S904" s="402"/>
      <c r="T904" s="402"/>
      <c r="U904" s="402"/>
      <c r="V904" s="402"/>
      <c r="W904" s="402"/>
      <c r="X904" s="402"/>
      <c r="Y904" s="402"/>
      <c r="Z904" s="402"/>
    </row>
    <row r="905" ht="14.25" customHeight="1">
      <c r="A905" s="402"/>
      <c r="B905" s="402"/>
      <c r="C905" s="402"/>
      <c r="D905" s="402"/>
      <c r="E905" s="402"/>
      <c r="F905" s="403"/>
      <c r="G905" s="403"/>
      <c r="H905" s="402"/>
      <c r="I905" s="402"/>
      <c r="J905" s="402"/>
      <c r="K905" s="402"/>
      <c r="L905" s="402"/>
      <c r="M905" s="402"/>
      <c r="N905" s="402"/>
      <c r="O905" s="402"/>
      <c r="P905" s="402"/>
      <c r="Q905" s="402"/>
      <c r="R905" s="402"/>
      <c r="S905" s="402"/>
      <c r="T905" s="402"/>
      <c r="U905" s="402"/>
      <c r="V905" s="402"/>
      <c r="W905" s="402"/>
      <c r="X905" s="402"/>
      <c r="Y905" s="402"/>
      <c r="Z905" s="402"/>
    </row>
    <row r="906" ht="14.25" customHeight="1">
      <c r="A906" s="402"/>
      <c r="B906" s="402"/>
      <c r="C906" s="402"/>
      <c r="D906" s="402"/>
      <c r="E906" s="402"/>
      <c r="F906" s="403"/>
      <c r="G906" s="403"/>
      <c r="H906" s="402"/>
      <c r="I906" s="402"/>
      <c r="J906" s="402"/>
      <c r="K906" s="402"/>
      <c r="L906" s="402"/>
      <c r="M906" s="402"/>
      <c r="N906" s="402"/>
      <c r="O906" s="402"/>
      <c r="P906" s="402"/>
      <c r="Q906" s="402"/>
      <c r="R906" s="402"/>
      <c r="S906" s="402"/>
      <c r="T906" s="402"/>
      <c r="U906" s="402"/>
      <c r="V906" s="402"/>
      <c r="W906" s="402"/>
      <c r="X906" s="402"/>
      <c r="Y906" s="402"/>
      <c r="Z906" s="402"/>
    </row>
    <row r="907" ht="14.25" customHeight="1">
      <c r="A907" s="402"/>
      <c r="B907" s="402"/>
      <c r="C907" s="402"/>
      <c r="D907" s="402"/>
      <c r="E907" s="402"/>
      <c r="F907" s="403"/>
      <c r="G907" s="403"/>
      <c r="H907" s="402"/>
      <c r="I907" s="402"/>
      <c r="J907" s="402"/>
      <c r="K907" s="402"/>
      <c r="L907" s="402"/>
      <c r="M907" s="402"/>
      <c r="N907" s="402"/>
      <c r="O907" s="402"/>
      <c r="P907" s="402"/>
      <c r="Q907" s="402"/>
      <c r="R907" s="402"/>
      <c r="S907" s="402"/>
      <c r="T907" s="402"/>
      <c r="U907" s="402"/>
      <c r="V907" s="402"/>
      <c r="W907" s="402"/>
      <c r="X907" s="402"/>
      <c r="Y907" s="402"/>
      <c r="Z907" s="402"/>
    </row>
    <row r="908" ht="14.25" customHeight="1">
      <c r="A908" s="402"/>
      <c r="B908" s="402"/>
      <c r="C908" s="402"/>
      <c r="D908" s="402"/>
      <c r="E908" s="402"/>
      <c r="F908" s="403"/>
      <c r="G908" s="403"/>
      <c r="H908" s="402"/>
      <c r="I908" s="402"/>
      <c r="J908" s="402"/>
      <c r="K908" s="402"/>
      <c r="L908" s="402"/>
      <c r="M908" s="402"/>
      <c r="N908" s="402"/>
      <c r="O908" s="402"/>
      <c r="P908" s="402"/>
      <c r="Q908" s="402"/>
      <c r="R908" s="402"/>
      <c r="S908" s="402"/>
      <c r="T908" s="402"/>
      <c r="U908" s="402"/>
      <c r="V908" s="402"/>
      <c r="W908" s="402"/>
      <c r="X908" s="402"/>
      <c r="Y908" s="402"/>
      <c r="Z908" s="402"/>
    </row>
    <row r="909" ht="14.25" customHeight="1">
      <c r="A909" s="402"/>
      <c r="B909" s="402"/>
      <c r="C909" s="402"/>
      <c r="D909" s="402"/>
      <c r="E909" s="402"/>
      <c r="F909" s="403"/>
      <c r="G909" s="403"/>
      <c r="H909" s="402"/>
      <c r="I909" s="402"/>
      <c r="J909" s="402"/>
      <c r="K909" s="402"/>
      <c r="L909" s="402"/>
      <c r="M909" s="402"/>
      <c r="N909" s="402"/>
      <c r="O909" s="402"/>
      <c r="P909" s="402"/>
      <c r="Q909" s="402"/>
      <c r="R909" s="402"/>
      <c r="S909" s="402"/>
      <c r="T909" s="402"/>
      <c r="U909" s="402"/>
      <c r="V909" s="402"/>
      <c r="W909" s="402"/>
      <c r="X909" s="402"/>
      <c r="Y909" s="402"/>
      <c r="Z909" s="402"/>
    </row>
    <row r="910" ht="14.25" customHeight="1">
      <c r="A910" s="402"/>
      <c r="B910" s="402"/>
      <c r="C910" s="402"/>
      <c r="D910" s="402"/>
      <c r="E910" s="402"/>
      <c r="F910" s="403"/>
      <c r="G910" s="403"/>
      <c r="H910" s="402"/>
      <c r="I910" s="402"/>
      <c r="J910" s="402"/>
      <c r="K910" s="402"/>
      <c r="L910" s="402"/>
      <c r="M910" s="402"/>
      <c r="N910" s="402"/>
      <c r="O910" s="402"/>
      <c r="P910" s="402"/>
      <c r="Q910" s="402"/>
      <c r="R910" s="402"/>
      <c r="S910" s="402"/>
      <c r="T910" s="402"/>
      <c r="U910" s="402"/>
      <c r="V910" s="402"/>
      <c r="W910" s="402"/>
      <c r="X910" s="402"/>
      <c r="Y910" s="402"/>
      <c r="Z910" s="402"/>
    </row>
    <row r="911" ht="14.25" customHeight="1">
      <c r="A911" s="402"/>
      <c r="B911" s="402"/>
      <c r="C911" s="402"/>
      <c r="D911" s="402"/>
      <c r="E911" s="402"/>
      <c r="F911" s="403"/>
      <c r="G911" s="403"/>
      <c r="H911" s="402"/>
      <c r="I911" s="402"/>
      <c r="J911" s="402"/>
      <c r="K911" s="402"/>
      <c r="L911" s="402"/>
      <c r="M911" s="402"/>
      <c r="N911" s="402"/>
      <c r="O911" s="402"/>
      <c r="P911" s="402"/>
      <c r="Q911" s="402"/>
      <c r="R911" s="402"/>
      <c r="S911" s="402"/>
      <c r="T911" s="402"/>
      <c r="U911" s="402"/>
      <c r="V911" s="402"/>
      <c r="W911" s="402"/>
      <c r="X911" s="402"/>
      <c r="Y911" s="402"/>
      <c r="Z911" s="402"/>
    </row>
    <row r="912" ht="14.25" customHeight="1">
      <c r="A912" s="402"/>
      <c r="B912" s="402"/>
      <c r="C912" s="402"/>
      <c r="D912" s="402"/>
      <c r="E912" s="402"/>
      <c r="F912" s="403"/>
      <c r="G912" s="403"/>
      <c r="H912" s="402"/>
      <c r="I912" s="402"/>
      <c r="J912" s="402"/>
      <c r="K912" s="402"/>
      <c r="L912" s="402"/>
      <c r="M912" s="402"/>
      <c r="N912" s="402"/>
      <c r="O912" s="402"/>
      <c r="P912" s="402"/>
      <c r="Q912" s="402"/>
      <c r="R912" s="402"/>
      <c r="S912" s="402"/>
      <c r="T912" s="402"/>
      <c r="U912" s="402"/>
      <c r="V912" s="402"/>
      <c r="W912" s="402"/>
      <c r="X912" s="402"/>
      <c r="Y912" s="402"/>
      <c r="Z912" s="402"/>
    </row>
    <row r="913" ht="14.25" customHeight="1">
      <c r="A913" s="402"/>
      <c r="B913" s="402"/>
      <c r="C913" s="402"/>
      <c r="D913" s="402"/>
      <c r="E913" s="402"/>
      <c r="F913" s="403"/>
      <c r="G913" s="403"/>
      <c r="H913" s="402"/>
      <c r="I913" s="402"/>
      <c r="J913" s="402"/>
      <c r="K913" s="402"/>
      <c r="L913" s="402"/>
      <c r="M913" s="402"/>
      <c r="N913" s="402"/>
      <c r="O913" s="402"/>
      <c r="P913" s="402"/>
      <c r="Q913" s="402"/>
      <c r="R913" s="402"/>
      <c r="S913" s="402"/>
      <c r="T913" s="402"/>
      <c r="U913" s="402"/>
      <c r="V913" s="402"/>
      <c r="W913" s="402"/>
      <c r="X913" s="402"/>
      <c r="Y913" s="402"/>
      <c r="Z913" s="402"/>
    </row>
    <row r="914" ht="14.25" customHeight="1">
      <c r="A914" s="402"/>
      <c r="B914" s="402"/>
      <c r="C914" s="402"/>
      <c r="D914" s="402"/>
      <c r="E914" s="402"/>
      <c r="F914" s="403"/>
      <c r="G914" s="403"/>
      <c r="H914" s="402"/>
      <c r="I914" s="402"/>
      <c r="J914" s="402"/>
      <c r="K914" s="402"/>
      <c r="L914" s="402"/>
      <c r="M914" s="402"/>
      <c r="N914" s="402"/>
      <c r="O914" s="402"/>
      <c r="P914" s="402"/>
      <c r="Q914" s="402"/>
      <c r="R914" s="402"/>
      <c r="S914" s="402"/>
      <c r="T914" s="402"/>
      <c r="U914" s="402"/>
      <c r="V914" s="402"/>
      <c r="W914" s="402"/>
      <c r="X914" s="402"/>
      <c r="Y914" s="402"/>
      <c r="Z914" s="402"/>
    </row>
    <row r="915" ht="14.25" customHeight="1">
      <c r="A915" s="402"/>
      <c r="B915" s="402"/>
      <c r="C915" s="402"/>
      <c r="D915" s="402"/>
      <c r="E915" s="402"/>
      <c r="F915" s="403"/>
      <c r="G915" s="403"/>
      <c r="H915" s="402"/>
      <c r="I915" s="402"/>
      <c r="J915" s="402"/>
      <c r="K915" s="402"/>
      <c r="L915" s="402"/>
      <c r="M915" s="402"/>
      <c r="N915" s="402"/>
      <c r="O915" s="402"/>
      <c r="P915" s="402"/>
      <c r="Q915" s="402"/>
      <c r="R915" s="402"/>
      <c r="S915" s="402"/>
      <c r="T915" s="402"/>
      <c r="U915" s="402"/>
      <c r="V915" s="402"/>
      <c r="W915" s="402"/>
      <c r="X915" s="402"/>
      <c r="Y915" s="402"/>
      <c r="Z915" s="402"/>
    </row>
    <row r="916" ht="14.25" customHeight="1">
      <c r="A916" s="402"/>
      <c r="B916" s="402"/>
      <c r="C916" s="402"/>
      <c r="D916" s="402"/>
      <c r="E916" s="402"/>
      <c r="F916" s="403"/>
      <c r="G916" s="403"/>
      <c r="H916" s="402"/>
      <c r="I916" s="402"/>
      <c r="J916" s="402"/>
      <c r="K916" s="402"/>
      <c r="L916" s="402"/>
      <c r="M916" s="402"/>
      <c r="N916" s="402"/>
      <c r="O916" s="402"/>
      <c r="P916" s="402"/>
      <c r="Q916" s="402"/>
      <c r="R916" s="402"/>
      <c r="S916" s="402"/>
      <c r="T916" s="402"/>
      <c r="U916" s="402"/>
      <c r="V916" s="402"/>
      <c r="W916" s="402"/>
      <c r="X916" s="402"/>
      <c r="Y916" s="402"/>
      <c r="Z916" s="402"/>
    </row>
    <row r="917" ht="14.25" customHeight="1">
      <c r="A917" s="402"/>
      <c r="B917" s="402"/>
      <c r="C917" s="402"/>
      <c r="D917" s="402"/>
      <c r="E917" s="402"/>
      <c r="F917" s="403"/>
      <c r="G917" s="403"/>
      <c r="H917" s="402"/>
      <c r="I917" s="402"/>
      <c r="J917" s="402"/>
      <c r="K917" s="402"/>
      <c r="L917" s="402"/>
      <c r="M917" s="402"/>
      <c r="N917" s="402"/>
      <c r="O917" s="402"/>
      <c r="P917" s="402"/>
      <c r="Q917" s="402"/>
      <c r="R917" s="402"/>
      <c r="S917" s="402"/>
      <c r="T917" s="402"/>
      <c r="U917" s="402"/>
      <c r="V917" s="402"/>
      <c r="W917" s="402"/>
      <c r="X917" s="402"/>
      <c r="Y917" s="402"/>
      <c r="Z917" s="402"/>
    </row>
    <row r="918" ht="14.25" customHeight="1">
      <c r="A918" s="402"/>
      <c r="B918" s="402"/>
      <c r="C918" s="402"/>
      <c r="D918" s="402"/>
      <c r="E918" s="402"/>
      <c r="F918" s="403"/>
      <c r="G918" s="403"/>
      <c r="H918" s="402"/>
      <c r="I918" s="402"/>
      <c r="J918" s="402"/>
      <c r="K918" s="402"/>
      <c r="L918" s="402"/>
      <c r="M918" s="402"/>
      <c r="N918" s="402"/>
      <c r="O918" s="402"/>
      <c r="P918" s="402"/>
      <c r="Q918" s="402"/>
      <c r="R918" s="402"/>
      <c r="S918" s="402"/>
      <c r="T918" s="402"/>
      <c r="U918" s="402"/>
      <c r="V918" s="402"/>
      <c r="W918" s="402"/>
      <c r="X918" s="402"/>
      <c r="Y918" s="402"/>
      <c r="Z918" s="402"/>
    </row>
    <row r="919" ht="14.25" customHeight="1">
      <c r="A919" s="402"/>
      <c r="B919" s="402"/>
      <c r="C919" s="402"/>
      <c r="D919" s="402"/>
      <c r="E919" s="402"/>
      <c r="F919" s="403"/>
      <c r="G919" s="403"/>
      <c r="H919" s="402"/>
      <c r="I919" s="402"/>
      <c r="J919" s="402"/>
      <c r="K919" s="402"/>
      <c r="L919" s="402"/>
      <c r="M919" s="402"/>
      <c r="N919" s="402"/>
      <c r="O919" s="402"/>
      <c r="P919" s="402"/>
      <c r="Q919" s="402"/>
      <c r="R919" s="402"/>
      <c r="S919" s="402"/>
      <c r="T919" s="402"/>
      <c r="U919" s="402"/>
      <c r="V919" s="402"/>
      <c r="W919" s="402"/>
      <c r="X919" s="402"/>
      <c r="Y919" s="402"/>
      <c r="Z919" s="402"/>
    </row>
    <row r="920" ht="14.25" customHeight="1">
      <c r="A920" s="402"/>
      <c r="B920" s="402"/>
      <c r="C920" s="402"/>
      <c r="D920" s="402"/>
      <c r="E920" s="402"/>
      <c r="F920" s="403"/>
      <c r="G920" s="403"/>
      <c r="H920" s="402"/>
      <c r="I920" s="402"/>
      <c r="J920" s="402"/>
      <c r="K920" s="402"/>
      <c r="L920" s="402"/>
      <c r="M920" s="402"/>
      <c r="N920" s="402"/>
      <c r="O920" s="402"/>
      <c r="P920" s="402"/>
      <c r="Q920" s="402"/>
      <c r="R920" s="402"/>
      <c r="S920" s="402"/>
      <c r="T920" s="402"/>
      <c r="U920" s="402"/>
      <c r="V920" s="402"/>
      <c r="W920" s="402"/>
      <c r="X920" s="402"/>
      <c r="Y920" s="402"/>
      <c r="Z920" s="402"/>
    </row>
    <row r="921" ht="14.25" customHeight="1">
      <c r="A921" s="402"/>
      <c r="B921" s="402"/>
      <c r="C921" s="402"/>
      <c r="D921" s="402"/>
      <c r="E921" s="402"/>
      <c r="F921" s="403"/>
      <c r="G921" s="403"/>
      <c r="H921" s="402"/>
      <c r="I921" s="402"/>
      <c r="J921" s="402"/>
      <c r="K921" s="402"/>
      <c r="L921" s="402"/>
      <c r="M921" s="402"/>
      <c r="N921" s="402"/>
      <c r="O921" s="402"/>
      <c r="P921" s="402"/>
      <c r="Q921" s="402"/>
      <c r="R921" s="402"/>
      <c r="S921" s="402"/>
      <c r="T921" s="402"/>
      <c r="U921" s="402"/>
      <c r="V921" s="402"/>
      <c r="W921" s="402"/>
      <c r="X921" s="402"/>
      <c r="Y921" s="402"/>
      <c r="Z921" s="402"/>
    </row>
    <row r="922" ht="14.25" customHeight="1">
      <c r="A922" s="402"/>
      <c r="B922" s="402"/>
      <c r="C922" s="402"/>
      <c r="D922" s="402"/>
      <c r="E922" s="402"/>
      <c r="F922" s="403"/>
      <c r="G922" s="403"/>
      <c r="H922" s="402"/>
      <c r="I922" s="402"/>
      <c r="J922" s="402"/>
      <c r="K922" s="402"/>
      <c r="L922" s="402"/>
      <c r="M922" s="402"/>
      <c r="N922" s="402"/>
      <c r="O922" s="402"/>
      <c r="P922" s="402"/>
      <c r="Q922" s="402"/>
      <c r="R922" s="402"/>
      <c r="S922" s="402"/>
      <c r="T922" s="402"/>
      <c r="U922" s="402"/>
      <c r="V922" s="402"/>
      <c r="W922" s="402"/>
      <c r="X922" s="402"/>
      <c r="Y922" s="402"/>
      <c r="Z922" s="402"/>
    </row>
    <row r="923" ht="14.25" customHeight="1">
      <c r="A923" s="402"/>
      <c r="B923" s="402"/>
      <c r="C923" s="402"/>
      <c r="D923" s="402"/>
      <c r="E923" s="402"/>
      <c r="F923" s="403"/>
      <c r="G923" s="403"/>
      <c r="H923" s="402"/>
      <c r="I923" s="402"/>
      <c r="J923" s="402"/>
      <c r="K923" s="402"/>
      <c r="L923" s="402"/>
      <c r="M923" s="402"/>
      <c r="N923" s="402"/>
      <c r="O923" s="402"/>
      <c r="P923" s="402"/>
      <c r="Q923" s="402"/>
      <c r="R923" s="402"/>
      <c r="S923" s="402"/>
      <c r="T923" s="402"/>
      <c r="U923" s="402"/>
      <c r="V923" s="402"/>
      <c r="W923" s="402"/>
      <c r="X923" s="402"/>
      <c r="Y923" s="402"/>
      <c r="Z923" s="402"/>
    </row>
    <row r="924" ht="14.25" customHeight="1">
      <c r="A924" s="402"/>
      <c r="B924" s="402"/>
      <c r="C924" s="402"/>
      <c r="D924" s="402"/>
      <c r="E924" s="402"/>
      <c r="F924" s="403"/>
      <c r="G924" s="403"/>
      <c r="H924" s="402"/>
      <c r="I924" s="402"/>
      <c r="J924" s="402"/>
      <c r="K924" s="402"/>
      <c r="L924" s="402"/>
      <c r="M924" s="402"/>
      <c r="N924" s="402"/>
      <c r="O924" s="402"/>
      <c r="P924" s="402"/>
      <c r="Q924" s="402"/>
      <c r="R924" s="402"/>
      <c r="S924" s="402"/>
      <c r="T924" s="402"/>
      <c r="U924" s="402"/>
      <c r="V924" s="402"/>
      <c r="W924" s="402"/>
      <c r="X924" s="402"/>
      <c r="Y924" s="402"/>
      <c r="Z924" s="402"/>
    </row>
    <row r="925" ht="14.25" customHeight="1">
      <c r="A925" s="402"/>
      <c r="B925" s="402"/>
      <c r="C925" s="402"/>
      <c r="D925" s="402"/>
      <c r="E925" s="402"/>
      <c r="F925" s="403"/>
      <c r="G925" s="403"/>
      <c r="H925" s="402"/>
      <c r="I925" s="402"/>
      <c r="J925" s="402"/>
      <c r="K925" s="402"/>
      <c r="L925" s="402"/>
      <c r="M925" s="402"/>
      <c r="N925" s="402"/>
      <c r="O925" s="402"/>
      <c r="P925" s="402"/>
      <c r="Q925" s="402"/>
      <c r="R925" s="402"/>
      <c r="S925" s="402"/>
      <c r="T925" s="402"/>
      <c r="U925" s="402"/>
      <c r="V925" s="402"/>
      <c r="W925" s="402"/>
      <c r="X925" s="402"/>
      <c r="Y925" s="402"/>
      <c r="Z925" s="402"/>
    </row>
    <row r="926" ht="14.25" customHeight="1">
      <c r="A926" s="402"/>
      <c r="B926" s="402"/>
      <c r="C926" s="402"/>
      <c r="D926" s="402"/>
      <c r="E926" s="402"/>
      <c r="F926" s="403"/>
      <c r="G926" s="403"/>
      <c r="H926" s="402"/>
      <c r="I926" s="402"/>
      <c r="J926" s="402"/>
      <c r="K926" s="402"/>
      <c r="L926" s="402"/>
      <c r="M926" s="402"/>
      <c r="N926" s="402"/>
      <c r="O926" s="402"/>
      <c r="P926" s="402"/>
      <c r="Q926" s="402"/>
      <c r="R926" s="402"/>
      <c r="S926" s="402"/>
      <c r="T926" s="402"/>
      <c r="U926" s="402"/>
      <c r="V926" s="402"/>
      <c r="W926" s="402"/>
      <c r="X926" s="402"/>
      <c r="Y926" s="402"/>
      <c r="Z926" s="402"/>
    </row>
    <row r="927" ht="14.25" customHeight="1">
      <c r="A927" s="402"/>
      <c r="B927" s="402"/>
      <c r="C927" s="402"/>
      <c r="D927" s="402"/>
      <c r="E927" s="402"/>
      <c r="F927" s="403"/>
      <c r="G927" s="403"/>
      <c r="H927" s="402"/>
      <c r="I927" s="402"/>
      <c r="J927" s="402"/>
      <c r="K927" s="402"/>
      <c r="L927" s="402"/>
      <c r="M927" s="402"/>
      <c r="N927" s="402"/>
      <c r="O927" s="402"/>
      <c r="P927" s="402"/>
      <c r="Q927" s="402"/>
      <c r="R927" s="402"/>
      <c r="S927" s="402"/>
      <c r="T927" s="402"/>
      <c r="U927" s="402"/>
      <c r="V927" s="402"/>
      <c r="W927" s="402"/>
      <c r="X927" s="402"/>
      <c r="Y927" s="402"/>
      <c r="Z927" s="402"/>
    </row>
    <row r="928" ht="14.25" customHeight="1">
      <c r="A928" s="402"/>
      <c r="B928" s="402"/>
      <c r="C928" s="402"/>
      <c r="D928" s="402"/>
      <c r="E928" s="402"/>
      <c r="F928" s="403"/>
      <c r="G928" s="403"/>
      <c r="H928" s="402"/>
      <c r="I928" s="402"/>
      <c r="J928" s="402"/>
      <c r="K928" s="402"/>
      <c r="L928" s="402"/>
      <c r="M928" s="402"/>
      <c r="N928" s="402"/>
      <c r="O928" s="402"/>
      <c r="P928" s="402"/>
      <c r="Q928" s="402"/>
      <c r="R928" s="402"/>
      <c r="S928" s="402"/>
      <c r="T928" s="402"/>
      <c r="U928" s="402"/>
      <c r="V928" s="402"/>
      <c r="W928" s="402"/>
      <c r="X928" s="402"/>
      <c r="Y928" s="402"/>
      <c r="Z928" s="402"/>
    </row>
    <row r="929" ht="14.25" customHeight="1">
      <c r="A929" s="402"/>
      <c r="B929" s="402"/>
      <c r="C929" s="402"/>
      <c r="D929" s="402"/>
      <c r="E929" s="402"/>
      <c r="F929" s="403"/>
      <c r="G929" s="403"/>
      <c r="H929" s="402"/>
      <c r="I929" s="402"/>
      <c r="J929" s="402"/>
      <c r="K929" s="402"/>
      <c r="L929" s="402"/>
      <c r="M929" s="402"/>
      <c r="N929" s="402"/>
      <c r="O929" s="402"/>
      <c r="P929" s="402"/>
      <c r="Q929" s="402"/>
      <c r="R929" s="402"/>
      <c r="S929" s="402"/>
      <c r="T929" s="402"/>
      <c r="U929" s="402"/>
      <c r="V929" s="402"/>
      <c r="W929" s="402"/>
      <c r="X929" s="402"/>
      <c r="Y929" s="402"/>
      <c r="Z929" s="402"/>
    </row>
    <row r="930" ht="14.25" customHeight="1">
      <c r="A930" s="402"/>
      <c r="B930" s="402"/>
      <c r="C930" s="402"/>
      <c r="D930" s="402"/>
      <c r="E930" s="402"/>
      <c r="F930" s="403"/>
      <c r="G930" s="403"/>
      <c r="H930" s="402"/>
      <c r="I930" s="402"/>
      <c r="J930" s="402"/>
      <c r="K930" s="402"/>
      <c r="L930" s="402"/>
      <c r="M930" s="402"/>
      <c r="N930" s="402"/>
      <c r="O930" s="402"/>
      <c r="P930" s="402"/>
      <c r="Q930" s="402"/>
      <c r="R930" s="402"/>
      <c r="S930" s="402"/>
      <c r="T930" s="402"/>
      <c r="U930" s="402"/>
      <c r="V930" s="402"/>
      <c r="W930" s="402"/>
      <c r="X930" s="402"/>
      <c r="Y930" s="402"/>
      <c r="Z930" s="402"/>
    </row>
    <row r="931" ht="14.25" customHeight="1">
      <c r="A931" s="402"/>
      <c r="B931" s="402"/>
      <c r="C931" s="402"/>
      <c r="D931" s="402"/>
      <c r="E931" s="402"/>
      <c r="F931" s="403"/>
      <c r="G931" s="403"/>
      <c r="H931" s="402"/>
      <c r="I931" s="402"/>
      <c r="J931" s="402"/>
      <c r="K931" s="402"/>
      <c r="L931" s="402"/>
      <c r="M931" s="402"/>
      <c r="N931" s="402"/>
      <c r="O931" s="402"/>
      <c r="P931" s="402"/>
      <c r="Q931" s="402"/>
      <c r="R931" s="402"/>
      <c r="S931" s="402"/>
      <c r="T931" s="402"/>
      <c r="U931" s="402"/>
      <c r="V931" s="402"/>
      <c r="W931" s="402"/>
      <c r="X931" s="402"/>
      <c r="Y931" s="402"/>
      <c r="Z931" s="402"/>
    </row>
    <row r="932" ht="14.25" customHeight="1">
      <c r="A932" s="402"/>
      <c r="B932" s="402"/>
      <c r="C932" s="402"/>
      <c r="D932" s="402"/>
      <c r="E932" s="402"/>
      <c r="F932" s="403"/>
      <c r="G932" s="403"/>
      <c r="H932" s="402"/>
      <c r="I932" s="402"/>
      <c r="J932" s="402"/>
      <c r="K932" s="402"/>
      <c r="L932" s="402"/>
      <c r="M932" s="402"/>
      <c r="N932" s="402"/>
      <c r="O932" s="402"/>
      <c r="P932" s="402"/>
      <c r="Q932" s="402"/>
      <c r="R932" s="402"/>
      <c r="S932" s="402"/>
      <c r="T932" s="402"/>
      <c r="U932" s="402"/>
      <c r="V932" s="402"/>
      <c r="W932" s="402"/>
      <c r="X932" s="402"/>
      <c r="Y932" s="402"/>
      <c r="Z932" s="402"/>
    </row>
    <row r="933" ht="14.25" customHeight="1">
      <c r="A933" s="402"/>
      <c r="B933" s="402"/>
      <c r="C933" s="402"/>
      <c r="D933" s="402"/>
      <c r="E933" s="402"/>
      <c r="F933" s="403"/>
      <c r="G933" s="403"/>
      <c r="H933" s="402"/>
      <c r="I933" s="402"/>
      <c r="J933" s="402"/>
      <c r="K933" s="402"/>
      <c r="L933" s="402"/>
      <c r="M933" s="402"/>
      <c r="N933" s="402"/>
      <c r="O933" s="402"/>
      <c r="P933" s="402"/>
      <c r="Q933" s="402"/>
      <c r="R933" s="402"/>
      <c r="S933" s="402"/>
      <c r="T933" s="402"/>
      <c r="U933" s="402"/>
      <c r="V933" s="402"/>
      <c r="W933" s="402"/>
      <c r="X933" s="402"/>
      <c r="Y933" s="402"/>
      <c r="Z933" s="402"/>
    </row>
    <row r="934" ht="14.25" customHeight="1">
      <c r="A934" s="402"/>
      <c r="B934" s="402"/>
      <c r="C934" s="402"/>
      <c r="D934" s="402"/>
      <c r="E934" s="402"/>
      <c r="F934" s="403"/>
      <c r="G934" s="403"/>
      <c r="H934" s="402"/>
      <c r="I934" s="402"/>
      <c r="J934" s="402"/>
      <c r="K934" s="402"/>
      <c r="L934" s="402"/>
      <c r="M934" s="402"/>
      <c r="N934" s="402"/>
      <c r="O934" s="402"/>
      <c r="P934" s="402"/>
      <c r="Q934" s="402"/>
      <c r="R934" s="402"/>
      <c r="S934" s="402"/>
      <c r="T934" s="402"/>
      <c r="U934" s="402"/>
      <c r="V934" s="402"/>
      <c r="W934" s="402"/>
      <c r="X934" s="402"/>
      <c r="Y934" s="402"/>
      <c r="Z934" s="402"/>
    </row>
    <row r="935" ht="14.25" customHeight="1">
      <c r="A935" s="402"/>
      <c r="B935" s="402"/>
      <c r="C935" s="402"/>
      <c r="D935" s="402"/>
      <c r="E935" s="402"/>
      <c r="F935" s="403"/>
      <c r="G935" s="403"/>
      <c r="H935" s="402"/>
      <c r="I935" s="402"/>
      <c r="J935" s="402"/>
      <c r="K935" s="402"/>
      <c r="L935" s="402"/>
      <c r="M935" s="402"/>
      <c r="N935" s="402"/>
      <c r="O935" s="402"/>
      <c r="P935" s="402"/>
      <c r="Q935" s="402"/>
      <c r="R935" s="402"/>
      <c r="S935" s="402"/>
      <c r="T935" s="402"/>
      <c r="U935" s="402"/>
      <c r="V935" s="402"/>
      <c r="W935" s="402"/>
      <c r="X935" s="402"/>
      <c r="Y935" s="402"/>
      <c r="Z935" s="402"/>
    </row>
    <row r="936" ht="14.25" customHeight="1">
      <c r="A936" s="402"/>
      <c r="B936" s="402"/>
      <c r="C936" s="402"/>
      <c r="D936" s="402"/>
      <c r="E936" s="402"/>
      <c r="F936" s="403"/>
      <c r="G936" s="403"/>
      <c r="H936" s="402"/>
      <c r="I936" s="402"/>
      <c r="J936" s="402"/>
      <c r="K936" s="402"/>
      <c r="L936" s="402"/>
      <c r="M936" s="402"/>
      <c r="N936" s="402"/>
      <c r="O936" s="402"/>
      <c r="P936" s="402"/>
      <c r="Q936" s="402"/>
      <c r="R936" s="402"/>
      <c r="S936" s="402"/>
      <c r="T936" s="402"/>
      <c r="U936" s="402"/>
      <c r="V936" s="402"/>
      <c r="W936" s="402"/>
      <c r="X936" s="402"/>
      <c r="Y936" s="402"/>
      <c r="Z936" s="402"/>
    </row>
    <row r="937" ht="14.25" customHeight="1">
      <c r="A937" s="402"/>
      <c r="B937" s="402"/>
      <c r="C937" s="402"/>
      <c r="D937" s="402"/>
      <c r="E937" s="402"/>
      <c r="F937" s="403"/>
      <c r="G937" s="403"/>
      <c r="H937" s="402"/>
      <c r="I937" s="402"/>
      <c r="J937" s="402"/>
      <c r="K937" s="402"/>
      <c r="L937" s="402"/>
      <c r="M937" s="402"/>
      <c r="N937" s="402"/>
      <c r="O937" s="402"/>
      <c r="P937" s="402"/>
      <c r="Q937" s="402"/>
      <c r="R937" s="402"/>
      <c r="S937" s="402"/>
      <c r="T937" s="402"/>
      <c r="U937" s="402"/>
      <c r="V937" s="402"/>
      <c r="W937" s="402"/>
      <c r="X937" s="402"/>
      <c r="Y937" s="402"/>
      <c r="Z937" s="402"/>
    </row>
    <row r="938" ht="14.25" customHeight="1">
      <c r="A938" s="402"/>
      <c r="B938" s="402"/>
      <c r="C938" s="402"/>
      <c r="D938" s="402"/>
      <c r="E938" s="402"/>
      <c r="F938" s="403"/>
      <c r="G938" s="403"/>
      <c r="H938" s="402"/>
      <c r="I938" s="402"/>
      <c r="J938" s="402"/>
      <c r="K938" s="402"/>
      <c r="L938" s="402"/>
      <c r="M938" s="402"/>
      <c r="N938" s="402"/>
      <c r="O938" s="402"/>
      <c r="P938" s="402"/>
      <c r="Q938" s="402"/>
      <c r="R938" s="402"/>
      <c r="S938" s="402"/>
      <c r="T938" s="402"/>
      <c r="U938" s="402"/>
      <c r="V938" s="402"/>
      <c r="W938" s="402"/>
      <c r="X938" s="402"/>
      <c r="Y938" s="402"/>
      <c r="Z938" s="402"/>
    </row>
    <row r="939" ht="14.25" customHeight="1">
      <c r="A939" s="402"/>
      <c r="B939" s="402"/>
      <c r="C939" s="402"/>
      <c r="D939" s="402"/>
      <c r="E939" s="402"/>
      <c r="F939" s="403"/>
      <c r="G939" s="403"/>
      <c r="H939" s="402"/>
      <c r="I939" s="402"/>
      <c r="J939" s="402"/>
      <c r="K939" s="402"/>
      <c r="L939" s="402"/>
      <c r="M939" s="402"/>
      <c r="N939" s="402"/>
      <c r="O939" s="402"/>
      <c r="P939" s="402"/>
      <c r="Q939" s="402"/>
      <c r="R939" s="402"/>
      <c r="S939" s="402"/>
      <c r="T939" s="402"/>
      <c r="U939" s="402"/>
      <c r="V939" s="402"/>
      <c r="W939" s="402"/>
      <c r="X939" s="402"/>
      <c r="Y939" s="402"/>
      <c r="Z939" s="402"/>
    </row>
    <row r="940" ht="14.25" customHeight="1">
      <c r="A940" s="402"/>
      <c r="B940" s="402"/>
      <c r="C940" s="402"/>
      <c r="D940" s="402"/>
      <c r="E940" s="402"/>
      <c r="F940" s="403"/>
      <c r="G940" s="403"/>
      <c r="H940" s="402"/>
      <c r="I940" s="402"/>
      <c r="J940" s="402"/>
      <c r="K940" s="402"/>
      <c r="L940" s="402"/>
      <c r="M940" s="402"/>
      <c r="N940" s="402"/>
      <c r="O940" s="402"/>
      <c r="P940" s="402"/>
      <c r="Q940" s="402"/>
      <c r="R940" s="402"/>
      <c r="S940" s="402"/>
      <c r="T940" s="402"/>
      <c r="U940" s="402"/>
      <c r="V940" s="402"/>
      <c r="W940" s="402"/>
      <c r="X940" s="402"/>
      <c r="Y940" s="402"/>
      <c r="Z940" s="402"/>
    </row>
    <row r="941" ht="14.25" customHeight="1">
      <c r="A941" s="402"/>
      <c r="B941" s="402"/>
      <c r="C941" s="402"/>
      <c r="D941" s="402"/>
      <c r="E941" s="402"/>
      <c r="F941" s="403"/>
      <c r="G941" s="403"/>
      <c r="H941" s="402"/>
      <c r="I941" s="402"/>
      <c r="J941" s="402"/>
      <c r="K941" s="402"/>
      <c r="L941" s="402"/>
      <c r="M941" s="402"/>
      <c r="N941" s="402"/>
      <c r="O941" s="402"/>
      <c r="P941" s="402"/>
      <c r="Q941" s="402"/>
      <c r="R941" s="402"/>
      <c r="S941" s="402"/>
      <c r="T941" s="402"/>
      <c r="U941" s="402"/>
      <c r="V941" s="402"/>
      <c r="W941" s="402"/>
      <c r="X941" s="402"/>
      <c r="Y941" s="402"/>
      <c r="Z941" s="402"/>
    </row>
    <row r="942" ht="14.25" customHeight="1">
      <c r="A942" s="402"/>
      <c r="B942" s="402"/>
      <c r="C942" s="402"/>
      <c r="D942" s="402"/>
      <c r="E942" s="402"/>
      <c r="F942" s="403"/>
      <c r="G942" s="403"/>
      <c r="H942" s="402"/>
      <c r="I942" s="402"/>
      <c r="J942" s="402"/>
      <c r="K942" s="402"/>
      <c r="L942" s="402"/>
      <c r="M942" s="402"/>
      <c r="N942" s="402"/>
      <c r="O942" s="402"/>
      <c r="P942" s="402"/>
      <c r="Q942" s="402"/>
      <c r="R942" s="402"/>
      <c r="S942" s="402"/>
      <c r="T942" s="402"/>
      <c r="U942" s="402"/>
      <c r="V942" s="402"/>
      <c r="W942" s="402"/>
      <c r="X942" s="402"/>
      <c r="Y942" s="402"/>
      <c r="Z942" s="402"/>
    </row>
    <row r="943" ht="14.25" customHeight="1">
      <c r="A943" s="402"/>
      <c r="B943" s="402"/>
      <c r="C943" s="402"/>
      <c r="D943" s="402"/>
      <c r="E943" s="402"/>
      <c r="F943" s="403"/>
      <c r="G943" s="403"/>
      <c r="H943" s="402"/>
      <c r="I943" s="402"/>
      <c r="J943" s="402"/>
      <c r="K943" s="402"/>
      <c r="L943" s="402"/>
      <c r="M943" s="402"/>
      <c r="N943" s="402"/>
      <c r="O943" s="402"/>
      <c r="P943" s="402"/>
      <c r="Q943" s="402"/>
      <c r="R943" s="402"/>
      <c r="S943" s="402"/>
      <c r="T943" s="402"/>
      <c r="U943" s="402"/>
      <c r="V943" s="402"/>
      <c r="W943" s="402"/>
      <c r="X943" s="402"/>
      <c r="Y943" s="402"/>
      <c r="Z943" s="402"/>
    </row>
    <row r="944" ht="14.25" customHeight="1">
      <c r="A944" s="402"/>
      <c r="B944" s="402"/>
      <c r="C944" s="402"/>
      <c r="D944" s="402"/>
      <c r="E944" s="402"/>
      <c r="F944" s="403"/>
      <c r="G944" s="403"/>
      <c r="H944" s="402"/>
      <c r="I944" s="402"/>
      <c r="J944" s="402"/>
      <c r="K944" s="402"/>
      <c r="L944" s="402"/>
      <c r="M944" s="402"/>
      <c r="N944" s="402"/>
      <c r="O944" s="402"/>
      <c r="P944" s="402"/>
      <c r="Q944" s="402"/>
      <c r="R944" s="402"/>
      <c r="S944" s="402"/>
      <c r="T944" s="402"/>
      <c r="U944" s="402"/>
      <c r="V944" s="402"/>
      <c r="W944" s="402"/>
      <c r="X944" s="402"/>
      <c r="Y944" s="402"/>
      <c r="Z944" s="402"/>
    </row>
    <row r="945" ht="14.25" customHeight="1">
      <c r="A945" s="402"/>
      <c r="B945" s="402"/>
      <c r="C945" s="402"/>
      <c r="D945" s="402"/>
      <c r="E945" s="402"/>
      <c r="F945" s="403"/>
      <c r="G945" s="403"/>
      <c r="H945" s="402"/>
      <c r="I945" s="402"/>
      <c r="J945" s="402"/>
      <c r="K945" s="402"/>
      <c r="L945" s="402"/>
      <c r="M945" s="402"/>
      <c r="N945" s="402"/>
      <c r="O945" s="402"/>
      <c r="P945" s="402"/>
      <c r="Q945" s="402"/>
      <c r="R945" s="402"/>
      <c r="S945" s="402"/>
      <c r="T945" s="402"/>
      <c r="U945" s="402"/>
      <c r="V945" s="402"/>
      <c r="W945" s="402"/>
      <c r="X945" s="402"/>
      <c r="Y945" s="402"/>
      <c r="Z945" s="402"/>
    </row>
    <row r="946" ht="14.25" customHeight="1">
      <c r="A946" s="402"/>
      <c r="B946" s="402"/>
      <c r="C946" s="402"/>
      <c r="D946" s="402"/>
      <c r="E946" s="402"/>
      <c r="F946" s="403"/>
      <c r="G946" s="403"/>
      <c r="H946" s="402"/>
      <c r="I946" s="402"/>
      <c r="J946" s="402"/>
      <c r="K946" s="402"/>
      <c r="L946" s="402"/>
      <c r="M946" s="402"/>
      <c r="N946" s="402"/>
      <c r="O946" s="402"/>
      <c r="P946" s="402"/>
      <c r="Q946" s="402"/>
      <c r="R946" s="402"/>
      <c r="S946" s="402"/>
      <c r="T946" s="402"/>
      <c r="U946" s="402"/>
      <c r="V946" s="402"/>
      <c r="W946" s="402"/>
      <c r="X946" s="402"/>
      <c r="Y946" s="402"/>
      <c r="Z946" s="402"/>
    </row>
    <row r="947" ht="14.25" customHeight="1">
      <c r="A947" s="402"/>
      <c r="B947" s="402"/>
      <c r="C947" s="402"/>
      <c r="D947" s="402"/>
      <c r="E947" s="402"/>
      <c r="F947" s="403"/>
      <c r="G947" s="403"/>
      <c r="H947" s="402"/>
      <c r="I947" s="402"/>
      <c r="J947" s="402"/>
      <c r="K947" s="402"/>
      <c r="L947" s="402"/>
      <c r="M947" s="402"/>
      <c r="N947" s="402"/>
      <c r="O947" s="402"/>
      <c r="P947" s="402"/>
      <c r="Q947" s="402"/>
      <c r="R947" s="402"/>
      <c r="S947" s="402"/>
      <c r="T947" s="402"/>
      <c r="U947" s="402"/>
      <c r="V947" s="402"/>
      <c r="W947" s="402"/>
      <c r="X947" s="402"/>
      <c r="Y947" s="402"/>
      <c r="Z947" s="402"/>
    </row>
    <row r="948" ht="14.25" customHeight="1">
      <c r="A948" s="402"/>
      <c r="B948" s="402"/>
      <c r="C948" s="402"/>
      <c r="D948" s="402"/>
      <c r="E948" s="402"/>
      <c r="F948" s="403"/>
      <c r="G948" s="403"/>
      <c r="H948" s="402"/>
      <c r="I948" s="402"/>
      <c r="J948" s="402"/>
      <c r="K948" s="402"/>
      <c r="L948" s="402"/>
      <c r="M948" s="402"/>
      <c r="N948" s="402"/>
      <c r="O948" s="402"/>
      <c r="P948" s="402"/>
      <c r="Q948" s="402"/>
      <c r="R948" s="402"/>
      <c r="S948" s="402"/>
      <c r="T948" s="402"/>
      <c r="U948" s="402"/>
      <c r="V948" s="402"/>
      <c r="W948" s="402"/>
      <c r="X948" s="402"/>
      <c r="Y948" s="402"/>
      <c r="Z948" s="402"/>
    </row>
    <row r="949" ht="14.25" customHeight="1">
      <c r="A949" s="402"/>
      <c r="B949" s="402"/>
      <c r="C949" s="402"/>
      <c r="D949" s="402"/>
      <c r="E949" s="402"/>
      <c r="F949" s="403"/>
      <c r="G949" s="403"/>
      <c r="H949" s="402"/>
      <c r="I949" s="402"/>
      <c r="J949" s="402"/>
      <c r="K949" s="402"/>
      <c r="L949" s="402"/>
      <c r="M949" s="402"/>
      <c r="N949" s="402"/>
      <c r="O949" s="402"/>
      <c r="P949" s="402"/>
      <c r="Q949" s="402"/>
      <c r="R949" s="402"/>
      <c r="S949" s="402"/>
      <c r="T949" s="402"/>
      <c r="U949" s="402"/>
      <c r="V949" s="402"/>
      <c r="W949" s="402"/>
      <c r="X949" s="402"/>
      <c r="Y949" s="402"/>
      <c r="Z949" s="402"/>
    </row>
    <row r="950" ht="14.25" customHeight="1">
      <c r="A950" s="402"/>
      <c r="B950" s="402"/>
      <c r="C950" s="402"/>
      <c r="D950" s="402"/>
      <c r="E950" s="402"/>
      <c r="F950" s="403"/>
      <c r="G950" s="403"/>
      <c r="H950" s="402"/>
      <c r="I950" s="402"/>
      <c r="J950" s="402"/>
      <c r="K950" s="402"/>
      <c r="L950" s="402"/>
      <c r="M950" s="402"/>
      <c r="N950" s="402"/>
      <c r="O950" s="402"/>
      <c r="P950" s="402"/>
      <c r="Q950" s="402"/>
      <c r="R950" s="402"/>
      <c r="S950" s="402"/>
      <c r="T950" s="402"/>
      <c r="U950" s="402"/>
      <c r="V950" s="402"/>
      <c r="W950" s="402"/>
      <c r="X950" s="402"/>
      <c r="Y950" s="402"/>
      <c r="Z950" s="402"/>
    </row>
    <row r="951" ht="14.25" customHeight="1">
      <c r="A951" s="402"/>
      <c r="B951" s="402"/>
      <c r="C951" s="402"/>
      <c r="D951" s="402"/>
      <c r="E951" s="402"/>
      <c r="F951" s="403"/>
      <c r="G951" s="403"/>
      <c r="H951" s="402"/>
      <c r="I951" s="402"/>
      <c r="J951" s="402"/>
      <c r="K951" s="402"/>
      <c r="L951" s="402"/>
      <c r="M951" s="402"/>
      <c r="N951" s="402"/>
      <c r="O951" s="402"/>
      <c r="P951" s="402"/>
      <c r="Q951" s="402"/>
      <c r="R951" s="402"/>
      <c r="S951" s="402"/>
      <c r="T951" s="402"/>
      <c r="U951" s="402"/>
      <c r="V951" s="402"/>
      <c r="W951" s="402"/>
      <c r="X951" s="402"/>
      <c r="Y951" s="402"/>
      <c r="Z951" s="402"/>
    </row>
    <row r="952" ht="14.25" customHeight="1">
      <c r="A952" s="402"/>
      <c r="B952" s="402"/>
      <c r="C952" s="402"/>
      <c r="D952" s="402"/>
      <c r="E952" s="402"/>
      <c r="F952" s="403"/>
      <c r="G952" s="403"/>
      <c r="H952" s="402"/>
      <c r="I952" s="402"/>
      <c r="J952" s="402"/>
      <c r="K952" s="402"/>
      <c r="L952" s="402"/>
      <c r="M952" s="402"/>
      <c r="N952" s="402"/>
      <c r="O952" s="402"/>
      <c r="P952" s="402"/>
      <c r="Q952" s="402"/>
      <c r="R952" s="402"/>
      <c r="S952" s="402"/>
      <c r="T952" s="402"/>
      <c r="U952" s="402"/>
      <c r="V952" s="402"/>
      <c r="W952" s="402"/>
      <c r="X952" s="402"/>
      <c r="Y952" s="402"/>
      <c r="Z952" s="402"/>
    </row>
    <row r="953" ht="14.25" customHeight="1">
      <c r="A953" s="402"/>
      <c r="B953" s="402"/>
      <c r="C953" s="402"/>
      <c r="D953" s="402"/>
      <c r="E953" s="402"/>
      <c r="F953" s="403"/>
      <c r="G953" s="403"/>
      <c r="H953" s="402"/>
      <c r="I953" s="402"/>
      <c r="J953" s="402"/>
      <c r="K953" s="402"/>
      <c r="L953" s="402"/>
      <c r="M953" s="402"/>
      <c r="N953" s="402"/>
      <c r="O953" s="402"/>
      <c r="P953" s="402"/>
      <c r="Q953" s="402"/>
      <c r="R953" s="402"/>
      <c r="S953" s="402"/>
      <c r="T953" s="402"/>
      <c r="U953" s="402"/>
      <c r="V953" s="402"/>
      <c r="W953" s="402"/>
      <c r="X953" s="402"/>
      <c r="Y953" s="402"/>
      <c r="Z953" s="402"/>
    </row>
    <row r="954" ht="14.25" customHeight="1">
      <c r="A954" s="402"/>
      <c r="B954" s="402"/>
      <c r="C954" s="402"/>
      <c r="D954" s="402"/>
      <c r="E954" s="402"/>
      <c r="F954" s="403"/>
      <c r="G954" s="403"/>
      <c r="H954" s="402"/>
      <c r="I954" s="402"/>
      <c r="J954" s="402"/>
      <c r="K954" s="402"/>
      <c r="L954" s="402"/>
      <c r="M954" s="402"/>
      <c r="N954" s="402"/>
      <c r="O954" s="402"/>
      <c r="P954" s="402"/>
      <c r="Q954" s="402"/>
      <c r="R954" s="402"/>
      <c r="S954" s="402"/>
      <c r="T954" s="402"/>
      <c r="U954" s="402"/>
      <c r="V954" s="402"/>
      <c r="W954" s="402"/>
      <c r="X954" s="402"/>
      <c r="Y954" s="402"/>
      <c r="Z954" s="402"/>
    </row>
    <row r="955" ht="14.25" customHeight="1">
      <c r="A955" s="402"/>
      <c r="B955" s="402"/>
      <c r="C955" s="402"/>
      <c r="D955" s="402"/>
      <c r="E955" s="402"/>
      <c r="F955" s="403"/>
      <c r="G955" s="403"/>
      <c r="H955" s="402"/>
      <c r="I955" s="402"/>
      <c r="J955" s="402"/>
      <c r="K955" s="402"/>
      <c r="L955" s="402"/>
      <c r="M955" s="402"/>
      <c r="N955" s="402"/>
      <c r="O955" s="402"/>
      <c r="P955" s="402"/>
      <c r="Q955" s="402"/>
      <c r="R955" s="402"/>
      <c r="S955" s="402"/>
      <c r="T955" s="402"/>
      <c r="U955" s="402"/>
      <c r="V955" s="402"/>
      <c r="W955" s="402"/>
      <c r="X955" s="402"/>
      <c r="Y955" s="402"/>
      <c r="Z955" s="402"/>
    </row>
    <row r="956" ht="14.25" customHeight="1">
      <c r="A956" s="402"/>
      <c r="B956" s="402"/>
      <c r="C956" s="402"/>
      <c r="D956" s="402"/>
      <c r="E956" s="402"/>
      <c r="F956" s="403"/>
      <c r="G956" s="403"/>
      <c r="H956" s="402"/>
      <c r="I956" s="402"/>
      <c r="J956" s="402"/>
      <c r="K956" s="402"/>
      <c r="L956" s="402"/>
      <c r="M956" s="402"/>
      <c r="N956" s="402"/>
      <c r="O956" s="402"/>
      <c r="P956" s="402"/>
      <c r="Q956" s="402"/>
      <c r="R956" s="402"/>
      <c r="S956" s="402"/>
      <c r="T956" s="402"/>
      <c r="U956" s="402"/>
      <c r="V956" s="402"/>
      <c r="W956" s="402"/>
      <c r="X956" s="402"/>
      <c r="Y956" s="402"/>
      <c r="Z956" s="402"/>
    </row>
    <row r="957" ht="14.25" customHeight="1">
      <c r="A957" s="402"/>
      <c r="B957" s="402"/>
      <c r="C957" s="402"/>
      <c r="D957" s="402"/>
      <c r="E957" s="402"/>
      <c r="F957" s="403"/>
      <c r="G957" s="403"/>
      <c r="H957" s="402"/>
      <c r="I957" s="402"/>
      <c r="J957" s="402"/>
      <c r="K957" s="402"/>
      <c r="L957" s="402"/>
      <c r="M957" s="402"/>
      <c r="N957" s="402"/>
      <c r="O957" s="402"/>
      <c r="P957" s="402"/>
      <c r="Q957" s="402"/>
      <c r="R957" s="402"/>
      <c r="S957" s="402"/>
      <c r="T957" s="402"/>
      <c r="U957" s="402"/>
      <c r="V957" s="402"/>
      <c r="W957" s="402"/>
      <c r="X957" s="402"/>
      <c r="Y957" s="402"/>
      <c r="Z957" s="402"/>
    </row>
    <row r="958" ht="14.25" customHeight="1">
      <c r="A958" s="402"/>
      <c r="B958" s="402"/>
      <c r="C958" s="402"/>
      <c r="D958" s="402"/>
      <c r="E958" s="402"/>
      <c r="F958" s="403"/>
      <c r="G958" s="403"/>
      <c r="H958" s="402"/>
      <c r="I958" s="402"/>
      <c r="J958" s="402"/>
      <c r="K958" s="402"/>
      <c r="L958" s="402"/>
      <c r="M958" s="402"/>
      <c r="N958" s="402"/>
      <c r="O958" s="402"/>
      <c r="P958" s="402"/>
      <c r="Q958" s="402"/>
      <c r="R958" s="402"/>
      <c r="S958" s="402"/>
      <c r="T958" s="402"/>
      <c r="U958" s="402"/>
      <c r="V958" s="402"/>
      <c r="W958" s="402"/>
      <c r="X958" s="402"/>
      <c r="Y958" s="402"/>
      <c r="Z958" s="402"/>
    </row>
    <row r="959" ht="14.25" customHeight="1">
      <c r="A959" s="402"/>
      <c r="B959" s="402"/>
      <c r="C959" s="402"/>
      <c r="D959" s="402"/>
      <c r="E959" s="402"/>
      <c r="F959" s="403"/>
      <c r="G959" s="403"/>
      <c r="H959" s="402"/>
      <c r="I959" s="402"/>
      <c r="J959" s="402"/>
      <c r="K959" s="402"/>
      <c r="L959" s="402"/>
      <c r="M959" s="402"/>
      <c r="N959" s="402"/>
      <c r="O959" s="402"/>
      <c r="P959" s="402"/>
      <c r="Q959" s="402"/>
      <c r="R959" s="402"/>
      <c r="S959" s="402"/>
      <c r="T959" s="402"/>
      <c r="U959" s="402"/>
      <c r="V959" s="402"/>
      <c r="W959" s="402"/>
      <c r="X959" s="402"/>
      <c r="Y959" s="402"/>
      <c r="Z959" s="402"/>
    </row>
    <row r="960" ht="14.25" customHeight="1">
      <c r="A960" s="402"/>
      <c r="B960" s="402"/>
      <c r="C960" s="402"/>
      <c r="D960" s="402"/>
      <c r="E960" s="402"/>
      <c r="F960" s="403"/>
      <c r="G960" s="403"/>
      <c r="H960" s="402"/>
      <c r="I960" s="402"/>
      <c r="J960" s="402"/>
      <c r="K960" s="402"/>
      <c r="L960" s="402"/>
      <c r="M960" s="402"/>
      <c r="N960" s="402"/>
      <c r="O960" s="402"/>
      <c r="P960" s="402"/>
      <c r="Q960" s="402"/>
      <c r="R960" s="402"/>
      <c r="S960" s="402"/>
      <c r="T960" s="402"/>
      <c r="U960" s="402"/>
      <c r="V960" s="402"/>
      <c r="W960" s="402"/>
      <c r="X960" s="402"/>
      <c r="Y960" s="402"/>
      <c r="Z960" s="402"/>
    </row>
    <row r="961" ht="14.25" customHeight="1">
      <c r="A961" s="402"/>
      <c r="B961" s="402"/>
      <c r="C961" s="402"/>
      <c r="D961" s="402"/>
      <c r="E961" s="402"/>
      <c r="F961" s="403"/>
      <c r="G961" s="403"/>
      <c r="H961" s="402"/>
      <c r="I961" s="402"/>
      <c r="J961" s="402"/>
      <c r="K961" s="402"/>
      <c r="L961" s="402"/>
      <c r="M961" s="402"/>
      <c r="N961" s="402"/>
      <c r="O961" s="402"/>
      <c r="P961" s="402"/>
      <c r="Q961" s="402"/>
      <c r="R961" s="402"/>
      <c r="S961" s="402"/>
      <c r="T961" s="402"/>
      <c r="U961" s="402"/>
      <c r="V961" s="402"/>
      <c r="W961" s="402"/>
      <c r="X961" s="402"/>
      <c r="Y961" s="402"/>
      <c r="Z961" s="402"/>
    </row>
    <row r="962" ht="14.25" customHeight="1">
      <c r="A962" s="402"/>
      <c r="B962" s="402"/>
      <c r="C962" s="402"/>
      <c r="D962" s="402"/>
      <c r="E962" s="402"/>
      <c r="F962" s="403"/>
      <c r="G962" s="403"/>
      <c r="H962" s="402"/>
      <c r="I962" s="402"/>
      <c r="J962" s="402"/>
      <c r="K962" s="402"/>
      <c r="L962" s="402"/>
      <c r="M962" s="402"/>
      <c r="N962" s="402"/>
      <c r="O962" s="402"/>
      <c r="P962" s="402"/>
      <c r="Q962" s="402"/>
      <c r="R962" s="402"/>
      <c r="S962" s="402"/>
      <c r="T962" s="402"/>
      <c r="U962" s="402"/>
      <c r="V962" s="402"/>
      <c r="W962" s="402"/>
      <c r="X962" s="402"/>
      <c r="Y962" s="402"/>
      <c r="Z962" s="402"/>
    </row>
    <row r="963" ht="14.25" customHeight="1">
      <c r="A963" s="402"/>
      <c r="B963" s="402"/>
      <c r="C963" s="402"/>
      <c r="D963" s="402"/>
      <c r="E963" s="402"/>
      <c r="F963" s="403"/>
      <c r="G963" s="403"/>
      <c r="H963" s="402"/>
      <c r="I963" s="402"/>
      <c r="J963" s="402"/>
      <c r="K963" s="402"/>
      <c r="L963" s="402"/>
      <c r="M963" s="402"/>
      <c r="N963" s="402"/>
      <c r="O963" s="402"/>
      <c r="P963" s="402"/>
      <c r="Q963" s="402"/>
      <c r="R963" s="402"/>
      <c r="S963" s="402"/>
      <c r="T963" s="402"/>
      <c r="U963" s="402"/>
      <c r="V963" s="402"/>
      <c r="W963" s="402"/>
      <c r="X963" s="402"/>
      <c r="Y963" s="402"/>
      <c r="Z963" s="402"/>
    </row>
    <row r="964" ht="14.25" customHeight="1">
      <c r="A964" s="402"/>
      <c r="B964" s="402"/>
      <c r="C964" s="402"/>
      <c r="D964" s="402"/>
      <c r="E964" s="402"/>
      <c r="F964" s="403"/>
      <c r="G964" s="403"/>
      <c r="H964" s="402"/>
      <c r="I964" s="402"/>
      <c r="J964" s="402"/>
      <c r="K964" s="402"/>
      <c r="L964" s="402"/>
      <c r="M964" s="402"/>
      <c r="N964" s="402"/>
      <c r="O964" s="402"/>
      <c r="P964" s="402"/>
      <c r="Q964" s="402"/>
      <c r="R964" s="402"/>
      <c r="S964" s="402"/>
      <c r="T964" s="402"/>
      <c r="U964" s="402"/>
      <c r="V964" s="402"/>
      <c r="W964" s="402"/>
      <c r="X964" s="402"/>
      <c r="Y964" s="402"/>
      <c r="Z964" s="402"/>
    </row>
    <row r="965" ht="14.25" customHeight="1">
      <c r="A965" s="402"/>
      <c r="B965" s="402"/>
      <c r="C965" s="402"/>
      <c r="D965" s="402"/>
      <c r="E965" s="402"/>
      <c r="F965" s="403"/>
      <c r="G965" s="403"/>
      <c r="H965" s="402"/>
      <c r="I965" s="402"/>
      <c r="J965" s="402"/>
      <c r="K965" s="402"/>
      <c r="L965" s="402"/>
      <c r="M965" s="402"/>
      <c r="N965" s="402"/>
      <c r="O965" s="402"/>
      <c r="P965" s="402"/>
      <c r="Q965" s="402"/>
      <c r="R965" s="402"/>
      <c r="S965" s="402"/>
      <c r="T965" s="402"/>
      <c r="U965" s="402"/>
      <c r="V965" s="402"/>
      <c r="W965" s="402"/>
      <c r="X965" s="402"/>
      <c r="Y965" s="402"/>
      <c r="Z965" s="402"/>
    </row>
    <row r="966" ht="14.25" customHeight="1">
      <c r="A966" s="402"/>
      <c r="B966" s="402"/>
      <c r="C966" s="402"/>
      <c r="D966" s="402"/>
      <c r="E966" s="402"/>
      <c r="F966" s="403"/>
      <c r="G966" s="403"/>
      <c r="H966" s="402"/>
      <c r="I966" s="402"/>
      <c r="J966" s="402"/>
      <c r="K966" s="402"/>
      <c r="L966" s="402"/>
      <c r="M966" s="402"/>
      <c r="N966" s="402"/>
      <c r="O966" s="402"/>
      <c r="P966" s="402"/>
      <c r="Q966" s="402"/>
      <c r="R966" s="402"/>
      <c r="S966" s="402"/>
      <c r="T966" s="402"/>
      <c r="U966" s="402"/>
      <c r="V966" s="402"/>
      <c r="W966" s="402"/>
      <c r="X966" s="402"/>
      <c r="Y966" s="402"/>
      <c r="Z966" s="402"/>
    </row>
    <row r="967" ht="14.25" customHeight="1">
      <c r="A967" s="402"/>
      <c r="B967" s="402"/>
      <c r="C967" s="402"/>
      <c r="D967" s="402"/>
      <c r="E967" s="402"/>
      <c r="F967" s="403"/>
      <c r="G967" s="403"/>
      <c r="H967" s="402"/>
      <c r="I967" s="402"/>
      <c r="J967" s="402"/>
      <c r="K967" s="402"/>
      <c r="L967" s="402"/>
      <c r="M967" s="402"/>
      <c r="N967" s="402"/>
      <c r="O967" s="402"/>
      <c r="P967" s="402"/>
      <c r="Q967" s="402"/>
      <c r="R967" s="402"/>
      <c r="S967" s="402"/>
      <c r="T967" s="402"/>
      <c r="U967" s="402"/>
      <c r="V967" s="402"/>
      <c r="W967" s="402"/>
      <c r="X967" s="402"/>
      <c r="Y967" s="402"/>
      <c r="Z967" s="402"/>
    </row>
    <row r="968" ht="14.25" customHeight="1">
      <c r="A968" s="402"/>
      <c r="B968" s="402"/>
      <c r="C968" s="402"/>
      <c r="D968" s="402"/>
      <c r="E968" s="402"/>
      <c r="F968" s="403"/>
      <c r="G968" s="403"/>
      <c r="H968" s="402"/>
      <c r="I968" s="402"/>
      <c r="J968" s="402"/>
      <c r="K968" s="402"/>
      <c r="L968" s="402"/>
      <c r="M968" s="402"/>
      <c r="N968" s="402"/>
      <c r="O968" s="402"/>
      <c r="P968" s="402"/>
      <c r="Q968" s="402"/>
      <c r="R968" s="402"/>
      <c r="S968" s="402"/>
      <c r="T968" s="402"/>
      <c r="U968" s="402"/>
      <c r="V968" s="402"/>
      <c r="W968" s="402"/>
      <c r="X968" s="402"/>
      <c r="Y968" s="402"/>
      <c r="Z968" s="402"/>
    </row>
    <row r="969" ht="14.25" customHeight="1">
      <c r="A969" s="402"/>
      <c r="B969" s="402"/>
      <c r="C969" s="402"/>
      <c r="D969" s="402"/>
      <c r="E969" s="402"/>
      <c r="F969" s="403"/>
      <c r="G969" s="403"/>
      <c r="H969" s="402"/>
      <c r="I969" s="402"/>
      <c r="J969" s="402"/>
      <c r="K969" s="402"/>
      <c r="L969" s="402"/>
      <c r="M969" s="402"/>
      <c r="N969" s="402"/>
      <c r="O969" s="402"/>
      <c r="P969" s="402"/>
      <c r="Q969" s="402"/>
      <c r="R969" s="402"/>
      <c r="S969" s="402"/>
      <c r="T969" s="402"/>
      <c r="U969" s="402"/>
      <c r="V969" s="402"/>
      <c r="W969" s="402"/>
      <c r="X969" s="402"/>
      <c r="Y969" s="402"/>
      <c r="Z969" s="402"/>
    </row>
    <row r="970" ht="14.25" customHeight="1">
      <c r="A970" s="402"/>
      <c r="B970" s="402"/>
      <c r="C970" s="402"/>
      <c r="D970" s="402"/>
      <c r="E970" s="402"/>
      <c r="F970" s="403"/>
      <c r="G970" s="403"/>
      <c r="H970" s="402"/>
      <c r="I970" s="402"/>
      <c r="J970" s="402"/>
      <c r="K970" s="402"/>
      <c r="L970" s="402"/>
      <c r="M970" s="402"/>
      <c r="N970" s="402"/>
      <c r="O970" s="402"/>
      <c r="P970" s="402"/>
      <c r="Q970" s="402"/>
      <c r="R970" s="402"/>
      <c r="S970" s="402"/>
      <c r="T970" s="402"/>
      <c r="U970" s="402"/>
      <c r="V970" s="402"/>
      <c r="W970" s="402"/>
      <c r="X970" s="402"/>
      <c r="Y970" s="402"/>
      <c r="Z970" s="402"/>
    </row>
    <row r="971" ht="14.25" customHeight="1">
      <c r="A971" s="402"/>
      <c r="B971" s="402"/>
      <c r="C971" s="402"/>
      <c r="D971" s="402"/>
      <c r="E971" s="402"/>
      <c r="F971" s="403"/>
      <c r="G971" s="403"/>
      <c r="H971" s="402"/>
      <c r="I971" s="402"/>
      <c r="J971" s="402"/>
      <c r="K971" s="402"/>
      <c r="L971" s="402"/>
      <c r="M971" s="402"/>
      <c r="N971" s="402"/>
      <c r="O971" s="402"/>
      <c r="P971" s="402"/>
      <c r="Q971" s="402"/>
      <c r="R971" s="402"/>
      <c r="S971" s="402"/>
      <c r="T971" s="402"/>
      <c r="U971" s="402"/>
      <c r="V971" s="402"/>
      <c r="W971" s="402"/>
      <c r="X971" s="402"/>
      <c r="Y971" s="402"/>
      <c r="Z971" s="402"/>
    </row>
    <row r="972" ht="14.25" customHeight="1">
      <c r="A972" s="402"/>
      <c r="B972" s="402"/>
      <c r="C972" s="402"/>
      <c r="D972" s="402"/>
      <c r="E972" s="402"/>
      <c r="F972" s="403"/>
      <c r="G972" s="403"/>
      <c r="H972" s="402"/>
      <c r="I972" s="402"/>
      <c r="J972" s="402"/>
      <c r="K972" s="402"/>
      <c r="L972" s="402"/>
      <c r="M972" s="402"/>
      <c r="N972" s="402"/>
      <c r="O972" s="402"/>
      <c r="P972" s="402"/>
      <c r="Q972" s="402"/>
      <c r="R972" s="402"/>
      <c r="S972" s="402"/>
      <c r="T972" s="402"/>
      <c r="U972" s="402"/>
      <c r="V972" s="402"/>
      <c r="W972" s="402"/>
      <c r="X972" s="402"/>
      <c r="Y972" s="402"/>
      <c r="Z972" s="402"/>
    </row>
    <row r="973" ht="14.25" customHeight="1">
      <c r="A973" s="402"/>
      <c r="B973" s="402"/>
      <c r="C973" s="402"/>
      <c r="D973" s="402"/>
      <c r="E973" s="402"/>
      <c r="F973" s="403"/>
      <c r="G973" s="403"/>
      <c r="H973" s="402"/>
      <c r="I973" s="402"/>
      <c r="J973" s="402"/>
      <c r="K973" s="402"/>
      <c r="L973" s="402"/>
      <c r="M973" s="402"/>
      <c r="N973" s="402"/>
      <c r="O973" s="402"/>
      <c r="P973" s="402"/>
      <c r="Q973" s="402"/>
      <c r="R973" s="402"/>
      <c r="S973" s="402"/>
      <c r="T973" s="402"/>
      <c r="U973" s="402"/>
      <c r="V973" s="402"/>
      <c r="W973" s="402"/>
      <c r="X973" s="402"/>
      <c r="Y973" s="402"/>
      <c r="Z973" s="402"/>
    </row>
    <row r="974" ht="14.25" customHeight="1">
      <c r="A974" s="402"/>
      <c r="B974" s="402"/>
      <c r="C974" s="402"/>
      <c r="D974" s="402"/>
      <c r="E974" s="402"/>
      <c r="F974" s="403"/>
      <c r="G974" s="403"/>
      <c r="H974" s="402"/>
      <c r="I974" s="402"/>
      <c r="J974" s="402"/>
      <c r="K974" s="402"/>
      <c r="L974" s="402"/>
      <c r="M974" s="402"/>
      <c r="N974" s="402"/>
      <c r="O974" s="402"/>
      <c r="P974" s="402"/>
      <c r="Q974" s="402"/>
      <c r="R974" s="402"/>
      <c r="S974" s="402"/>
      <c r="T974" s="402"/>
      <c r="U974" s="402"/>
      <c r="V974" s="402"/>
      <c r="W974" s="402"/>
      <c r="X974" s="402"/>
      <c r="Y974" s="402"/>
      <c r="Z974" s="402"/>
    </row>
    <row r="975" ht="14.25" customHeight="1">
      <c r="A975" s="402"/>
      <c r="B975" s="402"/>
      <c r="C975" s="402"/>
      <c r="D975" s="402"/>
      <c r="E975" s="402"/>
      <c r="F975" s="403"/>
      <c r="G975" s="403"/>
      <c r="H975" s="402"/>
      <c r="I975" s="402"/>
      <c r="J975" s="402"/>
      <c r="K975" s="402"/>
      <c r="L975" s="402"/>
      <c r="M975" s="402"/>
      <c r="N975" s="402"/>
      <c r="O975" s="402"/>
      <c r="P975" s="402"/>
      <c r="Q975" s="402"/>
      <c r="R975" s="402"/>
      <c r="S975" s="402"/>
      <c r="T975" s="402"/>
      <c r="U975" s="402"/>
      <c r="V975" s="402"/>
      <c r="W975" s="402"/>
      <c r="X975" s="402"/>
      <c r="Y975" s="402"/>
      <c r="Z975" s="402"/>
    </row>
    <row r="976" ht="14.25" customHeight="1">
      <c r="A976" s="402"/>
      <c r="B976" s="402"/>
      <c r="C976" s="402"/>
      <c r="D976" s="402"/>
      <c r="E976" s="402"/>
      <c r="F976" s="403"/>
      <c r="G976" s="403"/>
      <c r="H976" s="402"/>
      <c r="I976" s="402"/>
      <c r="J976" s="402"/>
      <c r="K976" s="402"/>
      <c r="L976" s="402"/>
      <c r="M976" s="402"/>
      <c r="N976" s="402"/>
      <c r="O976" s="402"/>
      <c r="P976" s="402"/>
      <c r="Q976" s="402"/>
      <c r="R976" s="402"/>
      <c r="S976" s="402"/>
      <c r="T976" s="402"/>
      <c r="U976" s="402"/>
      <c r="V976" s="402"/>
      <c r="W976" s="402"/>
      <c r="X976" s="402"/>
      <c r="Y976" s="402"/>
      <c r="Z976" s="402"/>
    </row>
    <row r="977" ht="14.25" customHeight="1">
      <c r="A977" s="402"/>
      <c r="B977" s="402"/>
      <c r="C977" s="402"/>
      <c r="D977" s="402"/>
      <c r="E977" s="402"/>
      <c r="F977" s="403"/>
      <c r="G977" s="403"/>
      <c r="H977" s="402"/>
      <c r="I977" s="402"/>
      <c r="J977" s="402"/>
      <c r="K977" s="402"/>
      <c r="L977" s="402"/>
      <c r="M977" s="402"/>
      <c r="N977" s="402"/>
      <c r="O977" s="402"/>
      <c r="P977" s="402"/>
      <c r="Q977" s="402"/>
      <c r="R977" s="402"/>
      <c r="S977" s="402"/>
      <c r="T977" s="402"/>
      <c r="U977" s="402"/>
      <c r="V977" s="402"/>
      <c r="W977" s="402"/>
      <c r="X977" s="402"/>
      <c r="Y977" s="402"/>
      <c r="Z977" s="402"/>
    </row>
    <row r="978" ht="14.25" customHeight="1">
      <c r="A978" s="402"/>
      <c r="B978" s="402"/>
      <c r="C978" s="402"/>
      <c r="D978" s="402"/>
      <c r="E978" s="402"/>
      <c r="F978" s="403"/>
      <c r="G978" s="403"/>
      <c r="H978" s="402"/>
      <c r="I978" s="402"/>
      <c r="J978" s="402"/>
      <c r="K978" s="402"/>
      <c r="L978" s="402"/>
      <c r="M978" s="402"/>
      <c r="N978" s="402"/>
      <c r="O978" s="402"/>
      <c r="P978" s="402"/>
      <c r="Q978" s="402"/>
      <c r="R978" s="402"/>
      <c r="S978" s="402"/>
      <c r="T978" s="402"/>
      <c r="U978" s="402"/>
      <c r="V978" s="402"/>
      <c r="W978" s="402"/>
      <c r="X978" s="402"/>
      <c r="Y978" s="402"/>
      <c r="Z978" s="402"/>
    </row>
    <row r="979" ht="14.25" customHeight="1">
      <c r="A979" s="402"/>
      <c r="B979" s="402"/>
      <c r="C979" s="402"/>
      <c r="D979" s="402"/>
      <c r="E979" s="402"/>
      <c r="F979" s="403"/>
      <c r="G979" s="403"/>
      <c r="H979" s="402"/>
      <c r="I979" s="402"/>
      <c r="J979" s="402"/>
      <c r="K979" s="402"/>
      <c r="L979" s="402"/>
      <c r="M979" s="402"/>
      <c r="N979" s="402"/>
      <c r="O979" s="402"/>
      <c r="P979" s="402"/>
      <c r="Q979" s="402"/>
      <c r="R979" s="402"/>
      <c r="S979" s="402"/>
      <c r="T979" s="402"/>
      <c r="U979" s="402"/>
      <c r="V979" s="402"/>
      <c r="W979" s="402"/>
      <c r="X979" s="402"/>
      <c r="Y979" s="402"/>
      <c r="Z979" s="402"/>
    </row>
    <row r="980" ht="14.25" customHeight="1">
      <c r="A980" s="402"/>
      <c r="B980" s="402"/>
      <c r="C980" s="402"/>
      <c r="D980" s="402"/>
      <c r="E980" s="402"/>
      <c r="F980" s="403"/>
      <c r="G980" s="403"/>
      <c r="H980" s="402"/>
      <c r="I980" s="402"/>
      <c r="J980" s="402"/>
      <c r="K980" s="402"/>
      <c r="L980" s="402"/>
      <c r="M980" s="402"/>
      <c r="N980" s="402"/>
      <c r="O980" s="402"/>
      <c r="P980" s="402"/>
      <c r="Q980" s="402"/>
      <c r="R980" s="402"/>
      <c r="S980" s="402"/>
      <c r="T980" s="402"/>
      <c r="U980" s="402"/>
      <c r="V980" s="402"/>
      <c r="W980" s="402"/>
      <c r="X980" s="402"/>
      <c r="Y980" s="402"/>
      <c r="Z980" s="402"/>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71"/>
    <col customWidth="1" min="2" max="2" width="26.43"/>
    <col customWidth="1" min="3" max="3" width="32.43"/>
    <col customWidth="1" min="4" max="4" width="24.0"/>
    <col customWidth="1" min="5" max="5" width="17.14"/>
    <col customWidth="1" min="6" max="6" width="21.71"/>
    <col customWidth="1" min="7" max="7" width="13.71"/>
    <col customWidth="1" min="8" max="8" width="20.57"/>
    <col customWidth="1" min="9" max="9" width="73.43"/>
    <col customWidth="1" min="10" max="28" width="8.71"/>
  </cols>
  <sheetData>
    <row r="1" ht="14.25" customHeight="1">
      <c r="A1" s="584" t="s">
        <v>2130</v>
      </c>
      <c r="B1" s="584" t="s">
        <v>39</v>
      </c>
      <c r="C1" s="584" t="s">
        <v>48</v>
      </c>
      <c r="D1" s="584" t="s">
        <v>49</v>
      </c>
      <c r="E1" s="584" t="s">
        <v>50</v>
      </c>
      <c r="F1" s="586" t="s">
        <v>2</v>
      </c>
      <c r="G1" s="584" t="s">
        <v>44</v>
      </c>
      <c r="H1" s="584" t="s">
        <v>45</v>
      </c>
      <c r="I1" s="424" t="s">
        <v>4549</v>
      </c>
      <c r="J1" s="584"/>
      <c r="K1" s="584"/>
      <c r="L1" s="584"/>
      <c r="M1" s="584"/>
      <c r="N1" s="584"/>
      <c r="O1" s="584"/>
      <c r="P1" s="584"/>
      <c r="Q1" s="584"/>
      <c r="R1" s="584"/>
      <c r="S1" s="584"/>
      <c r="T1" s="584"/>
      <c r="U1" s="584"/>
      <c r="V1" s="584"/>
      <c r="W1" s="584"/>
      <c r="X1" s="584"/>
      <c r="Y1" s="584"/>
      <c r="Z1" s="584"/>
      <c r="AA1" s="659"/>
      <c r="AB1" s="659"/>
    </row>
    <row r="2" ht="14.25" customHeight="1">
      <c r="A2" s="406">
        <v>45495.0</v>
      </c>
      <c r="B2" s="349" t="s">
        <v>4550</v>
      </c>
      <c r="C2" s="349" t="s">
        <v>4551</v>
      </c>
      <c r="D2" s="349" t="s">
        <v>439</v>
      </c>
      <c r="E2" s="349" t="s">
        <v>4552</v>
      </c>
      <c r="F2" s="413">
        <v>96800.0</v>
      </c>
      <c r="G2" s="402"/>
      <c r="H2" s="404" t="str">
        <f t="shared" ref="H2:H13" si="1">IF(G2&gt;=F2,"FULLY PAID",IF(G2=0,"NOT PAID","PARTIALLY PAID"))</f>
        <v>NOT PAID</v>
      </c>
      <c r="I2" s="349" t="s">
        <v>4553</v>
      </c>
      <c r="J2" s="402"/>
      <c r="K2" s="402"/>
      <c r="L2" s="402"/>
      <c r="M2" s="402"/>
      <c r="N2" s="402"/>
      <c r="O2" s="402"/>
      <c r="P2" s="402"/>
      <c r="Q2" s="402"/>
      <c r="R2" s="402"/>
      <c r="S2" s="402"/>
      <c r="T2" s="402"/>
      <c r="U2" s="402"/>
      <c r="V2" s="402"/>
      <c r="W2" s="402"/>
      <c r="X2" s="402"/>
      <c r="Y2" s="402"/>
      <c r="Z2" s="402"/>
      <c r="AA2" s="405"/>
      <c r="AB2" s="405"/>
    </row>
    <row r="3" ht="14.25" customHeight="1">
      <c r="A3" s="406">
        <v>45495.0</v>
      </c>
      <c r="B3" s="349" t="s">
        <v>4554</v>
      </c>
      <c r="C3" s="349" t="s">
        <v>4555</v>
      </c>
      <c r="D3" s="349" t="s">
        <v>439</v>
      </c>
      <c r="E3" s="349" t="s">
        <v>4552</v>
      </c>
      <c r="F3" s="413">
        <v>25000.0</v>
      </c>
      <c r="G3" s="413">
        <v>4000.0</v>
      </c>
      <c r="H3" s="404" t="str">
        <f t="shared" si="1"/>
        <v>PARTIALLY PAID</v>
      </c>
      <c r="I3" s="349" t="s">
        <v>4553</v>
      </c>
      <c r="J3" s="402"/>
      <c r="K3" s="402"/>
      <c r="L3" s="402"/>
      <c r="M3" s="402"/>
      <c r="N3" s="402"/>
      <c r="O3" s="402"/>
      <c r="P3" s="402"/>
      <c r="Q3" s="402"/>
      <c r="R3" s="402"/>
      <c r="S3" s="402"/>
      <c r="T3" s="402"/>
      <c r="U3" s="402"/>
      <c r="V3" s="402"/>
      <c r="W3" s="402"/>
      <c r="X3" s="402"/>
      <c r="Y3" s="402"/>
      <c r="Z3" s="402"/>
      <c r="AA3" s="405"/>
      <c r="AB3" s="405"/>
    </row>
    <row r="4" ht="14.25" customHeight="1">
      <c r="A4" s="406">
        <v>45495.0</v>
      </c>
      <c r="B4" s="349" t="s">
        <v>4556</v>
      </c>
      <c r="C4" s="349" t="s">
        <v>4557</v>
      </c>
      <c r="D4" s="349" t="s">
        <v>439</v>
      </c>
      <c r="E4" s="349" t="s">
        <v>4558</v>
      </c>
      <c r="F4" s="413">
        <v>2200.0</v>
      </c>
      <c r="G4" s="402"/>
      <c r="H4" s="404" t="str">
        <f t="shared" si="1"/>
        <v>NOT PAID</v>
      </c>
      <c r="I4" s="349" t="s">
        <v>4553</v>
      </c>
      <c r="J4" s="402"/>
      <c r="K4" s="402"/>
      <c r="L4" s="402"/>
      <c r="M4" s="402"/>
      <c r="N4" s="402"/>
      <c r="O4" s="402"/>
      <c r="P4" s="402"/>
      <c r="Q4" s="402"/>
      <c r="R4" s="402"/>
      <c r="S4" s="402"/>
      <c r="T4" s="402"/>
      <c r="U4" s="402"/>
      <c r="V4" s="402"/>
      <c r="W4" s="402"/>
      <c r="X4" s="402"/>
      <c r="Y4" s="402"/>
      <c r="Z4" s="402"/>
      <c r="AA4" s="405"/>
      <c r="AB4" s="405"/>
    </row>
    <row r="5" ht="14.25" customHeight="1">
      <c r="A5" s="406">
        <v>45495.0</v>
      </c>
      <c r="B5" s="349" t="s">
        <v>4559</v>
      </c>
      <c r="C5" s="349" t="s">
        <v>4560</v>
      </c>
      <c r="D5" s="349" t="s">
        <v>439</v>
      </c>
      <c r="E5" s="349" t="s">
        <v>4552</v>
      </c>
      <c r="F5" s="413">
        <v>15000.0</v>
      </c>
      <c r="G5" s="402"/>
      <c r="H5" s="404" t="str">
        <f t="shared" si="1"/>
        <v>NOT PAID</v>
      </c>
      <c r="I5" s="349" t="s">
        <v>4561</v>
      </c>
      <c r="J5" s="402"/>
      <c r="K5" s="402"/>
      <c r="L5" s="402"/>
      <c r="M5" s="402"/>
      <c r="N5" s="402"/>
      <c r="O5" s="402"/>
      <c r="P5" s="402"/>
      <c r="Q5" s="402"/>
      <c r="R5" s="402"/>
      <c r="S5" s="402"/>
      <c r="T5" s="402"/>
      <c r="U5" s="402"/>
      <c r="V5" s="402"/>
      <c r="W5" s="402"/>
      <c r="X5" s="402"/>
      <c r="Y5" s="402"/>
      <c r="Z5" s="402"/>
      <c r="AA5" s="405"/>
      <c r="AB5" s="405"/>
    </row>
    <row r="6" ht="14.25" customHeight="1">
      <c r="A6" s="406">
        <v>45495.0</v>
      </c>
      <c r="B6" s="349" t="s">
        <v>4562</v>
      </c>
      <c r="C6" s="349" t="s">
        <v>4563</v>
      </c>
      <c r="D6" s="349" t="s">
        <v>439</v>
      </c>
      <c r="E6" s="349" t="s">
        <v>4564</v>
      </c>
      <c r="F6" s="413">
        <v>7720.0</v>
      </c>
      <c r="G6" s="402"/>
      <c r="H6" s="404" t="str">
        <f t="shared" si="1"/>
        <v>NOT PAID</v>
      </c>
      <c r="I6" s="349" t="s">
        <v>4553</v>
      </c>
      <c r="J6" s="402"/>
      <c r="K6" s="402"/>
      <c r="L6" s="402"/>
      <c r="M6" s="402"/>
      <c r="N6" s="402"/>
      <c r="O6" s="402"/>
      <c r="P6" s="402"/>
      <c r="Q6" s="402"/>
      <c r="R6" s="402"/>
      <c r="S6" s="402"/>
      <c r="T6" s="402"/>
      <c r="U6" s="402"/>
      <c r="V6" s="402"/>
      <c r="W6" s="402"/>
      <c r="X6" s="402"/>
      <c r="Y6" s="402"/>
      <c r="Z6" s="402"/>
      <c r="AA6" s="405"/>
      <c r="AB6" s="405"/>
    </row>
    <row r="7" ht="14.25" customHeight="1">
      <c r="A7" s="406">
        <v>45495.0</v>
      </c>
      <c r="B7" s="349" t="s">
        <v>4565</v>
      </c>
      <c r="C7" s="349" t="s">
        <v>4566</v>
      </c>
      <c r="D7" s="349" t="s">
        <v>439</v>
      </c>
      <c r="E7" s="349" t="s">
        <v>4552</v>
      </c>
      <c r="F7" s="413">
        <v>16168.0</v>
      </c>
      <c r="G7" s="402"/>
      <c r="H7" s="404" t="str">
        <f t="shared" si="1"/>
        <v>NOT PAID</v>
      </c>
      <c r="I7" s="349" t="s">
        <v>4567</v>
      </c>
      <c r="J7" s="402"/>
      <c r="K7" s="402"/>
      <c r="L7" s="402"/>
      <c r="M7" s="402"/>
      <c r="N7" s="402"/>
      <c r="O7" s="402"/>
      <c r="P7" s="402"/>
      <c r="Q7" s="402"/>
      <c r="R7" s="402"/>
      <c r="S7" s="402"/>
      <c r="T7" s="402"/>
      <c r="U7" s="402"/>
      <c r="V7" s="402"/>
      <c r="W7" s="402"/>
      <c r="X7" s="402"/>
      <c r="Y7" s="402"/>
      <c r="Z7" s="402"/>
      <c r="AA7" s="405"/>
      <c r="AB7" s="405"/>
    </row>
    <row r="8" ht="14.25" customHeight="1">
      <c r="A8" s="406">
        <v>45495.0</v>
      </c>
      <c r="B8" s="349" t="s">
        <v>4568</v>
      </c>
      <c r="C8" s="349" t="s">
        <v>4569</v>
      </c>
      <c r="D8" s="349" t="s">
        <v>439</v>
      </c>
      <c r="E8" s="349" t="s">
        <v>4552</v>
      </c>
      <c r="F8" s="413">
        <v>25000.0</v>
      </c>
      <c r="G8" s="402"/>
      <c r="H8" s="404" t="str">
        <f t="shared" si="1"/>
        <v>NOT PAID</v>
      </c>
      <c r="I8" s="349" t="s">
        <v>4570</v>
      </c>
      <c r="J8" s="402"/>
      <c r="K8" s="402"/>
      <c r="L8" s="402"/>
      <c r="M8" s="402"/>
      <c r="N8" s="402"/>
      <c r="O8" s="402"/>
      <c r="P8" s="402"/>
      <c r="Q8" s="402"/>
      <c r="R8" s="402"/>
      <c r="S8" s="402"/>
      <c r="T8" s="402"/>
      <c r="U8" s="402"/>
      <c r="V8" s="402"/>
      <c r="W8" s="402"/>
      <c r="X8" s="402"/>
      <c r="Y8" s="402"/>
      <c r="Z8" s="402"/>
      <c r="AA8" s="405"/>
      <c r="AB8" s="405"/>
    </row>
    <row r="9" ht="14.25" customHeight="1">
      <c r="A9" s="406">
        <v>45495.0</v>
      </c>
      <c r="B9" s="349" t="s">
        <v>4571</v>
      </c>
      <c r="C9" s="349" t="s">
        <v>4572</v>
      </c>
      <c r="D9" s="349" t="s">
        <v>439</v>
      </c>
      <c r="E9" s="349" t="s">
        <v>4558</v>
      </c>
      <c r="F9" s="413">
        <v>23798.0</v>
      </c>
      <c r="G9" s="402"/>
      <c r="H9" s="404" t="str">
        <f t="shared" si="1"/>
        <v>NOT PAID</v>
      </c>
      <c r="I9" s="349" t="s">
        <v>4570</v>
      </c>
      <c r="J9" s="402"/>
      <c r="K9" s="402"/>
      <c r="L9" s="402"/>
      <c r="M9" s="402"/>
      <c r="N9" s="402"/>
      <c r="O9" s="402"/>
      <c r="P9" s="402"/>
      <c r="Q9" s="402"/>
      <c r="R9" s="402"/>
      <c r="S9" s="402"/>
      <c r="T9" s="402"/>
      <c r="U9" s="402"/>
      <c r="V9" s="402"/>
      <c r="W9" s="402"/>
      <c r="X9" s="402"/>
      <c r="Y9" s="402"/>
      <c r="Z9" s="402"/>
      <c r="AA9" s="405"/>
      <c r="AB9" s="405"/>
    </row>
    <row r="10" ht="14.25" customHeight="1">
      <c r="A10" s="406">
        <v>45495.0</v>
      </c>
      <c r="B10" s="349" t="s">
        <v>4573</v>
      </c>
      <c r="C10" s="349" t="s">
        <v>4574</v>
      </c>
      <c r="D10" s="349" t="s">
        <v>439</v>
      </c>
      <c r="E10" s="349" t="s">
        <v>4558</v>
      </c>
      <c r="F10" s="413">
        <v>25000.0</v>
      </c>
      <c r="G10" s="402"/>
      <c r="H10" s="404" t="str">
        <f t="shared" si="1"/>
        <v>NOT PAID</v>
      </c>
      <c r="I10" s="349" t="s">
        <v>4570</v>
      </c>
      <c r="J10" s="402"/>
      <c r="K10" s="402"/>
      <c r="L10" s="402"/>
      <c r="M10" s="402"/>
      <c r="N10" s="402"/>
      <c r="O10" s="402"/>
      <c r="P10" s="402"/>
      <c r="Q10" s="402"/>
      <c r="R10" s="402"/>
      <c r="S10" s="402"/>
      <c r="T10" s="402"/>
      <c r="U10" s="402"/>
      <c r="V10" s="402"/>
      <c r="W10" s="402"/>
      <c r="X10" s="402"/>
      <c r="Y10" s="402"/>
      <c r="Z10" s="402"/>
      <c r="AA10" s="405"/>
      <c r="AB10" s="405"/>
    </row>
    <row r="11" ht="14.25" customHeight="1">
      <c r="A11" s="406">
        <v>45495.0</v>
      </c>
      <c r="B11" s="349" t="s">
        <v>4575</v>
      </c>
      <c r="C11" s="512" t="s">
        <v>4576</v>
      </c>
      <c r="D11" s="349" t="s">
        <v>439</v>
      </c>
      <c r="E11" s="349" t="s">
        <v>4558</v>
      </c>
      <c r="F11" s="413">
        <v>8000.0</v>
      </c>
      <c r="G11" s="402"/>
      <c r="H11" s="404" t="str">
        <f t="shared" si="1"/>
        <v>NOT PAID</v>
      </c>
      <c r="I11" s="349" t="s">
        <v>4570</v>
      </c>
      <c r="J11" s="402"/>
      <c r="K11" s="402"/>
      <c r="L11" s="402"/>
      <c r="M11" s="402"/>
      <c r="N11" s="402"/>
      <c r="O11" s="402"/>
      <c r="P11" s="402"/>
      <c r="Q11" s="402"/>
      <c r="R11" s="402"/>
      <c r="S11" s="402"/>
      <c r="T11" s="402"/>
      <c r="U11" s="402"/>
      <c r="V11" s="402"/>
      <c r="W11" s="402"/>
      <c r="X11" s="402"/>
      <c r="Y11" s="402"/>
      <c r="Z11" s="402"/>
      <c r="AA11" s="405"/>
      <c r="AB11" s="405"/>
    </row>
    <row r="12" ht="14.25" customHeight="1">
      <c r="A12" s="406">
        <v>45495.0</v>
      </c>
      <c r="B12" s="349" t="s">
        <v>4577</v>
      </c>
      <c r="C12" s="349" t="s">
        <v>4578</v>
      </c>
      <c r="D12" s="349" t="s">
        <v>439</v>
      </c>
      <c r="E12" s="349" t="s">
        <v>4552</v>
      </c>
      <c r="F12" s="413">
        <v>48237.0</v>
      </c>
      <c r="G12" s="402"/>
      <c r="H12" s="404" t="str">
        <f t="shared" si="1"/>
        <v>NOT PAID</v>
      </c>
      <c r="I12" s="349" t="s">
        <v>4570</v>
      </c>
      <c r="J12" s="402"/>
      <c r="K12" s="402"/>
      <c r="L12" s="402"/>
      <c r="M12" s="402"/>
      <c r="N12" s="402"/>
      <c r="O12" s="402"/>
      <c r="P12" s="402"/>
      <c r="Q12" s="402"/>
      <c r="R12" s="402"/>
      <c r="S12" s="402"/>
      <c r="T12" s="402"/>
      <c r="U12" s="402"/>
      <c r="V12" s="402"/>
      <c r="W12" s="402"/>
      <c r="X12" s="402"/>
      <c r="Y12" s="402"/>
      <c r="Z12" s="402"/>
      <c r="AA12" s="405"/>
      <c r="AB12" s="405"/>
    </row>
    <row r="13" ht="14.25" customHeight="1">
      <c r="A13" s="402"/>
      <c r="B13" s="584"/>
      <c r="C13" s="584"/>
      <c r="D13" s="584"/>
      <c r="E13" s="584"/>
      <c r="F13" s="787">
        <v>292923.0</v>
      </c>
      <c r="G13" s="402"/>
      <c r="H13" s="404" t="str">
        <f t="shared" si="1"/>
        <v>NOT PAID</v>
      </c>
      <c r="I13" s="402"/>
      <c r="J13" s="402"/>
      <c r="K13" s="402"/>
      <c r="L13" s="402"/>
      <c r="M13" s="402"/>
      <c r="N13" s="402"/>
      <c r="O13" s="402"/>
      <c r="P13" s="402"/>
      <c r="Q13" s="402"/>
      <c r="R13" s="402"/>
      <c r="S13" s="402"/>
      <c r="T13" s="402"/>
      <c r="U13" s="402"/>
      <c r="V13" s="402"/>
      <c r="W13" s="402"/>
      <c r="X13" s="402"/>
      <c r="Y13" s="402"/>
      <c r="Z13" s="402"/>
      <c r="AA13" s="405"/>
      <c r="AB13" s="405"/>
    </row>
    <row r="14" ht="14.25" customHeight="1">
      <c r="A14" s="402"/>
      <c r="B14" s="402"/>
      <c r="C14" s="402"/>
      <c r="D14" s="402"/>
      <c r="E14" s="402"/>
      <c r="F14" s="403"/>
      <c r="G14" s="402"/>
      <c r="H14" s="404"/>
      <c r="I14" s="402"/>
      <c r="J14" s="402"/>
      <c r="K14" s="402"/>
      <c r="L14" s="402"/>
      <c r="M14" s="402"/>
      <c r="N14" s="402"/>
      <c r="O14" s="402"/>
      <c r="P14" s="402"/>
      <c r="Q14" s="402"/>
      <c r="R14" s="402"/>
      <c r="S14" s="402"/>
      <c r="T14" s="402"/>
      <c r="U14" s="402"/>
      <c r="V14" s="402"/>
      <c r="W14" s="402"/>
      <c r="X14" s="402"/>
      <c r="Y14" s="402"/>
      <c r="Z14" s="402"/>
      <c r="AA14" s="405"/>
      <c r="AB14" s="405"/>
    </row>
    <row r="15" ht="14.25" customHeight="1">
      <c r="A15" s="406">
        <v>45496.0</v>
      </c>
      <c r="B15" s="349" t="s">
        <v>4550</v>
      </c>
      <c r="C15" s="349" t="s">
        <v>4551</v>
      </c>
      <c r="D15" s="349" t="s">
        <v>439</v>
      </c>
      <c r="E15" s="349" t="s">
        <v>4552</v>
      </c>
      <c r="F15" s="413">
        <v>96800.0</v>
      </c>
      <c r="G15" s="402"/>
      <c r="H15" s="404" t="str">
        <f t="shared" ref="H15:H26" si="2">IF(G15&gt;=F15,"FULLY PAID",IF(G15=0,"NOT PAID","PARTIALLY PAID"))</f>
        <v>NOT PAID</v>
      </c>
      <c r="I15" s="349" t="s">
        <v>4553</v>
      </c>
      <c r="J15" s="402"/>
      <c r="K15" s="402"/>
      <c r="L15" s="402"/>
      <c r="M15" s="402"/>
      <c r="N15" s="402"/>
      <c r="O15" s="402"/>
      <c r="P15" s="402"/>
      <c r="Q15" s="402"/>
      <c r="R15" s="402"/>
      <c r="S15" s="402"/>
      <c r="T15" s="402"/>
      <c r="U15" s="402"/>
      <c r="V15" s="402"/>
      <c r="W15" s="402"/>
      <c r="X15" s="402"/>
      <c r="Y15" s="402"/>
      <c r="Z15" s="402"/>
      <c r="AA15" s="405"/>
      <c r="AB15" s="405"/>
    </row>
    <row r="16" ht="14.25" customHeight="1">
      <c r="A16" s="406">
        <v>45496.0</v>
      </c>
      <c r="B16" s="349" t="s">
        <v>4554</v>
      </c>
      <c r="C16" s="349" t="s">
        <v>4555</v>
      </c>
      <c r="D16" s="349" t="s">
        <v>439</v>
      </c>
      <c r="E16" s="349" t="s">
        <v>4552</v>
      </c>
      <c r="F16" s="413">
        <v>20000.0</v>
      </c>
      <c r="G16" s="402"/>
      <c r="H16" s="404" t="str">
        <f t="shared" si="2"/>
        <v>NOT PAID</v>
      </c>
      <c r="I16" s="349" t="s">
        <v>4553</v>
      </c>
      <c r="J16" s="402"/>
      <c r="K16" s="402"/>
      <c r="L16" s="402"/>
      <c r="M16" s="402"/>
      <c r="N16" s="402"/>
      <c r="O16" s="402"/>
      <c r="P16" s="402"/>
      <c r="Q16" s="402"/>
      <c r="R16" s="402"/>
      <c r="S16" s="402"/>
      <c r="T16" s="402"/>
      <c r="U16" s="402"/>
      <c r="V16" s="402"/>
      <c r="W16" s="402"/>
      <c r="X16" s="402"/>
      <c r="Y16" s="402"/>
      <c r="Z16" s="402"/>
      <c r="AA16" s="405"/>
      <c r="AB16" s="405"/>
    </row>
    <row r="17" ht="14.25" customHeight="1">
      <c r="A17" s="406">
        <v>45496.0</v>
      </c>
      <c r="B17" s="349" t="s">
        <v>4556</v>
      </c>
      <c r="C17" s="349" t="s">
        <v>4557</v>
      </c>
      <c r="D17" s="349" t="s">
        <v>439</v>
      </c>
      <c r="E17" s="349" t="s">
        <v>4558</v>
      </c>
      <c r="F17" s="413">
        <v>2200.0</v>
      </c>
      <c r="G17" s="402"/>
      <c r="H17" s="404" t="str">
        <f t="shared" si="2"/>
        <v>NOT PAID</v>
      </c>
      <c r="I17" s="349" t="s">
        <v>4553</v>
      </c>
      <c r="J17" s="402"/>
      <c r="K17" s="402"/>
      <c r="L17" s="402"/>
      <c r="M17" s="402"/>
      <c r="N17" s="402"/>
      <c r="O17" s="402"/>
      <c r="P17" s="402"/>
      <c r="Q17" s="402"/>
      <c r="R17" s="402"/>
      <c r="S17" s="402"/>
      <c r="T17" s="402"/>
      <c r="U17" s="402"/>
      <c r="V17" s="402"/>
      <c r="W17" s="402"/>
      <c r="X17" s="402"/>
      <c r="Y17" s="402"/>
      <c r="Z17" s="402"/>
      <c r="AA17" s="405"/>
      <c r="AB17" s="405"/>
    </row>
    <row r="18" ht="14.25" customHeight="1">
      <c r="A18" s="406">
        <v>45496.0</v>
      </c>
      <c r="B18" s="349" t="s">
        <v>4559</v>
      </c>
      <c r="C18" s="349" t="s">
        <v>4560</v>
      </c>
      <c r="D18" s="349" t="s">
        <v>439</v>
      </c>
      <c r="E18" s="349" t="s">
        <v>4552</v>
      </c>
      <c r="F18" s="413">
        <v>15000.0</v>
      </c>
      <c r="G18" s="402"/>
      <c r="H18" s="404" t="str">
        <f t="shared" si="2"/>
        <v>NOT PAID</v>
      </c>
      <c r="I18" s="349" t="s">
        <v>4561</v>
      </c>
      <c r="J18" s="402"/>
      <c r="K18" s="402"/>
      <c r="L18" s="402"/>
      <c r="M18" s="402"/>
      <c r="N18" s="402"/>
      <c r="O18" s="402"/>
      <c r="P18" s="402"/>
      <c r="Q18" s="402"/>
      <c r="R18" s="402"/>
      <c r="S18" s="402"/>
      <c r="T18" s="402"/>
      <c r="U18" s="402"/>
      <c r="V18" s="402"/>
      <c r="W18" s="402"/>
      <c r="X18" s="402"/>
      <c r="Y18" s="402"/>
      <c r="Z18" s="402"/>
      <c r="AA18" s="405"/>
      <c r="AB18" s="405"/>
    </row>
    <row r="19" ht="14.25" customHeight="1">
      <c r="A19" s="406">
        <v>45496.0</v>
      </c>
      <c r="B19" s="349" t="s">
        <v>4562</v>
      </c>
      <c r="C19" s="349" t="s">
        <v>4563</v>
      </c>
      <c r="D19" s="349" t="s">
        <v>439</v>
      </c>
      <c r="E19" s="349" t="s">
        <v>4564</v>
      </c>
      <c r="F19" s="413">
        <v>7720.0</v>
      </c>
      <c r="G19" s="402"/>
      <c r="H19" s="404" t="str">
        <f t="shared" si="2"/>
        <v>NOT PAID</v>
      </c>
      <c r="I19" s="349" t="s">
        <v>4553</v>
      </c>
      <c r="J19" s="402"/>
      <c r="K19" s="402"/>
      <c r="L19" s="402"/>
      <c r="M19" s="402"/>
      <c r="N19" s="402"/>
      <c r="O19" s="402"/>
      <c r="P19" s="402"/>
      <c r="Q19" s="402"/>
      <c r="R19" s="402"/>
      <c r="S19" s="402"/>
      <c r="T19" s="402"/>
      <c r="U19" s="402"/>
      <c r="V19" s="402"/>
      <c r="W19" s="402"/>
      <c r="X19" s="402"/>
      <c r="Y19" s="402"/>
      <c r="Z19" s="402"/>
      <c r="AA19" s="405"/>
      <c r="AB19" s="405"/>
    </row>
    <row r="20" ht="14.25" customHeight="1">
      <c r="A20" s="406">
        <v>45496.0</v>
      </c>
      <c r="B20" s="349" t="s">
        <v>4565</v>
      </c>
      <c r="C20" s="349" t="s">
        <v>4566</v>
      </c>
      <c r="D20" s="349" t="s">
        <v>439</v>
      </c>
      <c r="E20" s="349" t="s">
        <v>4552</v>
      </c>
      <c r="F20" s="413">
        <v>16168.0</v>
      </c>
      <c r="G20" s="413">
        <v>13000.0</v>
      </c>
      <c r="H20" s="404" t="str">
        <f t="shared" si="2"/>
        <v>PARTIALLY PAID</v>
      </c>
      <c r="I20" s="349"/>
      <c r="J20" s="402"/>
      <c r="K20" s="402"/>
      <c r="L20" s="402"/>
      <c r="M20" s="402"/>
      <c r="N20" s="402"/>
      <c r="O20" s="402"/>
      <c r="P20" s="402"/>
      <c r="Q20" s="402"/>
      <c r="R20" s="402"/>
      <c r="S20" s="402"/>
      <c r="T20" s="402"/>
      <c r="U20" s="402"/>
      <c r="V20" s="402"/>
      <c r="W20" s="402"/>
      <c r="X20" s="402"/>
      <c r="Y20" s="402"/>
      <c r="Z20" s="402"/>
      <c r="AA20" s="405"/>
      <c r="AB20" s="405"/>
    </row>
    <row r="21" ht="14.25" customHeight="1">
      <c r="A21" s="406">
        <v>45496.0</v>
      </c>
      <c r="B21" s="349" t="s">
        <v>4568</v>
      </c>
      <c r="C21" s="349" t="s">
        <v>4569</v>
      </c>
      <c r="D21" s="349" t="s">
        <v>439</v>
      </c>
      <c r="E21" s="349" t="s">
        <v>4552</v>
      </c>
      <c r="F21" s="413">
        <v>25000.0</v>
      </c>
      <c r="G21" s="402"/>
      <c r="H21" s="404" t="str">
        <f t="shared" si="2"/>
        <v>NOT PAID</v>
      </c>
      <c r="I21" s="349" t="s">
        <v>4570</v>
      </c>
      <c r="J21" s="402"/>
      <c r="K21" s="402"/>
      <c r="L21" s="402"/>
      <c r="M21" s="402"/>
      <c r="N21" s="402"/>
      <c r="O21" s="402"/>
      <c r="P21" s="402"/>
      <c r="Q21" s="402"/>
      <c r="R21" s="402"/>
      <c r="S21" s="402"/>
      <c r="T21" s="402"/>
      <c r="U21" s="402"/>
      <c r="V21" s="402"/>
      <c r="W21" s="402"/>
      <c r="X21" s="402"/>
      <c r="Y21" s="402"/>
      <c r="Z21" s="402"/>
      <c r="AA21" s="405"/>
      <c r="AB21" s="405"/>
    </row>
    <row r="22" ht="14.25" customHeight="1">
      <c r="A22" s="406">
        <v>45496.0</v>
      </c>
      <c r="B22" s="349" t="s">
        <v>4571</v>
      </c>
      <c r="C22" s="349" t="s">
        <v>4572</v>
      </c>
      <c r="D22" s="349" t="s">
        <v>439</v>
      </c>
      <c r="E22" s="349" t="s">
        <v>4558</v>
      </c>
      <c r="F22" s="413">
        <v>23798.0</v>
      </c>
      <c r="G22" s="402"/>
      <c r="H22" s="404" t="str">
        <f t="shared" si="2"/>
        <v>NOT PAID</v>
      </c>
      <c r="I22" s="349" t="s">
        <v>4570</v>
      </c>
      <c r="J22" s="402"/>
      <c r="K22" s="402"/>
      <c r="L22" s="402"/>
      <c r="M22" s="402"/>
      <c r="N22" s="402"/>
      <c r="O22" s="402"/>
      <c r="P22" s="402"/>
      <c r="Q22" s="402"/>
      <c r="R22" s="402"/>
      <c r="S22" s="402"/>
      <c r="T22" s="402"/>
      <c r="U22" s="402"/>
      <c r="V22" s="402"/>
      <c r="W22" s="402"/>
      <c r="X22" s="402"/>
      <c r="Y22" s="402"/>
      <c r="Z22" s="402"/>
      <c r="AA22" s="405"/>
      <c r="AB22" s="405"/>
    </row>
    <row r="23" ht="14.25" customHeight="1">
      <c r="A23" s="406">
        <v>45496.0</v>
      </c>
      <c r="B23" s="349" t="s">
        <v>4573</v>
      </c>
      <c r="C23" s="349" t="s">
        <v>4574</v>
      </c>
      <c r="D23" s="349" t="s">
        <v>439</v>
      </c>
      <c r="E23" s="349" t="s">
        <v>4558</v>
      </c>
      <c r="F23" s="413">
        <v>25000.0</v>
      </c>
      <c r="G23" s="402"/>
      <c r="H23" s="404" t="str">
        <f t="shared" si="2"/>
        <v>NOT PAID</v>
      </c>
      <c r="I23" s="349" t="s">
        <v>4570</v>
      </c>
      <c r="J23" s="402"/>
      <c r="K23" s="402"/>
      <c r="L23" s="402"/>
      <c r="M23" s="402"/>
      <c r="N23" s="402"/>
      <c r="O23" s="402"/>
      <c r="P23" s="402"/>
      <c r="Q23" s="402"/>
      <c r="R23" s="402"/>
      <c r="S23" s="402"/>
      <c r="T23" s="402"/>
      <c r="U23" s="402"/>
      <c r="V23" s="402"/>
      <c r="W23" s="402"/>
      <c r="X23" s="402"/>
      <c r="Y23" s="402"/>
      <c r="Z23" s="402"/>
      <c r="AA23" s="405"/>
      <c r="AB23" s="405"/>
    </row>
    <row r="24" ht="14.25" customHeight="1">
      <c r="A24" s="406">
        <v>45496.0</v>
      </c>
      <c r="B24" s="349" t="s">
        <v>4575</v>
      </c>
      <c r="C24" s="512" t="s">
        <v>4576</v>
      </c>
      <c r="D24" s="349" t="s">
        <v>439</v>
      </c>
      <c r="E24" s="349" t="s">
        <v>4558</v>
      </c>
      <c r="F24" s="413">
        <v>8000.0</v>
      </c>
      <c r="G24" s="402"/>
      <c r="H24" s="404" t="str">
        <f t="shared" si="2"/>
        <v>NOT PAID</v>
      </c>
      <c r="I24" s="349" t="s">
        <v>4570</v>
      </c>
      <c r="J24" s="402"/>
      <c r="K24" s="402"/>
      <c r="L24" s="402"/>
      <c r="M24" s="402"/>
      <c r="N24" s="402"/>
      <c r="O24" s="402"/>
      <c r="P24" s="402"/>
      <c r="Q24" s="402"/>
      <c r="R24" s="402"/>
      <c r="S24" s="402"/>
      <c r="T24" s="402"/>
      <c r="U24" s="402"/>
      <c r="V24" s="402"/>
      <c r="W24" s="402"/>
      <c r="X24" s="402"/>
      <c r="Y24" s="402"/>
      <c r="Z24" s="402"/>
      <c r="AA24" s="405"/>
      <c r="AB24" s="405"/>
    </row>
    <row r="25" ht="14.25" customHeight="1">
      <c r="A25" s="406">
        <v>45496.0</v>
      </c>
      <c r="B25" s="349" t="s">
        <v>4577</v>
      </c>
      <c r="C25" s="349" t="s">
        <v>4578</v>
      </c>
      <c r="D25" s="349" t="s">
        <v>439</v>
      </c>
      <c r="E25" s="349" t="s">
        <v>4552</v>
      </c>
      <c r="F25" s="413">
        <v>48237.0</v>
      </c>
      <c r="G25" s="402"/>
      <c r="H25" s="404" t="str">
        <f t="shared" si="2"/>
        <v>NOT PAID</v>
      </c>
      <c r="I25" s="349" t="s">
        <v>4570</v>
      </c>
      <c r="J25" s="402"/>
      <c r="K25" s="402"/>
      <c r="L25" s="402"/>
      <c r="M25" s="402"/>
      <c r="N25" s="402"/>
      <c r="O25" s="402"/>
      <c r="P25" s="402"/>
      <c r="Q25" s="402"/>
      <c r="R25" s="402"/>
      <c r="S25" s="402"/>
      <c r="T25" s="402"/>
      <c r="U25" s="402"/>
      <c r="V25" s="402"/>
      <c r="W25" s="402"/>
      <c r="X25" s="402"/>
      <c r="Y25" s="402"/>
      <c r="Z25" s="402"/>
      <c r="AA25" s="405"/>
      <c r="AB25" s="405"/>
    </row>
    <row r="26" ht="14.25" customHeight="1">
      <c r="A26" s="406">
        <v>45496.0</v>
      </c>
      <c r="B26" s="349" t="s">
        <v>4579</v>
      </c>
      <c r="C26" s="349" t="s">
        <v>4580</v>
      </c>
      <c r="D26" s="349" t="s">
        <v>439</v>
      </c>
      <c r="E26" s="349" t="s">
        <v>4552</v>
      </c>
      <c r="F26" s="413">
        <v>77037.0</v>
      </c>
      <c r="G26" s="402"/>
      <c r="H26" s="404" t="str">
        <f t="shared" si="2"/>
        <v>NOT PAID</v>
      </c>
      <c r="I26" s="349" t="s">
        <v>4570</v>
      </c>
      <c r="J26" s="402"/>
      <c r="K26" s="402"/>
      <c r="L26" s="402"/>
      <c r="M26" s="402"/>
      <c r="N26" s="402"/>
      <c r="O26" s="402"/>
      <c r="P26" s="402"/>
      <c r="Q26" s="402"/>
      <c r="R26" s="402"/>
      <c r="S26" s="402"/>
      <c r="T26" s="402"/>
      <c r="U26" s="402"/>
      <c r="V26" s="402"/>
      <c r="W26" s="402"/>
      <c r="X26" s="402"/>
      <c r="Y26" s="402"/>
      <c r="Z26" s="402"/>
      <c r="AA26" s="405"/>
      <c r="AB26" s="405"/>
    </row>
    <row r="27" ht="14.25" customHeight="1">
      <c r="A27" s="584"/>
      <c r="B27" s="584"/>
      <c r="C27" s="584"/>
      <c r="D27" s="584"/>
      <c r="E27" s="424" t="s">
        <v>23</v>
      </c>
      <c r="F27" s="787">
        <v>364960.0</v>
      </c>
      <c r="G27" s="584"/>
      <c r="H27" s="404"/>
      <c r="I27" s="424"/>
      <c r="J27" s="584"/>
      <c r="K27" s="584"/>
      <c r="L27" s="584"/>
      <c r="M27" s="584"/>
      <c r="N27" s="584"/>
      <c r="O27" s="584"/>
      <c r="P27" s="584"/>
      <c r="Q27" s="584"/>
      <c r="R27" s="584"/>
      <c r="S27" s="584"/>
      <c r="T27" s="584"/>
      <c r="U27" s="584"/>
      <c r="V27" s="584"/>
      <c r="W27" s="584"/>
      <c r="X27" s="584"/>
      <c r="Y27" s="584"/>
      <c r="Z27" s="584"/>
      <c r="AA27" s="659"/>
      <c r="AB27" s="659"/>
    </row>
    <row r="28" ht="14.25" customHeight="1">
      <c r="A28" s="402"/>
      <c r="B28" s="402"/>
      <c r="C28" s="402"/>
      <c r="D28" s="402"/>
      <c r="E28" s="402"/>
      <c r="F28" s="403"/>
      <c r="G28" s="402"/>
      <c r="H28" s="404"/>
      <c r="I28" s="402"/>
      <c r="J28" s="402"/>
      <c r="K28" s="402"/>
      <c r="L28" s="402"/>
      <c r="M28" s="402"/>
      <c r="N28" s="402"/>
      <c r="O28" s="402"/>
      <c r="P28" s="402"/>
      <c r="Q28" s="402"/>
      <c r="R28" s="402"/>
      <c r="S28" s="402"/>
      <c r="T28" s="402"/>
      <c r="U28" s="402"/>
      <c r="V28" s="402"/>
      <c r="W28" s="402"/>
      <c r="X28" s="402"/>
      <c r="Y28" s="402"/>
      <c r="Z28" s="402"/>
      <c r="AA28" s="405"/>
      <c r="AB28" s="405"/>
    </row>
    <row r="29" ht="14.25" customHeight="1">
      <c r="A29" s="406">
        <v>45497.0</v>
      </c>
      <c r="B29" s="349" t="s">
        <v>4550</v>
      </c>
      <c r="C29" s="349" t="s">
        <v>4551</v>
      </c>
      <c r="D29" s="349" t="s">
        <v>439</v>
      </c>
      <c r="E29" s="349" t="s">
        <v>4552</v>
      </c>
      <c r="F29" s="413">
        <v>96800.0</v>
      </c>
      <c r="G29" s="683">
        <v>60000.0</v>
      </c>
      <c r="H29" s="404" t="str">
        <f t="shared" ref="H29:H41" si="3">IF(G29&gt;=F29,"FULLY PAID",IF(G29=0,"NOT PAID","PARTIALLY PAID"))</f>
        <v>PARTIALLY PAID</v>
      </c>
      <c r="I29" s="349" t="s">
        <v>4553</v>
      </c>
      <c r="J29" s="402"/>
      <c r="K29" s="402"/>
      <c r="L29" s="402"/>
      <c r="M29" s="402"/>
      <c r="N29" s="402"/>
      <c r="O29" s="402"/>
      <c r="P29" s="402"/>
      <c r="Q29" s="402"/>
      <c r="R29" s="402"/>
      <c r="S29" s="402"/>
      <c r="T29" s="402"/>
      <c r="U29" s="402"/>
      <c r="V29" s="402"/>
      <c r="W29" s="402"/>
      <c r="X29" s="402"/>
      <c r="Y29" s="402"/>
      <c r="Z29" s="402"/>
      <c r="AA29" s="405"/>
      <c r="AB29" s="405"/>
    </row>
    <row r="30" ht="14.25" customHeight="1">
      <c r="A30" s="406">
        <v>45497.0</v>
      </c>
      <c r="B30" s="349" t="s">
        <v>4554</v>
      </c>
      <c r="C30" s="349" t="s">
        <v>4555</v>
      </c>
      <c r="D30" s="349" t="s">
        <v>439</v>
      </c>
      <c r="E30" s="349" t="s">
        <v>4552</v>
      </c>
      <c r="F30" s="413">
        <v>20000.0</v>
      </c>
      <c r="G30" s="402"/>
      <c r="H30" s="404" t="str">
        <f t="shared" si="3"/>
        <v>NOT PAID</v>
      </c>
      <c r="I30" s="349" t="s">
        <v>4553</v>
      </c>
      <c r="J30" s="402"/>
      <c r="K30" s="402"/>
      <c r="L30" s="402"/>
      <c r="M30" s="402"/>
      <c r="N30" s="402"/>
      <c r="O30" s="402"/>
      <c r="P30" s="402"/>
      <c r="Q30" s="402"/>
      <c r="R30" s="402"/>
      <c r="S30" s="402"/>
      <c r="T30" s="402"/>
      <c r="U30" s="402"/>
      <c r="V30" s="402"/>
      <c r="W30" s="402"/>
      <c r="X30" s="402"/>
      <c r="Y30" s="402"/>
      <c r="Z30" s="402"/>
      <c r="AA30" s="405"/>
      <c r="AB30" s="405"/>
    </row>
    <row r="31" ht="14.25" customHeight="1">
      <c r="A31" s="406">
        <v>45497.0</v>
      </c>
      <c r="B31" s="349" t="s">
        <v>4556</v>
      </c>
      <c r="C31" s="349" t="s">
        <v>4557</v>
      </c>
      <c r="D31" s="349" t="s">
        <v>439</v>
      </c>
      <c r="E31" s="349" t="s">
        <v>4558</v>
      </c>
      <c r="F31" s="413">
        <v>2200.0</v>
      </c>
      <c r="G31" s="402"/>
      <c r="H31" s="404" t="str">
        <f t="shared" si="3"/>
        <v>NOT PAID</v>
      </c>
      <c r="I31" s="349" t="s">
        <v>4553</v>
      </c>
      <c r="J31" s="402"/>
      <c r="K31" s="402"/>
      <c r="L31" s="402"/>
      <c r="M31" s="402"/>
      <c r="N31" s="402"/>
      <c r="O31" s="402"/>
      <c r="P31" s="402"/>
      <c r="Q31" s="402"/>
      <c r="R31" s="402"/>
      <c r="S31" s="402"/>
      <c r="T31" s="402"/>
      <c r="U31" s="402"/>
      <c r="V31" s="402"/>
      <c r="W31" s="402"/>
      <c r="X31" s="402"/>
      <c r="Y31" s="402"/>
      <c r="Z31" s="402"/>
      <c r="AA31" s="405"/>
      <c r="AB31" s="405"/>
    </row>
    <row r="32" ht="14.25" customHeight="1">
      <c r="A32" s="406">
        <v>45497.0</v>
      </c>
      <c r="B32" s="349" t="s">
        <v>4559</v>
      </c>
      <c r="C32" s="349" t="s">
        <v>4560</v>
      </c>
      <c r="D32" s="349" t="s">
        <v>439</v>
      </c>
      <c r="E32" s="349" t="s">
        <v>4552</v>
      </c>
      <c r="F32" s="413">
        <v>15000.0</v>
      </c>
      <c r="G32" s="402"/>
      <c r="H32" s="404" t="str">
        <f t="shared" si="3"/>
        <v>NOT PAID</v>
      </c>
      <c r="I32" s="349" t="s">
        <v>4561</v>
      </c>
      <c r="J32" s="402"/>
      <c r="K32" s="402"/>
      <c r="L32" s="402"/>
      <c r="M32" s="402"/>
      <c r="N32" s="402"/>
      <c r="O32" s="402"/>
      <c r="P32" s="402"/>
      <c r="Q32" s="402"/>
      <c r="R32" s="402"/>
      <c r="S32" s="402"/>
      <c r="T32" s="402"/>
      <c r="U32" s="402"/>
      <c r="V32" s="402"/>
      <c r="W32" s="402"/>
      <c r="X32" s="402"/>
      <c r="Y32" s="402"/>
      <c r="Z32" s="402"/>
      <c r="AA32" s="405"/>
      <c r="AB32" s="405"/>
    </row>
    <row r="33" ht="14.25" customHeight="1">
      <c r="A33" s="406">
        <v>45497.0</v>
      </c>
      <c r="B33" s="349" t="s">
        <v>4562</v>
      </c>
      <c r="C33" s="349" t="s">
        <v>4563</v>
      </c>
      <c r="D33" s="349" t="s">
        <v>439</v>
      </c>
      <c r="E33" s="349" t="s">
        <v>4564</v>
      </c>
      <c r="F33" s="413">
        <v>7720.0</v>
      </c>
      <c r="G33" s="402"/>
      <c r="H33" s="404" t="str">
        <f t="shared" si="3"/>
        <v>NOT PAID</v>
      </c>
      <c r="I33" s="349" t="s">
        <v>4553</v>
      </c>
      <c r="J33" s="402"/>
      <c r="K33" s="402"/>
      <c r="L33" s="402"/>
      <c r="M33" s="402"/>
      <c r="N33" s="402"/>
      <c r="O33" s="402"/>
      <c r="P33" s="402"/>
      <c r="Q33" s="402"/>
      <c r="R33" s="402"/>
      <c r="S33" s="402"/>
      <c r="T33" s="402"/>
      <c r="U33" s="402"/>
      <c r="V33" s="402"/>
      <c r="W33" s="402"/>
      <c r="X33" s="402"/>
      <c r="Y33" s="402"/>
      <c r="Z33" s="402"/>
      <c r="AA33" s="405"/>
      <c r="AB33" s="405"/>
    </row>
    <row r="34" ht="14.25" customHeight="1">
      <c r="A34" s="406">
        <v>45497.0</v>
      </c>
      <c r="B34" s="349" t="s">
        <v>4565</v>
      </c>
      <c r="C34" s="349" t="s">
        <v>4566</v>
      </c>
      <c r="D34" s="349" t="s">
        <v>439</v>
      </c>
      <c r="E34" s="349" t="s">
        <v>4552</v>
      </c>
      <c r="F34" s="413">
        <v>3168.0</v>
      </c>
      <c r="G34" s="402"/>
      <c r="H34" s="404" t="str">
        <f t="shared" si="3"/>
        <v>NOT PAID</v>
      </c>
      <c r="I34" s="349" t="s">
        <v>4567</v>
      </c>
      <c r="J34" s="402"/>
      <c r="K34" s="402"/>
      <c r="L34" s="402"/>
      <c r="M34" s="402"/>
      <c r="N34" s="402"/>
      <c r="O34" s="402"/>
      <c r="P34" s="402"/>
      <c r="Q34" s="402"/>
      <c r="R34" s="402"/>
      <c r="S34" s="402"/>
      <c r="T34" s="402"/>
      <c r="U34" s="402"/>
      <c r="V34" s="402"/>
      <c r="W34" s="402"/>
      <c r="X34" s="402"/>
      <c r="Y34" s="402"/>
      <c r="Z34" s="402"/>
      <c r="AA34" s="405"/>
      <c r="AB34" s="405"/>
    </row>
    <row r="35" ht="14.25" customHeight="1">
      <c r="A35" s="406">
        <v>45497.0</v>
      </c>
      <c r="B35" s="349" t="s">
        <v>4568</v>
      </c>
      <c r="C35" s="349" t="s">
        <v>4569</v>
      </c>
      <c r="D35" s="349" t="s">
        <v>439</v>
      </c>
      <c r="E35" s="349" t="s">
        <v>4552</v>
      </c>
      <c r="F35" s="413">
        <v>25000.0</v>
      </c>
      <c r="G35" s="402"/>
      <c r="H35" s="404" t="str">
        <f t="shared" si="3"/>
        <v>NOT PAID</v>
      </c>
      <c r="I35" s="349" t="s">
        <v>4570</v>
      </c>
      <c r="J35" s="402"/>
      <c r="K35" s="402"/>
      <c r="L35" s="402"/>
      <c r="M35" s="402"/>
      <c r="N35" s="402"/>
      <c r="O35" s="402"/>
      <c r="P35" s="402"/>
      <c r="Q35" s="402"/>
      <c r="R35" s="402"/>
      <c r="S35" s="402"/>
      <c r="T35" s="402"/>
      <c r="U35" s="402"/>
      <c r="V35" s="402"/>
      <c r="W35" s="402"/>
      <c r="X35" s="402"/>
      <c r="Y35" s="402"/>
      <c r="Z35" s="402"/>
      <c r="AA35" s="405"/>
      <c r="AB35" s="405"/>
    </row>
    <row r="36" ht="14.25" customHeight="1">
      <c r="A36" s="406">
        <v>45497.0</v>
      </c>
      <c r="B36" s="349" t="s">
        <v>4571</v>
      </c>
      <c r="C36" s="349" t="s">
        <v>4572</v>
      </c>
      <c r="D36" s="349" t="s">
        <v>439</v>
      </c>
      <c r="E36" s="349" t="s">
        <v>4558</v>
      </c>
      <c r="F36" s="413">
        <v>23798.0</v>
      </c>
      <c r="G36" s="402"/>
      <c r="H36" s="404" t="str">
        <f t="shared" si="3"/>
        <v>NOT PAID</v>
      </c>
      <c r="I36" s="349" t="s">
        <v>4570</v>
      </c>
      <c r="J36" s="402"/>
      <c r="K36" s="402"/>
      <c r="L36" s="402"/>
      <c r="M36" s="402"/>
      <c r="N36" s="402"/>
      <c r="O36" s="402"/>
      <c r="P36" s="402"/>
      <c r="Q36" s="402"/>
      <c r="R36" s="402"/>
      <c r="S36" s="402"/>
      <c r="T36" s="402"/>
      <c r="U36" s="402"/>
      <c r="V36" s="402"/>
      <c r="W36" s="402"/>
      <c r="X36" s="402"/>
      <c r="Y36" s="402"/>
      <c r="Z36" s="402"/>
      <c r="AA36" s="405"/>
      <c r="AB36" s="405"/>
    </row>
    <row r="37" ht="14.25" customHeight="1">
      <c r="A37" s="406">
        <v>45497.0</v>
      </c>
      <c r="B37" s="349" t="s">
        <v>4573</v>
      </c>
      <c r="C37" s="349" t="s">
        <v>4574</v>
      </c>
      <c r="D37" s="349" t="s">
        <v>439</v>
      </c>
      <c r="E37" s="349" t="s">
        <v>4558</v>
      </c>
      <c r="F37" s="413">
        <v>25000.0</v>
      </c>
      <c r="G37" s="402"/>
      <c r="H37" s="404" t="str">
        <f t="shared" si="3"/>
        <v>NOT PAID</v>
      </c>
      <c r="I37" s="349" t="s">
        <v>4570</v>
      </c>
      <c r="J37" s="402"/>
      <c r="K37" s="402"/>
      <c r="L37" s="402"/>
      <c r="M37" s="402"/>
      <c r="N37" s="402"/>
      <c r="O37" s="402"/>
      <c r="P37" s="402"/>
      <c r="Q37" s="402"/>
      <c r="R37" s="402"/>
      <c r="S37" s="402"/>
      <c r="T37" s="402"/>
      <c r="U37" s="402"/>
      <c r="V37" s="402"/>
      <c r="W37" s="402"/>
      <c r="X37" s="402"/>
      <c r="Y37" s="402"/>
      <c r="Z37" s="402"/>
      <c r="AA37" s="405"/>
      <c r="AB37" s="405"/>
    </row>
    <row r="38" ht="14.25" customHeight="1">
      <c r="A38" s="406">
        <v>45497.0</v>
      </c>
      <c r="B38" s="349" t="s">
        <v>4575</v>
      </c>
      <c r="C38" s="512" t="s">
        <v>4576</v>
      </c>
      <c r="D38" s="349" t="s">
        <v>439</v>
      </c>
      <c r="E38" s="349" t="s">
        <v>4558</v>
      </c>
      <c r="F38" s="413">
        <v>8000.0</v>
      </c>
      <c r="G38" s="402"/>
      <c r="H38" s="404" t="str">
        <f t="shared" si="3"/>
        <v>NOT PAID</v>
      </c>
      <c r="I38" s="349" t="s">
        <v>4570</v>
      </c>
      <c r="J38" s="402"/>
      <c r="K38" s="402"/>
      <c r="L38" s="402"/>
      <c r="M38" s="402"/>
      <c r="N38" s="402"/>
      <c r="O38" s="402"/>
      <c r="P38" s="402"/>
      <c r="Q38" s="402"/>
      <c r="R38" s="402"/>
      <c r="S38" s="402"/>
      <c r="T38" s="402"/>
      <c r="U38" s="402"/>
      <c r="V38" s="402"/>
      <c r="W38" s="402"/>
      <c r="X38" s="402"/>
      <c r="Y38" s="402"/>
      <c r="Z38" s="402"/>
      <c r="AA38" s="405"/>
      <c r="AB38" s="405"/>
    </row>
    <row r="39" ht="14.25" customHeight="1">
      <c r="A39" s="406">
        <v>45497.0</v>
      </c>
      <c r="B39" s="349" t="s">
        <v>4577</v>
      </c>
      <c r="C39" s="349" t="s">
        <v>4578</v>
      </c>
      <c r="D39" s="349" t="s">
        <v>439</v>
      </c>
      <c r="E39" s="349" t="s">
        <v>4552</v>
      </c>
      <c r="F39" s="413">
        <v>48237.0</v>
      </c>
      <c r="G39" s="402"/>
      <c r="H39" s="404" t="str">
        <f t="shared" si="3"/>
        <v>NOT PAID</v>
      </c>
      <c r="I39" s="349" t="s">
        <v>4570</v>
      </c>
      <c r="J39" s="584"/>
      <c r="K39" s="584"/>
      <c r="L39" s="584"/>
      <c r="M39" s="402"/>
      <c r="N39" s="402"/>
      <c r="O39" s="402"/>
      <c r="P39" s="402"/>
      <c r="Q39" s="402"/>
      <c r="R39" s="402"/>
      <c r="S39" s="402"/>
      <c r="T39" s="402"/>
      <c r="U39" s="402"/>
      <c r="V39" s="402"/>
      <c r="W39" s="402"/>
      <c r="X39" s="402"/>
      <c r="Y39" s="402"/>
      <c r="Z39" s="402"/>
      <c r="AA39" s="405"/>
      <c r="AB39" s="405"/>
    </row>
    <row r="40" ht="14.25" customHeight="1">
      <c r="A40" s="406">
        <v>45497.0</v>
      </c>
      <c r="B40" s="349" t="s">
        <v>4579</v>
      </c>
      <c r="C40" s="349" t="s">
        <v>4580</v>
      </c>
      <c r="D40" s="349" t="s">
        <v>439</v>
      </c>
      <c r="E40" s="349" t="s">
        <v>4552</v>
      </c>
      <c r="F40" s="413">
        <v>77037.0</v>
      </c>
      <c r="G40" s="402"/>
      <c r="H40" s="404" t="str">
        <f t="shared" si="3"/>
        <v>NOT PAID</v>
      </c>
      <c r="I40" s="349" t="s">
        <v>4570</v>
      </c>
      <c r="J40" s="402"/>
      <c r="K40" s="402"/>
      <c r="L40" s="402"/>
      <c r="M40" s="402"/>
      <c r="N40" s="402"/>
      <c r="O40" s="402"/>
      <c r="P40" s="402"/>
      <c r="Q40" s="402"/>
      <c r="R40" s="402"/>
      <c r="S40" s="402"/>
      <c r="T40" s="402"/>
      <c r="U40" s="402"/>
      <c r="V40" s="402"/>
      <c r="W40" s="402"/>
      <c r="X40" s="402"/>
      <c r="Y40" s="402"/>
      <c r="Z40" s="402"/>
      <c r="AA40" s="405"/>
      <c r="AB40" s="405"/>
    </row>
    <row r="41" ht="14.25" customHeight="1">
      <c r="A41" s="406">
        <v>45497.0</v>
      </c>
      <c r="B41" s="349" t="s">
        <v>4581</v>
      </c>
      <c r="C41" s="349" t="s">
        <v>4582</v>
      </c>
      <c r="D41" s="349" t="s">
        <v>439</v>
      </c>
      <c r="E41" s="349" t="s">
        <v>4552</v>
      </c>
      <c r="F41" s="413">
        <v>40000.0</v>
      </c>
      <c r="G41" s="683">
        <v>43667.0</v>
      </c>
      <c r="H41" s="404" t="str">
        <f t="shared" si="3"/>
        <v>FULLY PAID</v>
      </c>
      <c r="I41" s="402"/>
      <c r="J41" s="402"/>
      <c r="K41" s="402"/>
      <c r="L41" s="402"/>
      <c r="M41" s="402"/>
      <c r="N41" s="402"/>
      <c r="O41" s="402"/>
      <c r="P41" s="402"/>
      <c r="Q41" s="402"/>
      <c r="R41" s="402"/>
      <c r="S41" s="402"/>
      <c r="T41" s="402"/>
      <c r="U41" s="402"/>
      <c r="V41" s="402"/>
      <c r="W41" s="402"/>
      <c r="X41" s="402"/>
      <c r="Y41" s="402"/>
      <c r="Z41" s="402"/>
      <c r="AA41" s="405"/>
      <c r="AB41" s="405"/>
    </row>
    <row r="42" ht="14.25" customHeight="1">
      <c r="A42" s="584"/>
      <c r="B42" s="584"/>
      <c r="C42" s="584"/>
      <c r="D42" s="584"/>
      <c r="E42" s="424" t="s">
        <v>23</v>
      </c>
      <c r="F42" s="787">
        <v>391960.0</v>
      </c>
      <c r="G42" s="584"/>
      <c r="H42" s="404"/>
      <c r="I42" s="584"/>
      <c r="J42" s="584"/>
      <c r="K42" s="584"/>
      <c r="L42" s="584"/>
      <c r="M42" s="584"/>
      <c r="N42" s="584"/>
      <c r="O42" s="584"/>
      <c r="P42" s="584"/>
      <c r="Q42" s="584"/>
      <c r="R42" s="584"/>
      <c r="S42" s="584"/>
      <c r="T42" s="584"/>
      <c r="U42" s="584"/>
      <c r="V42" s="584"/>
      <c r="W42" s="584"/>
      <c r="X42" s="584"/>
      <c r="Y42" s="584"/>
      <c r="Z42" s="584"/>
      <c r="AA42" s="659"/>
      <c r="AB42" s="659"/>
    </row>
    <row r="43" ht="14.25" customHeight="1">
      <c r="A43" s="402"/>
      <c r="B43" s="402"/>
      <c r="C43" s="402"/>
      <c r="D43" s="402"/>
      <c r="E43" s="402"/>
      <c r="F43" s="403"/>
      <c r="G43" s="402"/>
      <c r="H43" s="404"/>
      <c r="I43" s="402"/>
      <c r="J43" s="402"/>
      <c r="K43" s="402"/>
      <c r="L43" s="402"/>
      <c r="M43" s="402"/>
      <c r="N43" s="402"/>
      <c r="O43" s="402"/>
      <c r="P43" s="402"/>
      <c r="Q43" s="402"/>
      <c r="R43" s="402"/>
      <c r="S43" s="402"/>
      <c r="T43" s="402"/>
      <c r="U43" s="402"/>
      <c r="V43" s="402"/>
      <c r="W43" s="402"/>
      <c r="X43" s="402"/>
      <c r="Y43" s="402"/>
      <c r="Z43" s="402"/>
      <c r="AA43" s="405"/>
      <c r="AB43" s="405"/>
    </row>
    <row r="44" ht="14.25" customHeight="1">
      <c r="A44" s="402"/>
      <c r="B44" s="402"/>
      <c r="C44" s="402"/>
      <c r="D44" s="402"/>
      <c r="E44" s="402"/>
      <c r="F44" s="403"/>
      <c r="G44" s="402"/>
      <c r="H44" s="404"/>
      <c r="I44" s="402"/>
      <c r="J44" s="402"/>
      <c r="K44" s="402"/>
      <c r="L44" s="402"/>
      <c r="M44" s="402"/>
      <c r="N44" s="402"/>
      <c r="O44" s="402"/>
      <c r="P44" s="402"/>
      <c r="Q44" s="402"/>
      <c r="R44" s="402"/>
      <c r="S44" s="402"/>
      <c r="T44" s="402"/>
      <c r="U44" s="402"/>
      <c r="V44" s="402"/>
      <c r="W44" s="402"/>
      <c r="X44" s="402"/>
      <c r="Y44" s="402"/>
      <c r="Z44" s="402"/>
      <c r="AA44" s="405"/>
      <c r="AB44" s="405"/>
    </row>
    <row r="45" ht="14.25" customHeight="1">
      <c r="A45" s="406">
        <v>45498.0</v>
      </c>
      <c r="B45" s="349" t="s">
        <v>4550</v>
      </c>
      <c r="C45" s="349" t="s">
        <v>4551</v>
      </c>
      <c r="D45" s="349" t="s">
        <v>439</v>
      </c>
      <c r="E45" s="349" t="s">
        <v>4552</v>
      </c>
      <c r="F45" s="413">
        <v>41040.0</v>
      </c>
      <c r="G45" s="349">
        <v>0.0</v>
      </c>
      <c r="H45" s="404" t="str">
        <f t="shared" ref="H45:H54" si="4">IF(G45&gt;=F45,"FULLY PAID",IF(G45=0,"NOT PAID","PARTIALLY PAID"))</f>
        <v>NOT PAID</v>
      </c>
      <c r="I45" s="349" t="s">
        <v>4553</v>
      </c>
      <c r="J45" s="402"/>
      <c r="K45" s="402"/>
      <c r="L45" s="402"/>
      <c r="M45" s="402"/>
      <c r="N45" s="402"/>
      <c r="O45" s="402"/>
      <c r="P45" s="402"/>
      <c r="Q45" s="402"/>
      <c r="R45" s="402"/>
      <c r="S45" s="402"/>
      <c r="T45" s="402"/>
      <c r="U45" s="402"/>
      <c r="V45" s="402"/>
      <c r="W45" s="402"/>
      <c r="X45" s="402"/>
      <c r="Y45" s="402"/>
      <c r="Z45" s="402"/>
      <c r="AA45" s="405"/>
      <c r="AB45" s="405"/>
    </row>
    <row r="46" ht="14.25" customHeight="1">
      <c r="A46" s="406">
        <v>45498.0</v>
      </c>
      <c r="B46" s="349" t="s">
        <v>4554</v>
      </c>
      <c r="C46" s="349" t="s">
        <v>4555</v>
      </c>
      <c r="D46" s="349" t="s">
        <v>439</v>
      </c>
      <c r="E46" s="349" t="s">
        <v>4552</v>
      </c>
      <c r="F46" s="413">
        <v>20000.0</v>
      </c>
      <c r="G46" s="349">
        <v>0.0</v>
      </c>
      <c r="H46" s="404" t="str">
        <f t="shared" si="4"/>
        <v>NOT PAID</v>
      </c>
      <c r="I46" s="349" t="s">
        <v>4553</v>
      </c>
      <c r="J46" s="402"/>
      <c r="K46" s="402"/>
      <c r="L46" s="402"/>
      <c r="M46" s="402"/>
      <c r="N46" s="402"/>
      <c r="O46" s="402"/>
      <c r="P46" s="402"/>
      <c r="Q46" s="402"/>
      <c r="R46" s="402"/>
      <c r="S46" s="402"/>
      <c r="T46" s="402"/>
      <c r="U46" s="402"/>
      <c r="V46" s="402"/>
      <c r="W46" s="402"/>
      <c r="X46" s="402"/>
      <c r="Y46" s="402"/>
      <c r="Z46" s="402"/>
      <c r="AA46" s="405"/>
      <c r="AB46" s="405"/>
    </row>
    <row r="47" ht="14.25" customHeight="1">
      <c r="A47" s="406">
        <v>45498.0</v>
      </c>
      <c r="B47" s="349" t="s">
        <v>4556</v>
      </c>
      <c r="C47" s="349" t="s">
        <v>4557</v>
      </c>
      <c r="D47" s="349" t="s">
        <v>439</v>
      </c>
      <c r="E47" s="349" t="s">
        <v>4558</v>
      </c>
      <c r="F47" s="413">
        <v>2200.0</v>
      </c>
      <c r="G47" s="349">
        <v>0.0</v>
      </c>
      <c r="H47" s="404" t="str">
        <f t="shared" si="4"/>
        <v>NOT PAID</v>
      </c>
      <c r="I47" s="349" t="s">
        <v>4553</v>
      </c>
      <c r="J47" s="402"/>
      <c r="K47" s="402"/>
      <c r="L47" s="402"/>
      <c r="M47" s="402"/>
      <c r="N47" s="402"/>
      <c r="O47" s="402"/>
      <c r="P47" s="402"/>
      <c r="Q47" s="402"/>
      <c r="R47" s="402"/>
      <c r="S47" s="402"/>
      <c r="T47" s="402"/>
      <c r="U47" s="402"/>
      <c r="V47" s="402"/>
      <c r="W47" s="402"/>
      <c r="X47" s="402"/>
      <c r="Y47" s="402"/>
      <c r="Z47" s="402"/>
      <c r="AA47" s="405"/>
      <c r="AB47" s="405"/>
    </row>
    <row r="48" ht="14.25" customHeight="1">
      <c r="A48" s="406">
        <v>45498.0</v>
      </c>
      <c r="B48" s="349" t="s">
        <v>4577</v>
      </c>
      <c r="C48" s="349" t="s">
        <v>4578</v>
      </c>
      <c r="D48" s="349" t="s">
        <v>439</v>
      </c>
      <c r="E48" s="349" t="s">
        <v>4552</v>
      </c>
      <c r="F48" s="413">
        <v>48237.0</v>
      </c>
      <c r="G48" s="349">
        <v>0.0</v>
      </c>
      <c r="H48" s="404" t="str">
        <f t="shared" si="4"/>
        <v>NOT PAID</v>
      </c>
      <c r="I48" s="349" t="s">
        <v>4561</v>
      </c>
      <c r="J48" s="402"/>
      <c r="K48" s="402"/>
      <c r="L48" s="402"/>
      <c r="M48" s="402"/>
      <c r="N48" s="402"/>
      <c r="O48" s="402"/>
      <c r="P48" s="402"/>
      <c r="Q48" s="402"/>
      <c r="R48" s="402"/>
      <c r="S48" s="402"/>
      <c r="T48" s="402"/>
      <c r="U48" s="402"/>
      <c r="V48" s="402"/>
      <c r="W48" s="402"/>
      <c r="X48" s="402"/>
      <c r="Y48" s="402"/>
      <c r="Z48" s="402"/>
      <c r="AA48" s="405"/>
      <c r="AB48" s="405"/>
    </row>
    <row r="49" ht="14.25" customHeight="1">
      <c r="A49" s="406">
        <v>45498.0</v>
      </c>
      <c r="B49" s="349" t="s">
        <v>4579</v>
      </c>
      <c r="C49" s="349" t="s">
        <v>4580</v>
      </c>
      <c r="D49" s="349" t="s">
        <v>439</v>
      </c>
      <c r="E49" s="349" t="s">
        <v>4552</v>
      </c>
      <c r="F49" s="413">
        <v>77037.0</v>
      </c>
      <c r="G49" s="349">
        <v>0.0</v>
      </c>
      <c r="H49" s="404" t="str">
        <f t="shared" si="4"/>
        <v>NOT PAID</v>
      </c>
      <c r="I49" s="349" t="s">
        <v>4553</v>
      </c>
      <c r="J49" s="402"/>
      <c r="K49" s="402"/>
      <c r="L49" s="402"/>
      <c r="M49" s="402"/>
      <c r="N49" s="402"/>
      <c r="O49" s="402"/>
      <c r="P49" s="402"/>
      <c r="Q49" s="402"/>
      <c r="R49" s="402"/>
      <c r="S49" s="402"/>
      <c r="T49" s="402"/>
      <c r="U49" s="402"/>
      <c r="V49" s="402"/>
      <c r="W49" s="402"/>
      <c r="X49" s="402"/>
      <c r="Y49" s="402"/>
      <c r="Z49" s="402"/>
      <c r="AA49" s="405"/>
      <c r="AB49" s="405"/>
    </row>
    <row r="50" ht="14.25" customHeight="1">
      <c r="A50" s="406">
        <v>45498.0</v>
      </c>
      <c r="B50" s="349" t="s">
        <v>4565</v>
      </c>
      <c r="C50" s="349" t="s">
        <v>4566</v>
      </c>
      <c r="D50" s="349" t="s">
        <v>439</v>
      </c>
      <c r="E50" s="349" t="s">
        <v>4552</v>
      </c>
      <c r="F50" s="413">
        <v>3168.0</v>
      </c>
      <c r="G50" s="349">
        <v>0.0</v>
      </c>
      <c r="H50" s="404" t="str">
        <f t="shared" si="4"/>
        <v>NOT PAID</v>
      </c>
      <c r="I50" s="349" t="s">
        <v>4567</v>
      </c>
      <c r="J50" s="402"/>
      <c r="K50" s="402"/>
      <c r="L50" s="402"/>
      <c r="M50" s="402"/>
      <c r="N50" s="402"/>
      <c r="O50" s="402"/>
      <c r="P50" s="402"/>
      <c r="Q50" s="402"/>
      <c r="R50" s="402"/>
      <c r="S50" s="402"/>
      <c r="T50" s="402"/>
      <c r="U50" s="402"/>
      <c r="V50" s="402"/>
      <c r="W50" s="402"/>
      <c r="X50" s="402"/>
      <c r="Y50" s="402"/>
      <c r="Z50" s="402"/>
      <c r="AA50" s="405"/>
      <c r="AB50" s="405"/>
    </row>
    <row r="51" ht="14.25" customHeight="1">
      <c r="A51" s="406">
        <v>45498.0</v>
      </c>
      <c r="B51" s="349" t="s">
        <v>4568</v>
      </c>
      <c r="C51" s="349" t="s">
        <v>4569</v>
      </c>
      <c r="D51" s="349" t="s">
        <v>439</v>
      </c>
      <c r="E51" s="349" t="s">
        <v>4552</v>
      </c>
      <c r="F51" s="413">
        <v>25000.0</v>
      </c>
      <c r="G51" s="349">
        <v>0.0</v>
      </c>
      <c r="H51" s="404" t="str">
        <f t="shared" si="4"/>
        <v>NOT PAID</v>
      </c>
      <c r="I51" s="349" t="s">
        <v>4570</v>
      </c>
      <c r="J51" s="402"/>
      <c r="K51" s="402"/>
      <c r="L51" s="402"/>
      <c r="M51" s="402"/>
      <c r="N51" s="402"/>
      <c r="O51" s="402"/>
      <c r="P51" s="402"/>
      <c r="Q51" s="402"/>
      <c r="R51" s="402"/>
      <c r="S51" s="402"/>
      <c r="T51" s="402"/>
      <c r="U51" s="402"/>
      <c r="V51" s="402"/>
      <c r="W51" s="402"/>
      <c r="X51" s="402"/>
      <c r="Y51" s="402"/>
      <c r="Z51" s="402"/>
      <c r="AA51" s="405"/>
      <c r="AB51" s="405"/>
    </row>
    <row r="52" ht="14.25" customHeight="1">
      <c r="A52" s="406">
        <v>45498.0</v>
      </c>
      <c r="B52" s="349" t="s">
        <v>4571</v>
      </c>
      <c r="C52" s="349" t="s">
        <v>4572</v>
      </c>
      <c r="D52" s="349" t="s">
        <v>439</v>
      </c>
      <c r="E52" s="349" t="s">
        <v>4558</v>
      </c>
      <c r="F52" s="413">
        <v>23798.0</v>
      </c>
      <c r="G52" s="349">
        <v>0.0</v>
      </c>
      <c r="H52" s="404" t="str">
        <f t="shared" si="4"/>
        <v>NOT PAID</v>
      </c>
      <c r="I52" s="349" t="s">
        <v>4570</v>
      </c>
      <c r="J52" s="402"/>
      <c r="K52" s="402"/>
      <c r="L52" s="402"/>
      <c r="M52" s="402"/>
      <c r="N52" s="402"/>
      <c r="O52" s="402"/>
      <c r="P52" s="402"/>
      <c r="Q52" s="402"/>
      <c r="R52" s="402"/>
      <c r="S52" s="402"/>
      <c r="T52" s="402"/>
      <c r="U52" s="402"/>
      <c r="V52" s="402"/>
      <c r="W52" s="402"/>
      <c r="X52" s="402"/>
      <c r="Y52" s="402"/>
      <c r="Z52" s="402"/>
      <c r="AA52" s="405"/>
      <c r="AB52" s="405"/>
    </row>
    <row r="53" ht="14.25" customHeight="1">
      <c r="A53" s="406">
        <v>45498.0</v>
      </c>
      <c r="B53" s="349" t="s">
        <v>4573</v>
      </c>
      <c r="C53" s="349" t="s">
        <v>4574</v>
      </c>
      <c r="D53" s="349" t="s">
        <v>439</v>
      </c>
      <c r="E53" s="349" t="s">
        <v>4558</v>
      </c>
      <c r="F53" s="413">
        <v>25000.0</v>
      </c>
      <c r="G53" s="349">
        <v>0.0</v>
      </c>
      <c r="H53" s="404" t="str">
        <f t="shared" si="4"/>
        <v>NOT PAID</v>
      </c>
      <c r="I53" s="349" t="s">
        <v>4570</v>
      </c>
      <c r="J53" s="402"/>
      <c r="K53" s="402"/>
      <c r="L53" s="402"/>
      <c r="M53" s="402"/>
      <c r="N53" s="402"/>
      <c r="O53" s="402"/>
      <c r="P53" s="402"/>
      <c r="Q53" s="402"/>
      <c r="R53" s="402"/>
      <c r="S53" s="402"/>
      <c r="T53" s="402"/>
      <c r="U53" s="402"/>
      <c r="V53" s="402"/>
      <c r="W53" s="402"/>
      <c r="X53" s="402"/>
      <c r="Y53" s="402"/>
      <c r="Z53" s="402"/>
      <c r="AA53" s="405"/>
      <c r="AB53" s="405"/>
    </row>
    <row r="54" ht="14.25" customHeight="1">
      <c r="A54" s="406">
        <v>45498.0</v>
      </c>
      <c r="B54" s="349" t="s">
        <v>4575</v>
      </c>
      <c r="C54" s="512" t="s">
        <v>4576</v>
      </c>
      <c r="D54" s="349" t="s">
        <v>439</v>
      </c>
      <c r="E54" s="349" t="s">
        <v>4558</v>
      </c>
      <c r="F54" s="413">
        <v>8000.0</v>
      </c>
      <c r="G54" s="349">
        <v>0.0</v>
      </c>
      <c r="H54" s="404" t="str">
        <f t="shared" si="4"/>
        <v>NOT PAID</v>
      </c>
      <c r="I54" s="349" t="s">
        <v>4570</v>
      </c>
      <c r="J54" s="402"/>
      <c r="K54" s="402"/>
      <c r="L54" s="402"/>
      <c r="M54" s="402"/>
      <c r="N54" s="402"/>
      <c r="O54" s="402"/>
      <c r="P54" s="402"/>
      <c r="Q54" s="402"/>
      <c r="R54" s="402"/>
      <c r="S54" s="402"/>
      <c r="T54" s="402"/>
      <c r="U54" s="402"/>
      <c r="V54" s="402"/>
      <c r="W54" s="402"/>
      <c r="X54" s="402"/>
      <c r="Y54" s="402"/>
      <c r="Z54" s="402"/>
      <c r="AA54" s="405"/>
      <c r="AB54" s="405"/>
    </row>
    <row r="55" ht="14.25" customHeight="1">
      <c r="A55" s="584"/>
      <c r="B55" s="584"/>
      <c r="C55" s="584"/>
      <c r="D55" s="584"/>
      <c r="E55" s="424" t="s">
        <v>23</v>
      </c>
      <c r="F55" s="787">
        <v>273480.0</v>
      </c>
      <c r="G55" s="584"/>
      <c r="H55" s="404"/>
      <c r="I55" s="349"/>
      <c r="J55" s="584"/>
      <c r="K55" s="584"/>
      <c r="L55" s="584"/>
      <c r="M55" s="584"/>
      <c r="N55" s="584"/>
      <c r="O55" s="584"/>
      <c r="P55" s="584"/>
      <c r="Q55" s="584"/>
      <c r="R55" s="584"/>
      <c r="S55" s="584"/>
      <c r="T55" s="584"/>
      <c r="U55" s="584"/>
      <c r="V55" s="584"/>
      <c r="W55" s="584"/>
      <c r="X55" s="584"/>
      <c r="Y55" s="584"/>
      <c r="Z55" s="584"/>
      <c r="AA55" s="659"/>
      <c r="AB55" s="659"/>
    </row>
    <row r="56" ht="14.25" customHeight="1">
      <c r="A56" s="402"/>
      <c r="B56" s="402"/>
      <c r="C56" s="402"/>
      <c r="D56" s="402"/>
      <c r="E56" s="402"/>
      <c r="F56" s="403"/>
      <c r="G56" s="402"/>
      <c r="H56" s="404"/>
      <c r="I56" s="349"/>
      <c r="J56" s="402"/>
      <c r="K56" s="402"/>
      <c r="L56" s="402"/>
      <c r="M56" s="402"/>
      <c r="N56" s="402"/>
      <c r="O56" s="402"/>
      <c r="P56" s="402"/>
      <c r="Q56" s="402"/>
      <c r="R56" s="402"/>
      <c r="S56" s="402"/>
      <c r="T56" s="402"/>
      <c r="U56" s="402"/>
      <c r="V56" s="402"/>
      <c r="W56" s="402"/>
      <c r="X56" s="402"/>
      <c r="Y56" s="402"/>
      <c r="Z56" s="402"/>
      <c r="AA56" s="405"/>
      <c r="AB56" s="405"/>
    </row>
    <row r="57" ht="14.25" customHeight="1">
      <c r="A57" s="402"/>
      <c r="B57" s="402"/>
      <c r="C57" s="402"/>
      <c r="D57" s="402"/>
      <c r="E57" s="402"/>
      <c r="F57" s="403"/>
      <c r="G57" s="402"/>
      <c r="H57" s="404"/>
      <c r="I57" s="402"/>
      <c r="J57" s="402"/>
      <c r="K57" s="402"/>
      <c r="L57" s="402"/>
      <c r="M57" s="402"/>
      <c r="N57" s="402"/>
      <c r="O57" s="402"/>
      <c r="P57" s="402"/>
      <c r="Q57" s="402"/>
      <c r="R57" s="402"/>
      <c r="S57" s="402"/>
      <c r="T57" s="402"/>
      <c r="U57" s="402"/>
      <c r="V57" s="402"/>
      <c r="W57" s="402"/>
      <c r="X57" s="402"/>
      <c r="Y57" s="402"/>
      <c r="Z57" s="402"/>
      <c r="AA57" s="405"/>
      <c r="AB57" s="405"/>
    </row>
    <row r="58" ht="14.25" customHeight="1">
      <c r="A58" s="406">
        <v>45499.0</v>
      </c>
      <c r="B58" s="349" t="s">
        <v>4550</v>
      </c>
      <c r="C58" s="349" t="s">
        <v>4551</v>
      </c>
      <c r="D58" s="349" t="s">
        <v>439</v>
      </c>
      <c r="E58" s="349" t="s">
        <v>4552</v>
      </c>
      <c r="F58" s="413">
        <v>41040.0</v>
      </c>
      <c r="G58" s="402"/>
      <c r="H58" s="404" t="str">
        <f t="shared" ref="H58:H68" si="5">IF(G58&gt;=F58,"FULLY PAID",IF(G58=0,"NOT PAID","PARTIALLY PAID"))</f>
        <v>NOT PAID</v>
      </c>
      <c r="I58" s="349" t="s">
        <v>4553</v>
      </c>
      <c r="J58" s="402"/>
      <c r="K58" s="402"/>
      <c r="L58" s="402"/>
      <c r="M58" s="402"/>
      <c r="N58" s="402"/>
      <c r="O58" s="402"/>
      <c r="P58" s="402"/>
      <c r="Q58" s="402"/>
      <c r="R58" s="402"/>
      <c r="S58" s="402"/>
      <c r="T58" s="402"/>
      <c r="U58" s="402"/>
      <c r="V58" s="402"/>
      <c r="W58" s="402"/>
      <c r="X58" s="402"/>
      <c r="Y58" s="402"/>
      <c r="Z58" s="402"/>
      <c r="AA58" s="405"/>
      <c r="AB58" s="405"/>
    </row>
    <row r="59" ht="14.25" customHeight="1">
      <c r="A59" s="406">
        <v>45499.0</v>
      </c>
      <c r="B59" s="349" t="s">
        <v>4554</v>
      </c>
      <c r="C59" s="349" t="s">
        <v>4555</v>
      </c>
      <c r="D59" s="349" t="s">
        <v>439</v>
      </c>
      <c r="E59" s="349" t="s">
        <v>4552</v>
      </c>
      <c r="F59" s="413">
        <v>20000.0</v>
      </c>
      <c r="G59" s="402"/>
      <c r="H59" s="404" t="str">
        <f t="shared" si="5"/>
        <v>NOT PAID</v>
      </c>
      <c r="I59" s="349" t="s">
        <v>4553</v>
      </c>
      <c r="J59" s="402"/>
      <c r="K59" s="402"/>
      <c r="L59" s="402"/>
      <c r="M59" s="402"/>
      <c r="N59" s="402"/>
      <c r="O59" s="402"/>
      <c r="P59" s="402"/>
      <c r="Q59" s="402"/>
      <c r="R59" s="402"/>
      <c r="S59" s="402"/>
      <c r="T59" s="402"/>
      <c r="U59" s="402"/>
      <c r="V59" s="402"/>
      <c r="W59" s="402"/>
      <c r="X59" s="402"/>
      <c r="Y59" s="402"/>
      <c r="Z59" s="402"/>
      <c r="AA59" s="405"/>
      <c r="AB59" s="405"/>
    </row>
    <row r="60" ht="14.25" customHeight="1">
      <c r="A60" s="406">
        <v>45499.0</v>
      </c>
      <c r="B60" s="349" t="s">
        <v>4556</v>
      </c>
      <c r="C60" s="349" t="s">
        <v>4557</v>
      </c>
      <c r="D60" s="349" t="s">
        <v>439</v>
      </c>
      <c r="E60" s="349" t="s">
        <v>4583</v>
      </c>
      <c r="F60" s="413">
        <v>2200.0</v>
      </c>
      <c r="G60" s="402"/>
      <c r="H60" s="404" t="str">
        <f t="shared" si="5"/>
        <v>NOT PAID</v>
      </c>
      <c r="I60" s="349" t="s">
        <v>4553</v>
      </c>
      <c r="J60" s="402"/>
      <c r="K60" s="402"/>
      <c r="L60" s="402"/>
      <c r="M60" s="402"/>
      <c r="N60" s="402"/>
      <c r="O60" s="402"/>
      <c r="P60" s="402"/>
      <c r="Q60" s="402"/>
      <c r="R60" s="402"/>
      <c r="S60" s="402"/>
      <c r="T60" s="402"/>
      <c r="U60" s="402"/>
      <c r="V60" s="402"/>
      <c r="W60" s="402"/>
      <c r="X60" s="402"/>
      <c r="Y60" s="402"/>
      <c r="Z60" s="402"/>
      <c r="AA60" s="405"/>
      <c r="AB60" s="405"/>
    </row>
    <row r="61" ht="14.25" customHeight="1">
      <c r="A61" s="406">
        <v>45499.0</v>
      </c>
      <c r="B61" s="349" t="s">
        <v>4577</v>
      </c>
      <c r="C61" s="349" t="s">
        <v>4578</v>
      </c>
      <c r="D61" s="349" t="s">
        <v>439</v>
      </c>
      <c r="E61" s="349" t="s">
        <v>4552</v>
      </c>
      <c r="F61" s="413">
        <v>48237.0</v>
      </c>
      <c r="G61" s="402"/>
      <c r="H61" s="404" t="str">
        <f t="shared" si="5"/>
        <v>NOT PAID</v>
      </c>
      <c r="I61" s="349" t="s">
        <v>4561</v>
      </c>
      <c r="J61" s="402"/>
      <c r="K61" s="402"/>
      <c r="L61" s="402"/>
      <c r="M61" s="402"/>
      <c r="N61" s="402"/>
      <c r="O61" s="402"/>
      <c r="P61" s="402"/>
      <c r="Q61" s="402"/>
      <c r="R61" s="402"/>
      <c r="S61" s="402"/>
      <c r="T61" s="402"/>
      <c r="U61" s="402"/>
      <c r="V61" s="402"/>
      <c r="W61" s="402"/>
      <c r="X61" s="402"/>
      <c r="Y61" s="402"/>
      <c r="Z61" s="402"/>
      <c r="AA61" s="405"/>
      <c r="AB61" s="405"/>
    </row>
    <row r="62" ht="14.25" customHeight="1">
      <c r="A62" s="406">
        <v>45499.0</v>
      </c>
      <c r="B62" s="349" t="s">
        <v>4579</v>
      </c>
      <c r="C62" s="349" t="s">
        <v>4580</v>
      </c>
      <c r="D62" s="349" t="s">
        <v>439</v>
      </c>
      <c r="E62" s="349" t="s">
        <v>4552</v>
      </c>
      <c r="F62" s="413">
        <v>77037.0</v>
      </c>
      <c r="G62" s="402"/>
      <c r="H62" s="404" t="str">
        <f t="shared" si="5"/>
        <v>NOT PAID</v>
      </c>
      <c r="I62" s="349" t="s">
        <v>4553</v>
      </c>
      <c r="J62" s="402"/>
      <c r="K62" s="402"/>
      <c r="L62" s="402"/>
      <c r="M62" s="402"/>
      <c r="N62" s="402"/>
      <c r="O62" s="402"/>
      <c r="P62" s="402"/>
      <c r="Q62" s="402"/>
      <c r="R62" s="402"/>
      <c r="S62" s="402"/>
      <c r="T62" s="402"/>
      <c r="U62" s="402"/>
      <c r="V62" s="402"/>
      <c r="W62" s="402"/>
      <c r="X62" s="402"/>
      <c r="Y62" s="402"/>
      <c r="Z62" s="402"/>
      <c r="AA62" s="405"/>
      <c r="AB62" s="405"/>
    </row>
    <row r="63" ht="14.25" customHeight="1">
      <c r="A63" s="406">
        <v>45499.0</v>
      </c>
      <c r="B63" s="349" t="s">
        <v>4565</v>
      </c>
      <c r="C63" s="349" t="s">
        <v>4566</v>
      </c>
      <c r="D63" s="349" t="s">
        <v>439</v>
      </c>
      <c r="E63" s="349" t="s">
        <v>4552</v>
      </c>
      <c r="F63" s="413">
        <v>3168.0</v>
      </c>
      <c r="G63" s="402"/>
      <c r="H63" s="404" t="str">
        <f t="shared" si="5"/>
        <v>NOT PAID</v>
      </c>
      <c r="I63" s="349" t="s">
        <v>4567</v>
      </c>
      <c r="J63" s="402"/>
      <c r="K63" s="402"/>
      <c r="L63" s="402"/>
      <c r="M63" s="402"/>
      <c r="N63" s="402"/>
      <c r="O63" s="402"/>
      <c r="P63" s="402"/>
      <c r="Q63" s="402"/>
      <c r="R63" s="402"/>
      <c r="S63" s="402"/>
      <c r="T63" s="402"/>
      <c r="U63" s="402"/>
      <c r="V63" s="402"/>
      <c r="W63" s="402"/>
      <c r="X63" s="402"/>
      <c r="Y63" s="402"/>
      <c r="Z63" s="402"/>
      <c r="AA63" s="405"/>
      <c r="AB63" s="405"/>
    </row>
    <row r="64" ht="14.25" customHeight="1">
      <c r="A64" s="406">
        <v>45499.0</v>
      </c>
      <c r="B64" s="349" t="s">
        <v>4568</v>
      </c>
      <c r="C64" s="349" t="s">
        <v>4569</v>
      </c>
      <c r="D64" s="349" t="s">
        <v>439</v>
      </c>
      <c r="E64" s="349" t="s">
        <v>4552</v>
      </c>
      <c r="F64" s="413">
        <v>8251.0</v>
      </c>
      <c r="G64" s="402"/>
      <c r="H64" s="404" t="str">
        <f t="shared" si="5"/>
        <v>NOT PAID</v>
      </c>
      <c r="I64" s="349" t="s">
        <v>4570</v>
      </c>
      <c r="J64" s="402"/>
      <c r="K64" s="402"/>
      <c r="L64" s="402"/>
      <c r="M64" s="402"/>
      <c r="N64" s="402"/>
      <c r="O64" s="402"/>
      <c r="P64" s="402"/>
      <c r="Q64" s="402"/>
      <c r="R64" s="402"/>
      <c r="S64" s="402"/>
      <c r="T64" s="402"/>
      <c r="U64" s="402"/>
      <c r="V64" s="402"/>
      <c r="W64" s="402"/>
      <c r="X64" s="402"/>
      <c r="Y64" s="402"/>
      <c r="Z64" s="402"/>
      <c r="AA64" s="405"/>
      <c r="AB64" s="405"/>
    </row>
    <row r="65" ht="14.25" customHeight="1">
      <c r="A65" s="406">
        <v>45499.0</v>
      </c>
      <c r="B65" s="349" t="s">
        <v>4571</v>
      </c>
      <c r="C65" s="349" t="s">
        <v>4572</v>
      </c>
      <c r="D65" s="349" t="s">
        <v>439</v>
      </c>
      <c r="E65" s="349" t="s">
        <v>4583</v>
      </c>
      <c r="F65" s="413">
        <v>23798.0</v>
      </c>
      <c r="G65" s="402"/>
      <c r="H65" s="404" t="str">
        <f t="shared" si="5"/>
        <v>NOT PAID</v>
      </c>
      <c r="I65" s="349" t="s">
        <v>4570</v>
      </c>
      <c r="J65" s="402"/>
      <c r="K65" s="402"/>
      <c r="L65" s="402"/>
      <c r="M65" s="402"/>
      <c r="N65" s="402"/>
      <c r="O65" s="402"/>
      <c r="P65" s="402"/>
      <c r="Q65" s="402"/>
      <c r="R65" s="402"/>
      <c r="S65" s="402"/>
      <c r="T65" s="402"/>
      <c r="U65" s="402"/>
      <c r="V65" s="402"/>
      <c r="W65" s="402"/>
      <c r="X65" s="402"/>
      <c r="Y65" s="402"/>
      <c r="Z65" s="402"/>
      <c r="AA65" s="405"/>
      <c r="AB65" s="405"/>
    </row>
    <row r="66" ht="14.25" customHeight="1">
      <c r="A66" s="406">
        <v>45499.0</v>
      </c>
      <c r="B66" s="349" t="s">
        <v>4573</v>
      </c>
      <c r="C66" s="349" t="s">
        <v>4574</v>
      </c>
      <c r="D66" s="349" t="s">
        <v>439</v>
      </c>
      <c r="E66" s="349" t="s">
        <v>4583</v>
      </c>
      <c r="F66" s="413">
        <v>25000.0</v>
      </c>
      <c r="G66" s="402"/>
      <c r="H66" s="404" t="str">
        <f t="shared" si="5"/>
        <v>NOT PAID</v>
      </c>
      <c r="I66" s="349" t="s">
        <v>4570</v>
      </c>
      <c r="J66" s="402"/>
      <c r="K66" s="402"/>
      <c r="L66" s="402"/>
      <c r="M66" s="402"/>
      <c r="N66" s="402"/>
      <c r="O66" s="402"/>
      <c r="P66" s="402"/>
      <c r="Q66" s="402"/>
      <c r="R66" s="402"/>
      <c r="S66" s="402"/>
      <c r="T66" s="402"/>
      <c r="U66" s="402"/>
      <c r="V66" s="402"/>
      <c r="W66" s="402"/>
      <c r="X66" s="402"/>
      <c r="Y66" s="402"/>
      <c r="Z66" s="402"/>
      <c r="AA66" s="405"/>
      <c r="AB66" s="405"/>
    </row>
    <row r="67" ht="14.25" customHeight="1">
      <c r="A67" s="406">
        <v>45499.0</v>
      </c>
      <c r="B67" s="349" t="s">
        <v>4575</v>
      </c>
      <c r="C67" s="512" t="s">
        <v>4576</v>
      </c>
      <c r="D67" s="349" t="s">
        <v>439</v>
      </c>
      <c r="E67" s="349" t="s">
        <v>4583</v>
      </c>
      <c r="F67" s="413">
        <v>8000.0</v>
      </c>
      <c r="G67" s="402"/>
      <c r="H67" s="404" t="str">
        <f t="shared" si="5"/>
        <v>NOT PAID</v>
      </c>
      <c r="I67" s="349" t="s">
        <v>4570</v>
      </c>
      <c r="J67" s="402"/>
      <c r="K67" s="402"/>
      <c r="L67" s="402"/>
      <c r="M67" s="402"/>
      <c r="N67" s="402"/>
      <c r="O67" s="402"/>
      <c r="P67" s="402"/>
      <c r="Q67" s="402"/>
      <c r="R67" s="402"/>
      <c r="S67" s="402"/>
      <c r="T67" s="402"/>
      <c r="U67" s="402"/>
      <c r="V67" s="402"/>
      <c r="W67" s="402"/>
      <c r="X67" s="402"/>
      <c r="Y67" s="402"/>
      <c r="Z67" s="402"/>
      <c r="AA67" s="405"/>
      <c r="AB67" s="405"/>
    </row>
    <row r="68" ht="14.25" customHeight="1">
      <c r="A68" s="406">
        <v>45499.0</v>
      </c>
      <c r="B68" s="349" t="s">
        <v>4584</v>
      </c>
      <c r="C68" s="349" t="s">
        <v>4585</v>
      </c>
      <c r="D68" s="349" t="s">
        <v>439</v>
      </c>
      <c r="E68" s="349" t="s">
        <v>4586</v>
      </c>
      <c r="F68" s="413">
        <v>14320.0</v>
      </c>
      <c r="G68" s="402"/>
      <c r="H68" s="404" t="str">
        <f t="shared" si="5"/>
        <v>NOT PAID</v>
      </c>
      <c r="I68" s="349" t="s">
        <v>4570</v>
      </c>
      <c r="J68" s="584"/>
      <c r="K68" s="584"/>
      <c r="L68" s="584"/>
      <c r="M68" s="402"/>
      <c r="N68" s="402"/>
      <c r="O68" s="402"/>
      <c r="P68" s="402"/>
      <c r="Q68" s="402"/>
      <c r="R68" s="402"/>
      <c r="S68" s="402"/>
      <c r="T68" s="402"/>
      <c r="U68" s="402"/>
      <c r="V68" s="402"/>
      <c r="W68" s="402"/>
      <c r="X68" s="402"/>
      <c r="Y68" s="402"/>
      <c r="Z68" s="402"/>
      <c r="AA68" s="405"/>
      <c r="AB68" s="405"/>
    </row>
    <row r="69" ht="14.25" customHeight="1">
      <c r="A69" s="584"/>
      <c r="B69" s="584"/>
      <c r="C69" s="584"/>
      <c r="D69" s="584"/>
      <c r="E69" s="424" t="s">
        <v>23</v>
      </c>
      <c r="F69" s="787">
        <v>271051.0</v>
      </c>
      <c r="G69" s="584"/>
      <c r="H69" s="404"/>
      <c r="I69" s="349"/>
      <c r="J69" s="402"/>
      <c r="K69" s="402"/>
      <c r="L69" s="402"/>
      <c r="M69" s="584"/>
      <c r="N69" s="584"/>
      <c r="O69" s="584"/>
      <c r="P69" s="584"/>
      <c r="Q69" s="584"/>
      <c r="R69" s="584"/>
      <c r="S69" s="584"/>
      <c r="T69" s="584"/>
      <c r="U69" s="584"/>
      <c r="V69" s="584"/>
      <c r="W69" s="584"/>
      <c r="X69" s="584"/>
      <c r="Y69" s="584"/>
      <c r="Z69" s="584"/>
      <c r="AA69" s="659"/>
      <c r="AB69" s="659"/>
    </row>
    <row r="70" ht="14.25" customHeight="1">
      <c r="A70" s="402"/>
      <c r="B70" s="402"/>
      <c r="C70" s="402"/>
      <c r="D70" s="402"/>
      <c r="E70" s="402"/>
      <c r="F70" s="403"/>
      <c r="G70" s="402"/>
      <c r="H70" s="404"/>
      <c r="I70" s="402"/>
      <c r="J70" s="402"/>
      <c r="K70" s="402"/>
      <c r="L70" s="402"/>
      <c r="M70" s="402"/>
      <c r="N70" s="402"/>
      <c r="O70" s="402"/>
      <c r="P70" s="402"/>
      <c r="Q70" s="402"/>
      <c r="R70" s="402"/>
      <c r="S70" s="402"/>
      <c r="T70" s="402"/>
      <c r="U70" s="402"/>
      <c r="V70" s="402"/>
      <c r="W70" s="402"/>
      <c r="X70" s="402"/>
      <c r="Y70" s="402"/>
      <c r="Z70" s="402"/>
      <c r="AA70" s="405"/>
      <c r="AB70" s="405"/>
    </row>
    <row r="71" ht="14.25" customHeight="1">
      <c r="A71" s="406">
        <v>45500.0</v>
      </c>
      <c r="B71" s="349" t="s">
        <v>4550</v>
      </c>
      <c r="C71" s="349" t="s">
        <v>4551</v>
      </c>
      <c r="D71" s="349" t="s">
        <v>439</v>
      </c>
      <c r="E71" s="349" t="s">
        <v>4552</v>
      </c>
      <c r="F71" s="413">
        <v>41040.0</v>
      </c>
      <c r="G71" s="402"/>
      <c r="H71" s="404" t="str">
        <f t="shared" ref="H71:H81" si="6">IF(G71&gt;=F71,"FULLY PAID",IF(G71=0,"NOT PAID","PARTIALLY PAID"))</f>
        <v>NOT PAID</v>
      </c>
      <c r="I71" s="349" t="s">
        <v>4553</v>
      </c>
      <c r="J71" s="402"/>
      <c r="K71" s="402"/>
      <c r="L71" s="402"/>
      <c r="M71" s="402"/>
      <c r="N71" s="402"/>
      <c r="O71" s="402"/>
      <c r="P71" s="402"/>
      <c r="Q71" s="402"/>
      <c r="R71" s="402"/>
      <c r="S71" s="402"/>
      <c r="T71" s="402"/>
      <c r="U71" s="402"/>
      <c r="V71" s="402"/>
      <c r="W71" s="402"/>
      <c r="X71" s="402"/>
      <c r="Y71" s="402"/>
      <c r="Z71" s="402"/>
      <c r="AA71" s="405"/>
      <c r="AB71" s="405"/>
    </row>
    <row r="72" ht="14.25" customHeight="1">
      <c r="A72" s="406">
        <v>45500.0</v>
      </c>
      <c r="B72" s="349" t="s">
        <v>4554</v>
      </c>
      <c r="C72" s="349" t="s">
        <v>4555</v>
      </c>
      <c r="D72" s="349" t="s">
        <v>439</v>
      </c>
      <c r="E72" s="349" t="s">
        <v>4552</v>
      </c>
      <c r="F72" s="413">
        <v>20000.0</v>
      </c>
      <c r="G72" s="402"/>
      <c r="H72" s="404" t="str">
        <f t="shared" si="6"/>
        <v>NOT PAID</v>
      </c>
      <c r="I72" s="349" t="s">
        <v>4553</v>
      </c>
      <c r="J72" s="402"/>
      <c r="K72" s="402"/>
      <c r="L72" s="402"/>
      <c r="M72" s="402"/>
      <c r="N72" s="402"/>
      <c r="O72" s="402"/>
      <c r="P72" s="402"/>
      <c r="Q72" s="402"/>
      <c r="R72" s="402"/>
      <c r="S72" s="402"/>
      <c r="T72" s="402"/>
      <c r="U72" s="402"/>
      <c r="V72" s="402"/>
      <c r="W72" s="402"/>
      <c r="X72" s="402"/>
      <c r="Y72" s="402"/>
      <c r="Z72" s="402"/>
      <c r="AA72" s="405"/>
      <c r="AB72" s="405"/>
    </row>
    <row r="73" ht="14.25" customHeight="1">
      <c r="A73" s="406">
        <v>45500.0</v>
      </c>
      <c r="B73" s="349" t="s">
        <v>4556</v>
      </c>
      <c r="C73" s="349" t="s">
        <v>4557</v>
      </c>
      <c r="D73" s="349" t="s">
        <v>439</v>
      </c>
      <c r="E73" s="349" t="s">
        <v>4583</v>
      </c>
      <c r="F73" s="413">
        <v>2200.0</v>
      </c>
      <c r="G73" s="402"/>
      <c r="H73" s="404" t="str">
        <f t="shared" si="6"/>
        <v>NOT PAID</v>
      </c>
      <c r="I73" s="349" t="s">
        <v>4553</v>
      </c>
      <c r="J73" s="402"/>
      <c r="K73" s="402"/>
      <c r="L73" s="402"/>
      <c r="M73" s="402"/>
      <c r="N73" s="402"/>
      <c r="O73" s="402"/>
      <c r="P73" s="402"/>
      <c r="Q73" s="402"/>
      <c r="R73" s="402"/>
      <c r="S73" s="402"/>
      <c r="T73" s="402"/>
      <c r="U73" s="402"/>
      <c r="V73" s="402"/>
      <c r="W73" s="402"/>
      <c r="X73" s="402"/>
      <c r="Y73" s="402"/>
      <c r="Z73" s="402"/>
      <c r="AA73" s="405"/>
      <c r="AB73" s="405"/>
    </row>
    <row r="74" ht="14.25" customHeight="1">
      <c r="A74" s="406">
        <v>45500.0</v>
      </c>
      <c r="B74" s="349" t="s">
        <v>4577</v>
      </c>
      <c r="C74" s="349" t="s">
        <v>4578</v>
      </c>
      <c r="D74" s="349" t="s">
        <v>439</v>
      </c>
      <c r="E74" s="349" t="s">
        <v>4552</v>
      </c>
      <c r="F74" s="413">
        <v>48237.0</v>
      </c>
      <c r="G74" s="402"/>
      <c r="H74" s="404" t="str">
        <f t="shared" si="6"/>
        <v>NOT PAID</v>
      </c>
      <c r="I74" s="349" t="s">
        <v>4561</v>
      </c>
      <c r="J74" s="402"/>
      <c r="K74" s="402"/>
      <c r="L74" s="402"/>
      <c r="M74" s="402"/>
      <c r="N74" s="402"/>
      <c r="O74" s="402"/>
      <c r="P74" s="402"/>
      <c r="Q74" s="402"/>
      <c r="R74" s="402"/>
      <c r="S74" s="402"/>
      <c r="T74" s="402"/>
      <c r="U74" s="402"/>
      <c r="V74" s="402"/>
      <c r="W74" s="402"/>
      <c r="X74" s="402"/>
      <c r="Y74" s="402"/>
      <c r="Z74" s="402"/>
      <c r="AA74" s="405"/>
      <c r="AB74" s="405"/>
    </row>
    <row r="75" ht="14.25" customHeight="1">
      <c r="A75" s="406">
        <v>45500.0</v>
      </c>
      <c r="B75" s="349" t="s">
        <v>4579</v>
      </c>
      <c r="C75" s="349" t="s">
        <v>4580</v>
      </c>
      <c r="D75" s="349" t="s">
        <v>439</v>
      </c>
      <c r="E75" s="349" t="s">
        <v>4552</v>
      </c>
      <c r="F75" s="413">
        <v>77037.0</v>
      </c>
      <c r="G75" s="402"/>
      <c r="H75" s="404" t="str">
        <f t="shared" si="6"/>
        <v>NOT PAID</v>
      </c>
      <c r="I75" s="349" t="s">
        <v>4553</v>
      </c>
      <c r="J75" s="402"/>
      <c r="K75" s="402"/>
      <c r="L75" s="402"/>
      <c r="M75" s="402"/>
      <c r="N75" s="402"/>
      <c r="O75" s="402"/>
      <c r="P75" s="402"/>
      <c r="Q75" s="402"/>
      <c r="R75" s="402"/>
      <c r="S75" s="402"/>
      <c r="T75" s="402"/>
      <c r="U75" s="402"/>
      <c r="V75" s="402"/>
      <c r="W75" s="402"/>
      <c r="X75" s="402"/>
      <c r="Y75" s="402"/>
      <c r="Z75" s="402"/>
      <c r="AA75" s="405"/>
      <c r="AB75" s="405"/>
    </row>
    <row r="76" ht="14.25" customHeight="1">
      <c r="A76" s="406">
        <v>45500.0</v>
      </c>
      <c r="B76" s="349" t="s">
        <v>4565</v>
      </c>
      <c r="C76" s="349" t="s">
        <v>4566</v>
      </c>
      <c r="D76" s="349" t="s">
        <v>439</v>
      </c>
      <c r="E76" s="349" t="s">
        <v>4552</v>
      </c>
      <c r="F76" s="413">
        <v>3168.0</v>
      </c>
      <c r="G76" s="402"/>
      <c r="H76" s="404" t="str">
        <f t="shared" si="6"/>
        <v>NOT PAID</v>
      </c>
      <c r="I76" s="349" t="s">
        <v>4567</v>
      </c>
      <c r="J76" s="402"/>
      <c r="K76" s="402"/>
      <c r="L76" s="402"/>
      <c r="M76" s="402"/>
      <c r="N76" s="402"/>
      <c r="O76" s="402"/>
      <c r="P76" s="402"/>
      <c r="Q76" s="402"/>
      <c r="R76" s="402"/>
      <c r="S76" s="402"/>
      <c r="T76" s="402"/>
      <c r="U76" s="402"/>
      <c r="V76" s="402"/>
      <c r="W76" s="402"/>
      <c r="X76" s="402"/>
      <c r="Y76" s="402"/>
      <c r="Z76" s="402"/>
      <c r="AA76" s="405"/>
      <c r="AB76" s="405"/>
    </row>
    <row r="77" ht="14.25" customHeight="1">
      <c r="A77" s="406">
        <v>45500.0</v>
      </c>
      <c r="B77" s="349" t="s">
        <v>4568</v>
      </c>
      <c r="C77" s="349" t="s">
        <v>4569</v>
      </c>
      <c r="D77" s="349" t="s">
        <v>439</v>
      </c>
      <c r="E77" s="349" t="s">
        <v>4552</v>
      </c>
      <c r="F77" s="413">
        <v>8251.0</v>
      </c>
      <c r="G77" s="402"/>
      <c r="H77" s="404" t="str">
        <f t="shared" si="6"/>
        <v>NOT PAID</v>
      </c>
      <c r="I77" s="349" t="s">
        <v>4570</v>
      </c>
      <c r="J77" s="402"/>
      <c r="K77" s="402"/>
      <c r="L77" s="402"/>
      <c r="M77" s="402"/>
      <c r="N77" s="402"/>
      <c r="O77" s="402"/>
      <c r="P77" s="402"/>
      <c r="Q77" s="402"/>
      <c r="R77" s="402"/>
      <c r="S77" s="402"/>
      <c r="T77" s="402"/>
      <c r="U77" s="402"/>
      <c r="V77" s="402"/>
      <c r="W77" s="402"/>
      <c r="X77" s="402"/>
      <c r="Y77" s="402"/>
      <c r="Z77" s="402"/>
      <c r="AA77" s="405"/>
      <c r="AB77" s="405"/>
    </row>
    <row r="78" ht="14.25" customHeight="1">
      <c r="A78" s="406">
        <v>45500.0</v>
      </c>
      <c r="B78" s="349" t="s">
        <v>4571</v>
      </c>
      <c r="C78" s="349" t="s">
        <v>4572</v>
      </c>
      <c r="D78" s="349" t="s">
        <v>439</v>
      </c>
      <c r="E78" s="349" t="s">
        <v>4583</v>
      </c>
      <c r="F78" s="413">
        <v>23798.0</v>
      </c>
      <c r="G78" s="402"/>
      <c r="H78" s="404" t="str">
        <f t="shared" si="6"/>
        <v>NOT PAID</v>
      </c>
      <c r="I78" s="349" t="s">
        <v>4570</v>
      </c>
      <c r="J78" s="402"/>
      <c r="K78" s="402"/>
      <c r="L78" s="402"/>
      <c r="M78" s="402"/>
      <c r="N78" s="402"/>
      <c r="O78" s="402"/>
      <c r="P78" s="402"/>
      <c r="Q78" s="402"/>
      <c r="R78" s="402"/>
      <c r="S78" s="402"/>
      <c r="T78" s="402"/>
      <c r="U78" s="402"/>
      <c r="V78" s="402"/>
      <c r="W78" s="402"/>
      <c r="X78" s="402"/>
      <c r="Y78" s="402"/>
      <c r="Z78" s="402"/>
      <c r="AA78" s="405"/>
      <c r="AB78" s="405"/>
    </row>
    <row r="79" ht="14.25" customHeight="1">
      <c r="A79" s="406">
        <v>45500.0</v>
      </c>
      <c r="B79" s="349" t="s">
        <v>4573</v>
      </c>
      <c r="C79" s="349" t="s">
        <v>4574</v>
      </c>
      <c r="D79" s="349" t="s">
        <v>439</v>
      </c>
      <c r="E79" s="349" t="s">
        <v>4583</v>
      </c>
      <c r="F79" s="413">
        <v>25000.0</v>
      </c>
      <c r="G79" s="402"/>
      <c r="H79" s="404" t="str">
        <f t="shared" si="6"/>
        <v>NOT PAID</v>
      </c>
      <c r="I79" s="349" t="s">
        <v>4570</v>
      </c>
      <c r="J79" s="402"/>
      <c r="K79" s="402"/>
      <c r="L79" s="402"/>
      <c r="M79" s="402"/>
      <c r="N79" s="402"/>
      <c r="O79" s="402"/>
      <c r="P79" s="402"/>
      <c r="Q79" s="402"/>
      <c r="R79" s="402"/>
      <c r="S79" s="402"/>
      <c r="T79" s="402"/>
      <c r="U79" s="402"/>
      <c r="V79" s="402"/>
      <c r="W79" s="402"/>
      <c r="X79" s="402"/>
      <c r="Y79" s="402"/>
      <c r="Z79" s="402"/>
      <c r="AA79" s="405"/>
      <c r="AB79" s="405"/>
    </row>
    <row r="80" ht="14.25" customHeight="1">
      <c r="A80" s="406">
        <v>45500.0</v>
      </c>
      <c r="B80" s="349" t="s">
        <v>4575</v>
      </c>
      <c r="C80" s="512" t="s">
        <v>4576</v>
      </c>
      <c r="D80" s="349" t="s">
        <v>439</v>
      </c>
      <c r="E80" s="349" t="s">
        <v>4583</v>
      </c>
      <c r="F80" s="413">
        <v>8000.0</v>
      </c>
      <c r="G80" s="402"/>
      <c r="H80" s="404" t="str">
        <f t="shared" si="6"/>
        <v>NOT PAID</v>
      </c>
      <c r="I80" s="349" t="s">
        <v>4570</v>
      </c>
      <c r="J80" s="402"/>
      <c r="K80" s="402"/>
      <c r="L80" s="402"/>
      <c r="M80" s="402"/>
      <c r="N80" s="402"/>
      <c r="O80" s="402"/>
      <c r="P80" s="402"/>
      <c r="Q80" s="402"/>
      <c r="R80" s="402"/>
      <c r="S80" s="402"/>
      <c r="T80" s="402"/>
      <c r="U80" s="402"/>
      <c r="V80" s="402"/>
      <c r="W80" s="402"/>
      <c r="X80" s="402"/>
      <c r="Y80" s="402"/>
      <c r="Z80" s="402"/>
      <c r="AA80" s="405"/>
      <c r="AB80" s="405"/>
    </row>
    <row r="81" ht="14.25" customHeight="1">
      <c r="A81" s="406">
        <v>45500.0</v>
      </c>
      <c r="B81" s="349" t="s">
        <v>4587</v>
      </c>
      <c r="C81" s="349" t="s">
        <v>4585</v>
      </c>
      <c r="D81" s="349" t="s">
        <v>439</v>
      </c>
      <c r="E81" s="349" t="s">
        <v>4586</v>
      </c>
      <c r="F81" s="413">
        <v>14320.0</v>
      </c>
      <c r="G81" s="402"/>
      <c r="H81" s="404" t="str">
        <f t="shared" si="6"/>
        <v>NOT PAID</v>
      </c>
      <c r="I81" s="349" t="s">
        <v>4570</v>
      </c>
      <c r="J81" s="584"/>
      <c r="K81" s="584"/>
      <c r="L81" s="584"/>
      <c r="M81" s="402"/>
      <c r="N81" s="402"/>
      <c r="O81" s="402"/>
      <c r="P81" s="402"/>
      <c r="Q81" s="402"/>
      <c r="R81" s="402"/>
      <c r="S81" s="402"/>
      <c r="T81" s="402"/>
      <c r="U81" s="402"/>
      <c r="V81" s="402"/>
      <c r="W81" s="402"/>
      <c r="X81" s="402"/>
      <c r="Y81" s="402"/>
      <c r="Z81" s="402"/>
      <c r="AA81" s="405"/>
      <c r="AB81" s="405"/>
    </row>
    <row r="82" ht="14.25" customHeight="1">
      <c r="A82" s="584"/>
      <c r="B82" s="584"/>
      <c r="C82" s="584"/>
      <c r="D82" s="584"/>
      <c r="E82" s="424" t="s">
        <v>23</v>
      </c>
      <c r="F82" s="787">
        <v>271051.0</v>
      </c>
      <c r="G82" s="584"/>
      <c r="H82" s="404"/>
      <c r="I82" s="349" t="s">
        <v>4570</v>
      </c>
      <c r="J82" s="402"/>
      <c r="K82" s="402"/>
      <c r="L82" s="402"/>
      <c r="M82" s="584"/>
      <c r="N82" s="584"/>
      <c r="O82" s="584"/>
      <c r="P82" s="584"/>
      <c r="Q82" s="584"/>
      <c r="R82" s="584"/>
      <c r="S82" s="584"/>
      <c r="T82" s="584"/>
      <c r="U82" s="584"/>
      <c r="V82" s="584"/>
      <c r="W82" s="584"/>
      <c r="X82" s="584"/>
      <c r="Y82" s="584"/>
      <c r="Z82" s="584"/>
      <c r="AA82" s="659"/>
      <c r="AB82" s="659"/>
    </row>
    <row r="83" ht="14.25" customHeight="1">
      <c r="A83" s="402"/>
      <c r="B83" s="402"/>
      <c r="C83" s="402"/>
      <c r="D83" s="402"/>
      <c r="E83" s="402"/>
      <c r="F83" s="403"/>
      <c r="G83" s="402"/>
      <c r="H83" s="404"/>
      <c r="I83" s="402"/>
      <c r="J83" s="402"/>
      <c r="K83" s="402"/>
      <c r="L83" s="402"/>
      <c r="M83" s="402"/>
      <c r="N83" s="402"/>
      <c r="O83" s="402"/>
      <c r="P83" s="402"/>
      <c r="Q83" s="402"/>
      <c r="R83" s="402"/>
      <c r="S83" s="402"/>
      <c r="T83" s="402"/>
      <c r="U83" s="402"/>
      <c r="V83" s="402"/>
      <c r="W83" s="402"/>
      <c r="X83" s="402"/>
      <c r="Y83" s="402"/>
      <c r="Z83" s="402"/>
      <c r="AA83" s="405"/>
      <c r="AB83" s="405"/>
    </row>
    <row r="84" ht="14.25" customHeight="1">
      <c r="A84" s="402"/>
      <c r="B84" s="402"/>
      <c r="C84" s="402"/>
      <c r="D84" s="402"/>
      <c r="E84" s="402"/>
      <c r="F84" s="403"/>
      <c r="G84" s="402"/>
      <c r="H84" s="404"/>
      <c r="I84" s="402"/>
      <c r="J84" s="402"/>
      <c r="K84" s="402"/>
      <c r="L84" s="402"/>
      <c r="M84" s="402"/>
      <c r="N84" s="402"/>
      <c r="O84" s="402"/>
      <c r="P84" s="402"/>
      <c r="Q84" s="402"/>
      <c r="R84" s="402"/>
      <c r="S84" s="402"/>
      <c r="T84" s="402"/>
      <c r="U84" s="402"/>
      <c r="V84" s="402"/>
      <c r="W84" s="402"/>
      <c r="X84" s="402"/>
      <c r="Y84" s="402"/>
      <c r="Z84" s="402"/>
      <c r="AA84" s="405"/>
      <c r="AB84" s="405"/>
    </row>
    <row r="85" ht="14.25" customHeight="1">
      <c r="A85" s="406">
        <v>45502.0</v>
      </c>
      <c r="B85" s="349" t="s">
        <v>4550</v>
      </c>
      <c r="C85" s="349" t="s">
        <v>4551</v>
      </c>
      <c r="D85" s="349" t="s">
        <v>439</v>
      </c>
      <c r="E85" s="349" t="s">
        <v>4552</v>
      </c>
      <c r="F85" s="413">
        <v>41040.0</v>
      </c>
      <c r="G85" s="349">
        <v>0.0</v>
      </c>
      <c r="H85" s="404" t="str">
        <f t="shared" ref="H85:H94" si="7">IF(G85&gt;=F85,"FULLY PAID",IF(G85=0,"NOT PAID","PARTIALLY PAID"))</f>
        <v>NOT PAID</v>
      </c>
      <c r="I85" s="349" t="s">
        <v>4553</v>
      </c>
      <c r="J85" s="402"/>
      <c r="K85" s="402"/>
      <c r="L85" s="402"/>
      <c r="M85" s="402"/>
      <c r="N85" s="402"/>
      <c r="O85" s="402"/>
      <c r="P85" s="402"/>
      <c r="Q85" s="402"/>
      <c r="R85" s="402"/>
      <c r="S85" s="402"/>
      <c r="T85" s="402"/>
      <c r="U85" s="402"/>
      <c r="V85" s="402"/>
      <c r="W85" s="402"/>
      <c r="X85" s="402"/>
      <c r="Y85" s="402"/>
      <c r="Z85" s="402"/>
      <c r="AA85" s="405"/>
      <c r="AB85" s="405"/>
    </row>
    <row r="86" ht="14.25" customHeight="1">
      <c r="A86" s="406">
        <v>45502.0</v>
      </c>
      <c r="B86" s="349" t="s">
        <v>4554</v>
      </c>
      <c r="C86" s="349" t="s">
        <v>4555</v>
      </c>
      <c r="D86" s="349" t="s">
        <v>439</v>
      </c>
      <c r="E86" s="349" t="s">
        <v>4552</v>
      </c>
      <c r="F86" s="413">
        <v>20000.0</v>
      </c>
      <c r="G86" s="349">
        <v>0.0</v>
      </c>
      <c r="H86" s="404" t="str">
        <f t="shared" si="7"/>
        <v>NOT PAID</v>
      </c>
      <c r="I86" s="349" t="s">
        <v>4553</v>
      </c>
      <c r="J86" s="402"/>
      <c r="K86" s="402"/>
      <c r="L86" s="402"/>
      <c r="M86" s="402"/>
      <c r="N86" s="402"/>
      <c r="O86" s="402"/>
      <c r="P86" s="402"/>
      <c r="Q86" s="402"/>
      <c r="R86" s="402"/>
      <c r="S86" s="402"/>
      <c r="T86" s="402"/>
      <c r="U86" s="402"/>
      <c r="V86" s="402"/>
      <c r="W86" s="402"/>
      <c r="X86" s="402"/>
      <c r="Y86" s="402"/>
      <c r="Z86" s="402"/>
      <c r="AA86" s="405"/>
      <c r="AB86" s="405"/>
    </row>
    <row r="87" ht="14.25" customHeight="1">
      <c r="A87" s="406">
        <v>45502.0</v>
      </c>
      <c r="B87" s="349" t="s">
        <v>4556</v>
      </c>
      <c r="C87" s="349" t="s">
        <v>4557</v>
      </c>
      <c r="D87" s="349" t="s">
        <v>439</v>
      </c>
      <c r="E87" s="349" t="s">
        <v>4583</v>
      </c>
      <c r="F87" s="413">
        <v>2200.0</v>
      </c>
      <c r="G87" s="349">
        <v>19000.0</v>
      </c>
      <c r="H87" s="404" t="str">
        <f t="shared" si="7"/>
        <v>FULLY PAID</v>
      </c>
      <c r="I87" s="349"/>
      <c r="J87" s="402"/>
      <c r="K87" s="402"/>
      <c r="L87" s="402"/>
      <c r="M87" s="402"/>
      <c r="N87" s="402"/>
      <c r="O87" s="402"/>
      <c r="P87" s="402"/>
      <c r="Q87" s="402"/>
      <c r="R87" s="402"/>
      <c r="S87" s="402"/>
      <c r="T87" s="402"/>
      <c r="U87" s="402"/>
      <c r="V87" s="402"/>
      <c r="W87" s="402"/>
      <c r="X87" s="402"/>
      <c r="Y87" s="402"/>
      <c r="Z87" s="402"/>
      <c r="AA87" s="405"/>
      <c r="AB87" s="405"/>
    </row>
    <row r="88" ht="14.25" customHeight="1">
      <c r="A88" s="406">
        <v>45502.0</v>
      </c>
      <c r="B88" s="349" t="s">
        <v>4577</v>
      </c>
      <c r="C88" s="349" t="s">
        <v>4578</v>
      </c>
      <c r="D88" s="349" t="s">
        <v>439</v>
      </c>
      <c r="E88" s="349" t="s">
        <v>4552</v>
      </c>
      <c r="F88" s="413">
        <v>48237.0</v>
      </c>
      <c r="G88" s="349">
        <v>0.0</v>
      </c>
      <c r="H88" s="404" t="str">
        <f t="shared" si="7"/>
        <v>NOT PAID</v>
      </c>
      <c r="I88" s="349" t="s">
        <v>4561</v>
      </c>
      <c r="J88" s="402"/>
      <c r="K88" s="402"/>
      <c r="L88" s="402"/>
      <c r="M88" s="402"/>
      <c r="N88" s="402"/>
      <c r="O88" s="402"/>
      <c r="P88" s="402"/>
      <c r="Q88" s="402"/>
      <c r="R88" s="402"/>
      <c r="S88" s="402"/>
      <c r="T88" s="402"/>
      <c r="U88" s="402"/>
      <c r="V88" s="402"/>
      <c r="W88" s="402"/>
      <c r="X88" s="402"/>
      <c r="Y88" s="402"/>
      <c r="Z88" s="402"/>
      <c r="AA88" s="405"/>
      <c r="AB88" s="405"/>
    </row>
    <row r="89" ht="14.25" customHeight="1">
      <c r="A89" s="406">
        <v>45502.0</v>
      </c>
      <c r="B89" s="349" t="s">
        <v>4579</v>
      </c>
      <c r="C89" s="349" t="s">
        <v>4580</v>
      </c>
      <c r="D89" s="349" t="s">
        <v>439</v>
      </c>
      <c r="E89" s="349" t="s">
        <v>4552</v>
      </c>
      <c r="F89" s="413">
        <v>77037.0</v>
      </c>
      <c r="G89" s="349">
        <v>0.0</v>
      </c>
      <c r="H89" s="404" t="str">
        <f t="shared" si="7"/>
        <v>NOT PAID</v>
      </c>
      <c r="I89" s="349" t="s">
        <v>4553</v>
      </c>
      <c r="J89" s="402"/>
      <c r="K89" s="402"/>
      <c r="L89" s="402"/>
      <c r="M89" s="402"/>
      <c r="N89" s="402"/>
      <c r="O89" s="402"/>
      <c r="P89" s="402"/>
      <c r="Q89" s="402"/>
      <c r="R89" s="402"/>
      <c r="S89" s="402"/>
      <c r="T89" s="402"/>
      <c r="U89" s="402"/>
      <c r="V89" s="402"/>
      <c r="W89" s="402"/>
      <c r="X89" s="402"/>
      <c r="Y89" s="402"/>
      <c r="Z89" s="402"/>
      <c r="AA89" s="405"/>
      <c r="AB89" s="405"/>
    </row>
    <row r="90" ht="14.25" customHeight="1">
      <c r="A90" s="406">
        <v>45502.0</v>
      </c>
      <c r="B90" s="349" t="s">
        <v>4565</v>
      </c>
      <c r="C90" s="349" t="s">
        <v>4566</v>
      </c>
      <c r="D90" s="349" t="s">
        <v>439</v>
      </c>
      <c r="E90" s="349" t="s">
        <v>4552</v>
      </c>
      <c r="F90" s="413">
        <v>3168.0</v>
      </c>
      <c r="G90" s="349">
        <v>0.0</v>
      </c>
      <c r="H90" s="404" t="str">
        <f t="shared" si="7"/>
        <v>NOT PAID</v>
      </c>
      <c r="I90" s="349" t="s">
        <v>4567</v>
      </c>
      <c r="J90" s="402"/>
      <c r="K90" s="402"/>
      <c r="L90" s="402"/>
      <c r="M90" s="402"/>
      <c r="N90" s="402"/>
      <c r="O90" s="402"/>
      <c r="P90" s="402"/>
      <c r="Q90" s="402"/>
      <c r="R90" s="402"/>
      <c r="S90" s="402"/>
      <c r="T90" s="402"/>
      <c r="U90" s="402"/>
      <c r="V90" s="402"/>
      <c r="W90" s="402"/>
      <c r="X90" s="402"/>
      <c r="Y90" s="402"/>
      <c r="Z90" s="402"/>
      <c r="AA90" s="405"/>
      <c r="AB90" s="405"/>
    </row>
    <row r="91" ht="14.25" customHeight="1">
      <c r="A91" s="406">
        <v>45502.0</v>
      </c>
      <c r="B91" s="349" t="s">
        <v>4568</v>
      </c>
      <c r="C91" s="349" t="s">
        <v>4569</v>
      </c>
      <c r="D91" s="349" t="s">
        <v>439</v>
      </c>
      <c r="E91" s="349" t="s">
        <v>4552</v>
      </c>
      <c r="F91" s="413">
        <v>8251.0</v>
      </c>
      <c r="G91" s="349">
        <v>0.0</v>
      </c>
      <c r="H91" s="404" t="str">
        <f t="shared" si="7"/>
        <v>NOT PAID</v>
      </c>
      <c r="I91" s="349" t="s">
        <v>4570</v>
      </c>
      <c r="J91" s="402"/>
      <c r="K91" s="402"/>
      <c r="L91" s="402"/>
      <c r="M91" s="402"/>
      <c r="N91" s="402"/>
      <c r="O91" s="402"/>
      <c r="P91" s="402"/>
      <c r="Q91" s="402"/>
      <c r="R91" s="402"/>
      <c r="S91" s="402"/>
      <c r="T91" s="402"/>
      <c r="U91" s="402"/>
      <c r="V91" s="402"/>
      <c r="W91" s="402"/>
      <c r="X91" s="402"/>
      <c r="Y91" s="402"/>
      <c r="Z91" s="402"/>
      <c r="AA91" s="405"/>
      <c r="AB91" s="405"/>
    </row>
    <row r="92" ht="14.25" customHeight="1">
      <c r="A92" s="406">
        <v>45502.0</v>
      </c>
      <c r="B92" s="349" t="s">
        <v>4571</v>
      </c>
      <c r="C92" s="349" t="s">
        <v>4572</v>
      </c>
      <c r="D92" s="349" t="s">
        <v>439</v>
      </c>
      <c r="E92" s="349" t="s">
        <v>4583</v>
      </c>
      <c r="F92" s="413">
        <v>23798.0</v>
      </c>
      <c r="G92" s="349">
        <v>0.0</v>
      </c>
      <c r="H92" s="404" t="str">
        <f t="shared" si="7"/>
        <v>NOT PAID</v>
      </c>
      <c r="I92" s="349" t="s">
        <v>4570</v>
      </c>
      <c r="J92" s="402"/>
      <c r="K92" s="402"/>
      <c r="L92" s="402"/>
      <c r="M92" s="402"/>
      <c r="N92" s="402"/>
      <c r="O92" s="402"/>
      <c r="P92" s="402"/>
      <c r="Q92" s="402"/>
      <c r="R92" s="402"/>
      <c r="S92" s="402"/>
      <c r="T92" s="402"/>
      <c r="U92" s="402"/>
      <c r="V92" s="402"/>
      <c r="W92" s="402"/>
      <c r="X92" s="402"/>
      <c r="Y92" s="402"/>
      <c r="Z92" s="402"/>
      <c r="AA92" s="405"/>
      <c r="AB92" s="405"/>
    </row>
    <row r="93" ht="14.25" customHeight="1">
      <c r="A93" s="406">
        <v>45502.0</v>
      </c>
      <c r="B93" s="349" t="s">
        <v>4573</v>
      </c>
      <c r="C93" s="349" t="s">
        <v>4574</v>
      </c>
      <c r="D93" s="349" t="s">
        <v>439</v>
      </c>
      <c r="E93" s="349" t="s">
        <v>4583</v>
      </c>
      <c r="F93" s="413">
        <v>25000.0</v>
      </c>
      <c r="G93" s="349">
        <v>0.0</v>
      </c>
      <c r="H93" s="404" t="str">
        <f t="shared" si="7"/>
        <v>NOT PAID</v>
      </c>
      <c r="I93" s="349" t="s">
        <v>4570</v>
      </c>
      <c r="J93" s="402"/>
      <c r="K93" s="402"/>
      <c r="L93" s="402"/>
      <c r="M93" s="402"/>
      <c r="N93" s="402"/>
      <c r="O93" s="402"/>
      <c r="P93" s="402"/>
      <c r="Q93" s="402"/>
      <c r="R93" s="402"/>
      <c r="S93" s="402"/>
      <c r="T93" s="402"/>
      <c r="U93" s="402"/>
      <c r="V93" s="402"/>
      <c r="W93" s="402"/>
      <c r="X93" s="402"/>
      <c r="Y93" s="402"/>
      <c r="Z93" s="402"/>
      <c r="AA93" s="405"/>
      <c r="AB93" s="405"/>
    </row>
    <row r="94" ht="14.25" customHeight="1">
      <c r="A94" s="406">
        <v>45502.0</v>
      </c>
      <c r="B94" s="349" t="s">
        <v>4575</v>
      </c>
      <c r="C94" s="512" t="s">
        <v>4576</v>
      </c>
      <c r="D94" s="349" t="s">
        <v>439</v>
      </c>
      <c r="E94" s="349" t="s">
        <v>4583</v>
      </c>
      <c r="F94" s="413">
        <v>8000.0</v>
      </c>
      <c r="G94" s="349">
        <v>0.0</v>
      </c>
      <c r="H94" s="404" t="str">
        <f t="shared" si="7"/>
        <v>NOT PAID</v>
      </c>
      <c r="I94" s="349" t="s">
        <v>4570</v>
      </c>
      <c r="J94" s="402"/>
      <c r="K94" s="402"/>
      <c r="L94" s="402"/>
      <c r="M94" s="402"/>
      <c r="N94" s="402"/>
      <c r="O94" s="402"/>
      <c r="P94" s="402"/>
      <c r="Q94" s="402"/>
      <c r="R94" s="402"/>
      <c r="S94" s="402"/>
      <c r="T94" s="402"/>
      <c r="U94" s="402"/>
      <c r="V94" s="402"/>
      <c r="W94" s="402"/>
      <c r="X94" s="402"/>
      <c r="Y94" s="402"/>
      <c r="Z94" s="402"/>
      <c r="AA94" s="405"/>
      <c r="AB94" s="405"/>
    </row>
    <row r="95" ht="14.25" customHeight="1">
      <c r="A95" s="406">
        <v>45502.0</v>
      </c>
      <c r="B95" s="349" t="s">
        <v>4587</v>
      </c>
      <c r="C95" s="349" t="s">
        <v>4585</v>
      </c>
      <c r="D95" s="349" t="s">
        <v>439</v>
      </c>
      <c r="E95" s="349" t="s">
        <v>4586</v>
      </c>
      <c r="F95" s="413">
        <v>14320.0</v>
      </c>
      <c r="G95" s="402"/>
      <c r="H95" s="404"/>
      <c r="I95" s="349"/>
      <c r="J95" s="584"/>
      <c r="K95" s="584"/>
      <c r="L95" s="584"/>
      <c r="M95" s="402"/>
      <c r="N95" s="402"/>
      <c r="O95" s="402"/>
      <c r="P95" s="402"/>
      <c r="Q95" s="402"/>
      <c r="R95" s="402"/>
      <c r="S95" s="402"/>
      <c r="T95" s="402"/>
      <c r="U95" s="402"/>
      <c r="V95" s="402"/>
      <c r="W95" s="402"/>
      <c r="X95" s="402"/>
      <c r="Y95" s="402"/>
      <c r="Z95" s="402"/>
      <c r="AA95" s="405"/>
      <c r="AB95" s="405"/>
    </row>
    <row r="96" ht="14.25" customHeight="1">
      <c r="A96" s="402"/>
      <c r="B96" s="402"/>
      <c r="C96" s="402"/>
      <c r="D96" s="402"/>
      <c r="E96" s="402"/>
      <c r="F96" s="403"/>
      <c r="G96" s="402"/>
      <c r="H96" s="404"/>
      <c r="I96" s="349"/>
      <c r="J96" s="402"/>
      <c r="K96" s="402"/>
      <c r="L96" s="402"/>
      <c r="M96" s="402"/>
      <c r="N96" s="402"/>
      <c r="O96" s="402"/>
      <c r="P96" s="402"/>
      <c r="Q96" s="402"/>
      <c r="R96" s="402"/>
      <c r="S96" s="402"/>
      <c r="T96" s="402"/>
      <c r="U96" s="402"/>
      <c r="V96" s="402"/>
      <c r="W96" s="402"/>
      <c r="X96" s="402"/>
      <c r="Y96" s="402"/>
      <c r="Z96" s="402"/>
      <c r="AA96" s="405"/>
      <c r="AB96" s="405"/>
    </row>
    <row r="97" ht="14.25" customHeight="1">
      <c r="A97" s="402"/>
      <c r="B97" s="402"/>
      <c r="C97" s="402"/>
      <c r="D97" s="402"/>
      <c r="E97" s="402"/>
      <c r="F97" s="403"/>
      <c r="G97" s="402"/>
      <c r="H97" s="404"/>
      <c r="I97" s="402"/>
      <c r="J97" s="402"/>
      <c r="K97" s="402"/>
      <c r="L97" s="402"/>
      <c r="M97" s="402"/>
      <c r="N97" s="402"/>
      <c r="O97" s="402"/>
      <c r="P97" s="402"/>
      <c r="Q97" s="402"/>
      <c r="R97" s="402"/>
      <c r="S97" s="402"/>
      <c r="T97" s="402"/>
      <c r="U97" s="402"/>
      <c r="V97" s="402"/>
      <c r="W97" s="402"/>
      <c r="X97" s="402"/>
      <c r="Y97" s="402"/>
      <c r="Z97" s="402"/>
      <c r="AA97" s="405"/>
      <c r="AB97" s="405"/>
    </row>
    <row r="98" ht="14.25" customHeight="1">
      <c r="A98" s="406">
        <v>45503.0</v>
      </c>
      <c r="B98" s="349" t="s">
        <v>4550</v>
      </c>
      <c r="C98" s="349" t="s">
        <v>4551</v>
      </c>
      <c r="D98" s="349" t="s">
        <v>439</v>
      </c>
      <c r="E98" s="349" t="s">
        <v>4552</v>
      </c>
      <c r="F98" s="413">
        <v>41040.0</v>
      </c>
      <c r="G98" s="349">
        <v>0.0</v>
      </c>
      <c r="H98" s="404" t="str">
        <f t="shared" ref="H98:H107" si="8">IF(G98&gt;=F98,"FULLY PAID",IF(G98=0,"NOT PAID","PARTIALLY PAID"))</f>
        <v>NOT PAID</v>
      </c>
      <c r="I98" s="349" t="s">
        <v>4553</v>
      </c>
      <c r="J98" s="402"/>
      <c r="K98" s="402"/>
      <c r="L98" s="402"/>
      <c r="M98" s="402"/>
      <c r="N98" s="402"/>
      <c r="O98" s="402"/>
      <c r="P98" s="402"/>
      <c r="Q98" s="402"/>
      <c r="R98" s="402"/>
      <c r="S98" s="402"/>
      <c r="T98" s="402"/>
      <c r="U98" s="402"/>
      <c r="V98" s="402"/>
      <c r="W98" s="402"/>
      <c r="X98" s="402"/>
      <c r="Y98" s="402"/>
      <c r="Z98" s="402"/>
      <c r="AA98" s="405"/>
      <c r="AB98" s="405"/>
    </row>
    <row r="99" ht="14.25" customHeight="1">
      <c r="A99" s="406">
        <v>45503.0</v>
      </c>
      <c r="B99" s="349" t="s">
        <v>4554</v>
      </c>
      <c r="C99" s="349" t="s">
        <v>4555</v>
      </c>
      <c r="D99" s="349" t="s">
        <v>439</v>
      </c>
      <c r="E99" s="349" t="s">
        <v>4552</v>
      </c>
      <c r="F99" s="413">
        <v>81443.0</v>
      </c>
      <c r="G99" s="349">
        <v>0.0</v>
      </c>
      <c r="H99" s="404" t="str">
        <f t="shared" si="8"/>
        <v>NOT PAID</v>
      </c>
      <c r="I99" s="349" t="s">
        <v>4553</v>
      </c>
      <c r="J99" s="402"/>
      <c r="K99" s="402"/>
      <c r="L99" s="402"/>
      <c r="M99" s="402"/>
      <c r="N99" s="402"/>
      <c r="O99" s="402"/>
      <c r="P99" s="402"/>
      <c r="Q99" s="402"/>
      <c r="R99" s="402"/>
      <c r="S99" s="402"/>
      <c r="T99" s="402"/>
      <c r="U99" s="402"/>
      <c r="V99" s="402"/>
      <c r="W99" s="402"/>
      <c r="X99" s="402"/>
      <c r="Y99" s="402"/>
      <c r="Z99" s="402"/>
      <c r="AA99" s="405"/>
      <c r="AB99" s="405"/>
    </row>
    <row r="100" ht="14.25" customHeight="1">
      <c r="A100" s="406">
        <v>45503.0</v>
      </c>
      <c r="B100" s="349" t="s">
        <v>4587</v>
      </c>
      <c r="C100" s="349" t="s">
        <v>4585</v>
      </c>
      <c r="D100" s="349" t="s">
        <v>439</v>
      </c>
      <c r="E100" s="349" t="s">
        <v>4586</v>
      </c>
      <c r="F100" s="413">
        <v>14320.0</v>
      </c>
      <c r="G100" s="349">
        <v>0.0</v>
      </c>
      <c r="H100" s="404" t="str">
        <f t="shared" si="8"/>
        <v>NOT PAID</v>
      </c>
      <c r="I100" s="349" t="s">
        <v>4553</v>
      </c>
      <c r="J100" s="402"/>
      <c r="K100" s="402"/>
      <c r="L100" s="402"/>
      <c r="M100" s="402"/>
      <c r="N100" s="402"/>
      <c r="O100" s="402"/>
      <c r="P100" s="402"/>
      <c r="Q100" s="402"/>
      <c r="R100" s="402"/>
      <c r="S100" s="402"/>
      <c r="T100" s="402"/>
      <c r="U100" s="402"/>
      <c r="V100" s="402"/>
      <c r="W100" s="402"/>
      <c r="X100" s="402"/>
      <c r="Y100" s="402"/>
      <c r="Z100" s="402"/>
      <c r="AA100" s="405"/>
      <c r="AB100" s="405"/>
    </row>
    <row r="101" ht="14.25" customHeight="1">
      <c r="A101" s="406">
        <v>45503.0</v>
      </c>
      <c r="B101" s="349" t="s">
        <v>4577</v>
      </c>
      <c r="C101" s="349" t="s">
        <v>4578</v>
      </c>
      <c r="D101" s="349" t="s">
        <v>439</v>
      </c>
      <c r="E101" s="349" t="s">
        <v>4552</v>
      </c>
      <c r="F101" s="413">
        <v>48237.0</v>
      </c>
      <c r="G101" s="349">
        <v>0.0</v>
      </c>
      <c r="H101" s="404" t="str">
        <f t="shared" si="8"/>
        <v>NOT PAID</v>
      </c>
      <c r="I101" s="349" t="s">
        <v>4561</v>
      </c>
      <c r="J101" s="402"/>
      <c r="K101" s="402"/>
      <c r="L101" s="402"/>
      <c r="M101" s="402"/>
      <c r="N101" s="402"/>
      <c r="O101" s="402"/>
      <c r="P101" s="402"/>
      <c r="Q101" s="402"/>
      <c r="R101" s="402"/>
      <c r="S101" s="402"/>
      <c r="T101" s="402"/>
      <c r="U101" s="402"/>
      <c r="V101" s="402"/>
      <c r="W101" s="402"/>
      <c r="X101" s="402"/>
      <c r="Y101" s="402"/>
      <c r="Z101" s="402"/>
      <c r="AA101" s="405"/>
      <c r="AB101" s="405"/>
    </row>
    <row r="102" ht="14.25" customHeight="1">
      <c r="A102" s="406">
        <v>45503.0</v>
      </c>
      <c r="B102" s="349" t="s">
        <v>4579</v>
      </c>
      <c r="C102" s="349" t="s">
        <v>4580</v>
      </c>
      <c r="D102" s="349" t="s">
        <v>439</v>
      </c>
      <c r="E102" s="349" t="s">
        <v>4552</v>
      </c>
      <c r="F102" s="413">
        <v>77037.0</v>
      </c>
      <c r="G102" s="349">
        <v>0.0</v>
      </c>
      <c r="H102" s="404" t="str">
        <f t="shared" si="8"/>
        <v>NOT PAID</v>
      </c>
      <c r="I102" s="349" t="s">
        <v>4553</v>
      </c>
      <c r="J102" s="402"/>
      <c r="K102" s="402"/>
      <c r="L102" s="402"/>
      <c r="M102" s="402"/>
      <c r="N102" s="402"/>
      <c r="O102" s="402"/>
      <c r="P102" s="402"/>
      <c r="Q102" s="402"/>
      <c r="R102" s="402"/>
      <c r="S102" s="402"/>
      <c r="T102" s="402"/>
      <c r="U102" s="402"/>
      <c r="V102" s="402"/>
      <c r="W102" s="402"/>
      <c r="X102" s="402"/>
      <c r="Y102" s="402"/>
      <c r="Z102" s="402"/>
      <c r="AA102" s="405"/>
      <c r="AB102" s="405"/>
    </row>
    <row r="103" ht="14.25" customHeight="1">
      <c r="A103" s="406">
        <v>45503.0</v>
      </c>
      <c r="B103" s="349" t="s">
        <v>4565</v>
      </c>
      <c r="C103" s="349" t="s">
        <v>4566</v>
      </c>
      <c r="D103" s="349" t="s">
        <v>439</v>
      </c>
      <c r="E103" s="349" t="s">
        <v>4552</v>
      </c>
      <c r="F103" s="413">
        <v>3168.0</v>
      </c>
      <c r="G103" s="349">
        <v>0.0</v>
      </c>
      <c r="H103" s="404" t="str">
        <f t="shared" si="8"/>
        <v>NOT PAID</v>
      </c>
      <c r="I103" s="349" t="s">
        <v>4567</v>
      </c>
      <c r="J103" s="402"/>
      <c r="K103" s="402"/>
      <c r="L103" s="402"/>
      <c r="M103" s="402"/>
      <c r="N103" s="402"/>
      <c r="O103" s="402"/>
      <c r="P103" s="402"/>
      <c r="Q103" s="402"/>
      <c r="R103" s="402"/>
      <c r="S103" s="402"/>
      <c r="T103" s="402"/>
      <c r="U103" s="402"/>
      <c r="V103" s="402"/>
      <c r="W103" s="402"/>
      <c r="X103" s="402"/>
      <c r="Y103" s="402"/>
      <c r="Z103" s="402"/>
      <c r="AA103" s="405"/>
      <c r="AB103" s="405"/>
    </row>
    <row r="104" ht="14.25" customHeight="1">
      <c r="A104" s="406">
        <v>45503.0</v>
      </c>
      <c r="B104" s="349" t="s">
        <v>4568</v>
      </c>
      <c r="C104" s="349" t="s">
        <v>4569</v>
      </c>
      <c r="D104" s="349" t="s">
        <v>439</v>
      </c>
      <c r="E104" s="349" t="s">
        <v>4552</v>
      </c>
      <c r="F104" s="413">
        <v>8251.0</v>
      </c>
      <c r="G104" s="349">
        <v>0.0</v>
      </c>
      <c r="H104" s="404" t="str">
        <f t="shared" si="8"/>
        <v>NOT PAID</v>
      </c>
      <c r="I104" s="349" t="s">
        <v>4570</v>
      </c>
      <c r="J104" s="402"/>
      <c r="K104" s="402"/>
      <c r="L104" s="402"/>
      <c r="M104" s="402"/>
      <c r="N104" s="402"/>
      <c r="O104" s="402"/>
      <c r="P104" s="402"/>
      <c r="Q104" s="402"/>
      <c r="R104" s="402"/>
      <c r="S104" s="402"/>
      <c r="T104" s="402"/>
      <c r="U104" s="402"/>
      <c r="V104" s="402"/>
      <c r="W104" s="402"/>
      <c r="X104" s="402"/>
      <c r="Y104" s="402"/>
      <c r="Z104" s="402"/>
      <c r="AA104" s="405"/>
      <c r="AB104" s="405"/>
    </row>
    <row r="105" ht="14.25" customHeight="1">
      <c r="A105" s="406">
        <v>45503.0</v>
      </c>
      <c r="B105" s="349" t="s">
        <v>4571</v>
      </c>
      <c r="C105" s="349" t="s">
        <v>4572</v>
      </c>
      <c r="D105" s="349" t="s">
        <v>439</v>
      </c>
      <c r="E105" s="349" t="s">
        <v>4583</v>
      </c>
      <c r="F105" s="413">
        <v>23798.0</v>
      </c>
      <c r="G105" s="349">
        <v>0.0</v>
      </c>
      <c r="H105" s="404" t="str">
        <f t="shared" si="8"/>
        <v>NOT PAID</v>
      </c>
      <c r="I105" s="349" t="s">
        <v>4570</v>
      </c>
      <c r="J105" s="402"/>
      <c r="K105" s="402"/>
      <c r="L105" s="402"/>
      <c r="M105" s="402"/>
      <c r="N105" s="402"/>
      <c r="O105" s="402"/>
      <c r="P105" s="402"/>
      <c r="Q105" s="402"/>
      <c r="R105" s="402"/>
      <c r="S105" s="402"/>
      <c r="T105" s="402"/>
      <c r="U105" s="402"/>
      <c r="V105" s="402"/>
      <c r="W105" s="402"/>
      <c r="X105" s="402"/>
      <c r="Y105" s="402"/>
      <c r="Z105" s="402"/>
      <c r="AA105" s="405"/>
      <c r="AB105" s="405"/>
    </row>
    <row r="106" ht="14.25" customHeight="1">
      <c r="A106" s="406">
        <v>45503.0</v>
      </c>
      <c r="B106" s="349" t="s">
        <v>4573</v>
      </c>
      <c r="C106" s="349" t="s">
        <v>4574</v>
      </c>
      <c r="D106" s="349" t="s">
        <v>439</v>
      </c>
      <c r="E106" s="349" t="s">
        <v>4583</v>
      </c>
      <c r="F106" s="413">
        <v>25000.0</v>
      </c>
      <c r="G106" s="349">
        <v>0.0</v>
      </c>
      <c r="H106" s="404" t="str">
        <f t="shared" si="8"/>
        <v>NOT PAID</v>
      </c>
      <c r="I106" s="349" t="s">
        <v>4570</v>
      </c>
      <c r="J106" s="402"/>
      <c r="K106" s="402"/>
      <c r="L106" s="402"/>
      <c r="M106" s="402"/>
      <c r="N106" s="402"/>
      <c r="O106" s="402"/>
      <c r="P106" s="402"/>
      <c r="Q106" s="402"/>
      <c r="R106" s="402"/>
      <c r="S106" s="402"/>
      <c r="T106" s="402"/>
      <c r="U106" s="402"/>
      <c r="V106" s="402"/>
      <c r="W106" s="402"/>
      <c r="X106" s="402"/>
      <c r="Y106" s="402"/>
      <c r="Z106" s="402"/>
      <c r="AA106" s="405"/>
      <c r="AB106" s="405"/>
    </row>
    <row r="107" ht="14.25" customHeight="1">
      <c r="A107" s="406">
        <v>45503.0</v>
      </c>
      <c r="B107" s="349" t="s">
        <v>4575</v>
      </c>
      <c r="C107" s="512" t="s">
        <v>4576</v>
      </c>
      <c r="D107" s="349" t="s">
        <v>439</v>
      </c>
      <c r="E107" s="349" t="s">
        <v>4583</v>
      </c>
      <c r="F107" s="413">
        <v>8000.0</v>
      </c>
      <c r="G107" s="349">
        <v>0.0</v>
      </c>
      <c r="H107" s="404" t="str">
        <f t="shared" si="8"/>
        <v>NOT PAID</v>
      </c>
      <c r="I107" s="349" t="s">
        <v>4570</v>
      </c>
      <c r="J107" s="402"/>
      <c r="K107" s="402"/>
      <c r="L107" s="402"/>
      <c r="M107" s="402"/>
      <c r="N107" s="402"/>
      <c r="O107" s="402"/>
      <c r="P107" s="402"/>
      <c r="Q107" s="402"/>
      <c r="R107" s="402"/>
      <c r="S107" s="402"/>
      <c r="T107" s="402"/>
      <c r="U107" s="402"/>
      <c r="V107" s="402"/>
      <c r="W107" s="402"/>
      <c r="X107" s="402"/>
      <c r="Y107" s="402"/>
      <c r="Z107" s="402"/>
      <c r="AA107" s="405"/>
      <c r="AB107" s="405"/>
    </row>
    <row r="108" ht="14.25" customHeight="1">
      <c r="A108" s="584"/>
      <c r="B108" s="424"/>
      <c r="C108" s="424"/>
      <c r="D108" s="424"/>
      <c r="E108" s="424" t="s">
        <v>23</v>
      </c>
      <c r="F108" s="787">
        <v>330294.0</v>
      </c>
      <c r="G108" s="584"/>
      <c r="H108" s="404"/>
      <c r="I108" s="349"/>
      <c r="J108" s="584"/>
      <c r="K108" s="584"/>
      <c r="L108" s="584"/>
      <c r="M108" s="584"/>
      <c r="N108" s="584"/>
      <c r="O108" s="584"/>
      <c r="P108" s="584"/>
      <c r="Q108" s="584"/>
      <c r="R108" s="584"/>
      <c r="S108" s="584"/>
      <c r="T108" s="584"/>
      <c r="U108" s="584"/>
      <c r="V108" s="584"/>
      <c r="W108" s="584"/>
      <c r="X108" s="584"/>
      <c r="Y108" s="584"/>
      <c r="Z108" s="584"/>
      <c r="AA108" s="659"/>
      <c r="AB108" s="659"/>
    </row>
    <row r="109" ht="14.25" customHeight="1">
      <c r="A109" s="402"/>
      <c r="B109" s="402"/>
      <c r="C109" s="402"/>
      <c r="D109" s="402"/>
      <c r="E109" s="402"/>
      <c r="F109" s="403"/>
      <c r="G109" s="402"/>
      <c r="H109" s="404"/>
      <c r="I109" s="349"/>
      <c r="J109" s="402"/>
      <c r="K109" s="402"/>
      <c r="L109" s="402"/>
      <c r="M109" s="402"/>
      <c r="N109" s="402"/>
      <c r="O109" s="402"/>
      <c r="P109" s="402"/>
      <c r="Q109" s="402"/>
      <c r="R109" s="402"/>
      <c r="S109" s="402"/>
      <c r="T109" s="402"/>
      <c r="U109" s="402"/>
      <c r="V109" s="402"/>
      <c r="W109" s="402"/>
      <c r="X109" s="402"/>
      <c r="Y109" s="402"/>
      <c r="Z109" s="402"/>
      <c r="AA109" s="405"/>
      <c r="AB109" s="405"/>
    </row>
    <row r="110" ht="14.25" customHeight="1">
      <c r="A110" s="402"/>
      <c r="B110" s="402"/>
      <c r="C110" s="402"/>
      <c r="D110" s="402"/>
      <c r="E110" s="402"/>
      <c r="F110" s="403"/>
      <c r="G110" s="402"/>
      <c r="H110" s="404"/>
      <c r="I110" s="402"/>
      <c r="J110" s="402"/>
      <c r="K110" s="402"/>
      <c r="L110" s="402"/>
      <c r="M110" s="402"/>
      <c r="N110" s="402"/>
      <c r="O110" s="402"/>
      <c r="P110" s="402"/>
      <c r="Q110" s="402"/>
      <c r="R110" s="402"/>
      <c r="S110" s="402"/>
      <c r="T110" s="402"/>
      <c r="U110" s="402"/>
      <c r="V110" s="402"/>
      <c r="W110" s="402"/>
      <c r="X110" s="402"/>
      <c r="Y110" s="402"/>
      <c r="Z110" s="402"/>
      <c r="AA110" s="405"/>
      <c r="AB110" s="405"/>
    </row>
    <row r="111" ht="14.25" customHeight="1">
      <c r="A111" s="406">
        <v>45504.0</v>
      </c>
      <c r="B111" s="349" t="s">
        <v>4550</v>
      </c>
      <c r="C111" s="349" t="s">
        <v>4551</v>
      </c>
      <c r="D111" s="349" t="s">
        <v>439</v>
      </c>
      <c r="E111" s="349" t="s">
        <v>4552</v>
      </c>
      <c r="F111" s="413">
        <v>41040.0</v>
      </c>
      <c r="G111" s="402"/>
      <c r="H111" s="404" t="str">
        <f t="shared" ref="H111:H120" si="9">IF(G111&gt;=F111,"FULLY PAID",IF(G111=0,"NOT PAID","PARTIALLY PAID"))</f>
        <v>NOT PAID</v>
      </c>
      <c r="I111" s="349" t="s">
        <v>4553</v>
      </c>
      <c r="J111" s="402"/>
      <c r="K111" s="402"/>
      <c r="L111" s="402"/>
      <c r="M111" s="402"/>
      <c r="N111" s="402"/>
      <c r="O111" s="402"/>
      <c r="P111" s="402"/>
      <c r="Q111" s="402"/>
      <c r="R111" s="402"/>
      <c r="S111" s="402"/>
      <c r="T111" s="402"/>
      <c r="U111" s="402"/>
      <c r="V111" s="402"/>
      <c r="W111" s="402"/>
      <c r="X111" s="402"/>
      <c r="Y111" s="402"/>
      <c r="Z111" s="402"/>
      <c r="AA111" s="405"/>
      <c r="AB111" s="405"/>
    </row>
    <row r="112" ht="14.25" customHeight="1">
      <c r="A112" s="406">
        <v>45504.0</v>
      </c>
      <c r="B112" s="349" t="s">
        <v>4554</v>
      </c>
      <c r="C112" s="349" t="s">
        <v>4555</v>
      </c>
      <c r="D112" s="349" t="s">
        <v>439</v>
      </c>
      <c r="E112" s="349" t="s">
        <v>4552</v>
      </c>
      <c r="F112" s="413">
        <v>30393.0</v>
      </c>
      <c r="G112" s="402"/>
      <c r="H112" s="404" t="str">
        <f t="shared" si="9"/>
        <v>NOT PAID</v>
      </c>
      <c r="I112" s="349" t="s">
        <v>4553</v>
      </c>
      <c r="J112" s="402"/>
      <c r="K112" s="402"/>
      <c r="L112" s="402"/>
      <c r="M112" s="402"/>
      <c r="N112" s="402"/>
      <c r="O112" s="402"/>
      <c r="P112" s="402"/>
      <c r="Q112" s="402"/>
      <c r="R112" s="402"/>
      <c r="S112" s="402"/>
      <c r="T112" s="402"/>
      <c r="U112" s="402"/>
      <c r="V112" s="402"/>
      <c r="W112" s="402"/>
      <c r="X112" s="402"/>
      <c r="Y112" s="402"/>
      <c r="Z112" s="402"/>
      <c r="AA112" s="405"/>
      <c r="AB112" s="405"/>
    </row>
    <row r="113" ht="14.25" customHeight="1">
      <c r="A113" s="406">
        <v>45504.0</v>
      </c>
      <c r="B113" s="349" t="s">
        <v>4587</v>
      </c>
      <c r="C113" s="349" t="s">
        <v>4585</v>
      </c>
      <c r="D113" s="349" t="s">
        <v>439</v>
      </c>
      <c r="E113" s="349" t="s">
        <v>4586</v>
      </c>
      <c r="F113" s="413">
        <v>14320.0</v>
      </c>
      <c r="G113" s="402"/>
      <c r="H113" s="404" t="str">
        <f t="shared" si="9"/>
        <v>NOT PAID</v>
      </c>
      <c r="I113" s="349" t="s">
        <v>4553</v>
      </c>
      <c r="J113" s="402"/>
      <c r="K113" s="402"/>
      <c r="L113" s="402"/>
      <c r="M113" s="402"/>
      <c r="N113" s="402"/>
      <c r="O113" s="402"/>
      <c r="P113" s="402"/>
      <c r="Q113" s="402"/>
      <c r="R113" s="402"/>
      <c r="S113" s="402"/>
      <c r="T113" s="402"/>
      <c r="U113" s="402"/>
      <c r="V113" s="402"/>
      <c r="W113" s="402"/>
      <c r="X113" s="402"/>
      <c r="Y113" s="402"/>
      <c r="Z113" s="402"/>
      <c r="AA113" s="405"/>
      <c r="AB113" s="405"/>
    </row>
    <row r="114" ht="14.25" customHeight="1">
      <c r="A114" s="406">
        <v>45504.0</v>
      </c>
      <c r="B114" s="349" t="s">
        <v>4577</v>
      </c>
      <c r="C114" s="349" t="s">
        <v>4578</v>
      </c>
      <c r="D114" s="349" t="s">
        <v>439</v>
      </c>
      <c r="E114" s="349" t="s">
        <v>4552</v>
      </c>
      <c r="F114" s="413">
        <v>48237.0</v>
      </c>
      <c r="G114" s="683">
        <v>10000.0</v>
      </c>
      <c r="H114" s="404" t="str">
        <f t="shared" si="9"/>
        <v>PARTIALLY PAID</v>
      </c>
      <c r="I114" s="349" t="s">
        <v>4561</v>
      </c>
      <c r="J114" s="402"/>
      <c r="K114" s="402"/>
      <c r="L114" s="402"/>
      <c r="M114" s="402"/>
      <c r="N114" s="402"/>
      <c r="O114" s="402"/>
      <c r="P114" s="402"/>
      <c r="Q114" s="402"/>
      <c r="R114" s="402"/>
      <c r="S114" s="402"/>
      <c r="T114" s="402"/>
      <c r="U114" s="402"/>
      <c r="V114" s="402"/>
      <c r="W114" s="402"/>
      <c r="X114" s="402"/>
      <c r="Y114" s="402"/>
      <c r="Z114" s="402"/>
      <c r="AA114" s="405"/>
      <c r="AB114" s="405"/>
    </row>
    <row r="115" ht="14.25" customHeight="1">
      <c r="A115" s="406">
        <v>45504.0</v>
      </c>
      <c r="B115" s="349" t="s">
        <v>4579</v>
      </c>
      <c r="C115" s="349" t="s">
        <v>4580</v>
      </c>
      <c r="D115" s="349" t="s">
        <v>439</v>
      </c>
      <c r="E115" s="349" t="s">
        <v>4552</v>
      </c>
      <c r="F115" s="413">
        <v>77037.0</v>
      </c>
      <c r="G115" s="402"/>
      <c r="H115" s="404" t="str">
        <f t="shared" si="9"/>
        <v>NOT PAID</v>
      </c>
      <c r="I115" s="349" t="s">
        <v>4553</v>
      </c>
      <c r="J115" s="402"/>
      <c r="K115" s="402"/>
      <c r="L115" s="402"/>
      <c r="M115" s="402"/>
      <c r="N115" s="402"/>
      <c r="O115" s="402"/>
      <c r="P115" s="402"/>
      <c r="Q115" s="402"/>
      <c r="R115" s="402"/>
      <c r="S115" s="402"/>
      <c r="T115" s="402"/>
      <c r="U115" s="402"/>
      <c r="V115" s="402"/>
      <c r="W115" s="402"/>
      <c r="X115" s="402"/>
      <c r="Y115" s="402"/>
      <c r="Z115" s="402"/>
      <c r="AA115" s="405"/>
      <c r="AB115" s="405"/>
    </row>
    <row r="116" ht="14.25" customHeight="1">
      <c r="A116" s="406">
        <v>45504.0</v>
      </c>
      <c r="B116" s="349" t="s">
        <v>4565</v>
      </c>
      <c r="C116" s="349" t="s">
        <v>4566</v>
      </c>
      <c r="D116" s="349" t="s">
        <v>439</v>
      </c>
      <c r="E116" s="349" t="s">
        <v>4552</v>
      </c>
      <c r="F116" s="413">
        <v>3168.0</v>
      </c>
      <c r="G116" s="402"/>
      <c r="H116" s="404" t="str">
        <f t="shared" si="9"/>
        <v>NOT PAID</v>
      </c>
      <c r="I116" s="349" t="s">
        <v>4567</v>
      </c>
      <c r="J116" s="402"/>
      <c r="K116" s="402"/>
      <c r="L116" s="402"/>
      <c r="M116" s="402"/>
      <c r="N116" s="402"/>
      <c r="O116" s="402"/>
      <c r="P116" s="402"/>
      <c r="Q116" s="402"/>
      <c r="R116" s="402"/>
      <c r="S116" s="402"/>
      <c r="T116" s="402"/>
      <c r="U116" s="402"/>
      <c r="V116" s="402"/>
      <c r="W116" s="402"/>
      <c r="X116" s="402"/>
      <c r="Y116" s="402"/>
      <c r="Z116" s="402"/>
      <c r="AA116" s="405"/>
      <c r="AB116" s="405"/>
    </row>
    <row r="117" ht="14.25" customHeight="1">
      <c r="A117" s="406">
        <v>45504.0</v>
      </c>
      <c r="B117" s="349" t="s">
        <v>4568</v>
      </c>
      <c r="C117" s="349" t="s">
        <v>4569</v>
      </c>
      <c r="D117" s="349" t="s">
        <v>75</v>
      </c>
      <c r="E117" s="349" t="s">
        <v>4552</v>
      </c>
      <c r="F117" s="413">
        <v>8251.0</v>
      </c>
      <c r="G117" s="683">
        <v>20000.0</v>
      </c>
      <c r="H117" s="404" t="str">
        <f t="shared" si="9"/>
        <v>FULLY PAID</v>
      </c>
      <c r="I117" s="402"/>
      <c r="J117" s="402"/>
      <c r="K117" s="402"/>
      <c r="L117" s="402"/>
      <c r="M117" s="402"/>
      <c r="N117" s="402"/>
      <c r="O117" s="402"/>
      <c r="P117" s="402"/>
      <c r="Q117" s="402"/>
      <c r="R117" s="402"/>
      <c r="S117" s="402"/>
      <c r="T117" s="402"/>
      <c r="U117" s="402"/>
      <c r="V117" s="402"/>
      <c r="W117" s="402"/>
      <c r="X117" s="402"/>
      <c r="Y117" s="402"/>
      <c r="Z117" s="402"/>
      <c r="AA117" s="405"/>
      <c r="AB117" s="405"/>
    </row>
    <row r="118" ht="14.25" customHeight="1">
      <c r="A118" s="406">
        <v>45504.0</v>
      </c>
      <c r="B118" s="349" t="s">
        <v>4571</v>
      </c>
      <c r="C118" s="349" t="s">
        <v>4572</v>
      </c>
      <c r="D118" s="349" t="s">
        <v>439</v>
      </c>
      <c r="E118" s="349" t="s">
        <v>4583</v>
      </c>
      <c r="F118" s="413">
        <v>23798.0</v>
      </c>
      <c r="G118" s="402"/>
      <c r="H118" s="404" t="str">
        <f t="shared" si="9"/>
        <v>NOT PAID</v>
      </c>
      <c r="I118" s="349" t="s">
        <v>4570</v>
      </c>
      <c r="J118" s="402"/>
      <c r="K118" s="402"/>
      <c r="L118" s="402"/>
      <c r="M118" s="402"/>
      <c r="N118" s="402"/>
      <c r="O118" s="402"/>
      <c r="P118" s="402"/>
      <c r="Q118" s="402"/>
      <c r="R118" s="402"/>
      <c r="S118" s="402"/>
      <c r="T118" s="402"/>
      <c r="U118" s="402"/>
      <c r="V118" s="402"/>
      <c r="W118" s="402"/>
      <c r="X118" s="402"/>
      <c r="Y118" s="402"/>
      <c r="Z118" s="402"/>
      <c r="AA118" s="405"/>
      <c r="AB118" s="405"/>
    </row>
    <row r="119" ht="14.25" customHeight="1">
      <c r="A119" s="406">
        <v>45504.0</v>
      </c>
      <c r="B119" s="349" t="s">
        <v>4573</v>
      </c>
      <c r="C119" s="349" t="s">
        <v>4574</v>
      </c>
      <c r="D119" s="349" t="s">
        <v>439</v>
      </c>
      <c r="E119" s="349" t="s">
        <v>4583</v>
      </c>
      <c r="F119" s="413">
        <v>25000.0</v>
      </c>
      <c r="G119" s="402"/>
      <c r="H119" s="404" t="str">
        <f t="shared" si="9"/>
        <v>NOT PAID</v>
      </c>
      <c r="I119" s="349" t="s">
        <v>4570</v>
      </c>
      <c r="J119" s="402"/>
      <c r="K119" s="402"/>
      <c r="L119" s="402"/>
      <c r="M119" s="402"/>
      <c r="N119" s="402"/>
      <c r="O119" s="402"/>
      <c r="P119" s="402"/>
      <c r="Q119" s="402"/>
      <c r="R119" s="402"/>
      <c r="S119" s="402"/>
      <c r="T119" s="402"/>
      <c r="U119" s="402"/>
      <c r="V119" s="402"/>
      <c r="W119" s="402"/>
      <c r="X119" s="402"/>
      <c r="Y119" s="402"/>
      <c r="Z119" s="402"/>
      <c r="AA119" s="405"/>
      <c r="AB119" s="405"/>
    </row>
    <row r="120" ht="14.25" customHeight="1">
      <c r="A120" s="406">
        <v>45504.0</v>
      </c>
      <c r="B120" s="349" t="s">
        <v>4575</v>
      </c>
      <c r="C120" s="512" t="s">
        <v>4576</v>
      </c>
      <c r="D120" s="349" t="s">
        <v>439</v>
      </c>
      <c r="E120" s="349" t="s">
        <v>4583</v>
      </c>
      <c r="F120" s="413">
        <v>8000.0</v>
      </c>
      <c r="G120" s="402"/>
      <c r="H120" s="404" t="str">
        <f t="shared" si="9"/>
        <v>NOT PAID</v>
      </c>
      <c r="I120" s="349" t="s">
        <v>4570</v>
      </c>
      <c r="J120" s="402"/>
      <c r="K120" s="402"/>
      <c r="L120" s="402"/>
      <c r="M120" s="402"/>
      <c r="N120" s="402"/>
      <c r="O120" s="402"/>
      <c r="P120" s="402"/>
      <c r="Q120" s="402"/>
      <c r="R120" s="402"/>
      <c r="S120" s="402"/>
      <c r="T120" s="402"/>
      <c r="U120" s="402"/>
      <c r="V120" s="402"/>
      <c r="W120" s="402"/>
      <c r="X120" s="402"/>
      <c r="Y120" s="402"/>
      <c r="Z120" s="402"/>
      <c r="AA120" s="405"/>
      <c r="AB120" s="405"/>
    </row>
    <row r="121" ht="14.25" customHeight="1">
      <c r="A121" s="584"/>
      <c r="B121" s="584"/>
      <c r="C121" s="584"/>
      <c r="D121" s="584"/>
      <c r="E121" s="424" t="s">
        <v>23</v>
      </c>
      <c r="F121" s="787">
        <v>279244.0</v>
      </c>
      <c r="G121" s="584"/>
      <c r="H121" s="404"/>
      <c r="I121" s="584"/>
      <c r="J121" s="584"/>
      <c r="K121" s="584"/>
      <c r="L121" s="584"/>
      <c r="M121" s="584"/>
      <c r="N121" s="584"/>
      <c r="O121" s="584"/>
      <c r="P121" s="584"/>
      <c r="Q121" s="584"/>
      <c r="R121" s="584"/>
      <c r="S121" s="584"/>
      <c r="T121" s="584"/>
      <c r="U121" s="584"/>
      <c r="V121" s="584"/>
      <c r="W121" s="584"/>
      <c r="X121" s="584"/>
      <c r="Y121" s="584"/>
      <c r="Z121" s="584"/>
      <c r="AA121" s="659"/>
      <c r="AB121" s="659"/>
    </row>
    <row r="122" ht="14.25" customHeight="1">
      <c r="A122" s="402"/>
      <c r="B122" s="402"/>
      <c r="C122" s="402"/>
      <c r="D122" s="402"/>
      <c r="E122" s="402"/>
      <c r="F122" s="403"/>
      <c r="G122" s="402"/>
      <c r="H122" s="404"/>
      <c r="I122" s="402"/>
      <c r="J122" s="402"/>
      <c r="K122" s="402"/>
      <c r="L122" s="402"/>
      <c r="M122" s="402"/>
      <c r="N122" s="402"/>
      <c r="O122" s="402"/>
      <c r="P122" s="402"/>
      <c r="Q122" s="402"/>
      <c r="R122" s="402"/>
      <c r="S122" s="402"/>
      <c r="T122" s="402"/>
      <c r="U122" s="402"/>
      <c r="V122" s="402"/>
      <c r="W122" s="402"/>
      <c r="X122" s="402"/>
      <c r="Y122" s="402"/>
      <c r="Z122" s="402"/>
      <c r="AA122" s="405"/>
      <c r="AB122" s="405"/>
    </row>
    <row r="123" ht="14.25" customHeight="1">
      <c r="A123" s="402"/>
      <c r="B123" s="402"/>
      <c r="C123" s="402"/>
      <c r="D123" s="402"/>
      <c r="E123" s="402"/>
      <c r="F123" s="403"/>
      <c r="G123" s="402"/>
      <c r="H123" s="404"/>
      <c r="I123" s="402"/>
      <c r="J123" s="402"/>
      <c r="K123" s="402"/>
      <c r="L123" s="402"/>
      <c r="M123" s="402"/>
      <c r="N123" s="402"/>
      <c r="O123" s="402"/>
      <c r="P123" s="402"/>
      <c r="Q123" s="402"/>
      <c r="R123" s="402"/>
      <c r="S123" s="402"/>
      <c r="T123" s="402"/>
      <c r="U123" s="402"/>
      <c r="V123" s="402"/>
      <c r="W123" s="402"/>
      <c r="X123" s="402"/>
      <c r="Y123" s="402"/>
      <c r="Z123" s="402"/>
      <c r="AA123" s="405"/>
      <c r="AB123" s="405"/>
    </row>
    <row r="124" ht="14.25" customHeight="1">
      <c r="A124" s="406">
        <v>45505.0</v>
      </c>
      <c r="B124" s="349" t="s">
        <v>4550</v>
      </c>
      <c r="C124" s="349" t="s">
        <v>4551</v>
      </c>
      <c r="D124" s="349" t="s">
        <v>439</v>
      </c>
      <c r="E124" s="349" t="s">
        <v>4552</v>
      </c>
      <c r="F124" s="413">
        <v>41040.0</v>
      </c>
      <c r="G124" s="349">
        <v>0.0</v>
      </c>
      <c r="H124" s="404" t="str">
        <f t="shared" ref="H124:H183" si="10">IF(G124&gt;=F124,"FULLY PAID",IF(G124=0,"NOT PAID","PARTIALLY PAID"))</f>
        <v>NOT PAID</v>
      </c>
      <c r="I124" s="349" t="s">
        <v>4553</v>
      </c>
      <c r="J124" s="402"/>
      <c r="K124" s="402"/>
      <c r="L124" s="402"/>
      <c r="M124" s="402"/>
      <c r="N124" s="402"/>
      <c r="O124" s="402"/>
      <c r="P124" s="402"/>
      <c r="Q124" s="402"/>
      <c r="R124" s="402"/>
      <c r="S124" s="402"/>
      <c r="T124" s="402"/>
      <c r="U124" s="402"/>
      <c r="V124" s="402"/>
      <c r="W124" s="402"/>
      <c r="X124" s="402"/>
      <c r="Y124" s="402"/>
      <c r="Z124" s="402"/>
      <c r="AA124" s="405"/>
      <c r="AB124" s="405"/>
    </row>
    <row r="125" ht="14.25" customHeight="1">
      <c r="A125" s="406">
        <v>45505.0</v>
      </c>
      <c r="B125" s="349" t="s">
        <v>4554</v>
      </c>
      <c r="C125" s="349" t="s">
        <v>4555</v>
      </c>
      <c r="D125" s="349" t="s">
        <v>439</v>
      </c>
      <c r="E125" s="349" t="s">
        <v>4552</v>
      </c>
      <c r="F125" s="413">
        <v>30393.0</v>
      </c>
      <c r="G125" s="349">
        <v>0.0</v>
      </c>
      <c r="H125" s="404" t="str">
        <f t="shared" si="10"/>
        <v>NOT PAID</v>
      </c>
      <c r="I125" s="349" t="s">
        <v>4553</v>
      </c>
      <c r="J125" s="402"/>
      <c r="K125" s="402"/>
      <c r="L125" s="402"/>
      <c r="M125" s="402"/>
      <c r="N125" s="402"/>
      <c r="O125" s="402"/>
      <c r="P125" s="402"/>
      <c r="Q125" s="402"/>
      <c r="R125" s="402"/>
      <c r="S125" s="402"/>
      <c r="T125" s="402"/>
      <c r="U125" s="402"/>
      <c r="V125" s="402"/>
      <c r="W125" s="402"/>
      <c r="X125" s="402"/>
      <c r="Y125" s="402"/>
      <c r="Z125" s="402"/>
      <c r="AA125" s="405"/>
      <c r="AB125" s="405"/>
    </row>
    <row r="126" ht="14.25" customHeight="1">
      <c r="A126" s="406">
        <v>45505.0</v>
      </c>
      <c r="B126" s="349" t="s">
        <v>4587</v>
      </c>
      <c r="C126" s="349" t="s">
        <v>4585</v>
      </c>
      <c r="D126" s="349" t="s">
        <v>439</v>
      </c>
      <c r="E126" s="349" t="s">
        <v>4586</v>
      </c>
      <c r="F126" s="413">
        <v>14320.0</v>
      </c>
      <c r="G126" s="349">
        <v>0.0</v>
      </c>
      <c r="H126" s="404" t="str">
        <f t="shared" si="10"/>
        <v>NOT PAID</v>
      </c>
      <c r="I126" s="349" t="s">
        <v>4553</v>
      </c>
      <c r="J126" s="402"/>
      <c r="K126" s="402"/>
      <c r="L126" s="402"/>
      <c r="M126" s="402"/>
      <c r="N126" s="402"/>
      <c r="O126" s="402"/>
      <c r="P126" s="402"/>
      <c r="Q126" s="402"/>
      <c r="R126" s="402"/>
      <c r="S126" s="402"/>
      <c r="T126" s="402"/>
      <c r="U126" s="402"/>
      <c r="V126" s="402"/>
      <c r="W126" s="402"/>
      <c r="X126" s="402"/>
      <c r="Y126" s="402"/>
      <c r="Z126" s="402"/>
      <c r="AA126" s="405"/>
      <c r="AB126" s="405"/>
    </row>
    <row r="127" ht="14.25" customHeight="1">
      <c r="A127" s="406">
        <v>45505.0</v>
      </c>
      <c r="B127" s="349" t="s">
        <v>4577</v>
      </c>
      <c r="C127" s="349" t="s">
        <v>4578</v>
      </c>
      <c r="D127" s="349" t="s">
        <v>439</v>
      </c>
      <c r="E127" s="349" t="s">
        <v>4552</v>
      </c>
      <c r="F127" s="413">
        <v>39000.0</v>
      </c>
      <c r="G127" s="349">
        <v>0.0</v>
      </c>
      <c r="H127" s="404" t="str">
        <f t="shared" si="10"/>
        <v>NOT PAID</v>
      </c>
      <c r="I127" s="349" t="s">
        <v>4561</v>
      </c>
      <c r="J127" s="402"/>
      <c r="K127" s="402"/>
      <c r="L127" s="402"/>
      <c r="M127" s="402"/>
      <c r="N127" s="402"/>
      <c r="O127" s="402"/>
      <c r="P127" s="402"/>
      <c r="Q127" s="402"/>
      <c r="R127" s="402"/>
      <c r="S127" s="402"/>
      <c r="T127" s="402"/>
      <c r="U127" s="402"/>
      <c r="V127" s="402"/>
      <c r="W127" s="402"/>
      <c r="X127" s="402"/>
      <c r="Y127" s="402"/>
      <c r="Z127" s="402"/>
      <c r="AA127" s="405"/>
      <c r="AB127" s="405"/>
    </row>
    <row r="128" ht="14.25" customHeight="1">
      <c r="A128" s="406">
        <v>45505.0</v>
      </c>
      <c r="B128" s="349" t="s">
        <v>4579</v>
      </c>
      <c r="C128" s="349" t="s">
        <v>4580</v>
      </c>
      <c r="D128" s="349" t="s">
        <v>439</v>
      </c>
      <c r="E128" s="349" t="s">
        <v>4552</v>
      </c>
      <c r="F128" s="413">
        <v>77037.0</v>
      </c>
      <c r="G128" s="349">
        <v>0.0</v>
      </c>
      <c r="H128" s="404" t="str">
        <f t="shared" si="10"/>
        <v>NOT PAID</v>
      </c>
      <c r="I128" s="349" t="s">
        <v>4553</v>
      </c>
      <c r="J128" s="402"/>
      <c r="K128" s="402"/>
      <c r="L128" s="402"/>
      <c r="M128" s="402"/>
      <c r="N128" s="402"/>
      <c r="O128" s="402"/>
      <c r="P128" s="402"/>
      <c r="Q128" s="402"/>
      <c r="R128" s="402"/>
      <c r="S128" s="402"/>
      <c r="T128" s="402"/>
      <c r="U128" s="402"/>
      <c r="V128" s="402"/>
      <c r="W128" s="402"/>
      <c r="X128" s="402"/>
      <c r="Y128" s="402"/>
      <c r="Z128" s="402"/>
      <c r="AA128" s="405"/>
      <c r="AB128" s="405"/>
    </row>
    <row r="129" ht="14.25" customHeight="1">
      <c r="A129" s="406">
        <v>45505.0</v>
      </c>
      <c r="B129" s="349" t="s">
        <v>4565</v>
      </c>
      <c r="C129" s="349" t="s">
        <v>4566</v>
      </c>
      <c r="D129" s="349" t="s">
        <v>439</v>
      </c>
      <c r="E129" s="349" t="s">
        <v>4552</v>
      </c>
      <c r="F129" s="413">
        <v>3168.0</v>
      </c>
      <c r="G129" s="349">
        <v>0.0</v>
      </c>
      <c r="H129" s="404" t="str">
        <f t="shared" si="10"/>
        <v>NOT PAID</v>
      </c>
      <c r="I129" s="349" t="s">
        <v>4588</v>
      </c>
      <c r="J129" s="402"/>
      <c r="K129" s="402"/>
      <c r="L129" s="402"/>
      <c r="M129" s="402"/>
      <c r="N129" s="402"/>
      <c r="O129" s="402"/>
      <c r="P129" s="402"/>
      <c r="Q129" s="402"/>
      <c r="R129" s="402"/>
      <c r="S129" s="402"/>
      <c r="T129" s="402"/>
      <c r="U129" s="402"/>
      <c r="V129" s="402"/>
      <c r="W129" s="402"/>
      <c r="X129" s="402"/>
      <c r="Y129" s="402"/>
      <c r="Z129" s="402"/>
      <c r="AA129" s="405"/>
      <c r="AB129" s="405"/>
    </row>
    <row r="130" ht="14.25" customHeight="1">
      <c r="A130" s="406">
        <v>45505.0</v>
      </c>
      <c r="B130" s="836" t="s">
        <v>4575</v>
      </c>
      <c r="C130" s="837" t="s">
        <v>4576</v>
      </c>
      <c r="D130" s="408" t="s">
        <v>439</v>
      </c>
      <c r="E130" s="408" t="s">
        <v>4583</v>
      </c>
      <c r="F130" s="428">
        <v>8000.0</v>
      </c>
      <c r="G130" s="349">
        <v>0.0</v>
      </c>
      <c r="H130" s="404" t="str">
        <f t="shared" si="10"/>
        <v>NOT PAID</v>
      </c>
      <c r="I130" s="349" t="s">
        <v>4570</v>
      </c>
      <c r="J130" s="402"/>
      <c r="K130" s="402"/>
      <c r="L130" s="402"/>
      <c r="M130" s="418"/>
      <c r="N130" s="418"/>
      <c r="O130" s="418"/>
      <c r="P130" s="418"/>
      <c r="Q130" s="418"/>
      <c r="R130" s="418"/>
      <c r="S130" s="418"/>
      <c r="T130" s="418"/>
      <c r="U130" s="418"/>
      <c r="V130" s="418"/>
      <c r="W130" s="418"/>
      <c r="X130" s="418"/>
      <c r="Y130" s="418"/>
      <c r="Z130" s="418"/>
      <c r="AA130" s="402"/>
      <c r="AB130" s="405"/>
    </row>
    <row r="131" ht="14.25" customHeight="1">
      <c r="A131" s="406">
        <v>45505.0</v>
      </c>
      <c r="B131" s="349" t="s">
        <v>4571</v>
      </c>
      <c r="C131" s="349" t="s">
        <v>4572</v>
      </c>
      <c r="D131" s="349" t="s">
        <v>439</v>
      </c>
      <c r="E131" s="349" t="s">
        <v>4583</v>
      </c>
      <c r="F131" s="413">
        <v>23798.0</v>
      </c>
      <c r="G131" s="349">
        <v>0.0</v>
      </c>
      <c r="H131" s="404" t="str">
        <f t="shared" si="10"/>
        <v>NOT PAID</v>
      </c>
      <c r="I131" s="349" t="s">
        <v>4570</v>
      </c>
      <c r="J131" s="402"/>
      <c r="K131" s="402"/>
      <c r="L131" s="402"/>
      <c r="M131" s="402"/>
      <c r="N131" s="402"/>
      <c r="O131" s="402"/>
      <c r="P131" s="402"/>
      <c r="Q131" s="402"/>
      <c r="R131" s="402"/>
      <c r="S131" s="402"/>
      <c r="T131" s="402"/>
      <c r="U131" s="402"/>
      <c r="V131" s="402"/>
      <c r="W131" s="402"/>
      <c r="X131" s="402"/>
      <c r="Y131" s="402"/>
      <c r="Z131" s="402"/>
      <c r="AA131" s="405"/>
      <c r="AB131" s="405"/>
    </row>
    <row r="132" ht="14.25" customHeight="1">
      <c r="A132" s="406">
        <v>45505.0</v>
      </c>
      <c r="B132" s="349" t="s">
        <v>4573</v>
      </c>
      <c r="C132" s="349" t="s">
        <v>4574</v>
      </c>
      <c r="D132" s="349" t="s">
        <v>439</v>
      </c>
      <c r="E132" s="349" t="s">
        <v>4583</v>
      </c>
      <c r="F132" s="413">
        <v>25000.0</v>
      </c>
      <c r="G132" s="349">
        <v>0.0</v>
      </c>
      <c r="H132" s="404" t="str">
        <f t="shared" si="10"/>
        <v>NOT PAID</v>
      </c>
      <c r="I132" s="349" t="s">
        <v>4570</v>
      </c>
      <c r="J132" s="402"/>
      <c r="K132" s="402"/>
      <c r="L132" s="402"/>
      <c r="M132" s="402"/>
      <c r="N132" s="402"/>
      <c r="O132" s="402"/>
      <c r="P132" s="402"/>
      <c r="Q132" s="402"/>
      <c r="R132" s="402"/>
      <c r="S132" s="402"/>
      <c r="T132" s="402"/>
      <c r="U132" s="402"/>
      <c r="V132" s="402"/>
      <c r="W132" s="402"/>
      <c r="X132" s="402"/>
      <c r="Y132" s="402"/>
      <c r="Z132" s="402"/>
      <c r="AA132" s="405"/>
      <c r="AB132" s="405"/>
    </row>
    <row r="133" ht="14.25" customHeight="1">
      <c r="A133" s="401"/>
      <c r="B133" s="424"/>
      <c r="C133" s="838"/>
      <c r="D133" s="424"/>
      <c r="E133" s="424" t="s">
        <v>23</v>
      </c>
      <c r="F133" s="787">
        <v>261756.0</v>
      </c>
      <c r="G133" s="584"/>
      <c r="H133" s="404" t="str">
        <f t="shared" si="10"/>
        <v>NOT PAID</v>
      </c>
      <c r="I133" s="584"/>
      <c r="J133" s="584"/>
      <c r="K133" s="584"/>
      <c r="L133" s="584"/>
      <c r="M133" s="584"/>
      <c r="N133" s="584"/>
      <c r="O133" s="584"/>
      <c r="P133" s="584"/>
      <c r="Q133" s="584"/>
      <c r="R133" s="584"/>
      <c r="S133" s="584"/>
      <c r="T133" s="584"/>
      <c r="U133" s="584"/>
      <c r="V133" s="584"/>
      <c r="W133" s="584"/>
      <c r="X133" s="584"/>
      <c r="Y133" s="584"/>
      <c r="Z133" s="584"/>
      <c r="AA133" s="659"/>
      <c r="AB133" s="659"/>
    </row>
    <row r="134" ht="14.25" customHeight="1">
      <c r="A134" s="402"/>
      <c r="B134" s="402"/>
      <c r="C134" s="402"/>
      <c r="D134" s="402"/>
      <c r="E134" s="402"/>
      <c r="F134" s="403"/>
      <c r="G134" s="402"/>
      <c r="H134" s="404" t="str">
        <f t="shared" si="10"/>
        <v>FULLY PAID</v>
      </c>
      <c r="I134" s="402"/>
      <c r="J134" s="402"/>
      <c r="K134" s="402"/>
      <c r="L134" s="402"/>
      <c r="M134" s="402"/>
      <c r="N134" s="402"/>
      <c r="O134" s="402"/>
      <c r="P134" s="402"/>
      <c r="Q134" s="402"/>
      <c r="R134" s="402"/>
      <c r="S134" s="402"/>
      <c r="T134" s="402"/>
      <c r="U134" s="402"/>
      <c r="V134" s="402"/>
      <c r="W134" s="402"/>
      <c r="X134" s="402"/>
      <c r="Y134" s="402"/>
      <c r="Z134" s="402"/>
      <c r="AA134" s="405"/>
      <c r="AB134" s="405"/>
    </row>
    <row r="135" ht="14.25" customHeight="1">
      <c r="A135" s="406">
        <v>45506.0</v>
      </c>
      <c r="B135" s="349" t="s">
        <v>4550</v>
      </c>
      <c r="C135" s="349" t="s">
        <v>4551</v>
      </c>
      <c r="D135" s="349" t="s">
        <v>439</v>
      </c>
      <c r="E135" s="349" t="s">
        <v>4552</v>
      </c>
      <c r="F135" s="413">
        <v>26322.0</v>
      </c>
      <c r="G135" s="683">
        <v>10000.0</v>
      </c>
      <c r="H135" s="404" t="str">
        <f t="shared" si="10"/>
        <v>PARTIALLY PAID</v>
      </c>
      <c r="I135" s="349" t="s">
        <v>4589</v>
      </c>
      <c r="J135" s="402"/>
      <c r="K135" s="402"/>
      <c r="L135" s="402"/>
      <c r="M135" s="402"/>
      <c r="N135" s="402"/>
      <c r="O135" s="402"/>
      <c r="P135" s="402"/>
      <c r="Q135" s="402"/>
      <c r="R135" s="402"/>
      <c r="S135" s="402"/>
      <c r="T135" s="402"/>
      <c r="U135" s="402"/>
      <c r="V135" s="402"/>
      <c r="W135" s="402"/>
      <c r="X135" s="402"/>
      <c r="Y135" s="402"/>
      <c r="Z135" s="402"/>
      <c r="AA135" s="405"/>
      <c r="AB135" s="405"/>
    </row>
    <row r="136" ht="14.25" customHeight="1">
      <c r="A136" s="406">
        <v>45506.0</v>
      </c>
      <c r="B136" s="349" t="s">
        <v>4554</v>
      </c>
      <c r="C136" s="349" t="s">
        <v>4555</v>
      </c>
      <c r="D136" s="349" t="s">
        <v>439</v>
      </c>
      <c r="E136" s="349" t="s">
        <v>4552</v>
      </c>
      <c r="F136" s="413">
        <v>30393.0</v>
      </c>
      <c r="G136" s="402"/>
      <c r="H136" s="404" t="str">
        <f t="shared" si="10"/>
        <v>NOT PAID</v>
      </c>
      <c r="I136" s="349" t="s">
        <v>4553</v>
      </c>
      <c r="J136" s="402"/>
      <c r="K136" s="402"/>
      <c r="L136" s="402"/>
      <c r="M136" s="402"/>
      <c r="N136" s="402"/>
      <c r="O136" s="402"/>
      <c r="P136" s="402"/>
      <c r="Q136" s="402"/>
      <c r="R136" s="402"/>
      <c r="S136" s="402"/>
      <c r="T136" s="402"/>
      <c r="U136" s="402"/>
      <c r="V136" s="402"/>
      <c r="W136" s="402"/>
      <c r="X136" s="402"/>
      <c r="Y136" s="402"/>
      <c r="Z136" s="402"/>
      <c r="AA136" s="405"/>
      <c r="AB136" s="405"/>
    </row>
    <row r="137" ht="14.25" customHeight="1">
      <c r="A137" s="406">
        <v>45506.0</v>
      </c>
      <c r="B137" s="349" t="s">
        <v>4587</v>
      </c>
      <c r="C137" s="349" t="s">
        <v>4585</v>
      </c>
      <c r="D137" s="349" t="s">
        <v>439</v>
      </c>
      <c r="E137" s="349" t="s">
        <v>4586</v>
      </c>
      <c r="F137" s="413">
        <v>14320.0</v>
      </c>
      <c r="G137" s="402"/>
      <c r="H137" s="404" t="str">
        <f t="shared" si="10"/>
        <v>NOT PAID</v>
      </c>
      <c r="I137" s="349" t="s">
        <v>4553</v>
      </c>
      <c r="J137" s="402"/>
      <c r="K137" s="402"/>
      <c r="L137" s="402"/>
      <c r="M137" s="402"/>
      <c r="N137" s="402"/>
      <c r="O137" s="402"/>
      <c r="P137" s="402"/>
      <c r="Q137" s="402"/>
      <c r="R137" s="402"/>
      <c r="S137" s="402"/>
      <c r="T137" s="402"/>
      <c r="U137" s="402"/>
      <c r="V137" s="402"/>
      <c r="W137" s="402"/>
      <c r="X137" s="402"/>
      <c r="Y137" s="402"/>
      <c r="Z137" s="402"/>
      <c r="AA137" s="405"/>
      <c r="AB137" s="405"/>
    </row>
    <row r="138" ht="14.25" customHeight="1">
      <c r="A138" s="406">
        <v>45506.0</v>
      </c>
      <c r="B138" s="349" t="s">
        <v>4577</v>
      </c>
      <c r="C138" s="349" t="s">
        <v>4578</v>
      </c>
      <c r="D138" s="349" t="s">
        <v>439</v>
      </c>
      <c r="E138" s="349" t="s">
        <v>4552</v>
      </c>
      <c r="F138" s="413">
        <v>39000.0</v>
      </c>
      <c r="G138" s="402"/>
      <c r="H138" s="404" t="str">
        <f t="shared" si="10"/>
        <v>NOT PAID</v>
      </c>
      <c r="I138" s="349" t="s">
        <v>4561</v>
      </c>
      <c r="J138" s="402"/>
      <c r="K138" s="402"/>
      <c r="L138" s="402"/>
      <c r="M138" s="402"/>
      <c r="N138" s="402"/>
      <c r="O138" s="402"/>
      <c r="P138" s="402"/>
      <c r="Q138" s="402"/>
      <c r="R138" s="402"/>
      <c r="S138" s="402"/>
      <c r="T138" s="402"/>
      <c r="U138" s="402"/>
      <c r="V138" s="402"/>
      <c r="W138" s="402"/>
      <c r="X138" s="402"/>
      <c r="Y138" s="402"/>
      <c r="Z138" s="402"/>
      <c r="AA138" s="405"/>
      <c r="AB138" s="405"/>
    </row>
    <row r="139" ht="14.25" customHeight="1">
      <c r="A139" s="406">
        <v>45506.0</v>
      </c>
      <c r="B139" s="349" t="s">
        <v>4579</v>
      </c>
      <c r="C139" s="349" t="s">
        <v>4580</v>
      </c>
      <c r="D139" s="349" t="s">
        <v>439</v>
      </c>
      <c r="E139" s="349" t="s">
        <v>4552</v>
      </c>
      <c r="F139" s="413">
        <v>77037.0</v>
      </c>
      <c r="G139" s="402"/>
      <c r="H139" s="404" t="str">
        <f t="shared" si="10"/>
        <v>NOT PAID</v>
      </c>
      <c r="I139" s="349" t="s">
        <v>4553</v>
      </c>
      <c r="J139" s="402"/>
      <c r="K139" s="402"/>
      <c r="L139" s="402"/>
      <c r="M139" s="402"/>
      <c r="N139" s="402"/>
      <c r="O139" s="402"/>
      <c r="P139" s="402"/>
      <c r="Q139" s="402"/>
      <c r="R139" s="402"/>
      <c r="S139" s="402"/>
      <c r="T139" s="402"/>
      <c r="U139" s="402"/>
      <c r="V139" s="402"/>
      <c r="W139" s="402"/>
      <c r="X139" s="402"/>
      <c r="Y139" s="402"/>
      <c r="Z139" s="402"/>
      <c r="AA139" s="405"/>
      <c r="AB139" s="405"/>
    </row>
    <row r="140" ht="14.25" customHeight="1">
      <c r="A140" s="406">
        <v>45506.0</v>
      </c>
      <c r="B140" s="349" t="s">
        <v>4565</v>
      </c>
      <c r="C140" s="349" t="s">
        <v>4566</v>
      </c>
      <c r="D140" s="349" t="s">
        <v>439</v>
      </c>
      <c r="E140" s="349" t="s">
        <v>4552</v>
      </c>
      <c r="F140" s="413">
        <v>3168.0</v>
      </c>
      <c r="G140" s="402"/>
      <c r="H140" s="404" t="str">
        <f t="shared" si="10"/>
        <v>NOT PAID</v>
      </c>
      <c r="I140" s="349" t="s">
        <v>4588</v>
      </c>
      <c r="J140" s="402"/>
      <c r="K140" s="402"/>
      <c r="L140" s="402"/>
      <c r="M140" s="402"/>
      <c r="N140" s="402"/>
      <c r="O140" s="402"/>
      <c r="P140" s="402"/>
      <c r="Q140" s="402"/>
      <c r="R140" s="402"/>
      <c r="S140" s="402"/>
      <c r="T140" s="402"/>
      <c r="U140" s="402"/>
      <c r="V140" s="402"/>
      <c r="W140" s="402"/>
      <c r="X140" s="402"/>
      <c r="Y140" s="402"/>
      <c r="Z140" s="402"/>
      <c r="AA140" s="405"/>
      <c r="AB140" s="405"/>
    </row>
    <row r="141" ht="14.25" customHeight="1">
      <c r="A141" s="406">
        <v>45506.0</v>
      </c>
      <c r="B141" s="836" t="s">
        <v>4575</v>
      </c>
      <c r="C141" s="837" t="s">
        <v>4576</v>
      </c>
      <c r="D141" s="408" t="s">
        <v>439</v>
      </c>
      <c r="E141" s="408" t="s">
        <v>4583</v>
      </c>
      <c r="F141" s="428">
        <v>8000.0</v>
      </c>
      <c r="G141" s="402"/>
      <c r="H141" s="404" t="str">
        <f t="shared" si="10"/>
        <v>NOT PAID</v>
      </c>
      <c r="I141" s="349" t="s">
        <v>4570</v>
      </c>
      <c r="J141" s="402"/>
      <c r="K141" s="402"/>
      <c r="L141" s="402"/>
      <c r="M141" s="402"/>
      <c r="N141" s="402"/>
      <c r="O141" s="402"/>
      <c r="P141" s="402"/>
      <c r="Q141" s="402"/>
      <c r="R141" s="402"/>
      <c r="S141" s="402"/>
      <c r="T141" s="402"/>
      <c r="U141" s="402"/>
      <c r="V141" s="402"/>
      <c r="W141" s="402"/>
      <c r="X141" s="402"/>
      <c r="Y141" s="402"/>
      <c r="Z141" s="402"/>
      <c r="AA141" s="405"/>
      <c r="AB141" s="405"/>
    </row>
    <row r="142" ht="14.25" customHeight="1">
      <c r="A142" s="406">
        <v>45506.0</v>
      </c>
      <c r="B142" s="349" t="s">
        <v>4571</v>
      </c>
      <c r="C142" s="349" t="s">
        <v>4572</v>
      </c>
      <c r="D142" s="349" t="s">
        <v>439</v>
      </c>
      <c r="E142" s="349" t="s">
        <v>4583</v>
      </c>
      <c r="F142" s="413">
        <v>23798.0</v>
      </c>
      <c r="G142" s="402"/>
      <c r="H142" s="404" t="str">
        <f t="shared" si="10"/>
        <v>NOT PAID</v>
      </c>
      <c r="I142" s="349" t="s">
        <v>4570</v>
      </c>
      <c r="J142" s="402"/>
      <c r="K142" s="402"/>
      <c r="L142" s="402"/>
      <c r="M142" s="402"/>
      <c r="N142" s="402"/>
      <c r="O142" s="402"/>
      <c r="P142" s="402"/>
      <c r="Q142" s="402"/>
      <c r="R142" s="402"/>
      <c r="S142" s="402"/>
      <c r="T142" s="402"/>
      <c r="U142" s="402"/>
      <c r="V142" s="402"/>
      <c r="W142" s="402"/>
      <c r="X142" s="402"/>
      <c r="Y142" s="402"/>
      <c r="Z142" s="402"/>
      <c r="AA142" s="405"/>
      <c r="AB142" s="405"/>
    </row>
    <row r="143" ht="14.25" customHeight="1">
      <c r="A143" s="406">
        <v>45506.0</v>
      </c>
      <c r="B143" s="349" t="s">
        <v>4573</v>
      </c>
      <c r="C143" s="349" t="s">
        <v>4574</v>
      </c>
      <c r="D143" s="349" t="s">
        <v>439</v>
      </c>
      <c r="E143" s="349" t="s">
        <v>4583</v>
      </c>
      <c r="F143" s="413">
        <v>25000.0</v>
      </c>
      <c r="G143" s="402"/>
      <c r="H143" s="404" t="str">
        <f t="shared" si="10"/>
        <v>NOT PAID</v>
      </c>
      <c r="I143" s="349" t="s">
        <v>4570</v>
      </c>
      <c r="J143" s="402"/>
      <c r="K143" s="402"/>
      <c r="L143" s="402"/>
      <c r="M143" s="402"/>
      <c r="N143" s="402"/>
      <c r="O143" s="402"/>
      <c r="P143" s="402"/>
      <c r="Q143" s="402"/>
      <c r="R143" s="402"/>
      <c r="S143" s="402"/>
      <c r="T143" s="402"/>
      <c r="U143" s="402"/>
      <c r="V143" s="402"/>
      <c r="W143" s="402"/>
      <c r="X143" s="402"/>
      <c r="Y143" s="402"/>
      <c r="Z143" s="402"/>
      <c r="AA143" s="405"/>
      <c r="AB143" s="405"/>
    </row>
    <row r="144" ht="14.25" customHeight="1">
      <c r="A144" s="406">
        <v>45506.0</v>
      </c>
      <c r="B144" s="512" t="s">
        <v>4590</v>
      </c>
      <c r="C144" s="512" t="s">
        <v>4591</v>
      </c>
      <c r="D144" s="349" t="s">
        <v>439</v>
      </c>
      <c r="E144" s="349" t="s">
        <v>4552</v>
      </c>
      <c r="F144" s="559">
        <f>18679.97+4000</f>
        <v>22679.97</v>
      </c>
      <c r="G144" s="402"/>
      <c r="H144" s="404" t="str">
        <f t="shared" si="10"/>
        <v>NOT PAID</v>
      </c>
      <c r="I144" s="349" t="s">
        <v>4592</v>
      </c>
      <c r="J144" s="402"/>
      <c r="K144" s="402"/>
      <c r="L144" s="402"/>
      <c r="M144" s="402"/>
      <c r="N144" s="402"/>
      <c r="O144" s="402"/>
      <c r="P144" s="402"/>
      <c r="Q144" s="402"/>
      <c r="R144" s="402"/>
      <c r="S144" s="402"/>
      <c r="T144" s="402"/>
      <c r="U144" s="402"/>
      <c r="V144" s="402"/>
      <c r="W144" s="402"/>
      <c r="X144" s="402"/>
      <c r="Y144" s="402"/>
      <c r="Z144" s="402"/>
      <c r="AA144" s="405"/>
      <c r="AB144" s="405"/>
    </row>
    <row r="145" ht="14.25" customHeight="1">
      <c r="A145" s="584"/>
      <c r="B145" s="584"/>
      <c r="C145" s="584"/>
      <c r="D145" s="584"/>
      <c r="E145" s="424" t="s">
        <v>23</v>
      </c>
      <c r="F145" s="787">
        <v>269718.0</v>
      </c>
      <c r="G145" s="584"/>
      <c r="H145" s="404" t="str">
        <f t="shared" si="10"/>
        <v>NOT PAID</v>
      </c>
      <c r="I145" s="584"/>
      <c r="J145" s="584"/>
      <c r="K145" s="584"/>
      <c r="L145" s="584"/>
      <c r="M145" s="584"/>
      <c r="N145" s="584"/>
      <c r="O145" s="584"/>
      <c r="P145" s="584"/>
      <c r="Q145" s="584"/>
      <c r="R145" s="584"/>
      <c r="S145" s="584"/>
      <c r="T145" s="584"/>
      <c r="U145" s="584"/>
      <c r="V145" s="584"/>
      <c r="W145" s="584"/>
      <c r="X145" s="584"/>
      <c r="Y145" s="584"/>
      <c r="Z145" s="584"/>
      <c r="AA145" s="659"/>
      <c r="AB145" s="659"/>
    </row>
    <row r="146" ht="14.25" customHeight="1">
      <c r="A146" s="402"/>
      <c r="B146" s="402"/>
      <c r="C146" s="402"/>
      <c r="D146" s="402"/>
      <c r="E146" s="402"/>
      <c r="F146" s="403"/>
      <c r="G146" s="402"/>
      <c r="H146" s="404" t="str">
        <f t="shared" si="10"/>
        <v>FULLY PAID</v>
      </c>
      <c r="I146" s="402"/>
      <c r="J146" s="402"/>
      <c r="K146" s="402"/>
      <c r="L146" s="402"/>
      <c r="M146" s="402"/>
      <c r="N146" s="402"/>
      <c r="O146" s="402"/>
      <c r="P146" s="402"/>
      <c r="Q146" s="402"/>
      <c r="R146" s="402"/>
      <c r="S146" s="402"/>
      <c r="T146" s="402"/>
      <c r="U146" s="402"/>
      <c r="V146" s="402"/>
      <c r="W146" s="402"/>
      <c r="X146" s="402"/>
      <c r="Y146" s="402"/>
      <c r="Z146" s="402"/>
      <c r="AA146" s="405"/>
      <c r="AB146" s="405"/>
    </row>
    <row r="147" ht="14.25" customHeight="1">
      <c r="A147" s="402"/>
      <c r="B147" s="402"/>
      <c r="C147" s="402"/>
      <c r="D147" s="402"/>
      <c r="E147" s="402"/>
      <c r="F147" s="403"/>
      <c r="G147" s="402"/>
      <c r="H147" s="404" t="str">
        <f t="shared" si="10"/>
        <v>FULLY PAID</v>
      </c>
      <c r="I147" s="402"/>
      <c r="J147" s="402"/>
      <c r="K147" s="402"/>
      <c r="L147" s="402"/>
      <c r="M147" s="402"/>
      <c r="N147" s="402"/>
      <c r="O147" s="402"/>
      <c r="P147" s="402"/>
      <c r="Q147" s="402"/>
      <c r="R147" s="402"/>
      <c r="S147" s="402"/>
      <c r="T147" s="402"/>
      <c r="U147" s="402"/>
      <c r="V147" s="402"/>
      <c r="W147" s="402"/>
      <c r="X147" s="402"/>
      <c r="Y147" s="402"/>
      <c r="Z147" s="402"/>
      <c r="AA147" s="405"/>
      <c r="AB147" s="405"/>
    </row>
    <row r="148" ht="14.25" customHeight="1">
      <c r="A148" s="818">
        <v>45507.0</v>
      </c>
      <c r="B148" s="349" t="s">
        <v>4550</v>
      </c>
      <c r="C148" s="349" t="s">
        <v>4551</v>
      </c>
      <c r="D148" s="349" t="s">
        <v>439</v>
      </c>
      <c r="E148" s="349" t="s">
        <v>4552</v>
      </c>
      <c r="F148" s="413">
        <v>16322.0</v>
      </c>
      <c r="G148" s="349">
        <v>5000.0</v>
      </c>
      <c r="H148" s="404" t="str">
        <f t="shared" si="10"/>
        <v>PARTIALLY PAID</v>
      </c>
      <c r="I148" s="349" t="s">
        <v>4593</v>
      </c>
      <c r="J148" s="402"/>
      <c r="K148" s="402"/>
      <c r="L148" s="402"/>
      <c r="M148" s="402"/>
      <c r="N148" s="402"/>
      <c r="O148" s="402"/>
      <c r="P148" s="402"/>
      <c r="Q148" s="402"/>
      <c r="R148" s="402"/>
      <c r="S148" s="402"/>
      <c r="T148" s="402"/>
      <c r="U148" s="402"/>
      <c r="V148" s="402"/>
      <c r="W148" s="402"/>
      <c r="X148" s="402"/>
      <c r="Y148" s="402"/>
      <c r="Z148" s="402"/>
      <c r="AA148" s="405"/>
      <c r="AB148" s="405"/>
    </row>
    <row r="149" ht="14.25" customHeight="1">
      <c r="A149" s="818">
        <v>45507.0</v>
      </c>
      <c r="B149" s="349" t="s">
        <v>4554</v>
      </c>
      <c r="C149" s="349" t="s">
        <v>4555</v>
      </c>
      <c r="D149" s="349" t="s">
        <v>439</v>
      </c>
      <c r="E149" s="349" t="s">
        <v>4552</v>
      </c>
      <c r="F149" s="413">
        <v>30393.0</v>
      </c>
      <c r="G149" s="402"/>
      <c r="H149" s="404" t="str">
        <f t="shared" si="10"/>
        <v>NOT PAID</v>
      </c>
      <c r="I149" s="349" t="s">
        <v>4553</v>
      </c>
      <c r="J149" s="402"/>
      <c r="K149" s="402"/>
      <c r="L149" s="402"/>
      <c r="M149" s="402"/>
      <c r="N149" s="402"/>
      <c r="O149" s="402"/>
      <c r="P149" s="402"/>
      <c r="Q149" s="402"/>
      <c r="R149" s="402"/>
      <c r="S149" s="402"/>
      <c r="T149" s="402"/>
      <c r="U149" s="402"/>
      <c r="V149" s="402"/>
      <c r="W149" s="402"/>
      <c r="X149" s="402"/>
      <c r="Y149" s="402"/>
      <c r="Z149" s="402"/>
      <c r="AA149" s="405"/>
      <c r="AB149" s="405"/>
    </row>
    <row r="150" ht="14.25" customHeight="1">
      <c r="A150" s="818">
        <v>45507.0</v>
      </c>
      <c r="B150" s="349" t="s">
        <v>4587</v>
      </c>
      <c r="C150" s="349" t="s">
        <v>4585</v>
      </c>
      <c r="D150" s="349" t="s">
        <v>439</v>
      </c>
      <c r="E150" s="349" t="s">
        <v>4586</v>
      </c>
      <c r="F150" s="413">
        <v>14320.0</v>
      </c>
      <c r="G150" s="402"/>
      <c r="H150" s="404" t="str">
        <f t="shared" si="10"/>
        <v>NOT PAID</v>
      </c>
      <c r="I150" s="349" t="s">
        <v>4553</v>
      </c>
      <c r="J150" s="402"/>
      <c r="K150" s="402"/>
      <c r="L150" s="402"/>
      <c r="M150" s="402"/>
      <c r="N150" s="402"/>
      <c r="O150" s="402"/>
      <c r="P150" s="402"/>
      <c r="Q150" s="402"/>
      <c r="R150" s="402"/>
      <c r="S150" s="402"/>
      <c r="T150" s="402"/>
      <c r="U150" s="402"/>
      <c r="V150" s="402"/>
      <c r="W150" s="402"/>
      <c r="X150" s="402"/>
      <c r="Y150" s="402"/>
      <c r="Z150" s="402"/>
      <c r="AA150" s="405"/>
      <c r="AB150" s="405"/>
    </row>
    <row r="151" ht="14.25" customHeight="1">
      <c r="A151" s="818">
        <v>45507.0</v>
      </c>
      <c r="B151" s="349" t="s">
        <v>4577</v>
      </c>
      <c r="C151" s="349" t="s">
        <v>4578</v>
      </c>
      <c r="D151" s="349" t="s">
        <v>439</v>
      </c>
      <c r="E151" s="349" t="s">
        <v>4552</v>
      </c>
      <c r="F151" s="413">
        <v>39000.0</v>
      </c>
      <c r="G151" s="402"/>
      <c r="H151" s="404" t="str">
        <f t="shared" si="10"/>
        <v>NOT PAID</v>
      </c>
      <c r="I151" s="349" t="s">
        <v>4594</v>
      </c>
      <c r="J151" s="402"/>
      <c r="K151" s="402"/>
      <c r="L151" s="402"/>
      <c r="M151" s="402"/>
      <c r="N151" s="402"/>
      <c r="O151" s="402"/>
      <c r="P151" s="402"/>
      <c r="Q151" s="402"/>
      <c r="R151" s="402"/>
      <c r="S151" s="402"/>
      <c r="T151" s="402"/>
      <c r="U151" s="402"/>
      <c r="V151" s="402"/>
      <c r="W151" s="402"/>
      <c r="X151" s="402"/>
      <c r="Y151" s="402"/>
      <c r="Z151" s="402"/>
      <c r="AA151" s="405"/>
      <c r="AB151" s="405"/>
    </row>
    <row r="152" ht="14.25" customHeight="1">
      <c r="A152" s="818">
        <v>45507.0</v>
      </c>
      <c r="B152" s="349" t="s">
        <v>4579</v>
      </c>
      <c r="C152" s="349" t="s">
        <v>4580</v>
      </c>
      <c r="D152" s="349" t="s">
        <v>439</v>
      </c>
      <c r="E152" s="349" t="s">
        <v>4552</v>
      </c>
      <c r="F152" s="413">
        <v>77037.0</v>
      </c>
      <c r="G152" s="402"/>
      <c r="H152" s="404" t="str">
        <f t="shared" si="10"/>
        <v>NOT PAID</v>
      </c>
      <c r="I152" s="349" t="s">
        <v>4553</v>
      </c>
      <c r="J152" s="402"/>
      <c r="K152" s="402"/>
      <c r="L152" s="402"/>
      <c r="M152" s="402"/>
      <c r="N152" s="402"/>
      <c r="O152" s="402"/>
      <c r="P152" s="402"/>
      <c r="Q152" s="402"/>
      <c r="R152" s="402"/>
      <c r="S152" s="402"/>
      <c r="T152" s="402"/>
      <c r="U152" s="402"/>
      <c r="V152" s="402"/>
      <c r="W152" s="402"/>
      <c r="X152" s="402"/>
      <c r="Y152" s="402"/>
      <c r="Z152" s="402"/>
      <c r="AA152" s="405"/>
      <c r="AB152" s="405"/>
    </row>
    <row r="153" ht="14.25" customHeight="1">
      <c r="A153" s="818">
        <v>45507.0</v>
      </c>
      <c r="B153" s="349" t="s">
        <v>4565</v>
      </c>
      <c r="C153" s="349" t="s">
        <v>4566</v>
      </c>
      <c r="D153" s="349" t="s">
        <v>439</v>
      </c>
      <c r="E153" s="349" t="s">
        <v>4552</v>
      </c>
      <c r="F153" s="413">
        <v>3168.0</v>
      </c>
      <c r="G153" s="402"/>
      <c r="H153" s="404" t="str">
        <f t="shared" si="10"/>
        <v>NOT PAID</v>
      </c>
      <c r="I153" s="349" t="s">
        <v>4595</v>
      </c>
      <c r="J153" s="402"/>
      <c r="K153" s="402"/>
      <c r="L153" s="402"/>
      <c r="M153" s="402"/>
      <c r="N153" s="402"/>
      <c r="O153" s="402"/>
      <c r="P153" s="402"/>
      <c r="Q153" s="402"/>
      <c r="R153" s="402"/>
      <c r="S153" s="402"/>
      <c r="T153" s="402"/>
      <c r="U153" s="402"/>
      <c r="V153" s="402"/>
      <c r="W153" s="402"/>
      <c r="X153" s="402"/>
      <c r="Y153" s="402"/>
      <c r="Z153" s="402"/>
      <c r="AA153" s="405"/>
      <c r="AB153" s="405"/>
    </row>
    <row r="154" ht="14.25" customHeight="1">
      <c r="A154" s="818">
        <v>45507.0</v>
      </c>
      <c r="B154" s="836" t="s">
        <v>4575</v>
      </c>
      <c r="C154" s="837" t="s">
        <v>4576</v>
      </c>
      <c r="D154" s="408" t="s">
        <v>439</v>
      </c>
      <c r="E154" s="408" t="s">
        <v>4583</v>
      </c>
      <c r="F154" s="428">
        <v>8000.0</v>
      </c>
      <c r="G154" s="402"/>
      <c r="H154" s="404" t="str">
        <f t="shared" si="10"/>
        <v>NOT PAID</v>
      </c>
      <c r="I154" s="349" t="s">
        <v>4570</v>
      </c>
      <c r="J154" s="402"/>
      <c r="K154" s="402"/>
      <c r="L154" s="402"/>
      <c r="M154" s="402"/>
      <c r="N154" s="402"/>
      <c r="O154" s="402"/>
      <c r="P154" s="402"/>
      <c r="Q154" s="402"/>
      <c r="R154" s="402"/>
      <c r="S154" s="402"/>
      <c r="T154" s="402"/>
      <c r="U154" s="402"/>
      <c r="V154" s="402"/>
      <c r="W154" s="402"/>
      <c r="X154" s="402"/>
      <c r="Y154" s="402"/>
      <c r="Z154" s="402"/>
      <c r="AA154" s="405"/>
      <c r="AB154" s="405"/>
    </row>
    <row r="155" ht="14.25" customHeight="1">
      <c r="A155" s="818">
        <v>45507.0</v>
      </c>
      <c r="B155" s="349" t="s">
        <v>4571</v>
      </c>
      <c r="C155" s="349" t="s">
        <v>4572</v>
      </c>
      <c r="D155" s="349" t="s">
        <v>439</v>
      </c>
      <c r="E155" s="349" t="s">
        <v>4583</v>
      </c>
      <c r="F155" s="413">
        <v>23798.0</v>
      </c>
      <c r="G155" s="349">
        <v>3000.0</v>
      </c>
      <c r="H155" s="404" t="str">
        <f t="shared" si="10"/>
        <v>PARTIALLY PAID</v>
      </c>
      <c r="I155" s="349" t="s">
        <v>4570</v>
      </c>
      <c r="J155" s="402"/>
      <c r="K155" s="402"/>
      <c r="L155" s="402"/>
      <c r="M155" s="402"/>
      <c r="N155" s="402"/>
      <c r="O155" s="402"/>
      <c r="P155" s="402"/>
      <c r="Q155" s="402"/>
      <c r="R155" s="402"/>
      <c r="S155" s="402"/>
      <c r="T155" s="402"/>
      <c r="U155" s="402"/>
      <c r="V155" s="402"/>
      <c r="W155" s="402"/>
      <c r="X155" s="402"/>
      <c r="Y155" s="402"/>
      <c r="Z155" s="402"/>
      <c r="AA155" s="405"/>
      <c r="AB155" s="405"/>
    </row>
    <row r="156" ht="14.25" customHeight="1">
      <c r="A156" s="818">
        <v>45507.0</v>
      </c>
      <c r="B156" s="349" t="s">
        <v>4573</v>
      </c>
      <c r="C156" s="349" t="s">
        <v>4574</v>
      </c>
      <c r="D156" s="349" t="s">
        <v>439</v>
      </c>
      <c r="E156" s="349" t="s">
        <v>4583</v>
      </c>
      <c r="F156" s="413">
        <v>25000.0</v>
      </c>
      <c r="G156" s="402"/>
      <c r="H156" s="404" t="str">
        <f t="shared" si="10"/>
        <v>NOT PAID</v>
      </c>
      <c r="I156" s="349" t="s">
        <v>4570</v>
      </c>
      <c r="J156" s="402"/>
      <c r="K156" s="402"/>
      <c r="L156" s="402"/>
      <c r="M156" s="402"/>
      <c r="N156" s="402"/>
      <c r="O156" s="402"/>
      <c r="P156" s="402"/>
      <c r="Q156" s="402"/>
      <c r="R156" s="402"/>
      <c r="S156" s="402"/>
      <c r="T156" s="402"/>
      <c r="U156" s="402"/>
      <c r="V156" s="402"/>
      <c r="W156" s="402"/>
      <c r="X156" s="402"/>
      <c r="Y156" s="402"/>
      <c r="Z156" s="402"/>
      <c r="AA156" s="405"/>
      <c r="AB156" s="405"/>
    </row>
    <row r="157" ht="14.25" customHeight="1">
      <c r="A157" s="818">
        <v>45507.0</v>
      </c>
      <c r="B157" s="512" t="s">
        <v>4590</v>
      </c>
      <c r="C157" s="512" t="s">
        <v>4591</v>
      </c>
      <c r="D157" s="349" t="s">
        <v>439</v>
      </c>
      <c r="E157" s="349" t="s">
        <v>4552</v>
      </c>
      <c r="F157" s="559">
        <f>18679.97+4000</f>
        <v>22679.97</v>
      </c>
      <c r="G157" s="402"/>
      <c r="H157" s="404" t="str">
        <f t="shared" si="10"/>
        <v>NOT PAID</v>
      </c>
      <c r="I157" s="349" t="s">
        <v>4595</v>
      </c>
      <c r="J157" s="402"/>
      <c r="K157" s="402"/>
      <c r="L157" s="402"/>
      <c r="M157" s="402"/>
      <c r="N157" s="402"/>
      <c r="O157" s="402"/>
      <c r="P157" s="402"/>
      <c r="Q157" s="402"/>
      <c r="R157" s="402"/>
      <c r="S157" s="402"/>
      <c r="T157" s="402"/>
      <c r="U157" s="402"/>
      <c r="V157" s="402"/>
      <c r="W157" s="402"/>
      <c r="X157" s="402"/>
      <c r="Y157" s="402"/>
      <c r="Z157" s="402"/>
      <c r="AA157" s="405"/>
      <c r="AB157" s="405"/>
    </row>
    <row r="158" ht="14.25" customHeight="1">
      <c r="A158" s="584"/>
      <c r="B158" s="584"/>
      <c r="C158" s="584"/>
      <c r="D158" s="584"/>
      <c r="E158" s="584"/>
      <c r="F158" s="787" t="s">
        <v>23</v>
      </c>
      <c r="G158" s="839">
        <v>8000.0</v>
      </c>
      <c r="H158" s="404" t="str">
        <f t="shared" si="10"/>
        <v>PARTIALLY PAID</v>
      </c>
      <c r="I158" s="584"/>
      <c r="J158" s="584"/>
      <c r="K158" s="584"/>
      <c r="L158" s="584"/>
      <c r="M158" s="584"/>
      <c r="N158" s="584"/>
      <c r="O158" s="584"/>
      <c r="P158" s="584"/>
      <c r="Q158" s="584"/>
      <c r="R158" s="584"/>
      <c r="S158" s="584"/>
      <c r="T158" s="584"/>
      <c r="U158" s="584"/>
      <c r="V158" s="584"/>
      <c r="W158" s="584"/>
      <c r="X158" s="584"/>
      <c r="Y158" s="584"/>
      <c r="Z158" s="584"/>
      <c r="AA158" s="659"/>
      <c r="AB158" s="659"/>
    </row>
    <row r="159" ht="14.25" customHeight="1">
      <c r="A159" s="402"/>
      <c r="B159" s="402"/>
      <c r="C159" s="402"/>
      <c r="D159" s="402"/>
      <c r="E159" s="402"/>
      <c r="F159" s="403"/>
      <c r="G159" s="402"/>
      <c r="H159" s="404" t="str">
        <f t="shared" si="10"/>
        <v>FULLY PAID</v>
      </c>
      <c r="I159" s="402"/>
      <c r="J159" s="402"/>
      <c r="K159" s="402"/>
      <c r="L159" s="402"/>
      <c r="M159" s="402"/>
      <c r="N159" s="402"/>
      <c r="O159" s="402"/>
      <c r="P159" s="402"/>
      <c r="Q159" s="402"/>
      <c r="R159" s="402"/>
      <c r="S159" s="402"/>
      <c r="T159" s="402"/>
      <c r="U159" s="402"/>
      <c r="V159" s="402"/>
      <c r="W159" s="402"/>
      <c r="X159" s="402"/>
      <c r="Y159" s="402"/>
      <c r="Z159" s="402"/>
      <c r="AA159" s="405"/>
      <c r="AB159" s="405"/>
    </row>
    <row r="160" ht="14.25" customHeight="1">
      <c r="A160" s="406">
        <v>45509.0</v>
      </c>
      <c r="B160" s="349" t="s">
        <v>4550</v>
      </c>
      <c r="C160" s="349" t="s">
        <v>4551</v>
      </c>
      <c r="D160" s="349" t="s">
        <v>439</v>
      </c>
      <c r="E160" s="349" t="s">
        <v>4552</v>
      </c>
      <c r="F160" s="413">
        <v>11322.0</v>
      </c>
      <c r="G160" s="402"/>
      <c r="H160" s="404" t="str">
        <f t="shared" si="10"/>
        <v>NOT PAID</v>
      </c>
      <c r="I160" s="840"/>
      <c r="J160" s="841"/>
      <c r="K160" s="841"/>
      <c r="L160" s="418"/>
      <c r="M160" s="402"/>
      <c r="N160" s="402"/>
      <c r="O160" s="402"/>
      <c r="P160" s="402"/>
      <c r="Q160" s="402"/>
      <c r="R160" s="402"/>
      <c r="S160" s="402"/>
      <c r="T160" s="402"/>
      <c r="U160" s="402"/>
      <c r="V160" s="402"/>
      <c r="W160" s="402"/>
      <c r="X160" s="402"/>
      <c r="Y160" s="402"/>
      <c r="Z160" s="402"/>
      <c r="AA160" s="405"/>
      <c r="AB160" s="405"/>
    </row>
    <row r="161" ht="14.25" customHeight="1">
      <c r="A161" s="406">
        <v>45509.0</v>
      </c>
      <c r="B161" s="349" t="s">
        <v>4554</v>
      </c>
      <c r="C161" s="349" t="s">
        <v>4555</v>
      </c>
      <c r="D161" s="349" t="s">
        <v>439</v>
      </c>
      <c r="E161" s="349" t="s">
        <v>4552</v>
      </c>
      <c r="F161" s="413">
        <v>30393.0</v>
      </c>
      <c r="G161" s="402"/>
      <c r="H161" s="404" t="str">
        <f t="shared" si="10"/>
        <v>NOT PAID</v>
      </c>
      <c r="I161" s="842" t="s">
        <v>4553</v>
      </c>
      <c r="J161" s="841"/>
      <c r="K161" s="841"/>
      <c r="L161" s="418"/>
      <c r="M161" s="402"/>
      <c r="N161" s="402"/>
      <c r="O161" s="402"/>
      <c r="P161" s="402"/>
      <c r="Q161" s="402"/>
      <c r="R161" s="402"/>
      <c r="S161" s="402"/>
      <c r="T161" s="402"/>
      <c r="U161" s="402"/>
      <c r="V161" s="402"/>
      <c r="W161" s="402"/>
      <c r="X161" s="402"/>
      <c r="Y161" s="402"/>
      <c r="Z161" s="402"/>
      <c r="AA161" s="405"/>
      <c r="AB161" s="405"/>
    </row>
    <row r="162" ht="14.25" customHeight="1">
      <c r="A162" s="406">
        <v>45509.0</v>
      </c>
      <c r="B162" s="349" t="s">
        <v>4587</v>
      </c>
      <c r="C162" s="349" t="s">
        <v>4585</v>
      </c>
      <c r="D162" s="349" t="s">
        <v>439</v>
      </c>
      <c r="E162" s="349" t="s">
        <v>4586</v>
      </c>
      <c r="F162" s="413">
        <v>14320.0</v>
      </c>
      <c r="G162" s="402"/>
      <c r="H162" s="404" t="str">
        <f t="shared" si="10"/>
        <v>NOT PAID</v>
      </c>
      <c r="I162" s="843" t="s">
        <v>4553</v>
      </c>
      <c r="J162" s="844"/>
      <c r="K162" s="844"/>
      <c r="L162" s="344"/>
      <c r="M162" s="402"/>
      <c r="N162" s="402"/>
      <c r="O162" s="402"/>
      <c r="P162" s="402"/>
      <c r="Q162" s="402"/>
      <c r="R162" s="402"/>
      <c r="S162" s="402"/>
      <c r="T162" s="402"/>
      <c r="U162" s="402"/>
      <c r="V162" s="402"/>
      <c r="W162" s="402"/>
      <c r="X162" s="402"/>
      <c r="Y162" s="402"/>
      <c r="Z162" s="402"/>
      <c r="AA162" s="405"/>
      <c r="AB162" s="405"/>
    </row>
    <row r="163" ht="14.25" customHeight="1">
      <c r="A163" s="406">
        <v>45509.0</v>
      </c>
      <c r="B163" s="349" t="s">
        <v>4577</v>
      </c>
      <c r="C163" s="349" t="s">
        <v>4578</v>
      </c>
      <c r="D163" s="349" t="s">
        <v>439</v>
      </c>
      <c r="E163" s="349" t="s">
        <v>4552</v>
      </c>
      <c r="F163" s="413">
        <v>39000.0</v>
      </c>
      <c r="G163" s="402"/>
      <c r="H163" s="404" t="str">
        <f t="shared" si="10"/>
        <v>NOT PAID</v>
      </c>
      <c r="I163" s="843" t="s">
        <v>4594</v>
      </c>
      <c r="J163" s="344"/>
      <c r="K163" s="344"/>
      <c r="L163" s="344"/>
      <c r="M163" s="402"/>
      <c r="N163" s="402"/>
      <c r="O163" s="402"/>
      <c r="P163" s="402"/>
      <c r="Q163" s="402"/>
      <c r="R163" s="402"/>
      <c r="S163" s="402"/>
      <c r="T163" s="402"/>
      <c r="U163" s="402"/>
      <c r="V163" s="402"/>
      <c r="W163" s="402"/>
      <c r="X163" s="402"/>
      <c r="Y163" s="402"/>
      <c r="Z163" s="402"/>
      <c r="AA163" s="405"/>
      <c r="AB163" s="405"/>
    </row>
    <row r="164" ht="14.25" customHeight="1">
      <c r="A164" s="406">
        <v>45509.0</v>
      </c>
      <c r="B164" s="349" t="s">
        <v>4579</v>
      </c>
      <c r="C164" s="349" t="s">
        <v>4580</v>
      </c>
      <c r="D164" s="349" t="s">
        <v>439</v>
      </c>
      <c r="E164" s="349" t="s">
        <v>4552</v>
      </c>
      <c r="F164" s="413">
        <v>77037.0</v>
      </c>
      <c r="G164" s="402"/>
      <c r="H164" s="404" t="str">
        <f t="shared" si="10"/>
        <v>NOT PAID</v>
      </c>
      <c r="I164" s="843" t="s">
        <v>4553</v>
      </c>
      <c r="J164" s="844"/>
      <c r="K164" s="844"/>
      <c r="L164" s="344"/>
      <c r="M164" s="402"/>
      <c r="N164" s="402"/>
      <c r="O164" s="402"/>
      <c r="P164" s="402"/>
      <c r="Q164" s="402"/>
      <c r="R164" s="402"/>
      <c r="S164" s="402"/>
      <c r="T164" s="402"/>
      <c r="U164" s="402"/>
      <c r="V164" s="402"/>
      <c r="W164" s="402"/>
      <c r="X164" s="402"/>
      <c r="Y164" s="402"/>
      <c r="Z164" s="402"/>
      <c r="AA164" s="405"/>
      <c r="AB164" s="405"/>
    </row>
    <row r="165" ht="14.25" customHeight="1">
      <c r="A165" s="406">
        <v>45509.0</v>
      </c>
      <c r="B165" s="349" t="s">
        <v>4565</v>
      </c>
      <c r="C165" s="349" t="s">
        <v>4566</v>
      </c>
      <c r="D165" s="349" t="s">
        <v>439</v>
      </c>
      <c r="E165" s="349" t="s">
        <v>4552</v>
      </c>
      <c r="F165" s="413">
        <v>3168.0</v>
      </c>
      <c r="G165" s="402"/>
      <c r="H165" s="404" t="str">
        <f t="shared" si="10"/>
        <v>NOT PAID</v>
      </c>
      <c r="I165" s="414" t="s">
        <v>4596</v>
      </c>
      <c r="J165" s="344"/>
      <c r="K165" s="344"/>
      <c r="L165" s="344"/>
      <c r="M165" s="402"/>
      <c r="N165" s="402"/>
      <c r="O165" s="402"/>
      <c r="P165" s="402"/>
      <c r="Q165" s="402"/>
      <c r="R165" s="402"/>
      <c r="S165" s="402"/>
      <c r="T165" s="402"/>
      <c r="U165" s="402"/>
      <c r="V165" s="402"/>
      <c r="W165" s="402"/>
      <c r="X165" s="402"/>
      <c r="Y165" s="402"/>
      <c r="Z165" s="402"/>
      <c r="AA165" s="405"/>
      <c r="AB165" s="405"/>
    </row>
    <row r="166" ht="14.25" customHeight="1">
      <c r="A166" s="406">
        <v>45509.0</v>
      </c>
      <c r="B166" s="836" t="s">
        <v>4575</v>
      </c>
      <c r="C166" s="837" t="s">
        <v>4576</v>
      </c>
      <c r="D166" s="408" t="s">
        <v>439</v>
      </c>
      <c r="E166" s="408" t="s">
        <v>4583</v>
      </c>
      <c r="F166" s="428">
        <v>8000.0</v>
      </c>
      <c r="G166" s="402"/>
      <c r="H166" s="404" t="str">
        <f t="shared" si="10"/>
        <v>NOT PAID</v>
      </c>
      <c r="I166" s="843" t="s">
        <v>4570</v>
      </c>
      <c r="J166" s="844"/>
      <c r="K166" s="844"/>
      <c r="L166" s="344"/>
      <c r="M166" s="402"/>
      <c r="N166" s="402"/>
      <c r="O166" s="402"/>
      <c r="P166" s="402"/>
      <c r="Q166" s="402"/>
      <c r="R166" s="402"/>
      <c r="S166" s="402"/>
      <c r="T166" s="402"/>
      <c r="U166" s="402"/>
      <c r="V166" s="402"/>
      <c r="W166" s="402"/>
      <c r="X166" s="402"/>
      <c r="Y166" s="402"/>
      <c r="Z166" s="402"/>
      <c r="AA166" s="405"/>
      <c r="AB166" s="405"/>
    </row>
    <row r="167" ht="14.25" customHeight="1">
      <c r="A167" s="406">
        <v>45509.0</v>
      </c>
      <c r="B167" s="349" t="s">
        <v>4571</v>
      </c>
      <c r="C167" s="349" t="s">
        <v>4572</v>
      </c>
      <c r="D167" s="349" t="s">
        <v>439</v>
      </c>
      <c r="E167" s="349" t="s">
        <v>4583</v>
      </c>
      <c r="F167" s="413">
        <v>23798.0</v>
      </c>
      <c r="G167" s="402"/>
      <c r="H167" s="404" t="str">
        <f t="shared" si="10"/>
        <v>NOT PAID</v>
      </c>
      <c r="I167" s="843" t="s">
        <v>4570</v>
      </c>
      <c r="J167" s="844"/>
      <c r="K167" s="844"/>
      <c r="L167" s="344"/>
      <c r="M167" s="402"/>
      <c r="N167" s="402"/>
      <c r="O167" s="402"/>
      <c r="P167" s="402"/>
      <c r="Q167" s="402"/>
      <c r="R167" s="402"/>
      <c r="S167" s="402"/>
      <c r="T167" s="402"/>
      <c r="U167" s="402"/>
      <c r="V167" s="402"/>
      <c r="W167" s="402"/>
      <c r="X167" s="402"/>
      <c r="Y167" s="402"/>
      <c r="Z167" s="402"/>
      <c r="AA167" s="405"/>
      <c r="AB167" s="405"/>
    </row>
    <row r="168" ht="14.25" customHeight="1">
      <c r="A168" s="406">
        <v>45509.0</v>
      </c>
      <c r="B168" s="349" t="s">
        <v>4573</v>
      </c>
      <c r="C168" s="349" t="s">
        <v>4574</v>
      </c>
      <c r="D168" s="349" t="s">
        <v>439</v>
      </c>
      <c r="E168" s="349" t="s">
        <v>4583</v>
      </c>
      <c r="F168" s="413">
        <v>25000.0</v>
      </c>
      <c r="G168" s="402"/>
      <c r="H168" s="404" t="str">
        <f t="shared" si="10"/>
        <v>NOT PAID</v>
      </c>
      <c r="I168" s="843" t="s">
        <v>4570</v>
      </c>
      <c r="J168" s="844"/>
      <c r="K168" s="844"/>
      <c r="L168" s="344"/>
      <c r="M168" s="402"/>
      <c r="N168" s="402"/>
      <c r="O168" s="402"/>
      <c r="P168" s="402"/>
      <c r="Q168" s="402"/>
      <c r="R168" s="402"/>
      <c r="S168" s="402"/>
      <c r="T168" s="402"/>
      <c r="U168" s="402"/>
      <c r="V168" s="402"/>
      <c r="W168" s="402"/>
      <c r="X168" s="402"/>
      <c r="Y168" s="402"/>
      <c r="Z168" s="402"/>
      <c r="AA168" s="405"/>
      <c r="AB168" s="405"/>
    </row>
    <row r="169" ht="14.25" customHeight="1">
      <c r="A169" s="406">
        <v>45509.0</v>
      </c>
      <c r="B169" s="512" t="s">
        <v>4590</v>
      </c>
      <c r="C169" s="512" t="s">
        <v>4591</v>
      </c>
      <c r="D169" s="349" t="s">
        <v>439</v>
      </c>
      <c r="E169" s="349" t="s">
        <v>4552</v>
      </c>
      <c r="F169" s="559">
        <f>18679.97+4000</f>
        <v>22679.97</v>
      </c>
      <c r="G169" s="402"/>
      <c r="H169" s="404" t="str">
        <f t="shared" si="10"/>
        <v>NOT PAID</v>
      </c>
      <c r="I169" s="414" t="s">
        <v>4596</v>
      </c>
      <c r="J169" s="344"/>
      <c r="K169" s="344"/>
      <c r="L169" s="344"/>
      <c r="M169" s="402"/>
      <c r="N169" s="402"/>
      <c r="O169" s="402"/>
      <c r="P169" s="402"/>
      <c r="Q169" s="402"/>
      <c r="R169" s="402"/>
      <c r="S169" s="402"/>
      <c r="T169" s="402"/>
      <c r="U169" s="402"/>
      <c r="V169" s="402"/>
      <c r="W169" s="402"/>
      <c r="X169" s="402"/>
      <c r="Y169" s="402"/>
      <c r="Z169" s="402"/>
      <c r="AA169" s="405"/>
      <c r="AB169" s="405"/>
    </row>
    <row r="170" ht="14.25" customHeight="1">
      <c r="A170" s="406">
        <v>45509.0</v>
      </c>
      <c r="B170" s="349" t="s">
        <v>4597</v>
      </c>
      <c r="C170" s="349" t="s">
        <v>4598</v>
      </c>
      <c r="D170" s="349" t="s">
        <v>439</v>
      </c>
      <c r="E170" s="349" t="s">
        <v>4552</v>
      </c>
      <c r="F170" s="413">
        <v>17623.0</v>
      </c>
      <c r="G170" s="683">
        <v>18000.0</v>
      </c>
      <c r="H170" s="404" t="str">
        <f t="shared" si="10"/>
        <v>FULLY PAID</v>
      </c>
      <c r="I170" s="402"/>
      <c r="J170" s="402"/>
      <c r="K170" s="402"/>
      <c r="L170" s="402"/>
      <c r="M170" s="402"/>
      <c r="N170" s="402"/>
      <c r="O170" s="402"/>
      <c r="P170" s="402"/>
      <c r="Q170" s="402"/>
      <c r="R170" s="402"/>
      <c r="S170" s="402"/>
      <c r="T170" s="402"/>
      <c r="U170" s="402"/>
      <c r="V170" s="402"/>
      <c r="W170" s="402"/>
      <c r="X170" s="402"/>
      <c r="Y170" s="402"/>
      <c r="Z170" s="402"/>
      <c r="AA170" s="405"/>
      <c r="AB170" s="405"/>
    </row>
    <row r="171" ht="14.25" customHeight="1">
      <c r="A171" s="584"/>
      <c r="B171" s="584"/>
      <c r="C171" s="584"/>
      <c r="D171" s="584"/>
      <c r="E171" s="424" t="s">
        <v>23</v>
      </c>
      <c r="F171" s="787">
        <v>272340.97</v>
      </c>
      <c r="G171" s="839">
        <v>18000.0</v>
      </c>
      <c r="H171" s="404" t="str">
        <f t="shared" si="10"/>
        <v>PARTIALLY PAID</v>
      </c>
      <c r="I171" s="584"/>
      <c r="J171" s="584"/>
      <c r="K171" s="584"/>
      <c r="L171" s="584"/>
      <c r="M171" s="584"/>
      <c r="N171" s="584"/>
      <c r="O171" s="584"/>
      <c r="P171" s="584"/>
      <c r="Q171" s="584"/>
      <c r="R171" s="584"/>
      <c r="S171" s="584"/>
      <c r="T171" s="584"/>
      <c r="U171" s="584"/>
      <c r="V171" s="584"/>
      <c r="W171" s="584"/>
      <c r="X171" s="584"/>
      <c r="Y171" s="584"/>
      <c r="Z171" s="584"/>
      <c r="AA171" s="659"/>
      <c r="AB171" s="659"/>
    </row>
    <row r="172" ht="14.25" customHeight="1">
      <c r="A172" s="402"/>
      <c r="B172" s="402"/>
      <c r="C172" s="402"/>
      <c r="D172" s="402"/>
      <c r="E172" s="402"/>
      <c r="F172" s="403"/>
      <c r="G172" s="402"/>
      <c r="H172" s="404" t="str">
        <f t="shared" si="10"/>
        <v>FULLY PAID</v>
      </c>
      <c r="I172" s="402"/>
      <c r="J172" s="402"/>
      <c r="K172" s="402"/>
      <c r="L172" s="402"/>
      <c r="M172" s="402"/>
      <c r="N172" s="402"/>
      <c r="O172" s="402"/>
      <c r="P172" s="402"/>
      <c r="Q172" s="402"/>
      <c r="R172" s="402"/>
      <c r="S172" s="402"/>
      <c r="T172" s="402"/>
      <c r="U172" s="402"/>
      <c r="V172" s="402"/>
      <c r="W172" s="402"/>
      <c r="X172" s="402"/>
      <c r="Y172" s="402"/>
      <c r="Z172" s="402"/>
      <c r="AA172" s="405"/>
      <c r="AB172" s="405"/>
    </row>
    <row r="173" ht="14.25" customHeight="1">
      <c r="A173" s="406">
        <v>45510.0</v>
      </c>
      <c r="B173" s="349" t="s">
        <v>4550</v>
      </c>
      <c r="C173" s="349" t="s">
        <v>4551</v>
      </c>
      <c r="D173" s="349" t="s">
        <v>439</v>
      </c>
      <c r="E173" s="349" t="s">
        <v>4552</v>
      </c>
      <c r="F173" s="413">
        <v>11322.0</v>
      </c>
      <c r="G173" s="402"/>
      <c r="H173" s="404" t="str">
        <f t="shared" si="10"/>
        <v>NOT PAID</v>
      </c>
      <c r="I173" s="845" t="s">
        <v>4599</v>
      </c>
      <c r="J173" s="841"/>
      <c r="K173" s="841"/>
      <c r="L173" s="418"/>
      <c r="M173" s="402"/>
      <c r="N173" s="402"/>
      <c r="O173" s="402"/>
      <c r="P173" s="402"/>
      <c r="Q173" s="402"/>
      <c r="R173" s="402"/>
      <c r="S173" s="402"/>
      <c r="T173" s="402"/>
      <c r="U173" s="402"/>
      <c r="V173" s="402"/>
      <c r="W173" s="402"/>
      <c r="X173" s="402"/>
      <c r="Y173" s="402"/>
      <c r="Z173" s="402"/>
      <c r="AA173" s="405"/>
      <c r="AB173" s="405"/>
    </row>
    <row r="174" ht="14.25" customHeight="1">
      <c r="A174" s="406">
        <v>45510.0</v>
      </c>
      <c r="B174" s="349" t="s">
        <v>4554</v>
      </c>
      <c r="C174" s="349" t="s">
        <v>4555</v>
      </c>
      <c r="D174" s="349" t="s">
        <v>439</v>
      </c>
      <c r="E174" s="349" t="s">
        <v>4552</v>
      </c>
      <c r="F174" s="413">
        <v>30393.0</v>
      </c>
      <c r="G174" s="349">
        <v>4000.0</v>
      </c>
      <c r="H174" s="404" t="str">
        <f t="shared" si="10"/>
        <v>PARTIALLY PAID</v>
      </c>
      <c r="I174" s="845" t="s">
        <v>4600</v>
      </c>
      <c r="J174" s="841"/>
      <c r="K174" s="841"/>
      <c r="L174" s="418"/>
      <c r="M174" s="402"/>
      <c r="N174" s="402"/>
      <c r="O174" s="402"/>
      <c r="P174" s="402"/>
      <c r="Q174" s="402"/>
      <c r="R174" s="402"/>
      <c r="S174" s="402"/>
      <c r="T174" s="402"/>
      <c r="U174" s="402"/>
      <c r="V174" s="402"/>
      <c r="W174" s="402"/>
      <c r="X174" s="402"/>
      <c r="Y174" s="402"/>
      <c r="Z174" s="402"/>
      <c r="AA174" s="405"/>
      <c r="AB174" s="405"/>
    </row>
    <row r="175" ht="14.25" customHeight="1">
      <c r="A175" s="406">
        <v>45510.0</v>
      </c>
      <c r="B175" s="349" t="s">
        <v>4587</v>
      </c>
      <c r="C175" s="349" t="s">
        <v>4585</v>
      </c>
      <c r="D175" s="349" t="s">
        <v>439</v>
      </c>
      <c r="E175" s="349" t="s">
        <v>4586</v>
      </c>
      <c r="F175" s="413">
        <v>14320.0</v>
      </c>
      <c r="G175" s="402"/>
      <c r="H175" s="404" t="str">
        <f t="shared" si="10"/>
        <v>NOT PAID</v>
      </c>
      <c r="I175" s="846" t="s">
        <v>4600</v>
      </c>
      <c r="J175" s="844"/>
      <c r="K175" s="844"/>
      <c r="L175" s="344"/>
      <c r="M175" s="402"/>
      <c r="N175" s="402"/>
      <c r="O175" s="402"/>
      <c r="P175" s="402"/>
      <c r="Q175" s="402"/>
      <c r="R175" s="402"/>
      <c r="S175" s="402"/>
      <c r="T175" s="402"/>
      <c r="U175" s="402"/>
      <c r="V175" s="402"/>
      <c r="W175" s="402"/>
      <c r="X175" s="402"/>
      <c r="Y175" s="402"/>
      <c r="Z175" s="402"/>
      <c r="AA175" s="405"/>
      <c r="AB175" s="405"/>
    </row>
    <row r="176" ht="14.25" customHeight="1">
      <c r="A176" s="406">
        <v>45510.0</v>
      </c>
      <c r="B176" s="349" t="s">
        <v>4577</v>
      </c>
      <c r="C176" s="349" t="s">
        <v>4578</v>
      </c>
      <c r="D176" s="349" t="s">
        <v>439</v>
      </c>
      <c r="E176" s="349" t="s">
        <v>4552</v>
      </c>
      <c r="F176" s="413">
        <v>39000.0</v>
      </c>
      <c r="G176" s="402"/>
      <c r="H176" s="404" t="str">
        <f t="shared" si="10"/>
        <v>NOT PAID</v>
      </c>
      <c r="I176" s="846" t="s">
        <v>4601</v>
      </c>
      <c r="J176" s="344"/>
      <c r="K176" s="344"/>
      <c r="L176" s="344"/>
      <c r="M176" s="402"/>
      <c r="N176" s="402"/>
      <c r="O176" s="402"/>
      <c r="P176" s="402"/>
      <c r="Q176" s="402"/>
      <c r="R176" s="402"/>
      <c r="S176" s="402"/>
      <c r="T176" s="402"/>
      <c r="U176" s="402"/>
      <c r="V176" s="402"/>
      <c r="W176" s="402"/>
      <c r="X176" s="402"/>
      <c r="Y176" s="402"/>
      <c r="Z176" s="402"/>
      <c r="AA176" s="405"/>
      <c r="AB176" s="405"/>
    </row>
    <row r="177" ht="14.25" customHeight="1">
      <c r="A177" s="406">
        <v>45510.0</v>
      </c>
      <c r="B177" s="349" t="s">
        <v>4579</v>
      </c>
      <c r="C177" s="349" t="s">
        <v>4580</v>
      </c>
      <c r="D177" s="349" t="s">
        <v>439</v>
      </c>
      <c r="E177" s="349" t="s">
        <v>4552</v>
      </c>
      <c r="F177" s="413">
        <v>45000.0</v>
      </c>
      <c r="G177" s="402"/>
      <c r="H177" s="404" t="str">
        <f t="shared" si="10"/>
        <v>NOT PAID</v>
      </c>
      <c r="I177" s="846" t="s">
        <v>4600</v>
      </c>
      <c r="J177" s="844"/>
      <c r="K177" s="844"/>
      <c r="L177" s="344"/>
      <c r="M177" s="402"/>
      <c r="N177" s="402"/>
      <c r="O177" s="402"/>
      <c r="P177" s="402"/>
      <c r="Q177" s="402"/>
      <c r="R177" s="402"/>
      <c r="S177" s="402"/>
      <c r="T177" s="402"/>
      <c r="U177" s="402"/>
      <c r="V177" s="402"/>
      <c r="W177" s="402"/>
      <c r="X177" s="402"/>
      <c r="Y177" s="402"/>
      <c r="Z177" s="402"/>
      <c r="AA177" s="405"/>
      <c r="AB177" s="405"/>
    </row>
    <row r="178" ht="14.25" customHeight="1">
      <c r="A178" s="406">
        <v>45510.0</v>
      </c>
      <c r="B178" s="349" t="s">
        <v>4565</v>
      </c>
      <c r="C178" s="349" t="s">
        <v>4566</v>
      </c>
      <c r="D178" s="349" t="s">
        <v>439</v>
      </c>
      <c r="E178" s="349" t="s">
        <v>4552</v>
      </c>
      <c r="F178" s="413">
        <v>3168.0</v>
      </c>
      <c r="G178" s="402"/>
      <c r="H178" s="404" t="str">
        <f t="shared" si="10"/>
        <v>NOT PAID</v>
      </c>
      <c r="I178" s="414" t="s">
        <v>4602</v>
      </c>
      <c r="J178" s="344"/>
      <c r="K178" s="344"/>
      <c r="L178" s="344"/>
      <c r="M178" s="402"/>
      <c r="N178" s="402"/>
      <c r="O178" s="402"/>
      <c r="P178" s="402"/>
      <c r="Q178" s="402"/>
      <c r="R178" s="402"/>
      <c r="S178" s="402"/>
      <c r="T178" s="402"/>
      <c r="U178" s="402"/>
      <c r="V178" s="402"/>
      <c r="W178" s="402"/>
      <c r="X178" s="402"/>
      <c r="Y178" s="402"/>
      <c r="Z178" s="402"/>
      <c r="AA178" s="405"/>
      <c r="AB178" s="405"/>
    </row>
    <row r="179" ht="14.25" customHeight="1">
      <c r="A179" s="406">
        <v>45510.0</v>
      </c>
      <c r="B179" s="836" t="s">
        <v>4575</v>
      </c>
      <c r="C179" s="837" t="s">
        <v>4576</v>
      </c>
      <c r="D179" s="408" t="s">
        <v>439</v>
      </c>
      <c r="E179" s="408" t="s">
        <v>4583</v>
      </c>
      <c r="F179" s="428">
        <v>8000.0</v>
      </c>
      <c r="G179" s="402"/>
      <c r="H179" s="404" t="str">
        <f t="shared" si="10"/>
        <v>NOT PAID</v>
      </c>
      <c r="I179" s="843" t="s">
        <v>4570</v>
      </c>
      <c r="J179" s="844"/>
      <c r="K179" s="844"/>
      <c r="L179" s="344"/>
      <c r="M179" s="402"/>
      <c r="N179" s="402"/>
      <c r="O179" s="402"/>
      <c r="P179" s="402"/>
      <c r="Q179" s="402"/>
      <c r="R179" s="402"/>
      <c r="S179" s="402"/>
      <c r="T179" s="402"/>
      <c r="U179" s="402"/>
      <c r="V179" s="402"/>
      <c r="W179" s="402"/>
      <c r="X179" s="402"/>
      <c r="Y179" s="402"/>
      <c r="Z179" s="402"/>
      <c r="AA179" s="405"/>
      <c r="AB179" s="405"/>
    </row>
    <row r="180" ht="14.25" customHeight="1">
      <c r="A180" s="406">
        <v>45510.0</v>
      </c>
      <c r="B180" s="349" t="s">
        <v>4571</v>
      </c>
      <c r="C180" s="349" t="s">
        <v>4572</v>
      </c>
      <c r="D180" s="349" t="s">
        <v>439</v>
      </c>
      <c r="E180" s="349" t="s">
        <v>4583</v>
      </c>
      <c r="F180" s="413">
        <v>23798.0</v>
      </c>
      <c r="G180" s="402"/>
      <c r="H180" s="404" t="str">
        <f t="shared" si="10"/>
        <v>NOT PAID</v>
      </c>
      <c r="I180" s="843" t="s">
        <v>4570</v>
      </c>
      <c r="J180" s="844"/>
      <c r="K180" s="844"/>
      <c r="L180" s="344"/>
      <c r="M180" s="402"/>
      <c r="N180" s="402"/>
      <c r="O180" s="402"/>
      <c r="P180" s="402"/>
      <c r="Q180" s="402"/>
      <c r="R180" s="402"/>
      <c r="S180" s="402"/>
      <c r="T180" s="402"/>
      <c r="U180" s="402"/>
      <c r="V180" s="402"/>
      <c r="W180" s="402"/>
      <c r="X180" s="402"/>
      <c r="Y180" s="402"/>
      <c r="Z180" s="402"/>
      <c r="AA180" s="405"/>
      <c r="AB180" s="405"/>
    </row>
    <row r="181" ht="14.25" customHeight="1">
      <c r="A181" s="406">
        <v>45510.0</v>
      </c>
      <c r="B181" s="349" t="s">
        <v>4573</v>
      </c>
      <c r="C181" s="349" t="s">
        <v>4574</v>
      </c>
      <c r="D181" s="349" t="s">
        <v>439</v>
      </c>
      <c r="E181" s="349" t="s">
        <v>4583</v>
      </c>
      <c r="F181" s="413">
        <v>25000.0</v>
      </c>
      <c r="G181" s="402"/>
      <c r="H181" s="404" t="str">
        <f t="shared" si="10"/>
        <v>NOT PAID</v>
      </c>
      <c r="I181" s="843" t="s">
        <v>4570</v>
      </c>
      <c r="J181" s="844"/>
      <c r="K181" s="844"/>
      <c r="L181" s="344"/>
      <c r="M181" s="402"/>
      <c r="N181" s="402"/>
      <c r="O181" s="402"/>
      <c r="P181" s="402"/>
      <c r="Q181" s="402"/>
      <c r="R181" s="402"/>
      <c r="S181" s="402"/>
      <c r="T181" s="402"/>
      <c r="U181" s="402"/>
      <c r="V181" s="402"/>
      <c r="W181" s="402"/>
      <c r="X181" s="402"/>
      <c r="Y181" s="402"/>
      <c r="Z181" s="402"/>
      <c r="AA181" s="405"/>
      <c r="AB181" s="405"/>
    </row>
    <row r="182" ht="14.25" customHeight="1">
      <c r="A182" s="406">
        <v>45510.0</v>
      </c>
      <c r="B182" s="512" t="s">
        <v>4590</v>
      </c>
      <c r="C182" s="512" t="s">
        <v>4591</v>
      </c>
      <c r="D182" s="349" t="s">
        <v>439</v>
      </c>
      <c r="E182" s="349" t="s">
        <v>4552</v>
      </c>
      <c r="F182" s="559">
        <v>22680.0</v>
      </c>
      <c r="G182" s="402"/>
      <c r="H182" s="404" t="str">
        <f t="shared" si="10"/>
        <v>NOT PAID</v>
      </c>
      <c r="I182" s="414" t="s">
        <v>4602</v>
      </c>
      <c r="J182" s="344"/>
      <c r="K182" s="344"/>
      <c r="L182" s="344"/>
      <c r="M182" s="402"/>
      <c r="N182" s="402"/>
      <c r="O182" s="402"/>
      <c r="P182" s="402"/>
      <c r="Q182" s="402"/>
      <c r="R182" s="402"/>
      <c r="S182" s="402"/>
      <c r="T182" s="402"/>
      <c r="U182" s="402"/>
      <c r="V182" s="402"/>
      <c r="W182" s="402"/>
      <c r="X182" s="402"/>
      <c r="Y182" s="402"/>
      <c r="Z182" s="402"/>
      <c r="AA182" s="405"/>
      <c r="AB182" s="405"/>
    </row>
    <row r="183" ht="14.25" customHeight="1">
      <c r="A183" s="401"/>
      <c r="B183" s="424"/>
      <c r="C183" s="424"/>
      <c r="D183" s="424"/>
      <c r="E183" s="424" t="s">
        <v>23</v>
      </c>
      <c r="F183" s="787">
        <v>222681.0</v>
      </c>
      <c r="G183" s="424">
        <v>4000.0</v>
      </c>
      <c r="H183" s="404" t="str">
        <f t="shared" si="10"/>
        <v>PARTIALLY PAID</v>
      </c>
      <c r="I183" s="584"/>
      <c r="J183" s="584"/>
      <c r="K183" s="584"/>
      <c r="L183" s="584"/>
      <c r="M183" s="584"/>
      <c r="N183" s="584"/>
      <c r="O183" s="584"/>
      <c r="P183" s="584"/>
      <c r="Q183" s="584"/>
      <c r="R183" s="584"/>
      <c r="S183" s="584"/>
      <c r="T183" s="584"/>
      <c r="U183" s="584"/>
      <c r="V183" s="584"/>
      <c r="W183" s="584"/>
      <c r="X183" s="584"/>
      <c r="Y183" s="584"/>
      <c r="Z183" s="584"/>
      <c r="AA183" s="659"/>
      <c r="AB183" s="659"/>
    </row>
    <row r="184" ht="14.25" customHeight="1">
      <c r="A184" s="402"/>
      <c r="B184" s="402"/>
      <c r="C184" s="402"/>
      <c r="D184" s="402"/>
      <c r="E184" s="402"/>
      <c r="F184" s="403"/>
      <c r="G184" s="402"/>
      <c r="H184" s="404"/>
      <c r="I184" s="402"/>
      <c r="J184" s="402"/>
      <c r="K184" s="402"/>
      <c r="L184" s="402"/>
      <c r="M184" s="402"/>
      <c r="N184" s="402"/>
      <c r="O184" s="402"/>
      <c r="P184" s="402"/>
      <c r="Q184" s="402"/>
      <c r="R184" s="402"/>
      <c r="S184" s="402"/>
      <c r="T184" s="402"/>
      <c r="U184" s="402"/>
      <c r="V184" s="402"/>
      <c r="W184" s="402"/>
      <c r="X184" s="402"/>
      <c r="Y184" s="402"/>
      <c r="Z184" s="402"/>
      <c r="AA184" s="405"/>
      <c r="AB184" s="405"/>
    </row>
    <row r="185" ht="14.25" customHeight="1">
      <c r="A185" s="406">
        <v>45511.0</v>
      </c>
      <c r="B185" s="349" t="s">
        <v>4550</v>
      </c>
      <c r="C185" s="349" t="s">
        <v>4551</v>
      </c>
      <c r="D185" s="349" t="s">
        <v>439</v>
      </c>
      <c r="E185" s="349" t="s">
        <v>4552</v>
      </c>
      <c r="F185" s="413">
        <v>11322.0</v>
      </c>
      <c r="G185" s="402"/>
      <c r="H185" s="404" t="str">
        <f t="shared" ref="H185:H195" si="11">IF(G185&gt;=F185,"FULLY PAID",IF(G185=0,"NOT PAID","PARTIALLY PAID"))</f>
        <v>NOT PAID</v>
      </c>
      <c r="I185" s="845" t="s">
        <v>4599</v>
      </c>
      <c r="J185" s="841"/>
      <c r="K185" s="841"/>
      <c r="L185" s="418"/>
      <c r="M185" s="402"/>
      <c r="N185" s="402"/>
      <c r="O185" s="402"/>
      <c r="P185" s="402"/>
      <c r="Q185" s="402"/>
      <c r="R185" s="402"/>
      <c r="S185" s="402"/>
      <c r="T185" s="402"/>
      <c r="U185" s="402"/>
      <c r="V185" s="402"/>
      <c r="W185" s="402"/>
      <c r="X185" s="402"/>
      <c r="Y185" s="402"/>
      <c r="Z185" s="402"/>
      <c r="AA185" s="405"/>
      <c r="AB185" s="405"/>
    </row>
    <row r="186" ht="14.25" customHeight="1">
      <c r="A186" s="406">
        <v>45511.0</v>
      </c>
      <c r="B186" s="349" t="s">
        <v>4554</v>
      </c>
      <c r="C186" s="349" t="s">
        <v>4555</v>
      </c>
      <c r="D186" s="349" t="s">
        <v>439</v>
      </c>
      <c r="E186" s="349" t="s">
        <v>4552</v>
      </c>
      <c r="F186" s="413">
        <v>26393.0</v>
      </c>
      <c r="G186" s="847">
        <v>26400.0</v>
      </c>
      <c r="H186" s="404" t="str">
        <f t="shared" si="11"/>
        <v>FULLY PAID</v>
      </c>
      <c r="I186" s="845" t="s">
        <v>4600</v>
      </c>
      <c r="J186" s="841"/>
      <c r="K186" s="841"/>
      <c r="L186" s="418"/>
      <c r="M186" s="402"/>
      <c r="N186" s="402"/>
      <c r="O186" s="402"/>
      <c r="P186" s="402"/>
      <c r="Q186" s="402"/>
      <c r="R186" s="402"/>
      <c r="S186" s="402"/>
      <c r="T186" s="402"/>
      <c r="U186" s="402"/>
      <c r="V186" s="402"/>
      <c r="W186" s="402"/>
      <c r="X186" s="402"/>
      <c r="Y186" s="402"/>
      <c r="Z186" s="402"/>
      <c r="AA186" s="405"/>
      <c r="AB186" s="405"/>
    </row>
    <row r="187" ht="14.25" customHeight="1">
      <c r="A187" s="406">
        <v>45511.0</v>
      </c>
      <c r="B187" s="349" t="s">
        <v>4587</v>
      </c>
      <c r="C187" s="349" t="s">
        <v>4585</v>
      </c>
      <c r="D187" s="349" t="s">
        <v>439</v>
      </c>
      <c r="E187" s="349" t="s">
        <v>4586</v>
      </c>
      <c r="F187" s="413">
        <v>14320.0</v>
      </c>
      <c r="G187" s="402"/>
      <c r="H187" s="404" t="str">
        <f t="shared" si="11"/>
        <v>NOT PAID</v>
      </c>
      <c r="I187" s="846" t="s">
        <v>4600</v>
      </c>
      <c r="J187" s="844"/>
      <c r="K187" s="844"/>
      <c r="L187" s="344"/>
      <c r="M187" s="402"/>
      <c r="N187" s="402"/>
      <c r="O187" s="402"/>
      <c r="P187" s="402"/>
      <c r="Q187" s="402"/>
      <c r="R187" s="402"/>
      <c r="S187" s="402"/>
      <c r="T187" s="402"/>
      <c r="U187" s="402"/>
      <c r="V187" s="402"/>
      <c r="W187" s="402"/>
      <c r="X187" s="402"/>
      <c r="Y187" s="402"/>
      <c r="Z187" s="402"/>
      <c r="AA187" s="405"/>
      <c r="AB187" s="405"/>
    </row>
    <row r="188" ht="14.25" customHeight="1">
      <c r="A188" s="406">
        <v>45511.0</v>
      </c>
      <c r="B188" s="349" t="s">
        <v>4577</v>
      </c>
      <c r="C188" s="349" t="s">
        <v>4578</v>
      </c>
      <c r="D188" s="349" t="s">
        <v>439</v>
      </c>
      <c r="E188" s="349" t="s">
        <v>4552</v>
      </c>
      <c r="F188" s="413">
        <v>77000.0</v>
      </c>
      <c r="G188" s="402"/>
      <c r="H188" s="404" t="str">
        <f t="shared" si="11"/>
        <v>NOT PAID</v>
      </c>
      <c r="I188" s="846" t="s">
        <v>4601</v>
      </c>
      <c r="J188" s="344"/>
      <c r="K188" s="344"/>
      <c r="L188" s="344"/>
      <c r="M188" s="402"/>
      <c r="N188" s="402"/>
      <c r="O188" s="402"/>
      <c r="P188" s="402"/>
      <c r="Q188" s="402"/>
      <c r="R188" s="402"/>
      <c r="S188" s="402"/>
      <c r="T188" s="402"/>
      <c r="U188" s="402"/>
      <c r="V188" s="402"/>
      <c r="W188" s="402"/>
      <c r="X188" s="402"/>
      <c r="Y188" s="402"/>
      <c r="Z188" s="402"/>
      <c r="AA188" s="405"/>
      <c r="AB188" s="405"/>
    </row>
    <row r="189" ht="14.25" customHeight="1">
      <c r="A189" s="406">
        <v>45511.0</v>
      </c>
      <c r="B189" s="349" t="s">
        <v>4579</v>
      </c>
      <c r="C189" s="349" t="s">
        <v>4580</v>
      </c>
      <c r="D189" s="349" t="s">
        <v>439</v>
      </c>
      <c r="E189" s="349" t="s">
        <v>4552</v>
      </c>
      <c r="F189" s="413">
        <v>45000.0</v>
      </c>
      <c r="G189" s="683">
        <v>45000.0</v>
      </c>
      <c r="H189" s="404" t="str">
        <f t="shared" si="11"/>
        <v>FULLY PAID</v>
      </c>
      <c r="I189" s="846" t="s">
        <v>4600</v>
      </c>
      <c r="J189" s="844"/>
      <c r="K189" s="844"/>
      <c r="L189" s="344"/>
      <c r="M189" s="402"/>
      <c r="N189" s="402"/>
      <c r="O189" s="402"/>
      <c r="P189" s="402"/>
      <c r="Q189" s="402"/>
      <c r="R189" s="402"/>
      <c r="S189" s="402"/>
      <c r="T189" s="402"/>
      <c r="U189" s="402"/>
      <c r="V189" s="402"/>
      <c r="W189" s="402"/>
      <c r="X189" s="402"/>
      <c r="Y189" s="402"/>
      <c r="Z189" s="402"/>
      <c r="AA189" s="405"/>
      <c r="AB189" s="405"/>
    </row>
    <row r="190" ht="14.25" customHeight="1">
      <c r="A190" s="406">
        <v>45511.0</v>
      </c>
      <c r="B190" s="349" t="s">
        <v>4565</v>
      </c>
      <c r="C190" s="349" t="s">
        <v>4566</v>
      </c>
      <c r="D190" s="349" t="s">
        <v>439</v>
      </c>
      <c r="E190" s="349" t="s">
        <v>4552</v>
      </c>
      <c r="F190" s="413">
        <v>3168.0</v>
      </c>
      <c r="G190" s="847">
        <v>2000.0</v>
      </c>
      <c r="H190" s="404" t="str">
        <f t="shared" si="11"/>
        <v>PARTIALLY PAID</v>
      </c>
      <c r="I190" s="414" t="s">
        <v>4602</v>
      </c>
      <c r="J190" s="344"/>
      <c r="K190" s="344"/>
      <c r="L190" s="344"/>
      <c r="M190" s="402"/>
      <c r="N190" s="402"/>
      <c r="O190" s="402"/>
      <c r="P190" s="402"/>
      <c r="Q190" s="402"/>
      <c r="R190" s="402"/>
      <c r="S190" s="402"/>
      <c r="T190" s="402"/>
      <c r="U190" s="402"/>
      <c r="V190" s="402"/>
      <c r="W190" s="402"/>
      <c r="X190" s="402"/>
      <c r="Y190" s="402"/>
      <c r="Z190" s="402"/>
      <c r="AA190" s="405"/>
      <c r="AB190" s="405"/>
    </row>
    <row r="191" ht="14.25" customHeight="1">
      <c r="A191" s="406">
        <v>45511.0</v>
      </c>
      <c r="B191" s="836" t="s">
        <v>4575</v>
      </c>
      <c r="C191" s="837" t="s">
        <v>4576</v>
      </c>
      <c r="D191" s="408" t="s">
        <v>439</v>
      </c>
      <c r="E191" s="420" t="s">
        <v>4583</v>
      </c>
      <c r="F191" s="428">
        <v>8000.0</v>
      </c>
      <c r="G191" s="402"/>
      <c r="H191" s="404" t="str">
        <f t="shared" si="11"/>
        <v>NOT PAID</v>
      </c>
      <c r="I191" s="843" t="s">
        <v>4570</v>
      </c>
      <c r="J191" s="844"/>
      <c r="K191" s="844"/>
      <c r="L191" s="344"/>
      <c r="M191" s="402"/>
      <c r="N191" s="402"/>
      <c r="O191" s="402"/>
      <c r="P191" s="402"/>
      <c r="Q191" s="402"/>
      <c r="R191" s="402"/>
      <c r="S191" s="402"/>
      <c r="T191" s="402"/>
      <c r="U191" s="402"/>
      <c r="V191" s="402"/>
      <c r="W191" s="402"/>
      <c r="X191" s="402"/>
      <c r="Y191" s="402"/>
      <c r="Z191" s="402"/>
      <c r="AA191" s="405"/>
      <c r="AB191" s="405"/>
    </row>
    <row r="192" ht="14.25" customHeight="1">
      <c r="A192" s="406">
        <v>45511.0</v>
      </c>
      <c r="B192" s="349" t="s">
        <v>4571</v>
      </c>
      <c r="C192" s="349" t="s">
        <v>4572</v>
      </c>
      <c r="D192" s="349" t="s">
        <v>439</v>
      </c>
      <c r="E192" s="349" t="s">
        <v>4552</v>
      </c>
      <c r="F192" s="413">
        <v>16798.0</v>
      </c>
      <c r="G192" s="787">
        <v>10000.0</v>
      </c>
      <c r="H192" s="404" t="str">
        <f t="shared" si="11"/>
        <v>PARTIALLY PAID</v>
      </c>
      <c r="I192" s="843" t="s">
        <v>4570</v>
      </c>
      <c r="J192" s="844"/>
      <c r="K192" s="844"/>
      <c r="L192" s="344"/>
      <c r="M192" s="402"/>
      <c r="N192" s="402"/>
      <c r="O192" s="402"/>
      <c r="P192" s="402"/>
      <c r="Q192" s="402"/>
      <c r="R192" s="402"/>
      <c r="S192" s="402"/>
      <c r="T192" s="402"/>
      <c r="U192" s="402"/>
      <c r="V192" s="402"/>
      <c r="W192" s="402"/>
      <c r="X192" s="402"/>
      <c r="Y192" s="402"/>
      <c r="Z192" s="402"/>
      <c r="AA192" s="405"/>
      <c r="AB192" s="405"/>
    </row>
    <row r="193" ht="14.25" customHeight="1">
      <c r="A193" s="406">
        <v>45511.0</v>
      </c>
      <c r="B193" s="349" t="s">
        <v>4573</v>
      </c>
      <c r="C193" s="349" t="s">
        <v>4574</v>
      </c>
      <c r="D193" s="349" t="s">
        <v>439</v>
      </c>
      <c r="E193" s="349" t="s">
        <v>4583</v>
      </c>
      <c r="F193" s="413">
        <v>25000.0</v>
      </c>
      <c r="G193" s="402"/>
      <c r="H193" s="404" t="str">
        <f t="shared" si="11"/>
        <v>NOT PAID</v>
      </c>
      <c r="I193" s="843" t="s">
        <v>4570</v>
      </c>
      <c r="J193" s="844"/>
      <c r="K193" s="844"/>
      <c r="L193" s="344"/>
      <c r="M193" s="402"/>
      <c r="N193" s="402"/>
      <c r="O193" s="402"/>
      <c r="P193" s="402"/>
      <c r="Q193" s="402"/>
      <c r="R193" s="402"/>
      <c r="S193" s="402"/>
      <c r="T193" s="402"/>
      <c r="U193" s="402"/>
      <c r="V193" s="402"/>
      <c r="W193" s="402"/>
      <c r="X193" s="402"/>
      <c r="Y193" s="402"/>
      <c r="Z193" s="402"/>
      <c r="AA193" s="405"/>
      <c r="AB193" s="405"/>
    </row>
    <row r="194" ht="14.25" customHeight="1">
      <c r="A194" s="406">
        <v>45511.0</v>
      </c>
      <c r="B194" s="512" t="s">
        <v>4590</v>
      </c>
      <c r="C194" s="512" t="s">
        <v>4591</v>
      </c>
      <c r="D194" s="349" t="s">
        <v>439</v>
      </c>
      <c r="E194" s="349" t="s">
        <v>4552</v>
      </c>
      <c r="F194" s="559">
        <v>22680.0</v>
      </c>
      <c r="G194" s="683">
        <v>14000.0</v>
      </c>
      <c r="H194" s="404" t="str">
        <f t="shared" si="11"/>
        <v>PARTIALLY PAID</v>
      </c>
      <c r="I194" s="414" t="s">
        <v>4602</v>
      </c>
      <c r="J194" s="344"/>
      <c r="K194" s="344"/>
      <c r="L194" s="344"/>
      <c r="M194" s="402"/>
      <c r="N194" s="402"/>
      <c r="O194" s="402"/>
      <c r="P194" s="402"/>
      <c r="Q194" s="402"/>
      <c r="R194" s="402"/>
      <c r="S194" s="402"/>
      <c r="T194" s="402"/>
      <c r="U194" s="402"/>
      <c r="V194" s="402"/>
      <c r="W194" s="402"/>
      <c r="X194" s="402"/>
      <c r="Y194" s="402"/>
      <c r="Z194" s="402"/>
      <c r="AA194" s="405"/>
      <c r="AB194" s="405"/>
    </row>
    <row r="195" ht="14.25" customHeight="1">
      <c r="A195" s="584"/>
      <c r="B195" s="584"/>
      <c r="C195" s="584"/>
      <c r="D195" s="584"/>
      <c r="E195" s="424" t="s">
        <v>23</v>
      </c>
      <c r="F195" s="787">
        <v>256681.0</v>
      </c>
      <c r="G195" s="839">
        <v>97400.0</v>
      </c>
      <c r="H195" s="404" t="str">
        <f t="shared" si="11"/>
        <v>PARTIALLY PAID</v>
      </c>
      <c r="I195" s="584"/>
      <c r="J195" s="584"/>
      <c r="K195" s="584"/>
      <c r="L195" s="584"/>
      <c r="M195" s="584"/>
      <c r="N195" s="584"/>
      <c r="O195" s="584"/>
      <c r="P195" s="584"/>
      <c r="Q195" s="584"/>
      <c r="R195" s="584"/>
      <c r="S195" s="584"/>
      <c r="T195" s="584"/>
      <c r="U195" s="584"/>
      <c r="V195" s="584"/>
      <c r="W195" s="584"/>
      <c r="X195" s="584"/>
      <c r="Y195" s="584"/>
      <c r="Z195" s="584"/>
      <c r="AA195" s="659"/>
      <c r="AB195" s="659"/>
    </row>
    <row r="196" ht="14.25" customHeight="1">
      <c r="A196" s="402"/>
      <c r="B196" s="402"/>
      <c r="C196" s="402"/>
      <c r="D196" s="402"/>
      <c r="E196" s="402"/>
      <c r="F196" s="403"/>
      <c r="G196" s="402"/>
      <c r="H196" s="404"/>
      <c r="I196" s="402"/>
      <c r="J196" s="402"/>
      <c r="K196" s="402"/>
      <c r="L196" s="402"/>
      <c r="M196" s="402"/>
      <c r="N196" s="402"/>
      <c r="O196" s="402"/>
      <c r="P196" s="402"/>
      <c r="Q196" s="402"/>
      <c r="R196" s="402"/>
      <c r="S196" s="402"/>
      <c r="T196" s="402"/>
      <c r="U196" s="402"/>
      <c r="V196" s="402"/>
      <c r="W196" s="402"/>
      <c r="X196" s="402"/>
      <c r="Y196" s="402"/>
      <c r="Z196" s="402"/>
      <c r="AA196" s="405"/>
      <c r="AB196" s="405"/>
    </row>
    <row r="197" ht="14.25" customHeight="1">
      <c r="A197" s="406">
        <v>45512.0</v>
      </c>
      <c r="B197" s="419" t="s">
        <v>4550</v>
      </c>
      <c r="C197" s="420" t="s">
        <v>4551</v>
      </c>
      <c r="D197" s="420" t="s">
        <v>439</v>
      </c>
      <c r="E197" s="420" t="s">
        <v>4603</v>
      </c>
      <c r="F197" s="445">
        <v>12322.0</v>
      </c>
      <c r="G197" s="402"/>
      <c r="H197" s="404" t="str">
        <f t="shared" ref="H197:H265" si="12">IF(G197&gt;=F197,"FULLY PAID",IF(G197=0,"NOT PAID","PARTIALLY PAID"))</f>
        <v>NOT PAID</v>
      </c>
      <c r="I197" s="845" t="s">
        <v>4599</v>
      </c>
      <c r="J197" s="841"/>
      <c r="K197" s="841"/>
      <c r="L197" s="418"/>
      <c r="M197" s="402"/>
      <c r="N197" s="402"/>
      <c r="O197" s="402"/>
      <c r="P197" s="402"/>
      <c r="Q197" s="402"/>
      <c r="R197" s="402"/>
      <c r="S197" s="402"/>
      <c r="T197" s="402"/>
      <c r="U197" s="402"/>
      <c r="V197" s="402"/>
      <c r="W197" s="402"/>
      <c r="X197" s="402"/>
      <c r="Y197" s="402"/>
      <c r="Z197" s="402"/>
      <c r="AA197" s="405"/>
      <c r="AB197" s="405"/>
    </row>
    <row r="198" ht="14.25" customHeight="1">
      <c r="A198" s="406">
        <v>45512.0</v>
      </c>
      <c r="B198" s="414" t="s">
        <v>4587</v>
      </c>
      <c r="C198" s="415" t="s">
        <v>4585</v>
      </c>
      <c r="D198" s="415" t="s">
        <v>439</v>
      </c>
      <c r="E198" s="415" t="s">
        <v>4586</v>
      </c>
      <c r="F198" s="442">
        <v>14320.0</v>
      </c>
      <c r="G198" s="402"/>
      <c r="H198" s="404" t="str">
        <f t="shared" si="12"/>
        <v>NOT PAID</v>
      </c>
      <c r="I198" s="845" t="s">
        <v>4600</v>
      </c>
      <c r="J198" s="841"/>
      <c r="K198" s="841"/>
      <c r="L198" s="418"/>
      <c r="M198" s="402"/>
      <c r="N198" s="402"/>
      <c r="O198" s="402"/>
      <c r="P198" s="402"/>
      <c r="Q198" s="402"/>
      <c r="R198" s="402"/>
      <c r="S198" s="402"/>
      <c r="T198" s="402"/>
      <c r="U198" s="402"/>
      <c r="V198" s="402"/>
      <c r="W198" s="402"/>
      <c r="X198" s="402"/>
      <c r="Y198" s="402"/>
      <c r="Z198" s="402"/>
      <c r="AA198" s="405"/>
      <c r="AB198" s="405"/>
    </row>
    <row r="199" ht="14.25" customHeight="1">
      <c r="A199" s="406">
        <v>45512.0</v>
      </c>
      <c r="B199" s="414" t="s">
        <v>4577</v>
      </c>
      <c r="C199" s="415" t="s">
        <v>4578</v>
      </c>
      <c r="D199" s="415" t="s">
        <v>439</v>
      </c>
      <c r="E199" s="415" t="s">
        <v>4603</v>
      </c>
      <c r="F199" s="442">
        <v>77000.0</v>
      </c>
      <c r="G199" s="402"/>
      <c r="H199" s="404" t="str">
        <f t="shared" si="12"/>
        <v>NOT PAID</v>
      </c>
      <c r="I199" s="846" t="s">
        <v>4600</v>
      </c>
      <c r="J199" s="844"/>
      <c r="K199" s="844"/>
      <c r="L199" s="344"/>
      <c r="M199" s="402"/>
      <c r="N199" s="402"/>
      <c r="O199" s="402"/>
      <c r="P199" s="402"/>
      <c r="Q199" s="402"/>
      <c r="R199" s="402"/>
      <c r="S199" s="402"/>
      <c r="T199" s="402"/>
      <c r="U199" s="402"/>
      <c r="V199" s="402"/>
      <c r="W199" s="402"/>
      <c r="X199" s="402"/>
      <c r="Y199" s="402"/>
      <c r="Z199" s="402"/>
      <c r="AA199" s="405"/>
      <c r="AB199" s="405"/>
    </row>
    <row r="200" ht="14.25" customHeight="1">
      <c r="A200" s="406">
        <v>45512.0</v>
      </c>
      <c r="B200" s="414" t="s">
        <v>4565</v>
      </c>
      <c r="C200" s="415" t="s">
        <v>4566</v>
      </c>
      <c r="D200" s="415" t="s">
        <v>439</v>
      </c>
      <c r="E200" s="415" t="s">
        <v>4603</v>
      </c>
      <c r="F200" s="442">
        <v>6800.0</v>
      </c>
      <c r="G200" s="402"/>
      <c r="H200" s="404" t="str">
        <f t="shared" si="12"/>
        <v>NOT PAID</v>
      </c>
      <c r="I200" s="846" t="s">
        <v>4601</v>
      </c>
      <c r="J200" s="344"/>
      <c r="K200" s="344"/>
      <c r="L200" s="344"/>
      <c r="M200" s="402"/>
      <c r="N200" s="402"/>
      <c r="O200" s="402"/>
      <c r="P200" s="402"/>
      <c r="Q200" s="402"/>
      <c r="R200" s="402"/>
      <c r="S200" s="402"/>
      <c r="T200" s="402"/>
      <c r="U200" s="402"/>
      <c r="V200" s="402"/>
      <c r="W200" s="402"/>
      <c r="X200" s="402"/>
      <c r="Y200" s="402"/>
      <c r="Z200" s="402"/>
      <c r="AA200" s="405"/>
      <c r="AB200" s="405"/>
    </row>
    <row r="201" ht="14.25" customHeight="1">
      <c r="A201" s="406">
        <v>45512.0</v>
      </c>
      <c r="B201" s="414" t="s">
        <v>4575</v>
      </c>
      <c r="C201" s="415" t="s">
        <v>4576</v>
      </c>
      <c r="D201" s="415" t="s">
        <v>439</v>
      </c>
      <c r="E201" s="415" t="s">
        <v>4558</v>
      </c>
      <c r="F201" s="442">
        <v>6900.0</v>
      </c>
      <c r="G201" s="683"/>
      <c r="H201" s="404" t="str">
        <f t="shared" si="12"/>
        <v>NOT PAID</v>
      </c>
      <c r="I201" s="846" t="s">
        <v>4600</v>
      </c>
      <c r="J201" s="844"/>
      <c r="K201" s="844"/>
      <c r="L201" s="344"/>
      <c r="M201" s="402"/>
      <c r="N201" s="402"/>
      <c r="O201" s="402"/>
      <c r="P201" s="402"/>
      <c r="Q201" s="402"/>
      <c r="R201" s="402"/>
      <c r="S201" s="402"/>
      <c r="T201" s="402"/>
      <c r="U201" s="402"/>
      <c r="V201" s="402"/>
      <c r="W201" s="402"/>
      <c r="X201" s="402"/>
      <c r="Y201" s="402"/>
      <c r="Z201" s="402"/>
      <c r="AA201" s="405"/>
      <c r="AB201" s="405"/>
    </row>
    <row r="202" ht="14.25" customHeight="1">
      <c r="A202" s="406">
        <v>45512.0</v>
      </c>
      <c r="B202" s="349" t="s">
        <v>4571</v>
      </c>
      <c r="C202" s="349" t="s">
        <v>4572</v>
      </c>
      <c r="D202" s="349" t="s">
        <v>439</v>
      </c>
      <c r="E202" s="349" t="s">
        <v>4603</v>
      </c>
      <c r="F202" s="413">
        <v>5500.0</v>
      </c>
      <c r="G202" s="424">
        <v>500.0</v>
      </c>
      <c r="H202" s="404" t="str">
        <f t="shared" si="12"/>
        <v>PARTIALLY PAID</v>
      </c>
      <c r="I202" s="414" t="s">
        <v>4604</v>
      </c>
      <c r="J202" s="344"/>
      <c r="K202" s="344"/>
      <c r="L202" s="344"/>
      <c r="M202" s="402"/>
      <c r="N202" s="402"/>
      <c r="O202" s="402"/>
      <c r="P202" s="402"/>
      <c r="Q202" s="402"/>
      <c r="R202" s="402"/>
      <c r="S202" s="402"/>
      <c r="T202" s="402"/>
      <c r="U202" s="402"/>
      <c r="V202" s="402"/>
      <c r="W202" s="402"/>
      <c r="X202" s="402"/>
      <c r="Y202" s="402"/>
      <c r="Z202" s="402"/>
      <c r="AA202" s="405"/>
      <c r="AB202" s="405"/>
    </row>
    <row r="203" ht="14.25" customHeight="1">
      <c r="A203" s="406">
        <v>45512.0</v>
      </c>
      <c r="B203" s="407" t="s">
        <v>4568</v>
      </c>
      <c r="C203" s="408" t="s">
        <v>4569</v>
      </c>
      <c r="D203" s="408" t="s">
        <v>439</v>
      </c>
      <c r="E203" s="408" t="s">
        <v>4552</v>
      </c>
      <c r="F203" s="413">
        <v>19000.0</v>
      </c>
      <c r="G203" s="787">
        <v>19036.0</v>
      </c>
      <c r="H203" s="404" t="str">
        <f t="shared" si="12"/>
        <v>FULLY PAID</v>
      </c>
      <c r="I203" s="843"/>
      <c r="J203" s="844"/>
      <c r="K203" s="844"/>
      <c r="L203" s="344"/>
      <c r="M203" s="402"/>
      <c r="N203" s="402"/>
      <c r="O203" s="402"/>
      <c r="P203" s="402"/>
      <c r="Q203" s="402"/>
      <c r="R203" s="402"/>
      <c r="S203" s="402"/>
      <c r="T203" s="402"/>
      <c r="U203" s="402"/>
      <c r="V203" s="402"/>
      <c r="W203" s="402"/>
      <c r="X203" s="402"/>
      <c r="Y203" s="402"/>
      <c r="Z203" s="402"/>
      <c r="AA203" s="405"/>
      <c r="AB203" s="405"/>
    </row>
    <row r="204" ht="14.25" customHeight="1">
      <c r="A204" s="406">
        <v>45512.0</v>
      </c>
      <c r="B204" s="349" t="s">
        <v>4590</v>
      </c>
      <c r="C204" s="349" t="s">
        <v>4591</v>
      </c>
      <c r="D204" s="349" t="s">
        <v>439</v>
      </c>
      <c r="E204" s="349" t="s">
        <v>4603</v>
      </c>
      <c r="F204" s="413">
        <v>8680.0</v>
      </c>
      <c r="G204" s="402"/>
      <c r="H204" s="404" t="str">
        <f t="shared" si="12"/>
        <v>NOT PAID</v>
      </c>
      <c r="I204" s="846" t="s">
        <v>4605</v>
      </c>
      <c r="J204" s="844"/>
      <c r="K204" s="844"/>
      <c r="L204" s="344"/>
      <c r="M204" s="402"/>
      <c r="N204" s="402"/>
      <c r="O204" s="402"/>
      <c r="P204" s="402"/>
      <c r="Q204" s="402"/>
      <c r="R204" s="402"/>
      <c r="S204" s="402"/>
      <c r="T204" s="402"/>
      <c r="U204" s="402"/>
      <c r="V204" s="402"/>
      <c r="W204" s="402"/>
      <c r="X204" s="402"/>
      <c r="Y204" s="402"/>
      <c r="Z204" s="402"/>
      <c r="AA204" s="405"/>
      <c r="AB204" s="405"/>
    </row>
    <row r="205" ht="14.25" customHeight="1">
      <c r="A205" s="584"/>
      <c r="B205" s="584"/>
      <c r="C205" s="584"/>
      <c r="D205" s="584"/>
      <c r="E205" s="424" t="s">
        <v>23</v>
      </c>
      <c r="F205" s="787">
        <v>150522.0</v>
      </c>
      <c r="G205" s="584">
        <f>SUM(G197:G204)</f>
        <v>19536</v>
      </c>
      <c r="H205" s="404" t="str">
        <f t="shared" si="12"/>
        <v>PARTIALLY PAID</v>
      </c>
      <c r="I205" s="843"/>
      <c r="J205" s="844"/>
      <c r="K205" s="844"/>
      <c r="L205" s="344"/>
      <c r="M205" s="584"/>
      <c r="N205" s="584"/>
      <c r="O205" s="584"/>
      <c r="P205" s="584"/>
      <c r="Q205" s="584"/>
      <c r="R205" s="584"/>
      <c r="S205" s="584"/>
      <c r="T205" s="584"/>
      <c r="U205" s="584"/>
      <c r="V205" s="584"/>
      <c r="W205" s="584"/>
      <c r="X205" s="584"/>
      <c r="Y205" s="584"/>
      <c r="Z205" s="584"/>
      <c r="AA205" s="659"/>
      <c r="AB205" s="659"/>
    </row>
    <row r="206" ht="14.25" customHeight="1">
      <c r="A206" s="402"/>
      <c r="B206" s="402"/>
      <c r="C206" s="402"/>
      <c r="D206" s="402"/>
      <c r="E206" s="402"/>
      <c r="F206" s="403"/>
      <c r="G206" s="402"/>
      <c r="H206" s="404" t="str">
        <f t="shared" si="12"/>
        <v>FULLY PAID</v>
      </c>
      <c r="I206" s="414"/>
      <c r="J206" s="344"/>
      <c r="K206" s="344"/>
      <c r="L206" s="344"/>
      <c r="M206" s="402"/>
      <c r="N206" s="402"/>
      <c r="O206" s="402"/>
      <c r="P206" s="402"/>
      <c r="Q206" s="402"/>
      <c r="R206" s="402"/>
      <c r="S206" s="402"/>
      <c r="T206" s="402"/>
      <c r="U206" s="402"/>
      <c r="V206" s="402"/>
      <c r="W206" s="402"/>
      <c r="X206" s="402"/>
      <c r="Y206" s="402"/>
      <c r="Z206" s="402"/>
      <c r="AA206" s="405"/>
      <c r="AB206" s="405"/>
    </row>
    <row r="207" ht="14.25" customHeight="1">
      <c r="A207" s="402"/>
      <c r="B207" s="402"/>
      <c r="C207" s="402"/>
      <c r="D207" s="402"/>
      <c r="E207" s="402"/>
      <c r="F207" s="403"/>
      <c r="G207" s="402"/>
      <c r="H207" s="404" t="str">
        <f t="shared" si="12"/>
        <v>FULLY PAID</v>
      </c>
      <c r="I207" s="402"/>
      <c r="J207" s="402"/>
      <c r="K207" s="402"/>
      <c r="L207" s="402"/>
      <c r="M207" s="402"/>
      <c r="N207" s="402"/>
      <c r="O207" s="402"/>
      <c r="P207" s="402"/>
      <c r="Q207" s="402"/>
      <c r="R207" s="402"/>
      <c r="S207" s="402"/>
      <c r="T207" s="402"/>
      <c r="U207" s="402"/>
      <c r="V207" s="402"/>
      <c r="W207" s="402"/>
      <c r="X207" s="402"/>
      <c r="Y207" s="402"/>
      <c r="Z207" s="402"/>
      <c r="AA207" s="405"/>
      <c r="AB207" s="405"/>
    </row>
    <row r="208" ht="14.25" customHeight="1">
      <c r="A208" s="406">
        <v>45513.0</v>
      </c>
      <c r="B208" s="419" t="s">
        <v>4550</v>
      </c>
      <c r="C208" s="420" t="s">
        <v>4551</v>
      </c>
      <c r="D208" s="420" t="s">
        <v>439</v>
      </c>
      <c r="E208" s="420" t="s">
        <v>4603</v>
      </c>
      <c r="F208" s="445">
        <v>12322.0</v>
      </c>
      <c r="G208" s="402"/>
      <c r="H208" s="404" t="str">
        <f t="shared" si="12"/>
        <v>NOT PAID</v>
      </c>
      <c r="I208" s="349" t="s">
        <v>4606</v>
      </c>
      <c r="J208" s="402"/>
      <c r="K208" s="402"/>
      <c r="L208" s="402"/>
      <c r="M208" s="402"/>
      <c r="N208" s="402"/>
      <c r="O208" s="402"/>
      <c r="P208" s="402"/>
      <c r="Q208" s="402"/>
      <c r="R208" s="402"/>
      <c r="S208" s="402"/>
      <c r="T208" s="402"/>
      <c r="U208" s="402"/>
      <c r="V208" s="402"/>
      <c r="W208" s="402"/>
      <c r="X208" s="402"/>
      <c r="Y208" s="402"/>
      <c r="Z208" s="402"/>
      <c r="AA208" s="405"/>
      <c r="AB208" s="405"/>
    </row>
    <row r="209" ht="14.25" customHeight="1">
      <c r="A209" s="406">
        <v>45513.0</v>
      </c>
      <c r="B209" s="414" t="s">
        <v>4587</v>
      </c>
      <c r="C209" s="415" t="s">
        <v>4585</v>
      </c>
      <c r="D209" s="415" t="s">
        <v>439</v>
      </c>
      <c r="E209" s="415" t="s">
        <v>4586</v>
      </c>
      <c r="F209" s="442">
        <v>14320.0</v>
      </c>
      <c r="G209" s="402"/>
      <c r="H209" s="404" t="str">
        <f t="shared" si="12"/>
        <v>NOT PAID</v>
      </c>
      <c r="I209" s="349" t="s">
        <v>4606</v>
      </c>
      <c r="J209" s="402"/>
      <c r="K209" s="402"/>
      <c r="L209" s="402"/>
      <c r="M209" s="402"/>
      <c r="N209" s="402"/>
      <c r="O209" s="402"/>
      <c r="P209" s="402"/>
      <c r="Q209" s="402"/>
      <c r="R209" s="402"/>
      <c r="S209" s="402"/>
      <c r="T209" s="402"/>
      <c r="U209" s="402"/>
      <c r="V209" s="402"/>
      <c r="W209" s="402"/>
      <c r="X209" s="402"/>
      <c r="Y209" s="402"/>
      <c r="Z209" s="402"/>
      <c r="AA209" s="405"/>
      <c r="AB209" s="405"/>
    </row>
    <row r="210" ht="14.25" customHeight="1">
      <c r="A210" s="406">
        <v>45513.0</v>
      </c>
      <c r="B210" s="414" t="s">
        <v>4577</v>
      </c>
      <c r="C210" s="415" t="s">
        <v>4578</v>
      </c>
      <c r="D210" s="415" t="s">
        <v>439</v>
      </c>
      <c r="E210" s="415" t="s">
        <v>4603</v>
      </c>
      <c r="F210" s="442">
        <v>77000.0</v>
      </c>
      <c r="G210" s="402"/>
      <c r="H210" s="404" t="str">
        <f t="shared" si="12"/>
        <v>NOT PAID</v>
      </c>
      <c r="I210" s="349" t="s">
        <v>4607</v>
      </c>
      <c r="J210" s="402"/>
      <c r="K210" s="402"/>
      <c r="L210" s="402"/>
      <c r="M210" s="402"/>
      <c r="N210" s="402"/>
      <c r="O210" s="402"/>
      <c r="P210" s="402"/>
      <c r="Q210" s="402"/>
      <c r="R210" s="402"/>
      <c r="S210" s="402"/>
      <c r="T210" s="402"/>
      <c r="U210" s="402"/>
      <c r="V210" s="402"/>
      <c r="W210" s="402"/>
      <c r="X210" s="402"/>
      <c r="Y210" s="402"/>
      <c r="Z210" s="402"/>
      <c r="AA210" s="405"/>
      <c r="AB210" s="405"/>
    </row>
    <row r="211" ht="14.25" customHeight="1">
      <c r="A211" s="406">
        <v>45513.0</v>
      </c>
      <c r="B211" s="414" t="s">
        <v>4565</v>
      </c>
      <c r="C211" s="415" t="s">
        <v>4566</v>
      </c>
      <c r="D211" s="415" t="s">
        <v>439</v>
      </c>
      <c r="E211" s="415" t="s">
        <v>4603</v>
      </c>
      <c r="F211" s="442">
        <v>6800.0</v>
      </c>
      <c r="G211" s="402"/>
      <c r="H211" s="404" t="str">
        <f t="shared" si="12"/>
        <v>NOT PAID</v>
      </c>
      <c r="I211" s="349" t="s">
        <v>4606</v>
      </c>
      <c r="J211" s="402"/>
      <c r="K211" s="402"/>
      <c r="L211" s="402"/>
      <c r="M211" s="402"/>
      <c r="N211" s="402"/>
      <c r="O211" s="402"/>
      <c r="P211" s="402"/>
      <c r="Q211" s="402"/>
      <c r="R211" s="402"/>
      <c r="S211" s="402"/>
      <c r="T211" s="402"/>
      <c r="U211" s="402"/>
      <c r="V211" s="402"/>
      <c r="W211" s="402"/>
      <c r="X211" s="402"/>
      <c r="Y211" s="402"/>
      <c r="Z211" s="402"/>
      <c r="AA211" s="405"/>
      <c r="AB211" s="405"/>
    </row>
    <row r="212" ht="14.25" customHeight="1">
      <c r="A212" s="406">
        <v>45513.0</v>
      </c>
      <c r="B212" s="414" t="s">
        <v>4575</v>
      </c>
      <c r="C212" s="415" t="s">
        <v>4576</v>
      </c>
      <c r="D212" s="415" t="s">
        <v>439</v>
      </c>
      <c r="E212" s="415" t="s">
        <v>4558</v>
      </c>
      <c r="F212" s="442">
        <v>6900.0</v>
      </c>
      <c r="G212" s="402"/>
      <c r="H212" s="404" t="str">
        <f t="shared" si="12"/>
        <v>NOT PAID</v>
      </c>
      <c r="I212" s="349" t="s">
        <v>4606</v>
      </c>
      <c r="J212" s="402"/>
      <c r="K212" s="402"/>
      <c r="L212" s="402"/>
      <c r="M212" s="402"/>
      <c r="N212" s="402"/>
      <c r="O212" s="402"/>
      <c r="P212" s="402"/>
      <c r="Q212" s="402"/>
      <c r="R212" s="402"/>
      <c r="S212" s="402"/>
      <c r="T212" s="402"/>
      <c r="U212" s="402"/>
      <c r="V212" s="402"/>
      <c r="W212" s="402"/>
      <c r="X212" s="402"/>
      <c r="Y212" s="402"/>
      <c r="Z212" s="402"/>
      <c r="AA212" s="405"/>
      <c r="AB212" s="405"/>
    </row>
    <row r="213" ht="14.25" customHeight="1">
      <c r="A213" s="406">
        <v>45513.0</v>
      </c>
      <c r="B213" s="349" t="s">
        <v>4571</v>
      </c>
      <c r="C213" s="349" t="s">
        <v>4572</v>
      </c>
      <c r="D213" s="349" t="s">
        <v>439</v>
      </c>
      <c r="E213" s="349" t="s">
        <v>4603</v>
      </c>
      <c r="F213" s="413">
        <v>5500.0</v>
      </c>
      <c r="G213" s="424">
        <v>5500.0</v>
      </c>
      <c r="H213" s="404" t="str">
        <f t="shared" si="12"/>
        <v>FULLY PAID</v>
      </c>
      <c r="I213" s="349"/>
      <c r="J213" s="402"/>
      <c r="K213" s="402"/>
      <c r="L213" s="402"/>
      <c r="M213" s="402"/>
      <c r="N213" s="402"/>
      <c r="O213" s="402"/>
      <c r="P213" s="402"/>
      <c r="Q213" s="402"/>
      <c r="R213" s="402"/>
      <c r="S213" s="402"/>
      <c r="T213" s="402"/>
      <c r="U213" s="402"/>
      <c r="V213" s="402"/>
      <c r="W213" s="402"/>
      <c r="X213" s="402"/>
      <c r="Y213" s="402"/>
      <c r="Z213" s="402"/>
      <c r="AA213" s="405"/>
      <c r="AB213" s="405"/>
    </row>
    <row r="214" ht="14.25" customHeight="1">
      <c r="A214" s="406">
        <v>45513.0</v>
      </c>
      <c r="B214" s="419" t="s">
        <v>4590</v>
      </c>
      <c r="C214" s="420" t="s">
        <v>4591</v>
      </c>
      <c r="D214" s="420" t="s">
        <v>439</v>
      </c>
      <c r="E214" s="420" t="s">
        <v>4603</v>
      </c>
      <c r="F214" s="413">
        <v>8680.0</v>
      </c>
      <c r="G214" s="424">
        <v>5000.0</v>
      </c>
      <c r="H214" s="404" t="str">
        <f t="shared" si="12"/>
        <v>PARTIALLY PAID</v>
      </c>
      <c r="I214" s="349" t="s">
        <v>4608</v>
      </c>
      <c r="J214" s="402"/>
      <c r="K214" s="402"/>
      <c r="L214" s="402"/>
      <c r="M214" s="402"/>
      <c r="N214" s="402"/>
      <c r="O214" s="402"/>
      <c r="P214" s="402"/>
      <c r="Q214" s="402"/>
      <c r="R214" s="402"/>
      <c r="S214" s="402"/>
      <c r="T214" s="402"/>
      <c r="U214" s="402"/>
      <c r="V214" s="402"/>
      <c r="W214" s="402"/>
      <c r="X214" s="402"/>
      <c r="Y214" s="402"/>
      <c r="Z214" s="402"/>
      <c r="AA214" s="405"/>
      <c r="AB214" s="405"/>
    </row>
    <row r="215" ht="14.25" customHeight="1">
      <c r="A215" s="401"/>
      <c r="B215" s="424"/>
      <c r="C215" s="424"/>
      <c r="D215" s="424"/>
      <c r="E215" s="424" t="s">
        <v>23</v>
      </c>
      <c r="F215" s="787">
        <v>131522.0</v>
      </c>
      <c r="G215" s="584"/>
      <c r="H215" s="404" t="str">
        <f t="shared" si="12"/>
        <v>NOT PAID</v>
      </c>
      <c r="I215" s="584"/>
      <c r="J215" s="584"/>
      <c r="K215" s="584"/>
      <c r="L215" s="584"/>
      <c r="M215" s="584"/>
      <c r="N215" s="584"/>
      <c r="O215" s="584"/>
      <c r="P215" s="584"/>
      <c r="Q215" s="584"/>
      <c r="R215" s="584"/>
      <c r="S215" s="584"/>
      <c r="T215" s="584"/>
      <c r="U215" s="584"/>
      <c r="V215" s="584"/>
      <c r="W215" s="584"/>
      <c r="X215" s="584"/>
      <c r="Y215" s="584"/>
      <c r="Z215" s="584"/>
      <c r="AA215" s="659"/>
      <c r="AB215" s="659"/>
    </row>
    <row r="216" ht="14.25" customHeight="1">
      <c r="A216" s="402"/>
      <c r="B216" s="402"/>
      <c r="C216" s="402"/>
      <c r="D216" s="402"/>
      <c r="E216" s="402"/>
      <c r="F216" s="403"/>
      <c r="G216" s="402"/>
      <c r="H216" s="404" t="str">
        <f t="shared" si="12"/>
        <v>FULLY PAID</v>
      </c>
      <c r="I216" s="402"/>
      <c r="J216" s="402"/>
      <c r="K216" s="402"/>
      <c r="L216" s="402"/>
      <c r="M216" s="402"/>
      <c r="N216" s="402"/>
      <c r="O216" s="402"/>
      <c r="P216" s="402"/>
      <c r="Q216" s="402"/>
      <c r="R216" s="402"/>
      <c r="S216" s="402"/>
      <c r="T216" s="402"/>
      <c r="U216" s="402"/>
      <c r="V216" s="402"/>
      <c r="W216" s="402"/>
      <c r="X216" s="402"/>
      <c r="Y216" s="402"/>
      <c r="Z216" s="402"/>
      <c r="AA216" s="405"/>
      <c r="AB216" s="405"/>
    </row>
    <row r="217" ht="14.25" customHeight="1">
      <c r="A217" s="402"/>
      <c r="B217" s="402"/>
      <c r="C217" s="402"/>
      <c r="D217" s="402"/>
      <c r="E217" s="402"/>
      <c r="F217" s="403"/>
      <c r="G217" s="402"/>
      <c r="H217" s="404" t="str">
        <f t="shared" si="12"/>
        <v>FULLY PAID</v>
      </c>
      <c r="I217" s="402"/>
      <c r="J217" s="402"/>
      <c r="K217" s="402"/>
      <c r="L217" s="402"/>
      <c r="M217" s="402"/>
      <c r="N217" s="402"/>
      <c r="O217" s="402"/>
      <c r="P217" s="402"/>
      <c r="Q217" s="402"/>
      <c r="R217" s="402"/>
      <c r="S217" s="402"/>
      <c r="T217" s="402"/>
      <c r="U217" s="402"/>
      <c r="V217" s="402"/>
      <c r="W217" s="402"/>
      <c r="X217" s="402"/>
      <c r="Y217" s="402"/>
      <c r="Z217" s="402"/>
      <c r="AA217" s="405"/>
      <c r="AB217" s="405"/>
    </row>
    <row r="218" ht="14.25" customHeight="1">
      <c r="A218" s="406">
        <v>45514.0</v>
      </c>
      <c r="B218" s="419" t="s">
        <v>4550</v>
      </c>
      <c r="C218" s="420" t="s">
        <v>4551</v>
      </c>
      <c r="D218" s="420" t="s">
        <v>439</v>
      </c>
      <c r="E218" s="420" t="s">
        <v>4603</v>
      </c>
      <c r="F218" s="413">
        <v>12322.0</v>
      </c>
      <c r="G218" s="349">
        <v>5000.0</v>
      </c>
      <c r="H218" s="404" t="str">
        <f t="shared" si="12"/>
        <v>PARTIALLY PAID</v>
      </c>
      <c r="I218" s="349" t="s">
        <v>4608</v>
      </c>
      <c r="J218" s="402"/>
      <c r="K218" s="402"/>
      <c r="L218" s="402"/>
      <c r="M218" s="402"/>
      <c r="N218" s="402"/>
      <c r="O218" s="402"/>
      <c r="P218" s="402"/>
      <c r="Q218" s="402"/>
      <c r="R218" s="402"/>
      <c r="S218" s="402"/>
      <c r="T218" s="402"/>
      <c r="U218" s="402"/>
      <c r="V218" s="402"/>
      <c r="W218" s="402"/>
      <c r="X218" s="402"/>
      <c r="Y218" s="402"/>
      <c r="Z218" s="402"/>
      <c r="AA218" s="405"/>
      <c r="AB218" s="405"/>
    </row>
    <row r="219" ht="14.25" customHeight="1">
      <c r="A219" s="406">
        <v>45513.0</v>
      </c>
      <c r="B219" s="414" t="s">
        <v>4587</v>
      </c>
      <c r="C219" s="415" t="s">
        <v>4585</v>
      </c>
      <c r="D219" s="415" t="s">
        <v>439</v>
      </c>
      <c r="E219" s="415" t="s">
        <v>4586</v>
      </c>
      <c r="F219" s="413">
        <v>14320.0</v>
      </c>
      <c r="G219" s="402"/>
      <c r="H219" s="404" t="str">
        <f t="shared" si="12"/>
        <v>NOT PAID</v>
      </c>
      <c r="I219" s="349" t="s">
        <v>4608</v>
      </c>
      <c r="J219" s="402"/>
      <c r="K219" s="402"/>
      <c r="L219" s="402"/>
      <c r="M219" s="402"/>
      <c r="N219" s="402"/>
      <c r="O219" s="402"/>
      <c r="P219" s="402"/>
      <c r="Q219" s="402"/>
      <c r="R219" s="402"/>
      <c r="S219" s="402"/>
      <c r="T219" s="402"/>
      <c r="U219" s="402"/>
      <c r="V219" s="402"/>
      <c r="W219" s="402"/>
      <c r="X219" s="402"/>
      <c r="Y219" s="402"/>
      <c r="Z219" s="402"/>
      <c r="AA219" s="405"/>
      <c r="AB219" s="405"/>
    </row>
    <row r="220" ht="14.25" customHeight="1">
      <c r="A220" s="406">
        <v>45514.0</v>
      </c>
      <c r="B220" s="414" t="s">
        <v>4577</v>
      </c>
      <c r="C220" s="415" t="s">
        <v>4578</v>
      </c>
      <c r="D220" s="415" t="s">
        <v>439</v>
      </c>
      <c r="E220" s="415" t="s">
        <v>4603</v>
      </c>
      <c r="F220" s="413">
        <v>77000.0</v>
      </c>
      <c r="G220" s="402"/>
      <c r="H220" s="404" t="str">
        <f t="shared" si="12"/>
        <v>NOT PAID</v>
      </c>
      <c r="I220" s="349" t="s">
        <v>4607</v>
      </c>
      <c r="J220" s="402"/>
      <c r="K220" s="402"/>
      <c r="L220" s="402"/>
      <c r="M220" s="402"/>
      <c r="N220" s="402"/>
      <c r="O220" s="402"/>
      <c r="P220" s="402"/>
      <c r="Q220" s="402"/>
      <c r="R220" s="402"/>
      <c r="S220" s="402"/>
      <c r="T220" s="402"/>
      <c r="U220" s="402"/>
      <c r="V220" s="402"/>
      <c r="W220" s="402"/>
      <c r="X220" s="402"/>
      <c r="Y220" s="402"/>
      <c r="Z220" s="402"/>
      <c r="AA220" s="405"/>
      <c r="AB220" s="405"/>
    </row>
    <row r="221" ht="14.25" customHeight="1">
      <c r="A221" s="406">
        <v>45514.0</v>
      </c>
      <c r="B221" s="414" t="s">
        <v>4565</v>
      </c>
      <c r="C221" s="415" t="s">
        <v>4566</v>
      </c>
      <c r="D221" s="415" t="s">
        <v>439</v>
      </c>
      <c r="E221" s="415" t="s">
        <v>4603</v>
      </c>
      <c r="F221" s="413">
        <v>6800.0</v>
      </c>
      <c r="G221" s="402"/>
      <c r="H221" s="404" t="str">
        <f t="shared" si="12"/>
        <v>NOT PAID</v>
      </c>
      <c r="I221" s="349" t="s">
        <v>4608</v>
      </c>
      <c r="J221" s="402"/>
      <c r="K221" s="402"/>
      <c r="L221" s="402"/>
      <c r="M221" s="402"/>
      <c r="N221" s="402"/>
      <c r="O221" s="402"/>
      <c r="P221" s="402"/>
      <c r="Q221" s="402"/>
      <c r="R221" s="402"/>
      <c r="S221" s="402"/>
      <c r="T221" s="402"/>
      <c r="U221" s="402"/>
      <c r="V221" s="402"/>
      <c r="W221" s="402"/>
      <c r="X221" s="402"/>
      <c r="Y221" s="402"/>
      <c r="Z221" s="402"/>
      <c r="AA221" s="405"/>
      <c r="AB221" s="405"/>
    </row>
    <row r="222" ht="14.25" customHeight="1">
      <c r="A222" s="406">
        <v>45514.0</v>
      </c>
      <c r="B222" s="414" t="s">
        <v>4575</v>
      </c>
      <c r="C222" s="415" t="s">
        <v>4576</v>
      </c>
      <c r="D222" s="415" t="s">
        <v>439</v>
      </c>
      <c r="E222" s="415" t="s">
        <v>4558</v>
      </c>
      <c r="F222" s="413">
        <v>6900.0</v>
      </c>
      <c r="G222" s="402"/>
      <c r="H222" s="404" t="str">
        <f t="shared" si="12"/>
        <v>NOT PAID</v>
      </c>
      <c r="I222" s="349" t="s">
        <v>4608</v>
      </c>
      <c r="J222" s="402"/>
      <c r="K222" s="402"/>
      <c r="L222" s="402"/>
      <c r="M222" s="402"/>
      <c r="N222" s="402"/>
      <c r="O222" s="402"/>
      <c r="P222" s="402"/>
      <c r="Q222" s="402"/>
      <c r="R222" s="402"/>
      <c r="S222" s="402"/>
      <c r="T222" s="402"/>
      <c r="U222" s="402"/>
      <c r="V222" s="402"/>
      <c r="W222" s="402"/>
      <c r="X222" s="402"/>
      <c r="Y222" s="402"/>
      <c r="Z222" s="402"/>
      <c r="AA222" s="405"/>
      <c r="AB222" s="405"/>
    </row>
    <row r="223" ht="14.25" customHeight="1">
      <c r="A223" s="406">
        <v>45514.0</v>
      </c>
      <c r="B223" s="419" t="s">
        <v>4590</v>
      </c>
      <c r="C223" s="420" t="s">
        <v>4591</v>
      </c>
      <c r="D223" s="420" t="s">
        <v>439</v>
      </c>
      <c r="E223" s="420" t="s">
        <v>4603</v>
      </c>
      <c r="F223" s="413">
        <v>4680.0</v>
      </c>
      <c r="G223" s="402"/>
      <c r="H223" s="404" t="str">
        <f t="shared" si="12"/>
        <v>NOT PAID</v>
      </c>
      <c r="I223" s="349" t="s">
        <v>4608</v>
      </c>
      <c r="J223" s="402"/>
      <c r="K223" s="402"/>
      <c r="L223" s="402"/>
      <c r="M223" s="402"/>
      <c r="N223" s="402"/>
      <c r="O223" s="402"/>
      <c r="P223" s="402"/>
      <c r="Q223" s="402"/>
      <c r="R223" s="402"/>
      <c r="S223" s="402"/>
      <c r="T223" s="402"/>
      <c r="U223" s="402"/>
      <c r="V223" s="402"/>
      <c r="W223" s="402"/>
      <c r="X223" s="402"/>
      <c r="Y223" s="402"/>
      <c r="Z223" s="402"/>
      <c r="AA223" s="405"/>
      <c r="AB223" s="405"/>
    </row>
    <row r="224" ht="14.25" customHeight="1">
      <c r="A224" s="406">
        <v>45514.0</v>
      </c>
      <c r="B224" s="419" t="s">
        <v>4609</v>
      </c>
      <c r="C224" s="420" t="s">
        <v>4610</v>
      </c>
      <c r="D224" s="420" t="s">
        <v>439</v>
      </c>
      <c r="E224" s="420" t="s">
        <v>4586</v>
      </c>
      <c r="F224" s="413">
        <v>101050.0</v>
      </c>
      <c r="G224" s="848">
        <v>101050.0</v>
      </c>
      <c r="H224" s="404" t="str">
        <f t="shared" si="12"/>
        <v>FULLY PAID</v>
      </c>
      <c r="I224" s="349"/>
      <c r="J224" s="402"/>
      <c r="K224" s="402"/>
      <c r="L224" s="402"/>
      <c r="M224" s="402"/>
      <c r="N224" s="402"/>
      <c r="O224" s="402"/>
      <c r="P224" s="402"/>
      <c r="Q224" s="402"/>
      <c r="R224" s="402"/>
      <c r="S224" s="402"/>
      <c r="T224" s="402"/>
      <c r="U224" s="402"/>
      <c r="V224" s="402"/>
      <c r="W224" s="402"/>
      <c r="X224" s="402"/>
      <c r="Y224" s="402"/>
      <c r="Z224" s="402"/>
      <c r="AA224" s="405"/>
      <c r="AB224" s="405"/>
    </row>
    <row r="225" ht="14.25" customHeight="1">
      <c r="A225" s="406">
        <v>45514.0</v>
      </c>
      <c r="B225" s="349" t="s">
        <v>4611</v>
      </c>
      <c r="C225" s="349" t="s">
        <v>4612</v>
      </c>
      <c r="D225" s="349" t="s">
        <v>439</v>
      </c>
      <c r="E225" s="349" t="s">
        <v>4603</v>
      </c>
      <c r="F225" s="413">
        <v>60917.0</v>
      </c>
      <c r="G225" s="402"/>
      <c r="H225" s="404" t="str">
        <f t="shared" si="12"/>
        <v>NOT PAID</v>
      </c>
      <c r="I225" s="349" t="s">
        <v>4613</v>
      </c>
      <c r="J225" s="402"/>
      <c r="K225" s="402"/>
      <c r="L225" s="402"/>
      <c r="M225" s="402"/>
      <c r="N225" s="402"/>
      <c r="O225" s="402"/>
      <c r="P225" s="402"/>
      <c r="Q225" s="402"/>
      <c r="R225" s="402"/>
      <c r="S225" s="402"/>
      <c r="T225" s="402"/>
      <c r="U225" s="402"/>
      <c r="V225" s="402"/>
      <c r="W225" s="402"/>
      <c r="X225" s="402"/>
      <c r="Y225" s="402"/>
      <c r="Z225" s="402"/>
      <c r="AA225" s="405"/>
      <c r="AB225" s="405"/>
    </row>
    <row r="226" ht="14.25" customHeight="1">
      <c r="A226" s="584"/>
      <c r="B226" s="584"/>
      <c r="C226" s="584"/>
      <c r="D226" s="584"/>
      <c r="E226" s="424" t="s">
        <v>23</v>
      </c>
      <c r="F226" s="787">
        <v>283989.0</v>
      </c>
      <c r="G226" s="584"/>
      <c r="H226" s="404" t="str">
        <f t="shared" si="12"/>
        <v>NOT PAID</v>
      </c>
      <c r="I226" s="584"/>
      <c r="J226" s="584"/>
      <c r="K226" s="584"/>
      <c r="L226" s="584"/>
      <c r="M226" s="584"/>
      <c r="N226" s="584"/>
      <c r="O226" s="584"/>
      <c r="P226" s="584"/>
      <c r="Q226" s="584"/>
      <c r="R226" s="584"/>
      <c r="S226" s="584"/>
      <c r="T226" s="584"/>
      <c r="U226" s="584"/>
      <c r="V226" s="584"/>
      <c r="W226" s="584"/>
      <c r="X226" s="584"/>
      <c r="Y226" s="584"/>
      <c r="Z226" s="584"/>
      <c r="AA226" s="659"/>
      <c r="AB226" s="659"/>
    </row>
    <row r="227" ht="14.25" customHeight="1">
      <c r="A227" s="402"/>
      <c r="B227" s="402"/>
      <c r="C227" s="402"/>
      <c r="D227" s="402"/>
      <c r="E227" s="402"/>
      <c r="F227" s="403"/>
      <c r="G227" s="402"/>
      <c r="H227" s="404" t="str">
        <f t="shared" si="12"/>
        <v>FULLY PAID</v>
      </c>
      <c r="I227" s="402"/>
      <c r="J227" s="402"/>
      <c r="K227" s="402"/>
      <c r="L227" s="402"/>
      <c r="M227" s="402"/>
      <c r="N227" s="402"/>
      <c r="O227" s="402"/>
      <c r="P227" s="402"/>
      <c r="Q227" s="402"/>
      <c r="R227" s="402"/>
      <c r="S227" s="402"/>
      <c r="T227" s="402"/>
      <c r="U227" s="402"/>
      <c r="V227" s="402"/>
      <c r="W227" s="402"/>
      <c r="X227" s="402"/>
      <c r="Y227" s="402"/>
      <c r="Z227" s="402"/>
      <c r="AA227" s="405"/>
      <c r="AB227" s="405"/>
    </row>
    <row r="228" ht="14.25" customHeight="1">
      <c r="A228" s="402"/>
      <c r="B228" s="402"/>
      <c r="C228" s="402"/>
      <c r="D228" s="402"/>
      <c r="E228" s="402"/>
      <c r="F228" s="403"/>
      <c r="G228" s="402"/>
      <c r="H228" s="404" t="str">
        <f t="shared" si="12"/>
        <v>FULLY PAID</v>
      </c>
      <c r="I228" s="402"/>
      <c r="J228" s="402"/>
      <c r="K228" s="402"/>
      <c r="L228" s="402"/>
      <c r="M228" s="402"/>
      <c r="N228" s="402"/>
      <c r="O228" s="402"/>
      <c r="P228" s="402"/>
      <c r="Q228" s="402"/>
      <c r="R228" s="402"/>
      <c r="S228" s="402"/>
      <c r="T228" s="402"/>
      <c r="U228" s="402"/>
      <c r="V228" s="402"/>
      <c r="W228" s="402"/>
      <c r="X228" s="402"/>
      <c r="Y228" s="402"/>
      <c r="Z228" s="402"/>
      <c r="AA228" s="405"/>
      <c r="AB228" s="405"/>
    </row>
    <row r="229" ht="14.25" customHeight="1">
      <c r="A229" s="818">
        <v>45516.0</v>
      </c>
      <c r="B229" s="419" t="s">
        <v>4550</v>
      </c>
      <c r="C229" s="420" t="s">
        <v>4551</v>
      </c>
      <c r="D229" s="420" t="s">
        <v>439</v>
      </c>
      <c r="E229" s="420" t="s">
        <v>4603</v>
      </c>
      <c r="F229" s="413">
        <v>5838.0</v>
      </c>
      <c r="G229" s="402"/>
      <c r="H229" s="404" t="str">
        <f t="shared" si="12"/>
        <v>NOT PAID</v>
      </c>
      <c r="I229" s="349" t="s">
        <v>4608</v>
      </c>
      <c r="J229" s="402"/>
      <c r="K229" s="402"/>
      <c r="L229" s="402"/>
      <c r="M229" s="402"/>
      <c r="N229" s="402"/>
      <c r="O229" s="402"/>
      <c r="P229" s="402"/>
      <c r="Q229" s="402"/>
      <c r="R229" s="402"/>
      <c r="S229" s="402"/>
      <c r="T229" s="402"/>
      <c r="U229" s="402"/>
      <c r="V229" s="402"/>
      <c r="W229" s="402"/>
      <c r="X229" s="402"/>
      <c r="Y229" s="402"/>
      <c r="Z229" s="402"/>
      <c r="AA229" s="405"/>
      <c r="AB229" s="405"/>
    </row>
    <row r="230" ht="14.25" customHeight="1">
      <c r="A230" s="818">
        <v>45516.0</v>
      </c>
      <c r="B230" s="414" t="s">
        <v>4587</v>
      </c>
      <c r="C230" s="415" t="s">
        <v>4585</v>
      </c>
      <c r="D230" s="415" t="s">
        <v>439</v>
      </c>
      <c r="E230" s="415" t="s">
        <v>4586</v>
      </c>
      <c r="F230" s="413">
        <v>14320.0</v>
      </c>
      <c r="G230" s="349">
        <v>15000.0</v>
      </c>
      <c r="H230" s="404" t="str">
        <f t="shared" si="12"/>
        <v>FULLY PAID</v>
      </c>
      <c r="I230" s="402"/>
      <c r="J230" s="402"/>
      <c r="K230" s="402"/>
      <c r="L230" s="402"/>
      <c r="M230" s="402"/>
      <c r="N230" s="402"/>
      <c r="O230" s="402"/>
      <c r="P230" s="402"/>
      <c r="Q230" s="402"/>
      <c r="R230" s="402"/>
      <c r="S230" s="402"/>
      <c r="T230" s="402"/>
      <c r="U230" s="402"/>
      <c r="V230" s="402"/>
      <c r="W230" s="402"/>
      <c r="X230" s="402"/>
      <c r="Y230" s="402"/>
      <c r="Z230" s="402"/>
      <c r="AA230" s="405"/>
      <c r="AB230" s="405"/>
    </row>
    <row r="231" ht="14.25" customHeight="1">
      <c r="A231" s="818">
        <v>45516.0</v>
      </c>
      <c r="B231" s="414" t="s">
        <v>4577</v>
      </c>
      <c r="C231" s="415" t="s">
        <v>4578</v>
      </c>
      <c r="D231" s="415" t="s">
        <v>439</v>
      </c>
      <c r="E231" s="415" t="s">
        <v>4603</v>
      </c>
      <c r="F231" s="413">
        <v>77000.0</v>
      </c>
      <c r="G231" s="402"/>
      <c r="H231" s="404" t="str">
        <f t="shared" si="12"/>
        <v>NOT PAID</v>
      </c>
      <c r="I231" s="349" t="s">
        <v>4614</v>
      </c>
      <c r="J231" s="402"/>
      <c r="K231" s="402"/>
      <c r="L231" s="402"/>
      <c r="M231" s="402"/>
      <c r="N231" s="402"/>
      <c r="O231" s="402"/>
      <c r="P231" s="402"/>
      <c r="Q231" s="402"/>
      <c r="R231" s="402"/>
      <c r="S231" s="402"/>
      <c r="T231" s="402"/>
      <c r="U231" s="402"/>
      <c r="V231" s="402"/>
      <c r="W231" s="402"/>
      <c r="X231" s="402"/>
      <c r="Y231" s="402"/>
      <c r="Z231" s="402"/>
      <c r="AA231" s="405"/>
      <c r="AB231" s="405"/>
    </row>
    <row r="232" ht="14.25" customHeight="1">
      <c r="A232" s="818">
        <v>45516.0</v>
      </c>
      <c r="B232" s="414" t="s">
        <v>4565</v>
      </c>
      <c r="C232" s="415" t="s">
        <v>4566</v>
      </c>
      <c r="D232" s="415" t="s">
        <v>439</v>
      </c>
      <c r="E232" s="415" t="s">
        <v>4603</v>
      </c>
      <c r="F232" s="413">
        <v>6800.0</v>
      </c>
      <c r="G232" s="402"/>
      <c r="H232" s="404" t="str">
        <f t="shared" si="12"/>
        <v>NOT PAID</v>
      </c>
      <c r="I232" s="349" t="s">
        <v>4615</v>
      </c>
      <c r="J232" s="402"/>
      <c r="K232" s="402"/>
      <c r="L232" s="402"/>
      <c r="M232" s="402"/>
      <c r="N232" s="402"/>
      <c r="O232" s="402"/>
      <c r="P232" s="402"/>
      <c r="Q232" s="402"/>
      <c r="R232" s="402"/>
      <c r="S232" s="402"/>
      <c r="T232" s="402"/>
      <c r="U232" s="402"/>
      <c r="V232" s="402"/>
      <c r="W232" s="402"/>
      <c r="X232" s="402"/>
      <c r="Y232" s="402"/>
      <c r="Z232" s="402"/>
      <c r="AA232" s="405"/>
      <c r="AB232" s="405"/>
    </row>
    <row r="233" ht="14.25" customHeight="1">
      <c r="A233" s="818">
        <v>45516.0</v>
      </c>
      <c r="B233" s="414" t="s">
        <v>4575</v>
      </c>
      <c r="C233" s="415" t="s">
        <v>4576</v>
      </c>
      <c r="D233" s="415" t="s">
        <v>439</v>
      </c>
      <c r="E233" s="415" t="s">
        <v>4558</v>
      </c>
      <c r="F233" s="413">
        <v>24062.0</v>
      </c>
      <c r="G233" s="402"/>
      <c r="H233" s="404" t="str">
        <f t="shared" si="12"/>
        <v>NOT PAID</v>
      </c>
      <c r="I233" s="349" t="s">
        <v>4615</v>
      </c>
      <c r="J233" s="402"/>
      <c r="K233" s="402"/>
      <c r="L233" s="402"/>
      <c r="M233" s="402"/>
      <c r="N233" s="402"/>
      <c r="O233" s="402"/>
      <c r="P233" s="402"/>
      <c r="Q233" s="402"/>
      <c r="R233" s="402"/>
      <c r="S233" s="402"/>
      <c r="T233" s="402"/>
      <c r="U233" s="402"/>
      <c r="V233" s="402"/>
      <c r="W233" s="402"/>
      <c r="X233" s="402"/>
      <c r="Y233" s="402"/>
      <c r="Z233" s="402"/>
      <c r="AA233" s="405"/>
      <c r="AB233" s="405"/>
    </row>
    <row r="234" ht="14.25" customHeight="1">
      <c r="A234" s="818">
        <v>45516.0</v>
      </c>
      <c r="B234" s="419" t="s">
        <v>4590</v>
      </c>
      <c r="C234" s="420" t="s">
        <v>4591</v>
      </c>
      <c r="D234" s="420" t="s">
        <v>439</v>
      </c>
      <c r="E234" s="420" t="s">
        <v>4603</v>
      </c>
      <c r="F234" s="413">
        <v>4680.0</v>
      </c>
      <c r="G234" s="402"/>
      <c r="H234" s="404" t="str">
        <f t="shared" si="12"/>
        <v>NOT PAID</v>
      </c>
      <c r="I234" s="349" t="s">
        <v>4615</v>
      </c>
      <c r="J234" s="402"/>
      <c r="K234" s="402"/>
      <c r="L234" s="402"/>
      <c r="M234" s="402"/>
      <c r="N234" s="402"/>
      <c r="O234" s="402"/>
      <c r="P234" s="402"/>
      <c r="Q234" s="402"/>
      <c r="R234" s="402"/>
      <c r="S234" s="402"/>
      <c r="T234" s="402"/>
      <c r="U234" s="402"/>
      <c r="V234" s="402"/>
      <c r="W234" s="402"/>
      <c r="X234" s="402"/>
      <c r="Y234" s="402"/>
      <c r="Z234" s="402"/>
      <c r="AA234" s="405"/>
      <c r="AB234" s="405"/>
    </row>
    <row r="235" ht="14.25" customHeight="1">
      <c r="A235" s="818">
        <v>45516.0</v>
      </c>
      <c r="B235" s="349" t="s">
        <v>4611</v>
      </c>
      <c r="C235" s="349" t="s">
        <v>4612</v>
      </c>
      <c r="D235" s="349" t="s">
        <v>439</v>
      </c>
      <c r="E235" s="349" t="s">
        <v>4603</v>
      </c>
      <c r="F235" s="683">
        <v>60917.0</v>
      </c>
      <c r="G235" s="413"/>
      <c r="H235" s="404" t="str">
        <f t="shared" si="12"/>
        <v>NOT PAID</v>
      </c>
      <c r="I235" s="349" t="s">
        <v>4616</v>
      </c>
      <c r="J235" s="402"/>
      <c r="K235" s="402"/>
      <c r="L235" s="402"/>
      <c r="M235" s="402"/>
      <c r="N235" s="402"/>
      <c r="O235" s="402"/>
      <c r="P235" s="402"/>
      <c r="Q235" s="402"/>
      <c r="R235" s="402"/>
      <c r="S235" s="402"/>
      <c r="T235" s="402"/>
      <c r="U235" s="402"/>
      <c r="V235" s="402"/>
      <c r="W235" s="402"/>
      <c r="X235" s="402"/>
      <c r="Y235" s="402"/>
      <c r="Z235" s="402"/>
      <c r="AA235" s="402"/>
      <c r="AB235" s="405"/>
    </row>
    <row r="236" ht="14.25" customHeight="1">
      <c r="A236" s="849"/>
      <c r="B236" s="424"/>
      <c r="C236" s="424"/>
      <c r="D236" s="424"/>
      <c r="E236" s="424" t="s">
        <v>23</v>
      </c>
      <c r="F236" s="787">
        <v>193617.0</v>
      </c>
      <c r="G236" s="584"/>
      <c r="H236" s="404" t="str">
        <f t="shared" si="12"/>
        <v>NOT PAID</v>
      </c>
      <c r="I236" s="584"/>
      <c r="J236" s="584"/>
      <c r="K236" s="584"/>
      <c r="L236" s="584"/>
      <c r="M236" s="584"/>
      <c r="N236" s="584"/>
      <c r="O236" s="584"/>
      <c r="P236" s="584"/>
      <c r="Q236" s="584"/>
      <c r="R236" s="584"/>
      <c r="S236" s="584"/>
      <c r="T236" s="584"/>
      <c r="U236" s="584"/>
      <c r="V236" s="584"/>
      <c r="W236" s="584"/>
      <c r="X236" s="584"/>
      <c r="Y236" s="584"/>
      <c r="Z236" s="584"/>
      <c r="AA236" s="659"/>
      <c r="AB236" s="659"/>
    </row>
    <row r="237" ht="14.25" customHeight="1">
      <c r="A237" s="402"/>
      <c r="B237" s="402"/>
      <c r="C237" s="402"/>
      <c r="D237" s="402"/>
      <c r="E237" s="402"/>
      <c r="F237" s="403"/>
      <c r="G237" s="402"/>
      <c r="H237" s="404" t="str">
        <f t="shared" si="12"/>
        <v>FULLY PAID</v>
      </c>
      <c r="I237" s="402"/>
      <c r="J237" s="402"/>
      <c r="K237" s="402"/>
      <c r="L237" s="402"/>
      <c r="M237" s="402"/>
      <c r="N237" s="402"/>
      <c r="O237" s="402"/>
      <c r="P237" s="402"/>
      <c r="Q237" s="402"/>
      <c r="R237" s="402"/>
      <c r="S237" s="402"/>
      <c r="T237" s="402"/>
      <c r="U237" s="402"/>
      <c r="V237" s="402"/>
      <c r="W237" s="402"/>
      <c r="X237" s="402"/>
      <c r="Y237" s="402"/>
      <c r="Z237" s="402"/>
      <c r="AA237" s="405"/>
      <c r="AB237" s="405"/>
    </row>
    <row r="238" ht="14.25" customHeight="1">
      <c r="A238" s="402"/>
      <c r="B238" s="414"/>
      <c r="C238" s="415"/>
      <c r="D238" s="415"/>
      <c r="E238" s="415"/>
      <c r="F238" s="413"/>
      <c r="G238" s="402"/>
      <c r="H238" s="404" t="str">
        <f t="shared" si="12"/>
        <v>FULLY PAID</v>
      </c>
      <c r="I238" s="402"/>
      <c r="J238" s="402"/>
      <c r="K238" s="402"/>
      <c r="L238" s="402"/>
      <c r="M238" s="402"/>
      <c r="N238" s="402"/>
      <c r="O238" s="402"/>
      <c r="P238" s="402"/>
      <c r="Q238" s="402"/>
      <c r="R238" s="402"/>
      <c r="S238" s="402"/>
      <c r="T238" s="402"/>
      <c r="U238" s="402"/>
      <c r="V238" s="402"/>
      <c r="W238" s="402"/>
      <c r="X238" s="402"/>
      <c r="Y238" s="402"/>
      <c r="Z238" s="402"/>
      <c r="AA238" s="405"/>
      <c r="AB238" s="405"/>
    </row>
    <row r="239" ht="14.25" customHeight="1">
      <c r="A239" s="406">
        <v>45517.0</v>
      </c>
      <c r="B239" s="414" t="s">
        <v>4577</v>
      </c>
      <c r="C239" s="415" t="s">
        <v>4578</v>
      </c>
      <c r="D239" s="415" t="s">
        <v>439</v>
      </c>
      <c r="E239" s="415" t="s">
        <v>4603</v>
      </c>
      <c r="F239" s="413">
        <v>77000.0</v>
      </c>
      <c r="G239" s="402"/>
      <c r="H239" s="404" t="str">
        <f t="shared" si="12"/>
        <v>NOT PAID</v>
      </c>
      <c r="I239" s="349" t="s">
        <v>4617</v>
      </c>
      <c r="J239" s="402"/>
      <c r="K239" s="402"/>
      <c r="L239" s="402"/>
      <c r="M239" s="402"/>
      <c r="N239" s="402"/>
      <c r="O239" s="402"/>
      <c r="P239" s="402"/>
      <c r="Q239" s="402"/>
      <c r="R239" s="402"/>
      <c r="S239" s="402"/>
      <c r="T239" s="402"/>
      <c r="U239" s="402"/>
      <c r="V239" s="402"/>
      <c r="W239" s="402"/>
      <c r="X239" s="402"/>
      <c r="Y239" s="402"/>
      <c r="Z239" s="402"/>
      <c r="AA239" s="405"/>
      <c r="AB239" s="405"/>
    </row>
    <row r="240" ht="14.25" customHeight="1">
      <c r="A240" s="406">
        <v>45517.0</v>
      </c>
      <c r="B240" s="414" t="s">
        <v>4565</v>
      </c>
      <c r="C240" s="415" t="s">
        <v>4566</v>
      </c>
      <c r="D240" s="415" t="s">
        <v>439</v>
      </c>
      <c r="E240" s="415" t="s">
        <v>4603</v>
      </c>
      <c r="F240" s="413">
        <v>6800.0</v>
      </c>
      <c r="G240" s="402"/>
      <c r="H240" s="404" t="str">
        <f t="shared" si="12"/>
        <v>NOT PAID</v>
      </c>
      <c r="I240" s="349" t="s">
        <v>4608</v>
      </c>
      <c r="J240" s="402"/>
      <c r="K240" s="402"/>
      <c r="L240" s="402"/>
      <c r="M240" s="402"/>
      <c r="N240" s="402"/>
      <c r="O240" s="402"/>
      <c r="P240" s="402"/>
      <c r="Q240" s="402"/>
      <c r="R240" s="402"/>
      <c r="S240" s="402"/>
      <c r="T240" s="402"/>
      <c r="U240" s="402"/>
      <c r="V240" s="402"/>
      <c r="W240" s="402"/>
      <c r="X240" s="402"/>
      <c r="Y240" s="402"/>
      <c r="Z240" s="402"/>
      <c r="AA240" s="405"/>
      <c r="AB240" s="405"/>
    </row>
    <row r="241" ht="14.25" customHeight="1">
      <c r="A241" s="406">
        <v>45517.0</v>
      </c>
      <c r="B241" s="414" t="s">
        <v>4575</v>
      </c>
      <c r="C241" s="415" t="s">
        <v>4576</v>
      </c>
      <c r="D241" s="415" t="s">
        <v>439</v>
      </c>
      <c r="E241" s="415" t="s">
        <v>4558</v>
      </c>
      <c r="F241" s="413">
        <v>24062.0</v>
      </c>
      <c r="G241" s="402"/>
      <c r="H241" s="404" t="str">
        <f t="shared" si="12"/>
        <v>NOT PAID</v>
      </c>
      <c r="I241" s="349" t="s">
        <v>4608</v>
      </c>
      <c r="J241" s="402"/>
      <c r="K241" s="402"/>
      <c r="L241" s="402"/>
      <c r="M241" s="402"/>
      <c r="N241" s="402"/>
      <c r="O241" s="402"/>
      <c r="P241" s="402"/>
      <c r="Q241" s="402"/>
      <c r="R241" s="402"/>
      <c r="S241" s="402"/>
      <c r="T241" s="402"/>
      <c r="U241" s="402"/>
      <c r="V241" s="402"/>
      <c r="W241" s="402"/>
      <c r="X241" s="402"/>
      <c r="Y241" s="402"/>
      <c r="Z241" s="402"/>
      <c r="AA241" s="405"/>
      <c r="AB241" s="405"/>
    </row>
    <row r="242" ht="14.25" customHeight="1">
      <c r="A242" s="406">
        <v>45517.0</v>
      </c>
      <c r="B242" s="419" t="s">
        <v>4590</v>
      </c>
      <c r="C242" s="420" t="s">
        <v>4591</v>
      </c>
      <c r="D242" s="420" t="s">
        <v>439</v>
      </c>
      <c r="E242" s="420" t="s">
        <v>4603</v>
      </c>
      <c r="F242" s="413">
        <v>4680.0</v>
      </c>
      <c r="G242" s="402"/>
      <c r="H242" s="404" t="str">
        <f t="shared" si="12"/>
        <v>NOT PAID</v>
      </c>
      <c r="I242" s="349" t="s">
        <v>4608</v>
      </c>
      <c r="J242" s="402"/>
      <c r="K242" s="402"/>
      <c r="L242" s="402"/>
      <c r="M242" s="402"/>
      <c r="N242" s="402"/>
      <c r="O242" s="402"/>
      <c r="P242" s="402"/>
      <c r="Q242" s="402"/>
      <c r="R242" s="402"/>
      <c r="S242" s="402"/>
      <c r="T242" s="402"/>
      <c r="U242" s="402"/>
      <c r="V242" s="402"/>
      <c r="W242" s="402"/>
      <c r="X242" s="402"/>
      <c r="Y242" s="402"/>
      <c r="Z242" s="402"/>
      <c r="AA242" s="405"/>
      <c r="AB242" s="405"/>
    </row>
    <row r="243" ht="14.25" customHeight="1">
      <c r="A243" s="406">
        <v>45517.0</v>
      </c>
      <c r="B243" s="349" t="s">
        <v>4611</v>
      </c>
      <c r="C243" s="349" t="s">
        <v>4612</v>
      </c>
      <c r="D243" s="349" t="s">
        <v>439</v>
      </c>
      <c r="E243" s="349" t="s">
        <v>4603</v>
      </c>
      <c r="F243" s="683">
        <v>60917.0</v>
      </c>
      <c r="G243" s="683">
        <v>64000.0</v>
      </c>
      <c r="H243" s="404" t="str">
        <f t="shared" si="12"/>
        <v>FULLY PAID</v>
      </c>
      <c r="I243" s="402"/>
      <c r="J243" s="402"/>
      <c r="K243" s="402"/>
      <c r="L243" s="402"/>
      <c r="M243" s="402"/>
      <c r="N243" s="402"/>
      <c r="O243" s="402"/>
      <c r="P243" s="402"/>
      <c r="Q243" s="402"/>
      <c r="R243" s="402"/>
      <c r="S243" s="402"/>
      <c r="T243" s="402"/>
      <c r="U243" s="402"/>
      <c r="V243" s="402"/>
      <c r="W243" s="402"/>
      <c r="X243" s="402"/>
      <c r="Y243" s="402"/>
      <c r="Z243" s="402"/>
      <c r="AA243" s="405"/>
      <c r="AB243" s="405"/>
    </row>
    <row r="244" ht="14.25" customHeight="1">
      <c r="A244" s="584"/>
      <c r="B244" s="584"/>
      <c r="C244" s="584"/>
      <c r="D244" s="584"/>
      <c r="E244" s="424" t="s">
        <v>23</v>
      </c>
      <c r="F244" s="787">
        <v>173459.0</v>
      </c>
      <c r="G244" s="839">
        <v>64000.0</v>
      </c>
      <c r="H244" s="404" t="str">
        <f t="shared" si="12"/>
        <v>PARTIALLY PAID</v>
      </c>
      <c r="I244" s="584"/>
      <c r="J244" s="584"/>
      <c r="K244" s="584"/>
      <c r="L244" s="584"/>
      <c r="M244" s="584"/>
      <c r="N244" s="584"/>
      <c r="O244" s="584"/>
      <c r="P244" s="584"/>
      <c r="Q244" s="584"/>
      <c r="R244" s="584"/>
      <c r="S244" s="584"/>
      <c r="T244" s="584"/>
      <c r="U244" s="584"/>
      <c r="V244" s="584"/>
      <c r="W244" s="584"/>
      <c r="X244" s="584"/>
      <c r="Y244" s="584"/>
      <c r="Z244" s="584"/>
      <c r="AA244" s="659"/>
      <c r="AB244" s="659"/>
    </row>
    <row r="245" ht="14.25" customHeight="1">
      <c r="A245" s="402"/>
      <c r="B245" s="402"/>
      <c r="C245" s="402"/>
      <c r="D245" s="402"/>
      <c r="E245" s="402"/>
      <c r="F245" s="403"/>
      <c r="G245" s="402"/>
      <c r="H245" s="404" t="str">
        <f t="shared" si="12"/>
        <v>FULLY PAID</v>
      </c>
      <c r="I245" s="402"/>
      <c r="J245" s="402"/>
      <c r="K245" s="402"/>
      <c r="L245" s="402"/>
      <c r="M245" s="402"/>
      <c r="N245" s="402"/>
      <c r="O245" s="402"/>
      <c r="P245" s="402"/>
      <c r="Q245" s="402"/>
      <c r="R245" s="402"/>
      <c r="S245" s="402"/>
      <c r="T245" s="402"/>
      <c r="U245" s="402"/>
      <c r="V245" s="402"/>
      <c r="W245" s="402"/>
      <c r="X245" s="402"/>
      <c r="Y245" s="402"/>
      <c r="Z245" s="402"/>
      <c r="AA245" s="405"/>
      <c r="AB245" s="405"/>
    </row>
    <row r="246" ht="14.25" customHeight="1">
      <c r="A246" s="406">
        <v>45518.0</v>
      </c>
      <c r="B246" s="414" t="s">
        <v>4577</v>
      </c>
      <c r="C246" s="415" t="s">
        <v>4578</v>
      </c>
      <c r="D246" s="415" t="s">
        <v>439</v>
      </c>
      <c r="E246" s="415" t="s">
        <v>4603</v>
      </c>
      <c r="F246" s="413">
        <v>77000.0</v>
      </c>
      <c r="G246" s="349">
        <v>0.0</v>
      </c>
      <c r="H246" s="404" t="str">
        <f t="shared" si="12"/>
        <v>NOT PAID</v>
      </c>
      <c r="I246" s="349" t="s">
        <v>4617</v>
      </c>
      <c r="J246" s="402"/>
      <c r="K246" s="402"/>
      <c r="L246" s="402"/>
      <c r="M246" s="402"/>
      <c r="N246" s="402"/>
      <c r="O246" s="402"/>
      <c r="P246" s="402"/>
      <c r="Q246" s="402"/>
      <c r="R246" s="402"/>
      <c r="S246" s="402"/>
      <c r="T246" s="402"/>
      <c r="U246" s="402"/>
      <c r="V246" s="402"/>
      <c r="W246" s="402"/>
      <c r="X246" s="402"/>
      <c r="Y246" s="402"/>
      <c r="Z246" s="402"/>
      <c r="AA246" s="405"/>
      <c r="AB246" s="405"/>
    </row>
    <row r="247" ht="14.25" customHeight="1">
      <c r="A247" s="406">
        <v>45518.0</v>
      </c>
      <c r="B247" s="414" t="s">
        <v>4565</v>
      </c>
      <c r="C247" s="415" t="s">
        <v>4566</v>
      </c>
      <c r="D247" s="415" t="s">
        <v>439</v>
      </c>
      <c r="E247" s="415" t="s">
        <v>4603</v>
      </c>
      <c r="F247" s="413">
        <v>6800.0</v>
      </c>
      <c r="G247" s="349">
        <v>0.0</v>
      </c>
      <c r="H247" s="404" t="str">
        <f t="shared" si="12"/>
        <v>NOT PAID</v>
      </c>
      <c r="I247" s="349" t="s">
        <v>4618</v>
      </c>
      <c r="J247" s="402"/>
      <c r="K247" s="402"/>
      <c r="L247" s="402"/>
      <c r="M247" s="402"/>
      <c r="N247" s="402"/>
      <c r="O247" s="402"/>
      <c r="P247" s="402"/>
      <c r="Q247" s="402"/>
      <c r="R247" s="402"/>
      <c r="S247" s="402"/>
      <c r="T247" s="402"/>
      <c r="U247" s="402"/>
      <c r="V247" s="402"/>
      <c r="W247" s="402"/>
      <c r="X247" s="402"/>
      <c r="Y247" s="402"/>
      <c r="Z247" s="402"/>
      <c r="AA247" s="405"/>
      <c r="AB247" s="405"/>
    </row>
    <row r="248" ht="14.25" customHeight="1">
      <c r="A248" s="406">
        <v>45518.0</v>
      </c>
      <c r="B248" s="414" t="s">
        <v>4575</v>
      </c>
      <c r="C248" s="415" t="s">
        <v>4576</v>
      </c>
      <c r="D248" s="415" t="s">
        <v>439</v>
      </c>
      <c r="E248" s="415" t="s">
        <v>4558</v>
      </c>
      <c r="F248" s="413">
        <v>24062.0</v>
      </c>
      <c r="G248" s="349">
        <v>0.0</v>
      </c>
      <c r="H248" s="404" t="str">
        <f t="shared" si="12"/>
        <v>NOT PAID</v>
      </c>
      <c r="I248" s="349" t="s">
        <v>4608</v>
      </c>
      <c r="J248" s="402"/>
      <c r="K248" s="402"/>
      <c r="L248" s="402"/>
      <c r="M248" s="402"/>
      <c r="N248" s="402"/>
      <c r="O248" s="402"/>
      <c r="P248" s="402"/>
      <c r="Q248" s="402"/>
      <c r="R248" s="402"/>
      <c r="S248" s="402"/>
      <c r="T248" s="402"/>
      <c r="U248" s="402"/>
      <c r="V248" s="402"/>
      <c r="W248" s="402"/>
      <c r="X248" s="402"/>
      <c r="Y248" s="402"/>
      <c r="Z248" s="402"/>
      <c r="AA248" s="405"/>
      <c r="AB248" s="405"/>
    </row>
    <row r="249" ht="14.25" customHeight="1">
      <c r="A249" s="406">
        <v>45518.0</v>
      </c>
      <c r="B249" s="419" t="s">
        <v>4590</v>
      </c>
      <c r="C249" s="420" t="s">
        <v>4591</v>
      </c>
      <c r="D249" s="420" t="s">
        <v>439</v>
      </c>
      <c r="E249" s="420" t="s">
        <v>4603</v>
      </c>
      <c r="F249" s="413">
        <v>4680.0</v>
      </c>
      <c r="G249" s="349">
        <v>0.0</v>
      </c>
      <c r="H249" s="404" t="str">
        <f t="shared" si="12"/>
        <v>NOT PAID</v>
      </c>
      <c r="I249" s="349" t="s">
        <v>4608</v>
      </c>
      <c r="J249" s="402"/>
      <c r="K249" s="402"/>
      <c r="L249" s="402"/>
      <c r="M249" s="402"/>
      <c r="N249" s="402"/>
      <c r="O249" s="402"/>
      <c r="P249" s="402"/>
      <c r="Q249" s="402"/>
      <c r="R249" s="402"/>
      <c r="S249" s="402"/>
      <c r="T249" s="402"/>
      <c r="U249" s="402"/>
      <c r="V249" s="402"/>
      <c r="W249" s="402"/>
      <c r="X249" s="402"/>
      <c r="Y249" s="402"/>
      <c r="Z249" s="402"/>
      <c r="AA249" s="405"/>
      <c r="AB249" s="405"/>
    </row>
    <row r="250" ht="14.25" customHeight="1">
      <c r="A250" s="406">
        <v>45518.0</v>
      </c>
      <c r="B250" s="349" t="s">
        <v>4619</v>
      </c>
      <c r="C250" s="349" t="s">
        <v>4620</v>
      </c>
      <c r="D250" s="349" t="s">
        <v>439</v>
      </c>
      <c r="E250" s="349" t="s">
        <v>4603</v>
      </c>
      <c r="F250" s="683">
        <v>10857.0</v>
      </c>
      <c r="G250" s="349">
        <v>0.0</v>
      </c>
      <c r="H250" s="404" t="str">
        <f t="shared" si="12"/>
        <v>NOT PAID</v>
      </c>
      <c r="I250" s="349" t="s">
        <v>4621</v>
      </c>
      <c r="J250" s="402"/>
      <c r="K250" s="402"/>
      <c r="L250" s="402"/>
      <c r="M250" s="402"/>
      <c r="N250" s="402"/>
      <c r="O250" s="402"/>
      <c r="P250" s="402"/>
      <c r="Q250" s="402"/>
      <c r="R250" s="402"/>
      <c r="S250" s="402"/>
      <c r="T250" s="402"/>
      <c r="U250" s="402"/>
      <c r="V250" s="402"/>
      <c r="W250" s="402"/>
      <c r="X250" s="402"/>
      <c r="Y250" s="402"/>
      <c r="Z250" s="402"/>
      <c r="AA250" s="405"/>
      <c r="AB250" s="405"/>
    </row>
    <row r="251" ht="14.25" customHeight="1">
      <c r="A251" s="406">
        <v>45518.0</v>
      </c>
      <c r="B251" s="349" t="s">
        <v>4550</v>
      </c>
      <c r="C251" s="349" t="s">
        <v>4622</v>
      </c>
      <c r="D251" s="349" t="s">
        <v>439</v>
      </c>
      <c r="E251" s="349" t="s">
        <v>4564</v>
      </c>
      <c r="F251" s="413">
        <v>91410.0</v>
      </c>
      <c r="G251" s="349">
        <v>0.0</v>
      </c>
      <c r="H251" s="404" t="str">
        <f t="shared" si="12"/>
        <v>NOT PAID</v>
      </c>
      <c r="I251" s="349" t="s">
        <v>4621</v>
      </c>
      <c r="J251" s="402"/>
      <c r="K251" s="402"/>
      <c r="L251" s="402"/>
      <c r="M251" s="402"/>
      <c r="N251" s="402"/>
      <c r="O251" s="402"/>
      <c r="P251" s="402"/>
      <c r="Q251" s="402"/>
      <c r="R251" s="402"/>
      <c r="S251" s="402"/>
      <c r="T251" s="402"/>
      <c r="U251" s="402"/>
      <c r="V251" s="402"/>
      <c r="W251" s="402"/>
      <c r="X251" s="402"/>
      <c r="Y251" s="402"/>
      <c r="Z251" s="402"/>
      <c r="AA251" s="405"/>
      <c r="AB251" s="405"/>
    </row>
    <row r="252" ht="14.25" customHeight="1">
      <c r="A252" s="406">
        <v>45518.0</v>
      </c>
      <c r="B252" s="349" t="s">
        <v>4623</v>
      </c>
      <c r="C252" s="349" t="s">
        <v>4624</v>
      </c>
      <c r="D252" s="349" t="s">
        <v>439</v>
      </c>
      <c r="E252" s="349" t="s">
        <v>4558</v>
      </c>
      <c r="F252" s="413">
        <v>19005.0</v>
      </c>
      <c r="G252" s="349">
        <v>0.0</v>
      </c>
      <c r="H252" s="404" t="str">
        <f t="shared" si="12"/>
        <v>NOT PAID</v>
      </c>
      <c r="I252" s="349" t="s">
        <v>4621</v>
      </c>
      <c r="J252" s="402"/>
      <c r="K252" s="402"/>
      <c r="L252" s="402"/>
      <c r="M252" s="402"/>
      <c r="N252" s="402"/>
      <c r="O252" s="402"/>
      <c r="P252" s="402"/>
      <c r="Q252" s="402"/>
      <c r="R252" s="402"/>
      <c r="S252" s="402"/>
      <c r="T252" s="402"/>
      <c r="U252" s="402"/>
      <c r="V252" s="402"/>
      <c r="W252" s="402"/>
      <c r="X252" s="402"/>
      <c r="Y252" s="402"/>
      <c r="Z252" s="402"/>
      <c r="AA252" s="405"/>
      <c r="AB252" s="405"/>
    </row>
    <row r="253" ht="14.25" customHeight="1">
      <c r="A253" s="406">
        <v>45518.0</v>
      </c>
      <c r="B253" s="349" t="s">
        <v>4562</v>
      </c>
      <c r="C253" s="349" t="s">
        <v>4625</v>
      </c>
      <c r="D253" s="349" t="s">
        <v>439</v>
      </c>
      <c r="E253" s="349" t="s">
        <v>4564</v>
      </c>
      <c r="F253" s="413">
        <v>13961.0</v>
      </c>
      <c r="G253" s="349">
        <v>0.0</v>
      </c>
      <c r="H253" s="404" t="str">
        <f t="shared" si="12"/>
        <v>NOT PAID</v>
      </c>
      <c r="I253" s="349" t="s">
        <v>4621</v>
      </c>
      <c r="J253" s="402"/>
      <c r="K253" s="402"/>
      <c r="L253" s="402"/>
      <c r="M253" s="402"/>
      <c r="N253" s="402"/>
      <c r="O253" s="402"/>
      <c r="P253" s="402"/>
      <c r="Q253" s="402"/>
      <c r="R253" s="402"/>
      <c r="S253" s="402"/>
      <c r="T253" s="402"/>
      <c r="U253" s="402"/>
      <c r="V253" s="402"/>
      <c r="W253" s="402"/>
      <c r="X253" s="402"/>
      <c r="Y253" s="402"/>
      <c r="Z253" s="402"/>
      <c r="AA253" s="405"/>
      <c r="AB253" s="405"/>
    </row>
    <row r="254" ht="14.25" customHeight="1">
      <c r="A254" s="406">
        <v>45518.0</v>
      </c>
      <c r="B254" s="349" t="s">
        <v>4626</v>
      </c>
      <c r="C254" s="349" t="s">
        <v>4627</v>
      </c>
      <c r="D254" s="349" t="s">
        <v>439</v>
      </c>
      <c r="E254" s="349" t="s">
        <v>4564</v>
      </c>
      <c r="F254" s="413">
        <v>27262.0</v>
      </c>
      <c r="G254" s="349">
        <v>0.0</v>
      </c>
      <c r="H254" s="404" t="str">
        <f t="shared" si="12"/>
        <v>NOT PAID</v>
      </c>
      <c r="I254" s="349" t="s">
        <v>4621</v>
      </c>
      <c r="J254" s="402"/>
      <c r="K254" s="402"/>
      <c r="L254" s="402"/>
      <c r="M254" s="402"/>
      <c r="N254" s="402"/>
      <c r="O254" s="402"/>
      <c r="P254" s="402"/>
      <c r="Q254" s="402"/>
      <c r="R254" s="402"/>
      <c r="S254" s="402"/>
      <c r="T254" s="402"/>
      <c r="U254" s="402"/>
      <c r="V254" s="402"/>
      <c r="W254" s="402"/>
      <c r="X254" s="402"/>
      <c r="Y254" s="402"/>
      <c r="Z254" s="402"/>
      <c r="AA254" s="405"/>
      <c r="AB254" s="405"/>
    </row>
    <row r="255" ht="14.25" customHeight="1">
      <c r="A255" s="402"/>
      <c r="B255" s="402"/>
      <c r="C255" s="402"/>
      <c r="D255" s="402"/>
      <c r="E255" s="424" t="s">
        <v>23</v>
      </c>
      <c r="F255" s="787">
        <v>275037.0</v>
      </c>
      <c r="G255" s="402"/>
      <c r="H255" s="404" t="str">
        <f t="shared" si="12"/>
        <v>NOT PAID</v>
      </c>
      <c r="I255" s="402"/>
      <c r="J255" s="402"/>
      <c r="K255" s="402"/>
      <c r="L255" s="402"/>
      <c r="M255" s="402"/>
      <c r="N255" s="402"/>
      <c r="O255" s="402"/>
      <c r="P255" s="402"/>
      <c r="Q255" s="402"/>
      <c r="R255" s="402"/>
      <c r="S255" s="402"/>
      <c r="T255" s="402"/>
      <c r="U255" s="402"/>
      <c r="V255" s="402"/>
      <c r="W255" s="402"/>
      <c r="X255" s="402"/>
      <c r="Y255" s="402"/>
      <c r="Z255" s="402"/>
      <c r="AA255" s="405"/>
      <c r="AB255" s="405"/>
    </row>
    <row r="256" ht="14.25" customHeight="1">
      <c r="A256" s="402"/>
      <c r="B256" s="402"/>
      <c r="C256" s="402"/>
      <c r="D256" s="402"/>
      <c r="E256" s="402"/>
      <c r="F256" s="403"/>
      <c r="G256" s="402"/>
      <c r="H256" s="404" t="str">
        <f t="shared" si="12"/>
        <v>FULLY PAID</v>
      </c>
      <c r="I256" s="402"/>
      <c r="J256" s="402"/>
      <c r="K256" s="402"/>
      <c r="L256" s="402"/>
      <c r="M256" s="402"/>
      <c r="N256" s="402"/>
      <c r="O256" s="402"/>
      <c r="P256" s="402"/>
      <c r="Q256" s="402"/>
      <c r="R256" s="402"/>
      <c r="S256" s="402"/>
      <c r="T256" s="402"/>
      <c r="U256" s="402"/>
      <c r="V256" s="402"/>
      <c r="W256" s="402"/>
      <c r="X256" s="402"/>
      <c r="Y256" s="402"/>
      <c r="Z256" s="402"/>
      <c r="AA256" s="405"/>
      <c r="AB256" s="405"/>
    </row>
    <row r="257" ht="14.25" customHeight="1">
      <c r="A257" s="406">
        <v>45519.0</v>
      </c>
      <c r="B257" s="414" t="s">
        <v>4565</v>
      </c>
      <c r="C257" s="415" t="s">
        <v>4566</v>
      </c>
      <c r="D257" s="415" t="s">
        <v>439</v>
      </c>
      <c r="E257" s="415" t="s">
        <v>4603</v>
      </c>
      <c r="F257" s="413">
        <v>6800.0</v>
      </c>
      <c r="G257" s="402"/>
      <c r="H257" s="404" t="str">
        <f t="shared" si="12"/>
        <v>NOT PAID</v>
      </c>
      <c r="I257" s="349" t="s">
        <v>4628</v>
      </c>
      <c r="J257" s="402"/>
      <c r="K257" s="402"/>
      <c r="L257" s="402"/>
      <c r="M257" s="402"/>
      <c r="N257" s="402"/>
      <c r="O257" s="402"/>
      <c r="P257" s="402"/>
      <c r="Q257" s="402"/>
      <c r="R257" s="402"/>
      <c r="S257" s="402"/>
      <c r="T257" s="402"/>
      <c r="U257" s="402"/>
      <c r="V257" s="402"/>
      <c r="W257" s="402"/>
      <c r="X257" s="402"/>
      <c r="Y257" s="402"/>
      <c r="Z257" s="402"/>
      <c r="AA257" s="405"/>
      <c r="AB257" s="405"/>
    </row>
    <row r="258" ht="14.25" customHeight="1">
      <c r="A258" s="406">
        <v>45519.0</v>
      </c>
      <c r="B258" s="414" t="s">
        <v>4575</v>
      </c>
      <c r="C258" s="415" t="s">
        <v>4576</v>
      </c>
      <c r="D258" s="415" t="s">
        <v>439</v>
      </c>
      <c r="E258" s="415" t="s">
        <v>4558</v>
      </c>
      <c r="F258" s="413">
        <v>24062.0</v>
      </c>
      <c r="G258" s="402"/>
      <c r="H258" s="404" t="str">
        <f t="shared" si="12"/>
        <v>NOT PAID</v>
      </c>
      <c r="I258" s="349" t="s">
        <v>4608</v>
      </c>
      <c r="J258" s="402"/>
      <c r="K258" s="402"/>
      <c r="L258" s="402"/>
      <c r="M258" s="402"/>
      <c r="N258" s="402"/>
      <c r="O258" s="402"/>
      <c r="P258" s="402"/>
      <c r="Q258" s="402"/>
      <c r="R258" s="402"/>
      <c r="S258" s="402"/>
      <c r="T258" s="402"/>
      <c r="U258" s="402"/>
      <c r="V258" s="402"/>
      <c r="W258" s="402"/>
      <c r="X258" s="402"/>
      <c r="Y258" s="402"/>
      <c r="Z258" s="402"/>
      <c r="AA258" s="405"/>
      <c r="AB258" s="405"/>
    </row>
    <row r="259" ht="14.25" customHeight="1">
      <c r="A259" s="406">
        <v>45519.0</v>
      </c>
      <c r="B259" s="419" t="s">
        <v>4590</v>
      </c>
      <c r="C259" s="420" t="s">
        <v>4591</v>
      </c>
      <c r="D259" s="420" t="s">
        <v>439</v>
      </c>
      <c r="E259" s="420" t="s">
        <v>4603</v>
      </c>
      <c r="F259" s="413">
        <v>4680.0</v>
      </c>
      <c r="G259" s="402"/>
      <c r="H259" s="404" t="str">
        <f t="shared" si="12"/>
        <v>NOT PAID</v>
      </c>
      <c r="I259" s="349" t="s">
        <v>4608</v>
      </c>
      <c r="J259" s="402"/>
      <c r="K259" s="402"/>
      <c r="L259" s="402"/>
      <c r="M259" s="402"/>
      <c r="N259" s="402"/>
      <c r="O259" s="402"/>
      <c r="P259" s="402"/>
      <c r="Q259" s="402"/>
      <c r="R259" s="402"/>
      <c r="S259" s="402"/>
      <c r="T259" s="402"/>
      <c r="U259" s="402"/>
      <c r="V259" s="402"/>
      <c r="W259" s="402"/>
      <c r="X259" s="402"/>
      <c r="Y259" s="402"/>
      <c r="Z259" s="402"/>
      <c r="AA259" s="405"/>
      <c r="AB259" s="405"/>
    </row>
    <row r="260" ht="14.25" customHeight="1">
      <c r="A260" s="406">
        <v>45519.0</v>
      </c>
      <c r="B260" s="349" t="s">
        <v>4619</v>
      </c>
      <c r="C260" s="349" t="s">
        <v>4620</v>
      </c>
      <c r="D260" s="349" t="s">
        <v>439</v>
      </c>
      <c r="E260" s="349" t="s">
        <v>4603</v>
      </c>
      <c r="F260" s="683">
        <v>10857.0</v>
      </c>
      <c r="G260" s="402"/>
      <c r="H260" s="404" t="str">
        <f t="shared" si="12"/>
        <v>NOT PAID</v>
      </c>
      <c r="I260" s="349" t="s">
        <v>4629</v>
      </c>
      <c r="J260" s="402"/>
      <c r="K260" s="402"/>
      <c r="L260" s="402"/>
      <c r="M260" s="402"/>
      <c r="N260" s="402"/>
      <c r="O260" s="402"/>
      <c r="P260" s="402"/>
      <c r="Q260" s="402"/>
      <c r="R260" s="402"/>
      <c r="S260" s="402"/>
      <c r="T260" s="402"/>
      <c r="U260" s="402"/>
      <c r="V260" s="402"/>
      <c r="W260" s="402"/>
      <c r="X260" s="402"/>
      <c r="Y260" s="402"/>
      <c r="Z260" s="402"/>
      <c r="AA260" s="405"/>
      <c r="AB260" s="405"/>
    </row>
    <row r="261" ht="14.25" customHeight="1">
      <c r="A261" s="406">
        <v>45519.0</v>
      </c>
      <c r="B261" s="349" t="s">
        <v>4550</v>
      </c>
      <c r="C261" s="349" t="s">
        <v>4622</v>
      </c>
      <c r="D261" s="349" t="s">
        <v>439</v>
      </c>
      <c r="E261" s="349" t="s">
        <v>4564</v>
      </c>
      <c r="F261" s="413">
        <v>91410.0</v>
      </c>
      <c r="G261" s="402"/>
      <c r="H261" s="404" t="str">
        <f t="shared" si="12"/>
        <v>NOT PAID</v>
      </c>
      <c r="I261" s="349" t="s">
        <v>0</v>
      </c>
      <c r="J261" s="402"/>
      <c r="K261" s="402"/>
      <c r="L261" s="402"/>
      <c r="M261" s="402"/>
      <c r="N261" s="402"/>
      <c r="O261" s="402"/>
      <c r="P261" s="402"/>
      <c r="Q261" s="402"/>
      <c r="R261" s="402"/>
      <c r="S261" s="402"/>
      <c r="T261" s="402"/>
      <c r="U261" s="402"/>
      <c r="V261" s="402"/>
      <c r="W261" s="402"/>
      <c r="X261" s="402"/>
      <c r="Y261" s="402"/>
      <c r="Z261" s="402"/>
      <c r="AA261" s="405"/>
      <c r="AB261" s="405"/>
    </row>
    <row r="262" ht="14.25" customHeight="1">
      <c r="A262" s="406">
        <v>45519.0</v>
      </c>
      <c r="B262" s="349" t="s">
        <v>4623</v>
      </c>
      <c r="C262" s="349" t="s">
        <v>4624</v>
      </c>
      <c r="D262" s="349" t="s">
        <v>439</v>
      </c>
      <c r="E262" s="349" t="s">
        <v>4558</v>
      </c>
      <c r="F262" s="413">
        <v>19005.0</v>
      </c>
      <c r="G262" s="683">
        <v>17917.0</v>
      </c>
      <c r="H262" s="404" t="str">
        <f t="shared" si="12"/>
        <v>PARTIALLY PAID</v>
      </c>
      <c r="I262" s="402"/>
      <c r="J262" s="402"/>
      <c r="K262" s="402"/>
      <c r="L262" s="402"/>
      <c r="M262" s="402"/>
      <c r="N262" s="402"/>
      <c r="O262" s="402"/>
      <c r="P262" s="402"/>
      <c r="Q262" s="402"/>
      <c r="R262" s="402"/>
      <c r="S262" s="402"/>
      <c r="T262" s="402"/>
      <c r="U262" s="402"/>
      <c r="V262" s="402"/>
      <c r="W262" s="402"/>
      <c r="X262" s="402"/>
      <c r="Y262" s="402"/>
      <c r="Z262" s="402"/>
      <c r="AA262" s="405"/>
      <c r="AB262" s="405"/>
    </row>
    <row r="263" ht="14.25" customHeight="1">
      <c r="A263" s="406">
        <v>45519.0</v>
      </c>
      <c r="B263" s="349" t="s">
        <v>4562</v>
      </c>
      <c r="C263" s="349" t="s">
        <v>4625</v>
      </c>
      <c r="D263" s="349" t="s">
        <v>439</v>
      </c>
      <c r="E263" s="349" t="s">
        <v>4564</v>
      </c>
      <c r="F263" s="413">
        <v>13961.0</v>
      </c>
      <c r="G263" s="683">
        <v>13962.0</v>
      </c>
      <c r="H263" s="404" t="str">
        <f t="shared" si="12"/>
        <v>FULLY PAID</v>
      </c>
      <c r="I263" s="402"/>
      <c r="J263" s="402"/>
      <c r="K263" s="402"/>
      <c r="L263" s="402"/>
      <c r="M263" s="402"/>
      <c r="N263" s="402"/>
      <c r="O263" s="402"/>
      <c r="P263" s="402"/>
      <c r="Q263" s="402"/>
      <c r="R263" s="402"/>
      <c r="S263" s="402"/>
      <c r="T263" s="402"/>
      <c r="U263" s="402"/>
      <c r="V263" s="402"/>
      <c r="W263" s="402"/>
      <c r="X263" s="402"/>
      <c r="Y263" s="402"/>
      <c r="Z263" s="402"/>
      <c r="AA263" s="405"/>
      <c r="AB263" s="405"/>
    </row>
    <row r="264" ht="14.25" customHeight="1">
      <c r="A264" s="406">
        <v>45519.0</v>
      </c>
      <c r="B264" s="349" t="s">
        <v>4626</v>
      </c>
      <c r="C264" s="349" t="s">
        <v>4627</v>
      </c>
      <c r="D264" s="349" t="s">
        <v>439</v>
      </c>
      <c r="E264" s="349" t="s">
        <v>4564</v>
      </c>
      <c r="F264" s="413">
        <v>27262.0</v>
      </c>
      <c r="G264" s="402"/>
      <c r="H264" s="404" t="str">
        <f t="shared" si="12"/>
        <v>NOT PAID</v>
      </c>
      <c r="I264" s="402"/>
      <c r="J264" s="402"/>
      <c r="K264" s="402"/>
      <c r="L264" s="402"/>
      <c r="M264" s="402"/>
      <c r="N264" s="402"/>
      <c r="O264" s="402"/>
      <c r="P264" s="402"/>
      <c r="Q264" s="402"/>
      <c r="R264" s="402"/>
      <c r="S264" s="402"/>
      <c r="T264" s="402"/>
      <c r="U264" s="402"/>
      <c r="V264" s="402"/>
      <c r="W264" s="402"/>
      <c r="X264" s="402"/>
      <c r="Y264" s="402"/>
      <c r="Z264" s="402"/>
      <c r="AA264" s="405"/>
      <c r="AB264" s="405"/>
    </row>
    <row r="265" ht="14.25" customHeight="1">
      <c r="A265" s="584"/>
      <c r="B265" s="584"/>
      <c r="C265" s="584"/>
      <c r="D265" s="584"/>
      <c r="E265" s="424" t="s">
        <v>23</v>
      </c>
      <c r="F265" s="787">
        <v>198037.0</v>
      </c>
      <c r="G265" s="584"/>
      <c r="H265" s="404" t="str">
        <f t="shared" si="12"/>
        <v>NOT PAID</v>
      </c>
      <c r="I265" s="584"/>
      <c r="J265" s="584"/>
      <c r="K265" s="584"/>
      <c r="L265" s="584"/>
      <c r="M265" s="584"/>
      <c r="N265" s="584"/>
      <c r="O265" s="584"/>
      <c r="P265" s="584"/>
      <c r="Q265" s="584"/>
      <c r="R265" s="584"/>
      <c r="S265" s="584"/>
      <c r="T265" s="584"/>
      <c r="U265" s="584"/>
      <c r="V265" s="584"/>
      <c r="W265" s="584"/>
      <c r="X265" s="584"/>
      <c r="Y265" s="584"/>
      <c r="Z265" s="584"/>
      <c r="AA265" s="659"/>
      <c r="AB265" s="659"/>
    </row>
    <row r="266" ht="14.25" customHeight="1">
      <c r="A266" s="402"/>
      <c r="B266" s="402"/>
      <c r="C266" s="402"/>
      <c r="D266" s="402"/>
      <c r="E266" s="402"/>
      <c r="F266" s="403"/>
      <c r="G266" s="402"/>
      <c r="H266" s="404"/>
      <c r="I266" s="402"/>
      <c r="J266" s="402"/>
      <c r="K266" s="402"/>
      <c r="L266" s="402"/>
      <c r="M266" s="402"/>
      <c r="N266" s="402"/>
      <c r="O266" s="402"/>
      <c r="P266" s="402"/>
      <c r="Q266" s="402"/>
      <c r="R266" s="402"/>
      <c r="S266" s="402"/>
      <c r="T266" s="402"/>
      <c r="U266" s="402"/>
      <c r="V266" s="402"/>
      <c r="W266" s="402"/>
      <c r="X266" s="402"/>
      <c r="Y266" s="402"/>
      <c r="Z266" s="402"/>
      <c r="AA266" s="405"/>
      <c r="AB266" s="405"/>
    </row>
    <row r="267" ht="14.25" customHeight="1">
      <c r="A267" s="497">
        <v>45520.0</v>
      </c>
      <c r="B267" s="414" t="s">
        <v>4565</v>
      </c>
      <c r="C267" s="415" t="s">
        <v>4566</v>
      </c>
      <c r="D267" s="415" t="s">
        <v>439</v>
      </c>
      <c r="E267" s="415" t="s">
        <v>4603</v>
      </c>
      <c r="F267" s="413">
        <v>6800.0</v>
      </c>
      <c r="G267" s="402"/>
      <c r="H267" s="404" t="str">
        <f t="shared" ref="H267:H273" si="13">IF(G267&gt;=F267,"FULLY PAID",IF(G267=0,"NOT PAID","PARTIALLY PAID"))</f>
        <v>NOT PAID</v>
      </c>
      <c r="I267" s="349" t="s">
        <v>4630</v>
      </c>
      <c r="J267" s="402"/>
      <c r="K267" s="402"/>
      <c r="L267" s="402"/>
      <c r="M267" s="402"/>
      <c r="N267" s="402"/>
      <c r="O267" s="402"/>
      <c r="P267" s="402"/>
      <c r="Q267" s="402"/>
      <c r="R267" s="402"/>
      <c r="S267" s="402"/>
      <c r="T267" s="402"/>
      <c r="U267" s="402"/>
      <c r="V267" s="402"/>
      <c r="W267" s="402"/>
      <c r="X267" s="402"/>
      <c r="Y267" s="402"/>
      <c r="Z267" s="402"/>
      <c r="AA267" s="405"/>
      <c r="AB267" s="405"/>
    </row>
    <row r="268" ht="14.25" customHeight="1">
      <c r="A268" s="497">
        <v>45520.0</v>
      </c>
      <c r="B268" s="414" t="s">
        <v>4575</v>
      </c>
      <c r="C268" s="415" t="s">
        <v>4576</v>
      </c>
      <c r="D268" s="415" t="s">
        <v>439</v>
      </c>
      <c r="E268" s="415" t="s">
        <v>4558</v>
      </c>
      <c r="F268" s="413">
        <v>24062.0</v>
      </c>
      <c r="G268" s="402"/>
      <c r="H268" s="404" t="str">
        <f t="shared" si="13"/>
        <v>NOT PAID</v>
      </c>
      <c r="I268" s="349" t="s">
        <v>4608</v>
      </c>
      <c r="J268" s="402"/>
      <c r="K268" s="402"/>
      <c r="L268" s="402"/>
      <c r="M268" s="402"/>
      <c r="N268" s="402"/>
      <c r="O268" s="402"/>
      <c r="P268" s="402"/>
      <c r="Q268" s="402"/>
      <c r="R268" s="402"/>
      <c r="S268" s="402"/>
      <c r="T268" s="402"/>
      <c r="U268" s="402"/>
      <c r="V268" s="402"/>
      <c r="W268" s="402"/>
      <c r="X268" s="402"/>
      <c r="Y268" s="402"/>
      <c r="Z268" s="402"/>
      <c r="AA268" s="405"/>
      <c r="AB268" s="405"/>
    </row>
    <row r="269" ht="14.25" customHeight="1">
      <c r="A269" s="497">
        <v>45520.0</v>
      </c>
      <c r="B269" s="419" t="s">
        <v>4590</v>
      </c>
      <c r="C269" s="420" t="s">
        <v>4591</v>
      </c>
      <c r="D269" s="420" t="s">
        <v>439</v>
      </c>
      <c r="E269" s="420" t="s">
        <v>4603</v>
      </c>
      <c r="F269" s="413">
        <v>4680.0</v>
      </c>
      <c r="G269" s="402"/>
      <c r="H269" s="404" t="str">
        <f t="shared" si="13"/>
        <v>NOT PAID</v>
      </c>
      <c r="I269" s="349" t="s">
        <v>4608</v>
      </c>
      <c r="J269" s="402"/>
      <c r="K269" s="402"/>
      <c r="L269" s="402"/>
      <c r="M269" s="402"/>
      <c r="N269" s="402"/>
      <c r="O269" s="402"/>
      <c r="P269" s="402"/>
      <c r="Q269" s="402"/>
      <c r="R269" s="402"/>
      <c r="S269" s="402"/>
      <c r="T269" s="402"/>
      <c r="U269" s="402"/>
      <c r="V269" s="402"/>
      <c r="W269" s="402"/>
      <c r="X269" s="402"/>
      <c r="Y269" s="402"/>
      <c r="Z269" s="402"/>
      <c r="AA269" s="405"/>
      <c r="AB269" s="405"/>
    </row>
    <row r="270" ht="14.25" customHeight="1">
      <c r="A270" s="497">
        <v>45520.0</v>
      </c>
      <c r="B270" s="349" t="s">
        <v>4619</v>
      </c>
      <c r="C270" s="349" t="s">
        <v>4620</v>
      </c>
      <c r="D270" s="349" t="s">
        <v>439</v>
      </c>
      <c r="E270" s="349" t="s">
        <v>4603</v>
      </c>
      <c r="F270" s="683">
        <v>10857.0</v>
      </c>
      <c r="G270" s="402"/>
      <c r="H270" s="404" t="str">
        <f t="shared" si="13"/>
        <v>NOT PAID</v>
      </c>
      <c r="I270" s="349" t="s">
        <v>4631</v>
      </c>
      <c r="J270" s="402"/>
      <c r="K270" s="402"/>
      <c r="L270" s="402"/>
      <c r="M270" s="402"/>
      <c r="N270" s="402"/>
      <c r="O270" s="402"/>
      <c r="P270" s="402"/>
      <c r="Q270" s="402"/>
      <c r="R270" s="402"/>
      <c r="S270" s="402"/>
      <c r="T270" s="402"/>
      <c r="U270" s="402"/>
      <c r="V270" s="402"/>
      <c r="W270" s="402"/>
      <c r="X270" s="402"/>
      <c r="Y270" s="402"/>
      <c r="Z270" s="402"/>
      <c r="AA270" s="405"/>
      <c r="AB270" s="405"/>
    </row>
    <row r="271" ht="14.25" customHeight="1">
      <c r="A271" s="497">
        <v>45520.0</v>
      </c>
      <c r="B271" s="349" t="s">
        <v>4550</v>
      </c>
      <c r="C271" s="349" t="s">
        <v>4622</v>
      </c>
      <c r="D271" s="349" t="s">
        <v>439</v>
      </c>
      <c r="E271" s="349" t="s">
        <v>4564</v>
      </c>
      <c r="F271" s="413">
        <v>91410.0</v>
      </c>
      <c r="G271" s="402"/>
      <c r="H271" s="404" t="str">
        <f t="shared" si="13"/>
        <v>NOT PAID</v>
      </c>
      <c r="I271" s="349" t="s">
        <v>4630</v>
      </c>
      <c r="J271" s="402"/>
      <c r="K271" s="402"/>
      <c r="L271" s="402"/>
      <c r="M271" s="402"/>
      <c r="N271" s="402"/>
      <c r="O271" s="402"/>
      <c r="P271" s="402"/>
      <c r="Q271" s="402"/>
      <c r="R271" s="402"/>
      <c r="S271" s="402"/>
      <c r="T271" s="402"/>
      <c r="U271" s="402"/>
      <c r="V271" s="402"/>
      <c r="W271" s="402"/>
      <c r="X271" s="402"/>
      <c r="Y271" s="402"/>
      <c r="Z271" s="402"/>
      <c r="AA271" s="405"/>
      <c r="AB271" s="405"/>
    </row>
    <row r="272" ht="14.25" customHeight="1">
      <c r="A272" s="497">
        <v>45520.0</v>
      </c>
      <c r="B272" s="349" t="s">
        <v>4626</v>
      </c>
      <c r="C272" s="349" t="s">
        <v>4627</v>
      </c>
      <c r="D272" s="349" t="s">
        <v>439</v>
      </c>
      <c r="E272" s="349" t="s">
        <v>4564</v>
      </c>
      <c r="F272" s="413">
        <v>27262.0</v>
      </c>
      <c r="G272" s="823">
        <v>16000.0</v>
      </c>
      <c r="H272" s="404" t="str">
        <f t="shared" si="13"/>
        <v>PARTIALLY PAID</v>
      </c>
      <c r="I272" s="349" t="s">
        <v>4632</v>
      </c>
      <c r="J272" s="402"/>
      <c r="K272" s="402"/>
      <c r="L272" s="402"/>
      <c r="M272" s="402"/>
      <c r="N272" s="402"/>
      <c r="O272" s="402"/>
      <c r="P272" s="402"/>
      <c r="Q272" s="402"/>
      <c r="R272" s="402"/>
      <c r="S272" s="402"/>
      <c r="T272" s="402"/>
      <c r="U272" s="402"/>
      <c r="V272" s="402"/>
      <c r="W272" s="402"/>
      <c r="X272" s="402"/>
      <c r="Y272" s="402"/>
      <c r="Z272" s="402"/>
      <c r="AA272" s="405"/>
      <c r="AB272" s="405"/>
    </row>
    <row r="273" ht="14.25" customHeight="1">
      <c r="A273" s="402"/>
      <c r="B273" s="402"/>
      <c r="C273" s="402"/>
      <c r="D273" s="402"/>
      <c r="E273" s="424" t="s">
        <v>23</v>
      </c>
      <c r="F273" s="787">
        <v>165071.0</v>
      </c>
      <c r="G273" s="402"/>
      <c r="H273" s="404" t="str">
        <f t="shared" si="13"/>
        <v>NOT PAID</v>
      </c>
      <c r="I273" s="402"/>
      <c r="J273" s="402"/>
      <c r="K273" s="402"/>
      <c r="L273" s="402"/>
      <c r="M273" s="402"/>
      <c r="N273" s="402"/>
      <c r="O273" s="402"/>
      <c r="P273" s="402"/>
      <c r="Q273" s="402"/>
      <c r="R273" s="402"/>
      <c r="S273" s="402"/>
      <c r="T273" s="402"/>
      <c r="U273" s="402"/>
      <c r="V273" s="402"/>
      <c r="W273" s="402"/>
      <c r="X273" s="402"/>
      <c r="Y273" s="402"/>
      <c r="Z273" s="402"/>
      <c r="AA273" s="405"/>
      <c r="AB273" s="405"/>
    </row>
    <row r="274" ht="14.25" customHeight="1">
      <c r="A274" s="402"/>
      <c r="B274" s="402"/>
      <c r="C274" s="402"/>
      <c r="D274" s="402"/>
      <c r="E274" s="402"/>
      <c r="F274" s="403"/>
      <c r="G274" s="402"/>
      <c r="H274" s="402"/>
      <c r="I274" s="402"/>
      <c r="J274" s="402"/>
      <c r="K274" s="402"/>
      <c r="L274" s="402"/>
      <c r="M274" s="402"/>
      <c r="N274" s="402"/>
      <c r="O274" s="402"/>
      <c r="P274" s="402"/>
      <c r="Q274" s="402"/>
      <c r="R274" s="402"/>
      <c r="S274" s="402"/>
      <c r="T274" s="402"/>
      <c r="U274" s="402"/>
      <c r="V274" s="402"/>
      <c r="W274" s="402"/>
      <c r="X274" s="402"/>
      <c r="Y274" s="402"/>
      <c r="Z274" s="402"/>
      <c r="AA274" s="405"/>
      <c r="AB274" s="405"/>
    </row>
    <row r="275" ht="14.25" customHeight="1">
      <c r="A275" s="402"/>
      <c r="B275" s="402"/>
      <c r="C275" s="402"/>
      <c r="D275" s="402"/>
      <c r="E275" s="402"/>
      <c r="F275" s="403"/>
      <c r="G275" s="402"/>
      <c r="H275" s="402"/>
      <c r="I275" s="402"/>
      <c r="J275" s="402"/>
      <c r="K275" s="402"/>
      <c r="L275" s="402"/>
      <c r="M275" s="402"/>
      <c r="N275" s="402"/>
      <c r="O275" s="402"/>
      <c r="P275" s="402"/>
      <c r="Q275" s="402"/>
      <c r="R275" s="402"/>
      <c r="S275" s="402"/>
      <c r="T275" s="402"/>
      <c r="U275" s="402"/>
      <c r="V275" s="402"/>
      <c r="W275" s="402"/>
      <c r="X275" s="402"/>
      <c r="Y275" s="402"/>
      <c r="Z275" s="402"/>
      <c r="AA275" s="405"/>
      <c r="AB275" s="405"/>
    </row>
    <row r="276" ht="14.25" customHeight="1">
      <c r="A276" s="497">
        <v>45521.0</v>
      </c>
      <c r="B276" s="595" t="s">
        <v>4565</v>
      </c>
      <c r="C276" s="512" t="s">
        <v>4633</v>
      </c>
      <c r="D276" s="349" t="s">
        <v>439</v>
      </c>
      <c r="E276" s="349" t="s">
        <v>4603</v>
      </c>
      <c r="F276" s="413">
        <v>23802.0</v>
      </c>
      <c r="G276" s="349">
        <v>0.0</v>
      </c>
      <c r="H276" s="349" t="s">
        <v>9</v>
      </c>
      <c r="I276" s="349" t="s">
        <v>4634</v>
      </c>
      <c r="J276" s="402"/>
      <c r="K276" s="402"/>
      <c r="L276" s="402"/>
      <c r="M276" s="402"/>
      <c r="N276" s="402"/>
      <c r="O276" s="402"/>
      <c r="P276" s="402"/>
      <c r="Q276" s="402"/>
      <c r="R276" s="402"/>
      <c r="S276" s="402"/>
      <c r="T276" s="402"/>
      <c r="U276" s="402"/>
      <c r="V276" s="402"/>
      <c r="W276" s="402"/>
      <c r="X276" s="402"/>
      <c r="Y276" s="402"/>
      <c r="Z276" s="402"/>
      <c r="AA276" s="405"/>
      <c r="AB276" s="405"/>
    </row>
    <row r="277" ht="14.25" customHeight="1">
      <c r="A277" s="406">
        <v>45521.0</v>
      </c>
      <c r="B277" s="419" t="s">
        <v>4590</v>
      </c>
      <c r="C277" s="420" t="s">
        <v>4591</v>
      </c>
      <c r="D277" s="420" t="s">
        <v>439</v>
      </c>
      <c r="E277" s="420" t="s">
        <v>4603</v>
      </c>
      <c r="F277" s="413">
        <v>4680.0</v>
      </c>
      <c r="G277" s="349">
        <v>0.0</v>
      </c>
      <c r="H277" s="349" t="s">
        <v>9</v>
      </c>
      <c r="I277" s="349" t="s">
        <v>4635</v>
      </c>
      <c r="J277" s="402"/>
      <c r="K277" s="402"/>
      <c r="L277" s="402"/>
      <c r="M277" s="402"/>
      <c r="N277" s="402"/>
      <c r="O277" s="402"/>
      <c r="P277" s="402"/>
      <c r="Q277" s="402"/>
      <c r="R277" s="402"/>
      <c r="S277" s="402"/>
      <c r="T277" s="402"/>
      <c r="U277" s="402"/>
      <c r="V277" s="402"/>
      <c r="W277" s="402"/>
      <c r="X277" s="402"/>
      <c r="Y277" s="402"/>
      <c r="Z277" s="402"/>
      <c r="AA277" s="405"/>
      <c r="AB277" s="405"/>
    </row>
    <row r="278" ht="14.25" customHeight="1">
      <c r="A278" s="497">
        <v>45521.0</v>
      </c>
      <c r="B278" s="349" t="s">
        <v>4619</v>
      </c>
      <c r="C278" s="349" t="s">
        <v>4620</v>
      </c>
      <c r="D278" s="349" t="s">
        <v>439</v>
      </c>
      <c r="E278" s="349" t="s">
        <v>4603</v>
      </c>
      <c r="F278" s="683">
        <v>10857.0</v>
      </c>
      <c r="G278" s="349">
        <v>0.0</v>
      </c>
      <c r="H278" s="349" t="s">
        <v>9</v>
      </c>
      <c r="I278" s="349" t="s">
        <v>4635</v>
      </c>
      <c r="J278" s="402"/>
      <c r="K278" s="402"/>
      <c r="L278" s="402"/>
      <c r="M278" s="402"/>
      <c r="N278" s="402"/>
      <c r="O278" s="402"/>
      <c r="P278" s="402"/>
      <c r="Q278" s="402"/>
      <c r="R278" s="402"/>
      <c r="S278" s="402"/>
      <c r="T278" s="402"/>
      <c r="U278" s="402"/>
      <c r="V278" s="402"/>
      <c r="W278" s="402"/>
      <c r="X278" s="402"/>
      <c r="Y278" s="402"/>
      <c r="Z278" s="402"/>
      <c r="AA278" s="405"/>
      <c r="AB278" s="405"/>
    </row>
    <row r="279" ht="14.25" customHeight="1">
      <c r="A279" s="497">
        <v>45521.0</v>
      </c>
      <c r="B279" s="349" t="s">
        <v>4550</v>
      </c>
      <c r="C279" s="349" t="s">
        <v>4622</v>
      </c>
      <c r="D279" s="349" t="s">
        <v>439</v>
      </c>
      <c r="E279" s="349" t="s">
        <v>4564</v>
      </c>
      <c r="F279" s="413">
        <v>91410.0</v>
      </c>
      <c r="G279" s="349">
        <v>0.0</v>
      </c>
      <c r="H279" s="349" t="s">
        <v>9</v>
      </c>
      <c r="I279" s="349" t="s">
        <v>4634</v>
      </c>
      <c r="J279" s="402"/>
      <c r="K279" s="402"/>
      <c r="L279" s="402"/>
      <c r="M279" s="402"/>
      <c r="N279" s="402"/>
      <c r="O279" s="402"/>
      <c r="P279" s="402"/>
      <c r="Q279" s="402"/>
      <c r="R279" s="402"/>
      <c r="S279" s="402"/>
      <c r="T279" s="402"/>
      <c r="U279" s="402"/>
      <c r="V279" s="402"/>
      <c r="W279" s="402"/>
      <c r="X279" s="402"/>
      <c r="Y279" s="402"/>
      <c r="Z279" s="402"/>
      <c r="AA279" s="405"/>
      <c r="AB279" s="405"/>
    </row>
    <row r="280" ht="14.25" customHeight="1">
      <c r="A280" s="497">
        <v>45521.0</v>
      </c>
      <c r="B280" s="349" t="s">
        <v>4626</v>
      </c>
      <c r="C280" s="349" t="s">
        <v>4627</v>
      </c>
      <c r="D280" s="349" t="s">
        <v>439</v>
      </c>
      <c r="E280" s="349" t="s">
        <v>4564</v>
      </c>
      <c r="F280" s="413">
        <v>11262.0</v>
      </c>
      <c r="G280" s="349">
        <v>0.0</v>
      </c>
      <c r="H280" s="349" t="s">
        <v>9</v>
      </c>
      <c r="I280" s="349" t="s">
        <v>4635</v>
      </c>
      <c r="J280" s="402"/>
      <c r="K280" s="402"/>
      <c r="L280" s="402"/>
      <c r="M280" s="402"/>
      <c r="N280" s="402"/>
      <c r="O280" s="402"/>
      <c r="P280" s="402"/>
      <c r="Q280" s="402"/>
      <c r="R280" s="402"/>
      <c r="S280" s="402"/>
      <c r="T280" s="402"/>
      <c r="U280" s="402"/>
      <c r="V280" s="402"/>
      <c r="W280" s="402"/>
      <c r="X280" s="402"/>
      <c r="Y280" s="402"/>
      <c r="Z280" s="402"/>
      <c r="AA280" s="405"/>
      <c r="AB280" s="405"/>
    </row>
    <row r="281" ht="14.25" customHeight="1">
      <c r="A281" s="497">
        <v>45521.0</v>
      </c>
      <c r="B281" s="414" t="s">
        <v>4575</v>
      </c>
      <c r="C281" s="415" t="s">
        <v>4576</v>
      </c>
      <c r="D281" s="415" t="s">
        <v>439</v>
      </c>
      <c r="E281" s="415" t="s">
        <v>4558</v>
      </c>
      <c r="F281" s="413">
        <v>24062.0</v>
      </c>
      <c r="G281" s="349">
        <v>0.0</v>
      </c>
      <c r="H281" s="349" t="s">
        <v>9</v>
      </c>
      <c r="I281" s="349" t="s">
        <v>4636</v>
      </c>
      <c r="J281" s="402"/>
      <c r="K281" s="402"/>
      <c r="L281" s="402"/>
      <c r="M281" s="402"/>
      <c r="N281" s="402"/>
      <c r="O281" s="402"/>
      <c r="P281" s="402"/>
      <c r="Q281" s="402"/>
      <c r="R281" s="402"/>
      <c r="S281" s="402"/>
      <c r="T281" s="402"/>
      <c r="U281" s="402"/>
      <c r="V281" s="402"/>
      <c r="W281" s="402"/>
      <c r="X281" s="402"/>
      <c r="Y281" s="402"/>
      <c r="Z281" s="402"/>
      <c r="AA281" s="405"/>
      <c r="AB281" s="405"/>
    </row>
    <row r="282" ht="14.25" customHeight="1">
      <c r="A282" s="402"/>
      <c r="B282" s="402"/>
      <c r="C282" s="402"/>
      <c r="D282" s="584"/>
      <c r="E282" s="424" t="s">
        <v>23</v>
      </c>
      <c r="F282" s="787">
        <v>166073.0</v>
      </c>
      <c r="G282" s="402"/>
      <c r="H282" s="349" t="s">
        <v>9</v>
      </c>
      <c r="I282" s="402"/>
      <c r="J282" s="402"/>
      <c r="K282" s="402"/>
      <c r="L282" s="402"/>
      <c r="M282" s="402"/>
      <c r="N282" s="402"/>
      <c r="O282" s="402"/>
      <c r="P282" s="402"/>
      <c r="Q282" s="402"/>
      <c r="R282" s="402"/>
      <c r="S282" s="402"/>
      <c r="T282" s="402"/>
      <c r="U282" s="402"/>
      <c r="V282" s="402"/>
      <c r="W282" s="402"/>
      <c r="X282" s="402"/>
      <c r="Y282" s="402"/>
      <c r="Z282" s="402"/>
      <c r="AA282" s="405"/>
      <c r="AB282" s="405"/>
    </row>
    <row r="283" ht="14.25" customHeight="1">
      <c r="A283" s="402"/>
      <c r="B283" s="402"/>
      <c r="C283" s="402"/>
      <c r="D283" s="402"/>
      <c r="E283" s="402"/>
      <c r="F283" s="403"/>
      <c r="G283" s="402"/>
      <c r="H283" s="349"/>
      <c r="I283" s="402"/>
      <c r="J283" s="402"/>
      <c r="K283" s="402"/>
      <c r="L283" s="402"/>
      <c r="M283" s="402"/>
      <c r="N283" s="402"/>
      <c r="O283" s="402"/>
      <c r="P283" s="402"/>
      <c r="Q283" s="402"/>
      <c r="R283" s="402"/>
      <c r="S283" s="402"/>
      <c r="T283" s="402"/>
      <c r="U283" s="402"/>
      <c r="V283" s="402"/>
      <c r="W283" s="402"/>
      <c r="X283" s="402"/>
      <c r="Y283" s="402"/>
      <c r="Z283" s="402"/>
      <c r="AA283" s="405"/>
      <c r="AB283" s="405"/>
    </row>
    <row r="284" ht="14.25" customHeight="1">
      <c r="A284" s="497">
        <v>45523.0</v>
      </c>
      <c r="B284" s="595" t="s">
        <v>4565</v>
      </c>
      <c r="C284" s="512" t="s">
        <v>4633</v>
      </c>
      <c r="D284" s="349" t="s">
        <v>439</v>
      </c>
      <c r="E284" s="349" t="s">
        <v>4603</v>
      </c>
      <c r="F284" s="413">
        <v>23802.0</v>
      </c>
      <c r="G284" s="402"/>
      <c r="H284" s="349" t="s">
        <v>9</v>
      </c>
      <c r="I284" s="349" t="s">
        <v>4608</v>
      </c>
      <c r="J284" s="402"/>
      <c r="K284" s="402"/>
      <c r="L284" s="402"/>
      <c r="M284" s="402"/>
      <c r="N284" s="402"/>
      <c r="O284" s="402"/>
      <c r="P284" s="402"/>
      <c r="Q284" s="402"/>
      <c r="R284" s="402"/>
      <c r="S284" s="402"/>
      <c r="T284" s="402"/>
      <c r="U284" s="402"/>
      <c r="V284" s="402"/>
      <c r="W284" s="402"/>
      <c r="X284" s="402"/>
      <c r="Y284" s="402"/>
      <c r="Z284" s="402"/>
      <c r="AA284" s="405"/>
      <c r="AB284" s="405"/>
    </row>
    <row r="285" ht="14.25" customHeight="1">
      <c r="A285" s="497">
        <v>45523.0</v>
      </c>
      <c r="B285" s="419" t="s">
        <v>4590</v>
      </c>
      <c r="C285" s="420" t="s">
        <v>4591</v>
      </c>
      <c r="D285" s="420" t="s">
        <v>439</v>
      </c>
      <c r="E285" s="420" t="s">
        <v>4603</v>
      </c>
      <c r="F285" s="413">
        <v>4680.0</v>
      </c>
      <c r="G285" s="402"/>
      <c r="H285" s="349" t="s">
        <v>9</v>
      </c>
      <c r="I285" s="349" t="s">
        <v>4621</v>
      </c>
      <c r="J285" s="402"/>
      <c r="K285" s="402"/>
      <c r="L285" s="402"/>
      <c r="M285" s="402"/>
      <c r="N285" s="402"/>
      <c r="O285" s="402"/>
      <c r="P285" s="402"/>
      <c r="Q285" s="402"/>
      <c r="R285" s="402"/>
      <c r="S285" s="402"/>
      <c r="T285" s="402"/>
      <c r="U285" s="402"/>
      <c r="V285" s="402"/>
      <c r="W285" s="402"/>
      <c r="X285" s="402"/>
      <c r="Y285" s="402"/>
      <c r="Z285" s="402"/>
      <c r="AA285" s="405"/>
      <c r="AB285" s="405"/>
    </row>
    <row r="286" ht="14.25" customHeight="1">
      <c r="A286" s="497">
        <v>45523.0</v>
      </c>
      <c r="B286" s="349" t="s">
        <v>4619</v>
      </c>
      <c r="C286" s="349" t="s">
        <v>4620</v>
      </c>
      <c r="D286" s="349" t="s">
        <v>439</v>
      </c>
      <c r="E286" s="349" t="s">
        <v>4603</v>
      </c>
      <c r="F286" s="683">
        <v>10857.0</v>
      </c>
      <c r="G286" s="402"/>
      <c r="H286" s="349" t="s">
        <v>9</v>
      </c>
      <c r="I286" s="349" t="s">
        <v>4621</v>
      </c>
      <c r="J286" s="402"/>
      <c r="K286" s="402"/>
      <c r="L286" s="402"/>
      <c r="M286" s="402"/>
      <c r="N286" s="402"/>
      <c r="O286" s="402"/>
      <c r="P286" s="402"/>
      <c r="Q286" s="402"/>
      <c r="R286" s="402"/>
      <c r="S286" s="402"/>
      <c r="T286" s="402"/>
      <c r="U286" s="402"/>
      <c r="V286" s="402"/>
      <c r="W286" s="402"/>
      <c r="X286" s="402"/>
      <c r="Y286" s="402"/>
      <c r="Z286" s="402"/>
      <c r="AA286" s="405"/>
      <c r="AB286" s="405"/>
    </row>
    <row r="287" ht="14.25" customHeight="1">
      <c r="A287" s="497">
        <v>45523.0</v>
      </c>
      <c r="B287" s="349" t="s">
        <v>4550</v>
      </c>
      <c r="C287" s="349" t="s">
        <v>4622</v>
      </c>
      <c r="D287" s="349" t="s">
        <v>439</v>
      </c>
      <c r="E287" s="349" t="s">
        <v>4564</v>
      </c>
      <c r="F287" s="413">
        <v>91410.0</v>
      </c>
      <c r="G287" s="402"/>
      <c r="H287" s="349" t="s">
        <v>9</v>
      </c>
      <c r="I287" s="349" t="s">
        <v>4608</v>
      </c>
      <c r="J287" s="402"/>
      <c r="K287" s="402"/>
      <c r="L287" s="402"/>
      <c r="M287" s="402"/>
      <c r="N287" s="402"/>
      <c r="O287" s="402"/>
      <c r="P287" s="402"/>
      <c r="Q287" s="402"/>
      <c r="R287" s="402"/>
      <c r="S287" s="402"/>
      <c r="T287" s="402"/>
      <c r="U287" s="402"/>
      <c r="V287" s="402"/>
      <c r="W287" s="402"/>
      <c r="X287" s="402"/>
      <c r="Y287" s="402"/>
      <c r="Z287" s="402"/>
      <c r="AA287" s="405"/>
      <c r="AB287" s="405"/>
    </row>
    <row r="288" ht="14.25" customHeight="1">
      <c r="A288" s="497">
        <v>45523.0</v>
      </c>
      <c r="B288" s="349" t="s">
        <v>4626</v>
      </c>
      <c r="C288" s="349" t="s">
        <v>4627</v>
      </c>
      <c r="D288" s="349" t="s">
        <v>439</v>
      </c>
      <c r="E288" s="349" t="s">
        <v>4564</v>
      </c>
      <c r="F288" s="413">
        <v>11262.0</v>
      </c>
      <c r="G288" s="402"/>
      <c r="H288" s="349" t="s">
        <v>9</v>
      </c>
      <c r="I288" s="349" t="s">
        <v>4621</v>
      </c>
      <c r="J288" s="402"/>
      <c r="K288" s="402"/>
      <c r="L288" s="402"/>
      <c r="M288" s="402"/>
      <c r="N288" s="402"/>
      <c r="O288" s="402"/>
      <c r="P288" s="402"/>
      <c r="Q288" s="402"/>
      <c r="R288" s="402"/>
      <c r="S288" s="402"/>
      <c r="T288" s="402"/>
      <c r="U288" s="402"/>
      <c r="V288" s="402"/>
      <c r="W288" s="402"/>
      <c r="X288" s="402"/>
      <c r="Y288" s="402"/>
      <c r="Z288" s="402"/>
      <c r="AA288" s="405"/>
      <c r="AB288" s="405"/>
    </row>
    <row r="289" ht="14.25" customHeight="1">
      <c r="A289" s="497">
        <v>45523.0</v>
      </c>
      <c r="B289" s="414" t="s">
        <v>4575</v>
      </c>
      <c r="C289" s="415" t="s">
        <v>4576</v>
      </c>
      <c r="D289" s="415" t="s">
        <v>439</v>
      </c>
      <c r="E289" s="415" t="s">
        <v>4558</v>
      </c>
      <c r="F289" s="413">
        <v>24062.0</v>
      </c>
      <c r="G289" s="402"/>
      <c r="H289" s="349" t="s">
        <v>9</v>
      </c>
      <c r="I289" s="349" t="s">
        <v>4608</v>
      </c>
      <c r="J289" s="402"/>
      <c r="K289" s="402"/>
      <c r="L289" s="402"/>
      <c r="M289" s="402"/>
      <c r="N289" s="402"/>
      <c r="O289" s="402"/>
      <c r="P289" s="402"/>
      <c r="Q289" s="402"/>
      <c r="R289" s="402"/>
      <c r="S289" s="402"/>
      <c r="T289" s="402"/>
      <c r="U289" s="402"/>
      <c r="V289" s="402"/>
      <c r="W289" s="402"/>
      <c r="X289" s="402"/>
      <c r="Y289" s="402"/>
      <c r="Z289" s="402"/>
      <c r="AA289" s="405"/>
      <c r="AB289" s="405"/>
    </row>
    <row r="290" ht="14.25" customHeight="1">
      <c r="A290" s="584"/>
      <c r="B290" s="584"/>
      <c r="C290" s="584"/>
      <c r="D290" s="584"/>
      <c r="E290" s="424" t="s">
        <v>23</v>
      </c>
      <c r="F290" s="787">
        <v>166073.0</v>
      </c>
      <c r="G290" s="584"/>
      <c r="H290" s="424"/>
      <c r="I290" s="584"/>
      <c r="J290" s="584"/>
      <c r="K290" s="584"/>
      <c r="L290" s="584"/>
      <c r="M290" s="584"/>
      <c r="N290" s="584"/>
      <c r="O290" s="584"/>
      <c r="P290" s="584"/>
      <c r="Q290" s="584"/>
      <c r="R290" s="584"/>
      <c r="S290" s="584"/>
      <c r="T290" s="584"/>
      <c r="U290" s="584"/>
      <c r="V290" s="584"/>
      <c r="W290" s="584"/>
      <c r="X290" s="584"/>
      <c r="Y290" s="584"/>
      <c r="Z290" s="584"/>
      <c r="AA290" s="659"/>
      <c r="AB290" s="659"/>
    </row>
    <row r="291" ht="14.25" customHeight="1">
      <c r="A291" s="402"/>
      <c r="B291" s="402"/>
      <c r="C291" s="402"/>
      <c r="D291" s="402"/>
      <c r="E291" s="402"/>
      <c r="F291" s="403"/>
      <c r="G291" s="402"/>
      <c r="H291" s="349"/>
      <c r="I291" s="402"/>
      <c r="J291" s="402"/>
      <c r="K291" s="402"/>
      <c r="L291" s="402"/>
      <c r="M291" s="402"/>
      <c r="N291" s="402"/>
      <c r="O291" s="402"/>
      <c r="P291" s="402"/>
      <c r="Q291" s="402"/>
      <c r="R291" s="402"/>
      <c r="S291" s="402"/>
      <c r="T291" s="402"/>
      <c r="U291" s="402"/>
      <c r="V291" s="402"/>
      <c r="W291" s="402"/>
      <c r="X291" s="402"/>
      <c r="Y291" s="402"/>
      <c r="Z291" s="402"/>
      <c r="AA291" s="405"/>
      <c r="AB291" s="405"/>
    </row>
    <row r="292" ht="14.25" customHeight="1">
      <c r="A292" s="497">
        <v>45524.0</v>
      </c>
      <c r="B292" s="414" t="s">
        <v>4577</v>
      </c>
      <c r="C292" s="415" t="s">
        <v>4578</v>
      </c>
      <c r="D292" s="415" t="s">
        <v>439</v>
      </c>
      <c r="E292" s="415" t="s">
        <v>4603</v>
      </c>
      <c r="F292" s="413">
        <v>81000.0</v>
      </c>
      <c r="G292" s="402"/>
      <c r="H292" s="349" t="s">
        <v>9</v>
      </c>
      <c r="I292" s="349" t="s">
        <v>4608</v>
      </c>
      <c r="J292" s="402"/>
      <c r="K292" s="402"/>
      <c r="L292" s="402"/>
      <c r="M292" s="402"/>
      <c r="N292" s="402"/>
      <c r="O292" s="402"/>
      <c r="P292" s="402"/>
      <c r="Q292" s="402"/>
      <c r="R292" s="402"/>
      <c r="S292" s="402"/>
      <c r="T292" s="402"/>
      <c r="U292" s="402"/>
      <c r="V292" s="402"/>
      <c r="W292" s="402"/>
      <c r="X292" s="402"/>
      <c r="Y292" s="402"/>
      <c r="Z292" s="402"/>
      <c r="AA292" s="405"/>
      <c r="AB292" s="405"/>
    </row>
    <row r="293" ht="14.25" customHeight="1">
      <c r="A293" s="497">
        <v>45524.0</v>
      </c>
      <c r="B293" s="414" t="s">
        <v>4565</v>
      </c>
      <c r="C293" s="415" t="s">
        <v>4566</v>
      </c>
      <c r="D293" s="415" t="s">
        <v>439</v>
      </c>
      <c r="E293" s="415" t="s">
        <v>4603</v>
      </c>
      <c r="F293" s="413">
        <v>24995.0</v>
      </c>
      <c r="G293" s="402"/>
      <c r="H293" s="349" t="s">
        <v>9</v>
      </c>
      <c r="I293" s="349" t="s">
        <v>4608</v>
      </c>
      <c r="J293" s="402"/>
      <c r="K293" s="402"/>
      <c r="L293" s="402"/>
      <c r="M293" s="402"/>
      <c r="N293" s="402"/>
      <c r="O293" s="402"/>
      <c r="P293" s="402"/>
      <c r="Q293" s="402"/>
      <c r="R293" s="402"/>
      <c r="S293" s="402"/>
      <c r="T293" s="402"/>
      <c r="U293" s="402"/>
      <c r="V293" s="402"/>
      <c r="W293" s="402"/>
      <c r="X293" s="402"/>
      <c r="Y293" s="402"/>
      <c r="Z293" s="402"/>
      <c r="AA293" s="405"/>
      <c r="AB293" s="405"/>
    </row>
    <row r="294" ht="14.25" customHeight="1">
      <c r="A294" s="497">
        <v>45524.0</v>
      </c>
      <c r="B294" s="414" t="s">
        <v>4575</v>
      </c>
      <c r="C294" s="415" t="s">
        <v>4576</v>
      </c>
      <c r="D294" s="415" t="s">
        <v>439</v>
      </c>
      <c r="E294" s="415" t="s">
        <v>4558</v>
      </c>
      <c r="F294" s="413">
        <v>24062.0</v>
      </c>
      <c r="G294" s="402"/>
      <c r="H294" s="349" t="s">
        <v>9</v>
      </c>
      <c r="I294" s="349" t="s">
        <v>4608</v>
      </c>
      <c r="J294" s="402"/>
      <c r="K294" s="402"/>
      <c r="L294" s="402"/>
      <c r="M294" s="402"/>
      <c r="N294" s="402"/>
      <c r="O294" s="402"/>
      <c r="P294" s="402"/>
      <c r="Q294" s="402"/>
      <c r="R294" s="402"/>
      <c r="S294" s="402"/>
      <c r="T294" s="402"/>
      <c r="U294" s="402"/>
      <c r="V294" s="402"/>
      <c r="W294" s="402"/>
      <c r="X294" s="402"/>
      <c r="Y294" s="402"/>
      <c r="Z294" s="402"/>
      <c r="AA294" s="405"/>
      <c r="AB294" s="405"/>
    </row>
    <row r="295" ht="14.25" customHeight="1">
      <c r="A295" s="497">
        <v>45524.0</v>
      </c>
      <c r="B295" s="419" t="s">
        <v>4590</v>
      </c>
      <c r="C295" s="420" t="s">
        <v>4591</v>
      </c>
      <c r="D295" s="420" t="s">
        <v>439</v>
      </c>
      <c r="E295" s="420" t="s">
        <v>4603</v>
      </c>
      <c r="F295" s="413">
        <v>4680.0</v>
      </c>
      <c r="G295" s="402"/>
      <c r="H295" s="349" t="s">
        <v>9</v>
      </c>
      <c r="I295" s="349" t="s">
        <v>4608</v>
      </c>
      <c r="J295" s="402"/>
      <c r="K295" s="402"/>
      <c r="L295" s="402"/>
      <c r="M295" s="402"/>
      <c r="N295" s="402"/>
      <c r="O295" s="402"/>
      <c r="P295" s="402"/>
      <c r="Q295" s="402"/>
      <c r="R295" s="402"/>
      <c r="S295" s="402"/>
      <c r="T295" s="402"/>
      <c r="U295" s="402"/>
      <c r="V295" s="402"/>
      <c r="W295" s="402"/>
      <c r="X295" s="402"/>
      <c r="Y295" s="402"/>
      <c r="Z295" s="402"/>
      <c r="AA295" s="405"/>
      <c r="AB295" s="405"/>
    </row>
    <row r="296" ht="14.25" customHeight="1">
      <c r="A296" s="497">
        <v>45524.0</v>
      </c>
      <c r="B296" s="349" t="s">
        <v>4619</v>
      </c>
      <c r="C296" s="349" t="s">
        <v>4620</v>
      </c>
      <c r="D296" s="349" t="s">
        <v>439</v>
      </c>
      <c r="E296" s="349" t="s">
        <v>4603</v>
      </c>
      <c r="F296" s="413">
        <v>10857.0</v>
      </c>
      <c r="G296" s="402"/>
      <c r="H296" s="349" t="s">
        <v>9</v>
      </c>
      <c r="I296" s="349" t="s">
        <v>4608</v>
      </c>
      <c r="J296" s="402"/>
      <c r="K296" s="402"/>
      <c r="L296" s="402"/>
      <c r="M296" s="402"/>
      <c r="N296" s="402"/>
      <c r="O296" s="402"/>
      <c r="P296" s="402"/>
      <c r="Q296" s="402"/>
      <c r="R296" s="402"/>
      <c r="S296" s="402"/>
      <c r="T296" s="402"/>
      <c r="U296" s="402"/>
      <c r="V296" s="402"/>
      <c r="W296" s="402"/>
      <c r="X296" s="402"/>
      <c r="Y296" s="402"/>
      <c r="Z296" s="402"/>
      <c r="AA296" s="405"/>
      <c r="AB296" s="405"/>
    </row>
    <row r="297" ht="14.25" customHeight="1">
      <c r="A297" s="497">
        <v>45524.0</v>
      </c>
      <c r="B297" s="349" t="s">
        <v>4550</v>
      </c>
      <c r="C297" s="349" t="s">
        <v>4622</v>
      </c>
      <c r="D297" s="349" t="s">
        <v>439</v>
      </c>
      <c r="E297" s="349" t="s">
        <v>4564</v>
      </c>
      <c r="F297" s="413">
        <v>95980.5</v>
      </c>
      <c r="G297" s="402"/>
      <c r="H297" s="349" t="s">
        <v>9</v>
      </c>
      <c r="I297" s="349" t="s">
        <v>4608</v>
      </c>
      <c r="J297" s="402"/>
      <c r="K297" s="402"/>
      <c r="L297" s="402"/>
      <c r="M297" s="402"/>
      <c r="N297" s="402"/>
      <c r="O297" s="402"/>
      <c r="P297" s="402"/>
      <c r="Q297" s="402"/>
      <c r="R297" s="402"/>
      <c r="S297" s="402"/>
      <c r="T297" s="402"/>
      <c r="U297" s="402"/>
      <c r="V297" s="402"/>
      <c r="W297" s="402"/>
      <c r="X297" s="402"/>
      <c r="Y297" s="402"/>
      <c r="Z297" s="402"/>
      <c r="AA297" s="405"/>
      <c r="AB297" s="405"/>
    </row>
    <row r="298" ht="14.25" customHeight="1">
      <c r="A298" s="497">
        <v>45524.0</v>
      </c>
      <c r="B298" s="349" t="s">
        <v>4568</v>
      </c>
      <c r="C298" s="349" t="s">
        <v>4569</v>
      </c>
      <c r="D298" s="349" t="s">
        <v>439</v>
      </c>
      <c r="E298" s="349" t="s">
        <v>4552</v>
      </c>
      <c r="F298" s="413">
        <v>16026.0</v>
      </c>
      <c r="G298" s="402"/>
      <c r="H298" s="349" t="s">
        <v>9</v>
      </c>
      <c r="I298" s="349" t="s">
        <v>4608</v>
      </c>
      <c r="J298" s="402"/>
      <c r="K298" s="402"/>
      <c r="L298" s="402"/>
      <c r="M298" s="402"/>
      <c r="N298" s="402"/>
      <c r="O298" s="402"/>
      <c r="P298" s="402"/>
      <c r="Q298" s="402"/>
      <c r="R298" s="402"/>
      <c r="S298" s="402"/>
      <c r="T298" s="402"/>
      <c r="U298" s="402"/>
      <c r="V298" s="402"/>
      <c r="W298" s="402"/>
      <c r="X298" s="402"/>
      <c r="Y298" s="402"/>
      <c r="Z298" s="402"/>
      <c r="AA298" s="405"/>
      <c r="AB298" s="405"/>
    </row>
    <row r="299" ht="14.25" customHeight="1">
      <c r="A299" s="497">
        <v>45524.0</v>
      </c>
      <c r="B299" s="349" t="s">
        <v>4573</v>
      </c>
      <c r="C299" s="349" t="s">
        <v>4574</v>
      </c>
      <c r="D299" s="349" t="s">
        <v>439</v>
      </c>
      <c r="E299" s="349" t="s">
        <v>4558</v>
      </c>
      <c r="F299" s="413">
        <v>59481.0</v>
      </c>
      <c r="G299" s="402"/>
      <c r="H299" s="349" t="s">
        <v>9</v>
      </c>
      <c r="I299" s="349" t="s">
        <v>4637</v>
      </c>
      <c r="J299" s="402"/>
      <c r="K299" s="402"/>
      <c r="L299" s="402"/>
      <c r="M299" s="402"/>
      <c r="N299" s="402"/>
      <c r="O299" s="402"/>
      <c r="P299" s="402"/>
      <c r="Q299" s="402"/>
      <c r="R299" s="402"/>
      <c r="S299" s="402"/>
      <c r="T299" s="402"/>
      <c r="U299" s="402"/>
      <c r="V299" s="402"/>
      <c r="W299" s="402"/>
      <c r="X299" s="402"/>
      <c r="Y299" s="402"/>
      <c r="Z299" s="402"/>
      <c r="AA299" s="405"/>
      <c r="AB299" s="405"/>
    </row>
    <row r="300" ht="14.25" customHeight="1">
      <c r="A300" s="497">
        <v>45524.0</v>
      </c>
      <c r="B300" s="349" t="s">
        <v>4626</v>
      </c>
      <c r="C300" s="349" t="s">
        <v>4627</v>
      </c>
      <c r="D300" s="349" t="s">
        <v>439</v>
      </c>
      <c r="E300" s="349" t="s">
        <v>4564</v>
      </c>
      <c r="F300" s="413">
        <v>11262.0</v>
      </c>
      <c r="G300" s="402"/>
      <c r="H300" s="349" t="s">
        <v>9</v>
      </c>
      <c r="I300" s="402"/>
      <c r="J300" s="402"/>
      <c r="K300" s="402"/>
      <c r="L300" s="402"/>
      <c r="M300" s="402"/>
      <c r="N300" s="402"/>
      <c r="O300" s="402"/>
      <c r="P300" s="402"/>
      <c r="Q300" s="402"/>
      <c r="R300" s="402"/>
      <c r="S300" s="402"/>
      <c r="T300" s="402"/>
      <c r="U300" s="402"/>
      <c r="V300" s="402"/>
      <c r="W300" s="402"/>
      <c r="X300" s="402"/>
      <c r="Y300" s="402"/>
      <c r="Z300" s="402"/>
      <c r="AA300" s="405"/>
      <c r="AB300" s="405"/>
    </row>
    <row r="301" ht="14.25" customHeight="1">
      <c r="A301" s="497">
        <v>45524.0</v>
      </c>
      <c r="B301" s="349" t="s">
        <v>4571</v>
      </c>
      <c r="C301" s="349" t="s">
        <v>4572</v>
      </c>
      <c r="D301" s="349" t="s">
        <v>439</v>
      </c>
      <c r="E301" s="349" t="s">
        <v>4603</v>
      </c>
      <c r="F301" s="413">
        <v>48818.0</v>
      </c>
      <c r="G301" s="683">
        <v>4000.0</v>
      </c>
      <c r="H301" s="349" t="s">
        <v>7</v>
      </c>
      <c r="I301" s="402"/>
      <c r="J301" s="402"/>
      <c r="K301" s="402"/>
      <c r="L301" s="402"/>
      <c r="M301" s="402"/>
      <c r="N301" s="402"/>
      <c r="O301" s="402"/>
      <c r="P301" s="402"/>
      <c r="Q301" s="402"/>
      <c r="R301" s="402"/>
      <c r="S301" s="402"/>
      <c r="T301" s="402"/>
      <c r="U301" s="402"/>
      <c r="V301" s="402"/>
      <c r="W301" s="402"/>
      <c r="X301" s="402"/>
      <c r="Y301" s="402"/>
      <c r="Z301" s="402"/>
      <c r="AA301" s="405"/>
      <c r="AB301" s="405"/>
    </row>
    <row r="302" ht="14.25" customHeight="1">
      <c r="A302" s="850"/>
      <c r="B302" s="424"/>
      <c r="C302" s="424"/>
      <c r="D302" s="424"/>
      <c r="E302" s="424" t="s">
        <v>23</v>
      </c>
      <c r="F302" s="787">
        <v>377161.5</v>
      </c>
      <c r="G302" s="584"/>
      <c r="H302" s="584"/>
      <c r="I302" s="584"/>
      <c r="J302" s="584"/>
      <c r="K302" s="584"/>
      <c r="L302" s="584"/>
      <c r="M302" s="584"/>
      <c r="N302" s="584"/>
      <c r="O302" s="584"/>
      <c r="P302" s="584"/>
      <c r="Q302" s="584"/>
      <c r="R302" s="584"/>
      <c r="S302" s="584"/>
      <c r="T302" s="584"/>
      <c r="U302" s="584"/>
      <c r="V302" s="584"/>
      <c r="W302" s="584"/>
      <c r="X302" s="584"/>
      <c r="Y302" s="584"/>
      <c r="Z302" s="584"/>
      <c r="AA302" s="659"/>
      <c r="AB302" s="659"/>
    </row>
    <row r="303" ht="14.25" customHeight="1">
      <c r="A303" s="402"/>
      <c r="B303" s="402"/>
      <c r="C303" s="402"/>
      <c r="D303" s="402"/>
      <c r="E303" s="402"/>
      <c r="F303" s="403"/>
      <c r="G303" s="402"/>
      <c r="H303" s="402"/>
      <c r="I303" s="402"/>
      <c r="J303" s="402"/>
      <c r="K303" s="402"/>
      <c r="L303" s="402"/>
      <c r="M303" s="402"/>
      <c r="N303" s="402"/>
      <c r="O303" s="402"/>
      <c r="P303" s="402"/>
      <c r="Q303" s="402"/>
      <c r="R303" s="402"/>
      <c r="S303" s="402"/>
      <c r="T303" s="402"/>
      <c r="U303" s="402"/>
      <c r="V303" s="402"/>
      <c r="W303" s="402"/>
      <c r="X303" s="402"/>
      <c r="Y303" s="402"/>
      <c r="Z303" s="402"/>
      <c r="AA303" s="405"/>
      <c r="AB303" s="405"/>
    </row>
    <row r="304" ht="14.25" customHeight="1">
      <c r="A304" s="851">
        <v>45525.0</v>
      </c>
      <c r="B304" s="414" t="s">
        <v>4577</v>
      </c>
      <c r="C304" s="415" t="s">
        <v>4578</v>
      </c>
      <c r="D304" s="415" t="s">
        <v>439</v>
      </c>
      <c r="E304" s="415" t="s">
        <v>4603</v>
      </c>
      <c r="F304" s="413">
        <v>81000.0</v>
      </c>
      <c r="G304" s="402"/>
      <c r="H304" s="349"/>
      <c r="I304" s="349" t="s">
        <v>4638</v>
      </c>
      <c r="J304" s="402"/>
      <c r="K304" s="402"/>
      <c r="L304" s="402"/>
      <c r="M304" s="402"/>
      <c r="N304" s="402"/>
      <c r="O304" s="402"/>
      <c r="P304" s="402"/>
      <c r="Q304" s="402"/>
      <c r="R304" s="402"/>
      <c r="S304" s="402"/>
      <c r="T304" s="402"/>
      <c r="U304" s="402"/>
      <c r="V304" s="402"/>
      <c r="W304" s="402"/>
      <c r="X304" s="402"/>
      <c r="Y304" s="402"/>
      <c r="Z304" s="402"/>
      <c r="AA304" s="405"/>
      <c r="AB304" s="405"/>
    </row>
    <row r="305" ht="14.25" customHeight="1">
      <c r="A305" s="851">
        <v>45525.0</v>
      </c>
      <c r="B305" s="414" t="s">
        <v>4565</v>
      </c>
      <c r="C305" s="415" t="s">
        <v>4566</v>
      </c>
      <c r="D305" s="415" t="s">
        <v>439</v>
      </c>
      <c r="E305" s="415" t="s">
        <v>4603</v>
      </c>
      <c r="F305" s="413">
        <v>24995.0</v>
      </c>
      <c r="G305" s="402"/>
      <c r="H305" s="349"/>
      <c r="I305" s="349" t="s">
        <v>4608</v>
      </c>
      <c r="J305" s="402"/>
      <c r="K305" s="402"/>
      <c r="L305" s="402"/>
      <c r="M305" s="402"/>
      <c r="N305" s="402"/>
      <c r="O305" s="402"/>
      <c r="P305" s="402"/>
      <c r="Q305" s="402"/>
      <c r="R305" s="402"/>
      <c r="S305" s="402"/>
      <c r="T305" s="402"/>
      <c r="U305" s="402"/>
      <c r="V305" s="402"/>
      <c r="W305" s="402"/>
      <c r="X305" s="402"/>
      <c r="Y305" s="402"/>
      <c r="Z305" s="402"/>
      <c r="AA305" s="405"/>
      <c r="AB305" s="405"/>
    </row>
    <row r="306" ht="14.25" customHeight="1">
      <c r="A306" s="851">
        <v>45525.0</v>
      </c>
      <c r="B306" s="414" t="s">
        <v>4575</v>
      </c>
      <c r="C306" s="415" t="s">
        <v>4576</v>
      </c>
      <c r="D306" s="415" t="s">
        <v>439</v>
      </c>
      <c r="E306" s="415" t="s">
        <v>4558</v>
      </c>
      <c r="F306" s="413">
        <v>24062.0</v>
      </c>
      <c r="G306" s="402"/>
      <c r="H306" s="349"/>
      <c r="I306" s="349" t="s">
        <v>4608</v>
      </c>
      <c r="J306" s="402"/>
      <c r="K306" s="402"/>
      <c r="L306" s="402"/>
      <c r="M306" s="402"/>
      <c r="N306" s="402"/>
      <c r="O306" s="402"/>
      <c r="P306" s="402"/>
      <c r="Q306" s="402"/>
      <c r="R306" s="402"/>
      <c r="S306" s="402"/>
      <c r="T306" s="402"/>
      <c r="U306" s="402"/>
      <c r="V306" s="402"/>
      <c r="W306" s="402"/>
      <c r="X306" s="402"/>
      <c r="Y306" s="402"/>
      <c r="Z306" s="402"/>
      <c r="AA306" s="405"/>
      <c r="AB306" s="405"/>
    </row>
    <row r="307" ht="14.25" customHeight="1">
      <c r="A307" s="851">
        <v>45525.0</v>
      </c>
      <c r="B307" s="419" t="s">
        <v>4590</v>
      </c>
      <c r="C307" s="420" t="s">
        <v>4591</v>
      </c>
      <c r="D307" s="420" t="s">
        <v>439</v>
      </c>
      <c r="E307" s="420" t="s">
        <v>4603</v>
      </c>
      <c r="F307" s="413">
        <v>4680.0</v>
      </c>
      <c r="G307" s="402"/>
      <c r="H307" s="349"/>
      <c r="I307" s="349" t="s">
        <v>4608</v>
      </c>
      <c r="J307" s="402"/>
      <c r="K307" s="402"/>
      <c r="L307" s="402"/>
      <c r="M307" s="402"/>
      <c r="N307" s="402"/>
      <c r="O307" s="402"/>
      <c r="P307" s="402"/>
      <c r="Q307" s="402"/>
      <c r="R307" s="402"/>
      <c r="S307" s="402"/>
      <c r="T307" s="402"/>
      <c r="U307" s="402"/>
      <c r="V307" s="402"/>
      <c r="W307" s="402"/>
      <c r="X307" s="402"/>
      <c r="Y307" s="402"/>
      <c r="Z307" s="402"/>
      <c r="AA307" s="405"/>
      <c r="AB307" s="405"/>
    </row>
    <row r="308" ht="14.25" customHeight="1">
      <c r="A308" s="851">
        <v>45525.0</v>
      </c>
      <c r="B308" s="349" t="s">
        <v>4619</v>
      </c>
      <c r="C308" s="349" t="s">
        <v>4620</v>
      </c>
      <c r="D308" s="349" t="s">
        <v>439</v>
      </c>
      <c r="E308" s="349" t="s">
        <v>4603</v>
      </c>
      <c r="F308" s="413">
        <v>10857.0</v>
      </c>
      <c r="G308" s="402"/>
      <c r="H308" s="349"/>
      <c r="I308" s="349" t="s">
        <v>4608</v>
      </c>
      <c r="J308" s="402"/>
      <c r="K308" s="402"/>
      <c r="L308" s="402"/>
      <c r="M308" s="402"/>
      <c r="N308" s="402"/>
      <c r="O308" s="402"/>
      <c r="P308" s="402"/>
      <c r="Q308" s="402"/>
      <c r="R308" s="402"/>
      <c r="S308" s="402"/>
      <c r="T308" s="402"/>
      <c r="U308" s="402"/>
      <c r="V308" s="402"/>
      <c r="W308" s="402"/>
      <c r="X308" s="402"/>
      <c r="Y308" s="402"/>
      <c r="Z308" s="402"/>
      <c r="AA308" s="405"/>
      <c r="AB308" s="405"/>
    </row>
    <row r="309" ht="14.25" customHeight="1">
      <c r="A309" s="851">
        <v>45525.0</v>
      </c>
      <c r="B309" s="349" t="s">
        <v>4550</v>
      </c>
      <c r="C309" s="349" t="s">
        <v>4622</v>
      </c>
      <c r="D309" s="349" t="s">
        <v>439</v>
      </c>
      <c r="E309" s="349" t="s">
        <v>4564</v>
      </c>
      <c r="F309" s="413">
        <v>95980.5</v>
      </c>
      <c r="G309" s="402"/>
      <c r="H309" s="349"/>
      <c r="I309" s="349" t="s">
        <v>4608</v>
      </c>
      <c r="J309" s="402"/>
      <c r="K309" s="402"/>
      <c r="L309" s="402"/>
      <c r="M309" s="402"/>
      <c r="N309" s="402"/>
      <c r="O309" s="402"/>
      <c r="P309" s="402"/>
      <c r="Q309" s="402"/>
      <c r="R309" s="402"/>
      <c r="S309" s="402"/>
      <c r="T309" s="402"/>
      <c r="U309" s="402"/>
      <c r="V309" s="402"/>
      <c r="W309" s="402"/>
      <c r="X309" s="402"/>
      <c r="Y309" s="402"/>
      <c r="Z309" s="402"/>
      <c r="AA309" s="405"/>
      <c r="AB309" s="405"/>
    </row>
    <row r="310" ht="14.25" customHeight="1">
      <c r="A310" s="851">
        <v>45525.0</v>
      </c>
      <c r="B310" s="349" t="s">
        <v>4568</v>
      </c>
      <c r="C310" s="349" t="s">
        <v>4569</v>
      </c>
      <c r="D310" s="349" t="s">
        <v>439</v>
      </c>
      <c r="E310" s="349" t="s">
        <v>4552</v>
      </c>
      <c r="F310" s="413">
        <v>16026.0</v>
      </c>
      <c r="G310" s="402"/>
      <c r="H310" s="349"/>
      <c r="I310" s="349" t="s">
        <v>4608</v>
      </c>
      <c r="J310" s="402"/>
      <c r="K310" s="402"/>
      <c r="L310" s="402"/>
      <c r="M310" s="402"/>
      <c r="N310" s="402"/>
      <c r="O310" s="402"/>
      <c r="P310" s="402"/>
      <c r="Q310" s="402"/>
      <c r="R310" s="402"/>
      <c r="S310" s="402"/>
      <c r="T310" s="402"/>
      <c r="U310" s="402"/>
      <c r="V310" s="402"/>
      <c r="W310" s="402"/>
      <c r="X310" s="402"/>
      <c r="Y310" s="402"/>
      <c r="Z310" s="402"/>
      <c r="AA310" s="405"/>
      <c r="AB310" s="405"/>
    </row>
    <row r="311" ht="14.25" customHeight="1">
      <c r="A311" s="851">
        <v>45525.0</v>
      </c>
      <c r="B311" s="349" t="s">
        <v>4573</v>
      </c>
      <c r="C311" s="349" t="s">
        <v>4574</v>
      </c>
      <c r="D311" s="349" t="s">
        <v>439</v>
      </c>
      <c r="E311" s="349" t="s">
        <v>4558</v>
      </c>
      <c r="F311" s="413">
        <v>59481.0</v>
      </c>
      <c r="G311" s="683">
        <v>40000.0</v>
      </c>
      <c r="H311" s="349" t="s">
        <v>7</v>
      </c>
      <c r="I311" s="349" t="s">
        <v>4639</v>
      </c>
      <c r="J311" s="402"/>
      <c r="K311" s="402"/>
      <c r="L311" s="402"/>
      <c r="M311" s="402"/>
      <c r="N311" s="402"/>
      <c r="O311" s="402"/>
      <c r="P311" s="402"/>
      <c r="Q311" s="402"/>
      <c r="R311" s="402"/>
      <c r="S311" s="402"/>
      <c r="T311" s="402"/>
      <c r="U311" s="402"/>
      <c r="V311" s="402"/>
      <c r="W311" s="402"/>
      <c r="X311" s="402"/>
      <c r="Y311" s="402"/>
      <c r="Z311" s="402"/>
      <c r="AA311" s="405"/>
      <c r="AB311" s="405"/>
    </row>
    <row r="312" ht="14.25" customHeight="1">
      <c r="A312" s="851">
        <v>45525.0</v>
      </c>
      <c r="B312" s="349" t="s">
        <v>4626</v>
      </c>
      <c r="C312" s="349" t="s">
        <v>4627</v>
      </c>
      <c r="D312" s="349" t="s">
        <v>439</v>
      </c>
      <c r="E312" s="349" t="s">
        <v>4564</v>
      </c>
      <c r="F312" s="413">
        <v>11262.0</v>
      </c>
      <c r="G312" s="402"/>
      <c r="H312" s="349"/>
      <c r="I312" s="402"/>
      <c r="J312" s="402"/>
      <c r="K312" s="402"/>
      <c r="L312" s="402"/>
      <c r="M312" s="402"/>
      <c r="N312" s="402"/>
      <c r="O312" s="402"/>
      <c r="P312" s="402"/>
      <c r="Q312" s="402"/>
      <c r="R312" s="402"/>
      <c r="S312" s="402"/>
      <c r="T312" s="402"/>
      <c r="U312" s="402"/>
      <c r="V312" s="402"/>
      <c r="W312" s="402"/>
      <c r="X312" s="402"/>
      <c r="Y312" s="402"/>
      <c r="Z312" s="402"/>
      <c r="AA312" s="405"/>
      <c r="AB312" s="405"/>
    </row>
    <row r="313" ht="14.25" customHeight="1">
      <c r="A313" s="851">
        <v>45525.0</v>
      </c>
      <c r="B313" s="349" t="s">
        <v>4571</v>
      </c>
      <c r="C313" s="349" t="s">
        <v>4572</v>
      </c>
      <c r="D313" s="349" t="s">
        <v>439</v>
      </c>
      <c r="E313" s="349" t="s">
        <v>4603</v>
      </c>
      <c r="F313" s="413">
        <v>44818.0</v>
      </c>
      <c r="G313" s="683"/>
      <c r="H313" s="349"/>
      <c r="I313" s="402"/>
      <c r="J313" s="402"/>
      <c r="K313" s="402"/>
      <c r="L313" s="402"/>
      <c r="M313" s="402"/>
      <c r="N313" s="402"/>
      <c r="O313" s="402"/>
      <c r="P313" s="402"/>
      <c r="Q313" s="402"/>
      <c r="R313" s="402"/>
      <c r="S313" s="402"/>
      <c r="T313" s="402"/>
      <c r="U313" s="402"/>
      <c r="V313" s="402"/>
      <c r="W313" s="402"/>
      <c r="X313" s="402"/>
      <c r="Y313" s="402"/>
      <c r="Z313" s="402"/>
      <c r="AA313" s="405"/>
      <c r="AB313" s="405"/>
    </row>
    <row r="314" ht="14.25" customHeight="1">
      <c r="A314" s="402"/>
      <c r="B314" s="402"/>
      <c r="C314" s="402"/>
      <c r="D314" s="402"/>
      <c r="E314" s="424" t="s">
        <v>23</v>
      </c>
      <c r="F314" s="787">
        <v>373161.0</v>
      </c>
      <c r="G314" s="402"/>
      <c r="H314" s="402"/>
      <c r="I314" s="402"/>
      <c r="J314" s="402"/>
      <c r="K314" s="402"/>
      <c r="L314" s="402"/>
      <c r="M314" s="402"/>
      <c r="N314" s="402"/>
      <c r="O314" s="402"/>
      <c r="P314" s="402"/>
      <c r="Q314" s="402"/>
      <c r="R314" s="402"/>
      <c r="S314" s="402"/>
      <c r="T314" s="402"/>
      <c r="U314" s="402"/>
      <c r="V314" s="402"/>
      <c r="W314" s="402"/>
      <c r="X314" s="402"/>
      <c r="Y314" s="402"/>
      <c r="Z314" s="402"/>
      <c r="AA314" s="405"/>
      <c r="AB314" s="405"/>
    </row>
    <row r="315" ht="14.25" customHeight="1">
      <c r="A315" s="402"/>
      <c r="B315" s="402"/>
      <c r="C315" s="402"/>
      <c r="D315" s="402"/>
      <c r="E315" s="402"/>
      <c r="F315" s="403"/>
      <c r="G315" s="402"/>
      <c r="H315" s="402"/>
      <c r="I315" s="402"/>
      <c r="J315" s="402"/>
      <c r="K315" s="402"/>
      <c r="L315" s="402"/>
      <c r="M315" s="402"/>
      <c r="N315" s="402"/>
      <c r="O315" s="402"/>
      <c r="P315" s="402"/>
      <c r="Q315" s="402"/>
      <c r="R315" s="402"/>
      <c r="S315" s="402"/>
      <c r="T315" s="402"/>
      <c r="U315" s="402"/>
      <c r="V315" s="402"/>
      <c r="W315" s="402"/>
      <c r="X315" s="402"/>
      <c r="Y315" s="402"/>
      <c r="Z315" s="402"/>
      <c r="AA315" s="405"/>
      <c r="AB315" s="405"/>
    </row>
    <row r="316" ht="14.25" customHeight="1">
      <c r="A316" s="851">
        <v>45526.0</v>
      </c>
      <c r="B316" s="414" t="s">
        <v>4577</v>
      </c>
      <c r="C316" s="415" t="s">
        <v>4578</v>
      </c>
      <c r="D316" s="415" t="s">
        <v>439</v>
      </c>
      <c r="E316" s="415" t="s">
        <v>4603</v>
      </c>
      <c r="F316" s="413">
        <v>81000.0</v>
      </c>
      <c r="G316" s="349">
        <v>0.0</v>
      </c>
      <c r="H316" s="349"/>
      <c r="I316" s="349" t="s">
        <v>4640</v>
      </c>
      <c r="J316" s="402"/>
      <c r="K316" s="402"/>
      <c r="L316" s="402"/>
      <c r="M316" s="402"/>
      <c r="N316" s="402"/>
      <c r="O316" s="402"/>
      <c r="P316" s="402"/>
      <c r="Q316" s="402"/>
      <c r="R316" s="402"/>
      <c r="S316" s="402"/>
      <c r="T316" s="402"/>
      <c r="U316" s="402"/>
      <c r="V316" s="402"/>
      <c r="W316" s="402"/>
      <c r="X316" s="402"/>
      <c r="Y316" s="402"/>
      <c r="Z316" s="402"/>
      <c r="AA316" s="405"/>
      <c r="AB316" s="405"/>
    </row>
    <row r="317" ht="14.25" customHeight="1">
      <c r="A317" s="851">
        <v>45526.0</v>
      </c>
      <c r="B317" s="414" t="s">
        <v>4565</v>
      </c>
      <c r="C317" s="415" t="s">
        <v>4566</v>
      </c>
      <c r="D317" s="415" t="s">
        <v>439</v>
      </c>
      <c r="E317" s="415" t="s">
        <v>4603</v>
      </c>
      <c r="F317" s="413">
        <v>24995.0</v>
      </c>
      <c r="G317" s="349">
        <v>0.0</v>
      </c>
      <c r="H317" s="349"/>
      <c r="I317" s="349" t="s">
        <v>4641</v>
      </c>
      <c r="J317" s="402"/>
      <c r="K317" s="402"/>
      <c r="L317" s="402"/>
      <c r="M317" s="402"/>
      <c r="N317" s="402"/>
      <c r="O317" s="402"/>
      <c r="P317" s="402"/>
      <c r="Q317" s="402"/>
      <c r="R317" s="402"/>
      <c r="S317" s="402"/>
      <c r="T317" s="402"/>
      <c r="U317" s="402"/>
      <c r="V317" s="402"/>
      <c r="W317" s="402"/>
      <c r="X317" s="402"/>
      <c r="Y317" s="402"/>
      <c r="Z317" s="402"/>
      <c r="AA317" s="405"/>
      <c r="AB317" s="405"/>
    </row>
    <row r="318" ht="14.25" customHeight="1">
      <c r="A318" s="851">
        <v>45526.0</v>
      </c>
      <c r="B318" s="414" t="s">
        <v>4575</v>
      </c>
      <c r="C318" s="415" t="s">
        <v>4576</v>
      </c>
      <c r="D318" s="415" t="s">
        <v>439</v>
      </c>
      <c r="E318" s="415" t="s">
        <v>4558</v>
      </c>
      <c r="F318" s="413">
        <v>24062.0</v>
      </c>
      <c r="G318" s="349">
        <v>0.0</v>
      </c>
      <c r="H318" s="349"/>
      <c r="I318" s="349" t="s">
        <v>4642</v>
      </c>
      <c r="J318" s="402"/>
      <c r="K318" s="402"/>
      <c r="L318" s="402"/>
      <c r="M318" s="402"/>
      <c r="N318" s="402"/>
      <c r="O318" s="402"/>
      <c r="P318" s="402"/>
      <c r="Q318" s="402"/>
      <c r="R318" s="402"/>
      <c r="S318" s="402"/>
      <c r="T318" s="402"/>
      <c r="U318" s="402"/>
      <c r="V318" s="402"/>
      <c r="W318" s="402"/>
      <c r="X318" s="402"/>
      <c r="Y318" s="402"/>
      <c r="Z318" s="402"/>
      <c r="AA318" s="405"/>
      <c r="AB318" s="405"/>
    </row>
    <row r="319" ht="14.25" customHeight="1">
      <c r="A319" s="851">
        <v>45526.0</v>
      </c>
      <c r="B319" s="419" t="s">
        <v>4590</v>
      </c>
      <c r="C319" s="420" t="s">
        <v>4591</v>
      </c>
      <c r="D319" s="420" t="s">
        <v>439</v>
      </c>
      <c r="E319" s="420" t="s">
        <v>4603</v>
      </c>
      <c r="F319" s="413">
        <v>4680.0</v>
      </c>
      <c r="G319" s="349">
        <v>0.0</v>
      </c>
      <c r="H319" s="349"/>
      <c r="I319" s="349" t="s">
        <v>4643</v>
      </c>
      <c r="J319" s="402"/>
      <c r="K319" s="402"/>
      <c r="L319" s="402"/>
      <c r="M319" s="402"/>
      <c r="N319" s="402"/>
      <c r="O319" s="402"/>
      <c r="P319" s="402"/>
      <c r="Q319" s="402"/>
      <c r="R319" s="402"/>
      <c r="S319" s="402"/>
      <c r="T319" s="402"/>
      <c r="U319" s="402"/>
      <c r="V319" s="402"/>
      <c r="W319" s="402"/>
      <c r="X319" s="402"/>
      <c r="Y319" s="402"/>
      <c r="Z319" s="402"/>
      <c r="AA319" s="405"/>
      <c r="AB319" s="405"/>
    </row>
    <row r="320" ht="14.25" customHeight="1">
      <c r="A320" s="851">
        <v>45526.0</v>
      </c>
      <c r="B320" s="349" t="s">
        <v>4619</v>
      </c>
      <c r="C320" s="349" t="s">
        <v>4620</v>
      </c>
      <c r="D320" s="349" t="s">
        <v>439</v>
      </c>
      <c r="E320" s="349" t="s">
        <v>4603</v>
      </c>
      <c r="F320" s="413">
        <v>10857.0</v>
      </c>
      <c r="G320" s="349">
        <v>0.0</v>
      </c>
      <c r="H320" s="349"/>
      <c r="I320" s="349" t="s">
        <v>4644</v>
      </c>
      <c r="J320" s="402"/>
      <c r="K320" s="402"/>
      <c r="L320" s="402"/>
      <c r="M320" s="402"/>
      <c r="N320" s="402"/>
      <c r="O320" s="402"/>
      <c r="P320" s="402"/>
      <c r="Q320" s="402"/>
      <c r="R320" s="402"/>
      <c r="S320" s="402"/>
      <c r="T320" s="402"/>
      <c r="U320" s="402"/>
      <c r="V320" s="402"/>
      <c r="W320" s="402"/>
      <c r="X320" s="402"/>
      <c r="Y320" s="402"/>
      <c r="Z320" s="402"/>
      <c r="AA320" s="405"/>
      <c r="AB320" s="405"/>
    </row>
    <row r="321" ht="14.25" customHeight="1">
      <c r="A321" s="851">
        <v>45526.0</v>
      </c>
      <c r="B321" s="349" t="s">
        <v>4550</v>
      </c>
      <c r="C321" s="349" t="s">
        <v>4622</v>
      </c>
      <c r="D321" s="349" t="s">
        <v>439</v>
      </c>
      <c r="E321" s="349" t="s">
        <v>4564</v>
      </c>
      <c r="F321" s="413">
        <v>95980.5</v>
      </c>
      <c r="G321" s="349">
        <v>0.0</v>
      </c>
      <c r="H321" s="349"/>
      <c r="I321" s="349" t="s">
        <v>4642</v>
      </c>
      <c r="J321" s="402"/>
      <c r="K321" s="402"/>
      <c r="L321" s="402"/>
      <c r="M321" s="402"/>
      <c r="N321" s="402"/>
      <c r="O321" s="402"/>
      <c r="P321" s="402"/>
      <c r="Q321" s="402"/>
      <c r="R321" s="402"/>
      <c r="S321" s="402"/>
      <c r="T321" s="402"/>
      <c r="U321" s="402"/>
      <c r="V321" s="402"/>
      <c r="W321" s="402"/>
      <c r="X321" s="402"/>
      <c r="Y321" s="402"/>
      <c r="Z321" s="402"/>
      <c r="AA321" s="405"/>
      <c r="AB321" s="405"/>
    </row>
    <row r="322" ht="14.25" customHeight="1">
      <c r="A322" s="851">
        <v>45526.0</v>
      </c>
      <c r="B322" s="349" t="s">
        <v>4568</v>
      </c>
      <c r="C322" s="349" t="s">
        <v>4569</v>
      </c>
      <c r="D322" s="349" t="s">
        <v>439</v>
      </c>
      <c r="E322" s="349" t="s">
        <v>4552</v>
      </c>
      <c r="F322" s="413">
        <v>16026.0</v>
      </c>
      <c r="G322" s="349">
        <v>0.0</v>
      </c>
      <c r="H322" s="349"/>
      <c r="I322" s="349" t="s">
        <v>4642</v>
      </c>
      <c r="J322" s="402"/>
      <c r="K322" s="402"/>
      <c r="L322" s="402"/>
      <c r="M322" s="402"/>
      <c r="N322" s="402"/>
      <c r="O322" s="402"/>
      <c r="P322" s="402"/>
      <c r="Q322" s="402"/>
      <c r="R322" s="402"/>
      <c r="S322" s="402"/>
      <c r="T322" s="402"/>
      <c r="U322" s="402"/>
      <c r="V322" s="402"/>
      <c r="W322" s="402"/>
      <c r="X322" s="402"/>
      <c r="Y322" s="402"/>
      <c r="Z322" s="402"/>
      <c r="AA322" s="405"/>
      <c r="AB322" s="405"/>
    </row>
    <row r="323" ht="14.25" customHeight="1">
      <c r="A323" s="851">
        <v>45526.0</v>
      </c>
      <c r="B323" s="349" t="s">
        <v>4573</v>
      </c>
      <c r="C323" s="349" t="s">
        <v>4574</v>
      </c>
      <c r="D323" s="349" t="s">
        <v>439</v>
      </c>
      <c r="E323" s="349" t="s">
        <v>4558</v>
      </c>
      <c r="F323" s="413">
        <v>24481.0</v>
      </c>
      <c r="G323" s="349">
        <v>0.0</v>
      </c>
      <c r="H323" s="349"/>
      <c r="I323" s="349" t="s">
        <v>4645</v>
      </c>
      <c r="J323" s="402"/>
      <c r="K323" s="402"/>
      <c r="L323" s="402"/>
      <c r="M323" s="402"/>
      <c r="N323" s="402"/>
      <c r="O323" s="402"/>
      <c r="P323" s="402"/>
      <c r="Q323" s="402"/>
      <c r="R323" s="402"/>
      <c r="S323" s="402"/>
      <c r="T323" s="402"/>
      <c r="U323" s="402"/>
      <c r="V323" s="402"/>
      <c r="W323" s="402"/>
      <c r="X323" s="402"/>
      <c r="Y323" s="402"/>
      <c r="Z323" s="402"/>
      <c r="AA323" s="405"/>
      <c r="AB323" s="405"/>
    </row>
    <row r="324" ht="14.25" customHeight="1">
      <c r="A324" s="851">
        <v>45526.0</v>
      </c>
      <c r="B324" s="349" t="s">
        <v>4626</v>
      </c>
      <c r="C324" s="349" t="s">
        <v>4627</v>
      </c>
      <c r="D324" s="349" t="s">
        <v>439</v>
      </c>
      <c r="E324" s="349" t="s">
        <v>4564</v>
      </c>
      <c r="F324" s="413">
        <v>11262.0</v>
      </c>
      <c r="G324" s="349">
        <v>0.0</v>
      </c>
      <c r="H324" s="349"/>
      <c r="I324" s="349" t="s">
        <v>4646</v>
      </c>
      <c r="J324" s="402"/>
      <c r="K324" s="402"/>
      <c r="L324" s="402"/>
      <c r="M324" s="402"/>
      <c r="N324" s="402"/>
      <c r="O324" s="402"/>
      <c r="P324" s="402"/>
      <c r="Q324" s="402"/>
      <c r="R324" s="402"/>
      <c r="S324" s="402"/>
      <c r="T324" s="402"/>
      <c r="U324" s="402"/>
      <c r="V324" s="402"/>
      <c r="W324" s="402"/>
      <c r="X324" s="402"/>
      <c r="Y324" s="402"/>
      <c r="Z324" s="402"/>
      <c r="AA324" s="405"/>
      <c r="AB324" s="405"/>
    </row>
    <row r="325" ht="14.25" customHeight="1">
      <c r="A325" s="851">
        <v>45526.0</v>
      </c>
      <c r="B325" s="349" t="s">
        <v>4571</v>
      </c>
      <c r="C325" s="349" t="s">
        <v>4572</v>
      </c>
      <c r="D325" s="349" t="s">
        <v>439</v>
      </c>
      <c r="E325" s="349" t="s">
        <v>4603</v>
      </c>
      <c r="F325" s="413">
        <v>44818.0</v>
      </c>
      <c r="G325" s="349">
        <v>0.0</v>
      </c>
      <c r="H325" s="349"/>
      <c r="I325" s="349" t="s">
        <v>4647</v>
      </c>
      <c r="J325" s="402"/>
      <c r="K325" s="402"/>
      <c r="L325" s="402"/>
      <c r="M325" s="402"/>
      <c r="N325" s="402"/>
      <c r="O325" s="402"/>
      <c r="P325" s="402"/>
      <c r="Q325" s="402"/>
      <c r="R325" s="402"/>
      <c r="S325" s="402"/>
      <c r="T325" s="402"/>
      <c r="U325" s="402"/>
      <c r="V325" s="402"/>
      <c r="W325" s="402"/>
      <c r="X325" s="402"/>
      <c r="Y325" s="402"/>
      <c r="Z325" s="402"/>
      <c r="AA325" s="405"/>
      <c r="AB325" s="405"/>
    </row>
    <row r="326" ht="14.25" customHeight="1">
      <c r="A326" s="584"/>
      <c r="B326" s="584"/>
      <c r="C326" s="584"/>
      <c r="D326" s="584"/>
      <c r="E326" s="424" t="s">
        <v>23</v>
      </c>
      <c r="F326" s="787">
        <v>338161.0</v>
      </c>
      <c r="G326" s="584"/>
      <c r="H326" s="584"/>
      <c r="I326" s="584"/>
      <c r="J326" s="584"/>
      <c r="K326" s="584"/>
      <c r="L326" s="584"/>
      <c r="M326" s="584"/>
      <c r="N326" s="584"/>
      <c r="O326" s="584"/>
      <c r="P326" s="584"/>
      <c r="Q326" s="584"/>
      <c r="R326" s="584"/>
      <c r="S326" s="584"/>
      <c r="T326" s="584"/>
      <c r="U326" s="584"/>
      <c r="V326" s="584"/>
      <c r="W326" s="584"/>
      <c r="X326" s="584"/>
      <c r="Y326" s="584"/>
      <c r="Z326" s="584"/>
      <c r="AA326" s="659"/>
      <c r="AB326" s="659"/>
    </row>
    <row r="327" ht="14.25" customHeight="1">
      <c r="A327" s="402"/>
      <c r="B327" s="402"/>
      <c r="C327" s="402"/>
      <c r="D327" s="402"/>
      <c r="E327" s="402"/>
      <c r="F327" s="403"/>
      <c r="G327" s="402"/>
      <c r="H327" s="402"/>
      <c r="I327" s="402"/>
      <c r="J327" s="402"/>
      <c r="K327" s="402"/>
      <c r="L327" s="402"/>
      <c r="M327" s="402"/>
      <c r="N327" s="402"/>
      <c r="O327" s="402"/>
      <c r="P327" s="402"/>
      <c r="Q327" s="402"/>
      <c r="R327" s="402"/>
      <c r="S327" s="402"/>
      <c r="T327" s="402"/>
      <c r="U327" s="402"/>
      <c r="V327" s="402"/>
      <c r="W327" s="402"/>
      <c r="X327" s="402"/>
      <c r="Y327" s="402"/>
      <c r="Z327" s="402"/>
      <c r="AA327" s="405"/>
      <c r="AB327" s="405"/>
    </row>
    <row r="328" ht="14.25" customHeight="1">
      <c r="A328" s="402"/>
      <c r="B328" s="402"/>
      <c r="C328" s="402"/>
      <c r="D328" s="402"/>
      <c r="E328" s="402"/>
      <c r="F328" s="403"/>
      <c r="G328" s="402"/>
      <c r="H328" s="402"/>
      <c r="I328" s="402"/>
      <c r="J328" s="402"/>
      <c r="K328" s="402"/>
      <c r="L328" s="402"/>
      <c r="M328" s="402"/>
      <c r="N328" s="402"/>
      <c r="O328" s="402"/>
      <c r="P328" s="402"/>
      <c r="Q328" s="402"/>
      <c r="R328" s="402"/>
      <c r="S328" s="402"/>
      <c r="T328" s="402"/>
      <c r="U328" s="402"/>
      <c r="V328" s="402"/>
      <c r="W328" s="402"/>
      <c r="X328" s="402"/>
      <c r="Y328" s="402"/>
      <c r="Z328" s="402"/>
      <c r="AA328" s="405"/>
      <c r="AB328" s="405"/>
    </row>
    <row r="329" ht="14.25" customHeight="1">
      <c r="A329" s="497">
        <v>45527.0</v>
      </c>
      <c r="B329" s="414" t="s">
        <v>4577</v>
      </c>
      <c r="C329" s="415" t="s">
        <v>4578</v>
      </c>
      <c r="D329" s="415" t="s">
        <v>439</v>
      </c>
      <c r="E329" s="415" t="s">
        <v>4603</v>
      </c>
      <c r="F329" s="413">
        <v>110000.0</v>
      </c>
      <c r="G329" s="349">
        <v>0.0</v>
      </c>
      <c r="H329" s="349" t="s">
        <v>4648</v>
      </c>
      <c r="I329" s="349" t="s">
        <v>4649</v>
      </c>
      <c r="J329" s="402"/>
      <c r="K329" s="402"/>
      <c r="L329" s="402"/>
      <c r="M329" s="402"/>
      <c r="N329" s="402"/>
      <c r="O329" s="402"/>
      <c r="P329" s="402"/>
      <c r="Q329" s="402"/>
      <c r="R329" s="402"/>
      <c r="S329" s="402"/>
      <c r="T329" s="402"/>
      <c r="U329" s="402"/>
      <c r="V329" s="402"/>
      <c r="W329" s="402"/>
      <c r="X329" s="402"/>
      <c r="Y329" s="402"/>
      <c r="Z329" s="402"/>
      <c r="AA329" s="405"/>
      <c r="AB329" s="405"/>
    </row>
    <row r="330" ht="14.25" customHeight="1">
      <c r="A330" s="497">
        <v>45527.0</v>
      </c>
      <c r="B330" s="414" t="s">
        <v>4565</v>
      </c>
      <c r="C330" s="415" t="s">
        <v>4566</v>
      </c>
      <c r="D330" s="415" t="s">
        <v>439</v>
      </c>
      <c r="E330" s="415" t="s">
        <v>4603</v>
      </c>
      <c r="F330" s="413">
        <v>24995.0</v>
      </c>
      <c r="G330" s="852">
        <v>24995.0</v>
      </c>
      <c r="H330" s="349" t="s">
        <v>1462</v>
      </c>
      <c r="I330" s="349"/>
      <c r="J330" s="402"/>
      <c r="K330" s="402"/>
      <c r="L330" s="402"/>
      <c r="M330" s="402"/>
      <c r="N330" s="402"/>
      <c r="O330" s="402"/>
      <c r="P330" s="402"/>
      <c r="Q330" s="402"/>
      <c r="R330" s="402"/>
      <c r="S330" s="402"/>
      <c r="T330" s="402"/>
      <c r="U330" s="402"/>
      <c r="V330" s="402"/>
      <c r="W330" s="402"/>
      <c r="X330" s="402"/>
      <c r="Y330" s="402"/>
      <c r="Z330" s="402"/>
      <c r="AA330" s="405"/>
      <c r="AB330" s="405"/>
    </row>
    <row r="331" ht="14.25" customHeight="1">
      <c r="A331" s="497">
        <v>45527.0</v>
      </c>
      <c r="B331" s="414" t="s">
        <v>4575</v>
      </c>
      <c r="C331" s="415" t="s">
        <v>4576</v>
      </c>
      <c r="D331" s="415" t="s">
        <v>439</v>
      </c>
      <c r="E331" s="415" t="s">
        <v>4558</v>
      </c>
      <c r="F331" s="413">
        <v>24062.0</v>
      </c>
      <c r="G331" s="349">
        <v>0.0</v>
      </c>
      <c r="H331" s="349" t="s">
        <v>4648</v>
      </c>
      <c r="I331" s="349" t="s">
        <v>4642</v>
      </c>
      <c r="J331" s="402"/>
      <c r="K331" s="402"/>
      <c r="L331" s="402"/>
      <c r="M331" s="402"/>
      <c r="N331" s="402"/>
      <c r="O331" s="402"/>
      <c r="P331" s="402"/>
      <c r="Q331" s="402"/>
      <c r="R331" s="402"/>
      <c r="S331" s="402"/>
      <c r="T331" s="402"/>
      <c r="U331" s="402"/>
      <c r="V331" s="402"/>
      <c r="W331" s="402"/>
      <c r="X331" s="402"/>
      <c r="Y331" s="402"/>
      <c r="Z331" s="402"/>
      <c r="AA331" s="405"/>
      <c r="AB331" s="405"/>
    </row>
    <row r="332" ht="14.25" customHeight="1">
      <c r="A332" s="497">
        <v>45527.0</v>
      </c>
      <c r="B332" s="419" t="s">
        <v>4590</v>
      </c>
      <c r="C332" s="420" t="s">
        <v>4591</v>
      </c>
      <c r="D332" s="420" t="s">
        <v>439</v>
      </c>
      <c r="E332" s="420" t="s">
        <v>4603</v>
      </c>
      <c r="F332" s="413">
        <v>4680.0</v>
      </c>
      <c r="G332" s="349">
        <v>0.0</v>
      </c>
      <c r="H332" s="349" t="s">
        <v>4648</v>
      </c>
      <c r="I332" s="349" t="s">
        <v>4643</v>
      </c>
      <c r="J332" s="402"/>
      <c r="K332" s="402"/>
      <c r="L332" s="402"/>
      <c r="M332" s="402"/>
      <c r="N332" s="402"/>
      <c r="O332" s="402"/>
      <c r="P332" s="402"/>
      <c r="Q332" s="402"/>
      <c r="R332" s="402"/>
      <c r="S332" s="402"/>
      <c r="T332" s="402"/>
      <c r="U332" s="402"/>
      <c r="V332" s="402"/>
      <c r="W332" s="402"/>
      <c r="X332" s="402"/>
      <c r="Y332" s="402"/>
      <c r="Z332" s="402"/>
      <c r="AA332" s="405"/>
      <c r="AB332" s="405"/>
    </row>
    <row r="333" ht="14.25" customHeight="1">
      <c r="A333" s="497">
        <v>45527.0</v>
      </c>
      <c r="B333" s="349" t="s">
        <v>4619</v>
      </c>
      <c r="C333" s="349" t="s">
        <v>4620</v>
      </c>
      <c r="D333" s="349" t="s">
        <v>439</v>
      </c>
      <c r="E333" s="349" t="s">
        <v>4603</v>
      </c>
      <c r="F333" s="413">
        <v>10857.0</v>
      </c>
      <c r="G333" s="349">
        <v>0.0</v>
      </c>
      <c r="H333" s="349" t="s">
        <v>4648</v>
      </c>
      <c r="I333" s="349" t="s">
        <v>4643</v>
      </c>
      <c r="J333" s="402"/>
      <c r="K333" s="402"/>
      <c r="L333" s="402"/>
      <c r="M333" s="402"/>
      <c r="N333" s="402"/>
      <c r="O333" s="402"/>
      <c r="P333" s="402"/>
      <c r="Q333" s="402"/>
      <c r="R333" s="402"/>
      <c r="S333" s="402"/>
      <c r="T333" s="402"/>
      <c r="U333" s="402"/>
      <c r="V333" s="402"/>
      <c r="W333" s="402"/>
      <c r="X333" s="402"/>
      <c r="Y333" s="402"/>
      <c r="Z333" s="402"/>
      <c r="AA333" s="405"/>
      <c r="AB333" s="405"/>
    </row>
    <row r="334" ht="14.25" customHeight="1">
      <c r="A334" s="497">
        <v>45527.0</v>
      </c>
      <c r="B334" s="349" t="s">
        <v>4550</v>
      </c>
      <c r="C334" s="349" t="s">
        <v>4622</v>
      </c>
      <c r="D334" s="349" t="s">
        <v>439</v>
      </c>
      <c r="E334" s="349" t="s">
        <v>4564</v>
      </c>
      <c r="F334" s="413">
        <v>97020.0</v>
      </c>
      <c r="G334" s="349">
        <v>0.0</v>
      </c>
      <c r="H334" s="349" t="s">
        <v>4648</v>
      </c>
      <c r="I334" s="349" t="s">
        <v>4644</v>
      </c>
      <c r="J334" s="402"/>
      <c r="K334" s="402"/>
      <c r="L334" s="402"/>
      <c r="M334" s="402"/>
      <c r="N334" s="402"/>
      <c r="O334" s="402"/>
      <c r="P334" s="402"/>
      <c r="Q334" s="402"/>
      <c r="R334" s="402"/>
      <c r="S334" s="402"/>
      <c r="T334" s="402"/>
      <c r="U334" s="402"/>
      <c r="V334" s="402"/>
      <c r="W334" s="402"/>
      <c r="X334" s="402"/>
      <c r="Y334" s="402"/>
      <c r="Z334" s="402"/>
      <c r="AA334" s="405"/>
      <c r="AB334" s="405"/>
    </row>
    <row r="335" ht="14.25" customHeight="1">
      <c r="A335" s="497">
        <v>45527.0</v>
      </c>
      <c r="B335" s="349" t="s">
        <v>4568</v>
      </c>
      <c r="C335" s="349" t="s">
        <v>4569</v>
      </c>
      <c r="D335" s="349" t="s">
        <v>439</v>
      </c>
      <c r="E335" s="349" t="s">
        <v>4552</v>
      </c>
      <c r="F335" s="413">
        <v>16026.0</v>
      </c>
      <c r="G335" s="349">
        <v>0.0</v>
      </c>
      <c r="H335" s="349" t="s">
        <v>4648</v>
      </c>
      <c r="I335" s="349" t="s">
        <v>4642</v>
      </c>
      <c r="J335" s="402"/>
      <c r="K335" s="402"/>
      <c r="L335" s="402"/>
      <c r="M335" s="402"/>
      <c r="N335" s="402"/>
      <c r="O335" s="402"/>
      <c r="P335" s="402"/>
      <c r="Q335" s="402"/>
      <c r="R335" s="402"/>
      <c r="S335" s="402"/>
      <c r="T335" s="402"/>
      <c r="U335" s="402"/>
      <c r="V335" s="402"/>
      <c r="W335" s="402"/>
      <c r="X335" s="402"/>
      <c r="Y335" s="402"/>
      <c r="Z335" s="402"/>
      <c r="AA335" s="405"/>
      <c r="AB335" s="405"/>
    </row>
    <row r="336" ht="14.25" customHeight="1">
      <c r="A336" s="497">
        <v>45527.0</v>
      </c>
      <c r="B336" s="349" t="s">
        <v>4573</v>
      </c>
      <c r="C336" s="349" t="s">
        <v>4574</v>
      </c>
      <c r="D336" s="349" t="s">
        <v>439</v>
      </c>
      <c r="E336" s="349" t="s">
        <v>4558</v>
      </c>
      <c r="F336" s="413">
        <v>24481.0</v>
      </c>
      <c r="G336" s="349">
        <v>0.0</v>
      </c>
      <c r="H336" s="349" t="s">
        <v>4648</v>
      </c>
      <c r="I336" s="349" t="s">
        <v>4642</v>
      </c>
      <c r="J336" s="402"/>
      <c r="K336" s="402"/>
      <c r="L336" s="402"/>
      <c r="M336" s="402"/>
      <c r="N336" s="402"/>
      <c r="O336" s="402"/>
      <c r="P336" s="402"/>
      <c r="Q336" s="402"/>
      <c r="R336" s="402"/>
      <c r="S336" s="402"/>
      <c r="T336" s="402"/>
      <c r="U336" s="402"/>
      <c r="V336" s="402"/>
      <c r="W336" s="402"/>
      <c r="X336" s="402"/>
      <c r="Y336" s="402"/>
      <c r="Z336" s="402"/>
      <c r="AA336" s="405"/>
      <c r="AB336" s="405"/>
    </row>
    <row r="337" ht="14.25" customHeight="1">
      <c r="A337" s="497">
        <v>45527.0</v>
      </c>
      <c r="B337" s="349" t="s">
        <v>4626</v>
      </c>
      <c r="C337" s="349" t="s">
        <v>4627</v>
      </c>
      <c r="D337" s="349" t="s">
        <v>439</v>
      </c>
      <c r="E337" s="349" t="s">
        <v>4564</v>
      </c>
      <c r="F337" s="413">
        <v>11262.0</v>
      </c>
      <c r="G337" s="349">
        <v>0.0</v>
      </c>
      <c r="H337" s="349" t="s">
        <v>4648</v>
      </c>
      <c r="I337" s="349" t="s">
        <v>4645</v>
      </c>
      <c r="J337" s="402"/>
      <c r="K337" s="402"/>
      <c r="L337" s="402"/>
      <c r="M337" s="402"/>
      <c r="N337" s="402"/>
      <c r="O337" s="402"/>
      <c r="P337" s="402"/>
      <c r="Q337" s="402"/>
      <c r="R337" s="402"/>
      <c r="S337" s="402"/>
      <c r="T337" s="402"/>
      <c r="U337" s="402"/>
      <c r="V337" s="402"/>
      <c r="W337" s="402"/>
      <c r="X337" s="402"/>
      <c r="Y337" s="402"/>
      <c r="Z337" s="402"/>
      <c r="AA337" s="405"/>
      <c r="AB337" s="405"/>
    </row>
    <row r="338" ht="14.25" customHeight="1">
      <c r="A338" s="497">
        <v>45527.0</v>
      </c>
      <c r="B338" s="349" t="s">
        <v>4571</v>
      </c>
      <c r="C338" s="349" t="s">
        <v>4572</v>
      </c>
      <c r="D338" s="349" t="s">
        <v>439</v>
      </c>
      <c r="E338" s="349" t="s">
        <v>4603</v>
      </c>
      <c r="F338" s="413">
        <v>44818.0</v>
      </c>
      <c r="G338" s="349">
        <v>0.0</v>
      </c>
      <c r="H338" s="349" t="s">
        <v>4648</v>
      </c>
      <c r="I338" s="349" t="s">
        <v>4646</v>
      </c>
      <c r="J338" s="402"/>
      <c r="K338" s="402"/>
      <c r="L338" s="402"/>
      <c r="M338" s="402"/>
      <c r="N338" s="402"/>
      <c r="O338" s="402"/>
      <c r="P338" s="402"/>
      <c r="Q338" s="402"/>
      <c r="R338" s="402"/>
      <c r="S338" s="402"/>
      <c r="T338" s="402"/>
      <c r="U338" s="402"/>
      <c r="V338" s="402"/>
      <c r="W338" s="402"/>
      <c r="X338" s="402"/>
      <c r="Y338" s="402"/>
      <c r="Z338" s="402"/>
      <c r="AA338" s="405"/>
      <c r="AB338" s="405"/>
    </row>
    <row r="339" ht="14.25" customHeight="1">
      <c r="A339" s="497">
        <v>45527.0</v>
      </c>
      <c r="B339" s="349" t="s">
        <v>4579</v>
      </c>
      <c r="C339" s="349" t="s">
        <v>4580</v>
      </c>
      <c r="D339" s="349" t="s">
        <v>439</v>
      </c>
      <c r="E339" s="349" t="s">
        <v>4552</v>
      </c>
      <c r="F339" s="413">
        <v>27770.0</v>
      </c>
      <c r="G339" s="349">
        <v>0.0</v>
      </c>
      <c r="H339" s="349" t="s">
        <v>4648</v>
      </c>
      <c r="I339" s="349" t="s">
        <v>4647</v>
      </c>
      <c r="J339" s="402"/>
      <c r="K339" s="402"/>
      <c r="L339" s="402"/>
      <c r="M339" s="402"/>
      <c r="N339" s="402"/>
      <c r="O339" s="402"/>
      <c r="P339" s="402"/>
      <c r="Q339" s="402"/>
      <c r="R339" s="402"/>
      <c r="S339" s="402"/>
      <c r="T339" s="402"/>
      <c r="U339" s="402"/>
      <c r="V339" s="402"/>
      <c r="W339" s="402"/>
      <c r="X339" s="402"/>
      <c r="Y339" s="402"/>
      <c r="Z339" s="402"/>
      <c r="AA339" s="405"/>
      <c r="AB339" s="405"/>
    </row>
    <row r="340" ht="14.25" customHeight="1">
      <c r="A340" s="584"/>
      <c r="B340" s="584"/>
      <c r="C340" s="584"/>
      <c r="D340" s="584"/>
      <c r="E340" s="424" t="s">
        <v>23</v>
      </c>
      <c r="F340" s="787">
        <v>395971.0</v>
      </c>
      <c r="G340" s="787">
        <v>24995.0</v>
      </c>
      <c r="H340" s="584"/>
      <c r="I340" s="584"/>
      <c r="J340" s="584"/>
      <c r="K340" s="584"/>
      <c r="L340" s="584"/>
      <c r="M340" s="584"/>
      <c r="N340" s="584"/>
      <c r="O340" s="584"/>
      <c r="P340" s="584"/>
      <c r="Q340" s="584"/>
      <c r="R340" s="584"/>
      <c r="S340" s="584"/>
      <c r="T340" s="584"/>
      <c r="U340" s="584"/>
      <c r="V340" s="584"/>
      <c r="W340" s="584"/>
      <c r="X340" s="584"/>
      <c r="Y340" s="584"/>
      <c r="Z340" s="584"/>
      <c r="AA340" s="659"/>
      <c r="AB340" s="659"/>
    </row>
    <row r="341" ht="14.25" customHeight="1">
      <c r="A341" s="402"/>
      <c r="B341" s="402"/>
      <c r="C341" s="402"/>
      <c r="D341" s="402"/>
      <c r="E341" s="402"/>
      <c r="F341" s="403"/>
      <c r="G341" s="402"/>
      <c r="H341" s="402"/>
      <c r="I341" s="402"/>
      <c r="J341" s="402"/>
      <c r="K341" s="402"/>
      <c r="L341" s="402"/>
      <c r="M341" s="402"/>
      <c r="N341" s="402"/>
      <c r="O341" s="402"/>
      <c r="P341" s="402"/>
      <c r="Q341" s="402"/>
      <c r="R341" s="402"/>
      <c r="S341" s="402"/>
      <c r="T341" s="402"/>
      <c r="U341" s="402"/>
      <c r="V341" s="402"/>
      <c r="W341" s="402"/>
      <c r="X341" s="402"/>
      <c r="Y341" s="402"/>
      <c r="Z341" s="402"/>
      <c r="AA341" s="405"/>
      <c r="AB341" s="405"/>
    </row>
    <row r="342" ht="14.25" customHeight="1">
      <c r="A342" s="402"/>
      <c r="B342" s="402"/>
      <c r="C342" s="402"/>
      <c r="D342" s="402"/>
      <c r="E342" s="402"/>
      <c r="F342" s="403"/>
      <c r="G342" s="402"/>
      <c r="H342" s="402"/>
      <c r="I342" s="402"/>
      <c r="J342" s="402"/>
      <c r="K342" s="402"/>
      <c r="L342" s="402"/>
      <c r="M342" s="402"/>
      <c r="N342" s="402"/>
      <c r="O342" s="402"/>
      <c r="P342" s="402"/>
      <c r="Q342" s="402"/>
      <c r="R342" s="402"/>
      <c r="S342" s="402"/>
      <c r="T342" s="402"/>
      <c r="U342" s="402"/>
      <c r="V342" s="402"/>
      <c r="W342" s="402"/>
      <c r="X342" s="402"/>
      <c r="Y342" s="402"/>
      <c r="Z342" s="402"/>
      <c r="AA342" s="405"/>
      <c r="AB342" s="405"/>
    </row>
    <row r="343" ht="14.25" customHeight="1">
      <c r="A343" s="497">
        <v>45528.0</v>
      </c>
      <c r="B343" s="414" t="s">
        <v>4577</v>
      </c>
      <c r="C343" s="415" t="s">
        <v>4578</v>
      </c>
      <c r="D343" s="415" t="s">
        <v>439</v>
      </c>
      <c r="E343" s="415" t="s">
        <v>4603</v>
      </c>
      <c r="F343" s="413">
        <v>110000.0</v>
      </c>
      <c r="G343" s="349">
        <v>0.0</v>
      </c>
      <c r="H343" s="349" t="s">
        <v>4648</v>
      </c>
      <c r="I343" s="349" t="s">
        <v>4649</v>
      </c>
      <c r="J343" s="402"/>
      <c r="K343" s="402"/>
      <c r="L343" s="402"/>
      <c r="M343" s="402"/>
      <c r="N343" s="402"/>
      <c r="O343" s="402"/>
      <c r="P343" s="402"/>
      <c r="Q343" s="402"/>
      <c r="R343" s="402"/>
      <c r="S343" s="402"/>
      <c r="T343" s="402"/>
      <c r="U343" s="402"/>
      <c r="V343" s="402"/>
      <c r="W343" s="402"/>
      <c r="X343" s="402"/>
      <c r="Y343" s="402"/>
      <c r="Z343" s="402"/>
      <c r="AA343" s="405"/>
      <c r="AB343" s="405"/>
    </row>
    <row r="344" ht="14.25" customHeight="1">
      <c r="A344" s="497">
        <v>45528.0</v>
      </c>
      <c r="B344" s="349" t="s">
        <v>4579</v>
      </c>
      <c r="C344" s="349" t="s">
        <v>4580</v>
      </c>
      <c r="D344" s="349" t="s">
        <v>439</v>
      </c>
      <c r="E344" s="349" t="s">
        <v>4552</v>
      </c>
      <c r="F344" s="413">
        <v>27770.0</v>
      </c>
      <c r="G344" s="683">
        <v>42000.0</v>
      </c>
      <c r="H344" s="349" t="s">
        <v>8</v>
      </c>
      <c r="I344" s="402"/>
      <c r="J344" s="402"/>
      <c r="K344" s="402"/>
      <c r="L344" s="402"/>
      <c r="M344" s="402"/>
      <c r="N344" s="402"/>
      <c r="O344" s="402"/>
      <c r="P344" s="402"/>
      <c r="Q344" s="402"/>
      <c r="R344" s="402"/>
      <c r="S344" s="402"/>
      <c r="T344" s="402"/>
      <c r="U344" s="402"/>
      <c r="V344" s="402"/>
      <c r="W344" s="402"/>
      <c r="X344" s="402"/>
      <c r="Y344" s="402"/>
      <c r="Z344" s="402"/>
      <c r="AA344" s="405"/>
      <c r="AB344" s="405"/>
    </row>
    <row r="345" ht="14.25" customHeight="1">
      <c r="A345" s="497">
        <v>45528.0</v>
      </c>
      <c r="B345" s="414" t="s">
        <v>4575</v>
      </c>
      <c r="C345" s="415" t="s">
        <v>4576</v>
      </c>
      <c r="D345" s="415" t="s">
        <v>439</v>
      </c>
      <c r="E345" s="415" t="s">
        <v>4558</v>
      </c>
      <c r="F345" s="413">
        <v>24062.0</v>
      </c>
      <c r="G345" s="349">
        <v>0.0</v>
      </c>
      <c r="H345" s="349" t="s">
        <v>4648</v>
      </c>
      <c r="I345" s="349" t="s">
        <v>4642</v>
      </c>
      <c r="J345" s="402"/>
      <c r="K345" s="402"/>
      <c r="L345" s="402"/>
      <c r="M345" s="402"/>
      <c r="N345" s="402"/>
      <c r="O345" s="402"/>
      <c r="P345" s="402"/>
      <c r="Q345" s="402"/>
      <c r="R345" s="402"/>
      <c r="S345" s="402"/>
      <c r="T345" s="402"/>
      <c r="U345" s="402"/>
      <c r="V345" s="402"/>
      <c r="W345" s="402"/>
      <c r="X345" s="402"/>
      <c r="Y345" s="402"/>
      <c r="Z345" s="402"/>
      <c r="AA345" s="405"/>
      <c r="AB345" s="405"/>
    </row>
    <row r="346" ht="14.25" customHeight="1">
      <c r="A346" s="497">
        <v>45528.0</v>
      </c>
      <c r="B346" s="419" t="s">
        <v>4590</v>
      </c>
      <c r="C346" s="420" t="s">
        <v>4591</v>
      </c>
      <c r="D346" s="420" t="s">
        <v>439</v>
      </c>
      <c r="E346" s="420" t="s">
        <v>4603</v>
      </c>
      <c r="F346" s="413">
        <v>4680.0</v>
      </c>
      <c r="G346" s="349">
        <v>0.0</v>
      </c>
      <c r="H346" s="349" t="s">
        <v>4648</v>
      </c>
      <c r="I346" s="349" t="s">
        <v>4643</v>
      </c>
      <c r="J346" s="402"/>
      <c r="K346" s="402"/>
      <c r="L346" s="402"/>
      <c r="M346" s="402"/>
      <c r="N346" s="402"/>
      <c r="O346" s="402"/>
      <c r="P346" s="402"/>
      <c r="Q346" s="402"/>
      <c r="R346" s="402"/>
      <c r="S346" s="402"/>
      <c r="T346" s="402"/>
      <c r="U346" s="402"/>
      <c r="V346" s="402"/>
      <c r="W346" s="402"/>
      <c r="X346" s="402"/>
      <c r="Y346" s="402"/>
      <c r="Z346" s="402"/>
      <c r="AA346" s="405"/>
      <c r="AB346" s="405"/>
    </row>
    <row r="347" ht="14.25" customHeight="1">
      <c r="A347" s="497">
        <v>45528.0</v>
      </c>
      <c r="B347" s="349" t="s">
        <v>4619</v>
      </c>
      <c r="C347" s="349" t="s">
        <v>4620</v>
      </c>
      <c r="D347" s="349" t="s">
        <v>439</v>
      </c>
      <c r="E347" s="349" t="s">
        <v>4603</v>
      </c>
      <c r="F347" s="413">
        <v>10857.0</v>
      </c>
      <c r="G347" s="349">
        <v>0.0</v>
      </c>
      <c r="H347" s="349" t="s">
        <v>4648</v>
      </c>
      <c r="I347" s="349" t="s">
        <v>4643</v>
      </c>
      <c r="J347" s="402"/>
      <c r="K347" s="402"/>
      <c r="L347" s="402"/>
      <c r="M347" s="402"/>
      <c r="N347" s="402"/>
      <c r="O347" s="402"/>
      <c r="P347" s="402"/>
      <c r="Q347" s="402"/>
      <c r="R347" s="402"/>
      <c r="S347" s="402"/>
      <c r="T347" s="402"/>
      <c r="U347" s="402"/>
      <c r="V347" s="402"/>
      <c r="W347" s="402"/>
      <c r="X347" s="402"/>
      <c r="Y347" s="402"/>
      <c r="Z347" s="402"/>
      <c r="AA347" s="405"/>
      <c r="AB347" s="405"/>
    </row>
    <row r="348" ht="14.25" customHeight="1">
      <c r="A348" s="497">
        <v>45528.0</v>
      </c>
      <c r="B348" s="349" t="s">
        <v>4550</v>
      </c>
      <c r="C348" s="349" t="s">
        <v>4622</v>
      </c>
      <c r="D348" s="349" t="s">
        <v>439</v>
      </c>
      <c r="E348" s="349" t="s">
        <v>4564</v>
      </c>
      <c r="F348" s="413">
        <v>97020.0</v>
      </c>
      <c r="G348" s="349">
        <v>0.0</v>
      </c>
      <c r="H348" s="349" t="s">
        <v>4648</v>
      </c>
      <c r="I348" s="349" t="s">
        <v>4644</v>
      </c>
      <c r="J348" s="402"/>
      <c r="K348" s="402"/>
      <c r="L348" s="402"/>
      <c r="M348" s="402"/>
      <c r="N348" s="402"/>
      <c r="O348" s="402"/>
      <c r="P348" s="402"/>
      <c r="Q348" s="402"/>
      <c r="R348" s="402"/>
      <c r="S348" s="402"/>
      <c r="T348" s="402"/>
      <c r="U348" s="402"/>
      <c r="V348" s="402"/>
      <c r="W348" s="402"/>
      <c r="X348" s="402"/>
      <c r="Y348" s="402"/>
      <c r="Z348" s="402"/>
      <c r="AA348" s="405"/>
      <c r="AB348" s="405"/>
    </row>
    <row r="349" ht="14.25" customHeight="1">
      <c r="A349" s="497">
        <v>45528.0</v>
      </c>
      <c r="B349" s="349" t="s">
        <v>4568</v>
      </c>
      <c r="C349" s="349" t="s">
        <v>4569</v>
      </c>
      <c r="D349" s="349" t="s">
        <v>439</v>
      </c>
      <c r="E349" s="349" t="s">
        <v>4552</v>
      </c>
      <c r="F349" s="413">
        <v>16026.0</v>
      </c>
      <c r="G349" s="349">
        <v>0.0</v>
      </c>
      <c r="H349" s="349" t="s">
        <v>4648</v>
      </c>
      <c r="I349" s="349" t="s">
        <v>4642</v>
      </c>
      <c r="J349" s="402"/>
      <c r="K349" s="402"/>
      <c r="L349" s="402"/>
      <c r="M349" s="402"/>
      <c r="N349" s="402"/>
      <c r="O349" s="402"/>
      <c r="P349" s="402"/>
      <c r="Q349" s="402"/>
      <c r="R349" s="402"/>
      <c r="S349" s="402"/>
      <c r="T349" s="402"/>
      <c r="U349" s="402"/>
      <c r="V349" s="402"/>
      <c r="W349" s="402"/>
      <c r="X349" s="402"/>
      <c r="Y349" s="402"/>
      <c r="Z349" s="402"/>
      <c r="AA349" s="405"/>
      <c r="AB349" s="405"/>
    </row>
    <row r="350" ht="14.25" customHeight="1">
      <c r="A350" s="497">
        <v>45528.0</v>
      </c>
      <c r="B350" s="349" t="s">
        <v>4573</v>
      </c>
      <c r="C350" s="349" t="s">
        <v>4574</v>
      </c>
      <c r="D350" s="349" t="s">
        <v>439</v>
      </c>
      <c r="E350" s="349" t="s">
        <v>4558</v>
      </c>
      <c r="F350" s="413">
        <v>24481.0</v>
      </c>
      <c r="G350" s="349">
        <v>0.0</v>
      </c>
      <c r="H350" s="349" t="s">
        <v>4648</v>
      </c>
      <c r="I350" s="349" t="s">
        <v>4642</v>
      </c>
      <c r="J350" s="402"/>
      <c r="K350" s="402"/>
      <c r="L350" s="402"/>
      <c r="M350" s="402"/>
      <c r="N350" s="402"/>
      <c r="O350" s="402"/>
      <c r="P350" s="402"/>
      <c r="Q350" s="402"/>
      <c r="R350" s="402"/>
      <c r="S350" s="402"/>
      <c r="T350" s="402"/>
      <c r="U350" s="402"/>
      <c r="V350" s="402"/>
      <c r="W350" s="402"/>
      <c r="X350" s="402"/>
      <c r="Y350" s="402"/>
      <c r="Z350" s="402"/>
      <c r="AA350" s="405"/>
      <c r="AB350" s="405"/>
    </row>
    <row r="351" ht="14.25" customHeight="1">
      <c r="A351" s="497">
        <v>45528.0</v>
      </c>
      <c r="B351" s="349" t="s">
        <v>4626</v>
      </c>
      <c r="C351" s="349" t="s">
        <v>4627</v>
      </c>
      <c r="D351" s="349" t="s">
        <v>439</v>
      </c>
      <c r="E351" s="349" t="s">
        <v>4564</v>
      </c>
      <c r="F351" s="413">
        <v>11262.0</v>
      </c>
      <c r="G351" s="349">
        <v>0.0</v>
      </c>
      <c r="H351" s="349" t="s">
        <v>4648</v>
      </c>
      <c r="I351" s="349" t="s">
        <v>4645</v>
      </c>
      <c r="J351" s="402"/>
      <c r="K351" s="402"/>
      <c r="L351" s="402"/>
      <c r="M351" s="402"/>
      <c r="N351" s="402"/>
      <c r="O351" s="402"/>
      <c r="P351" s="402"/>
      <c r="Q351" s="402"/>
      <c r="R351" s="402"/>
      <c r="S351" s="402"/>
      <c r="T351" s="402"/>
      <c r="U351" s="402"/>
      <c r="V351" s="402"/>
      <c r="W351" s="402"/>
      <c r="X351" s="402"/>
      <c r="Y351" s="402"/>
      <c r="Z351" s="402"/>
      <c r="AA351" s="405"/>
      <c r="AB351" s="405"/>
    </row>
    <row r="352" ht="14.25" customHeight="1">
      <c r="A352" s="497">
        <v>45528.0</v>
      </c>
      <c r="B352" s="349" t="s">
        <v>4571</v>
      </c>
      <c r="C352" s="349" t="s">
        <v>4572</v>
      </c>
      <c r="D352" s="349" t="s">
        <v>439</v>
      </c>
      <c r="E352" s="349" t="s">
        <v>4603</v>
      </c>
      <c r="F352" s="413">
        <v>44818.0</v>
      </c>
      <c r="G352" s="349">
        <v>0.0</v>
      </c>
      <c r="H352" s="349" t="s">
        <v>4648</v>
      </c>
      <c r="I352" s="349" t="s">
        <v>4646</v>
      </c>
      <c r="J352" s="402"/>
      <c r="K352" s="402"/>
      <c r="L352" s="402"/>
      <c r="M352" s="402"/>
      <c r="N352" s="402"/>
      <c r="O352" s="402"/>
      <c r="P352" s="402"/>
      <c r="Q352" s="402"/>
      <c r="R352" s="402"/>
      <c r="S352" s="402"/>
      <c r="T352" s="402"/>
      <c r="U352" s="402"/>
      <c r="V352" s="402"/>
      <c r="W352" s="402"/>
      <c r="X352" s="402"/>
      <c r="Y352" s="402"/>
      <c r="Z352" s="402"/>
      <c r="AA352" s="405"/>
      <c r="AB352" s="405"/>
    </row>
    <row r="353" ht="14.25" customHeight="1">
      <c r="A353" s="497">
        <v>45528.0</v>
      </c>
      <c r="B353" s="349" t="s">
        <v>4650</v>
      </c>
      <c r="C353" s="349" t="s">
        <v>4651</v>
      </c>
      <c r="D353" s="349" t="s">
        <v>3045</v>
      </c>
      <c r="E353" s="349" t="s">
        <v>4552</v>
      </c>
      <c r="F353" s="413">
        <v>46000.0</v>
      </c>
      <c r="G353" s="349">
        <v>0.0</v>
      </c>
      <c r="H353" s="349" t="s">
        <v>4648</v>
      </c>
      <c r="I353" s="349" t="s">
        <v>4647</v>
      </c>
      <c r="J353" s="402"/>
      <c r="K353" s="402"/>
      <c r="L353" s="402"/>
      <c r="M353" s="402"/>
      <c r="N353" s="402"/>
      <c r="O353" s="402"/>
      <c r="P353" s="402"/>
      <c r="Q353" s="402"/>
      <c r="R353" s="402"/>
      <c r="S353" s="402"/>
      <c r="T353" s="402"/>
      <c r="U353" s="402"/>
      <c r="V353" s="402"/>
      <c r="W353" s="402"/>
      <c r="X353" s="402"/>
      <c r="Y353" s="402"/>
      <c r="Z353" s="402"/>
      <c r="AA353" s="405"/>
      <c r="AB353" s="405"/>
    </row>
    <row r="354" ht="14.25" customHeight="1">
      <c r="A354" s="584"/>
      <c r="B354" s="584"/>
      <c r="C354" s="584"/>
      <c r="D354" s="584"/>
      <c r="E354" s="424" t="s">
        <v>23</v>
      </c>
      <c r="F354" s="787">
        <v>416976.0</v>
      </c>
      <c r="G354" s="839">
        <v>42000.0</v>
      </c>
      <c r="H354" s="584"/>
      <c r="I354" s="584"/>
      <c r="J354" s="584"/>
      <c r="K354" s="584"/>
      <c r="L354" s="584"/>
      <c r="M354" s="584"/>
      <c r="N354" s="584"/>
      <c r="O354" s="584"/>
      <c r="P354" s="584"/>
      <c r="Q354" s="584"/>
      <c r="R354" s="584"/>
      <c r="S354" s="584"/>
      <c r="T354" s="584"/>
      <c r="U354" s="584"/>
      <c r="V354" s="584"/>
      <c r="W354" s="584"/>
      <c r="X354" s="584"/>
      <c r="Y354" s="584"/>
      <c r="Z354" s="584"/>
      <c r="AA354" s="659"/>
      <c r="AB354" s="659"/>
    </row>
    <row r="355" ht="14.25" customHeight="1">
      <c r="A355" s="497">
        <v>45530.0</v>
      </c>
      <c r="B355" s="414" t="s">
        <v>4577</v>
      </c>
      <c r="C355" s="415" t="s">
        <v>4578</v>
      </c>
      <c r="D355" s="415" t="s">
        <v>439</v>
      </c>
      <c r="E355" s="415" t="s">
        <v>4603</v>
      </c>
      <c r="F355" s="413">
        <v>110000.0</v>
      </c>
      <c r="G355" s="349">
        <v>10000.0</v>
      </c>
      <c r="H355" s="349" t="s">
        <v>4648</v>
      </c>
      <c r="I355" s="349" t="s">
        <v>4642</v>
      </c>
      <c r="J355" s="402"/>
      <c r="K355" s="402"/>
      <c r="L355" s="402"/>
      <c r="M355" s="402"/>
      <c r="N355" s="402"/>
      <c r="O355" s="402"/>
      <c r="P355" s="402"/>
      <c r="Q355" s="402"/>
      <c r="R355" s="402"/>
      <c r="S355" s="402"/>
      <c r="T355" s="402"/>
      <c r="U355" s="402"/>
      <c r="V355" s="402"/>
      <c r="W355" s="402"/>
      <c r="X355" s="402"/>
      <c r="Y355" s="402"/>
      <c r="Z355" s="402"/>
      <c r="AA355" s="405"/>
      <c r="AB355" s="405"/>
    </row>
    <row r="356" ht="14.25" customHeight="1">
      <c r="A356" s="497">
        <v>45530.0</v>
      </c>
      <c r="B356" s="349" t="s">
        <v>4587</v>
      </c>
      <c r="C356" s="349" t="s">
        <v>4652</v>
      </c>
      <c r="D356" s="349" t="s">
        <v>439</v>
      </c>
      <c r="E356" s="349" t="s">
        <v>4586</v>
      </c>
      <c r="F356" s="413">
        <v>7267.0</v>
      </c>
      <c r="G356" s="349">
        <v>0.0</v>
      </c>
      <c r="H356" s="349" t="s">
        <v>4648</v>
      </c>
      <c r="I356" s="349" t="s">
        <v>4653</v>
      </c>
      <c r="J356" s="402"/>
      <c r="K356" s="402"/>
      <c r="L356" s="402"/>
      <c r="M356" s="402"/>
      <c r="N356" s="402"/>
      <c r="O356" s="402"/>
      <c r="P356" s="402"/>
      <c r="Q356" s="402"/>
      <c r="R356" s="402"/>
      <c r="S356" s="402"/>
      <c r="T356" s="402"/>
      <c r="U356" s="402"/>
      <c r="V356" s="402"/>
      <c r="W356" s="402"/>
      <c r="X356" s="402"/>
      <c r="Y356" s="402"/>
      <c r="Z356" s="402"/>
      <c r="AA356" s="405"/>
      <c r="AB356" s="405"/>
    </row>
    <row r="357" ht="14.25" customHeight="1">
      <c r="A357" s="497">
        <v>45530.0</v>
      </c>
      <c r="B357" s="414" t="s">
        <v>4575</v>
      </c>
      <c r="C357" s="415" t="s">
        <v>4576</v>
      </c>
      <c r="D357" s="415" t="s">
        <v>439</v>
      </c>
      <c r="E357" s="415" t="s">
        <v>4558</v>
      </c>
      <c r="F357" s="413">
        <v>24062.0</v>
      </c>
      <c r="G357" s="349">
        <v>0.0</v>
      </c>
      <c r="H357" s="349" t="s">
        <v>4648</v>
      </c>
      <c r="I357" s="349" t="s">
        <v>4654</v>
      </c>
      <c r="J357" s="402"/>
      <c r="K357" s="402"/>
      <c r="L357" s="402"/>
      <c r="M357" s="402"/>
      <c r="N357" s="402"/>
      <c r="O357" s="402"/>
      <c r="P357" s="402"/>
      <c r="Q357" s="402"/>
      <c r="R357" s="402"/>
      <c r="S357" s="402"/>
      <c r="T357" s="402"/>
      <c r="U357" s="402"/>
      <c r="V357" s="402"/>
      <c r="W357" s="402"/>
      <c r="X357" s="402"/>
      <c r="Y357" s="402"/>
      <c r="Z357" s="402"/>
      <c r="AA357" s="405"/>
      <c r="AB357" s="405"/>
    </row>
    <row r="358" ht="14.25" customHeight="1">
      <c r="A358" s="497">
        <v>45530.0</v>
      </c>
      <c r="B358" s="419" t="s">
        <v>4590</v>
      </c>
      <c r="C358" s="420" t="s">
        <v>4591</v>
      </c>
      <c r="D358" s="420" t="s">
        <v>439</v>
      </c>
      <c r="E358" s="420" t="s">
        <v>4603</v>
      </c>
      <c r="F358" s="413">
        <v>4680.0</v>
      </c>
      <c r="G358" s="349">
        <v>0.0</v>
      </c>
      <c r="H358" s="349" t="s">
        <v>4648</v>
      </c>
      <c r="I358" s="349" t="s">
        <v>4654</v>
      </c>
      <c r="J358" s="402"/>
      <c r="K358" s="402"/>
      <c r="L358" s="402"/>
      <c r="M358" s="402"/>
      <c r="N358" s="402"/>
      <c r="O358" s="402"/>
      <c r="P358" s="402"/>
      <c r="Q358" s="402"/>
      <c r="R358" s="402"/>
      <c r="S358" s="402"/>
      <c r="T358" s="402"/>
      <c r="U358" s="402"/>
      <c r="V358" s="402"/>
      <c r="W358" s="402"/>
      <c r="X358" s="402"/>
      <c r="Y358" s="402"/>
      <c r="Z358" s="402"/>
      <c r="AA358" s="405"/>
      <c r="AB358" s="405"/>
    </row>
    <row r="359" ht="14.25" customHeight="1">
      <c r="A359" s="497">
        <v>45530.0</v>
      </c>
      <c r="B359" s="349" t="s">
        <v>4619</v>
      </c>
      <c r="C359" s="349" t="s">
        <v>4620</v>
      </c>
      <c r="D359" s="349" t="s">
        <v>439</v>
      </c>
      <c r="E359" s="349" t="s">
        <v>4603</v>
      </c>
      <c r="F359" s="413">
        <v>10857.0</v>
      </c>
      <c r="G359" s="349">
        <v>0.0</v>
      </c>
      <c r="H359" s="349" t="s">
        <v>4648</v>
      </c>
      <c r="I359" s="349" t="s">
        <v>4642</v>
      </c>
      <c r="J359" s="402"/>
      <c r="K359" s="402"/>
      <c r="L359" s="402"/>
      <c r="M359" s="402"/>
      <c r="N359" s="402"/>
      <c r="O359" s="402"/>
      <c r="P359" s="402"/>
      <c r="Q359" s="402"/>
      <c r="R359" s="402"/>
      <c r="S359" s="402"/>
      <c r="T359" s="402"/>
      <c r="U359" s="402"/>
      <c r="V359" s="402"/>
      <c r="W359" s="402"/>
      <c r="X359" s="402"/>
      <c r="Y359" s="402"/>
      <c r="Z359" s="402"/>
      <c r="AA359" s="405"/>
      <c r="AB359" s="405"/>
    </row>
    <row r="360" ht="14.25" customHeight="1">
      <c r="A360" s="497">
        <v>45530.0</v>
      </c>
      <c r="B360" s="349" t="s">
        <v>4550</v>
      </c>
      <c r="C360" s="349" t="s">
        <v>4622</v>
      </c>
      <c r="D360" s="349" t="s">
        <v>439</v>
      </c>
      <c r="E360" s="349" t="s">
        <v>4564</v>
      </c>
      <c r="F360" s="413">
        <v>97020.0</v>
      </c>
      <c r="G360" s="349">
        <v>0.0</v>
      </c>
      <c r="H360" s="349" t="s">
        <v>4648</v>
      </c>
      <c r="I360" s="349" t="s">
        <v>4642</v>
      </c>
      <c r="J360" s="402"/>
      <c r="K360" s="402"/>
      <c r="L360" s="402"/>
      <c r="M360" s="402"/>
      <c r="N360" s="402"/>
      <c r="O360" s="402"/>
      <c r="P360" s="402"/>
      <c r="Q360" s="402"/>
      <c r="R360" s="402"/>
      <c r="S360" s="402"/>
      <c r="T360" s="402"/>
      <c r="U360" s="402"/>
      <c r="V360" s="402"/>
      <c r="W360" s="402"/>
      <c r="X360" s="402"/>
      <c r="Y360" s="402"/>
      <c r="Z360" s="402"/>
      <c r="AA360" s="405"/>
      <c r="AB360" s="405"/>
    </row>
    <row r="361" ht="14.25" customHeight="1">
      <c r="A361" s="497">
        <v>45530.0</v>
      </c>
      <c r="B361" s="349" t="s">
        <v>4568</v>
      </c>
      <c r="C361" s="349" t="s">
        <v>4569</v>
      </c>
      <c r="D361" s="349" t="s">
        <v>439</v>
      </c>
      <c r="E361" s="349" t="s">
        <v>4552</v>
      </c>
      <c r="F361" s="413">
        <v>16026.0</v>
      </c>
      <c r="G361" s="349">
        <v>0.0</v>
      </c>
      <c r="H361" s="349" t="s">
        <v>4648</v>
      </c>
      <c r="I361" s="349" t="s">
        <v>4655</v>
      </c>
      <c r="J361" s="402"/>
      <c r="K361" s="402"/>
      <c r="L361" s="402"/>
      <c r="M361" s="402"/>
      <c r="N361" s="402"/>
      <c r="O361" s="402"/>
      <c r="P361" s="402"/>
      <c r="Q361" s="402"/>
      <c r="R361" s="402"/>
      <c r="S361" s="402"/>
      <c r="T361" s="402"/>
      <c r="U361" s="402"/>
      <c r="V361" s="402"/>
      <c r="W361" s="402"/>
      <c r="X361" s="402"/>
      <c r="Y361" s="402"/>
      <c r="Z361" s="402"/>
      <c r="AA361" s="405"/>
      <c r="AB361" s="405"/>
    </row>
    <row r="362" ht="14.25" customHeight="1">
      <c r="A362" s="497">
        <v>45530.0</v>
      </c>
      <c r="B362" s="349" t="s">
        <v>4573</v>
      </c>
      <c r="C362" s="349" t="s">
        <v>4574</v>
      </c>
      <c r="D362" s="349" t="s">
        <v>439</v>
      </c>
      <c r="E362" s="349" t="s">
        <v>4558</v>
      </c>
      <c r="F362" s="413">
        <v>24481.0</v>
      </c>
      <c r="G362" s="349">
        <v>0.0</v>
      </c>
      <c r="H362" s="349" t="s">
        <v>4648</v>
      </c>
      <c r="I362" s="349" t="s">
        <v>4656</v>
      </c>
      <c r="J362" s="402"/>
      <c r="K362" s="402"/>
      <c r="L362" s="402"/>
      <c r="M362" s="402"/>
      <c r="N362" s="402"/>
      <c r="O362" s="402"/>
      <c r="P362" s="402"/>
      <c r="Q362" s="402"/>
      <c r="R362" s="402"/>
      <c r="S362" s="402"/>
      <c r="T362" s="402"/>
      <c r="U362" s="402"/>
      <c r="V362" s="402"/>
      <c r="W362" s="402"/>
      <c r="X362" s="402"/>
      <c r="Y362" s="402"/>
      <c r="Z362" s="402"/>
      <c r="AA362" s="405"/>
      <c r="AB362" s="405"/>
    </row>
    <row r="363" ht="14.25" customHeight="1">
      <c r="A363" s="497">
        <v>45530.0</v>
      </c>
      <c r="B363" s="349" t="s">
        <v>4626</v>
      </c>
      <c r="C363" s="349" t="s">
        <v>4627</v>
      </c>
      <c r="D363" s="349" t="s">
        <v>439</v>
      </c>
      <c r="E363" s="349" t="s">
        <v>4564</v>
      </c>
      <c r="F363" s="413">
        <v>11262.0</v>
      </c>
      <c r="G363" s="349">
        <v>0.0</v>
      </c>
      <c r="H363" s="349" t="s">
        <v>4648</v>
      </c>
      <c r="I363" s="349" t="s">
        <v>4647</v>
      </c>
      <c r="J363" s="402"/>
      <c r="K363" s="402"/>
      <c r="L363" s="402"/>
      <c r="M363" s="402"/>
      <c r="N363" s="402"/>
      <c r="O363" s="402"/>
      <c r="P363" s="402"/>
      <c r="Q363" s="402"/>
      <c r="R363" s="402"/>
      <c r="S363" s="402"/>
      <c r="T363" s="402"/>
      <c r="U363" s="402"/>
      <c r="V363" s="402"/>
      <c r="W363" s="402"/>
      <c r="X363" s="402"/>
      <c r="Y363" s="402"/>
      <c r="Z363" s="402"/>
      <c r="AA363" s="405"/>
      <c r="AB363" s="405"/>
    </row>
    <row r="364" ht="14.25" customHeight="1">
      <c r="A364" s="497">
        <v>45530.0</v>
      </c>
      <c r="B364" s="349" t="s">
        <v>4571</v>
      </c>
      <c r="C364" s="349" t="s">
        <v>4572</v>
      </c>
      <c r="D364" s="349" t="s">
        <v>439</v>
      </c>
      <c r="E364" s="349" t="s">
        <v>4603</v>
      </c>
      <c r="F364" s="413">
        <v>44818.0</v>
      </c>
      <c r="G364" s="349">
        <v>0.0</v>
      </c>
      <c r="H364" s="349" t="s">
        <v>4648</v>
      </c>
      <c r="I364" s="349" t="s">
        <v>4642</v>
      </c>
      <c r="J364" s="402"/>
      <c r="K364" s="402"/>
      <c r="L364" s="402"/>
      <c r="M364" s="402"/>
      <c r="N364" s="402"/>
      <c r="O364" s="402"/>
      <c r="P364" s="402"/>
      <c r="Q364" s="402"/>
      <c r="R364" s="402"/>
      <c r="S364" s="402"/>
      <c r="T364" s="402"/>
      <c r="U364" s="402"/>
      <c r="V364" s="402"/>
      <c r="W364" s="402"/>
      <c r="X364" s="402"/>
      <c r="Y364" s="402"/>
      <c r="Z364" s="402"/>
      <c r="AA364" s="405"/>
      <c r="AB364" s="405"/>
    </row>
    <row r="365" ht="14.25" customHeight="1">
      <c r="A365" s="497">
        <v>45530.0</v>
      </c>
      <c r="B365" s="349" t="s">
        <v>4650</v>
      </c>
      <c r="C365" s="349" t="s">
        <v>4651</v>
      </c>
      <c r="D365" s="349" t="s">
        <v>3045</v>
      </c>
      <c r="E365" s="349" t="s">
        <v>4552</v>
      </c>
      <c r="F365" s="413">
        <v>46000.0</v>
      </c>
      <c r="G365" s="349">
        <v>0.0</v>
      </c>
      <c r="H365" s="349" t="s">
        <v>4648</v>
      </c>
      <c r="I365" s="402"/>
      <c r="J365" s="402"/>
      <c r="K365" s="402"/>
      <c r="L365" s="402"/>
      <c r="M365" s="402"/>
      <c r="N365" s="402"/>
      <c r="O365" s="402"/>
      <c r="P365" s="402"/>
      <c r="Q365" s="402"/>
      <c r="R365" s="402"/>
      <c r="S365" s="402"/>
      <c r="T365" s="402"/>
      <c r="U365" s="402"/>
      <c r="V365" s="402"/>
      <c r="W365" s="402"/>
      <c r="X365" s="402"/>
      <c r="Y365" s="402"/>
      <c r="Z365" s="402"/>
      <c r="AA365" s="405"/>
      <c r="AB365" s="405"/>
    </row>
    <row r="366" ht="14.25" customHeight="1">
      <c r="A366" s="584"/>
      <c r="B366" s="584"/>
      <c r="C366" s="584"/>
      <c r="D366" s="584"/>
      <c r="E366" s="424" t="s">
        <v>23</v>
      </c>
      <c r="F366" s="787">
        <v>396473.0</v>
      </c>
      <c r="G366" s="424">
        <v>10000.0</v>
      </c>
      <c r="H366" s="584"/>
      <c r="I366" s="584"/>
      <c r="J366" s="584"/>
      <c r="K366" s="584"/>
      <c r="L366" s="584"/>
      <c r="M366" s="584"/>
      <c r="N366" s="584"/>
      <c r="O366" s="584"/>
      <c r="P366" s="584"/>
      <c r="Q366" s="584"/>
      <c r="R366" s="584"/>
      <c r="S366" s="584"/>
      <c r="T366" s="584"/>
      <c r="U366" s="584"/>
      <c r="V366" s="584"/>
      <c r="W366" s="584"/>
      <c r="X366" s="584"/>
      <c r="Y366" s="584"/>
      <c r="Z366" s="584"/>
      <c r="AA366" s="659"/>
      <c r="AB366" s="659"/>
    </row>
    <row r="367" ht="14.25" customHeight="1">
      <c r="A367" s="402"/>
      <c r="B367" s="402"/>
      <c r="C367" s="402"/>
      <c r="D367" s="402"/>
      <c r="E367" s="402"/>
      <c r="F367" s="403"/>
      <c r="G367" s="402"/>
      <c r="H367" s="402"/>
      <c r="I367" s="402"/>
      <c r="J367" s="402"/>
      <c r="K367" s="402"/>
      <c r="L367" s="402"/>
      <c r="M367" s="402"/>
      <c r="N367" s="402"/>
      <c r="O367" s="402"/>
      <c r="P367" s="402"/>
      <c r="Q367" s="402"/>
      <c r="R367" s="402"/>
      <c r="S367" s="402"/>
      <c r="T367" s="402"/>
      <c r="U367" s="402"/>
      <c r="V367" s="402"/>
      <c r="W367" s="402"/>
      <c r="X367" s="402"/>
      <c r="Y367" s="402"/>
      <c r="Z367" s="402"/>
      <c r="AA367" s="405"/>
      <c r="AB367" s="405"/>
    </row>
    <row r="368" ht="14.25" customHeight="1">
      <c r="A368" s="402"/>
      <c r="B368" s="402"/>
      <c r="C368" s="402"/>
      <c r="D368" s="402"/>
      <c r="E368" s="402"/>
      <c r="F368" s="403"/>
      <c r="G368" s="402"/>
      <c r="H368" s="402"/>
      <c r="I368" s="402"/>
      <c r="J368" s="402"/>
      <c r="K368" s="402"/>
      <c r="L368" s="402"/>
      <c r="M368" s="402"/>
      <c r="N368" s="402"/>
      <c r="O368" s="402"/>
      <c r="P368" s="402"/>
      <c r="Q368" s="402"/>
      <c r="R368" s="402"/>
      <c r="S368" s="402"/>
      <c r="T368" s="402"/>
      <c r="U368" s="402"/>
      <c r="V368" s="402"/>
      <c r="W368" s="402"/>
      <c r="X368" s="402"/>
      <c r="Y368" s="402"/>
      <c r="Z368" s="402"/>
      <c r="AA368" s="405"/>
      <c r="AB368" s="405"/>
    </row>
    <row r="369" ht="14.25" customHeight="1">
      <c r="A369" s="497">
        <v>45531.0</v>
      </c>
      <c r="B369" s="414" t="s">
        <v>4577</v>
      </c>
      <c r="C369" s="415" t="s">
        <v>4578</v>
      </c>
      <c r="D369" s="415" t="s">
        <v>439</v>
      </c>
      <c r="E369" s="415" t="s">
        <v>4603</v>
      </c>
      <c r="F369" s="413">
        <v>100000.0</v>
      </c>
      <c r="G369" s="349">
        <v>10000.0</v>
      </c>
      <c r="H369" s="349" t="s">
        <v>4648</v>
      </c>
      <c r="I369" s="349" t="s">
        <v>4657</v>
      </c>
      <c r="J369" s="402"/>
      <c r="K369" s="402"/>
      <c r="L369" s="402"/>
      <c r="M369" s="402"/>
      <c r="N369" s="402"/>
      <c r="O369" s="402"/>
      <c r="P369" s="402"/>
      <c r="Q369" s="402"/>
      <c r="R369" s="402"/>
      <c r="S369" s="402"/>
      <c r="T369" s="402"/>
      <c r="U369" s="402"/>
      <c r="V369" s="402"/>
      <c r="W369" s="402"/>
      <c r="X369" s="402"/>
      <c r="Y369" s="402"/>
      <c r="Z369" s="402"/>
      <c r="AA369" s="405"/>
      <c r="AB369" s="405"/>
    </row>
    <row r="370" ht="14.25" customHeight="1">
      <c r="A370" s="497">
        <v>45531.0</v>
      </c>
      <c r="B370" s="349" t="s">
        <v>4587</v>
      </c>
      <c r="C370" s="349" t="s">
        <v>4652</v>
      </c>
      <c r="D370" s="349" t="s">
        <v>439</v>
      </c>
      <c r="E370" s="349" t="s">
        <v>4586</v>
      </c>
      <c r="F370" s="413">
        <v>7267.0</v>
      </c>
      <c r="G370" s="349">
        <v>0.0</v>
      </c>
      <c r="H370" s="349" t="s">
        <v>4648</v>
      </c>
      <c r="I370" s="349" t="s">
        <v>4658</v>
      </c>
      <c r="J370" s="402"/>
      <c r="K370" s="402"/>
      <c r="L370" s="402"/>
      <c r="M370" s="402"/>
      <c r="N370" s="402"/>
      <c r="O370" s="402"/>
      <c r="P370" s="402"/>
      <c r="Q370" s="402"/>
      <c r="R370" s="402"/>
      <c r="S370" s="402"/>
      <c r="T370" s="402"/>
      <c r="U370" s="402"/>
      <c r="V370" s="402"/>
      <c r="W370" s="402"/>
      <c r="X370" s="402"/>
      <c r="Y370" s="402"/>
      <c r="Z370" s="402"/>
      <c r="AA370" s="405"/>
      <c r="AB370" s="405"/>
    </row>
    <row r="371" ht="14.25" customHeight="1">
      <c r="A371" s="497">
        <v>45531.0</v>
      </c>
      <c r="B371" s="414" t="s">
        <v>4575</v>
      </c>
      <c r="C371" s="415" t="s">
        <v>4576</v>
      </c>
      <c r="D371" s="415" t="s">
        <v>439</v>
      </c>
      <c r="E371" s="415" t="s">
        <v>4558</v>
      </c>
      <c r="F371" s="413">
        <v>24062.0</v>
      </c>
      <c r="G371" s="349">
        <v>0.0</v>
      </c>
      <c r="H371" s="349" t="s">
        <v>4648</v>
      </c>
      <c r="I371" s="402"/>
      <c r="J371" s="402"/>
      <c r="K371" s="402"/>
      <c r="L371" s="402"/>
      <c r="M371" s="402"/>
      <c r="N371" s="402"/>
      <c r="O371" s="402"/>
      <c r="P371" s="402"/>
      <c r="Q371" s="402"/>
      <c r="R371" s="402"/>
      <c r="S371" s="402"/>
      <c r="T371" s="402"/>
      <c r="U371" s="402"/>
      <c r="V371" s="402"/>
      <c r="W371" s="402"/>
      <c r="X371" s="402"/>
      <c r="Y371" s="402"/>
      <c r="Z371" s="402"/>
      <c r="AA371" s="405"/>
      <c r="AB371" s="405"/>
    </row>
    <row r="372" ht="14.25" customHeight="1">
      <c r="A372" s="497">
        <v>45531.0</v>
      </c>
      <c r="B372" s="419" t="s">
        <v>4590</v>
      </c>
      <c r="C372" s="420" t="s">
        <v>4591</v>
      </c>
      <c r="D372" s="420" t="s">
        <v>439</v>
      </c>
      <c r="E372" s="420" t="s">
        <v>4603</v>
      </c>
      <c r="F372" s="413">
        <v>4680.0</v>
      </c>
      <c r="G372" s="349">
        <v>0.0</v>
      </c>
      <c r="H372" s="349" t="s">
        <v>4648</v>
      </c>
      <c r="I372" s="402"/>
      <c r="J372" s="402"/>
      <c r="K372" s="402"/>
      <c r="L372" s="402"/>
      <c r="M372" s="402"/>
      <c r="N372" s="402"/>
      <c r="O372" s="402"/>
      <c r="P372" s="402"/>
      <c r="Q372" s="402"/>
      <c r="R372" s="402"/>
      <c r="S372" s="402"/>
      <c r="T372" s="402"/>
      <c r="U372" s="402"/>
      <c r="V372" s="402"/>
      <c r="W372" s="402"/>
      <c r="X372" s="402"/>
      <c r="Y372" s="402"/>
      <c r="Z372" s="402"/>
      <c r="AA372" s="405"/>
      <c r="AB372" s="405"/>
    </row>
    <row r="373" ht="14.25" customHeight="1">
      <c r="A373" s="497">
        <v>45531.0</v>
      </c>
      <c r="B373" s="349" t="s">
        <v>4619</v>
      </c>
      <c r="C373" s="349" t="s">
        <v>4620</v>
      </c>
      <c r="D373" s="349" t="s">
        <v>439</v>
      </c>
      <c r="E373" s="349" t="s">
        <v>4603</v>
      </c>
      <c r="F373" s="413">
        <v>10857.0</v>
      </c>
      <c r="G373" s="349">
        <v>0.0</v>
      </c>
      <c r="H373" s="349" t="s">
        <v>4648</v>
      </c>
      <c r="I373" s="402"/>
      <c r="J373" s="402"/>
      <c r="K373" s="402"/>
      <c r="L373" s="402"/>
      <c r="M373" s="402"/>
      <c r="N373" s="402"/>
      <c r="O373" s="402"/>
      <c r="P373" s="402"/>
      <c r="Q373" s="402"/>
      <c r="R373" s="402"/>
      <c r="S373" s="402"/>
      <c r="T373" s="402"/>
      <c r="U373" s="402"/>
      <c r="V373" s="402"/>
      <c r="W373" s="402"/>
      <c r="X373" s="402"/>
      <c r="Y373" s="402"/>
      <c r="Z373" s="402"/>
      <c r="AA373" s="405"/>
      <c r="AB373" s="405"/>
    </row>
    <row r="374" ht="14.25" customHeight="1">
      <c r="A374" s="497">
        <v>45531.0</v>
      </c>
      <c r="B374" s="349" t="s">
        <v>4550</v>
      </c>
      <c r="C374" s="349" t="s">
        <v>4622</v>
      </c>
      <c r="D374" s="349" t="s">
        <v>439</v>
      </c>
      <c r="E374" s="349" t="s">
        <v>4564</v>
      </c>
      <c r="F374" s="413">
        <v>97020.0</v>
      </c>
      <c r="G374" s="349">
        <v>0.0</v>
      </c>
      <c r="H374" s="349" t="s">
        <v>4648</v>
      </c>
      <c r="I374" s="402"/>
      <c r="J374" s="402"/>
      <c r="K374" s="402"/>
      <c r="L374" s="402"/>
      <c r="M374" s="402"/>
      <c r="N374" s="402"/>
      <c r="O374" s="402"/>
      <c r="P374" s="402"/>
      <c r="Q374" s="402"/>
      <c r="R374" s="402"/>
      <c r="S374" s="402"/>
      <c r="T374" s="402"/>
      <c r="U374" s="402"/>
      <c r="V374" s="402"/>
      <c r="W374" s="402"/>
      <c r="X374" s="402"/>
      <c r="Y374" s="402"/>
      <c r="Z374" s="402"/>
      <c r="AA374" s="405"/>
      <c r="AB374" s="405"/>
    </row>
    <row r="375" ht="14.25" customHeight="1">
      <c r="A375" s="497">
        <v>45531.0</v>
      </c>
      <c r="B375" s="349" t="s">
        <v>4568</v>
      </c>
      <c r="C375" s="349" t="s">
        <v>4569</v>
      </c>
      <c r="D375" s="349" t="s">
        <v>439</v>
      </c>
      <c r="E375" s="349" t="s">
        <v>4552</v>
      </c>
      <c r="F375" s="413">
        <v>16026.0</v>
      </c>
      <c r="G375" s="349">
        <v>0.0</v>
      </c>
      <c r="H375" s="349" t="s">
        <v>4648</v>
      </c>
      <c r="I375" s="402"/>
      <c r="J375" s="402"/>
      <c r="K375" s="402"/>
      <c r="L375" s="402"/>
      <c r="M375" s="402"/>
      <c r="N375" s="402"/>
      <c r="O375" s="402"/>
      <c r="P375" s="402"/>
      <c r="Q375" s="402"/>
      <c r="R375" s="402"/>
      <c r="S375" s="402"/>
      <c r="T375" s="402"/>
      <c r="U375" s="402"/>
      <c r="V375" s="402"/>
      <c r="W375" s="402"/>
      <c r="X375" s="402"/>
      <c r="Y375" s="402"/>
      <c r="Z375" s="402"/>
      <c r="AA375" s="405"/>
      <c r="AB375" s="405"/>
    </row>
    <row r="376" ht="14.25" customHeight="1">
      <c r="A376" s="497">
        <v>45531.0</v>
      </c>
      <c r="B376" s="349" t="s">
        <v>4573</v>
      </c>
      <c r="C376" s="349" t="s">
        <v>4574</v>
      </c>
      <c r="D376" s="349" t="s">
        <v>439</v>
      </c>
      <c r="E376" s="349" t="s">
        <v>4558</v>
      </c>
      <c r="F376" s="413">
        <v>24481.0</v>
      </c>
      <c r="G376" s="349">
        <v>0.0</v>
      </c>
      <c r="H376" s="349" t="s">
        <v>4648</v>
      </c>
      <c r="I376" s="402"/>
      <c r="J376" s="402"/>
      <c r="K376" s="402"/>
      <c r="L376" s="402"/>
      <c r="M376" s="402"/>
      <c r="N376" s="402"/>
      <c r="O376" s="402"/>
      <c r="P376" s="402"/>
      <c r="Q376" s="402"/>
      <c r="R376" s="402"/>
      <c r="S376" s="402"/>
      <c r="T376" s="402"/>
      <c r="U376" s="402"/>
      <c r="V376" s="402"/>
      <c r="W376" s="402"/>
      <c r="X376" s="402"/>
      <c r="Y376" s="402"/>
      <c r="Z376" s="402"/>
      <c r="AA376" s="405"/>
      <c r="AB376" s="405"/>
    </row>
    <row r="377" ht="14.25" customHeight="1">
      <c r="A377" s="497">
        <v>45531.0</v>
      </c>
      <c r="B377" s="349" t="s">
        <v>4626</v>
      </c>
      <c r="C377" s="349" t="s">
        <v>4627</v>
      </c>
      <c r="D377" s="349" t="s">
        <v>439</v>
      </c>
      <c r="E377" s="349" t="s">
        <v>4564</v>
      </c>
      <c r="F377" s="413">
        <v>11262.0</v>
      </c>
      <c r="G377" s="349">
        <v>0.0</v>
      </c>
      <c r="H377" s="349" t="s">
        <v>4648</v>
      </c>
      <c r="I377" s="402"/>
      <c r="J377" s="402"/>
      <c r="K377" s="402"/>
      <c r="L377" s="402"/>
      <c r="M377" s="402"/>
      <c r="N377" s="402"/>
      <c r="O377" s="402"/>
      <c r="P377" s="402"/>
      <c r="Q377" s="402"/>
      <c r="R377" s="402"/>
      <c r="S377" s="402"/>
      <c r="T377" s="402"/>
      <c r="U377" s="402"/>
      <c r="V377" s="402"/>
      <c r="W377" s="402"/>
      <c r="X377" s="402"/>
      <c r="Y377" s="402"/>
      <c r="Z377" s="402"/>
      <c r="AA377" s="405"/>
      <c r="AB377" s="405"/>
    </row>
    <row r="378" ht="14.25" customHeight="1">
      <c r="A378" s="497">
        <v>45531.0</v>
      </c>
      <c r="B378" s="349" t="s">
        <v>4571</v>
      </c>
      <c r="C378" s="349" t="s">
        <v>4572</v>
      </c>
      <c r="D378" s="349" t="s">
        <v>439</v>
      </c>
      <c r="E378" s="349" t="s">
        <v>4603</v>
      </c>
      <c r="F378" s="413">
        <v>44818.0</v>
      </c>
      <c r="G378" s="349">
        <v>0.0</v>
      </c>
      <c r="H378" s="349" t="s">
        <v>4648</v>
      </c>
      <c r="I378" s="402"/>
      <c r="J378" s="402"/>
      <c r="K378" s="402"/>
      <c r="L378" s="402"/>
      <c r="M378" s="402"/>
      <c r="N378" s="402"/>
      <c r="O378" s="402"/>
      <c r="P378" s="402"/>
      <c r="Q378" s="402"/>
      <c r="R378" s="402"/>
      <c r="S378" s="402"/>
      <c r="T378" s="402"/>
      <c r="U378" s="402"/>
      <c r="V378" s="402"/>
      <c r="W378" s="402"/>
      <c r="X378" s="402"/>
      <c r="Y378" s="402"/>
      <c r="Z378" s="402"/>
      <c r="AA378" s="405"/>
      <c r="AB378" s="405"/>
    </row>
    <row r="379" ht="14.25" customHeight="1">
      <c r="A379" s="497">
        <v>45531.0</v>
      </c>
      <c r="B379" s="349" t="s">
        <v>4650</v>
      </c>
      <c r="C379" s="349" t="s">
        <v>4651</v>
      </c>
      <c r="D379" s="349" t="s">
        <v>3045</v>
      </c>
      <c r="E379" s="349" t="s">
        <v>4552</v>
      </c>
      <c r="F379" s="413">
        <v>46000.0</v>
      </c>
      <c r="G379" s="349">
        <v>0.0</v>
      </c>
      <c r="H379" s="349" t="s">
        <v>4648</v>
      </c>
      <c r="I379" s="402"/>
      <c r="J379" s="402"/>
      <c r="K379" s="402"/>
      <c r="L379" s="402"/>
      <c r="M379" s="402"/>
      <c r="N379" s="402"/>
      <c r="O379" s="402"/>
      <c r="P379" s="402"/>
      <c r="Q379" s="402"/>
      <c r="R379" s="402"/>
      <c r="S379" s="402"/>
      <c r="T379" s="402"/>
      <c r="U379" s="402"/>
      <c r="V379" s="402"/>
      <c r="W379" s="402"/>
      <c r="X379" s="402"/>
      <c r="Y379" s="402"/>
      <c r="Z379" s="402"/>
      <c r="AA379" s="405"/>
      <c r="AB379" s="405"/>
    </row>
    <row r="380" ht="14.25" customHeight="1">
      <c r="A380" s="584"/>
      <c r="B380" s="584"/>
      <c r="C380" s="584"/>
      <c r="D380" s="584"/>
      <c r="E380" s="424" t="s">
        <v>23</v>
      </c>
      <c r="F380" s="787">
        <v>386473.0</v>
      </c>
      <c r="G380" s="424">
        <v>10000.0</v>
      </c>
      <c r="H380" s="584"/>
      <c r="I380" s="584"/>
      <c r="J380" s="584"/>
      <c r="K380" s="584"/>
      <c r="L380" s="584"/>
      <c r="M380" s="584"/>
      <c r="N380" s="584"/>
      <c r="O380" s="584"/>
      <c r="P380" s="584"/>
      <c r="Q380" s="584"/>
      <c r="R380" s="584"/>
      <c r="S380" s="584"/>
      <c r="T380" s="584"/>
      <c r="U380" s="584"/>
      <c r="V380" s="584"/>
      <c r="W380" s="584"/>
      <c r="X380" s="584"/>
      <c r="Y380" s="584"/>
      <c r="Z380" s="584"/>
      <c r="AA380" s="659"/>
      <c r="AB380" s="659"/>
    </row>
    <row r="381" ht="14.25" customHeight="1">
      <c r="A381" s="402"/>
      <c r="B381" s="402"/>
      <c r="C381" s="402"/>
      <c r="D381" s="402"/>
      <c r="E381" s="402"/>
      <c r="F381" s="403"/>
      <c r="G381" s="402"/>
      <c r="H381" s="402"/>
      <c r="I381" s="402"/>
      <c r="J381" s="402"/>
      <c r="K381" s="402"/>
      <c r="L381" s="402"/>
      <c r="M381" s="402"/>
      <c r="N381" s="402"/>
      <c r="O381" s="402"/>
      <c r="P381" s="402"/>
      <c r="Q381" s="402"/>
      <c r="R381" s="402"/>
      <c r="S381" s="402"/>
      <c r="T381" s="402"/>
      <c r="U381" s="402"/>
      <c r="V381" s="402"/>
      <c r="W381" s="402"/>
      <c r="X381" s="402"/>
      <c r="Y381" s="402"/>
      <c r="Z381" s="402"/>
      <c r="AA381" s="405"/>
      <c r="AB381" s="405"/>
    </row>
    <row r="382" ht="14.25" customHeight="1">
      <c r="A382" s="402"/>
      <c r="B382" s="402"/>
      <c r="C382" s="402"/>
      <c r="D382" s="402"/>
      <c r="E382" s="402"/>
      <c r="F382" s="403"/>
      <c r="G382" s="402"/>
      <c r="H382" s="402"/>
      <c r="I382" s="402"/>
      <c r="J382" s="402"/>
      <c r="K382" s="402"/>
      <c r="L382" s="402"/>
      <c r="M382" s="402"/>
      <c r="N382" s="402"/>
      <c r="O382" s="402"/>
      <c r="P382" s="402"/>
      <c r="Q382" s="402"/>
      <c r="R382" s="402"/>
      <c r="S382" s="402"/>
      <c r="T382" s="402"/>
      <c r="U382" s="402"/>
      <c r="V382" s="402"/>
      <c r="W382" s="402"/>
      <c r="X382" s="402"/>
      <c r="Y382" s="402"/>
      <c r="Z382" s="402"/>
      <c r="AA382" s="405"/>
      <c r="AB382" s="405"/>
    </row>
    <row r="383" ht="14.25" customHeight="1">
      <c r="A383" s="497">
        <v>45532.0</v>
      </c>
      <c r="B383" s="414" t="s">
        <v>4577</v>
      </c>
      <c r="C383" s="415" t="s">
        <v>4578</v>
      </c>
      <c r="D383" s="415" t="s">
        <v>439</v>
      </c>
      <c r="E383" s="415" t="s">
        <v>4603</v>
      </c>
      <c r="F383" s="413">
        <v>180810.0</v>
      </c>
      <c r="G383" s="349">
        <v>0.0</v>
      </c>
      <c r="H383" s="402"/>
      <c r="I383" s="402"/>
      <c r="J383" s="402"/>
      <c r="K383" s="402"/>
      <c r="L383" s="402"/>
      <c r="M383" s="402"/>
      <c r="N383" s="402"/>
      <c r="O383" s="402"/>
      <c r="P383" s="402"/>
      <c r="Q383" s="402"/>
      <c r="R383" s="402"/>
      <c r="S383" s="402"/>
      <c r="T383" s="402"/>
      <c r="U383" s="402"/>
      <c r="V383" s="402"/>
      <c r="W383" s="402"/>
      <c r="X383" s="402"/>
      <c r="Y383" s="402"/>
      <c r="Z383" s="402"/>
      <c r="AA383" s="405"/>
      <c r="AB383" s="405"/>
    </row>
    <row r="384" ht="14.25" customHeight="1">
      <c r="A384" s="497">
        <v>45532.0</v>
      </c>
      <c r="B384" s="349" t="s">
        <v>4587</v>
      </c>
      <c r="C384" s="349" t="s">
        <v>4652</v>
      </c>
      <c r="D384" s="349" t="s">
        <v>439</v>
      </c>
      <c r="E384" s="349" t="s">
        <v>4586</v>
      </c>
      <c r="F384" s="413">
        <v>13631.0</v>
      </c>
      <c r="G384" s="349">
        <v>0.0</v>
      </c>
      <c r="H384" s="402"/>
      <c r="I384" s="402"/>
      <c r="J384" s="402"/>
      <c r="K384" s="402"/>
      <c r="L384" s="402"/>
      <c r="M384" s="402"/>
      <c r="N384" s="402"/>
      <c r="O384" s="402"/>
      <c r="P384" s="402"/>
      <c r="Q384" s="402"/>
      <c r="R384" s="402"/>
      <c r="S384" s="402"/>
      <c r="T384" s="402"/>
      <c r="U384" s="402"/>
      <c r="V384" s="402"/>
      <c r="W384" s="402"/>
      <c r="X384" s="402"/>
      <c r="Y384" s="402"/>
      <c r="Z384" s="402"/>
      <c r="AA384" s="405"/>
      <c r="AB384" s="405"/>
    </row>
    <row r="385" ht="14.25" customHeight="1">
      <c r="A385" s="497">
        <v>45532.0</v>
      </c>
      <c r="B385" s="414" t="s">
        <v>4575</v>
      </c>
      <c r="C385" s="415" t="s">
        <v>4576</v>
      </c>
      <c r="D385" s="415" t="s">
        <v>439</v>
      </c>
      <c r="E385" s="415" t="s">
        <v>4558</v>
      </c>
      <c r="F385" s="413">
        <v>24062.0</v>
      </c>
      <c r="G385" s="349">
        <v>0.0</v>
      </c>
      <c r="H385" s="402"/>
      <c r="I385" s="402"/>
      <c r="J385" s="402"/>
      <c r="K385" s="402"/>
      <c r="L385" s="402"/>
      <c r="M385" s="402"/>
      <c r="N385" s="402"/>
      <c r="O385" s="402"/>
      <c r="P385" s="402"/>
      <c r="Q385" s="402"/>
      <c r="R385" s="402"/>
      <c r="S385" s="402"/>
      <c r="T385" s="402"/>
      <c r="U385" s="402"/>
      <c r="V385" s="402"/>
      <c r="W385" s="402"/>
      <c r="X385" s="402"/>
      <c r="Y385" s="402"/>
      <c r="Z385" s="402"/>
      <c r="AA385" s="405"/>
      <c r="AB385" s="405"/>
    </row>
    <row r="386" ht="14.25" customHeight="1">
      <c r="A386" s="497">
        <v>45532.0</v>
      </c>
      <c r="B386" s="419" t="s">
        <v>4590</v>
      </c>
      <c r="C386" s="420" t="s">
        <v>4591</v>
      </c>
      <c r="D386" s="420" t="s">
        <v>439</v>
      </c>
      <c r="E386" s="420" t="s">
        <v>4603</v>
      </c>
      <c r="F386" s="413">
        <v>4680.0</v>
      </c>
      <c r="G386" s="349">
        <v>0.0</v>
      </c>
      <c r="H386" s="402"/>
      <c r="I386" s="402"/>
      <c r="J386" s="402"/>
      <c r="K386" s="402"/>
      <c r="L386" s="402"/>
      <c r="M386" s="402"/>
      <c r="N386" s="402"/>
      <c r="O386" s="402"/>
      <c r="P386" s="402"/>
      <c r="Q386" s="402"/>
      <c r="R386" s="402"/>
      <c r="S386" s="402"/>
      <c r="T386" s="402"/>
      <c r="U386" s="402"/>
      <c r="V386" s="402"/>
      <c r="W386" s="402"/>
      <c r="X386" s="402"/>
      <c r="Y386" s="402"/>
      <c r="Z386" s="402"/>
      <c r="AA386" s="405"/>
      <c r="AB386" s="405"/>
    </row>
    <row r="387" ht="14.25" customHeight="1">
      <c r="A387" s="497">
        <v>45532.0</v>
      </c>
      <c r="B387" s="349" t="s">
        <v>4619</v>
      </c>
      <c r="C387" s="349" t="s">
        <v>4620</v>
      </c>
      <c r="D387" s="349" t="s">
        <v>439</v>
      </c>
      <c r="E387" s="349" t="s">
        <v>4603</v>
      </c>
      <c r="F387" s="413">
        <v>10857.0</v>
      </c>
      <c r="G387" s="349">
        <v>0.0</v>
      </c>
      <c r="H387" s="402"/>
      <c r="I387" s="402"/>
      <c r="J387" s="402"/>
      <c r="K387" s="402"/>
      <c r="L387" s="402"/>
      <c r="M387" s="402"/>
      <c r="N387" s="402"/>
      <c r="O387" s="402"/>
      <c r="P387" s="402"/>
      <c r="Q387" s="402"/>
      <c r="R387" s="402"/>
      <c r="S387" s="402"/>
      <c r="T387" s="402"/>
      <c r="U387" s="402"/>
      <c r="V387" s="402"/>
      <c r="W387" s="402"/>
      <c r="X387" s="402"/>
      <c r="Y387" s="402"/>
      <c r="Z387" s="402"/>
      <c r="AA387" s="405"/>
      <c r="AB387" s="405"/>
    </row>
    <row r="388" ht="14.25" customHeight="1">
      <c r="A388" s="497">
        <v>45532.0</v>
      </c>
      <c r="B388" s="349" t="s">
        <v>4550</v>
      </c>
      <c r="C388" s="349" t="s">
        <v>4622</v>
      </c>
      <c r="D388" s="349" t="s">
        <v>439</v>
      </c>
      <c r="E388" s="349" t="s">
        <v>4564</v>
      </c>
      <c r="F388" s="413">
        <v>97020.0</v>
      </c>
      <c r="G388" s="349">
        <v>0.0</v>
      </c>
      <c r="H388" s="402"/>
      <c r="I388" s="402"/>
      <c r="J388" s="402"/>
      <c r="K388" s="402"/>
      <c r="L388" s="402"/>
      <c r="M388" s="402"/>
      <c r="N388" s="402"/>
      <c r="O388" s="402"/>
      <c r="P388" s="402"/>
      <c r="Q388" s="402"/>
      <c r="R388" s="402"/>
      <c r="S388" s="402"/>
      <c r="T388" s="402"/>
      <c r="U388" s="402"/>
      <c r="V388" s="402"/>
      <c r="W388" s="402"/>
      <c r="X388" s="402"/>
      <c r="Y388" s="402"/>
      <c r="Z388" s="402"/>
      <c r="AA388" s="405"/>
      <c r="AB388" s="405"/>
    </row>
    <row r="389" ht="14.25" customHeight="1">
      <c r="A389" s="497">
        <v>45532.0</v>
      </c>
      <c r="B389" s="349" t="s">
        <v>4568</v>
      </c>
      <c r="C389" s="349" t="s">
        <v>4569</v>
      </c>
      <c r="D389" s="349" t="s">
        <v>439</v>
      </c>
      <c r="E389" s="349" t="s">
        <v>4552</v>
      </c>
      <c r="F389" s="413">
        <v>16026.0</v>
      </c>
      <c r="G389" s="349">
        <v>0.0</v>
      </c>
      <c r="H389" s="402"/>
      <c r="I389" s="402"/>
      <c r="J389" s="402"/>
      <c r="K389" s="402"/>
      <c r="L389" s="402"/>
      <c r="M389" s="402"/>
      <c r="N389" s="402"/>
      <c r="O389" s="402"/>
      <c r="P389" s="402"/>
      <c r="Q389" s="402"/>
      <c r="R389" s="402"/>
      <c r="S389" s="402"/>
      <c r="T389" s="402"/>
      <c r="U389" s="402"/>
      <c r="V389" s="402"/>
      <c r="W389" s="402"/>
      <c r="X389" s="402"/>
      <c r="Y389" s="402"/>
      <c r="Z389" s="402"/>
      <c r="AA389" s="405"/>
      <c r="AB389" s="405"/>
    </row>
    <row r="390" ht="14.25" customHeight="1">
      <c r="A390" s="497">
        <v>45532.0</v>
      </c>
      <c r="B390" s="349" t="s">
        <v>4573</v>
      </c>
      <c r="C390" s="349" t="s">
        <v>4574</v>
      </c>
      <c r="D390" s="349" t="s">
        <v>439</v>
      </c>
      <c r="E390" s="349" t="s">
        <v>4558</v>
      </c>
      <c r="F390" s="413">
        <v>24481.0</v>
      </c>
      <c r="G390" s="349">
        <v>0.0</v>
      </c>
      <c r="H390" s="402"/>
      <c r="I390" s="402"/>
      <c r="J390" s="402"/>
      <c r="K390" s="402"/>
      <c r="L390" s="402"/>
      <c r="M390" s="402"/>
      <c r="N390" s="402"/>
      <c r="O390" s="402"/>
      <c r="P390" s="402"/>
      <c r="Q390" s="402"/>
      <c r="R390" s="402"/>
      <c r="S390" s="402"/>
      <c r="T390" s="402"/>
      <c r="U390" s="402"/>
      <c r="V390" s="402"/>
      <c r="W390" s="402"/>
      <c r="X390" s="402"/>
      <c r="Y390" s="402"/>
      <c r="Z390" s="402"/>
      <c r="AA390" s="405"/>
      <c r="AB390" s="405"/>
    </row>
    <row r="391" ht="14.25" customHeight="1">
      <c r="A391" s="497">
        <v>45532.0</v>
      </c>
      <c r="B391" s="349" t="s">
        <v>4626</v>
      </c>
      <c r="C391" s="349" t="s">
        <v>4627</v>
      </c>
      <c r="D391" s="349" t="s">
        <v>439</v>
      </c>
      <c r="E391" s="349" t="s">
        <v>4564</v>
      </c>
      <c r="F391" s="413">
        <v>11262.0</v>
      </c>
      <c r="G391" s="349">
        <v>0.0</v>
      </c>
      <c r="H391" s="402"/>
      <c r="I391" s="402"/>
      <c r="J391" s="402"/>
      <c r="K391" s="402"/>
      <c r="L391" s="402"/>
      <c r="M391" s="402"/>
      <c r="N391" s="402"/>
      <c r="O391" s="402"/>
      <c r="P391" s="402"/>
      <c r="Q391" s="402"/>
      <c r="R391" s="402"/>
      <c r="S391" s="402"/>
      <c r="T391" s="402"/>
      <c r="U391" s="402"/>
      <c r="V391" s="402"/>
      <c r="W391" s="402"/>
      <c r="X391" s="402"/>
      <c r="Y391" s="402"/>
      <c r="Z391" s="402"/>
      <c r="AA391" s="405"/>
      <c r="AB391" s="405"/>
    </row>
    <row r="392" ht="14.25" customHeight="1">
      <c r="A392" s="497">
        <v>45532.0</v>
      </c>
      <c r="B392" s="349" t="s">
        <v>4571</v>
      </c>
      <c r="C392" s="349" t="s">
        <v>4572</v>
      </c>
      <c r="D392" s="349" t="s">
        <v>439</v>
      </c>
      <c r="E392" s="349" t="s">
        <v>4603</v>
      </c>
      <c r="F392" s="413">
        <v>44818.0</v>
      </c>
      <c r="G392" s="349">
        <v>0.0</v>
      </c>
      <c r="H392" s="402"/>
      <c r="I392" s="402"/>
      <c r="J392" s="402"/>
      <c r="K392" s="402"/>
      <c r="L392" s="402"/>
      <c r="M392" s="402"/>
      <c r="N392" s="402"/>
      <c r="O392" s="402"/>
      <c r="P392" s="402"/>
      <c r="Q392" s="402"/>
      <c r="R392" s="402"/>
      <c r="S392" s="402"/>
      <c r="T392" s="402"/>
      <c r="U392" s="402"/>
      <c r="V392" s="402"/>
      <c r="W392" s="402"/>
      <c r="X392" s="402"/>
      <c r="Y392" s="402"/>
      <c r="Z392" s="402"/>
      <c r="AA392" s="405"/>
      <c r="AB392" s="405"/>
    </row>
    <row r="393" ht="14.25" customHeight="1">
      <c r="A393" s="853">
        <v>45532.0</v>
      </c>
      <c r="B393" s="349" t="s">
        <v>4650</v>
      </c>
      <c r="C393" s="349" t="s">
        <v>4651</v>
      </c>
      <c r="D393" s="349" t="s">
        <v>3045</v>
      </c>
      <c r="E393" s="349" t="s">
        <v>4552</v>
      </c>
      <c r="F393" s="413">
        <v>46000.0</v>
      </c>
      <c r="G393" s="349">
        <v>0.0</v>
      </c>
      <c r="H393" s="402"/>
      <c r="I393" s="402"/>
      <c r="J393" s="402"/>
      <c r="K393" s="402"/>
      <c r="L393" s="402"/>
      <c r="M393" s="402"/>
      <c r="N393" s="402"/>
      <c r="O393" s="402"/>
      <c r="P393" s="402"/>
      <c r="Q393" s="402"/>
      <c r="R393" s="402"/>
      <c r="S393" s="402"/>
      <c r="T393" s="402"/>
      <c r="U393" s="402"/>
      <c r="V393" s="402"/>
      <c r="W393" s="402"/>
      <c r="X393" s="402"/>
      <c r="Y393" s="402"/>
      <c r="Z393" s="402"/>
      <c r="AA393" s="405"/>
      <c r="AB393" s="405"/>
    </row>
    <row r="394" ht="14.25" customHeight="1">
      <c r="A394" s="497">
        <v>45532.0</v>
      </c>
      <c r="B394" s="349" t="s">
        <v>4659</v>
      </c>
      <c r="C394" s="349" t="s">
        <v>4569</v>
      </c>
      <c r="D394" s="349" t="s">
        <v>439</v>
      </c>
      <c r="E394" s="349" t="s">
        <v>4552</v>
      </c>
      <c r="F394" s="413">
        <v>79540.0</v>
      </c>
      <c r="G394" s="349">
        <v>0.0</v>
      </c>
      <c r="H394" s="402"/>
      <c r="I394" s="402"/>
      <c r="J394" s="402"/>
      <c r="K394" s="402"/>
      <c r="L394" s="402"/>
      <c r="M394" s="402"/>
      <c r="N394" s="402"/>
      <c r="O394" s="402"/>
      <c r="P394" s="402"/>
      <c r="Q394" s="402"/>
      <c r="R394" s="402"/>
      <c r="S394" s="402"/>
      <c r="T394" s="402"/>
      <c r="U394" s="402"/>
      <c r="V394" s="402"/>
      <c r="W394" s="402"/>
      <c r="X394" s="402"/>
      <c r="Y394" s="402"/>
      <c r="Z394" s="402"/>
      <c r="AA394" s="405"/>
      <c r="AB394" s="405"/>
    </row>
    <row r="395" ht="14.25" customHeight="1">
      <c r="A395" s="584"/>
      <c r="B395" s="584"/>
      <c r="C395" s="584"/>
      <c r="D395" s="584"/>
      <c r="E395" s="424" t="s">
        <v>23</v>
      </c>
      <c r="F395" s="787">
        <v>553187.0</v>
      </c>
      <c r="G395" s="424">
        <v>0.0</v>
      </c>
      <c r="H395" s="584"/>
      <c r="I395" s="584"/>
      <c r="J395" s="584"/>
      <c r="K395" s="584"/>
      <c r="L395" s="584"/>
      <c r="M395" s="584"/>
      <c r="N395" s="584"/>
      <c r="O395" s="584"/>
      <c r="P395" s="584"/>
      <c r="Q395" s="584"/>
      <c r="R395" s="584"/>
      <c r="S395" s="584"/>
      <c r="T395" s="584"/>
      <c r="U395" s="584"/>
      <c r="V395" s="584"/>
      <c r="W395" s="584"/>
      <c r="X395" s="584"/>
      <c r="Y395" s="584"/>
      <c r="Z395" s="584"/>
      <c r="AA395" s="659"/>
      <c r="AB395" s="659"/>
    </row>
    <row r="396" ht="14.25" customHeight="1">
      <c r="A396" s="402"/>
      <c r="B396" s="402"/>
      <c r="C396" s="402"/>
      <c r="D396" s="402"/>
      <c r="E396" s="402"/>
      <c r="F396" s="403"/>
      <c r="G396" s="402"/>
      <c r="H396" s="402"/>
      <c r="I396" s="402"/>
      <c r="J396" s="402"/>
      <c r="K396" s="402"/>
      <c r="L396" s="402"/>
      <c r="M396" s="402"/>
      <c r="N396" s="402"/>
      <c r="O396" s="402"/>
      <c r="P396" s="402"/>
      <c r="Q396" s="402"/>
      <c r="R396" s="402"/>
      <c r="S396" s="402"/>
      <c r="T396" s="402"/>
      <c r="U396" s="402"/>
      <c r="V396" s="402"/>
      <c r="W396" s="402"/>
      <c r="X396" s="402"/>
      <c r="Y396" s="402"/>
      <c r="Z396" s="402"/>
      <c r="AA396" s="405"/>
      <c r="AB396" s="405"/>
    </row>
    <row r="397" ht="14.25" customHeight="1">
      <c r="A397" s="402"/>
      <c r="B397" s="402"/>
      <c r="C397" s="402"/>
      <c r="D397" s="402"/>
      <c r="E397" s="402"/>
      <c r="F397" s="403"/>
      <c r="G397" s="402"/>
      <c r="H397" s="402"/>
      <c r="I397" s="402"/>
      <c r="J397" s="402"/>
      <c r="K397" s="402"/>
      <c r="L397" s="402"/>
      <c r="M397" s="402"/>
      <c r="N397" s="402"/>
      <c r="O397" s="402"/>
      <c r="P397" s="402"/>
      <c r="Q397" s="402"/>
      <c r="R397" s="402"/>
      <c r="S397" s="402"/>
      <c r="T397" s="402"/>
      <c r="U397" s="402"/>
      <c r="V397" s="402"/>
      <c r="W397" s="402"/>
      <c r="X397" s="402"/>
      <c r="Y397" s="402"/>
      <c r="Z397" s="402"/>
      <c r="AA397" s="405"/>
      <c r="AB397" s="405"/>
    </row>
    <row r="398" ht="14.25" customHeight="1">
      <c r="A398" s="497">
        <v>45533.0</v>
      </c>
      <c r="B398" s="414" t="s">
        <v>4577</v>
      </c>
      <c r="C398" s="415" t="s">
        <v>4578</v>
      </c>
      <c r="D398" s="415" t="s">
        <v>439</v>
      </c>
      <c r="E398" s="415" t="s">
        <v>4603</v>
      </c>
      <c r="F398" s="413">
        <v>180810.0</v>
      </c>
      <c r="G398" s="683">
        <v>0.0</v>
      </c>
      <c r="H398" s="349"/>
      <c r="I398" s="402"/>
      <c r="J398" s="402"/>
      <c r="K398" s="402"/>
      <c r="L398" s="402"/>
      <c r="M398" s="402"/>
      <c r="N398" s="402"/>
      <c r="O398" s="402"/>
      <c r="P398" s="402"/>
      <c r="Q398" s="402"/>
      <c r="R398" s="402"/>
      <c r="S398" s="402"/>
      <c r="T398" s="402"/>
      <c r="U398" s="402"/>
      <c r="V398" s="402"/>
      <c r="W398" s="402"/>
      <c r="X398" s="402"/>
      <c r="Y398" s="402"/>
      <c r="Z398" s="402"/>
      <c r="AA398" s="405"/>
      <c r="AB398" s="405"/>
    </row>
    <row r="399" ht="14.25" customHeight="1">
      <c r="A399" s="349" t="s">
        <v>4660</v>
      </c>
      <c r="B399" s="349" t="s">
        <v>4587</v>
      </c>
      <c r="C399" s="349" t="s">
        <v>4652</v>
      </c>
      <c r="D399" s="349" t="s">
        <v>439</v>
      </c>
      <c r="E399" s="349" t="s">
        <v>4586</v>
      </c>
      <c r="F399" s="413">
        <v>13631.0</v>
      </c>
      <c r="G399" s="349">
        <v>0.0</v>
      </c>
      <c r="H399" s="402"/>
      <c r="I399" s="402"/>
      <c r="J399" s="402"/>
      <c r="K399" s="402"/>
      <c r="L399" s="402"/>
      <c r="M399" s="402"/>
      <c r="N399" s="402"/>
      <c r="O399" s="402"/>
      <c r="P399" s="402"/>
      <c r="Q399" s="402"/>
      <c r="R399" s="402"/>
      <c r="S399" s="402"/>
      <c r="T399" s="402"/>
      <c r="U399" s="402"/>
      <c r="V399" s="402"/>
      <c r="W399" s="402"/>
      <c r="X399" s="402"/>
      <c r="Y399" s="402"/>
      <c r="Z399" s="402"/>
      <c r="AA399" s="405"/>
      <c r="AB399" s="405"/>
    </row>
    <row r="400" ht="14.25" customHeight="1">
      <c r="A400" s="497">
        <v>45533.0</v>
      </c>
      <c r="B400" s="414" t="s">
        <v>4575</v>
      </c>
      <c r="C400" s="415" t="s">
        <v>4576</v>
      </c>
      <c r="D400" s="415" t="s">
        <v>439</v>
      </c>
      <c r="E400" s="415" t="s">
        <v>4558</v>
      </c>
      <c r="F400" s="413">
        <v>24062.0</v>
      </c>
      <c r="G400" s="349">
        <v>0.0</v>
      </c>
      <c r="H400" s="402"/>
      <c r="I400" s="402"/>
      <c r="J400" s="402"/>
      <c r="K400" s="402"/>
      <c r="L400" s="402"/>
      <c r="M400" s="402"/>
      <c r="N400" s="402"/>
      <c r="O400" s="402"/>
      <c r="P400" s="402"/>
      <c r="Q400" s="402"/>
      <c r="R400" s="402"/>
      <c r="S400" s="402"/>
      <c r="T400" s="402"/>
      <c r="U400" s="402"/>
      <c r="V400" s="402"/>
      <c r="W400" s="402"/>
      <c r="X400" s="402"/>
      <c r="Y400" s="402"/>
      <c r="Z400" s="402"/>
      <c r="AA400" s="405"/>
      <c r="AB400" s="405"/>
    </row>
    <row r="401" ht="14.25" customHeight="1">
      <c r="A401" s="497">
        <v>45533.0</v>
      </c>
      <c r="B401" s="419" t="s">
        <v>4590</v>
      </c>
      <c r="C401" s="420" t="s">
        <v>4591</v>
      </c>
      <c r="D401" s="420" t="s">
        <v>439</v>
      </c>
      <c r="E401" s="420" t="s">
        <v>4603</v>
      </c>
      <c r="F401" s="413">
        <v>4680.0</v>
      </c>
      <c r="G401" s="349">
        <v>0.0</v>
      </c>
      <c r="H401" s="402"/>
      <c r="I401" s="402"/>
      <c r="J401" s="402"/>
      <c r="K401" s="402"/>
      <c r="L401" s="402"/>
      <c r="M401" s="402"/>
      <c r="N401" s="402"/>
      <c r="O401" s="402"/>
      <c r="P401" s="402"/>
      <c r="Q401" s="402"/>
      <c r="R401" s="402"/>
      <c r="S401" s="402"/>
      <c r="T401" s="402"/>
      <c r="U401" s="402"/>
      <c r="V401" s="402"/>
      <c r="W401" s="402"/>
      <c r="X401" s="402"/>
      <c r="Y401" s="402"/>
      <c r="Z401" s="402"/>
      <c r="AA401" s="405"/>
      <c r="AB401" s="405"/>
    </row>
    <row r="402" ht="14.25" customHeight="1">
      <c r="A402" s="497">
        <v>45533.0</v>
      </c>
      <c r="B402" s="349" t="s">
        <v>4619</v>
      </c>
      <c r="C402" s="349" t="s">
        <v>4620</v>
      </c>
      <c r="D402" s="349" t="s">
        <v>439</v>
      </c>
      <c r="E402" s="349" t="s">
        <v>4603</v>
      </c>
      <c r="F402" s="413">
        <v>10857.0</v>
      </c>
      <c r="G402" s="349">
        <v>0.0</v>
      </c>
      <c r="H402" s="402"/>
      <c r="I402" s="402"/>
      <c r="J402" s="402"/>
      <c r="K402" s="402"/>
      <c r="L402" s="402"/>
      <c r="M402" s="402"/>
      <c r="N402" s="402"/>
      <c r="O402" s="402"/>
      <c r="P402" s="402"/>
      <c r="Q402" s="402"/>
      <c r="R402" s="402"/>
      <c r="S402" s="402"/>
      <c r="T402" s="402"/>
      <c r="U402" s="402"/>
      <c r="V402" s="402"/>
      <c r="W402" s="402"/>
      <c r="X402" s="402"/>
      <c r="Y402" s="402"/>
      <c r="Z402" s="402"/>
      <c r="AA402" s="405"/>
      <c r="AB402" s="405"/>
    </row>
    <row r="403" ht="14.25" customHeight="1">
      <c r="A403" s="497">
        <v>45533.0</v>
      </c>
      <c r="B403" s="349" t="s">
        <v>4550</v>
      </c>
      <c r="C403" s="349" t="s">
        <v>4622</v>
      </c>
      <c r="D403" s="349" t="s">
        <v>439</v>
      </c>
      <c r="E403" s="349" t="s">
        <v>4564</v>
      </c>
      <c r="F403" s="413">
        <v>97020.0</v>
      </c>
      <c r="G403" s="349">
        <v>0.0</v>
      </c>
      <c r="H403" s="402"/>
      <c r="I403" s="402"/>
      <c r="J403" s="402"/>
      <c r="K403" s="402"/>
      <c r="L403" s="402"/>
      <c r="M403" s="402"/>
      <c r="N403" s="402"/>
      <c r="O403" s="402"/>
      <c r="P403" s="402"/>
      <c r="Q403" s="402"/>
      <c r="R403" s="402"/>
      <c r="S403" s="402"/>
      <c r="T403" s="402"/>
      <c r="U403" s="402"/>
      <c r="V403" s="402"/>
      <c r="W403" s="402"/>
      <c r="X403" s="402"/>
      <c r="Y403" s="402"/>
      <c r="Z403" s="402"/>
      <c r="AA403" s="405"/>
      <c r="AB403" s="405"/>
    </row>
    <row r="404" ht="14.25" customHeight="1">
      <c r="A404" s="497">
        <v>45533.0</v>
      </c>
      <c r="B404" s="349" t="s">
        <v>4568</v>
      </c>
      <c r="C404" s="349" t="s">
        <v>4569</v>
      </c>
      <c r="D404" s="349" t="s">
        <v>439</v>
      </c>
      <c r="E404" s="349" t="s">
        <v>4552</v>
      </c>
      <c r="F404" s="413">
        <v>16026.0</v>
      </c>
      <c r="G404" s="349">
        <v>0.0</v>
      </c>
      <c r="H404" s="402"/>
      <c r="I404" s="402"/>
      <c r="J404" s="402"/>
      <c r="K404" s="402"/>
      <c r="L404" s="402"/>
      <c r="M404" s="402"/>
      <c r="N404" s="402"/>
      <c r="O404" s="402"/>
      <c r="P404" s="402"/>
      <c r="Q404" s="402"/>
      <c r="R404" s="402"/>
      <c r="S404" s="402"/>
      <c r="T404" s="402"/>
      <c r="U404" s="402"/>
      <c r="V404" s="402"/>
      <c r="W404" s="402"/>
      <c r="X404" s="402"/>
      <c r="Y404" s="402"/>
      <c r="Z404" s="402"/>
      <c r="AA404" s="405"/>
      <c r="AB404" s="405"/>
    </row>
    <row r="405" ht="14.25" customHeight="1">
      <c r="A405" s="497">
        <v>45533.0</v>
      </c>
      <c r="B405" s="349" t="s">
        <v>4573</v>
      </c>
      <c r="C405" s="349" t="s">
        <v>4574</v>
      </c>
      <c r="D405" s="349" t="s">
        <v>439</v>
      </c>
      <c r="E405" s="349" t="s">
        <v>4558</v>
      </c>
      <c r="F405" s="413">
        <v>24481.0</v>
      </c>
      <c r="G405" s="349">
        <v>0.0</v>
      </c>
      <c r="H405" s="402"/>
      <c r="I405" s="402"/>
      <c r="J405" s="402"/>
      <c r="K405" s="402"/>
      <c r="L405" s="402"/>
      <c r="M405" s="402"/>
      <c r="N405" s="402"/>
      <c r="O405" s="402"/>
      <c r="P405" s="402"/>
      <c r="Q405" s="402"/>
      <c r="R405" s="402"/>
      <c r="S405" s="402"/>
      <c r="T405" s="402"/>
      <c r="U405" s="402"/>
      <c r="V405" s="402"/>
      <c r="W405" s="402"/>
      <c r="X405" s="402"/>
      <c r="Y405" s="402"/>
      <c r="Z405" s="402"/>
      <c r="AA405" s="405"/>
      <c r="AB405" s="405"/>
    </row>
    <row r="406" ht="14.25" customHeight="1">
      <c r="A406" s="497">
        <v>45533.0</v>
      </c>
      <c r="B406" s="349" t="s">
        <v>4626</v>
      </c>
      <c r="C406" s="349" t="s">
        <v>4627</v>
      </c>
      <c r="D406" s="349" t="s">
        <v>439</v>
      </c>
      <c r="E406" s="349" t="s">
        <v>4564</v>
      </c>
      <c r="F406" s="413">
        <v>11262.0</v>
      </c>
      <c r="G406" s="349">
        <v>0.0</v>
      </c>
      <c r="H406" s="402"/>
      <c r="I406" s="402"/>
      <c r="J406" s="402"/>
      <c r="K406" s="402"/>
      <c r="L406" s="402"/>
      <c r="M406" s="402"/>
      <c r="N406" s="402"/>
      <c r="O406" s="402"/>
      <c r="P406" s="402"/>
      <c r="Q406" s="402"/>
      <c r="R406" s="402"/>
      <c r="S406" s="402"/>
      <c r="T406" s="402"/>
      <c r="U406" s="402"/>
      <c r="V406" s="402"/>
      <c r="W406" s="402"/>
      <c r="X406" s="402"/>
      <c r="Y406" s="402"/>
      <c r="Z406" s="402"/>
      <c r="AA406" s="405"/>
      <c r="AB406" s="405"/>
    </row>
    <row r="407" ht="14.25" customHeight="1">
      <c r="A407" s="497">
        <v>45533.0</v>
      </c>
      <c r="B407" s="349" t="s">
        <v>4571</v>
      </c>
      <c r="C407" s="349" t="s">
        <v>4572</v>
      </c>
      <c r="D407" s="349" t="s">
        <v>439</v>
      </c>
      <c r="E407" s="349" t="s">
        <v>4603</v>
      </c>
      <c r="F407" s="413">
        <v>44818.0</v>
      </c>
      <c r="G407" s="349">
        <v>0.0</v>
      </c>
      <c r="H407" s="402"/>
      <c r="I407" s="402"/>
      <c r="J407" s="402"/>
      <c r="K407" s="402"/>
      <c r="L407" s="402"/>
      <c r="M407" s="402"/>
      <c r="N407" s="402"/>
      <c r="O407" s="402"/>
      <c r="P407" s="402"/>
      <c r="Q407" s="402"/>
      <c r="R407" s="402"/>
      <c r="S407" s="402"/>
      <c r="T407" s="402"/>
      <c r="U407" s="402"/>
      <c r="V407" s="402"/>
      <c r="W407" s="402"/>
      <c r="X407" s="402"/>
      <c r="Y407" s="402"/>
      <c r="Z407" s="402"/>
      <c r="AA407" s="405"/>
      <c r="AB407" s="405"/>
    </row>
    <row r="408" ht="14.25" customHeight="1">
      <c r="A408" s="497">
        <v>45533.0</v>
      </c>
      <c r="B408" s="349" t="s">
        <v>4650</v>
      </c>
      <c r="C408" s="349" t="s">
        <v>4651</v>
      </c>
      <c r="D408" s="349" t="s">
        <v>3045</v>
      </c>
      <c r="E408" s="349" t="s">
        <v>4552</v>
      </c>
      <c r="F408" s="413">
        <v>46000.0</v>
      </c>
      <c r="G408" s="349">
        <v>0.0</v>
      </c>
      <c r="H408" s="402"/>
      <c r="I408" s="402"/>
      <c r="J408" s="402"/>
      <c r="K408" s="402"/>
      <c r="L408" s="402"/>
      <c r="M408" s="402"/>
      <c r="N408" s="402"/>
      <c r="O408" s="402"/>
      <c r="P408" s="402"/>
      <c r="Q408" s="402"/>
      <c r="R408" s="402"/>
      <c r="S408" s="402"/>
      <c r="T408" s="402"/>
      <c r="U408" s="402"/>
      <c r="V408" s="402"/>
      <c r="W408" s="402"/>
      <c r="X408" s="402"/>
      <c r="Y408" s="402"/>
      <c r="Z408" s="402"/>
      <c r="AA408" s="405"/>
      <c r="AB408" s="405"/>
    </row>
    <row r="409" ht="14.25" customHeight="1">
      <c r="A409" s="497">
        <v>45533.0</v>
      </c>
      <c r="B409" s="349" t="s">
        <v>4659</v>
      </c>
      <c r="C409" s="349" t="s">
        <v>4569</v>
      </c>
      <c r="D409" s="349" t="s">
        <v>439</v>
      </c>
      <c r="E409" s="349" t="s">
        <v>4552</v>
      </c>
      <c r="F409" s="413">
        <v>79540.0</v>
      </c>
      <c r="G409" s="349">
        <v>0.0</v>
      </c>
      <c r="H409" s="402"/>
      <c r="I409" s="402"/>
      <c r="J409" s="402"/>
      <c r="K409" s="402"/>
      <c r="L409" s="402"/>
      <c r="M409" s="402"/>
      <c r="N409" s="402"/>
      <c r="O409" s="402"/>
      <c r="P409" s="402"/>
      <c r="Q409" s="402"/>
      <c r="R409" s="402"/>
      <c r="S409" s="402"/>
      <c r="T409" s="402"/>
      <c r="U409" s="402"/>
      <c r="V409" s="402"/>
      <c r="W409" s="402"/>
      <c r="X409" s="402"/>
      <c r="Y409" s="402"/>
      <c r="Z409" s="402"/>
      <c r="AA409" s="405"/>
      <c r="AB409" s="405"/>
    </row>
    <row r="410" ht="14.25" customHeight="1">
      <c r="A410" s="402"/>
      <c r="B410" s="584"/>
      <c r="C410" s="584"/>
      <c r="D410" s="584"/>
      <c r="E410" s="424" t="s">
        <v>23</v>
      </c>
      <c r="F410" s="787">
        <v>553187.0</v>
      </c>
      <c r="G410" s="349">
        <v>0.0</v>
      </c>
      <c r="H410" s="402"/>
      <c r="I410" s="402"/>
      <c r="J410" s="402"/>
      <c r="K410" s="402"/>
      <c r="L410" s="402"/>
      <c r="M410" s="402"/>
      <c r="N410" s="402"/>
      <c r="O410" s="402"/>
      <c r="P410" s="402"/>
      <c r="Q410" s="402"/>
      <c r="R410" s="402"/>
      <c r="S410" s="402"/>
      <c r="T410" s="402"/>
      <c r="U410" s="402"/>
      <c r="V410" s="402"/>
      <c r="W410" s="402"/>
      <c r="X410" s="402"/>
      <c r="Y410" s="402"/>
      <c r="Z410" s="402"/>
      <c r="AA410" s="405"/>
      <c r="AB410" s="405"/>
    </row>
    <row r="411" ht="14.25" customHeight="1">
      <c r="A411" s="402"/>
      <c r="B411" s="402"/>
      <c r="C411" s="402"/>
      <c r="D411" s="402"/>
      <c r="E411" s="402"/>
      <c r="F411" s="403"/>
      <c r="G411" s="402"/>
      <c r="H411" s="402"/>
      <c r="I411" s="402"/>
      <c r="J411" s="402"/>
      <c r="K411" s="402"/>
      <c r="L411" s="402"/>
      <c r="M411" s="402"/>
      <c r="N411" s="402"/>
      <c r="O411" s="402"/>
      <c r="P411" s="402"/>
      <c r="Q411" s="402"/>
      <c r="R411" s="402"/>
      <c r="S411" s="402"/>
      <c r="T411" s="402"/>
      <c r="U411" s="402"/>
      <c r="V411" s="402"/>
      <c r="W411" s="402"/>
      <c r="X411" s="402"/>
      <c r="Y411" s="402"/>
      <c r="Z411" s="402"/>
      <c r="AA411" s="405"/>
      <c r="AB411" s="405"/>
    </row>
    <row r="412" ht="14.25" customHeight="1">
      <c r="A412" s="402"/>
      <c r="B412" s="402"/>
      <c r="C412" s="402"/>
      <c r="D412" s="402"/>
      <c r="E412" s="402"/>
      <c r="F412" s="403"/>
      <c r="G412" s="402"/>
      <c r="H412" s="402"/>
      <c r="I412" s="402"/>
      <c r="J412" s="402"/>
      <c r="K412" s="402"/>
      <c r="L412" s="402"/>
      <c r="M412" s="402"/>
      <c r="N412" s="402"/>
      <c r="O412" s="402"/>
      <c r="P412" s="402"/>
      <c r="Q412" s="402"/>
      <c r="R412" s="402"/>
      <c r="S412" s="402"/>
      <c r="T412" s="402"/>
      <c r="U412" s="402"/>
      <c r="V412" s="402"/>
      <c r="W412" s="402"/>
      <c r="X412" s="402"/>
      <c r="Y412" s="402"/>
      <c r="Z412" s="402"/>
      <c r="AA412" s="405"/>
      <c r="AB412" s="405"/>
    </row>
    <row r="413" ht="14.25" customHeight="1">
      <c r="A413" s="497">
        <v>45534.0</v>
      </c>
      <c r="B413" s="414" t="s">
        <v>4577</v>
      </c>
      <c r="C413" s="415" t="s">
        <v>4578</v>
      </c>
      <c r="D413" s="415" t="s">
        <v>439</v>
      </c>
      <c r="E413" s="415" t="s">
        <v>4603</v>
      </c>
      <c r="F413" s="413">
        <v>180810.0</v>
      </c>
      <c r="G413" s="349">
        <v>80000.0</v>
      </c>
      <c r="H413" s="349" t="s">
        <v>804</v>
      </c>
      <c r="I413" s="402"/>
      <c r="J413" s="402"/>
      <c r="K413" s="402"/>
      <c r="L413" s="402"/>
      <c r="M413" s="402"/>
      <c r="N413" s="402"/>
      <c r="O413" s="402"/>
      <c r="P413" s="402"/>
      <c r="Q413" s="402"/>
      <c r="R413" s="402"/>
      <c r="S413" s="402"/>
      <c r="T413" s="402"/>
      <c r="U413" s="402"/>
      <c r="V413" s="402"/>
      <c r="W413" s="402"/>
      <c r="X413" s="402"/>
      <c r="Y413" s="402"/>
      <c r="Z413" s="402"/>
      <c r="AA413" s="405"/>
      <c r="AB413" s="405"/>
    </row>
    <row r="414" ht="14.25" customHeight="1">
      <c r="A414" s="497">
        <v>45534.0</v>
      </c>
      <c r="B414" s="349" t="s">
        <v>4587</v>
      </c>
      <c r="C414" s="349" t="s">
        <v>4652</v>
      </c>
      <c r="D414" s="349" t="s">
        <v>439</v>
      </c>
      <c r="E414" s="349" t="s">
        <v>4586</v>
      </c>
      <c r="F414" s="413">
        <v>13631.0</v>
      </c>
      <c r="G414" s="349">
        <v>0.0</v>
      </c>
      <c r="H414" s="402"/>
      <c r="I414" s="402"/>
      <c r="J414" s="402"/>
      <c r="K414" s="402"/>
      <c r="L414" s="402"/>
      <c r="M414" s="402"/>
      <c r="N414" s="402"/>
      <c r="O414" s="402"/>
      <c r="P414" s="402"/>
      <c r="Q414" s="402"/>
      <c r="R414" s="402"/>
      <c r="S414" s="402"/>
      <c r="T414" s="402"/>
      <c r="U414" s="402"/>
      <c r="V414" s="402"/>
      <c r="W414" s="402"/>
      <c r="X414" s="402"/>
      <c r="Y414" s="402"/>
      <c r="Z414" s="402"/>
      <c r="AA414" s="405"/>
      <c r="AB414" s="405"/>
    </row>
    <row r="415" ht="14.25" customHeight="1">
      <c r="A415" s="497">
        <v>45534.0</v>
      </c>
      <c r="B415" s="414" t="s">
        <v>4575</v>
      </c>
      <c r="C415" s="415" t="s">
        <v>4576</v>
      </c>
      <c r="D415" s="415" t="s">
        <v>439</v>
      </c>
      <c r="E415" s="415" t="s">
        <v>4558</v>
      </c>
      <c r="F415" s="413">
        <v>24062.0</v>
      </c>
      <c r="G415" s="349">
        <v>0.0</v>
      </c>
      <c r="H415" s="402"/>
      <c r="I415" s="402"/>
      <c r="J415" s="402"/>
      <c r="K415" s="402"/>
      <c r="L415" s="402"/>
      <c r="M415" s="402"/>
      <c r="N415" s="402"/>
      <c r="O415" s="402"/>
      <c r="P415" s="402"/>
      <c r="Q415" s="402"/>
      <c r="R415" s="402"/>
      <c r="S415" s="402"/>
      <c r="T415" s="402"/>
      <c r="U415" s="402"/>
      <c r="V415" s="402"/>
      <c r="W415" s="402"/>
      <c r="X415" s="402"/>
      <c r="Y415" s="402"/>
      <c r="Z415" s="402"/>
      <c r="AA415" s="405"/>
      <c r="AB415" s="405"/>
    </row>
    <row r="416" ht="14.25" customHeight="1">
      <c r="A416" s="497">
        <v>45534.0</v>
      </c>
      <c r="B416" s="419" t="s">
        <v>4590</v>
      </c>
      <c r="C416" s="420" t="s">
        <v>4591</v>
      </c>
      <c r="D416" s="420" t="s">
        <v>439</v>
      </c>
      <c r="E416" s="420" t="s">
        <v>4603</v>
      </c>
      <c r="F416" s="413">
        <v>4680.0</v>
      </c>
      <c r="G416" s="349">
        <v>0.0</v>
      </c>
      <c r="H416" s="402"/>
      <c r="I416" s="402"/>
      <c r="J416" s="402"/>
      <c r="K416" s="402"/>
      <c r="L416" s="402"/>
      <c r="M416" s="402"/>
      <c r="N416" s="402"/>
      <c r="O416" s="402"/>
      <c r="P416" s="402"/>
      <c r="Q416" s="402"/>
      <c r="R416" s="402"/>
      <c r="S416" s="402"/>
      <c r="T416" s="402"/>
      <c r="U416" s="402"/>
      <c r="V416" s="402"/>
      <c r="W416" s="402"/>
      <c r="X416" s="402"/>
      <c r="Y416" s="402"/>
      <c r="Z416" s="402"/>
      <c r="AA416" s="405"/>
      <c r="AB416" s="405"/>
    </row>
    <row r="417" ht="14.25" customHeight="1">
      <c r="A417" s="497">
        <v>45534.0</v>
      </c>
      <c r="B417" s="349" t="s">
        <v>4619</v>
      </c>
      <c r="C417" s="349" t="s">
        <v>4620</v>
      </c>
      <c r="D417" s="349" t="s">
        <v>439</v>
      </c>
      <c r="E417" s="349" t="s">
        <v>4603</v>
      </c>
      <c r="F417" s="413">
        <v>10857.0</v>
      </c>
      <c r="G417" s="349">
        <v>0.0</v>
      </c>
      <c r="H417" s="402"/>
      <c r="I417" s="402"/>
      <c r="J417" s="402"/>
      <c r="K417" s="402"/>
      <c r="L417" s="402"/>
      <c r="M417" s="402"/>
      <c r="N417" s="402"/>
      <c r="O417" s="402"/>
      <c r="P417" s="402"/>
      <c r="Q417" s="402"/>
      <c r="R417" s="402"/>
      <c r="S417" s="402"/>
      <c r="T417" s="402"/>
      <c r="U417" s="402"/>
      <c r="V417" s="402"/>
      <c r="W417" s="402"/>
      <c r="X417" s="402"/>
      <c r="Y417" s="402"/>
      <c r="Z417" s="402"/>
      <c r="AA417" s="405"/>
      <c r="AB417" s="405"/>
    </row>
    <row r="418" ht="14.25" customHeight="1">
      <c r="A418" s="497">
        <v>45534.0</v>
      </c>
      <c r="B418" s="349" t="s">
        <v>4550</v>
      </c>
      <c r="C418" s="349" t="s">
        <v>4622</v>
      </c>
      <c r="D418" s="349" t="s">
        <v>439</v>
      </c>
      <c r="E418" s="349" t="s">
        <v>4564</v>
      </c>
      <c r="F418" s="413">
        <v>97020.0</v>
      </c>
      <c r="G418" s="349">
        <v>0.0</v>
      </c>
      <c r="H418" s="402"/>
      <c r="I418" s="402"/>
      <c r="J418" s="402"/>
      <c r="K418" s="402"/>
      <c r="L418" s="402"/>
      <c r="M418" s="402"/>
      <c r="N418" s="402"/>
      <c r="O418" s="402"/>
      <c r="P418" s="402"/>
      <c r="Q418" s="402"/>
      <c r="R418" s="402"/>
      <c r="S418" s="402"/>
      <c r="T418" s="402"/>
      <c r="U418" s="402"/>
      <c r="V418" s="402"/>
      <c r="W418" s="402"/>
      <c r="X418" s="402"/>
      <c r="Y418" s="402"/>
      <c r="Z418" s="402"/>
      <c r="AA418" s="405"/>
      <c r="AB418" s="405"/>
    </row>
    <row r="419" ht="14.25" customHeight="1">
      <c r="A419" s="497">
        <v>45534.0</v>
      </c>
      <c r="B419" s="349" t="s">
        <v>4568</v>
      </c>
      <c r="C419" s="349" t="s">
        <v>4569</v>
      </c>
      <c r="D419" s="349" t="s">
        <v>439</v>
      </c>
      <c r="E419" s="349" t="s">
        <v>4552</v>
      </c>
      <c r="F419" s="413">
        <v>16026.0</v>
      </c>
      <c r="G419" s="349">
        <v>0.0</v>
      </c>
      <c r="H419" s="402"/>
      <c r="I419" s="402"/>
      <c r="J419" s="402"/>
      <c r="K419" s="402"/>
      <c r="L419" s="402"/>
      <c r="M419" s="402"/>
      <c r="N419" s="402"/>
      <c r="O419" s="402"/>
      <c r="P419" s="402"/>
      <c r="Q419" s="402"/>
      <c r="R419" s="402"/>
      <c r="S419" s="402"/>
      <c r="T419" s="402"/>
      <c r="U419" s="402"/>
      <c r="V419" s="402"/>
      <c r="W419" s="402"/>
      <c r="X419" s="402"/>
      <c r="Y419" s="402"/>
      <c r="Z419" s="402"/>
      <c r="AA419" s="405"/>
      <c r="AB419" s="405"/>
    </row>
    <row r="420" ht="14.25" customHeight="1">
      <c r="A420" s="497">
        <v>45534.0</v>
      </c>
      <c r="B420" s="349" t="s">
        <v>4573</v>
      </c>
      <c r="C420" s="349" t="s">
        <v>4574</v>
      </c>
      <c r="D420" s="349" t="s">
        <v>439</v>
      </c>
      <c r="E420" s="349" t="s">
        <v>4558</v>
      </c>
      <c r="F420" s="413">
        <v>24481.0</v>
      </c>
      <c r="G420" s="349">
        <v>0.0</v>
      </c>
      <c r="H420" s="402"/>
      <c r="I420" s="402"/>
      <c r="J420" s="402"/>
      <c r="K420" s="402"/>
      <c r="L420" s="402"/>
      <c r="M420" s="402"/>
      <c r="N420" s="402"/>
      <c r="O420" s="402"/>
      <c r="P420" s="402"/>
      <c r="Q420" s="402"/>
      <c r="R420" s="402"/>
      <c r="S420" s="402"/>
      <c r="T420" s="402"/>
      <c r="U420" s="402"/>
      <c r="V420" s="402"/>
      <c r="W420" s="402"/>
      <c r="X420" s="402"/>
      <c r="Y420" s="402"/>
      <c r="Z420" s="402"/>
      <c r="AA420" s="405"/>
      <c r="AB420" s="405"/>
    </row>
    <row r="421" ht="14.25" customHeight="1">
      <c r="A421" s="497">
        <v>45534.0</v>
      </c>
      <c r="B421" s="349" t="s">
        <v>4626</v>
      </c>
      <c r="C421" s="349" t="s">
        <v>4627</v>
      </c>
      <c r="D421" s="349" t="s">
        <v>439</v>
      </c>
      <c r="E421" s="349" t="s">
        <v>4564</v>
      </c>
      <c r="F421" s="413">
        <v>11262.0</v>
      </c>
      <c r="G421" s="349">
        <v>0.0</v>
      </c>
      <c r="H421" s="402"/>
      <c r="I421" s="402"/>
      <c r="J421" s="402"/>
      <c r="K421" s="402"/>
      <c r="L421" s="402"/>
      <c r="M421" s="402"/>
      <c r="N421" s="402"/>
      <c r="O421" s="402"/>
      <c r="P421" s="402"/>
      <c r="Q421" s="402"/>
      <c r="R421" s="402"/>
      <c r="S421" s="402"/>
      <c r="T421" s="402"/>
      <c r="U421" s="402"/>
      <c r="V421" s="402"/>
      <c r="W421" s="402"/>
      <c r="X421" s="402"/>
      <c r="Y421" s="402"/>
      <c r="Z421" s="402"/>
      <c r="AA421" s="405"/>
      <c r="AB421" s="405"/>
    </row>
    <row r="422" ht="14.25" customHeight="1">
      <c r="A422" s="497">
        <v>45534.0</v>
      </c>
      <c r="B422" s="349" t="s">
        <v>4571</v>
      </c>
      <c r="C422" s="349" t="s">
        <v>4572</v>
      </c>
      <c r="D422" s="349" t="s">
        <v>439</v>
      </c>
      <c r="E422" s="349" t="s">
        <v>4603</v>
      </c>
      <c r="F422" s="413">
        <v>44818.0</v>
      </c>
      <c r="G422" s="349">
        <v>6000.0</v>
      </c>
      <c r="H422" s="349" t="s">
        <v>804</v>
      </c>
      <c r="I422" s="402"/>
      <c r="J422" s="402"/>
      <c r="K422" s="402"/>
      <c r="L422" s="402"/>
      <c r="M422" s="402"/>
      <c r="N422" s="402"/>
      <c r="O422" s="402"/>
      <c r="P422" s="402"/>
      <c r="Q422" s="402"/>
      <c r="R422" s="402"/>
      <c r="S422" s="402"/>
      <c r="T422" s="402"/>
      <c r="U422" s="402"/>
      <c r="V422" s="402"/>
      <c r="W422" s="402"/>
      <c r="X422" s="402"/>
      <c r="Y422" s="402"/>
      <c r="Z422" s="402"/>
      <c r="AA422" s="405"/>
      <c r="AB422" s="405"/>
    </row>
    <row r="423" ht="14.25" customHeight="1">
      <c r="A423" s="497">
        <v>45534.0</v>
      </c>
      <c r="B423" s="349" t="s">
        <v>4650</v>
      </c>
      <c r="C423" s="349" t="s">
        <v>4651</v>
      </c>
      <c r="D423" s="349" t="s">
        <v>3045</v>
      </c>
      <c r="E423" s="349" t="s">
        <v>4552</v>
      </c>
      <c r="F423" s="413">
        <v>46000.0</v>
      </c>
      <c r="G423" s="349">
        <v>0.0</v>
      </c>
      <c r="H423" s="402"/>
      <c r="I423" s="402"/>
      <c r="J423" s="402"/>
      <c r="K423" s="402"/>
      <c r="L423" s="402"/>
      <c r="M423" s="402"/>
      <c r="N423" s="402"/>
      <c r="O423" s="402"/>
      <c r="P423" s="402"/>
      <c r="Q423" s="402"/>
      <c r="R423" s="402"/>
      <c r="S423" s="402"/>
      <c r="T423" s="402"/>
      <c r="U423" s="402"/>
      <c r="V423" s="402"/>
      <c r="W423" s="402"/>
      <c r="X423" s="402"/>
      <c r="Y423" s="402"/>
      <c r="Z423" s="402"/>
      <c r="AA423" s="405"/>
      <c r="AB423" s="405"/>
    </row>
    <row r="424" ht="14.25" customHeight="1">
      <c r="A424" s="497">
        <v>45534.0</v>
      </c>
      <c r="B424" s="349" t="s">
        <v>4659</v>
      </c>
      <c r="C424" s="349" t="s">
        <v>4569</v>
      </c>
      <c r="D424" s="349" t="s">
        <v>439</v>
      </c>
      <c r="E424" s="349" t="s">
        <v>4552</v>
      </c>
      <c r="F424" s="413">
        <v>79540.0</v>
      </c>
      <c r="G424" s="349">
        <v>0.0</v>
      </c>
      <c r="H424" s="402"/>
      <c r="I424" s="402"/>
      <c r="J424" s="402"/>
      <c r="K424" s="402"/>
      <c r="L424" s="402"/>
      <c r="M424" s="402"/>
      <c r="N424" s="402"/>
      <c r="O424" s="402"/>
      <c r="P424" s="402"/>
      <c r="Q424" s="402"/>
      <c r="R424" s="402"/>
      <c r="S424" s="402"/>
      <c r="T424" s="402"/>
      <c r="U424" s="402"/>
      <c r="V424" s="402"/>
      <c r="W424" s="402"/>
      <c r="X424" s="402"/>
      <c r="Y424" s="402"/>
      <c r="Z424" s="402"/>
      <c r="AA424" s="405"/>
      <c r="AB424" s="405"/>
    </row>
    <row r="425" ht="14.25" customHeight="1">
      <c r="A425" s="497">
        <v>45534.0</v>
      </c>
      <c r="B425" s="349" t="s">
        <v>4554</v>
      </c>
      <c r="C425" s="349" t="s">
        <v>4555</v>
      </c>
      <c r="D425" s="349" t="s">
        <v>439</v>
      </c>
      <c r="E425" s="349" t="s">
        <v>4552</v>
      </c>
      <c r="F425" s="413">
        <v>58050.0</v>
      </c>
      <c r="G425" s="349">
        <v>58050.0</v>
      </c>
      <c r="H425" s="349" t="s">
        <v>1462</v>
      </c>
      <c r="I425" s="402"/>
      <c r="J425" s="402"/>
      <c r="K425" s="402"/>
      <c r="L425" s="402"/>
      <c r="M425" s="402"/>
      <c r="N425" s="402"/>
      <c r="O425" s="402"/>
      <c r="P425" s="402"/>
      <c r="Q425" s="402"/>
      <c r="R425" s="402"/>
      <c r="S425" s="402"/>
      <c r="T425" s="402"/>
      <c r="U425" s="402"/>
      <c r="V425" s="402"/>
      <c r="W425" s="402"/>
      <c r="X425" s="402"/>
      <c r="Y425" s="402"/>
      <c r="Z425" s="402"/>
      <c r="AA425" s="405"/>
      <c r="AB425" s="405"/>
    </row>
    <row r="426" ht="14.25" customHeight="1">
      <c r="A426" s="584"/>
      <c r="B426" s="584"/>
      <c r="C426" s="584"/>
      <c r="D426" s="584"/>
      <c r="E426" s="424" t="s">
        <v>23</v>
      </c>
      <c r="F426" s="787">
        <v>611237.0</v>
      </c>
      <c r="G426" s="839">
        <v>144050.0</v>
      </c>
      <c r="H426" s="584"/>
      <c r="I426" s="584"/>
      <c r="J426" s="584"/>
      <c r="K426" s="584"/>
      <c r="L426" s="584"/>
      <c r="M426" s="584"/>
      <c r="N426" s="584"/>
      <c r="O426" s="584"/>
      <c r="P426" s="584"/>
      <c r="Q426" s="584"/>
      <c r="R426" s="584"/>
      <c r="S426" s="584"/>
      <c r="T426" s="584"/>
      <c r="U426" s="584"/>
      <c r="V426" s="584"/>
      <c r="W426" s="584"/>
      <c r="X426" s="584"/>
      <c r="Y426" s="584"/>
      <c r="Z426" s="584"/>
      <c r="AA426" s="659"/>
      <c r="AB426" s="659"/>
    </row>
    <row r="427" ht="14.25" customHeight="1">
      <c r="A427" s="402"/>
      <c r="B427" s="402"/>
      <c r="C427" s="402"/>
      <c r="D427" s="402"/>
      <c r="E427" s="402"/>
      <c r="F427" s="403"/>
      <c r="G427" s="402"/>
      <c r="H427" s="402"/>
      <c r="I427" s="402"/>
      <c r="J427" s="402"/>
      <c r="K427" s="402"/>
      <c r="L427" s="402"/>
      <c r="M427" s="402"/>
      <c r="N427" s="402"/>
      <c r="O427" s="402"/>
      <c r="P427" s="402"/>
      <c r="Q427" s="402"/>
      <c r="R427" s="402"/>
      <c r="S427" s="402"/>
      <c r="T427" s="402"/>
      <c r="U427" s="402"/>
      <c r="V427" s="402"/>
      <c r="W427" s="402"/>
      <c r="X427" s="402"/>
      <c r="Y427" s="402"/>
      <c r="Z427" s="402"/>
      <c r="AA427" s="405"/>
      <c r="AB427" s="405"/>
    </row>
    <row r="428" ht="14.25" customHeight="1">
      <c r="A428" s="402"/>
      <c r="B428" s="402"/>
      <c r="C428" s="402"/>
      <c r="D428" s="402"/>
      <c r="E428" s="402"/>
      <c r="F428" s="403"/>
      <c r="G428" s="402"/>
      <c r="H428" s="402"/>
      <c r="I428" s="402"/>
      <c r="J428" s="402"/>
      <c r="K428" s="402"/>
      <c r="L428" s="402"/>
      <c r="M428" s="402"/>
      <c r="N428" s="402"/>
      <c r="O428" s="402"/>
      <c r="P428" s="402"/>
      <c r="Q428" s="402"/>
      <c r="R428" s="402"/>
      <c r="S428" s="402"/>
      <c r="T428" s="402"/>
      <c r="U428" s="402"/>
      <c r="V428" s="402"/>
      <c r="W428" s="402"/>
      <c r="X428" s="402"/>
      <c r="Y428" s="402"/>
      <c r="Z428" s="402"/>
      <c r="AA428" s="405"/>
      <c r="AB428" s="405"/>
    </row>
    <row r="429" ht="14.25" customHeight="1">
      <c r="A429" s="497">
        <v>45535.0</v>
      </c>
      <c r="B429" s="414" t="s">
        <v>4577</v>
      </c>
      <c r="C429" s="415" t="s">
        <v>4578</v>
      </c>
      <c r="D429" s="415" t="s">
        <v>439</v>
      </c>
      <c r="E429" s="415" t="s">
        <v>4603</v>
      </c>
      <c r="F429" s="413">
        <v>100810.0</v>
      </c>
      <c r="G429" s="402"/>
      <c r="H429" s="402"/>
      <c r="I429" s="402"/>
      <c r="J429" s="402"/>
      <c r="K429" s="402"/>
      <c r="L429" s="402"/>
      <c r="M429" s="402"/>
      <c r="N429" s="402"/>
      <c r="O429" s="402"/>
      <c r="P429" s="402"/>
      <c r="Q429" s="402"/>
      <c r="R429" s="402"/>
      <c r="S429" s="402"/>
      <c r="T429" s="402"/>
      <c r="U429" s="402"/>
      <c r="V429" s="402"/>
      <c r="W429" s="402"/>
      <c r="X429" s="402"/>
      <c r="Y429" s="402"/>
      <c r="Z429" s="402"/>
      <c r="AA429" s="405"/>
      <c r="AB429" s="405"/>
    </row>
    <row r="430" ht="14.25" customHeight="1">
      <c r="A430" s="497">
        <v>45535.0</v>
      </c>
      <c r="B430" s="349" t="s">
        <v>4587</v>
      </c>
      <c r="C430" s="349" t="s">
        <v>4652</v>
      </c>
      <c r="D430" s="349" t="s">
        <v>439</v>
      </c>
      <c r="E430" s="349" t="s">
        <v>4586</v>
      </c>
      <c r="F430" s="413">
        <v>13631.0</v>
      </c>
      <c r="G430" s="402"/>
      <c r="H430" s="402"/>
      <c r="I430" s="402"/>
      <c r="J430" s="402"/>
      <c r="K430" s="402"/>
      <c r="L430" s="402"/>
      <c r="M430" s="402"/>
      <c r="N430" s="402"/>
      <c r="O430" s="402"/>
      <c r="P430" s="402"/>
      <c r="Q430" s="402"/>
      <c r="R430" s="402"/>
      <c r="S430" s="402"/>
      <c r="T430" s="402"/>
      <c r="U430" s="402"/>
      <c r="V430" s="402"/>
      <c r="W430" s="402"/>
      <c r="X430" s="402"/>
      <c r="Y430" s="402"/>
      <c r="Z430" s="402"/>
      <c r="AA430" s="405"/>
      <c r="AB430" s="405"/>
    </row>
    <row r="431" ht="14.25" customHeight="1">
      <c r="A431" s="497">
        <v>45535.0</v>
      </c>
      <c r="B431" s="414" t="s">
        <v>4575</v>
      </c>
      <c r="C431" s="415" t="s">
        <v>4576</v>
      </c>
      <c r="D431" s="415" t="s">
        <v>439</v>
      </c>
      <c r="E431" s="415" t="s">
        <v>4558</v>
      </c>
      <c r="F431" s="413">
        <v>24062.0</v>
      </c>
      <c r="G431" s="402"/>
      <c r="H431" s="402"/>
      <c r="I431" s="402"/>
      <c r="J431" s="402"/>
      <c r="K431" s="402"/>
      <c r="L431" s="402"/>
      <c r="M431" s="402"/>
      <c r="N431" s="402"/>
      <c r="O431" s="402"/>
      <c r="P431" s="402"/>
      <c r="Q431" s="402"/>
      <c r="R431" s="402"/>
      <c r="S431" s="402"/>
      <c r="T431" s="402"/>
      <c r="U431" s="402"/>
      <c r="V431" s="402"/>
      <c r="W431" s="402"/>
      <c r="X431" s="402"/>
      <c r="Y431" s="402"/>
      <c r="Z431" s="402"/>
      <c r="AA431" s="405"/>
      <c r="AB431" s="405"/>
    </row>
    <row r="432" ht="14.25" customHeight="1">
      <c r="A432" s="497">
        <v>45535.0</v>
      </c>
      <c r="B432" s="419" t="s">
        <v>4590</v>
      </c>
      <c r="C432" s="420" t="s">
        <v>4591</v>
      </c>
      <c r="D432" s="420" t="s">
        <v>439</v>
      </c>
      <c r="E432" s="420" t="s">
        <v>4603</v>
      </c>
      <c r="F432" s="413">
        <v>4680.0</v>
      </c>
      <c r="G432" s="402"/>
      <c r="H432" s="402"/>
      <c r="I432" s="402"/>
      <c r="J432" s="402"/>
      <c r="K432" s="402"/>
      <c r="L432" s="402"/>
      <c r="M432" s="402"/>
      <c r="N432" s="402"/>
      <c r="O432" s="402"/>
      <c r="P432" s="402"/>
      <c r="Q432" s="402"/>
      <c r="R432" s="402"/>
      <c r="S432" s="402"/>
      <c r="T432" s="402"/>
      <c r="U432" s="402"/>
      <c r="V432" s="402"/>
      <c r="W432" s="402"/>
      <c r="X432" s="402"/>
      <c r="Y432" s="402"/>
      <c r="Z432" s="402"/>
      <c r="AA432" s="405"/>
      <c r="AB432" s="405"/>
    </row>
    <row r="433" ht="14.25" customHeight="1">
      <c r="A433" s="497">
        <v>45535.0</v>
      </c>
      <c r="B433" s="349" t="s">
        <v>4619</v>
      </c>
      <c r="C433" s="349" t="s">
        <v>4620</v>
      </c>
      <c r="D433" s="349" t="s">
        <v>439</v>
      </c>
      <c r="E433" s="349" t="s">
        <v>4603</v>
      </c>
      <c r="F433" s="413">
        <v>10857.0</v>
      </c>
      <c r="G433" s="402"/>
      <c r="H433" s="402"/>
      <c r="I433" s="402"/>
      <c r="J433" s="402"/>
      <c r="K433" s="402"/>
      <c r="L433" s="402"/>
      <c r="M433" s="402"/>
      <c r="N433" s="402"/>
      <c r="O433" s="402"/>
      <c r="P433" s="402"/>
      <c r="Q433" s="402"/>
      <c r="R433" s="402"/>
      <c r="S433" s="402"/>
      <c r="T433" s="402"/>
      <c r="U433" s="402"/>
      <c r="V433" s="402"/>
      <c r="W433" s="402"/>
      <c r="X433" s="402"/>
      <c r="Y433" s="402"/>
      <c r="Z433" s="402"/>
      <c r="AA433" s="405"/>
      <c r="AB433" s="405"/>
    </row>
    <row r="434" ht="14.25" customHeight="1">
      <c r="A434" s="497">
        <v>45535.0</v>
      </c>
      <c r="B434" s="349" t="s">
        <v>4550</v>
      </c>
      <c r="C434" s="349" t="s">
        <v>4622</v>
      </c>
      <c r="D434" s="349" t="s">
        <v>439</v>
      </c>
      <c r="E434" s="349" t="s">
        <v>4564</v>
      </c>
      <c r="F434" s="413">
        <v>97020.0</v>
      </c>
      <c r="G434" s="402"/>
      <c r="H434" s="402"/>
      <c r="I434" s="402"/>
      <c r="J434" s="402"/>
      <c r="K434" s="402"/>
      <c r="L434" s="402"/>
      <c r="M434" s="402"/>
      <c r="N434" s="402"/>
      <c r="O434" s="402"/>
      <c r="P434" s="402"/>
      <c r="Q434" s="402"/>
      <c r="R434" s="402"/>
      <c r="S434" s="402"/>
      <c r="T434" s="402"/>
      <c r="U434" s="402"/>
      <c r="V434" s="402"/>
      <c r="W434" s="402"/>
      <c r="X434" s="402"/>
      <c r="Y434" s="402"/>
      <c r="Z434" s="402"/>
      <c r="AA434" s="405"/>
      <c r="AB434" s="405"/>
    </row>
    <row r="435" ht="14.25" customHeight="1">
      <c r="A435" s="497">
        <v>45535.0</v>
      </c>
      <c r="B435" s="349" t="s">
        <v>4568</v>
      </c>
      <c r="C435" s="349" t="s">
        <v>4569</v>
      </c>
      <c r="D435" s="349" t="s">
        <v>439</v>
      </c>
      <c r="E435" s="349" t="s">
        <v>4552</v>
      </c>
      <c r="F435" s="413">
        <v>16026.0</v>
      </c>
      <c r="G435" s="402"/>
      <c r="H435" s="402"/>
      <c r="I435" s="402"/>
      <c r="J435" s="402"/>
      <c r="K435" s="402"/>
      <c r="L435" s="402"/>
      <c r="M435" s="402"/>
      <c r="N435" s="402"/>
      <c r="O435" s="402"/>
      <c r="P435" s="402"/>
      <c r="Q435" s="402"/>
      <c r="R435" s="402"/>
      <c r="S435" s="402"/>
      <c r="T435" s="402"/>
      <c r="U435" s="402"/>
      <c r="V435" s="402"/>
      <c r="W435" s="402"/>
      <c r="X435" s="402"/>
      <c r="Y435" s="402"/>
      <c r="Z435" s="402"/>
      <c r="AA435" s="405"/>
      <c r="AB435" s="405"/>
    </row>
    <row r="436" ht="14.25" customHeight="1">
      <c r="A436" s="497">
        <v>45535.0</v>
      </c>
      <c r="B436" s="349" t="s">
        <v>4573</v>
      </c>
      <c r="C436" s="349" t="s">
        <v>4574</v>
      </c>
      <c r="D436" s="349" t="s">
        <v>439</v>
      </c>
      <c r="E436" s="349" t="s">
        <v>4558</v>
      </c>
      <c r="F436" s="413">
        <v>24481.0</v>
      </c>
      <c r="G436" s="402"/>
      <c r="H436" s="402"/>
      <c r="I436" s="402"/>
      <c r="J436" s="402"/>
      <c r="K436" s="402"/>
      <c r="L436" s="402"/>
      <c r="M436" s="402"/>
      <c r="N436" s="402"/>
      <c r="O436" s="402"/>
      <c r="P436" s="402"/>
      <c r="Q436" s="402"/>
      <c r="R436" s="402"/>
      <c r="S436" s="402"/>
      <c r="T436" s="402"/>
      <c r="U436" s="402"/>
      <c r="V436" s="402"/>
      <c r="W436" s="402"/>
      <c r="X436" s="402"/>
      <c r="Y436" s="402"/>
      <c r="Z436" s="402"/>
      <c r="AA436" s="405"/>
      <c r="AB436" s="405"/>
    </row>
    <row r="437" ht="14.25" customHeight="1">
      <c r="A437" s="497">
        <v>45535.0</v>
      </c>
      <c r="B437" s="349" t="s">
        <v>4626</v>
      </c>
      <c r="C437" s="349" t="s">
        <v>4627</v>
      </c>
      <c r="D437" s="349" t="s">
        <v>439</v>
      </c>
      <c r="E437" s="349" t="s">
        <v>4564</v>
      </c>
      <c r="F437" s="413">
        <v>11262.0</v>
      </c>
      <c r="G437" s="402"/>
      <c r="H437" s="402"/>
      <c r="I437" s="402"/>
      <c r="J437" s="402"/>
      <c r="K437" s="402"/>
      <c r="L437" s="402"/>
      <c r="M437" s="402"/>
      <c r="N437" s="402"/>
      <c r="O437" s="402"/>
      <c r="P437" s="402"/>
      <c r="Q437" s="402"/>
      <c r="R437" s="402"/>
      <c r="S437" s="402"/>
      <c r="T437" s="402"/>
      <c r="U437" s="402"/>
      <c r="V437" s="402"/>
      <c r="W437" s="402"/>
      <c r="X437" s="402"/>
      <c r="Y437" s="402"/>
      <c r="Z437" s="402"/>
      <c r="AA437" s="405"/>
      <c r="AB437" s="405"/>
    </row>
    <row r="438" ht="14.25" customHeight="1">
      <c r="A438" s="497">
        <v>45535.0</v>
      </c>
      <c r="B438" s="349" t="s">
        <v>4571</v>
      </c>
      <c r="C438" s="349" t="s">
        <v>4572</v>
      </c>
      <c r="D438" s="349" t="s">
        <v>439</v>
      </c>
      <c r="E438" s="349" t="s">
        <v>4603</v>
      </c>
      <c r="F438" s="413">
        <v>44818.0</v>
      </c>
      <c r="G438" s="402"/>
      <c r="H438" s="402"/>
      <c r="I438" s="402"/>
      <c r="J438" s="402"/>
      <c r="K438" s="402"/>
      <c r="L438" s="402"/>
      <c r="M438" s="402"/>
      <c r="N438" s="402"/>
      <c r="O438" s="402"/>
      <c r="P438" s="402"/>
      <c r="Q438" s="402"/>
      <c r="R438" s="402"/>
      <c r="S438" s="402"/>
      <c r="T438" s="402"/>
      <c r="U438" s="402"/>
      <c r="V438" s="402"/>
      <c r="W438" s="402"/>
      <c r="X438" s="402"/>
      <c r="Y438" s="402"/>
      <c r="Z438" s="402"/>
      <c r="AA438" s="405"/>
      <c r="AB438" s="405"/>
    </row>
    <row r="439" ht="14.25" customHeight="1">
      <c r="A439" s="497">
        <v>45535.0</v>
      </c>
      <c r="B439" s="349" t="s">
        <v>4650</v>
      </c>
      <c r="C439" s="349" t="s">
        <v>4651</v>
      </c>
      <c r="D439" s="349" t="s">
        <v>3045</v>
      </c>
      <c r="E439" s="349" t="s">
        <v>4552</v>
      </c>
      <c r="F439" s="413">
        <v>46000.0</v>
      </c>
      <c r="G439" s="402"/>
      <c r="H439" s="402"/>
      <c r="I439" s="402"/>
      <c r="J439" s="402"/>
      <c r="K439" s="402"/>
      <c r="L439" s="402"/>
      <c r="M439" s="402"/>
      <c r="N439" s="402"/>
      <c r="O439" s="402"/>
      <c r="P439" s="402"/>
      <c r="Q439" s="402"/>
      <c r="R439" s="402"/>
      <c r="S439" s="402"/>
      <c r="T439" s="402"/>
      <c r="U439" s="402"/>
      <c r="V439" s="402"/>
      <c r="W439" s="402"/>
      <c r="X439" s="402"/>
      <c r="Y439" s="402"/>
      <c r="Z439" s="402"/>
      <c r="AA439" s="405"/>
      <c r="AB439" s="405"/>
    </row>
    <row r="440" ht="14.25" customHeight="1">
      <c r="A440" s="497">
        <v>45535.0</v>
      </c>
      <c r="B440" s="349" t="s">
        <v>4661</v>
      </c>
      <c r="C440" s="349" t="s">
        <v>4569</v>
      </c>
      <c r="D440" s="349" t="s">
        <v>439</v>
      </c>
      <c r="E440" s="349" t="s">
        <v>4552</v>
      </c>
      <c r="F440" s="413">
        <v>79540.0</v>
      </c>
      <c r="G440" s="402"/>
      <c r="H440" s="402"/>
      <c r="I440" s="402"/>
      <c r="J440" s="402"/>
      <c r="K440" s="402"/>
      <c r="L440" s="402"/>
      <c r="M440" s="402"/>
      <c r="N440" s="402"/>
      <c r="O440" s="402"/>
      <c r="P440" s="402"/>
      <c r="Q440" s="402"/>
      <c r="R440" s="402"/>
      <c r="S440" s="402"/>
      <c r="T440" s="402"/>
      <c r="U440" s="402"/>
      <c r="V440" s="402"/>
      <c r="W440" s="402"/>
      <c r="X440" s="402"/>
      <c r="Y440" s="402"/>
      <c r="Z440" s="402"/>
      <c r="AA440" s="405"/>
      <c r="AB440" s="405"/>
    </row>
    <row r="441" ht="14.25" customHeight="1">
      <c r="A441" s="584"/>
      <c r="B441" s="584"/>
      <c r="C441" s="584"/>
      <c r="D441" s="584"/>
      <c r="E441" s="424" t="s">
        <v>23</v>
      </c>
      <c r="F441" s="787">
        <v>473187.0</v>
      </c>
      <c r="G441" s="584"/>
      <c r="H441" s="584"/>
      <c r="I441" s="584"/>
      <c r="J441" s="584"/>
      <c r="K441" s="584"/>
      <c r="L441" s="584"/>
      <c r="M441" s="584"/>
      <c r="N441" s="584"/>
      <c r="O441" s="584"/>
      <c r="P441" s="584"/>
      <c r="Q441" s="584"/>
      <c r="R441" s="584"/>
      <c r="S441" s="584"/>
      <c r="T441" s="584"/>
      <c r="U441" s="584"/>
      <c r="V441" s="584"/>
      <c r="W441" s="584"/>
      <c r="X441" s="584"/>
      <c r="Y441" s="584"/>
      <c r="Z441" s="584"/>
      <c r="AA441" s="659"/>
      <c r="AB441" s="659"/>
    </row>
    <row r="442" ht="14.25" customHeight="1">
      <c r="A442" s="402"/>
      <c r="B442" s="402"/>
      <c r="C442" s="402"/>
      <c r="D442" s="402"/>
      <c r="E442" s="402"/>
      <c r="F442" s="403"/>
      <c r="G442" s="402"/>
      <c r="H442" s="402"/>
      <c r="I442" s="402"/>
      <c r="J442" s="402"/>
      <c r="K442" s="402"/>
      <c r="L442" s="402"/>
      <c r="M442" s="402"/>
      <c r="N442" s="402"/>
      <c r="O442" s="402"/>
      <c r="P442" s="402"/>
      <c r="Q442" s="402"/>
      <c r="R442" s="402"/>
      <c r="S442" s="402"/>
      <c r="T442" s="402"/>
      <c r="U442" s="402"/>
      <c r="V442" s="402"/>
      <c r="W442" s="402"/>
      <c r="X442" s="402"/>
      <c r="Y442" s="402"/>
      <c r="Z442" s="402"/>
      <c r="AA442" s="405"/>
      <c r="AB442" s="405"/>
    </row>
    <row r="443" ht="14.25" customHeight="1">
      <c r="A443" s="497">
        <v>45537.0</v>
      </c>
      <c r="B443" s="414" t="s">
        <v>4577</v>
      </c>
      <c r="C443" s="415" t="s">
        <v>4578</v>
      </c>
      <c r="D443" s="415" t="s">
        <v>439</v>
      </c>
      <c r="E443" s="415" t="s">
        <v>4603</v>
      </c>
      <c r="F443" s="413">
        <v>98780.0</v>
      </c>
      <c r="G443" s="402"/>
      <c r="H443" s="402"/>
      <c r="I443" s="402"/>
      <c r="J443" s="402"/>
      <c r="K443" s="402"/>
      <c r="L443" s="402"/>
      <c r="M443" s="402"/>
      <c r="N443" s="402"/>
      <c r="O443" s="402"/>
      <c r="P443" s="402"/>
      <c r="Q443" s="402"/>
      <c r="R443" s="402"/>
      <c r="S443" s="402"/>
      <c r="T443" s="402"/>
      <c r="U443" s="402"/>
      <c r="V443" s="402"/>
      <c r="W443" s="402"/>
      <c r="X443" s="402"/>
      <c r="Y443" s="402"/>
      <c r="Z443" s="402"/>
      <c r="AA443" s="405"/>
      <c r="AB443" s="405"/>
    </row>
    <row r="444" ht="14.25" customHeight="1">
      <c r="A444" s="497">
        <v>45537.0</v>
      </c>
      <c r="B444" s="349" t="s">
        <v>4587</v>
      </c>
      <c r="C444" s="349" t="s">
        <v>4652</v>
      </c>
      <c r="D444" s="349" t="s">
        <v>439</v>
      </c>
      <c r="E444" s="349" t="s">
        <v>4586</v>
      </c>
      <c r="F444" s="413">
        <v>13631.0</v>
      </c>
      <c r="G444" s="402"/>
      <c r="H444" s="402"/>
      <c r="I444" s="402"/>
      <c r="J444" s="402"/>
      <c r="K444" s="402"/>
      <c r="L444" s="402"/>
      <c r="M444" s="402"/>
      <c r="N444" s="402"/>
      <c r="O444" s="402"/>
      <c r="P444" s="402"/>
      <c r="Q444" s="402"/>
      <c r="R444" s="402"/>
      <c r="S444" s="402"/>
      <c r="T444" s="402"/>
      <c r="U444" s="402"/>
      <c r="V444" s="402"/>
      <c r="W444" s="402"/>
      <c r="X444" s="402"/>
      <c r="Y444" s="402"/>
      <c r="Z444" s="402"/>
      <c r="AA444" s="405"/>
      <c r="AB444" s="405"/>
    </row>
    <row r="445" ht="14.25" customHeight="1">
      <c r="A445" s="497">
        <v>45537.0</v>
      </c>
      <c r="B445" s="414" t="s">
        <v>4575</v>
      </c>
      <c r="C445" s="415" t="s">
        <v>4576</v>
      </c>
      <c r="D445" s="415" t="s">
        <v>439</v>
      </c>
      <c r="E445" s="415" t="s">
        <v>4558</v>
      </c>
      <c r="F445" s="413">
        <v>12205.0</v>
      </c>
      <c r="G445" s="402"/>
      <c r="H445" s="402"/>
      <c r="I445" s="402"/>
      <c r="J445" s="402"/>
      <c r="K445" s="402"/>
      <c r="L445" s="402"/>
      <c r="M445" s="402"/>
      <c r="N445" s="402"/>
      <c r="O445" s="402"/>
      <c r="P445" s="402"/>
      <c r="Q445" s="402"/>
      <c r="R445" s="402"/>
      <c r="S445" s="402"/>
      <c r="T445" s="402"/>
      <c r="U445" s="402"/>
      <c r="V445" s="402"/>
      <c r="W445" s="402"/>
      <c r="X445" s="402"/>
      <c r="Y445" s="402"/>
      <c r="Z445" s="402"/>
      <c r="AA445" s="405"/>
      <c r="AB445" s="405"/>
    </row>
    <row r="446" ht="14.25" customHeight="1">
      <c r="A446" s="497">
        <v>45537.0</v>
      </c>
      <c r="B446" s="419" t="s">
        <v>4590</v>
      </c>
      <c r="C446" s="420" t="s">
        <v>4591</v>
      </c>
      <c r="D446" s="420" t="s">
        <v>439</v>
      </c>
      <c r="E446" s="420" t="s">
        <v>4603</v>
      </c>
      <c r="F446" s="413">
        <v>4680.0</v>
      </c>
      <c r="G446" s="402"/>
      <c r="H446" s="402"/>
      <c r="I446" s="402"/>
      <c r="J446" s="402"/>
      <c r="K446" s="402"/>
      <c r="L446" s="402"/>
      <c r="M446" s="402"/>
      <c r="N446" s="402"/>
      <c r="O446" s="402"/>
      <c r="P446" s="402"/>
      <c r="Q446" s="402"/>
      <c r="R446" s="402"/>
      <c r="S446" s="402"/>
      <c r="T446" s="402"/>
      <c r="U446" s="402"/>
      <c r="V446" s="402"/>
      <c r="W446" s="402"/>
      <c r="X446" s="402"/>
      <c r="Y446" s="402"/>
      <c r="Z446" s="402"/>
      <c r="AA446" s="405"/>
      <c r="AB446" s="405"/>
    </row>
    <row r="447" ht="14.25" customHeight="1">
      <c r="A447" s="497">
        <v>45537.0</v>
      </c>
      <c r="B447" s="349" t="s">
        <v>4619</v>
      </c>
      <c r="C447" s="349" t="s">
        <v>4620</v>
      </c>
      <c r="D447" s="349" t="s">
        <v>439</v>
      </c>
      <c r="E447" s="349" t="s">
        <v>4603</v>
      </c>
      <c r="F447" s="413">
        <v>10857.0</v>
      </c>
      <c r="G447" s="402"/>
      <c r="H447" s="402"/>
      <c r="I447" s="402"/>
      <c r="J447" s="402"/>
      <c r="K447" s="402"/>
      <c r="L447" s="402"/>
      <c r="M447" s="402"/>
      <c r="N447" s="402"/>
      <c r="O447" s="402"/>
      <c r="P447" s="402"/>
      <c r="Q447" s="402"/>
      <c r="R447" s="402"/>
      <c r="S447" s="402"/>
      <c r="T447" s="402"/>
      <c r="U447" s="402"/>
      <c r="V447" s="402"/>
      <c r="W447" s="402"/>
      <c r="X447" s="402"/>
      <c r="Y447" s="402"/>
      <c r="Z447" s="402"/>
      <c r="AA447" s="405"/>
      <c r="AB447" s="405"/>
    </row>
    <row r="448" ht="14.25" customHeight="1">
      <c r="A448" s="497">
        <v>45537.0</v>
      </c>
      <c r="B448" s="349" t="s">
        <v>4550</v>
      </c>
      <c r="C448" s="349" t="s">
        <v>4622</v>
      </c>
      <c r="D448" s="349" t="s">
        <v>439</v>
      </c>
      <c r="E448" s="349" t="s">
        <v>4564</v>
      </c>
      <c r="F448" s="413">
        <v>97020.0</v>
      </c>
      <c r="G448" s="402"/>
      <c r="H448" s="402"/>
      <c r="I448" s="402"/>
      <c r="J448" s="402"/>
      <c r="K448" s="402"/>
      <c r="L448" s="402"/>
      <c r="M448" s="402"/>
      <c r="N448" s="402"/>
      <c r="O448" s="402"/>
      <c r="P448" s="402"/>
      <c r="Q448" s="402"/>
      <c r="R448" s="402"/>
      <c r="S448" s="402"/>
      <c r="T448" s="402"/>
      <c r="U448" s="402"/>
      <c r="V448" s="402"/>
      <c r="W448" s="402"/>
      <c r="X448" s="402"/>
      <c r="Y448" s="402"/>
      <c r="Z448" s="402"/>
      <c r="AA448" s="405"/>
      <c r="AB448" s="405"/>
    </row>
    <row r="449" ht="14.25" customHeight="1">
      <c r="A449" s="497">
        <v>45537.0</v>
      </c>
      <c r="B449" s="349" t="s">
        <v>4568</v>
      </c>
      <c r="C449" s="349" t="s">
        <v>4569</v>
      </c>
      <c r="D449" s="349" t="s">
        <v>439</v>
      </c>
      <c r="E449" s="349" t="s">
        <v>4552</v>
      </c>
      <c r="F449" s="413">
        <v>16026.0</v>
      </c>
      <c r="G449" s="402"/>
      <c r="H449" s="402"/>
      <c r="I449" s="402"/>
      <c r="J449" s="402"/>
      <c r="K449" s="402"/>
      <c r="L449" s="402"/>
      <c r="M449" s="402"/>
      <c r="N449" s="402"/>
      <c r="O449" s="402"/>
      <c r="P449" s="402"/>
      <c r="Q449" s="402"/>
      <c r="R449" s="402"/>
      <c r="S449" s="402"/>
      <c r="T449" s="402"/>
      <c r="U449" s="402"/>
      <c r="V449" s="402"/>
      <c r="W449" s="402"/>
      <c r="X449" s="402"/>
      <c r="Y449" s="402"/>
      <c r="Z449" s="402"/>
      <c r="AA449" s="405"/>
      <c r="AB449" s="405"/>
    </row>
    <row r="450" ht="14.25" customHeight="1">
      <c r="A450" s="497">
        <v>45537.0</v>
      </c>
      <c r="B450" s="349" t="s">
        <v>4573</v>
      </c>
      <c r="C450" s="349" t="s">
        <v>4574</v>
      </c>
      <c r="D450" s="349" t="s">
        <v>439</v>
      </c>
      <c r="E450" s="349" t="s">
        <v>4558</v>
      </c>
      <c r="F450" s="413">
        <v>24481.0</v>
      </c>
      <c r="G450" s="402"/>
      <c r="H450" s="402"/>
      <c r="I450" s="402"/>
      <c r="J450" s="402"/>
      <c r="K450" s="402"/>
      <c r="L450" s="402"/>
      <c r="M450" s="402"/>
      <c r="N450" s="402"/>
      <c r="O450" s="402"/>
      <c r="P450" s="402"/>
      <c r="Q450" s="402"/>
      <c r="R450" s="402"/>
      <c r="S450" s="402"/>
      <c r="T450" s="402"/>
      <c r="U450" s="402"/>
      <c r="V450" s="402"/>
      <c r="W450" s="402"/>
      <c r="X450" s="402"/>
      <c r="Y450" s="402"/>
      <c r="Z450" s="402"/>
      <c r="AA450" s="405"/>
      <c r="AB450" s="405"/>
    </row>
    <row r="451" ht="14.25" customHeight="1">
      <c r="A451" s="497">
        <v>45537.0</v>
      </c>
      <c r="B451" s="349" t="s">
        <v>4626</v>
      </c>
      <c r="C451" s="349" t="s">
        <v>4627</v>
      </c>
      <c r="D451" s="349" t="s">
        <v>439</v>
      </c>
      <c r="E451" s="349" t="s">
        <v>4564</v>
      </c>
      <c r="F451" s="413">
        <v>11262.0</v>
      </c>
      <c r="G451" s="402"/>
      <c r="H451" s="402"/>
      <c r="I451" s="402"/>
      <c r="J451" s="402"/>
      <c r="K451" s="402"/>
      <c r="L451" s="402"/>
      <c r="M451" s="402"/>
      <c r="N451" s="402"/>
      <c r="O451" s="402"/>
      <c r="P451" s="402"/>
      <c r="Q451" s="402"/>
      <c r="R451" s="402"/>
      <c r="S451" s="402"/>
      <c r="T451" s="402"/>
      <c r="U451" s="402"/>
      <c r="V451" s="402"/>
      <c r="W451" s="402"/>
      <c r="X451" s="402"/>
      <c r="Y451" s="402"/>
      <c r="Z451" s="402"/>
      <c r="AA451" s="405"/>
      <c r="AB451" s="405"/>
    </row>
    <row r="452" ht="14.25" customHeight="1">
      <c r="A452" s="497">
        <v>45537.0</v>
      </c>
      <c r="B452" s="349" t="s">
        <v>4571</v>
      </c>
      <c r="C452" s="349" t="s">
        <v>4572</v>
      </c>
      <c r="D452" s="349" t="s">
        <v>439</v>
      </c>
      <c r="E452" s="349" t="s">
        <v>4603</v>
      </c>
      <c r="F452" s="413">
        <v>44818.0</v>
      </c>
      <c r="G452" s="402"/>
      <c r="H452" s="402"/>
      <c r="I452" s="402"/>
      <c r="J452" s="402"/>
      <c r="K452" s="402"/>
      <c r="L452" s="402"/>
      <c r="M452" s="402"/>
      <c r="N452" s="402"/>
      <c r="O452" s="402"/>
      <c r="P452" s="402"/>
      <c r="Q452" s="402"/>
      <c r="R452" s="402"/>
      <c r="S452" s="402"/>
      <c r="T452" s="402"/>
      <c r="U452" s="402"/>
      <c r="V452" s="402"/>
      <c r="W452" s="402"/>
      <c r="X452" s="402"/>
      <c r="Y452" s="402"/>
      <c r="Z452" s="402"/>
      <c r="AA452" s="405"/>
      <c r="AB452" s="405"/>
    </row>
    <row r="453" ht="14.25" customHeight="1">
      <c r="A453" s="497">
        <v>45537.0</v>
      </c>
      <c r="B453" s="349" t="s">
        <v>4650</v>
      </c>
      <c r="C453" s="349" t="s">
        <v>4651</v>
      </c>
      <c r="D453" s="349" t="s">
        <v>3045</v>
      </c>
      <c r="E453" s="349" t="s">
        <v>4552</v>
      </c>
      <c r="F453" s="413">
        <v>46000.0</v>
      </c>
      <c r="G453" s="402"/>
      <c r="H453" s="402"/>
      <c r="I453" s="402"/>
      <c r="J453" s="402"/>
      <c r="K453" s="402"/>
      <c r="L453" s="402"/>
      <c r="M453" s="402"/>
      <c r="N453" s="402"/>
      <c r="O453" s="402"/>
      <c r="P453" s="402"/>
      <c r="Q453" s="402"/>
      <c r="R453" s="402"/>
      <c r="S453" s="402"/>
      <c r="T453" s="402"/>
      <c r="U453" s="402"/>
      <c r="V453" s="402"/>
      <c r="W453" s="402"/>
      <c r="X453" s="402"/>
      <c r="Y453" s="402"/>
      <c r="Z453" s="402"/>
      <c r="AA453" s="405"/>
      <c r="AB453" s="405"/>
    </row>
    <row r="454" ht="14.25" customHeight="1">
      <c r="A454" s="497">
        <v>45537.0</v>
      </c>
      <c r="B454" s="349" t="s">
        <v>4661</v>
      </c>
      <c r="C454" s="349" t="s">
        <v>4569</v>
      </c>
      <c r="D454" s="349" t="s">
        <v>439</v>
      </c>
      <c r="E454" s="349" t="s">
        <v>4552</v>
      </c>
      <c r="F454" s="413">
        <v>79540.0</v>
      </c>
      <c r="G454" s="402"/>
      <c r="H454" s="402"/>
      <c r="I454" s="402"/>
      <c r="J454" s="402"/>
      <c r="K454" s="402"/>
      <c r="L454" s="402"/>
      <c r="M454" s="402"/>
      <c r="N454" s="402"/>
      <c r="O454" s="402"/>
      <c r="P454" s="402"/>
      <c r="Q454" s="402"/>
      <c r="R454" s="402"/>
      <c r="S454" s="402"/>
      <c r="T454" s="402"/>
      <c r="U454" s="402"/>
      <c r="V454" s="402"/>
      <c r="W454" s="402"/>
      <c r="X454" s="402"/>
      <c r="Y454" s="402"/>
      <c r="Z454" s="402"/>
      <c r="AA454" s="405"/>
      <c r="AB454" s="405"/>
    </row>
    <row r="455" ht="14.25" customHeight="1">
      <c r="A455" s="402"/>
      <c r="B455" s="402"/>
      <c r="C455" s="402"/>
      <c r="D455" s="402"/>
      <c r="E455" s="424" t="s">
        <v>23</v>
      </c>
      <c r="F455" s="787">
        <v>459300.0</v>
      </c>
      <c r="G455" s="402"/>
      <c r="H455" s="402"/>
      <c r="I455" s="402"/>
      <c r="J455" s="402"/>
      <c r="K455" s="402"/>
      <c r="L455" s="402"/>
      <c r="M455" s="402"/>
      <c r="N455" s="402"/>
      <c r="O455" s="402"/>
      <c r="P455" s="402"/>
      <c r="Q455" s="402"/>
      <c r="R455" s="402"/>
      <c r="S455" s="402"/>
      <c r="T455" s="402"/>
      <c r="U455" s="402"/>
      <c r="V455" s="402"/>
      <c r="W455" s="402"/>
      <c r="X455" s="402"/>
      <c r="Y455" s="402"/>
      <c r="Z455" s="402"/>
      <c r="AA455" s="405"/>
      <c r="AB455" s="405"/>
    </row>
    <row r="456" ht="14.25" customHeight="1">
      <c r="A456" s="402"/>
      <c r="B456" s="402"/>
      <c r="C456" s="402"/>
      <c r="D456" s="402"/>
      <c r="E456" s="402"/>
      <c r="F456" s="403"/>
      <c r="G456" s="402"/>
      <c r="H456" s="402"/>
      <c r="I456" s="402"/>
      <c r="J456" s="402"/>
      <c r="K456" s="402"/>
      <c r="L456" s="402"/>
      <c r="M456" s="402"/>
      <c r="N456" s="402"/>
      <c r="O456" s="402"/>
      <c r="P456" s="402"/>
      <c r="Q456" s="402"/>
      <c r="R456" s="402"/>
      <c r="S456" s="402"/>
      <c r="T456" s="402"/>
      <c r="U456" s="402"/>
      <c r="V456" s="402"/>
      <c r="W456" s="402"/>
      <c r="X456" s="402"/>
      <c r="Y456" s="402"/>
      <c r="Z456" s="402"/>
      <c r="AA456" s="405"/>
      <c r="AB456" s="405"/>
    </row>
    <row r="457" ht="14.25" customHeight="1">
      <c r="A457" s="402"/>
      <c r="B457" s="402"/>
      <c r="C457" s="402"/>
      <c r="D457" s="402"/>
      <c r="E457" s="402"/>
      <c r="F457" s="403"/>
      <c r="G457" s="402"/>
      <c r="H457" s="402"/>
      <c r="I457" s="402"/>
      <c r="J457" s="402"/>
      <c r="K457" s="402"/>
      <c r="L457" s="402"/>
      <c r="M457" s="402"/>
      <c r="N457" s="402"/>
      <c r="O457" s="402"/>
      <c r="P457" s="402"/>
      <c r="Q457" s="402"/>
      <c r="R457" s="402"/>
      <c r="S457" s="402"/>
      <c r="T457" s="402"/>
      <c r="U457" s="402"/>
      <c r="V457" s="402"/>
      <c r="W457" s="402"/>
      <c r="X457" s="402"/>
      <c r="Y457" s="402"/>
      <c r="Z457" s="402"/>
      <c r="AA457" s="405"/>
      <c r="AB457" s="405"/>
    </row>
    <row r="458" ht="14.25" customHeight="1">
      <c r="A458" s="402"/>
      <c r="B458" s="402"/>
      <c r="C458" s="402"/>
      <c r="D458" s="402"/>
      <c r="E458" s="402"/>
      <c r="F458" s="403"/>
      <c r="G458" s="402"/>
      <c r="H458" s="402"/>
      <c r="I458" s="402"/>
      <c r="J458" s="402"/>
      <c r="K458" s="402"/>
      <c r="L458" s="402"/>
      <c r="M458" s="402"/>
      <c r="N458" s="402"/>
      <c r="O458" s="402"/>
      <c r="P458" s="402"/>
      <c r="Q458" s="402"/>
      <c r="R458" s="402"/>
      <c r="S458" s="402"/>
      <c r="T458" s="402"/>
      <c r="U458" s="402"/>
      <c r="V458" s="402"/>
      <c r="W458" s="402"/>
      <c r="X458" s="402"/>
      <c r="Y458" s="402"/>
      <c r="Z458" s="402"/>
      <c r="AA458" s="405"/>
      <c r="AB458" s="405"/>
    </row>
    <row r="459" ht="14.25" customHeight="1">
      <c r="A459" s="402"/>
      <c r="B459" s="402"/>
      <c r="C459" s="402"/>
      <c r="D459" s="402"/>
      <c r="E459" s="402"/>
      <c r="F459" s="403"/>
      <c r="G459" s="402"/>
      <c r="H459" s="402"/>
      <c r="I459" s="402"/>
      <c r="J459" s="402"/>
      <c r="K459" s="402"/>
      <c r="L459" s="402"/>
      <c r="M459" s="402"/>
      <c r="N459" s="402"/>
      <c r="O459" s="402"/>
      <c r="P459" s="402"/>
      <c r="Q459" s="402"/>
      <c r="R459" s="402"/>
      <c r="S459" s="402"/>
      <c r="T459" s="402"/>
      <c r="U459" s="402"/>
      <c r="V459" s="402"/>
      <c r="W459" s="402"/>
      <c r="X459" s="402"/>
      <c r="Y459" s="402"/>
      <c r="Z459" s="402"/>
      <c r="AA459" s="405"/>
      <c r="AB459" s="405"/>
    </row>
    <row r="460" ht="14.25" customHeight="1">
      <c r="A460" s="402"/>
      <c r="B460" s="402"/>
      <c r="C460" s="402"/>
      <c r="D460" s="402"/>
      <c r="E460" s="402"/>
      <c r="F460" s="403"/>
      <c r="G460" s="402"/>
      <c r="H460" s="402"/>
      <c r="I460" s="402"/>
      <c r="J460" s="402"/>
      <c r="K460" s="402"/>
      <c r="L460" s="402"/>
      <c r="M460" s="402"/>
      <c r="N460" s="402"/>
      <c r="O460" s="402"/>
      <c r="P460" s="402"/>
      <c r="Q460" s="402"/>
      <c r="R460" s="402"/>
      <c r="S460" s="402"/>
      <c r="T460" s="402"/>
      <c r="U460" s="402"/>
      <c r="V460" s="402"/>
      <c r="W460" s="402"/>
      <c r="X460" s="402"/>
      <c r="Y460" s="402"/>
      <c r="Z460" s="402"/>
      <c r="AA460" s="405"/>
      <c r="AB460" s="405"/>
    </row>
    <row r="461" ht="14.25" customHeight="1">
      <c r="A461" s="402"/>
      <c r="B461" s="402"/>
      <c r="C461" s="402"/>
      <c r="D461" s="402"/>
      <c r="E461" s="402"/>
      <c r="F461" s="403"/>
      <c r="G461" s="402"/>
      <c r="H461" s="402"/>
      <c r="I461" s="402"/>
      <c r="J461" s="402"/>
      <c r="K461" s="402"/>
      <c r="L461" s="402"/>
      <c r="M461" s="402"/>
      <c r="N461" s="402"/>
      <c r="O461" s="402"/>
      <c r="P461" s="402"/>
      <c r="Q461" s="402"/>
      <c r="R461" s="402"/>
      <c r="S461" s="402"/>
      <c r="T461" s="402"/>
      <c r="U461" s="402"/>
      <c r="V461" s="402"/>
      <c r="W461" s="402"/>
      <c r="X461" s="402"/>
      <c r="Y461" s="402"/>
      <c r="Z461" s="402"/>
      <c r="AA461" s="405"/>
      <c r="AB461" s="405"/>
    </row>
    <row r="462" ht="14.25" customHeight="1">
      <c r="A462" s="402"/>
      <c r="B462" s="402"/>
      <c r="C462" s="402"/>
      <c r="D462" s="402"/>
      <c r="E462" s="402"/>
      <c r="F462" s="403"/>
      <c r="G462" s="402"/>
      <c r="H462" s="402"/>
      <c r="I462" s="402"/>
      <c r="J462" s="402"/>
      <c r="K462" s="402"/>
      <c r="L462" s="402"/>
      <c r="M462" s="402"/>
      <c r="N462" s="402"/>
      <c r="O462" s="402"/>
      <c r="P462" s="402"/>
      <c r="Q462" s="402"/>
      <c r="R462" s="402"/>
      <c r="S462" s="402"/>
      <c r="T462" s="402"/>
      <c r="U462" s="402"/>
      <c r="V462" s="402"/>
      <c r="W462" s="402"/>
      <c r="X462" s="402"/>
      <c r="Y462" s="402"/>
      <c r="Z462" s="402"/>
      <c r="AA462" s="405"/>
      <c r="AB462" s="405"/>
    </row>
    <row r="463" ht="14.25" customHeight="1">
      <c r="A463" s="402"/>
      <c r="B463" s="402"/>
      <c r="C463" s="402"/>
      <c r="D463" s="402"/>
      <c r="E463" s="402"/>
      <c r="F463" s="403"/>
      <c r="G463" s="402"/>
      <c r="H463" s="402"/>
      <c r="I463" s="402"/>
      <c r="J463" s="402"/>
      <c r="K463" s="402"/>
      <c r="L463" s="402"/>
      <c r="M463" s="402"/>
      <c r="N463" s="402"/>
      <c r="O463" s="402"/>
      <c r="P463" s="402"/>
      <c r="Q463" s="402"/>
      <c r="R463" s="402"/>
      <c r="S463" s="402"/>
      <c r="T463" s="402"/>
      <c r="U463" s="402"/>
      <c r="V463" s="402"/>
      <c r="W463" s="402"/>
      <c r="X463" s="402"/>
      <c r="Y463" s="402"/>
      <c r="Z463" s="402"/>
      <c r="AA463" s="405"/>
      <c r="AB463" s="405"/>
    </row>
    <row r="464" ht="14.25" customHeight="1">
      <c r="A464" s="402"/>
      <c r="B464" s="402"/>
      <c r="C464" s="402"/>
      <c r="D464" s="402"/>
      <c r="E464" s="402"/>
      <c r="F464" s="403"/>
      <c r="G464" s="402"/>
      <c r="H464" s="402"/>
      <c r="I464" s="402"/>
      <c r="J464" s="402"/>
      <c r="K464" s="402"/>
      <c r="L464" s="402"/>
      <c r="M464" s="402"/>
      <c r="N464" s="402"/>
      <c r="O464" s="402"/>
      <c r="P464" s="402"/>
      <c r="Q464" s="402"/>
      <c r="R464" s="402"/>
      <c r="S464" s="402"/>
      <c r="T464" s="402"/>
      <c r="U464" s="402"/>
      <c r="V464" s="402"/>
      <c r="W464" s="402"/>
      <c r="X464" s="402"/>
      <c r="Y464" s="402"/>
      <c r="Z464" s="402"/>
      <c r="AA464" s="405"/>
      <c r="AB464" s="405"/>
    </row>
    <row r="465" ht="14.25" customHeight="1">
      <c r="A465" s="402"/>
      <c r="B465" s="402"/>
      <c r="C465" s="402"/>
      <c r="D465" s="402"/>
      <c r="E465" s="402"/>
      <c r="F465" s="403"/>
      <c r="G465" s="402"/>
      <c r="H465" s="402"/>
      <c r="I465" s="402"/>
      <c r="J465" s="402"/>
      <c r="K465" s="402"/>
      <c r="L465" s="402"/>
      <c r="M465" s="402"/>
      <c r="N465" s="402"/>
      <c r="O465" s="402"/>
      <c r="P465" s="402"/>
      <c r="Q465" s="402"/>
      <c r="R465" s="402"/>
      <c r="S465" s="402"/>
      <c r="T465" s="402"/>
      <c r="U465" s="402"/>
      <c r="V465" s="402"/>
      <c r="W465" s="402"/>
      <c r="X465" s="402"/>
      <c r="Y465" s="402"/>
      <c r="Z465" s="402"/>
      <c r="AA465" s="405"/>
      <c r="AB465" s="405"/>
    </row>
    <row r="466" ht="14.25" customHeight="1">
      <c r="A466" s="402"/>
      <c r="B466" s="402"/>
      <c r="C466" s="402"/>
      <c r="D466" s="402"/>
      <c r="E466" s="402"/>
      <c r="F466" s="403"/>
      <c r="G466" s="402"/>
      <c r="H466" s="402"/>
      <c r="I466" s="402"/>
      <c r="J466" s="402"/>
      <c r="K466" s="402"/>
      <c r="L466" s="402"/>
      <c r="M466" s="402"/>
      <c r="N466" s="402"/>
      <c r="O466" s="402"/>
      <c r="P466" s="402"/>
      <c r="Q466" s="402"/>
      <c r="R466" s="402"/>
      <c r="S466" s="402"/>
      <c r="T466" s="402"/>
      <c r="U466" s="402"/>
      <c r="V466" s="402"/>
      <c r="W466" s="402"/>
      <c r="X466" s="402"/>
      <c r="Y466" s="402"/>
      <c r="Z466" s="402"/>
      <c r="AA466" s="405"/>
      <c r="AB466" s="405"/>
    </row>
    <row r="467" ht="14.25" customHeight="1">
      <c r="A467" s="402"/>
      <c r="B467" s="402"/>
      <c r="C467" s="402"/>
      <c r="D467" s="402"/>
      <c r="E467" s="402"/>
      <c r="F467" s="403"/>
      <c r="G467" s="402"/>
      <c r="H467" s="402"/>
      <c r="I467" s="402"/>
      <c r="J467" s="402"/>
      <c r="K467" s="402"/>
      <c r="L467" s="402"/>
      <c r="M467" s="402"/>
      <c r="N467" s="402"/>
      <c r="O467" s="402"/>
      <c r="P467" s="402"/>
      <c r="Q467" s="402"/>
      <c r="R467" s="402"/>
      <c r="S467" s="402"/>
      <c r="T467" s="402"/>
      <c r="U467" s="402"/>
      <c r="V467" s="402"/>
      <c r="W467" s="402"/>
      <c r="X467" s="402"/>
      <c r="Y467" s="402"/>
      <c r="Z467" s="402"/>
      <c r="AA467" s="405"/>
      <c r="AB467" s="405"/>
    </row>
    <row r="468" ht="14.25" customHeight="1">
      <c r="A468" s="402"/>
      <c r="B468" s="402"/>
      <c r="C468" s="402"/>
      <c r="D468" s="402"/>
      <c r="E468" s="402"/>
      <c r="F468" s="403"/>
      <c r="G468" s="402"/>
      <c r="H468" s="402"/>
      <c r="I468" s="402"/>
      <c r="J468" s="402"/>
      <c r="K468" s="402"/>
      <c r="L468" s="402"/>
      <c r="M468" s="402"/>
      <c r="N468" s="402"/>
      <c r="O468" s="402"/>
      <c r="P468" s="402"/>
      <c r="Q468" s="402"/>
      <c r="R468" s="402"/>
      <c r="S468" s="402"/>
      <c r="T468" s="402"/>
      <c r="U468" s="402"/>
      <c r="V468" s="402"/>
      <c r="W468" s="402"/>
      <c r="X468" s="402"/>
      <c r="Y468" s="402"/>
      <c r="Z468" s="402"/>
      <c r="AA468" s="405"/>
      <c r="AB468" s="405"/>
    </row>
    <row r="469" ht="14.25" customHeight="1">
      <c r="A469" s="402"/>
      <c r="B469" s="402"/>
      <c r="C469" s="402"/>
      <c r="D469" s="402"/>
      <c r="E469" s="402"/>
      <c r="F469" s="403"/>
      <c r="G469" s="402"/>
      <c r="H469" s="402"/>
      <c r="I469" s="402"/>
      <c r="J469" s="402"/>
      <c r="K469" s="402"/>
      <c r="L469" s="402"/>
      <c r="M469" s="402"/>
      <c r="N469" s="402"/>
      <c r="O469" s="402"/>
      <c r="P469" s="402"/>
      <c r="Q469" s="402"/>
      <c r="R469" s="402"/>
      <c r="S469" s="402"/>
      <c r="T469" s="402"/>
      <c r="U469" s="402"/>
      <c r="V469" s="402"/>
      <c r="W469" s="402"/>
      <c r="X469" s="402"/>
      <c r="Y469" s="402"/>
      <c r="Z469" s="402"/>
      <c r="AA469" s="405"/>
      <c r="AB469" s="405"/>
    </row>
    <row r="470" ht="14.25" customHeight="1">
      <c r="A470" s="402"/>
      <c r="B470" s="402"/>
      <c r="C470" s="402"/>
      <c r="D470" s="402"/>
      <c r="E470" s="402"/>
      <c r="F470" s="403"/>
      <c r="G470" s="402"/>
      <c r="H470" s="402"/>
      <c r="I470" s="402"/>
      <c r="J470" s="402"/>
      <c r="K470" s="402"/>
      <c r="L470" s="402"/>
      <c r="M470" s="402"/>
      <c r="N470" s="402"/>
      <c r="O470" s="402"/>
      <c r="P470" s="402"/>
      <c r="Q470" s="402"/>
      <c r="R470" s="402"/>
      <c r="S470" s="402"/>
      <c r="T470" s="402"/>
      <c r="U470" s="402"/>
      <c r="V470" s="402"/>
      <c r="W470" s="402"/>
      <c r="X470" s="402"/>
      <c r="Y470" s="402"/>
      <c r="Z470" s="402"/>
      <c r="AA470" s="405"/>
      <c r="AB470" s="405"/>
    </row>
    <row r="471" ht="14.25" customHeight="1">
      <c r="A471" s="402"/>
      <c r="B471" s="402"/>
      <c r="C471" s="402"/>
      <c r="D471" s="402"/>
      <c r="E471" s="402"/>
      <c r="F471" s="403"/>
      <c r="G471" s="402"/>
      <c r="H471" s="402"/>
      <c r="I471" s="402"/>
      <c r="J471" s="402"/>
      <c r="K471" s="402"/>
      <c r="L471" s="402"/>
      <c r="M471" s="402"/>
      <c r="N471" s="402"/>
      <c r="O471" s="402"/>
      <c r="P471" s="402"/>
      <c r="Q471" s="402"/>
      <c r="R471" s="402"/>
      <c r="S471" s="402"/>
      <c r="T471" s="402"/>
      <c r="U471" s="402"/>
      <c r="V471" s="402"/>
      <c r="W471" s="402"/>
      <c r="X471" s="402"/>
      <c r="Y471" s="402"/>
      <c r="Z471" s="402"/>
      <c r="AA471" s="405"/>
      <c r="AB471" s="405"/>
    </row>
    <row r="472" ht="14.25" customHeight="1">
      <c r="A472" s="402"/>
      <c r="B472" s="402"/>
      <c r="C472" s="402"/>
      <c r="D472" s="402"/>
      <c r="E472" s="402"/>
      <c r="F472" s="403"/>
      <c r="G472" s="402"/>
      <c r="H472" s="402"/>
      <c r="I472" s="402"/>
      <c r="J472" s="402"/>
      <c r="K472" s="402"/>
      <c r="L472" s="402"/>
      <c r="M472" s="402"/>
      <c r="N472" s="402"/>
      <c r="O472" s="402"/>
      <c r="P472" s="402"/>
      <c r="Q472" s="402"/>
      <c r="R472" s="402"/>
      <c r="S472" s="402"/>
      <c r="T472" s="402"/>
      <c r="U472" s="402"/>
      <c r="V472" s="402"/>
      <c r="W472" s="402"/>
      <c r="X472" s="402"/>
      <c r="Y472" s="402"/>
      <c r="Z472" s="402"/>
      <c r="AA472" s="405"/>
      <c r="AB472" s="405"/>
    </row>
    <row r="473" ht="14.25" customHeight="1">
      <c r="A473" s="402"/>
      <c r="B473" s="402"/>
      <c r="C473" s="402"/>
      <c r="D473" s="402"/>
      <c r="E473" s="402"/>
      <c r="F473" s="403"/>
      <c r="G473" s="402"/>
      <c r="H473" s="402"/>
      <c r="I473" s="402"/>
      <c r="J473" s="402"/>
      <c r="K473" s="402"/>
      <c r="L473" s="402"/>
      <c r="M473" s="402"/>
      <c r="N473" s="402"/>
      <c r="O473" s="402"/>
      <c r="P473" s="402"/>
      <c r="Q473" s="402"/>
      <c r="R473" s="402"/>
      <c r="S473" s="402"/>
      <c r="T473" s="402"/>
      <c r="U473" s="402"/>
      <c r="V473" s="402"/>
      <c r="W473" s="402"/>
      <c r="X473" s="402"/>
      <c r="Y473" s="402"/>
      <c r="Z473" s="402"/>
      <c r="AA473" s="405"/>
      <c r="AB473" s="405"/>
    </row>
    <row r="474" ht="14.25" customHeight="1">
      <c r="A474" s="402"/>
      <c r="B474" s="402"/>
      <c r="C474" s="402"/>
      <c r="D474" s="402"/>
      <c r="E474" s="402"/>
      <c r="F474" s="403"/>
      <c r="G474" s="402"/>
      <c r="H474" s="402"/>
      <c r="I474" s="402"/>
      <c r="J474" s="402"/>
      <c r="K474" s="402"/>
      <c r="L474" s="402"/>
      <c r="M474" s="402"/>
      <c r="N474" s="402"/>
      <c r="O474" s="402"/>
      <c r="P474" s="402"/>
      <c r="Q474" s="402"/>
      <c r="R474" s="402"/>
      <c r="S474" s="402"/>
      <c r="T474" s="402"/>
      <c r="U474" s="402"/>
      <c r="V474" s="402"/>
      <c r="W474" s="402"/>
      <c r="X474" s="402"/>
      <c r="Y474" s="402"/>
      <c r="Z474" s="402"/>
      <c r="AA474" s="405"/>
      <c r="AB474" s="405"/>
    </row>
    <row r="475" ht="14.25" customHeight="1">
      <c r="A475" s="402"/>
      <c r="B475" s="402"/>
      <c r="C475" s="402"/>
      <c r="D475" s="402"/>
      <c r="E475" s="402"/>
      <c r="F475" s="403"/>
      <c r="G475" s="402"/>
      <c r="H475" s="402"/>
      <c r="I475" s="402"/>
      <c r="J475" s="402"/>
      <c r="K475" s="402"/>
      <c r="L475" s="402"/>
      <c r="M475" s="402"/>
      <c r="N475" s="402"/>
      <c r="O475" s="402"/>
      <c r="P475" s="402"/>
      <c r="Q475" s="402"/>
      <c r="R475" s="402"/>
      <c r="S475" s="402"/>
      <c r="T475" s="402"/>
      <c r="U475" s="402"/>
      <c r="V475" s="402"/>
      <c r="W475" s="402"/>
      <c r="X475" s="402"/>
      <c r="Y475" s="402"/>
      <c r="Z475" s="402"/>
      <c r="AA475" s="405"/>
      <c r="AB475" s="405"/>
    </row>
    <row r="476" ht="14.25" customHeight="1">
      <c r="A476" s="402"/>
      <c r="B476" s="402"/>
      <c r="C476" s="402"/>
      <c r="D476" s="402"/>
      <c r="E476" s="402"/>
      <c r="F476" s="403"/>
      <c r="G476" s="402"/>
      <c r="H476" s="402"/>
      <c r="I476" s="402"/>
      <c r="J476" s="402"/>
      <c r="K476" s="402"/>
      <c r="L476" s="402"/>
      <c r="M476" s="402"/>
      <c r="N476" s="402"/>
      <c r="O476" s="402"/>
      <c r="P476" s="402"/>
      <c r="Q476" s="402"/>
      <c r="R476" s="402"/>
      <c r="S476" s="402"/>
      <c r="T476" s="402"/>
      <c r="U476" s="402"/>
      <c r="V476" s="402"/>
      <c r="W476" s="402"/>
      <c r="X476" s="402"/>
      <c r="Y476" s="402"/>
      <c r="Z476" s="402"/>
      <c r="AA476" s="405"/>
      <c r="AB476" s="405"/>
    </row>
    <row r="477" ht="14.25" customHeight="1">
      <c r="A477" s="402"/>
      <c r="B477" s="402"/>
      <c r="C477" s="402"/>
      <c r="D477" s="402"/>
      <c r="E477" s="402"/>
      <c r="F477" s="403"/>
      <c r="G477" s="402"/>
      <c r="H477" s="402"/>
      <c r="I477" s="402"/>
      <c r="J477" s="402"/>
      <c r="K477" s="402"/>
      <c r="L477" s="402"/>
      <c r="M477" s="402"/>
      <c r="N477" s="402"/>
      <c r="O477" s="402"/>
      <c r="P477" s="402"/>
      <c r="Q477" s="402"/>
      <c r="R477" s="402"/>
      <c r="S477" s="402"/>
      <c r="T477" s="402"/>
      <c r="U477" s="402"/>
      <c r="V477" s="402"/>
      <c r="W477" s="402"/>
      <c r="X477" s="402"/>
      <c r="Y477" s="402"/>
      <c r="Z477" s="402"/>
      <c r="AA477" s="405"/>
      <c r="AB477" s="405"/>
    </row>
    <row r="478" ht="14.25" customHeight="1">
      <c r="A478" s="402"/>
      <c r="B478" s="402"/>
      <c r="C478" s="402"/>
      <c r="D478" s="402"/>
      <c r="E478" s="402"/>
      <c r="F478" s="403"/>
      <c r="G478" s="402"/>
      <c r="H478" s="402"/>
      <c r="I478" s="402"/>
      <c r="J478" s="402"/>
      <c r="K478" s="402"/>
      <c r="L478" s="402"/>
      <c r="M478" s="402"/>
      <c r="N478" s="402"/>
      <c r="O478" s="402"/>
      <c r="P478" s="402"/>
      <c r="Q478" s="402"/>
      <c r="R478" s="402"/>
      <c r="S478" s="402"/>
      <c r="T478" s="402"/>
      <c r="U478" s="402"/>
      <c r="V478" s="402"/>
      <c r="W478" s="402"/>
      <c r="X478" s="402"/>
      <c r="Y478" s="402"/>
      <c r="Z478" s="402"/>
      <c r="AA478" s="405"/>
      <c r="AB478" s="405"/>
    </row>
    <row r="479" ht="14.25" customHeight="1">
      <c r="A479" s="402"/>
      <c r="B479" s="402"/>
      <c r="C479" s="402"/>
      <c r="D479" s="402"/>
      <c r="E479" s="402"/>
      <c r="F479" s="403"/>
      <c r="G479" s="402"/>
      <c r="H479" s="402"/>
      <c r="I479" s="402"/>
      <c r="J479" s="402"/>
      <c r="K479" s="402"/>
      <c r="L479" s="402"/>
      <c r="M479" s="402"/>
      <c r="N479" s="402"/>
      <c r="O479" s="402"/>
      <c r="P479" s="402"/>
      <c r="Q479" s="402"/>
      <c r="R479" s="402"/>
      <c r="S479" s="402"/>
      <c r="T479" s="402"/>
      <c r="U479" s="402"/>
      <c r="V479" s="402"/>
      <c r="W479" s="402"/>
      <c r="X479" s="402"/>
      <c r="Y479" s="402"/>
      <c r="Z479" s="402"/>
      <c r="AA479" s="405"/>
      <c r="AB479" s="405"/>
    </row>
    <row r="480" ht="14.25" customHeight="1">
      <c r="A480" s="402"/>
      <c r="B480" s="402"/>
      <c r="C480" s="402"/>
      <c r="D480" s="402"/>
      <c r="E480" s="402"/>
      <c r="F480" s="403"/>
      <c r="G480" s="402"/>
      <c r="H480" s="402"/>
      <c r="I480" s="402"/>
      <c r="J480" s="402"/>
      <c r="K480" s="402"/>
      <c r="L480" s="402"/>
      <c r="M480" s="402"/>
      <c r="N480" s="402"/>
      <c r="O480" s="402"/>
      <c r="P480" s="402"/>
      <c r="Q480" s="402"/>
      <c r="R480" s="402"/>
      <c r="S480" s="402"/>
      <c r="T480" s="402"/>
      <c r="U480" s="402"/>
      <c r="V480" s="402"/>
      <c r="W480" s="402"/>
      <c r="X480" s="402"/>
      <c r="Y480" s="402"/>
      <c r="Z480" s="402"/>
      <c r="AA480" s="405"/>
      <c r="AB480" s="405"/>
    </row>
    <row r="481" ht="14.25" customHeight="1">
      <c r="A481" s="402"/>
      <c r="B481" s="402"/>
      <c r="C481" s="402"/>
      <c r="D481" s="402"/>
      <c r="E481" s="402"/>
      <c r="F481" s="403"/>
      <c r="G481" s="402"/>
      <c r="H481" s="402"/>
      <c r="I481" s="402"/>
      <c r="J481" s="402"/>
      <c r="K481" s="402"/>
      <c r="L481" s="402"/>
      <c r="M481" s="402"/>
      <c r="N481" s="402"/>
      <c r="O481" s="402"/>
      <c r="P481" s="402"/>
      <c r="Q481" s="402"/>
      <c r="R481" s="402"/>
      <c r="S481" s="402"/>
      <c r="T481" s="402"/>
      <c r="U481" s="402"/>
      <c r="V481" s="402"/>
      <c r="W481" s="402"/>
      <c r="X481" s="402"/>
      <c r="Y481" s="402"/>
      <c r="Z481" s="402"/>
      <c r="AA481" s="405"/>
      <c r="AB481" s="405"/>
    </row>
    <row r="482" ht="14.25" customHeight="1">
      <c r="A482" s="402"/>
      <c r="B482" s="402"/>
      <c r="C482" s="402"/>
      <c r="D482" s="402"/>
      <c r="E482" s="402"/>
      <c r="F482" s="403"/>
      <c r="G482" s="402"/>
      <c r="H482" s="402"/>
      <c r="I482" s="402"/>
      <c r="J482" s="402"/>
      <c r="K482" s="402"/>
      <c r="L482" s="402"/>
      <c r="M482" s="402"/>
      <c r="N482" s="402"/>
      <c r="O482" s="402"/>
      <c r="P482" s="402"/>
      <c r="Q482" s="402"/>
      <c r="R482" s="402"/>
      <c r="S482" s="402"/>
      <c r="T482" s="402"/>
      <c r="U482" s="402"/>
      <c r="V482" s="402"/>
      <c r="W482" s="402"/>
      <c r="X482" s="402"/>
      <c r="Y482" s="402"/>
      <c r="Z482" s="402"/>
      <c r="AA482" s="405"/>
      <c r="AB482" s="405"/>
    </row>
    <row r="483" ht="14.25" customHeight="1">
      <c r="A483" s="402"/>
      <c r="B483" s="402"/>
      <c r="C483" s="402"/>
      <c r="D483" s="402"/>
      <c r="E483" s="402"/>
      <c r="F483" s="403"/>
      <c r="G483" s="402"/>
      <c r="H483" s="402"/>
      <c r="I483" s="402"/>
      <c r="J483" s="402"/>
      <c r="K483" s="402"/>
      <c r="L483" s="402"/>
      <c r="M483" s="402"/>
      <c r="N483" s="402"/>
      <c r="O483" s="402"/>
      <c r="P483" s="402"/>
      <c r="Q483" s="402"/>
      <c r="R483" s="402"/>
      <c r="S483" s="402"/>
      <c r="T483" s="402"/>
      <c r="U483" s="402"/>
      <c r="V483" s="402"/>
      <c r="W483" s="402"/>
      <c r="X483" s="402"/>
      <c r="Y483" s="402"/>
      <c r="Z483" s="402"/>
      <c r="AA483" s="405"/>
      <c r="AB483" s="405"/>
    </row>
    <row r="484" ht="14.25" customHeight="1">
      <c r="A484" s="402"/>
      <c r="B484" s="402"/>
      <c r="C484" s="402"/>
      <c r="D484" s="402"/>
      <c r="E484" s="402"/>
      <c r="F484" s="403"/>
      <c r="G484" s="402"/>
      <c r="H484" s="402"/>
      <c r="I484" s="402"/>
      <c r="J484" s="402"/>
      <c r="K484" s="402"/>
      <c r="L484" s="402"/>
      <c r="M484" s="402"/>
      <c r="N484" s="402"/>
      <c r="O484" s="402"/>
      <c r="P484" s="402"/>
      <c r="Q484" s="402"/>
      <c r="R484" s="402"/>
      <c r="S484" s="402"/>
      <c r="T484" s="402"/>
      <c r="U484" s="402"/>
      <c r="V484" s="402"/>
      <c r="W484" s="402"/>
      <c r="X484" s="402"/>
      <c r="Y484" s="402"/>
      <c r="Z484" s="402"/>
      <c r="AA484" s="405"/>
      <c r="AB484" s="405"/>
    </row>
    <row r="485" ht="14.25" customHeight="1">
      <c r="A485" s="402"/>
      <c r="B485" s="402"/>
      <c r="C485" s="402"/>
      <c r="D485" s="402"/>
      <c r="E485" s="402"/>
      <c r="F485" s="403"/>
      <c r="G485" s="402"/>
      <c r="H485" s="402"/>
      <c r="I485" s="402"/>
      <c r="J485" s="402"/>
      <c r="K485" s="402"/>
      <c r="L485" s="402"/>
      <c r="M485" s="402"/>
      <c r="N485" s="402"/>
      <c r="O485" s="402"/>
      <c r="P485" s="402"/>
      <c r="Q485" s="402"/>
      <c r="R485" s="402"/>
      <c r="S485" s="402"/>
      <c r="T485" s="402"/>
      <c r="U485" s="402"/>
      <c r="V485" s="402"/>
      <c r="W485" s="402"/>
      <c r="X485" s="402"/>
      <c r="Y485" s="402"/>
      <c r="Z485" s="402"/>
      <c r="AA485" s="405"/>
      <c r="AB485" s="405"/>
    </row>
    <row r="486" ht="14.25" customHeight="1">
      <c r="A486" s="402"/>
      <c r="B486" s="402"/>
      <c r="C486" s="402"/>
      <c r="D486" s="402"/>
      <c r="E486" s="402"/>
      <c r="F486" s="403"/>
      <c r="G486" s="402"/>
      <c r="H486" s="402"/>
      <c r="I486" s="402"/>
      <c r="J486" s="402"/>
      <c r="K486" s="402"/>
      <c r="L486" s="402"/>
      <c r="M486" s="402"/>
      <c r="N486" s="402"/>
      <c r="O486" s="402"/>
      <c r="P486" s="402"/>
      <c r="Q486" s="402"/>
      <c r="R486" s="402"/>
      <c r="S486" s="402"/>
      <c r="T486" s="402"/>
      <c r="U486" s="402"/>
      <c r="V486" s="402"/>
      <c r="W486" s="402"/>
      <c r="X486" s="402"/>
      <c r="Y486" s="402"/>
      <c r="Z486" s="402"/>
      <c r="AA486" s="405"/>
      <c r="AB486" s="405"/>
    </row>
    <row r="487" ht="14.25" customHeight="1">
      <c r="A487" s="402"/>
      <c r="B487" s="402"/>
      <c r="C487" s="402"/>
      <c r="D487" s="402"/>
      <c r="E487" s="402"/>
      <c r="F487" s="403"/>
      <c r="G487" s="402"/>
      <c r="H487" s="402"/>
      <c r="I487" s="402"/>
      <c r="J487" s="402"/>
      <c r="K487" s="402"/>
      <c r="L487" s="402"/>
      <c r="M487" s="402"/>
      <c r="N487" s="402"/>
      <c r="O487" s="402"/>
      <c r="P487" s="402"/>
      <c r="Q487" s="402"/>
      <c r="R487" s="402"/>
      <c r="S487" s="402"/>
      <c r="T487" s="402"/>
      <c r="U487" s="402"/>
      <c r="V487" s="402"/>
      <c r="W487" s="402"/>
      <c r="X487" s="402"/>
      <c r="Y487" s="402"/>
      <c r="Z487" s="402"/>
      <c r="AA487" s="405"/>
      <c r="AB487" s="405"/>
    </row>
    <row r="488" ht="14.25" customHeight="1">
      <c r="A488" s="402"/>
      <c r="B488" s="402"/>
      <c r="C488" s="402"/>
      <c r="D488" s="402"/>
      <c r="E488" s="402"/>
      <c r="F488" s="403"/>
      <c r="G488" s="402"/>
      <c r="H488" s="402"/>
      <c r="I488" s="402"/>
      <c r="J488" s="402"/>
      <c r="K488" s="402"/>
      <c r="L488" s="402"/>
      <c r="M488" s="402"/>
      <c r="N488" s="402"/>
      <c r="O488" s="402"/>
      <c r="P488" s="402"/>
      <c r="Q488" s="402"/>
      <c r="R488" s="402"/>
      <c r="S488" s="402"/>
      <c r="T488" s="402"/>
      <c r="U488" s="402"/>
      <c r="V488" s="402"/>
      <c r="W488" s="402"/>
      <c r="X488" s="402"/>
      <c r="Y488" s="402"/>
      <c r="Z488" s="402"/>
      <c r="AA488" s="405"/>
      <c r="AB488" s="405"/>
    </row>
    <row r="489" ht="14.25" customHeight="1">
      <c r="A489" s="402"/>
      <c r="B489" s="402"/>
      <c r="C489" s="402"/>
      <c r="D489" s="402"/>
      <c r="E489" s="402"/>
      <c r="F489" s="403"/>
      <c r="G489" s="402"/>
      <c r="H489" s="402"/>
      <c r="I489" s="402"/>
      <c r="J489" s="402"/>
      <c r="K489" s="402"/>
      <c r="L489" s="402"/>
      <c r="M489" s="402"/>
      <c r="N489" s="402"/>
      <c r="O489" s="402"/>
      <c r="P489" s="402"/>
      <c r="Q489" s="402"/>
      <c r="R489" s="402"/>
      <c r="S489" s="402"/>
      <c r="T489" s="402"/>
      <c r="U489" s="402"/>
      <c r="V489" s="402"/>
      <c r="W489" s="402"/>
      <c r="X489" s="402"/>
      <c r="Y489" s="402"/>
      <c r="Z489" s="402"/>
      <c r="AA489" s="405"/>
      <c r="AB489" s="405"/>
    </row>
    <row r="490" ht="14.25" customHeight="1">
      <c r="A490" s="402"/>
      <c r="B490" s="402"/>
      <c r="C490" s="402"/>
      <c r="D490" s="402"/>
      <c r="E490" s="402"/>
      <c r="F490" s="403"/>
      <c r="G490" s="402"/>
      <c r="H490" s="402"/>
      <c r="I490" s="402"/>
      <c r="J490" s="402"/>
      <c r="K490" s="402"/>
      <c r="L490" s="402"/>
      <c r="M490" s="402"/>
      <c r="N490" s="402"/>
      <c r="O490" s="402"/>
      <c r="P490" s="402"/>
      <c r="Q490" s="402"/>
      <c r="R490" s="402"/>
      <c r="S490" s="402"/>
      <c r="T490" s="402"/>
      <c r="U490" s="402"/>
      <c r="V490" s="402"/>
      <c r="W490" s="402"/>
      <c r="X490" s="402"/>
      <c r="Y490" s="402"/>
      <c r="Z490" s="402"/>
      <c r="AA490" s="405"/>
      <c r="AB490" s="405"/>
    </row>
    <row r="491" ht="14.25" customHeight="1">
      <c r="A491" s="402"/>
      <c r="B491" s="402"/>
      <c r="C491" s="402"/>
      <c r="D491" s="402"/>
      <c r="E491" s="402"/>
      <c r="F491" s="403"/>
      <c r="G491" s="402"/>
      <c r="H491" s="402"/>
      <c r="I491" s="402"/>
      <c r="J491" s="402"/>
      <c r="K491" s="402"/>
      <c r="L491" s="402"/>
      <c r="M491" s="402"/>
      <c r="N491" s="402"/>
      <c r="O491" s="402"/>
      <c r="P491" s="402"/>
      <c r="Q491" s="402"/>
      <c r="R491" s="402"/>
      <c r="S491" s="402"/>
      <c r="T491" s="402"/>
      <c r="U491" s="402"/>
      <c r="V491" s="402"/>
      <c r="W491" s="402"/>
      <c r="X491" s="402"/>
      <c r="Y491" s="402"/>
      <c r="Z491" s="402"/>
      <c r="AA491" s="405"/>
      <c r="AB491" s="405"/>
    </row>
    <row r="492" ht="14.25" customHeight="1">
      <c r="A492" s="402"/>
      <c r="B492" s="402"/>
      <c r="C492" s="402"/>
      <c r="D492" s="402"/>
      <c r="E492" s="402"/>
      <c r="F492" s="403"/>
      <c r="G492" s="402"/>
      <c r="H492" s="402"/>
      <c r="I492" s="402"/>
      <c r="J492" s="402"/>
      <c r="K492" s="402"/>
      <c r="L492" s="402"/>
      <c r="M492" s="402"/>
      <c r="N492" s="402"/>
      <c r="O492" s="402"/>
      <c r="P492" s="402"/>
      <c r="Q492" s="402"/>
      <c r="R492" s="402"/>
      <c r="S492" s="402"/>
      <c r="T492" s="402"/>
      <c r="U492" s="402"/>
      <c r="V492" s="402"/>
      <c r="W492" s="402"/>
      <c r="X492" s="402"/>
      <c r="Y492" s="402"/>
      <c r="Z492" s="402"/>
      <c r="AA492" s="405"/>
      <c r="AB492" s="405"/>
    </row>
    <row r="493" ht="14.25" customHeight="1">
      <c r="A493" s="402"/>
      <c r="B493" s="402"/>
      <c r="C493" s="402"/>
      <c r="D493" s="402"/>
      <c r="E493" s="402"/>
      <c r="F493" s="403"/>
      <c r="G493" s="402"/>
      <c r="H493" s="402"/>
      <c r="I493" s="402"/>
      <c r="J493" s="402"/>
      <c r="K493" s="402"/>
      <c r="L493" s="402"/>
      <c r="M493" s="402"/>
      <c r="N493" s="402"/>
      <c r="O493" s="402"/>
      <c r="P493" s="402"/>
      <c r="Q493" s="402"/>
      <c r="R493" s="402"/>
      <c r="S493" s="402"/>
      <c r="T493" s="402"/>
      <c r="U493" s="402"/>
      <c r="V493" s="402"/>
      <c r="W493" s="402"/>
      <c r="X493" s="402"/>
      <c r="Y493" s="402"/>
      <c r="Z493" s="402"/>
      <c r="AA493" s="405"/>
      <c r="AB493" s="405"/>
    </row>
    <row r="494" ht="14.25" customHeight="1">
      <c r="A494" s="402"/>
      <c r="B494" s="402"/>
      <c r="C494" s="402"/>
      <c r="D494" s="402"/>
      <c r="E494" s="402"/>
      <c r="F494" s="403"/>
      <c r="G494" s="402"/>
      <c r="H494" s="402"/>
      <c r="I494" s="402"/>
      <c r="J494" s="402"/>
      <c r="K494" s="402"/>
      <c r="L494" s="402"/>
      <c r="M494" s="402"/>
      <c r="N494" s="402"/>
      <c r="O494" s="402"/>
      <c r="P494" s="402"/>
      <c r="Q494" s="402"/>
      <c r="R494" s="402"/>
      <c r="S494" s="402"/>
      <c r="T494" s="402"/>
      <c r="U494" s="402"/>
      <c r="V494" s="402"/>
      <c r="W494" s="402"/>
      <c r="X494" s="402"/>
      <c r="Y494" s="402"/>
      <c r="Z494" s="402"/>
      <c r="AA494" s="405"/>
      <c r="AB494" s="405"/>
    </row>
    <row r="495" ht="14.25" customHeight="1">
      <c r="A495" s="402"/>
      <c r="B495" s="402"/>
      <c r="C495" s="402"/>
      <c r="D495" s="402"/>
      <c r="E495" s="402"/>
      <c r="F495" s="403"/>
      <c r="G495" s="402"/>
      <c r="H495" s="402"/>
      <c r="I495" s="402"/>
      <c r="J495" s="402"/>
      <c r="K495" s="402"/>
      <c r="L495" s="402"/>
      <c r="M495" s="402"/>
      <c r="N495" s="402"/>
      <c r="O495" s="402"/>
      <c r="P495" s="402"/>
      <c r="Q495" s="402"/>
      <c r="R495" s="402"/>
      <c r="S495" s="402"/>
      <c r="T495" s="402"/>
      <c r="U495" s="402"/>
      <c r="V495" s="402"/>
      <c r="W495" s="402"/>
      <c r="X495" s="402"/>
      <c r="Y495" s="402"/>
      <c r="Z495" s="402"/>
      <c r="AA495" s="405"/>
      <c r="AB495" s="405"/>
    </row>
    <row r="496" ht="14.25" customHeight="1">
      <c r="A496" s="402"/>
      <c r="B496" s="402"/>
      <c r="C496" s="402"/>
      <c r="D496" s="402"/>
      <c r="E496" s="402"/>
      <c r="F496" s="403"/>
      <c r="G496" s="402"/>
      <c r="H496" s="402"/>
      <c r="I496" s="402"/>
      <c r="J496" s="402"/>
      <c r="K496" s="402"/>
      <c r="L496" s="402"/>
      <c r="M496" s="402"/>
      <c r="N496" s="402"/>
      <c r="O496" s="402"/>
      <c r="P496" s="402"/>
      <c r="Q496" s="402"/>
      <c r="R496" s="402"/>
      <c r="S496" s="402"/>
      <c r="T496" s="402"/>
      <c r="U496" s="402"/>
      <c r="V496" s="402"/>
      <c r="W496" s="402"/>
      <c r="X496" s="402"/>
      <c r="Y496" s="402"/>
      <c r="Z496" s="402"/>
      <c r="AA496" s="405"/>
      <c r="AB496" s="405"/>
    </row>
    <row r="497" ht="14.25" customHeight="1">
      <c r="A497" s="402"/>
      <c r="B497" s="402"/>
      <c r="C497" s="402"/>
      <c r="D497" s="402"/>
      <c r="E497" s="402"/>
      <c r="F497" s="403"/>
      <c r="G497" s="402"/>
      <c r="H497" s="402"/>
      <c r="I497" s="402"/>
      <c r="J497" s="402"/>
      <c r="K497" s="402"/>
      <c r="L497" s="402"/>
      <c r="M497" s="402"/>
      <c r="N497" s="402"/>
      <c r="O497" s="402"/>
      <c r="P497" s="402"/>
      <c r="Q497" s="402"/>
      <c r="R497" s="402"/>
      <c r="S497" s="402"/>
      <c r="T497" s="402"/>
      <c r="U497" s="402"/>
      <c r="V497" s="402"/>
      <c r="W497" s="402"/>
      <c r="X497" s="402"/>
      <c r="Y497" s="402"/>
      <c r="Z497" s="402"/>
      <c r="AA497" s="405"/>
      <c r="AB497" s="405"/>
    </row>
    <row r="498" ht="14.25" customHeight="1">
      <c r="A498" s="402"/>
      <c r="B498" s="402"/>
      <c r="C498" s="402"/>
      <c r="D498" s="402"/>
      <c r="E498" s="402"/>
      <c r="F498" s="403"/>
      <c r="G498" s="402"/>
      <c r="H498" s="402"/>
      <c r="I498" s="402"/>
      <c r="J498" s="402"/>
      <c r="K498" s="402"/>
      <c r="L498" s="402"/>
      <c r="M498" s="402"/>
      <c r="N498" s="402"/>
      <c r="O498" s="402"/>
      <c r="P498" s="402"/>
      <c r="Q498" s="402"/>
      <c r="R498" s="402"/>
      <c r="S498" s="402"/>
      <c r="T498" s="402"/>
      <c r="U498" s="402"/>
      <c r="V498" s="402"/>
      <c r="W498" s="402"/>
      <c r="X498" s="402"/>
      <c r="Y498" s="402"/>
      <c r="Z498" s="402"/>
      <c r="AA498" s="405"/>
      <c r="AB498" s="405"/>
    </row>
    <row r="499" ht="14.25" customHeight="1">
      <c r="A499" s="402"/>
      <c r="B499" s="402"/>
      <c r="C499" s="402"/>
      <c r="D499" s="402"/>
      <c r="E499" s="402"/>
      <c r="F499" s="403"/>
      <c r="G499" s="402"/>
      <c r="H499" s="402"/>
      <c r="I499" s="402"/>
      <c r="J499" s="402"/>
      <c r="K499" s="402"/>
      <c r="L499" s="402"/>
      <c r="M499" s="402"/>
      <c r="N499" s="402"/>
      <c r="O499" s="402"/>
      <c r="P499" s="402"/>
      <c r="Q499" s="402"/>
      <c r="R499" s="402"/>
      <c r="S499" s="402"/>
      <c r="T499" s="402"/>
      <c r="U499" s="402"/>
      <c r="V499" s="402"/>
      <c r="W499" s="402"/>
      <c r="X499" s="402"/>
      <c r="Y499" s="402"/>
      <c r="Z499" s="402"/>
      <c r="AA499" s="405"/>
      <c r="AB499" s="405"/>
    </row>
    <row r="500" ht="14.25" customHeight="1">
      <c r="A500" s="402"/>
      <c r="B500" s="402"/>
      <c r="C500" s="402"/>
      <c r="D500" s="402"/>
      <c r="E500" s="402"/>
      <c r="F500" s="403"/>
      <c r="G500" s="402"/>
      <c r="H500" s="402"/>
      <c r="I500" s="402"/>
      <c r="J500" s="402"/>
      <c r="K500" s="402"/>
      <c r="L500" s="402"/>
      <c r="M500" s="402"/>
      <c r="N500" s="402"/>
      <c r="O500" s="402"/>
      <c r="P500" s="402"/>
      <c r="Q500" s="402"/>
      <c r="R500" s="402"/>
      <c r="S500" s="402"/>
      <c r="T500" s="402"/>
      <c r="U500" s="402"/>
      <c r="V500" s="402"/>
      <c r="W500" s="402"/>
      <c r="X500" s="402"/>
      <c r="Y500" s="402"/>
      <c r="Z500" s="402"/>
      <c r="AA500" s="405"/>
      <c r="AB500" s="405"/>
    </row>
    <row r="501" ht="14.25" customHeight="1">
      <c r="A501" s="402"/>
      <c r="B501" s="402"/>
      <c r="C501" s="402"/>
      <c r="D501" s="402"/>
      <c r="E501" s="402"/>
      <c r="F501" s="403"/>
      <c r="G501" s="402"/>
      <c r="H501" s="402"/>
      <c r="I501" s="402"/>
      <c r="J501" s="402"/>
      <c r="K501" s="402"/>
      <c r="L501" s="402"/>
      <c r="M501" s="402"/>
      <c r="N501" s="402"/>
      <c r="O501" s="402"/>
      <c r="P501" s="402"/>
      <c r="Q501" s="402"/>
      <c r="R501" s="402"/>
      <c r="S501" s="402"/>
      <c r="T501" s="402"/>
      <c r="U501" s="402"/>
      <c r="V501" s="402"/>
      <c r="W501" s="402"/>
      <c r="X501" s="402"/>
      <c r="Y501" s="402"/>
      <c r="Z501" s="402"/>
      <c r="AA501" s="405"/>
      <c r="AB501" s="405"/>
    </row>
    <row r="502" ht="14.25" customHeight="1">
      <c r="A502" s="402"/>
      <c r="B502" s="402"/>
      <c r="C502" s="402"/>
      <c r="D502" s="402"/>
      <c r="E502" s="402"/>
      <c r="F502" s="403"/>
      <c r="G502" s="402"/>
      <c r="H502" s="402"/>
      <c r="I502" s="402"/>
      <c r="J502" s="402"/>
      <c r="K502" s="402"/>
      <c r="L502" s="402"/>
      <c r="M502" s="402"/>
      <c r="N502" s="402"/>
      <c r="O502" s="402"/>
      <c r="P502" s="402"/>
      <c r="Q502" s="402"/>
      <c r="R502" s="402"/>
      <c r="S502" s="402"/>
      <c r="T502" s="402"/>
      <c r="U502" s="402"/>
      <c r="V502" s="402"/>
      <c r="W502" s="402"/>
      <c r="X502" s="402"/>
      <c r="Y502" s="402"/>
      <c r="Z502" s="402"/>
      <c r="AA502" s="405"/>
      <c r="AB502" s="405"/>
    </row>
    <row r="503" ht="14.25" customHeight="1">
      <c r="A503" s="402"/>
      <c r="B503" s="402"/>
      <c r="C503" s="402"/>
      <c r="D503" s="402"/>
      <c r="E503" s="402"/>
      <c r="F503" s="403"/>
      <c r="G503" s="402"/>
      <c r="H503" s="402"/>
      <c r="I503" s="402"/>
      <c r="J503" s="402"/>
      <c r="K503" s="402"/>
      <c r="L503" s="402"/>
      <c r="M503" s="402"/>
      <c r="N503" s="402"/>
      <c r="O503" s="402"/>
      <c r="P503" s="402"/>
      <c r="Q503" s="402"/>
      <c r="R503" s="402"/>
      <c r="S503" s="402"/>
      <c r="T503" s="402"/>
      <c r="U503" s="402"/>
      <c r="V503" s="402"/>
      <c r="W503" s="402"/>
      <c r="X503" s="402"/>
      <c r="Y503" s="402"/>
      <c r="Z503" s="402"/>
      <c r="AA503" s="405"/>
      <c r="AB503" s="405"/>
    </row>
    <row r="504" ht="14.25" customHeight="1">
      <c r="A504" s="402"/>
      <c r="B504" s="402"/>
      <c r="C504" s="402"/>
      <c r="D504" s="402"/>
      <c r="E504" s="402"/>
      <c r="F504" s="403"/>
      <c r="G504" s="402"/>
      <c r="H504" s="402"/>
      <c r="I504" s="402"/>
      <c r="J504" s="402"/>
      <c r="K504" s="402"/>
      <c r="L504" s="402"/>
      <c r="M504" s="402"/>
      <c r="N504" s="402"/>
      <c r="O504" s="402"/>
      <c r="P504" s="402"/>
      <c r="Q504" s="402"/>
      <c r="R504" s="402"/>
      <c r="S504" s="402"/>
      <c r="T504" s="402"/>
      <c r="U504" s="402"/>
      <c r="V504" s="402"/>
      <c r="W504" s="402"/>
      <c r="X504" s="402"/>
      <c r="Y504" s="402"/>
      <c r="Z504" s="402"/>
      <c r="AA504" s="405"/>
      <c r="AB504" s="405"/>
    </row>
    <row r="505" ht="14.25" customHeight="1">
      <c r="A505" s="402"/>
      <c r="B505" s="402"/>
      <c r="C505" s="402"/>
      <c r="D505" s="402"/>
      <c r="E505" s="402"/>
      <c r="F505" s="403"/>
      <c r="G505" s="402"/>
      <c r="H505" s="402"/>
      <c r="I505" s="402"/>
      <c r="J505" s="402"/>
      <c r="K505" s="402"/>
      <c r="L505" s="402"/>
      <c r="M505" s="402"/>
      <c r="N505" s="402"/>
      <c r="O505" s="402"/>
      <c r="P505" s="402"/>
      <c r="Q505" s="402"/>
      <c r="R505" s="402"/>
      <c r="S505" s="402"/>
      <c r="T505" s="402"/>
      <c r="U505" s="402"/>
      <c r="V505" s="402"/>
      <c r="W505" s="402"/>
      <c r="X505" s="402"/>
      <c r="Y505" s="402"/>
      <c r="Z505" s="402"/>
      <c r="AA505" s="405"/>
      <c r="AB505" s="405"/>
    </row>
    <row r="506" ht="14.25" customHeight="1">
      <c r="A506" s="402"/>
      <c r="B506" s="402"/>
      <c r="C506" s="402"/>
      <c r="D506" s="402"/>
      <c r="E506" s="402"/>
      <c r="F506" s="403"/>
      <c r="G506" s="402"/>
      <c r="H506" s="402"/>
      <c r="I506" s="402"/>
      <c r="J506" s="402"/>
      <c r="K506" s="402"/>
      <c r="L506" s="402"/>
      <c r="M506" s="402"/>
      <c r="N506" s="402"/>
      <c r="O506" s="402"/>
      <c r="P506" s="402"/>
      <c r="Q506" s="402"/>
      <c r="R506" s="402"/>
      <c r="S506" s="402"/>
      <c r="T506" s="402"/>
      <c r="U506" s="402"/>
      <c r="V506" s="402"/>
      <c r="W506" s="402"/>
      <c r="X506" s="402"/>
      <c r="Y506" s="402"/>
      <c r="Z506" s="402"/>
      <c r="AA506" s="405"/>
      <c r="AB506" s="405"/>
    </row>
    <row r="507" ht="14.25" customHeight="1">
      <c r="A507" s="402"/>
      <c r="B507" s="402"/>
      <c r="C507" s="402"/>
      <c r="D507" s="402"/>
      <c r="E507" s="402"/>
      <c r="F507" s="403"/>
      <c r="G507" s="402"/>
      <c r="H507" s="402"/>
      <c r="I507" s="402"/>
      <c r="J507" s="402"/>
      <c r="K507" s="402"/>
      <c r="L507" s="402"/>
      <c r="M507" s="402"/>
      <c r="N507" s="402"/>
      <c r="O507" s="402"/>
      <c r="P507" s="402"/>
      <c r="Q507" s="402"/>
      <c r="R507" s="402"/>
      <c r="S507" s="402"/>
      <c r="T507" s="402"/>
      <c r="U507" s="402"/>
      <c r="V507" s="402"/>
      <c r="W507" s="402"/>
      <c r="X507" s="402"/>
      <c r="Y507" s="402"/>
      <c r="Z507" s="402"/>
      <c r="AA507" s="405"/>
      <c r="AB507" s="405"/>
    </row>
    <row r="508" ht="14.25" customHeight="1">
      <c r="A508" s="402"/>
      <c r="B508" s="402"/>
      <c r="C508" s="402"/>
      <c r="D508" s="402"/>
      <c r="E508" s="402"/>
      <c r="F508" s="403"/>
      <c r="G508" s="402"/>
      <c r="H508" s="402"/>
      <c r="I508" s="402"/>
      <c r="J508" s="402"/>
      <c r="K508" s="402"/>
      <c r="L508" s="402"/>
      <c r="M508" s="402"/>
      <c r="N508" s="402"/>
      <c r="O508" s="402"/>
      <c r="P508" s="402"/>
      <c r="Q508" s="402"/>
      <c r="R508" s="402"/>
      <c r="S508" s="402"/>
      <c r="T508" s="402"/>
      <c r="U508" s="402"/>
      <c r="V508" s="402"/>
      <c r="W508" s="402"/>
      <c r="X508" s="402"/>
      <c r="Y508" s="402"/>
      <c r="Z508" s="402"/>
      <c r="AA508" s="405"/>
      <c r="AB508" s="405"/>
    </row>
    <row r="509" ht="14.25" customHeight="1">
      <c r="A509" s="402"/>
      <c r="B509" s="402"/>
      <c r="C509" s="402"/>
      <c r="D509" s="402"/>
      <c r="E509" s="402"/>
      <c r="F509" s="403"/>
      <c r="G509" s="402"/>
      <c r="H509" s="402"/>
      <c r="I509" s="402"/>
      <c r="J509" s="402"/>
      <c r="K509" s="402"/>
      <c r="L509" s="402"/>
      <c r="M509" s="402"/>
      <c r="N509" s="402"/>
      <c r="O509" s="402"/>
      <c r="P509" s="402"/>
      <c r="Q509" s="402"/>
      <c r="R509" s="402"/>
      <c r="S509" s="402"/>
      <c r="T509" s="402"/>
      <c r="U509" s="402"/>
      <c r="V509" s="402"/>
      <c r="W509" s="402"/>
      <c r="X509" s="402"/>
      <c r="Y509" s="402"/>
      <c r="Z509" s="402"/>
      <c r="AA509" s="405"/>
      <c r="AB509" s="405"/>
    </row>
    <row r="510" ht="14.25" customHeight="1">
      <c r="A510" s="402"/>
      <c r="B510" s="402"/>
      <c r="C510" s="402"/>
      <c r="D510" s="402"/>
      <c r="E510" s="402"/>
      <c r="F510" s="403"/>
      <c r="G510" s="402"/>
      <c r="H510" s="402"/>
      <c r="I510" s="402"/>
      <c r="J510" s="402"/>
      <c r="K510" s="402"/>
      <c r="L510" s="402"/>
      <c r="M510" s="402"/>
      <c r="N510" s="402"/>
      <c r="O510" s="402"/>
      <c r="P510" s="402"/>
      <c r="Q510" s="402"/>
      <c r="R510" s="402"/>
      <c r="S510" s="402"/>
      <c r="T510" s="402"/>
      <c r="U510" s="402"/>
      <c r="V510" s="402"/>
      <c r="W510" s="402"/>
      <c r="X510" s="402"/>
      <c r="Y510" s="402"/>
      <c r="Z510" s="402"/>
      <c r="AA510" s="405"/>
      <c r="AB510" s="405"/>
    </row>
    <row r="511" ht="14.25" customHeight="1">
      <c r="A511" s="402"/>
      <c r="B511" s="402"/>
      <c r="C511" s="402"/>
      <c r="D511" s="402"/>
      <c r="E511" s="402"/>
      <c r="F511" s="403"/>
      <c r="G511" s="402"/>
      <c r="H511" s="402"/>
      <c r="I511" s="402"/>
      <c r="J511" s="402"/>
      <c r="K511" s="402"/>
      <c r="L511" s="402"/>
      <c r="M511" s="402"/>
      <c r="N511" s="402"/>
      <c r="O511" s="402"/>
      <c r="P511" s="402"/>
      <c r="Q511" s="402"/>
      <c r="R511" s="402"/>
      <c r="S511" s="402"/>
      <c r="T511" s="402"/>
      <c r="U511" s="402"/>
      <c r="V511" s="402"/>
      <c r="W511" s="402"/>
      <c r="X511" s="402"/>
      <c r="Y511" s="402"/>
      <c r="Z511" s="402"/>
      <c r="AA511" s="405"/>
      <c r="AB511" s="405"/>
    </row>
    <row r="512" ht="14.25" customHeight="1">
      <c r="A512" s="402"/>
      <c r="B512" s="402"/>
      <c r="C512" s="402"/>
      <c r="D512" s="402"/>
      <c r="E512" s="402"/>
      <c r="F512" s="403"/>
      <c r="G512" s="402"/>
      <c r="H512" s="402"/>
      <c r="I512" s="402"/>
      <c r="J512" s="402"/>
      <c r="K512" s="402"/>
      <c r="L512" s="402"/>
      <c r="M512" s="402"/>
      <c r="N512" s="402"/>
      <c r="O512" s="402"/>
      <c r="P512" s="402"/>
      <c r="Q512" s="402"/>
      <c r="R512" s="402"/>
      <c r="S512" s="402"/>
      <c r="T512" s="402"/>
      <c r="U512" s="402"/>
      <c r="V512" s="402"/>
      <c r="W512" s="402"/>
      <c r="X512" s="402"/>
      <c r="Y512" s="402"/>
      <c r="Z512" s="402"/>
      <c r="AA512" s="405"/>
      <c r="AB512" s="405"/>
    </row>
    <row r="513" ht="14.25" customHeight="1">
      <c r="A513" s="402"/>
      <c r="B513" s="402"/>
      <c r="C513" s="402"/>
      <c r="D513" s="402"/>
      <c r="E513" s="402"/>
      <c r="F513" s="403"/>
      <c r="G513" s="402"/>
      <c r="H513" s="402"/>
      <c r="I513" s="402"/>
      <c r="J513" s="402"/>
      <c r="K513" s="402"/>
      <c r="L513" s="402"/>
      <c r="M513" s="402"/>
      <c r="N513" s="402"/>
      <c r="O513" s="402"/>
      <c r="P513" s="402"/>
      <c r="Q513" s="402"/>
      <c r="R513" s="402"/>
      <c r="S513" s="402"/>
      <c r="T513" s="402"/>
      <c r="U513" s="402"/>
      <c r="V513" s="402"/>
      <c r="W513" s="402"/>
      <c r="X513" s="402"/>
      <c r="Y513" s="402"/>
      <c r="Z513" s="402"/>
      <c r="AA513" s="405"/>
      <c r="AB513" s="405"/>
    </row>
    <row r="514" ht="14.25" customHeight="1">
      <c r="A514" s="402"/>
      <c r="B514" s="402"/>
      <c r="C514" s="402"/>
      <c r="D514" s="402"/>
      <c r="E514" s="402"/>
      <c r="F514" s="403"/>
      <c r="G514" s="402"/>
      <c r="H514" s="402"/>
      <c r="I514" s="402"/>
      <c r="J514" s="402"/>
      <c r="K514" s="402"/>
      <c r="L514" s="402"/>
      <c r="M514" s="402"/>
      <c r="N514" s="402"/>
      <c r="O514" s="402"/>
      <c r="P514" s="402"/>
      <c r="Q514" s="402"/>
      <c r="R514" s="402"/>
      <c r="S514" s="402"/>
      <c r="T514" s="402"/>
      <c r="U514" s="402"/>
      <c r="V514" s="402"/>
      <c r="W514" s="402"/>
      <c r="X514" s="402"/>
      <c r="Y514" s="402"/>
      <c r="Z514" s="402"/>
      <c r="AA514" s="405"/>
      <c r="AB514" s="405"/>
    </row>
    <row r="515" ht="14.25" customHeight="1">
      <c r="A515" s="402"/>
      <c r="B515" s="402"/>
      <c r="C515" s="402"/>
      <c r="D515" s="402"/>
      <c r="E515" s="402"/>
      <c r="F515" s="403"/>
      <c r="G515" s="402"/>
      <c r="H515" s="402"/>
      <c r="I515" s="402"/>
      <c r="J515" s="402"/>
      <c r="K515" s="402"/>
      <c r="L515" s="402"/>
      <c r="M515" s="402"/>
      <c r="N515" s="402"/>
      <c r="O515" s="402"/>
      <c r="P515" s="402"/>
      <c r="Q515" s="402"/>
      <c r="R515" s="402"/>
      <c r="S515" s="402"/>
      <c r="T515" s="402"/>
      <c r="U515" s="402"/>
      <c r="V515" s="402"/>
      <c r="W515" s="402"/>
      <c r="X515" s="402"/>
      <c r="Y515" s="402"/>
      <c r="Z515" s="402"/>
      <c r="AA515" s="405"/>
      <c r="AB515" s="405"/>
    </row>
    <row r="516" ht="14.25" customHeight="1">
      <c r="A516" s="402"/>
      <c r="B516" s="402"/>
      <c r="C516" s="402"/>
      <c r="D516" s="402"/>
      <c r="E516" s="402"/>
      <c r="F516" s="403"/>
      <c r="G516" s="402"/>
      <c r="H516" s="402"/>
      <c r="I516" s="402"/>
      <c r="J516" s="402"/>
      <c r="K516" s="402"/>
      <c r="L516" s="402"/>
      <c r="M516" s="402"/>
      <c r="N516" s="402"/>
      <c r="O516" s="402"/>
      <c r="P516" s="402"/>
      <c r="Q516" s="402"/>
      <c r="R516" s="402"/>
      <c r="S516" s="402"/>
      <c r="T516" s="402"/>
      <c r="U516" s="402"/>
      <c r="V516" s="402"/>
      <c r="W516" s="402"/>
      <c r="X516" s="402"/>
      <c r="Y516" s="402"/>
      <c r="Z516" s="402"/>
      <c r="AA516" s="405"/>
      <c r="AB516" s="405"/>
    </row>
    <row r="517" ht="14.25" customHeight="1">
      <c r="A517" s="402"/>
      <c r="B517" s="402"/>
      <c r="C517" s="402"/>
      <c r="D517" s="402"/>
      <c r="E517" s="402"/>
      <c r="F517" s="403"/>
      <c r="G517" s="402"/>
      <c r="H517" s="402"/>
      <c r="I517" s="402"/>
      <c r="J517" s="402"/>
      <c r="K517" s="402"/>
      <c r="L517" s="402"/>
      <c r="M517" s="402"/>
      <c r="N517" s="402"/>
      <c r="O517" s="402"/>
      <c r="P517" s="402"/>
      <c r="Q517" s="402"/>
      <c r="R517" s="402"/>
      <c r="S517" s="402"/>
      <c r="T517" s="402"/>
      <c r="U517" s="402"/>
      <c r="V517" s="402"/>
      <c r="W517" s="402"/>
      <c r="X517" s="402"/>
      <c r="Y517" s="402"/>
      <c r="Z517" s="402"/>
      <c r="AA517" s="405"/>
      <c r="AB517" s="405"/>
    </row>
    <row r="518" ht="14.25" customHeight="1">
      <c r="A518" s="402"/>
      <c r="B518" s="402"/>
      <c r="C518" s="402"/>
      <c r="D518" s="402"/>
      <c r="E518" s="402"/>
      <c r="F518" s="403"/>
      <c r="G518" s="402"/>
      <c r="H518" s="402"/>
      <c r="I518" s="402"/>
      <c r="J518" s="402"/>
      <c r="K518" s="402"/>
      <c r="L518" s="402"/>
      <c r="M518" s="402"/>
      <c r="N518" s="402"/>
      <c r="O518" s="402"/>
      <c r="P518" s="402"/>
      <c r="Q518" s="402"/>
      <c r="R518" s="402"/>
      <c r="S518" s="402"/>
      <c r="T518" s="402"/>
      <c r="U518" s="402"/>
      <c r="V518" s="402"/>
      <c r="W518" s="402"/>
      <c r="X518" s="402"/>
      <c r="Y518" s="402"/>
      <c r="Z518" s="402"/>
      <c r="AA518" s="405"/>
      <c r="AB518" s="405"/>
    </row>
    <row r="519" ht="14.25" customHeight="1">
      <c r="A519" s="402"/>
      <c r="B519" s="402"/>
      <c r="C519" s="402"/>
      <c r="D519" s="402"/>
      <c r="E519" s="402"/>
      <c r="F519" s="403"/>
      <c r="G519" s="402"/>
      <c r="H519" s="402"/>
      <c r="I519" s="402"/>
      <c r="J519" s="402"/>
      <c r="K519" s="402"/>
      <c r="L519" s="402"/>
      <c r="M519" s="402"/>
      <c r="N519" s="402"/>
      <c r="O519" s="402"/>
      <c r="P519" s="402"/>
      <c r="Q519" s="402"/>
      <c r="R519" s="402"/>
      <c r="S519" s="402"/>
      <c r="T519" s="402"/>
      <c r="U519" s="402"/>
      <c r="V519" s="402"/>
      <c r="W519" s="402"/>
      <c r="X519" s="402"/>
      <c r="Y519" s="402"/>
      <c r="Z519" s="402"/>
      <c r="AA519" s="405"/>
      <c r="AB519" s="405"/>
    </row>
    <row r="520" ht="14.25" customHeight="1">
      <c r="A520" s="402"/>
      <c r="B520" s="402"/>
      <c r="C520" s="402"/>
      <c r="D520" s="402"/>
      <c r="E520" s="402"/>
      <c r="F520" s="403"/>
      <c r="G520" s="402"/>
      <c r="H520" s="402"/>
      <c r="I520" s="402"/>
      <c r="J520" s="402"/>
      <c r="K520" s="402"/>
      <c r="L520" s="402"/>
      <c r="M520" s="402"/>
      <c r="N520" s="402"/>
      <c r="O520" s="402"/>
      <c r="P520" s="402"/>
      <c r="Q520" s="402"/>
      <c r="R520" s="402"/>
      <c r="S520" s="402"/>
      <c r="T520" s="402"/>
      <c r="U520" s="402"/>
      <c r="V520" s="402"/>
      <c r="W520" s="402"/>
      <c r="X520" s="402"/>
      <c r="Y520" s="402"/>
      <c r="Z520" s="402"/>
      <c r="AA520" s="405"/>
      <c r="AB520" s="405"/>
    </row>
    <row r="521" ht="14.25" customHeight="1">
      <c r="A521" s="402"/>
      <c r="B521" s="402"/>
      <c r="C521" s="402"/>
      <c r="D521" s="402"/>
      <c r="E521" s="402"/>
      <c r="F521" s="403"/>
      <c r="G521" s="402"/>
      <c r="H521" s="402"/>
      <c r="I521" s="402"/>
      <c r="J521" s="402"/>
      <c r="K521" s="402"/>
      <c r="L521" s="402"/>
      <c r="M521" s="402"/>
      <c r="N521" s="402"/>
      <c r="O521" s="402"/>
      <c r="P521" s="402"/>
      <c r="Q521" s="402"/>
      <c r="R521" s="402"/>
      <c r="S521" s="402"/>
      <c r="T521" s="402"/>
      <c r="U521" s="402"/>
      <c r="V521" s="402"/>
      <c r="W521" s="402"/>
      <c r="X521" s="402"/>
      <c r="Y521" s="402"/>
      <c r="Z521" s="402"/>
      <c r="AA521" s="405"/>
      <c r="AB521" s="405"/>
    </row>
    <row r="522" ht="14.25" customHeight="1">
      <c r="A522" s="402"/>
      <c r="B522" s="402"/>
      <c r="C522" s="402"/>
      <c r="D522" s="402"/>
      <c r="E522" s="402"/>
      <c r="F522" s="403"/>
      <c r="G522" s="402"/>
      <c r="H522" s="402"/>
      <c r="I522" s="402"/>
      <c r="J522" s="402"/>
      <c r="K522" s="402"/>
      <c r="L522" s="402"/>
      <c r="M522" s="402"/>
      <c r="N522" s="402"/>
      <c r="O522" s="402"/>
      <c r="P522" s="402"/>
      <c r="Q522" s="402"/>
      <c r="R522" s="402"/>
      <c r="S522" s="402"/>
      <c r="T522" s="402"/>
      <c r="U522" s="402"/>
      <c r="V522" s="402"/>
      <c r="W522" s="402"/>
      <c r="X522" s="402"/>
      <c r="Y522" s="402"/>
      <c r="Z522" s="402"/>
      <c r="AA522" s="405"/>
      <c r="AB522" s="405"/>
    </row>
    <row r="523" ht="14.25" customHeight="1">
      <c r="A523" s="402"/>
      <c r="B523" s="402"/>
      <c r="C523" s="402"/>
      <c r="D523" s="402"/>
      <c r="E523" s="402"/>
      <c r="F523" s="403"/>
      <c r="G523" s="402"/>
      <c r="H523" s="402"/>
      <c r="I523" s="402"/>
      <c r="J523" s="402"/>
      <c r="K523" s="402"/>
      <c r="L523" s="402"/>
      <c r="M523" s="402"/>
      <c r="N523" s="402"/>
      <c r="O523" s="402"/>
      <c r="P523" s="402"/>
      <c r="Q523" s="402"/>
      <c r="R523" s="402"/>
      <c r="S523" s="402"/>
      <c r="T523" s="402"/>
      <c r="U523" s="402"/>
      <c r="V523" s="402"/>
      <c r="W523" s="402"/>
      <c r="X523" s="402"/>
      <c r="Y523" s="402"/>
      <c r="Z523" s="402"/>
      <c r="AA523" s="405"/>
      <c r="AB523" s="405"/>
    </row>
    <row r="524" ht="14.25" customHeight="1">
      <c r="A524" s="402"/>
      <c r="B524" s="402"/>
      <c r="C524" s="402"/>
      <c r="D524" s="402"/>
      <c r="E524" s="402"/>
      <c r="F524" s="403"/>
      <c r="G524" s="402"/>
      <c r="H524" s="402"/>
      <c r="I524" s="402"/>
      <c r="J524" s="402"/>
      <c r="K524" s="402"/>
      <c r="L524" s="402"/>
      <c r="M524" s="402"/>
      <c r="N524" s="402"/>
      <c r="O524" s="402"/>
      <c r="P524" s="402"/>
      <c r="Q524" s="402"/>
      <c r="R524" s="402"/>
      <c r="S524" s="402"/>
      <c r="T524" s="402"/>
      <c r="U524" s="402"/>
      <c r="V524" s="402"/>
      <c r="W524" s="402"/>
      <c r="X524" s="402"/>
      <c r="Y524" s="402"/>
      <c r="Z524" s="402"/>
      <c r="AA524" s="405"/>
      <c r="AB524" s="405"/>
    </row>
    <row r="525" ht="14.25" customHeight="1">
      <c r="A525" s="402"/>
      <c r="B525" s="402"/>
      <c r="C525" s="402"/>
      <c r="D525" s="402"/>
      <c r="E525" s="402"/>
      <c r="F525" s="403"/>
      <c r="G525" s="402"/>
      <c r="H525" s="402"/>
      <c r="I525" s="402"/>
      <c r="J525" s="402"/>
      <c r="K525" s="402"/>
      <c r="L525" s="402"/>
      <c r="M525" s="402"/>
      <c r="N525" s="402"/>
      <c r="O525" s="402"/>
      <c r="P525" s="402"/>
      <c r="Q525" s="402"/>
      <c r="R525" s="402"/>
      <c r="S525" s="402"/>
      <c r="T525" s="402"/>
      <c r="U525" s="402"/>
      <c r="V525" s="402"/>
      <c r="W525" s="402"/>
      <c r="X525" s="402"/>
      <c r="Y525" s="402"/>
      <c r="Z525" s="402"/>
      <c r="AA525" s="405"/>
      <c r="AB525" s="405"/>
    </row>
    <row r="526" ht="14.25" customHeight="1">
      <c r="A526" s="402"/>
      <c r="B526" s="402"/>
      <c r="C526" s="402"/>
      <c r="D526" s="402"/>
      <c r="E526" s="402"/>
      <c r="F526" s="403"/>
      <c r="G526" s="402"/>
      <c r="H526" s="402"/>
      <c r="I526" s="402"/>
      <c r="J526" s="402"/>
      <c r="K526" s="402"/>
      <c r="L526" s="402"/>
      <c r="M526" s="402"/>
      <c r="N526" s="402"/>
      <c r="O526" s="402"/>
      <c r="P526" s="402"/>
      <c r="Q526" s="402"/>
      <c r="R526" s="402"/>
      <c r="S526" s="402"/>
      <c r="T526" s="402"/>
      <c r="U526" s="402"/>
      <c r="V526" s="402"/>
      <c r="W526" s="402"/>
      <c r="X526" s="402"/>
      <c r="Y526" s="402"/>
      <c r="Z526" s="402"/>
      <c r="AA526" s="405"/>
      <c r="AB526" s="405"/>
    </row>
    <row r="527" ht="14.25" customHeight="1">
      <c r="A527" s="402"/>
      <c r="B527" s="402"/>
      <c r="C527" s="402"/>
      <c r="D527" s="402"/>
      <c r="E527" s="402"/>
      <c r="F527" s="403"/>
      <c r="G527" s="402"/>
      <c r="H527" s="402"/>
      <c r="I527" s="402"/>
      <c r="J527" s="402"/>
      <c r="K527" s="402"/>
      <c r="L527" s="402"/>
      <c r="M527" s="402"/>
      <c r="N527" s="402"/>
      <c r="O527" s="402"/>
      <c r="P527" s="402"/>
      <c r="Q527" s="402"/>
      <c r="R527" s="402"/>
      <c r="S527" s="402"/>
      <c r="T527" s="402"/>
      <c r="U527" s="402"/>
      <c r="V527" s="402"/>
      <c r="W527" s="402"/>
      <c r="X527" s="402"/>
      <c r="Y527" s="402"/>
      <c r="Z527" s="402"/>
      <c r="AA527" s="405"/>
      <c r="AB527" s="405"/>
    </row>
    <row r="528" ht="14.25" customHeight="1">
      <c r="A528" s="402"/>
      <c r="B528" s="402"/>
      <c r="C528" s="402"/>
      <c r="D528" s="402"/>
      <c r="E528" s="402"/>
      <c r="F528" s="403"/>
      <c r="G528" s="402"/>
      <c r="H528" s="402"/>
      <c r="I528" s="402"/>
      <c r="J528" s="402"/>
      <c r="K528" s="402"/>
      <c r="L528" s="402"/>
      <c r="M528" s="402"/>
      <c r="N528" s="402"/>
      <c r="O528" s="402"/>
      <c r="P528" s="402"/>
      <c r="Q528" s="402"/>
      <c r="R528" s="402"/>
      <c r="S528" s="402"/>
      <c r="T528" s="402"/>
      <c r="U528" s="402"/>
      <c r="V528" s="402"/>
      <c r="W528" s="402"/>
      <c r="X528" s="402"/>
      <c r="Y528" s="402"/>
      <c r="Z528" s="402"/>
      <c r="AA528" s="405"/>
      <c r="AB528" s="405"/>
    </row>
    <row r="529" ht="14.25" customHeight="1">
      <c r="A529" s="402"/>
      <c r="B529" s="402"/>
      <c r="C529" s="402"/>
      <c r="D529" s="402"/>
      <c r="E529" s="402"/>
      <c r="F529" s="403"/>
      <c r="G529" s="402"/>
      <c r="H529" s="402"/>
      <c r="I529" s="402"/>
      <c r="J529" s="402"/>
      <c r="K529" s="402"/>
      <c r="L529" s="402"/>
      <c r="M529" s="402"/>
      <c r="N529" s="402"/>
      <c r="O529" s="402"/>
      <c r="P529" s="402"/>
      <c r="Q529" s="402"/>
      <c r="R529" s="402"/>
      <c r="S529" s="402"/>
      <c r="T529" s="402"/>
      <c r="U529" s="402"/>
      <c r="V529" s="402"/>
      <c r="W529" s="402"/>
      <c r="X529" s="402"/>
      <c r="Y529" s="402"/>
      <c r="Z529" s="402"/>
      <c r="AA529" s="405"/>
      <c r="AB529" s="405"/>
    </row>
    <row r="530" ht="14.25" customHeight="1">
      <c r="A530" s="402"/>
      <c r="B530" s="402"/>
      <c r="C530" s="402"/>
      <c r="D530" s="402"/>
      <c r="E530" s="402"/>
      <c r="F530" s="403"/>
      <c r="G530" s="402"/>
      <c r="H530" s="402"/>
      <c r="I530" s="402"/>
      <c r="J530" s="402"/>
      <c r="K530" s="402"/>
      <c r="L530" s="402"/>
      <c r="M530" s="402"/>
      <c r="N530" s="402"/>
      <c r="O530" s="402"/>
      <c r="P530" s="402"/>
      <c r="Q530" s="402"/>
      <c r="R530" s="402"/>
      <c r="S530" s="402"/>
      <c r="T530" s="402"/>
      <c r="U530" s="402"/>
      <c r="V530" s="402"/>
      <c r="W530" s="402"/>
      <c r="X530" s="402"/>
      <c r="Y530" s="402"/>
      <c r="Z530" s="402"/>
      <c r="AA530" s="405"/>
      <c r="AB530" s="405"/>
    </row>
    <row r="531" ht="14.25" customHeight="1">
      <c r="A531" s="402"/>
      <c r="B531" s="402"/>
      <c r="C531" s="402"/>
      <c r="D531" s="402"/>
      <c r="E531" s="402"/>
      <c r="F531" s="403"/>
      <c r="G531" s="402"/>
      <c r="H531" s="402"/>
      <c r="I531" s="402"/>
      <c r="J531" s="402"/>
      <c r="K531" s="402"/>
      <c r="L531" s="402"/>
      <c r="M531" s="402"/>
      <c r="N531" s="402"/>
      <c r="O531" s="402"/>
      <c r="P531" s="402"/>
      <c r="Q531" s="402"/>
      <c r="R531" s="402"/>
      <c r="S531" s="402"/>
      <c r="T531" s="402"/>
      <c r="U531" s="402"/>
      <c r="V531" s="402"/>
      <c r="W531" s="402"/>
      <c r="X531" s="402"/>
      <c r="Y531" s="402"/>
      <c r="Z531" s="402"/>
      <c r="AA531" s="405"/>
      <c r="AB531" s="405"/>
    </row>
    <row r="532" ht="14.25" customHeight="1">
      <c r="A532" s="402"/>
      <c r="B532" s="402"/>
      <c r="C532" s="402"/>
      <c r="D532" s="402"/>
      <c r="E532" s="402"/>
      <c r="F532" s="403"/>
      <c r="G532" s="402"/>
      <c r="H532" s="402"/>
      <c r="I532" s="402"/>
      <c r="J532" s="402"/>
      <c r="K532" s="402"/>
      <c r="L532" s="402"/>
      <c r="M532" s="402"/>
      <c r="N532" s="402"/>
      <c r="O532" s="402"/>
      <c r="P532" s="402"/>
      <c r="Q532" s="402"/>
      <c r="R532" s="402"/>
      <c r="S532" s="402"/>
      <c r="T532" s="402"/>
      <c r="U532" s="402"/>
      <c r="V532" s="402"/>
      <c r="W532" s="402"/>
      <c r="X532" s="402"/>
      <c r="Y532" s="402"/>
      <c r="Z532" s="402"/>
      <c r="AA532" s="405"/>
      <c r="AB532" s="405"/>
    </row>
    <row r="533" ht="14.25" customHeight="1">
      <c r="A533" s="402"/>
      <c r="B533" s="402"/>
      <c r="C533" s="402"/>
      <c r="D533" s="402"/>
      <c r="E533" s="402"/>
      <c r="F533" s="403"/>
      <c r="G533" s="402"/>
      <c r="H533" s="402"/>
      <c r="I533" s="402"/>
      <c r="J533" s="402"/>
      <c r="K533" s="402"/>
      <c r="L533" s="402"/>
      <c r="M533" s="402"/>
      <c r="N533" s="402"/>
      <c r="O533" s="402"/>
      <c r="P533" s="402"/>
      <c r="Q533" s="402"/>
      <c r="R533" s="402"/>
      <c r="S533" s="402"/>
      <c r="T533" s="402"/>
      <c r="U533" s="402"/>
      <c r="V533" s="402"/>
      <c r="W533" s="402"/>
      <c r="X533" s="402"/>
      <c r="Y533" s="402"/>
      <c r="Z533" s="402"/>
      <c r="AA533" s="405"/>
      <c r="AB533" s="405"/>
    </row>
    <row r="534" ht="14.25" customHeight="1">
      <c r="A534" s="402"/>
      <c r="B534" s="402"/>
      <c r="C534" s="402"/>
      <c r="D534" s="402"/>
      <c r="E534" s="402"/>
      <c r="F534" s="403"/>
      <c r="G534" s="402"/>
      <c r="H534" s="402"/>
      <c r="I534" s="402"/>
      <c r="J534" s="402"/>
      <c r="K534" s="402"/>
      <c r="L534" s="402"/>
      <c r="M534" s="402"/>
      <c r="N534" s="402"/>
      <c r="O534" s="402"/>
      <c r="P534" s="402"/>
      <c r="Q534" s="402"/>
      <c r="R534" s="402"/>
      <c r="S534" s="402"/>
      <c r="T534" s="402"/>
      <c r="U534" s="402"/>
      <c r="V534" s="402"/>
      <c r="W534" s="402"/>
      <c r="X534" s="402"/>
      <c r="Y534" s="402"/>
      <c r="Z534" s="402"/>
      <c r="AA534" s="405"/>
      <c r="AB534" s="405"/>
    </row>
    <row r="535" ht="14.25" customHeight="1">
      <c r="A535" s="402"/>
      <c r="B535" s="402"/>
      <c r="C535" s="402"/>
      <c r="D535" s="402"/>
      <c r="E535" s="402"/>
      <c r="F535" s="403"/>
      <c r="G535" s="402"/>
      <c r="H535" s="402"/>
      <c r="I535" s="402"/>
      <c r="J535" s="402"/>
      <c r="K535" s="402"/>
      <c r="L535" s="402"/>
      <c r="M535" s="402"/>
      <c r="N535" s="402"/>
      <c r="O535" s="402"/>
      <c r="P535" s="402"/>
      <c r="Q535" s="402"/>
      <c r="R535" s="402"/>
      <c r="S535" s="402"/>
      <c r="T535" s="402"/>
      <c r="U535" s="402"/>
      <c r="V535" s="402"/>
      <c r="W535" s="402"/>
      <c r="X535" s="402"/>
      <c r="Y535" s="402"/>
      <c r="Z535" s="402"/>
      <c r="AA535" s="405"/>
      <c r="AB535" s="405"/>
    </row>
    <row r="536" ht="14.25" customHeight="1">
      <c r="A536" s="402"/>
      <c r="B536" s="402"/>
      <c r="C536" s="402"/>
      <c r="D536" s="402"/>
      <c r="E536" s="402"/>
      <c r="F536" s="403"/>
      <c r="G536" s="402"/>
      <c r="H536" s="402"/>
      <c r="I536" s="402"/>
      <c r="J536" s="402"/>
      <c r="K536" s="402"/>
      <c r="L536" s="402"/>
      <c r="M536" s="402"/>
      <c r="N536" s="402"/>
      <c r="O536" s="402"/>
      <c r="P536" s="402"/>
      <c r="Q536" s="402"/>
      <c r="R536" s="402"/>
      <c r="S536" s="402"/>
      <c r="T536" s="402"/>
      <c r="U536" s="402"/>
      <c r="V536" s="402"/>
      <c r="W536" s="402"/>
      <c r="X536" s="402"/>
      <c r="Y536" s="402"/>
      <c r="Z536" s="402"/>
      <c r="AA536" s="405"/>
      <c r="AB536" s="405"/>
    </row>
    <row r="537" ht="14.25" customHeight="1">
      <c r="A537" s="402"/>
      <c r="B537" s="402"/>
      <c r="C537" s="402"/>
      <c r="D537" s="402"/>
      <c r="E537" s="402"/>
      <c r="F537" s="403"/>
      <c r="G537" s="402"/>
      <c r="H537" s="402"/>
      <c r="I537" s="402"/>
      <c r="J537" s="402"/>
      <c r="K537" s="402"/>
      <c r="L537" s="402"/>
      <c r="M537" s="402"/>
      <c r="N537" s="402"/>
      <c r="O537" s="402"/>
      <c r="P537" s="402"/>
      <c r="Q537" s="402"/>
      <c r="R537" s="402"/>
      <c r="S537" s="402"/>
      <c r="T537" s="402"/>
      <c r="U537" s="402"/>
      <c r="V537" s="402"/>
      <c r="W537" s="402"/>
      <c r="X537" s="402"/>
      <c r="Y537" s="402"/>
      <c r="Z537" s="402"/>
      <c r="AA537" s="405"/>
      <c r="AB537" s="405"/>
    </row>
    <row r="538" ht="14.25" customHeight="1">
      <c r="A538" s="402"/>
      <c r="B538" s="402"/>
      <c r="C538" s="402"/>
      <c r="D538" s="402"/>
      <c r="E538" s="402"/>
      <c r="F538" s="403"/>
      <c r="G538" s="402"/>
      <c r="H538" s="402"/>
      <c r="I538" s="402"/>
      <c r="J538" s="402"/>
      <c r="K538" s="402"/>
      <c r="L538" s="402"/>
      <c r="M538" s="402"/>
      <c r="N538" s="402"/>
      <c r="O538" s="402"/>
      <c r="P538" s="402"/>
      <c r="Q538" s="402"/>
      <c r="R538" s="402"/>
      <c r="S538" s="402"/>
      <c r="T538" s="402"/>
      <c r="U538" s="402"/>
      <c r="V538" s="402"/>
      <c r="W538" s="402"/>
      <c r="X538" s="402"/>
      <c r="Y538" s="402"/>
      <c r="Z538" s="402"/>
      <c r="AA538" s="405"/>
      <c r="AB538" s="405"/>
    </row>
    <row r="539" ht="14.25" customHeight="1">
      <c r="A539" s="402"/>
      <c r="B539" s="402"/>
      <c r="C539" s="402"/>
      <c r="D539" s="402"/>
      <c r="E539" s="402"/>
      <c r="F539" s="403"/>
      <c r="G539" s="402"/>
      <c r="H539" s="402"/>
      <c r="I539" s="402"/>
      <c r="J539" s="402"/>
      <c r="K539" s="402"/>
      <c r="L539" s="402"/>
      <c r="M539" s="402"/>
      <c r="N539" s="402"/>
      <c r="O539" s="402"/>
      <c r="P539" s="402"/>
      <c r="Q539" s="402"/>
      <c r="R539" s="402"/>
      <c r="S539" s="402"/>
      <c r="T539" s="402"/>
      <c r="U539" s="402"/>
      <c r="V539" s="402"/>
      <c r="W539" s="402"/>
      <c r="X539" s="402"/>
      <c r="Y539" s="402"/>
      <c r="Z539" s="402"/>
      <c r="AA539" s="405"/>
      <c r="AB539" s="405"/>
    </row>
    <row r="540" ht="14.25" customHeight="1">
      <c r="A540" s="402"/>
      <c r="B540" s="402"/>
      <c r="C540" s="402"/>
      <c r="D540" s="402"/>
      <c r="E540" s="402"/>
      <c r="F540" s="403"/>
      <c r="G540" s="402"/>
      <c r="H540" s="402"/>
      <c r="I540" s="402"/>
      <c r="J540" s="402"/>
      <c r="K540" s="402"/>
      <c r="L540" s="402"/>
      <c r="M540" s="402"/>
      <c r="N540" s="402"/>
      <c r="O540" s="402"/>
      <c r="P540" s="402"/>
      <c r="Q540" s="402"/>
      <c r="R540" s="402"/>
      <c r="S540" s="402"/>
      <c r="T540" s="402"/>
      <c r="U540" s="402"/>
      <c r="V540" s="402"/>
      <c r="W540" s="402"/>
      <c r="X540" s="402"/>
      <c r="Y540" s="402"/>
      <c r="Z540" s="402"/>
      <c r="AA540" s="405"/>
      <c r="AB540" s="405"/>
    </row>
    <row r="541" ht="14.25" customHeight="1">
      <c r="A541" s="402"/>
      <c r="B541" s="402"/>
      <c r="C541" s="402"/>
      <c r="D541" s="402"/>
      <c r="E541" s="402"/>
      <c r="F541" s="403"/>
      <c r="G541" s="402"/>
      <c r="H541" s="402"/>
      <c r="I541" s="402"/>
      <c r="J541" s="402"/>
      <c r="K541" s="402"/>
      <c r="L541" s="402"/>
      <c r="M541" s="402"/>
      <c r="N541" s="402"/>
      <c r="O541" s="402"/>
      <c r="P541" s="402"/>
      <c r="Q541" s="402"/>
      <c r="R541" s="402"/>
      <c r="S541" s="402"/>
      <c r="T541" s="402"/>
      <c r="U541" s="402"/>
      <c r="V541" s="402"/>
      <c r="W541" s="402"/>
      <c r="X541" s="402"/>
      <c r="Y541" s="402"/>
      <c r="Z541" s="402"/>
      <c r="AA541" s="405"/>
      <c r="AB541" s="405"/>
    </row>
    <row r="542" ht="14.25" customHeight="1">
      <c r="A542" s="402"/>
      <c r="B542" s="402"/>
      <c r="C542" s="402"/>
      <c r="D542" s="402"/>
      <c r="E542" s="402"/>
      <c r="F542" s="403"/>
      <c r="G542" s="402"/>
      <c r="H542" s="402"/>
      <c r="I542" s="402"/>
      <c r="J542" s="402"/>
      <c r="K542" s="402"/>
      <c r="L542" s="402"/>
      <c r="M542" s="402"/>
      <c r="N542" s="402"/>
      <c r="O542" s="402"/>
      <c r="P542" s="402"/>
      <c r="Q542" s="402"/>
      <c r="R542" s="402"/>
      <c r="S542" s="402"/>
      <c r="T542" s="402"/>
      <c r="U542" s="402"/>
      <c r="V542" s="402"/>
      <c r="W542" s="402"/>
      <c r="X542" s="402"/>
      <c r="Y542" s="402"/>
      <c r="Z542" s="402"/>
      <c r="AA542" s="405"/>
      <c r="AB542" s="405"/>
    </row>
    <row r="543" ht="14.25" customHeight="1">
      <c r="A543" s="402"/>
      <c r="B543" s="402"/>
      <c r="C543" s="402"/>
      <c r="D543" s="402"/>
      <c r="E543" s="402"/>
      <c r="F543" s="403"/>
      <c r="G543" s="402"/>
      <c r="H543" s="402"/>
      <c r="I543" s="402"/>
      <c r="J543" s="402"/>
      <c r="K543" s="402"/>
      <c r="L543" s="402"/>
      <c r="M543" s="402"/>
      <c r="N543" s="402"/>
      <c r="O543" s="402"/>
      <c r="P543" s="402"/>
      <c r="Q543" s="402"/>
      <c r="R543" s="402"/>
      <c r="S543" s="402"/>
      <c r="T543" s="402"/>
      <c r="U543" s="402"/>
      <c r="V543" s="402"/>
      <c r="W543" s="402"/>
      <c r="X543" s="402"/>
      <c r="Y543" s="402"/>
      <c r="Z543" s="402"/>
      <c r="AA543" s="405"/>
      <c r="AB543" s="405"/>
    </row>
    <row r="544" ht="14.25" customHeight="1">
      <c r="A544" s="402"/>
      <c r="B544" s="402"/>
      <c r="C544" s="402"/>
      <c r="D544" s="402"/>
      <c r="E544" s="402"/>
      <c r="F544" s="403"/>
      <c r="G544" s="402"/>
      <c r="H544" s="402"/>
      <c r="I544" s="402"/>
      <c r="J544" s="402"/>
      <c r="K544" s="402"/>
      <c r="L544" s="402"/>
      <c r="M544" s="402"/>
      <c r="N544" s="402"/>
      <c r="O544" s="402"/>
      <c r="P544" s="402"/>
      <c r="Q544" s="402"/>
      <c r="R544" s="402"/>
      <c r="S544" s="402"/>
      <c r="T544" s="402"/>
      <c r="U544" s="402"/>
      <c r="V544" s="402"/>
      <c r="W544" s="402"/>
      <c r="X544" s="402"/>
      <c r="Y544" s="402"/>
      <c r="Z544" s="402"/>
      <c r="AA544" s="405"/>
      <c r="AB544" s="405"/>
    </row>
    <row r="545" ht="14.25" customHeight="1">
      <c r="A545" s="402"/>
      <c r="B545" s="402"/>
      <c r="C545" s="402"/>
      <c r="D545" s="402"/>
      <c r="E545" s="402"/>
      <c r="F545" s="403"/>
      <c r="G545" s="402"/>
      <c r="H545" s="402"/>
      <c r="I545" s="402"/>
      <c r="J545" s="402"/>
      <c r="K545" s="402"/>
      <c r="L545" s="402"/>
      <c r="M545" s="402"/>
      <c r="N545" s="402"/>
      <c r="O545" s="402"/>
      <c r="P545" s="402"/>
      <c r="Q545" s="402"/>
      <c r="R545" s="402"/>
      <c r="S545" s="402"/>
      <c r="T545" s="402"/>
      <c r="U545" s="402"/>
      <c r="V545" s="402"/>
      <c r="W545" s="402"/>
      <c r="X545" s="402"/>
      <c r="Y545" s="402"/>
      <c r="Z545" s="402"/>
      <c r="AA545" s="405"/>
      <c r="AB545" s="405"/>
    </row>
    <row r="546" ht="14.25" customHeight="1">
      <c r="A546" s="402"/>
      <c r="B546" s="402"/>
      <c r="C546" s="402"/>
      <c r="D546" s="402"/>
      <c r="E546" s="402"/>
      <c r="F546" s="403"/>
      <c r="G546" s="402"/>
      <c r="H546" s="402"/>
      <c r="I546" s="402"/>
      <c r="J546" s="402"/>
      <c r="K546" s="402"/>
      <c r="L546" s="402"/>
      <c r="M546" s="402"/>
      <c r="N546" s="402"/>
      <c r="O546" s="402"/>
      <c r="P546" s="402"/>
      <c r="Q546" s="402"/>
      <c r="R546" s="402"/>
      <c r="S546" s="402"/>
      <c r="T546" s="402"/>
      <c r="U546" s="402"/>
      <c r="V546" s="402"/>
      <c r="W546" s="402"/>
      <c r="X546" s="402"/>
      <c r="Y546" s="402"/>
      <c r="Z546" s="402"/>
      <c r="AA546" s="405"/>
      <c r="AB546" s="405"/>
    </row>
    <row r="547" ht="14.25" customHeight="1">
      <c r="A547" s="402"/>
      <c r="B547" s="402"/>
      <c r="C547" s="402"/>
      <c r="D547" s="402"/>
      <c r="E547" s="402"/>
      <c r="F547" s="403"/>
      <c r="G547" s="402"/>
      <c r="H547" s="402"/>
      <c r="I547" s="402"/>
      <c r="J547" s="402"/>
      <c r="K547" s="402"/>
      <c r="L547" s="402"/>
      <c r="M547" s="402"/>
      <c r="N547" s="402"/>
      <c r="O547" s="402"/>
      <c r="P547" s="402"/>
      <c r="Q547" s="402"/>
      <c r="R547" s="402"/>
      <c r="S547" s="402"/>
      <c r="T547" s="402"/>
      <c r="U547" s="402"/>
      <c r="V547" s="402"/>
      <c r="W547" s="402"/>
      <c r="X547" s="402"/>
      <c r="Y547" s="402"/>
      <c r="Z547" s="402"/>
      <c r="AA547" s="405"/>
      <c r="AB547" s="405"/>
    </row>
    <row r="548" ht="14.25" customHeight="1">
      <c r="A548" s="402"/>
      <c r="B548" s="402"/>
      <c r="C548" s="402"/>
      <c r="D548" s="402"/>
      <c r="E548" s="402"/>
      <c r="F548" s="403"/>
      <c r="G548" s="402"/>
      <c r="H548" s="402"/>
      <c r="I548" s="402"/>
      <c r="J548" s="402"/>
      <c r="K548" s="402"/>
      <c r="L548" s="402"/>
      <c r="M548" s="402"/>
      <c r="N548" s="402"/>
      <c r="O548" s="402"/>
      <c r="P548" s="402"/>
      <c r="Q548" s="402"/>
      <c r="R548" s="402"/>
      <c r="S548" s="402"/>
      <c r="T548" s="402"/>
      <c r="U548" s="402"/>
      <c r="V548" s="402"/>
      <c r="W548" s="402"/>
      <c r="X548" s="402"/>
      <c r="Y548" s="402"/>
      <c r="Z548" s="402"/>
      <c r="AA548" s="405"/>
      <c r="AB548" s="405"/>
    </row>
    <row r="549" ht="14.25" customHeight="1">
      <c r="A549" s="402"/>
      <c r="B549" s="402"/>
      <c r="C549" s="402"/>
      <c r="D549" s="402"/>
      <c r="E549" s="402"/>
      <c r="F549" s="403"/>
      <c r="G549" s="402"/>
      <c r="H549" s="402"/>
      <c r="I549" s="402"/>
      <c r="J549" s="402"/>
      <c r="K549" s="402"/>
      <c r="L549" s="402"/>
      <c r="M549" s="402"/>
      <c r="N549" s="402"/>
      <c r="O549" s="402"/>
      <c r="P549" s="402"/>
      <c r="Q549" s="402"/>
      <c r="R549" s="402"/>
      <c r="S549" s="402"/>
      <c r="T549" s="402"/>
      <c r="U549" s="402"/>
      <c r="V549" s="402"/>
      <c r="W549" s="402"/>
      <c r="X549" s="402"/>
      <c r="Y549" s="402"/>
      <c r="Z549" s="402"/>
      <c r="AA549" s="405"/>
      <c r="AB549" s="405"/>
    </row>
    <row r="550" ht="14.25" customHeight="1">
      <c r="A550" s="402"/>
      <c r="B550" s="402"/>
      <c r="C550" s="402"/>
      <c r="D550" s="402"/>
      <c r="E550" s="402"/>
      <c r="F550" s="403"/>
      <c r="G550" s="402"/>
      <c r="H550" s="402"/>
      <c r="I550" s="402"/>
      <c r="J550" s="402"/>
      <c r="K550" s="402"/>
      <c r="L550" s="402"/>
      <c r="M550" s="402"/>
      <c r="N550" s="402"/>
      <c r="O550" s="402"/>
      <c r="P550" s="402"/>
      <c r="Q550" s="402"/>
      <c r="R550" s="402"/>
      <c r="S550" s="402"/>
      <c r="T550" s="402"/>
      <c r="U550" s="402"/>
      <c r="V550" s="402"/>
      <c r="W550" s="402"/>
      <c r="X550" s="402"/>
      <c r="Y550" s="402"/>
      <c r="Z550" s="402"/>
      <c r="AA550" s="405"/>
      <c r="AB550" s="405"/>
    </row>
    <row r="551" ht="14.25" customHeight="1">
      <c r="A551" s="402"/>
      <c r="B551" s="402"/>
      <c r="C551" s="402"/>
      <c r="D551" s="402"/>
      <c r="E551" s="402"/>
      <c r="F551" s="403"/>
      <c r="G551" s="402"/>
      <c r="H551" s="402"/>
      <c r="I551" s="402"/>
      <c r="J551" s="402"/>
      <c r="K551" s="402"/>
      <c r="L551" s="402"/>
      <c r="M551" s="402"/>
      <c r="N551" s="402"/>
      <c r="O551" s="402"/>
      <c r="P551" s="402"/>
      <c r="Q551" s="402"/>
      <c r="R551" s="402"/>
      <c r="S551" s="402"/>
      <c r="T551" s="402"/>
      <c r="U551" s="402"/>
      <c r="V551" s="402"/>
      <c r="W551" s="402"/>
      <c r="X551" s="402"/>
      <c r="Y551" s="402"/>
      <c r="Z551" s="402"/>
      <c r="AA551" s="405"/>
      <c r="AB551" s="405"/>
    </row>
    <row r="552" ht="14.25" customHeight="1">
      <c r="A552" s="402"/>
      <c r="B552" s="402"/>
      <c r="C552" s="402"/>
      <c r="D552" s="402"/>
      <c r="E552" s="402"/>
      <c r="F552" s="403"/>
      <c r="G552" s="402"/>
      <c r="H552" s="402"/>
      <c r="I552" s="402"/>
      <c r="J552" s="402"/>
      <c r="K552" s="402"/>
      <c r="L552" s="402"/>
      <c r="M552" s="402"/>
      <c r="N552" s="402"/>
      <c r="O552" s="402"/>
      <c r="P552" s="402"/>
      <c r="Q552" s="402"/>
      <c r="R552" s="402"/>
      <c r="S552" s="402"/>
      <c r="T552" s="402"/>
      <c r="U552" s="402"/>
      <c r="V552" s="402"/>
      <c r="W552" s="402"/>
      <c r="X552" s="402"/>
      <c r="Y552" s="402"/>
      <c r="Z552" s="402"/>
      <c r="AA552" s="405"/>
      <c r="AB552" s="405"/>
    </row>
    <row r="553" ht="14.25" customHeight="1">
      <c r="A553" s="402"/>
      <c r="B553" s="402"/>
      <c r="C553" s="402"/>
      <c r="D553" s="402"/>
      <c r="E553" s="402"/>
      <c r="F553" s="403"/>
      <c r="G553" s="402"/>
      <c r="H553" s="402"/>
      <c r="I553" s="402"/>
      <c r="J553" s="402"/>
      <c r="K553" s="402"/>
      <c r="L553" s="402"/>
      <c r="M553" s="402"/>
      <c r="N553" s="402"/>
      <c r="O553" s="402"/>
      <c r="P553" s="402"/>
      <c r="Q553" s="402"/>
      <c r="R553" s="402"/>
      <c r="S553" s="402"/>
      <c r="T553" s="402"/>
      <c r="U553" s="402"/>
      <c r="V553" s="402"/>
      <c r="W553" s="402"/>
      <c r="X553" s="402"/>
      <c r="Y553" s="402"/>
      <c r="Z553" s="402"/>
      <c r="AA553" s="405"/>
      <c r="AB553" s="405"/>
    </row>
    <row r="554" ht="14.25" customHeight="1">
      <c r="A554" s="402"/>
      <c r="B554" s="402"/>
      <c r="C554" s="402"/>
      <c r="D554" s="402"/>
      <c r="E554" s="402"/>
      <c r="F554" s="403"/>
      <c r="G554" s="402"/>
      <c r="H554" s="402"/>
      <c r="I554" s="402"/>
      <c r="J554" s="402"/>
      <c r="K554" s="402"/>
      <c r="L554" s="402"/>
      <c r="M554" s="402"/>
      <c r="N554" s="402"/>
      <c r="O554" s="402"/>
      <c r="P554" s="402"/>
      <c r="Q554" s="402"/>
      <c r="R554" s="402"/>
      <c r="S554" s="402"/>
      <c r="T554" s="402"/>
      <c r="U554" s="402"/>
      <c r="V554" s="402"/>
      <c r="W554" s="402"/>
      <c r="X554" s="402"/>
      <c r="Y554" s="402"/>
      <c r="Z554" s="402"/>
      <c r="AA554" s="405"/>
      <c r="AB554" s="405"/>
    </row>
    <row r="555" ht="14.25" customHeight="1">
      <c r="A555" s="402"/>
      <c r="B555" s="402"/>
      <c r="C555" s="402"/>
      <c r="D555" s="402"/>
      <c r="E555" s="402"/>
      <c r="F555" s="403"/>
      <c r="G555" s="402"/>
      <c r="H555" s="402"/>
      <c r="I555" s="402"/>
      <c r="J555" s="402"/>
      <c r="K555" s="402"/>
      <c r="L555" s="402"/>
      <c r="M555" s="402"/>
      <c r="N555" s="402"/>
      <c r="O555" s="402"/>
      <c r="P555" s="402"/>
      <c r="Q555" s="402"/>
      <c r="R555" s="402"/>
      <c r="S555" s="402"/>
      <c r="T555" s="402"/>
      <c r="U555" s="402"/>
      <c r="V555" s="402"/>
      <c r="W555" s="402"/>
      <c r="X555" s="402"/>
      <c r="Y555" s="402"/>
      <c r="Z555" s="402"/>
      <c r="AA555" s="405"/>
      <c r="AB555" s="405"/>
    </row>
    <row r="556" ht="14.25" customHeight="1">
      <c r="A556" s="402"/>
      <c r="B556" s="402"/>
      <c r="C556" s="402"/>
      <c r="D556" s="402"/>
      <c r="E556" s="402"/>
      <c r="F556" s="403"/>
      <c r="G556" s="402"/>
      <c r="H556" s="402"/>
      <c r="I556" s="402"/>
      <c r="J556" s="402"/>
      <c r="K556" s="402"/>
      <c r="L556" s="402"/>
      <c r="M556" s="402"/>
      <c r="N556" s="402"/>
      <c r="O556" s="402"/>
      <c r="P556" s="402"/>
      <c r="Q556" s="402"/>
      <c r="R556" s="402"/>
      <c r="S556" s="402"/>
      <c r="T556" s="402"/>
      <c r="U556" s="402"/>
      <c r="V556" s="402"/>
      <c r="W556" s="402"/>
      <c r="X556" s="402"/>
      <c r="Y556" s="402"/>
      <c r="Z556" s="402"/>
      <c r="AA556" s="405"/>
      <c r="AB556" s="405"/>
    </row>
    <row r="557" ht="14.25" customHeight="1">
      <c r="A557" s="402"/>
      <c r="B557" s="402"/>
      <c r="C557" s="402"/>
      <c r="D557" s="402"/>
      <c r="E557" s="402"/>
      <c r="F557" s="403"/>
      <c r="G557" s="402"/>
      <c r="H557" s="402"/>
      <c r="I557" s="402"/>
      <c r="J557" s="402"/>
      <c r="K557" s="402"/>
      <c r="L557" s="402"/>
      <c r="M557" s="402"/>
      <c r="N557" s="402"/>
      <c r="O557" s="402"/>
      <c r="P557" s="402"/>
      <c r="Q557" s="402"/>
      <c r="R557" s="402"/>
      <c r="S557" s="402"/>
      <c r="T557" s="402"/>
      <c r="U557" s="402"/>
      <c r="V557" s="402"/>
      <c r="W557" s="402"/>
      <c r="X557" s="402"/>
      <c r="Y557" s="402"/>
      <c r="Z557" s="402"/>
      <c r="AA557" s="405"/>
      <c r="AB557" s="405"/>
    </row>
    <row r="558" ht="14.25" customHeight="1">
      <c r="A558" s="402"/>
      <c r="B558" s="402"/>
      <c r="C558" s="402"/>
      <c r="D558" s="402"/>
      <c r="E558" s="402"/>
      <c r="F558" s="403"/>
      <c r="G558" s="402"/>
      <c r="H558" s="402"/>
      <c r="I558" s="402"/>
      <c r="J558" s="402"/>
      <c r="K558" s="402"/>
      <c r="L558" s="402"/>
      <c r="M558" s="402"/>
      <c r="N558" s="402"/>
      <c r="O558" s="402"/>
      <c r="P558" s="402"/>
      <c r="Q558" s="402"/>
      <c r="R558" s="402"/>
      <c r="S558" s="402"/>
      <c r="T558" s="402"/>
      <c r="U558" s="402"/>
      <c r="V558" s="402"/>
      <c r="W558" s="402"/>
      <c r="X558" s="402"/>
      <c r="Y558" s="402"/>
      <c r="Z558" s="402"/>
      <c r="AA558" s="405"/>
      <c r="AB558" s="405"/>
    </row>
    <row r="559" ht="14.25" customHeight="1">
      <c r="A559" s="402"/>
      <c r="B559" s="402"/>
      <c r="C559" s="402"/>
      <c r="D559" s="402"/>
      <c r="E559" s="402"/>
      <c r="F559" s="403"/>
      <c r="G559" s="402"/>
      <c r="H559" s="402"/>
      <c r="I559" s="402"/>
      <c r="J559" s="402"/>
      <c r="K559" s="402"/>
      <c r="L559" s="402"/>
      <c r="M559" s="402"/>
      <c r="N559" s="402"/>
      <c r="O559" s="402"/>
      <c r="P559" s="402"/>
      <c r="Q559" s="402"/>
      <c r="R559" s="402"/>
      <c r="S559" s="402"/>
      <c r="T559" s="402"/>
      <c r="U559" s="402"/>
      <c r="V559" s="402"/>
      <c r="W559" s="402"/>
      <c r="X559" s="402"/>
      <c r="Y559" s="402"/>
      <c r="Z559" s="402"/>
      <c r="AA559" s="405"/>
      <c r="AB559" s="405"/>
    </row>
    <row r="560" ht="14.25" customHeight="1">
      <c r="A560" s="402"/>
      <c r="B560" s="402"/>
      <c r="C560" s="402"/>
      <c r="D560" s="402"/>
      <c r="E560" s="402"/>
      <c r="F560" s="403"/>
      <c r="G560" s="402"/>
      <c r="H560" s="402"/>
      <c r="I560" s="402"/>
      <c r="J560" s="402"/>
      <c r="K560" s="402"/>
      <c r="L560" s="402"/>
      <c r="M560" s="402"/>
      <c r="N560" s="402"/>
      <c r="O560" s="402"/>
      <c r="P560" s="402"/>
      <c r="Q560" s="402"/>
      <c r="R560" s="402"/>
      <c r="S560" s="402"/>
      <c r="T560" s="402"/>
      <c r="U560" s="402"/>
      <c r="V560" s="402"/>
      <c r="W560" s="402"/>
      <c r="X560" s="402"/>
      <c r="Y560" s="402"/>
      <c r="Z560" s="402"/>
      <c r="AA560" s="405"/>
      <c r="AB560" s="405"/>
    </row>
    <row r="561" ht="14.25" customHeight="1">
      <c r="A561" s="402"/>
      <c r="B561" s="402"/>
      <c r="C561" s="402"/>
      <c r="D561" s="402"/>
      <c r="E561" s="402"/>
      <c r="F561" s="403"/>
      <c r="G561" s="402"/>
      <c r="H561" s="402"/>
      <c r="I561" s="402"/>
      <c r="J561" s="402"/>
      <c r="K561" s="402"/>
      <c r="L561" s="402"/>
      <c r="M561" s="402"/>
      <c r="N561" s="402"/>
      <c r="O561" s="402"/>
      <c r="P561" s="402"/>
      <c r="Q561" s="402"/>
      <c r="R561" s="402"/>
      <c r="S561" s="402"/>
      <c r="T561" s="402"/>
      <c r="U561" s="402"/>
      <c r="V561" s="402"/>
      <c r="W561" s="402"/>
      <c r="X561" s="402"/>
      <c r="Y561" s="402"/>
      <c r="Z561" s="402"/>
      <c r="AA561" s="405"/>
      <c r="AB561" s="405"/>
    </row>
    <row r="562" ht="14.25" customHeight="1">
      <c r="A562" s="402"/>
      <c r="B562" s="402"/>
      <c r="C562" s="402"/>
      <c r="D562" s="402"/>
      <c r="E562" s="402"/>
      <c r="F562" s="403"/>
      <c r="G562" s="402"/>
      <c r="H562" s="402"/>
      <c r="I562" s="402"/>
      <c r="J562" s="402"/>
      <c r="K562" s="402"/>
      <c r="L562" s="402"/>
      <c r="M562" s="402"/>
      <c r="N562" s="402"/>
      <c r="O562" s="402"/>
      <c r="P562" s="402"/>
      <c r="Q562" s="402"/>
      <c r="R562" s="402"/>
      <c r="S562" s="402"/>
      <c r="T562" s="402"/>
      <c r="U562" s="402"/>
      <c r="V562" s="402"/>
      <c r="W562" s="402"/>
      <c r="X562" s="402"/>
      <c r="Y562" s="402"/>
      <c r="Z562" s="402"/>
      <c r="AA562" s="405"/>
      <c r="AB562" s="405"/>
    </row>
    <row r="563" ht="14.25" customHeight="1">
      <c r="A563" s="402"/>
      <c r="B563" s="402"/>
      <c r="C563" s="402"/>
      <c r="D563" s="402"/>
      <c r="E563" s="402"/>
      <c r="F563" s="403"/>
      <c r="G563" s="402"/>
      <c r="H563" s="402"/>
      <c r="I563" s="402"/>
      <c r="J563" s="402"/>
      <c r="K563" s="402"/>
      <c r="L563" s="402"/>
      <c r="M563" s="402"/>
      <c r="N563" s="402"/>
      <c r="O563" s="402"/>
      <c r="P563" s="402"/>
      <c r="Q563" s="402"/>
      <c r="R563" s="402"/>
      <c r="S563" s="402"/>
      <c r="T563" s="402"/>
      <c r="U563" s="402"/>
      <c r="V563" s="402"/>
      <c r="W563" s="402"/>
      <c r="X563" s="402"/>
      <c r="Y563" s="402"/>
      <c r="Z563" s="402"/>
      <c r="AA563" s="405"/>
      <c r="AB563" s="405"/>
    </row>
    <row r="564" ht="14.25" customHeight="1">
      <c r="A564" s="402"/>
      <c r="B564" s="402"/>
      <c r="C564" s="402"/>
      <c r="D564" s="402"/>
      <c r="E564" s="402"/>
      <c r="F564" s="403"/>
      <c r="G564" s="402"/>
      <c r="H564" s="402"/>
      <c r="I564" s="402"/>
      <c r="J564" s="402"/>
      <c r="K564" s="402"/>
      <c r="L564" s="402"/>
      <c r="M564" s="402"/>
      <c r="N564" s="402"/>
      <c r="O564" s="402"/>
      <c r="P564" s="402"/>
      <c r="Q564" s="402"/>
      <c r="R564" s="402"/>
      <c r="S564" s="402"/>
      <c r="T564" s="402"/>
      <c r="U564" s="402"/>
      <c r="V564" s="402"/>
      <c r="W564" s="402"/>
      <c r="X564" s="402"/>
      <c r="Y564" s="402"/>
      <c r="Z564" s="402"/>
      <c r="AA564" s="405"/>
      <c r="AB564" s="405"/>
    </row>
    <row r="565" ht="14.25" customHeight="1">
      <c r="A565" s="402"/>
      <c r="B565" s="402"/>
      <c r="C565" s="402"/>
      <c r="D565" s="402"/>
      <c r="E565" s="402"/>
      <c r="F565" s="403"/>
      <c r="G565" s="402"/>
      <c r="H565" s="402"/>
      <c r="I565" s="402"/>
      <c r="J565" s="402"/>
      <c r="K565" s="402"/>
      <c r="L565" s="402"/>
      <c r="M565" s="402"/>
      <c r="N565" s="402"/>
      <c r="O565" s="402"/>
      <c r="P565" s="402"/>
      <c r="Q565" s="402"/>
      <c r="R565" s="402"/>
      <c r="S565" s="402"/>
      <c r="T565" s="402"/>
      <c r="U565" s="402"/>
      <c r="V565" s="402"/>
      <c r="W565" s="402"/>
      <c r="X565" s="402"/>
      <c r="Y565" s="402"/>
      <c r="Z565" s="402"/>
      <c r="AA565" s="405"/>
      <c r="AB565" s="405"/>
    </row>
    <row r="566" ht="14.25" customHeight="1">
      <c r="A566" s="402"/>
      <c r="B566" s="402"/>
      <c r="C566" s="402"/>
      <c r="D566" s="402"/>
      <c r="E566" s="402"/>
      <c r="F566" s="403"/>
      <c r="G566" s="402"/>
      <c r="H566" s="402"/>
      <c r="I566" s="402"/>
      <c r="J566" s="402"/>
      <c r="K566" s="402"/>
      <c r="L566" s="402"/>
      <c r="M566" s="402"/>
      <c r="N566" s="402"/>
      <c r="O566" s="402"/>
      <c r="P566" s="402"/>
      <c r="Q566" s="402"/>
      <c r="R566" s="402"/>
      <c r="S566" s="402"/>
      <c r="T566" s="402"/>
      <c r="U566" s="402"/>
      <c r="V566" s="402"/>
      <c r="W566" s="402"/>
      <c r="X566" s="402"/>
      <c r="Y566" s="402"/>
      <c r="Z566" s="402"/>
      <c r="AA566" s="405"/>
      <c r="AB566" s="405"/>
    </row>
    <row r="567" ht="14.25" customHeight="1">
      <c r="A567" s="402"/>
      <c r="B567" s="402"/>
      <c r="C567" s="402"/>
      <c r="D567" s="402"/>
      <c r="E567" s="402"/>
      <c r="F567" s="403"/>
      <c r="G567" s="402"/>
      <c r="H567" s="402"/>
      <c r="I567" s="402"/>
      <c r="J567" s="402"/>
      <c r="K567" s="402"/>
      <c r="L567" s="402"/>
      <c r="M567" s="402"/>
      <c r="N567" s="402"/>
      <c r="O567" s="402"/>
      <c r="P567" s="402"/>
      <c r="Q567" s="402"/>
      <c r="R567" s="402"/>
      <c r="S567" s="402"/>
      <c r="T567" s="402"/>
      <c r="U567" s="402"/>
      <c r="V567" s="402"/>
      <c r="W567" s="402"/>
      <c r="X567" s="402"/>
      <c r="Y567" s="402"/>
      <c r="Z567" s="402"/>
      <c r="AA567" s="405"/>
      <c r="AB567" s="405"/>
    </row>
    <row r="568" ht="14.25" customHeight="1">
      <c r="A568" s="402"/>
      <c r="B568" s="402"/>
      <c r="C568" s="402"/>
      <c r="D568" s="402"/>
      <c r="E568" s="402"/>
      <c r="F568" s="403"/>
      <c r="G568" s="402"/>
      <c r="H568" s="402"/>
      <c r="I568" s="402"/>
      <c r="J568" s="402"/>
      <c r="K568" s="402"/>
      <c r="L568" s="402"/>
      <c r="M568" s="402"/>
      <c r="N568" s="402"/>
      <c r="O568" s="402"/>
      <c r="P568" s="402"/>
      <c r="Q568" s="402"/>
      <c r="R568" s="402"/>
      <c r="S568" s="402"/>
      <c r="T568" s="402"/>
      <c r="U568" s="402"/>
      <c r="V568" s="402"/>
      <c r="W568" s="402"/>
      <c r="X568" s="402"/>
      <c r="Y568" s="402"/>
      <c r="Z568" s="402"/>
      <c r="AA568" s="405"/>
      <c r="AB568" s="405"/>
    </row>
    <row r="569" ht="14.25" customHeight="1">
      <c r="A569" s="402"/>
      <c r="B569" s="402"/>
      <c r="C569" s="402"/>
      <c r="D569" s="402"/>
      <c r="E569" s="402"/>
      <c r="F569" s="403"/>
      <c r="G569" s="402"/>
      <c r="H569" s="402"/>
      <c r="I569" s="402"/>
      <c r="J569" s="402"/>
      <c r="K569" s="402"/>
      <c r="L569" s="402"/>
      <c r="M569" s="402"/>
      <c r="N569" s="402"/>
      <c r="O569" s="402"/>
      <c r="P569" s="402"/>
      <c r="Q569" s="402"/>
      <c r="R569" s="402"/>
      <c r="S569" s="402"/>
      <c r="T569" s="402"/>
      <c r="U569" s="402"/>
      <c r="V569" s="402"/>
      <c r="W569" s="402"/>
      <c r="X569" s="402"/>
      <c r="Y569" s="402"/>
      <c r="Z569" s="402"/>
      <c r="AA569" s="405"/>
      <c r="AB569" s="405"/>
    </row>
    <row r="570" ht="14.25" customHeight="1">
      <c r="A570" s="402"/>
      <c r="B570" s="402"/>
      <c r="C570" s="402"/>
      <c r="D570" s="402"/>
      <c r="E570" s="402"/>
      <c r="F570" s="403"/>
      <c r="G570" s="402"/>
      <c r="H570" s="402"/>
      <c r="I570" s="402"/>
      <c r="J570" s="402"/>
      <c r="K570" s="402"/>
      <c r="L570" s="402"/>
      <c r="M570" s="402"/>
      <c r="N570" s="402"/>
      <c r="O570" s="402"/>
      <c r="P570" s="402"/>
      <c r="Q570" s="402"/>
      <c r="R570" s="402"/>
      <c r="S570" s="402"/>
      <c r="T570" s="402"/>
      <c r="U570" s="402"/>
      <c r="V570" s="402"/>
      <c r="W570" s="402"/>
      <c r="X570" s="402"/>
      <c r="Y570" s="402"/>
      <c r="Z570" s="402"/>
      <c r="AA570" s="405"/>
      <c r="AB570" s="405"/>
    </row>
    <row r="571" ht="14.25" customHeight="1">
      <c r="A571" s="402"/>
      <c r="B571" s="402"/>
      <c r="C571" s="402"/>
      <c r="D571" s="402"/>
      <c r="E571" s="402"/>
      <c r="F571" s="403"/>
      <c r="G571" s="402"/>
      <c r="H571" s="402"/>
      <c r="I571" s="402"/>
      <c r="J571" s="402"/>
      <c r="K571" s="402"/>
      <c r="L571" s="402"/>
      <c r="M571" s="402"/>
      <c r="N571" s="402"/>
      <c r="O571" s="402"/>
      <c r="P571" s="402"/>
      <c r="Q571" s="402"/>
      <c r="R571" s="402"/>
      <c r="S571" s="402"/>
      <c r="T571" s="402"/>
      <c r="U571" s="402"/>
      <c r="V571" s="402"/>
      <c r="W571" s="402"/>
      <c r="X571" s="402"/>
      <c r="Y571" s="402"/>
      <c r="Z571" s="402"/>
      <c r="AA571" s="405"/>
      <c r="AB571" s="405"/>
    </row>
    <row r="572" ht="14.25" customHeight="1">
      <c r="A572" s="402"/>
      <c r="B572" s="402"/>
      <c r="C572" s="402"/>
      <c r="D572" s="402"/>
      <c r="E572" s="402"/>
      <c r="F572" s="403"/>
      <c r="G572" s="402"/>
      <c r="H572" s="402"/>
      <c r="I572" s="402"/>
      <c r="J572" s="402"/>
      <c r="K572" s="402"/>
      <c r="L572" s="402"/>
      <c r="M572" s="402"/>
      <c r="N572" s="402"/>
      <c r="O572" s="402"/>
      <c r="P572" s="402"/>
      <c r="Q572" s="402"/>
      <c r="R572" s="402"/>
      <c r="S572" s="402"/>
      <c r="T572" s="402"/>
      <c r="U572" s="402"/>
      <c r="V572" s="402"/>
      <c r="W572" s="402"/>
      <c r="X572" s="402"/>
      <c r="Y572" s="402"/>
      <c r="Z572" s="402"/>
      <c r="AA572" s="405"/>
      <c r="AB572" s="405"/>
    </row>
    <row r="573" ht="14.25" customHeight="1">
      <c r="A573" s="402"/>
      <c r="B573" s="402"/>
      <c r="C573" s="402"/>
      <c r="D573" s="402"/>
      <c r="E573" s="402"/>
      <c r="F573" s="403"/>
      <c r="G573" s="402"/>
      <c r="H573" s="402"/>
      <c r="I573" s="402"/>
      <c r="J573" s="402"/>
      <c r="K573" s="402"/>
      <c r="L573" s="402"/>
      <c r="M573" s="402"/>
      <c r="N573" s="402"/>
      <c r="O573" s="402"/>
      <c r="P573" s="402"/>
      <c r="Q573" s="402"/>
      <c r="R573" s="402"/>
      <c r="S573" s="402"/>
      <c r="T573" s="402"/>
      <c r="U573" s="402"/>
      <c r="V573" s="402"/>
      <c r="W573" s="402"/>
      <c r="X573" s="402"/>
      <c r="Y573" s="402"/>
      <c r="Z573" s="402"/>
      <c r="AA573" s="405"/>
      <c r="AB573" s="405"/>
    </row>
    <row r="574" ht="14.25" customHeight="1">
      <c r="A574" s="402"/>
      <c r="B574" s="402"/>
      <c r="C574" s="402"/>
      <c r="D574" s="402"/>
      <c r="E574" s="402"/>
      <c r="F574" s="403"/>
      <c r="G574" s="402"/>
      <c r="H574" s="402"/>
      <c r="I574" s="402"/>
      <c r="J574" s="402"/>
      <c r="K574" s="402"/>
      <c r="L574" s="402"/>
      <c r="M574" s="402"/>
      <c r="N574" s="402"/>
      <c r="O574" s="402"/>
      <c r="P574" s="402"/>
      <c r="Q574" s="402"/>
      <c r="R574" s="402"/>
      <c r="S574" s="402"/>
      <c r="T574" s="402"/>
      <c r="U574" s="402"/>
      <c r="V574" s="402"/>
      <c r="W574" s="402"/>
      <c r="X574" s="402"/>
      <c r="Y574" s="402"/>
      <c r="Z574" s="402"/>
      <c r="AA574" s="405"/>
      <c r="AB574" s="405"/>
    </row>
    <row r="575" ht="14.25" customHeight="1">
      <c r="A575" s="402"/>
      <c r="B575" s="402"/>
      <c r="C575" s="402"/>
      <c r="D575" s="402"/>
      <c r="E575" s="402"/>
      <c r="F575" s="403"/>
      <c r="G575" s="402"/>
      <c r="H575" s="402"/>
      <c r="I575" s="402"/>
      <c r="J575" s="402"/>
      <c r="K575" s="402"/>
      <c r="L575" s="402"/>
      <c r="M575" s="402"/>
      <c r="N575" s="402"/>
      <c r="O575" s="402"/>
      <c r="P575" s="402"/>
      <c r="Q575" s="402"/>
      <c r="R575" s="402"/>
      <c r="S575" s="402"/>
      <c r="T575" s="402"/>
      <c r="U575" s="402"/>
      <c r="V575" s="402"/>
      <c r="W575" s="402"/>
      <c r="X575" s="402"/>
      <c r="Y575" s="402"/>
      <c r="Z575" s="402"/>
      <c r="AA575" s="405"/>
      <c r="AB575" s="405"/>
    </row>
    <row r="576" ht="14.25" customHeight="1">
      <c r="A576" s="402"/>
      <c r="B576" s="402"/>
      <c r="C576" s="402"/>
      <c r="D576" s="402"/>
      <c r="E576" s="402"/>
      <c r="F576" s="403"/>
      <c r="G576" s="402"/>
      <c r="H576" s="402"/>
      <c r="I576" s="402"/>
      <c r="J576" s="402"/>
      <c r="K576" s="402"/>
      <c r="L576" s="402"/>
      <c r="M576" s="402"/>
      <c r="N576" s="402"/>
      <c r="O576" s="402"/>
      <c r="P576" s="402"/>
      <c r="Q576" s="402"/>
      <c r="R576" s="402"/>
      <c r="S576" s="402"/>
      <c r="T576" s="402"/>
      <c r="U576" s="402"/>
      <c r="V576" s="402"/>
      <c r="W576" s="402"/>
      <c r="X576" s="402"/>
      <c r="Y576" s="402"/>
      <c r="Z576" s="402"/>
      <c r="AA576" s="405"/>
      <c r="AB576" s="405"/>
    </row>
    <row r="577" ht="14.25" customHeight="1">
      <c r="A577" s="402"/>
      <c r="B577" s="402"/>
      <c r="C577" s="402"/>
      <c r="D577" s="402"/>
      <c r="E577" s="402"/>
      <c r="F577" s="403"/>
      <c r="G577" s="402"/>
      <c r="H577" s="402"/>
      <c r="I577" s="402"/>
      <c r="J577" s="402"/>
      <c r="K577" s="402"/>
      <c r="L577" s="402"/>
      <c r="M577" s="402"/>
      <c r="N577" s="402"/>
      <c r="O577" s="402"/>
      <c r="P577" s="402"/>
      <c r="Q577" s="402"/>
      <c r="R577" s="402"/>
      <c r="S577" s="402"/>
      <c r="T577" s="402"/>
      <c r="U577" s="402"/>
      <c r="V577" s="402"/>
      <c r="W577" s="402"/>
      <c r="X577" s="402"/>
      <c r="Y577" s="402"/>
      <c r="Z577" s="402"/>
      <c r="AA577" s="405"/>
      <c r="AB577" s="405"/>
    </row>
    <row r="578" ht="14.25" customHeight="1">
      <c r="A578" s="402"/>
      <c r="B578" s="402"/>
      <c r="C578" s="402"/>
      <c r="D578" s="402"/>
      <c r="E578" s="402"/>
      <c r="F578" s="403"/>
      <c r="G578" s="402"/>
      <c r="H578" s="402"/>
      <c r="I578" s="402"/>
      <c r="J578" s="402"/>
      <c r="K578" s="402"/>
      <c r="L578" s="402"/>
      <c r="M578" s="402"/>
      <c r="N578" s="402"/>
      <c r="O578" s="402"/>
      <c r="P578" s="402"/>
      <c r="Q578" s="402"/>
      <c r="R578" s="402"/>
      <c r="S578" s="402"/>
      <c r="T578" s="402"/>
      <c r="U578" s="402"/>
      <c r="V578" s="402"/>
      <c r="W578" s="402"/>
      <c r="X578" s="402"/>
      <c r="Y578" s="402"/>
      <c r="Z578" s="402"/>
      <c r="AA578" s="405"/>
      <c r="AB578" s="405"/>
    </row>
    <row r="579" ht="14.25" customHeight="1">
      <c r="A579" s="402"/>
      <c r="B579" s="402"/>
      <c r="C579" s="402"/>
      <c r="D579" s="402"/>
      <c r="E579" s="402"/>
      <c r="F579" s="403"/>
      <c r="G579" s="402"/>
      <c r="H579" s="402"/>
      <c r="I579" s="402"/>
      <c r="J579" s="402"/>
      <c r="K579" s="402"/>
      <c r="L579" s="402"/>
      <c r="M579" s="402"/>
      <c r="N579" s="402"/>
      <c r="O579" s="402"/>
      <c r="P579" s="402"/>
      <c r="Q579" s="402"/>
      <c r="R579" s="402"/>
      <c r="S579" s="402"/>
      <c r="T579" s="402"/>
      <c r="U579" s="402"/>
      <c r="V579" s="402"/>
      <c r="W579" s="402"/>
      <c r="X579" s="402"/>
      <c r="Y579" s="402"/>
      <c r="Z579" s="402"/>
      <c r="AA579" s="405"/>
      <c r="AB579" s="405"/>
    </row>
    <row r="580" ht="14.25" customHeight="1">
      <c r="A580" s="402"/>
      <c r="B580" s="402"/>
      <c r="C580" s="402"/>
      <c r="D580" s="402"/>
      <c r="E580" s="402"/>
      <c r="F580" s="403"/>
      <c r="G580" s="402"/>
      <c r="H580" s="402"/>
      <c r="I580" s="402"/>
      <c r="J580" s="402"/>
      <c r="K580" s="402"/>
      <c r="L580" s="402"/>
      <c r="M580" s="402"/>
      <c r="N580" s="402"/>
      <c r="O580" s="402"/>
      <c r="P580" s="402"/>
      <c r="Q580" s="402"/>
      <c r="R580" s="402"/>
      <c r="S580" s="402"/>
      <c r="T580" s="402"/>
      <c r="U580" s="402"/>
      <c r="V580" s="402"/>
      <c r="W580" s="402"/>
      <c r="X580" s="402"/>
      <c r="Y580" s="402"/>
      <c r="Z580" s="402"/>
      <c r="AA580" s="405"/>
      <c r="AB580" s="405"/>
    </row>
    <row r="581" ht="14.25" customHeight="1">
      <c r="A581" s="402"/>
      <c r="B581" s="402"/>
      <c r="C581" s="402"/>
      <c r="D581" s="402"/>
      <c r="E581" s="402"/>
      <c r="F581" s="403"/>
      <c r="G581" s="402"/>
      <c r="H581" s="402"/>
      <c r="I581" s="402"/>
      <c r="J581" s="402"/>
      <c r="K581" s="402"/>
      <c r="L581" s="402"/>
      <c r="M581" s="402"/>
      <c r="N581" s="402"/>
      <c r="O581" s="402"/>
      <c r="P581" s="402"/>
      <c r="Q581" s="402"/>
      <c r="R581" s="402"/>
      <c r="S581" s="402"/>
      <c r="T581" s="402"/>
      <c r="U581" s="402"/>
      <c r="V581" s="402"/>
      <c r="W581" s="402"/>
      <c r="X581" s="402"/>
      <c r="Y581" s="402"/>
      <c r="Z581" s="402"/>
      <c r="AA581" s="405"/>
      <c r="AB581" s="405"/>
    </row>
    <row r="582" ht="14.25" customHeight="1">
      <c r="A582" s="402"/>
      <c r="B582" s="402"/>
      <c r="C582" s="402"/>
      <c r="D582" s="402"/>
      <c r="E582" s="402"/>
      <c r="F582" s="403"/>
      <c r="G582" s="402"/>
      <c r="H582" s="402"/>
      <c r="I582" s="402"/>
      <c r="J582" s="402"/>
      <c r="K582" s="402"/>
      <c r="L582" s="402"/>
      <c r="M582" s="402"/>
      <c r="N582" s="402"/>
      <c r="O582" s="402"/>
      <c r="P582" s="402"/>
      <c r="Q582" s="402"/>
      <c r="R582" s="402"/>
      <c r="S582" s="402"/>
      <c r="T582" s="402"/>
      <c r="U582" s="402"/>
      <c r="V582" s="402"/>
      <c r="W582" s="402"/>
      <c r="X582" s="402"/>
      <c r="Y582" s="402"/>
      <c r="Z582" s="402"/>
      <c r="AA582" s="405"/>
      <c r="AB582" s="405"/>
    </row>
    <row r="583" ht="14.25" customHeight="1">
      <c r="A583" s="402"/>
      <c r="B583" s="402"/>
      <c r="C583" s="402"/>
      <c r="D583" s="402"/>
      <c r="E583" s="402"/>
      <c r="F583" s="403"/>
      <c r="G583" s="402"/>
      <c r="H583" s="402"/>
      <c r="I583" s="402"/>
      <c r="J583" s="402"/>
      <c r="K583" s="402"/>
      <c r="L583" s="402"/>
      <c r="M583" s="402"/>
      <c r="N583" s="402"/>
      <c r="O583" s="402"/>
      <c r="P583" s="402"/>
      <c r="Q583" s="402"/>
      <c r="R583" s="402"/>
      <c r="S583" s="402"/>
      <c r="T583" s="402"/>
      <c r="U583" s="402"/>
      <c r="V583" s="402"/>
      <c r="W583" s="402"/>
      <c r="X583" s="402"/>
      <c r="Y583" s="402"/>
      <c r="Z583" s="402"/>
      <c r="AA583" s="405"/>
      <c r="AB583" s="405"/>
    </row>
    <row r="584" ht="14.25" customHeight="1">
      <c r="A584" s="402"/>
      <c r="B584" s="402"/>
      <c r="C584" s="402"/>
      <c r="D584" s="402"/>
      <c r="E584" s="402"/>
      <c r="F584" s="403"/>
      <c r="G584" s="402"/>
      <c r="H584" s="402"/>
      <c r="I584" s="402"/>
      <c r="J584" s="402"/>
      <c r="K584" s="402"/>
      <c r="L584" s="402"/>
      <c r="M584" s="402"/>
      <c r="N584" s="402"/>
      <c r="O584" s="402"/>
      <c r="P584" s="402"/>
      <c r="Q584" s="402"/>
      <c r="R584" s="402"/>
      <c r="S584" s="402"/>
      <c r="T584" s="402"/>
      <c r="U584" s="402"/>
      <c r="V584" s="402"/>
      <c r="W584" s="402"/>
      <c r="X584" s="402"/>
      <c r="Y584" s="402"/>
      <c r="Z584" s="402"/>
      <c r="AA584" s="405"/>
      <c r="AB584" s="405"/>
    </row>
    <row r="585" ht="14.25" customHeight="1">
      <c r="A585" s="402"/>
      <c r="B585" s="402"/>
      <c r="C585" s="402"/>
      <c r="D585" s="402"/>
      <c r="E585" s="402"/>
      <c r="F585" s="403"/>
      <c r="G585" s="402"/>
      <c r="H585" s="402"/>
      <c r="I585" s="402"/>
      <c r="J585" s="402"/>
      <c r="K585" s="402"/>
      <c r="L585" s="402"/>
      <c r="M585" s="402"/>
      <c r="N585" s="402"/>
      <c r="O585" s="402"/>
      <c r="P585" s="402"/>
      <c r="Q585" s="402"/>
      <c r="R585" s="402"/>
      <c r="S585" s="402"/>
      <c r="T585" s="402"/>
      <c r="U585" s="402"/>
      <c r="V585" s="402"/>
      <c r="W585" s="402"/>
      <c r="X585" s="402"/>
      <c r="Y585" s="402"/>
      <c r="Z585" s="402"/>
      <c r="AA585" s="405"/>
      <c r="AB585" s="405"/>
    </row>
    <row r="586" ht="14.25" customHeight="1">
      <c r="A586" s="402"/>
      <c r="B586" s="402"/>
      <c r="C586" s="402"/>
      <c r="D586" s="402"/>
      <c r="E586" s="402"/>
      <c r="F586" s="403"/>
      <c r="G586" s="402"/>
      <c r="H586" s="402"/>
      <c r="I586" s="402"/>
      <c r="J586" s="402"/>
      <c r="K586" s="402"/>
      <c r="L586" s="402"/>
      <c r="M586" s="402"/>
      <c r="N586" s="402"/>
      <c r="O586" s="402"/>
      <c r="P586" s="402"/>
      <c r="Q586" s="402"/>
      <c r="R586" s="402"/>
      <c r="S586" s="402"/>
      <c r="T586" s="402"/>
      <c r="U586" s="402"/>
      <c r="V586" s="402"/>
      <c r="W586" s="402"/>
      <c r="X586" s="402"/>
      <c r="Y586" s="402"/>
      <c r="Z586" s="402"/>
      <c r="AA586" s="405"/>
      <c r="AB586" s="405"/>
    </row>
    <row r="587" ht="14.25" customHeight="1">
      <c r="A587" s="402"/>
      <c r="B587" s="402"/>
      <c r="C587" s="402"/>
      <c r="D587" s="402"/>
      <c r="E587" s="402"/>
      <c r="F587" s="403"/>
      <c r="G587" s="402"/>
      <c r="H587" s="402"/>
      <c r="I587" s="402"/>
      <c r="J587" s="402"/>
      <c r="K587" s="402"/>
      <c r="L587" s="402"/>
      <c r="M587" s="402"/>
      <c r="N587" s="402"/>
      <c r="O587" s="402"/>
      <c r="P587" s="402"/>
      <c r="Q587" s="402"/>
      <c r="R587" s="402"/>
      <c r="S587" s="402"/>
      <c r="T587" s="402"/>
      <c r="U587" s="402"/>
      <c r="V587" s="402"/>
      <c r="W587" s="402"/>
      <c r="X587" s="402"/>
      <c r="Y587" s="402"/>
      <c r="Z587" s="402"/>
      <c r="AA587" s="405"/>
      <c r="AB587" s="405"/>
    </row>
    <row r="588" ht="14.25" customHeight="1">
      <c r="A588" s="402"/>
      <c r="B588" s="402"/>
      <c r="C588" s="402"/>
      <c r="D588" s="402"/>
      <c r="E588" s="402"/>
      <c r="F588" s="403"/>
      <c r="G588" s="402"/>
      <c r="H588" s="402"/>
      <c r="I588" s="402"/>
      <c r="J588" s="402"/>
      <c r="K588" s="402"/>
      <c r="L588" s="402"/>
      <c r="M588" s="402"/>
      <c r="N588" s="402"/>
      <c r="O588" s="402"/>
      <c r="P588" s="402"/>
      <c r="Q588" s="402"/>
      <c r="R588" s="402"/>
      <c r="S588" s="402"/>
      <c r="T588" s="402"/>
      <c r="U588" s="402"/>
      <c r="V588" s="402"/>
      <c r="W588" s="402"/>
      <c r="X588" s="402"/>
      <c r="Y588" s="402"/>
      <c r="Z588" s="402"/>
      <c r="AA588" s="405"/>
      <c r="AB588" s="405"/>
    </row>
    <row r="589" ht="14.25" customHeight="1">
      <c r="A589" s="402"/>
      <c r="B589" s="402"/>
      <c r="C589" s="402"/>
      <c r="D589" s="402"/>
      <c r="E589" s="402"/>
      <c r="F589" s="403"/>
      <c r="G589" s="402"/>
      <c r="H589" s="402"/>
      <c r="I589" s="402"/>
      <c r="J589" s="402"/>
      <c r="K589" s="402"/>
      <c r="L589" s="402"/>
      <c r="M589" s="402"/>
      <c r="N589" s="402"/>
      <c r="O589" s="402"/>
      <c r="P589" s="402"/>
      <c r="Q589" s="402"/>
      <c r="R589" s="402"/>
      <c r="S589" s="402"/>
      <c r="T589" s="402"/>
      <c r="U589" s="402"/>
      <c r="V589" s="402"/>
      <c r="W589" s="402"/>
      <c r="X589" s="402"/>
      <c r="Y589" s="402"/>
      <c r="Z589" s="402"/>
      <c r="AA589" s="405"/>
      <c r="AB589" s="405"/>
    </row>
    <row r="590" ht="14.25" customHeight="1">
      <c r="A590" s="402"/>
      <c r="B590" s="402"/>
      <c r="C590" s="402"/>
      <c r="D590" s="402"/>
      <c r="E590" s="402"/>
      <c r="F590" s="403"/>
      <c r="G590" s="402"/>
      <c r="H590" s="402"/>
      <c r="I590" s="402"/>
      <c r="J590" s="402"/>
      <c r="K590" s="402"/>
      <c r="L590" s="402"/>
      <c r="M590" s="402"/>
      <c r="N590" s="402"/>
      <c r="O590" s="402"/>
      <c r="P590" s="402"/>
      <c r="Q590" s="402"/>
      <c r="R590" s="402"/>
      <c r="S590" s="402"/>
      <c r="T590" s="402"/>
      <c r="U590" s="402"/>
      <c r="V590" s="402"/>
      <c r="W590" s="402"/>
      <c r="X590" s="402"/>
      <c r="Y590" s="402"/>
      <c r="Z590" s="402"/>
      <c r="AA590" s="405"/>
      <c r="AB590" s="405"/>
    </row>
    <row r="591" ht="14.25" customHeight="1">
      <c r="A591" s="402"/>
      <c r="B591" s="402"/>
      <c r="C591" s="402"/>
      <c r="D591" s="402"/>
      <c r="E591" s="402"/>
      <c r="F591" s="403"/>
      <c r="G591" s="402"/>
      <c r="H591" s="402"/>
      <c r="I591" s="402"/>
      <c r="J591" s="402"/>
      <c r="K591" s="402"/>
      <c r="L591" s="402"/>
      <c r="M591" s="402"/>
      <c r="N591" s="402"/>
      <c r="O591" s="402"/>
      <c r="P591" s="402"/>
      <c r="Q591" s="402"/>
      <c r="R591" s="402"/>
      <c r="S591" s="402"/>
      <c r="T591" s="402"/>
      <c r="U591" s="402"/>
      <c r="V591" s="402"/>
      <c r="W591" s="402"/>
      <c r="X591" s="402"/>
      <c r="Y591" s="402"/>
      <c r="Z591" s="402"/>
      <c r="AA591" s="405"/>
      <c r="AB591" s="405"/>
    </row>
    <row r="592" ht="14.25" customHeight="1">
      <c r="A592" s="402"/>
      <c r="B592" s="402"/>
      <c r="C592" s="402"/>
      <c r="D592" s="402"/>
      <c r="E592" s="402"/>
      <c r="F592" s="403"/>
      <c r="G592" s="402"/>
      <c r="H592" s="402"/>
      <c r="I592" s="402"/>
      <c r="J592" s="402"/>
      <c r="K592" s="402"/>
      <c r="L592" s="402"/>
      <c r="M592" s="402"/>
      <c r="N592" s="402"/>
      <c r="O592" s="402"/>
      <c r="P592" s="402"/>
      <c r="Q592" s="402"/>
      <c r="R592" s="402"/>
      <c r="S592" s="402"/>
      <c r="T592" s="402"/>
      <c r="U592" s="402"/>
      <c r="V592" s="402"/>
      <c r="W592" s="402"/>
      <c r="X592" s="402"/>
      <c r="Y592" s="402"/>
      <c r="Z592" s="402"/>
      <c r="AA592" s="405"/>
      <c r="AB592" s="405"/>
    </row>
    <row r="593" ht="14.25" customHeight="1">
      <c r="A593" s="402"/>
      <c r="B593" s="402"/>
      <c r="C593" s="402"/>
      <c r="D593" s="402"/>
      <c r="E593" s="402"/>
      <c r="F593" s="403"/>
      <c r="G593" s="402"/>
      <c r="H593" s="402"/>
      <c r="I593" s="402"/>
      <c r="J593" s="402"/>
      <c r="K593" s="402"/>
      <c r="L593" s="402"/>
      <c r="M593" s="402"/>
      <c r="N593" s="402"/>
      <c r="O593" s="402"/>
      <c r="P593" s="402"/>
      <c r="Q593" s="402"/>
      <c r="R593" s="402"/>
      <c r="S593" s="402"/>
      <c r="T593" s="402"/>
      <c r="U593" s="402"/>
      <c r="V593" s="402"/>
      <c r="W593" s="402"/>
      <c r="X593" s="402"/>
      <c r="Y593" s="402"/>
      <c r="Z593" s="402"/>
      <c r="AA593" s="405"/>
      <c r="AB593" s="405"/>
    </row>
    <row r="594" ht="14.25" customHeight="1">
      <c r="A594" s="402"/>
      <c r="B594" s="402"/>
      <c r="C594" s="402"/>
      <c r="D594" s="402"/>
      <c r="E594" s="402"/>
      <c r="F594" s="403"/>
      <c r="G594" s="402"/>
      <c r="H594" s="402"/>
      <c r="I594" s="402"/>
      <c r="J594" s="402"/>
      <c r="K594" s="402"/>
      <c r="L594" s="402"/>
      <c r="M594" s="402"/>
      <c r="N594" s="402"/>
      <c r="O594" s="402"/>
      <c r="P594" s="402"/>
      <c r="Q594" s="402"/>
      <c r="R594" s="402"/>
      <c r="S594" s="402"/>
      <c r="T594" s="402"/>
      <c r="U594" s="402"/>
      <c r="V594" s="402"/>
      <c r="W594" s="402"/>
      <c r="X594" s="402"/>
      <c r="Y594" s="402"/>
      <c r="Z594" s="402"/>
      <c r="AA594" s="405"/>
      <c r="AB594" s="405"/>
    </row>
    <row r="595" ht="14.25" customHeight="1">
      <c r="A595" s="402"/>
      <c r="B595" s="402"/>
      <c r="C595" s="402"/>
      <c r="D595" s="402"/>
      <c r="E595" s="402"/>
      <c r="F595" s="403"/>
      <c r="G595" s="402"/>
      <c r="H595" s="402"/>
      <c r="I595" s="402"/>
      <c r="J595" s="402"/>
      <c r="K595" s="402"/>
      <c r="L595" s="402"/>
      <c r="M595" s="402"/>
      <c r="N595" s="402"/>
      <c r="O595" s="402"/>
      <c r="P595" s="402"/>
      <c r="Q595" s="402"/>
      <c r="R595" s="402"/>
      <c r="S595" s="402"/>
      <c r="T595" s="402"/>
      <c r="U595" s="402"/>
      <c r="V595" s="402"/>
      <c r="W595" s="402"/>
      <c r="X595" s="402"/>
      <c r="Y595" s="402"/>
      <c r="Z595" s="402"/>
      <c r="AA595" s="405"/>
      <c r="AB595" s="405"/>
    </row>
    <row r="596" ht="14.25" customHeight="1">
      <c r="A596" s="402"/>
      <c r="B596" s="402"/>
      <c r="C596" s="402"/>
      <c r="D596" s="402"/>
      <c r="E596" s="402"/>
      <c r="F596" s="403"/>
      <c r="G596" s="402"/>
      <c r="H596" s="402"/>
      <c r="I596" s="402"/>
      <c r="J596" s="402"/>
      <c r="K596" s="402"/>
      <c r="L596" s="402"/>
      <c r="M596" s="402"/>
      <c r="N596" s="402"/>
      <c r="O596" s="402"/>
      <c r="P596" s="402"/>
      <c r="Q596" s="402"/>
      <c r="R596" s="402"/>
      <c r="S596" s="402"/>
      <c r="T596" s="402"/>
      <c r="U596" s="402"/>
      <c r="V596" s="402"/>
      <c r="W596" s="402"/>
      <c r="X596" s="402"/>
      <c r="Y596" s="402"/>
      <c r="Z596" s="402"/>
      <c r="AA596" s="405"/>
      <c r="AB596" s="405"/>
    </row>
    <row r="597" ht="14.25" customHeight="1">
      <c r="A597" s="402"/>
      <c r="B597" s="402"/>
      <c r="C597" s="402"/>
      <c r="D597" s="402"/>
      <c r="E597" s="402"/>
      <c r="F597" s="403"/>
      <c r="G597" s="402"/>
      <c r="H597" s="402"/>
      <c r="I597" s="402"/>
      <c r="J597" s="402"/>
      <c r="K597" s="402"/>
      <c r="L597" s="402"/>
      <c r="M597" s="402"/>
      <c r="N597" s="402"/>
      <c r="O597" s="402"/>
      <c r="P597" s="402"/>
      <c r="Q597" s="402"/>
      <c r="R597" s="402"/>
      <c r="S597" s="402"/>
      <c r="T597" s="402"/>
      <c r="U597" s="402"/>
      <c r="V597" s="402"/>
      <c r="W597" s="402"/>
      <c r="X597" s="402"/>
      <c r="Y597" s="402"/>
      <c r="Z597" s="402"/>
      <c r="AA597" s="405"/>
      <c r="AB597" s="405"/>
    </row>
    <row r="598" ht="14.25" customHeight="1">
      <c r="A598" s="402"/>
      <c r="B598" s="402"/>
      <c r="C598" s="402"/>
      <c r="D598" s="402"/>
      <c r="E598" s="402"/>
      <c r="F598" s="403"/>
      <c r="G598" s="402"/>
      <c r="H598" s="402"/>
      <c r="I598" s="402"/>
      <c r="J598" s="402"/>
      <c r="K598" s="402"/>
      <c r="L598" s="402"/>
      <c r="M598" s="402"/>
      <c r="N598" s="402"/>
      <c r="O598" s="402"/>
      <c r="P598" s="402"/>
      <c r="Q598" s="402"/>
      <c r="R598" s="402"/>
      <c r="S598" s="402"/>
      <c r="T598" s="402"/>
      <c r="U598" s="402"/>
      <c r="V598" s="402"/>
      <c r="W598" s="402"/>
      <c r="X598" s="402"/>
      <c r="Y598" s="402"/>
      <c r="Z598" s="402"/>
      <c r="AA598" s="405"/>
      <c r="AB598" s="405"/>
    </row>
    <row r="599" ht="14.25" customHeight="1">
      <c r="A599" s="402"/>
      <c r="B599" s="402"/>
      <c r="C599" s="402"/>
      <c r="D599" s="402"/>
      <c r="E599" s="402"/>
      <c r="F599" s="403"/>
      <c r="G599" s="402"/>
      <c r="H599" s="402"/>
      <c r="I599" s="402"/>
      <c r="J599" s="402"/>
      <c r="K599" s="402"/>
      <c r="L599" s="402"/>
      <c r="M599" s="402"/>
      <c r="N599" s="402"/>
      <c r="O599" s="402"/>
      <c r="P599" s="402"/>
      <c r="Q599" s="402"/>
      <c r="R599" s="402"/>
      <c r="S599" s="402"/>
      <c r="T599" s="402"/>
      <c r="U599" s="402"/>
      <c r="V599" s="402"/>
      <c r="W599" s="402"/>
      <c r="X599" s="402"/>
      <c r="Y599" s="402"/>
      <c r="Z599" s="402"/>
      <c r="AA599" s="405"/>
      <c r="AB599" s="405"/>
    </row>
    <row r="600" ht="14.25" customHeight="1">
      <c r="A600" s="402"/>
      <c r="B600" s="402"/>
      <c r="C600" s="402"/>
      <c r="D600" s="402"/>
      <c r="E600" s="402"/>
      <c r="F600" s="403"/>
      <c r="G600" s="402"/>
      <c r="H600" s="402"/>
      <c r="I600" s="402"/>
      <c r="J600" s="402"/>
      <c r="K600" s="402"/>
      <c r="L600" s="402"/>
      <c r="M600" s="402"/>
      <c r="N600" s="402"/>
      <c r="O600" s="402"/>
      <c r="P600" s="402"/>
      <c r="Q600" s="402"/>
      <c r="R600" s="402"/>
      <c r="S600" s="402"/>
      <c r="T600" s="402"/>
      <c r="U600" s="402"/>
      <c r="V600" s="402"/>
      <c r="W600" s="402"/>
      <c r="X600" s="402"/>
      <c r="Y600" s="402"/>
      <c r="Z600" s="402"/>
      <c r="AA600" s="405"/>
      <c r="AB600" s="405"/>
    </row>
    <row r="601" ht="14.25" customHeight="1">
      <c r="A601" s="402"/>
      <c r="B601" s="402"/>
      <c r="C601" s="402"/>
      <c r="D601" s="402"/>
      <c r="E601" s="402"/>
      <c r="F601" s="403"/>
      <c r="G601" s="402"/>
      <c r="H601" s="402"/>
      <c r="I601" s="402"/>
      <c r="J601" s="402"/>
      <c r="K601" s="402"/>
      <c r="L601" s="402"/>
      <c r="M601" s="402"/>
      <c r="N601" s="402"/>
      <c r="O601" s="402"/>
      <c r="P601" s="402"/>
      <c r="Q601" s="402"/>
      <c r="R601" s="402"/>
      <c r="S601" s="402"/>
      <c r="T601" s="402"/>
      <c r="U601" s="402"/>
      <c r="V601" s="402"/>
      <c r="W601" s="402"/>
      <c r="X601" s="402"/>
      <c r="Y601" s="402"/>
      <c r="Z601" s="402"/>
      <c r="AA601" s="405"/>
      <c r="AB601" s="405"/>
    </row>
    <row r="602" ht="14.25" customHeight="1">
      <c r="A602" s="402"/>
      <c r="B602" s="402"/>
      <c r="C602" s="402"/>
      <c r="D602" s="402"/>
      <c r="E602" s="402"/>
      <c r="F602" s="403"/>
      <c r="G602" s="402"/>
      <c r="H602" s="402"/>
      <c r="I602" s="402"/>
      <c r="J602" s="402"/>
      <c r="K602" s="402"/>
      <c r="L602" s="402"/>
      <c r="M602" s="402"/>
      <c r="N602" s="402"/>
      <c r="O602" s="402"/>
      <c r="P602" s="402"/>
      <c r="Q602" s="402"/>
      <c r="R602" s="402"/>
      <c r="S602" s="402"/>
      <c r="T602" s="402"/>
      <c r="U602" s="402"/>
      <c r="V602" s="402"/>
      <c r="W602" s="402"/>
      <c r="X602" s="402"/>
      <c r="Y602" s="402"/>
      <c r="Z602" s="402"/>
      <c r="AA602" s="405"/>
      <c r="AB602" s="405"/>
    </row>
    <row r="603" ht="14.25" customHeight="1">
      <c r="A603" s="402"/>
      <c r="B603" s="402"/>
      <c r="C603" s="402"/>
      <c r="D603" s="402"/>
      <c r="E603" s="402"/>
      <c r="F603" s="403"/>
      <c r="G603" s="402"/>
      <c r="H603" s="402"/>
      <c r="I603" s="402"/>
      <c r="J603" s="402"/>
      <c r="K603" s="402"/>
      <c r="L603" s="402"/>
      <c r="M603" s="402"/>
      <c r="N603" s="402"/>
      <c r="O603" s="402"/>
      <c r="P603" s="402"/>
      <c r="Q603" s="402"/>
      <c r="R603" s="402"/>
      <c r="S603" s="402"/>
      <c r="T603" s="402"/>
      <c r="U603" s="402"/>
      <c r="V603" s="402"/>
      <c r="W603" s="402"/>
      <c r="X603" s="402"/>
      <c r="Y603" s="402"/>
      <c r="Z603" s="402"/>
      <c r="AA603" s="405"/>
      <c r="AB603" s="405"/>
    </row>
    <row r="604" ht="14.25" customHeight="1">
      <c r="A604" s="402"/>
      <c r="B604" s="402"/>
      <c r="C604" s="402"/>
      <c r="D604" s="402"/>
      <c r="E604" s="402"/>
      <c r="F604" s="403"/>
      <c r="G604" s="402"/>
      <c r="H604" s="402"/>
      <c r="I604" s="402"/>
      <c r="J604" s="402"/>
      <c r="K604" s="402"/>
      <c r="L604" s="402"/>
      <c r="M604" s="402"/>
      <c r="N604" s="402"/>
      <c r="O604" s="402"/>
      <c r="P604" s="402"/>
      <c r="Q604" s="402"/>
      <c r="R604" s="402"/>
      <c r="S604" s="402"/>
      <c r="T604" s="402"/>
      <c r="U604" s="402"/>
      <c r="V604" s="402"/>
      <c r="W604" s="402"/>
      <c r="X604" s="402"/>
      <c r="Y604" s="402"/>
      <c r="Z604" s="402"/>
      <c r="AA604" s="405"/>
      <c r="AB604" s="405"/>
    </row>
    <row r="605" ht="14.25" customHeight="1">
      <c r="A605" s="402"/>
      <c r="B605" s="402"/>
      <c r="C605" s="402"/>
      <c r="D605" s="402"/>
      <c r="E605" s="402"/>
      <c r="F605" s="403"/>
      <c r="G605" s="402"/>
      <c r="H605" s="402"/>
      <c r="I605" s="402"/>
      <c r="J605" s="402"/>
      <c r="K605" s="402"/>
      <c r="L605" s="402"/>
      <c r="M605" s="402"/>
      <c r="N605" s="402"/>
      <c r="O605" s="402"/>
      <c r="P605" s="402"/>
      <c r="Q605" s="402"/>
      <c r="R605" s="402"/>
      <c r="S605" s="402"/>
      <c r="T605" s="402"/>
      <c r="U605" s="402"/>
      <c r="V605" s="402"/>
      <c r="W605" s="402"/>
      <c r="X605" s="402"/>
      <c r="Y605" s="402"/>
      <c r="Z605" s="402"/>
      <c r="AA605" s="405"/>
      <c r="AB605" s="405"/>
    </row>
    <row r="606" ht="14.25" customHeight="1">
      <c r="A606" s="402"/>
      <c r="B606" s="402"/>
      <c r="C606" s="402"/>
      <c r="D606" s="402"/>
      <c r="E606" s="402"/>
      <c r="F606" s="403"/>
      <c r="G606" s="402"/>
      <c r="H606" s="402"/>
      <c r="I606" s="402"/>
      <c r="J606" s="402"/>
      <c r="K606" s="402"/>
      <c r="L606" s="402"/>
      <c r="M606" s="402"/>
      <c r="N606" s="402"/>
      <c r="O606" s="402"/>
      <c r="P606" s="402"/>
      <c r="Q606" s="402"/>
      <c r="R606" s="402"/>
      <c r="S606" s="402"/>
      <c r="T606" s="402"/>
      <c r="U606" s="402"/>
      <c r="V606" s="402"/>
      <c r="W606" s="402"/>
      <c r="X606" s="402"/>
      <c r="Y606" s="402"/>
      <c r="Z606" s="402"/>
      <c r="AA606" s="405"/>
      <c r="AB606" s="405"/>
    </row>
    <row r="607" ht="14.25" customHeight="1">
      <c r="A607" s="402"/>
      <c r="B607" s="402"/>
      <c r="C607" s="402"/>
      <c r="D607" s="402"/>
      <c r="E607" s="402"/>
      <c r="F607" s="403"/>
      <c r="G607" s="402"/>
      <c r="H607" s="402"/>
      <c r="I607" s="402"/>
      <c r="J607" s="402"/>
      <c r="K607" s="402"/>
      <c r="L607" s="402"/>
      <c r="M607" s="402"/>
      <c r="N607" s="402"/>
      <c r="O607" s="402"/>
      <c r="P607" s="402"/>
      <c r="Q607" s="402"/>
      <c r="R607" s="402"/>
      <c r="S607" s="402"/>
      <c r="T607" s="402"/>
      <c r="U607" s="402"/>
      <c r="V607" s="402"/>
      <c r="W607" s="402"/>
      <c r="X607" s="402"/>
      <c r="Y607" s="402"/>
      <c r="Z607" s="402"/>
      <c r="AA607" s="405"/>
      <c r="AB607" s="405"/>
    </row>
    <row r="608" ht="14.25" customHeight="1">
      <c r="A608" s="402"/>
      <c r="B608" s="402"/>
      <c r="C608" s="402"/>
      <c r="D608" s="402"/>
      <c r="E608" s="402"/>
      <c r="F608" s="403"/>
      <c r="G608" s="402"/>
      <c r="H608" s="402"/>
      <c r="I608" s="402"/>
      <c r="J608" s="402"/>
      <c r="K608" s="402"/>
      <c r="L608" s="402"/>
      <c r="M608" s="402"/>
      <c r="N608" s="402"/>
      <c r="O608" s="402"/>
      <c r="P608" s="402"/>
      <c r="Q608" s="402"/>
      <c r="R608" s="402"/>
      <c r="S608" s="402"/>
      <c r="T608" s="402"/>
      <c r="U608" s="402"/>
      <c r="V608" s="402"/>
      <c r="W608" s="402"/>
      <c r="X608" s="402"/>
      <c r="Y608" s="402"/>
      <c r="Z608" s="402"/>
      <c r="AA608" s="405"/>
      <c r="AB608" s="405"/>
    </row>
    <row r="609" ht="14.25" customHeight="1">
      <c r="A609" s="402"/>
      <c r="B609" s="402"/>
      <c r="C609" s="402"/>
      <c r="D609" s="402"/>
      <c r="E609" s="402"/>
      <c r="F609" s="403"/>
      <c r="G609" s="402"/>
      <c r="H609" s="402"/>
      <c r="I609" s="402"/>
      <c r="J609" s="402"/>
      <c r="K609" s="402"/>
      <c r="L609" s="402"/>
      <c r="M609" s="402"/>
      <c r="N609" s="402"/>
      <c r="O609" s="402"/>
      <c r="P609" s="402"/>
      <c r="Q609" s="402"/>
      <c r="R609" s="402"/>
      <c r="S609" s="402"/>
      <c r="T609" s="402"/>
      <c r="U609" s="402"/>
      <c r="V609" s="402"/>
      <c r="W609" s="402"/>
      <c r="X609" s="402"/>
      <c r="Y609" s="402"/>
      <c r="Z609" s="402"/>
      <c r="AA609" s="405"/>
      <c r="AB609" s="405"/>
    </row>
    <row r="610" ht="14.25" customHeight="1">
      <c r="A610" s="402"/>
      <c r="B610" s="402"/>
      <c r="C610" s="402"/>
      <c r="D610" s="402"/>
      <c r="E610" s="402"/>
      <c r="F610" s="403"/>
      <c r="G610" s="402"/>
      <c r="H610" s="402"/>
      <c r="I610" s="402"/>
      <c r="J610" s="402"/>
      <c r="K610" s="402"/>
      <c r="L610" s="402"/>
      <c r="M610" s="402"/>
      <c r="N610" s="402"/>
      <c r="O610" s="402"/>
      <c r="P610" s="402"/>
      <c r="Q610" s="402"/>
      <c r="R610" s="402"/>
      <c r="S610" s="402"/>
      <c r="T610" s="402"/>
      <c r="U610" s="402"/>
      <c r="V610" s="402"/>
      <c r="W610" s="402"/>
      <c r="X610" s="402"/>
      <c r="Y610" s="402"/>
      <c r="Z610" s="402"/>
      <c r="AA610" s="405"/>
      <c r="AB610" s="405"/>
    </row>
    <row r="611" ht="14.25" customHeight="1">
      <c r="A611" s="402"/>
      <c r="B611" s="402"/>
      <c r="C611" s="402"/>
      <c r="D611" s="402"/>
      <c r="E611" s="402"/>
      <c r="F611" s="403"/>
      <c r="G611" s="402"/>
      <c r="H611" s="402"/>
      <c r="I611" s="402"/>
      <c r="J611" s="402"/>
      <c r="K611" s="402"/>
      <c r="L611" s="402"/>
      <c r="M611" s="402"/>
      <c r="N611" s="402"/>
      <c r="O611" s="402"/>
      <c r="P611" s="402"/>
      <c r="Q611" s="402"/>
      <c r="R611" s="402"/>
      <c r="S611" s="402"/>
      <c r="T611" s="402"/>
      <c r="U611" s="402"/>
      <c r="V611" s="402"/>
      <c r="W611" s="402"/>
      <c r="X611" s="402"/>
      <c r="Y611" s="402"/>
      <c r="Z611" s="402"/>
      <c r="AA611" s="405"/>
      <c r="AB611" s="405"/>
    </row>
    <row r="612" ht="14.25" customHeight="1">
      <c r="A612" s="402"/>
      <c r="B612" s="402"/>
      <c r="C612" s="402"/>
      <c r="D612" s="402"/>
      <c r="E612" s="402"/>
      <c r="F612" s="403"/>
      <c r="G612" s="402"/>
      <c r="H612" s="402"/>
      <c r="I612" s="402"/>
      <c r="J612" s="402"/>
      <c r="K612" s="402"/>
      <c r="L612" s="402"/>
      <c r="M612" s="402"/>
      <c r="N612" s="402"/>
      <c r="O612" s="402"/>
      <c r="P612" s="402"/>
      <c r="Q612" s="402"/>
      <c r="R612" s="402"/>
      <c r="S612" s="402"/>
      <c r="T612" s="402"/>
      <c r="U612" s="402"/>
      <c r="V612" s="402"/>
      <c r="W612" s="402"/>
      <c r="X612" s="402"/>
      <c r="Y612" s="402"/>
      <c r="Z612" s="402"/>
      <c r="AA612" s="405"/>
      <c r="AB612" s="405"/>
    </row>
    <row r="613" ht="14.25" customHeight="1">
      <c r="A613" s="402"/>
      <c r="B613" s="402"/>
      <c r="C613" s="402"/>
      <c r="D613" s="402"/>
      <c r="E613" s="402"/>
      <c r="F613" s="403"/>
      <c r="G613" s="402"/>
      <c r="H613" s="402"/>
      <c r="I613" s="402"/>
      <c r="J613" s="402"/>
      <c r="K613" s="402"/>
      <c r="L613" s="402"/>
      <c r="M613" s="402"/>
      <c r="N613" s="402"/>
      <c r="O613" s="402"/>
      <c r="P613" s="402"/>
      <c r="Q613" s="402"/>
      <c r="R613" s="402"/>
      <c r="S613" s="402"/>
      <c r="T613" s="402"/>
      <c r="U613" s="402"/>
      <c r="V613" s="402"/>
      <c r="W613" s="402"/>
      <c r="X613" s="402"/>
      <c r="Y613" s="402"/>
      <c r="Z613" s="402"/>
      <c r="AA613" s="405"/>
      <c r="AB613" s="405"/>
    </row>
    <row r="614" ht="14.25" customHeight="1">
      <c r="A614" s="402"/>
      <c r="B614" s="402"/>
      <c r="C614" s="402"/>
      <c r="D614" s="402"/>
      <c r="E614" s="402"/>
      <c r="F614" s="403"/>
      <c r="G614" s="402"/>
      <c r="H614" s="402"/>
      <c r="I614" s="402"/>
      <c r="J614" s="402"/>
      <c r="K614" s="402"/>
      <c r="L614" s="402"/>
      <c r="M614" s="402"/>
      <c r="N614" s="402"/>
      <c r="O614" s="402"/>
      <c r="P614" s="402"/>
      <c r="Q614" s="402"/>
      <c r="R614" s="402"/>
      <c r="S614" s="402"/>
      <c r="T614" s="402"/>
      <c r="U614" s="402"/>
      <c r="V614" s="402"/>
      <c r="W614" s="402"/>
      <c r="X614" s="402"/>
      <c r="Y614" s="402"/>
      <c r="Z614" s="402"/>
      <c r="AA614" s="405"/>
      <c r="AB614" s="405"/>
    </row>
    <row r="615" ht="14.25" customHeight="1">
      <c r="A615" s="402"/>
      <c r="B615" s="402"/>
      <c r="C615" s="402"/>
      <c r="D615" s="402"/>
      <c r="E615" s="402"/>
      <c r="F615" s="403"/>
      <c r="G615" s="402"/>
      <c r="H615" s="402"/>
      <c r="I615" s="402"/>
      <c r="J615" s="402"/>
      <c r="K615" s="402"/>
      <c r="L615" s="402"/>
      <c r="M615" s="402"/>
      <c r="N615" s="402"/>
      <c r="O615" s="402"/>
      <c r="P615" s="402"/>
      <c r="Q615" s="402"/>
      <c r="R615" s="402"/>
      <c r="S615" s="402"/>
      <c r="T615" s="402"/>
      <c r="U615" s="402"/>
      <c r="V615" s="402"/>
      <c r="W615" s="402"/>
      <c r="X615" s="402"/>
      <c r="Y615" s="402"/>
      <c r="Z615" s="402"/>
      <c r="AA615" s="405"/>
      <c r="AB615" s="405"/>
    </row>
    <row r="616" ht="14.25" customHeight="1">
      <c r="A616" s="402"/>
      <c r="B616" s="402"/>
      <c r="C616" s="402"/>
      <c r="D616" s="402"/>
      <c r="E616" s="402"/>
      <c r="F616" s="403"/>
      <c r="G616" s="402"/>
      <c r="H616" s="402"/>
      <c r="I616" s="402"/>
      <c r="J616" s="402"/>
      <c r="K616" s="402"/>
      <c r="L616" s="402"/>
      <c r="M616" s="402"/>
      <c r="N616" s="402"/>
      <c r="O616" s="402"/>
      <c r="P616" s="402"/>
      <c r="Q616" s="402"/>
      <c r="R616" s="402"/>
      <c r="S616" s="402"/>
      <c r="T616" s="402"/>
      <c r="U616" s="402"/>
      <c r="V616" s="402"/>
      <c r="W616" s="402"/>
      <c r="X616" s="402"/>
      <c r="Y616" s="402"/>
      <c r="Z616" s="402"/>
      <c r="AA616" s="405"/>
      <c r="AB616" s="405"/>
    </row>
    <row r="617" ht="14.25" customHeight="1">
      <c r="A617" s="402"/>
      <c r="B617" s="402"/>
      <c r="C617" s="402"/>
      <c r="D617" s="402"/>
      <c r="E617" s="402"/>
      <c r="F617" s="403"/>
      <c r="G617" s="402"/>
      <c r="H617" s="402"/>
      <c r="I617" s="402"/>
      <c r="J617" s="402"/>
      <c r="K617" s="402"/>
      <c r="L617" s="402"/>
      <c r="M617" s="402"/>
      <c r="N617" s="402"/>
      <c r="O617" s="402"/>
      <c r="P617" s="402"/>
      <c r="Q617" s="402"/>
      <c r="R617" s="402"/>
      <c r="S617" s="402"/>
      <c r="T617" s="402"/>
      <c r="U617" s="402"/>
      <c r="V617" s="402"/>
      <c r="W617" s="402"/>
      <c r="X617" s="402"/>
      <c r="Y617" s="402"/>
      <c r="Z617" s="402"/>
      <c r="AA617" s="405"/>
      <c r="AB617" s="405"/>
    </row>
    <row r="618" ht="14.25" customHeight="1">
      <c r="A618" s="402"/>
      <c r="B618" s="402"/>
      <c r="C618" s="402"/>
      <c r="D618" s="402"/>
      <c r="E618" s="402"/>
      <c r="F618" s="403"/>
      <c r="G618" s="402"/>
      <c r="H618" s="402"/>
      <c r="I618" s="402"/>
      <c r="J618" s="402"/>
      <c r="K618" s="402"/>
      <c r="L618" s="402"/>
      <c r="M618" s="402"/>
      <c r="N618" s="402"/>
      <c r="O618" s="402"/>
      <c r="P618" s="402"/>
      <c r="Q618" s="402"/>
      <c r="R618" s="402"/>
      <c r="S618" s="402"/>
      <c r="T618" s="402"/>
      <c r="U618" s="402"/>
      <c r="V618" s="402"/>
      <c r="W618" s="402"/>
      <c r="X618" s="402"/>
      <c r="Y618" s="402"/>
      <c r="Z618" s="402"/>
      <c r="AA618" s="405"/>
      <c r="AB618" s="405"/>
    </row>
    <row r="619" ht="14.25" customHeight="1">
      <c r="A619" s="402"/>
      <c r="B619" s="402"/>
      <c r="C619" s="402"/>
      <c r="D619" s="402"/>
      <c r="E619" s="402"/>
      <c r="F619" s="403"/>
      <c r="G619" s="402"/>
      <c r="H619" s="402"/>
      <c r="I619" s="402"/>
      <c r="J619" s="402"/>
      <c r="K619" s="402"/>
      <c r="L619" s="402"/>
      <c r="M619" s="402"/>
      <c r="N619" s="402"/>
      <c r="O619" s="402"/>
      <c r="P619" s="402"/>
      <c r="Q619" s="402"/>
      <c r="R619" s="402"/>
      <c r="S619" s="402"/>
      <c r="T619" s="402"/>
      <c r="U619" s="402"/>
      <c r="V619" s="402"/>
      <c r="W619" s="402"/>
      <c r="X619" s="402"/>
      <c r="Y619" s="402"/>
      <c r="Z619" s="402"/>
      <c r="AA619" s="405"/>
      <c r="AB619" s="405"/>
    </row>
    <row r="620" ht="14.25" customHeight="1">
      <c r="A620" s="402"/>
      <c r="B620" s="402"/>
      <c r="C620" s="402"/>
      <c r="D620" s="402"/>
      <c r="E620" s="402"/>
      <c r="F620" s="403"/>
      <c r="G620" s="402"/>
      <c r="H620" s="402"/>
      <c r="I620" s="402"/>
      <c r="J620" s="402"/>
      <c r="K620" s="402"/>
      <c r="L620" s="402"/>
      <c r="M620" s="402"/>
      <c r="N620" s="402"/>
      <c r="O620" s="402"/>
      <c r="P620" s="402"/>
      <c r="Q620" s="402"/>
      <c r="R620" s="402"/>
      <c r="S620" s="402"/>
      <c r="T620" s="402"/>
      <c r="U620" s="402"/>
      <c r="V620" s="402"/>
      <c r="W620" s="402"/>
      <c r="X620" s="402"/>
      <c r="Y620" s="402"/>
      <c r="Z620" s="402"/>
      <c r="AA620" s="405"/>
      <c r="AB620" s="405"/>
    </row>
    <row r="621" ht="14.25" customHeight="1">
      <c r="A621" s="402"/>
      <c r="B621" s="402"/>
      <c r="C621" s="402"/>
      <c r="D621" s="402"/>
      <c r="E621" s="402"/>
      <c r="F621" s="403"/>
      <c r="G621" s="402"/>
      <c r="H621" s="402"/>
      <c r="I621" s="402"/>
      <c r="J621" s="402"/>
      <c r="K621" s="402"/>
      <c r="L621" s="402"/>
      <c r="M621" s="402"/>
      <c r="N621" s="402"/>
      <c r="O621" s="402"/>
      <c r="P621" s="402"/>
      <c r="Q621" s="402"/>
      <c r="R621" s="402"/>
      <c r="S621" s="402"/>
      <c r="T621" s="402"/>
      <c r="U621" s="402"/>
      <c r="V621" s="402"/>
      <c r="W621" s="402"/>
      <c r="X621" s="402"/>
      <c r="Y621" s="402"/>
      <c r="Z621" s="402"/>
      <c r="AA621" s="405"/>
      <c r="AB621" s="405"/>
    </row>
    <row r="622" ht="14.25" customHeight="1">
      <c r="A622" s="402"/>
      <c r="B622" s="402"/>
      <c r="C622" s="402"/>
      <c r="D622" s="402"/>
      <c r="E622" s="402"/>
      <c r="F622" s="403"/>
      <c r="G622" s="402"/>
      <c r="H622" s="402"/>
      <c r="I622" s="402"/>
      <c r="J622" s="402"/>
      <c r="K622" s="402"/>
      <c r="L622" s="402"/>
      <c r="M622" s="402"/>
      <c r="N622" s="402"/>
      <c r="O622" s="402"/>
      <c r="P622" s="402"/>
      <c r="Q622" s="402"/>
      <c r="R622" s="402"/>
      <c r="S622" s="402"/>
      <c r="T622" s="402"/>
      <c r="U622" s="402"/>
      <c r="V622" s="402"/>
      <c r="W622" s="402"/>
      <c r="X622" s="402"/>
      <c r="Y622" s="402"/>
      <c r="Z622" s="402"/>
      <c r="AA622" s="405"/>
      <c r="AB622" s="405"/>
    </row>
    <row r="623" ht="14.25" customHeight="1">
      <c r="A623" s="402"/>
      <c r="B623" s="402"/>
      <c r="C623" s="402"/>
      <c r="D623" s="402"/>
      <c r="E623" s="402"/>
      <c r="F623" s="403"/>
      <c r="G623" s="402"/>
      <c r="H623" s="402"/>
      <c r="I623" s="402"/>
      <c r="J623" s="402"/>
      <c r="K623" s="402"/>
      <c r="L623" s="402"/>
      <c r="M623" s="402"/>
      <c r="N623" s="402"/>
      <c r="O623" s="402"/>
      <c r="P623" s="402"/>
      <c r="Q623" s="402"/>
      <c r="R623" s="402"/>
      <c r="S623" s="402"/>
      <c r="T623" s="402"/>
      <c r="U623" s="402"/>
      <c r="V623" s="402"/>
      <c r="W623" s="402"/>
      <c r="X623" s="402"/>
      <c r="Y623" s="402"/>
      <c r="Z623" s="402"/>
      <c r="AA623" s="405"/>
      <c r="AB623" s="405"/>
    </row>
    <row r="624" ht="14.25" customHeight="1">
      <c r="A624" s="402"/>
      <c r="B624" s="402"/>
      <c r="C624" s="402"/>
      <c r="D624" s="402"/>
      <c r="E624" s="402"/>
      <c r="F624" s="403"/>
      <c r="G624" s="402"/>
      <c r="H624" s="402"/>
      <c r="I624" s="402"/>
      <c r="J624" s="402"/>
      <c r="K624" s="402"/>
      <c r="L624" s="402"/>
      <c r="M624" s="402"/>
      <c r="N624" s="402"/>
      <c r="O624" s="402"/>
      <c r="P624" s="402"/>
      <c r="Q624" s="402"/>
      <c r="R624" s="402"/>
      <c r="S624" s="402"/>
      <c r="T624" s="402"/>
      <c r="U624" s="402"/>
      <c r="V624" s="402"/>
      <c r="W624" s="402"/>
      <c r="X624" s="402"/>
      <c r="Y624" s="402"/>
      <c r="Z624" s="402"/>
      <c r="AA624" s="405"/>
      <c r="AB624" s="405"/>
    </row>
    <row r="625" ht="14.25" customHeight="1">
      <c r="A625" s="402"/>
      <c r="B625" s="402"/>
      <c r="C625" s="402"/>
      <c r="D625" s="402"/>
      <c r="E625" s="402"/>
      <c r="F625" s="403"/>
      <c r="G625" s="402"/>
      <c r="H625" s="402"/>
      <c r="I625" s="402"/>
      <c r="J625" s="402"/>
      <c r="K625" s="402"/>
      <c r="L625" s="402"/>
      <c r="M625" s="402"/>
      <c r="N625" s="402"/>
      <c r="O625" s="402"/>
      <c r="P625" s="402"/>
      <c r="Q625" s="402"/>
      <c r="R625" s="402"/>
      <c r="S625" s="402"/>
      <c r="T625" s="402"/>
      <c r="U625" s="402"/>
      <c r="V625" s="402"/>
      <c r="W625" s="402"/>
      <c r="X625" s="402"/>
      <c r="Y625" s="402"/>
      <c r="Z625" s="402"/>
      <c r="AA625" s="405"/>
      <c r="AB625" s="405"/>
    </row>
    <row r="626" ht="14.25" customHeight="1">
      <c r="A626" s="402"/>
      <c r="B626" s="402"/>
      <c r="C626" s="402"/>
      <c r="D626" s="402"/>
      <c r="E626" s="402"/>
      <c r="F626" s="403"/>
      <c r="G626" s="402"/>
      <c r="H626" s="402"/>
      <c r="I626" s="402"/>
      <c r="J626" s="402"/>
      <c r="K626" s="402"/>
      <c r="L626" s="402"/>
      <c r="M626" s="402"/>
      <c r="N626" s="402"/>
      <c r="O626" s="402"/>
      <c r="P626" s="402"/>
      <c r="Q626" s="402"/>
      <c r="R626" s="402"/>
      <c r="S626" s="402"/>
      <c r="T626" s="402"/>
      <c r="U626" s="402"/>
      <c r="V626" s="402"/>
      <c r="W626" s="402"/>
      <c r="X626" s="402"/>
      <c r="Y626" s="402"/>
      <c r="Z626" s="402"/>
      <c r="AA626" s="405"/>
      <c r="AB626" s="405"/>
    </row>
    <row r="627" ht="14.25" customHeight="1">
      <c r="A627" s="402"/>
      <c r="B627" s="402"/>
      <c r="C627" s="402"/>
      <c r="D627" s="402"/>
      <c r="E627" s="402"/>
      <c r="F627" s="403"/>
      <c r="G627" s="402"/>
      <c r="H627" s="402"/>
      <c r="I627" s="402"/>
      <c r="J627" s="402"/>
      <c r="K627" s="402"/>
      <c r="L627" s="402"/>
      <c r="M627" s="402"/>
      <c r="N627" s="402"/>
      <c r="O627" s="402"/>
      <c r="P627" s="402"/>
      <c r="Q627" s="402"/>
      <c r="R627" s="402"/>
      <c r="S627" s="402"/>
      <c r="T627" s="402"/>
      <c r="U627" s="402"/>
      <c r="V627" s="402"/>
      <c r="W627" s="402"/>
      <c r="X627" s="402"/>
      <c r="Y627" s="402"/>
      <c r="Z627" s="402"/>
      <c r="AA627" s="405"/>
      <c r="AB627" s="405"/>
    </row>
    <row r="628" ht="14.25" customHeight="1">
      <c r="A628" s="402"/>
      <c r="B628" s="402"/>
      <c r="C628" s="402"/>
      <c r="D628" s="402"/>
      <c r="E628" s="402"/>
      <c r="F628" s="403"/>
      <c r="G628" s="402"/>
      <c r="H628" s="402"/>
      <c r="I628" s="402"/>
      <c r="J628" s="402"/>
      <c r="K628" s="402"/>
      <c r="L628" s="402"/>
      <c r="M628" s="402"/>
      <c r="N628" s="402"/>
      <c r="O628" s="402"/>
      <c r="P628" s="402"/>
      <c r="Q628" s="402"/>
      <c r="R628" s="402"/>
      <c r="S628" s="402"/>
      <c r="T628" s="402"/>
      <c r="U628" s="402"/>
      <c r="V628" s="402"/>
      <c r="W628" s="402"/>
      <c r="X628" s="402"/>
      <c r="Y628" s="402"/>
      <c r="Z628" s="402"/>
      <c r="AA628" s="405"/>
      <c r="AB628" s="405"/>
    </row>
    <row r="629" ht="14.25" customHeight="1">
      <c r="A629" s="402"/>
      <c r="B629" s="402"/>
      <c r="C629" s="402"/>
      <c r="D629" s="402"/>
      <c r="E629" s="402"/>
      <c r="F629" s="403"/>
      <c r="G629" s="402"/>
      <c r="H629" s="402"/>
      <c r="I629" s="402"/>
      <c r="J629" s="402"/>
      <c r="K629" s="402"/>
      <c r="L629" s="402"/>
      <c r="M629" s="402"/>
      <c r="N629" s="402"/>
      <c r="O629" s="402"/>
      <c r="P629" s="402"/>
      <c r="Q629" s="402"/>
      <c r="R629" s="402"/>
      <c r="S629" s="402"/>
      <c r="T629" s="402"/>
      <c r="U629" s="402"/>
      <c r="V629" s="402"/>
      <c r="W629" s="402"/>
      <c r="X629" s="402"/>
      <c r="Y629" s="402"/>
      <c r="Z629" s="402"/>
      <c r="AA629" s="405"/>
      <c r="AB629" s="405"/>
    </row>
    <row r="630" ht="14.25" customHeight="1">
      <c r="A630" s="402"/>
      <c r="B630" s="402"/>
      <c r="C630" s="402"/>
      <c r="D630" s="402"/>
      <c r="E630" s="402"/>
      <c r="F630" s="403"/>
      <c r="G630" s="402"/>
      <c r="H630" s="402"/>
      <c r="I630" s="402"/>
      <c r="J630" s="402"/>
      <c r="K630" s="402"/>
      <c r="L630" s="402"/>
      <c r="M630" s="402"/>
      <c r="N630" s="402"/>
      <c r="O630" s="402"/>
      <c r="P630" s="402"/>
      <c r="Q630" s="402"/>
      <c r="R630" s="402"/>
      <c r="S630" s="402"/>
      <c r="T630" s="402"/>
      <c r="U630" s="402"/>
      <c r="V630" s="402"/>
      <c r="W630" s="402"/>
      <c r="X630" s="402"/>
      <c r="Y630" s="402"/>
      <c r="Z630" s="402"/>
      <c r="AA630" s="405"/>
      <c r="AB630" s="405"/>
    </row>
    <row r="631" ht="14.25" customHeight="1">
      <c r="A631" s="402"/>
      <c r="B631" s="402"/>
      <c r="C631" s="402"/>
      <c r="D631" s="402"/>
      <c r="E631" s="402"/>
      <c r="F631" s="403"/>
      <c r="G631" s="402"/>
      <c r="H631" s="402"/>
      <c r="I631" s="402"/>
      <c r="J631" s="402"/>
      <c r="K631" s="402"/>
      <c r="L631" s="402"/>
      <c r="M631" s="402"/>
      <c r="N631" s="402"/>
      <c r="O631" s="402"/>
      <c r="P631" s="402"/>
      <c r="Q631" s="402"/>
      <c r="R631" s="402"/>
      <c r="S631" s="402"/>
      <c r="T631" s="402"/>
      <c r="U631" s="402"/>
      <c r="V631" s="402"/>
      <c r="W631" s="402"/>
      <c r="X631" s="402"/>
      <c r="Y631" s="402"/>
      <c r="Z631" s="402"/>
      <c r="AA631" s="405"/>
      <c r="AB631" s="405"/>
    </row>
    <row r="632" ht="14.25" customHeight="1">
      <c r="A632" s="402"/>
      <c r="B632" s="402"/>
      <c r="C632" s="402"/>
      <c r="D632" s="402"/>
      <c r="E632" s="402"/>
      <c r="F632" s="403"/>
      <c r="G632" s="402"/>
      <c r="H632" s="402"/>
      <c r="I632" s="402"/>
      <c r="J632" s="402"/>
      <c r="K632" s="402"/>
      <c r="L632" s="402"/>
      <c r="M632" s="402"/>
      <c r="N632" s="402"/>
      <c r="O632" s="402"/>
      <c r="P632" s="402"/>
      <c r="Q632" s="402"/>
      <c r="R632" s="402"/>
      <c r="S632" s="402"/>
      <c r="T632" s="402"/>
      <c r="U632" s="402"/>
      <c r="V632" s="402"/>
      <c r="W632" s="402"/>
      <c r="X632" s="402"/>
      <c r="Y632" s="402"/>
      <c r="Z632" s="402"/>
      <c r="AA632" s="405"/>
      <c r="AB632" s="405"/>
    </row>
    <row r="633" ht="14.25" customHeight="1">
      <c r="A633" s="402"/>
      <c r="B633" s="402"/>
      <c r="C633" s="402"/>
      <c r="D633" s="402"/>
      <c r="E633" s="402"/>
      <c r="F633" s="403"/>
      <c r="G633" s="402"/>
      <c r="H633" s="402"/>
      <c r="I633" s="402"/>
      <c r="J633" s="402"/>
      <c r="K633" s="402"/>
      <c r="L633" s="402"/>
      <c r="M633" s="402"/>
      <c r="N633" s="402"/>
      <c r="O633" s="402"/>
      <c r="P633" s="402"/>
      <c r="Q633" s="402"/>
      <c r="R633" s="402"/>
      <c r="S633" s="402"/>
      <c r="T633" s="402"/>
      <c r="U633" s="402"/>
      <c r="V633" s="402"/>
      <c r="W633" s="402"/>
      <c r="X633" s="402"/>
      <c r="Y633" s="402"/>
      <c r="Z633" s="402"/>
      <c r="AA633" s="405"/>
      <c r="AB633" s="405"/>
    </row>
    <row r="634" ht="14.25" customHeight="1">
      <c r="A634" s="402"/>
      <c r="B634" s="402"/>
      <c r="C634" s="402"/>
      <c r="D634" s="402"/>
      <c r="E634" s="402"/>
      <c r="F634" s="403"/>
      <c r="G634" s="402"/>
      <c r="H634" s="402"/>
      <c r="I634" s="402"/>
      <c r="J634" s="402"/>
      <c r="K634" s="402"/>
      <c r="L634" s="402"/>
      <c r="M634" s="402"/>
      <c r="N634" s="402"/>
      <c r="O634" s="402"/>
      <c r="P634" s="402"/>
      <c r="Q634" s="402"/>
      <c r="R634" s="402"/>
      <c r="S634" s="402"/>
      <c r="T634" s="402"/>
      <c r="U634" s="402"/>
      <c r="V634" s="402"/>
      <c r="W634" s="402"/>
      <c r="X634" s="402"/>
      <c r="Y634" s="402"/>
      <c r="Z634" s="402"/>
      <c r="AA634" s="405"/>
      <c r="AB634" s="405"/>
    </row>
    <row r="635" ht="14.25" customHeight="1">
      <c r="A635" s="402"/>
      <c r="B635" s="402"/>
      <c r="C635" s="402"/>
      <c r="D635" s="402"/>
      <c r="E635" s="402"/>
      <c r="F635" s="403"/>
      <c r="G635" s="402"/>
      <c r="H635" s="402"/>
      <c r="I635" s="402"/>
      <c r="J635" s="402"/>
      <c r="K635" s="402"/>
      <c r="L635" s="402"/>
      <c r="M635" s="402"/>
      <c r="N635" s="402"/>
      <c r="O635" s="402"/>
      <c r="P635" s="402"/>
      <c r="Q635" s="402"/>
      <c r="R635" s="402"/>
      <c r="S635" s="402"/>
      <c r="T635" s="402"/>
      <c r="U635" s="402"/>
      <c r="V635" s="402"/>
      <c r="W635" s="402"/>
      <c r="X635" s="402"/>
      <c r="Y635" s="402"/>
      <c r="Z635" s="402"/>
      <c r="AA635" s="405"/>
      <c r="AB635" s="405"/>
    </row>
    <row r="636" ht="14.25" customHeight="1">
      <c r="A636" s="402"/>
      <c r="B636" s="402"/>
      <c r="C636" s="402"/>
      <c r="D636" s="402"/>
      <c r="E636" s="402"/>
      <c r="F636" s="403"/>
      <c r="G636" s="402"/>
      <c r="H636" s="402"/>
      <c r="I636" s="402"/>
      <c r="J636" s="402"/>
      <c r="K636" s="402"/>
      <c r="L636" s="402"/>
      <c r="M636" s="402"/>
      <c r="N636" s="402"/>
      <c r="O636" s="402"/>
      <c r="P636" s="402"/>
      <c r="Q636" s="402"/>
      <c r="R636" s="402"/>
      <c r="S636" s="402"/>
      <c r="T636" s="402"/>
      <c r="U636" s="402"/>
      <c r="V636" s="402"/>
      <c r="W636" s="402"/>
      <c r="X636" s="402"/>
      <c r="Y636" s="402"/>
      <c r="Z636" s="402"/>
      <c r="AA636" s="405"/>
      <c r="AB636" s="405"/>
    </row>
    <row r="637" ht="14.25" customHeight="1">
      <c r="A637" s="402"/>
      <c r="B637" s="402"/>
      <c r="C637" s="402"/>
      <c r="D637" s="402"/>
      <c r="E637" s="402"/>
      <c r="F637" s="403"/>
      <c r="G637" s="402"/>
      <c r="H637" s="402"/>
      <c r="I637" s="402"/>
      <c r="J637" s="402"/>
      <c r="K637" s="402"/>
      <c r="L637" s="402"/>
      <c r="M637" s="402"/>
      <c r="N637" s="402"/>
      <c r="O637" s="402"/>
      <c r="P637" s="402"/>
      <c r="Q637" s="402"/>
      <c r="R637" s="402"/>
      <c r="S637" s="402"/>
      <c r="T637" s="402"/>
      <c r="U637" s="402"/>
      <c r="V637" s="402"/>
      <c r="W637" s="402"/>
      <c r="X637" s="402"/>
      <c r="Y637" s="402"/>
      <c r="Z637" s="402"/>
      <c r="AA637" s="405"/>
      <c r="AB637" s="405"/>
    </row>
    <row r="638" ht="14.25" customHeight="1">
      <c r="A638" s="402"/>
      <c r="B638" s="402"/>
      <c r="C638" s="402"/>
      <c r="D638" s="402"/>
      <c r="E638" s="402"/>
      <c r="F638" s="403"/>
      <c r="G638" s="402"/>
      <c r="H638" s="402"/>
      <c r="I638" s="402"/>
      <c r="J638" s="402"/>
      <c r="K638" s="402"/>
      <c r="L638" s="402"/>
      <c r="M638" s="402"/>
      <c r="N638" s="402"/>
      <c r="O638" s="402"/>
      <c r="P638" s="402"/>
      <c r="Q638" s="402"/>
      <c r="R638" s="402"/>
      <c r="S638" s="402"/>
      <c r="T638" s="402"/>
      <c r="U638" s="402"/>
      <c r="V638" s="402"/>
      <c r="W638" s="402"/>
      <c r="X638" s="402"/>
      <c r="Y638" s="402"/>
      <c r="Z638" s="402"/>
      <c r="AA638" s="405"/>
      <c r="AB638" s="405"/>
    </row>
    <row r="639" ht="14.25" customHeight="1">
      <c r="A639" s="402"/>
      <c r="B639" s="402"/>
      <c r="C639" s="402"/>
      <c r="D639" s="402"/>
      <c r="E639" s="402"/>
      <c r="F639" s="403"/>
      <c r="G639" s="402"/>
      <c r="H639" s="402"/>
      <c r="I639" s="402"/>
      <c r="J639" s="402"/>
      <c r="K639" s="402"/>
      <c r="L639" s="402"/>
      <c r="M639" s="402"/>
      <c r="N639" s="402"/>
      <c r="O639" s="402"/>
      <c r="P639" s="402"/>
      <c r="Q639" s="402"/>
      <c r="R639" s="402"/>
      <c r="S639" s="402"/>
      <c r="T639" s="402"/>
      <c r="U639" s="402"/>
      <c r="V639" s="402"/>
      <c r="W639" s="402"/>
      <c r="X639" s="402"/>
      <c r="Y639" s="402"/>
      <c r="Z639" s="402"/>
      <c r="AA639" s="405"/>
      <c r="AB639" s="405"/>
    </row>
    <row r="640" ht="14.25" customHeight="1">
      <c r="A640" s="402"/>
      <c r="B640" s="402"/>
      <c r="C640" s="402"/>
      <c r="D640" s="402"/>
      <c r="E640" s="402"/>
      <c r="F640" s="403"/>
      <c r="G640" s="402"/>
      <c r="H640" s="402"/>
      <c r="I640" s="402"/>
      <c r="J640" s="402"/>
      <c r="K640" s="402"/>
      <c r="L640" s="402"/>
      <c r="M640" s="402"/>
      <c r="N640" s="402"/>
      <c r="O640" s="402"/>
      <c r="P640" s="402"/>
      <c r="Q640" s="402"/>
      <c r="R640" s="402"/>
      <c r="S640" s="402"/>
      <c r="T640" s="402"/>
      <c r="U640" s="402"/>
      <c r="V640" s="402"/>
      <c r="W640" s="402"/>
      <c r="X640" s="402"/>
      <c r="Y640" s="402"/>
      <c r="Z640" s="402"/>
      <c r="AA640" s="405"/>
      <c r="AB640" s="405"/>
    </row>
    <row r="641" ht="14.25" customHeight="1">
      <c r="A641" s="402"/>
      <c r="B641" s="402"/>
      <c r="C641" s="402"/>
      <c r="D641" s="402"/>
      <c r="E641" s="402"/>
      <c r="F641" s="403"/>
      <c r="G641" s="402"/>
      <c r="H641" s="402"/>
      <c r="I641" s="402"/>
      <c r="J641" s="402"/>
      <c r="K641" s="402"/>
      <c r="L641" s="402"/>
      <c r="M641" s="402"/>
      <c r="N641" s="402"/>
      <c r="O641" s="402"/>
      <c r="P641" s="402"/>
      <c r="Q641" s="402"/>
      <c r="R641" s="402"/>
      <c r="S641" s="402"/>
      <c r="T641" s="402"/>
      <c r="U641" s="402"/>
      <c r="V641" s="402"/>
      <c r="W641" s="402"/>
      <c r="X641" s="402"/>
      <c r="Y641" s="402"/>
      <c r="Z641" s="402"/>
      <c r="AA641" s="405"/>
      <c r="AB641" s="405"/>
    </row>
    <row r="642" ht="14.25" customHeight="1">
      <c r="A642" s="402"/>
      <c r="B642" s="402"/>
      <c r="C642" s="402"/>
      <c r="D642" s="402"/>
      <c r="E642" s="402"/>
      <c r="F642" s="403"/>
      <c r="G642" s="402"/>
      <c r="H642" s="402"/>
      <c r="I642" s="402"/>
      <c r="J642" s="402"/>
      <c r="K642" s="402"/>
      <c r="L642" s="402"/>
      <c r="M642" s="402"/>
      <c r="N642" s="402"/>
      <c r="O642" s="402"/>
      <c r="P642" s="402"/>
      <c r="Q642" s="402"/>
      <c r="R642" s="402"/>
      <c r="S642" s="402"/>
      <c r="T642" s="402"/>
      <c r="U642" s="402"/>
      <c r="V642" s="402"/>
      <c r="W642" s="402"/>
      <c r="X642" s="402"/>
      <c r="Y642" s="402"/>
      <c r="Z642" s="402"/>
      <c r="AA642" s="405"/>
      <c r="AB642" s="405"/>
    </row>
    <row r="643" ht="14.25" customHeight="1">
      <c r="A643" s="402"/>
      <c r="B643" s="402"/>
      <c r="C643" s="402"/>
      <c r="D643" s="402"/>
      <c r="E643" s="402"/>
      <c r="F643" s="403"/>
      <c r="G643" s="402"/>
      <c r="H643" s="402"/>
      <c r="I643" s="402"/>
      <c r="J643" s="402"/>
      <c r="K643" s="402"/>
      <c r="L643" s="402"/>
      <c r="M643" s="402"/>
      <c r="N643" s="402"/>
      <c r="O643" s="402"/>
      <c r="P643" s="402"/>
      <c r="Q643" s="402"/>
      <c r="R643" s="402"/>
      <c r="S643" s="402"/>
      <c r="T643" s="402"/>
      <c r="U643" s="402"/>
      <c r="V643" s="402"/>
      <c r="W643" s="402"/>
      <c r="X643" s="402"/>
      <c r="Y643" s="402"/>
      <c r="Z643" s="402"/>
      <c r="AA643" s="405"/>
      <c r="AB643" s="405"/>
    </row>
    <row r="644" ht="14.25" customHeight="1">
      <c r="A644" s="402"/>
      <c r="B644" s="402"/>
      <c r="C644" s="402"/>
      <c r="D644" s="402"/>
      <c r="E644" s="402"/>
      <c r="F644" s="403"/>
      <c r="G644" s="402"/>
      <c r="H644" s="402"/>
      <c r="I644" s="402"/>
      <c r="J644" s="402"/>
      <c r="K644" s="402"/>
      <c r="L644" s="402"/>
      <c r="M644" s="402"/>
      <c r="N644" s="402"/>
      <c r="O644" s="402"/>
      <c r="P644" s="402"/>
      <c r="Q644" s="402"/>
      <c r="R644" s="402"/>
      <c r="S644" s="402"/>
      <c r="T644" s="402"/>
      <c r="U644" s="402"/>
      <c r="V644" s="402"/>
      <c r="W644" s="402"/>
      <c r="X644" s="402"/>
      <c r="Y644" s="402"/>
      <c r="Z644" s="402"/>
      <c r="AA644" s="405"/>
      <c r="AB644" s="405"/>
    </row>
    <row r="645" ht="14.25" customHeight="1">
      <c r="A645" s="402"/>
      <c r="B645" s="402"/>
      <c r="C645" s="402"/>
      <c r="D645" s="402"/>
      <c r="E645" s="402"/>
      <c r="F645" s="403"/>
      <c r="G645" s="402"/>
      <c r="H645" s="402"/>
      <c r="I645" s="402"/>
      <c r="J645" s="402"/>
      <c r="K645" s="402"/>
      <c r="L645" s="402"/>
      <c r="M645" s="402"/>
      <c r="N645" s="402"/>
      <c r="O645" s="402"/>
      <c r="P645" s="402"/>
      <c r="Q645" s="402"/>
      <c r="R645" s="402"/>
      <c r="S645" s="402"/>
      <c r="T645" s="402"/>
      <c r="U645" s="402"/>
      <c r="V645" s="402"/>
      <c r="W645" s="402"/>
      <c r="X645" s="402"/>
      <c r="Y645" s="402"/>
      <c r="Z645" s="402"/>
      <c r="AA645" s="405"/>
      <c r="AB645" s="405"/>
    </row>
    <row r="646" ht="14.25" customHeight="1">
      <c r="A646" s="402"/>
      <c r="B646" s="402"/>
      <c r="C646" s="402"/>
      <c r="D646" s="402"/>
      <c r="E646" s="402"/>
      <c r="F646" s="403"/>
      <c r="G646" s="402"/>
      <c r="H646" s="402"/>
      <c r="I646" s="402"/>
      <c r="J646" s="402"/>
      <c r="K646" s="402"/>
      <c r="L646" s="402"/>
      <c r="M646" s="402"/>
      <c r="N646" s="402"/>
      <c r="O646" s="402"/>
      <c r="P646" s="402"/>
      <c r="Q646" s="402"/>
      <c r="R646" s="402"/>
      <c r="S646" s="402"/>
      <c r="T646" s="402"/>
      <c r="U646" s="402"/>
      <c r="V646" s="402"/>
      <c r="W646" s="402"/>
      <c r="X646" s="402"/>
      <c r="Y646" s="402"/>
      <c r="Z646" s="402"/>
      <c r="AA646" s="405"/>
      <c r="AB646" s="405"/>
    </row>
    <row r="647" ht="14.25" customHeight="1">
      <c r="A647" s="402"/>
      <c r="B647" s="402"/>
      <c r="C647" s="402"/>
      <c r="D647" s="402"/>
      <c r="E647" s="402"/>
      <c r="F647" s="403"/>
      <c r="G647" s="402"/>
      <c r="H647" s="402"/>
      <c r="I647" s="402"/>
      <c r="J647" s="402"/>
      <c r="K647" s="402"/>
      <c r="L647" s="402"/>
      <c r="M647" s="402"/>
      <c r="N647" s="402"/>
      <c r="O647" s="402"/>
      <c r="P647" s="402"/>
      <c r="Q647" s="402"/>
      <c r="R647" s="402"/>
      <c r="S647" s="402"/>
      <c r="T647" s="402"/>
      <c r="U647" s="402"/>
      <c r="V647" s="402"/>
      <c r="W647" s="402"/>
      <c r="X647" s="402"/>
      <c r="Y647" s="402"/>
      <c r="Z647" s="402"/>
      <c r="AA647" s="405"/>
      <c r="AB647" s="405"/>
    </row>
    <row r="648" ht="14.25" customHeight="1">
      <c r="A648" s="402"/>
      <c r="B648" s="402"/>
      <c r="C648" s="402"/>
      <c r="D648" s="402"/>
      <c r="E648" s="402"/>
      <c r="F648" s="403"/>
      <c r="G648" s="402"/>
      <c r="H648" s="402"/>
      <c r="I648" s="402"/>
      <c r="J648" s="402"/>
      <c r="K648" s="402"/>
      <c r="L648" s="402"/>
      <c r="M648" s="402"/>
      <c r="N648" s="402"/>
      <c r="O648" s="402"/>
      <c r="P648" s="402"/>
      <c r="Q648" s="402"/>
      <c r="R648" s="402"/>
      <c r="S648" s="402"/>
      <c r="T648" s="402"/>
      <c r="U648" s="402"/>
      <c r="V648" s="402"/>
      <c r="W648" s="402"/>
      <c r="X648" s="402"/>
      <c r="Y648" s="402"/>
      <c r="Z648" s="402"/>
      <c r="AA648" s="405"/>
      <c r="AB648" s="405"/>
    </row>
    <row r="649" ht="14.25" customHeight="1">
      <c r="A649" s="402"/>
      <c r="B649" s="402"/>
      <c r="C649" s="402"/>
      <c r="D649" s="402"/>
      <c r="E649" s="402"/>
      <c r="F649" s="403"/>
      <c r="G649" s="402"/>
      <c r="H649" s="402"/>
      <c r="I649" s="402"/>
      <c r="J649" s="402"/>
      <c r="K649" s="402"/>
      <c r="L649" s="402"/>
      <c r="M649" s="402"/>
      <c r="N649" s="402"/>
      <c r="O649" s="402"/>
      <c r="P649" s="402"/>
      <c r="Q649" s="402"/>
      <c r="R649" s="402"/>
      <c r="S649" s="402"/>
      <c r="T649" s="402"/>
      <c r="U649" s="402"/>
      <c r="V649" s="402"/>
      <c r="W649" s="402"/>
      <c r="X649" s="402"/>
      <c r="Y649" s="402"/>
      <c r="Z649" s="402"/>
      <c r="AA649" s="405"/>
      <c r="AB649" s="405"/>
    </row>
    <row r="650" ht="14.25" customHeight="1">
      <c r="A650" s="402"/>
      <c r="B650" s="402"/>
      <c r="C650" s="402"/>
      <c r="D650" s="402"/>
      <c r="E650" s="402"/>
      <c r="F650" s="403"/>
      <c r="G650" s="402"/>
      <c r="H650" s="402"/>
      <c r="I650" s="402"/>
      <c r="J650" s="402"/>
      <c r="K650" s="402"/>
      <c r="L650" s="402"/>
      <c r="M650" s="402"/>
      <c r="N650" s="402"/>
      <c r="O650" s="402"/>
      <c r="P650" s="402"/>
      <c r="Q650" s="402"/>
      <c r="R650" s="402"/>
      <c r="S650" s="402"/>
      <c r="T650" s="402"/>
      <c r="U650" s="402"/>
      <c r="V650" s="402"/>
      <c r="W650" s="402"/>
      <c r="X650" s="402"/>
      <c r="Y650" s="402"/>
      <c r="Z650" s="402"/>
      <c r="AA650" s="405"/>
      <c r="AB650" s="405"/>
    </row>
    <row r="651" ht="14.25" customHeight="1">
      <c r="A651" s="402"/>
      <c r="B651" s="402"/>
      <c r="C651" s="402"/>
      <c r="D651" s="402"/>
      <c r="E651" s="402"/>
      <c r="F651" s="403"/>
      <c r="G651" s="402"/>
      <c r="H651" s="402"/>
      <c r="I651" s="402"/>
      <c r="J651" s="402"/>
      <c r="K651" s="402"/>
      <c r="L651" s="402"/>
      <c r="M651" s="402"/>
      <c r="N651" s="402"/>
      <c r="O651" s="402"/>
      <c r="P651" s="402"/>
      <c r="Q651" s="402"/>
      <c r="R651" s="402"/>
      <c r="S651" s="402"/>
      <c r="T651" s="402"/>
      <c r="U651" s="402"/>
      <c r="V651" s="402"/>
      <c r="W651" s="402"/>
      <c r="X651" s="402"/>
      <c r="Y651" s="402"/>
      <c r="Z651" s="402"/>
      <c r="AA651" s="405"/>
      <c r="AB651" s="405"/>
    </row>
    <row r="652" ht="14.25" customHeight="1">
      <c r="A652" s="402"/>
      <c r="B652" s="402"/>
      <c r="C652" s="402"/>
      <c r="D652" s="402"/>
      <c r="E652" s="402"/>
      <c r="F652" s="403"/>
      <c r="G652" s="402"/>
      <c r="H652" s="402"/>
      <c r="I652" s="402"/>
      <c r="J652" s="402"/>
      <c r="K652" s="402"/>
      <c r="L652" s="402"/>
      <c r="M652" s="402"/>
      <c r="N652" s="402"/>
      <c r="O652" s="402"/>
      <c r="P652" s="402"/>
      <c r="Q652" s="402"/>
      <c r="R652" s="402"/>
      <c r="S652" s="402"/>
      <c r="T652" s="402"/>
      <c r="U652" s="402"/>
      <c r="V652" s="402"/>
      <c r="W652" s="402"/>
      <c r="X652" s="402"/>
      <c r="Y652" s="402"/>
      <c r="Z652" s="402"/>
      <c r="AA652" s="405"/>
      <c r="AB652" s="405"/>
    </row>
    <row r="653" ht="14.25" customHeight="1">
      <c r="A653" s="402"/>
      <c r="B653" s="402"/>
      <c r="C653" s="402"/>
      <c r="D653" s="402"/>
      <c r="E653" s="402"/>
      <c r="F653" s="403"/>
      <c r="G653" s="402"/>
      <c r="H653" s="402"/>
      <c r="I653" s="402"/>
      <c r="J653" s="402"/>
      <c r="K653" s="402"/>
      <c r="L653" s="402"/>
      <c r="M653" s="402"/>
      <c r="N653" s="402"/>
      <c r="O653" s="402"/>
      <c r="P653" s="402"/>
      <c r="Q653" s="402"/>
      <c r="R653" s="402"/>
      <c r="S653" s="402"/>
      <c r="T653" s="402"/>
      <c r="U653" s="402"/>
      <c r="V653" s="402"/>
      <c r="W653" s="402"/>
      <c r="X653" s="402"/>
      <c r="Y653" s="402"/>
      <c r="Z653" s="402"/>
      <c r="AA653" s="405"/>
      <c r="AB653" s="405"/>
    </row>
    <row r="654" ht="14.25" customHeight="1">
      <c r="A654" s="402"/>
      <c r="B654" s="402"/>
      <c r="C654" s="402"/>
      <c r="D654" s="402"/>
      <c r="E654" s="402"/>
      <c r="F654" s="403"/>
      <c r="G654" s="402"/>
      <c r="H654" s="402"/>
      <c r="I654" s="402"/>
      <c r="J654" s="402"/>
      <c r="K654" s="402"/>
      <c r="L654" s="402"/>
      <c r="M654" s="402"/>
      <c r="N654" s="402"/>
      <c r="O654" s="402"/>
      <c r="P654" s="402"/>
      <c r="Q654" s="402"/>
      <c r="R654" s="402"/>
      <c r="S654" s="402"/>
      <c r="T654" s="402"/>
      <c r="U654" s="402"/>
      <c r="V654" s="402"/>
      <c r="W654" s="402"/>
      <c r="X654" s="402"/>
      <c r="Y654" s="402"/>
      <c r="Z654" s="402"/>
      <c r="AA654" s="405"/>
      <c r="AB654" s="405"/>
    </row>
    <row r="655" ht="14.25" customHeight="1">
      <c r="A655" s="402"/>
      <c r="B655" s="402"/>
      <c r="C655" s="402"/>
      <c r="D655" s="402"/>
      <c r="E655" s="402"/>
      <c r="F655" s="403"/>
      <c r="G655" s="402"/>
      <c r="H655" s="402"/>
      <c r="I655" s="402"/>
      <c r="J655" s="402"/>
      <c r="K655" s="402"/>
      <c r="L655" s="402"/>
      <c r="M655" s="402"/>
      <c r="N655" s="402"/>
      <c r="O655" s="402"/>
      <c r="P655" s="402"/>
      <c r="Q655" s="402"/>
      <c r="R655" s="402"/>
      <c r="S655" s="402"/>
      <c r="T655" s="402"/>
      <c r="U655" s="402"/>
      <c r="V655" s="402"/>
      <c r="W655" s="402"/>
      <c r="X655" s="402"/>
      <c r="Y655" s="402"/>
      <c r="Z655" s="402"/>
      <c r="AA655" s="405"/>
      <c r="AB655" s="405"/>
    </row>
    <row r="656" ht="14.25" customHeight="1">
      <c r="A656" s="402"/>
      <c r="B656" s="402"/>
      <c r="C656" s="402"/>
      <c r="D656" s="402"/>
      <c r="E656" s="402"/>
      <c r="F656" s="403"/>
      <c r="G656" s="402"/>
      <c r="H656" s="402"/>
      <c r="I656" s="402"/>
      <c r="J656" s="402"/>
      <c r="K656" s="402"/>
      <c r="L656" s="402"/>
      <c r="M656" s="402"/>
      <c r="N656" s="402"/>
      <c r="O656" s="402"/>
      <c r="P656" s="402"/>
      <c r="Q656" s="402"/>
      <c r="R656" s="402"/>
      <c r="S656" s="402"/>
      <c r="T656" s="402"/>
      <c r="U656" s="402"/>
      <c r="V656" s="402"/>
      <c r="W656" s="402"/>
      <c r="X656" s="402"/>
      <c r="Y656" s="402"/>
      <c r="Z656" s="402"/>
      <c r="AA656" s="405"/>
      <c r="AB656" s="405"/>
    </row>
    <row r="657" ht="14.25" customHeight="1">
      <c r="A657" s="402"/>
      <c r="B657" s="402"/>
      <c r="C657" s="402"/>
      <c r="D657" s="402"/>
      <c r="E657" s="402"/>
      <c r="F657" s="403"/>
      <c r="G657" s="402"/>
      <c r="H657" s="402"/>
      <c r="I657" s="402"/>
      <c r="J657" s="402"/>
      <c r="K657" s="402"/>
      <c r="L657" s="402"/>
      <c r="M657" s="402"/>
      <c r="N657" s="402"/>
      <c r="O657" s="402"/>
      <c r="P657" s="402"/>
      <c r="Q657" s="402"/>
      <c r="R657" s="402"/>
      <c r="S657" s="402"/>
      <c r="T657" s="402"/>
      <c r="U657" s="402"/>
      <c r="V657" s="402"/>
      <c r="W657" s="402"/>
      <c r="X657" s="402"/>
      <c r="Y657" s="402"/>
      <c r="Z657" s="402"/>
      <c r="AA657" s="405"/>
      <c r="AB657" s="405"/>
    </row>
    <row r="658" ht="14.25" customHeight="1">
      <c r="A658" s="402"/>
      <c r="B658" s="402"/>
      <c r="C658" s="402"/>
      <c r="D658" s="402"/>
      <c r="E658" s="402"/>
      <c r="F658" s="403"/>
      <c r="G658" s="402"/>
      <c r="H658" s="402"/>
      <c r="I658" s="402"/>
      <c r="J658" s="402"/>
      <c r="K658" s="402"/>
      <c r="L658" s="402"/>
      <c r="M658" s="402"/>
      <c r="N658" s="402"/>
      <c r="O658" s="402"/>
      <c r="P658" s="402"/>
      <c r="Q658" s="402"/>
      <c r="R658" s="402"/>
      <c r="S658" s="402"/>
      <c r="T658" s="402"/>
      <c r="U658" s="402"/>
      <c r="V658" s="402"/>
      <c r="W658" s="402"/>
      <c r="X658" s="402"/>
      <c r="Y658" s="402"/>
      <c r="Z658" s="402"/>
      <c r="AA658" s="405"/>
      <c r="AB658" s="405"/>
    </row>
    <row r="659" ht="14.25" customHeight="1">
      <c r="A659" s="402"/>
      <c r="B659" s="402"/>
      <c r="C659" s="402"/>
      <c r="D659" s="402"/>
      <c r="E659" s="402"/>
      <c r="F659" s="403"/>
      <c r="G659" s="402"/>
      <c r="H659" s="402"/>
      <c r="I659" s="402"/>
      <c r="J659" s="402"/>
      <c r="K659" s="402"/>
      <c r="L659" s="402"/>
      <c r="M659" s="402"/>
      <c r="N659" s="402"/>
      <c r="O659" s="402"/>
      <c r="P659" s="402"/>
      <c r="Q659" s="402"/>
      <c r="R659" s="402"/>
      <c r="S659" s="402"/>
      <c r="T659" s="402"/>
      <c r="U659" s="402"/>
      <c r="V659" s="402"/>
      <c r="W659" s="402"/>
      <c r="X659" s="402"/>
      <c r="Y659" s="402"/>
      <c r="Z659" s="402"/>
      <c r="AA659" s="405"/>
      <c r="AB659" s="405"/>
    </row>
    <row r="660" ht="14.25" customHeight="1">
      <c r="A660" s="402"/>
      <c r="B660" s="402"/>
      <c r="C660" s="402"/>
      <c r="D660" s="402"/>
      <c r="E660" s="402"/>
      <c r="F660" s="403"/>
      <c r="G660" s="402"/>
      <c r="H660" s="402"/>
      <c r="I660" s="402"/>
      <c r="J660" s="402"/>
      <c r="K660" s="402"/>
      <c r="L660" s="402"/>
      <c r="M660" s="402"/>
      <c r="N660" s="402"/>
      <c r="O660" s="402"/>
      <c r="P660" s="402"/>
      <c r="Q660" s="402"/>
      <c r="R660" s="402"/>
      <c r="S660" s="402"/>
      <c r="T660" s="402"/>
      <c r="U660" s="402"/>
      <c r="V660" s="402"/>
      <c r="W660" s="402"/>
      <c r="X660" s="402"/>
      <c r="Y660" s="402"/>
      <c r="Z660" s="402"/>
      <c r="AA660" s="405"/>
      <c r="AB660" s="405"/>
    </row>
    <row r="661" ht="14.25" customHeight="1">
      <c r="A661" s="402"/>
      <c r="B661" s="402"/>
      <c r="C661" s="402"/>
      <c r="D661" s="402"/>
      <c r="E661" s="402"/>
      <c r="F661" s="403"/>
      <c r="G661" s="402"/>
      <c r="H661" s="402"/>
      <c r="I661" s="402"/>
      <c r="J661" s="402"/>
      <c r="K661" s="402"/>
      <c r="L661" s="402"/>
      <c r="M661" s="402"/>
      <c r="N661" s="402"/>
      <c r="O661" s="402"/>
      <c r="P661" s="402"/>
      <c r="Q661" s="402"/>
      <c r="R661" s="402"/>
      <c r="S661" s="402"/>
      <c r="T661" s="402"/>
      <c r="U661" s="402"/>
      <c r="V661" s="402"/>
      <c r="W661" s="402"/>
      <c r="X661" s="402"/>
      <c r="Y661" s="402"/>
      <c r="Z661" s="402"/>
      <c r="AA661" s="405"/>
      <c r="AB661" s="405"/>
    </row>
    <row r="662" ht="14.25" customHeight="1">
      <c r="A662" s="402"/>
      <c r="B662" s="402"/>
      <c r="C662" s="402"/>
      <c r="D662" s="402"/>
      <c r="E662" s="402"/>
      <c r="F662" s="403"/>
      <c r="G662" s="402"/>
      <c r="H662" s="402"/>
      <c r="I662" s="402"/>
      <c r="J662" s="402"/>
      <c r="K662" s="402"/>
      <c r="L662" s="402"/>
      <c r="M662" s="402"/>
      <c r="N662" s="402"/>
      <c r="O662" s="402"/>
      <c r="P662" s="402"/>
      <c r="Q662" s="402"/>
      <c r="R662" s="402"/>
      <c r="S662" s="402"/>
      <c r="T662" s="402"/>
      <c r="U662" s="402"/>
      <c r="V662" s="402"/>
      <c r="W662" s="402"/>
      <c r="X662" s="402"/>
      <c r="Y662" s="402"/>
      <c r="Z662" s="402"/>
      <c r="AA662" s="405"/>
      <c r="AB662" s="405"/>
    </row>
    <row r="663" ht="14.25" customHeight="1">
      <c r="A663" s="402"/>
      <c r="B663" s="402"/>
      <c r="C663" s="402"/>
      <c r="D663" s="402"/>
      <c r="E663" s="402"/>
      <c r="F663" s="403"/>
      <c r="G663" s="402"/>
      <c r="H663" s="402"/>
      <c r="I663" s="402"/>
      <c r="J663" s="402"/>
      <c r="K663" s="402"/>
      <c r="L663" s="402"/>
      <c r="M663" s="402"/>
      <c r="N663" s="402"/>
      <c r="O663" s="402"/>
      <c r="P663" s="402"/>
      <c r="Q663" s="402"/>
      <c r="R663" s="402"/>
      <c r="S663" s="402"/>
      <c r="T663" s="402"/>
      <c r="U663" s="402"/>
      <c r="V663" s="402"/>
      <c r="W663" s="402"/>
      <c r="X663" s="402"/>
      <c r="Y663" s="402"/>
      <c r="Z663" s="402"/>
      <c r="AA663" s="405"/>
      <c r="AB663" s="405"/>
    </row>
    <row r="664" ht="14.25" customHeight="1">
      <c r="A664" s="402"/>
      <c r="B664" s="402"/>
      <c r="C664" s="402"/>
      <c r="D664" s="402"/>
      <c r="E664" s="402"/>
      <c r="F664" s="403"/>
      <c r="G664" s="402"/>
      <c r="H664" s="402"/>
      <c r="I664" s="402"/>
      <c r="J664" s="402"/>
      <c r="K664" s="402"/>
      <c r="L664" s="402"/>
      <c r="M664" s="402"/>
      <c r="N664" s="402"/>
      <c r="O664" s="402"/>
      <c r="P664" s="402"/>
      <c r="Q664" s="402"/>
      <c r="R664" s="402"/>
      <c r="S664" s="402"/>
      <c r="T664" s="402"/>
      <c r="U664" s="402"/>
      <c r="V664" s="402"/>
      <c r="W664" s="402"/>
      <c r="X664" s="402"/>
      <c r="Y664" s="402"/>
      <c r="Z664" s="402"/>
      <c r="AA664" s="405"/>
      <c r="AB664" s="405"/>
    </row>
    <row r="665" ht="14.25" customHeight="1">
      <c r="A665" s="402"/>
      <c r="B665" s="402"/>
      <c r="C665" s="402"/>
      <c r="D665" s="402"/>
      <c r="E665" s="402"/>
      <c r="F665" s="403"/>
      <c r="G665" s="402"/>
      <c r="H665" s="402"/>
      <c r="I665" s="402"/>
      <c r="J665" s="402"/>
      <c r="K665" s="402"/>
      <c r="L665" s="402"/>
      <c r="M665" s="402"/>
      <c r="N665" s="402"/>
      <c r="O665" s="402"/>
      <c r="P665" s="402"/>
      <c r="Q665" s="402"/>
      <c r="R665" s="402"/>
      <c r="S665" s="402"/>
      <c r="T665" s="402"/>
      <c r="U665" s="402"/>
      <c r="V665" s="402"/>
      <c r="W665" s="402"/>
      <c r="X665" s="402"/>
      <c r="Y665" s="402"/>
      <c r="Z665" s="402"/>
      <c r="AA665" s="405"/>
      <c r="AB665" s="405"/>
    </row>
    <row r="666" ht="14.25" customHeight="1">
      <c r="A666" s="402"/>
      <c r="B666" s="402"/>
      <c r="C666" s="402"/>
      <c r="D666" s="402"/>
      <c r="E666" s="402"/>
      <c r="F666" s="403"/>
      <c r="G666" s="402"/>
      <c r="H666" s="402"/>
      <c r="I666" s="402"/>
      <c r="J666" s="402"/>
      <c r="K666" s="402"/>
      <c r="L666" s="402"/>
      <c r="M666" s="402"/>
      <c r="N666" s="402"/>
      <c r="O666" s="402"/>
      <c r="P666" s="402"/>
      <c r="Q666" s="402"/>
      <c r="R666" s="402"/>
      <c r="S666" s="402"/>
      <c r="T666" s="402"/>
      <c r="U666" s="402"/>
      <c r="V666" s="402"/>
      <c r="W666" s="402"/>
      <c r="X666" s="402"/>
      <c r="Y666" s="402"/>
      <c r="Z666" s="402"/>
      <c r="AA666" s="405"/>
      <c r="AB666" s="405"/>
    </row>
    <row r="667" ht="14.25" customHeight="1">
      <c r="A667" s="402"/>
      <c r="B667" s="402"/>
      <c r="C667" s="402"/>
      <c r="D667" s="402"/>
      <c r="E667" s="402"/>
      <c r="F667" s="403"/>
      <c r="G667" s="402"/>
      <c r="H667" s="402"/>
      <c r="I667" s="402"/>
      <c r="J667" s="402"/>
      <c r="K667" s="402"/>
      <c r="L667" s="402"/>
      <c r="M667" s="402"/>
      <c r="N667" s="402"/>
      <c r="O667" s="402"/>
      <c r="P667" s="402"/>
      <c r="Q667" s="402"/>
      <c r="R667" s="402"/>
      <c r="S667" s="402"/>
      <c r="T667" s="402"/>
      <c r="U667" s="402"/>
      <c r="V667" s="402"/>
      <c r="W667" s="402"/>
      <c r="X667" s="402"/>
      <c r="Y667" s="402"/>
      <c r="Z667" s="402"/>
      <c r="AA667" s="405"/>
      <c r="AB667" s="405"/>
    </row>
    <row r="668" ht="14.25" customHeight="1">
      <c r="A668" s="402"/>
      <c r="B668" s="402"/>
      <c r="C668" s="402"/>
      <c r="D668" s="402"/>
      <c r="E668" s="402"/>
      <c r="F668" s="403"/>
      <c r="G668" s="402"/>
      <c r="H668" s="402"/>
      <c r="I668" s="402"/>
      <c r="J668" s="402"/>
      <c r="K668" s="402"/>
      <c r="L668" s="402"/>
      <c r="M668" s="402"/>
      <c r="N668" s="402"/>
      <c r="O668" s="402"/>
      <c r="P668" s="402"/>
      <c r="Q668" s="402"/>
      <c r="R668" s="402"/>
      <c r="S668" s="402"/>
      <c r="T668" s="402"/>
      <c r="U668" s="402"/>
      <c r="V668" s="402"/>
      <c r="W668" s="402"/>
      <c r="X668" s="402"/>
      <c r="Y668" s="402"/>
      <c r="Z668" s="402"/>
      <c r="AA668" s="405"/>
      <c r="AB668" s="405"/>
    </row>
    <row r="669" ht="14.25" customHeight="1">
      <c r="A669" s="402"/>
      <c r="B669" s="402"/>
      <c r="C669" s="402"/>
      <c r="D669" s="402"/>
      <c r="E669" s="402"/>
      <c r="F669" s="403"/>
      <c r="G669" s="402"/>
      <c r="H669" s="402"/>
      <c r="I669" s="402"/>
      <c r="J669" s="402"/>
      <c r="K669" s="402"/>
      <c r="L669" s="402"/>
      <c r="M669" s="402"/>
      <c r="N669" s="402"/>
      <c r="O669" s="402"/>
      <c r="P669" s="402"/>
      <c r="Q669" s="402"/>
      <c r="R669" s="402"/>
      <c r="S669" s="402"/>
      <c r="T669" s="402"/>
      <c r="U669" s="402"/>
      <c r="V669" s="402"/>
      <c r="W669" s="402"/>
      <c r="X669" s="402"/>
      <c r="Y669" s="402"/>
      <c r="Z669" s="402"/>
      <c r="AA669" s="405"/>
      <c r="AB669" s="405"/>
    </row>
    <row r="670" ht="14.25" customHeight="1">
      <c r="A670" s="402"/>
      <c r="B670" s="402"/>
      <c r="C670" s="402"/>
      <c r="D670" s="402"/>
      <c r="E670" s="402"/>
      <c r="F670" s="403"/>
      <c r="G670" s="402"/>
      <c r="H670" s="402"/>
      <c r="I670" s="402"/>
      <c r="J670" s="402"/>
      <c r="K670" s="402"/>
      <c r="L670" s="402"/>
      <c r="M670" s="402"/>
      <c r="N670" s="402"/>
      <c r="O670" s="402"/>
      <c r="P670" s="402"/>
      <c r="Q670" s="402"/>
      <c r="R670" s="402"/>
      <c r="S670" s="402"/>
      <c r="T670" s="402"/>
      <c r="U670" s="402"/>
      <c r="V670" s="402"/>
      <c r="W670" s="402"/>
      <c r="X670" s="402"/>
      <c r="Y670" s="402"/>
      <c r="Z670" s="402"/>
      <c r="AA670" s="405"/>
      <c r="AB670" s="405"/>
    </row>
    <row r="671" ht="14.25" customHeight="1">
      <c r="A671" s="402"/>
      <c r="B671" s="402"/>
      <c r="C671" s="402"/>
      <c r="D671" s="402"/>
      <c r="E671" s="402"/>
      <c r="F671" s="403"/>
      <c r="G671" s="402"/>
      <c r="H671" s="402"/>
      <c r="I671" s="402"/>
      <c r="J671" s="402"/>
      <c r="K671" s="402"/>
      <c r="L671" s="402"/>
      <c r="M671" s="402"/>
      <c r="N671" s="402"/>
      <c r="O671" s="402"/>
      <c r="P671" s="402"/>
      <c r="Q671" s="402"/>
      <c r="R671" s="402"/>
      <c r="S671" s="402"/>
      <c r="T671" s="402"/>
      <c r="U671" s="402"/>
      <c r="V671" s="402"/>
      <c r="W671" s="402"/>
      <c r="X671" s="402"/>
      <c r="Y671" s="402"/>
      <c r="Z671" s="402"/>
      <c r="AA671" s="405"/>
      <c r="AB671" s="405"/>
    </row>
    <row r="672" ht="14.25" customHeight="1">
      <c r="A672" s="402"/>
      <c r="B672" s="402"/>
      <c r="C672" s="402"/>
      <c r="D672" s="402"/>
      <c r="E672" s="402"/>
      <c r="F672" s="403"/>
      <c r="G672" s="402"/>
      <c r="H672" s="402"/>
      <c r="I672" s="402"/>
      <c r="J672" s="402"/>
      <c r="K672" s="402"/>
      <c r="L672" s="402"/>
      <c r="M672" s="402"/>
      <c r="N672" s="402"/>
      <c r="O672" s="402"/>
      <c r="P672" s="402"/>
      <c r="Q672" s="402"/>
      <c r="R672" s="402"/>
      <c r="S672" s="402"/>
      <c r="T672" s="402"/>
      <c r="U672" s="402"/>
      <c r="V672" s="402"/>
      <c r="W672" s="402"/>
      <c r="X672" s="402"/>
      <c r="Y672" s="402"/>
      <c r="Z672" s="402"/>
      <c r="AA672" s="405"/>
      <c r="AB672" s="405"/>
    </row>
    <row r="673" ht="14.25" customHeight="1">
      <c r="A673" s="402"/>
      <c r="B673" s="402"/>
      <c r="C673" s="402"/>
      <c r="D673" s="402"/>
      <c r="E673" s="402"/>
      <c r="F673" s="403"/>
      <c r="G673" s="402"/>
      <c r="H673" s="402"/>
      <c r="I673" s="402"/>
      <c r="J673" s="402"/>
      <c r="K673" s="402"/>
      <c r="L673" s="402"/>
      <c r="M673" s="402"/>
      <c r="N673" s="402"/>
      <c r="O673" s="402"/>
      <c r="P673" s="402"/>
      <c r="Q673" s="402"/>
      <c r="R673" s="402"/>
      <c r="S673" s="402"/>
      <c r="T673" s="402"/>
      <c r="U673" s="402"/>
      <c r="V673" s="402"/>
      <c r="W673" s="402"/>
      <c r="X673" s="402"/>
      <c r="Y673" s="402"/>
      <c r="Z673" s="402"/>
      <c r="AA673" s="405"/>
      <c r="AB673" s="405"/>
    </row>
    <row r="674" ht="14.25" customHeight="1">
      <c r="A674" s="402"/>
      <c r="B674" s="402"/>
      <c r="C674" s="402"/>
      <c r="D674" s="402"/>
      <c r="E674" s="402"/>
      <c r="F674" s="403"/>
      <c r="G674" s="402"/>
      <c r="H674" s="402"/>
      <c r="I674" s="402"/>
      <c r="J674" s="402"/>
      <c r="K674" s="402"/>
      <c r="L674" s="402"/>
      <c r="M674" s="402"/>
      <c r="N674" s="402"/>
      <c r="O674" s="402"/>
      <c r="P674" s="402"/>
      <c r="Q674" s="402"/>
      <c r="R674" s="402"/>
      <c r="S674" s="402"/>
      <c r="T674" s="402"/>
      <c r="U674" s="402"/>
      <c r="V674" s="402"/>
      <c r="W674" s="402"/>
      <c r="X674" s="402"/>
      <c r="Y674" s="402"/>
      <c r="Z674" s="402"/>
      <c r="AA674" s="405"/>
      <c r="AB674" s="405"/>
    </row>
    <row r="675" ht="14.25" customHeight="1">
      <c r="A675" s="402"/>
      <c r="B675" s="402"/>
      <c r="C675" s="402"/>
      <c r="D675" s="402"/>
      <c r="E675" s="402"/>
      <c r="F675" s="403"/>
      <c r="G675" s="402"/>
      <c r="H675" s="402"/>
      <c r="I675" s="402"/>
      <c r="J675" s="402"/>
      <c r="K675" s="402"/>
      <c r="L675" s="402"/>
      <c r="M675" s="402"/>
      <c r="N675" s="402"/>
      <c r="O675" s="402"/>
      <c r="P675" s="402"/>
      <c r="Q675" s="402"/>
      <c r="R675" s="402"/>
      <c r="S675" s="402"/>
      <c r="T675" s="402"/>
      <c r="U675" s="402"/>
      <c r="V675" s="402"/>
      <c r="W675" s="402"/>
      <c r="X675" s="402"/>
      <c r="Y675" s="402"/>
      <c r="Z675" s="402"/>
      <c r="AA675" s="405"/>
      <c r="AB675" s="405"/>
    </row>
    <row r="676" ht="14.25" customHeight="1">
      <c r="A676" s="402"/>
      <c r="B676" s="402"/>
      <c r="C676" s="402"/>
      <c r="D676" s="402"/>
      <c r="E676" s="402"/>
      <c r="F676" s="403"/>
      <c r="G676" s="402"/>
      <c r="H676" s="402"/>
      <c r="I676" s="402"/>
      <c r="J676" s="402"/>
      <c r="K676" s="402"/>
      <c r="L676" s="402"/>
      <c r="M676" s="402"/>
      <c r="N676" s="402"/>
      <c r="O676" s="402"/>
      <c r="P676" s="402"/>
      <c r="Q676" s="402"/>
      <c r="R676" s="402"/>
      <c r="S676" s="402"/>
      <c r="T676" s="402"/>
      <c r="U676" s="402"/>
      <c r="V676" s="402"/>
      <c r="W676" s="402"/>
      <c r="X676" s="402"/>
      <c r="Y676" s="402"/>
      <c r="Z676" s="402"/>
      <c r="AA676" s="405"/>
      <c r="AB676" s="405"/>
    </row>
    <row r="677" ht="14.25" customHeight="1">
      <c r="A677" s="402"/>
      <c r="B677" s="402"/>
      <c r="C677" s="402"/>
      <c r="D677" s="402"/>
      <c r="E677" s="402"/>
      <c r="F677" s="403"/>
      <c r="G677" s="402"/>
      <c r="H677" s="402"/>
      <c r="I677" s="402"/>
      <c r="J677" s="402"/>
      <c r="K677" s="402"/>
      <c r="L677" s="402"/>
      <c r="M677" s="402"/>
      <c r="N677" s="402"/>
      <c r="O677" s="402"/>
      <c r="P677" s="402"/>
      <c r="Q677" s="402"/>
      <c r="R677" s="402"/>
      <c r="S677" s="402"/>
      <c r="T677" s="402"/>
      <c r="U677" s="402"/>
      <c r="V677" s="402"/>
      <c r="W677" s="402"/>
      <c r="X677" s="402"/>
      <c r="Y677" s="402"/>
      <c r="Z677" s="402"/>
      <c r="AA677" s="405"/>
      <c r="AB677" s="405"/>
    </row>
    <row r="678" ht="14.25" customHeight="1">
      <c r="A678" s="402"/>
      <c r="B678" s="402"/>
      <c r="C678" s="402"/>
      <c r="D678" s="402"/>
      <c r="E678" s="402"/>
      <c r="F678" s="403"/>
      <c r="G678" s="402"/>
      <c r="H678" s="402"/>
      <c r="I678" s="402"/>
      <c r="J678" s="402"/>
      <c r="K678" s="402"/>
      <c r="L678" s="402"/>
      <c r="M678" s="402"/>
      <c r="N678" s="402"/>
      <c r="O678" s="402"/>
      <c r="P678" s="402"/>
      <c r="Q678" s="402"/>
      <c r="R678" s="402"/>
      <c r="S678" s="402"/>
      <c r="T678" s="402"/>
      <c r="U678" s="402"/>
      <c r="V678" s="402"/>
      <c r="W678" s="402"/>
      <c r="X678" s="402"/>
      <c r="Y678" s="402"/>
      <c r="Z678" s="402"/>
      <c r="AA678" s="405"/>
      <c r="AB678" s="405"/>
    </row>
    <row r="679" ht="14.25" customHeight="1">
      <c r="A679" s="402"/>
      <c r="B679" s="402"/>
      <c r="C679" s="402"/>
      <c r="D679" s="402"/>
      <c r="E679" s="402"/>
      <c r="F679" s="403"/>
      <c r="G679" s="402"/>
      <c r="H679" s="402"/>
      <c r="I679" s="402"/>
      <c r="J679" s="402"/>
      <c r="K679" s="402"/>
      <c r="L679" s="402"/>
      <c r="M679" s="402"/>
      <c r="N679" s="402"/>
      <c r="O679" s="402"/>
      <c r="P679" s="402"/>
      <c r="Q679" s="402"/>
      <c r="R679" s="402"/>
      <c r="S679" s="402"/>
      <c r="T679" s="402"/>
      <c r="U679" s="402"/>
      <c r="V679" s="402"/>
      <c r="W679" s="402"/>
      <c r="X679" s="402"/>
      <c r="Y679" s="402"/>
      <c r="Z679" s="402"/>
      <c r="AA679" s="405"/>
      <c r="AB679" s="405"/>
    </row>
    <row r="680" ht="14.25" customHeight="1">
      <c r="A680" s="402"/>
      <c r="B680" s="402"/>
      <c r="C680" s="402"/>
      <c r="D680" s="402"/>
      <c r="E680" s="402"/>
      <c r="F680" s="403"/>
      <c r="G680" s="402"/>
      <c r="H680" s="402"/>
      <c r="I680" s="402"/>
      <c r="J680" s="402"/>
      <c r="K680" s="402"/>
      <c r="L680" s="402"/>
      <c r="M680" s="402"/>
      <c r="N680" s="402"/>
      <c r="O680" s="402"/>
      <c r="P680" s="402"/>
      <c r="Q680" s="402"/>
      <c r="R680" s="402"/>
      <c r="S680" s="402"/>
      <c r="T680" s="402"/>
      <c r="U680" s="402"/>
      <c r="V680" s="402"/>
      <c r="W680" s="402"/>
      <c r="X680" s="402"/>
      <c r="Y680" s="402"/>
      <c r="Z680" s="402"/>
      <c r="AA680" s="405"/>
      <c r="AB680" s="405"/>
    </row>
    <row r="681" ht="14.25" customHeight="1">
      <c r="A681" s="402"/>
      <c r="B681" s="402"/>
      <c r="C681" s="402"/>
      <c r="D681" s="402"/>
      <c r="E681" s="402"/>
      <c r="F681" s="403"/>
      <c r="G681" s="402"/>
      <c r="H681" s="402"/>
      <c r="I681" s="402"/>
      <c r="J681" s="402"/>
      <c r="K681" s="402"/>
      <c r="L681" s="402"/>
      <c r="M681" s="402"/>
      <c r="N681" s="402"/>
      <c r="O681" s="402"/>
      <c r="P681" s="402"/>
      <c r="Q681" s="402"/>
      <c r="R681" s="402"/>
      <c r="S681" s="402"/>
      <c r="T681" s="402"/>
      <c r="U681" s="402"/>
      <c r="V681" s="402"/>
      <c r="W681" s="402"/>
      <c r="X681" s="402"/>
      <c r="Y681" s="402"/>
      <c r="Z681" s="402"/>
      <c r="AA681" s="405"/>
      <c r="AB681" s="405"/>
    </row>
    <row r="682" ht="14.25" customHeight="1">
      <c r="A682" s="402"/>
      <c r="B682" s="402"/>
      <c r="C682" s="402"/>
      <c r="D682" s="402"/>
      <c r="E682" s="402"/>
      <c r="F682" s="403"/>
      <c r="G682" s="402"/>
      <c r="H682" s="402"/>
      <c r="I682" s="402"/>
      <c r="J682" s="402"/>
      <c r="K682" s="402"/>
      <c r="L682" s="402"/>
      <c r="M682" s="402"/>
      <c r="N682" s="402"/>
      <c r="O682" s="402"/>
      <c r="P682" s="402"/>
      <c r="Q682" s="402"/>
      <c r="R682" s="402"/>
      <c r="S682" s="402"/>
      <c r="T682" s="402"/>
      <c r="U682" s="402"/>
      <c r="V682" s="402"/>
      <c r="W682" s="402"/>
      <c r="X682" s="402"/>
      <c r="Y682" s="402"/>
      <c r="Z682" s="402"/>
      <c r="AA682" s="405"/>
      <c r="AB682" s="405"/>
    </row>
    <row r="683" ht="14.25" customHeight="1">
      <c r="A683" s="402"/>
      <c r="B683" s="402"/>
      <c r="C683" s="402"/>
      <c r="D683" s="402"/>
      <c r="E683" s="402"/>
      <c r="F683" s="403"/>
      <c r="G683" s="402"/>
      <c r="H683" s="402"/>
      <c r="I683" s="402"/>
      <c r="J683" s="402"/>
      <c r="K683" s="402"/>
      <c r="L683" s="402"/>
      <c r="M683" s="402"/>
      <c r="N683" s="402"/>
      <c r="O683" s="402"/>
      <c r="P683" s="402"/>
      <c r="Q683" s="402"/>
      <c r="R683" s="402"/>
      <c r="S683" s="402"/>
      <c r="T683" s="402"/>
      <c r="U683" s="402"/>
      <c r="V683" s="402"/>
      <c r="W683" s="402"/>
      <c r="X683" s="402"/>
      <c r="Y683" s="402"/>
      <c r="Z683" s="402"/>
      <c r="AA683" s="405"/>
      <c r="AB683" s="405"/>
    </row>
    <row r="684" ht="14.25" customHeight="1">
      <c r="A684" s="402"/>
      <c r="B684" s="402"/>
      <c r="C684" s="402"/>
      <c r="D684" s="402"/>
      <c r="E684" s="402"/>
      <c r="F684" s="403"/>
      <c r="G684" s="402"/>
      <c r="H684" s="402"/>
      <c r="I684" s="402"/>
      <c r="J684" s="402"/>
      <c r="K684" s="402"/>
      <c r="L684" s="402"/>
      <c r="M684" s="402"/>
      <c r="N684" s="402"/>
      <c r="O684" s="402"/>
      <c r="P684" s="402"/>
      <c r="Q684" s="402"/>
      <c r="R684" s="402"/>
      <c r="S684" s="402"/>
      <c r="T684" s="402"/>
      <c r="U684" s="402"/>
      <c r="V684" s="402"/>
      <c r="W684" s="402"/>
      <c r="X684" s="402"/>
      <c r="Y684" s="402"/>
      <c r="Z684" s="402"/>
      <c r="AA684" s="405"/>
      <c r="AB684" s="405"/>
    </row>
    <row r="685" ht="14.25" customHeight="1">
      <c r="A685" s="402"/>
      <c r="B685" s="402"/>
      <c r="C685" s="402"/>
      <c r="D685" s="402"/>
      <c r="E685" s="402"/>
      <c r="F685" s="403"/>
      <c r="G685" s="402"/>
      <c r="H685" s="402"/>
      <c r="I685" s="402"/>
      <c r="J685" s="402"/>
      <c r="K685" s="402"/>
      <c r="L685" s="402"/>
      <c r="M685" s="402"/>
      <c r="N685" s="402"/>
      <c r="O685" s="402"/>
      <c r="P685" s="402"/>
      <c r="Q685" s="402"/>
      <c r="R685" s="402"/>
      <c r="S685" s="402"/>
      <c r="T685" s="402"/>
      <c r="U685" s="402"/>
      <c r="V685" s="402"/>
      <c r="W685" s="402"/>
      <c r="X685" s="402"/>
      <c r="Y685" s="402"/>
      <c r="Z685" s="402"/>
      <c r="AA685" s="405"/>
      <c r="AB685" s="405"/>
    </row>
    <row r="686" ht="14.25" customHeight="1">
      <c r="A686" s="402"/>
      <c r="B686" s="402"/>
      <c r="C686" s="402"/>
      <c r="D686" s="402"/>
      <c r="E686" s="402"/>
      <c r="F686" s="403"/>
      <c r="G686" s="402"/>
      <c r="H686" s="402"/>
      <c r="I686" s="402"/>
      <c r="J686" s="402"/>
      <c r="K686" s="402"/>
      <c r="L686" s="402"/>
      <c r="M686" s="402"/>
      <c r="N686" s="402"/>
      <c r="O686" s="402"/>
      <c r="P686" s="402"/>
      <c r="Q686" s="402"/>
      <c r="R686" s="402"/>
      <c r="S686" s="402"/>
      <c r="T686" s="402"/>
      <c r="U686" s="402"/>
      <c r="V686" s="402"/>
      <c r="W686" s="402"/>
      <c r="X686" s="402"/>
      <c r="Y686" s="402"/>
      <c r="Z686" s="402"/>
      <c r="AA686" s="405"/>
      <c r="AB686" s="405"/>
    </row>
    <row r="687" ht="14.25" customHeight="1">
      <c r="A687" s="402"/>
      <c r="B687" s="402"/>
      <c r="C687" s="402"/>
      <c r="D687" s="402"/>
      <c r="E687" s="402"/>
      <c r="F687" s="403"/>
      <c r="G687" s="402"/>
      <c r="H687" s="402"/>
      <c r="I687" s="402"/>
      <c r="J687" s="402"/>
      <c r="K687" s="402"/>
      <c r="L687" s="402"/>
      <c r="M687" s="402"/>
      <c r="N687" s="402"/>
      <c r="O687" s="402"/>
      <c r="P687" s="402"/>
      <c r="Q687" s="402"/>
      <c r="R687" s="402"/>
      <c r="S687" s="402"/>
      <c r="T687" s="402"/>
      <c r="U687" s="402"/>
      <c r="V687" s="402"/>
      <c r="W687" s="402"/>
      <c r="X687" s="402"/>
      <c r="Y687" s="402"/>
      <c r="Z687" s="402"/>
      <c r="AA687" s="405"/>
      <c r="AB687" s="405"/>
    </row>
    <row r="688" ht="14.25" customHeight="1">
      <c r="A688" s="402"/>
      <c r="B688" s="402"/>
      <c r="C688" s="402"/>
      <c r="D688" s="402"/>
      <c r="E688" s="402"/>
      <c r="F688" s="403"/>
      <c r="G688" s="402"/>
      <c r="H688" s="402"/>
      <c r="I688" s="402"/>
      <c r="J688" s="402"/>
      <c r="K688" s="402"/>
      <c r="L688" s="402"/>
      <c r="M688" s="402"/>
      <c r="N688" s="402"/>
      <c r="O688" s="402"/>
      <c r="P688" s="402"/>
      <c r="Q688" s="402"/>
      <c r="R688" s="402"/>
      <c r="S688" s="402"/>
      <c r="T688" s="402"/>
      <c r="U688" s="402"/>
      <c r="V688" s="402"/>
      <c r="W688" s="402"/>
      <c r="X688" s="402"/>
      <c r="Y688" s="402"/>
      <c r="Z688" s="402"/>
      <c r="AA688" s="405"/>
      <c r="AB688" s="405"/>
    </row>
    <row r="689" ht="14.25" customHeight="1">
      <c r="A689" s="402"/>
      <c r="B689" s="402"/>
      <c r="C689" s="402"/>
      <c r="D689" s="402"/>
      <c r="E689" s="402"/>
      <c r="F689" s="403"/>
      <c r="G689" s="402"/>
      <c r="H689" s="402"/>
      <c r="I689" s="402"/>
      <c r="J689" s="402"/>
      <c r="K689" s="402"/>
      <c r="L689" s="402"/>
      <c r="M689" s="402"/>
      <c r="N689" s="402"/>
      <c r="O689" s="402"/>
      <c r="P689" s="402"/>
      <c r="Q689" s="402"/>
      <c r="R689" s="402"/>
      <c r="S689" s="402"/>
      <c r="T689" s="402"/>
      <c r="U689" s="402"/>
      <c r="V689" s="402"/>
      <c r="W689" s="402"/>
      <c r="X689" s="402"/>
      <c r="Y689" s="402"/>
      <c r="Z689" s="402"/>
      <c r="AA689" s="405"/>
      <c r="AB689" s="405"/>
    </row>
    <row r="690" ht="14.25" customHeight="1">
      <c r="A690" s="402"/>
      <c r="B690" s="402"/>
      <c r="C690" s="402"/>
      <c r="D690" s="402"/>
      <c r="E690" s="402"/>
      <c r="F690" s="403"/>
      <c r="G690" s="402"/>
      <c r="H690" s="402"/>
      <c r="I690" s="402"/>
      <c r="J690" s="402"/>
      <c r="K690" s="402"/>
      <c r="L690" s="402"/>
      <c r="M690" s="402"/>
      <c r="N690" s="402"/>
      <c r="O690" s="402"/>
      <c r="P690" s="402"/>
      <c r="Q690" s="402"/>
      <c r="R690" s="402"/>
      <c r="S690" s="402"/>
      <c r="T690" s="402"/>
      <c r="U690" s="402"/>
      <c r="V690" s="402"/>
      <c r="W690" s="402"/>
      <c r="X690" s="402"/>
      <c r="Y690" s="402"/>
      <c r="Z690" s="402"/>
      <c r="AA690" s="405"/>
      <c r="AB690" s="405"/>
    </row>
    <row r="691" ht="14.25" customHeight="1">
      <c r="A691" s="402"/>
      <c r="B691" s="402"/>
      <c r="C691" s="402"/>
      <c r="D691" s="402"/>
      <c r="E691" s="402"/>
      <c r="F691" s="403"/>
      <c r="G691" s="402"/>
      <c r="H691" s="402"/>
      <c r="I691" s="402"/>
      <c r="J691" s="402"/>
      <c r="K691" s="402"/>
      <c r="L691" s="402"/>
      <c r="M691" s="402"/>
      <c r="N691" s="402"/>
      <c r="O691" s="402"/>
      <c r="P691" s="402"/>
      <c r="Q691" s="402"/>
      <c r="R691" s="402"/>
      <c r="S691" s="402"/>
      <c r="T691" s="402"/>
      <c r="U691" s="402"/>
      <c r="V691" s="402"/>
      <c r="W691" s="402"/>
      <c r="X691" s="402"/>
      <c r="Y691" s="402"/>
      <c r="Z691" s="402"/>
      <c r="AA691" s="405"/>
      <c r="AB691" s="405"/>
    </row>
    <row r="692" ht="14.25" customHeight="1">
      <c r="A692" s="402"/>
      <c r="B692" s="402"/>
      <c r="C692" s="402"/>
      <c r="D692" s="402"/>
      <c r="E692" s="402"/>
      <c r="F692" s="403"/>
      <c r="G692" s="402"/>
      <c r="H692" s="402"/>
      <c r="I692" s="402"/>
      <c r="J692" s="402"/>
      <c r="K692" s="402"/>
      <c r="L692" s="402"/>
      <c r="M692" s="402"/>
      <c r="N692" s="402"/>
      <c r="O692" s="402"/>
      <c r="P692" s="402"/>
      <c r="Q692" s="402"/>
      <c r="R692" s="402"/>
      <c r="S692" s="402"/>
      <c r="T692" s="402"/>
      <c r="U692" s="402"/>
      <c r="V692" s="402"/>
      <c r="W692" s="402"/>
      <c r="X692" s="402"/>
      <c r="Y692" s="402"/>
      <c r="Z692" s="402"/>
      <c r="AA692" s="405"/>
      <c r="AB692" s="405"/>
    </row>
    <row r="693" ht="14.25" customHeight="1">
      <c r="A693" s="402"/>
      <c r="B693" s="402"/>
      <c r="C693" s="402"/>
      <c r="D693" s="402"/>
      <c r="E693" s="402"/>
      <c r="F693" s="403"/>
      <c r="G693" s="402"/>
      <c r="H693" s="402"/>
      <c r="I693" s="402"/>
      <c r="J693" s="402"/>
      <c r="K693" s="402"/>
      <c r="L693" s="402"/>
      <c r="M693" s="402"/>
      <c r="N693" s="402"/>
      <c r="O693" s="402"/>
      <c r="P693" s="402"/>
      <c r="Q693" s="402"/>
      <c r="R693" s="402"/>
      <c r="S693" s="402"/>
      <c r="T693" s="402"/>
      <c r="U693" s="402"/>
      <c r="V693" s="402"/>
      <c r="W693" s="402"/>
      <c r="X693" s="402"/>
      <c r="Y693" s="402"/>
      <c r="Z693" s="402"/>
      <c r="AA693" s="405"/>
      <c r="AB693" s="405"/>
    </row>
    <row r="694" ht="14.25" customHeight="1">
      <c r="A694" s="402"/>
      <c r="B694" s="402"/>
      <c r="C694" s="402"/>
      <c r="D694" s="402"/>
      <c r="E694" s="402"/>
      <c r="F694" s="403"/>
      <c r="G694" s="402"/>
      <c r="H694" s="402"/>
      <c r="I694" s="402"/>
      <c r="J694" s="402"/>
      <c r="K694" s="402"/>
      <c r="L694" s="402"/>
      <c r="M694" s="402"/>
      <c r="N694" s="402"/>
      <c r="O694" s="402"/>
      <c r="P694" s="402"/>
      <c r="Q694" s="402"/>
      <c r="R694" s="402"/>
      <c r="S694" s="402"/>
      <c r="T694" s="402"/>
      <c r="U694" s="402"/>
      <c r="V694" s="402"/>
      <c r="W694" s="402"/>
      <c r="X694" s="402"/>
      <c r="Y694" s="402"/>
      <c r="Z694" s="402"/>
      <c r="AA694" s="405"/>
      <c r="AB694" s="405"/>
    </row>
    <row r="695" ht="14.25" customHeight="1">
      <c r="A695" s="402"/>
      <c r="B695" s="402"/>
      <c r="C695" s="402"/>
      <c r="D695" s="402"/>
      <c r="E695" s="402"/>
      <c r="F695" s="403"/>
      <c r="G695" s="402"/>
      <c r="H695" s="402"/>
      <c r="I695" s="402"/>
      <c r="J695" s="402"/>
      <c r="K695" s="402"/>
      <c r="L695" s="402"/>
      <c r="M695" s="402"/>
      <c r="N695" s="402"/>
      <c r="O695" s="402"/>
      <c r="P695" s="402"/>
      <c r="Q695" s="402"/>
      <c r="R695" s="402"/>
      <c r="S695" s="402"/>
      <c r="T695" s="402"/>
      <c r="U695" s="402"/>
      <c r="V695" s="402"/>
      <c r="W695" s="402"/>
      <c r="X695" s="402"/>
      <c r="Y695" s="402"/>
      <c r="Z695" s="402"/>
      <c r="AA695" s="405"/>
      <c r="AB695" s="405"/>
    </row>
    <row r="696" ht="14.25" customHeight="1">
      <c r="A696" s="402"/>
      <c r="B696" s="402"/>
      <c r="C696" s="402"/>
      <c r="D696" s="402"/>
      <c r="E696" s="402"/>
      <c r="F696" s="403"/>
      <c r="G696" s="402"/>
      <c r="H696" s="402"/>
      <c r="I696" s="402"/>
      <c r="J696" s="402"/>
      <c r="K696" s="402"/>
      <c r="L696" s="402"/>
      <c r="M696" s="402"/>
      <c r="N696" s="402"/>
      <c r="O696" s="402"/>
      <c r="P696" s="402"/>
      <c r="Q696" s="402"/>
      <c r="R696" s="402"/>
      <c r="S696" s="402"/>
      <c r="T696" s="402"/>
      <c r="U696" s="402"/>
      <c r="V696" s="402"/>
      <c r="W696" s="402"/>
      <c r="X696" s="402"/>
      <c r="Y696" s="402"/>
      <c r="Z696" s="402"/>
      <c r="AA696" s="405"/>
      <c r="AB696" s="405"/>
    </row>
    <row r="697" ht="14.25" customHeight="1">
      <c r="A697" s="402"/>
      <c r="B697" s="402"/>
      <c r="C697" s="402"/>
      <c r="D697" s="402"/>
      <c r="E697" s="402"/>
      <c r="F697" s="403"/>
      <c r="G697" s="402"/>
      <c r="H697" s="402"/>
      <c r="I697" s="402"/>
      <c r="J697" s="402"/>
      <c r="K697" s="402"/>
      <c r="L697" s="402"/>
      <c r="M697" s="402"/>
      <c r="N697" s="402"/>
      <c r="O697" s="402"/>
      <c r="P697" s="402"/>
      <c r="Q697" s="402"/>
      <c r="R697" s="402"/>
      <c r="S697" s="402"/>
      <c r="T697" s="402"/>
      <c r="U697" s="402"/>
      <c r="V697" s="402"/>
      <c r="W697" s="402"/>
      <c r="X697" s="402"/>
      <c r="Y697" s="402"/>
      <c r="Z697" s="402"/>
      <c r="AA697" s="405"/>
      <c r="AB697" s="405"/>
    </row>
    <row r="698" ht="14.25" customHeight="1">
      <c r="A698" s="402"/>
      <c r="B698" s="402"/>
      <c r="C698" s="402"/>
      <c r="D698" s="402"/>
      <c r="E698" s="402"/>
      <c r="F698" s="403"/>
      <c r="G698" s="402"/>
      <c r="H698" s="402"/>
      <c r="I698" s="402"/>
      <c r="J698" s="402"/>
      <c r="K698" s="402"/>
      <c r="L698" s="402"/>
      <c r="M698" s="402"/>
      <c r="N698" s="402"/>
      <c r="O698" s="402"/>
      <c r="P698" s="402"/>
      <c r="Q698" s="402"/>
      <c r="R698" s="402"/>
      <c r="S698" s="402"/>
      <c r="T698" s="402"/>
      <c r="U698" s="402"/>
      <c r="V698" s="402"/>
      <c r="W698" s="402"/>
      <c r="X698" s="402"/>
      <c r="Y698" s="402"/>
      <c r="Z698" s="402"/>
      <c r="AA698" s="405"/>
      <c r="AB698" s="405"/>
    </row>
    <row r="699" ht="14.25" customHeight="1">
      <c r="A699" s="402"/>
      <c r="B699" s="402"/>
      <c r="C699" s="402"/>
      <c r="D699" s="402"/>
      <c r="E699" s="402"/>
      <c r="F699" s="403"/>
      <c r="G699" s="402"/>
      <c r="H699" s="402"/>
      <c r="I699" s="402"/>
      <c r="J699" s="402"/>
      <c r="K699" s="402"/>
      <c r="L699" s="402"/>
      <c r="M699" s="402"/>
      <c r="N699" s="402"/>
      <c r="O699" s="402"/>
      <c r="P699" s="402"/>
      <c r="Q699" s="402"/>
      <c r="R699" s="402"/>
      <c r="S699" s="402"/>
      <c r="T699" s="402"/>
      <c r="U699" s="402"/>
      <c r="V699" s="402"/>
      <c r="W699" s="402"/>
      <c r="X699" s="402"/>
      <c r="Y699" s="402"/>
      <c r="Z699" s="402"/>
      <c r="AA699" s="405"/>
      <c r="AB699" s="405"/>
    </row>
    <row r="700" ht="14.25" customHeight="1">
      <c r="A700" s="402"/>
      <c r="B700" s="402"/>
      <c r="C700" s="402"/>
      <c r="D700" s="402"/>
      <c r="E700" s="402"/>
      <c r="F700" s="403"/>
      <c r="G700" s="402"/>
      <c r="H700" s="402"/>
      <c r="I700" s="402"/>
      <c r="J700" s="402"/>
      <c r="K700" s="402"/>
      <c r="L700" s="402"/>
      <c r="M700" s="402"/>
      <c r="N700" s="402"/>
      <c r="O700" s="402"/>
      <c r="P700" s="402"/>
      <c r="Q700" s="402"/>
      <c r="R700" s="402"/>
      <c r="S700" s="402"/>
      <c r="T700" s="402"/>
      <c r="U700" s="402"/>
      <c r="V700" s="402"/>
      <c r="W700" s="402"/>
      <c r="X700" s="402"/>
      <c r="Y700" s="402"/>
      <c r="Z700" s="402"/>
      <c r="AA700" s="405"/>
      <c r="AB700" s="405"/>
    </row>
    <row r="701" ht="14.25" customHeight="1">
      <c r="A701" s="402"/>
      <c r="B701" s="402"/>
      <c r="C701" s="402"/>
      <c r="D701" s="402"/>
      <c r="E701" s="402"/>
      <c r="F701" s="403"/>
      <c r="G701" s="402"/>
      <c r="H701" s="402"/>
      <c r="I701" s="402"/>
      <c r="J701" s="402"/>
      <c r="K701" s="402"/>
      <c r="L701" s="402"/>
      <c r="M701" s="402"/>
      <c r="N701" s="402"/>
      <c r="O701" s="402"/>
      <c r="P701" s="402"/>
      <c r="Q701" s="402"/>
      <c r="R701" s="402"/>
      <c r="S701" s="402"/>
      <c r="T701" s="402"/>
      <c r="U701" s="402"/>
      <c r="V701" s="402"/>
      <c r="W701" s="402"/>
      <c r="X701" s="402"/>
      <c r="Y701" s="402"/>
      <c r="Z701" s="402"/>
      <c r="AA701" s="405"/>
      <c r="AB701" s="405"/>
    </row>
    <row r="702" ht="14.25" customHeight="1">
      <c r="A702" s="402"/>
      <c r="B702" s="402"/>
      <c r="C702" s="402"/>
      <c r="D702" s="402"/>
      <c r="E702" s="402"/>
      <c r="F702" s="403"/>
      <c r="G702" s="402"/>
      <c r="H702" s="402"/>
      <c r="I702" s="402"/>
      <c r="J702" s="402"/>
      <c r="K702" s="402"/>
      <c r="L702" s="402"/>
      <c r="M702" s="402"/>
      <c r="N702" s="402"/>
      <c r="O702" s="402"/>
      <c r="P702" s="402"/>
      <c r="Q702" s="402"/>
      <c r="R702" s="402"/>
      <c r="S702" s="402"/>
      <c r="T702" s="402"/>
      <c r="U702" s="402"/>
      <c r="V702" s="402"/>
      <c r="W702" s="402"/>
      <c r="X702" s="402"/>
      <c r="Y702" s="402"/>
      <c r="Z702" s="402"/>
      <c r="AA702" s="405"/>
      <c r="AB702" s="405"/>
    </row>
    <row r="703" ht="14.25" customHeight="1">
      <c r="A703" s="402"/>
      <c r="B703" s="402"/>
      <c r="C703" s="402"/>
      <c r="D703" s="402"/>
      <c r="E703" s="402"/>
      <c r="F703" s="403"/>
      <c r="G703" s="402"/>
      <c r="H703" s="402"/>
      <c r="I703" s="402"/>
      <c r="J703" s="402"/>
      <c r="K703" s="402"/>
      <c r="L703" s="402"/>
      <c r="M703" s="402"/>
      <c r="N703" s="402"/>
      <c r="O703" s="402"/>
      <c r="P703" s="402"/>
      <c r="Q703" s="402"/>
      <c r="R703" s="402"/>
      <c r="S703" s="402"/>
      <c r="T703" s="402"/>
      <c r="U703" s="402"/>
      <c r="V703" s="402"/>
      <c r="W703" s="402"/>
      <c r="X703" s="402"/>
      <c r="Y703" s="402"/>
      <c r="Z703" s="402"/>
      <c r="AA703" s="405"/>
      <c r="AB703" s="405"/>
    </row>
    <row r="704" ht="14.25" customHeight="1">
      <c r="A704" s="402"/>
      <c r="B704" s="402"/>
      <c r="C704" s="402"/>
      <c r="D704" s="402"/>
      <c r="E704" s="402"/>
      <c r="F704" s="403"/>
      <c r="G704" s="402"/>
      <c r="H704" s="402"/>
      <c r="I704" s="402"/>
      <c r="J704" s="402"/>
      <c r="K704" s="402"/>
      <c r="L704" s="402"/>
      <c r="M704" s="402"/>
      <c r="N704" s="402"/>
      <c r="O704" s="402"/>
      <c r="P704" s="402"/>
      <c r="Q704" s="402"/>
      <c r="R704" s="402"/>
      <c r="S704" s="402"/>
      <c r="T704" s="402"/>
      <c r="U704" s="402"/>
      <c r="V704" s="402"/>
      <c r="W704" s="402"/>
      <c r="X704" s="402"/>
      <c r="Y704" s="402"/>
      <c r="Z704" s="402"/>
      <c r="AA704" s="405"/>
      <c r="AB704" s="405"/>
    </row>
    <row r="705" ht="14.25" customHeight="1">
      <c r="A705" s="402"/>
      <c r="B705" s="402"/>
      <c r="C705" s="402"/>
      <c r="D705" s="402"/>
      <c r="E705" s="402"/>
      <c r="F705" s="403"/>
      <c r="G705" s="402"/>
      <c r="H705" s="402"/>
      <c r="I705" s="402"/>
      <c r="J705" s="402"/>
      <c r="K705" s="402"/>
      <c r="L705" s="402"/>
      <c r="M705" s="402"/>
      <c r="N705" s="402"/>
      <c r="O705" s="402"/>
      <c r="P705" s="402"/>
      <c r="Q705" s="402"/>
      <c r="R705" s="402"/>
      <c r="S705" s="402"/>
      <c r="T705" s="402"/>
      <c r="U705" s="402"/>
      <c r="V705" s="402"/>
      <c r="W705" s="402"/>
      <c r="X705" s="402"/>
      <c r="Y705" s="402"/>
      <c r="Z705" s="402"/>
      <c r="AA705" s="405"/>
      <c r="AB705" s="405"/>
    </row>
    <row r="706" ht="14.25" customHeight="1">
      <c r="A706" s="402"/>
      <c r="B706" s="402"/>
      <c r="C706" s="402"/>
      <c r="D706" s="402"/>
      <c r="E706" s="402"/>
      <c r="F706" s="403"/>
      <c r="G706" s="402"/>
      <c r="H706" s="402"/>
      <c r="I706" s="402"/>
      <c r="J706" s="402"/>
      <c r="K706" s="402"/>
      <c r="L706" s="402"/>
      <c r="M706" s="402"/>
      <c r="N706" s="402"/>
      <c r="O706" s="402"/>
      <c r="P706" s="402"/>
      <c r="Q706" s="402"/>
      <c r="R706" s="402"/>
      <c r="S706" s="402"/>
      <c r="T706" s="402"/>
      <c r="U706" s="402"/>
      <c r="V706" s="402"/>
      <c r="W706" s="402"/>
      <c r="X706" s="402"/>
      <c r="Y706" s="402"/>
      <c r="Z706" s="402"/>
      <c r="AA706" s="405"/>
      <c r="AB706" s="405"/>
    </row>
    <row r="707" ht="14.25" customHeight="1">
      <c r="A707" s="402"/>
      <c r="B707" s="402"/>
      <c r="C707" s="402"/>
      <c r="D707" s="402"/>
      <c r="E707" s="402"/>
      <c r="F707" s="403"/>
      <c r="G707" s="402"/>
      <c r="H707" s="402"/>
      <c r="I707" s="402"/>
      <c r="J707" s="402"/>
      <c r="K707" s="402"/>
      <c r="L707" s="402"/>
      <c r="M707" s="402"/>
      <c r="N707" s="402"/>
      <c r="O707" s="402"/>
      <c r="P707" s="402"/>
      <c r="Q707" s="402"/>
      <c r="R707" s="402"/>
      <c r="S707" s="402"/>
      <c r="T707" s="402"/>
      <c r="U707" s="402"/>
      <c r="V707" s="402"/>
      <c r="W707" s="402"/>
      <c r="X707" s="402"/>
      <c r="Y707" s="402"/>
      <c r="Z707" s="402"/>
      <c r="AA707" s="405"/>
      <c r="AB707" s="405"/>
    </row>
    <row r="708" ht="14.25" customHeight="1">
      <c r="A708" s="402"/>
      <c r="B708" s="402"/>
      <c r="C708" s="402"/>
      <c r="D708" s="402"/>
      <c r="E708" s="402"/>
      <c r="F708" s="403"/>
      <c r="G708" s="402"/>
      <c r="H708" s="402"/>
      <c r="I708" s="402"/>
      <c r="J708" s="402"/>
      <c r="K708" s="402"/>
      <c r="L708" s="402"/>
      <c r="M708" s="402"/>
      <c r="N708" s="402"/>
      <c r="O708" s="402"/>
      <c r="P708" s="402"/>
      <c r="Q708" s="402"/>
      <c r="R708" s="402"/>
      <c r="S708" s="402"/>
      <c r="T708" s="402"/>
      <c r="U708" s="402"/>
      <c r="V708" s="402"/>
      <c r="W708" s="402"/>
      <c r="X708" s="402"/>
      <c r="Y708" s="402"/>
      <c r="Z708" s="402"/>
      <c r="AA708" s="405"/>
      <c r="AB708" s="405"/>
    </row>
    <row r="709" ht="14.25" customHeight="1">
      <c r="A709" s="402"/>
      <c r="B709" s="402"/>
      <c r="C709" s="402"/>
      <c r="D709" s="402"/>
      <c r="E709" s="402"/>
      <c r="F709" s="403"/>
      <c r="G709" s="402"/>
      <c r="H709" s="402"/>
      <c r="I709" s="402"/>
      <c r="J709" s="402"/>
      <c r="K709" s="402"/>
      <c r="L709" s="402"/>
      <c r="M709" s="402"/>
      <c r="N709" s="402"/>
      <c r="O709" s="402"/>
      <c r="P709" s="402"/>
      <c r="Q709" s="402"/>
      <c r="R709" s="402"/>
      <c r="S709" s="402"/>
      <c r="T709" s="402"/>
      <c r="U709" s="402"/>
      <c r="V709" s="402"/>
      <c r="W709" s="402"/>
      <c r="X709" s="402"/>
      <c r="Y709" s="402"/>
      <c r="Z709" s="402"/>
      <c r="AA709" s="405"/>
      <c r="AB709" s="405"/>
    </row>
    <row r="710" ht="14.25" customHeight="1">
      <c r="A710" s="402"/>
      <c r="B710" s="402"/>
      <c r="C710" s="402"/>
      <c r="D710" s="402"/>
      <c r="E710" s="402"/>
      <c r="F710" s="403"/>
      <c r="G710" s="402"/>
      <c r="H710" s="402"/>
      <c r="I710" s="402"/>
      <c r="J710" s="402"/>
      <c r="K710" s="402"/>
      <c r="L710" s="402"/>
      <c r="M710" s="402"/>
      <c r="N710" s="402"/>
      <c r="O710" s="402"/>
      <c r="P710" s="402"/>
      <c r="Q710" s="402"/>
      <c r="R710" s="402"/>
      <c r="S710" s="402"/>
      <c r="T710" s="402"/>
      <c r="U710" s="402"/>
      <c r="V710" s="402"/>
      <c r="W710" s="402"/>
      <c r="X710" s="402"/>
      <c r="Y710" s="402"/>
      <c r="Z710" s="402"/>
      <c r="AA710" s="405"/>
      <c r="AB710" s="405"/>
    </row>
    <row r="711" ht="14.25" customHeight="1">
      <c r="A711" s="402"/>
      <c r="B711" s="402"/>
      <c r="C711" s="402"/>
      <c r="D711" s="402"/>
      <c r="E711" s="402"/>
      <c r="F711" s="403"/>
      <c r="G711" s="402"/>
      <c r="H711" s="402"/>
      <c r="I711" s="402"/>
      <c r="J711" s="402"/>
      <c r="K711" s="402"/>
      <c r="L711" s="402"/>
      <c r="M711" s="402"/>
      <c r="N711" s="402"/>
      <c r="O711" s="402"/>
      <c r="P711" s="402"/>
      <c r="Q711" s="402"/>
      <c r="R711" s="402"/>
      <c r="S711" s="402"/>
      <c r="T711" s="402"/>
      <c r="U711" s="402"/>
      <c r="V711" s="402"/>
      <c r="W711" s="402"/>
      <c r="X711" s="402"/>
      <c r="Y711" s="402"/>
      <c r="Z711" s="402"/>
      <c r="AA711" s="405"/>
      <c r="AB711" s="405"/>
    </row>
    <row r="712" ht="14.25" customHeight="1">
      <c r="A712" s="402"/>
      <c r="B712" s="402"/>
      <c r="C712" s="402"/>
      <c r="D712" s="402"/>
      <c r="E712" s="402"/>
      <c r="F712" s="403"/>
      <c r="G712" s="402"/>
      <c r="H712" s="402"/>
      <c r="I712" s="402"/>
      <c r="J712" s="402"/>
      <c r="K712" s="402"/>
      <c r="L712" s="402"/>
      <c r="M712" s="402"/>
      <c r="N712" s="402"/>
      <c r="O712" s="402"/>
      <c r="P712" s="402"/>
      <c r="Q712" s="402"/>
      <c r="R712" s="402"/>
      <c r="S712" s="402"/>
      <c r="T712" s="402"/>
      <c r="U712" s="402"/>
      <c r="V712" s="402"/>
      <c r="W712" s="402"/>
      <c r="X712" s="402"/>
      <c r="Y712" s="402"/>
      <c r="Z712" s="402"/>
      <c r="AA712" s="405"/>
      <c r="AB712" s="405"/>
    </row>
    <row r="713" ht="14.25" customHeight="1">
      <c r="A713" s="402"/>
      <c r="B713" s="402"/>
      <c r="C713" s="402"/>
      <c r="D713" s="402"/>
      <c r="E713" s="402"/>
      <c r="F713" s="403"/>
      <c r="G713" s="402"/>
      <c r="H713" s="402"/>
      <c r="I713" s="402"/>
      <c r="J713" s="402"/>
      <c r="K713" s="402"/>
      <c r="L713" s="402"/>
      <c r="M713" s="402"/>
      <c r="N713" s="402"/>
      <c r="O713" s="402"/>
      <c r="P713" s="402"/>
      <c r="Q713" s="402"/>
      <c r="R713" s="402"/>
      <c r="S713" s="402"/>
      <c r="T713" s="402"/>
      <c r="U713" s="402"/>
      <c r="V713" s="402"/>
      <c r="W713" s="402"/>
      <c r="X713" s="402"/>
      <c r="Y713" s="402"/>
      <c r="Z713" s="402"/>
      <c r="AA713" s="405"/>
      <c r="AB713" s="405"/>
    </row>
    <row r="714" ht="14.25" customHeight="1">
      <c r="A714" s="402"/>
      <c r="B714" s="402"/>
      <c r="C714" s="402"/>
      <c r="D714" s="402"/>
      <c r="E714" s="402"/>
      <c r="F714" s="403"/>
      <c r="G714" s="402"/>
      <c r="H714" s="402"/>
      <c r="I714" s="402"/>
      <c r="J714" s="402"/>
      <c r="K714" s="402"/>
      <c r="L714" s="402"/>
      <c r="M714" s="402"/>
      <c r="N714" s="402"/>
      <c r="O714" s="402"/>
      <c r="P714" s="402"/>
      <c r="Q714" s="402"/>
      <c r="R714" s="402"/>
      <c r="S714" s="402"/>
      <c r="T714" s="402"/>
      <c r="U714" s="402"/>
      <c r="V714" s="402"/>
      <c r="W714" s="402"/>
      <c r="X714" s="402"/>
      <c r="Y714" s="402"/>
      <c r="Z714" s="402"/>
      <c r="AA714" s="405"/>
      <c r="AB714" s="405"/>
    </row>
    <row r="715" ht="14.25" customHeight="1">
      <c r="A715" s="402"/>
      <c r="B715" s="402"/>
      <c r="C715" s="402"/>
      <c r="D715" s="402"/>
      <c r="E715" s="402"/>
      <c r="F715" s="403"/>
      <c r="G715" s="402"/>
      <c r="H715" s="402"/>
      <c r="I715" s="402"/>
      <c r="J715" s="402"/>
      <c r="K715" s="402"/>
      <c r="L715" s="402"/>
      <c r="M715" s="402"/>
      <c r="N715" s="402"/>
      <c r="O715" s="402"/>
      <c r="P715" s="402"/>
      <c r="Q715" s="402"/>
      <c r="R715" s="402"/>
      <c r="S715" s="402"/>
      <c r="T715" s="402"/>
      <c r="U715" s="402"/>
      <c r="V715" s="402"/>
      <c r="W715" s="402"/>
      <c r="X715" s="402"/>
      <c r="Y715" s="402"/>
      <c r="Z715" s="402"/>
      <c r="AA715" s="405"/>
      <c r="AB715" s="405"/>
    </row>
    <row r="716" ht="14.25" customHeight="1">
      <c r="A716" s="402"/>
      <c r="B716" s="402"/>
      <c r="C716" s="402"/>
      <c r="D716" s="402"/>
      <c r="E716" s="402"/>
      <c r="F716" s="403"/>
      <c r="G716" s="402"/>
      <c r="H716" s="402"/>
      <c r="I716" s="402"/>
      <c r="J716" s="402"/>
      <c r="K716" s="402"/>
      <c r="L716" s="402"/>
      <c r="M716" s="402"/>
      <c r="N716" s="402"/>
      <c r="O716" s="402"/>
      <c r="P716" s="402"/>
      <c r="Q716" s="402"/>
      <c r="R716" s="402"/>
      <c r="S716" s="402"/>
      <c r="T716" s="402"/>
      <c r="U716" s="402"/>
      <c r="V716" s="402"/>
      <c r="W716" s="402"/>
      <c r="X716" s="402"/>
      <c r="Y716" s="402"/>
      <c r="Z716" s="402"/>
      <c r="AA716" s="405"/>
      <c r="AB716" s="405"/>
    </row>
    <row r="717" ht="14.25" customHeight="1">
      <c r="A717" s="402"/>
      <c r="B717" s="402"/>
      <c r="C717" s="402"/>
      <c r="D717" s="402"/>
      <c r="E717" s="402"/>
      <c r="F717" s="403"/>
      <c r="G717" s="402"/>
      <c r="H717" s="402"/>
      <c r="I717" s="402"/>
      <c r="J717" s="402"/>
      <c r="K717" s="402"/>
      <c r="L717" s="402"/>
      <c r="M717" s="402"/>
      <c r="N717" s="402"/>
      <c r="O717" s="402"/>
      <c r="P717" s="402"/>
      <c r="Q717" s="402"/>
      <c r="R717" s="402"/>
      <c r="S717" s="402"/>
      <c r="T717" s="402"/>
      <c r="U717" s="402"/>
      <c r="V717" s="402"/>
      <c r="W717" s="402"/>
      <c r="X717" s="402"/>
      <c r="Y717" s="402"/>
      <c r="Z717" s="402"/>
      <c r="AA717" s="405"/>
      <c r="AB717" s="405"/>
    </row>
    <row r="718" ht="14.25" customHeight="1">
      <c r="A718" s="402"/>
      <c r="B718" s="402"/>
      <c r="C718" s="402"/>
      <c r="D718" s="402"/>
      <c r="E718" s="402"/>
      <c r="F718" s="403"/>
      <c r="G718" s="402"/>
      <c r="H718" s="402"/>
      <c r="I718" s="402"/>
      <c r="J718" s="402"/>
      <c r="K718" s="402"/>
      <c r="L718" s="402"/>
      <c r="M718" s="402"/>
      <c r="N718" s="402"/>
      <c r="O718" s="402"/>
      <c r="P718" s="402"/>
      <c r="Q718" s="402"/>
      <c r="R718" s="402"/>
      <c r="S718" s="402"/>
      <c r="T718" s="402"/>
      <c r="U718" s="402"/>
      <c r="V718" s="402"/>
      <c r="W718" s="402"/>
      <c r="X718" s="402"/>
      <c r="Y718" s="402"/>
      <c r="Z718" s="402"/>
      <c r="AA718" s="405"/>
      <c r="AB718" s="405"/>
    </row>
    <row r="719" ht="14.25" customHeight="1">
      <c r="A719" s="402"/>
      <c r="B719" s="402"/>
      <c r="C719" s="402"/>
      <c r="D719" s="402"/>
      <c r="E719" s="402"/>
      <c r="F719" s="403"/>
      <c r="G719" s="402"/>
      <c r="H719" s="402"/>
      <c r="I719" s="402"/>
      <c r="J719" s="402"/>
      <c r="K719" s="402"/>
      <c r="L719" s="402"/>
      <c r="M719" s="402"/>
      <c r="N719" s="402"/>
      <c r="O719" s="402"/>
      <c r="P719" s="402"/>
      <c r="Q719" s="402"/>
      <c r="R719" s="402"/>
      <c r="S719" s="402"/>
      <c r="T719" s="402"/>
      <c r="U719" s="402"/>
      <c r="V719" s="402"/>
      <c r="W719" s="402"/>
      <c r="X719" s="402"/>
      <c r="Y719" s="402"/>
      <c r="Z719" s="402"/>
      <c r="AA719" s="405"/>
      <c r="AB719" s="405"/>
    </row>
    <row r="720" ht="14.25" customHeight="1">
      <c r="A720" s="402"/>
      <c r="B720" s="402"/>
      <c r="C720" s="402"/>
      <c r="D720" s="402"/>
      <c r="E720" s="402"/>
      <c r="F720" s="403"/>
      <c r="G720" s="402"/>
      <c r="H720" s="402"/>
      <c r="I720" s="402"/>
      <c r="J720" s="402"/>
      <c r="K720" s="402"/>
      <c r="L720" s="402"/>
      <c r="M720" s="402"/>
      <c r="N720" s="402"/>
      <c r="O720" s="402"/>
      <c r="P720" s="402"/>
      <c r="Q720" s="402"/>
      <c r="R720" s="402"/>
      <c r="S720" s="402"/>
      <c r="T720" s="402"/>
      <c r="U720" s="402"/>
      <c r="V720" s="402"/>
      <c r="W720" s="402"/>
      <c r="X720" s="402"/>
      <c r="Y720" s="402"/>
      <c r="Z720" s="402"/>
      <c r="AA720" s="405"/>
      <c r="AB720" s="405"/>
    </row>
    <row r="721" ht="14.25" customHeight="1">
      <c r="A721" s="402"/>
      <c r="B721" s="402"/>
      <c r="C721" s="402"/>
      <c r="D721" s="402"/>
      <c r="E721" s="402"/>
      <c r="F721" s="403"/>
      <c r="G721" s="402"/>
      <c r="H721" s="402"/>
      <c r="I721" s="402"/>
      <c r="J721" s="402"/>
      <c r="K721" s="402"/>
      <c r="L721" s="402"/>
      <c r="M721" s="402"/>
      <c r="N721" s="402"/>
      <c r="O721" s="402"/>
      <c r="P721" s="402"/>
      <c r="Q721" s="402"/>
      <c r="R721" s="402"/>
      <c r="S721" s="402"/>
      <c r="T721" s="402"/>
      <c r="U721" s="402"/>
      <c r="V721" s="402"/>
      <c r="W721" s="402"/>
      <c r="X721" s="402"/>
      <c r="Y721" s="402"/>
      <c r="Z721" s="402"/>
      <c r="AA721" s="405"/>
      <c r="AB721" s="405"/>
    </row>
    <row r="722" ht="14.25" customHeight="1">
      <c r="A722" s="402"/>
      <c r="B722" s="402"/>
      <c r="C722" s="402"/>
      <c r="D722" s="402"/>
      <c r="E722" s="402"/>
      <c r="F722" s="403"/>
      <c r="G722" s="402"/>
      <c r="H722" s="402"/>
      <c r="I722" s="402"/>
      <c r="J722" s="402"/>
      <c r="K722" s="402"/>
      <c r="L722" s="402"/>
      <c r="M722" s="402"/>
      <c r="N722" s="402"/>
      <c r="O722" s="402"/>
      <c r="P722" s="402"/>
      <c r="Q722" s="402"/>
      <c r="R722" s="402"/>
      <c r="S722" s="402"/>
      <c r="T722" s="402"/>
      <c r="U722" s="402"/>
      <c r="V722" s="402"/>
      <c r="W722" s="402"/>
      <c r="X722" s="402"/>
      <c r="Y722" s="402"/>
      <c r="Z722" s="402"/>
      <c r="AA722" s="405"/>
      <c r="AB722" s="405"/>
    </row>
    <row r="723" ht="14.25" customHeight="1">
      <c r="A723" s="402"/>
      <c r="B723" s="402"/>
      <c r="C723" s="402"/>
      <c r="D723" s="402"/>
      <c r="E723" s="402"/>
      <c r="F723" s="403"/>
      <c r="G723" s="402"/>
      <c r="H723" s="402"/>
      <c r="I723" s="402"/>
      <c r="J723" s="402"/>
      <c r="K723" s="402"/>
      <c r="L723" s="402"/>
      <c r="M723" s="402"/>
      <c r="N723" s="402"/>
      <c r="O723" s="402"/>
      <c r="P723" s="402"/>
      <c r="Q723" s="402"/>
      <c r="R723" s="402"/>
      <c r="S723" s="402"/>
      <c r="T723" s="402"/>
      <c r="U723" s="402"/>
      <c r="V723" s="402"/>
      <c r="W723" s="402"/>
      <c r="X723" s="402"/>
      <c r="Y723" s="402"/>
      <c r="Z723" s="402"/>
      <c r="AA723" s="405"/>
      <c r="AB723" s="405"/>
    </row>
    <row r="724" ht="14.25" customHeight="1">
      <c r="A724" s="402"/>
      <c r="B724" s="402"/>
      <c r="C724" s="402"/>
      <c r="D724" s="402"/>
      <c r="E724" s="402"/>
      <c r="F724" s="403"/>
      <c r="G724" s="402"/>
      <c r="H724" s="402"/>
      <c r="I724" s="402"/>
      <c r="J724" s="402"/>
      <c r="K724" s="402"/>
      <c r="L724" s="402"/>
      <c r="M724" s="402"/>
      <c r="N724" s="402"/>
      <c r="O724" s="402"/>
      <c r="P724" s="402"/>
      <c r="Q724" s="402"/>
      <c r="R724" s="402"/>
      <c r="S724" s="402"/>
      <c r="T724" s="402"/>
      <c r="U724" s="402"/>
      <c r="V724" s="402"/>
      <c r="W724" s="402"/>
      <c r="X724" s="402"/>
      <c r="Y724" s="402"/>
      <c r="Z724" s="402"/>
      <c r="AA724" s="405"/>
      <c r="AB724" s="405"/>
    </row>
    <row r="725" ht="14.25" customHeight="1">
      <c r="A725" s="402"/>
      <c r="B725" s="402"/>
      <c r="C725" s="402"/>
      <c r="D725" s="402"/>
      <c r="E725" s="402"/>
      <c r="F725" s="403"/>
      <c r="G725" s="402"/>
      <c r="H725" s="402"/>
      <c r="I725" s="402"/>
      <c r="J725" s="402"/>
      <c r="K725" s="402"/>
      <c r="L725" s="402"/>
      <c r="M725" s="402"/>
      <c r="N725" s="402"/>
      <c r="O725" s="402"/>
      <c r="P725" s="402"/>
      <c r="Q725" s="402"/>
      <c r="R725" s="402"/>
      <c r="S725" s="402"/>
      <c r="T725" s="402"/>
      <c r="U725" s="402"/>
      <c r="V725" s="402"/>
      <c r="W725" s="402"/>
      <c r="X725" s="402"/>
      <c r="Y725" s="402"/>
      <c r="Z725" s="402"/>
      <c r="AA725" s="405"/>
      <c r="AB725" s="405"/>
    </row>
    <row r="726" ht="14.25" customHeight="1">
      <c r="A726" s="402"/>
      <c r="B726" s="402"/>
      <c r="C726" s="402"/>
      <c r="D726" s="402"/>
      <c r="E726" s="402"/>
      <c r="F726" s="403"/>
      <c r="G726" s="402"/>
      <c r="H726" s="402"/>
      <c r="I726" s="402"/>
      <c r="J726" s="402"/>
      <c r="K726" s="402"/>
      <c r="L726" s="402"/>
      <c r="M726" s="402"/>
      <c r="N726" s="402"/>
      <c r="O726" s="402"/>
      <c r="P726" s="402"/>
      <c r="Q726" s="402"/>
      <c r="R726" s="402"/>
      <c r="S726" s="402"/>
      <c r="T726" s="402"/>
      <c r="U726" s="402"/>
      <c r="V726" s="402"/>
      <c r="W726" s="402"/>
      <c r="X726" s="402"/>
      <c r="Y726" s="402"/>
      <c r="Z726" s="402"/>
      <c r="AA726" s="405"/>
      <c r="AB726" s="405"/>
    </row>
    <row r="727" ht="14.25" customHeight="1">
      <c r="A727" s="402"/>
      <c r="B727" s="402"/>
      <c r="C727" s="402"/>
      <c r="D727" s="402"/>
      <c r="E727" s="402"/>
      <c r="F727" s="403"/>
      <c r="G727" s="402"/>
      <c r="H727" s="402"/>
      <c r="I727" s="402"/>
      <c r="J727" s="402"/>
      <c r="K727" s="402"/>
      <c r="L727" s="402"/>
      <c r="M727" s="402"/>
      <c r="N727" s="402"/>
      <c r="O727" s="402"/>
      <c r="P727" s="402"/>
      <c r="Q727" s="402"/>
      <c r="R727" s="402"/>
      <c r="S727" s="402"/>
      <c r="T727" s="402"/>
      <c r="U727" s="402"/>
      <c r="V727" s="402"/>
      <c r="W727" s="402"/>
      <c r="X727" s="402"/>
      <c r="Y727" s="402"/>
      <c r="Z727" s="402"/>
      <c r="AA727" s="405"/>
      <c r="AB727" s="405"/>
    </row>
    <row r="728" ht="14.25" customHeight="1">
      <c r="A728" s="402"/>
      <c r="B728" s="402"/>
      <c r="C728" s="402"/>
      <c r="D728" s="402"/>
      <c r="E728" s="402"/>
      <c r="F728" s="403"/>
      <c r="G728" s="402"/>
      <c r="H728" s="402"/>
      <c r="I728" s="402"/>
      <c r="J728" s="402"/>
      <c r="K728" s="402"/>
      <c r="L728" s="402"/>
      <c r="M728" s="402"/>
      <c r="N728" s="402"/>
      <c r="O728" s="402"/>
      <c r="P728" s="402"/>
      <c r="Q728" s="402"/>
      <c r="R728" s="402"/>
      <c r="S728" s="402"/>
      <c r="T728" s="402"/>
      <c r="U728" s="402"/>
      <c r="V728" s="402"/>
      <c r="W728" s="402"/>
      <c r="X728" s="402"/>
      <c r="Y728" s="402"/>
      <c r="Z728" s="402"/>
      <c r="AA728" s="405"/>
      <c r="AB728" s="405"/>
    </row>
    <row r="729" ht="14.25" customHeight="1">
      <c r="A729" s="402"/>
      <c r="B729" s="402"/>
      <c r="C729" s="402"/>
      <c r="D729" s="402"/>
      <c r="E729" s="402"/>
      <c r="F729" s="403"/>
      <c r="G729" s="402"/>
      <c r="H729" s="402"/>
      <c r="I729" s="402"/>
      <c r="J729" s="402"/>
      <c r="K729" s="402"/>
      <c r="L729" s="402"/>
      <c r="M729" s="402"/>
      <c r="N729" s="402"/>
      <c r="O729" s="402"/>
      <c r="P729" s="402"/>
      <c r="Q729" s="402"/>
      <c r="R729" s="402"/>
      <c r="S729" s="402"/>
      <c r="T729" s="402"/>
      <c r="U729" s="402"/>
      <c r="V729" s="402"/>
      <c r="W729" s="402"/>
      <c r="X729" s="402"/>
      <c r="Y729" s="402"/>
      <c r="Z729" s="402"/>
      <c r="AA729" s="405"/>
      <c r="AB729" s="405"/>
    </row>
    <row r="730" ht="14.25" customHeight="1">
      <c r="A730" s="402"/>
      <c r="B730" s="402"/>
      <c r="C730" s="402"/>
      <c r="D730" s="402"/>
      <c r="E730" s="402"/>
      <c r="F730" s="403"/>
      <c r="G730" s="402"/>
      <c r="H730" s="402"/>
      <c r="I730" s="402"/>
      <c r="J730" s="402"/>
      <c r="K730" s="402"/>
      <c r="L730" s="402"/>
      <c r="M730" s="402"/>
      <c r="N730" s="402"/>
      <c r="O730" s="402"/>
      <c r="P730" s="402"/>
      <c r="Q730" s="402"/>
      <c r="R730" s="402"/>
      <c r="S730" s="402"/>
      <c r="T730" s="402"/>
      <c r="U730" s="402"/>
      <c r="V730" s="402"/>
      <c r="W730" s="402"/>
      <c r="X730" s="402"/>
      <c r="Y730" s="402"/>
      <c r="Z730" s="402"/>
      <c r="AA730" s="405"/>
      <c r="AB730" s="405"/>
    </row>
    <row r="731" ht="14.25" customHeight="1">
      <c r="A731" s="402"/>
      <c r="B731" s="402"/>
      <c r="C731" s="402"/>
      <c r="D731" s="402"/>
      <c r="E731" s="402"/>
      <c r="F731" s="403"/>
      <c r="G731" s="402"/>
      <c r="H731" s="402"/>
      <c r="I731" s="402"/>
      <c r="J731" s="402"/>
      <c r="K731" s="402"/>
      <c r="L731" s="402"/>
      <c r="M731" s="402"/>
      <c r="N731" s="402"/>
      <c r="O731" s="402"/>
      <c r="P731" s="402"/>
      <c r="Q731" s="402"/>
      <c r="R731" s="402"/>
      <c r="S731" s="402"/>
      <c r="T731" s="402"/>
      <c r="U731" s="402"/>
      <c r="V731" s="402"/>
      <c r="W731" s="402"/>
      <c r="X731" s="402"/>
      <c r="Y731" s="402"/>
      <c r="Z731" s="402"/>
      <c r="AA731" s="405"/>
      <c r="AB731" s="405"/>
    </row>
    <row r="732" ht="14.25" customHeight="1">
      <c r="A732" s="402"/>
      <c r="B732" s="402"/>
      <c r="C732" s="402"/>
      <c r="D732" s="402"/>
      <c r="E732" s="402"/>
      <c r="F732" s="403"/>
      <c r="G732" s="402"/>
      <c r="H732" s="402"/>
      <c r="I732" s="402"/>
      <c r="J732" s="402"/>
      <c r="K732" s="402"/>
      <c r="L732" s="402"/>
      <c r="M732" s="402"/>
      <c r="N732" s="402"/>
      <c r="O732" s="402"/>
      <c r="P732" s="402"/>
      <c r="Q732" s="402"/>
      <c r="R732" s="402"/>
      <c r="S732" s="402"/>
      <c r="T732" s="402"/>
      <c r="U732" s="402"/>
      <c r="V732" s="402"/>
      <c r="W732" s="402"/>
      <c r="X732" s="402"/>
      <c r="Y732" s="402"/>
      <c r="Z732" s="402"/>
      <c r="AA732" s="405"/>
      <c r="AB732" s="405"/>
    </row>
    <row r="733" ht="14.25" customHeight="1">
      <c r="A733" s="402"/>
      <c r="B733" s="402"/>
      <c r="C733" s="402"/>
      <c r="D733" s="402"/>
      <c r="E733" s="402"/>
      <c r="F733" s="403"/>
      <c r="G733" s="402"/>
      <c r="H733" s="402"/>
      <c r="I733" s="402"/>
      <c r="J733" s="402"/>
      <c r="K733" s="402"/>
      <c r="L733" s="402"/>
      <c r="M733" s="402"/>
      <c r="N733" s="402"/>
      <c r="O733" s="402"/>
      <c r="P733" s="402"/>
      <c r="Q733" s="402"/>
      <c r="R733" s="402"/>
      <c r="S733" s="402"/>
      <c r="T733" s="402"/>
      <c r="U733" s="402"/>
      <c r="V733" s="402"/>
      <c r="W733" s="402"/>
      <c r="X733" s="402"/>
      <c r="Y733" s="402"/>
      <c r="Z733" s="402"/>
      <c r="AA733" s="405"/>
      <c r="AB733" s="405"/>
    </row>
    <row r="734" ht="14.25" customHeight="1">
      <c r="A734" s="402"/>
      <c r="B734" s="402"/>
      <c r="C734" s="402"/>
      <c r="D734" s="402"/>
      <c r="E734" s="402"/>
      <c r="F734" s="403"/>
      <c r="G734" s="402"/>
      <c r="H734" s="402"/>
      <c r="I734" s="402"/>
      <c r="J734" s="402"/>
      <c r="K734" s="402"/>
      <c r="L734" s="402"/>
      <c r="M734" s="402"/>
      <c r="N734" s="402"/>
      <c r="O734" s="402"/>
      <c r="P734" s="402"/>
      <c r="Q734" s="402"/>
      <c r="R734" s="402"/>
      <c r="S734" s="402"/>
      <c r="T734" s="402"/>
      <c r="U734" s="402"/>
      <c r="V734" s="402"/>
      <c r="W734" s="402"/>
      <c r="X734" s="402"/>
      <c r="Y734" s="402"/>
      <c r="Z734" s="402"/>
      <c r="AA734" s="405"/>
      <c r="AB734" s="405"/>
    </row>
    <row r="735" ht="14.25" customHeight="1">
      <c r="A735" s="402"/>
      <c r="B735" s="402"/>
      <c r="C735" s="402"/>
      <c r="D735" s="402"/>
      <c r="E735" s="402"/>
      <c r="F735" s="403"/>
      <c r="G735" s="402"/>
      <c r="H735" s="402"/>
      <c r="I735" s="402"/>
      <c r="J735" s="402"/>
      <c r="K735" s="402"/>
      <c r="L735" s="402"/>
      <c r="M735" s="402"/>
      <c r="N735" s="402"/>
      <c r="O735" s="402"/>
      <c r="P735" s="402"/>
      <c r="Q735" s="402"/>
      <c r="R735" s="402"/>
      <c r="S735" s="402"/>
      <c r="T735" s="402"/>
      <c r="U735" s="402"/>
      <c r="V735" s="402"/>
      <c r="W735" s="402"/>
      <c r="X735" s="402"/>
      <c r="Y735" s="402"/>
      <c r="Z735" s="402"/>
      <c r="AA735" s="405"/>
      <c r="AB735" s="405"/>
    </row>
    <row r="736" ht="14.25" customHeight="1">
      <c r="A736" s="402"/>
      <c r="B736" s="402"/>
      <c r="C736" s="402"/>
      <c r="D736" s="402"/>
      <c r="E736" s="402"/>
      <c r="F736" s="403"/>
      <c r="G736" s="402"/>
      <c r="H736" s="402"/>
      <c r="I736" s="402"/>
      <c r="J736" s="402"/>
      <c r="K736" s="402"/>
      <c r="L736" s="402"/>
      <c r="M736" s="402"/>
      <c r="N736" s="402"/>
      <c r="O736" s="402"/>
      <c r="P736" s="402"/>
      <c r="Q736" s="402"/>
      <c r="R736" s="402"/>
      <c r="S736" s="402"/>
      <c r="T736" s="402"/>
      <c r="U736" s="402"/>
      <c r="V736" s="402"/>
      <c r="W736" s="402"/>
      <c r="X736" s="402"/>
      <c r="Y736" s="402"/>
      <c r="Z736" s="402"/>
      <c r="AA736" s="405"/>
      <c r="AB736" s="405"/>
    </row>
    <row r="737" ht="14.25" customHeight="1">
      <c r="A737" s="402"/>
      <c r="B737" s="402"/>
      <c r="C737" s="402"/>
      <c r="D737" s="402"/>
      <c r="E737" s="402"/>
      <c r="F737" s="403"/>
      <c r="G737" s="402"/>
      <c r="H737" s="402"/>
      <c r="I737" s="402"/>
      <c r="J737" s="402"/>
      <c r="K737" s="402"/>
      <c r="L737" s="402"/>
      <c r="M737" s="402"/>
      <c r="N737" s="402"/>
      <c r="O737" s="402"/>
      <c r="P737" s="402"/>
      <c r="Q737" s="402"/>
      <c r="R737" s="402"/>
      <c r="S737" s="402"/>
      <c r="T737" s="402"/>
      <c r="U737" s="402"/>
      <c r="V737" s="402"/>
      <c r="W737" s="402"/>
      <c r="X737" s="402"/>
      <c r="Y737" s="402"/>
      <c r="Z737" s="402"/>
      <c r="AA737" s="405"/>
      <c r="AB737" s="405"/>
    </row>
    <row r="738" ht="14.25" customHeight="1">
      <c r="A738" s="402"/>
      <c r="B738" s="402"/>
      <c r="C738" s="402"/>
      <c r="D738" s="402"/>
      <c r="E738" s="402"/>
      <c r="F738" s="403"/>
      <c r="G738" s="402"/>
      <c r="H738" s="402"/>
      <c r="I738" s="402"/>
      <c r="J738" s="402"/>
      <c r="K738" s="402"/>
      <c r="L738" s="402"/>
      <c r="M738" s="402"/>
      <c r="N738" s="402"/>
      <c r="O738" s="402"/>
      <c r="P738" s="402"/>
      <c r="Q738" s="402"/>
      <c r="R738" s="402"/>
      <c r="S738" s="402"/>
      <c r="T738" s="402"/>
      <c r="U738" s="402"/>
      <c r="V738" s="402"/>
      <c r="W738" s="402"/>
      <c r="X738" s="402"/>
      <c r="Y738" s="402"/>
      <c r="Z738" s="402"/>
      <c r="AA738" s="405"/>
      <c r="AB738" s="405"/>
    </row>
    <row r="739" ht="14.25" customHeight="1">
      <c r="A739" s="402"/>
      <c r="B739" s="402"/>
      <c r="C739" s="402"/>
      <c r="D739" s="402"/>
      <c r="E739" s="402"/>
      <c r="F739" s="403"/>
      <c r="G739" s="402"/>
      <c r="H739" s="402"/>
      <c r="I739" s="402"/>
      <c r="J739" s="402"/>
      <c r="K739" s="402"/>
      <c r="L739" s="402"/>
      <c r="M739" s="402"/>
      <c r="N739" s="402"/>
      <c r="O739" s="402"/>
      <c r="P739" s="402"/>
      <c r="Q739" s="402"/>
      <c r="R739" s="402"/>
      <c r="S739" s="402"/>
      <c r="T739" s="402"/>
      <c r="U739" s="402"/>
      <c r="V739" s="402"/>
      <c r="W739" s="402"/>
      <c r="X739" s="402"/>
      <c r="Y739" s="402"/>
      <c r="Z739" s="402"/>
      <c r="AA739" s="405"/>
      <c r="AB739" s="405"/>
    </row>
    <row r="740" ht="14.25" customHeight="1">
      <c r="A740" s="402"/>
      <c r="B740" s="402"/>
      <c r="C740" s="402"/>
      <c r="D740" s="402"/>
      <c r="E740" s="402"/>
      <c r="F740" s="403"/>
      <c r="G740" s="402"/>
      <c r="H740" s="402"/>
      <c r="I740" s="402"/>
      <c r="J740" s="402"/>
      <c r="K740" s="402"/>
      <c r="L740" s="402"/>
      <c r="M740" s="402"/>
      <c r="N740" s="402"/>
      <c r="O740" s="402"/>
      <c r="P740" s="402"/>
      <c r="Q740" s="402"/>
      <c r="R740" s="402"/>
      <c r="S740" s="402"/>
      <c r="T740" s="402"/>
      <c r="U740" s="402"/>
      <c r="V740" s="402"/>
      <c r="W740" s="402"/>
      <c r="X740" s="402"/>
      <c r="Y740" s="402"/>
      <c r="Z740" s="402"/>
      <c r="AA740" s="405"/>
      <c r="AB740" s="405"/>
    </row>
    <row r="741" ht="14.25" customHeight="1">
      <c r="A741" s="402"/>
      <c r="B741" s="402"/>
      <c r="C741" s="402"/>
      <c r="D741" s="402"/>
      <c r="E741" s="402"/>
      <c r="F741" s="403"/>
      <c r="G741" s="402"/>
      <c r="H741" s="402"/>
      <c r="I741" s="402"/>
      <c r="J741" s="402"/>
      <c r="K741" s="402"/>
      <c r="L741" s="402"/>
      <c r="M741" s="402"/>
      <c r="N741" s="402"/>
      <c r="O741" s="402"/>
      <c r="P741" s="402"/>
      <c r="Q741" s="402"/>
      <c r="R741" s="402"/>
      <c r="S741" s="402"/>
      <c r="T741" s="402"/>
      <c r="U741" s="402"/>
      <c r="V741" s="402"/>
      <c r="W741" s="402"/>
      <c r="X741" s="402"/>
      <c r="Y741" s="402"/>
      <c r="Z741" s="402"/>
      <c r="AA741" s="405"/>
      <c r="AB741" s="405"/>
    </row>
    <row r="742" ht="14.25" customHeight="1">
      <c r="A742" s="402"/>
      <c r="B742" s="402"/>
      <c r="C742" s="402"/>
      <c r="D742" s="402"/>
      <c r="E742" s="402"/>
      <c r="F742" s="403"/>
      <c r="G742" s="402"/>
      <c r="H742" s="402"/>
      <c r="I742" s="402"/>
      <c r="J742" s="402"/>
      <c r="K742" s="402"/>
      <c r="L742" s="402"/>
      <c r="M742" s="402"/>
      <c r="N742" s="402"/>
      <c r="O742" s="402"/>
      <c r="P742" s="402"/>
      <c r="Q742" s="402"/>
      <c r="R742" s="402"/>
      <c r="S742" s="402"/>
      <c r="T742" s="402"/>
      <c r="U742" s="402"/>
      <c r="V742" s="402"/>
      <c r="W742" s="402"/>
      <c r="X742" s="402"/>
      <c r="Y742" s="402"/>
      <c r="Z742" s="402"/>
      <c r="AA742" s="405"/>
      <c r="AB742" s="405"/>
    </row>
    <row r="743" ht="14.25" customHeight="1">
      <c r="A743" s="402"/>
      <c r="B743" s="402"/>
      <c r="C743" s="402"/>
      <c r="D743" s="402"/>
      <c r="E743" s="402"/>
      <c r="F743" s="403"/>
      <c r="G743" s="402"/>
      <c r="H743" s="402"/>
      <c r="I743" s="402"/>
      <c r="J743" s="402"/>
      <c r="K743" s="402"/>
      <c r="L743" s="402"/>
      <c r="M743" s="402"/>
      <c r="N743" s="402"/>
      <c r="O743" s="402"/>
      <c r="P743" s="402"/>
      <c r="Q743" s="402"/>
      <c r="R743" s="402"/>
      <c r="S743" s="402"/>
      <c r="T743" s="402"/>
      <c r="U743" s="402"/>
      <c r="V743" s="402"/>
      <c r="W743" s="402"/>
      <c r="X743" s="402"/>
      <c r="Y743" s="402"/>
      <c r="Z743" s="402"/>
      <c r="AA743" s="405"/>
      <c r="AB743" s="405"/>
    </row>
    <row r="744" ht="14.25" customHeight="1">
      <c r="A744" s="402"/>
      <c r="B744" s="402"/>
      <c r="C744" s="402"/>
      <c r="D744" s="402"/>
      <c r="E744" s="402"/>
      <c r="F744" s="403"/>
      <c r="G744" s="402"/>
      <c r="H744" s="402"/>
      <c r="I744" s="402"/>
      <c r="J744" s="402"/>
      <c r="K744" s="402"/>
      <c r="L744" s="402"/>
      <c r="M744" s="402"/>
      <c r="N744" s="402"/>
      <c r="O744" s="402"/>
      <c r="P744" s="402"/>
      <c r="Q744" s="402"/>
      <c r="R744" s="402"/>
      <c r="S744" s="402"/>
      <c r="T744" s="402"/>
      <c r="U744" s="402"/>
      <c r="V744" s="402"/>
      <c r="W744" s="402"/>
      <c r="X744" s="402"/>
      <c r="Y744" s="402"/>
      <c r="Z744" s="402"/>
      <c r="AA744" s="405"/>
      <c r="AB744" s="405"/>
    </row>
    <row r="745" ht="14.25" customHeight="1">
      <c r="A745" s="402"/>
      <c r="B745" s="402"/>
      <c r="C745" s="402"/>
      <c r="D745" s="402"/>
      <c r="E745" s="402"/>
      <c r="F745" s="403"/>
      <c r="G745" s="402"/>
      <c r="H745" s="402"/>
      <c r="I745" s="402"/>
      <c r="J745" s="402"/>
      <c r="K745" s="402"/>
      <c r="L745" s="402"/>
      <c r="M745" s="402"/>
      <c r="N745" s="402"/>
      <c r="O745" s="402"/>
      <c r="P745" s="402"/>
      <c r="Q745" s="402"/>
      <c r="R745" s="402"/>
      <c r="S745" s="402"/>
      <c r="T745" s="402"/>
      <c r="U745" s="402"/>
      <c r="V745" s="402"/>
      <c r="W745" s="402"/>
      <c r="X745" s="402"/>
      <c r="Y745" s="402"/>
      <c r="Z745" s="402"/>
      <c r="AA745" s="405"/>
      <c r="AB745" s="405"/>
    </row>
    <row r="746" ht="14.25" customHeight="1">
      <c r="A746" s="402"/>
      <c r="B746" s="402"/>
      <c r="C746" s="402"/>
      <c r="D746" s="402"/>
      <c r="E746" s="402"/>
      <c r="F746" s="403"/>
      <c r="G746" s="402"/>
      <c r="H746" s="402"/>
      <c r="I746" s="402"/>
      <c r="J746" s="402"/>
      <c r="K746" s="402"/>
      <c r="L746" s="402"/>
      <c r="M746" s="402"/>
      <c r="N746" s="402"/>
      <c r="O746" s="402"/>
      <c r="P746" s="402"/>
      <c r="Q746" s="402"/>
      <c r="R746" s="402"/>
      <c r="S746" s="402"/>
      <c r="T746" s="402"/>
      <c r="U746" s="402"/>
      <c r="V746" s="402"/>
      <c r="W746" s="402"/>
      <c r="X746" s="402"/>
      <c r="Y746" s="402"/>
      <c r="Z746" s="402"/>
      <c r="AA746" s="405"/>
      <c r="AB746" s="405"/>
    </row>
    <row r="747" ht="14.25" customHeight="1">
      <c r="A747" s="402"/>
      <c r="B747" s="402"/>
      <c r="C747" s="402"/>
      <c r="D747" s="402"/>
      <c r="E747" s="402"/>
      <c r="F747" s="403"/>
      <c r="G747" s="402"/>
      <c r="H747" s="402"/>
      <c r="I747" s="402"/>
      <c r="J747" s="402"/>
      <c r="K747" s="402"/>
      <c r="L747" s="402"/>
      <c r="M747" s="402"/>
      <c r="N747" s="402"/>
      <c r="O747" s="402"/>
      <c r="P747" s="402"/>
      <c r="Q747" s="402"/>
      <c r="R747" s="402"/>
      <c r="S747" s="402"/>
      <c r="T747" s="402"/>
      <c r="U747" s="402"/>
      <c r="V747" s="402"/>
      <c r="W747" s="402"/>
      <c r="X747" s="402"/>
      <c r="Y747" s="402"/>
      <c r="Z747" s="402"/>
      <c r="AA747" s="405"/>
      <c r="AB747" s="405"/>
    </row>
    <row r="748" ht="14.25" customHeight="1">
      <c r="A748" s="402"/>
      <c r="B748" s="402"/>
      <c r="C748" s="402"/>
      <c r="D748" s="402"/>
      <c r="E748" s="402"/>
      <c r="F748" s="403"/>
      <c r="G748" s="402"/>
      <c r="H748" s="402"/>
      <c r="I748" s="402"/>
      <c r="J748" s="402"/>
      <c r="K748" s="402"/>
      <c r="L748" s="402"/>
      <c r="M748" s="402"/>
      <c r="N748" s="402"/>
      <c r="O748" s="402"/>
      <c r="P748" s="402"/>
      <c r="Q748" s="402"/>
      <c r="R748" s="402"/>
      <c r="S748" s="402"/>
      <c r="T748" s="402"/>
      <c r="U748" s="402"/>
      <c r="V748" s="402"/>
      <c r="W748" s="402"/>
      <c r="X748" s="402"/>
      <c r="Y748" s="402"/>
      <c r="Z748" s="402"/>
      <c r="AA748" s="405"/>
      <c r="AB748" s="405"/>
    </row>
    <row r="749" ht="14.25" customHeight="1">
      <c r="A749" s="402"/>
      <c r="B749" s="402"/>
      <c r="C749" s="402"/>
      <c r="D749" s="402"/>
      <c r="E749" s="402"/>
      <c r="F749" s="403"/>
      <c r="G749" s="402"/>
      <c r="H749" s="402"/>
      <c r="I749" s="402"/>
      <c r="J749" s="402"/>
      <c r="K749" s="402"/>
      <c r="L749" s="402"/>
      <c r="M749" s="402"/>
      <c r="N749" s="402"/>
      <c r="O749" s="402"/>
      <c r="P749" s="402"/>
      <c r="Q749" s="402"/>
      <c r="R749" s="402"/>
      <c r="S749" s="402"/>
      <c r="T749" s="402"/>
      <c r="U749" s="402"/>
      <c r="V749" s="402"/>
      <c r="W749" s="402"/>
      <c r="X749" s="402"/>
      <c r="Y749" s="402"/>
      <c r="Z749" s="402"/>
      <c r="AA749" s="405"/>
      <c r="AB749" s="405"/>
    </row>
    <row r="750" ht="14.25" customHeight="1">
      <c r="A750" s="402"/>
      <c r="B750" s="402"/>
      <c r="C750" s="402"/>
      <c r="D750" s="402"/>
      <c r="E750" s="402"/>
      <c r="F750" s="403"/>
      <c r="G750" s="402"/>
      <c r="H750" s="402"/>
      <c r="I750" s="402"/>
      <c r="J750" s="402"/>
      <c r="K750" s="402"/>
      <c r="L750" s="402"/>
      <c r="M750" s="402"/>
      <c r="N750" s="402"/>
      <c r="O750" s="402"/>
      <c r="P750" s="402"/>
      <c r="Q750" s="402"/>
      <c r="R750" s="402"/>
      <c r="S750" s="402"/>
      <c r="T750" s="402"/>
      <c r="U750" s="402"/>
      <c r="V750" s="402"/>
      <c r="W750" s="402"/>
      <c r="X750" s="402"/>
      <c r="Y750" s="402"/>
      <c r="Z750" s="402"/>
      <c r="AA750" s="405"/>
      <c r="AB750" s="405"/>
    </row>
    <row r="751" ht="14.25" customHeight="1">
      <c r="A751" s="402"/>
      <c r="B751" s="402"/>
      <c r="C751" s="402"/>
      <c r="D751" s="402"/>
      <c r="E751" s="402"/>
      <c r="F751" s="403"/>
      <c r="G751" s="402"/>
      <c r="H751" s="402"/>
      <c r="I751" s="402"/>
      <c r="J751" s="402"/>
      <c r="K751" s="402"/>
      <c r="L751" s="402"/>
      <c r="M751" s="402"/>
      <c r="N751" s="402"/>
      <c r="O751" s="402"/>
      <c r="P751" s="402"/>
      <c r="Q751" s="402"/>
      <c r="R751" s="402"/>
      <c r="S751" s="402"/>
      <c r="T751" s="402"/>
      <c r="U751" s="402"/>
      <c r="V751" s="402"/>
      <c r="W751" s="402"/>
      <c r="X751" s="402"/>
      <c r="Y751" s="402"/>
      <c r="Z751" s="402"/>
      <c r="AA751" s="405"/>
      <c r="AB751" s="405"/>
    </row>
    <row r="752" ht="14.25" customHeight="1">
      <c r="A752" s="402"/>
      <c r="B752" s="402"/>
      <c r="C752" s="402"/>
      <c r="D752" s="402"/>
      <c r="E752" s="402"/>
      <c r="F752" s="403"/>
      <c r="G752" s="402"/>
      <c r="H752" s="402"/>
      <c r="I752" s="402"/>
      <c r="J752" s="402"/>
      <c r="K752" s="402"/>
      <c r="L752" s="402"/>
      <c r="M752" s="402"/>
      <c r="N752" s="402"/>
      <c r="O752" s="402"/>
      <c r="P752" s="402"/>
      <c r="Q752" s="402"/>
      <c r="R752" s="402"/>
      <c r="S752" s="402"/>
      <c r="T752" s="402"/>
      <c r="U752" s="402"/>
      <c r="V752" s="402"/>
      <c r="W752" s="402"/>
      <c r="X752" s="402"/>
      <c r="Y752" s="402"/>
      <c r="Z752" s="402"/>
      <c r="AA752" s="405"/>
      <c r="AB752" s="405"/>
    </row>
    <row r="753" ht="14.25" customHeight="1">
      <c r="A753" s="402"/>
      <c r="B753" s="402"/>
      <c r="C753" s="402"/>
      <c r="D753" s="402"/>
      <c r="E753" s="402"/>
      <c r="F753" s="403"/>
      <c r="G753" s="402"/>
      <c r="H753" s="402"/>
      <c r="I753" s="402"/>
      <c r="J753" s="402"/>
      <c r="K753" s="402"/>
      <c r="L753" s="402"/>
      <c r="M753" s="402"/>
      <c r="N753" s="402"/>
      <c r="O753" s="402"/>
      <c r="P753" s="402"/>
      <c r="Q753" s="402"/>
      <c r="R753" s="402"/>
      <c r="S753" s="402"/>
      <c r="T753" s="402"/>
      <c r="U753" s="402"/>
      <c r="V753" s="402"/>
      <c r="W753" s="402"/>
      <c r="X753" s="402"/>
      <c r="Y753" s="402"/>
      <c r="Z753" s="402"/>
      <c r="AA753" s="405"/>
      <c r="AB753" s="405"/>
    </row>
    <row r="754" ht="14.25" customHeight="1">
      <c r="A754" s="402"/>
      <c r="B754" s="402"/>
      <c r="C754" s="402"/>
      <c r="D754" s="402"/>
      <c r="E754" s="402"/>
      <c r="F754" s="403"/>
      <c r="G754" s="402"/>
      <c r="H754" s="402"/>
      <c r="I754" s="402"/>
      <c r="J754" s="402"/>
      <c r="K754" s="402"/>
      <c r="L754" s="402"/>
      <c r="M754" s="402"/>
      <c r="N754" s="402"/>
      <c r="O754" s="402"/>
      <c r="P754" s="402"/>
      <c r="Q754" s="402"/>
      <c r="R754" s="402"/>
      <c r="S754" s="402"/>
      <c r="T754" s="402"/>
      <c r="U754" s="402"/>
      <c r="V754" s="402"/>
      <c r="W754" s="402"/>
      <c r="X754" s="402"/>
      <c r="Y754" s="402"/>
      <c r="Z754" s="402"/>
      <c r="AA754" s="405"/>
      <c r="AB754" s="405"/>
    </row>
    <row r="755" ht="14.25" customHeight="1">
      <c r="A755" s="402"/>
      <c r="B755" s="402"/>
      <c r="C755" s="402"/>
      <c r="D755" s="402"/>
      <c r="E755" s="402"/>
      <c r="F755" s="403"/>
      <c r="G755" s="402"/>
      <c r="H755" s="402"/>
      <c r="I755" s="402"/>
      <c r="J755" s="402"/>
      <c r="K755" s="402"/>
      <c r="L755" s="402"/>
      <c r="M755" s="402"/>
      <c r="N755" s="402"/>
      <c r="O755" s="402"/>
      <c r="P755" s="402"/>
      <c r="Q755" s="402"/>
      <c r="R755" s="402"/>
      <c r="S755" s="402"/>
      <c r="T755" s="402"/>
      <c r="U755" s="402"/>
      <c r="V755" s="402"/>
      <c r="W755" s="402"/>
      <c r="X755" s="402"/>
      <c r="Y755" s="402"/>
      <c r="Z755" s="402"/>
      <c r="AA755" s="405"/>
      <c r="AB755" s="405"/>
    </row>
    <row r="756" ht="14.25" customHeight="1">
      <c r="A756" s="402"/>
      <c r="B756" s="402"/>
      <c r="C756" s="402"/>
      <c r="D756" s="402"/>
      <c r="E756" s="402"/>
      <c r="F756" s="403"/>
      <c r="G756" s="402"/>
      <c r="H756" s="402"/>
      <c r="I756" s="402"/>
      <c r="J756" s="402"/>
      <c r="K756" s="402"/>
      <c r="L756" s="402"/>
      <c r="M756" s="402"/>
      <c r="N756" s="402"/>
      <c r="O756" s="402"/>
      <c r="P756" s="402"/>
      <c r="Q756" s="402"/>
      <c r="R756" s="402"/>
      <c r="S756" s="402"/>
      <c r="T756" s="402"/>
      <c r="U756" s="402"/>
      <c r="V756" s="402"/>
      <c r="W756" s="402"/>
      <c r="X756" s="402"/>
      <c r="Y756" s="402"/>
      <c r="Z756" s="402"/>
      <c r="AA756" s="405"/>
      <c r="AB756" s="405"/>
    </row>
    <row r="757" ht="14.25" customHeight="1">
      <c r="A757" s="402"/>
      <c r="B757" s="402"/>
      <c r="C757" s="402"/>
      <c r="D757" s="402"/>
      <c r="E757" s="402"/>
      <c r="F757" s="403"/>
      <c r="G757" s="402"/>
      <c r="H757" s="402"/>
      <c r="I757" s="402"/>
      <c r="J757" s="402"/>
      <c r="K757" s="402"/>
      <c r="L757" s="402"/>
      <c r="M757" s="402"/>
      <c r="N757" s="402"/>
      <c r="O757" s="402"/>
      <c r="P757" s="402"/>
      <c r="Q757" s="402"/>
      <c r="R757" s="402"/>
      <c r="S757" s="402"/>
      <c r="T757" s="402"/>
      <c r="U757" s="402"/>
      <c r="V757" s="402"/>
      <c r="W757" s="402"/>
      <c r="X757" s="402"/>
      <c r="Y757" s="402"/>
      <c r="Z757" s="402"/>
      <c r="AA757" s="405"/>
      <c r="AB757" s="405"/>
    </row>
    <row r="758" ht="14.25" customHeight="1">
      <c r="A758" s="402"/>
      <c r="B758" s="402"/>
      <c r="C758" s="402"/>
      <c r="D758" s="402"/>
      <c r="E758" s="402"/>
      <c r="F758" s="403"/>
      <c r="G758" s="402"/>
      <c r="H758" s="402"/>
      <c r="I758" s="402"/>
      <c r="J758" s="402"/>
      <c r="K758" s="402"/>
      <c r="L758" s="402"/>
      <c r="M758" s="402"/>
      <c r="N758" s="402"/>
      <c r="O758" s="402"/>
      <c r="P758" s="402"/>
      <c r="Q758" s="402"/>
      <c r="R758" s="402"/>
      <c r="S758" s="402"/>
      <c r="T758" s="402"/>
      <c r="U758" s="402"/>
      <c r="V758" s="402"/>
      <c r="W758" s="402"/>
      <c r="X758" s="402"/>
      <c r="Y758" s="402"/>
      <c r="Z758" s="402"/>
      <c r="AA758" s="405"/>
      <c r="AB758" s="405"/>
    </row>
    <row r="759" ht="14.25" customHeight="1">
      <c r="A759" s="402"/>
      <c r="B759" s="402"/>
      <c r="C759" s="402"/>
      <c r="D759" s="402"/>
      <c r="E759" s="402"/>
      <c r="F759" s="403"/>
      <c r="G759" s="402"/>
      <c r="H759" s="402"/>
      <c r="I759" s="402"/>
      <c r="J759" s="402"/>
      <c r="K759" s="402"/>
      <c r="L759" s="402"/>
      <c r="M759" s="402"/>
      <c r="N759" s="402"/>
      <c r="O759" s="402"/>
      <c r="P759" s="402"/>
      <c r="Q759" s="402"/>
      <c r="R759" s="402"/>
      <c r="S759" s="402"/>
      <c r="T759" s="402"/>
      <c r="U759" s="402"/>
      <c r="V759" s="402"/>
      <c r="W759" s="402"/>
      <c r="X759" s="402"/>
      <c r="Y759" s="402"/>
      <c r="Z759" s="402"/>
      <c r="AA759" s="405"/>
      <c r="AB759" s="405"/>
    </row>
    <row r="760" ht="14.25" customHeight="1">
      <c r="A760" s="402"/>
      <c r="B760" s="402"/>
      <c r="C760" s="402"/>
      <c r="D760" s="402"/>
      <c r="E760" s="402"/>
      <c r="F760" s="403"/>
      <c r="G760" s="402"/>
      <c r="H760" s="402"/>
      <c r="I760" s="402"/>
      <c r="J760" s="402"/>
      <c r="K760" s="402"/>
      <c r="L760" s="402"/>
      <c r="M760" s="402"/>
      <c r="N760" s="402"/>
      <c r="O760" s="402"/>
      <c r="P760" s="402"/>
      <c r="Q760" s="402"/>
      <c r="R760" s="402"/>
      <c r="S760" s="402"/>
      <c r="T760" s="402"/>
      <c r="U760" s="402"/>
      <c r="V760" s="402"/>
      <c r="W760" s="402"/>
      <c r="X760" s="402"/>
      <c r="Y760" s="402"/>
      <c r="Z760" s="402"/>
      <c r="AA760" s="405"/>
      <c r="AB760" s="405"/>
    </row>
    <row r="761" ht="14.25" customHeight="1">
      <c r="A761" s="402"/>
      <c r="B761" s="402"/>
      <c r="C761" s="402"/>
      <c r="D761" s="402"/>
      <c r="E761" s="402"/>
      <c r="F761" s="403"/>
      <c r="G761" s="402"/>
      <c r="H761" s="402"/>
      <c r="I761" s="402"/>
      <c r="J761" s="402"/>
      <c r="K761" s="402"/>
      <c r="L761" s="402"/>
      <c r="M761" s="402"/>
      <c r="N761" s="402"/>
      <c r="O761" s="402"/>
      <c r="P761" s="402"/>
      <c r="Q761" s="402"/>
      <c r="R761" s="402"/>
      <c r="S761" s="402"/>
      <c r="T761" s="402"/>
      <c r="U761" s="402"/>
      <c r="V761" s="402"/>
      <c r="W761" s="402"/>
      <c r="X761" s="402"/>
      <c r="Y761" s="402"/>
      <c r="Z761" s="402"/>
      <c r="AA761" s="405"/>
      <c r="AB761" s="405"/>
    </row>
    <row r="762" ht="14.25" customHeight="1">
      <c r="A762" s="402"/>
      <c r="B762" s="402"/>
      <c r="C762" s="402"/>
      <c r="D762" s="402"/>
      <c r="E762" s="402"/>
      <c r="F762" s="403"/>
      <c r="G762" s="402"/>
      <c r="H762" s="402"/>
      <c r="I762" s="402"/>
      <c r="J762" s="402"/>
      <c r="K762" s="402"/>
      <c r="L762" s="402"/>
      <c r="M762" s="402"/>
      <c r="N762" s="402"/>
      <c r="O762" s="402"/>
      <c r="P762" s="402"/>
      <c r="Q762" s="402"/>
      <c r="R762" s="402"/>
      <c r="S762" s="402"/>
      <c r="T762" s="402"/>
      <c r="U762" s="402"/>
      <c r="V762" s="402"/>
      <c r="W762" s="402"/>
      <c r="X762" s="402"/>
      <c r="Y762" s="402"/>
      <c r="Z762" s="402"/>
      <c r="AA762" s="405"/>
      <c r="AB762" s="405"/>
    </row>
    <row r="763" ht="14.25" customHeight="1">
      <c r="A763" s="402"/>
      <c r="B763" s="402"/>
      <c r="C763" s="402"/>
      <c r="D763" s="402"/>
      <c r="E763" s="402"/>
      <c r="F763" s="403"/>
      <c r="G763" s="402"/>
      <c r="H763" s="402"/>
      <c r="I763" s="402"/>
      <c r="J763" s="402"/>
      <c r="K763" s="402"/>
      <c r="L763" s="402"/>
      <c r="M763" s="402"/>
      <c r="N763" s="402"/>
      <c r="O763" s="402"/>
      <c r="P763" s="402"/>
      <c r="Q763" s="402"/>
      <c r="R763" s="402"/>
      <c r="S763" s="402"/>
      <c r="T763" s="402"/>
      <c r="U763" s="402"/>
      <c r="V763" s="402"/>
      <c r="W763" s="402"/>
      <c r="X763" s="402"/>
      <c r="Y763" s="402"/>
      <c r="Z763" s="402"/>
      <c r="AA763" s="405"/>
      <c r="AB763" s="405"/>
    </row>
    <row r="764" ht="14.25" customHeight="1">
      <c r="A764" s="402"/>
      <c r="B764" s="402"/>
      <c r="C764" s="402"/>
      <c r="D764" s="402"/>
      <c r="E764" s="402"/>
      <c r="F764" s="403"/>
      <c r="G764" s="402"/>
      <c r="H764" s="402"/>
      <c r="I764" s="402"/>
      <c r="J764" s="402"/>
      <c r="K764" s="402"/>
      <c r="L764" s="402"/>
      <c r="M764" s="402"/>
      <c r="N764" s="402"/>
      <c r="O764" s="402"/>
      <c r="P764" s="402"/>
      <c r="Q764" s="402"/>
      <c r="R764" s="402"/>
      <c r="S764" s="402"/>
      <c r="T764" s="402"/>
      <c r="U764" s="402"/>
      <c r="V764" s="402"/>
      <c r="W764" s="402"/>
      <c r="X764" s="402"/>
      <c r="Y764" s="402"/>
      <c r="Z764" s="402"/>
      <c r="AA764" s="405"/>
      <c r="AB764" s="405"/>
    </row>
    <row r="765" ht="14.25" customHeight="1">
      <c r="A765" s="402"/>
      <c r="B765" s="402"/>
      <c r="C765" s="402"/>
      <c r="D765" s="402"/>
      <c r="E765" s="402"/>
      <c r="F765" s="403"/>
      <c r="G765" s="402"/>
      <c r="H765" s="402"/>
      <c r="I765" s="402"/>
      <c r="J765" s="402"/>
      <c r="K765" s="402"/>
      <c r="L765" s="402"/>
      <c r="M765" s="402"/>
      <c r="N765" s="402"/>
      <c r="O765" s="402"/>
      <c r="P765" s="402"/>
      <c r="Q765" s="402"/>
      <c r="R765" s="402"/>
      <c r="S765" s="402"/>
      <c r="T765" s="402"/>
      <c r="U765" s="402"/>
      <c r="V765" s="402"/>
      <c r="W765" s="402"/>
      <c r="X765" s="402"/>
      <c r="Y765" s="402"/>
      <c r="Z765" s="402"/>
      <c r="AA765" s="405"/>
      <c r="AB765" s="405"/>
    </row>
    <row r="766" ht="14.25" customHeight="1">
      <c r="A766" s="402"/>
      <c r="B766" s="402"/>
      <c r="C766" s="402"/>
      <c r="D766" s="402"/>
      <c r="E766" s="402"/>
      <c r="F766" s="403"/>
      <c r="G766" s="402"/>
      <c r="H766" s="402"/>
      <c r="I766" s="402"/>
      <c r="J766" s="402"/>
      <c r="K766" s="402"/>
      <c r="L766" s="402"/>
      <c r="M766" s="402"/>
      <c r="N766" s="402"/>
      <c r="O766" s="402"/>
      <c r="P766" s="402"/>
      <c r="Q766" s="402"/>
      <c r="R766" s="402"/>
      <c r="S766" s="402"/>
      <c r="T766" s="402"/>
      <c r="U766" s="402"/>
      <c r="V766" s="402"/>
      <c r="W766" s="402"/>
      <c r="X766" s="402"/>
      <c r="Y766" s="402"/>
      <c r="Z766" s="402"/>
      <c r="AA766" s="405"/>
      <c r="AB766" s="405"/>
    </row>
    <row r="767" ht="14.25" customHeight="1">
      <c r="A767" s="402"/>
      <c r="B767" s="402"/>
      <c r="C767" s="402"/>
      <c r="D767" s="402"/>
      <c r="E767" s="402"/>
      <c r="F767" s="403"/>
      <c r="G767" s="402"/>
      <c r="H767" s="402"/>
      <c r="I767" s="402"/>
      <c r="J767" s="402"/>
      <c r="K767" s="402"/>
      <c r="L767" s="402"/>
      <c r="M767" s="402"/>
      <c r="N767" s="402"/>
      <c r="O767" s="402"/>
      <c r="P767" s="402"/>
      <c r="Q767" s="402"/>
      <c r="R767" s="402"/>
      <c r="S767" s="402"/>
      <c r="T767" s="402"/>
      <c r="U767" s="402"/>
      <c r="V767" s="402"/>
      <c r="W767" s="402"/>
      <c r="X767" s="402"/>
      <c r="Y767" s="402"/>
      <c r="Z767" s="402"/>
      <c r="AA767" s="405"/>
      <c r="AB767" s="405"/>
    </row>
    <row r="768" ht="14.25" customHeight="1">
      <c r="A768" s="402"/>
      <c r="B768" s="402"/>
      <c r="C768" s="402"/>
      <c r="D768" s="402"/>
      <c r="E768" s="402"/>
      <c r="F768" s="403"/>
      <c r="G768" s="402"/>
      <c r="H768" s="402"/>
      <c r="I768" s="402"/>
      <c r="J768" s="402"/>
      <c r="K768" s="402"/>
      <c r="L768" s="402"/>
      <c r="M768" s="402"/>
      <c r="N768" s="402"/>
      <c r="O768" s="402"/>
      <c r="P768" s="402"/>
      <c r="Q768" s="402"/>
      <c r="R768" s="402"/>
      <c r="S768" s="402"/>
      <c r="T768" s="402"/>
      <c r="U768" s="402"/>
      <c r="V768" s="402"/>
      <c r="W768" s="402"/>
      <c r="X768" s="402"/>
      <c r="Y768" s="402"/>
      <c r="Z768" s="402"/>
      <c r="AA768" s="405"/>
      <c r="AB768" s="405"/>
    </row>
    <row r="769" ht="14.25" customHeight="1">
      <c r="A769" s="402"/>
      <c r="B769" s="402"/>
      <c r="C769" s="402"/>
      <c r="D769" s="402"/>
      <c r="E769" s="402"/>
      <c r="F769" s="403"/>
      <c r="G769" s="402"/>
      <c r="H769" s="402"/>
      <c r="I769" s="402"/>
      <c r="J769" s="402"/>
      <c r="K769" s="402"/>
      <c r="L769" s="402"/>
      <c r="M769" s="402"/>
      <c r="N769" s="402"/>
      <c r="O769" s="402"/>
      <c r="P769" s="402"/>
      <c r="Q769" s="402"/>
      <c r="R769" s="402"/>
      <c r="S769" s="402"/>
      <c r="T769" s="402"/>
      <c r="U769" s="402"/>
      <c r="V769" s="402"/>
      <c r="W769" s="402"/>
      <c r="X769" s="402"/>
      <c r="Y769" s="402"/>
      <c r="Z769" s="402"/>
      <c r="AA769" s="405"/>
      <c r="AB769" s="405"/>
    </row>
    <row r="770" ht="14.25" customHeight="1">
      <c r="A770" s="402"/>
      <c r="B770" s="402"/>
      <c r="C770" s="402"/>
      <c r="D770" s="402"/>
      <c r="E770" s="402"/>
      <c r="F770" s="403"/>
      <c r="G770" s="402"/>
      <c r="H770" s="402"/>
      <c r="I770" s="402"/>
      <c r="J770" s="402"/>
      <c r="K770" s="402"/>
      <c r="L770" s="402"/>
      <c r="M770" s="402"/>
      <c r="N770" s="402"/>
      <c r="O770" s="402"/>
      <c r="P770" s="402"/>
      <c r="Q770" s="402"/>
      <c r="R770" s="402"/>
      <c r="S770" s="402"/>
      <c r="T770" s="402"/>
      <c r="U770" s="402"/>
      <c r="V770" s="402"/>
      <c r="W770" s="402"/>
      <c r="X770" s="402"/>
      <c r="Y770" s="402"/>
      <c r="Z770" s="402"/>
      <c r="AA770" s="405"/>
      <c r="AB770" s="405"/>
    </row>
    <row r="771" ht="14.25" customHeight="1">
      <c r="A771" s="402"/>
      <c r="B771" s="402"/>
      <c r="C771" s="402"/>
      <c r="D771" s="402"/>
      <c r="E771" s="402"/>
      <c r="F771" s="403"/>
      <c r="G771" s="402"/>
      <c r="H771" s="402"/>
      <c r="I771" s="402"/>
      <c r="J771" s="402"/>
      <c r="K771" s="402"/>
      <c r="L771" s="402"/>
      <c r="M771" s="402"/>
      <c r="N771" s="402"/>
      <c r="O771" s="402"/>
      <c r="P771" s="402"/>
      <c r="Q771" s="402"/>
      <c r="R771" s="402"/>
      <c r="S771" s="402"/>
      <c r="T771" s="402"/>
      <c r="U771" s="402"/>
      <c r="V771" s="402"/>
      <c r="W771" s="402"/>
      <c r="X771" s="402"/>
      <c r="Y771" s="402"/>
      <c r="Z771" s="402"/>
      <c r="AA771" s="405"/>
      <c r="AB771" s="405"/>
    </row>
    <row r="772" ht="14.25" customHeight="1">
      <c r="A772" s="402"/>
      <c r="B772" s="402"/>
      <c r="C772" s="402"/>
      <c r="D772" s="402"/>
      <c r="E772" s="402"/>
      <c r="F772" s="403"/>
      <c r="G772" s="402"/>
      <c r="H772" s="402"/>
      <c r="I772" s="402"/>
      <c r="J772" s="402"/>
      <c r="K772" s="402"/>
      <c r="L772" s="402"/>
      <c r="M772" s="402"/>
      <c r="N772" s="402"/>
      <c r="O772" s="402"/>
      <c r="P772" s="402"/>
      <c r="Q772" s="402"/>
      <c r="R772" s="402"/>
      <c r="S772" s="402"/>
      <c r="T772" s="402"/>
      <c r="U772" s="402"/>
      <c r="V772" s="402"/>
      <c r="W772" s="402"/>
      <c r="X772" s="402"/>
      <c r="Y772" s="402"/>
      <c r="Z772" s="402"/>
      <c r="AA772" s="405"/>
      <c r="AB772" s="405"/>
    </row>
    <row r="773" ht="14.25" customHeight="1">
      <c r="A773" s="402"/>
      <c r="B773" s="402"/>
      <c r="C773" s="402"/>
      <c r="D773" s="402"/>
      <c r="E773" s="402"/>
      <c r="F773" s="403"/>
      <c r="G773" s="402"/>
      <c r="H773" s="402"/>
      <c r="I773" s="402"/>
      <c r="J773" s="402"/>
      <c r="K773" s="402"/>
      <c r="L773" s="402"/>
      <c r="M773" s="402"/>
      <c r="N773" s="402"/>
      <c r="O773" s="402"/>
      <c r="P773" s="402"/>
      <c r="Q773" s="402"/>
      <c r="R773" s="402"/>
      <c r="S773" s="402"/>
      <c r="T773" s="402"/>
      <c r="U773" s="402"/>
      <c r="V773" s="402"/>
      <c r="W773" s="402"/>
      <c r="X773" s="402"/>
      <c r="Y773" s="402"/>
      <c r="Z773" s="402"/>
      <c r="AA773" s="405"/>
      <c r="AB773" s="405"/>
    </row>
    <row r="774" ht="14.25" customHeight="1">
      <c r="A774" s="402"/>
      <c r="B774" s="402"/>
      <c r="C774" s="402"/>
      <c r="D774" s="402"/>
      <c r="E774" s="402"/>
      <c r="F774" s="403"/>
      <c r="G774" s="402"/>
      <c r="H774" s="402"/>
      <c r="I774" s="402"/>
      <c r="J774" s="402"/>
      <c r="K774" s="402"/>
      <c r="L774" s="402"/>
      <c r="M774" s="402"/>
      <c r="N774" s="402"/>
      <c r="O774" s="402"/>
      <c r="P774" s="402"/>
      <c r="Q774" s="402"/>
      <c r="R774" s="402"/>
      <c r="S774" s="402"/>
      <c r="T774" s="402"/>
      <c r="U774" s="402"/>
      <c r="V774" s="402"/>
      <c r="W774" s="402"/>
      <c r="X774" s="402"/>
      <c r="Y774" s="402"/>
      <c r="Z774" s="402"/>
      <c r="AA774" s="405"/>
      <c r="AB774" s="405"/>
    </row>
    <row r="775" ht="14.25" customHeight="1">
      <c r="A775" s="402"/>
      <c r="B775" s="402"/>
      <c r="C775" s="402"/>
      <c r="D775" s="402"/>
      <c r="E775" s="402"/>
      <c r="F775" s="403"/>
      <c r="G775" s="402"/>
      <c r="H775" s="402"/>
      <c r="I775" s="402"/>
      <c r="J775" s="402"/>
      <c r="K775" s="402"/>
      <c r="L775" s="402"/>
      <c r="M775" s="402"/>
      <c r="N775" s="402"/>
      <c r="O775" s="402"/>
      <c r="P775" s="402"/>
      <c r="Q775" s="402"/>
      <c r="R775" s="402"/>
      <c r="S775" s="402"/>
      <c r="T775" s="402"/>
      <c r="U775" s="402"/>
      <c r="V775" s="402"/>
      <c r="W775" s="402"/>
      <c r="X775" s="402"/>
      <c r="Y775" s="402"/>
      <c r="Z775" s="402"/>
      <c r="AA775" s="405"/>
      <c r="AB775" s="405"/>
    </row>
    <row r="776" ht="14.25" customHeight="1">
      <c r="A776" s="402"/>
      <c r="B776" s="402"/>
      <c r="C776" s="402"/>
      <c r="D776" s="402"/>
      <c r="E776" s="402"/>
      <c r="F776" s="403"/>
      <c r="G776" s="402"/>
      <c r="H776" s="402"/>
      <c r="I776" s="402"/>
      <c r="J776" s="402"/>
      <c r="K776" s="402"/>
      <c r="L776" s="402"/>
      <c r="M776" s="402"/>
      <c r="N776" s="402"/>
      <c r="O776" s="402"/>
      <c r="P776" s="402"/>
      <c r="Q776" s="402"/>
      <c r="R776" s="402"/>
      <c r="S776" s="402"/>
      <c r="T776" s="402"/>
      <c r="U776" s="402"/>
      <c r="V776" s="402"/>
      <c r="W776" s="402"/>
      <c r="X776" s="402"/>
      <c r="Y776" s="402"/>
      <c r="Z776" s="402"/>
      <c r="AA776" s="405"/>
      <c r="AB776" s="405"/>
    </row>
    <row r="777" ht="14.25" customHeight="1">
      <c r="A777" s="402"/>
      <c r="B777" s="402"/>
      <c r="C777" s="402"/>
      <c r="D777" s="402"/>
      <c r="E777" s="402"/>
      <c r="F777" s="403"/>
      <c r="G777" s="402"/>
      <c r="H777" s="402"/>
      <c r="I777" s="402"/>
      <c r="J777" s="402"/>
      <c r="K777" s="402"/>
      <c r="L777" s="402"/>
      <c r="M777" s="402"/>
      <c r="N777" s="402"/>
      <c r="O777" s="402"/>
      <c r="P777" s="402"/>
      <c r="Q777" s="402"/>
      <c r="R777" s="402"/>
      <c r="S777" s="402"/>
      <c r="T777" s="402"/>
      <c r="U777" s="402"/>
      <c r="V777" s="402"/>
      <c r="W777" s="402"/>
      <c r="X777" s="402"/>
      <c r="Y777" s="402"/>
      <c r="Z777" s="402"/>
      <c r="AA777" s="405"/>
      <c r="AB777" s="405"/>
    </row>
    <row r="778" ht="14.25" customHeight="1">
      <c r="A778" s="402"/>
      <c r="B778" s="402"/>
      <c r="C778" s="402"/>
      <c r="D778" s="402"/>
      <c r="E778" s="402"/>
      <c r="F778" s="403"/>
      <c r="G778" s="402"/>
      <c r="H778" s="402"/>
      <c r="I778" s="402"/>
      <c r="J778" s="402"/>
      <c r="K778" s="402"/>
      <c r="L778" s="402"/>
      <c r="M778" s="402"/>
      <c r="N778" s="402"/>
      <c r="O778" s="402"/>
      <c r="P778" s="402"/>
      <c r="Q778" s="402"/>
      <c r="R778" s="402"/>
      <c r="S778" s="402"/>
      <c r="T778" s="402"/>
      <c r="U778" s="402"/>
      <c r="V778" s="402"/>
      <c r="W778" s="402"/>
      <c r="X778" s="402"/>
      <c r="Y778" s="402"/>
      <c r="Z778" s="402"/>
      <c r="AA778" s="405"/>
      <c r="AB778" s="405"/>
    </row>
    <row r="779" ht="14.25" customHeight="1">
      <c r="A779" s="402"/>
      <c r="B779" s="402"/>
      <c r="C779" s="402"/>
      <c r="D779" s="402"/>
      <c r="E779" s="402"/>
      <c r="F779" s="403"/>
      <c r="G779" s="402"/>
      <c r="H779" s="402"/>
      <c r="I779" s="402"/>
      <c r="J779" s="402"/>
      <c r="K779" s="402"/>
      <c r="L779" s="402"/>
      <c r="M779" s="402"/>
      <c r="N779" s="402"/>
      <c r="O779" s="402"/>
      <c r="P779" s="402"/>
      <c r="Q779" s="402"/>
      <c r="R779" s="402"/>
      <c r="S779" s="402"/>
      <c r="T779" s="402"/>
      <c r="U779" s="402"/>
      <c r="V779" s="402"/>
      <c r="W779" s="402"/>
      <c r="X779" s="402"/>
      <c r="Y779" s="402"/>
      <c r="Z779" s="402"/>
      <c r="AA779" s="405"/>
      <c r="AB779" s="405"/>
    </row>
    <row r="780" ht="14.25" customHeight="1">
      <c r="A780" s="402"/>
      <c r="B780" s="402"/>
      <c r="C780" s="402"/>
      <c r="D780" s="402"/>
      <c r="E780" s="402"/>
      <c r="F780" s="403"/>
      <c r="G780" s="402"/>
      <c r="H780" s="402"/>
      <c r="I780" s="402"/>
      <c r="J780" s="402"/>
      <c r="K780" s="402"/>
      <c r="L780" s="402"/>
      <c r="M780" s="402"/>
      <c r="N780" s="402"/>
      <c r="O780" s="402"/>
      <c r="P780" s="402"/>
      <c r="Q780" s="402"/>
      <c r="R780" s="402"/>
      <c r="S780" s="402"/>
      <c r="T780" s="402"/>
      <c r="U780" s="402"/>
      <c r="V780" s="402"/>
      <c r="W780" s="402"/>
      <c r="X780" s="402"/>
      <c r="Y780" s="402"/>
      <c r="Z780" s="402"/>
      <c r="AA780" s="405"/>
      <c r="AB780" s="405"/>
    </row>
    <row r="781" ht="14.25" customHeight="1">
      <c r="A781" s="402"/>
      <c r="B781" s="402"/>
      <c r="C781" s="402"/>
      <c r="D781" s="402"/>
      <c r="E781" s="402"/>
      <c r="F781" s="403"/>
      <c r="G781" s="402"/>
      <c r="H781" s="402"/>
      <c r="I781" s="402"/>
      <c r="J781" s="402"/>
      <c r="K781" s="402"/>
      <c r="L781" s="402"/>
      <c r="M781" s="402"/>
      <c r="N781" s="402"/>
      <c r="O781" s="402"/>
      <c r="P781" s="402"/>
      <c r="Q781" s="402"/>
      <c r="R781" s="402"/>
      <c r="S781" s="402"/>
      <c r="T781" s="402"/>
      <c r="U781" s="402"/>
      <c r="V781" s="402"/>
      <c r="W781" s="402"/>
      <c r="X781" s="402"/>
      <c r="Y781" s="402"/>
      <c r="Z781" s="402"/>
      <c r="AA781" s="405"/>
      <c r="AB781" s="405"/>
    </row>
    <row r="782" ht="14.25" customHeight="1">
      <c r="A782" s="402"/>
      <c r="B782" s="402"/>
      <c r="C782" s="402"/>
      <c r="D782" s="402"/>
      <c r="E782" s="402"/>
      <c r="F782" s="403"/>
      <c r="G782" s="402"/>
      <c r="H782" s="402"/>
      <c r="I782" s="402"/>
      <c r="J782" s="402"/>
      <c r="K782" s="402"/>
      <c r="L782" s="402"/>
      <c r="M782" s="402"/>
      <c r="N782" s="402"/>
      <c r="O782" s="402"/>
      <c r="P782" s="402"/>
      <c r="Q782" s="402"/>
      <c r="R782" s="402"/>
      <c r="S782" s="402"/>
      <c r="T782" s="402"/>
      <c r="U782" s="402"/>
      <c r="V782" s="402"/>
      <c r="W782" s="402"/>
      <c r="X782" s="402"/>
      <c r="Y782" s="402"/>
      <c r="Z782" s="402"/>
      <c r="AA782" s="405"/>
      <c r="AB782" s="405"/>
    </row>
    <row r="783" ht="14.25" customHeight="1">
      <c r="A783" s="402"/>
      <c r="B783" s="402"/>
      <c r="C783" s="402"/>
      <c r="D783" s="402"/>
      <c r="E783" s="402"/>
      <c r="F783" s="403"/>
      <c r="G783" s="402"/>
      <c r="H783" s="402"/>
      <c r="I783" s="402"/>
      <c r="J783" s="402"/>
      <c r="K783" s="402"/>
      <c r="L783" s="402"/>
      <c r="M783" s="402"/>
      <c r="N783" s="402"/>
      <c r="O783" s="402"/>
      <c r="P783" s="402"/>
      <c r="Q783" s="402"/>
      <c r="R783" s="402"/>
      <c r="S783" s="402"/>
      <c r="T783" s="402"/>
      <c r="U783" s="402"/>
      <c r="V783" s="402"/>
      <c r="W783" s="402"/>
      <c r="X783" s="402"/>
      <c r="Y783" s="402"/>
      <c r="Z783" s="402"/>
      <c r="AA783" s="405"/>
      <c r="AB783" s="405"/>
    </row>
    <row r="784" ht="14.25" customHeight="1">
      <c r="A784" s="402"/>
      <c r="B784" s="402"/>
      <c r="C784" s="402"/>
      <c r="D784" s="402"/>
      <c r="E784" s="402"/>
      <c r="F784" s="403"/>
      <c r="G784" s="402"/>
      <c r="H784" s="402"/>
      <c r="I784" s="402"/>
      <c r="J784" s="402"/>
      <c r="K784" s="402"/>
      <c r="L784" s="402"/>
      <c r="M784" s="402"/>
      <c r="N784" s="402"/>
      <c r="O784" s="402"/>
      <c r="P784" s="402"/>
      <c r="Q784" s="402"/>
      <c r="R784" s="402"/>
      <c r="S784" s="402"/>
      <c r="T784" s="402"/>
      <c r="U784" s="402"/>
      <c r="V784" s="402"/>
      <c r="W784" s="402"/>
      <c r="X784" s="402"/>
      <c r="Y784" s="402"/>
      <c r="Z784" s="402"/>
      <c r="AA784" s="405"/>
      <c r="AB784" s="405"/>
    </row>
    <row r="785" ht="14.25" customHeight="1">
      <c r="A785" s="402"/>
      <c r="B785" s="402"/>
      <c r="C785" s="402"/>
      <c r="D785" s="402"/>
      <c r="E785" s="402"/>
      <c r="F785" s="403"/>
      <c r="G785" s="402"/>
      <c r="H785" s="402"/>
      <c r="I785" s="402"/>
      <c r="J785" s="402"/>
      <c r="K785" s="402"/>
      <c r="L785" s="402"/>
      <c r="M785" s="402"/>
      <c r="N785" s="402"/>
      <c r="O785" s="402"/>
      <c r="P785" s="402"/>
      <c r="Q785" s="402"/>
      <c r="R785" s="402"/>
      <c r="S785" s="402"/>
      <c r="T785" s="402"/>
      <c r="U785" s="402"/>
      <c r="V785" s="402"/>
      <c r="W785" s="402"/>
      <c r="X785" s="402"/>
      <c r="Y785" s="402"/>
      <c r="Z785" s="402"/>
      <c r="AA785" s="405"/>
      <c r="AB785" s="405"/>
    </row>
    <row r="786" ht="14.25" customHeight="1">
      <c r="A786" s="402"/>
      <c r="B786" s="402"/>
      <c r="C786" s="402"/>
      <c r="D786" s="402"/>
      <c r="E786" s="402"/>
      <c r="F786" s="403"/>
      <c r="G786" s="402"/>
      <c r="H786" s="402"/>
      <c r="I786" s="402"/>
      <c r="J786" s="402"/>
      <c r="K786" s="402"/>
      <c r="L786" s="402"/>
      <c r="M786" s="402"/>
      <c r="N786" s="402"/>
      <c r="O786" s="402"/>
      <c r="P786" s="402"/>
      <c r="Q786" s="402"/>
      <c r="R786" s="402"/>
      <c r="S786" s="402"/>
      <c r="T786" s="402"/>
      <c r="U786" s="402"/>
      <c r="V786" s="402"/>
      <c r="W786" s="402"/>
      <c r="X786" s="402"/>
      <c r="Y786" s="402"/>
      <c r="Z786" s="402"/>
      <c r="AA786" s="405"/>
      <c r="AB786" s="405"/>
    </row>
    <row r="787" ht="14.25" customHeight="1">
      <c r="A787" s="402"/>
      <c r="B787" s="402"/>
      <c r="C787" s="402"/>
      <c r="D787" s="402"/>
      <c r="E787" s="402"/>
      <c r="F787" s="403"/>
      <c r="G787" s="402"/>
      <c r="H787" s="402"/>
      <c r="I787" s="402"/>
      <c r="J787" s="402"/>
      <c r="K787" s="402"/>
      <c r="L787" s="402"/>
      <c r="M787" s="402"/>
      <c r="N787" s="402"/>
      <c r="O787" s="402"/>
      <c r="P787" s="402"/>
      <c r="Q787" s="402"/>
      <c r="R787" s="402"/>
      <c r="S787" s="402"/>
      <c r="T787" s="402"/>
      <c r="U787" s="402"/>
      <c r="V787" s="402"/>
      <c r="W787" s="402"/>
      <c r="X787" s="402"/>
      <c r="Y787" s="402"/>
      <c r="Z787" s="402"/>
      <c r="AA787" s="405"/>
      <c r="AB787" s="405"/>
    </row>
    <row r="788" ht="14.25" customHeight="1">
      <c r="A788" s="402"/>
      <c r="B788" s="402"/>
      <c r="C788" s="402"/>
      <c r="D788" s="402"/>
      <c r="E788" s="402"/>
      <c r="F788" s="403"/>
      <c r="G788" s="402"/>
      <c r="H788" s="402"/>
      <c r="I788" s="402"/>
      <c r="J788" s="402"/>
      <c r="K788" s="402"/>
      <c r="L788" s="402"/>
      <c r="M788" s="402"/>
      <c r="N788" s="402"/>
      <c r="O788" s="402"/>
      <c r="P788" s="402"/>
      <c r="Q788" s="402"/>
      <c r="R788" s="402"/>
      <c r="S788" s="402"/>
      <c r="T788" s="402"/>
      <c r="U788" s="402"/>
      <c r="V788" s="402"/>
      <c r="W788" s="402"/>
      <c r="X788" s="402"/>
      <c r="Y788" s="402"/>
      <c r="Z788" s="402"/>
      <c r="AA788" s="405"/>
      <c r="AB788" s="405"/>
    </row>
    <row r="789" ht="14.25" customHeight="1">
      <c r="A789" s="402"/>
      <c r="B789" s="402"/>
      <c r="C789" s="402"/>
      <c r="D789" s="402"/>
      <c r="E789" s="402"/>
      <c r="F789" s="403"/>
      <c r="G789" s="402"/>
      <c r="H789" s="402"/>
      <c r="I789" s="402"/>
      <c r="J789" s="402"/>
      <c r="K789" s="402"/>
      <c r="L789" s="402"/>
      <c r="M789" s="402"/>
      <c r="N789" s="402"/>
      <c r="O789" s="402"/>
      <c r="P789" s="402"/>
      <c r="Q789" s="402"/>
      <c r="R789" s="402"/>
      <c r="S789" s="402"/>
      <c r="T789" s="402"/>
      <c r="U789" s="402"/>
      <c r="V789" s="402"/>
      <c r="W789" s="402"/>
      <c r="X789" s="402"/>
      <c r="Y789" s="402"/>
      <c r="Z789" s="402"/>
      <c r="AA789" s="405"/>
      <c r="AB789" s="405"/>
    </row>
    <row r="790" ht="14.25" customHeight="1">
      <c r="A790" s="402"/>
      <c r="B790" s="402"/>
      <c r="C790" s="402"/>
      <c r="D790" s="402"/>
      <c r="E790" s="402"/>
      <c r="F790" s="403"/>
      <c r="G790" s="402"/>
      <c r="H790" s="402"/>
      <c r="I790" s="402"/>
      <c r="J790" s="402"/>
      <c r="K790" s="402"/>
      <c r="L790" s="402"/>
      <c r="M790" s="402"/>
      <c r="N790" s="402"/>
      <c r="O790" s="402"/>
      <c r="P790" s="402"/>
      <c r="Q790" s="402"/>
      <c r="R790" s="402"/>
      <c r="S790" s="402"/>
      <c r="T790" s="402"/>
      <c r="U790" s="402"/>
      <c r="V790" s="402"/>
      <c r="W790" s="402"/>
      <c r="X790" s="402"/>
      <c r="Y790" s="402"/>
      <c r="Z790" s="402"/>
      <c r="AA790" s="405"/>
      <c r="AB790" s="405"/>
    </row>
    <row r="791" ht="14.25" customHeight="1">
      <c r="A791" s="402"/>
      <c r="B791" s="402"/>
      <c r="C791" s="402"/>
      <c r="D791" s="402"/>
      <c r="E791" s="402"/>
      <c r="F791" s="403"/>
      <c r="G791" s="402"/>
      <c r="H791" s="402"/>
      <c r="I791" s="402"/>
      <c r="J791" s="402"/>
      <c r="K791" s="402"/>
      <c r="L791" s="402"/>
      <c r="M791" s="402"/>
      <c r="N791" s="402"/>
      <c r="O791" s="402"/>
      <c r="P791" s="402"/>
      <c r="Q791" s="402"/>
      <c r="R791" s="402"/>
      <c r="S791" s="402"/>
      <c r="T791" s="402"/>
      <c r="U791" s="402"/>
      <c r="V791" s="402"/>
      <c r="W791" s="402"/>
      <c r="X791" s="402"/>
      <c r="Y791" s="402"/>
      <c r="Z791" s="402"/>
      <c r="AA791" s="405"/>
      <c r="AB791" s="405"/>
    </row>
    <row r="792" ht="14.25" customHeight="1">
      <c r="A792" s="402"/>
      <c r="B792" s="402"/>
      <c r="C792" s="402"/>
      <c r="D792" s="402"/>
      <c r="E792" s="402"/>
      <c r="F792" s="403"/>
      <c r="G792" s="402"/>
      <c r="H792" s="402"/>
      <c r="I792" s="402"/>
      <c r="J792" s="402"/>
      <c r="K792" s="402"/>
      <c r="L792" s="402"/>
      <c r="M792" s="402"/>
      <c r="N792" s="402"/>
      <c r="O792" s="402"/>
      <c r="P792" s="402"/>
      <c r="Q792" s="402"/>
      <c r="R792" s="402"/>
      <c r="S792" s="402"/>
      <c r="T792" s="402"/>
      <c r="U792" s="402"/>
      <c r="V792" s="402"/>
      <c r="W792" s="402"/>
      <c r="X792" s="402"/>
      <c r="Y792" s="402"/>
      <c r="Z792" s="402"/>
      <c r="AA792" s="405"/>
      <c r="AB792" s="405"/>
    </row>
    <row r="793" ht="14.25" customHeight="1">
      <c r="A793" s="402"/>
      <c r="B793" s="402"/>
      <c r="C793" s="402"/>
      <c r="D793" s="402"/>
      <c r="E793" s="402"/>
      <c r="F793" s="403"/>
      <c r="G793" s="402"/>
      <c r="H793" s="402"/>
      <c r="I793" s="402"/>
      <c r="J793" s="402"/>
      <c r="K793" s="402"/>
      <c r="L793" s="402"/>
      <c r="M793" s="402"/>
      <c r="N793" s="402"/>
      <c r="O793" s="402"/>
      <c r="P793" s="402"/>
      <c r="Q793" s="402"/>
      <c r="R793" s="402"/>
      <c r="S793" s="402"/>
      <c r="T793" s="402"/>
      <c r="U793" s="402"/>
      <c r="V793" s="402"/>
      <c r="W793" s="402"/>
      <c r="X793" s="402"/>
      <c r="Y793" s="402"/>
      <c r="Z793" s="402"/>
      <c r="AA793" s="405"/>
      <c r="AB793" s="405"/>
    </row>
    <row r="794" ht="14.25" customHeight="1">
      <c r="A794" s="402"/>
      <c r="B794" s="402"/>
      <c r="C794" s="402"/>
      <c r="D794" s="402"/>
      <c r="E794" s="402"/>
      <c r="F794" s="403"/>
      <c r="G794" s="402"/>
      <c r="H794" s="402"/>
      <c r="I794" s="402"/>
      <c r="J794" s="402"/>
      <c r="K794" s="402"/>
      <c r="L794" s="402"/>
      <c r="M794" s="402"/>
      <c r="N794" s="402"/>
      <c r="O794" s="402"/>
      <c r="P794" s="402"/>
      <c r="Q794" s="402"/>
      <c r="R794" s="402"/>
      <c r="S794" s="402"/>
      <c r="T794" s="402"/>
      <c r="U794" s="402"/>
      <c r="V794" s="402"/>
      <c r="W794" s="402"/>
      <c r="X794" s="402"/>
      <c r="Y794" s="402"/>
      <c r="Z794" s="402"/>
      <c r="AA794" s="405"/>
      <c r="AB794" s="405"/>
    </row>
    <row r="795" ht="14.25" customHeight="1">
      <c r="A795" s="402"/>
      <c r="B795" s="402"/>
      <c r="C795" s="402"/>
      <c r="D795" s="402"/>
      <c r="E795" s="402"/>
      <c r="F795" s="403"/>
      <c r="G795" s="402"/>
      <c r="H795" s="402"/>
      <c r="I795" s="402"/>
      <c r="J795" s="402"/>
      <c r="K795" s="402"/>
      <c r="L795" s="402"/>
      <c r="M795" s="402"/>
      <c r="N795" s="402"/>
      <c r="O795" s="402"/>
      <c r="P795" s="402"/>
      <c r="Q795" s="402"/>
      <c r="R795" s="402"/>
      <c r="S795" s="402"/>
      <c r="T795" s="402"/>
      <c r="U795" s="402"/>
      <c r="V795" s="402"/>
      <c r="W795" s="402"/>
      <c r="X795" s="402"/>
      <c r="Y795" s="402"/>
      <c r="Z795" s="402"/>
      <c r="AA795" s="405"/>
      <c r="AB795" s="405"/>
    </row>
    <row r="796" ht="14.25" customHeight="1">
      <c r="A796" s="402"/>
      <c r="B796" s="402"/>
      <c r="C796" s="402"/>
      <c r="D796" s="402"/>
      <c r="E796" s="402"/>
      <c r="F796" s="403"/>
      <c r="G796" s="402"/>
      <c r="H796" s="402"/>
      <c r="I796" s="402"/>
      <c r="J796" s="402"/>
      <c r="K796" s="402"/>
      <c r="L796" s="402"/>
      <c r="M796" s="402"/>
      <c r="N796" s="402"/>
      <c r="O796" s="402"/>
      <c r="P796" s="402"/>
      <c r="Q796" s="402"/>
      <c r="R796" s="402"/>
      <c r="S796" s="402"/>
      <c r="T796" s="402"/>
      <c r="U796" s="402"/>
      <c r="V796" s="402"/>
      <c r="W796" s="402"/>
      <c r="X796" s="402"/>
      <c r="Y796" s="402"/>
      <c r="Z796" s="402"/>
      <c r="AA796" s="405"/>
      <c r="AB796" s="405"/>
    </row>
    <row r="797" ht="14.25" customHeight="1">
      <c r="A797" s="402"/>
      <c r="B797" s="402"/>
      <c r="C797" s="402"/>
      <c r="D797" s="402"/>
      <c r="E797" s="402"/>
      <c r="F797" s="403"/>
      <c r="G797" s="402"/>
      <c r="H797" s="402"/>
      <c r="I797" s="402"/>
      <c r="J797" s="402"/>
      <c r="K797" s="402"/>
      <c r="L797" s="402"/>
      <c r="M797" s="402"/>
      <c r="N797" s="402"/>
      <c r="O797" s="402"/>
      <c r="P797" s="402"/>
      <c r="Q797" s="402"/>
      <c r="R797" s="402"/>
      <c r="S797" s="402"/>
      <c r="T797" s="402"/>
      <c r="U797" s="402"/>
      <c r="V797" s="402"/>
      <c r="W797" s="402"/>
      <c r="X797" s="402"/>
      <c r="Y797" s="402"/>
      <c r="Z797" s="402"/>
      <c r="AA797" s="405"/>
      <c r="AB797" s="405"/>
    </row>
    <row r="798" ht="14.25" customHeight="1">
      <c r="A798" s="402"/>
      <c r="B798" s="402"/>
      <c r="C798" s="402"/>
      <c r="D798" s="402"/>
      <c r="E798" s="402"/>
      <c r="F798" s="403"/>
      <c r="G798" s="402"/>
      <c r="H798" s="402"/>
      <c r="I798" s="402"/>
      <c r="J798" s="402"/>
      <c r="K798" s="402"/>
      <c r="L798" s="402"/>
      <c r="M798" s="402"/>
      <c r="N798" s="402"/>
      <c r="O798" s="402"/>
      <c r="P798" s="402"/>
      <c r="Q798" s="402"/>
      <c r="R798" s="402"/>
      <c r="S798" s="402"/>
      <c r="T798" s="402"/>
      <c r="U798" s="402"/>
      <c r="V798" s="402"/>
      <c r="W798" s="402"/>
      <c r="X798" s="402"/>
      <c r="Y798" s="402"/>
      <c r="Z798" s="402"/>
      <c r="AA798" s="405"/>
      <c r="AB798" s="405"/>
    </row>
    <row r="799" ht="14.25" customHeight="1">
      <c r="A799" s="402"/>
      <c r="B799" s="402"/>
      <c r="C799" s="402"/>
      <c r="D799" s="402"/>
      <c r="E799" s="402"/>
      <c r="F799" s="403"/>
      <c r="G799" s="402"/>
      <c r="H799" s="402"/>
      <c r="I799" s="402"/>
      <c r="J799" s="402"/>
      <c r="K799" s="402"/>
      <c r="L799" s="402"/>
      <c r="M799" s="402"/>
      <c r="N799" s="402"/>
      <c r="O799" s="402"/>
      <c r="P799" s="402"/>
      <c r="Q799" s="402"/>
      <c r="R799" s="402"/>
      <c r="S799" s="402"/>
      <c r="T799" s="402"/>
      <c r="U799" s="402"/>
      <c r="V799" s="402"/>
      <c r="W799" s="402"/>
      <c r="X799" s="402"/>
      <c r="Y799" s="402"/>
      <c r="Z799" s="402"/>
      <c r="AA799" s="405"/>
      <c r="AB799" s="405"/>
    </row>
    <row r="800" ht="14.25" customHeight="1">
      <c r="A800" s="402"/>
      <c r="B800" s="402"/>
      <c r="C800" s="402"/>
      <c r="D800" s="402"/>
      <c r="E800" s="402"/>
      <c r="F800" s="403"/>
      <c r="G800" s="402"/>
      <c r="H800" s="402"/>
      <c r="I800" s="402"/>
      <c r="J800" s="402"/>
      <c r="K800" s="402"/>
      <c r="L800" s="402"/>
      <c r="M800" s="402"/>
      <c r="N800" s="402"/>
      <c r="O800" s="402"/>
      <c r="P800" s="402"/>
      <c r="Q800" s="402"/>
      <c r="R800" s="402"/>
      <c r="S800" s="402"/>
      <c r="T800" s="402"/>
      <c r="U800" s="402"/>
      <c r="V800" s="402"/>
      <c r="W800" s="402"/>
      <c r="X800" s="402"/>
      <c r="Y800" s="402"/>
      <c r="Z800" s="402"/>
      <c r="AA800" s="405"/>
      <c r="AB800" s="405"/>
    </row>
    <row r="801" ht="14.25" customHeight="1">
      <c r="A801" s="402"/>
      <c r="B801" s="402"/>
      <c r="C801" s="402"/>
      <c r="D801" s="402"/>
      <c r="E801" s="402"/>
      <c r="F801" s="403"/>
      <c r="G801" s="402"/>
      <c r="H801" s="402"/>
      <c r="I801" s="402"/>
      <c r="J801" s="402"/>
      <c r="K801" s="402"/>
      <c r="L801" s="402"/>
      <c r="M801" s="402"/>
      <c r="N801" s="402"/>
      <c r="O801" s="402"/>
      <c r="P801" s="402"/>
      <c r="Q801" s="402"/>
      <c r="R801" s="402"/>
      <c r="S801" s="402"/>
      <c r="T801" s="402"/>
      <c r="U801" s="402"/>
      <c r="V801" s="402"/>
      <c r="W801" s="402"/>
      <c r="X801" s="402"/>
      <c r="Y801" s="402"/>
      <c r="Z801" s="402"/>
      <c r="AA801" s="405"/>
      <c r="AB801" s="405"/>
    </row>
    <row r="802" ht="14.25" customHeight="1">
      <c r="A802" s="402"/>
      <c r="B802" s="402"/>
      <c r="C802" s="402"/>
      <c r="D802" s="402"/>
      <c r="E802" s="402"/>
      <c r="F802" s="403"/>
      <c r="G802" s="402"/>
      <c r="H802" s="402"/>
      <c r="I802" s="402"/>
      <c r="J802" s="402"/>
      <c r="K802" s="402"/>
      <c r="L802" s="402"/>
      <c r="M802" s="402"/>
      <c r="N802" s="402"/>
      <c r="O802" s="402"/>
      <c r="P802" s="402"/>
      <c r="Q802" s="402"/>
      <c r="R802" s="402"/>
      <c r="S802" s="402"/>
      <c r="T802" s="402"/>
      <c r="U802" s="402"/>
      <c r="V802" s="402"/>
      <c r="W802" s="402"/>
      <c r="X802" s="402"/>
      <c r="Y802" s="402"/>
      <c r="Z802" s="402"/>
      <c r="AA802" s="405"/>
      <c r="AB802" s="405"/>
    </row>
    <row r="803" ht="14.25" customHeight="1">
      <c r="A803" s="402"/>
      <c r="B803" s="402"/>
      <c r="C803" s="402"/>
      <c r="D803" s="402"/>
      <c r="E803" s="402"/>
      <c r="F803" s="403"/>
      <c r="G803" s="402"/>
      <c r="H803" s="402"/>
      <c r="I803" s="402"/>
      <c r="J803" s="402"/>
      <c r="K803" s="402"/>
      <c r="L803" s="402"/>
      <c r="M803" s="402"/>
      <c r="N803" s="402"/>
      <c r="O803" s="402"/>
      <c r="P803" s="402"/>
      <c r="Q803" s="402"/>
      <c r="R803" s="402"/>
      <c r="S803" s="402"/>
      <c r="T803" s="402"/>
      <c r="U803" s="402"/>
      <c r="V803" s="402"/>
      <c r="W803" s="402"/>
      <c r="X803" s="402"/>
      <c r="Y803" s="402"/>
      <c r="Z803" s="402"/>
      <c r="AA803" s="405"/>
      <c r="AB803" s="405"/>
    </row>
    <row r="804" ht="14.25" customHeight="1">
      <c r="A804" s="402"/>
      <c r="B804" s="402"/>
      <c r="C804" s="402"/>
      <c r="D804" s="402"/>
      <c r="E804" s="402"/>
      <c r="F804" s="403"/>
      <c r="G804" s="402"/>
      <c r="H804" s="402"/>
      <c r="I804" s="402"/>
      <c r="J804" s="402"/>
      <c r="K804" s="402"/>
      <c r="L804" s="402"/>
      <c r="M804" s="402"/>
      <c r="N804" s="402"/>
      <c r="O804" s="402"/>
      <c r="P804" s="402"/>
      <c r="Q804" s="402"/>
      <c r="R804" s="402"/>
      <c r="S804" s="402"/>
      <c r="T804" s="402"/>
      <c r="U804" s="402"/>
      <c r="V804" s="402"/>
      <c r="W804" s="402"/>
      <c r="X804" s="402"/>
      <c r="Y804" s="402"/>
      <c r="Z804" s="402"/>
      <c r="AA804" s="405"/>
      <c r="AB804" s="405"/>
    </row>
    <row r="805" ht="14.25" customHeight="1">
      <c r="A805" s="402"/>
      <c r="B805" s="402"/>
      <c r="C805" s="402"/>
      <c r="D805" s="402"/>
      <c r="E805" s="402"/>
      <c r="F805" s="403"/>
      <c r="G805" s="402"/>
      <c r="H805" s="402"/>
      <c r="I805" s="402"/>
      <c r="J805" s="402"/>
      <c r="K805" s="402"/>
      <c r="L805" s="402"/>
      <c r="M805" s="402"/>
      <c r="N805" s="402"/>
      <c r="O805" s="402"/>
      <c r="P805" s="402"/>
      <c r="Q805" s="402"/>
      <c r="R805" s="402"/>
      <c r="S805" s="402"/>
      <c r="T805" s="402"/>
      <c r="U805" s="402"/>
      <c r="V805" s="402"/>
      <c r="W805" s="402"/>
      <c r="X805" s="402"/>
      <c r="Y805" s="402"/>
      <c r="Z805" s="402"/>
      <c r="AA805" s="405"/>
      <c r="AB805" s="405"/>
    </row>
    <row r="806" ht="14.25" customHeight="1">
      <c r="A806" s="402"/>
      <c r="B806" s="402"/>
      <c r="C806" s="402"/>
      <c r="D806" s="402"/>
      <c r="E806" s="402"/>
      <c r="F806" s="403"/>
      <c r="G806" s="402"/>
      <c r="H806" s="402"/>
      <c r="I806" s="402"/>
      <c r="J806" s="402"/>
      <c r="K806" s="402"/>
      <c r="L806" s="402"/>
      <c r="M806" s="402"/>
      <c r="N806" s="402"/>
      <c r="O806" s="402"/>
      <c r="P806" s="402"/>
      <c r="Q806" s="402"/>
      <c r="R806" s="402"/>
      <c r="S806" s="402"/>
      <c r="T806" s="402"/>
      <c r="U806" s="402"/>
      <c r="V806" s="402"/>
      <c r="W806" s="402"/>
      <c r="X806" s="402"/>
      <c r="Y806" s="402"/>
      <c r="Z806" s="402"/>
      <c r="AA806" s="405"/>
      <c r="AB806" s="405"/>
    </row>
    <row r="807" ht="14.25" customHeight="1">
      <c r="A807" s="402"/>
      <c r="B807" s="402"/>
      <c r="C807" s="402"/>
      <c r="D807" s="402"/>
      <c r="E807" s="402"/>
      <c r="F807" s="403"/>
      <c r="G807" s="402"/>
      <c r="H807" s="402"/>
      <c r="I807" s="402"/>
      <c r="J807" s="402"/>
      <c r="K807" s="402"/>
      <c r="L807" s="402"/>
      <c r="M807" s="402"/>
      <c r="N807" s="402"/>
      <c r="O807" s="402"/>
      <c r="P807" s="402"/>
      <c r="Q807" s="402"/>
      <c r="R807" s="402"/>
      <c r="S807" s="402"/>
      <c r="T807" s="402"/>
      <c r="U807" s="402"/>
      <c r="V807" s="402"/>
      <c r="W807" s="402"/>
      <c r="X807" s="402"/>
      <c r="Y807" s="402"/>
      <c r="Z807" s="402"/>
      <c r="AA807" s="405"/>
      <c r="AB807" s="405"/>
    </row>
    <row r="808" ht="14.25" customHeight="1">
      <c r="A808" s="402"/>
      <c r="B808" s="402"/>
      <c r="C808" s="402"/>
      <c r="D808" s="402"/>
      <c r="E808" s="402"/>
      <c r="F808" s="403"/>
      <c r="G808" s="402"/>
      <c r="H808" s="402"/>
      <c r="I808" s="402"/>
      <c r="J808" s="402"/>
      <c r="K808" s="402"/>
      <c r="L808" s="402"/>
      <c r="M808" s="402"/>
      <c r="N808" s="402"/>
      <c r="O808" s="402"/>
      <c r="P808" s="402"/>
      <c r="Q808" s="402"/>
      <c r="R808" s="402"/>
      <c r="S808" s="402"/>
      <c r="T808" s="402"/>
      <c r="U808" s="402"/>
      <c r="V808" s="402"/>
      <c r="W808" s="402"/>
      <c r="X808" s="402"/>
      <c r="Y808" s="402"/>
      <c r="Z808" s="402"/>
      <c r="AA808" s="405"/>
      <c r="AB808" s="405"/>
    </row>
    <row r="809" ht="14.25" customHeight="1">
      <c r="A809" s="402"/>
      <c r="B809" s="402"/>
      <c r="C809" s="402"/>
      <c r="D809" s="402"/>
      <c r="E809" s="402"/>
      <c r="F809" s="403"/>
      <c r="G809" s="402"/>
      <c r="H809" s="402"/>
      <c r="I809" s="402"/>
      <c r="J809" s="402"/>
      <c r="K809" s="402"/>
      <c r="L809" s="402"/>
      <c r="M809" s="402"/>
      <c r="N809" s="402"/>
      <c r="O809" s="402"/>
      <c r="P809" s="402"/>
      <c r="Q809" s="402"/>
      <c r="R809" s="402"/>
      <c r="S809" s="402"/>
      <c r="T809" s="402"/>
      <c r="U809" s="402"/>
      <c r="V809" s="402"/>
      <c r="W809" s="402"/>
      <c r="X809" s="402"/>
      <c r="Y809" s="402"/>
      <c r="Z809" s="402"/>
      <c r="AA809" s="405"/>
      <c r="AB809" s="405"/>
    </row>
    <row r="810" ht="14.25" customHeight="1">
      <c r="A810" s="402"/>
      <c r="B810" s="402"/>
      <c r="C810" s="402"/>
      <c r="D810" s="402"/>
      <c r="E810" s="402"/>
      <c r="F810" s="403"/>
      <c r="G810" s="402"/>
      <c r="H810" s="402"/>
      <c r="I810" s="402"/>
      <c r="J810" s="402"/>
      <c r="K810" s="402"/>
      <c r="L810" s="402"/>
      <c r="M810" s="402"/>
      <c r="N810" s="402"/>
      <c r="O810" s="402"/>
      <c r="P810" s="402"/>
      <c r="Q810" s="402"/>
      <c r="R810" s="402"/>
      <c r="S810" s="402"/>
      <c r="T810" s="402"/>
      <c r="U810" s="402"/>
      <c r="V810" s="402"/>
      <c r="W810" s="402"/>
      <c r="X810" s="402"/>
      <c r="Y810" s="402"/>
      <c r="Z810" s="402"/>
      <c r="AA810" s="405"/>
      <c r="AB810" s="405"/>
    </row>
    <row r="811" ht="14.25" customHeight="1">
      <c r="A811" s="402"/>
      <c r="B811" s="402"/>
      <c r="C811" s="402"/>
      <c r="D811" s="402"/>
      <c r="E811" s="402"/>
      <c r="F811" s="403"/>
      <c r="G811" s="402"/>
      <c r="H811" s="402"/>
      <c r="I811" s="402"/>
      <c r="J811" s="402"/>
      <c r="K811" s="402"/>
      <c r="L811" s="402"/>
      <c r="M811" s="402"/>
      <c r="N811" s="402"/>
      <c r="O811" s="402"/>
      <c r="P811" s="402"/>
      <c r="Q811" s="402"/>
      <c r="R811" s="402"/>
      <c r="S811" s="402"/>
      <c r="T811" s="402"/>
      <c r="U811" s="402"/>
      <c r="V811" s="402"/>
      <c r="W811" s="402"/>
      <c r="X811" s="402"/>
      <c r="Y811" s="402"/>
      <c r="Z811" s="402"/>
      <c r="AA811" s="405"/>
      <c r="AB811" s="405"/>
    </row>
    <row r="812" ht="14.25" customHeight="1">
      <c r="A812" s="402"/>
      <c r="B812" s="402"/>
      <c r="C812" s="402"/>
      <c r="D812" s="402"/>
      <c r="E812" s="402"/>
      <c r="F812" s="403"/>
      <c r="G812" s="402"/>
      <c r="H812" s="402"/>
      <c r="I812" s="402"/>
      <c r="J812" s="402"/>
      <c r="K812" s="402"/>
      <c r="L812" s="402"/>
      <c r="M812" s="402"/>
      <c r="N812" s="402"/>
      <c r="O812" s="402"/>
      <c r="P812" s="402"/>
      <c r="Q812" s="402"/>
      <c r="R812" s="402"/>
      <c r="S812" s="402"/>
      <c r="T812" s="402"/>
      <c r="U812" s="402"/>
      <c r="V812" s="402"/>
      <c r="W812" s="402"/>
      <c r="X812" s="402"/>
      <c r="Y812" s="402"/>
      <c r="Z812" s="402"/>
      <c r="AA812" s="405"/>
      <c r="AB812" s="405"/>
    </row>
    <row r="813" ht="14.25" customHeight="1">
      <c r="A813" s="402"/>
      <c r="B813" s="402"/>
      <c r="C813" s="402"/>
      <c r="D813" s="402"/>
      <c r="E813" s="402"/>
      <c r="F813" s="403"/>
      <c r="G813" s="402"/>
      <c r="H813" s="402"/>
      <c r="I813" s="402"/>
      <c r="J813" s="402"/>
      <c r="K813" s="402"/>
      <c r="L813" s="402"/>
      <c r="M813" s="402"/>
      <c r="N813" s="402"/>
      <c r="O813" s="402"/>
      <c r="P813" s="402"/>
      <c r="Q813" s="402"/>
      <c r="R813" s="402"/>
      <c r="S813" s="402"/>
      <c r="T813" s="402"/>
      <c r="U813" s="402"/>
      <c r="V813" s="402"/>
      <c r="W813" s="402"/>
      <c r="X813" s="402"/>
      <c r="Y813" s="402"/>
      <c r="Z813" s="402"/>
      <c r="AA813" s="405"/>
      <c r="AB813" s="405"/>
    </row>
    <row r="814" ht="14.25" customHeight="1">
      <c r="A814" s="402"/>
      <c r="B814" s="402"/>
      <c r="C814" s="402"/>
      <c r="D814" s="402"/>
      <c r="E814" s="402"/>
      <c r="F814" s="403"/>
      <c r="G814" s="402"/>
      <c r="H814" s="402"/>
      <c r="I814" s="402"/>
      <c r="J814" s="402"/>
      <c r="K814" s="402"/>
      <c r="L814" s="402"/>
      <c r="M814" s="402"/>
      <c r="N814" s="402"/>
      <c r="O814" s="402"/>
      <c r="P814" s="402"/>
      <c r="Q814" s="402"/>
      <c r="R814" s="402"/>
      <c r="S814" s="402"/>
      <c r="T814" s="402"/>
      <c r="U814" s="402"/>
      <c r="V814" s="402"/>
      <c r="W814" s="402"/>
      <c r="X814" s="402"/>
      <c r="Y814" s="402"/>
      <c r="Z814" s="402"/>
      <c r="AA814" s="405"/>
      <c r="AB814" s="405"/>
    </row>
    <row r="815" ht="14.25" customHeight="1">
      <c r="A815" s="402"/>
      <c r="B815" s="402"/>
      <c r="C815" s="402"/>
      <c r="D815" s="402"/>
      <c r="E815" s="402"/>
      <c r="F815" s="403"/>
      <c r="G815" s="402"/>
      <c r="H815" s="402"/>
      <c r="I815" s="402"/>
      <c r="J815" s="402"/>
      <c r="K815" s="402"/>
      <c r="L815" s="402"/>
      <c r="M815" s="402"/>
      <c r="N815" s="402"/>
      <c r="O815" s="402"/>
      <c r="P815" s="402"/>
      <c r="Q815" s="402"/>
      <c r="R815" s="402"/>
      <c r="S815" s="402"/>
      <c r="T815" s="402"/>
      <c r="U815" s="402"/>
      <c r="V815" s="402"/>
      <c r="W815" s="402"/>
      <c r="X815" s="402"/>
      <c r="Y815" s="402"/>
      <c r="Z815" s="402"/>
      <c r="AA815" s="405"/>
      <c r="AB815" s="405"/>
    </row>
    <row r="816" ht="14.25" customHeight="1">
      <c r="A816" s="402"/>
      <c r="B816" s="402"/>
      <c r="C816" s="402"/>
      <c r="D816" s="402"/>
      <c r="E816" s="402"/>
      <c r="F816" s="403"/>
      <c r="G816" s="402"/>
      <c r="H816" s="402"/>
      <c r="I816" s="402"/>
      <c r="J816" s="402"/>
      <c r="K816" s="402"/>
      <c r="L816" s="402"/>
      <c r="M816" s="402"/>
      <c r="N816" s="402"/>
      <c r="O816" s="402"/>
      <c r="P816" s="402"/>
      <c r="Q816" s="402"/>
      <c r="R816" s="402"/>
      <c r="S816" s="402"/>
      <c r="T816" s="402"/>
      <c r="U816" s="402"/>
      <c r="V816" s="402"/>
      <c r="W816" s="402"/>
      <c r="X816" s="402"/>
      <c r="Y816" s="402"/>
      <c r="Z816" s="402"/>
      <c r="AA816" s="405"/>
      <c r="AB816" s="405"/>
    </row>
    <row r="817" ht="14.25" customHeight="1">
      <c r="A817" s="402"/>
      <c r="B817" s="402"/>
      <c r="C817" s="402"/>
      <c r="D817" s="402"/>
      <c r="E817" s="402"/>
      <c r="F817" s="403"/>
      <c r="G817" s="402"/>
      <c r="H817" s="402"/>
      <c r="I817" s="402"/>
      <c r="J817" s="402"/>
      <c r="K817" s="402"/>
      <c r="L817" s="402"/>
      <c r="M817" s="402"/>
      <c r="N817" s="402"/>
      <c r="O817" s="402"/>
      <c r="P817" s="402"/>
      <c r="Q817" s="402"/>
      <c r="R817" s="402"/>
      <c r="S817" s="402"/>
      <c r="T817" s="402"/>
      <c r="U817" s="402"/>
      <c r="V817" s="402"/>
      <c r="W817" s="402"/>
      <c r="X817" s="402"/>
      <c r="Y817" s="402"/>
      <c r="Z817" s="402"/>
      <c r="AA817" s="405"/>
      <c r="AB817" s="405"/>
    </row>
    <row r="818" ht="14.25" customHeight="1">
      <c r="A818" s="402"/>
      <c r="B818" s="402"/>
      <c r="C818" s="402"/>
      <c r="D818" s="402"/>
      <c r="E818" s="402"/>
      <c r="F818" s="403"/>
      <c r="G818" s="402"/>
      <c r="H818" s="402"/>
      <c r="I818" s="402"/>
      <c r="J818" s="402"/>
      <c r="K818" s="402"/>
      <c r="L818" s="402"/>
      <c r="M818" s="402"/>
      <c r="N818" s="402"/>
      <c r="O818" s="402"/>
      <c r="P818" s="402"/>
      <c r="Q818" s="402"/>
      <c r="R818" s="402"/>
      <c r="S818" s="402"/>
      <c r="T818" s="402"/>
      <c r="U818" s="402"/>
      <c r="V818" s="402"/>
      <c r="W818" s="402"/>
      <c r="X818" s="402"/>
      <c r="Y818" s="402"/>
      <c r="Z818" s="402"/>
      <c r="AA818" s="405"/>
      <c r="AB818" s="405"/>
    </row>
    <row r="819" ht="14.25" customHeight="1">
      <c r="A819" s="402"/>
      <c r="B819" s="402"/>
      <c r="C819" s="402"/>
      <c r="D819" s="402"/>
      <c r="E819" s="402"/>
      <c r="F819" s="403"/>
      <c r="G819" s="402"/>
      <c r="H819" s="402"/>
      <c r="I819" s="402"/>
      <c r="J819" s="402"/>
      <c r="K819" s="402"/>
      <c r="L819" s="402"/>
      <c r="M819" s="402"/>
      <c r="N819" s="402"/>
      <c r="O819" s="402"/>
      <c r="P819" s="402"/>
      <c r="Q819" s="402"/>
      <c r="R819" s="402"/>
      <c r="S819" s="402"/>
      <c r="T819" s="402"/>
      <c r="U819" s="402"/>
      <c r="V819" s="402"/>
      <c r="W819" s="402"/>
      <c r="X819" s="402"/>
      <c r="Y819" s="402"/>
      <c r="Z819" s="402"/>
      <c r="AA819" s="405"/>
      <c r="AB819" s="405"/>
    </row>
    <row r="820" ht="14.25" customHeight="1">
      <c r="A820" s="402"/>
      <c r="B820" s="402"/>
      <c r="C820" s="402"/>
      <c r="D820" s="402"/>
      <c r="E820" s="402"/>
      <c r="F820" s="403"/>
      <c r="G820" s="402"/>
      <c r="H820" s="402"/>
      <c r="I820" s="402"/>
      <c r="J820" s="402"/>
      <c r="K820" s="402"/>
      <c r="L820" s="402"/>
      <c r="M820" s="402"/>
      <c r="N820" s="402"/>
      <c r="O820" s="402"/>
      <c r="P820" s="402"/>
      <c r="Q820" s="402"/>
      <c r="R820" s="402"/>
      <c r="S820" s="402"/>
      <c r="T820" s="402"/>
      <c r="U820" s="402"/>
      <c r="V820" s="402"/>
      <c r="W820" s="402"/>
      <c r="X820" s="402"/>
      <c r="Y820" s="402"/>
      <c r="Z820" s="402"/>
      <c r="AA820" s="405"/>
      <c r="AB820" s="405"/>
    </row>
    <row r="821" ht="14.25" customHeight="1">
      <c r="A821" s="402"/>
      <c r="B821" s="402"/>
      <c r="C821" s="402"/>
      <c r="D821" s="402"/>
      <c r="E821" s="402"/>
      <c r="F821" s="403"/>
      <c r="G821" s="402"/>
      <c r="H821" s="402"/>
      <c r="I821" s="402"/>
      <c r="J821" s="402"/>
      <c r="K821" s="402"/>
      <c r="L821" s="402"/>
      <c r="M821" s="402"/>
      <c r="N821" s="402"/>
      <c r="O821" s="402"/>
      <c r="P821" s="402"/>
      <c r="Q821" s="402"/>
      <c r="R821" s="402"/>
      <c r="S821" s="402"/>
      <c r="T821" s="402"/>
      <c r="U821" s="402"/>
      <c r="V821" s="402"/>
      <c r="W821" s="402"/>
      <c r="X821" s="402"/>
      <c r="Y821" s="402"/>
      <c r="Z821" s="402"/>
      <c r="AA821" s="405"/>
      <c r="AB821" s="405"/>
    </row>
    <row r="822" ht="14.25" customHeight="1">
      <c r="A822" s="402"/>
      <c r="B822" s="402"/>
      <c r="C822" s="402"/>
      <c r="D822" s="402"/>
      <c r="E822" s="402"/>
      <c r="F822" s="403"/>
      <c r="G822" s="402"/>
      <c r="H822" s="402"/>
      <c r="I822" s="402"/>
      <c r="J822" s="402"/>
      <c r="K822" s="402"/>
      <c r="L822" s="402"/>
      <c r="M822" s="402"/>
      <c r="N822" s="402"/>
      <c r="O822" s="402"/>
      <c r="P822" s="402"/>
      <c r="Q822" s="402"/>
      <c r="R822" s="402"/>
      <c r="S822" s="402"/>
      <c r="T822" s="402"/>
      <c r="U822" s="402"/>
      <c r="V822" s="402"/>
      <c r="W822" s="402"/>
      <c r="X822" s="402"/>
      <c r="Y822" s="402"/>
      <c r="Z822" s="402"/>
      <c r="AA822" s="405"/>
      <c r="AB822" s="405"/>
    </row>
    <row r="823" ht="14.25" customHeight="1">
      <c r="A823" s="402"/>
      <c r="B823" s="402"/>
      <c r="C823" s="402"/>
      <c r="D823" s="402"/>
      <c r="E823" s="402"/>
      <c r="F823" s="403"/>
      <c r="G823" s="402"/>
      <c r="H823" s="402"/>
      <c r="I823" s="402"/>
      <c r="J823" s="402"/>
      <c r="K823" s="402"/>
      <c r="L823" s="402"/>
      <c r="M823" s="402"/>
      <c r="N823" s="402"/>
      <c r="O823" s="402"/>
      <c r="P823" s="402"/>
      <c r="Q823" s="402"/>
      <c r="R823" s="402"/>
      <c r="S823" s="402"/>
      <c r="T823" s="402"/>
      <c r="U823" s="402"/>
      <c r="V823" s="402"/>
      <c r="W823" s="402"/>
      <c r="X823" s="402"/>
      <c r="Y823" s="402"/>
      <c r="Z823" s="402"/>
      <c r="AA823" s="405"/>
      <c r="AB823" s="405"/>
    </row>
    <row r="824" ht="14.25" customHeight="1">
      <c r="A824" s="402"/>
      <c r="B824" s="402"/>
      <c r="C824" s="402"/>
      <c r="D824" s="402"/>
      <c r="E824" s="402"/>
      <c r="F824" s="403"/>
      <c r="G824" s="402"/>
      <c r="H824" s="402"/>
      <c r="I824" s="402"/>
      <c r="J824" s="402"/>
      <c r="K824" s="402"/>
      <c r="L824" s="402"/>
      <c r="M824" s="402"/>
      <c r="N824" s="402"/>
      <c r="O824" s="402"/>
      <c r="P824" s="402"/>
      <c r="Q824" s="402"/>
      <c r="R824" s="402"/>
      <c r="S824" s="402"/>
      <c r="T824" s="402"/>
      <c r="U824" s="402"/>
      <c r="V824" s="402"/>
      <c r="W824" s="402"/>
      <c r="X824" s="402"/>
      <c r="Y824" s="402"/>
      <c r="Z824" s="402"/>
      <c r="AA824" s="405"/>
      <c r="AB824" s="405"/>
    </row>
    <row r="825" ht="14.25" customHeight="1">
      <c r="A825" s="402"/>
      <c r="B825" s="402"/>
      <c r="C825" s="402"/>
      <c r="D825" s="402"/>
      <c r="E825" s="402"/>
      <c r="F825" s="403"/>
      <c r="G825" s="402"/>
      <c r="H825" s="402"/>
      <c r="I825" s="402"/>
      <c r="J825" s="402"/>
      <c r="K825" s="402"/>
      <c r="L825" s="402"/>
      <c r="M825" s="402"/>
      <c r="N825" s="402"/>
      <c r="O825" s="402"/>
      <c r="P825" s="402"/>
      <c r="Q825" s="402"/>
      <c r="R825" s="402"/>
      <c r="S825" s="402"/>
      <c r="T825" s="402"/>
      <c r="U825" s="402"/>
      <c r="V825" s="402"/>
      <c r="W825" s="402"/>
      <c r="X825" s="402"/>
      <c r="Y825" s="402"/>
      <c r="Z825" s="402"/>
      <c r="AA825" s="405"/>
      <c r="AB825" s="405"/>
    </row>
    <row r="826" ht="14.25" customHeight="1">
      <c r="A826" s="402"/>
      <c r="B826" s="402"/>
      <c r="C826" s="402"/>
      <c r="D826" s="402"/>
      <c r="E826" s="402"/>
      <c r="F826" s="403"/>
      <c r="G826" s="402"/>
      <c r="H826" s="402"/>
      <c r="I826" s="402"/>
      <c r="J826" s="402"/>
      <c r="K826" s="402"/>
      <c r="L826" s="402"/>
      <c r="M826" s="402"/>
      <c r="N826" s="402"/>
      <c r="O826" s="402"/>
      <c r="P826" s="402"/>
      <c r="Q826" s="402"/>
      <c r="R826" s="402"/>
      <c r="S826" s="402"/>
      <c r="T826" s="402"/>
      <c r="U826" s="402"/>
      <c r="V826" s="402"/>
      <c r="W826" s="402"/>
      <c r="X826" s="402"/>
      <c r="Y826" s="402"/>
      <c r="Z826" s="402"/>
      <c r="AA826" s="405"/>
      <c r="AB826" s="405"/>
    </row>
    <row r="827" ht="14.25" customHeight="1">
      <c r="A827" s="402"/>
      <c r="B827" s="402"/>
      <c r="C827" s="402"/>
      <c r="D827" s="402"/>
      <c r="E827" s="402"/>
      <c r="F827" s="403"/>
      <c r="G827" s="402"/>
      <c r="H827" s="402"/>
      <c r="I827" s="402"/>
      <c r="J827" s="402"/>
      <c r="K827" s="402"/>
      <c r="L827" s="402"/>
      <c r="M827" s="402"/>
      <c r="N827" s="402"/>
      <c r="O827" s="402"/>
      <c r="P827" s="402"/>
      <c r="Q827" s="402"/>
      <c r="R827" s="402"/>
      <c r="S827" s="402"/>
      <c r="T827" s="402"/>
      <c r="U827" s="402"/>
      <c r="V827" s="402"/>
      <c r="W827" s="402"/>
      <c r="X827" s="402"/>
      <c r="Y827" s="402"/>
      <c r="Z827" s="402"/>
      <c r="AA827" s="405"/>
      <c r="AB827" s="405"/>
    </row>
    <row r="828" ht="14.25" customHeight="1">
      <c r="A828" s="402"/>
      <c r="B828" s="402"/>
      <c r="C828" s="402"/>
      <c r="D828" s="402"/>
      <c r="E828" s="402"/>
      <c r="F828" s="403"/>
      <c r="G828" s="402"/>
      <c r="H828" s="402"/>
      <c r="I828" s="402"/>
      <c r="J828" s="402"/>
      <c r="K828" s="402"/>
      <c r="L828" s="402"/>
      <c r="M828" s="402"/>
      <c r="N828" s="402"/>
      <c r="O828" s="402"/>
      <c r="P828" s="402"/>
      <c r="Q828" s="402"/>
      <c r="R828" s="402"/>
      <c r="S828" s="402"/>
      <c r="T828" s="402"/>
      <c r="U828" s="402"/>
      <c r="V828" s="402"/>
      <c r="W828" s="402"/>
      <c r="X828" s="402"/>
      <c r="Y828" s="402"/>
      <c r="Z828" s="402"/>
      <c r="AA828" s="405"/>
      <c r="AB828" s="405"/>
    </row>
    <row r="829" ht="14.25" customHeight="1">
      <c r="A829" s="402"/>
      <c r="B829" s="402"/>
      <c r="C829" s="402"/>
      <c r="D829" s="402"/>
      <c r="E829" s="402"/>
      <c r="F829" s="403"/>
      <c r="G829" s="402"/>
      <c r="H829" s="402"/>
      <c r="I829" s="402"/>
      <c r="J829" s="402"/>
      <c r="K829" s="402"/>
      <c r="L829" s="402"/>
      <c r="M829" s="402"/>
      <c r="N829" s="402"/>
      <c r="O829" s="402"/>
      <c r="P829" s="402"/>
      <c r="Q829" s="402"/>
      <c r="R829" s="402"/>
      <c r="S829" s="402"/>
      <c r="T829" s="402"/>
      <c r="U829" s="402"/>
      <c r="V829" s="402"/>
      <c r="W829" s="402"/>
      <c r="X829" s="402"/>
      <c r="Y829" s="402"/>
      <c r="Z829" s="402"/>
      <c r="AA829" s="405"/>
      <c r="AB829" s="405"/>
    </row>
    <row r="830" ht="14.25" customHeight="1">
      <c r="A830" s="402"/>
      <c r="B830" s="402"/>
      <c r="C830" s="402"/>
      <c r="D830" s="402"/>
      <c r="E830" s="402"/>
      <c r="F830" s="403"/>
      <c r="G830" s="402"/>
      <c r="H830" s="402"/>
      <c r="I830" s="402"/>
      <c r="J830" s="402"/>
      <c r="K830" s="402"/>
      <c r="L830" s="402"/>
      <c r="M830" s="402"/>
      <c r="N830" s="402"/>
      <c r="O830" s="402"/>
      <c r="P830" s="402"/>
      <c r="Q830" s="402"/>
      <c r="R830" s="402"/>
      <c r="S830" s="402"/>
      <c r="T830" s="402"/>
      <c r="U830" s="402"/>
      <c r="V830" s="402"/>
      <c r="W830" s="402"/>
      <c r="X830" s="402"/>
      <c r="Y830" s="402"/>
      <c r="Z830" s="402"/>
      <c r="AA830" s="405"/>
      <c r="AB830" s="405"/>
    </row>
    <row r="831" ht="14.25" customHeight="1">
      <c r="A831" s="402"/>
      <c r="B831" s="402"/>
      <c r="C831" s="402"/>
      <c r="D831" s="402"/>
      <c r="E831" s="402"/>
      <c r="F831" s="403"/>
      <c r="G831" s="402"/>
      <c r="H831" s="402"/>
      <c r="I831" s="402"/>
      <c r="J831" s="402"/>
      <c r="K831" s="402"/>
      <c r="L831" s="402"/>
      <c r="M831" s="402"/>
      <c r="N831" s="402"/>
      <c r="O831" s="402"/>
      <c r="P831" s="402"/>
      <c r="Q831" s="402"/>
      <c r="R831" s="402"/>
      <c r="S831" s="402"/>
      <c r="T831" s="402"/>
      <c r="U831" s="402"/>
      <c r="V831" s="402"/>
      <c r="W831" s="402"/>
      <c r="X831" s="402"/>
      <c r="Y831" s="402"/>
      <c r="Z831" s="402"/>
      <c r="AA831" s="405"/>
      <c r="AB831" s="405"/>
    </row>
    <row r="832" ht="14.25" customHeight="1">
      <c r="A832" s="402"/>
      <c r="B832" s="402"/>
      <c r="C832" s="402"/>
      <c r="D832" s="402"/>
      <c r="E832" s="402"/>
      <c r="F832" s="403"/>
      <c r="G832" s="402"/>
      <c r="H832" s="402"/>
      <c r="I832" s="402"/>
      <c r="J832" s="402"/>
      <c r="K832" s="402"/>
      <c r="L832" s="402"/>
      <c r="M832" s="402"/>
      <c r="N832" s="402"/>
      <c r="O832" s="402"/>
      <c r="P832" s="402"/>
      <c r="Q832" s="402"/>
      <c r="R832" s="402"/>
      <c r="S832" s="402"/>
      <c r="T832" s="402"/>
      <c r="U832" s="402"/>
      <c r="V832" s="402"/>
      <c r="W832" s="402"/>
      <c r="X832" s="402"/>
      <c r="Y832" s="402"/>
      <c r="Z832" s="402"/>
      <c r="AA832" s="405"/>
      <c r="AB832" s="405"/>
    </row>
    <row r="833" ht="14.25" customHeight="1">
      <c r="A833" s="402"/>
      <c r="B833" s="402"/>
      <c r="C833" s="402"/>
      <c r="D833" s="402"/>
      <c r="E833" s="402"/>
      <c r="F833" s="403"/>
      <c r="G833" s="402"/>
      <c r="H833" s="402"/>
      <c r="I833" s="402"/>
      <c r="J833" s="402"/>
      <c r="K833" s="402"/>
      <c r="L833" s="402"/>
      <c r="M833" s="402"/>
      <c r="N833" s="402"/>
      <c r="O833" s="402"/>
      <c r="P833" s="402"/>
      <c r="Q833" s="402"/>
      <c r="R833" s="402"/>
      <c r="S833" s="402"/>
      <c r="T833" s="402"/>
      <c r="U833" s="402"/>
      <c r="V833" s="402"/>
      <c r="W833" s="402"/>
      <c r="X833" s="402"/>
      <c r="Y833" s="402"/>
      <c r="Z833" s="402"/>
      <c r="AA833" s="405"/>
      <c r="AB833" s="405"/>
    </row>
    <row r="834" ht="14.25" customHeight="1">
      <c r="A834" s="402"/>
      <c r="B834" s="402"/>
      <c r="C834" s="402"/>
      <c r="D834" s="402"/>
      <c r="E834" s="402"/>
      <c r="F834" s="403"/>
      <c r="G834" s="402"/>
      <c r="H834" s="402"/>
      <c r="I834" s="402"/>
      <c r="J834" s="402"/>
      <c r="K834" s="402"/>
      <c r="L834" s="402"/>
      <c r="M834" s="402"/>
      <c r="N834" s="402"/>
      <c r="O834" s="402"/>
      <c r="P834" s="402"/>
      <c r="Q834" s="402"/>
      <c r="R834" s="402"/>
      <c r="S834" s="402"/>
      <c r="T834" s="402"/>
      <c r="U834" s="402"/>
      <c r="V834" s="402"/>
      <c r="W834" s="402"/>
      <c r="X834" s="402"/>
      <c r="Y834" s="402"/>
      <c r="Z834" s="402"/>
      <c r="AA834" s="405"/>
      <c r="AB834" s="405"/>
    </row>
    <row r="835" ht="14.25" customHeight="1">
      <c r="A835" s="402"/>
      <c r="B835" s="402"/>
      <c r="C835" s="402"/>
      <c r="D835" s="402"/>
      <c r="E835" s="402"/>
      <c r="F835" s="403"/>
      <c r="G835" s="402"/>
      <c r="H835" s="402"/>
      <c r="I835" s="402"/>
      <c r="J835" s="402"/>
      <c r="K835" s="402"/>
      <c r="L835" s="402"/>
      <c r="M835" s="402"/>
      <c r="N835" s="402"/>
      <c r="O835" s="402"/>
      <c r="P835" s="402"/>
      <c r="Q835" s="402"/>
      <c r="R835" s="402"/>
      <c r="S835" s="402"/>
      <c r="T835" s="402"/>
      <c r="U835" s="402"/>
      <c r="V835" s="402"/>
      <c r="W835" s="402"/>
      <c r="X835" s="402"/>
      <c r="Y835" s="402"/>
      <c r="Z835" s="402"/>
      <c r="AA835" s="405"/>
      <c r="AB835" s="405"/>
    </row>
    <row r="836" ht="14.25" customHeight="1">
      <c r="A836" s="402"/>
      <c r="B836" s="402"/>
      <c r="C836" s="402"/>
      <c r="D836" s="402"/>
      <c r="E836" s="402"/>
      <c r="F836" s="403"/>
      <c r="G836" s="402"/>
      <c r="H836" s="402"/>
      <c r="I836" s="402"/>
      <c r="J836" s="402"/>
      <c r="K836" s="402"/>
      <c r="L836" s="402"/>
      <c r="M836" s="402"/>
      <c r="N836" s="402"/>
      <c r="O836" s="402"/>
      <c r="P836" s="402"/>
      <c r="Q836" s="402"/>
      <c r="R836" s="402"/>
      <c r="S836" s="402"/>
      <c r="T836" s="402"/>
      <c r="U836" s="402"/>
      <c r="V836" s="402"/>
      <c r="W836" s="402"/>
      <c r="X836" s="402"/>
      <c r="Y836" s="402"/>
      <c r="Z836" s="402"/>
      <c r="AA836" s="405"/>
      <c r="AB836" s="405"/>
    </row>
    <row r="837" ht="14.25" customHeight="1">
      <c r="A837" s="402"/>
      <c r="B837" s="402"/>
      <c r="C837" s="402"/>
      <c r="D837" s="402"/>
      <c r="E837" s="402"/>
      <c r="F837" s="403"/>
      <c r="G837" s="402"/>
      <c r="H837" s="402"/>
      <c r="I837" s="402"/>
      <c r="J837" s="402"/>
      <c r="K837" s="402"/>
      <c r="L837" s="402"/>
      <c r="M837" s="402"/>
      <c r="N837" s="402"/>
      <c r="O837" s="402"/>
      <c r="P837" s="402"/>
      <c r="Q837" s="402"/>
      <c r="R837" s="402"/>
      <c r="S837" s="402"/>
      <c r="T837" s="402"/>
      <c r="U837" s="402"/>
      <c r="V837" s="402"/>
      <c r="W837" s="402"/>
      <c r="X837" s="402"/>
      <c r="Y837" s="402"/>
      <c r="Z837" s="402"/>
      <c r="AA837" s="405"/>
      <c r="AB837" s="405"/>
    </row>
    <row r="838" ht="14.25" customHeight="1">
      <c r="A838" s="402"/>
      <c r="B838" s="402"/>
      <c r="C838" s="402"/>
      <c r="D838" s="402"/>
      <c r="E838" s="402"/>
      <c r="F838" s="403"/>
      <c r="G838" s="402"/>
      <c r="H838" s="402"/>
      <c r="I838" s="402"/>
      <c r="J838" s="402"/>
      <c r="K838" s="402"/>
      <c r="L838" s="402"/>
      <c r="M838" s="402"/>
      <c r="N838" s="402"/>
      <c r="O838" s="402"/>
      <c r="P838" s="402"/>
      <c r="Q838" s="402"/>
      <c r="R838" s="402"/>
      <c r="S838" s="402"/>
      <c r="T838" s="402"/>
      <c r="U838" s="402"/>
      <c r="V838" s="402"/>
      <c r="W838" s="402"/>
      <c r="X838" s="402"/>
      <c r="Y838" s="402"/>
      <c r="Z838" s="402"/>
      <c r="AA838" s="405"/>
      <c r="AB838" s="405"/>
    </row>
    <row r="839" ht="14.25" customHeight="1">
      <c r="A839" s="402"/>
      <c r="B839" s="402"/>
      <c r="C839" s="402"/>
      <c r="D839" s="402"/>
      <c r="E839" s="402"/>
      <c r="F839" s="403"/>
      <c r="G839" s="402"/>
      <c r="H839" s="402"/>
      <c r="I839" s="402"/>
      <c r="J839" s="402"/>
      <c r="K839" s="402"/>
      <c r="L839" s="402"/>
      <c r="M839" s="402"/>
      <c r="N839" s="402"/>
      <c r="O839" s="402"/>
      <c r="P839" s="402"/>
      <c r="Q839" s="402"/>
      <c r="R839" s="402"/>
      <c r="S839" s="402"/>
      <c r="T839" s="402"/>
      <c r="U839" s="402"/>
      <c r="V839" s="402"/>
      <c r="W839" s="402"/>
      <c r="X839" s="402"/>
      <c r="Y839" s="402"/>
      <c r="Z839" s="402"/>
      <c r="AA839" s="405"/>
      <c r="AB839" s="405"/>
    </row>
    <row r="840" ht="14.25" customHeight="1">
      <c r="A840" s="402"/>
      <c r="B840" s="402"/>
      <c r="C840" s="402"/>
      <c r="D840" s="402"/>
      <c r="E840" s="402"/>
      <c r="F840" s="403"/>
      <c r="G840" s="402"/>
      <c r="H840" s="402"/>
      <c r="I840" s="402"/>
      <c r="J840" s="402"/>
      <c r="K840" s="402"/>
      <c r="L840" s="402"/>
      <c r="M840" s="402"/>
      <c r="N840" s="402"/>
      <c r="O840" s="402"/>
      <c r="P840" s="402"/>
      <c r="Q840" s="402"/>
      <c r="R840" s="402"/>
      <c r="S840" s="402"/>
      <c r="T840" s="402"/>
      <c r="U840" s="402"/>
      <c r="V840" s="402"/>
      <c r="W840" s="402"/>
      <c r="X840" s="402"/>
      <c r="Y840" s="402"/>
      <c r="Z840" s="402"/>
      <c r="AA840" s="405"/>
      <c r="AB840" s="405"/>
    </row>
    <row r="841" ht="14.25" customHeight="1">
      <c r="A841" s="402"/>
      <c r="B841" s="402"/>
      <c r="C841" s="402"/>
      <c r="D841" s="402"/>
      <c r="E841" s="402"/>
      <c r="F841" s="403"/>
      <c r="G841" s="402"/>
      <c r="H841" s="402"/>
      <c r="I841" s="402"/>
      <c r="J841" s="402"/>
      <c r="K841" s="402"/>
      <c r="L841" s="402"/>
      <c r="M841" s="402"/>
      <c r="N841" s="402"/>
      <c r="O841" s="402"/>
      <c r="P841" s="402"/>
      <c r="Q841" s="402"/>
      <c r="R841" s="402"/>
      <c r="S841" s="402"/>
      <c r="T841" s="402"/>
      <c r="U841" s="402"/>
      <c r="V841" s="402"/>
      <c r="W841" s="402"/>
      <c r="X841" s="402"/>
      <c r="Y841" s="402"/>
      <c r="Z841" s="402"/>
      <c r="AA841" s="405"/>
      <c r="AB841" s="405"/>
    </row>
    <row r="842" ht="14.25" customHeight="1">
      <c r="A842" s="402"/>
      <c r="B842" s="402"/>
      <c r="C842" s="402"/>
      <c r="D842" s="402"/>
      <c r="E842" s="402"/>
      <c r="F842" s="403"/>
      <c r="G842" s="402"/>
      <c r="H842" s="402"/>
      <c r="I842" s="402"/>
      <c r="J842" s="402"/>
      <c r="K842" s="402"/>
      <c r="L842" s="402"/>
      <c r="M842" s="402"/>
      <c r="N842" s="402"/>
      <c r="O842" s="402"/>
      <c r="P842" s="402"/>
      <c r="Q842" s="402"/>
      <c r="R842" s="402"/>
      <c r="S842" s="402"/>
      <c r="T842" s="402"/>
      <c r="U842" s="402"/>
      <c r="V842" s="402"/>
      <c r="W842" s="402"/>
      <c r="X842" s="402"/>
      <c r="Y842" s="402"/>
      <c r="Z842" s="402"/>
      <c r="AA842" s="405"/>
      <c r="AB842" s="405"/>
    </row>
    <row r="843" ht="14.25" customHeight="1">
      <c r="A843" s="402"/>
      <c r="B843" s="402"/>
      <c r="C843" s="402"/>
      <c r="D843" s="402"/>
      <c r="E843" s="402"/>
      <c r="F843" s="403"/>
      <c r="G843" s="402"/>
      <c r="H843" s="402"/>
      <c r="I843" s="402"/>
      <c r="J843" s="402"/>
      <c r="K843" s="402"/>
      <c r="L843" s="402"/>
      <c r="M843" s="402"/>
      <c r="N843" s="402"/>
      <c r="O843" s="402"/>
      <c r="P843" s="402"/>
      <c r="Q843" s="402"/>
      <c r="R843" s="402"/>
      <c r="S843" s="402"/>
      <c r="T843" s="402"/>
      <c r="U843" s="402"/>
      <c r="V843" s="402"/>
      <c r="W843" s="402"/>
      <c r="X843" s="402"/>
      <c r="Y843" s="402"/>
      <c r="Z843" s="402"/>
      <c r="AA843" s="405"/>
      <c r="AB843" s="405"/>
    </row>
    <row r="844" ht="14.25" customHeight="1">
      <c r="A844" s="402"/>
      <c r="B844" s="402"/>
      <c r="C844" s="402"/>
      <c r="D844" s="402"/>
      <c r="E844" s="402"/>
      <c r="F844" s="403"/>
      <c r="G844" s="402"/>
      <c r="H844" s="402"/>
      <c r="I844" s="402"/>
      <c r="J844" s="402"/>
      <c r="K844" s="402"/>
      <c r="L844" s="402"/>
      <c r="M844" s="402"/>
      <c r="N844" s="402"/>
      <c r="O844" s="402"/>
      <c r="P844" s="402"/>
      <c r="Q844" s="402"/>
      <c r="R844" s="402"/>
      <c r="S844" s="402"/>
      <c r="T844" s="402"/>
      <c r="U844" s="402"/>
      <c r="V844" s="402"/>
      <c r="W844" s="402"/>
      <c r="X844" s="402"/>
      <c r="Y844" s="402"/>
      <c r="Z844" s="402"/>
      <c r="AA844" s="405"/>
      <c r="AB844" s="405"/>
    </row>
    <row r="845" ht="14.25" customHeight="1">
      <c r="A845" s="402"/>
      <c r="B845" s="402"/>
      <c r="C845" s="402"/>
      <c r="D845" s="402"/>
      <c r="E845" s="402"/>
      <c r="F845" s="403"/>
      <c r="G845" s="402"/>
      <c r="H845" s="402"/>
      <c r="I845" s="402"/>
      <c r="J845" s="402"/>
      <c r="K845" s="402"/>
      <c r="L845" s="402"/>
      <c r="M845" s="402"/>
      <c r="N845" s="402"/>
      <c r="O845" s="402"/>
      <c r="P845" s="402"/>
      <c r="Q845" s="402"/>
      <c r="R845" s="402"/>
      <c r="S845" s="402"/>
      <c r="T845" s="402"/>
      <c r="U845" s="402"/>
      <c r="V845" s="402"/>
      <c r="W845" s="402"/>
      <c r="X845" s="402"/>
      <c r="Y845" s="402"/>
      <c r="Z845" s="402"/>
      <c r="AA845" s="405"/>
      <c r="AB845" s="405"/>
    </row>
    <row r="846" ht="14.25" customHeight="1">
      <c r="A846" s="402"/>
      <c r="B846" s="402"/>
      <c r="C846" s="402"/>
      <c r="D846" s="402"/>
      <c r="E846" s="402"/>
      <c r="F846" s="403"/>
      <c r="G846" s="402"/>
      <c r="H846" s="402"/>
      <c r="I846" s="402"/>
      <c r="J846" s="402"/>
      <c r="K846" s="402"/>
      <c r="L846" s="402"/>
      <c r="M846" s="402"/>
      <c r="N846" s="402"/>
      <c r="O846" s="402"/>
      <c r="P846" s="402"/>
      <c r="Q846" s="402"/>
      <c r="R846" s="402"/>
      <c r="S846" s="402"/>
      <c r="T846" s="402"/>
      <c r="U846" s="402"/>
      <c r="V846" s="402"/>
      <c r="W846" s="402"/>
      <c r="X846" s="402"/>
      <c r="Y846" s="402"/>
      <c r="Z846" s="402"/>
      <c r="AA846" s="405"/>
      <c r="AB846" s="405"/>
    </row>
    <row r="847" ht="14.25" customHeight="1">
      <c r="A847" s="402"/>
      <c r="B847" s="402"/>
      <c r="C847" s="402"/>
      <c r="D847" s="402"/>
      <c r="E847" s="402"/>
      <c r="F847" s="403"/>
      <c r="G847" s="402"/>
      <c r="H847" s="402"/>
      <c r="I847" s="402"/>
      <c r="J847" s="402"/>
      <c r="K847" s="402"/>
      <c r="L847" s="402"/>
      <c r="M847" s="402"/>
      <c r="N847" s="402"/>
      <c r="O847" s="402"/>
      <c r="P847" s="402"/>
      <c r="Q847" s="402"/>
      <c r="R847" s="402"/>
      <c r="S847" s="402"/>
      <c r="T847" s="402"/>
      <c r="U847" s="402"/>
      <c r="V847" s="402"/>
      <c r="W847" s="402"/>
      <c r="X847" s="402"/>
      <c r="Y847" s="402"/>
      <c r="Z847" s="402"/>
      <c r="AA847" s="405"/>
      <c r="AB847" s="405"/>
    </row>
    <row r="848" ht="14.25" customHeight="1">
      <c r="A848" s="402"/>
      <c r="B848" s="402"/>
      <c r="C848" s="402"/>
      <c r="D848" s="402"/>
      <c r="E848" s="402"/>
      <c r="F848" s="403"/>
      <c r="G848" s="402"/>
      <c r="H848" s="402"/>
      <c r="I848" s="402"/>
      <c r="J848" s="402"/>
      <c r="K848" s="402"/>
      <c r="L848" s="402"/>
      <c r="M848" s="402"/>
      <c r="N848" s="402"/>
      <c r="O848" s="402"/>
      <c r="P848" s="402"/>
      <c r="Q848" s="402"/>
      <c r="R848" s="402"/>
      <c r="S848" s="402"/>
      <c r="T848" s="402"/>
      <c r="U848" s="402"/>
      <c r="V848" s="402"/>
      <c r="W848" s="402"/>
      <c r="X848" s="402"/>
      <c r="Y848" s="402"/>
      <c r="Z848" s="402"/>
      <c r="AA848" s="405"/>
      <c r="AB848" s="405"/>
    </row>
    <row r="849" ht="14.25" customHeight="1">
      <c r="A849" s="402"/>
      <c r="B849" s="402"/>
      <c r="C849" s="402"/>
      <c r="D849" s="402"/>
      <c r="E849" s="402"/>
      <c r="F849" s="403"/>
      <c r="G849" s="402"/>
      <c r="H849" s="402"/>
      <c r="I849" s="402"/>
      <c r="J849" s="402"/>
      <c r="K849" s="402"/>
      <c r="L849" s="402"/>
      <c r="M849" s="402"/>
      <c r="N849" s="402"/>
      <c r="O849" s="402"/>
      <c r="P849" s="402"/>
      <c r="Q849" s="402"/>
      <c r="R849" s="402"/>
      <c r="S849" s="402"/>
      <c r="T849" s="402"/>
      <c r="U849" s="402"/>
      <c r="V849" s="402"/>
      <c r="W849" s="402"/>
      <c r="X849" s="402"/>
      <c r="Y849" s="402"/>
      <c r="Z849" s="402"/>
      <c r="AA849" s="405"/>
      <c r="AB849" s="405"/>
    </row>
    <row r="850" ht="14.25" customHeight="1">
      <c r="A850" s="402"/>
      <c r="B850" s="402"/>
      <c r="C850" s="402"/>
      <c r="D850" s="402"/>
      <c r="E850" s="402"/>
      <c r="F850" s="403"/>
      <c r="G850" s="402"/>
      <c r="H850" s="402"/>
      <c r="I850" s="402"/>
      <c r="J850" s="402"/>
      <c r="K850" s="402"/>
      <c r="L850" s="402"/>
      <c r="M850" s="402"/>
      <c r="N850" s="402"/>
      <c r="O850" s="402"/>
      <c r="P850" s="402"/>
      <c r="Q850" s="402"/>
      <c r="R850" s="402"/>
      <c r="S850" s="402"/>
      <c r="T850" s="402"/>
      <c r="U850" s="402"/>
      <c r="V850" s="402"/>
      <c r="W850" s="402"/>
      <c r="X850" s="402"/>
      <c r="Y850" s="402"/>
      <c r="Z850" s="402"/>
      <c r="AA850" s="405"/>
      <c r="AB850" s="405"/>
    </row>
    <row r="851" ht="14.25" customHeight="1">
      <c r="A851" s="402"/>
      <c r="B851" s="402"/>
      <c r="C851" s="402"/>
      <c r="D851" s="402"/>
      <c r="E851" s="402"/>
      <c r="F851" s="403"/>
      <c r="G851" s="402"/>
      <c r="H851" s="402"/>
      <c r="I851" s="402"/>
      <c r="J851" s="402"/>
      <c r="K851" s="402"/>
      <c r="L851" s="402"/>
      <c r="M851" s="402"/>
      <c r="N851" s="402"/>
      <c r="O851" s="402"/>
      <c r="P851" s="402"/>
      <c r="Q851" s="402"/>
      <c r="R851" s="402"/>
      <c r="S851" s="402"/>
      <c r="T851" s="402"/>
      <c r="U851" s="402"/>
      <c r="V851" s="402"/>
      <c r="W851" s="402"/>
      <c r="X851" s="402"/>
      <c r="Y851" s="402"/>
      <c r="Z851" s="402"/>
      <c r="AA851" s="405"/>
      <c r="AB851" s="405"/>
    </row>
    <row r="852" ht="14.25" customHeight="1">
      <c r="A852" s="402"/>
      <c r="B852" s="402"/>
      <c r="C852" s="402"/>
      <c r="D852" s="402"/>
      <c r="E852" s="402"/>
      <c r="F852" s="403"/>
      <c r="G852" s="402"/>
      <c r="H852" s="402"/>
      <c r="I852" s="402"/>
      <c r="J852" s="402"/>
      <c r="K852" s="402"/>
      <c r="L852" s="402"/>
      <c r="M852" s="402"/>
      <c r="N852" s="402"/>
      <c r="O852" s="402"/>
      <c r="P852" s="402"/>
      <c r="Q852" s="402"/>
      <c r="R852" s="402"/>
      <c r="S852" s="402"/>
      <c r="T852" s="402"/>
      <c r="U852" s="402"/>
      <c r="V852" s="402"/>
      <c r="W852" s="402"/>
      <c r="X852" s="402"/>
      <c r="Y852" s="402"/>
      <c r="Z852" s="402"/>
      <c r="AA852" s="405"/>
      <c r="AB852" s="405"/>
    </row>
    <row r="853" ht="14.25" customHeight="1">
      <c r="A853" s="402"/>
      <c r="B853" s="402"/>
      <c r="C853" s="402"/>
      <c r="D853" s="402"/>
      <c r="E853" s="402"/>
      <c r="F853" s="403"/>
      <c r="G853" s="402"/>
      <c r="H853" s="402"/>
      <c r="I853" s="402"/>
      <c r="J853" s="402"/>
      <c r="K853" s="402"/>
      <c r="L853" s="402"/>
      <c r="M853" s="402"/>
      <c r="N853" s="402"/>
      <c r="O853" s="402"/>
      <c r="P853" s="402"/>
      <c r="Q853" s="402"/>
      <c r="R853" s="402"/>
      <c r="S853" s="402"/>
      <c r="T853" s="402"/>
      <c r="U853" s="402"/>
      <c r="V853" s="402"/>
      <c r="W853" s="402"/>
      <c r="X853" s="402"/>
      <c r="Y853" s="402"/>
      <c r="Z853" s="402"/>
      <c r="AA853" s="405"/>
      <c r="AB853" s="405"/>
    </row>
    <row r="854" ht="14.25" customHeight="1">
      <c r="A854" s="402"/>
      <c r="B854" s="402"/>
      <c r="C854" s="402"/>
      <c r="D854" s="402"/>
      <c r="E854" s="402"/>
      <c r="F854" s="403"/>
      <c r="G854" s="402"/>
      <c r="H854" s="402"/>
      <c r="I854" s="402"/>
      <c r="J854" s="402"/>
      <c r="K854" s="402"/>
      <c r="L854" s="402"/>
      <c r="M854" s="402"/>
      <c r="N854" s="402"/>
      <c r="O854" s="402"/>
      <c r="P854" s="402"/>
      <c r="Q854" s="402"/>
      <c r="R854" s="402"/>
      <c r="S854" s="402"/>
      <c r="T854" s="402"/>
      <c r="U854" s="402"/>
      <c r="V854" s="402"/>
      <c r="W854" s="402"/>
      <c r="X854" s="402"/>
      <c r="Y854" s="402"/>
      <c r="Z854" s="402"/>
      <c r="AA854" s="405"/>
      <c r="AB854" s="405"/>
    </row>
    <row r="855" ht="14.25" customHeight="1">
      <c r="A855" s="402"/>
      <c r="B855" s="402"/>
      <c r="C855" s="402"/>
      <c r="D855" s="402"/>
      <c r="E855" s="402"/>
      <c r="F855" s="403"/>
      <c r="G855" s="402"/>
      <c r="H855" s="402"/>
      <c r="I855" s="402"/>
      <c r="J855" s="402"/>
      <c r="K855" s="402"/>
      <c r="L855" s="402"/>
      <c r="M855" s="402"/>
      <c r="N855" s="402"/>
      <c r="O855" s="402"/>
      <c r="P855" s="402"/>
      <c r="Q855" s="402"/>
      <c r="R855" s="402"/>
      <c r="S855" s="402"/>
      <c r="T855" s="402"/>
      <c r="U855" s="402"/>
      <c r="V855" s="402"/>
      <c r="W855" s="402"/>
      <c r="X855" s="402"/>
      <c r="Y855" s="402"/>
      <c r="Z855" s="402"/>
      <c r="AA855" s="405"/>
      <c r="AB855" s="405"/>
    </row>
    <row r="856" ht="14.25" customHeight="1">
      <c r="A856" s="402"/>
      <c r="B856" s="402"/>
      <c r="C856" s="402"/>
      <c r="D856" s="402"/>
      <c r="E856" s="402"/>
      <c r="F856" s="403"/>
      <c r="G856" s="402"/>
      <c r="H856" s="402"/>
      <c r="I856" s="402"/>
      <c r="J856" s="402"/>
      <c r="K856" s="402"/>
      <c r="L856" s="402"/>
      <c r="M856" s="402"/>
      <c r="N856" s="402"/>
      <c r="O856" s="402"/>
      <c r="P856" s="402"/>
      <c r="Q856" s="402"/>
      <c r="R856" s="402"/>
      <c r="S856" s="402"/>
      <c r="T856" s="402"/>
      <c r="U856" s="402"/>
      <c r="V856" s="402"/>
      <c r="W856" s="402"/>
      <c r="X856" s="402"/>
      <c r="Y856" s="402"/>
      <c r="Z856" s="402"/>
      <c r="AA856" s="405"/>
      <c r="AB856" s="405"/>
    </row>
    <row r="857" ht="14.25" customHeight="1">
      <c r="A857" s="402"/>
      <c r="B857" s="402"/>
      <c r="C857" s="402"/>
      <c r="D857" s="402"/>
      <c r="E857" s="402"/>
      <c r="F857" s="403"/>
      <c r="G857" s="402"/>
      <c r="H857" s="402"/>
      <c r="I857" s="402"/>
      <c r="J857" s="402"/>
      <c r="K857" s="402"/>
      <c r="L857" s="402"/>
      <c r="M857" s="402"/>
      <c r="N857" s="402"/>
      <c r="O857" s="402"/>
      <c r="P857" s="402"/>
      <c r="Q857" s="402"/>
      <c r="R857" s="402"/>
      <c r="S857" s="402"/>
      <c r="T857" s="402"/>
      <c r="U857" s="402"/>
      <c r="V857" s="402"/>
      <c r="W857" s="402"/>
      <c r="X857" s="402"/>
      <c r="Y857" s="402"/>
      <c r="Z857" s="402"/>
      <c r="AA857" s="405"/>
      <c r="AB857" s="405"/>
    </row>
    <row r="858" ht="14.25" customHeight="1">
      <c r="A858" s="402"/>
      <c r="B858" s="402"/>
      <c r="C858" s="402"/>
      <c r="D858" s="402"/>
      <c r="E858" s="402"/>
      <c r="F858" s="403"/>
      <c r="G858" s="402"/>
      <c r="H858" s="402"/>
      <c r="I858" s="402"/>
      <c r="J858" s="402"/>
      <c r="K858" s="402"/>
      <c r="L858" s="402"/>
      <c r="M858" s="402"/>
      <c r="N858" s="402"/>
      <c r="O858" s="402"/>
      <c r="P858" s="402"/>
      <c r="Q858" s="402"/>
      <c r="R858" s="402"/>
      <c r="S858" s="402"/>
      <c r="T858" s="402"/>
      <c r="U858" s="402"/>
      <c r="V858" s="402"/>
      <c r="W858" s="402"/>
      <c r="X858" s="402"/>
      <c r="Y858" s="402"/>
      <c r="Z858" s="402"/>
      <c r="AA858" s="405"/>
      <c r="AB858" s="405"/>
    </row>
    <row r="859" ht="14.25" customHeight="1">
      <c r="A859" s="402"/>
      <c r="B859" s="402"/>
      <c r="C859" s="402"/>
      <c r="D859" s="402"/>
      <c r="E859" s="402"/>
      <c r="F859" s="403"/>
      <c r="G859" s="402"/>
      <c r="H859" s="402"/>
      <c r="I859" s="402"/>
      <c r="J859" s="402"/>
      <c r="K859" s="402"/>
      <c r="L859" s="402"/>
      <c r="M859" s="402"/>
      <c r="N859" s="402"/>
      <c r="O859" s="402"/>
      <c r="P859" s="402"/>
      <c r="Q859" s="402"/>
      <c r="R859" s="402"/>
      <c r="S859" s="402"/>
      <c r="T859" s="402"/>
      <c r="U859" s="402"/>
      <c r="V859" s="402"/>
      <c r="W859" s="402"/>
      <c r="X859" s="402"/>
      <c r="Y859" s="402"/>
      <c r="Z859" s="402"/>
      <c r="AA859" s="405"/>
      <c r="AB859" s="405"/>
    </row>
    <row r="860" ht="14.25" customHeight="1">
      <c r="A860" s="402"/>
      <c r="B860" s="402"/>
      <c r="C860" s="402"/>
      <c r="D860" s="402"/>
      <c r="E860" s="402"/>
      <c r="F860" s="403"/>
      <c r="G860" s="402"/>
      <c r="H860" s="402"/>
      <c r="I860" s="402"/>
      <c r="J860" s="402"/>
      <c r="K860" s="402"/>
      <c r="L860" s="402"/>
      <c r="M860" s="402"/>
      <c r="N860" s="402"/>
      <c r="O860" s="402"/>
      <c r="P860" s="402"/>
      <c r="Q860" s="402"/>
      <c r="R860" s="402"/>
      <c r="S860" s="402"/>
      <c r="T860" s="402"/>
      <c r="U860" s="402"/>
      <c r="V860" s="402"/>
      <c r="W860" s="402"/>
      <c r="X860" s="402"/>
      <c r="Y860" s="402"/>
      <c r="Z860" s="402"/>
      <c r="AA860" s="405"/>
      <c r="AB860" s="405"/>
    </row>
    <row r="861" ht="14.25" customHeight="1">
      <c r="A861" s="402"/>
      <c r="B861" s="402"/>
      <c r="C861" s="402"/>
      <c r="D861" s="402"/>
      <c r="E861" s="402"/>
      <c r="F861" s="403"/>
      <c r="G861" s="402"/>
      <c r="H861" s="402"/>
      <c r="I861" s="402"/>
      <c r="J861" s="402"/>
      <c r="K861" s="402"/>
      <c r="L861" s="402"/>
      <c r="M861" s="402"/>
      <c r="N861" s="402"/>
      <c r="O861" s="402"/>
      <c r="P861" s="402"/>
      <c r="Q861" s="402"/>
      <c r="R861" s="402"/>
      <c r="S861" s="402"/>
      <c r="T861" s="402"/>
      <c r="U861" s="402"/>
      <c r="V861" s="402"/>
      <c r="W861" s="402"/>
      <c r="X861" s="402"/>
      <c r="Y861" s="402"/>
      <c r="Z861" s="402"/>
      <c r="AA861" s="405"/>
      <c r="AB861" s="405"/>
    </row>
    <row r="862" ht="14.25" customHeight="1">
      <c r="A862" s="402"/>
      <c r="B862" s="402"/>
      <c r="C862" s="402"/>
      <c r="D862" s="402"/>
      <c r="E862" s="402"/>
      <c r="F862" s="403"/>
      <c r="G862" s="402"/>
      <c r="H862" s="402"/>
      <c r="I862" s="402"/>
      <c r="J862" s="402"/>
      <c r="K862" s="402"/>
      <c r="L862" s="402"/>
      <c r="M862" s="402"/>
      <c r="N862" s="402"/>
      <c r="O862" s="402"/>
      <c r="P862" s="402"/>
      <c r="Q862" s="402"/>
      <c r="R862" s="402"/>
      <c r="S862" s="402"/>
      <c r="T862" s="402"/>
      <c r="U862" s="402"/>
      <c r="V862" s="402"/>
      <c r="W862" s="402"/>
      <c r="X862" s="402"/>
      <c r="Y862" s="402"/>
      <c r="Z862" s="402"/>
      <c r="AA862" s="405"/>
      <c r="AB862" s="405"/>
    </row>
    <row r="863" ht="14.25" customHeight="1">
      <c r="A863" s="402"/>
      <c r="B863" s="402"/>
      <c r="C863" s="402"/>
      <c r="D863" s="402"/>
      <c r="E863" s="402"/>
      <c r="F863" s="403"/>
      <c r="G863" s="402"/>
      <c r="H863" s="402"/>
      <c r="I863" s="402"/>
      <c r="J863" s="402"/>
      <c r="K863" s="402"/>
      <c r="L863" s="402"/>
      <c r="M863" s="402"/>
      <c r="N863" s="402"/>
      <c r="O863" s="402"/>
      <c r="P863" s="402"/>
      <c r="Q863" s="402"/>
      <c r="R863" s="402"/>
      <c r="S863" s="402"/>
      <c r="T863" s="402"/>
      <c r="U863" s="402"/>
      <c r="V863" s="402"/>
      <c r="W863" s="402"/>
      <c r="X863" s="402"/>
      <c r="Y863" s="402"/>
      <c r="Z863" s="402"/>
      <c r="AA863" s="405"/>
      <c r="AB863" s="405"/>
    </row>
    <row r="864" ht="14.25" customHeight="1">
      <c r="A864" s="402"/>
      <c r="B864" s="402"/>
      <c r="C864" s="402"/>
      <c r="D864" s="402"/>
      <c r="E864" s="402"/>
      <c r="F864" s="403"/>
      <c r="G864" s="402"/>
      <c r="H864" s="402"/>
      <c r="I864" s="402"/>
      <c r="J864" s="402"/>
      <c r="K864" s="402"/>
      <c r="L864" s="402"/>
      <c r="M864" s="402"/>
      <c r="N864" s="402"/>
      <c r="O864" s="402"/>
      <c r="P864" s="402"/>
      <c r="Q864" s="402"/>
      <c r="R864" s="402"/>
      <c r="S864" s="402"/>
      <c r="T864" s="402"/>
      <c r="U864" s="402"/>
      <c r="V864" s="402"/>
      <c r="W864" s="402"/>
      <c r="X864" s="402"/>
      <c r="Y864" s="402"/>
      <c r="Z864" s="402"/>
      <c r="AA864" s="405"/>
      <c r="AB864" s="405"/>
    </row>
    <row r="865" ht="14.25" customHeight="1">
      <c r="A865" s="402"/>
      <c r="B865" s="402"/>
      <c r="C865" s="402"/>
      <c r="D865" s="402"/>
      <c r="E865" s="402"/>
      <c r="F865" s="403"/>
      <c r="G865" s="402"/>
      <c r="H865" s="402"/>
      <c r="I865" s="402"/>
      <c r="J865" s="402"/>
      <c r="K865" s="402"/>
      <c r="L865" s="402"/>
      <c r="M865" s="402"/>
      <c r="N865" s="402"/>
      <c r="O865" s="402"/>
      <c r="P865" s="402"/>
      <c r="Q865" s="402"/>
      <c r="R865" s="402"/>
      <c r="S865" s="402"/>
      <c r="T865" s="402"/>
      <c r="U865" s="402"/>
      <c r="V865" s="402"/>
      <c r="W865" s="402"/>
      <c r="X865" s="402"/>
      <c r="Y865" s="402"/>
      <c r="Z865" s="402"/>
      <c r="AA865" s="405"/>
      <c r="AB865" s="405"/>
    </row>
    <row r="866" ht="14.25" customHeight="1">
      <c r="A866" s="402"/>
      <c r="B866" s="402"/>
      <c r="C866" s="402"/>
      <c r="D866" s="402"/>
      <c r="E866" s="402"/>
      <c r="F866" s="403"/>
      <c r="G866" s="402"/>
      <c r="H866" s="402"/>
      <c r="I866" s="402"/>
      <c r="J866" s="402"/>
      <c r="K866" s="402"/>
      <c r="L866" s="402"/>
      <c r="M866" s="402"/>
      <c r="N866" s="402"/>
      <c r="O866" s="402"/>
      <c r="P866" s="402"/>
      <c r="Q866" s="402"/>
      <c r="R866" s="402"/>
      <c r="S866" s="402"/>
      <c r="T866" s="402"/>
      <c r="U866" s="402"/>
      <c r="V866" s="402"/>
      <c r="W866" s="402"/>
      <c r="X866" s="402"/>
      <c r="Y866" s="402"/>
      <c r="Z866" s="402"/>
      <c r="AA866" s="405"/>
      <c r="AB866" s="405"/>
    </row>
    <row r="867" ht="14.25" customHeight="1">
      <c r="A867" s="402"/>
      <c r="B867" s="402"/>
      <c r="C867" s="402"/>
      <c r="D867" s="402"/>
      <c r="E867" s="402"/>
      <c r="F867" s="403"/>
      <c r="G867" s="402"/>
      <c r="H867" s="402"/>
      <c r="I867" s="402"/>
      <c r="J867" s="402"/>
      <c r="K867" s="402"/>
      <c r="L867" s="402"/>
      <c r="M867" s="402"/>
      <c r="N867" s="402"/>
      <c r="O867" s="402"/>
      <c r="P867" s="402"/>
      <c r="Q867" s="402"/>
      <c r="R867" s="402"/>
      <c r="S867" s="402"/>
      <c r="T867" s="402"/>
      <c r="U867" s="402"/>
      <c r="V867" s="402"/>
      <c r="W867" s="402"/>
      <c r="X867" s="402"/>
      <c r="Y867" s="402"/>
      <c r="Z867" s="402"/>
      <c r="AA867" s="405"/>
      <c r="AB867" s="405"/>
    </row>
    <row r="868" ht="14.25" customHeight="1">
      <c r="A868" s="402"/>
      <c r="B868" s="402"/>
      <c r="C868" s="402"/>
      <c r="D868" s="402"/>
      <c r="E868" s="402"/>
      <c r="F868" s="403"/>
      <c r="G868" s="402"/>
      <c r="H868" s="402"/>
      <c r="I868" s="402"/>
      <c r="J868" s="402"/>
      <c r="K868" s="402"/>
      <c r="L868" s="402"/>
      <c r="M868" s="402"/>
      <c r="N868" s="402"/>
      <c r="O868" s="402"/>
      <c r="P868" s="402"/>
      <c r="Q868" s="402"/>
      <c r="R868" s="402"/>
      <c r="S868" s="402"/>
      <c r="T868" s="402"/>
      <c r="U868" s="402"/>
      <c r="V868" s="402"/>
      <c r="W868" s="402"/>
      <c r="X868" s="402"/>
      <c r="Y868" s="402"/>
      <c r="Z868" s="402"/>
      <c r="AA868" s="405"/>
      <c r="AB868" s="405"/>
    </row>
    <row r="869" ht="14.25" customHeight="1">
      <c r="A869" s="402"/>
      <c r="B869" s="402"/>
      <c r="C869" s="402"/>
      <c r="D869" s="402"/>
      <c r="E869" s="402"/>
      <c r="F869" s="403"/>
      <c r="G869" s="402"/>
      <c r="H869" s="402"/>
      <c r="I869" s="402"/>
      <c r="J869" s="402"/>
      <c r="K869" s="402"/>
      <c r="L869" s="402"/>
      <c r="M869" s="402"/>
      <c r="N869" s="402"/>
      <c r="O869" s="402"/>
      <c r="P869" s="402"/>
      <c r="Q869" s="402"/>
      <c r="R869" s="402"/>
      <c r="S869" s="402"/>
      <c r="T869" s="402"/>
      <c r="U869" s="402"/>
      <c r="V869" s="402"/>
      <c r="W869" s="402"/>
      <c r="X869" s="402"/>
      <c r="Y869" s="402"/>
      <c r="Z869" s="402"/>
      <c r="AA869" s="405"/>
      <c r="AB869" s="405"/>
    </row>
    <row r="870" ht="14.25" customHeight="1">
      <c r="A870" s="402"/>
      <c r="B870" s="402"/>
      <c r="C870" s="402"/>
      <c r="D870" s="402"/>
      <c r="E870" s="402"/>
      <c r="F870" s="403"/>
      <c r="G870" s="402"/>
      <c r="H870" s="402"/>
      <c r="I870" s="402"/>
      <c r="J870" s="402"/>
      <c r="K870" s="402"/>
      <c r="L870" s="402"/>
      <c r="M870" s="402"/>
      <c r="N870" s="402"/>
      <c r="O870" s="402"/>
      <c r="P870" s="402"/>
      <c r="Q870" s="402"/>
      <c r="R870" s="402"/>
      <c r="S870" s="402"/>
      <c r="T870" s="402"/>
      <c r="U870" s="402"/>
      <c r="V870" s="402"/>
      <c r="W870" s="402"/>
      <c r="X870" s="402"/>
      <c r="Y870" s="402"/>
      <c r="Z870" s="402"/>
      <c r="AA870" s="405"/>
      <c r="AB870" s="405"/>
    </row>
    <row r="871" ht="14.25" customHeight="1">
      <c r="A871" s="402"/>
      <c r="B871" s="402"/>
      <c r="C871" s="402"/>
      <c r="D871" s="402"/>
      <c r="E871" s="402"/>
      <c r="F871" s="403"/>
      <c r="G871" s="402"/>
      <c r="H871" s="402"/>
      <c r="I871" s="402"/>
      <c r="J871" s="402"/>
      <c r="K871" s="402"/>
      <c r="L871" s="402"/>
      <c r="M871" s="402"/>
      <c r="N871" s="402"/>
      <c r="O871" s="402"/>
      <c r="P871" s="402"/>
      <c r="Q871" s="402"/>
      <c r="R871" s="402"/>
      <c r="S871" s="402"/>
      <c r="T871" s="402"/>
      <c r="U871" s="402"/>
      <c r="V871" s="402"/>
      <c r="W871" s="402"/>
      <c r="X871" s="402"/>
      <c r="Y871" s="402"/>
      <c r="Z871" s="402"/>
      <c r="AA871" s="405"/>
      <c r="AB871" s="405"/>
    </row>
    <row r="872" ht="14.25" customHeight="1">
      <c r="A872" s="402"/>
      <c r="B872" s="402"/>
      <c r="C872" s="402"/>
      <c r="D872" s="402"/>
      <c r="E872" s="402"/>
      <c r="F872" s="403"/>
      <c r="G872" s="402"/>
      <c r="H872" s="402"/>
      <c r="I872" s="402"/>
      <c r="J872" s="402"/>
      <c r="K872" s="402"/>
      <c r="L872" s="402"/>
      <c r="M872" s="402"/>
      <c r="N872" s="402"/>
      <c r="O872" s="402"/>
      <c r="P872" s="402"/>
      <c r="Q872" s="402"/>
      <c r="R872" s="402"/>
      <c r="S872" s="402"/>
      <c r="T872" s="402"/>
      <c r="U872" s="402"/>
      <c r="V872" s="402"/>
      <c r="W872" s="402"/>
      <c r="X872" s="402"/>
      <c r="Y872" s="402"/>
      <c r="Z872" s="402"/>
      <c r="AA872" s="405"/>
      <c r="AB872" s="405"/>
    </row>
    <row r="873" ht="14.25" customHeight="1">
      <c r="A873" s="402"/>
      <c r="B873" s="402"/>
      <c r="C873" s="402"/>
      <c r="D873" s="402"/>
      <c r="E873" s="402"/>
      <c r="F873" s="403"/>
      <c r="G873" s="402"/>
      <c r="H873" s="402"/>
      <c r="I873" s="402"/>
      <c r="J873" s="402"/>
      <c r="K873" s="402"/>
      <c r="L873" s="402"/>
      <c r="M873" s="402"/>
      <c r="N873" s="402"/>
      <c r="O873" s="402"/>
      <c r="P873" s="402"/>
      <c r="Q873" s="402"/>
      <c r="R873" s="402"/>
      <c r="S873" s="402"/>
      <c r="T873" s="402"/>
      <c r="U873" s="402"/>
      <c r="V873" s="402"/>
      <c r="W873" s="402"/>
      <c r="X873" s="402"/>
      <c r="Y873" s="402"/>
      <c r="Z873" s="402"/>
      <c r="AA873" s="405"/>
      <c r="AB873" s="405"/>
    </row>
    <row r="874" ht="14.25" customHeight="1">
      <c r="A874" s="402"/>
      <c r="B874" s="402"/>
      <c r="C874" s="402"/>
      <c r="D874" s="402"/>
      <c r="E874" s="402"/>
      <c r="F874" s="403"/>
      <c r="G874" s="402"/>
      <c r="H874" s="402"/>
      <c r="I874" s="402"/>
      <c r="J874" s="402"/>
      <c r="K874" s="402"/>
      <c r="L874" s="402"/>
      <c r="M874" s="402"/>
      <c r="N874" s="402"/>
      <c r="O874" s="402"/>
      <c r="P874" s="402"/>
      <c r="Q874" s="402"/>
      <c r="R874" s="402"/>
      <c r="S874" s="402"/>
      <c r="T874" s="402"/>
      <c r="U874" s="402"/>
      <c r="V874" s="402"/>
      <c r="W874" s="402"/>
      <c r="X874" s="402"/>
      <c r="Y874" s="402"/>
      <c r="Z874" s="402"/>
      <c r="AA874" s="405"/>
      <c r="AB874" s="405"/>
    </row>
    <row r="875" ht="14.25" customHeight="1">
      <c r="A875" s="402"/>
      <c r="B875" s="402"/>
      <c r="C875" s="402"/>
      <c r="D875" s="402"/>
      <c r="E875" s="402"/>
      <c r="F875" s="403"/>
      <c r="G875" s="402"/>
      <c r="H875" s="402"/>
      <c r="I875" s="402"/>
      <c r="J875" s="402"/>
      <c r="K875" s="402"/>
      <c r="L875" s="402"/>
      <c r="M875" s="402"/>
      <c r="N875" s="402"/>
      <c r="O875" s="402"/>
      <c r="P875" s="402"/>
      <c r="Q875" s="402"/>
      <c r="R875" s="402"/>
      <c r="S875" s="402"/>
      <c r="T875" s="402"/>
      <c r="U875" s="402"/>
      <c r="V875" s="402"/>
      <c r="W875" s="402"/>
      <c r="X875" s="402"/>
      <c r="Y875" s="402"/>
      <c r="Z875" s="402"/>
      <c r="AA875" s="405"/>
      <c r="AB875" s="405"/>
    </row>
    <row r="876" ht="14.25" customHeight="1">
      <c r="A876" s="402"/>
      <c r="B876" s="402"/>
      <c r="C876" s="402"/>
      <c r="D876" s="402"/>
      <c r="E876" s="402"/>
      <c r="F876" s="403"/>
      <c r="G876" s="402"/>
      <c r="H876" s="402"/>
      <c r="I876" s="402"/>
      <c r="J876" s="402"/>
      <c r="K876" s="402"/>
      <c r="L876" s="402"/>
      <c r="M876" s="402"/>
      <c r="N876" s="402"/>
      <c r="O876" s="402"/>
      <c r="P876" s="402"/>
      <c r="Q876" s="402"/>
      <c r="R876" s="402"/>
      <c r="S876" s="402"/>
      <c r="T876" s="402"/>
      <c r="U876" s="402"/>
      <c r="V876" s="402"/>
      <c r="W876" s="402"/>
      <c r="X876" s="402"/>
      <c r="Y876" s="402"/>
      <c r="Z876" s="402"/>
      <c r="AA876" s="405"/>
      <c r="AB876" s="405"/>
    </row>
    <row r="877" ht="14.25" customHeight="1">
      <c r="A877" s="402"/>
      <c r="B877" s="402"/>
      <c r="C877" s="402"/>
      <c r="D877" s="402"/>
      <c r="E877" s="402"/>
      <c r="F877" s="403"/>
      <c r="G877" s="402"/>
      <c r="H877" s="402"/>
      <c r="I877" s="402"/>
      <c r="J877" s="402"/>
      <c r="K877" s="402"/>
      <c r="L877" s="402"/>
      <c r="M877" s="402"/>
      <c r="N877" s="402"/>
      <c r="O877" s="402"/>
      <c r="P877" s="402"/>
      <c r="Q877" s="402"/>
      <c r="R877" s="402"/>
      <c r="S877" s="402"/>
      <c r="T877" s="402"/>
      <c r="U877" s="402"/>
      <c r="V877" s="402"/>
      <c r="W877" s="402"/>
      <c r="X877" s="402"/>
      <c r="Y877" s="402"/>
      <c r="Z877" s="402"/>
      <c r="AA877" s="405"/>
      <c r="AB877" s="405"/>
    </row>
    <row r="878" ht="14.25" customHeight="1">
      <c r="A878" s="402"/>
      <c r="B878" s="402"/>
      <c r="C878" s="402"/>
      <c r="D878" s="402"/>
      <c r="E878" s="402"/>
      <c r="F878" s="403"/>
      <c r="G878" s="402"/>
      <c r="H878" s="402"/>
      <c r="I878" s="402"/>
      <c r="J878" s="402"/>
      <c r="K878" s="402"/>
      <c r="L878" s="402"/>
      <c r="M878" s="402"/>
      <c r="N878" s="402"/>
      <c r="O878" s="402"/>
      <c r="P878" s="402"/>
      <c r="Q878" s="402"/>
      <c r="R878" s="402"/>
      <c r="S878" s="402"/>
      <c r="T878" s="402"/>
      <c r="U878" s="402"/>
      <c r="V878" s="402"/>
      <c r="W878" s="402"/>
      <c r="X878" s="402"/>
      <c r="Y878" s="402"/>
      <c r="Z878" s="402"/>
      <c r="AA878" s="405"/>
      <c r="AB878" s="405"/>
    </row>
    <row r="879" ht="14.25" customHeight="1">
      <c r="A879" s="402"/>
      <c r="B879" s="402"/>
      <c r="C879" s="402"/>
      <c r="D879" s="402"/>
      <c r="E879" s="402"/>
      <c r="F879" s="403"/>
      <c r="G879" s="402"/>
      <c r="H879" s="402"/>
      <c r="I879" s="402"/>
      <c r="J879" s="402"/>
      <c r="K879" s="402"/>
      <c r="L879" s="402"/>
      <c r="M879" s="402"/>
      <c r="N879" s="402"/>
      <c r="O879" s="402"/>
      <c r="P879" s="402"/>
      <c r="Q879" s="402"/>
      <c r="R879" s="402"/>
      <c r="S879" s="402"/>
      <c r="T879" s="402"/>
      <c r="U879" s="402"/>
      <c r="V879" s="402"/>
      <c r="W879" s="402"/>
      <c r="X879" s="402"/>
      <c r="Y879" s="402"/>
      <c r="Z879" s="402"/>
      <c r="AA879" s="405"/>
      <c r="AB879" s="405"/>
    </row>
    <row r="880" ht="14.25" customHeight="1">
      <c r="A880" s="402"/>
      <c r="B880" s="402"/>
      <c r="C880" s="402"/>
      <c r="D880" s="402"/>
      <c r="E880" s="402"/>
      <c r="F880" s="403"/>
      <c r="G880" s="402"/>
      <c r="H880" s="402"/>
      <c r="I880" s="402"/>
      <c r="J880" s="402"/>
      <c r="K880" s="402"/>
      <c r="L880" s="402"/>
      <c r="M880" s="402"/>
      <c r="N880" s="402"/>
      <c r="O880" s="402"/>
      <c r="P880" s="402"/>
      <c r="Q880" s="402"/>
      <c r="R880" s="402"/>
      <c r="S880" s="402"/>
      <c r="T880" s="402"/>
      <c r="U880" s="402"/>
      <c r="V880" s="402"/>
      <c r="W880" s="402"/>
      <c r="X880" s="402"/>
      <c r="Y880" s="402"/>
      <c r="Z880" s="402"/>
      <c r="AA880" s="405"/>
      <c r="AB880" s="405"/>
    </row>
    <row r="881" ht="14.25" customHeight="1">
      <c r="A881" s="402"/>
      <c r="B881" s="402"/>
      <c r="C881" s="402"/>
      <c r="D881" s="402"/>
      <c r="E881" s="402"/>
      <c r="F881" s="403"/>
      <c r="G881" s="402"/>
      <c r="H881" s="402"/>
      <c r="I881" s="402"/>
      <c r="J881" s="402"/>
      <c r="K881" s="402"/>
      <c r="L881" s="402"/>
      <c r="M881" s="402"/>
      <c r="N881" s="402"/>
      <c r="O881" s="402"/>
      <c r="P881" s="402"/>
      <c r="Q881" s="402"/>
      <c r="R881" s="402"/>
      <c r="S881" s="402"/>
      <c r="T881" s="402"/>
      <c r="U881" s="402"/>
      <c r="V881" s="402"/>
      <c r="W881" s="402"/>
      <c r="X881" s="402"/>
      <c r="Y881" s="402"/>
      <c r="Z881" s="402"/>
      <c r="AA881" s="405"/>
      <c r="AB881" s="405"/>
    </row>
    <row r="882" ht="14.25" customHeight="1">
      <c r="A882" s="402"/>
      <c r="B882" s="402"/>
      <c r="C882" s="402"/>
      <c r="D882" s="402"/>
      <c r="E882" s="402"/>
      <c r="F882" s="403"/>
      <c r="G882" s="402"/>
      <c r="H882" s="402"/>
      <c r="I882" s="402"/>
      <c r="J882" s="402"/>
      <c r="K882" s="402"/>
      <c r="L882" s="402"/>
      <c r="M882" s="402"/>
      <c r="N882" s="402"/>
      <c r="O882" s="402"/>
      <c r="P882" s="402"/>
      <c r="Q882" s="402"/>
      <c r="R882" s="402"/>
      <c r="S882" s="402"/>
      <c r="T882" s="402"/>
      <c r="U882" s="402"/>
      <c r="V882" s="402"/>
      <c r="W882" s="402"/>
      <c r="X882" s="402"/>
      <c r="Y882" s="402"/>
      <c r="Z882" s="402"/>
      <c r="AA882" s="405"/>
      <c r="AB882" s="405"/>
    </row>
    <row r="883" ht="14.25" customHeight="1">
      <c r="A883" s="402"/>
      <c r="B883" s="402"/>
      <c r="C883" s="402"/>
      <c r="D883" s="402"/>
      <c r="E883" s="402"/>
      <c r="F883" s="403"/>
      <c r="G883" s="402"/>
      <c r="H883" s="402"/>
      <c r="I883" s="402"/>
      <c r="J883" s="402"/>
      <c r="K883" s="402"/>
      <c r="L883" s="402"/>
      <c r="M883" s="402"/>
      <c r="N883" s="402"/>
      <c r="O883" s="402"/>
      <c r="P883" s="402"/>
      <c r="Q883" s="402"/>
      <c r="R883" s="402"/>
      <c r="S883" s="402"/>
      <c r="T883" s="402"/>
      <c r="U883" s="402"/>
      <c r="V883" s="402"/>
      <c r="W883" s="402"/>
      <c r="X883" s="402"/>
      <c r="Y883" s="402"/>
      <c r="Z883" s="402"/>
      <c r="AA883" s="405"/>
      <c r="AB883" s="405"/>
    </row>
    <row r="884" ht="14.25" customHeight="1">
      <c r="A884" s="402"/>
      <c r="B884" s="402"/>
      <c r="C884" s="402"/>
      <c r="D884" s="402"/>
      <c r="E884" s="402"/>
      <c r="F884" s="403"/>
      <c r="G884" s="402"/>
      <c r="H884" s="402"/>
      <c r="I884" s="402"/>
      <c r="J884" s="402"/>
      <c r="K884" s="402"/>
      <c r="L884" s="402"/>
      <c r="M884" s="402"/>
      <c r="N884" s="402"/>
      <c r="O884" s="402"/>
      <c r="P884" s="402"/>
      <c r="Q884" s="402"/>
      <c r="R884" s="402"/>
      <c r="S884" s="402"/>
      <c r="T884" s="402"/>
      <c r="U884" s="402"/>
      <c r="V884" s="402"/>
      <c r="W884" s="402"/>
      <c r="X884" s="402"/>
      <c r="Y884" s="402"/>
      <c r="Z884" s="402"/>
      <c r="AA884" s="405"/>
      <c r="AB884" s="405"/>
    </row>
    <row r="885" ht="14.25" customHeight="1">
      <c r="A885" s="402"/>
      <c r="B885" s="402"/>
      <c r="C885" s="402"/>
      <c r="D885" s="402"/>
      <c r="E885" s="402"/>
      <c r="F885" s="403"/>
      <c r="G885" s="402"/>
      <c r="H885" s="402"/>
      <c r="I885" s="402"/>
      <c r="J885" s="402"/>
      <c r="K885" s="402"/>
      <c r="L885" s="402"/>
      <c r="M885" s="402"/>
      <c r="N885" s="402"/>
      <c r="O885" s="402"/>
      <c r="P885" s="402"/>
      <c r="Q885" s="402"/>
      <c r="R885" s="402"/>
      <c r="S885" s="402"/>
      <c r="T885" s="402"/>
      <c r="U885" s="402"/>
      <c r="V885" s="402"/>
      <c r="W885" s="402"/>
      <c r="X885" s="402"/>
      <c r="Y885" s="402"/>
      <c r="Z885" s="402"/>
      <c r="AA885" s="405"/>
      <c r="AB885" s="405"/>
    </row>
    <row r="886" ht="14.25" customHeight="1">
      <c r="A886" s="402"/>
      <c r="B886" s="402"/>
      <c r="C886" s="402"/>
      <c r="D886" s="402"/>
      <c r="E886" s="402"/>
      <c r="F886" s="403"/>
      <c r="G886" s="402"/>
      <c r="H886" s="402"/>
      <c r="I886" s="402"/>
      <c r="J886" s="402"/>
      <c r="K886" s="402"/>
      <c r="L886" s="402"/>
      <c r="M886" s="402"/>
      <c r="N886" s="402"/>
      <c r="O886" s="402"/>
      <c r="P886" s="402"/>
      <c r="Q886" s="402"/>
      <c r="R886" s="402"/>
      <c r="S886" s="402"/>
      <c r="T886" s="402"/>
      <c r="U886" s="402"/>
      <c r="V886" s="402"/>
      <c r="W886" s="402"/>
      <c r="X886" s="402"/>
      <c r="Y886" s="402"/>
      <c r="Z886" s="402"/>
      <c r="AA886" s="405"/>
      <c r="AB886" s="405"/>
    </row>
    <row r="887" ht="14.25" customHeight="1">
      <c r="A887" s="402"/>
      <c r="B887" s="402"/>
      <c r="C887" s="402"/>
      <c r="D887" s="402"/>
      <c r="E887" s="402"/>
      <c r="F887" s="403"/>
      <c r="G887" s="402"/>
      <c r="H887" s="402"/>
      <c r="I887" s="402"/>
      <c r="J887" s="402"/>
      <c r="K887" s="402"/>
      <c r="L887" s="402"/>
      <c r="M887" s="402"/>
      <c r="N887" s="402"/>
      <c r="O887" s="402"/>
      <c r="P887" s="402"/>
      <c r="Q887" s="402"/>
      <c r="R887" s="402"/>
      <c r="S887" s="402"/>
      <c r="T887" s="402"/>
      <c r="U887" s="402"/>
      <c r="V887" s="402"/>
      <c r="W887" s="402"/>
      <c r="X887" s="402"/>
      <c r="Y887" s="402"/>
      <c r="Z887" s="402"/>
      <c r="AA887" s="405"/>
      <c r="AB887" s="405"/>
    </row>
    <row r="888" ht="14.25" customHeight="1">
      <c r="A888" s="402"/>
      <c r="B888" s="402"/>
      <c r="C888" s="402"/>
      <c r="D888" s="402"/>
      <c r="E888" s="402"/>
      <c r="F888" s="403"/>
      <c r="G888" s="402"/>
      <c r="H888" s="402"/>
      <c r="I888" s="402"/>
      <c r="J888" s="402"/>
      <c r="K888" s="402"/>
      <c r="L888" s="402"/>
      <c r="M888" s="402"/>
      <c r="N888" s="402"/>
      <c r="O888" s="402"/>
      <c r="P888" s="402"/>
      <c r="Q888" s="402"/>
      <c r="R888" s="402"/>
      <c r="S888" s="402"/>
      <c r="T888" s="402"/>
      <c r="U888" s="402"/>
      <c r="V888" s="402"/>
      <c r="W888" s="402"/>
      <c r="X888" s="402"/>
      <c r="Y888" s="402"/>
      <c r="Z888" s="402"/>
      <c r="AA888" s="405"/>
      <c r="AB888" s="405"/>
    </row>
    <row r="889" ht="14.25" customHeight="1">
      <c r="A889" s="402"/>
      <c r="B889" s="402"/>
      <c r="C889" s="402"/>
      <c r="D889" s="402"/>
      <c r="E889" s="402"/>
      <c r="F889" s="403"/>
      <c r="G889" s="402"/>
      <c r="H889" s="402"/>
      <c r="I889" s="402"/>
      <c r="J889" s="402"/>
      <c r="K889" s="402"/>
      <c r="L889" s="402"/>
      <c r="M889" s="402"/>
      <c r="N889" s="402"/>
      <c r="O889" s="402"/>
      <c r="P889" s="402"/>
      <c r="Q889" s="402"/>
      <c r="R889" s="402"/>
      <c r="S889" s="402"/>
      <c r="T889" s="402"/>
      <c r="U889" s="402"/>
      <c r="V889" s="402"/>
      <c r="W889" s="402"/>
      <c r="X889" s="402"/>
      <c r="Y889" s="402"/>
      <c r="Z889" s="402"/>
      <c r="AA889" s="405"/>
      <c r="AB889" s="405"/>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57"/>
    <col customWidth="1" min="2" max="2" width="13.71"/>
    <col customWidth="1" min="3" max="3" width="24.43"/>
    <col customWidth="1" min="4" max="4" width="24.71"/>
    <col customWidth="1" min="5" max="5" width="20.43"/>
    <col customWidth="1" min="6" max="7" width="21.71"/>
    <col customWidth="1" min="8" max="8" width="24.29"/>
    <col customWidth="1" min="9" max="9" width="46.14"/>
    <col customWidth="1" min="10" max="26" width="8.71"/>
  </cols>
  <sheetData>
    <row r="1" ht="14.25" customHeight="1">
      <c r="A1" s="584" t="s">
        <v>2130</v>
      </c>
      <c r="B1" s="584" t="s">
        <v>39</v>
      </c>
      <c r="C1" s="584" t="s">
        <v>48</v>
      </c>
      <c r="D1" s="584" t="s">
        <v>49</v>
      </c>
      <c r="E1" s="584" t="s">
        <v>50</v>
      </c>
      <c r="F1" s="586" t="s">
        <v>2</v>
      </c>
      <c r="G1" s="584" t="s">
        <v>44</v>
      </c>
      <c r="H1" s="584" t="s">
        <v>45</v>
      </c>
      <c r="I1" s="584"/>
      <c r="J1" s="584"/>
      <c r="K1" s="584"/>
      <c r="L1" s="584"/>
      <c r="M1" s="584"/>
      <c r="N1" s="584"/>
      <c r="O1" s="584"/>
      <c r="P1" s="584"/>
      <c r="Q1" s="584"/>
      <c r="R1" s="584"/>
      <c r="S1" s="584"/>
      <c r="T1" s="584"/>
      <c r="U1" s="584"/>
      <c r="V1" s="584"/>
      <c r="W1" s="584"/>
      <c r="X1" s="584"/>
      <c r="Y1" s="584"/>
      <c r="Z1" s="584"/>
    </row>
    <row r="2" ht="14.25" customHeight="1">
      <c r="A2" s="406">
        <v>45495.0</v>
      </c>
      <c r="B2" s="349" t="s">
        <v>4662</v>
      </c>
      <c r="C2" s="349" t="s">
        <v>4663</v>
      </c>
      <c r="D2" s="349" t="s">
        <v>4664</v>
      </c>
      <c r="E2" s="349" t="s">
        <v>4665</v>
      </c>
      <c r="F2" s="413">
        <v>127487.0</v>
      </c>
      <c r="G2" s="349">
        <v>0.0</v>
      </c>
      <c r="H2" s="349" t="s">
        <v>4666</v>
      </c>
      <c r="I2" s="404" t="str">
        <f>IF(G2&gt;=F2,"FULLY PAID",IF(G2=0,"NOT PAID","PARTIALLY PAID"))</f>
        <v>NOT PAID</v>
      </c>
      <c r="J2" s="402"/>
      <c r="K2" s="402"/>
      <c r="L2" s="402"/>
      <c r="M2" s="402"/>
      <c r="N2" s="402"/>
      <c r="O2" s="402"/>
      <c r="P2" s="402"/>
      <c r="Q2" s="402"/>
      <c r="R2" s="402"/>
      <c r="S2" s="402"/>
      <c r="T2" s="402"/>
      <c r="U2" s="402"/>
      <c r="V2" s="402"/>
      <c r="W2" s="402"/>
      <c r="X2" s="402"/>
      <c r="Y2" s="402"/>
      <c r="Z2" s="402"/>
    </row>
    <row r="3" ht="14.25" customHeight="1">
      <c r="A3" s="402"/>
      <c r="B3" s="402"/>
      <c r="C3" s="402"/>
      <c r="D3" s="402"/>
      <c r="E3" s="402"/>
      <c r="F3" s="403"/>
      <c r="G3" s="402"/>
      <c r="H3" s="402"/>
      <c r="I3" s="404"/>
      <c r="J3" s="402"/>
      <c r="K3" s="402"/>
      <c r="L3" s="402"/>
      <c r="M3" s="402"/>
      <c r="N3" s="402"/>
      <c r="O3" s="402"/>
      <c r="P3" s="402"/>
      <c r="Q3" s="402"/>
      <c r="R3" s="402"/>
      <c r="S3" s="402"/>
      <c r="T3" s="402"/>
      <c r="U3" s="402"/>
      <c r="V3" s="402"/>
      <c r="W3" s="402"/>
      <c r="X3" s="402"/>
      <c r="Y3" s="402"/>
      <c r="Z3" s="402"/>
    </row>
    <row r="4" ht="14.25" customHeight="1">
      <c r="A4" s="406">
        <v>45496.0</v>
      </c>
      <c r="B4" s="349" t="s">
        <v>4667</v>
      </c>
      <c r="C4" s="349" t="s">
        <v>4668</v>
      </c>
      <c r="D4" s="349" t="s">
        <v>439</v>
      </c>
      <c r="E4" s="349" t="s">
        <v>4669</v>
      </c>
      <c r="F4" s="413">
        <v>39423.39</v>
      </c>
      <c r="G4" s="349">
        <v>0.0</v>
      </c>
      <c r="H4" s="349" t="s">
        <v>4666</v>
      </c>
      <c r="I4" s="404" t="str">
        <f t="shared" ref="I4:I5" si="1">IF(G4&gt;=F4,"FULLY PAID",IF(G4=0,"NOT PAID","PARTIALLY PAID"))</f>
        <v>NOT PAID</v>
      </c>
      <c r="J4" s="402"/>
      <c r="K4" s="402"/>
      <c r="L4" s="402"/>
      <c r="M4" s="402"/>
      <c r="N4" s="402"/>
      <c r="O4" s="402"/>
      <c r="P4" s="402"/>
      <c r="Q4" s="402"/>
      <c r="R4" s="402"/>
      <c r="S4" s="402"/>
      <c r="T4" s="402"/>
      <c r="U4" s="402"/>
      <c r="V4" s="402"/>
      <c r="W4" s="402"/>
      <c r="X4" s="402"/>
      <c r="Y4" s="402"/>
      <c r="Z4" s="402"/>
    </row>
    <row r="5" ht="14.25" customHeight="1">
      <c r="A5" s="406">
        <v>45496.0</v>
      </c>
      <c r="B5" s="349" t="s">
        <v>4662</v>
      </c>
      <c r="C5" s="349" t="s">
        <v>4663</v>
      </c>
      <c r="D5" s="349" t="s">
        <v>4664</v>
      </c>
      <c r="E5" s="349" t="s">
        <v>4665</v>
      </c>
      <c r="F5" s="413">
        <v>127487.0</v>
      </c>
      <c r="G5" s="402"/>
      <c r="H5" s="349" t="s">
        <v>4670</v>
      </c>
      <c r="I5" s="404" t="str">
        <f t="shared" si="1"/>
        <v>NOT PAID</v>
      </c>
      <c r="J5" s="402"/>
      <c r="K5" s="402"/>
      <c r="L5" s="402"/>
      <c r="M5" s="402"/>
      <c r="N5" s="402"/>
      <c r="O5" s="402"/>
      <c r="P5" s="402"/>
      <c r="Q5" s="402"/>
      <c r="R5" s="402"/>
      <c r="S5" s="402"/>
      <c r="T5" s="402"/>
      <c r="U5" s="402"/>
      <c r="V5" s="402"/>
      <c r="W5" s="402"/>
      <c r="X5" s="402"/>
      <c r="Y5" s="402"/>
      <c r="Z5" s="402"/>
    </row>
    <row r="6" ht="14.25" customHeight="1">
      <c r="A6" s="402"/>
      <c r="B6" s="402"/>
      <c r="C6" s="402"/>
      <c r="D6" s="402"/>
      <c r="E6" s="402"/>
      <c r="F6" s="403"/>
      <c r="G6" s="402"/>
      <c r="H6" s="402"/>
      <c r="I6" s="404"/>
      <c r="J6" s="402"/>
      <c r="K6" s="402"/>
      <c r="L6" s="402"/>
      <c r="M6" s="402"/>
      <c r="N6" s="402"/>
      <c r="O6" s="402"/>
      <c r="P6" s="402"/>
      <c r="Q6" s="402"/>
      <c r="R6" s="402"/>
      <c r="S6" s="402"/>
      <c r="T6" s="402"/>
      <c r="U6" s="402"/>
      <c r="V6" s="402"/>
      <c r="W6" s="402"/>
      <c r="X6" s="402"/>
      <c r="Y6" s="402"/>
      <c r="Z6" s="402"/>
    </row>
    <row r="7" ht="14.25" customHeight="1">
      <c r="A7" s="406">
        <v>45497.0</v>
      </c>
      <c r="B7" s="349" t="s">
        <v>4667</v>
      </c>
      <c r="C7" s="349" t="s">
        <v>4668</v>
      </c>
      <c r="D7" s="349" t="s">
        <v>439</v>
      </c>
      <c r="E7" s="349" t="s">
        <v>4669</v>
      </c>
      <c r="F7" s="413">
        <v>39423.39</v>
      </c>
      <c r="G7" s="413">
        <v>20000.0</v>
      </c>
      <c r="H7" s="402"/>
      <c r="I7" s="404" t="str">
        <f t="shared" ref="I7:I8" si="2">IF(G7&gt;=F7,"FULLY PAID",IF(G7=0,"NOT PAID","PARTIALLY PAID"))</f>
        <v>PARTIALLY PAID</v>
      </c>
      <c r="J7" s="402"/>
      <c r="K7" s="402"/>
      <c r="L7" s="402"/>
      <c r="M7" s="402"/>
      <c r="N7" s="402"/>
      <c r="O7" s="402"/>
      <c r="P7" s="402"/>
      <c r="Q7" s="402"/>
      <c r="R7" s="402"/>
      <c r="S7" s="402"/>
      <c r="T7" s="402"/>
      <c r="U7" s="402"/>
      <c r="V7" s="402"/>
      <c r="W7" s="402"/>
      <c r="X7" s="402"/>
      <c r="Y7" s="402"/>
      <c r="Z7" s="402"/>
    </row>
    <row r="8" ht="14.25" customHeight="1">
      <c r="A8" s="406">
        <v>45497.0</v>
      </c>
      <c r="B8" s="349" t="s">
        <v>4662</v>
      </c>
      <c r="C8" s="349" t="s">
        <v>4663</v>
      </c>
      <c r="D8" s="349" t="s">
        <v>4664</v>
      </c>
      <c r="E8" s="349" t="s">
        <v>4665</v>
      </c>
      <c r="F8" s="413">
        <v>127487.0</v>
      </c>
      <c r="G8" s="402"/>
      <c r="H8" s="402"/>
      <c r="I8" s="404" t="str">
        <f t="shared" si="2"/>
        <v>NOT PAID</v>
      </c>
      <c r="J8" s="402"/>
      <c r="K8" s="402"/>
      <c r="L8" s="402"/>
      <c r="M8" s="402"/>
      <c r="N8" s="402"/>
      <c r="O8" s="402"/>
      <c r="P8" s="402"/>
      <c r="Q8" s="402"/>
      <c r="R8" s="402"/>
      <c r="S8" s="402"/>
      <c r="T8" s="402"/>
      <c r="U8" s="402"/>
      <c r="V8" s="402"/>
      <c r="W8" s="402"/>
      <c r="X8" s="402"/>
      <c r="Y8" s="402"/>
      <c r="Z8" s="402"/>
    </row>
    <row r="9" ht="14.25" customHeight="1">
      <c r="A9" s="402"/>
      <c r="B9" s="402"/>
      <c r="C9" s="402"/>
      <c r="D9" s="402"/>
      <c r="E9" s="402"/>
      <c r="F9" s="403"/>
      <c r="G9" s="402"/>
      <c r="H9" s="402"/>
      <c r="I9" s="404"/>
      <c r="J9" s="402"/>
      <c r="K9" s="402"/>
      <c r="L9" s="402"/>
      <c r="M9" s="402"/>
      <c r="N9" s="402"/>
      <c r="O9" s="402"/>
      <c r="P9" s="402"/>
      <c r="Q9" s="402"/>
      <c r="R9" s="402"/>
      <c r="S9" s="402"/>
      <c r="T9" s="402"/>
      <c r="U9" s="402"/>
      <c r="V9" s="402"/>
      <c r="W9" s="402"/>
      <c r="X9" s="402"/>
      <c r="Y9" s="402"/>
      <c r="Z9" s="402"/>
    </row>
    <row r="10" ht="14.25" customHeight="1">
      <c r="A10" s="406">
        <v>45498.0</v>
      </c>
      <c r="B10" s="349" t="s">
        <v>4667</v>
      </c>
      <c r="C10" s="349" t="s">
        <v>4668</v>
      </c>
      <c r="D10" s="349" t="s">
        <v>439</v>
      </c>
      <c r="E10" s="349" t="s">
        <v>4669</v>
      </c>
      <c r="F10" s="413">
        <v>19423.39</v>
      </c>
      <c r="G10" s="402"/>
      <c r="H10" s="402"/>
      <c r="I10" s="404" t="str">
        <f t="shared" ref="I10:I14" si="3">IF(G10&gt;=F10,"FULLY PAID",IF(G10=0,"NOT PAID","PARTIALLY PAID"))</f>
        <v>NOT PAID</v>
      </c>
      <c r="J10" s="402"/>
      <c r="K10" s="402"/>
      <c r="L10" s="402"/>
      <c r="M10" s="402"/>
      <c r="N10" s="402"/>
      <c r="O10" s="402"/>
      <c r="P10" s="402"/>
      <c r="Q10" s="402"/>
      <c r="R10" s="402"/>
      <c r="S10" s="402"/>
      <c r="T10" s="402"/>
      <c r="U10" s="402"/>
      <c r="V10" s="402"/>
      <c r="W10" s="402"/>
      <c r="X10" s="402"/>
      <c r="Y10" s="402"/>
      <c r="Z10" s="402"/>
    </row>
    <row r="11" ht="14.25" customHeight="1">
      <c r="A11" s="406">
        <v>45498.0</v>
      </c>
      <c r="B11" s="349" t="s">
        <v>4662</v>
      </c>
      <c r="C11" s="349" t="s">
        <v>4663</v>
      </c>
      <c r="D11" s="349" t="s">
        <v>4671</v>
      </c>
      <c r="E11" s="349" t="s">
        <v>4665</v>
      </c>
      <c r="F11" s="413">
        <v>127487.0</v>
      </c>
      <c r="G11" s="402"/>
      <c r="H11" s="402"/>
      <c r="I11" s="404" t="str">
        <f t="shared" si="3"/>
        <v>NOT PAID</v>
      </c>
      <c r="J11" s="402"/>
      <c r="K11" s="402"/>
      <c r="L11" s="402"/>
      <c r="M11" s="402"/>
      <c r="N11" s="402"/>
      <c r="O11" s="402"/>
      <c r="P11" s="402"/>
      <c r="Q11" s="402"/>
      <c r="R11" s="402"/>
      <c r="S11" s="402"/>
      <c r="T11" s="402"/>
      <c r="U11" s="402"/>
      <c r="V11" s="402"/>
      <c r="W11" s="402"/>
      <c r="X11" s="402"/>
      <c r="Y11" s="402"/>
      <c r="Z11" s="402"/>
    </row>
    <row r="12" ht="14.25" customHeight="1">
      <c r="A12" s="402"/>
      <c r="B12" s="402"/>
      <c r="C12" s="402"/>
      <c r="D12" s="402"/>
      <c r="E12" s="402"/>
      <c r="F12" s="403"/>
      <c r="G12" s="402"/>
      <c r="H12" s="402"/>
      <c r="I12" s="404" t="str">
        <f t="shared" si="3"/>
        <v>FULLY PAID</v>
      </c>
      <c r="J12" s="402"/>
      <c r="K12" s="402"/>
      <c r="L12" s="402"/>
      <c r="M12" s="402"/>
      <c r="N12" s="402"/>
      <c r="O12" s="402"/>
      <c r="P12" s="402"/>
      <c r="Q12" s="402"/>
      <c r="R12" s="402"/>
      <c r="S12" s="402"/>
      <c r="T12" s="402"/>
      <c r="U12" s="402"/>
      <c r="V12" s="402"/>
      <c r="W12" s="402"/>
      <c r="X12" s="402"/>
      <c r="Y12" s="402"/>
      <c r="Z12" s="402"/>
    </row>
    <row r="13" ht="14.25" customHeight="1">
      <c r="A13" s="406">
        <v>45499.0</v>
      </c>
      <c r="B13" s="349" t="s">
        <v>4667</v>
      </c>
      <c r="C13" s="349" t="s">
        <v>4668</v>
      </c>
      <c r="D13" s="349" t="s">
        <v>439</v>
      </c>
      <c r="E13" s="349" t="s">
        <v>4669</v>
      </c>
      <c r="F13" s="413">
        <v>19423.39</v>
      </c>
      <c r="G13" s="402"/>
      <c r="H13" s="402"/>
      <c r="I13" s="404" t="str">
        <f t="shared" si="3"/>
        <v>NOT PAID</v>
      </c>
      <c r="J13" s="402"/>
      <c r="K13" s="402"/>
      <c r="L13" s="402"/>
      <c r="M13" s="402"/>
      <c r="N13" s="402"/>
      <c r="O13" s="402"/>
      <c r="P13" s="402"/>
      <c r="Q13" s="402"/>
      <c r="R13" s="402"/>
      <c r="S13" s="402"/>
      <c r="T13" s="402"/>
      <c r="U13" s="402"/>
      <c r="V13" s="402"/>
      <c r="W13" s="402"/>
      <c r="X13" s="402"/>
      <c r="Y13" s="402"/>
      <c r="Z13" s="402"/>
    </row>
    <row r="14" ht="14.25" customHeight="1">
      <c r="A14" s="406">
        <v>45499.0</v>
      </c>
      <c r="B14" s="349" t="s">
        <v>4662</v>
      </c>
      <c r="C14" s="349" t="s">
        <v>4663</v>
      </c>
      <c r="D14" s="349" t="s">
        <v>4664</v>
      </c>
      <c r="E14" s="349" t="s">
        <v>4665</v>
      </c>
      <c r="F14" s="413">
        <v>127487.0</v>
      </c>
      <c r="G14" s="402"/>
      <c r="H14" s="402"/>
      <c r="I14" s="404" t="str">
        <f t="shared" si="3"/>
        <v>NOT PAID</v>
      </c>
      <c r="J14" s="402"/>
      <c r="K14" s="402"/>
      <c r="L14" s="402"/>
      <c r="M14" s="402"/>
      <c r="N14" s="402"/>
      <c r="O14" s="402"/>
      <c r="P14" s="402"/>
      <c r="Q14" s="402"/>
      <c r="R14" s="402"/>
      <c r="S14" s="402"/>
      <c r="T14" s="402"/>
      <c r="U14" s="402"/>
      <c r="V14" s="402"/>
      <c r="W14" s="402"/>
      <c r="X14" s="402"/>
      <c r="Y14" s="402"/>
      <c r="Z14" s="402"/>
    </row>
    <row r="15" ht="14.25" customHeight="1">
      <c r="A15" s="402"/>
      <c r="B15" s="402"/>
      <c r="C15" s="402"/>
      <c r="D15" s="402"/>
      <c r="E15" s="402"/>
      <c r="F15" s="403"/>
      <c r="G15" s="402"/>
      <c r="H15" s="402"/>
      <c r="I15" s="404"/>
      <c r="J15" s="402"/>
      <c r="K15" s="402"/>
      <c r="L15" s="402"/>
      <c r="M15" s="402"/>
      <c r="N15" s="402"/>
      <c r="O15" s="402"/>
      <c r="P15" s="402"/>
      <c r="Q15" s="402"/>
      <c r="R15" s="402"/>
      <c r="S15" s="402"/>
      <c r="T15" s="402"/>
      <c r="U15" s="402"/>
      <c r="V15" s="402"/>
      <c r="W15" s="402"/>
      <c r="X15" s="402"/>
      <c r="Y15" s="402"/>
      <c r="Z15" s="402"/>
    </row>
    <row r="16" ht="14.25" customHeight="1">
      <c r="A16" s="406">
        <v>45500.0</v>
      </c>
      <c r="B16" s="349" t="s">
        <v>4667</v>
      </c>
      <c r="C16" s="349" t="s">
        <v>4668</v>
      </c>
      <c r="D16" s="349" t="s">
        <v>439</v>
      </c>
      <c r="E16" s="349" t="s">
        <v>4669</v>
      </c>
      <c r="F16" s="413">
        <v>19423.39</v>
      </c>
      <c r="G16" s="402"/>
      <c r="H16" s="402"/>
      <c r="I16" s="404" t="str">
        <f t="shared" ref="I16:I23" si="4">IF(G16&gt;=F16,"FULLY PAID",IF(G16=0,"NOT PAID","PARTIALLY PAID"))</f>
        <v>NOT PAID</v>
      </c>
      <c r="J16" s="402"/>
      <c r="K16" s="402"/>
      <c r="L16" s="402"/>
      <c r="M16" s="402"/>
      <c r="N16" s="402"/>
      <c r="O16" s="402"/>
      <c r="P16" s="402"/>
      <c r="Q16" s="402"/>
      <c r="R16" s="402"/>
      <c r="S16" s="402"/>
      <c r="T16" s="402"/>
      <c r="U16" s="402"/>
      <c r="V16" s="402"/>
      <c r="W16" s="402"/>
      <c r="X16" s="402"/>
      <c r="Y16" s="402"/>
      <c r="Z16" s="402"/>
    </row>
    <row r="17" ht="14.25" customHeight="1">
      <c r="A17" s="406">
        <v>45500.0</v>
      </c>
      <c r="B17" s="349" t="s">
        <v>4662</v>
      </c>
      <c r="C17" s="349" t="s">
        <v>4663</v>
      </c>
      <c r="D17" s="349" t="s">
        <v>4664</v>
      </c>
      <c r="E17" s="349" t="s">
        <v>4665</v>
      </c>
      <c r="F17" s="413">
        <v>127487.0</v>
      </c>
      <c r="G17" s="402"/>
      <c r="H17" s="402"/>
      <c r="I17" s="404" t="str">
        <f t="shared" si="4"/>
        <v>NOT PAID</v>
      </c>
      <c r="J17" s="402"/>
      <c r="K17" s="402"/>
      <c r="L17" s="402"/>
      <c r="M17" s="402"/>
      <c r="N17" s="402"/>
      <c r="O17" s="402"/>
      <c r="P17" s="402"/>
      <c r="Q17" s="402"/>
      <c r="R17" s="402"/>
      <c r="S17" s="402"/>
      <c r="T17" s="402"/>
      <c r="U17" s="402"/>
      <c r="V17" s="402"/>
      <c r="W17" s="402"/>
      <c r="X17" s="402"/>
      <c r="Y17" s="402"/>
      <c r="Z17" s="402"/>
    </row>
    <row r="18" ht="14.25" customHeight="1">
      <c r="A18" s="402"/>
      <c r="B18" s="402"/>
      <c r="C18" s="402"/>
      <c r="D18" s="402"/>
      <c r="E18" s="402"/>
      <c r="F18" s="403"/>
      <c r="G18" s="402"/>
      <c r="H18" s="402"/>
      <c r="I18" s="404" t="str">
        <f t="shared" si="4"/>
        <v>FULLY PAID</v>
      </c>
      <c r="J18" s="402"/>
      <c r="K18" s="402"/>
      <c r="L18" s="402"/>
      <c r="M18" s="402"/>
      <c r="N18" s="402"/>
      <c r="O18" s="402"/>
      <c r="P18" s="402"/>
      <c r="Q18" s="402"/>
      <c r="R18" s="402"/>
      <c r="S18" s="402"/>
      <c r="T18" s="402"/>
      <c r="U18" s="402"/>
      <c r="V18" s="402"/>
      <c r="W18" s="402"/>
      <c r="X18" s="402"/>
      <c r="Y18" s="402"/>
      <c r="Z18" s="402"/>
    </row>
    <row r="19" ht="14.25" customHeight="1">
      <c r="A19" s="406">
        <v>45502.0</v>
      </c>
      <c r="B19" s="349" t="s">
        <v>4667</v>
      </c>
      <c r="C19" s="349" t="s">
        <v>4668</v>
      </c>
      <c r="D19" s="349" t="s">
        <v>439</v>
      </c>
      <c r="E19" s="349" t="s">
        <v>4669</v>
      </c>
      <c r="F19" s="413">
        <v>19423.39</v>
      </c>
      <c r="G19" s="349">
        <v>19500.0</v>
      </c>
      <c r="H19" s="349" t="s">
        <v>56</v>
      </c>
      <c r="I19" s="404" t="str">
        <f t="shared" si="4"/>
        <v>FULLY PAID</v>
      </c>
      <c r="J19" s="402"/>
      <c r="K19" s="402"/>
      <c r="L19" s="402"/>
      <c r="M19" s="402"/>
      <c r="N19" s="402"/>
      <c r="O19" s="402"/>
      <c r="P19" s="402"/>
      <c r="Q19" s="402"/>
      <c r="R19" s="402"/>
      <c r="S19" s="402"/>
      <c r="T19" s="402"/>
      <c r="U19" s="402"/>
      <c r="V19" s="402"/>
      <c r="W19" s="402"/>
      <c r="X19" s="402"/>
      <c r="Y19" s="402"/>
      <c r="Z19" s="402"/>
    </row>
    <row r="20" ht="14.25" customHeight="1">
      <c r="A20" s="406">
        <v>45502.0</v>
      </c>
      <c r="B20" s="349" t="s">
        <v>4662</v>
      </c>
      <c r="C20" s="349" t="s">
        <v>4663</v>
      </c>
      <c r="D20" s="349" t="s">
        <v>4664</v>
      </c>
      <c r="E20" s="349" t="s">
        <v>4665</v>
      </c>
      <c r="F20" s="413">
        <v>127487.0</v>
      </c>
      <c r="G20" s="402"/>
      <c r="H20" s="349" t="s">
        <v>4672</v>
      </c>
      <c r="I20" s="404" t="str">
        <f t="shared" si="4"/>
        <v>NOT PAID</v>
      </c>
      <c r="J20" s="402"/>
      <c r="K20" s="402"/>
      <c r="L20" s="402"/>
      <c r="M20" s="402"/>
      <c r="N20" s="402"/>
      <c r="O20" s="402"/>
      <c r="P20" s="402"/>
      <c r="Q20" s="402"/>
      <c r="R20" s="402"/>
      <c r="S20" s="402"/>
      <c r="T20" s="402"/>
      <c r="U20" s="402"/>
      <c r="V20" s="402"/>
      <c r="W20" s="402"/>
      <c r="X20" s="402"/>
      <c r="Y20" s="402"/>
      <c r="Z20" s="402"/>
    </row>
    <row r="21" ht="14.25" customHeight="1">
      <c r="A21" s="406">
        <v>45502.0</v>
      </c>
      <c r="B21" s="349" t="s">
        <v>4673</v>
      </c>
      <c r="C21" s="349" t="s">
        <v>4674</v>
      </c>
      <c r="D21" s="349" t="s">
        <v>439</v>
      </c>
      <c r="E21" s="349" t="s">
        <v>4665</v>
      </c>
      <c r="F21" s="413">
        <v>14333.0</v>
      </c>
      <c r="G21" s="349">
        <v>14400.0</v>
      </c>
      <c r="H21" s="349" t="s">
        <v>267</v>
      </c>
      <c r="I21" s="404" t="str">
        <f t="shared" si="4"/>
        <v>FULLY PAID</v>
      </c>
      <c r="J21" s="402"/>
      <c r="K21" s="402"/>
      <c r="L21" s="402"/>
      <c r="M21" s="402"/>
      <c r="N21" s="402"/>
      <c r="O21" s="402"/>
      <c r="P21" s="402"/>
      <c r="Q21" s="402"/>
      <c r="R21" s="402"/>
      <c r="S21" s="402"/>
      <c r="T21" s="402"/>
      <c r="U21" s="402"/>
      <c r="V21" s="402"/>
      <c r="W21" s="402"/>
      <c r="X21" s="402"/>
      <c r="Y21" s="402"/>
      <c r="Z21" s="402"/>
    </row>
    <row r="22" ht="14.25" customHeight="1">
      <c r="A22" s="402"/>
      <c r="B22" s="402"/>
      <c r="C22" s="402"/>
      <c r="D22" s="402"/>
      <c r="E22" s="402"/>
      <c r="F22" s="403"/>
      <c r="G22" s="402"/>
      <c r="H22" s="402"/>
      <c r="I22" s="404" t="str">
        <f t="shared" si="4"/>
        <v>FULLY PAID</v>
      </c>
      <c r="J22" s="402"/>
      <c r="K22" s="402"/>
      <c r="L22" s="402"/>
      <c r="M22" s="402"/>
      <c r="N22" s="402"/>
      <c r="O22" s="402"/>
      <c r="P22" s="402"/>
      <c r="Q22" s="402"/>
      <c r="R22" s="402"/>
      <c r="S22" s="402"/>
      <c r="T22" s="402"/>
      <c r="U22" s="402"/>
      <c r="V22" s="402"/>
      <c r="W22" s="402"/>
      <c r="X22" s="402"/>
      <c r="Y22" s="402"/>
      <c r="Z22" s="402"/>
    </row>
    <row r="23" ht="14.25" customHeight="1">
      <c r="A23" s="406">
        <v>45503.0</v>
      </c>
      <c r="B23" s="349" t="s">
        <v>4662</v>
      </c>
      <c r="C23" s="349" t="s">
        <v>4663</v>
      </c>
      <c r="D23" s="349" t="s">
        <v>4664</v>
      </c>
      <c r="E23" s="349" t="s">
        <v>4665</v>
      </c>
      <c r="F23" s="413">
        <v>127487.0</v>
      </c>
      <c r="G23" s="402"/>
      <c r="H23" s="402"/>
      <c r="I23" s="404" t="str">
        <f t="shared" si="4"/>
        <v>NOT PAID</v>
      </c>
      <c r="J23" s="402"/>
      <c r="K23" s="402"/>
      <c r="L23" s="402"/>
      <c r="M23" s="402"/>
      <c r="N23" s="402"/>
      <c r="O23" s="402"/>
      <c r="P23" s="402"/>
      <c r="Q23" s="402"/>
      <c r="R23" s="402"/>
      <c r="S23" s="402"/>
      <c r="T23" s="402"/>
      <c r="U23" s="402"/>
      <c r="V23" s="402"/>
      <c r="W23" s="402"/>
      <c r="X23" s="402"/>
      <c r="Y23" s="402"/>
      <c r="Z23" s="402"/>
    </row>
    <row r="24" ht="14.25" customHeight="1">
      <c r="A24" s="402"/>
      <c r="B24" s="402"/>
      <c r="C24" s="402"/>
      <c r="D24" s="402"/>
      <c r="E24" s="402"/>
      <c r="F24" s="403"/>
      <c r="G24" s="402"/>
      <c r="H24" s="402"/>
      <c r="I24" s="483"/>
      <c r="J24" s="402"/>
      <c r="K24" s="402"/>
      <c r="L24" s="402"/>
      <c r="M24" s="402"/>
      <c r="N24" s="402"/>
      <c r="O24" s="402"/>
      <c r="P24" s="402"/>
      <c r="Q24" s="402"/>
      <c r="R24" s="402"/>
      <c r="S24" s="402"/>
      <c r="T24" s="402"/>
      <c r="U24" s="402"/>
      <c r="V24" s="402"/>
      <c r="W24" s="402"/>
      <c r="X24" s="402"/>
      <c r="Y24" s="402"/>
      <c r="Z24" s="402"/>
    </row>
    <row r="25" ht="14.25" customHeight="1">
      <c r="A25" s="406">
        <v>45504.0</v>
      </c>
      <c r="B25" s="349" t="s">
        <v>4662</v>
      </c>
      <c r="C25" s="349" t="s">
        <v>4663</v>
      </c>
      <c r="D25" s="349" t="s">
        <v>4664</v>
      </c>
      <c r="E25" s="349" t="s">
        <v>4665</v>
      </c>
      <c r="F25" s="413">
        <v>127487.0</v>
      </c>
      <c r="G25" s="402"/>
      <c r="H25" s="349" t="s">
        <v>4675</v>
      </c>
      <c r="I25" s="404" t="str">
        <f t="shared" ref="I25:I49" si="5">IF(G25&gt;=F25,"FULLY PAID",IF(G25=0,"NOT PAID","PARTIALLY PAID"))</f>
        <v>NOT PAID</v>
      </c>
      <c r="J25" s="402"/>
      <c r="K25" s="402"/>
      <c r="L25" s="402"/>
      <c r="M25" s="402"/>
      <c r="N25" s="402"/>
      <c r="O25" s="402"/>
      <c r="P25" s="402"/>
      <c r="Q25" s="402"/>
      <c r="R25" s="402"/>
      <c r="S25" s="402"/>
      <c r="T25" s="402"/>
      <c r="U25" s="402"/>
      <c r="V25" s="402"/>
      <c r="W25" s="402"/>
      <c r="X25" s="402"/>
      <c r="Y25" s="402"/>
      <c r="Z25" s="402"/>
    </row>
    <row r="26" ht="14.25" customHeight="1">
      <c r="A26" s="402"/>
      <c r="B26" s="402"/>
      <c r="C26" s="402"/>
      <c r="D26" s="402"/>
      <c r="E26" s="402"/>
      <c r="F26" s="403"/>
      <c r="G26" s="402"/>
      <c r="H26" s="402"/>
      <c r="I26" s="404" t="str">
        <f t="shared" si="5"/>
        <v>FULLY PAID</v>
      </c>
      <c r="J26" s="402"/>
      <c r="K26" s="402"/>
      <c r="L26" s="402"/>
      <c r="M26" s="402"/>
      <c r="N26" s="402"/>
      <c r="O26" s="402"/>
      <c r="P26" s="402"/>
      <c r="Q26" s="402"/>
      <c r="R26" s="402"/>
      <c r="S26" s="402"/>
      <c r="T26" s="402"/>
      <c r="U26" s="402"/>
      <c r="V26" s="402"/>
      <c r="W26" s="402"/>
      <c r="X26" s="402"/>
      <c r="Y26" s="402"/>
      <c r="Z26" s="402"/>
    </row>
    <row r="27" ht="14.25" customHeight="1">
      <c r="A27" s="406">
        <v>45505.0</v>
      </c>
      <c r="B27" s="349" t="s">
        <v>4662</v>
      </c>
      <c r="C27" s="349" t="s">
        <v>4663</v>
      </c>
      <c r="D27" s="349" t="s">
        <v>4676</v>
      </c>
      <c r="E27" s="349" t="s">
        <v>4665</v>
      </c>
      <c r="F27" s="413">
        <v>127487.0</v>
      </c>
      <c r="G27" s="349">
        <v>0.0</v>
      </c>
      <c r="H27" s="349" t="s">
        <v>4677</v>
      </c>
      <c r="I27" s="404" t="str">
        <f t="shared" si="5"/>
        <v>NOT PAID</v>
      </c>
      <c r="J27" s="402"/>
      <c r="K27" s="402"/>
      <c r="L27" s="402"/>
      <c r="M27" s="402"/>
      <c r="N27" s="402"/>
      <c r="O27" s="402"/>
      <c r="P27" s="402"/>
      <c r="Q27" s="402"/>
      <c r="R27" s="402"/>
      <c r="S27" s="402"/>
      <c r="T27" s="402"/>
      <c r="U27" s="402"/>
      <c r="V27" s="402"/>
      <c r="W27" s="402"/>
      <c r="X27" s="402"/>
      <c r="Y27" s="402"/>
      <c r="Z27" s="402"/>
    </row>
    <row r="28" ht="14.25" customHeight="1">
      <c r="A28" s="402"/>
      <c r="B28" s="402"/>
      <c r="C28" s="402"/>
      <c r="D28" s="402"/>
      <c r="E28" s="402"/>
      <c r="F28" s="403"/>
      <c r="G28" s="402"/>
      <c r="H28" s="402"/>
      <c r="I28" s="404" t="str">
        <f t="shared" si="5"/>
        <v>FULLY PAID</v>
      </c>
      <c r="J28" s="402"/>
      <c r="K28" s="402"/>
      <c r="L28" s="402"/>
      <c r="M28" s="402"/>
      <c r="N28" s="402"/>
      <c r="O28" s="402"/>
      <c r="P28" s="402"/>
      <c r="Q28" s="402"/>
      <c r="R28" s="402"/>
      <c r="S28" s="402"/>
      <c r="T28" s="402"/>
      <c r="U28" s="402"/>
      <c r="V28" s="402"/>
      <c r="W28" s="402"/>
      <c r="X28" s="402"/>
      <c r="Y28" s="402"/>
      <c r="Z28" s="402"/>
    </row>
    <row r="29" ht="14.25" customHeight="1">
      <c r="A29" s="406">
        <v>45506.0</v>
      </c>
      <c r="B29" s="349" t="s">
        <v>4662</v>
      </c>
      <c r="C29" s="349" t="s">
        <v>4663</v>
      </c>
      <c r="D29" s="349" t="s">
        <v>4664</v>
      </c>
      <c r="E29" s="349" t="s">
        <v>4665</v>
      </c>
      <c r="F29" s="413">
        <v>127487.0</v>
      </c>
      <c r="G29" s="402"/>
      <c r="H29" s="349" t="s">
        <v>4678</v>
      </c>
      <c r="I29" s="404" t="str">
        <f t="shared" si="5"/>
        <v>NOT PAID</v>
      </c>
      <c r="J29" s="402"/>
      <c r="K29" s="402"/>
      <c r="L29" s="402"/>
      <c r="M29" s="402"/>
      <c r="N29" s="402"/>
      <c r="O29" s="402"/>
      <c r="P29" s="402"/>
      <c r="Q29" s="402"/>
      <c r="R29" s="402"/>
      <c r="S29" s="402"/>
      <c r="T29" s="402"/>
      <c r="U29" s="402"/>
      <c r="V29" s="402"/>
      <c r="W29" s="402"/>
      <c r="X29" s="402"/>
      <c r="Y29" s="402"/>
      <c r="Z29" s="402"/>
    </row>
    <row r="30" ht="14.25" customHeight="1">
      <c r="A30" s="406">
        <v>45506.0</v>
      </c>
      <c r="B30" s="349" t="s">
        <v>4667</v>
      </c>
      <c r="C30" s="349" t="s">
        <v>4668</v>
      </c>
      <c r="D30" s="349" t="s">
        <v>439</v>
      </c>
      <c r="E30" s="349" t="s">
        <v>4669</v>
      </c>
      <c r="F30" s="413">
        <v>51473.0</v>
      </c>
      <c r="G30" s="402"/>
      <c r="H30" s="349" t="s">
        <v>4679</v>
      </c>
      <c r="I30" s="404" t="str">
        <f t="shared" si="5"/>
        <v>NOT PAID</v>
      </c>
      <c r="J30" s="402"/>
      <c r="K30" s="402"/>
      <c r="L30" s="402"/>
      <c r="M30" s="402"/>
      <c r="N30" s="402"/>
      <c r="O30" s="402"/>
      <c r="P30" s="402"/>
      <c r="Q30" s="402"/>
      <c r="R30" s="402"/>
      <c r="S30" s="402"/>
      <c r="T30" s="402"/>
      <c r="U30" s="402"/>
      <c r="V30" s="402"/>
      <c r="W30" s="402"/>
      <c r="X30" s="402"/>
      <c r="Y30" s="402"/>
      <c r="Z30" s="402"/>
    </row>
    <row r="31" ht="14.25" customHeight="1">
      <c r="A31" s="402"/>
      <c r="B31" s="402"/>
      <c r="C31" s="402"/>
      <c r="D31" s="402"/>
      <c r="E31" s="402"/>
      <c r="F31" s="403"/>
      <c r="G31" s="402"/>
      <c r="H31" s="402"/>
      <c r="I31" s="404" t="str">
        <f t="shared" si="5"/>
        <v>FULLY PAID</v>
      </c>
      <c r="J31" s="402"/>
      <c r="K31" s="402"/>
      <c r="L31" s="402"/>
      <c r="M31" s="402"/>
      <c r="N31" s="402"/>
      <c r="O31" s="402"/>
      <c r="P31" s="402"/>
      <c r="Q31" s="402"/>
      <c r="R31" s="402"/>
      <c r="S31" s="402"/>
      <c r="T31" s="402"/>
      <c r="U31" s="402"/>
      <c r="V31" s="402"/>
      <c r="W31" s="402"/>
      <c r="X31" s="402"/>
      <c r="Y31" s="402"/>
      <c r="Z31" s="402"/>
    </row>
    <row r="32" ht="14.25" customHeight="1">
      <c r="A32" s="406">
        <v>45507.0</v>
      </c>
      <c r="B32" s="349" t="s">
        <v>4662</v>
      </c>
      <c r="C32" s="349" t="s">
        <v>4663</v>
      </c>
      <c r="D32" s="349" t="s">
        <v>4664</v>
      </c>
      <c r="E32" s="349" t="s">
        <v>4665</v>
      </c>
      <c r="F32" s="413">
        <v>127487.0</v>
      </c>
      <c r="G32" s="402"/>
      <c r="H32" s="349" t="s">
        <v>4680</v>
      </c>
      <c r="I32" s="404" t="str">
        <f t="shared" si="5"/>
        <v>NOT PAID</v>
      </c>
      <c r="J32" s="402"/>
      <c r="K32" s="402"/>
      <c r="L32" s="402"/>
      <c r="M32" s="402"/>
      <c r="N32" s="402"/>
      <c r="O32" s="402"/>
      <c r="P32" s="402"/>
      <c r="Q32" s="402"/>
      <c r="R32" s="402"/>
      <c r="S32" s="402"/>
      <c r="T32" s="402"/>
      <c r="U32" s="402"/>
      <c r="V32" s="402"/>
      <c r="W32" s="402"/>
      <c r="X32" s="402"/>
      <c r="Y32" s="402"/>
      <c r="Z32" s="402"/>
    </row>
    <row r="33" ht="14.25" customHeight="1">
      <c r="A33" s="406">
        <v>45507.0</v>
      </c>
      <c r="B33" s="349" t="s">
        <v>4667</v>
      </c>
      <c r="C33" s="349" t="s">
        <v>4668</v>
      </c>
      <c r="D33" s="349" t="s">
        <v>439</v>
      </c>
      <c r="E33" s="349" t="s">
        <v>4669</v>
      </c>
      <c r="F33" s="413">
        <v>51473.0</v>
      </c>
      <c r="G33" s="402"/>
      <c r="H33" s="349" t="s">
        <v>4681</v>
      </c>
      <c r="I33" s="404" t="str">
        <f t="shared" si="5"/>
        <v>NOT PAID</v>
      </c>
      <c r="J33" s="402"/>
      <c r="K33" s="402"/>
      <c r="L33" s="402"/>
      <c r="M33" s="402"/>
      <c r="N33" s="402"/>
      <c r="O33" s="402"/>
      <c r="P33" s="402"/>
      <c r="Q33" s="402"/>
      <c r="R33" s="402"/>
      <c r="S33" s="402"/>
      <c r="T33" s="402"/>
      <c r="U33" s="402"/>
      <c r="V33" s="402"/>
      <c r="W33" s="402"/>
      <c r="X33" s="402"/>
      <c r="Y33" s="402"/>
      <c r="Z33" s="402"/>
    </row>
    <row r="34" ht="14.25" customHeight="1">
      <c r="A34" s="402"/>
      <c r="B34" s="402"/>
      <c r="C34" s="402"/>
      <c r="D34" s="402"/>
      <c r="E34" s="402"/>
      <c r="F34" s="403"/>
      <c r="G34" s="402"/>
      <c r="H34" s="402"/>
      <c r="I34" s="404" t="str">
        <f t="shared" si="5"/>
        <v>FULLY PAID</v>
      </c>
      <c r="J34" s="402"/>
      <c r="K34" s="402"/>
      <c r="L34" s="402"/>
      <c r="M34" s="402"/>
      <c r="N34" s="402"/>
      <c r="O34" s="402"/>
      <c r="P34" s="402"/>
      <c r="Q34" s="402"/>
      <c r="R34" s="402"/>
      <c r="S34" s="402"/>
      <c r="T34" s="402"/>
      <c r="U34" s="402"/>
      <c r="V34" s="402"/>
      <c r="W34" s="402"/>
      <c r="X34" s="402"/>
      <c r="Y34" s="402"/>
      <c r="Z34" s="402"/>
    </row>
    <row r="35" ht="14.25" customHeight="1">
      <c r="A35" s="406">
        <v>45509.0</v>
      </c>
      <c r="B35" s="349" t="s">
        <v>4662</v>
      </c>
      <c r="C35" s="349" t="s">
        <v>4663</v>
      </c>
      <c r="D35" s="349" t="s">
        <v>4664</v>
      </c>
      <c r="E35" s="349" t="s">
        <v>4665</v>
      </c>
      <c r="F35" s="413">
        <v>127487.0</v>
      </c>
      <c r="G35" s="402"/>
      <c r="H35" s="349" t="s">
        <v>4682</v>
      </c>
      <c r="I35" s="404" t="str">
        <f t="shared" si="5"/>
        <v>NOT PAID</v>
      </c>
      <c r="J35" s="402"/>
      <c r="K35" s="402"/>
      <c r="L35" s="402"/>
      <c r="M35" s="402"/>
      <c r="N35" s="402"/>
      <c r="O35" s="402"/>
      <c r="P35" s="402"/>
      <c r="Q35" s="402"/>
      <c r="R35" s="402"/>
      <c r="S35" s="402"/>
      <c r="T35" s="402"/>
      <c r="U35" s="402"/>
      <c r="V35" s="402"/>
      <c r="W35" s="402"/>
      <c r="X35" s="402"/>
      <c r="Y35" s="402"/>
      <c r="Z35" s="402"/>
    </row>
    <row r="36" ht="14.25" customHeight="1">
      <c r="A36" s="406">
        <v>45509.0</v>
      </c>
      <c r="B36" s="349" t="s">
        <v>4667</v>
      </c>
      <c r="C36" s="349" t="s">
        <v>4668</v>
      </c>
      <c r="D36" s="349" t="s">
        <v>439</v>
      </c>
      <c r="E36" s="349" t="s">
        <v>4669</v>
      </c>
      <c r="F36" s="413">
        <v>51473.0</v>
      </c>
      <c r="G36" s="402"/>
      <c r="H36" s="349" t="s">
        <v>4683</v>
      </c>
      <c r="I36" s="404" t="str">
        <f t="shared" si="5"/>
        <v>NOT PAID</v>
      </c>
      <c r="J36" s="402"/>
      <c r="K36" s="402"/>
      <c r="L36" s="402"/>
      <c r="M36" s="402"/>
      <c r="N36" s="402"/>
      <c r="O36" s="402"/>
      <c r="P36" s="402"/>
      <c r="Q36" s="402"/>
      <c r="R36" s="402"/>
      <c r="S36" s="402"/>
      <c r="T36" s="402"/>
      <c r="U36" s="402"/>
      <c r="V36" s="402"/>
      <c r="W36" s="402"/>
      <c r="X36" s="402"/>
      <c r="Y36" s="402"/>
      <c r="Z36" s="402"/>
    </row>
    <row r="37" ht="14.25" customHeight="1">
      <c r="A37" s="402"/>
      <c r="B37" s="402"/>
      <c r="C37" s="402"/>
      <c r="D37" s="402"/>
      <c r="E37" s="402"/>
      <c r="F37" s="403"/>
      <c r="G37" s="349"/>
      <c r="H37" s="402"/>
      <c r="I37" s="404" t="str">
        <f t="shared" si="5"/>
        <v>FULLY PAID</v>
      </c>
      <c r="J37" s="402"/>
      <c r="K37" s="402"/>
      <c r="L37" s="402"/>
      <c r="M37" s="402"/>
      <c r="N37" s="402"/>
      <c r="O37" s="402"/>
      <c r="P37" s="402"/>
      <c r="Q37" s="402"/>
      <c r="R37" s="402"/>
      <c r="S37" s="402"/>
      <c r="T37" s="402"/>
      <c r="U37" s="402"/>
      <c r="V37" s="402"/>
      <c r="W37" s="402"/>
      <c r="X37" s="402"/>
      <c r="Y37" s="402"/>
      <c r="Z37" s="402"/>
    </row>
    <row r="38" ht="14.25" customHeight="1">
      <c r="A38" s="406">
        <v>45510.0</v>
      </c>
      <c r="B38" s="349" t="s">
        <v>4662</v>
      </c>
      <c r="C38" s="349" t="s">
        <v>4663</v>
      </c>
      <c r="D38" s="349" t="s">
        <v>4664</v>
      </c>
      <c r="E38" s="349" t="s">
        <v>4665</v>
      </c>
      <c r="F38" s="413">
        <v>140608.0</v>
      </c>
      <c r="G38" s="349">
        <v>0.0</v>
      </c>
      <c r="H38" s="349" t="s">
        <v>4684</v>
      </c>
      <c r="I38" s="404" t="str">
        <f t="shared" si="5"/>
        <v>NOT PAID</v>
      </c>
      <c r="J38" s="402"/>
      <c r="K38" s="402"/>
      <c r="L38" s="402"/>
      <c r="M38" s="402"/>
      <c r="N38" s="402"/>
      <c r="O38" s="402"/>
      <c r="P38" s="402"/>
      <c r="Q38" s="402"/>
      <c r="R38" s="402"/>
      <c r="S38" s="402"/>
      <c r="T38" s="402"/>
      <c r="U38" s="402"/>
      <c r="V38" s="402"/>
      <c r="W38" s="402"/>
      <c r="X38" s="402"/>
      <c r="Y38" s="402"/>
      <c r="Z38" s="402"/>
    </row>
    <row r="39" ht="14.25" customHeight="1">
      <c r="A39" s="406">
        <v>45510.0</v>
      </c>
      <c r="B39" s="349" t="s">
        <v>4667</v>
      </c>
      <c r="C39" s="349" t="s">
        <v>4668</v>
      </c>
      <c r="D39" s="349" t="s">
        <v>439</v>
      </c>
      <c r="E39" s="349" t="s">
        <v>4669</v>
      </c>
      <c r="F39" s="413">
        <v>57819.08</v>
      </c>
      <c r="G39" s="349">
        <v>0.0</v>
      </c>
      <c r="H39" s="349" t="s">
        <v>4685</v>
      </c>
      <c r="I39" s="404" t="str">
        <f t="shared" si="5"/>
        <v>NOT PAID</v>
      </c>
      <c r="J39" s="402"/>
      <c r="K39" s="402"/>
      <c r="L39" s="402"/>
      <c r="M39" s="402"/>
      <c r="N39" s="402"/>
      <c r="O39" s="402"/>
      <c r="P39" s="402"/>
      <c r="Q39" s="402"/>
      <c r="R39" s="402"/>
      <c r="S39" s="402"/>
      <c r="T39" s="402"/>
      <c r="U39" s="402"/>
      <c r="V39" s="402"/>
      <c r="W39" s="402"/>
      <c r="X39" s="402"/>
      <c r="Y39" s="402"/>
      <c r="Z39" s="402"/>
    </row>
    <row r="40" ht="14.25" customHeight="1">
      <c r="A40" s="402"/>
      <c r="B40" s="402"/>
      <c r="C40" s="402"/>
      <c r="D40" s="402"/>
      <c r="E40" s="402"/>
      <c r="F40" s="403"/>
      <c r="G40" s="402"/>
      <c r="H40" s="402"/>
      <c r="I40" s="404" t="str">
        <f t="shared" si="5"/>
        <v>FULLY PAID</v>
      </c>
      <c r="J40" s="402"/>
      <c r="K40" s="402"/>
      <c r="L40" s="402"/>
      <c r="M40" s="402"/>
      <c r="N40" s="402"/>
      <c r="O40" s="402"/>
      <c r="P40" s="402"/>
      <c r="Q40" s="402"/>
      <c r="R40" s="402"/>
      <c r="S40" s="402"/>
      <c r="T40" s="402"/>
      <c r="U40" s="402"/>
      <c r="V40" s="402"/>
      <c r="W40" s="402"/>
      <c r="X40" s="402"/>
      <c r="Y40" s="402"/>
      <c r="Z40" s="402"/>
    </row>
    <row r="41" ht="14.25" customHeight="1">
      <c r="A41" s="406">
        <v>45511.0</v>
      </c>
      <c r="B41" s="349" t="s">
        <v>4662</v>
      </c>
      <c r="C41" s="349" t="s">
        <v>4663</v>
      </c>
      <c r="D41" s="349" t="s">
        <v>4664</v>
      </c>
      <c r="E41" s="349" t="s">
        <v>4665</v>
      </c>
      <c r="F41" s="413">
        <v>140608.0</v>
      </c>
      <c r="G41" s="349">
        <v>0.0</v>
      </c>
      <c r="H41" s="349" t="s">
        <v>4686</v>
      </c>
      <c r="I41" s="404" t="str">
        <f t="shared" si="5"/>
        <v>NOT PAID</v>
      </c>
      <c r="J41" s="402"/>
      <c r="K41" s="402"/>
      <c r="L41" s="402"/>
      <c r="M41" s="402"/>
      <c r="N41" s="402"/>
      <c r="O41" s="402"/>
      <c r="P41" s="402"/>
      <c r="Q41" s="402"/>
      <c r="R41" s="402"/>
      <c r="S41" s="402"/>
      <c r="T41" s="402"/>
      <c r="U41" s="402"/>
      <c r="V41" s="402"/>
      <c r="W41" s="402"/>
      <c r="X41" s="402"/>
      <c r="Y41" s="402"/>
      <c r="Z41" s="402"/>
    </row>
    <row r="42" ht="14.25" customHeight="1">
      <c r="A42" s="402"/>
      <c r="B42" s="349" t="s">
        <v>4667</v>
      </c>
      <c r="C42" s="349" t="s">
        <v>4668</v>
      </c>
      <c r="D42" s="349" t="s">
        <v>439</v>
      </c>
      <c r="E42" s="349" t="s">
        <v>4669</v>
      </c>
      <c r="F42" s="413">
        <v>57819.0</v>
      </c>
      <c r="G42" s="349">
        <v>0.0</v>
      </c>
      <c r="H42" s="349" t="s">
        <v>4687</v>
      </c>
      <c r="I42" s="404" t="str">
        <f t="shared" si="5"/>
        <v>NOT PAID</v>
      </c>
      <c r="J42" s="402"/>
      <c r="K42" s="402"/>
      <c r="L42" s="402"/>
      <c r="M42" s="402"/>
      <c r="N42" s="402"/>
      <c r="O42" s="402"/>
      <c r="P42" s="402"/>
      <c r="Q42" s="402"/>
      <c r="R42" s="402"/>
      <c r="S42" s="402"/>
      <c r="T42" s="402"/>
      <c r="U42" s="402"/>
      <c r="V42" s="402"/>
      <c r="W42" s="402"/>
      <c r="X42" s="402"/>
      <c r="Y42" s="402"/>
      <c r="Z42" s="402"/>
    </row>
    <row r="43" ht="14.25" customHeight="1">
      <c r="A43" s="402"/>
      <c r="B43" s="402"/>
      <c r="C43" s="402"/>
      <c r="D43" s="402"/>
      <c r="E43" s="402"/>
      <c r="F43" s="403"/>
      <c r="G43" s="402"/>
      <c r="H43" s="402"/>
      <c r="I43" s="404" t="str">
        <f t="shared" si="5"/>
        <v>FULLY PAID</v>
      </c>
      <c r="J43" s="402"/>
      <c r="K43" s="402"/>
      <c r="L43" s="402"/>
      <c r="M43" s="402"/>
      <c r="N43" s="402"/>
      <c r="O43" s="402"/>
      <c r="P43" s="402"/>
      <c r="Q43" s="402"/>
      <c r="R43" s="402"/>
      <c r="S43" s="402"/>
      <c r="T43" s="402"/>
      <c r="U43" s="402"/>
      <c r="V43" s="402"/>
      <c r="W43" s="402"/>
      <c r="X43" s="402"/>
      <c r="Y43" s="402"/>
      <c r="Z43" s="402"/>
    </row>
    <row r="44" ht="14.25" customHeight="1">
      <c r="A44" s="406">
        <v>45512.0</v>
      </c>
      <c r="B44" s="349" t="s">
        <v>4662</v>
      </c>
      <c r="C44" s="349" t="s">
        <v>4663</v>
      </c>
      <c r="D44" s="349" t="s">
        <v>4664</v>
      </c>
      <c r="E44" s="349" t="s">
        <v>4665</v>
      </c>
      <c r="F44" s="413">
        <v>155243.54</v>
      </c>
      <c r="G44" s="349">
        <v>0.0</v>
      </c>
      <c r="H44" s="349" t="s">
        <v>4688</v>
      </c>
      <c r="I44" s="404" t="str">
        <f t="shared" si="5"/>
        <v>NOT PAID</v>
      </c>
      <c r="J44" s="402"/>
      <c r="K44" s="402"/>
      <c r="L44" s="402"/>
      <c r="M44" s="402"/>
      <c r="N44" s="402"/>
      <c r="O44" s="402"/>
      <c r="P44" s="402"/>
      <c r="Q44" s="402"/>
      <c r="R44" s="402"/>
      <c r="S44" s="402"/>
      <c r="T44" s="402"/>
      <c r="U44" s="402"/>
      <c r="V44" s="402"/>
      <c r="W44" s="402"/>
      <c r="X44" s="402"/>
      <c r="Y44" s="402"/>
      <c r="Z44" s="402"/>
    </row>
    <row r="45" ht="14.25" customHeight="1">
      <c r="A45" s="818">
        <v>45512.0</v>
      </c>
      <c r="B45" s="349" t="s">
        <v>4667</v>
      </c>
      <c r="C45" s="349" t="s">
        <v>4668</v>
      </c>
      <c r="D45" s="349" t="s">
        <v>439</v>
      </c>
      <c r="E45" s="349" t="s">
        <v>4669</v>
      </c>
      <c r="F45" s="413">
        <v>60710.43</v>
      </c>
      <c r="G45" s="349">
        <v>0.0</v>
      </c>
      <c r="H45" s="349" t="s">
        <v>4689</v>
      </c>
      <c r="I45" s="404" t="str">
        <f t="shared" si="5"/>
        <v>NOT PAID</v>
      </c>
      <c r="J45" s="402"/>
      <c r="K45" s="402"/>
      <c r="L45" s="402"/>
      <c r="M45" s="402"/>
      <c r="N45" s="402"/>
      <c r="O45" s="402"/>
      <c r="P45" s="402"/>
      <c r="Q45" s="402"/>
      <c r="R45" s="402"/>
      <c r="S45" s="402"/>
      <c r="T45" s="402"/>
      <c r="U45" s="402"/>
      <c r="V45" s="402"/>
      <c r="W45" s="402"/>
      <c r="X45" s="402"/>
      <c r="Y45" s="402"/>
      <c r="Z45" s="402"/>
    </row>
    <row r="46" ht="14.25" customHeight="1">
      <c r="A46" s="402"/>
      <c r="B46" s="402"/>
      <c r="C46" s="402"/>
      <c r="D46" s="402"/>
      <c r="E46" s="402"/>
      <c r="F46" s="403"/>
      <c r="G46" s="402"/>
      <c r="H46" s="402"/>
      <c r="I46" s="404" t="str">
        <f t="shared" si="5"/>
        <v>FULLY PAID</v>
      </c>
      <c r="J46" s="402"/>
      <c r="K46" s="402"/>
      <c r="L46" s="402"/>
      <c r="M46" s="402"/>
      <c r="N46" s="402"/>
      <c r="O46" s="402"/>
      <c r="P46" s="402"/>
      <c r="Q46" s="402"/>
      <c r="R46" s="402"/>
      <c r="S46" s="402"/>
      <c r="T46" s="402"/>
      <c r="U46" s="402"/>
      <c r="V46" s="402"/>
      <c r="W46" s="402"/>
      <c r="X46" s="402"/>
      <c r="Y46" s="402"/>
      <c r="Z46" s="402"/>
    </row>
    <row r="47" ht="14.25" customHeight="1">
      <c r="A47" s="406">
        <v>45513.0</v>
      </c>
      <c r="B47" s="349" t="s">
        <v>4662</v>
      </c>
      <c r="C47" s="349" t="s">
        <v>4663</v>
      </c>
      <c r="D47" s="349" t="s">
        <v>4664</v>
      </c>
      <c r="E47" s="349" t="s">
        <v>4665</v>
      </c>
      <c r="F47" s="413">
        <v>155243.54</v>
      </c>
      <c r="G47" s="402"/>
      <c r="H47" s="402"/>
      <c r="I47" s="404" t="str">
        <f t="shared" si="5"/>
        <v>NOT PAID</v>
      </c>
      <c r="J47" s="402"/>
      <c r="K47" s="402"/>
      <c r="L47" s="402"/>
      <c r="M47" s="402"/>
      <c r="N47" s="402"/>
      <c r="O47" s="402"/>
      <c r="P47" s="402"/>
      <c r="Q47" s="402"/>
      <c r="R47" s="402"/>
      <c r="S47" s="402"/>
      <c r="T47" s="402"/>
      <c r="U47" s="402"/>
      <c r="V47" s="402"/>
      <c r="W47" s="402"/>
      <c r="X47" s="402"/>
      <c r="Y47" s="402"/>
      <c r="Z47" s="402"/>
    </row>
    <row r="48" ht="14.25" customHeight="1">
      <c r="A48" s="406">
        <v>45513.0</v>
      </c>
      <c r="B48" s="349" t="s">
        <v>4667</v>
      </c>
      <c r="C48" s="349" t="s">
        <v>4668</v>
      </c>
      <c r="D48" s="349" t="s">
        <v>439</v>
      </c>
      <c r="E48" s="349" t="s">
        <v>4669</v>
      </c>
      <c r="F48" s="413">
        <v>60718.43</v>
      </c>
      <c r="G48" s="402"/>
      <c r="H48" s="402"/>
      <c r="I48" s="404" t="str">
        <f t="shared" si="5"/>
        <v>NOT PAID</v>
      </c>
      <c r="J48" s="402"/>
      <c r="K48" s="402"/>
      <c r="L48" s="402"/>
      <c r="M48" s="402"/>
      <c r="N48" s="402"/>
      <c r="O48" s="402"/>
      <c r="P48" s="402"/>
      <c r="Q48" s="402"/>
      <c r="R48" s="402"/>
      <c r="S48" s="402"/>
      <c r="T48" s="402"/>
      <c r="U48" s="402"/>
      <c r="V48" s="402"/>
      <c r="W48" s="402"/>
      <c r="X48" s="402"/>
      <c r="Y48" s="402"/>
      <c r="Z48" s="402"/>
    </row>
    <row r="49" ht="14.25" customHeight="1">
      <c r="A49" s="406">
        <v>45513.0</v>
      </c>
      <c r="B49" s="349" t="s">
        <v>4690</v>
      </c>
      <c r="C49" s="349" t="s">
        <v>4691</v>
      </c>
      <c r="D49" s="349" t="s">
        <v>439</v>
      </c>
      <c r="E49" s="349" t="s">
        <v>4692</v>
      </c>
      <c r="F49" s="413">
        <v>21500.0</v>
      </c>
      <c r="G49" s="402"/>
      <c r="H49" s="402"/>
      <c r="I49" s="404" t="str">
        <f t="shared" si="5"/>
        <v>NOT PAID</v>
      </c>
      <c r="J49" s="402"/>
      <c r="K49" s="402"/>
      <c r="L49" s="402"/>
      <c r="M49" s="402"/>
      <c r="N49" s="402"/>
      <c r="O49" s="402"/>
      <c r="P49" s="402"/>
      <c r="Q49" s="402"/>
      <c r="R49" s="402"/>
      <c r="S49" s="402"/>
      <c r="T49" s="402"/>
      <c r="U49" s="402"/>
      <c r="V49" s="402"/>
      <c r="W49" s="402"/>
      <c r="X49" s="402"/>
      <c r="Y49" s="402"/>
      <c r="Z49" s="402"/>
    </row>
    <row r="50" ht="14.25" customHeight="1">
      <c r="A50" s="402"/>
      <c r="B50" s="402"/>
      <c r="C50" s="402"/>
      <c r="D50" s="402"/>
      <c r="E50" s="402"/>
      <c r="F50" s="403"/>
      <c r="G50" s="402"/>
      <c r="H50" s="402"/>
      <c r="I50" s="404"/>
      <c r="J50" s="402"/>
      <c r="K50" s="402"/>
      <c r="L50" s="402"/>
      <c r="M50" s="402"/>
      <c r="N50" s="402"/>
      <c r="O50" s="402"/>
      <c r="P50" s="402"/>
      <c r="Q50" s="402"/>
      <c r="R50" s="402"/>
      <c r="S50" s="402"/>
      <c r="T50" s="402"/>
      <c r="U50" s="402"/>
      <c r="V50" s="402"/>
      <c r="W50" s="402"/>
      <c r="X50" s="402"/>
      <c r="Y50" s="402"/>
      <c r="Z50" s="402"/>
    </row>
    <row r="51" ht="14.25" customHeight="1">
      <c r="A51" s="406">
        <v>45514.0</v>
      </c>
      <c r="B51" s="349" t="s">
        <v>4690</v>
      </c>
      <c r="C51" s="349" t="s">
        <v>4691</v>
      </c>
      <c r="D51" s="349" t="s">
        <v>439</v>
      </c>
      <c r="E51" s="349" t="s">
        <v>4692</v>
      </c>
      <c r="F51" s="413">
        <v>21500.0</v>
      </c>
      <c r="G51" s="683">
        <v>21500.0</v>
      </c>
      <c r="H51" s="349" t="s">
        <v>4693</v>
      </c>
      <c r="I51" s="404" t="str">
        <f t="shared" ref="I51:I52" si="6">IF(G51&gt;=F51,"FULLY PAID",IF(G51=0,"NOT PAID","PARTIALLY PAID"))</f>
        <v>FULLY PAID</v>
      </c>
      <c r="J51" s="402"/>
      <c r="K51" s="402"/>
      <c r="L51" s="402"/>
      <c r="M51" s="402"/>
      <c r="N51" s="402"/>
      <c r="O51" s="402"/>
      <c r="P51" s="402"/>
      <c r="Q51" s="402"/>
      <c r="R51" s="402"/>
      <c r="S51" s="402"/>
      <c r="T51" s="402"/>
      <c r="U51" s="402"/>
      <c r="V51" s="402"/>
      <c r="W51" s="402"/>
      <c r="X51" s="402"/>
      <c r="Y51" s="402"/>
      <c r="Z51" s="402"/>
    </row>
    <row r="52" ht="14.25" customHeight="1">
      <c r="A52" s="497">
        <v>45514.0</v>
      </c>
      <c r="B52" s="349" t="s">
        <v>4662</v>
      </c>
      <c r="C52" s="349" t="s">
        <v>4663</v>
      </c>
      <c r="D52" s="349" t="s">
        <v>666</v>
      </c>
      <c r="E52" s="349" t="s">
        <v>4665</v>
      </c>
      <c r="F52" s="413">
        <v>147713.0</v>
      </c>
      <c r="G52" s="683">
        <v>7500.0</v>
      </c>
      <c r="H52" s="349" t="s">
        <v>4694</v>
      </c>
      <c r="I52" s="404" t="str">
        <f t="shared" si="6"/>
        <v>PARTIALLY PAID</v>
      </c>
      <c r="J52" s="402"/>
      <c r="K52" s="402"/>
      <c r="L52" s="402"/>
      <c r="M52" s="402"/>
      <c r="N52" s="402"/>
      <c r="O52" s="402"/>
      <c r="P52" s="402"/>
      <c r="Q52" s="402"/>
      <c r="R52" s="402"/>
      <c r="S52" s="402"/>
      <c r="T52" s="402"/>
      <c r="U52" s="402"/>
      <c r="V52" s="402"/>
      <c r="W52" s="402"/>
      <c r="X52" s="402"/>
      <c r="Y52" s="402"/>
      <c r="Z52" s="402"/>
    </row>
    <row r="53" ht="14.25" customHeight="1">
      <c r="A53" s="406">
        <v>45514.0</v>
      </c>
      <c r="B53" s="349" t="s">
        <v>4667</v>
      </c>
      <c r="C53" s="349" t="s">
        <v>4668</v>
      </c>
      <c r="D53" s="349" t="s">
        <v>439</v>
      </c>
      <c r="E53" s="349" t="s">
        <v>4669</v>
      </c>
      <c r="F53" s="413">
        <v>60718.43</v>
      </c>
      <c r="G53" s="349">
        <v>0.0</v>
      </c>
      <c r="H53" s="349" t="s">
        <v>4695</v>
      </c>
      <c r="I53" s="349" t="s">
        <v>9</v>
      </c>
      <c r="J53" s="402"/>
      <c r="K53" s="402"/>
      <c r="L53" s="402"/>
      <c r="M53" s="402"/>
      <c r="N53" s="402"/>
      <c r="O53" s="402"/>
      <c r="P53" s="402"/>
      <c r="Q53" s="402"/>
      <c r="R53" s="402"/>
      <c r="S53" s="402"/>
      <c r="T53" s="402"/>
      <c r="U53" s="402"/>
      <c r="V53" s="402"/>
      <c r="W53" s="402"/>
      <c r="X53" s="402"/>
      <c r="Y53" s="402"/>
      <c r="Z53" s="402"/>
    </row>
    <row r="54" ht="14.25" customHeight="1">
      <c r="A54" s="402"/>
      <c r="B54" s="402"/>
      <c r="C54" s="402"/>
      <c r="D54" s="402"/>
      <c r="E54" s="402"/>
      <c r="F54" s="403"/>
      <c r="G54" s="402"/>
      <c r="H54" s="402"/>
      <c r="I54" s="402"/>
      <c r="J54" s="402"/>
      <c r="K54" s="402"/>
      <c r="L54" s="402"/>
      <c r="M54" s="402"/>
      <c r="N54" s="402"/>
      <c r="O54" s="402"/>
      <c r="P54" s="402"/>
      <c r="Q54" s="402"/>
      <c r="R54" s="402"/>
      <c r="S54" s="402"/>
      <c r="T54" s="402"/>
      <c r="U54" s="402"/>
      <c r="V54" s="402"/>
      <c r="W54" s="402"/>
      <c r="X54" s="402"/>
      <c r="Y54" s="402"/>
      <c r="Z54" s="402"/>
    </row>
    <row r="55" ht="14.25" customHeight="1">
      <c r="A55" s="406">
        <v>45516.0</v>
      </c>
      <c r="B55" s="349" t="s">
        <v>4662</v>
      </c>
      <c r="C55" s="349" t="s">
        <v>4663</v>
      </c>
      <c r="D55" s="349" t="s">
        <v>666</v>
      </c>
      <c r="E55" s="349" t="s">
        <v>4665</v>
      </c>
      <c r="F55" s="413">
        <v>147713.0</v>
      </c>
      <c r="G55" s="349">
        <v>0.0</v>
      </c>
      <c r="H55" s="349" t="s">
        <v>4696</v>
      </c>
      <c r="I55" s="349" t="s">
        <v>9</v>
      </c>
      <c r="J55" s="402"/>
      <c r="K55" s="402"/>
      <c r="L55" s="402"/>
      <c r="M55" s="402"/>
      <c r="N55" s="402"/>
      <c r="O55" s="402"/>
      <c r="P55" s="402"/>
      <c r="Q55" s="402"/>
      <c r="R55" s="402"/>
      <c r="S55" s="402"/>
      <c r="T55" s="402"/>
      <c r="U55" s="402"/>
      <c r="V55" s="402"/>
      <c r="W55" s="402"/>
      <c r="X55" s="402"/>
      <c r="Y55" s="402"/>
      <c r="Z55" s="402"/>
    </row>
    <row r="56" ht="14.25" customHeight="1">
      <c r="A56" s="406">
        <v>45516.0</v>
      </c>
      <c r="B56" s="349" t="s">
        <v>4667</v>
      </c>
      <c r="C56" s="349" t="s">
        <v>4668</v>
      </c>
      <c r="D56" s="349" t="s">
        <v>439</v>
      </c>
      <c r="E56" s="349" t="s">
        <v>4669</v>
      </c>
      <c r="F56" s="413">
        <v>60718.0</v>
      </c>
      <c r="G56" s="349">
        <v>0.0</v>
      </c>
      <c r="H56" s="349" t="s">
        <v>4697</v>
      </c>
      <c r="I56" s="349" t="s">
        <v>9</v>
      </c>
      <c r="J56" s="402"/>
      <c r="K56" s="402"/>
      <c r="L56" s="402"/>
      <c r="M56" s="402"/>
      <c r="N56" s="402"/>
      <c r="O56" s="402"/>
      <c r="P56" s="402"/>
      <c r="Q56" s="402"/>
      <c r="R56" s="402"/>
      <c r="S56" s="402"/>
      <c r="T56" s="402"/>
      <c r="U56" s="402"/>
      <c r="V56" s="402"/>
      <c r="W56" s="402"/>
      <c r="X56" s="402"/>
      <c r="Y56" s="402"/>
      <c r="Z56" s="402"/>
    </row>
    <row r="57" ht="14.25" customHeight="1">
      <c r="A57" s="406">
        <v>45516.0</v>
      </c>
      <c r="B57" s="349" t="s">
        <v>4698</v>
      </c>
      <c r="C57" s="349" t="s">
        <v>4699</v>
      </c>
      <c r="D57" s="349" t="s">
        <v>439</v>
      </c>
      <c r="E57" s="349" t="s">
        <v>4700</v>
      </c>
      <c r="F57" s="413">
        <v>39840.0</v>
      </c>
      <c r="G57" s="349">
        <v>46368.0</v>
      </c>
      <c r="H57" s="349" t="s">
        <v>4701</v>
      </c>
      <c r="I57" s="349" t="s">
        <v>8</v>
      </c>
      <c r="J57" s="402"/>
      <c r="K57" s="402"/>
      <c r="L57" s="402"/>
      <c r="M57" s="402"/>
      <c r="N57" s="402"/>
      <c r="O57" s="402"/>
      <c r="P57" s="402"/>
      <c r="Q57" s="402"/>
      <c r="R57" s="402"/>
      <c r="S57" s="402"/>
      <c r="T57" s="402"/>
      <c r="U57" s="402"/>
      <c r="V57" s="402"/>
      <c r="W57" s="402"/>
      <c r="X57" s="402"/>
      <c r="Y57" s="402"/>
      <c r="Z57" s="402"/>
    </row>
    <row r="58" ht="14.25" customHeight="1">
      <c r="A58" s="406">
        <v>45516.0</v>
      </c>
      <c r="B58" s="349" t="s">
        <v>4702</v>
      </c>
      <c r="C58" s="349" t="s">
        <v>4703</v>
      </c>
      <c r="D58" s="349" t="s">
        <v>439</v>
      </c>
      <c r="E58" s="349" t="s">
        <v>4700</v>
      </c>
      <c r="F58" s="413">
        <v>25083.0</v>
      </c>
      <c r="G58" s="349">
        <v>0.0</v>
      </c>
      <c r="H58" s="349" t="s">
        <v>4704</v>
      </c>
      <c r="I58" s="349" t="s">
        <v>9</v>
      </c>
      <c r="J58" s="402"/>
      <c r="K58" s="402"/>
      <c r="L58" s="402"/>
      <c r="M58" s="402"/>
      <c r="N58" s="402"/>
      <c r="O58" s="402"/>
      <c r="P58" s="402"/>
      <c r="Q58" s="402"/>
      <c r="R58" s="402"/>
      <c r="S58" s="402"/>
      <c r="T58" s="402"/>
      <c r="U58" s="402"/>
      <c r="V58" s="402"/>
      <c r="W58" s="402"/>
      <c r="X58" s="402"/>
      <c r="Y58" s="402"/>
      <c r="Z58" s="402"/>
    </row>
    <row r="59" ht="14.25" customHeight="1">
      <c r="A59" s="402"/>
      <c r="B59" s="402"/>
      <c r="C59" s="402"/>
      <c r="D59" s="402"/>
      <c r="E59" s="402"/>
      <c r="F59" s="403"/>
      <c r="G59" s="402"/>
      <c r="H59" s="402"/>
      <c r="I59" s="349" t="s">
        <v>9</v>
      </c>
      <c r="J59" s="402"/>
      <c r="K59" s="402"/>
      <c r="L59" s="402"/>
      <c r="M59" s="402"/>
      <c r="N59" s="402"/>
      <c r="O59" s="402"/>
      <c r="P59" s="402"/>
      <c r="Q59" s="402"/>
      <c r="R59" s="402"/>
      <c r="S59" s="402"/>
      <c r="T59" s="402"/>
      <c r="U59" s="402"/>
      <c r="V59" s="402"/>
      <c r="W59" s="402"/>
      <c r="X59" s="402"/>
      <c r="Y59" s="402"/>
      <c r="Z59" s="402"/>
    </row>
    <row r="60" ht="14.25" customHeight="1">
      <c r="A60" s="406">
        <v>45517.0</v>
      </c>
      <c r="B60" s="349" t="s">
        <v>4662</v>
      </c>
      <c r="C60" s="349" t="s">
        <v>4663</v>
      </c>
      <c r="D60" s="349" t="s">
        <v>666</v>
      </c>
      <c r="E60" s="349" t="s">
        <v>4665</v>
      </c>
      <c r="F60" s="413">
        <v>147713.0</v>
      </c>
      <c r="G60" s="349">
        <v>0.0</v>
      </c>
      <c r="H60" s="349" t="s">
        <v>4705</v>
      </c>
      <c r="I60" s="349" t="s">
        <v>9</v>
      </c>
      <c r="J60" s="402"/>
      <c r="K60" s="402"/>
      <c r="L60" s="402"/>
      <c r="M60" s="402"/>
      <c r="N60" s="402"/>
      <c r="O60" s="402"/>
      <c r="P60" s="402"/>
      <c r="Q60" s="402"/>
      <c r="R60" s="402"/>
      <c r="S60" s="402"/>
      <c r="T60" s="402"/>
      <c r="U60" s="402"/>
      <c r="V60" s="402"/>
      <c r="W60" s="402"/>
      <c r="X60" s="402"/>
      <c r="Y60" s="402"/>
      <c r="Z60" s="402"/>
    </row>
    <row r="61" ht="14.25" customHeight="1">
      <c r="A61" s="406">
        <v>45517.0</v>
      </c>
      <c r="B61" s="349" t="s">
        <v>4667</v>
      </c>
      <c r="C61" s="349" t="s">
        <v>4668</v>
      </c>
      <c r="D61" s="349" t="s">
        <v>439</v>
      </c>
      <c r="E61" s="349" t="s">
        <v>4669</v>
      </c>
      <c r="F61" s="413">
        <v>60718.0</v>
      </c>
      <c r="G61" s="349">
        <v>0.0</v>
      </c>
      <c r="H61" s="349" t="s">
        <v>4706</v>
      </c>
      <c r="I61" s="349" t="s">
        <v>9</v>
      </c>
      <c r="J61" s="402"/>
      <c r="K61" s="402"/>
      <c r="L61" s="402"/>
      <c r="M61" s="402"/>
      <c r="N61" s="402"/>
      <c r="O61" s="402"/>
      <c r="P61" s="402"/>
      <c r="Q61" s="402"/>
      <c r="R61" s="402"/>
      <c r="S61" s="402"/>
      <c r="T61" s="402"/>
      <c r="U61" s="402"/>
      <c r="V61" s="402"/>
      <c r="W61" s="402"/>
      <c r="X61" s="402"/>
      <c r="Y61" s="402"/>
      <c r="Z61" s="402"/>
    </row>
    <row r="62" ht="14.25" customHeight="1">
      <c r="A62" s="406">
        <v>45517.0</v>
      </c>
      <c r="B62" s="349" t="s">
        <v>4702</v>
      </c>
      <c r="C62" s="349" t="s">
        <v>4703</v>
      </c>
      <c r="D62" s="349" t="s">
        <v>439</v>
      </c>
      <c r="E62" s="349" t="s">
        <v>4692</v>
      </c>
      <c r="F62" s="413">
        <v>25083.0</v>
      </c>
      <c r="G62" s="349">
        <v>0.0</v>
      </c>
      <c r="H62" s="349" t="s">
        <v>4707</v>
      </c>
      <c r="I62" s="349" t="s">
        <v>9</v>
      </c>
      <c r="J62" s="402"/>
      <c r="K62" s="402"/>
      <c r="L62" s="402"/>
      <c r="M62" s="402"/>
      <c r="N62" s="402"/>
      <c r="O62" s="402"/>
      <c r="P62" s="402"/>
      <c r="Q62" s="402"/>
      <c r="R62" s="402"/>
      <c r="S62" s="402"/>
      <c r="T62" s="402"/>
      <c r="U62" s="402"/>
      <c r="V62" s="402"/>
      <c r="W62" s="402"/>
      <c r="X62" s="402"/>
      <c r="Y62" s="402"/>
      <c r="Z62" s="402"/>
    </row>
    <row r="63" ht="14.25" customHeight="1">
      <c r="A63" s="402"/>
      <c r="B63" s="402"/>
      <c r="C63" s="402"/>
      <c r="D63" s="402"/>
      <c r="E63" s="402"/>
      <c r="F63" s="403"/>
      <c r="G63" s="402"/>
      <c r="H63" s="402"/>
      <c r="I63" s="349"/>
      <c r="J63" s="402"/>
      <c r="K63" s="402"/>
      <c r="L63" s="402"/>
      <c r="M63" s="402"/>
      <c r="N63" s="402"/>
      <c r="O63" s="402"/>
      <c r="P63" s="402"/>
      <c r="Q63" s="402"/>
      <c r="R63" s="402"/>
      <c r="S63" s="402"/>
      <c r="T63" s="402"/>
      <c r="U63" s="402"/>
      <c r="V63" s="402"/>
      <c r="W63" s="402"/>
      <c r="X63" s="402"/>
      <c r="Y63" s="402"/>
      <c r="Z63" s="402"/>
    </row>
    <row r="64" ht="14.25" customHeight="1">
      <c r="A64" s="406">
        <v>45518.0</v>
      </c>
      <c r="B64" s="349" t="s">
        <v>4662</v>
      </c>
      <c r="C64" s="349" t="s">
        <v>4663</v>
      </c>
      <c r="D64" s="349" t="s">
        <v>666</v>
      </c>
      <c r="E64" s="349" t="s">
        <v>4665</v>
      </c>
      <c r="F64" s="413">
        <v>147713.0</v>
      </c>
      <c r="G64" s="349">
        <v>0.0</v>
      </c>
      <c r="H64" s="349" t="s">
        <v>4705</v>
      </c>
      <c r="I64" s="349" t="s">
        <v>9</v>
      </c>
      <c r="J64" s="402"/>
      <c r="K64" s="402"/>
      <c r="L64" s="402"/>
      <c r="M64" s="402"/>
      <c r="N64" s="402"/>
      <c r="O64" s="402"/>
      <c r="P64" s="402"/>
      <c r="Q64" s="402"/>
      <c r="R64" s="402"/>
      <c r="S64" s="402"/>
      <c r="T64" s="402"/>
      <c r="U64" s="402"/>
      <c r="V64" s="402"/>
      <c r="W64" s="402"/>
      <c r="X64" s="402"/>
      <c r="Y64" s="402"/>
      <c r="Z64" s="402"/>
    </row>
    <row r="65" ht="14.25" customHeight="1">
      <c r="A65" s="406">
        <v>45518.0</v>
      </c>
      <c r="B65" s="349" t="s">
        <v>4667</v>
      </c>
      <c r="C65" s="349" t="s">
        <v>4668</v>
      </c>
      <c r="D65" s="349" t="s">
        <v>439</v>
      </c>
      <c r="E65" s="349" t="s">
        <v>4669</v>
      </c>
      <c r="F65" s="413">
        <v>60718.0</v>
      </c>
      <c r="G65" s="349">
        <v>0.0</v>
      </c>
      <c r="H65" s="349" t="s">
        <v>4706</v>
      </c>
      <c r="I65" s="349" t="s">
        <v>9</v>
      </c>
      <c r="J65" s="402"/>
      <c r="K65" s="402"/>
      <c r="L65" s="402"/>
      <c r="M65" s="402"/>
      <c r="N65" s="402"/>
      <c r="O65" s="402"/>
      <c r="P65" s="402"/>
      <c r="Q65" s="402"/>
      <c r="R65" s="402"/>
      <c r="S65" s="402"/>
      <c r="T65" s="402"/>
      <c r="U65" s="402"/>
      <c r="V65" s="402"/>
      <c r="W65" s="402"/>
      <c r="X65" s="402"/>
      <c r="Y65" s="402"/>
      <c r="Z65" s="402"/>
    </row>
    <row r="66" ht="14.25" customHeight="1">
      <c r="A66" s="406">
        <v>45518.0</v>
      </c>
      <c r="B66" s="349" t="s">
        <v>4702</v>
      </c>
      <c r="C66" s="349" t="s">
        <v>4703</v>
      </c>
      <c r="D66" s="349" t="s">
        <v>439</v>
      </c>
      <c r="E66" s="349" t="s">
        <v>4692</v>
      </c>
      <c r="F66" s="413">
        <v>25083.0</v>
      </c>
      <c r="G66" s="349">
        <v>0.0</v>
      </c>
      <c r="H66" s="349" t="s">
        <v>4708</v>
      </c>
      <c r="I66" s="349" t="s">
        <v>9</v>
      </c>
      <c r="J66" s="402"/>
      <c r="K66" s="402"/>
      <c r="L66" s="402"/>
      <c r="M66" s="402"/>
      <c r="N66" s="402"/>
      <c r="O66" s="402"/>
      <c r="P66" s="402"/>
      <c r="Q66" s="402"/>
      <c r="R66" s="402"/>
      <c r="S66" s="402"/>
      <c r="T66" s="402"/>
      <c r="U66" s="402"/>
      <c r="V66" s="402"/>
      <c r="W66" s="402"/>
      <c r="X66" s="402"/>
      <c r="Y66" s="402"/>
      <c r="Z66" s="402"/>
    </row>
    <row r="67" ht="14.25" customHeight="1">
      <c r="A67" s="406">
        <v>45518.0</v>
      </c>
      <c r="B67" s="455" t="s">
        <v>4690</v>
      </c>
      <c r="C67" s="455" t="s">
        <v>4691</v>
      </c>
      <c r="D67" s="349" t="s">
        <v>439</v>
      </c>
      <c r="E67" s="349" t="s">
        <v>4692</v>
      </c>
      <c r="F67" s="413">
        <v>4000.0</v>
      </c>
      <c r="G67" s="349">
        <v>0.0</v>
      </c>
      <c r="H67" s="349" t="s">
        <v>4708</v>
      </c>
      <c r="I67" s="349" t="s">
        <v>9</v>
      </c>
      <c r="J67" s="402"/>
      <c r="K67" s="402"/>
      <c r="L67" s="402"/>
      <c r="M67" s="402"/>
      <c r="N67" s="402"/>
      <c r="O67" s="402"/>
      <c r="P67" s="402"/>
      <c r="Q67" s="402"/>
      <c r="R67" s="402"/>
      <c r="S67" s="402"/>
      <c r="T67" s="402"/>
      <c r="U67" s="402"/>
      <c r="V67" s="402"/>
      <c r="W67" s="402"/>
      <c r="X67" s="402"/>
      <c r="Y67" s="402"/>
      <c r="Z67" s="402"/>
    </row>
    <row r="68" ht="14.25" customHeight="1">
      <c r="A68" s="402"/>
      <c r="B68" s="402"/>
      <c r="C68" s="402"/>
      <c r="D68" s="402"/>
      <c r="E68" s="402"/>
      <c r="F68" s="403"/>
      <c r="G68" s="402"/>
      <c r="H68" s="402"/>
      <c r="I68" s="349" t="s">
        <v>9</v>
      </c>
      <c r="J68" s="402"/>
      <c r="K68" s="402"/>
      <c r="L68" s="402"/>
      <c r="M68" s="402"/>
      <c r="N68" s="402"/>
      <c r="O68" s="402"/>
      <c r="P68" s="402"/>
      <c r="Q68" s="402"/>
      <c r="R68" s="402"/>
      <c r="S68" s="402"/>
      <c r="T68" s="402"/>
      <c r="U68" s="402"/>
      <c r="V68" s="402"/>
      <c r="W68" s="402"/>
      <c r="X68" s="402"/>
      <c r="Y68" s="402"/>
      <c r="Z68" s="402"/>
    </row>
    <row r="69" ht="14.25" customHeight="1">
      <c r="A69" s="406">
        <v>45519.0</v>
      </c>
      <c r="B69" s="349" t="s">
        <v>4702</v>
      </c>
      <c r="C69" s="349" t="s">
        <v>4703</v>
      </c>
      <c r="D69" s="349" t="s">
        <v>439</v>
      </c>
      <c r="E69" s="349" t="s">
        <v>4692</v>
      </c>
      <c r="F69" s="413">
        <v>25083.0</v>
      </c>
      <c r="G69" s="349">
        <v>10000.0</v>
      </c>
      <c r="H69" s="349" t="s">
        <v>4709</v>
      </c>
      <c r="I69" s="349" t="s">
        <v>9</v>
      </c>
      <c r="J69" s="402"/>
      <c r="K69" s="402"/>
      <c r="L69" s="402"/>
      <c r="M69" s="402"/>
      <c r="N69" s="402"/>
      <c r="O69" s="402"/>
      <c r="P69" s="402"/>
      <c r="Q69" s="402"/>
      <c r="R69" s="402"/>
      <c r="S69" s="402"/>
      <c r="T69" s="402"/>
      <c r="U69" s="402"/>
      <c r="V69" s="402"/>
      <c r="W69" s="402"/>
      <c r="X69" s="402"/>
      <c r="Y69" s="402"/>
      <c r="Z69" s="402"/>
    </row>
    <row r="70" ht="14.25" customHeight="1">
      <c r="A70" s="406">
        <v>45519.0</v>
      </c>
      <c r="B70" s="349" t="s">
        <v>4662</v>
      </c>
      <c r="C70" s="349" t="s">
        <v>4663</v>
      </c>
      <c r="D70" s="349" t="s">
        <v>666</v>
      </c>
      <c r="E70" s="349" t="s">
        <v>4665</v>
      </c>
      <c r="F70" s="413">
        <v>147713.0</v>
      </c>
      <c r="G70" s="349">
        <v>0.0</v>
      </c>
      <c r="H70" s="349" t="s">
        <v>4710</v>
      </c>
      <c r="I70" s="349" t="s">
        <v>9</v>
      </c>
      <c r="J70" s="402"/>
      <c r="K70" s="402"/>
      <c r="L70" s="402"/>
      <c r="M70" s="402"/>
      <c r="N70" s="402"/>
      <c r="O70" s="402"/>
      <c r="P70" s="402"/>
      <c r="Q70" s="402"/>
      <c r="R70" s="402"/>
      <c r="S70" s="402"/>
      <c r="T70" s="402"/>
      <c r="U70" s="402"/>
      <c r="V70" s="402"/>
      <c r="W70" s="402"/>
      <c r="X70" s="402"/>
      <c r="Y70" s="402"/>
      <c r="Z70" s="402"/>
    </row>
    <row r="71" ht="14.25" customHeight="1">
      <c r="A71" s="406">
        <v>45519.0</v>
      </c>
      <c r="B71" s="349" t="s">
        <v>4667</v>
      </c>
      <c r="C71" s="349" t="s">
        <v>4668</v>
      </c>
      <c r="D71" s="349" t="s">
        <v>439</v>
      </c>
      <c r="E71" s="349" t="s">
        <v>4711</v>
      </c>
      <c r="F71" s="413">
        <v>60718.0</v>
      </c>
      <c r="G71" s="349">
        <v>0.0</v>
      </c>
      <c r="H71" s="349" t="s">
        <v>4712</v>
      </c>
      <c r="I71" s="349" t="s">
        <v>9</v>
      </c>
      <c r="J71" s="402"/>
      <c r="K71" s="402"/>
      <c r="L71" s="402"/>
      <c r="M71" s="402"/>
      <c r="N71" s="402"/>
      <c r="O71" s="402"/>
      <c r="P71" s="402"/>
      <c r="Q71" s="402"/>
      <c r="R71" s="402"/>
      <c r="S71" s="402"/>
      <c r="T71" s="402"/>
      <c r="U71" s="402"/>
      <c r="V71" s="402"/>
      <c r="W71" s="402"/>
      <c r="X71" s="402"/>
      <c r="Y71" s="402"/>
      <c r="Z71" s="402"/>
    </row>
    <row r="72" ht="14.25" customHeight="1">
      <c r="A72" s="402"/>
      <c r="B72" s="402"/>
      <c r="C72" s="402"/>
      <c r="D72" s="402"/>
      <c r="E72" s="402"/>
      <c r="F72" s="403"/>
      <c r="G72" s="402"/>
      <c r="H72" s="402"/>
      <c r="I72" s="349" t="s">
        <v>9</v>
      </c>
      <c r="J72" s="402"/>
      <c r="K72" s="402"/>
      <c r="L72" s="402"/>
      <c r="M72" s="402"/>
      <c r="N72" s="402"/>
      <c r="O72" s="402"/>
      <c r="P72" s="402"/>
      <c r="Q72" s="402"/>
      <c r="R72" s="402"/>
      <c r="S72" s="402"/>
      <c r="T72" s="402"/>
      <c r="U72" s="402"/>
      <c r="V72" s="402"/>
      <c r="W72" s="402"/>
      <c r="X72" s="402"/>
      <c r="Y72" s="402"/>
      <c r="Z72" s="402"/>
    </row>
    <row r="73" ht="14.25" customHeight="1">
      <c r="A73" s="406">
        <v>45520.0</v>
      </c>
      <c r="B73" s="349" t="s">
        <v>4690</v>
      </c>
      <c r="C73" s="349" t="s">
        <v>4691</v>
      </c>
      <c r="D73" s="349" t="s">
        <v>439</v>
      </c>
      <c r="E73" s="349" t="s">
        <v>4692</v>
      </c>
      <c r="F73" s="413">
        <v>10543.0</v>
      </c>
      <c r="G73" s="402"/>
      <c r="H73" s="402"/>
      <c r="I73" s="349" t="s">
        <v>9</v>
      </c>
      <c r="J73" s="402"/>
      <c r="K73" s="402"/>
      <c r="L73" s="402"/>
      <c r="M73" s="402"/>
      <c r="N73" s="402"/>
      <c r="O73" s="402"/>
      <c r="P73" s="402"/>
      <c r="Q73" s="402"/>
      <c r="R73" s="402"/>
      <c r="S73" s="402"/>
      <c r="T73" s="402"/>
      <c r="U73" s="402"/>
      <c r="V73" s="402"/>
      <c r="W73" s="402"/>
      <c r="X73" s="402"/>
      <c r="Y73" s="402"/>
      <c r="Z73" s="402"/>
    </row>
    <row r="74" ht="14.25" customHeight="1">
      <c r="A74" s="406">
        <v>45520.0</v>
      </c>
      <c r="B74" s="349" t="s">
        <v>4702</v>
      </c>
      <c r="C74" s="349" t="s">
        <v>4703</v>
      </c>
      <c r="D74" s="349" t="s">
        <v>439</v>
      </c>
      <c r="E74" s="349" t="s">
        <v>4692</v>
      </c>
      <c r="F74" s="413">
        <v>15083.0</v>
      </c>
      <c r="G74" s="402"/>
      <c r="H74" s="402"/>
      <c r="I74" s="349" t="s">
        <v>9</v>
      </c>
      <c r="J74" s="402"/>
      <c r="K74" s="402"/>
      <c r="L74" s="402"/>
      <c r="M74" s="402"/>
      <c r="N74" s="402"/>
      <c r="O74" s="402"/>
      <c r="P74" s="402"/>
      <c r="Q74" s="402"/>
      <c r="R74" s="402"/>
      <c r="S74" s="402"/>
      <c r="T74" s="402"/>
      <c r="U74" s="402"/>
      <c r="V74" s="402"/>
      <c r="W74" s="402"/>
      <c r="X74" s="402"/>
      <c r="Y74" s="402"/>
      <c r="Z74" s="402"/>
    </row>
    <row r="75" ht="14.25" customHeight="1">
      <c r="A75" s="406">
        <v>45520.0</v>
      </c>
      <c r="B75" s="349" t="s">
        <v>4662</v>
      </c>
      <c r="C75" s="349" t="s">
        <v>4663</v>
      </c>
      <c r="D75" s="349" t="s">
        <v>666</v>
      </c>
      <c r="E75" s="349" t="s">
        <v>4665</v>
      </c>
      <c r="F75" s="413">
        <v>155713.0</v>
      </c>
      <c r="G75" s="402"/>
      <c r="H75" s="402"/>
      <c r="I75" s="349" t="s">
        <v>9</v>
      </c>
      <c r="J75" s="402"/>
      <c r="K75" s="402"/>
      <c r="L75" s="402"/>
      <c r="M75" s="402"/>
      <c r="N75" s="402"/>
      <c r="O75" s="402"/>
      <c r="P75" s="402"/>
      <c r="Q75" s="402"/>
      <c r="R75" s="402"/>
      <c r="S75" s="402"/>
      <c r="T75" s="402"/>
      <c r="U75" s="402"/>
      <c r="V75" s="402"/>
      <c r="W75" s="402"/>
      <c r="X75" s="402"/>
      <c r="Y75" s="402"/>
      <c r="Z75" s="402"/>
    </row>
    <row r="76" ht="14.25" customHeight="1">
      <c r="A76" s="406">
        <v>45520.0</v>
      </c>
      <c r="B76" s="349" t="s">
        <v>4667</v>
      </c>
      <c r="C76" s="349" t="s">
        <v>4668</v>
      </c>
      <c r="D76" s="349" t="s">
        <v>439</v>
      </c>
      <c r="E76" s="349" t="s">
        <v>4711</v>
      </c>
      <c r="F76" s="413">
        <v>63718.0</v>
      </c>
      <c r="G76" s="402"/>
      <c r="H76" s="402"/>
      <c r="I76" s="349" t="s">
        <v>9</v>
      </c>
      <c r="J76" s="402"/>
      <c r="K76" s="402"/>
      <c r="L76" s="402"/>
      <c r="M76" s="402"/>
      <c r="N76" s="402"/>
      <c r="O76" s="402"/>
      <c r="P76" s="402"/>
      <c r="Q76" s="402"/>
      <c r="R76" s="402"/>
      <c r="S76" s="402"/>
      <c r="T76" s="402"/>
      <c r="U76" s="402"/>
      <c r="V76" s="402"/>
      <c r="W76" s="402"/>
      <c r="X76" s="402"/>
      <c r="Y76" s="402"/>
      <c r="Z76" s="402"/>
    </row>
    <row r="77" ht="14.25" customHeight="1">
      <c r="A77" s="402"/>
      <c r="B77" s="402"/>
      <c r="C77" s="402"/>
      <c r="D77" s="402"/>
      <c r="E77" s="402"/>
      <c r="F77" s="403"/>
      <c r="G77" s="402"/>
      <c r="H77" s="402"/>
      <c r="I77" s="349" t="s">
        <v>9</v>
      </c>
      <c r="J77" s="402"/>
      <c r="K77" s="402"/>
      <c r="L77" s="402"/>
      <c r="M77" s="402"/>
      <c r="N77" s="402"/>
      <c r="O77" s="402"/>
      <c r="P77" s="402"/>
      <c r="Q77" s="402"/>
      <c r="R77" s="402"/>
      <c r="S77" s="402"/>
      <c r="T77" s="402"/>
      <c r="U77" s="402"/>
      <c r="V77" s="402"/>
      <c r="W77" s="402"/>
      <c r="X77" s="402"/>
      <c r="Y77" s="402"/>
      <c r="Z77" s="402"/>
    </row>
    <row r="78" ht="14.25" customHeight="1">
      <c r="A78" s="406">
        <v>45521.0</v>
      </c>
      <c r="B78" s="349" t="s">
        <v>4690</v>
      </c>
      <c r="C78" s="349" t="s">
        <v>4691</v>
      </c>
      <c r="D78" s="349" t="s">
        <v>439</v>
      </c>
      <c r="E78" s="349" t="s">
        <v>4692</v>
      </c>
      <c r="F78" s="413">
        <v>10543.0</v>
      </c>
      <c r="G78" s="349">
        <v>10543.0</v>
      </c>
      <c r="H78" s="349" t="s">
        <v>4666</v>
      </c>
      <c r="I78" s="349" t="s">
        <v>9</v>
      </c>
      <c r="J78" s="402"/>
      <c r="K78" s="402"/>
      <c r="L78" s="402"/>
      <c r="M78" s="402"/>
      <c r="N78" s="402"/>
      <c r="O78" s="402"/>
      <c r="P78" s="402"/>
      <c r="Q78" s="402"/>
      <c r="R78" s="402"/>
      <c r="S78" s="402"/>
      <c r="T78" s="402"/>
      <c r="U78" s="402"/>
      <c r="V78" s="402"/>
      <c r="W78" s="402"/>
      <c r="X78" s="402"/>
      <c r="Y78" s="402"/>
      <c r="Z78" s="402"/>
    </row>
    <row r="79" ht="14.25" customHeight="1">
      <c r="A79" s="406">
        <v>45521.0</v>
      </c>
      <c r="B79" s="349" t="s">
        <v>4702</v>
      </c>
      <c r="C79" s="349" t="s">
        <v>4703</v>
      </c>
      <c r="D79" s="349" t="s">
        <v>439</v>
      </c>
      <c r="E79" s="349" t="s">
        <v>4692</v>
      </c>
      <c r="F79" s="413">
        <v>15083.0</v>
      </c>
      <c r="G79" s="349">
        <v>15083.0</v>
      </c>
      <c r="H79" s="349" t="s">
        <v>4713</v>
      </c>
      <c r="I79" s="349" t="s">
        <v>9</v>
      </c>
      <c r="J79" s="402"/>
      <c r="K79" s="402"/>
      <c r="L79" s="402"/>
      <c r="M79" s="402"/>
      <c r="N79" s="402"/>
      <c r="O79" s="402"/>
      <c r="P79" s="402"/>
      <c r="Q79" s="402"/>
      <c r="R79" s="402"/>
      <c r="S79" s="402"/>
      <c r="T79" s="402"/>
      <c r="U79" s="402"/>
      <c r="V79" s="402"/>
      <c r="W79" s="402"/>
      <c r="X79" s="402"/>
      <c r="Y79" s="402"/>
      <c r="Z79" s="402"/>
    </row>
    <row r="80" ht="14.25" customHeight="1">
      <c r="A80" s="406">
        <v>45521.0</v>
      </c>
      <c r="B80" s="349" t="s">
        <v>4662</v>
      </c>
      <c r="C80" s="349" t="s">
        <v>4663</v>
      </c>
      <c r="D80" s="349" t="s">
        <v>666</v>
      </c>
      <c r="E80" s="349" t="s">
        <v>4665</v>
      </c>
      <c r="F80" s="413">
        <v>155713.0</v>
      </c>
      <c r="G80" s="402"/>
      <c r="H80" s="402"/>
      <c r="I80" s="349" t="s">
        <v>9</v>
      </c>
      <c r="J80" s="402"/>
      <c r="K80" s="402"/>
      <c r="L80" s="402"/>
      <c r="M80" s="402"/>
      <c r="N80" s="402"/>
      <c r="O80" s="402"/>
      <c r="P80" s="402"/>
      <c r="Q80" s="402"/>
      <c r="R80" s="402"/>
      <c r="S80" s="402"/>
      <c r="T80" s="402"/>
      <c r="U80" s="402"/>
      <c r="V80" s="402"/>
      <c r="W80" s="402"/>
      <c r="X80" s="402"/>
      <c r="Y80" s="402"/>
      <c r="Z80" s="402"/>
    </row>
    <row r="81" ht="14.25" customHeight="1">
      <c r="A81" s="406">
        <v>45521.0</v>
      </c>
      <c r="B81" s="349" t="s">
        <v>4667</v>
      </c>
      <c r="C81" s="349" t="s">
        <v>4668</v>
      </c>
      <c r="D81" s="349" t="s">
        <v>439</v>
      </c>
      <c r="E81" s="349" t="s">
        <v>4711</v>
      </c>
      <c r="F81" s="413">
        <v>63718.0</v>
      </c>
      <c r="G81" s="402"/>
      <c r="H81" s="402"/>
      <c r="I81" s="349" t="s">
        <v>9</v>
      </c>
      <c r="J81" s="402"/>
      <c r="K81" s="402"/>
      <c r="L81" s="402"/>
      <c r="M81" s="402"/>
      <c r="N81" s="402"/>
      <c r="O81" s="402"/>
      <c r="P81" s="402"/>
      <c r="Q81" s="402"/>
      <c r="R81" s="402"/>
      <c r="S81" s="402"/>
      <c r="T81" s="402"/>
      <c r="U81" s="402"/>
      <c r="V81" s="402"/>
      <c r="W81" s="402"/>
      <c r="X81" s="402"/>
      <c r="Y81" s="402"/>
      <c r="Z81" s="402"/>
    </row>
    <row r="82" ht="14.25" customHeight="1">
      <c r="A82" s="402"/>
      <c r="B82" s="402"/>
      <c r="C82" s="402"/>
      <c r="D82" s="402"/>
      <c r="E82" s="402"/>
      <c r="F82" s="403"/>
      <c r="G82" s="402"/>
      <c r="H82" s="402"/>
      <c r="I82" s="349" t="s">
        <v>9</v>
      </c>
      <c r="J82" s="402"/>
      <c r="K82" s="402"/>
      <c r="L82" s="402"/>
      <c r="M82" s="402"/>
      <c r="N82" s="402"/>
      <c r="O82" s="402"/>
      <c r="P82" s="402"/>
      <c r="Q82" s="402"/>
      <c r="R82" s="402"/>
      <c r="S82" s="402"/>
      <c r="T82" s="402"/>
      <c r="U82" s="402"/>
      <c r="V82" s="402"/>
      <c r="W82" s="402"/>
      <c r="X82" s="402"/>
      <c r="Y82" s="402"/>
      <c r="Z82" s="402"/>
    </row>
    <row r="83" ht="14.25" customHeight="1">
      <c r="A83" s="406">
        <v>45523.0</v>
      </c>
      <c r="B83" s="349" t="s">
        <v>4714</v>
      </c>
      <c r="C83" s="349" t="s">
        <v>4715</v>
      </c>
      <c r="D83" s="349" t="s">
        <v>439</v>
      </c>
      <c r="E83" s="349" t="s">
        <v>4716</v>
      </c>
      <c r="F83" s="413">
        <v>26517.0</v>
      </c>
      <c r="G83" s="349">
        <v>26517.0</v>
      </c>
      <c r="H83" s="349" t="s">
        <v>267</v>
      </c>
      <c r="I83" s="349" t="s">
        <v>9</v>
      </c>
      <c r="J83" s="402"/>
      <c r="K83" s="402"/>
      <c r="L83" s="402"/>
      <c r="M83" s="402"/>
      <c r="N83" s="402"/>
      <c r="O83" s="402"/>
      <c r="P83" s="402"/>
      <c r="Q83" s="402"/>
      <c r="R83" s="402"/>
      <c r="S83" s="402"/>
      <c r="T83" s="402"/>
      <c r="U83" s="402"/>
      <c r="V83" s="402"/>
      <c r="W83" s="402"/>
      <c r="X83" s="402"/>
      <c r="Y83" s="402"/>
      <c r="Z83" s="402"/>
    </row>
    <row r="84" ht="14.25" customHeight="1">
      <c r="A84" s="406">
        <v>45523.0</v>
      </c>
      <c r="B84" s="349" t="s">
        <v>4717</v>
      </c>
      <c r="C84" s="349" t="s">
        <v>4718</v>
      </c>
      <c r="D84" s="349" t="s">
        <v>439</v>
      </c>
      <c r="E84" s="349" t="s">
        <v>4665</v>
      </c>
      <c r="F84" s="413">
        <v>578353.0</v>
      </c>
      <c r="G84" s="349">
        <v>0.0</v>
      </c>
      <c r="H84" s="349" t="s">
        <v>4719</v>
      </c>
      <c r="I84" s="349" t="s">
        <v>9</v>
      </c>
      <c r="J84" s="402"/>
      <c r="K84" s="402"/>
      <c r="L84" s="402"/>
      <c r="M84" s="402"/>
      <c r="N84" s="402"/>
      <c r="O84" s="402"/>
      <c r="P84" s="402"/>
      <c r="Q84" s="402"/>
      <c r="R84" s="402"/>
      <c r="S84" s="402"/>
      <c r="T84" s="402"/>
      <c r="U84" s="402"/>
      <c r="V84" s="402"/>
      <c r="W84" s="402"/>
      <c r="X84" s="402"/>
      <c r="Y84" s="402"/>
      <c r="Z84" s="402"/>
    </row>
    <row r="85" ht="14.25" customHeight="1">
      <c r="A85" s="406">
        <v>45523.0</v>
      </c>
      <c r="B85" s="349" t="s">
        <v>4662</v>
      </c>
      <c r="C85" s="349" t="s">
        <v>4663</v>
      </c>
      <c r="D85" s="349" t="s">
        <v>4664</v>
      </c>
      <c r="E85" s="349" t="s">
        <v>4665</v>
      </c>
      <c r="F85" s="413">
        <v>162629.0</v>
      </c>
      <c r="G85" s="349">
        <v>0.0</v>
      </c>
      <c r="H85" s="349" t="s">
        <v>4720</v>
      </c>
      <c r="I85" s="349" t="s">
        <v>9</v>
      </c>
      <c r="J85" s="402"/>
      <c r="K85" s="402"/>
      <c r="L85" s="402"/>
      <c r="M85" s="402"/>
      <c r="N85" s="402"/>
      <c r="O85" s="402"/>
      <c r="P85" s="402"/>
      <c r="Q85" s="402"/>
      <c r="R85" s="402"/>
      <c r="S85" s="402"/>
      <c r="T85" s="402"/>
      <c r="U85" s="402"/>
      <c r="V85" s="402"/>
      <c r="W85" s="402"/>
      <c r="X85" s="402"/>
      <c r="Y85" s="402"/>
      <c r="Z85" s="402"/>
    </row>
    <row r="86" ht="14.25" customHeight="1">
      <c r="A86" s="406">
        <v>45523.0</v>
      </c>
      <c r="B86" s="349" t="s">
        <v>4690</v>
      </c>
      <c r="C86" s="349" t="s">
        <v>4691</v>
      </c>
      <c r="D86" s="349" t="s">
        <v>439</v>
      </c>
      <c r="E86" s="349" t="s">
        <v>4716</v>
      </c>
      <c r="F86" s="413">
        <v>11071.0</v>
      </c>
      <c r="G86" s="349">
        <v>0.0</v>
      </c>
      <c r="H86" s="349" t="s">
        <v>4721</v>
      </c>
      <c r="I86" s="349" t="s">
        <v>9</v>
      </c>
      <c r="J86" s="402"/>
      <c r="K86" s="402"/>
      <c r="L86" s="402"/>
      <c r="M86" s="402"/>
      <c r="N86" s="402"/>
      <c r="O86" s="402"/>
      <c r="P86" s="402"/>
      <c r="Q86" s="402"/>
      <c r="R86" s="402"/>
      <c r="S86" s="402"/>
      <c r="T86" s="402"/>
      <c r="U86" s="402"/>
      <c r="V86" s="402"/>
      <c r="W86" s="402"/>
      <c r="X86" s="402"/>
      <c r="Y86" s="402"/>
      <c r="Z86" s="402"/>
    </row>
    <row r="87" ht="14.25" customHeight="1">
      <c r="A87" s="406">
        <v>45523.0</v>
      </c>
      <c r="B87" s="349" t="s">
        <v>4667</v>
      </c>
      <c r="C87" s="349" t="s">
        <v>4668</v>
      </c>
      <c r="D87" s="349" t="s">
        <v>439</v>
      </c>
      <c r="E87" s="349" t="s">
        <v>4711</v>
      </c>
      <c r="F87" s="413">
        <v>63718.0</v>
      </c>
      <c r="G87" s="349">
        <v>0.0</v>
      </c>
      <c r="H87" s="349" t="s">
        <v>4722</v>
      </c>
      <c r="I87" s="349" t="s">
        <v>9</v>
      </c>
      <c r="J87" s="402"/>
      <c r="K87" s="402"/>
      <c r="L87" s="402"/>
      <c r="M87" s="402"/>
      <c r="N87" s="402"/>
      <c r="O87" s="402"/>
      <c r="P87" s="402"/>
      <c r="Q87" s="402"/>
      <c r="R87" s="402"/>
      <c r="S87" s="402"/>
      <c r="T87" s="402"/>
      <c r="U87" s="402"/>
      <c r="V87" s="402"/>
      <c r="W87" s="402"/>
      <c r="X87" s="402"/>
      <c r="Y87" s="402"/>
      <c r="Z87" s="402"/>
    </row>
    <row r="88" ht="14.25" customHeight="1">
      <c r="A88" s="402"/>
      <c r="B88" s="402"/>
      <c r="C88" s="402"/>
      <c r="D88" s="402"/>
      <c r="E88" s="402"/>
      <c r="F88" s="403"/>
      <c r="G88" s="402"/>
      <c r="H88" s="402"/>
      <c r="I88" s="349" t="s">
        <v>9</v>
      </c>
      <c r="J88" s="402"/>
      <c r="K88" s="402"/>
      <c r="L88" s="402"/>
      <c r="M88" s="402"/>
      <c r="N88" s="402"/>
      <c r="O88" s="402"/>
      <c r="P88" s="402"/>
      <c r="Q88" s="402"/>
      <c r="R88" s="402"/>
      <c r="S88" s="402"/>
      <c r="T88" s="402"/>
      <c r="U88" s="402"/>
      <c r="V88" s="402"/>
      <c r="W88" s="402"/>
      <c r="X88" s="402"/>
      <c r="Y88" s="402"/>
      <c r="Z88" s="402"/>
    </row>
    <row r="89" ht="14.25" customHeight="1">
      <c r="A89" s="406">
        <v>45524.0</v>
      </c>
      <c r="B89" s="349" t="s">
        <v>4717</v>
      </c>
      <c r="C89" s="349" t="s">
        <v>4718</v>
      </c>
      <c r="D89" s="349" t="s">
        <v>439</v>
      </c>
      <c r="E89" s="349" t="s">
        <v>4665</v>
      </c>
      <c r="F89" s="413">
        <v>605894.0</v>
      </c>
      <c r="G89" s="402"/>
      <c r="H89" s="349" t="s">
        <v>4723</v>
      </c>
      <c r="I89" s="349" t="s">
        <v>9</v>
      </c>
      <c r="J89" s="402"/>
      <c r="K89" s="402"/>
      <c r="L89" s="402"/>
      <c r="M89" s="402"/>
      <c r="N89" s="402"/>
      <c r="O89" s="402"/>
      <c r="P89" s="402"/>
      <c r="Q89" s="402"/>
      <c r="R89" s="402"/>
      <c r="S89" s="402"/>
      <c r="T89" s="402"/>
      <c r="U89" s="402"/>
      <c r="V89" s="402"/>
      <c r="W89" s="402"/>
      <c r="X89" s="402"/>
      <c r="Y89" s="402"/>
      <c r="Z89" s="402"/>
    </row>
    <row r="90" ht="14.25" customHeight="1">
      <c r="A90" s="406">
        <v>45524.0</v>
      </c>
      <c r="B90" s="349" t="s">
        <v>4662</v>
      </c>
      <c r="C90" s="349" t="s">
        <v>4663</v>
      </c>
      <c r="D90" s="349" t="s">
        <v>4664</v>
      </c>
      <c r="E90" s="349" t="s">
        <v>4665</v>
      </c>
      <c r="F90" s="413">
        <v>162629.22</v>
      </c>
      <c r="G90" s="402"/>
      <c r="H90" s="349" t="s">
        <v>4724</v>
      </c>
      <c r="I90" s="349" t="s">
        <v>9</v>
      </c>
      <c r="J90" s="402"/>
      <c r="K90" s="402"/>
      <c r="L90" s="402"/>
      <c r="M90" s="402"/>
      <c r="N90" s="402"/>
      <c r="O90" s="402"/>
      <c r="P90" s="402"/>
      <c r="Q90" s="402"/>
      <c r="R90" s="402"/>
      <c r="S90" s="402"/>
      <c r="T90" s="402"/>
      <c r="U90" s="402"/>
      <c r="V90" s="402"/>
      <c r="W90" s="402"/>
      <c r="X90" s="402"/>
      <c r="Y90" s="402"/>
      <c r="Z90" s="402"/>
    </row>
    <row r="91" ht="14.25" customHeight="1">
      <c r="A91" s="406">
        <v>45524.0</v>
      </c>
      <c r="B91" s="349" t="s">
        <v>4690</v>
      </c>
      <c r="C91" s="349" t="s">
        <v>4691</v>
      </c>
      <c r="D91" s="349" t="s">
        <v>439</v>
      </c>
      <c r="E91" s="349" t="s">
        <v>4716</v>
      </c>
      <c r="F91" s="413">
        <v>11071.0</v>
      </c>
      <c r="G91" s="349">
        <v>11000.0</v>
      </c>
      <c r="H91" s="349" t="s">
        <v>267</v>
      </c>
      <c r="I91" s="349" t="s">
        <v>9</v>
      </c>
      <c r="J91" s="402"/>
      <c r="K91" s="402"/>
      <c r="L91" s="402"/>
      <c r="M91" s="402"/>
      <c r="N91" s="402"/>
      <c r="O91" s="402"/>
      <c r="P91" s="402"/>
      <c r="Q91" s="402"/>
      <c r="R91" s="402"/>
      <c r="S91" s="402"/>
      <c r="T91" s="402"/>
      <c r="U91" s="402"/>
      <c r="V91" s="402"/>
      <c r="W91" s="402"/>
      <c r="X91" s="402"/>
      <c r="Y91" s="402"/>
      <c r="Z91" s="402"/>
    </row>
    <row r="92" ht="14.25" customHeight="1">
      <c r="A92" s="406">
        <v>45524.0</v>
      </c>
      <c r="B92" s="349" t="s">
        <v>4702</v>
      </c>
      <c r="C92" s="349" t="s">
        <v>4725</v>
      </c>
      <c r="D92" s="349" t="s">
        <v>439</v>
      </c>
      <c r="E92" s="349" t="s">
        <v>4716</v>
      </c>
      <c r="F92" s="413">
        <v>15837.15</v>
      </c>
      <c r="G92" s="349">
        <v>7000.0</v>
      </c>
      <c r="H92" s="349" t="s">
        <v>4723</v>
      </c>
      <c r="I92" s="349" t="s">
        <v>9</v>
      </c>
      <c r="J92" s="402"/>
      <c r="K92" s="402"/>
      <c r="L92" s="402"/>
      <c r="M92" s="402"/>
      <c r="N92" s="402"/>
      <c r="O92" s="402"/>
      <c r="P92" s="402"/>
      <c r="Q92" s="402"/>
      <c r="R92" s="402"/>
      <c r="S92" s="402"/>
      <c r="T92" s="402"/>
      <c r="U92" s="402"/>
      <c r="V92" s="402"/>
      <c r="W92" s="402"/>
      <c r="X92" s="402"/>
      <c r="Y92" s="402"/>
      <c r="Z92" s="402"/>
    </row>
    <row r="93" ht="14.25" customHeight="1">
      <c r="A93" s="406">
        <v>45524.0</v>
      </c>
      <c r="B93" s="349" t="s">
        <v>4667</v>
      </c>
      <c r="C93" s="349" t="s">
        <v>4668</v>
      </c>
      <c r="D93" s="349" t="s">
        <v>439</v>
      </c>
      <c r="E93" s="349" t="s">
        <v>4711</v>
      </c>
      <c r="F93" s="413">
        <v>63718.0</v>
      </c>
      <c r="G93" s="402"/>
      <c r="H93" s="402"/>
      <c r="I93" s="349" t="s">
        <v>9</v>
      </c>
      <c r="J93" s="402"/>
      <c r="K93" s="402"/>
      <c r="L93" s="402"/>
      <c r="M93" s="402"/>
      <c r="N93" s="402"/>
      <c r="O93" s="402"/>
      <c r="P93" s="402"/>
      <c r="Q93" s="402"/>
      <c r="R93" s="402"/>
      <c r="S93" s="402"/>
      <c r="T93" s="402"/>
      <c r="U93" s="402"/>
      <c r="V93" s="402"/>
      <c r="W93" s="402"/>
      <c r="X93" s="402"/>
      <c r="Y93" s="402"/>
      <c r="Z93" s="402"/>
    </row>
    <row r="94" ht="14.25" customHeight="1">
      <c r="A94" s="406">
        <v>45524.0</v>
      </c>
      <c r="B94" s="349" t="s">
        <v>4726</v>
      </c>
      <c r="C94" s="349" t="s">
        <v>4727</v>
      </c>
      <c r="D94" s="349" t="s">
        <v>439</v>
      </c>
      <c r="E94" s="349" t="s">
        <v>4665</v>
      </c>
      <c r="F94" s="413">
        <v>21500.0</v>
      </c>
      <c r="G94" s="402"/>
      <c r="H94" s="349" t="s">
        <v>4723</v>
      </c>
      <c r="I94" s="349" t="s">
        <v>9</v>
      </c>
      <c r="J94" s="402"/>
      <c r="K94" s="402"/>
      <c r="L94" s="402"/>
      <c r="M94" s="402"/>
      <c r="N94" s="402"/>
      <c r="O94" s="402"/>
      <c r="P94" s="402"/>
      <c r="Q94" s="402"/>
      <c r="R94" s="402"/>
      <c r="S94" s="402"/>
      <c r="T94" s="402"/>
      <c r="U94" s="402"/>
      <c r="V94" s="402"/>
      <c r="W94" s="402"/>
      <c r="X94" s="402"/>
      <c r="Y94" s="402"/>
      <c r="Z94" s="402"/>
    </row>
    <row r="95" ht="14.25" customHeight="1">
      <c r="A95" s="402"/>
      <c r="B95" s="402"/>
      <c r="C95" s="402"/>
      <c r="D95" s="402"/>
      <c r="E95" s="402"/>
      <c r="F95" s="403"/>
      <c r="G95" s="402"/>
      <c r="H95" s="402"/>
      <c r="I95" s="349" t="s">
        <v>9</v>
      </c>
      <c r="J95" s="402"/>
      <c r="K95" s="402"/>
      <c r="L95" s="402"/>
      <c r="M95" s="402"/>
      <c r="N95" s="402"/>
      <c r="O95" s="402"/>
      <c r="P95" s="402"/>
      <c r="Q95" s="402"/>
      <c r="R95" s="402"/>
      <c r="S95" s="402"/>
      <c r="T95" s="402"/>
      <c r="U95" s="402"/>
      <c r="V95" s="402"/>
      <c r="W95" s="402"/>
      <c r="X95" s="402"/>
      <c r="Y95" s="402"/>
      <c r="Z95" s="402"/>
    </row>
    <row r="96" ht="14.25" customHeight="1">
      <c r="A96" s="406">
        <v>45525.0</v>
      </c>
      <c r="B96" s="349" t="s">
        <v>4717</v>
      </c>
      <c r="C96" s="349" t="s">
        <v>4718</v>
      </c>
      <c r="D96" s="349" t="s">
        <v>439</v>
      </c>
      <c r="E96" s="349" t="s">
        <v>4665</v>
      </c>
      <c r="F96" s="413">
        <v>605894.65</v>
      </c>
      <c r="G96" s="349">
        <v>150000.0</v>
      </c>
      <c r="H96" s="349" t="s">
        <v>4728</v>
      </c>
      <c r="I96" s="402"/>
      <c r="J96" s="402"/>
      <c r="K96" s="402"/>
      <c r="L96" s="402"/>
      <c r="M96" s="402"/>
      <c r="N96" s="402"/>
      <c r="O96" s="402"/>
      <c r="P96" s="402"/>
      <c r="Q96" s="402"/>
      <c r="R96" s="402"/>
      <c r="S96" s="402"/>
      <c r="T96" s="402"/>
      <c r="U96" s="402"/>
      <c r="V96" s="402"/>
      <c r="W96" s="402"/>
      <c r="X96" s="402"/>
      <c r="Y96" s="402"/>
      <c r="Z96" s="402"/>
    </row>
    <row r="97" ht="14.25" customHeight="1">
      <c r="A97" s="406">
        <v>45525.0</v>
      </c>
      <c r="B97" s="349" t="s">
        <v>4662</v>
      </c>
      <c r="C97" s="349" t="s">
        <v>4663</v>
      </c>
      <c r="D97" s="349" t="s">
        <v>4664</v>
      </c>
      <c r="E97" s="349" t="s">
        <v>4665</v>
      </c>
      <c r="F97" s="413">
        <v>297871.18</v>
      </c>
      <c r="G97" s="402"/>
      <c r="H97" s="349" t="s">
        <v>4729</v>
      </c>
      <c r="I97" s="402"/>
      <c r="J97" s="402"/>
      <c r="K97" s="402"/>
      <c r="L97" s="402"/>
      <c r="M97" s="402"/>
      <c r="N97" s="402"/>
      <c r="O97" s="402"/>
      <c r="P97" s="402"/>
      <c r="Q97" s="402"/>
      <c r="R97" s="402"/>
      <c r="S97" s="402"/>
      <c r="T97" s="402"/>
      <c r="U97" s="402"/>
      <c r="V97" s="402"/>
      <c r="W97" s="402"/>
      <c r="X97" s="402"/>
      <c r="Y97" s="402"/>
      <c r="Z97" s="402"/>
    </row>
    <row r="98" ht="14.25" customHeight="1">
      <c r="A98" s="406">
        <v>45525.0</v>
      </c>
      <c r="B98" s="349" t="s">
        <v>4702</v>
      </c>
      <c r="C98" s="349" t="s">
        <v>4725</v>
      </c>
      <c r="D98" s="349" t="s">
        <v>439</v>
      </c>
      <c r="E98" s="349" t="s">
        <v>4716</v>
      </c>
      <c r="F98" s="413">
        <v>8837.15</v>
      </c>
      <c r="G98" s="402"/>
      <c r="H98" s="349" t="s">
        <v>4730</v>
      </c>
      <c r="I98" s="402"/>
      <c r="J98" s="402"/>
      <c r="K98" s="402"/>
      <c r="L98" s="402"/>
      <c r="M98" s="402"/>
      <c r="N98" s="402"/>
      <c r="O98" s="402"/>
      <c r="P98" s="402"/>
      <c r="Q98" s="402"/>
      <c r="R98" s="402"/>
      <c r="S98" s="402"/>
      <c r="T98" s="402"/>
      <c r="U98" s="402"/>
      <c r="V98" s="402"/>
      <c r="W98" s="402"/>
      <c r="X98" s="402"/>
      <c r="Y98" s="402"/>
      <c r="Z98" s="402"/>
    </row>
    <row r="99" ht="14.25" customHeight="1">
      <c r="A99" s="406">
        <v>45525.0</v>
      </c>
      <c r="B99" s="349" t="s">
        <v>4667</v>
      </c>
      <c r="C99" s="349" t="s">
        <v>4668</v>
      </c>
      <c r="D99" s="349" t="s">
        <v>439</v>
      </c>
      <c r="E99" s="349" t="s">
        <v>4669</v>
      </c>
      <c r="F99" s="413">
        <v>66946.35</v>
      </c>
      <c r="G99" s="402"/>
      <c r="H99" s="349" t="s">
        <v>4731</v>
      </c>
      <c r="I99" s="402"/>
      <c r="J99" s="402"/>
      <c r="K99" s="402"/>
      <c r="L99" s="402"/>
      <c r="M99" s="402"/>
      <c r="N99" s="402"/>
      <c r="O99" s="402"/>
      <c r="P99" s="402"/>
      <c r="Q99" s="402"/>
      <c r="R99" s="402"/>
      <c r="S99" s="402"/>
      <c r="T99" s="402"/>
      <c r="U99" s="402"/>
      <c r="V99" s="402"/>
      <c r="W99" s="402"/>
      <c r="X99" s="402"/>
      <c r="Y99" s="402"/>
      <c r="Z99" s="402"/>
    </row>
    <row r="100" ht="14.25" customHeight="1">
      <c r="A100" s="406">
        <v>45525.0</v>
      </c>
      <c r="B100" s="349" t="s">
        <v>4726</v>
      </c>
      <c r="C100" s="349" t="s">
        <v>4727</v>
      </c>
      <c r="D100" s="349" t="s">
        <v>439</v>
      </c>
      <c r="E100" s="349" t="s">
        <v>4665</v>
      </c>
      <c r="F100" s="413">
        <v>21500.0</v>
      </c>
      <c r="G100" s="349">
        <v>21500.0</v>
      </c>
      <c r="H100" s="349" t="s">
        <v>56</v>
      </c>
      <c r="I100" s="402"/>
      <c r="J100" s="402"/>
      <c r="K100" s="402"/>
      <c r="L100" s="402"/>
      <c r="M100" s="402"/>
      <c r="N100" s="402"/>
      <c r="O100" s="402"/>
      <c r="P100" s="402"/>
      <c r="Q100" s="402"/>
      <c r="R100" s="402"/>
      <c r="S100" s="402"/>
      <c r="T100" s="402"/>
      <c r="U100" s="402"/>
      <c r="V100" s="402"/>
      <c r="W100" s="402"/>
      <c r="X100" s="402"/>
      <c r="Y100" s="402"/>
      <c r="Z100" s="402"/>
    </row>
    <row r="101" ht="14.25" customHeight="1">
      <c r="A101" s="402"/>
      <c r="B101" s="402"/>
      <c r="C101" s="402"/>
      <c r="D101" s="402"/>
      <c r="E101" s="402"/>
      <c r="F101" s="403"/>
      <c r="G101" s="402"/>
      <c r="H101" s="402"/>
      <c r="I101" s="402"/>
      <c r="J101" s="402"/>
      <c r="K101" s="402"/>
      <c r="L101" s="402"/>
      <c r="M101" s="402"/>
      <c r="N101" s="402"/>
      <c r="O101" s="402"/>
      <c r="P101" s="402"/>
      <c r="Q101" s="402"/>
      <c r="R101" s="402"/>
      <c r="S101" s="402"/>
      <c r="T101" s="402"/>
      <c r="U101" s="402"/>
      <c r="V101" s="402"/>
      <c r="W101" s="402"/>
      <c r="X101" s="402"/>
      <c r="Y101" s="402"/>
      <c r="Z101" s="402"/>
    </row>
    <row r="102" ht="14.25" customHeight="1">
      <c r="A102" s="406">
        <v>45526.0</v>
      </c>
      <c r="B102" s="349" t="s">
        <v>4717</v>
      </c>
      <c r="C102" s="349" t="s">
        <v>4718</v>
      </c>
      <c r="D102" s="349" t="s">
        <v>439</v>
      </c>
      <c r="E102" s="349" t="s">
        <v>4665</v>
      </c>
      <c r="F102" s="413">
        <v>428353.65</v>
      </c>
      <c r="G102" s="402"/>
      <c r="H102" s="349" t="s">
        <v>4732</v>
      </c>
      <c r="I102" s="402"/>
      <c r="J102" s="402"/>
      <c r="K102" s="402"/>
      <c r="L102" s="402"/>
      <c r="M102" s="402"/>
      <c r="N102" s="402"/>
      <c r="O102" s="402"/>
      <c r="P102" s="402"/>
      <c r="Q102" s="402"/>
      <c r="R102" s="402"/>
      <c r="S102" s="402"/>
      <c r="T102" s="402"/>
      <c r="U102" s="402"/>
      <c r="V102" s="402"/>
      <c r="W102" s="402"/>
      <c r="X102" s="402"/>
      <c r="Y102" s="402"/>
      <c r="Z102" s="402"/>
    </row>
    <row r="103" ht="14.25" customHeight="1">
      <c r="A103" s="406">
        <v>45526.0</v>
      </c>
      <c r="B103" s="349" t="s">
        <v>4662</v>
      </c>
      <c r="C103" s="349" t="s">
        <v>4663</v>
      </c>
      <c r="D103" s="349" t="s">
        <v>4664</v>
      </c>
      <c r="E103" s="349" t="s">
        <v>4665</v>
      </c>
      <c r="F103" s="413">
        <v>290420.18</v>
      </c>
      <c r="G103" s="402"/>
      <c r="H103" s="349" t="s">
        <v>4733</v>
      </c>
      <c r="I103" s="402"/>
      <c r="J103" s="402"/>
      <c r="K103" s="402"/>
      <c r="L103" s="402"/>
      <c r="M103" s="402"/>
      <c r="N103" s="402"/>
      <c r="O103" s="402"/>
      <c r="P103" s="402"/>
      <c r="Q103" s="402"/>
      <c r="R103" s="402"/>
      <c r="S103" s="402"/>
      <c r="T103" s="402"/>
      <c r="U103" s="402"/>
      <c r="V103" s="402"/>
      <c r="W103" s="402"/>
      <c r="X103" s="402"/>
      <c r="Y103" s="402"/>
      <c r="Z103" s="402"/>
    </row>
    <row r="104" ht="14.25" customHeight="1">
      <c r="A104" s="406">
        <v>45526.0</v>
      </c>
      <c r="B104" s="349" t="s">
        <v>4702</v>
      </c>
      <c r="C104" s="349" t="s">
        <v>4725</v>
      </c>
      <c r="D104" s="349" t="s">
        <v>439</v>
      </c>
      <c r="E104" s="349" t="s">
        <v>4716</v>
      </c>
      <c r="F104" s="413">
        <v>8212.01</v>
      </c>
      <c r="G104" s="349">
        <v>3000.0</v>
      </c>
      <c r="H104" s="349" t="s">
        <v>4734</v>
      </c>
      <c r="I104" s="402"/>
      <c r="J104" s="402"/>
      <c r="K104" s="402"/>
      <c r="L104" s="402"/>
      <c r="M104" s="402"/>
      <c r="N104" s="402"/>
      <c r="O104" s="402"/>
      <c r="P104" s="402"/>
      <c r="Q104" s="402"/>
      <c r="R104" s="402"/>
      <c r="S104" s="402"/>
      <c r="T104" s="402"/>
      <c r="U104" s="402"/>
      <c r="V104" s="402"/>
      <c r="W104" s="402"/>
      <c r="X104" s="402"/>
      <c r="Y104" s="402"/>
      <c r="Z104" s="402"/>
    </row>
    <row r="105" ht="14.25" customHeight="1">
      <c r="A105" s="406">
        <v>45526.0</v>
      </c>
      <c r="B105" s="349" t="s">
        <v>4667</v>
      </c>
      <c r="C105" s="349" t="s">
        <v>4668</v>
      </c>
      <c r="D105" s="349" t="s">
        <v>439</v>
      </c>
      <c r="E105" s="349" t="s">
        <v>4669</v>
      </c>
      <c r="F105" s="413">
        <v>66942.07</v>
      </c>
      <c r="G105" s="402"/>
      <c r="H105" s="349" t="s">
        <v>4733</v>
      </c>
      <c r="I105" s="402"/>
      <c r="J105" s="402"/>
      <c r="K105" s="402"/>
      <c r="L105" s="402"/>
      <c r="M105" s="402"/>
      <c r="N105" s="402"/>
      <c r="O105" s="402"/>
      <c r="P105" s="402"/>
      <c r="Q105" s="402"/>
      <c r="R105" s="402"/>
      <c r="S105" s="402"/>
      <c r="T105" s="402"/>
      <c r="U105" s="402"/>
      <c r="V105" s="402"/>
      <c r="W105" s="402"/>
      <c r="X105" s="402"/>
      <c r="Y105" s="402"/>
      <c r="Z105" s="402"/>
    </row>
    <row r="106" ht="14.25" customHeight="1">
      <c r="A106" s="402"/>
      <c r="B106" s="402"/>
      <c r="C106" s="402"/>
      <c r="D106" s="402"/>
      <c r="E106" s="402"/>
      <c r="F106" s="403"/>
      <c r="G106" s="402"/>
      <c r="H106" s="402"/>
      <c r="I106" s="402"/>
      <c r="J106" s="402"/>
      <c r="K106" s="402"/>
      <c r="L106" s="402"/>
      <c r="M106" s="402"/>
      <c r="N106" s="402"/>
      <c r="O106" s="402"/>
      <c r="P106" s="402"/>
      <c r="Q106" s="402"/>
      <c r="R106" s="402"/>
      <c r="S106" s="402"/>
      <c r="T106" s="402"/>
      <c r="U106" s="402"/>
      <c r="V106" s="402"/>
      <c r="W106" s="402"/>
      <c r="X106" s="402"/>
      <c r="Y106" s="402"/>
      <c r="Z106" s="402"/>
    </row>
    <row r="107" ht="14.25" customHeight="1">
      <c r="A107" s="406">
        <v>45527.0</v>
      </c>
      <c r="B107" s="349" t="s">
        <v>4717</v>
      </c>
      <c r="C107" s="349" t="s">
        <v>4718</v>
      </c>
      <c r="D107" s="349" t="s">
        <v>439</v>
      </c>
      <c r="E107" s="349" t="s">
        <v>4665</v>
      </c>
      <c r="F107" s="413">
        <v>428353.65</v>
      </c>
      <c r="G107" s="349">
        <v>50000.0</v>
      </c>
      <c r="H107" s="349" t="s">
        <v>4735</v>
      </c>
      <c r="I107" s="402"/>
      <c r="J107" s="402"/>
      <c r="K107" s="402"/>
      <c r="L107" s="402"/>
      <c r="M107" s="402"/>
      <c r="N107" s="402"/>
      <c r="O107" s="402"/>
      <c r="P107" s="402"/>
      <c r="Q107" s="402"/>
      <c r="R107" s="402"/>
      <c r="S107" s="402"/>
      <c r="T107" s="402"/>
      <c r="U107" s="402"/>
      <c r="V107" s="402"/>
      <c r="W107" s="402"/>
      <c r="X107" s="402"/>
      <c r="Y107" s="402"/>
      <c r="Z107" s="402"/>
    </row>
    <row r="108" ht="14.25" customHeight="1">
      <c r="A108" s="406">
        <v>45527.0</v>
      </c>
      <c r="B108" s="349" t="s">
        <v>4662</v>
      </c>
      <c r="C108" s="349" t="s">
        <v>4663</v>
      </c>
      <c r="D108" s="349" t="s">
        <v>4664</v>
      </c>
      <c r="E108" s="349" t="s">
        <v>4665</v>
      </c>
      <c r="F108" s="413">
        <v>290420.18</v>
      </c>
      <c r="G108" s="349"/>
      <c r="H108" s="349" t="s">
        <v>4736</v>
      </c>
      <c r="I108" s="402"/>
      <c r="J108" s="402"/>
      <c r="K108" s="402"/>
      <c r="L108" s="402"/>
      <c r="M108" s="402"/>
      <c r="N108" s="402"/>
      <c r="O108" s="402"/>
      <c r="P108" s="402"/>
      <c r="Q108" s="402"/>
      <c r="R108" s="402"/>
      <c r="S108" s="402"/>
      <c r="T108" s="402"/>
      <c r="U108" s="402"/>
      <c r="V108" s="402"/>
      <c r="W108" s="402"/>
      <c r="X108" s="402"/>
      <c r="Y108" s="402"/>
      <c r="Z108" s="402"/>
    </row>
    <row r="109" ht="14.25" customHeight="1">
      <c r="A109" s="406">
        <v>45527.0</v>
      </c>
      <c r="B109" s="349" t="s">
        <v>4702</v>
      </c>
      <c r="C109" s="349" t="s">
        <v>4725</v>
      </c>
      <c r="D109" s="349" t="s">
        <v>439</v>
      </c>
      <c r="E109" s="349" t="s">
        <v>4716</v>
      </c>
      <c r="F109" s="413">
        <v>8212.07</v>
      </c>
      <c r="G109" s="402"/>
      <c r="H109" s="349" t="s">
        <v>4737</v>
      </c>
      <c r="I109" s="402"/>
      <c r="J109" s="402"/>
      <c r="K109" s="402"/>
      <c r="L109" s="402"/>
      <c r="M109" s="402"/>
      <c r="N109" s="402"/>
      <c r="O109" s="402"/>
      <c r="P109" s="402"/>
      <c r="Q109" s="402"/>
      <c r="R109" s="402"/>
      <c r="S109" s="402"/>
      <c r="T109" s="402"/>
      <c r="U109" s="402"/>
      <c r="V109" s="402"/>
      <c r="W109" s="402"/>
      <c r="X109" s="402"/>
      <c r="Y109" s="402"/>
      <c r="Z109" s="402"/>
    </row>
    <row r="110" ht="14.25" customHeight="1">
      <c r="A110" s="406">
        <v>45527.0</v>
      </c>
      <c r="B110" s="349" t="s">
        <v>4667</v>
      </c>
      <c r="C110" s="349" t="s">
        <v>4668</v>
      </c>
      <c r="D110" s="349" t="s">
        <v>439</v>
      </c>
      <c r="E110" s="349" t="s">
        <v>4669</v>
      </c>
      <c r="F110" s="413">
        <v>66942.07</v>
      </c>
      <c r="G110" s="402"/>
      <c r="H110" s="349" t="s">
        <v>4736</v>
      </c>
      <c r="I110" s="402"/>
      <c r="J110" s="402"/>
      <c r="K110" s="402"/>
      <c r="L110" s="402"/>
      <c r="M110" s="402"/>
      <c r="N110" s="402"/>
      <c r="O110" s="402"/>
      <c r="P110" s="402"/>
      <c r="Q110" s="402"/>
      <c r="R110" s="402"/>
      <c r="S110" s="402"/>
      <c r="T110" s="402"/>
      <c r="U110" s="402"/>
      <c r="V110" s="402"/>
      <c r="W110" s="402"/>
      <c r="X110" s="402"/>
      <c r="Y110" s="402"/>
      <c r="Z110" s="402"/>
    </row>
    <row r="111" ht="14.25" customHeight="1">
      <c r="A111" s="402"/>
      <c r="B111" s="402"/>
      <c r="C111" s="402"/>
      <c r="D111" s="402"/>
      <c r="E111" s="402"/>
      <c r="F111" s="403"/>
      <c r="G111" s="402"/>
      <c r="H111" s="402"/>
      <c r="I111" s="402"/>
      <c r="J111" s="402"/>
      <c r="K111" s="402"/>
      <c r="L111" s="402"/>
      <c r="M111" s="402"/>
      <c r="N111" s="402"/>
      <c r="O111" s="402"/>
      <c r="P111" s="402"/>
      <c r="Q111" s="402"/>
      <c r="R111" s="402"/>
      <c r="S111" s="402"/>
      <c r="T111" s="402"/>
      <c r="U111" s="402"/>
      <c r="V111" s="402"/>
      <c r="W111" s="402"/>
      <c r="X111" s="402"/>
      <c r="Y111" s="402"/>
      <c r="Z111" s="402"/>
    </row>
    <row r="112" ht="14.25" customHeight="1">
      <c r="A112" s="406">
        <v>45528.0</v>
      </c>
      <c r="B112" s="349" t="s">
        <v>4717</v>
      </c>
      <c r="C112" s="349" t="s">
        <v>4718</v>
      </c>
      <c r="D112" s="349" t="s">
        <v>439</v>
      </c>
      <c r="E112" s="349" t="s">
        <v>4665</v>
      </c>
      <c r="F112" s="413">
        <v>378353.0</v>
      </c>
      <c r="G112" s="349">
        <v>0.0</v>
      </c>
      <c r="H112" s="349" t="s">
        <v>4738</v>
      </c>
      <c r="I112" s="402"/>
      <c r="J112" s="402"/>
      <c r="K112" s="402"/>
      <c r="L112" s="402"/>
      <c r="M112" s="402"/>
      <c r="N112" s="402"/>
      <c r="O112" s="402"/>
      <c r="P112" s="402"/>
      <c r="Q112" s="402"/>
      <c r="R112" s="402"/>
      <c r="S112" s="402"/>
      <c r="T112" s="402"/>
      <c r="U112" s="402"/>
      <c r="V112" s="402"/>
      <c r="W112" s="402"/>
      <c r="X112" s="402"/>
      <c r="Y112" s="402"/>
      <c r="Z112" s="402"/>
    </row>
    <row r="113" ht="14.25" customHeight="1">
      <c r="A113" s="406">
        <v>45528.0</v>
      </c>
      <c r="B113" s="349" t="s">
        <v>4662</v>
      </c>
      <c r="C113" s="349" t="s">
        <v>4663</v>
      </c>
      <c r="D113" s="349" t="s">
        <v>4664</v>
      </c>
      <c r="E113" s="349" t="s">
        <v>4665</v>
      </c>
      <c r="F113" s="413">
        <v>290420.18</v>
      </c>
      <c r="G113" s="349">
        <v>0.0</v>
      </c>
      <c r="H113" s="349" t="s">
        <v>4739</v>
      </c>
      <c r="I113" s="402"/>
      <c r="J113" s="402"/>
      <c r="K113" s="402"/>
      <c r="L113" s="402"/>
      <c r="M113" s="402"/>
      <c r="N113" s="402"/>
      <c r="O113" s="402"/>
      <c r="P113" s="402"/>
      <c r="Q113" s="402"/>
      <c r="R113" s="402"/>
      <c r="S113" s="402"/>
      <c r="T113" s="402"/>
      <c r="U113" s="402"/>
      <c r="V113" s="402"/>
      <c r="W113" s="402"/>
      <c r="X113" s="402"/>
      <c r="Y113" s="402"/>
      <c r="Z113" s="402"/>
    </row>
    <row r="114" ht="14.25" customHeight="1">
      <c r="A114" s="406">
        <v>45528.0</v>
      </c>
      <c r="B114" s="349" t="s">
        <v>4702</v>
      </c>
      <c r="C114" s="349" t="s">
        <v>4725</v>
      </c>
      <c r="D114" s="349" t="s">
        <v>439</v>
      </c>
      <c r="E114" s="349" t="s">
        <v>4716</v>
      </c>
      <c r="F114" s="413">
        <v>8212.07</v>
      </c>
      <c r="G114" s="349">
        <v>8600.0</v>
      </c>
      <c r="H114" s="349" t="s">
        <v>8</v>
      </c>
      <c r="I114" s="402"/>
      <c r="J114" s="402"/>
      <c r="K114" s="402"/>
      <c r="L114" s="402"/>
      <c r="M114" s="402"/>
      <c r="N114" s="402"/>
      <c r="O114" s="402"/>
      <c r="P114" s="402"/>
      <c r="Q114" s="402"/>
      <c r="R114" s="402"/>
      <c r="S114" s="402"/>
      <c r="T114" s="402"/>
      <c r="U114" s="402"/>
      <c r="V114" s="402"/>
      <c r="W114" s="402"/>
      <c r="X114" s="402"/>
      <c r="Y114" s="402"/>
      <c r="Z114" s="402"/>
    </row>
    <row r="115" ht="14.25" customHeight="1">
      <c r="A115" s="406">
        <v>45528.0</v>
      </c>
      <c r="B115" s="349" t="s">
        <v>4667</v>
      </c>
      <c r="C115" s="349" t="s">
        <v>4668</v>
      </c>
      <c r="D115" s="349" t="s">
        <v>439</v>
      </c>
      <c r="E115" s="349" t="s">
        <v>4669</v>
      </c>
      <c r="F115" s="413">
        <v>66942.07</v>
      </c>
      <c r="G115" s="349">
        <v>0.0</v>
      </c>
      <c r="H115" s="349" t="s">
        <v>4740</v>
      </c>
      <c r="I115" s="402"/>
      <c r="J115" s="402"/>
      <c r="K115" s="402"/>
      <c r="L115" s="402"/>
      <c r="M115" s="402"/>
      <c r="N115" s="402"/>
      <c r="O115" s="402"/>
      <c r="P115" s="402"/>
      <c r="Q115" s="402"/>
      <c r="R115" s="402"/>
      <c r="S115" s="402"/>
      <c r="T115" s="402"/>
      <c r="U115" s="402"/>
      <c r="V115" s="402"/>
      <c r="W115" s="402"/>
      <c r="X115" s="402"/>
      <c r="Y115" s="402"/>
      <c r="Z115" s="402"/>
    </row>
    <row r="116" ht="14.25" customHeight="1">
      <c r="A116" s="402"/>
      <c r="B116" s="402"/>
      <c r="C116" s="402"/>
      <c r="D116" s="402"/>
      <c r="E116" s="402"/>
      <c r="F116" s="403"/>
      <c r="G116" s="402"/>
      <c r="H116" s="402"/>
      <c r="I116" s="402"/>
      <c r="J116" s="402"/>
      <c r="K116" s="402"/>
      <c r="L116" s="402"/>
      <c r="M116" s="402"/>
      <c r="N116" s="402"/>
      <c r="O116" s="402"/>
      <c r="P116" s="402"/>
      <c r="Q116" s="402"/>
      <c r="R116" s="402"/>
      <c r="S116" s="402"/>
      <c r="T116" s="402"/>
      <c r="U116" s="402"/>
      <c r="V116" s="402"/>
      <c r="W116" s="402"/>
      <c r="X116" s="402"/>
      <c r="Y116" s="402"/>
      <c r="Z116" s="402"/>
    </row>
    <row r="117" ht="14.25" customHeight="1">
      <c r="A117" s="406">
        <v>45530.0</v>
      </c>
      <c r="B117" s="349" t="s">
        <v>4717</v>
      </c>
      <c r="C117" s="349" t="s">
        <v>4718</v>
      </c>
      <c r="D117" s="349" t="s">
        <v>439</v>
      </c>
      <c r="E117" s="349" t="s">
        <v>4665</v>
      </c>
      <c r="F117" s="413">
        <v>397271.33</v>
      </c>
      <c r="G117" s="686">
        <v>100000.0</v>
      </c>
      <c r="H117" s="349" t="s">
        <v>4741</v>
      </c>
      <c r="I117" s="402"/>
      <c r="J117" s="402"/>
      <c r="K117" s="402"/>
      <c r="L117" s="402"/>
      <c r="M117" s="402"/>
      <c r="N117" s="402"/>
      <c r="O117" s="402"/>
      <c r="P117" s="402"/>
      <c r="Q117" s="402"/>
      <c r="R117" s="402"/>
      <c r="S117" s="402"/>
      <c r="T117" s="402"/>
      <c r="U117" s="402"/>
      <c r="V117" s="402"/>
      <c r="W117" s="402"/>
      <c r="X117" s="402"/>
      <c r="Y117" s="402"/>
      <c r="Z117" s="402"/>
    </row>
    <row r="118" ht="14.25" customHeight="1">
      <c r="A118" s="406">
        <v>45530.0</v>
      </c>
      <c r="B118" s="349" t="s">
        <v>4702</v>
      </c>
      <c r="C118" s="349" t="s">
        <v>4663</v>
      </c>
      <c r="D118" s="349" t="s">
        <v>4664</v>
      </c>
      <c r="E118" s="349" t="s">
        <v>4665</v>
      </c>
      <c r="F118" s="413">
        <v>318904.07</v>
      </c>
      <c r="G118" s="402"/>
      <c r="H118" s="349" t="s">
        <v>4742</v>
      </c>
      <c r="I118" s="402"/>
      <c r="J118" s="402"/>
      <c r="K118" s="402"/>
      <c r="L118" s="402"/>
      <c r="M118" s="402"/>
      <c r="N118" s="402"/>
      <c r="O118" s="402"/>
      <c r="P118" s="402"/>
      <c r="Q118" s="402"/>
      <c r="R118" s="402"/>
      <c r="S118" s="402"/>
      <c r="T118" s="402"/>
      <c r="U118" s="402"/>
      <c r="V118" s="402"/>
      <c r="W118" s="402"/>
      <c r="X118" s="402"/>
      <c r="Y118" s="402"/>
      <c r="Z118" s="402"/>
    </row>
    <row r="119" ht="14.25" customHeight="1">
      <c r="A119" s="406">
        <v>45530.0</v>
      </c>
      <c r="B119" s="349" t="s">
        <v>4667</v>
      </c>
      <c r="C119" s="349" t="s">
        <v>4668</v>
      </c>
      <c r="D119" s="349" t="s">
        <v>439</v>
      </c>
      <c r="E119" s="349" t="s">
        <v>4669</v>
      </c>
      <c r="F119" s="413">
        <v>66942.07</v>
      </c>
      <c r="G119" s="402"/>
      <c r="H119" s="349" t="s">
        <v>4743</v>
      </c>
      <c r="I119" s="402"/>
      <c r="J119" s="402"/>
      <c r="K119" s="402"/>
      <c r="L119" s="402"/>
      <c r="M119" s="402"/>
      <c r="N119" s="402"/>
      <c r="O119" s="402"/>
      <c r="P119" s="402"/>
      <c r="Q119" s="402"/>
      <c r="R119" s="402"/>
      <c r="S119" s="402"/>
      <c r="T119" s="402"/>
      <c r="U119" s="402"/>
      <c r="V119" s="402"/>
      <c r="W119" s="402"/>
      <c r="X119" s="402"/>
      <c r="Y119" s="402"/>
      <c r="Z119" s="402"/>
    </row>
    <row r="120" ht="14.25" customHeight="1">
      <c r="A120" s="406">
        <v>45530.0</v>
      </c>
      <c r="B120" s="349" t="s">
        <v>4744</v>
      </c>
      <c r="C120" s="349" t="s">
        <v>4745</v>
      </c>
      <c r="D120" s="349" t="s">
        <v>439</v>
      </c>
      <c r="E120" s="349" t="s">
        <v>4716</v>
      </c>
      <c r="F120" s="413">
        <v>22667.0</v>
      </c>
      <c r="G120" s="349">
        <v>22700.0</v>
      </c>
      <c r="H120" s="349" t="s">
        <v>8</v>
      </c>
      <c r="I120" s="402"/>
      <c r="J120" s="402"/>
      <c r="K120" s="402"/>
      <c r="L120" s="402"/>
      <c r="M120" s="402"/>
      <c r="N120" s="402"/>
      <c r="O120" s="402"/>
      <c r="P120" s="402"/>
      <c r="Q120" s="402"/>
      <c r="R120" s="402"/>
      <c r="S120" s="402"/>
      <c r="T120" s="402"/>
      <c r="U120" s="402"/>
      <c r="V120" s="402"/>
      <c r="W120" s="402"/>
      <c r="X120" s="402"/>
      <c r="Y120" s="402"/>
      <c r="Z120" s="402"/>
    </row>
    <row r="121" ht="14.25" customHeight="1">
      <c r="A121" s="402"/>
      <c r="B121" s="402"/>
      <c r="C121" s="402"/>
      <c r="D121" s="402"/>
      <c r="E121" s="402"/>
      <c r="F121" s="403"/>
      <c r="G121" s="402"/>
      <c r="H121" s="402"/>
      <c r="I121" s="402"/>
      <c r="J121" s="402"/>
      <c r="K121" s="402"/>
      <c r="L121" s="402"/>
      <c r="M121" s="402"/>
      <c r="N121" s="402"/>
      <c r="O121" s="402"/>
      <c r="P121" s="402"/>
      <c r="Q121" s="402"/>
      <c r="R121" s="402"/>
      <c r="S121" s="402"/>
      <c r="T121" s="402"/>
      <c r="U121" s="402"/>
      <c r="V121" s="402"/>
      <c r="W121" s="402"/>
      <c r="X121" s="402"/>
      <c r="Y121" s="402"/>
      <c r="Z121" s="402"/>
    </row>
    <row r="122" ht="14.25" customHeight="1">
      <c r="A122" s="406">
        <v>45531.0</v>
      </c>
      <c r="B122" s="349" t="s">
        <v>4717</v>
      </c>
      <c r="C122" s="349" t="s">
        <v>4718</v>
      </c>
      <c r="D122" s="349" t="s">
        <v>439</v>
      </c>
      <c r="E122" s="349" t="s">
        <v>4665</v>
      </c>
      <c r="F122" s="413">
        <v>297271.33</v>
      </c>
      <c r="G122" s="349">
        <v>0.0</v>
      </c>
      <c r="H122" s="349" t="s">
        <v>4746</v>
      </c>
      <c r="I122" s="402"/>
      <c r="J122" s="402"/>
      <c r="K122" s="402"/>
      <c r="L122" s="402"/>
      <c r="M122" s="402"/>
      <c r="N122" s="402"/>
      <c r="O122" s="402"/>
      <c r="P122" s="402"/>
      <c r="Q122" s="402"/>
      <c r="R122" s="402"/>
      <c r="S122" s="402"/>
      <c r="T122" s="402"/>
      <c r="U122" s="402"/>
      <c r="V122" s="402"/>
      <c r="W122" s="402"/>
      <c r="X122" s="402"/>
      <c r="Y122" s="402"/>
      <c r="Z122" s="402"/>
    </row>
    <row r="123" ht="14.25" customHeight="1">
      <c r="A123" s="406" t="s">
        <v>4747</v>
      </c>
      <c r="B123" s="349" t="s">
        <v>4702</v>
      </c>
      <c r="C123" s="349" t="s">
        <v>4663</v>
      </c>
      <c r="D123" s="349" t="s">
        <v>4664</v>
      </c>
      <c r="E123" s="349" t="s">
        <v>4665</v>
      </c>
      <c r="F123" s="413">
        <v>318904.07</v>
      </c>
      <c r="G123" s="349">
        <v>0.0</v>
      </c>
      <c r="H123" s="349" t="s">
        <v>4748</v>
      </c>
      <c r="I123" s="402"/>
      <c r="J123" s="402"/>
      <c r="K123" s="402"/>
      <c r="L123" s="402"/>
      <c r="M123" s="402"/>
      <c r="N123" s="402"/>
      <c r="O123" s="402"/>
      <c r="P123" s="402"/>
      <c r="Q123" s="402"/>
      <c r="R123" s="402"/>
      <c r="S123" s="402"/>
      <c r="T123" s="402"/>
      <c r="U123" s="402"/>
      <c r="V123" s="402"/>
      <c r="W123" s="402"/>
      <c r="X123" s="402"/>
      <c r="Y123" s="402"/>
      <c r="Z123" s="402"/>
    </row>
    <row r="124" ht="14.25" customHeight="1">
      <c r="A124" s="406">
        <v>45531.0</v>
      </c>
      <c r="B124" s="349" t="s">
        <v>4667</v>
      </c>
      <c r="C124" s="349" t="s">
        <v>4668</v>
      </c>
      <c r="D124" s="349" t="s">
        <v>439</v>
      </c>
      <c r="E124" s="349" t="s">
        <v>4669</v>
      </c>
      <c r="F124" s="413">
        <v>66942.07</v>
      </c>
      <c r="G124" s="349">
        <v>0.0</v>
      </c>
      <c r="H124" s="349" t="s">
        <v>4749</v>
      </c>
      <c r="I124" s="402"/>
      <c r="J124" s="402"/>
      <c r="K124" s="402"/>
      <c r="L124" s="402"/>
      <c r="M124" s="402"/>
      <c r="N124" s="402"/>
      <c r="O124" s="402"/>
      <c r="P124" s="402"/>
      <c r="Q124" s="402"/>
      <c r="R124" s="402"/>
      <c r="S124" s="402"/>
      <c r="T124" s="402"/>
      <c r="U124" s="402"/>
      <c r="V124" s="402"/>
      <c r="W124" s="402"/>
      <c r="X124" s="402"/>
      <c r="Y124" s="402"/>
      <c r="Z124" s="402"/>
    </row>
    <row r="125" ht="14.25" customHeight="1">
      <c r="A125" s="406">
        <v>45531.0</v>
      </c>
      <c r="B125" s="349" t="s">
        <v>4750</v>
      </c>
      <c r="C125" s="349" t="s">
        <v>4751</v>
      </c>
      <c r="D125" s="349" t="s">
        <v>439</v>
      </c>
      <c r="E125" s="349" t="s">
        <v>4669</v>
      </c>
      <c r="F125" s="413">
        <v>21100.0</v>
      </c>
      <c r="G125" s="349">
        <v>21100.0</v>
      </c>
      <c r="H125" s="349" t="s">
        <v>8</v>
      </c>
      <c r="I125" s="402"/>
      <c r="J125" s="402"/>
      <c r="K125" s="402"/>
      <c r="L125" s="402"/>
      <c r="M125" s="402"/>
      <c r="N125" s="402"/>
      <c r="O125" s="402"/>
      <c r="P125" s="402"/>
      <c r="Q125" s="402"/>
      <c r="R125" s="402"/>
      <c r="S125" s="402"/>
      <c r="T125" s="402"/>
      <c r="U125" s="402"/>
      <c r="V125" s="402"/>
      <c r="W125" s="402"/>
      <c r="X125" s="402"/>
      <c r="Y125" s="402"/>
      <c r="Z125" s="402"/>
    </row>
    <row r="126" ht="14.25" customHeight="1">
      <c r="A126" s="402"/>
      <c r="B126" s="402"/>
      <c r="C126" s="402"/>
      <c r="D126" s="402"/>
      <c r="E126" s="402"/>
      <c r="F126" s="403"/>
      <c r="G126" s="402"/>
      <c r="H126" s="402"/>
      <c r="I126" s="402"/>
      <c r="J126" s="402"/>
      <c r="K126" s="402"/>
      <c r="L126" s="402"/>
      <c r="M126" s="402"/>
      <c r="N126" s="402"/>
      <c r="O126" s="402"/>
      <c r="P126" s="402"/>
      <c r="Q126" s="402"/>
      <c r="R126" s="402"/>
      <c r="S126" s="402"/>
      <c r="T126" s="402"/>
      <c r="U126" s="402"/>
      <c r="V126" s="402"/>
      <c r="W126" s="402"/>
      <c r="X126" s="402"/>
      <c r="Y126" s="402"/>
      <c r="Z126" s="402"/>
    </row>
    <row r="127" ht="14.25" customHeight="1">
      <c r="A127" s="406">
        <v>45532.0</v>
      </c>
      <c r="B127" s="349" t="s">
        <v>4717</v>
      </c>
      <c r="C127" s="349" t="s">
        <v>4718</v>
      </c>
      <c r="D127" s="349" t="s">
        <v>439</v>
      </c>
      <c r="E127" s="349" t="s">
        <v>4665</v>
      </c>
      <c r="F127" s="413">
        <v>297271.33</v>
      </c>
      <c r="G127" s="349">
        <v>50000.0</v>
      </c>
      <c r="H127" s="349" t="s">
        <v>4752</v>
      </c>
      <c r="I127" s="402"/>
      <c r="J127" s="402"/>
      <c r="K127" s="402"/>
      <c r="L127" s="402"/>
      <c r="M127" s="402"/>
      <c r="N127" s="402"/>
      <c r="O127" s="402"/>
      <c r="P127" s="402"/>
      <c r="Q127" s="402"/>
      <c r="R127" s="402"/>
      <c r="S127" s="402"/>
      <c r="T127" s="402"/>
      <c r="U127" s="402"/>
      <c r="V127" s="402"/>
      <c r="W127" s="402"/>
      <c r="X127" s="402"/>
      <c r="Y127" s="402"/>
      <c r="Z127" s="402"/>
    </row>
    <row r="128" ht="14.25" customHeight="1">
      <c r="A128" s="406">
        <v>45532.0</v>
      </c>
      <c r="B128" s="349" t="s">
        <v>4702</v>
      </c>
      <c r="C128" s="349" t="s">
        <v>4663</v>
      </c>
      <c r="D128" s="349" t="s">
        <v>4664</v>
      </c>
      <c r="E128" s="349" t="s">
        <v>4665</v>
      </c>
      <c r="F128" s="413">
        <v>318904.07</v>
      </c>
      <c r="G128" s="402"/>
      <c r="H128" s="402"/>
      <c r="I128" s="402"/>
      <c r="J128" s="402"/>
      <c r="K128" s="402"/>
      <c r="L128" s="402"/>
      <c r="M128" s="402"/>
      <c r="N128" s="402"/>
      <c r="O128" s="402"/>
      <c r="P128" s="402"/>
      <c r="Q128" s="402"/>
      <c r="R128" s="402"/>
      <c r="S128" s="402"/>
      <c r="T128" s="402"/>
      <c r="U128" s="402"/>
      <c r="V128" s="402"/>
      <c r="W128" s="402"/>
      <c r="X128" s="402"/>
      <c r="Y128" s="402"/>
      <c r="Z128" s="402"/>
    </row>
    <row r="129" ht="14.25" customHeight="1">
      <c r="A129" s="406">
        <v>45532.0</v>
      </c>
      <c r="B129" s="349" t="s">
        <v>4667</v>
      </c>
      <c r="C129" s="349" t="s">
        <v>4668</v>
      </c>
      <c r="D129" s="349" t="s">
        <v>439</v>
      </c>
      <c r="E129" s="349" t="s">
        <v>4669</v>
      </c>
      <c r="F129" s="413">
        <v>66942.07</v>
      </c>
      <c r="G129" s="402"/>
      <c r="H129" s="402"/>
      <c r="I129" s="402"/>
      <c r="J129" s="402"/>
      <c r="K129" s="402"/>
      <c r="L129" s="402"/>
      <c r="M129" s="402"/>
      <c r="N129" s="402"/>
      <c r="O129" s="402"/>
      <c r="P129" s="402"/>
      <c r="Q129" s="402"/>
      <c r="R129" s="402"/>
      <c r="S129" s="402"/>
      <c r="T129" s="402"/>
      <c r="U129" s="402"/>
      <c r="V129" s="402"/>
      <c r="W129" s="402"/>
      <c r="X129" s="402"/>
      <c r="Y129" s="402"/>
      <c r="Z129" s="402"/>
    </row>
    <row r="130" ht="14.25" customHeight="1">
      <c r="A130" s="402"/>
      <c r="B130" s="402"/>
      <c r="C130" s="402"/>
      <c r="D130" s="402"/>
      <c r="E130" s="402"/>
      <c r="F130" s="403"/>
      <c r="G130" s="402"/>
      <c r="H130" s="402"/>
      <c r="I130" s="402"/>
      <c r="J130" s="402"/>
      <c r="K130" s="402"/>
      <c r="L130" s="402"/>
      <c r="M130" s="402"/>
      <c r="N130" s="402"/>
      <c r="O130" s="402"/>
      <c r="P130" s="402"/>
      <c r="Q130" s="402"/>
      <c r="R130" s="402"/>
      <c r="S130" s="402"/>
      <c r="T130" s="402"/>
      <c r="U130" s="402"/>
      <c r="V130" s="402"/>
      <c r="W130" s="402"/>
      <c r="X130" s="402"/>
      <c r="Y130" s="402"/>
      <c r="Z130" s="402"/>
    </row>
    <row r="131" ht="14.25" customHeight="1">
      <c r="A131" s="406">
        <v>45533.0</v>
      </c>
      <c r="B131" s="349" t="s">
        <v>4717</v>
      </c>
      <c r="C131" s="349" t="s">
        <v>4718</v>
      </c>
      <c r="D131" s="349" t="s">
        <v>439</v>
      </c>
      <c r="E131" s="349" t="s">
        <v>4665</v>
      </c>
      <c r="F131" s="413">
        <v>248271.37</v>
      </c>
      <c r="G131" s="402"/>
      <c r="H131" s="402"/>
      <c r="I131" s="402"/>
      <c r="J131" s="402"/>
      <c r="K131" s="402"/>
      <c r="L131" s="402"/>
      <c r="M131" s="402"/>
      <c r="N131" s="402"/>
      <c r="O131" s="402"/>
      <c r="P131" s="402"/>
      <c r="Q131" s="402"/>
      <c r="R131" s="402"/>
      <c r="S131" s="402"/>
      <c r="T131" s="402"/>
      <c r="U131" s="402"/>
      <c r="V131" s="402"/>
      <c r="W131" s="402"/>
      <c r="X131" s="402"/>
      <c r="Y131" s="402"/>
      <c r="Z131" s="402"/>
    </row>
    <row r="132" ht="14.25" customHeight="1">
      <c r="A132" s="406">
        <v>45533.0</v>
      </c>
      <c r="B132" s="349" t="s">
        <v>4702</v>
      </c>
      <c r="C132" s="349" t="s">
        <v>4663</v>
      </c>
      <c r="D132" s="349" t="s">
        <v>4664</v>
      </c>
      <c r="E132" s="349" t="s">
        <v>4665</v>
      </c>
      <c r="F132" s="413">
        <v>307923.0</v>
      </c>
      <c r="G132" s="402"/>
      <c r="H132" s="402"/>
      <c r="I132" s="402"/>
      <c r="J132" s="402"/>
      <c r="K132" s="402"/>
      <c r="L132" s="402"/>
      <c r="M132" s="402"/>
      <c r="N132" s="402"/>
      <c r="O132" s="402"/>
      <c r="P132" s="402"/>
      <c r="Q132" s="402"/>
      <c r="R132" s="402"/>
      <c r="S132" s="402"/>
      <c r="T132" s="402"/>
      <c r="U132" s="402"/>
      <c r="V132" s="402"/>
      <c r="W132" s="402"/>
      <c r="X132" s="402"/>
      <c r="Y132" s="402"/>
      <c r="Z132" s="402"/>
    </row>
    <row r="133" ht="14.25" customHeight="1">
      <c r="A133" s="406">
        <v>45533.0</v>
      </c>
      <c r="B133" s="349" t="s">
        <v>4667</v>
      </c>
      <c r="C133" s="349" t="s">
        <v>4668</v>
      </c>
      <c r="D133" s="349" t="s">
        <v>439</v>
      </c>
      <c r="E133" s="349" t="s">
        <v>4669</v>
      </c>
      <c r="F133" s="413">
        <v>70289.17</v>
      </c>
      <c r="G133" s="402"/>
      <c r="H133" s="402"/>
      <c r="I133" s="402"/>
      <c r="J133" s="402"/>
      <c r="K133" s="402"/>
      <c r="L133" s="402"/>
      <c r="M133" s="402"/>
      <c r="N133" s="402"/>
      <c r="O133" s="402"/>
      <c r="P133" s="402"/>
      <c r="Q133" s="402"/>
      <c r="R133" s="402"/>
      <c r="S133" s="402"/>
      <c r="T133" s="402"/>
      <c r="U133" s="402"/>
      <c r="V133" s="402"/>
      <c r="W133" s="402"/>
      <c r="X133" s="402"/>
      <c r="Y133" s="402"/>
      <c r="Z133" s="402"/>
    </row>
    <row r="134" ht="14.25" customHeight="1">
      <c r="A134" s="406">
        <v>45533.0</v>
      </c>
      <c r="B134" s="349" t="s">
        <v>4673</v>
      </c>
      <c r="C134" s="349" t="s">
        <v>4674</v>
      </c>
      <c r="D134" s="349" t="s">
        <v>439</v>
      </c>
      <c r="E134" s="349" t="s">
        <v>4665</v>
      </c>
      <c r="F134" s="413">
        <v>14333.0</v>
      </c>
      <c r="G134" s="349">
        <v>14400.0</v>
      </c>
      <c r="H134" s="349" t="s">
        <v>8</v>
      </c>
      <c r="I134" s="402"/>
      <c r="J134" s="402"/>
      <c r="K134" s="402"/>
      <c r="L134" s="402"/>
      <c r="M134" s="402"/>
      <c r="N134" s="402"/>
      <c r="O134" s="402"/>
      <c r="P134" s="402"/>
      <c r="Q134" s="402"/>
      <c r="R134" s="402"/>
      <c r="S134" s="402"/>
      <c r="T134" s="402"/>
      <c r="U134" s="402"/>
      <c r="V134" s="402"/>
      <c r="W134" s="402"/>
      <c r="X134" s="402"/>
      <c r="Y134" s="402"/>
      <c r="Z134" s="402"/>
    </row>
    <row r="135" ht="14.25" customHeight="1">
      <c r="A135" s="402"/>
      <c r="B135" s="402"/>
      <c r="C135" s="402"/>
      <c r="D135" s="402"/>
      <c r="E135" s="402"/>
      <c r="F135" s="403"/>
      <c r="G135" s="402"/>
      <c r="H135" s="402"/>
      <c r="I135" s="402"/>
      <c r="J135" s="402"/>
      <c r="K135" s="402"/>
      <c r="L135" s="402"/>
      <c r="M135" s="402"/>
      <c r="N135" s="402"/>
      <c r="O135" s="402"/>
      <c r="P135" s="402"/>
      <c r="Q135" s="402"/>
      <c r="R135" s="402"/>
      <c r="S135" s="402"/>
      <c r="T135" s="402"/>
      <c r="U135" s="402"/>
      <c r="V135" s="402"/>
      <c r="W135" s="402"/>
      <c r="X135" s="402"/>
      <c r="Y135" s="402"/>
      <c r="Z135" s="402"/>
    </row>
    <row r="136" ht="14.25" customHeight="1">
      <c r="A136" s="406">
        <v>45534.0</v>
      </c>
      <c r="B136" s="349" t="s">
        <v>4717</v>
      </c>
      <c r="C136" s="349" t="s">
        <v>4718</v>
      </c>
      <c r="D136" s="349" t="s">
        <v>439</v>
      </c>
      <c r="E136" s="349" t="s">
        <v>4665</v>
      </c>
      <c r="F136" s="413">
        <v>248271.37</v>
      </c>
      <c r="G136" s="349">
        <v>70000.0</v>
      </c>
      <c r="H136" s="349" t="s">
        <v>4753</v>
      </c>
      <c r="I136" s="402"/>
      <c r="J136" s="402"/>
      <c r="K136" s="402"/>
      <c r="L136" s="402"/>
      <c r="M136" s="402"/>
      <c r="N136" s="402"/>
      <c r="O136" s="402"/>
      <c r="P136" s="402"/>
      <c r="Q136" s="402"/>
      <c r="R136" s="402"/>
      <c r="S136" s="402"/>
      <c r="T136" s="402"/>
      <c r="U136" s="402"/>
      <c r="V136" s="402"/>
      <c r="W136" s="402"/>
      <c r="X136" s="402"/>
      <c r="Y136" s="402"/>
      <c r="Z136" s="402"/>
    </row>
    <row r="137" ht="14.25" customHeight="1">
      <c r="A137" s="406">
        <v>45534.0</v>
      </c>
      <c r="B137" s="349" t="s">
        <v>4702</v>
      </c>
      <c r="C137" s="349" t="s">
        <v>4663</v>
      </c>
      <c r="D137" s="349" t="s">
        <v>4664</v>
      </c>
      <c r="E137" s="349" t="s">
        <v>4665</v>
      </c>
      <c r="F137" s="413">
        <v>307923.0</v>
      </c>
      <c r="G137" s="402"/>
      <c r="H137" s="349" t="s">
        <v>4754</v>
      </c>
      <c r="I137" s="402"/>
      <c r="J137" s="402"/>
      <c r="K137" s="402"/>
      <c r="L137" s="402"/>
      <c r="M137" s="402"/>
      <c r="N137" s="402"/>
      <c r="O137" s="402"/>
      <c r="P137" s="402"/>
      <c r="Q137" s="402"/>
      <c r="R137" s="402"/>
      <c r="S137" s="402"/>
      <c r="T137" s="402"/>
      <c r="U137" s="402"/>
      <c r="V137" s="402"/>
      <c r="W137" s="402"/>
      <c r="X137" s="402"/>
      <c r="Y137" s="402"/>
      <c r="Z137" s="402"/>
    </row>
    <row r="138" ht="14.25" customHeight="1">
      <c r="A138" s="406">
        <v>45534.0</v>
      </c>
      <c r="B138" s="349" t="s">
        <v>4667</v>
      </c>
      <c r="C138" s="349" t="s">
        <v>4668</v>
      </c>
      <c r="D138" s="349" t="s">
        <v>439</v>
      </c>
      <c r="E138" s="349" t="s">
        <v>4669</v>
      </c>
      <c r="F138" s="413">
        <v>70289.17</v>
      </c>
      <c r="G138" s="402"/>
      <c r="H138" s="349" t="s">
        <v>4755</v>
      </c>
      <c r="I138" s="402"/>
      <c r="J138" s="402"/>
      <c r="K138" s="402"/>
      <c r="L138" s="402"/>
      <c r="M138" s="402"/>
      <c r="N138" s="402"/>
      <c r="O138" s="402"/>
      <c r="P138" s="402"/>
      <c r="Q138" s="402"/>
      <c r="R138" s="402"/>
      <c r="S138" s="402"/>
      <c r="T138" s="402"/>
      <c r="U138" s="402"/>
      <c r="V138" s="402"/>
      <c r="W138" s="402"/>
      <c r="X138" s="402"/>
      <c r="Y138" s="402"/>
      <c r="Z138" s="402"/>
    </row>
    <row r="139" ht="14.25" customHeight="1">
      <c r="A139" s="402"/>
      <c r="B139" s="402"/>
      <c r="C139" s="402"/>
      <c r="D139" s="402"/>
      <c r="E139" s="402"/>
      <c r="F139" s="403"/>
      <c r="G139" s="402"/>
      <c r="H139" s="402"/>
      <c r="I139" s="402"/>
      <c r="J139" s="402"/>
      <c r="K139" s="402"/>
      <c r="L139" s="402"/>
      <c r="M139" s="402"/>
      <c r="N139" s="402"/>
      <c r="O139" s="402"/>
      <c r="P139" s="402"/>
      <c r="Q139" s="402"/>
      <c r="R139" s="402"/>
      <c r="S139" s="402"/>
      <c r="T139" s="402"/>
      <c r="U139" s="402"/>
      <c r="V139" s="402"/>
      <c r="W139" s="402"/>
      <c r="X139" s="402"/>
      <c r="Y139" s="402"/>
      <c r="Z139" s="402"/>
    </row>
    <row r="140" ht="14.25" customHeight="1">
      <c r="A140" s="402"/>
      <c r="B140" s="349"/>
      <c r="C140" s="349"/>
      <c r="D140" s="349"/>
      <c r="E140" s="349"/>
      <c r="F140" s="413"/>
      <c r="G140" s="402"/>
      <c r="H140" s="402"/>
      <c r="I140" s="402"/>
      <c r="J140" s="402"/>
      <c r="K140" s="402"/>
      <c r="L140" s="402"/>
      <c r="M140" s="402"/>
      <c r="N140" s="402"/>
      <c r="O140" s="402"/>
      <c r="P140" s="402"/>
      <c r="Q140" s="402"/>
      <c r="R140" s="402"/>
      <c r="S140" s="402"/>
      <c r="T140" s="402"/>
      <c r="U140" s="402"/>
      <c r="V140" s="402"/>
      <c r="W140" s="402"/>
      <c r="X140" s="402"/>
      <c r="Y140" s="402"/>
      <c r="Z140" s="402"/>
    </row>
    <row r="141" ht="14.25" customHeight="1">
      <c r="A141" s="406">
        <v>45535.0</v>
      </c>
      <c r="B141" s="349" t="s">
        <v>4690</v>
      </c>
      <c r="C141" s="349" t="s">
        <v>4756</v>
      </c>
      <c r="D141" s="349" t="s">
        <v>54</v>
      </c>
      <c r="E141" s="349" t="s">
        <v>4757</v>
      </c>
      <c r="F141" s="413">
        <v>1124.21</v>
      </c>
      <c r="G141" s="402"/>
      <c r="H141" s="402"/>
      <c r="I141" s="402"/>
      <c r="J141" s="402"/>
      <c r="K141" s="402"/>
      <c r="L141" s="402"/>
      <c r="M141" s="402"/>
      <c r="N141" s="402"/>
      <c r="O141" s="402"/>
      <c r="P141" s="402"/>
      <c r="Q141" s="402"/>
      <c r="R141" s="402"/>
      <c r="S141" s="402"/>
      <c r="T141" s="402"/>
      <c r="U141" s="402"/>
      <c r="V141" s="402"/>
      <c r="W141" s="402"/>
      <c r="X141" s="402"/>
      <c r="Y141" s="402"/>
      <c r="Z141" s="402"/>
    </row>
    <row r="142" ht="14.25" customHeight="1">
      <c r="A142" s="406">
        <v>45535.0</v>
      </c>
      <c r="B142" s="349" t="s">
        <v>4717</v>
      </c>
      <c r="C142" s="349" t="s">
        <v>4758</v>
      </c>
      <c r="D142" s="349" t="s">
        <v>54</v>
      </c>
      <c r="E142" s="349" t="s">
        <v>4759</v>
      </c>
      <c r="F142" s="413">
        <v>248271.33</v>
      </c>
      <c r="G142" s="402"/>
      <c r="H142" s="402"/>
      <c r="I142" s="402"/>
      <c r="J142" s="402"/>
      <c r="K142" s="402"/>
      <c r="L142" s="402"/>
      <c r="M142" s="402"/>
      <c r="N142" s="402"/>
      <c r="O142" s="402"/>
      <c r="P142" s="402"/>
      <c r="Q142" s="402"/>
      <c r="R142" s="402"/>
      <c r="S142" s="402"/>
      <c r="T142" s="402"/>
      <c r="U142" s="402"/>
      <c r="V142" s="402"/>
      <c r="W142" s="402"/>
      <c r="X142" s="402"/>
      <c r="Y142" s="402"/>
      <c r="Z142" s="402"/>
    </row>
    <row r="143" ht="14.25" customHeight="1">
      <c r="A143" s="406">
        <v>45535.0</v>
      </c>
      <c r="B143" s="349" t="s">
        <v>4662</v>
      </c>
      <c r="C143" s="349" t="s">
        <v>4760</v>
      </c>
      <c r="D143" s="349" t="s">
        <v>59</v>
      </c>
      <c r="E143" s="349" t="s">
        <v>4759</v>
      </c>
      <c r="F143" s="413">
        <v>307923.19</v>
      </c>
      <c r="G143" s="402"/>
      <c r="H143" s="402"/>
      <c r="I143" s="402"/>
      <c r="J143" s="402"/>
      <c r="K143" s="402"/>
      <c r="L143" s="402"/>
      <c r="M143" s="402"/>
      <c r="N143" s="402"/>
      <c r="O143" s="402"/>
      <c r="P143" s="402"/>
      <c r="Q143" s="402"/>
      <c r="R143" s="402"/>
      <c r="S143" s="402"/>
      <c r="T143" s="402"/>
      <c r="U143" s="402"/>
      <c r="V143" s="402"/>
      <c r="W143" s="402"/>
      <c r="X143" s="402"/>
      <c r="Y143" s="402"/>
      <c r="Z143" s="402"/>
    </row>
    <row r="144" ht="14.25" customHeight="1">
      <c r="A144" s="406">
        <v>45535.0</v>
      </c>
      <c r="B144" s="349" t="s">
        <v>4667</v>
      </c>
      <c r="C144" s="349" t="s">
        <v>4761</v>
      </c>
      <c r="D144" s="349" t="s">
        <v>54</v>
      </c>
      <c r="E144" s="349" t="s">
        <v>4762</v>
      </c>
      <c r="F144" s="413">
        <v>70289.17</v>
      </c>
      <c r="G144" s="402"/>
      <c r="H144" s="402"/>
      <c r="I144" s="402"/>
      <c r="J144" s="402"/>
      <c r="K144" s="402"/>
      <c r="L144" s="402"/>
      <c r="M144" s="402"/>
      <c r="N144" s="402"/>
      <c r="O144" s="402"/>
      <c r="P144" s="402"/>
      <c r="Q144" s="402"/>
      <c r="R144" s="402"/>
      <c r="S144" s="402"/>
      <c r="T144" s="402"/>
      <c r="U144" s="402"/>
      <c r="V144" s="402"/>
      <c r="W144" s="402"/>
      <c r="X144" s="402"/>
      <c r="Y144" s="402"/>
      <c r="Z144" s="402"/>
    </row>
    <row r="145" ht="14.25" customHeight="1">
      <c r="A145" s="402"/>
      <c r="B145" s="402"/>
      <c r="C145" s="402"/>
      <c r="D145" s="402"/>
      <c r="E145" s="402"/>
      <c r="F145" s="403"/>
      <c r="G145" s="402"/>
      <c r="H145" s="402"/>
      <c r="I145" s="402"/>
      <c r="J145" s="402"/>
      <c r="K145" s="402"/>
      <c r="L145" s="402"/>
      <c r="M145" s="402"/>
      <c r="N145" s="402"/>
      <c r="O145" s="402"/>
      <c r="P145" s="402"/>
      <c r="Q145" s="402"/>
      <c r="R145" s="402"/>
      <c r="S145" s="402"/>
      <c r="T145" s="402"/>
      <c r="U145" s="402"/>
      <c r="V145" s="402"/>
      <c r="W145" s="402"/>
      <c r="X145" s="402"/>
      <c r="Y145" s="402"/>
      <c r="Z145" s="402"/>
    </row>
    <row r="146" ht="14.25" customHeight="1">
      <c r="A146" s="402"/>
      <c r="B146" s="854"/>
      <c r="C146" s="855"/>
      <c r="D146" s="855"/>
      <c r="E146" s="855"/>
      <c r="F146" s="856"/>
      <c r="G146" s="855"/>
      <c r="H146" s="855"/>
      <c r="I146" s="402"/>
      <c r="J146" s="402"/>
      <c r="K146" s="402"/>
      <c r="L146" s="402"/>
      <c r="M146" s="402"/>
      <c r="N146" s="402"/>
      <c r="O146" s="402"/>
      <c r="P146" s="402"/>
      <c r="Q146" s="402"/>
      <c r="R146" s="402"/>
      <c r="S146" s="402"/>
      <c r="T146" s="402"/>
      <c r="U146" s="402"/>
      <c r="V146" s="402"/>
      <c r="W146" s="402"/>
      <c r="X146" s="402"/>
      <c r="Y146" s="402"/>
      <c r="Z146" s="402"/>
    </row>
    <row r="147" ht="14.25" customHeight="1">
      <c r="A147" s="406">
        <v>45537.0</v>
      </c>
      <c r="B147" s="857" t="s">
        <v>4690</v>
      </c>
      <c r="C147" s="858" t="s">
        <v>4756</v>
      </c>
      <c r="D147" s="858" t="s">
        <v>54</v>
      </c>
      <c r="E147" s="858" t="s">
        <v>4757</v>
      </c>
      <c r="F147" s="859">
        <v>1180.42</v>
      </c>
      <c r="G147" s="858"/>
      <c r="H147" s="860" t="s">
        <v>4763</v>
      </c>
      <c r="I147" s="402"/>
      <c r="J147" s="402"/>
      <c r="K147" s="402"/>
      <c r="L147" s="402"/>
      <c r="M147" s="402"/>
      <c r="N147" s="402"/>
      <c r="O147" s="402"/>
      <c r="P147" s="402"/>
      <c r="Q147" s="402"/>
      <c r="R147" s="402"/>
      <c r="S147" s="402"/>
      <c r="T147" s="402"/>
      <c r="U147" s="402"/>
      <c r="V147" s="402"/>
      <c r="W147" s="402"/>
      <c r="X147" s="402"/>
      <c r="Y147" s="402"/>
      <c r="Z147" s="402"/>
    </row>
    <row r="148" ht="14.25" customHeight="1">
      <c r="A148" s="406">
        <v>45537.0</v>
      </c>
      <c r="B148" s="857" t="s">
        <v>4717</v>
      </c>
      <c r="C148" s="858" t="s">
        <v>4758</v>
      </c>
      <c r="D148" s="858" t="s">
        <v>54</v>
      </c>
      <c r="E148" s="858" t="s">
        <v>4759</v>
      </c>
      <c r="F148" s="859">
        <v>187184.9</v>
      </c>
      <c r="G148" s="858"/>
      <c r="H148" s="860" t="s">
        <v>4764</v>
      </c>
      <c r="I148" s="402"/>
      <c r="J148" s="402"/>
      <c r="K148" s="402"/>
      <c r="L148" s="402"/>
      <c r="M148" s="402"/>
      <c r="N148" s="402"/>
      <c r="O148" s="402"/>
      <c r="P148" s="402"/>
      <c r="Q148" s="402"/>
      <c r="R148" s="402"/>
      <c r="S148" s="402"/>
      <c r="T148" s="402"/>
      <c r="U148" s="402"/>
      <c r="V148" s="402"/>
      <c r="W148" s="402"/>
      <c r="X148" s="402"/>
      <c r="Y148" s="402"/>
      <c r="Z148" s="402"/>
    </row>
    <row r="149" ht="14.25" customHeight="1">
      <c r="A149" s="406">
        <v>45537.0</v>
      </c>
      <c r="B149" s="857" t="s">
        <v>4667</v>
      </c>
      <c r="C149" s="858" t="s">
        <v>4668</v>
      </c>
      <c r="D149" s="858" t="s">
        <v>54</v>
      </c>
      <c r="E149" s="858" t="s">
        <v>4762</v>
      </c>
      <c r="F149" s="859">
        <v>109706.17</v>
      </c>
      <c r="G149" s="858"/>
      <c r="H149" s="860" t="s">
        <v>4765</v>
      </c>
      <c r="I149" s="402"/>
      <c r="J149" s="402"/>
      <c r="K149" s="402"/>
      <c r="L149" s="402"/>
      <c r="M149" s="402"/>
      <c r="N149" s="402"/>
      <c r="O149" s="402"/>
      <c r="P149" s="402"/>
      <c r="Q149" s="402"/>
      <c r="R149" s="402"/>
      <c r="S149" s="402"/>
      <c r="T149" s="402"/>
      <c r="U149" s="402"/>
      <c r="V149" s="402"/>
      <c r="W149" s="402"/>
      <c r="X149" s="402"/>
      <c r="Y149" s="402"/>
      <c r="Z149" s="402"/>
    </row>
    <row r="150" ht="14.25" customHeight="1">
      <c r="A150" s="402"/>
      <c r="B150" s="402"/>
      <c r="C150" s="402"/>
      <c r="D150" s="402"/>
      <c r="E150" s="402"/>
      <c r="F150" s="403"/>
      <c r="G150" s="402"/>
      <c r="H150" s="402"/>
      <c r="I150" s="402"/>
      <c r="J150" s="402"/>
      <c r="K150" s="402"/>
      <c r="L150" s="402"/>
      <c r="M150" s="402"/>
      <c r="N150" s="402"/>
      <c r="O150" s="402"/>
      <c r="P150" s="402"/>
      <c r="Q150" s="402"/>
      <c r="R150" s="402"/>
      <c r="S150" s="402"/>
      <c r="T150" s="402"/>
      <c r="U150" s="402"/>
      <c r="V150" s="402"/>
      <c r="W150" s="402"/>
      <c r="X150" s="402"/>
      <c r="Y150" s="402"/>
      <c r="Z150" s="402"/>
    </row>
    <row r="151" ht="14.25" customHeight="1">
      <c r="A151" s="402"/>
      <c r="B151" s="402"/>
      <c r="C151" s="402"/>
      <c r="D151" s="402"/>
      <c r="E151" s="402"/>
      <c r="F151" s="403"/>
      <c r="G151" s="402"/>
      <c r="H151" s="402"/>
      <c r="I151" s="402"/>
      <c r="J151" s="402"/>
      <c r="K151" s="402"/>
      <c r="L151" s="402"/>
      <c r="M151" s="402"/>
      <c r="N151" s="402"/>
      <c r="O151" s="402"/>
      <c r="P151" s="402"/>
      <c r="Q151" s="402"/>
      <c r="R151" s="402"/>
      <c r="S151" s="402"/>
      <c r="T151" s="402"/>
      <c r="U151" s="402"/>
      <c r="V151" s="402"/>
      <c r="W151" s="402"/>
      <c r="X151" s="402"/>
      <c r="Y151" s="402"/>
      <c r="Z151" s="402"/>
    </row>
    <row r="152" ht="14.25" customHeight="1">
      <c r="A152" s="402"/>
      <c r="B152" s="402"/>
      <c r="C152" s="402"/>
      <c r="D152" s="402"/>
      <c r="E152" s="402"/>
      <c r="F152" s="403"/>
      <c r="G152" s="402"/>
      <c r="H152" s="402"/>
      <c r="I152" s="402"/>
      <c r="J152" s="402"/>
      <c r="K152" s="402"/>
      <c r="L152" s="402"/>
      <c r="M152" s="402"/>
      <c r="N152" s="402"/>
      <c r="O152" s="402"/>
      <c r="P152" s="402"/>
      <c r="Q152" s="402"/>
      <c r="R152" s="402"/>
      <c r="S152" s="402"/>
      <c r="T152" s="402"/>
      <c r="U152" s="402"/>
      <c r="V152" s="402"/>
      <c r="W152" s="402"/>
      <c r="X152" s="402"/>
      <c r="Y152" s="402"/>
      <c r="Z152" s="402"/>
    </row>
    <row r="153" ht="14.25" customHeight="1">
      <c r="A153" s="402"/>
      <c r="B153" s="402"/>
      <c r="C153" s="402"/>
      <c r="D153" s="402"/>
      <c r="E153" s="402"/>
      <c r="F153" s="403"/>
      <c r="G153" s="402"/>
      <c r="H153" s="402"/>
      <c r="I153" s="402"/>
      <c r="J153" s="402"/>
      <c r="K153" s="402"/>
      <c r="L153" s="402"/>
      <c r="M153" s="402"/>
      <c r="N153" s="402"/>
      <c r="O153" s="402"/>
      <c r="P153" s="402"/>
      <c r="Q153" s="402"/>
      <c r="R153" s="402"/>
      <c r="S153" s="402"/>
      <c r="T153" s="402"/>
      <c r="U153" s="402"/>
      <c r="V153" s="402"/>
      <c r="W153" s="402"/>
      <c r="X153" s="402"/>
      <c r="Y153" s="402"/>
      <c r="Z153" s="402"/>
    </row>
    <row r="154" ht="14.25" customHeight="1">
      <c r="A154" s="402"/>
      <c r="B154" s="402"/>
      <c r="C154" s="402"/>
      <c r="D154" s="402"/>
      <c r="E154" s="402"/>
      <c r="F154" s="403"/>
      <c r="G154" s="402"/>
      <c r="H154" s="402"/>
      <c r="I154" s="402"/>
      <c r="J154" s="402"/>
      <c r="K154" s="402"/>
      <c r="L154" s="402"/>
      <c r="M154" s="402"/>
      <c r="N154" s="402"/>
      <c r="O154" s="402"/>
      <c r="P154" s="402"/>
      <c r="Q154" s="402"/>
      <c r="R154" s="402"/>
      <c r="S154" s="402"/>
      <c r="T154" s="402"/>
      <c r="U154" s="402"/>
      <c r="V154" s="402"/>
      <c r="W154" s="402"/>
      <c r="X154" s="402"/>
      <c r="Y154" s="402"/>
      <c r="Z154" s="402"/>
    </row>
    <row r="155" ht="14.25" customHeight="1">
      <c r="A155" s="402"/>
      <c r="B155" s="402"/>
      <c r="C155" s="402"/>
      <c r="D155" s="402"/>
      <c r="E155" s="402"/>
      <c r="F155" s="403"/>
      <c r="G155" s="402"/>
      <c r="H155" s="402"/>
      <c r="I155" s="402"/>
      <c r="J155" s="402"/>
      <c r="K155" s="402"/>
      <c r="L155" s="402"/>
      <c r="M155" s="402"/>
      <c r="N155" s="402"/>
      <c r="O155" s="402"/>
      <c r="P155" s="402"/>
      <c r="Q155" s="402"/>
      <c r="R155" s="402"/>
      <c r="S155" s="402"/>
      <c r="T155" s="402"/>
      <c r="U155" s="402"/>
      <c r="V155" s="402"/>
      <c r="W155" s="402"/>
      <c r="X155" s="402"/>
      <c r="Y155" s="402"/>
      <c r="Z155" s="402"/>
    </row>
    <row r="156" ht="14.25" customHeight="1">
      <c r="A156" s="402"/>
      <c r="B156" s="402"/>
      <c r="C156" s="402"/>
      <c r="D156" s="402"/>
      <c r="E156" s="402"/>
      <c r="F156" s="403"/>
      <c r="G156" s="402"/>
      <c r="H156" s="402"/>
      <c r="I156" s="402"/>
      <c r="J156" s="402"/>
      <c r="K156" s="402"/>
      <c r="L156" s="402"/>
      <c r="M156" s="402"/>
      <c r="N156" s="402"/>
      <c r="O156" s="402"/>
      <c r="P156" s="402"/>
      <c r="Q156" s="402"/>
      <c r="R156" s="402"/>
      <c r="S156" s="402"/>
      <c r="T156" s="402"/>
      <c r="U156" s="402"/>
      <c r="V156" s="402"/>
      <c r="W156" s="402"/>
      <c r="X156" s="402"/>
      <c r="Y156" s="402"/>
      <c r="Z156" s="402"/>
    </row>
    <row r="157" ht="14.25" customHeight="1">
      <c r="A157" s="402"/>
      <c r="B157" s="402"/>
      <c r="C157" s="402"/>
      <c r="D157" s="402"/>
      <c r="E157" s="402"/>
      <c r="F157" s="403"/>
      <c r="G157" s="402"/>
      <c r="H157" s="402"/>
      <c r="I157" s="402"/>
      <c r="J157" s="402"/>
      <c r="K157" s="402"/>
      <c r="L157" s="402"/>
      <c r="M157" s="402"/>
      <c r="N157" s="402"/>
      <c r="O157" s="402"/>
      <c r="P157" s="402"/>
      <c r="Q157" s="402"/>
      <c r="R157" s="402"/>
      <c r="S157" s="402"/>
      <c r="T157" s="402"/>
      <c r="U157" s="402"/>
      <c r="V157" s="402"/>
      <c r="W157" s="402"/>
      <c r="X157" s="402"/>
      <c r="Y157" s="402"/>
      <c r="Z157" s="402"/>
    </row>
    <row r="158" ht="14.25" customHeight="1">
      <c r="A158" s="402"/>
      <c r="B158" s="402"/>
      <c r="C158" s="402"/>
      <c r="D158" s="402"/>
      <c r="E158" s="402"/>
      <c r="F158" s="403"/>
      <c r="G158" s="402"/>
      <c r="H158" s="402"/>
      <c r="I158" s="402"/>
      <c r="J158" s="402"/>
      <c r="K158" s="402"/>
      <c r="L158" s="402"/>
      <c r="M158" s="402"/>
      <c r="N158" s="402"/>
      <c r="O158" s="402"/>
      <c r="P158" s="402"/>
      <c r="Q158" s="402"/>
      <c r="R158" s="402"/>
      <c r="S158" s="402"/>
      <c r="T158" s="402"/>
      <c r="U158" s="402"/>
      <c r="V158" s="402"/>
      <c r="W158" s="402"/>
      <c r="X158" s="402"/>
      <c r="Y158" s="402"/>
      <c r="Z158" s="402"/>
    </row>
    <row r="159" ht="14.25" customHeight="1">
      <c r="A159" s="402"/>
      <c r="B159" s="402"/>
      <c r="C159" s="402"/>
      <c r="D159" s="402"/>
      <c r="E159" s="402"/>
      <c r="F159" s="403"/>
      <c r="G159" s="402"/>
      <c r="H159" s="402"/>
      <c r="I159" s="402"/>
      <c r="J159" s="402"/>
      <c r="K159" s="402"/>
      <c r="L159" s="402"/>
      <c r="M159" s="402"/>
      <c r="N159" s="402"/>
      <c r="O159" s="402"/>
      <c r="P159" s="402"/>
      <c r="Q159" s="402"/>
      <c r="R159" s="402"/>
      <c r="S159" s="402"/>
      <c r="T159" s="402"/>
      <c r="U159" s="402"/>
      <c r="V159" s="402"/>
      <c r="W159" s="402"/>
      <c r="X159" s="402"/>
      <c r="Y159" s="402"/>
      <c r="Z159" s="402"/>
    </row>
    <row r="160" ht="14.25" customHeight="1">
      <c r="A160" s="402"/>
      <c r="B160" s="402"/>
      <c r="C160" s="402"/>
      <c r="D160" s="402"/>
      <c r="E160" s="402"/>
      <c r="F160" s="403"/>
      <c r="G160" s="402"/>
      <c r="H160" s="402"/>
      <c r="I160" s="402"/>
      <c r="J160" s="402"/>
      <c r="K160" s="402"/>
      <c r="L160" s="402"/>
      <c r="M160" s="402"/>
      <c r="N160" s="402"/>
      <c r="O160" s="402"/>
      <c r="P160" s="402"/>
      <c r="Q160" s="402"/>
      <c r="R160" s="402"/>
      <c r="S160" s="402"/>
      <c r="T160" s="402"/>
      <c r="U160" s="402"/>
      <c r="V160" s="402"/>
      <c r="W160" s="402"/>
      <c r="X160" s="402"/>
      <c r="Y160" s="402"/>
      <c r="Z160" s="402"/>
    </row>
    <row r="161" ht="14.25" customHeight="1">
      <c r="A161" s="402"/>
      <c r="B161" s="402"/>
      <c r="C161" s="402"/>
      <c r="D161" s="402"/>
      <c r="E161" s="402"/>
      <c r="F161" s="403"/>
      <c r="G161" s="402"/>
      <c r="H161" s="402"/>
      <c r="I161" s="402"/>
      <c r="J161" s="402"/>
      <c r="K161" s="402"/>
      <c r="L161" s="402"/>
      <c r="M161" s="402"/>
      <c r="N161" s="402"/>
      <c r="O161" s="402"/>
      <c r="P161" s="402"/>
      <c r="Q161" s="402"/>
      <c r="R161" s="402"/>
      <c r="S161" s="402"/>
      <c r="T161" s="402"/>
      <c r="U161" s="402"/>
      <c r="V161" s="402"/>
      <c r="W161" s="402"/>
      <c r="X161" s="402"/>
      <c r="Y161" s="402"/>
      <c r="Z161" s="402"/>
    </row>
    <row r="162" ht="14.25" customHeight="1">
      <c r="A162" s="402"/>
      <c r="B162" s="402"/>
      <c r="C162" s="402"/>
      <c r="D162" s="402"/>
      <c r="E162" s="402"/>
      <c r="F162" s="403"/>
      <c r="G162" s="402"/>
      <c r="H162" s="402"/>
      <c r="I162" s="402"/>
      <c r="J162" s="402"/>
      <c r="K162" s="402"/>
      <c r="L162" s="402"/>
      <c r="M162" s="402"/>
      <c r="N162" s="402"/>
      <c r="O162" s="402"/>
      <c r="P162" s="402"/>
      <c r="Q162" s="402"/>
      <c r="R162" s="402"/>
      <c r="S162" s="402"/>
      <c r="T162" s="402"/>
      <c r="U162" s="402"/>
      <c r="V162" s="402"/>
      <c r="W162" s="402"/>
      <c r="X162" s="402"/>
      <c r="Y162" s="402"/>
      <c r="Z162" s="402"/>
    </row>
    <row r="163" ht="14.25" customHeight="1">
      <c r="A163" s="402"/>
      <c r="B163" s="402"/>
      <c r="C163" s="402"/>
      <c r="D163" s="402"/>
      <c r="E163" s="402"/>
      <c r="F163" s="403"/>
      <c r="G163" s="402"/>
      <c r="H163" s="402"/>
      <c r="I163" s="402"/>
      <c r="J163" s="402"/>
      <c r="K163" s="402"/>
      <c r="L163" s="402"/>
      <c r="M163" s="402"/>
      <c r="N163" s="402"/>
      <c r="O163" s="402"/>
      <c r="P163" s="402"/>
      <c r="Q163" s="402"/>
      <c r="R163" s="402"/>
      <c r="S163" s="402"/>
      <c r="T163" s="402"/>
      <c r="U163" s="402"/>
      <c r="V163" s="402"/>
      <c r="W163" s="402"/>
      <c r="X163" s="402"/>
      <c r="Y163" s="402"/>
      <c r="Z163" s="402"/>
    </row>
    <row r="164" ht="14.25" customHeight="1">
      <c r="A164" s="402"/>
      <c r="B164" s="402"/>
      <c r="C164" s="402"/>
      <c r="D164" s="402"/>
      <c r="E164" s="402"/>
      <c r="F164" s="403"/>
      <c r="G164" s="402"/>
      <c r="H164" s="402"/>
      <c r="I164" s="402"/>
      <c r="J164" s="402"/>
      <c r="K164" s="402"/>
      <c r="L164" s="402"/>
      <c r="M164" s="402"/>
      <c r="N164" s="402"/>
      <c r="O164" s="402"/>
      <c r="P164" s="402"/>
      <c r="Q164" s="402"/>
      <c r="R164" s="402"/>
      <c r="S164" s="402"/>
      <c r="T164" s="402"/>
      <c r="U164" s="402"/>
      <c r="V164" s="402"/>
      <c r="W164" s="402"/>
      <c r="X164" s="402"/>
      <c r="Y164" s="402"/>
      <c r="Z164" s="402"/>
    </row>
    <row r="165" ht="14.25" customHeight="1">
      <c r="A165" s="402"/>
      <c r="B165" s="402"/>
      <c r="C165" s="402"/>
      <c r="D165" s="402"/>
      <c r="E165" s="402"/>
      <c r="F165" s="403"/>
      <c r="G165" s="402"/>
      <c r="H165" s="402"/>
      <c r="I165" s="402"/>
      <c r="J165" s="402"/>
      <c r="K165" s="402"/>
      <c r="L165" s="402"/>
      <c r="M165" s="402"/>
      <c r="N165" s="402"/>
      <c r="O165" s="402"/>
      <c r="P165" s="402"/>
      <c r="Q165" s="402"/>
      <c r="R165" s="402"/>
      <c r="S165" s="402"/>
      <c r="T165" s="402"/>
      <c r="U165" s="402"/>
      <c r="V165" s="402"/>
      <c r="W165" s="402"/>
      <c r="X165" s="402"/>
      <c r="Y165" s="402"/>
      <c r="Z165" s="402"/>
    </row>
    <row r="166" ht="14.25" customHeight="1">
      <c r="A166" s="402"/>
      <c r="B166" s="402"/>
      <c r="C166" s="402"/>
      <c r="D166" s="402"/>
      <c r="E166" s="402"/>
      <c r="F166" s="403"/>
      <c r="G166" s="402"/>
      <c r="H166" s="402"/>
      <c r="I166" s="402"/>
      <c r="J166" s="402"/>
      <c r="K166" s="402"/>
      <c r="L166" s="402"/>
      <c r="M166" s="402"/>
      <c r="N166" s="402"/>
      <c r="O166" s="402"/>
      <c r="P166" s="402"/>
      <c r="Q166" s="402"/>
      <c r="R166" s="402"/>
      <c r="S166" s="402"/>
      <c r="T166" s="402"/>
      <c r="U166" s="402"/>
      <c r="V166" s="402"/>
      <c r="W166" s="402"/>
      <c r="X166" s="402"/>
      <c r="Y166" s="402"/>
      <c r="Z166" s="402"/>
    </row>
    <row r="167" ht="14.25" customHeight="1">
      <c r="A167" s="402"/>
      <c r="B167" s="402"/>
      <c r="C167" s="402"/>
      <c r="D167" s="402"/>
      <c r="E167" s="402"/>
      <c r="F167" s="403"/>
      <c r="G167" s="402"/>
      <c r="H167" s="402"/>
      <c r="I167" s="402"/>
      <c r="J167" s="402"/>
      <c r="K167" s="402"/>
      <c r="L167" s="402"/>
      <c r="M167" s="402"/>
      <c r="N167" s="402"/>
      <c r="O167" s="402"/>
      <c r="P167" s="402"/>
      <c r="Q167" s="402"/>
      <c r="R167" s="402"/>
      <c r="S167" s="402"/>
      <c r="T167" s="402"/>
      <c r="U167" s="402"/>
      <c r="V167" s="402"/>
      <c r="W167" s="402"/>
      <c r="X167" s="402"/>
      <c r="Y167" s="402"/>
      <c r="Z167" s="402"/>
    </row>
    <row r="168" ht="14.25" customHeight="1">
      <c r="A168" s="402"/>
      <c r="B168" s="402"/>
      <c r="C168" s="402"/>
      <c r="D168" s="402"/>
      <c r="E168" s="402"/>
      <c r="F168" s="403"/>
      <c r="G168" s="402"/>
      <c r="H168" s="402"/>
      <c r="I168" s="402"/>
      <c r="J168" s="402"/>
      <c r="K168" s="402"/>
      <c r="L168" s="402"/>
      <c r="M168" s="402"/>
      <c r="N168" s="402"/>
      <c r="O168" s="402"/>
      <c r="P168" s="402"/>
      <c r="Q168" s="402"/>
      <c r="R168" s="402"/>
      <c r="S168" s="402"/>
      <c r="T168" s="402"/>
      <c r="U168" s="402"/>
      <c r="V168" s="402"/>
      <c r="W168" s="402"/>
      <c r="X168" s="402"/>
      <c r="Y168" s="402"/>
      <c r="Z168" s="402"/>
    </row>
    <row r="169" ht="14.25" customHeight="1">
      <c r="A169" s="402"/>
      <c r="B169" s="402"/>
      <c r="C169" s="402"/>
      <c r="D169" s="402"/>
      <c r="E169" s="402"/>
      <c r="F169" s="403"/>
      <c r="G169" s="402"/>
      <c r="H169" s="402"/>
      <c r="I169" s="402"/>
      <c r="J169" s="402"/>
      <c r="K169" s="402"/>
      <c r="L169" s="402"/>
      <c r="M169" s="402"/>
      <c r="N169" s="402"/>
      <c r="O169" s="402"/>
      <c r="P169" s="402"/>
      <c r="Q169" s="402"/>
      <c r="R169" s="402"/>
      <c r="S169" s="402"/>
      <c r="T169" s="402"/>
      <c r="U169" s="402"/>
      <c r="V169" s="402"/>
      <c r="W169" s="402"/>
      <c r="X169" s="402"/>
      <c r="Y169" s="402"/>
      <c r="Z169" s="402"/>
    </row>
    <row r="170" ht="14.25" customHeight="1">
      <c r="A170" s="402"/>
      <c r="B170" s="402"/>
      <c r="C170" s="402"/>
      <c r="D170" s="402"/>
      <c r="E170" s="402"/>
      <c r="F170" s="403"/>
      <c r="G170" s="402"/>
      <c r="H170" s="402"/>
      <c r="I170" s="402"/>
      <c r="J170" s="402"/>
      <c r="K170" s="402"/>
      <c r="L170" s="402"/>
      <c r="M170" s="402"/>
      <c r="N170" s="402"/>
      <c r="O170" s="402"/>
      <c r="P170" s="402"/>
      <c r="Q170" s="402"/>
      <c r="R170" s="402"/>
      <c r="S170" s="402"/>
      <c r="T170" s="402"/>
      <c r="U170" s="402"/>
      <c r="V170" s="402"/>
      <c r="W170" s="402"/>
      <c r="X170" s="402"/>
      <c r="Y170" s="402"/>
      <c r="Z170" s="402"/>
    </row>
    <row r="171" ht="14.25" customHeight="1">
      <c r="A171" s="402"/>
      <c r="B171" s="402"/>
      <c r="C171" s="402"/>
      <c r="D171" s="402"/>
      <c r="E171" s="402"/>
      <c r="F171" s="403"/>
      <c r="G171" s="402"/>
      <c r="H171" s="402"/>
      <c r="I171" s="402"/>
      <c r="J171" s="402"/>
      <c r="K171" s="402"/>
      <c r="L171" s="402"/>
      <c r="M171" s="402"/>
      <c r="N171" s="402"/>
      <c r="O171" s="402"/>
      <c r="P171" s="402"/>
      <c r="Q171" s="402"/>
      <c r="R171" s="402"/>
      <c r="S171" s="402"/>
      <c r="T171" s="402"/>
      <c r="U171" s="402"/>
      <c r="V171" s="402"/>
      <c r="W171" s="402"/>
      <c r="X171" s="402"/>
      <c r="Y171" s="402"/>
      <c r="Z171" s="402"/>
    </row>
    <row r="172" ht="14.25" customHeight="1">
      <c r="A172" s="402"/>
      <c r="B172" s="402"/>
      <c r="C172" s="402"/>
      <c r="D172" s="402"/>
      <c r="E172" s="402"/>
      <c r="F172" s="403"/>
      <c r="G172" s="402"/>
      <c r="H172" s="402"/>
      <c r="I172" s="402"/>
      <c r="J172" s="402"/>
      <c r="K172" s="402"/>
      <c r="L172" s="402"/>
      <c r="M172" s="402"/>
      <c r="N172" s="402"/>
      <c r="O172" s="402"/>
      <c r="P172" s="402"/>
      <c r="Q172" s="402"/>
      <c r="R172" s="402"/>
      <c r="S172" s="402"/>
      <c r="T172" s="402"/>
      <c r="U172" s="402"/>
      <c r="V172" s="402"/>
      <c r="W172" s="402"/>
      <c r="X172" s="402"/>
      <c r="Y172" s="402"/>
      <c r="Z172" s="402"/>
    </row>
    <row r="173" ht="14.25" customHeight="1">
      <c r="A173" s="402"/>
      <c r="B173" s="402"/>
      <c r="C173" s="402"/>
      <c r="D173" s="402"/>
      <c r="E173" s="402"/>
      <c r="F173" s="403"/>
      <c r="G173" s="402"/>
      <c r="H173" s="402"/>
      <c r="I173" s="402"/>
      <c r="J173" s="402"/>
      <c r="K173" s="402"/>
      <c r="L173" s="402"/>
      <c r="M173" s="402"/>
      <c r="N173" s="402"/>
      <c r="O173" s="402"/>
      <c r="P173" s="402"/>
      <c r="Q173" s="402"/>
      <c r="R173" s="402"/>
      <c r="S173" s="402"/>
      <c r="T173" s="402"/>
      <c r="U173" s="402"/>
      <c r="V173" s="402"/>
      <c r="W173" s="402"/>
      <c r="X173" s="402"/>
      <c r="Y173" s="402"/>
      <c r="Z173" s="402"/>
    </row>
    <row r="174" ht="14.25" customHeight="1">
      <c r="A174" s="402"/>
      <c r="B174" s="402"/>
      <c r="C174" s="402"/>
      <c r="D174" s="402"/>
      <c r="E174" s="402"/>
      <c r="F174" s="403"/>
      <c r="G174" s="402"/>
      <c r="H174" s="402"/>
      <c r="I174" s="402"/>
      <c r="J174" s="402"/>
      <c r="K174" s="402"/>
      <c r="L174" s="402"/>
      <c r="M174" s="402"/>
      <c r="N174" s="402"/>
      <c r="O174" s="402"/>
      <c r="P174" s="402"/>
      <c r="Q174" s="402"/>
      <c r="R174" s="402"/>
      <c r="S174" s="402"/>
      <c r="T174" s="402"/>
      <c r="U174" s="402"/>
      <c r="V174" s="402"/>
      <c r="W174" s="402"/>
      <c r="X174" s="402"/>
      <c r="Y174" s="402"/>
      <c r="Z174" s="402"/>
    </row>
    <row r="175" ht="14.25" customHeight="1">
      <c r="A175" s="402"/>
      <c r="B175" s="402"/>
      <c r="C175" s="402"/>
      <c r="D175" s="402"/>
      <c r="E175" s="402"/>
      <c r="F175" s="403"/>
      <c r="G175" s="402"/>
      <c r="H175" s="402"/>
      <c r="I175" s="402"/>
      <c r="J175" s="402"/>
      <c r="K175" s="402"/>
      <c r="L175" s="402"/>
      <c r="M175" s="402"/>
      <c r="N175" s="402"/>
      <c r="O175" s="402"/>
      <c r="P175" s="402"/>
      <c r="Q175" s="402"/>
      <c r="R175" s="402"/>
      <c r="S175" s="402"/>
      <c r="T175" s="402"/>
      <c r="U175" s="402"/>
      <c r="V175" s="402"/>
      <c r="W175" s="402"/>
      <c r="X175" s="402"/>
      <c r="Y175" s="402"/>
      <c r="Z175" s="402"/>
    </row>
    <row r="176" ht="14.25" customHeight="1">
      <c r="A176" s="402"/>
      <c r="B176" s="402"/>
      <c r="C176" s="402"/>
      <c r="D176" s="402"/>
      <c r="E176" s="402"/>
      <c r="F176" s="403"/>
      <c r="G176" s="402"/>
      <c r="H176" s="402"/>
      <c r="I176" s="402"/>
      <c r="J176" s="402"/>
      <c r="K176" s="402"/>
      <c r="L176" s="402"/>
      <c r="M176" s="402"/>
      <c r="N176" s="402"/>
      <c r="O176" s="402"/>
      <c r="P176" s="402"/>
      <c r="Q176" s="402"/>
      <c r="R176" s="402"/>
      <c r="S176" s="402"/>
      <c r="T176" s="402"/>
      <c r="U176" s="402"/>
      <c r="V176" s="402"/>
      <c r="W176" s="402"/>
      <c r="X176" s="402"/>
      <c r="Y176" s="402"/>
      <c r="Z176" s="402"/>
    </row>
    <row r="177" ht="14.25" customHeight="1">
      <c r="A177" s="402"/>
      <c r="B177" s="402"/>
      <c r="C177" s="402"/>
      <c r="D177" s="402"/>
      <c r="E177" s="402"/>
      <c r="F177" s="403"/>
      <c r="G177" s="402"/>
      <c r="H177" s="402"/>
      <c r="I177" s="402"/>
      <c r="J177" s="402"/>
      <c r="K177" s="402"/>
      <c r="L177" s="402"/>
      <c r="M177" s="402"/>
      <c r="N177" s="402"/>
      <c r="O177" s="402"/>
      <c r="P177" s="402"/>
      <c r="Q177" s="402"/>
      <c r="R177" s="402"/>
      <c r="S177" s="402"/>
      <c r="T177" s="402"/>
      <c r="U177" s="402"/>
      <c r="V177" s="402"/>
      <c r="W177" s="402"/>
      <c r="X177" s="402"/>
      <c r="Y177" s="402"/>
      <c r="Z177" s="402"/>
    </row>
    <row r="178" ht="14.25" customHeight="1">
      <c r="A178" s="402"/>
      <c r="B178" s="402"/>
      <c r="C178" s="402"/>
      <c r="D178" s="402"/>
      <c r="E178" s="402"/>
      <c r="F178" s="403"/>
      <c r="G178" s="402"/>
      <c r="H178" s="402"/>
      <c r="I178" s="402"/>
      <c r="J178" s="402"/>
      <c r="K178" s="402"/>
      <c r="L178" s="402"/>
      <c r="M178" s="402"/>
      <c r="N178" s="402"/>
      <c r="O178" s="402"/>
      <c r="P178" s="402"/>
      <c r="Q178" s="402"/>
      <c r="R178" s="402"/>
      <c r="S178" s="402"/>
      <c r="T178" s="402"/>
      <c r="U178" s="402"/>
      <c r="V178" s="402"/>
      <c r="W178" s="402"/>
      <c r="X178" s="402"/>
      <c r="Y178" s="402"/>
      <c r="Z178" s="402"/>
    </row>
    <row r="179" ht="14.25" customHeight="1">
      <c r="A179" s="402"/>
      <c r="B179" s="402"/>
      <c r="C179" s="402"/>
      <c r="D179" s="402"/>
      <c r="E179" s="402"/>
      <c r="F179" s="403"/>
      <c r="G179" s="402"/>
      <c r="H179" s="402"/>
      <c r="I179" s="402"/>
      <c r="J179" s="402"/>
      <c r="K179" s="402"/>
      <c r="L179" s="402"/>
      <c r="M179" s="402"/>
      <c r="N179" s="402"/>
      <c r="O179" s="402"/>
      <c r="P179" s="402"/>
      <c r="Q179" s="402"/>
      <c r="R179" s="402"/>
      <c r="S179" s="402"/>
      <c r="T179" s="402"/>
      <c r="U179" s="402"/>
      <c r="V179" s="402"/>
      <c r="W179" s="402"/>
      <c r="X179" s="402"/>
      <c r="Y179" s="402"/>
      <c r="Z179" s="402"/>
    </row>
    <row r="180" ht="14.25" customHeight="1">
      <c r="A180" s="402"/>
      <c r="B180" s="402"/>
      <c r="C180" s="402"/>
      <c r="D180" s="402"/>
      <c r="E180" s="402"/>
      <c r="F180" s="403"/>
      <c r="G180" s="402"/>
      <c r="H180" s="402"/>
      <c r="I180" s="402"/>
      <c r="J180" s="402"/>
      <c r="K180" s="402"/>
      <c r="L180" s="402"/>
      <c r="M180" s="402"/>
      <c r="N180" s="402"/>
      <c r="O180" s="402"/>
      <c r="P180" s="402"/>
      <c r="Q180" s="402"/>
      <c r="R180" s="402"/>
      <c r="S180" s="402"/>
      <c r="T180" s="402"/>
      <c r="U180" s="402"/>
      <c r="V180" s="402"/>
      <c r="W180" s="402"/>
      <c r="X180" s="402"/>
      <c r="Y180" s="402"/>
      <c r="Z180" s="402"/>
    </row>
    <row r="181" ht="14.25" customHeight="1">
      <c r="A181" s="402"/>
      <c r="B181" s="402"/>
      <c r="C181" s="402"/>
      <c r="D181" s="402"/>
      <c r="E181" s="402"/>
      <c r="F181" s="403"/>
      <c r="G181" s="402"/>
      <c r="H181" s="402"/>
      <c r="I181" s="402"/>
      <c r="J181" s="402"/>
      <c r="K181" s="402"/>
      <c r="L181" s="402"/>
      <c r="M181" s="402"/>
      <c r="N181" s="402"/>
      <c r="O181" s="402"/>
      <c r="P181" s="402"/>
      <c r="Q181" s="402"/>
      <c r="R181" s="402"/>
      <c r="S181" s="402"/>
      <c r="T181" s="402"/>
      <c r="U181" s="402"/>
      <c r="V181" s="402"/>
      <c r="W181" s="402"/>
      <c r="X181" s="402"/>
      <c r="Y181" s="402"/>
      <c r="Z181" s="402"/>
    </row>
    <row r="182" ht="14.25" customHeight="1">
      <c r="A182" s="402"/>
      <c r="B182" s="402"/>
      <c r="C182" s="402"/>
      <c r="D182" s="402"/>
      <c r="E182" s="402"/>
      <c r="F182" s="403"/>
      <c r="G182" s="402"/>
      <c r="H182" s="402"/>
      <c r="I182" s="402"/>
      <c r="J182" s="402"/>
      <c r="K182" s="402"/>
      <c r="L182" s="402"/>
      <c r="M182" s="402"/>
      <c r="N182" s="402"/>
      <c r="O182" s="402"/>
      <c r="P182" s="402"/>
      <c r="Q182" s="402"/>
      <c r="R182" s="402"/>
      <c r="S182" s="402"/>
      <c r="T182" s="402"/>
      <c r="U182" s="402"/>
      <c r="V182" s="402"/>
      <c r="W182" s="402"/>
      <c r="X182" s="402"/>
      <c r="Y182" s="402"/>
      <c r="Z182" s="402"/>
    </row>
    <row r="183" ht="14.25" customHeight="1">
      <c r="A183" s="402"/>
      <c r="B183" s="402"/>
      <c r="C183" s="402"/>
      <c r="D183" s="402"/>
      <c r="E183" s="402"/>
      <c r="F183" s="403"/>
      <c r="G183" s="402"/>
      <c r="H183" s="402"/>
      <c r="I183" s="402"/>
      <c r="J183" s="402"/>
      <c r="K183" s="402"/>
      <c r="L183" s="402"/>
      <c r="M183" s="402"/>
      <c r="N183" s="402"/>
      <c r="O183" s="402"/>
      <c r="P183" s="402"/>
      <c r="Q183" s="402"/>
      <c r="R183" s="402"/>
      <c r="S183" s="402"/>
      <c r="T183" s="402"/>
      <c r="U183" s="402"/>
      <c r="V183" s="402"/>
      <c r="W183" s="402"/>
      <c r="X183" s="402"/>
      <c r="Y183" s="402"/>
      <c r="Z183" s="402"/>
    </row>
    <row r="184" ht="14.25" customHeight="1">
      <c r="A184" s="402"/>
      <c r="B184" s="402"/>
      <c r="C184" s="402"/>
      <c r="D184" s="402"/>
      <c r="E184" s="402"/>
      <c r="F184" s="403"/>
      <c r="G184" s="402"/>
      <c r="H184" s="402"/>
      <c r="I184" s="402"/>
      <c r="J184" s="402"/>
      <c r="K184" s="402"/>
      <c r="L184" s="402"/>
      <c r="M184" s="402"/>
      <c r="N184" s="402"/>
      <c r="O184" s="402"/>
      <c r="P184" s="402"/>
      <c r="Q184" s="402"/>
      <c r="R184" s="402"/>
      <c r="S184" s="402"/>
      <c r="T184" s="402"/>
      <c r="U184" s="402"/>
      <c r="V184" s="402"/>
      <c r="W184" s="402"/>
      <c r="X184" s="402"/>
      <c r="Y184" s="402"/>
      <c r="Z184" s="402"/>
    </row>
    <row r="185" ht="14.25" customHeight="1">
      <c r="A185" s="402"/>
      <c r="B185" s="402"/>
      <c r="C185" s="402"/>
      <c r="D185" s="402"/>
      <c r="E185" s="402"/>
      <c r="F185" s="403"/>
      <c r="G185" s="402"/>
      <c r="H185" s="402"/>
      <c r="I185" s="402"/>
      <c r="J185" s="402"/>
      <c r="K185" s="402"/>
      <c r="L185" s="402"/>
      <c r="M185" s="402"/>
      <c r="N185" s="402"/>
      <c r="O185" s="402"/>
      <c r="P185" s="402"/>
      <c r="Q185" s="402"/>
      <c r="R185" s="402"/>
      <c r="S185" s="402"/>
      <c r="T185" s="402"/>
      <c r="U185" s="402"/>
      <c r="V185" s="402"/>
      <c r="W185" s="402"/>
      <c r="X185" s="402"/>
      <c r="Y185" s="402"/>
      <c r="Z185" s="402"/>
    </row>
    <row r="186" ht="14.25" customHeight="1">
      <c r="A186" s="402"/>
      <c r="B186" s="402"/>
      <c r="C186" s="402"/>
      <c r="D186" s="402"/>
      <c r="E186" s="402"/>
      <c r="F186" s="403"/>
      <c r="G186" s="402"/>
      <c r="H186" s="402"/>
      <c r="I186" s="402"/>
      <c r="J186" s="402"/>
      <c r="K186" s="402"/>
      <c r="L186" s="402"/>
      <c r="M186" s="402"/>
      <c r="N186" s="402"/>
      <c r="O186" s="402"/>
      <c r="P186" s="402"/>
      <c r="Q186" s="402"/>
      <c r="R186" s="402"/>
      <c r="S186" s="402"/>
      <c r="T186" s="402"/>
      <c r="U186" s="402"/>
      <c r="V186" s="402"/>
      <c r="W186" s="402"/>
      <c r="X186" s="402"/>
      <c r="Y186" s="402"/>
      <c r="Z186" s="402"/>
    </row>
    <row r="187" ht="14.25" customHeight="1">
      <c r="A187" s="402"/>
      <c r="B187" s="402"/>
      <c r="C187" s="402"/>
      <c r="D187" s="402"/>
      <c r="E187" s="402"/>
      <c r="F187" s="403"/>
      <c r="G187" s="402"/>
      <c r="H187" s="402"/>
      <c r="I187" s="402"/>
      <c r="J187" s="402"/>
      <c r="K187" s="402"/>
      <c r="L187" s="402"/>
      <c r="M187" s="402"/>
      <c r="N187" s="402"/>
      <c r="O187" s="402"/>
      <c r="P187" s="402"/>
      <c r="Q187" s="402"/>
      <c r="R187" s="402"/>
      <c r="S187" s="402"/>
      <c r="T187" s="402"/>
      <c r="U187" s="402"/>
      <c r="V187" s="402"/>
      <c r="W187" s="402"/>
      <c r="X187" s="402"/>
      <c r="Y187" s="402"/>
      <c r="Z187" s="402"/>
    </row>
    <row r="188" ht="14.25" customHeight="1">
      <c r="A188" s="402"/>
      <c r="B188" s="402"/>
      <c r="C188" s="402"/>
      <c r="D188" s="402"/>
      <c r="E188" s="402"/>
      <c r="F188" s="403"/>
      <c r="G188" s="402"/>
      <c r="H188" s="402"/>
      <c r="I188" s="402"/>
      <c r="J188" s="402"/>
      <c r="K188" s="402"/>
      <c r="L188" s="402"/>
      <c r="M188" s="402"/>
      <c r="N188" s="402"/>
      <c r="O188" s="402"/>
      <c r="P188" s="402"/>
      <c r="Q188" s="402"/>
      <c r="R188" s="402"/>
      <c r="S188" s="402"/>
      <c r="T188" s="402"/>
      <c r="U188" s="402"/>
      <c r="V188" s="402"/>
      <c r="W188" s="402"/>
      <c r="X188" s="402"/>
      <c r="Y188" s="402"/>
      <c r="Z188" s="402"/>
    </row>
    <row r="189" ht="14.25" customHeight="1">
      <c r="A189" s="402"/>
      <c r="B189" s="402"/>
      <c r="C189" s="402"/>
      <c r="D189" s="402"/>
      <c r="E189" s="402"/>
      <c r="F189" s="403"/>
      <c r="G189" s="402"/>
      <c r="H189" s="402"/>
      <c r="I189" s="402"/>
      <c r="J189" s="402"/>
      <c r="K189" s="402"/>
      <c r="L189" s="402"/>
      <c r="M189" s="402"/>
      <c r="N189" s="402"/>
      <c r="O189" s="402"/>
      <c r="P189" s="402"/>
      <c r="Q189" s="402"/>
      <c r="R189" s="402"/>
      <c r="S189" s="402"/>
      <c r="T189" s="402"/>
      <c r="U189" s="402"/>
      <c r="V189" s="402"/>
      <c r="W189" s="402"/>
      <c r="X189" s="402"/>
      <c r="Y189" s="402"/>
      <c r="Z189" s="402"/>
    </row>
    <row r="190" ht="14.25" customHeight="1">
      <c r="A190" s="402"/>
      <c r="B190" s="402"/>
      <c r="C190" s="402"/>
      <c r="D190" s="402"/>
      <c r="E190" s="402"/>
      <c r="F190" s="403"/>
      <c r="G190" s="402"/>
      <c r="H190" s="402"/>
      <c r="I190" s="402"/>
      <c r="J190" s="402"/>
      <c r="K190" s="402"/>
      <c r="L190" s="402"/>
      <c r="M190" s="402"/>
      <c r="N190" s="402"/>
      <c r="O190" s="402"/>
      <c r="P190" s="402"/>
      <c r="Q190" s="402"/>
      <c r="R190" s="402"/>
      <c r="S190" s="402"/>
      <c r="T190" s="402"/>
      <c r="U190" s="402"/>
      <c r="V190" s="402"/>
      <c r="W190" s="402"/>
      <c r="X190" s="402"/>
      <c r="Y190" s="402"/>
      <c r="Z190" s="402"/>
    </row>
    <row r="191" ht="14.25" customHeight="1">
      <c r="A191" s="402"/>
      <c r="B191" s="402"/>
      <c r="C191" s="402"/>
      <c r="D191" s="402"/>
      <c r="E191" s="402"/>
      <c r="F191" s="403"/>
      <c r="G191" s="402"/>
      <c r="H191" s="402"/>
      <c r="I191" s="402"/>
      <c r="J191" s="402"/>
      <c r="K191" s="402"/>
      <c r="L191" s="402"/>
      <c r="M191" s="402"/>
      <c r="N191" s="402"/>
      <c r="O191" s="402"/>
      <c r="P191" s="402"/>
      <c r="Q191" s="402"/>
      <c r="R191" s="402"/>
      <c r="S191" s="402"/>
      <c r="T191" s="402"/>
      <c r="U191" s="402"/>
      <c r="V191" s="402"/>
      <c r="W191" s="402"/>
      <c r="X191" s="402"/>
      <c r="Y191" s="402"/>
      <c r="Z191" s="402"/>
    </row>
    <row r="192" ht="14.25" customHeight="1">
      <c r="A192" s="402"/>
      <c r="B192" s="402"/>
      <c r="C192" s="402"/>
      <c r="D192" s="402"/>
      <c r="E192" s="402"/>
      <c r="F192" s="403"/>
      <c r="G192" s="402"/>
      <c r="H192" s="402"/>
      <c r="I192" s="402"/>
      <c r="J192" s="402"/>
      <c r="K192" s="402"/>
      <c r="L192" s="402"/>
      <c r="M192" s="402"/>
      <c r="N192" s="402"/>
      <c r="O192" s="402"/>
      <c r="P192" s="402"/>
      <c r="Q192" s="402"/>
      <c r="R192" s="402"/>
      <c r="S192" s="402"/>
      <c r="T192" s="402"/>
      <c r="U192" s="402"/>
      <c r="V192" s="402"/>
      <c r="W192" s="402"/>
      <c r="X192" s="402"/>
      <c r="Y192" s="402"/>
      <c r="Z192" s="402"/>
    </row>
    <row r="193" ht="14.25" customHeight="1">
      <c r="A193" s="402"/>
      <c r="B193" s="402"/>
      <c r="C193" s="402"/>
      <c r="D193" s="402"/>
      <c r="E193" s="402"/>
      <c r="F193" s="403"/>
      <c r="G193" s="402"/>
      <c r="H193" s="402"/>
      <c r="I193" s="402"/>
      <c r="J193" s="402"/>
      <c r="K193" s="402"/>
      <c r="L193" s="402"/>
      <c r="M193" s="402"/>
      <c r="N193" s="402"/>
      <c r="O193" s="402"/>
      <c r="P193" s="402"/>
      <c r="Q193" s="402"/>
      <c r="R193" s="402"/>
      <c r="S193" s="402"/>
      <c r="T193" s="402"/>
      <c r="U193" s="402"/>
      <c r="V193" s="402"/>
      <c r="W193" s="402"/>
      <c r="X193" s="402"/>
      <c r="Y193" s="402"/>
      <c r="Z193" s="402"/>
    </row>
    <row r="194" ht="14.25" customHeight="1">
      <c r="A194" s="402"/>
      <c r="B194" s="402"/>
      <c r="C194" s="402"/>
      <c r="D194" s="402"/>
      <c r="E194" s="402"/>
      <c r="F194" s="403"/>
      <c r="G194" s="402"/>
      <c r="H194" s="402"/>
      <c r="I194" s="402"/>
      <c r="J194" s="402"/>
      <c r="K194" s="402"/>
      <c r="L194" s="402"/>
      <c r="M194" s="402"/>
      <c r="N194" s="402"/>
      <c r="O194" s="402"/>
      <c r="P194" s="402"/>
      <c r="Q194" s="402"/>
      <c r="R194" s="402"/>
      <c r="S194" s="402"/>
      <c r="T194" s="402"/>
      <c r="U194" s="402"/>
      <c r="V194" s="402"/>
      <c r="W194" s="402"/>
      <c r="X194" s="402"/>
      <c r="Y194" s="402"/>
      <c r="Z194" s="402"/>
    </row>
    <row r="195" ht="14.25" customHeight="1">
      <c r="A195" s="402"/>
      <c r="B195" s="402"/>
      <c r="C195" s="402"/>
      <c r="D195" s="402"/>
      <c r="E195" s="402"/>
      <c r="F195" s="403"/>
      <c r="G195" s="402"/>
      <c r="H195" s="402"/>
      <c r="I195" s="402"/>
      <c r="J195" s="402"/>
      <c r="K195" s="402"/>
      <c r="L195" s="402"/>
      <c r="M195" s="402"/>
      <c r="N195" s="402"/>
      <c r="O195" s="402"/>
      <c r="P195" s="402"/>
      <c r="Q195" s="402"/>
      <c r="R195" s="402"/>
      <c r="S195" s="402"/>
      <c r="T195" s="402"/>
      <c r="U195" s="402"/>
      <c r="V195" s="402"/>
      <c r="W195" s="402"/>
      <c r="X195" s="402"/>
      <c r="Y195" s="402"/>
      <c r="Z195" s="402"/>
    </row>
    <row r="196" ht="14.25" customHeight="1">
      <c r="A196" s="402"/>
      <c r="B196" s="402"/>
      <c r="C196" s="402"/>
      <c r="D196" s="402"/>
      <c r="E196" s="402"/>
      <c r="F196" s="403"/>
      <c r="G196" s="402"/>
      <c r="H196" s="402"/>
      <c r="I196" s="402"/>
      <c r="J196" s="402"/>
      <c r="K196" s="402"/>
      <c r="L196" s="402"/>
      <c r="M196" s="402"/>
      <c r="N196" s="402"/>
      <c r="O196" s="402"/>
      <c r="P196" s="402"/>
      <c r="Q196" s="402"/>
      <c r="R196" s="402"/>
      <c r="S196" s="402"/>
      <c r="T196" s="402"/>
      <c r="U196" s="402"/>
      <c r="V196" s="402"/>
      <c r="W196" s="402"/>
      <c r="X196" s="402"/>
      <c r="Y196" s="402"/>
      <c r="Z196" s="402"/>
    </row>
    <row r="197" ht="14.25" customHeight="1">
      <c r="A197" s="402"/>
      <c r="B197" s="402"/>
      <c r="C197" s="402"/>
      <c r="D197" s="402"/>
      <c r="E197" s="402"/>
      <c r="F197" s="403"/>
      <c r="G197" s="402"/>
      <c r="H197" s="402"/>
      <c r="I197" s="402"/>
      <c r="J197" s="402"/>
      <c r="K197" s="402"/>
      <c r="L197" s="402"/>
      <c r="M197" s="402"/>
      <c r="N197" s="402"/>
      <c r="O197" s="402"/>
      <c r="P197" s="402"/>
      <c r="Q197" s="402"/>
      <c r="R197" s="402"/>
      <c r="S197" s="402"/>
      <c r="T197" s="402"/>
      <c r="U197" s="402"/>
      <c r="V197" s="402"/>
      <c r="W197" s="402"/>
      <c r="X197" s="402"/>
      <c r="Y197" s="402"/>
      <c r="Z197" s="402"/>
    </row>
    <row r="198" ht="14.25" customHeight="1">
      <c r="A198" s="402"/>
      <c r="B198" s="402"/>
      <c r="C198" s="402"/>
      <c r="D198" s="402"/>
      <c r="E198" s="402"/>
      <c r="F198" s="403"/>
      <c r="G198" s="402"/>
      <c r="H198" s="402"/>
      <c r="I198" s="402"/>
      <c r="J198" s="402"/>
      <c r="K198" s="402"/>
      <c r="L198" s="402"/>
      <c r="M198" s="402"/>
      <c r="N198" s="402"/>
      <c r="O198" s="402"/>
      <c r="P198" s="402"/>
      <c r="Q198" s="402"/>
      <c r="R198" s="402"/>
      <c r="S198" s="402"/>
      <c r="T198" s="402"/>
      <c r="U198" s="402"/>
      <c r="V198" s="402"/>
      <c r="W198" s="402"/>
      <c r="X198" s="402"/>
      <c r="Y198" s="402"/>
      <c r="Z198" s="402"/>
    </row>
    <row r="199" ht="14.25" customHeight="1">
      <c r="A199" s="402"/>
      <c r="B199" s="402"/>
      <c r="C199" s="402"/>
      <c r="D199" s="402"/>
      <c r="E199" s="402"/>
      <c r="F199" s="403"/>
      <c r="G199" s="402"/>
      <c r="H199" s="402"/>
      <c r="I199" s="402"/>
      <c r="J199" s="402"/>
      <c r="K199" s="402"/>
      <c r="L199" s="402"/>
      <c r="M199" s="402"/>
      <c r="N199" s="402"/>
      <c r="O199" s="402"/>
      <c r="P199" s="402"/>
      <c r="Q199" s="402"/>
      <c r="R199" s="402"/>
      <c r="S199" s="402"/>
      <c r="T199" s="402"/>
      <c r="U199" s="402"/>
      <c r="V199" s="402"/>
      <c r="W199" s="402"/>
      <c r="X199" s="402"/>
      <c r="Y199" s="402"/>
      <c r="Z199" s="402"/>
    </row>
    <row r="200" ht="14.25" customHeight="1">
      <c r="A200" s="402"/>
      <c r="B200" s="402"/>
      <c r="C200" s="402"/>
      <c r="D200" s="402"/>
      <c r="E200" s="402"/>
      <c r="F200" s="403"/>
      <c r="G200" s="402"/>
      <c r="H200" s="402"/>
      <c r="I200" s="402"/>
      <c r="J200" s="402"/>
      <c r="K200" s="402"/>
      <c r="L200" s="402"/>
      <c r="M200" s="402"/>
      <c r="N200" s="402"/>
      <c r="O200" s="402"/>
      <c r="P200" s="402"/>
      <c r="Q200" s="402"/>
      <c r="R200" s="402"/>
      <c r="S200" s="402"/>
      <c r="T200" s="402"/>
      <c r="U200" s="402"/>
      <c r="V200" s="402"/>
      <c r="W200" s="402"/>
      <c r="X200" s="402"/>
      <c r="Y200" s="402"/>
      <c r="Z200" s="402"/>
    </row>
    <row r="201" ht="14.25" customHeight="1">
      <c r="A201" s="402"/>
      <c r="B201" s="402"/>
      <c r="C201" s="402"/>
      <c r="D201" s="402"/>
      <c r="E201" s="402"/>
      <c r="F201" s="403"/>
      <c r="G201" s="402"/>
      <c r="H201" s="402"/>
      <c r="I201" s="402"/>
      <c r="J201" s="402"/>
      <c r="K201" s="402"/>
      <c r="L201" s="402"/>
      <c r="M201" s="402"/>
      <c r="N201" s="402"/>
      <c r="O201" s="402"/>
      <c r="P201" s="402"/>
      <c r="Q201" s="402"/>
      <c r="R201" s="402"/>
      <c r="S201" s="402"/>
      <c r="T201" s="402"/>
      <c r="U201" s="402"/>
      <c r="V201" s="402"/>
      <c r="W201" s="402"/>
      <c r="X201" s="402"/>
      <c r="Y201" s="402"/>
      <c r="Z201" s="402"/>
    </row>
    <row r="202" ht="14.25" customHeight="1">
      <c r="A202" s="402"/>
      <c r="B202" s="402"/>
      <c r="C202" s="402"/>
      <c r="D202" s="402"/>
      <c r="E202" s="402"/>
      <c r="F202" s="403"/>
      <c r="G202" s="402"/>
      <c r="H202" s="402"/>
      <c r="I202" s="402"/>
      <c r="J202" s="402"/>
      <c r="K202" s="402"/>
      <c r="L202" s="402"/>
      <c r="M202" s="402"/>
      <c r="N202" s="402"/>
      <c r="O202" s="402"/>
      <c r="P202" s="402"/>
      <c r="Q202" s="402"/>
      <c r="R202" s="402"/>
      <c r="S202" s="402"/>
      <c r="T202" s="402"/>
      <c r="U202" s="402"/>
      <c r="V202" s="402"/>
      <c r="W202" s="402"/>
      <c r="X202" s="402"/>
      <c r="Y202" s="402"/>
      <c r="Z202" s="402"/>
    </row>
    <row r="203" ht="14.25" customHeight="1">
      <c r="A203" s="402"/>
      <c r="B203" s="402"/>
      <c r="C203" s="402"/>
      <c r="D203" s="402"/>
      <c r="E203" s="402"/>
      <c r="F203" s="403"/>
      <c r="G203" s="402"/>
      <c r="H203" s="402"/>
      <c r="I203" s="402"/>
      <c r="J203" s="402"/>
      <c r="K203" s="402"/>
      <c r="L203" s="402"/>
      <c r="M203" s="402"/>
      <c r="N203" s="402"/>
      <c r="O203" s="402"/>
      <c r="P203" s="402"/>
      <c r="Q203" s="402"/>
      <c r="R203" s="402"/>
      <c r="S203" s="402"/>
      <c r="T203" s="402"/>
      <c r="U203" s="402"/>
      <c r="V203" s="402"/>
      <c r="W203" s="402"/>
      <c r="X203" s="402"/>
      <c r="Y203" s="402"/>
      <c r="Z203" s="402"/>
    </row>
    <row r="204" ht="14.25" customHeight="1">
      <c r="A204" s="402"/>
      <c r="B204" s="402"/>
      <c r="C204" s="402"/>
      <c r="D204" s="402"/>
      <c r="E204" s="402"/>
      <c r="F204" s="403"/>
      <c r="G204" s="402"/>
      <c r="H204" s="402"/>
      <c r="I204" s="402"/>
      <c r="J204" s="402"/>
      <c r="K204" s="402"/>
      <c r="L204" s="402"/>
      <c r="M204" s="402"/>
      <c r="N204" s="402"/>
      <c r="O204" s="402"/>
      <c r="P204" s="402"/>
      <c r="Q204" s="402"/>
      <c r="R204" s="402"/>
      <c r="S204" s="402"/>
      <c r="T204" s="402"/>
      <c r="U204" s="402"/>
      <c r="V204" s="402"/>
      <c r="W204" s="402"/>
      <c r="X204" s="402"/>
      <c r="Y204" s="402"/>
      <c r="Z204" s="402"/>
    </row>
    <row r="205" ht="14.25" customHeight="1">
      <c r="A205" s="402"/>
      <c r="B205" s="402"/>
      <c r="C205" s="402"/>
      <c r="D205" s="402"/>
      <c r="E205" s="402"/>
      <c r="F205" s="403"/>
      <c r="G205" s="402"/>
      <c r="H205" s="402"/>
      <c r="I205" s="402"/>
      <c r="J205" s="402"/>
      <c r="K205" s="402"/>
      <c r="L205" s="402"/>
      <c r="M205" s="402"/>
      <c r="N205" s="402"/>
      <c r="O205" s="402"/>
      <c r="P205" s="402"/>
      <c r="Q205" s="402"/>
      <c r="R205" s="402"/>
      <c r="S205" s="402"/>
      <c r="T205" s="402"/>
      <c r="U205" s="402"/>
      <c r="V205" s="402"/>
      <c r="W205" s="402"/>
      <c r="X205" s="402"/>
      <c r="Y205" s="402"/>
      <c r="Z205" s="402"/>
    </row>
    <row r="206" ht="14.25" customHeight="1">
      <c r="A206" s="402"/>
      <c r="B206" s="402"/>
      <c r="C206" s="402"/>
      <c r="D206" s="402"/>
      <c r="E206" s="402"/>
      <c r="F206" s="403"/>
      <c r="G206" s="402"/>
      <c r="H206" s="402"/>
      <c r="I206" s="402"/>
      <c r="J206" s="402"/>
      <c r="K206" s="402"/>
      <c r="L206" s="402"/>
      <c r="M206" s="402"/>
      <c r="N206" s="402"/>
      <c r="O206" s="402"/>
      <c r="P206" s="402"/>
      <c r="Q206" s="402"/>
      <c r="R206" s="402"/>
      <c r="S206" s="402"/>
      <c r="T206" s="402"/>
      <c r="U206" s="402"/>
      <c r="V206" s="402"/>
      <c r="W206" s="402"/>
      <c r="X206" s="402"/>
      <c r="Y206" s="402"/>
      <c r="Z206" s="402"/>
    </row>
    <row r="207" ht="14.25" customHeight="1">
      <c r="A207" s="402"/>
      <c r="B207" s="402"/>
      <c r="C207" s="402"/>
      <c r="D207" s="402"/>
      <c r="E207" s="402"/>
      <c r="F207" s="403"/>
      <c r="G207" s="402"/>
      <c r="H207" s="402"/>
      <c r="I207" s="402"/>
      <c r="J207" s="402"/>
      <c r="K207" s="402"/>
      <c r="L207" s="402"/>
      <c r="M207" s="402"/>
      <c r="N207" s="402"/>
      <c r="O207" s="402"/>
      <c r="P207" s="402"/>
      <c r="Q207" s="402"/>
      <c r="R207" s="402"/>
      <c r="S207" s="402"/>
      <c r="T207" s="402"/>
      <c r="U207" s="402"/>
      <c r="V207" s="402"/>
      <c r="W207" s="402"/>
      <c r="X207" s="402"/>
      <c r="Y207" s="402"/>
      <c r="Z207" s="402"/>
    </row>
    <row r="208" ht="14.25" customHeight="1">
      <c r="A208" s="402"/>
      <c r="B208" s="402"/>
      <c r="C208" s="402"/>
      <c r="D208" s="402"/>
      <c r="E208" s="402"/>
      <c r="F208" s="403"/>
      <c r="G208" s="402"/>
      <c r="H208" s="402"/>
      <c r="I208" s="402"/>
      <c r="J208" s="402"/>
      <c r="K208" s="402"/>
      <c r="L208" s="402"/>
      <c r="M208" s="402"/>
      <c r="N208" s="402"/>
      <c r="O208" s="402"/>
      <c r="P208" s="402"/>
      <c r="Q208" s="402"/>
      <c r="R208" s="402"/>
      <c r="S208" s="402"/>
      <c r="T208" s="402"/>
      <c r="U208" s="402"/>
      <c r="V208" s="402"/>
      <c r="W208" s="402"/>
      <c r="X208" s="402"/>
      <c r="Y208" s="402"/>
      <c r="Z208" s="402"/>
    </row>
    <row r="209" ht="14.25" customHeight="1">
      <c r="A209" s="402"/>
      <c r="B209" s="402"/>
      <c r="C209" s="402"/>
      <c r="D209" s="402"/>
      <c r="E209" s="402"/>
      <c r="F209" s="403"/>
      <c r="G209" s="402"/>
      <c r="H209" s="402"/>
      <c r="I209" s="402"/>
      <c r="J209" s="402"/>
      <c r="K209" s="402"/>
      <c r="L209" s="402"/>
      <c r="M209" s="402"/>
      <c r="N209" s="402"/>
      <c r="O209" s="402"/>
      <c r="P209" s="402"/>
      <c r="Q209" s="402"/>
      <c r="R209" s="402"/>
      <c r="S209" s="402"/>
      <c r="T209" s="402"/>
      <c r="U209" s="402"/>
      <c r="V209" s="402"/>
      <c r="W209" s="402"/>
      <c r="X209" s="402"/>
      <c r="Y209" s="402"/>
      <c r="Z209" s="402"/>
    </row>
    <row r="210" ht="14.25" customHeight="1">
      <c r="A210" s="402"/>
      <c r="B210" s="402"/>
      <c r="C210" s="402"/>
      <c r="D210" s="402"/>
      <c r="E210" s="402"/>
      <c r="F210" s="403"/>
      <c r="G210" s="402"/>
      <c r="H210" s="402"/>
      <c r="I210" s="402"/>
      <c r="J210" s="402"/>
      <c r="K210" s="402"/>
      <c r="L210" s="402"/>
      <c r="M210" s="402"/>
      <c r="N210" s="402"/>
      <c r="O210" s="402"/>
      <c r="P210" s="402"/>
      <c r="Q210" s="402"/>
      <c r="R210" s="402"/>
      <c r="S210" s="402"/>
      <c r="T210" s="402"/>
      <c r="U210" s="402"/>
      <c r="V210" s="402"/>
      <c r="W210" s="402"/>
      <c r="X210" s="402"/>
      <c r="Y210" s="402"/>
      <c r="Z210" s="402"/>
    </row>
    <row r="211" ht="14.25" customHeight="1">
      <c r="A211" s="402"/>
      <c r="B211" s="402"/>
      <c r="C211" s="402"/>
      <c r="D211" s="402"/>
      <c r="E211" s="402"/>
      <c r="F211" s="403"/>
      <c r="G211" s="402"/>
      <c r="H211" s="402"/>
      <c r="I211" s="402"/>
      <c r="J211" s="402"/>
      <c r="K211" s="402"/>
      <c r="L211" s="402"/>
      <c r="M211" s="402"/>
      <c r="N211" s="402"/>
      <c r="O211" s="402"/>
      <c r="P211" s="402"/>
      <c r="Q211" s="402"/>
      <c r="R211" s="402"/>
      <c r="S211" s="402"/>
      <c r="T211" s="402"/>
      <c r="U211" s="402"/>
      <c r="V211" s="402"/>
      <c r="W211" s="402"/>
      <c r="X211" s="402"/>
      <c r="Y211" s="402"/>
      <c r="Z211" s="402"/>
    </row>
    <row r="212" ht="14.25" customHeight="1">
      <c r="A212" s="402"/>
      <c r="B212" s="402"/>
      <c r="C212" s="402"/>
      <c r="D212" s="402"/>
      <c r="E212" s="402"/>
      <c r="F212" s="403"/>
      <c r="G212" s="402"/>
      <c r="H212" s="402"/>
      <c r="I212" s="402"/>
      <c r="J212" s="402"/>
      <c r="K212" s="402"/>
      <c r="L212" s="402"/>
      <c r="M212" s="402"/>
      <c r="N212" s="402"/>
      <c r="O212" s="402"/>
      <c r="P212" s="402"/>
      <c r="Q212" s="402"/>
      <c r="R212" s="402"/>
      <c r="S212" s="402"/>
      <c r="T212" s="402"/>
      <c r="U212" s="402"/>
      <c r="V212" s="402"/>
      <c r="W212" s="402"/>
      <c r="X212" s="402"/>
      <c r="Y212" s="402"/>
      <c r="Z212" s="402"/>
    </row>
    <row r="213" ht="14.25" customHeight="1">
      <c r="A213" s="402"/>
      <c r="B213" s="402"/>
      <c r="C213" s="402"/>
      <c r="D213" s="402"/>
      <c r="E213" s="402"/>
      <c r="F213" s="403"/>
      <c r="G213" s="402"/>
      <c r="H213" s="402"/>
      <c r="I213" s="402"/>
      <c r="J213" s="402"/>
      <c r="K213" s="402"/>
      <c r="L213" s="402"/>
      <c r="M213" s="402"/>
      <c r="N213" s="402"/>
      <c r="O213" s="402"/>
      <c r="P213" s="402"/>
      <c r="Q213" s="402"/>
      <c r="R213" s="402"/>
      <c r="S213" s="402"/>
      <c r="T213" s="402"/>
      <c r="U213" s="402"/>
      <c r="V213" s="402"/>
      <c r="W213" s="402"/>
      <c r="X213" s="402"/>
      <c r="Y213" s="402"/>
      <c r="Z213" s="402"/>
    </row>
    <row r="214" ht="14.25" customHeight="1">
      <c r="A214" s="402"/>
      <c r="B214" s="402"/>
      <c r="C214" s="402"/>
      <c r="D214" s="402"/>
      <c r="E214" s="402"/>
      <c r="F214" s="403"/>
      <c r="G214" s="402"/>
      <c r="H214" s="402"/>
      <c r="I214" s="402"/>
      <c r="J214" s="402"/>
      <c r="K214" s="402"/>
      <c r="L214" s="402"/>
      <c r="M214" s="402"/>
      <c r="N214" s="402"/>
      <c r="O214" s="402"/>
      <c r="P214" s="402"/>
      <c r="Q214" s="402"/>
      <c r="R214" s="402"/>
      <c r="S214" s="402"/>
      <c r="T214" s="402"/>
      <c r="U214" s="402"/>
      <c r="V214" s="402"/>
      <c r="W214" s="402"/>
      <c r="X214" s="402"/>
      <c r="Y214" s="402"/>
      <c r="Z214" s="402"/>
    </row>
    <row r="215" ht="14.25" customHeight="1">
      <c r="A215" s="402"/>
      <c r="B215" s="402"/>
      <c r="C215" s="402"/>
      <c r="D215" s="402"/>
      <c r="E215" s="402"/>
      <c r="F215" s="403"/>
      <c r="G215" s="402"/>
      <c r="H215" s="402"/>
      <c r="I215" s="402"/>
      <c r="J215" s="402"/>
      <c r="K215" s="402"/>
      <c r="L215" s="402"/>
      <c r="M215" s="402"/>
      <c r="N215" s="402"/>
      <c r="O215" s="402"/>
      <c r="P215" s="402"/>
      <c r="Q215" s="402"/>
      <c r="R215" s="402"/>
      <c r="S215" s="402"/>
      <c r="T215" s="402"/>
      <c r="U215" s="402"/>
      <c r="V215" s="402"/>
      <c r="W215" s="402"/>
      <c r="X215" s="402"/>
      <c r="Y215" s="402"/>
      <c r="Z215" s="402"/>
    </row>
    <row r="216" ht="14.25" customHeight="1">
      <c r="A216" s="402"/>
      <c r="B216" s="402"/>
      <c r="C216" s="402"/>
      <c r="D216" s="402"/>
      <c r="E216" s="402"/>
      <c r="F216" s="403"/>
      <c r="G216" s="402"/>
      <c r="H216" s="402"/>
      <c r="I216" s="402"/>
      <c r="J216" s="402"/>
      <c r="K216" s="402"/>
      <c r="L216" s="402"/>
      <c r="M216" s="402"/>
      <c r="N216" s="402"/>
      <c r="O216" s="402"/>
      <c r="P216" s="402"/>
      <c r="Q216" s="402"/>
      <c r="R216" s="402"/>
      <c r="S216" s="402"/>
      <c r="T216" s="402"/>
      <c r="U216" s="402"/>
      <c r="V216" s="402"/>
      <c r="W216" s="402"/>
      <c r="X216" s="402"/>
      <c r="Y216" s="402"/>
      <c r="Z216" s="402"/>
    </row>
    <row r="217" ht="14.25" customHeight="1">
      <c r="A217" s="402"/>
      <c r="B217" s="402"/>
      <c r="C217" s="402"/>
      <c r="D217" s="402"/>
      <c r="E217" s="402"/>
      <c r="F217" s="403"/>
      <c r="G217" s="402"/>
      <c r="H217" s="402"/>
      <c r="I217" s="402"/>
      <c r="J217" s="402"/>
      <c r="K217" s="402"/>
      <c r="L217" s="402"/>
      <c r="M217" s="402"/>
      <c r="N217" s="402"/>
      <c r="O217" s="402"/>
      <c r="P217" s="402"/>
      <c r="Q217" s="402"/>
      <c r="R217" s="402"/>
      <c r="S217" s="402"/>
      <c r="T217" s="402"/>
      <c r="U217" s="402"/>
      <c r="V217" s="402"/>
      <c r="W217" s="402"/>
      <c r="X217" s="402"/>
      <c r="Y217" s="402"/>
      <c r="Z217" s="402"/>
    </row>
    <row r="218" ht="14.25" customHeight="1">
      <c r="A218" s="402"/>
      <c r="B218" s="402"/>
      <c r="C218" s="402"/>
      <c r="D218" s="402"/>
      <c r="E218" s="402"/>
      <c r="F218" s="403"/>
      <c r="G218" s="402"/>
      <c r="H218" s="402"/>
      <c r="I218" s="402"/>
      <c r="J218" s="402"/>
      <c r="K218" s="402"/>
      <c r="L218" s="402"/>
      <c r="M218" s="402"/>
      <c r="N218" s="402"/>
      <c r="O218" s="402"/>
      <c r="P218" s="402"/>
      <c r="Q218" s="402"/>
      <c r="R218" s="402"/>
      <c r="S218" s="402"/>
      <c r="T218" s="402"/>
      <c r="U218" s="402"/>
      <c r="V218" s="402"/>
      <c r="W218" s="402"/>
      <c r="X218" s="402"/>
      <c r="Y218" s="402"/>
      <c r="Z218" s="402"/>
    </row>
    <row r="219" ht="14.25" customHeight="1">
      <c r="A219" s="402"/>
      <c r="B219" s="402"/>
      <c r="C219" s="402"/>
      <c r="D219" s="402"/>
      <c r="E219" s="402"/>
      <c r="F219" s="403"/>
      <c r="G219" s="402"/>
      <c r="H219" s="402"/>
      <c r="I219" s="402"/>
      <c r="J219" s="402"/>
      <c r="K219" s="402"/>
      <c r="L219" s="402"/>
      <c r="M219" s="402"/>
      <c r="N219" s="402"/>
      <c r="O219" s="402"/>
      <c r="P219" s="402"/>
      <c r="Q219" s="402"/>
      <c r="R219" s="402"/>
      <c r="S219" s="402"/>
      <c r="T219" s="402"/>
      <c r="U219" s="402"/>
      <c r="V219" s="402"/>
      <c r="W219" s="402"/>
      <c r="X219" s="402"/>
      <c r="Y219" s="402"/>
      <c r="Z219" s="402"/>
    </row>
    <row r="220" ht="14.25" customHeight="1">
      <c r="A220" s="402"/>
      <c r="B220" s="402"/>
      <c r="C220" s="402"/>
      <c r="D220" s="402"/>
      <c r="E220" s="402"/>
      <c r="F220" s="403"/>
      <c r="G220" s="402"/>
      <c r="H220" s="402"/>
      <c r="I220" s="402"/>
      <c r="J220" s="402"/>
      <c r="K220" s="402"/>
      <c r="L220" s="402"/>
      <c r="M220" s="402"/>
      <c r="N220" s="402"/>
      <c r="O220" s="402"/>
      <c r="P220" s="402"/>
      <c r="Q220" s="402"/>
      <c r="R220" s="402"/>
      <c r="S220" s="402"/>
      <c r="T220" s="402"/>
      <c r="U220" s="402"/>
      <c r="V220" s="402"/>
      <c r="W220" s="402"/>
      <c r="X220" s="402"/>
      <c r="Y220" s="402"/>
      <c r="Z220" s="402"/>
    </row>
    <row r="221" ht="14.25" customHeight="1">
      <c r="A221" s="402"/>
      <c r="B221" s="402"/>
      <c r="C221" s="402"/>
      <c r="D221" s="402"/>
      <c r="E221" s="402"/>
      <c r="F221" s="403"/>
      <c r="G221" s="402"/>
      <c r="H221" s="402"/>
      <c r="I221" s="402"/>
      <c r="J221" s="402"/>
      <c r="K221" s="402"/>
      <c r="L221" s="402"/>
      <c r="M221" s="402"/>
      <c r="N221" s="402"/>
      <c r="O221" s="402"/>
      <c r="P221" s="402"/>
      <c r="Q221" s="402"/>
      <c r="R221" s="402"/>
      <c r="S221" s="402"/>
      <c r="T221" s="402"/>
      <c r="U221" s="402"/>
      <c r="V221" s="402"/>
      <c r="W221" s="402"/>
      <c r="X221" s="402"/>
      <c r="Y221" s="402"/>
      <c r="Z221" s="402"/>
    </row>
    <row r="222" ht="14.25" customHeight="1">
      <c r="A222" s="402"/>
      <c r="B222" s="402"/>
      <c r="C222" s="402"/>
      <c r="D222" s="402"/>
      <c r="E222" s="402"/>
      <c r="F222" s="403"/>
      <c r="G222" s="402"/>
      <c r="H222" s="402"/>
      <c r="I222" s="402"/>
      <c r="J222" s="402"/>
      <c r="K222" s="402"/>
      <c r="L222" s="402"/>
      <c r="M222" s="402"/>
      <c r="N222" s="402"/>
      <c r="O222" s="402"/>
      <c r="P222" s="402"/>
      <c r="Q222" s="402"/>
      <c r="R222" s="402"/>
      <c r="S222" s="402"/>
      <c r="T222" s="402"/>
      <c r="U222" s="402"/>
      <c r="V222" s="402"/>
      <c r="W222" s="402"/>
      <c r="X222" s="402"/>
      <c r="Y222" s="402"/>
      <c r="Z222" s="402"/>
    </row>
    <row r="223" ht="14.25" customHeight="1">
      <c r="A223" s="402"/>
      <c r="B223" s="402"/>
      <c r="C223" s="402"/>
      <c r="D223" s="402"/>
      <c r="E223" s="402"/>
      <c r="F223" s="403"/>
      <c r="G223" s="402"/>
      <c r="H223" s="402"/>
      <c r="I223" s="402"/>
      <c r="J223" s="402"/>
      <c r="K223" s="402"/>
      <c r="L223" s="402"/>
      <c r="M223" s="402"/>
      <c r="N223" s="402"/>
      <c r="O223" s="402"/>
      <c r="P223" s="402"/>
      <c r="Q223" s="402"/>
      <c r="R223" s="402"/>
      <c r="S223" s="402"/>
      <c r="T223" s="402"/>
      <c r="U223" s="402"/>
      <c r="V223" s="402"/>
      <c r="W223" s="402"/>
      <c r="X223" s="402"/>
      <c r="Y223" s="402"/>
      <c r="Z223" s="402"/>
    </row>
    <row r="224" ht="14.25" customHeight="1">
      <c r="A224" s="402"/>
      <c r="B224" s="402"/>
      <c r="C224" s="402"/>
      <c r="D224" s="402"/>
      <c r="E224" s="402"/>
      <c r="F224" s="403"/>
      <c r="G224" s="402"/>
      <c r="H224" s="402"/>
      <c r="I224" s="402"/>
      <c r="J224" s="402"/>
      <c r="K224" s="402"/>
      <c r="L224" s="402"/>
      <c r="M224" s="402"/>
      <c r="N224" s="402"/>
      <c r="O224" s="402"/>
      <c r="P224" s="402"/>
      <c r="Q224" s="402"/>
      <c r="R224" s="402"/>
      <c r="S224" s="402"/>
      <c r="T224" s="402"/>
      <c r="U224" s="402"/>
      <c r="V224" s="402"/>
      <c r="W224" s="402"/>
      <c r="X224" s="402"/>
      <c r="Y224" s="402"/>
      <c r="Z224" s="402"/>
    </row>
    <row r="225" ht="14.25" customHeight="1">
      <c r="A225" s="402"/>
      <c r="B225" s="402"/>
      <c r="C225" s="402"/>
      <c r="D225" s="402"/>
      <c r="E225" s="402"/>
      <c r="F225" s="403"/>
      <c r="G225" s="402"/>
      <c r="H225" s="402"/>
      <c r="I225" s="402"/>
      <c r="J225" s="402"/>
      <c r="K225" s="402"/>
      <c r="L225" s="402"/>
      <c r="M225" s="402"/>
      <c r="N225" s="402"/>
      <c r="O225" s="402"/>
      <c r="P225" s="402"/>
      <c r="Q225" s="402"/>
      <c r="R225" s="402"/>
      <c r="S225" s="402"/>
      <c r="T225" s="402"/>
      <c r="U225" s="402"/>
      <c r="V225" s="402"/>
      <c r="W225" s="402"/>
      <c r="X225" s="402"/>
      <c r="Y225" s="402"/>
      <c r="Z225" s="402"/>
    </row>
    <row r="226" ht="14.25" customHeight="1">
      <c r="A226" s="402"/>
      <c r="B226" s="402"/>
      <c r="C226" s="402"/>
      <c r="D226" s="402"/>
      <c r="E226" s="402"/>
      <c r="F226" s="403"/>
      <c r="G226" s="402"/>
      <c r="H226" s="402"/>
      <c r="I226" s="402"/>
      <c r="J226" s="402"/>
      <c r="K226" s="402"/>
      <c r="L226" s="402"/>
      <c r="M226" s="402"/>
      <c r="N226" s="402"/>
      <c r="O226" s="402"/>
      <c r="P226" s="402"/>
      <c r="Q226" s="402"/>
      <c r="R226" s="402"/>
      <c r="S226" s="402"/>
      <c r="T226" s="402"/>
      <c r="U226" s="402"/>
      <c r="V226" s="402"/>
      <c r="W226" s="402"/>
      <c r="X226" s="402"/>
      <c r="Y226" s="402"/>
      <c r="Z226" s="402"/>
    </row>
    <row r="227" ht="14.25" customHeight="1">
      <c r="A227" s="402"/>
      <c r="B227" s="402"/>
      <c r="C227" s="402"/>
      <c r="D227" s="402"/>
      <c r="E227" s="402"/>
      <c r="F227" s="403"/>
      <c r="G227" s="402"/>
      <c r="H227" s="402"/>
      <c r="I227" s="402"/>
      <c r="J227" s="402"/>
      <c r="K227" s="402"/>
      <c r="L227" s="402"/>
      <c r="M227" s="402"/>
      <c r="N227" s="402"/>
      <c r="O227" s="402"/>
      <c r="P227" s="402"/>
      <c r="Q227" s="402"/>
      <c r="R227" s="402"/>
      <c r="S227" s="402"/>
      <c r="T227" s="402"/>
      <c r="U227" s="402"/>
      <c r="V227" s="402"/>
      <c r="W227" s="402"/>
      <c r="X227" s="402"/>
      <c r="Y227" s="402"/>
      <c r="Z227" s="402"/>
    </row>
    <row r="228" ht="14.25" customHeight="1">
      <c r="A228" s="402"/>
      <c r="B228" s="402"/>
      <c r="C228" s="402"/>
      <c r="D228" s="402"/>
      <c r="E228" s="402"/>
      <c r="F228" s="403"/>
      <c r="G228" s="402"/>
      <c r="H228" s="402"/>
      <c r="I228" s="402"/>
      <c r="J228" s="402"/>
      <c r="K228" s="402"/>
      <c r="L228" s="402"/>
      <c r="M228" s="402"/>
      <c r="N228" s="402"/>
      <c r="O228" s="402"/>
      <c r="P228" s="402"/>
      <c r="Q228" s="402"/>
      <c r="R228" s="402"/>
      <c r="S228" s="402"/>
      <c r="T228" s="402"/>
      <c r="U228" s="402"/>
      <c r="V228" s="402"/>
      <c r="W228" s="402"/>
      <c r="X228" s="402"/>
      <c r="Y228" s="402"/>
      <c r="Z228" s="402"/>
    </row>
    <row r="229" ht="14.25" customHeight="1">
      <c r="A229" s="402"/>
      <c r="B229" s="402"/>
      <c r="C229" s="402"/>
      <c r="D229" s="402"/>
      <c r="E229" s="402"/>
      <c r="F229" s="403"/>
      <c r="G229" s="402"/>
      <c r="H229" s="402"/>
      <c r="I229" s="402"/>
      <c r="J229" s="402"/>
      <c r="K229" s="402"/>
      <c r="L229" s="402"/>
      <c r="M229" s="402"/>
      <c r="N229" s="402"/>
      <c r="O229" s="402"/>
      <c r="P229" s="402"/>
      <c r="Q229" s="402"/>
      <c r="R229" s="402"/>
      <c r="S229" s="402"/>
      <c r="T229" s="402"/>
      <c r="U229" s="402"/>
      <c r="V229" s="402"/>
      <c r="W229" s="402"/>
      <c r="X229" s="402"/>
      <c r="Y229" s="402"/>
      <c r="Z229" s="402"/>
    </row>
    <row r="230" ht="14.25" customHeight="1">
      <c r="A230" s="402"/>
      <c r="B230" s="402"/>
      <c r="C230" s="402"/>
      <c r="D230" s="402"/>
      <c r="E230" s="402"/>
      <c r="F230" s="403"/>
      <c r="G230" s="402"/>
      <c r="H230" s="402"/>
      <c r="I230" s="402"/>
      <c r="J230" s="402"/>
      <c r="K230" s="402"/>
      <c r="L230" s="402"/>
      <c r="M230" s="402"/>
      <c r="N230" s="402"/>
      <c r="O230" s="402"/>
      <c r="P230" s="402"/>
      <c r="Q230" s="402"/>
      <c r="R230" s="402"/>
      <c r="S230" s="402"/>
      <c r="T230" s="402"/>
      <c r="U230" s="402"/>
      <c r="V230" s="402"/>
      <c r="W230" s="402"/>
      <c r="X230" s="402"/>
      <c r="Y230" s="402"/>
      <c r="Z230" s="402"/>
    </row>
    <row r="231" ht="14.25" customHeight="1">
      <c r="A231" s="402"/>
      <c r="B231" s="402"/>
      <c r="C231" s="402"/>
      <c r="D231" s="402"/>
      <c r="E231" s="402"/>
      <c r="F231" s="403"/>
      <c r="G231" s="402"/>
      <c r="H231" s="402"/>
      <c r="I231" s="402"/>
      <c r="J231" s="402"/>
      <c r="K231" s="402"/>
      <c r="L231" s="402"/>
      <c r="M231" s="402"/>
      <c r="N231" s="402"/>
      <c r="O231" s="402"/>
      <c r="P231" s="402"/>
      <c r="Q231" s="402"/>
      <c r="R231" s="402"/>
      <c r="S231" s="402"/>
      <c r="T231" s="402"/>
      <c r="U231" s="402"/>
      <c r="V231" s="402"/>
      <c r="W231" s="402"/>
      <c r="X231" s="402"/>
      <c r="Y231" s="402"/>
      <c r="Z231" s="402"/>
    </row>
    <row r="232" ht="14.25" customHeight="1">
      <c r="A232" s="402"/>
      <c r="B232" s="402"/>
      <c r="C232" s="402"/>
      <c r="D232" s="402"/>
      <c r="E232" s="402"/>
      <c r="F232" s="403"/>
      <c r="G232" s="402"/>
      <c r="H232" s="402"/>
      <c r="I232" s="402"/>
      <c r="J232" s="402"/>
      <c r="K232" s="402"/>
      <c r="L232" s="402"/>
      <c r="M232" s="402"/>
      <c r="N232" s="402"/>
      <c r="O232" s="402"/>
      <c r="P232" s="402"/>
      <c r="Q232" s="402"/>
      <c r="R232" s="402"/>
      <c r="S232" s="402"/>
      <c r="T232" s="402"/>
      <c r="U232" s="402"/>
      <c r="V232" s="402"/>
      <c r="W232" s="402"/>
      <c r="X232" s="402"/>
      <c r="Y232" s="402"/>
      <c r="Z232" s="402"/>
    </row>
    <row r="233" ht="14.25" customHeight="1">
      <c r="A233" s="402"/>
      <c r="B233" s="402"/>
      <c r="C233" s="402"/>
      <c r="D233" s="402"/>
      <c r="E233" s="402"/>
      <c r="F233" s="403"/>
      <c r="G233" s="402"/>
      <c r="H233" s="402"/>
      <c r="I233" s="402"/>
      <c r="J233" s="402"/>
      <c r="K233" s="402"/>
      <c r="L233" s="402"/>
      <c r="M233" s="402"/>
      <c r="N233" s="402"/>
      <c r="O233" s="402"/>
      <c r="P233" s="402"/>
      <c r="Q233" s="402"/>
      <c r="R233" s="402"/>
      <c r="S233" s="402"/>
      <c r="T233" s="402"/>
      <c r="U233" s="402"/>
      <c r="V233" s="402"/>
      <c r="W233" s="402"/>
      <c r="X233" s="402"/>
      <c r="Y233" s="402"/>
      <c r="Z233" s="402"/>
    </row>
    <row r="234" ht="14.25" customHeight="1">
      <c r="A234" s="402"/>
      <c r="B234" s="402"/>
      <c r="C234" s="402"/>
      <c r="D234" s="402"/>
      <c r="E234" s="402"/>
      <c r="F234" s="403"/>
      <c r="G234" s="402"/>
      <c r="H234" s="402"/>
      <c r="I234" s="402"/>
      <c r="J234" s="402"/>
      <c r="K234" s="402"/>
      <c r="L234" s="402"/>
      <c r="M234" s="402"/>
      <c r="N234" s="402"/>
      <c r="O234" s="402"/>
      <c r="P234" s="402"/>
      <c r="Q234" s="402"/>
      <c r="R234" s="402"/>
      <c r="S234" s="402"/>
      <c r="T234" s="402"/>
      <c r="U234" s="402"/>
      <c r="V234" s="402"/>
      <c r="W234" s="402"/>
      <c r="X234" s="402"/>
      <c r="Y234" s="402"/>
      <c r="Z234" s="402"/>
    </row>
    <row r="235" ht="14.25" customHeight="1">
      <c r="A235" s="402"/>
      <c r="B235" s="402"/>
      <c r="C235" s="402"/>
      <c r="D235" s="402"/>
      <c r="E235" s="402"/>
      <c r="F235" s="403"/>
      <c r="G235" s="402"/>
      <c r="H235" s="402"/>
      <c r="I235" s="402"/>
      <c r="J235" s="402"/>
      <c r="K235" s="402"/>
      <c r="L235" s="402"/>
      <c r="M235" s="402"/>
      <c r="N235" s="402"/>
      <c r="O235" s="402"/>
      <c r="P235" s="402"/>
      <c r="Q235" s="402"/>
      <c r="R235" s="402"/>
      <c r="S235" s="402"/>
      <c r="T235" s="402"/>
      <c r="U235" s="402"/>
      <c r="V235" s="402"/>
      <c r="W235" s="402"/>
      <c r="X235" s="402"/>
      <c r="Y235" s="402"/>
      <c r="Z235" s="402"/>
    </row>
    <row r="236" ht="14.25" customHeight="1">
      <c r="A236" s="402"/>
      <c r="B236" s="402"/>
      <c r="C236" s="402"/>
      <c r="D236" s="402"/>
      <c r="E236" s="402"/>
      <c r="F236" s="403"/>
      <c r="G236" s="402"/>
      <c r="H236" s="402"/>
      <c r="I236" s="402"/>
      <c r="J236" s="402"/>
      <c r="K236" s="402"/>
      <c r="L236" s="402"/>
      <c r="M236" s="402"/>
      <c r="N236" s="402"/>
      <c r="O236" s="402"/>
      <c r="P236" s="402"/>
      <c r="Q236" s="402"/>
      <c r="R236" s="402"/>
      <c r="S236" s="402"/>
      <c r="T236" s="402"/>
      <c r="U236" s="402"/>
      <c r="V236" s="402"/>
      <c r="W236" s="402"/>
      <c r="X236" s="402"/>
      <c r="Y236" s="402"/>
      <c r="Z236" s="402"/>
    </row>
    <row r="237" ht="14.25" customHeight="1">
      <c r="A237" s="402"/>
      <c r="B237" s="402"/>
      <c r="C237" s="402"/>
      <c r="D237" s="402"/>
      <c r="E237" s="402"/>
      <c r="F237" s="403"/>
      <c r="G237" s="402"/>
      <c r="H237" s="402"/>
      <c r="I237" s="402"/>
      <c r="J237" s="402"/>
      <c r="K237" s="402"/>
      <c r="L237" s="402"/>
      <c r="M237" s="402"/>
      <c r="N237" s="402"/>
      <c r="O237" s="402"/>
      <c r="P237" s="402"/>
      <c r="Q237" s="402"/>
      <c r="R237" s="402"/>
      <c r="S237" s="402"/>
      <c r="T237" s="402"/>
      <c r="U237" s="402"/>
      <c r="V237" s="402"/>
      <c r="W237" s="402"/>
      <c r="X237" s="402"/>
      <c r="Y237" s="402"/>
      <c r="Z237" s="402"/>
    </row>
    <row r="238" ht="14.25" customHeight="1">
      <c r="A238" s="402"/>
      <c r="B238" s="402"/>
      <c r="C238" s="402"/>
      <c r="D238" s="402"/>
      <c r="E238" s="402"/>
      <c r="F238" s="403"/>
      <c r="G238" s="402"/>
      <c r="H238" s="402"/>
      <c r="I238" s="402"/>
      <c r="J238" s="402"/>
      <c r="K238" s="402"/>
      <c r="L238" s="402"/>
      <c r="M238" s="402"/>
      <c r="N238" s="402"/>
      <c r="O238" s="402"/>
      <c r="P238" s="402"/>
      <c r="Q238" s="402"/>
      <c r="R238" s="402"/>
      <c r="S238" s="402"/>
      <c r="T238" s="402"/>
      <c r="U238" s="402"/>
      <c r="V238" s="402"/>
      <c r="W238" s="402"/>
      <c r="X238" s="402"/>
      <c r="Y238" s="402"/>
      <c r="Z238" s="402"/>
    </row>
    <row r="239" ht="14.25" customHeight="1">
      <c r="A239" s="402"/>
      <c r="B239" s="402"/>
      <c r="C239" s="402"/>
      <c r="D239" s="402"/>
      <c r="E239" s="402"/>
      <c r="F239" s="403"/>
      <c r="G239" s="402"/>
      <c r="H239" s="402"/>
      <c r="I239" s="402"/>
      <c r="J239" s="402"/>
      <c r="K239" s="402"/>
      <c r="L239" s="402"/>
      <c r="M239" s="402"/>
      <c r="N239" s="402"/>
      <c r="O239" s="402"/>
      <c r="P239" s="402"/>
      <c r="Q239" s="402"/>
      <c r="R239" s="402"/>
      <c r="S239" s="402"/>
      <c r="T239" s="402"/>
      <c r="U239" s="402"/>
      <c r="V239" s="402"/>
      <c r="W239" s="402"/>
      <c r="X239" s="402"/>
      <c r="Y239" s="402"/>
      <c r="Z239" s="402"/>
    </row>
    <row r="240" ht="14.25" customHeight="1">
      <c r="A240" s="402"/>
      <c r="B240" s="402"/>
      <c r="C240" s="402"/>
      <c r="D240" s="402"/>
      <c r="E240" s="402"/>
      <c r="F240" s="403"/>
      <c r="G240" s="402"/>
      <c r="H240" s="402"/>
      <c r="I240" s="402"/>
      <c r="J240" s="402"/>
      <c r="K240" s="402"/>
      <c r="L240" s="402"/>
      <c r="M240" s="402"/>
      <c r="N240" s="402"/>
      <c r="O240" s="402"/>
      <c r="P240" s="402"/>
      <c r="Q240" s="402"/>
      <c r="R240" s="402"/>
      <c r="S240" s="402"/>
      <c r="T240" s="402"/>
      <c r="U240" s="402"/>
      <c r="V240" s="402"/>
      <c r="W240" s="402"/>
      <c r="X240" s="402"/>
      <c r="Y240" s="402"/>
      <c r="Z240" s="402"/>
    </row>
    <row r="241" ht="14.25" customHeight="1">
      <c r="A241" s="402"/>
      <c r="B241" s="402"/>
      <c r="C241" s="402"/>
      <c r="D241" s="402"/>
      <c r="E241" s="402"/>
      <c r="F241" s="403"/>
      <c r="G241" s="402"/>
      <c r="H241" s="402"/>
      <c r="I241" s="402"/>
      <c r="J241" s="402"/>
      <c r="K241" s="402"/>
      <c r="L241" s="402"/>
      <c r="M241" s="402"/>
      <c r="N241" s="402"/>
      <c r="O241" s="402"/>
      <c r="P241" s="402"/>
      <c r="Q241" s="402"/>
      <c r="R241" s="402"/>
      <c r="S241" s="402"/>
      <c r="T241" s="402"/>
      <c r="U241" s="402"/>
      <c r="V241" s="402"/>
      <c r="W241" s="402"/>
      <c r="X241" s="402"/>
      <c r="Y241" s="402"/>
      <c r="Z241" s="402"/>
    </row>
    <row r="242" ht="14.25" customHeight="1">
      <c r="A242" s="402"/>
      <c r="B242" s="402"/>
      <c r="C242" s="402"/>
      <c r="D242" s="402"/>
      <c r="E242" s="402"/>
      <c r="F242" s="403"/>
      <c r="G242" s="402"/>
      <c r="H242" s="402"/>
      <c r="I242" s="402"/>
      <c r="J242" s="402"/>
      <c r="K242" s="402"/>
      <c r="L242" s="402"/>
      <c r="M242" s="402"/>
      <c r="N242" s="402"/>
      <c r="O242" s="402"/>
      <c r="P242" s="402"/>
      <c r="Q242" s="402"/>
      <c r="R242" s="402"/>
      <c r="S242" s="402"/>
      <c r="T242" s="402"/>
      <c r="U242" s="402"/>
      <c r="V242" s="402"/>
      <c r="W242" s="402"/>
      <c r="X242" s="402"/>
      <c r="Y242" s="402"/>
      <c r="Z242" s="402"/>
    </row>
    <row r="243" ht="14.25" customHeight="1">
      <c r="A243" s="402"/>
      <c r="B243" s="402"/>
      <c r="C243" s="402"/>
      <c r="D243" s="402"/>
      <c r="E243" s="402"/>
      <c r="F243" s="403"/>
      <c r="G243" s="402"/>
      <c r="H243" s="402"/>
      <c r="I243" s="402"/>
      <c r="J243" s="402"/>
      <c r="K243" s="402"/>
      <c r="L243" s="402"/>
      <c r="M243" s="402"/>
      <c r="N243" s="402"/>
      <c r="O243" s="402"/>
      <c r="P243" s="402"/>
      <c r="Q243" s="402"/>
      <c r="R243" s="402"/>
      <c r="S243" s="402"/>
      <c r="T243" s="402"/>
      <c r="U243" s="402"/>
      <c r="V243" s="402"/>
      <c r="W243" s="402"/>
      <c r="X243" s="402"/>
      <c r="Y243" s="402"/>
      <c r="Z243" s="402"/>
    </row>
    <row r="244" ht="14.25" customHeight="1">
      <c r="A244" s="402"/>
      <c r="B244" s="402"/>
      <c r="C244" s="402"/>
      <c r="D244" s="402"/>
      <c r="E244" s="402"/>
      <c r="F244" s="403"/>
      <c r="G244" s="402"/>
      <c r="H244" s="402"/>
      <c r="I244" s="402"/>
      <c r="J244" s="402"/>
      <c r="K244" s="402"/>
      <c r="L244" s="402"/>
      <c r="M244" s="402"/>
      <c r="N244" s="402"/>
      <c r="O244" s="402"/>
      <c r="P244" s="402"/>
      <c r="Q244" s="402"/>
      <c r="R244" s="402"/>
      <c r="S244" s="402"/>
      <c r="T244" s="402"/>
      <c r="U244" s="402"/>
      <c r="V244" s="402"/>
      <c r="W244" s="402"/>
      <c r="X244" s="402"/>
      <c r="Y244" s="402"/>
      <c r="Z244" s="402"/>
    </row>
    <row r="245" ht="14.25" customHeight="1">
      <c r="A245" s="402"/>
      <c r="B245" s="402"/>
      <c r="C245" s="402"/>
      <c r="D245" s="402"/>
      <c r="E245" s="402"/>
      <c r="F245" s="403"/>
      <c r="G245" s="402"/>
      <c r="H245" s="402"/>
      <c r="I245" s="402"/>
      <c r="J245" s="402"/>
      <c r="K245" s="402"/>
      <c r="L245" s="402"/>
      <c r="M245" s="402"/>
      <c r="N245" s="402"/>
      <c r="O245" s="402"/>
      <c r="P245" s="402"/>
      <c r="Q245" s="402"/>
      <c r="R245" s="402"/>
      <c r="S245" s="402"/>
      <c r="T245" s="402"/>
      <c r="U245" s="402"/>
      <c r="V245" s="402"/>
      <c r="W245" s="402"/>
      <c r="X245" s="402"/>
      <c r="Y245" s="402"/>
      <c r="Z245" s="402"/>
    </row>
    <row r="246" ht="14.25" customHeight="1">
      <c r="A246" s="402"/>
      <c r="B246" s="402"/>
      <c r="C246" s="402"/>
      <c r="D246" s="402"/>
      <c r="E246" s="402"/>
      <c r="F246" s="403"/>
      <c r="G246" s="402"/>
      <c r="H246" s="402"/>
      <c r="I246" s="402"/>
      <c r="J246" s="402"/>
      <c r="K246" s="402"/>
      <c r="L246" s="402"/>
      <c r="M246" s="402"/>
      <c r="N246" s="402"/>
      <c r="O246" s="402"/>
      <c r="P246" s="402"/>
      <c r="Q246" s="402"/>
      <c r="R246" s="402"/>
      <c r="S246" s="402"/>
      <c r="T246" s="402"/>
      <c r="U246" s="402"/>
      <c r="V246" s="402"/>
      <c r="W246" s="402"/>
      <c r="X246" s="402"/>
      <c r="Y246" s="402"/>
      <c r="Z246" s="402"/>
    </row>
    <row r="247" ht="14.25" customHeight="1">
      <c r="A247" s="402"/>
      <c r="B247" s="402"/>
      <c r="C247" s="402"/>
      <c r="D247" s="402"/>
      <c r="E247" s="402"/>
      <c r="F247" s="403"/>
      <c r="G247" s="402"/>
      <c r="H247" s="402"/>
      <c r="I247" s="402"/>
      <c r="J247" s="402"/>
      <c r="K247" s="402"/>
      <c r="L247" s="402"/>
      <c r="M247" s="402"/>
      <c r="N247" s="402"/>
      <c r="O247" s="402"/>
      <c r="P247" s="402"/>
      <c r="Q247" s="402"/>
      <c r="R247" s="402"/>
      <c r="S247" s="402"/>
      <c r="T247" s="402"/>
      <c r="U247" s="402"/>
      <c r="V247" s="402"/>
      <c r="W247" s="402"/>
      <c r="X247" s="402"/>
      <c r="Y247" s="402"/>
      <c r="Z247" s="402"/>
    </row>
    <row r="248" ht="14.25" customHeight="1">
      <c r="A248" s="402"/>
      <c r="B248" s="402"/>
      <c r="C248" s="402"/>
      <c r="D248" s="402"/>
      <c r="E248" s="402"/>
      <c r="F248" s="403"/>
      <c r="G248" s="402"/>
      <c r="H248" s="402"/>
      <c r="I248" s="402"/>
      <c r="J248" s="402"/>
      <c r="K248" s="402"/>
      <c r="L248" s="402"/>
      <c r="M248" s="402"/>
      <c r="N248" s="402"/>
      <c r="O248" s="402"/>
      <c r="P248" s="402"/>
      <c r="Q248" s="402"/>
      <c r="R248" s="402"/>
      <c r="S248" s="402"/>
      <c r="T248" s="402"/>
      <c r="U248" s="402"/>
      <c r="V248" s="402"/>
      <c r="W248" s="402"/>
      <c r="X248" s="402"/>
      <c r="Y248" s="402"/>
      <c r="Z248" s="402"/>
    </row>
    <row r="249" ht="14.25" customHeight="1">
      <c r="A249" s="402"/>
      <c r="B249" s="402"/>
      <c r="C249" s="402"/>
      <c r="D249" s="402"/>
      <c r="E249" s="402"/>
      <c r="F249" s="403"/>
      <c r="G249" s="402"/>
      <c r="H249" s="402"/>
      <c r="I249" s="402"/>
      <c r="J249" s="402"/>
      <c r="K249" s="402"/>
      <c r="L249" s="402"/>
      <c r="M249" s="402"/>
      <c r="N249" s="402"/>
      <c r="O249" s="402"/>
      <c r="P249" s="402"/>
      <c r="Q249" s="402"/>
      <c r="R249" s="402"/>
      <c r="S249" s="402"/>
      <c r="T249" s="402"/>
      <c r="U249" s="402"/>
      <c r="V249" s="402"/>
      <c r="W249" s="402"/>
      <c r="X249" s="402"/>
      <c r="Y249" s="402"/>
      <c r="Z249" s="402"/>
    </row>
    <row r="250" ht="14.25" customHeight="1">
      <c r="A250" s="402"/>
      <c r="B250" s="402"/>
      <c r="C250" s="402"/>
      <c r="D250" s="402"/>
      <c r="E250" s="402"/>
      <c r="F250" s="403"/>
      <c r="G250" s="402"/>
      <c r="H250" s="402"/>
      <c r="I250" s="402"/>
      <c r="J250" s="402"/>
      <c r="K250" s="402"/>
      <c r="L250" s="402"/>
      <c r="M250" s="402"/>
      <c r="N250" s="402"/>
      <c r="O250" s="402"/>
      <c r="P250" s="402"/>
      <c r="Q250" s="402"/>
      <c r="R250" s="402"/>
      <c r="S250" s="402"/>
      <c r="T250" s="402"/>
      <c r="U250" s="402"/>
      <c r="V250" s="402"/>
      <c r="W250" s="402"/>
      <c r="X250" s="402"/>
      <c r="Y250" s="402"/>
      <c r="Z250" s="402"/>
    </row>
    <row r="251" ht="14.25" customHeight="1">
      <c r="A251" s="402"/>
      <c r="B251" s="402"/>
      <c r="C251" s="402"/>
      <c r="D251" s="402"/>
      <c r="E251" s="402"/>
      <c r="F251" s="403"/>
      <c r="G251" s="402"/>
      <c r="H251" s="402"/>
      <c r="I251" s="402"/>
      <c r="J251" s="402"/>
      <c r="K251" s="402"/>
      <c r="L251" s="402"/>
      <c r="M251" s="402"/>
      <c r="N251" s="402"/>
      <c r="O251" s="402"/>
      <c r="P251" s="402"/>
      <c r="Q251" s="402"/>
      <c r="R251" s="402"/>
      <c r="S251" s="402"/>
      <c r="T251" s="402"/>
      <c r="U251" s="402"/>
      <c r="V251" s="402"/>
      <c r="W251" s="402"/>
      <c r="X251" s="402"/>
      <c r="Y251" s="402"/>
      <c r="Z251" s="402"/>
    </row>
    <row r="252" ht="14.25" customHeight="1">
      <c r="A252" s="402"/>
      <c r="B252" s="402"/>
      <c r="C252" s="402"/>
      <c r="D252" s="402"/>
      <c r="E252" s="402"/>
      <c r="F252" s="403"/>
      <c r="G252" s="402"/>
      <c r="H252" s="402"/>
      <c r="I252" s="402"/>
      <c r="J252" s="402"/>
      <c r="K252" s="402"/>
      <c r="L252" s="402"/>
      <c r="M252" s="402"/>
      <c r="N252" s="402"/>
      <c r="O252" s="402"/>
      <c r="P252" s="402"/>
      <c r="Q252" s="402"/>
      <c r="R252" s="402"/>
      <c r="S252" s="402"/>
      <c r="T252" s="402"/>
      <c r="U252" s="402"/>
      <c r="V252" s="402"/>
      <c r="W252" s="402"/>
      <c r="X252" s="402"/>
      <c r="Y252" s="402"/>
      <c r="Z252" s="402"/>
    </row>
    <row r="253" ht="14.25" customHeight="1">
      <c r="A253" s="402"/>
      <c r="B253" s="402"/>
      <c r="C253" s="402"/>
      <c r="D253" s="402"/>
      <c r="E253" s="402"/>
      <c r="F253" s="403"/>
      <c r="G253" s="402"/>
      <c r="H253" s="402"/>
      <c r="I253" s="402"/>
      <c r="J253" s="402"/>
      <c r="K253" s="402"/>
      <c r="L253" s="402"/>
      <c r="M253" s="402"/>
      <c r="N253" s="402"/>
      <c r="O253" s="402"/>
      <c r="P253" s="402"/>
      <c r="Q253" s="402"/>
      <c r="R253" s="402"/>
      <c r="S253" s="402"/>
      <c r="T253" s="402"/>
      <c r="U253" s="402"/>
      <c r="V253" s="402"/>
      <c r="W253" s="402"/>
      <c r="X253" s="402"/>
      <c r="Y253" s="402"/>
      <c r="Z253" s="402"/>
    </row>
    <row r="254" ht="14.25" customHeight="1">
      <c r="A254" s="402"/>
      <c r="B254" s="402"/>
      <c r="C254" s="402"/>
      <c r="D254" s="402"/>
      <c r="E254" s="402"/>
      <c r="F254" s="403"/>
      <c r="G254" s="402"/>
      <c r="H254" s="402"/>
      <c r="I254" s="402"/>
      <c r="J254" s="402"/>
      <c r="K254" s="402"/>
      <c r="L254" s="402"/>
      <c r="M254" s="402"/>
      <c r="N254" s="402"/>
      <c r="O254" s="402"/>
      <c r="P254" s="402"/>
      <c r="Q254" s="402"/>
      <c r="R254" s="402"/>
      <c r="S254" s="402"/>
      <c r="T254" s="402"/>
      <c r="U254" s="402"/>
      <c r="V254" s="402"/>
      <c r="W254" s="402"/>
      <c r="X254" s="402"/>
      <c r="Y254" s="402"/>
      <c r="Z254" s="402"/>
    </row>
    <row r="255" ht="14.25" customHeight="1">
      <c r="A255" s="402"/>
      <c r="B255" s="402"/>
      <c r="C255" s="402"/>
      <c r="D255" s="402"/>
      <c r="E255" s="402"/>
      <c r="F255" s="403"/>
      <c r="G255" s="402"/>
      <c r="H255" s="402"/>
      <c r="I255" s="402"/>
      <c r="J255" s="402"/>
      <c r="K255" s="402"/>
      <c r="L255" s="402"/>
      <c r="M255" s="402"/>
      <c r="N255" s="402"/>
      <c r="O255" s="402"/>
      <c r="P255" s="402"/>
      <c r="Q255" s="402"/>
      <c r="R255" s="402"/>
      <c r="S255" s="402"/>
      <c r="T255" s="402"/>
      <c r="U255" s="402"/>
      <c r="V255" s="402"/>
      <c r="W255" s="402"/>
      <c r="X255" s="402"/>
      <c r="Y255" s="402"/>
      <c r="Z255" s="402"/>
    </row>
    <row r="256" ht="14.25" customHeight="1">
      <c r="A256" s="402"/>
      <c r="B256" s="402"/>
      <c r="C256" s="402"/>
      <c r="D256" s="402"/>
      <c r="E256" s="402"/>
      <c r="F256" s="403"/>
      <c r="G256" s="402"/>
      <c r="H256" s="402"/>
      <c r="I256" s="402"/>
      <c r="J256" s="402"/>
      <c r="K256" s="402"/>
      <c r="L256" s="402"/>
      <c r="M256" s="402"/>
      <c r="N256" s="402"/>
      <c r="O256" s="402"/>
      <c r="P256" s="402"/>
      <c r="Q256" s="402"/>
      <c r="R256" s="402"/>
      <c r="S256" s="402"/>
      <c r="T256" s="402"/>
      <c r="U256" s="402"/>
      <c r="V256" s="402"/>
      <c r="W256" s="402"/>
      <c r="X256" s="402"/>
      <c r="Y256" s="402"/>
      <c r="Z256" s="402"/>
    </row>
    <row r="257" ht="14.25" customHeight="1">
      <c r="A257" s="402"/>
      <c r="B257" s="402"/>
      <c r="C257" s="402"/>
      <c r="D257" s="402"/>
      <c r="E257" s="402"/>
      <c r="F257" s="403"/>
      <c r="G257" s="402"/>
      <c r="H257" s="402"/>
      <c r="I257" s="402"/>
      <c r="J257" s="402"/>
      <c r="K257" s="402"/>
      <c r="L257" s="402"/>
      <c r="M257" s="402"/>
      <c r="N257" s="402"/>
      <c r="O257" s="402"/>
      <c r="P257" s="402"/>
      <c r="Q257" s="402"/>
      <c r="R257" s="402"/>
      <c r="S257" s="402"/>
      <c r="T257" s="402"/>
      <c r="U257" s="402"/>
      <c r="V257" s="402"/>
      <c r="W257" s="402"/>
      <c r="X257" s="402"/>
      <c r="Y257" s="402"/>
      <c r="Z257" s="402"/>
    </row>
    <row r="258" ht="14.25" customHeight="1">
      <c r="A258" s="402"/>
      <c r="B258" s="402"/>
      <c r="C258" s="402"/>
      <c r="D258" s="402"/>
      <c r="E258" s="402"/>
      <c r="F258" s="403"/>
      <c r="G258" s="402"/>
      <c r="H258" s="402"/>
      <c r="I258" s="402"/>
      <c r="J258" s="402"/>
      <c r="K258" s="402"/>
      <c r="L258" s="402"/>
      <c r="M258" s="402"/>
      <c r="N258" s="402"/>
      <c r="O258" s="402"/>
      <c r="P258" s="402"/>
      <c r="Q258" s="402"/>
      <c r="R258" s="402"/>
      <c r="S258" s="402"/>
      <c r="T258" s="402"/>
      <c r="U258" s="402"/>
      <c r="V258" s="402"/>
      <c r="W258" s="402"/>
      <c r="X258" s="402"/>
      <c r="Y258" s="402"/>
      <c r="Z258" s="402"/>
    </row>
    <row r="259" ht="14.25" customHeight="1">
      <c r="A259" s="402"/>
      <c r="B259" s="402"/>
      <c r="C259" s="402"/>
      <c r="D259" s="402"/>
      <c r="E259" s="402"/>
      <c r="F259" s="403"/>
      <c r="G259" s="402"/>
      <c r="H259" s="402"/>
      <c r="I259" s="402"/>
      <c r="J259" s="402"/>
      <c r="K259" s="402"/>
      <c r="L259" s="402"/>
      <c r="M259" s="402"/>
      <c r="N259" s="402"/>
      <c r="O259" s="402"/>
      <c r="P259" s="402"/>
      <c r="Q259" s="402"/>
      <c r="R259" s="402"/>
      <c r="S259" s="402"/>
      <c r="T259" s="402"/>
      <c r="U259" s="402"/>
      <c r="V259" s="402"/>
      <c r="W259" s="402"/>
      <c r="X259" s="402"/>
      <c r="Y259" s="402"/>
      <c r="Z259" s="402"/>
    </row>
    <row r="260" ht="14.25" customHeight="1">
      <c r="A260" s="402"/>
      <c r="B260" s="402"/>
      <c r="C260" s="402"/>
      <c r="D260" s="402"/>
      <c r="E260" s="402"/>
      <c r="F260" s="403"/>
      <c r="G260" s="402"/>
      <c r="H260" s="402"/>
      <c r="I260" s="402"/>
      <c r="J260" s="402"/>
      <c r="K260" s="402"/>
      <c r="L260" s="402"/>
      <c r="M260" s="402"/>
      <c r="N260" s="402"/>
      <c r="O260" s="402"/>
      <c r="P260" s="402"/>
      <c r="Q260" s="402"/>
      <c r="R260" s="402"/>
      <c r="S260" s="402"/>
      <c r="T260" s="402"/>
      <c r="U260" s="402"/>
      <c r="V260" s="402"/>
      <c r="W260" s="402"/>
      <c r="X260" s="402"/>
      <c r="Y260" s="402"/>
      <c r="Z260" s="402"/>
    </row>
    <row r="261" ht="14.25" customHeight="1">
      <c r="A261" s="402"/>
      <c r="B261" s="402"/>
      <c r="C261" s="402"/>
      <c r="D261" s="402"/>
      <c r="E261" s="402"/>
      <c r="F261" s="403"/>
      <c r="G261" s="402"/>
      <c r="H261" s="402"/>
      <c r="I261" s="402"/>
      <c r="J261" s="402"/>
      <c r="K261" s="402"/>
      <c r="L261" s="402"/>
      <c r="M261" s="402"/>
      <c r="N261" s="402"/>
      <c r="O261" s="402"/>
      <c r="P261" s="402"/>
      <c r="Q261" s="402"/>
      <c r="R261" s="402"/>
      <c r="S261" s="402"/>
      <c r="T261" s="402"/>
      <c r="U261" s="402"/>
      <c r="V261" s="402"/>
      <c r="W261" s="402"/>
      <c r="X261" s="402"/>
      <c r="Y261" s="402"/>
      <c r="Z261" s="402"/>
    </row>
    <row r="262" ht="14.25" customHeight="1">
      <c r="A262" s="402"/>
      <c r="B262" s="402"/>
      <c r="C262" s="402"/>
      <c r="D262" s="402"/>
      <c r="E262" s="402"/>
      <c r="F262" s="403"/>
      <c r="G262" s="402"/>
      <c r="H262" s="402"/>
      <c r="I262" s="402"/>
      <c r="J262" s="402"/>
      <c r="K262" s="402"/>
      <c r="L262" s="402"/>
      <c r="M262" s="402"/>
      <c r="N262" s="402"/>
      <c r="O262" s="402"/>
      <c r="P262" s="402"/>
      <c r="Q262" s="402"/>
      <c r="R262" s="402"/>
      <c r="S262" s="402"/>
      <c r="T262" s="402"/>
      <c r="U262" s="402"/>
      <c r="V262" s="402"/>
      <c r="W262" s="402"/>
      <c r="X262" s="402"/>
      <c r="Y262" s="402"/>
      <c r="Z262" s="402"/>
    </row>
    <row r="263" ht="14.25" customHeight="1">
      <c r="A263" s="402"/>
      <c r="B263" s="402"/>
      <c r="C263" s="402"/>
      <c r="D263" s="402"/>
      <c r="E263" s="402"/>
      <c r="F263" s="403"/>
      <c r="G263" s="402"/>
      <c r="H263" s="402"/>
      <c r="I263" s="402"/>
      <c r="J263" s="402"/>
      <c r="K263" s="402"/>
      <c r="L263" s="402"/>
      <c r="M263" s="402"/>
      <c r="N263" s="402"/>
      <c r="O263" s="402"/>
      <c r="P263" s="402"/>
      <c r="Q263" s="402"/>
      <c r="R263" s="402"/>
      <c r="S263" s="402"/>
      <c r="T263" s="402"/>
      <c r="U263" s="402"/>
      <c r="V263" s="402"/>
      <c r="W263" s="402"/>
      <c r="X263" s="402"/>
      <c r="Y263" s="402"/>
      <c r="Z263" s="402"/>
    </row>
    <row r="264" ht="14.25" customHeight="1">
      <c r="A264" s="402"/>
      <c r="B264" s="402"/>
      <c r="C264" s="402"/>
      <c r="D264" s="402"/>
      <c r="E264" s="402"/>
      <c r="F264" s="403"/>
      <c r="G264" s="402"/>
      <c r="H264" s="402"/>
      <c r="I264" s="402"/>
      <c r="J264" s="402"/>
      <c r="K264" s="402"/>
      <c r="L264" s="402"/>
      <c r="M264" s="402"/>
      <c r="N264" s="402"/>
      <c r="O264" s="402"/>
      <c r="P264" s="402"/>
      <c r="Q264" s="402"/>
      <c r="R264" s="402"/>
      <c r="S264" s="402"/>
      <c r="T264" s="402"/>
      <c r="U264" s="402"/>
      <c r="V264" s="402"/>
      <c r="W264" s="402"/>
      <c r="X264" s="402"/>
      <c r="Y264" s="402"/>
      <c r="Z264" s="402"/>
    </row>
    <row r="265" ht="14.25" customHeight="1">
      <c r="A265" s="402"/>
      <c r="B265" s="402"/>
      <c r="C265" s="402"/>
      <c r="D265" s="402"/>
      <c r="E265" s="402"/>
      <c r="F265" s="403"/>
      <c r="G265" s="402"/>
      <c r="H265" s="402"/>
      <c r="I265" s="402"/>
      <c r="J265" s="402"/>
      <c r="K265" s="402"/>
      <c r="L265" s="402"/>
      <c r="M265" s="402"/>
      <c r="N265" s="402"/>
      <c r="O265" s="402"/>
      <c r="P265" s="402"/>
      <c r="Q265" s="402"/>
      <c r="R265" s="402"/>
      <c r="S265" s="402"/>
      <c r="T265" s="402"/>
      <c r="U265" s="402"/>
      <c r="V265" s="402"/>
      <c r="W265" s="402"/>
      <c r="X265" s="402"/>
      <c r="Y265" s="402"/>
      <c r="Z265" s="402"/>
    </row>
    <row r="266" ht="14.25" customHeight="1">
      <c r="A266" s="402"/>
      <c r="B266" s="402"/>
      <c r="C266" s="402"/>
      <c r="D266" s="402"/>
      <c r="E266" s="402"/>
      <c r="F266" s="403"/>
      <c r="G266" s="402"/>
      <c r="H266" s="402"/>
      <c r="I266" s="402"/>
      <c r="J266" s="402"/>
      <c r="K266" s="402"/>
      <c r="L266" s="402"/>
      <c r="M266" s="402"/>
      <c r="N266" s="402"/>
      <c r="O266" s="402"/>
      <c r="P266" s="402"/>
      <c r="Q266" s="402"/>
      <c r="R266" s="402"/>
      <c r="S266" s="402"/>
      <c r="T266" s="402"/>
      <c r="U266" s="402"/>
      <c r="V266" s="402"/>
      <c r="W266" s="402"/>
      <c r="X266" s="402"/>
      <c r="Y266" s="402"/>
      <c r="Z266" s="402"/>
    </row>
    <row r="267" ht="14.25" customHeight="1">
      <c r="A267" s="402"/>
      <c r="B267" s="402"/>
      <c r="C267" s="402"/>
      <c r="D267" s="402"/>
      <c r="E267" s="402"/>
      <c r="F267" s="403"/>
      <c r="G267" s="402"/>
      <c r="H267" s="402"/>
      <c r="I267" s="402"/>
      <c r="J267" s="402"/>
      <c r="K267" s="402"/>
      <c r="L267" s="402"/>
      <c r="M267" s="402"/>
      <c r="N267" s="402"/>
      <c r="O267" s="402"/>
      <c r="P267" s="402"/>
      <c r="Q267" s="402"/>
      <c r="R267" s="402"/>
      <c r="S267" s="402"/>
      <c r="T267" s="402"/>
      <c r="U267" s="402"/>
      <c r="V267" s="402"/>
      <c r="W267" s="402"/>
      <c r="X267" s="402"/>
      <c r="Y267" s="402"/>
      <c r="Z267" s="402"/>
    </row>
    <row r="268" ht="14.25" customHeight="1">
      <c r="A268" s="402"/>
      <c r="B268" s="402"/>
      <c r="C268" s="402"/>
      <c r="D268" s="402"/>
      <c r="E268" s="402"/>
      <c r="F268" s="403"/>
      <c r="G268" s="402"/>
      <c r="H268" s="402"/>
      <c r="I268" s="402"/>
      <c r="J268" s="402"/>
      <c r="K268" s="402"/>
      <c r="L268" s="402"/>
      <c r="M268" s="402"/>
      <c r="N268" s="402"/>
      <c r="O268" s="402"/>
      <c r="P268" s="402"/>
      <c r="Q268" s="402"/>
      <c r="R268" s="402"/>
      <c r="S268" s="402"/>
      <c r="T268" s="402"/>
      <c r="U268" s="402"/>
      <c r="V268" s="402"/>
      <c r="W268" s="402"/>
      <c r="X268" s="402"/>
      <c r="Y268" s="402"/>
      <c r="Z268" s="402"/>
    </row>
    <row r="269" ht="14.25" customHeight="1">
      <c r="A269" s="402"/>
      <c r="B269" s="402"/>
      <c r="C269" s="402"/>
      <c r="D269" s="402"/>
      <c r="E269" s="402"/>
      <c r="F269" s="403"/>
      <c r="G269" s="402"/>
      <c r="H269" s="402"/>
      <c r="I269" s="402"/>
      <c r="J269" s="402"/>
      <c r="K269" s="402"/>
      <c r="L269" s="402"/>
      <c r="M269" s="402"/>
      <c r="N269" s="402"/>
      <c r="O269" s="402"/>
      <c r="P269" s="402"/>
      <c r="Q269" s="402"/>
      <c r="R269" s="402"/>
      <c r="S269" s="402"/>
      <c r="T269" s="402"/>
      <c r="U269" s="402"/>
      <c r="V269" s="402"/>
      <c r="W269" s="402"/>
      <c r="X269" s="402"/>
      <c r="Y269" s="402"/>
      <c r="Z269" s="402"/>
    </row>
    <row r="270" ht="14.25" customHeight="1">
      <c r="A270" s="402"/>
      <c r="B270" s="402"/>
      <c r="C270" s="402"/>
      <c r="D270" s="402"/>
      <c r="E270" s="402"/>
      <c r="F270" s="403"/>
      <c r="G270" s="402"/>
      <c r="H270" s="402"/>
      <c r="I270" s="402"/>
      <c r="J270" s="402"/>
      <c r="K270" s="402"/>
      <c r="L270" s="402"/>
      <c r="M270" s="402"/>
      <c r="N270" s="402"/>
      <c r="O270" s="402"/>
      <c r="P270" s="402"/>
      <c r="Q270" s="402"/>
      <c r="R270" s="402"/>
      <c r="S270" s="402"/>
      <c r="T270" s="402"/>
      <c r="U270" s="402"/>
      <c r="V270" s="402"/>
      <c r="W270" s="402"/>
      <c r="X270" s="402"/>
      <c r="Y270" s="402"/>
      <c r="Z270" s="402"/>
    </row>
    <row r="271" ht="14.25" customHeight="1">
      <c r="A271" s="402"/>
      <c r="B271" s="402"/>
      <c r="C271" s="402"/>
      <c r="D271" s="402"/>
      <c r="E271" s="402"/>
      <c r="F271" s="403"/>
      <c r="G271" s="402"/>
      <c r="H271" s="402"/>
      <c r="I271" s="402"/>
      <c r="J271" s="402"/>
      <c r="K271" s="402"/>
      <c r="L271" s="402"/>
      <c r="M271" s="402"/>
      <c r="N271" s="402"/>
      <c r="O271" s="402"/>
      <c r="P271" s="402"/>
      <c r="Q271" s="402"/>
      <c r="R271" s="402"/>
      <c r="S271" s="402"/>
      <c r="T271" s="402"/>
      <c r="U271" s="402"/>
      <c r="V271" s="402"/>
      <c r="W271" s="402"/>
      <c r="X271" s="402"/>
      <c r="Y271" s="402"/>
      <c r="Z271" s="402"/>
    </row>
    <row r="272" ht="14.25" customHeight="1">
      <c r="A272" s="402"/>
      <c r="B272" s="402"/>
      <c r="C272" s="402"/>
      <c r="D272" s="402"/>
      <c r="E272" s="402"/>
      <c r="F272" s="403"/>
      <c r="G272" s="402"/>
      <c r="H272" s="402"/>
      <c r="I272" s="402"/>
      <c r="J272" s="402"/>
      <c r="K272" s="402"/>
      <c r="L272" s="402"/>
      <c r="M272" s="402"/>
      <c r="N272" s="402"/>
      <c r="O272" s="402"/>
      <c r="P272" s="402"/>
      <c r="Q272" s="402"/>
      <c r="R272" s="402"/>
      <c r="S272" s="402"/>
      <c r="T272" s="402"/>
      <c r="U272" s="402"/>
      <c r="V272" s="402"/>
      <c r="W272" s="402"/>
      <c r="X272" s="402"/>
      <c r="Y272" s="402"/>
      <c r="Z272" s="402"/>
    </row>
    <row r="273" ht="14.25" customHeight="1">
      <c r="A273" s="402"/>
      <c r="B273" s="402"/>
      <c r="C273" s="402"/>
      <c r="D273" s="402"/>
      <c r="E273" s="402"/>
      <c r="F273" s="403"/>
      <c r="G273" s="402"/>
      <c r="H273" s="402"/>
      <c r="I273" s="402"/>
      <c r="J273" s="402"/>
      <c r="K273" s="402"/>
      <c r="L273" s="402"/>
      <c r="M273" s="402"/>
      <c r="N273" s="402"/>
      <c r="O273" s="402"/>
      <c r="P273" s="402"/>
      <c r="Q273" s="402"/>
      <c r="R273" s="402"/>
      <c r="S273" s="402"/>
      <c r="T273" s="402"/>
      <c r="U273" s="402"/>
      <c r="V273" s="402"/>
      <c r="W273" s="402"/>
      <c r="X273" s="402"/>
      <c r="Y273" s="402"/>
      <c r="Z273" s="402"/>
    </row>
    <row r="274" ht="14.25" customHeight="1">
      <c r="A274" s="402"/>
      <c r="B274" s="402"/>
      <c r="C274" s="402"/>
      <c r="D274" s="402"/>
      <c r="E274" s="402"/>
      <c r="F274" s="403"/>
      <c r="G274" s="402"/>
      <c r="H274" s="402"/>
      <c r="I274" s="402"/>
      <c r="J274" s="402"/>
      <c r="K274" s="402"/>
      <c r="L274" s="402"/>
      <c r="M274" s="402"/>
      <c r="N274" s="402"/>
      <c r="O274" s="402"/>
      <c r="P274" s="402"/>
      <c r="Q274" s="402"/>
      <c r="R274" s="402"/>
      <c r="S274" s="402"/>
      <c r="T274" s="402"/>
      <c r="U274" s="402"/>
      <c r="V274" s="402"/>
      <c r="W274" s="402"/>
      <c r="X274" s="402"/>
      <c r="Y274" s="402"/>
      <c r="Z274" s="402"/>
    </row>
    <row r="275" ht="14.25" customHeight="1">
      <c r="A275" s="402"/>
      <c r="B275" s="402"/>
      <c r="C275" s="402"/>
      <c r="D275" s="402"/>
      <c r="E275" s="402"/>
      <c r="F275" s="403"/>
      <c r="G275" s="402"/>
      <c r="H275" s="402"/>
      <c r="I275" s="402"/>
      <c r="J275" s="402"/>
      <c r="K275" s="402"/>
      <c r="L275" s="402"/>
      <c r="M275" s="402"/>
      <c r="N275" s="402"/>
      <c r="O275" s="402"/>
      <c r="P275" s="402"/>
      <c r="Q275" s="402"/>
      <c r="R275" s="402"/>
      <c r="S275" s="402"/>
      <c r="T275" s="402"/>
      <c r="U275" s="402"/>
      <c r="V275" s="402"/>
      <c r="W275" s="402"/>
      <c r="X275" s="402"/>
      <c r="Y275" s="402"/>
      <c r="Z275" s="402"/>
    </row>
    <row r="276" ht="14.25" customHeight="1">
      <c r="A276" s="402"/>
      <c r="B276" s="402"/>
      <c r="C276" s="402"/>
      <c r="D276" s="402"/>
      <c r="E276" s="402"/>
      <c r="F276" s="403"/>
      <c r="G276" s="402"/>
      <c r="H276" s="402"/>
      <c r="I276" s="402"/>
      <c r="J276" s="402"/>
      <c r="K276" s="402"/>
      <c r="L276" s="402"/>
      <c r="M276" s="402"/>
      <c r="N276" s="402"/>
      <c r="O276" s="402"/>
      <c r="P276" s="402"/>
      <c r="Q276" s="402"/>
      <c r="R276" s="402"/>
      <c r="S276" s="402"/>
      <c r="T276" s="402"/>
      <c r="U276" s="402"/>
      <c r="V276" s="402"/>
      <c r="W276" s="402"/>
      <c r="X276" s="402"/>
      <c r="Y276" s="402"/>
      <c r="Z276" s="402"/>
    </row>
    <row r="277" ht="14.25" customHeight="1">
      <c r="A277" s="402"/>
      <c r="B277" s="402"/>
      <c r="C277" s="402"/>
      <c r="D277" s="402"/>
      <c r="E277" s="402"/>
      <c r="F277" s="403"/>
      <c r="G277" s="402"/>
      <c r="H277" s="402"/>
      <c r="I277" s="402"/>
      <c r="J277" s="402"/>
      <c r="K277" s="402"/>
      <c r="L277" s="402"/>
      <c r="M277" s="402"/>
      <c r="N277" s="402"/>
      <c r="O277" s="402"/>
      <c r="P277" s="402"/>
      <c r="Q277" s="402"/>
      <c r="R277" s="402"/>
      <c r="S277" s="402"/>
      <c r="T277" s="402"/>
      <c r="U277" s="402"/>
      <c r="V277" s="402"/>
      <c r="W277" s="402"/>
      <c r="X277" s="402"/>
      <c r="Y277" s="402"/>
      <c r="Z277" s="402"/>
    </row>
    <row r="278" ht="14.25" customHeight="1">
      <c r="A278" s="402"/>
      <c r="B278" s="402"/>
      <c r="C278" s="402"/>
      <c r="D278" s="402"/>
      <c r="E278" s="402"/>
      <c r="F278" s="403"/>
      <c r="G278" s="402"/>
      <c r="H278" s="402"/>
      <c r="I278" s="402"/>
      <c r="J278" s="402"/>
      <c r="K278" s="402"/>
      <c r="L278" s="402"/>
      <c r="M278" s="402"/>
      <c r="N278" s="402"/>
      <c r="O278" s="402"/>
      <c r="P278" s="402"/>
      <c r="Q278" s="402"/>
      <c r="R278" s="402"/>
      <c r="S278" s="402"/>
      <c r="T278" s="402"/>
      <c r="U278" s="402"/>
      <c r="V278" s="402"/>
      <c r="W278" s="402"/>
      <c r="X278" s="402"/>
      <c r="Y278" s="402"/>
      <c r="Z278" s="402"/>
    </row>
    <row r="279" ht="14.25" customHeight="1">
      <c r="A279" s="402"/>
      <c r="B279" s="402"/>
      <c r="C279" s="402"/>
      <c r="D279" s="402"/>
      <c r="E279" s="402"/>
      <c r="F279" s="403"/>
      <c r="G279" s="402"/>
      <c r="H279" s="402"/>
      <c r="I279" s="402"/>
      <c r="J279" s="402"/>
      <c r="K279" s="402"/>
      <c r="L279" s="402"/>
      <c r="M279" s="402"/>
      <c r="N279" s="402"/>
      <c r="O279" s="402"/>
      <c r="P279" s="402"/>
      <c r="Q279" s="402"/>
      <c r="R279" s="402"/>
      <c r="S279" s="402"/>
      <c r="T279" s="402"/>
      <c r="U279" s="402"/>
      <c r="V279" s="402"/>
      <c r="W279" s="402"/>
      <c r="X279" s="402"/>
      <c r="Y279" s="402"/>
      <c r="Z279" s="402"/>
    </row>
    <row r="280" ht="14.25" customHeight="1">
      <c r="A280" s="402"/>
      <c r="B280" s="402"/>
      <c r="C280" s="402"/>
      <c r="D280" s="402"/>
      <c r="E280" s="402"/>
      <c r="F280" s="403"/>
      <c r="G280" s="402"/>
      <c r="H280" s="402"/>
      <c r="I280" s="402"/>
      <c r="J280" s="402"/>
      <c r="K280" s="402"/>
      <c r="L280" s="402"/>
      <c r="M280" s="402"/>
      <c r="N280" s="402"/>
      <c r="O280" s="402"/>
      <c r="P280" s="402"/>
      <c r="Q280" s="402"/>
      <c r="R280" s="402"/>
      <c r="S280" s="402"/>
      <c r="T280" s="402"/>
      <c r="U280" s="402"/>
      <c r="V280" s="402"/>
      <c r="W280" s="402"/>
      <c r="X280" s="402"/>
      <c r="Y280" s="402"/>
      <c r="Z280" s="402"/>
    </row>
    <row r="281" ht="14.25" customHeight="1">
      <c r="A281" s="402"/>
      <c r="B281" s="402"/>
      <c r="C281" s="402"/>
      <c r="D281" s="402"/>
      <c r="E281" s="402"/>
      <c r="F281" s="403"/>
      <c r="G281" s="402"/>
      <c r="H281" s="402"/>
      <c r="I281" s="402"/>
      <c r="J281" s="402"/>
      <c r="K281" s="402"/>
      <c r="L281" s="402"/>
      <c r="M281" s="402"/>
      <c r="N281" s="402"/>
      <c r="O281" s="402"/>
      <c r="P281" s="402"/>
      <c r="Q281" s="402"/>
      <c r="R281" s="402"/>
      <c r="S281" s="402"/>
      <c r="T281" s="402"/>
      <c r="U281" s="402"/>
      <c r="V281" s="402"/>
      <c r="W281" s="402"/>
      <c r="X281" s="402"/>
      <c r="Y281" s="402"/>
      <c r="Z281" s="402"/>
    </row>
    <row r="282" ht="14.25" customHeight="1">
      <c r="A282" s="402"/>
      <c r="B282" s="402"/>
      <c r="C282" s="402"/>
      <c r="D282" s="402"/>
      <c r="E282" s="402"/>
      <c r="F282" s="403"/>
      <c r="G282" s="402"/>
      <c r="H282" s="402"/>
      <c r="I282" s="402"/>
      <c r="J282" s="402"/>
      <c r="K282" s="402"/>
      <c r="L282" s="402"/>
      <c r="M282" s="402"/>
      <c r="N282" s="402"/>
      <c r="O282" s="402"/>
      <c r="P282" s="402"/>
      <c r="Q282" s="402"/>
      <c r="R282" s="402"/>
      <c r="S282" s="402"/>
      <c r="T282" s="402"/>
      <c r="U282" s="402"/>
      <c r="V282" s="402"/>
      <c r="W282" s="402"/>
      <c r="X282" s="402"/>
      <c r="Y282" s="402"/>
      <c r="Z282" s="402"/>
    </row>
    <row r="283" ht="14.25" customHeight="1">
      <c r="A283" s="402"/>
      <c r="B283" s="402"/>
      <c r="C283" s="402"/>
      <c r="D283" s="402"/>
      <c r="E283" s="402"/>
      <c r="F283" s="403"/>
      <c r="G283" s="402"/>
      <c r="H283" s="402"/>
      <c r="I283" s="402"/>
      <c r="J283" s="402"/>
      <c r="K283" s="402"/>
      <c r="L283" s="402"/>
      <c r="M283" s="402"/>
      <c r="N283" s="402"/>
      <c r="O283" s="402"/>
      <c r="P283" s="402"/>
      <c r="Q283" s="402"/>
      <c r="R283" s="402"/>
      <c r="S283" s="402"/>
      <c r="T283" s="402"/>
      <c r="U283" s="402"/>
      <c r="V283" s="402"/>
      <c r="W283" s="402"/>
      <c r="X283" s="402"/>
      <c r="Y283" s="402"/>
      <c r="Z283" s="402"/>
    </row>
    <row r="284" ht="14.25" customHeight="1">
      <c r="A284" s="402"/>
      <c r="B284" s="402"/>
      <c r="C284" s="402"/>
      <c r="D284" s="402"/>
      <c r="E284" s="402"/>
      <c r="F284" s="403"/>
      <c r="G284" s="402"/>
      <c r="H284" s="402"/>
      <c r="I284" s="402"/>
      <c r="J284" s="402"/>
      <c r="K284" s="402"/>
      <c r="L284" s="402"/>
      <c r="M284" s="402"/>
      <c r="N284" s="402"/>
      <c r="O284" s="402"/>
      <c r="P284" s="402"/>
      <c r="Q284" s="402"/>
      <c r="R284" s="402"/>
      <c r="S284" s="402"/>
      <c r="T284" s="402"/>
      <c r="U284" s="402"/>
      <c r="V284" s="402"/>
      <c r="W284" s="402"/>
      <c r="X284" s="402"/>
      <c r="Y284" s="402"/>
      <c r="Z284" s="402"/>
    </row>
    <row r="285" ht="14.25" customHeight="1">
      <c r="A285" s="402"/>
      <c r="B285" s="402"/>
      <c r="C285" s="402"/>
      <c r="D285" s="402"/>
      <c r="E285" s="402"/>
      <c r="F285" s="403"/>
      <c r="G285" s="402"/>
      <c r="H285" s="402"/>
      <c r="I285" s="402"/>
      <c r="J285" s="402"/>
      <c r="K285" s="402"/>
      <c r="L285" s="402"/>
      <c r="M285" s="402"/>
      <c r="N285" s="402"/>
      <c r="O285" s="402"/>
      <c r="P285" s="402"/>
      <c r="Q285" s="402"/>
      <c r="R285" s="402"/>
      <c r="S285" s="402"/>
      <c r="T285" s="402"/>
      <c r="U285" s="402"/>
      <c r="V285" s="402"/>
      <c r="W285" s="402"/>
      <c r="X285" s="402"/>
      <c r="Y285" s="402"/>
      <c r="Z285" s="402"/>
    </row>
    <row r="286" ht="14.25" customHeight="1">
      <c r="A286" s="402"/>
      <c r="B286" s="402"/>
      <c r="C286" s="402"/>
      <c r="D286" s="402"/>
      <c r="E286" s="402"/>
      <c r="F286" s="403"/>
      <c r="G286" s="402"/>
      <c r="H286" s="402"/>
      <c r="I286" s="402"/>
      <c r="J286" s="402"/>
      <c r="K286" s="402"/>
      <c r="L286" s="402"/>
      <c r="M286" s="402"/>
      <c r="N286" s="402"/>
      <c r="O286" s="402"/>
      <c r="P286" s="402"/>
      <c r="Q286" s="402"/>
      <c r="R286" s="402"/>
      <c r="S286" s="402"/>
      <c r="T286" s="402"/>
      <c r="U286" s="402"/>
      <c r="V286" s="402"/>
      <c r="W286" s="402"/>
      <c r="X286" s="402"/>
      <c r="Y286" s="402"/>
      <c r="Z286" s="402"/>
    </row>
    <row r="287" ht="14.25" customHeight="1">
      <c r="A287" s="402"/>
      <c r="B287" s="402"/>
      <c r="C287" s="402"/>
      <c r="D287" s="402"/>
      <c r="E287" s="402"/>
      <c r="F287" s="403"/>
      <c r="G287" s="402"/>
      <c r="H287" s="402"/>
      <c r="I287" s="402"/>
      <c r="J287" s="402"/>
      <c r="K287" s="402"/>
      <c r="L287" s="402"/>
      <c r="M287" s="402"/>
      <c r="N287" s="402"/>
      <c r="O287" s="402"/>
      <c r="P287" s="402"/>
      <c r="Q287" s="402"/>
      <c r="R287" s="402"/>
      <c r="S287" s="402"/>
      <c r="T287" s="402"/>
      <c r="U287" s="402"/>
      <c r="V287" s="402"/>
      <c r="W287" s="402"/>
      <c r="X287" s="402"/>
      <c r="Y287" s="402"/>
      <c r="Z287" s="402"/>
    </row>
    <row r="288" ht="14.25" customHeight="1">
      <c r="A288" s="402"/>
      <c r="B288" s="402"/>
      <c r="C288" s="402"/>
      <c r="D288" s="402"/>
      <c r="E288" s="402"/>
      <c r="F288" s="403"/>
      <c r="G288" s="402"/>
      <c r="H288" s="402"/>
      <c r="I288" s="402"/>
      <c r="J288" s="402"/>
      <c r="K288" s="402"/>
      <c r="L288" s="402"/>
      <c r="M288" s="402"/>
      <c r="N288" s="402"/>
      <c r="O288" s="402"/>
      <c r="P288" s="402"/>
      <c r="Q288" s="402"/>
      <c r="R288" s="402"/>
      <c r="S288" s="402"/>
      <c r="T288" s="402"/>
      <c r="U288" s="402"/>
      <c r="V288" s="402"/>
      <c r="W288" s="402"/>
      <c r="X288" s="402"/>
      <c r="Y288" s="402"/>
      <c r="Z288" s="402"/>
    </row>
    <row r="289" ht="14.25" customHeight="1">
      <c r="A289" s="402"/>
      <c r="B289" s="402"/>
      <c r="C289" s="402"/>
      <c r="D289" s="402"/>
      <c r="E289" s="402"/>
      <c r="F289" s="403"/>
      <c r="G289" s="402"/>
      <c r="H289" s="402"/>
      <c r="I289" s="402"/>
      <c r="J289" s="402"/>
      <c r="K289" s="402"/>
      <c r="L289" s="402"/>
      <c r="M289" s="402"/>
      <c r="N289" s="402"/>
      <c r="O289" s="402"/>
      <c r="P289" s="402"/>
      <c r="Q289" s="402"/>
      <c r="R289" s="402"/>
      <c r="S289" s="402"/>
      <c r="T289" s="402"/>
      <c r="U289" s="402"/>
      <c r="V289" s="402"/>
      <c r="W289" s="402"/>
      <c r="X289" s="402"/>
      <c r="Y289" s="402"/>
      <c r="Z289" s="402"/>
    </row>
    <row r="290" ht="14.25" customHeight="1">
      <c r="A290" s="402"/>
      <c r="B290" s="402"/>
      <c r="C290" s="402"/>
      <c r="D290" s="402"/>
      <c r="E290" s="402"/>
      <c r="F290" s="403"/>
      <c r="G290" s="402"/>
      <c r="H290" s="402"/>
      <c r="I290" s="402"/>
      <c r="J290" s="402"/>
      <c r="K290" s="402"/>
      <c r="L290" s="402"/>
      <c r="M290" s="402"/>
      <c r="N290" s="402"/>
      <c r="O290" s="402"/>
      <c r="P290" s="402"/>
      <c r="Q290" s="402"/>
      <c r="R290" s="402"/>
      <c r="S290" s="402"/>
      <c r="T290" s="402"/>
      <c r="U290" s="402"/>
      <c r="V290" s="402"/>
      <c r="W290" s="402"/>
      <c r="X290" s="402"/>
      <c r="Y290" s="402"/>
      <c r="Z290" s="402"/>
    </row>
    <row r="291" ht="14.25" customHeight="1">
      <c r="A291" s="402"/>
      <c r="B291" s="402"/>
      <c r="C291" s="402"/>
      <c r="D291" s="402"/>
      <c r="E291" s="402"/>
      <c r="F291" s="403"/>
      <c r="G291" s="402"/>
      <c r="H291" s="402"/>
      <c r="I291" s="402"/>
      <c r="J291" s="402"/>
      <c r="K291" s="402"/>
      <c r="L291" s="402"/>
      <c r="M291" s="402"/>
      <c r="N291" s="402"/>
      <c r="O291" s="402"/>
      <c r="P291" s="402"/>
      <c r="Q291" s="402"/>
      <c r="R291" s="402"/>
      <c r="S291" s="402"/>
      <c r="T291" s="402"/>
      <c r="U291" s="402"/>
      <c r="V291" s="402"/>
      <c r="W291" s="402"/>
      <c r="X291" s="402"/>
      <c r="Y291" s="402"/>
      <c r="Z291" s="402"/>
    </row>
    <row r="292" ht="14.25" customHeight="1">
      <c r="A292" s="402"/>
      <c r="B292" s="402"/>
      <c r="C292" s="402"/>
      <c r="D292" s="402"/>
      <c r="E292" s="402"/>
      <c r="F292" s="403"/>
      <c r="G292" s="402"/>
      <c r="H292" s="402"/>
      <c r="I292" s="402"/>
      <c r="J292" s="402"/>
      <c r="K292" s="402"/>
      <c r="L292" s="402"/>
      <c r="M292" s="402"/>
      <c r="N292" s="402"/>
      <c r="O292" s="402"/>
      <c r="P292" s="402"/>
      <c r="Q292" s="402"/>
      <c r="R292" s="402"/>
      <c r="S292" s="402"/>
      <c r="T292" s="402"/>
      <c r="U292" s="402"/>
      <c r="V292" s="402"/>
      <c r="W292" s="402"/>
      <c r="X292" s="402"/>
      <c r="Y292" s="402"/>
      <c r="Z292" s="402"/>
    </row>
    <row r="293" ht="14.25" customHeight="1">
      <c r="A293" s="402"/>
      <c r="B293" s="402"/>
      <c r="C293" s="402"/>
      <c r="D293" s="402"/>
      <c r="E293" s="402"/>
      <c r="F293" s="403"/>
      <c r="G293" s="402"/>
      <c r="H293" s="402"/>
      <c r="I293" s="402"/>
      <c r="J293" s="402"/>
      <c r="K293" s="402"/>
      <c r="L293" s="402"/>
      <c r="M293" s="402"/>
      <c r="N293" s="402"/>
      <c r="O293" s="402"/>
      <c r="P293" s="402"/>
      <c r="Q293" s="402"/>
      <c r="R293" s="402"/>
      <c r="S293" s="402"/>
      <c r="T293" s="402"/>
      <c r="U293" s="402"/>
      <c r="V293" s="402"/>
      <c r="W293" s="402"/>
      <c r="X293" s="402"/>
      <c r="Y293" s="402"/>
      <c r="Z293" s="402"/>
    </row>
    <row r="294" ht="14.25" customHeight="1">
      <c r="A294" s="402"/>
      <c r="B294" s="402"/>
      <c r="C294" s="402"/>
      <c r="D294" s="402"/>
      <c r="E294" s="402"/>
      <c r="F294" s="403"/>
      <c r="G294" s="402"/>
      <c r="H294" s="402"/>
      <c r="I294" s="402"/>
      <c r="J294" s="402"/>
      <c r="K294" s="402"/>
      <c r="L294" s="402"/>
      <c r="M294" s="402"/>
      <c r="N294" s="402"/>
      <c r="O294" s="402"/>
      <c r="P294" s="402"/>
      <c r="Q294" s="402"/>
      <c r="R294" s="402"/>
      <c r="S294" s="402"/>
      <c r="T294" s="402"/>
      <c r="U294" s="402"/>
      <c r="V294" s="402"/>
      <c r="W294" s="402"/>
      <c r="X294" s="402"/>
      <c r="Y294" s="402"/>
      <c r="Z294" s="402"/>
    </row>
    <row r="295" ht="14.25" customHeight="1">
      <c r="A295" s="402"/>
      <c r="B295" s="402"/>
      <c r="C295" s="402"/>
      <c r="D295" s="402"/>
      <c r="E295" s="402"/>
      <c r="F295" s="403"/>
      <c r="G295" s="402"/>
      <c r="H295" s="402"/>
      <c r="I295" s="402"/>
      <c r="J295" s="402"/>
      <c r="K295" s="402"/>
      <c r="L295" s="402"/>
      <c r="M295" s="402"/>
      <c r="N295" s="402"/>
      <c r="O295" s="402"/>
      <c r="P295" s="402"/>
      <c r="Q295" s="402"/>
      <c r="R295" s="402"/>
      <c r="S295" s="402"/>
      <c r="T295" s="402"/>
      <c r="U295" s="402"/>
      <c r="V295" s="402"/>
      <c r="W295" s="402"/>
      <c r="X295" s="402"/>
      <c r="Y295" s="402"/>
      <c r="Z295" s="402"/>
    </row>
    <row r="296" ht="14.25" customHeight="1">
      <c r="A296" s="402"/>
      <c r="B296" s="402"/>
      <c r="C296" s="402"/>
      <c r="D296" s="402"/>
      <c r="E296" s="402"/>
      <c r="F296" s="403"/>
      <c r="G296" s="402"/>
      <c r="H296" s="402"/>
      <c r="I296" s="402"/>
      <c r="J296" s="402"/>
      <c r="K296" s="402"/>
      <c r="L296" s="402"/>
      <c r="M296" s="402"/>
      <c r="N296" s="402"/>
      <c r="O296" s="402"/>
      <c r="P296" s="402"/>
      <c r="Q296" s="402"/>
      <c r="R296" s="402"/>
      <c r="S296" s="402"/>
      <c r="T296" s="402"/>
      <c r="U296" s="402"/>
      <c r="V296" s="402"/>
      <c r="W296" s="402"/>
      <c r="X296" s="402"/>
      <c r="Y296" s="402"/>
      <c r="Z296" s="402"/>
    </row>
    <row r="297" ht="14.25" customHeight="1">
      <c r="A297" s="402"/>
      <c r="B297" s="402"/>
      <c r="C297" s="402"/>
      <c r="D297" s="402"/>
      <c r="E297" s="402"/>
      <c r="F297" s="403"/>
      <c r="G297" s="402"/>
      <c r="H297" s="402"/>
      <c r="I297" s="402"/>
      <c r="J297" s="402"/>
      <c r="K297" s="402"/>
      <c r="L297" s="402"/>
      <c r="M297" s="402"/>
      <c r="N297" s="402"/>
      <c r="O297" s="402"/>
      <c r="P297" s="402"/>
      <c r="Q297" s="402"/>
      <c r="R297" s="402"/>
      <c r="S297" s="402"/>
      <c r="T297" s="402"/>
      <c r="U297" s="402"/>
      <c r="V297" s="402"/>
      <c r="W297" s="402"/>
      <c r="X297" s="402"/>
      <c r="Y297" s="402"/>
      <c r="Z297" s="402"/>
    </row>
    <row r="298" ht="14.25" customHeight="1">
      <c r="A298" s="402"/>
      <c r="B298" s="402"/>
      <c r="C298" s="402"/>
      <c r="D298" s="402"/>
      <c r="E298" s="402"/>
      <c r="F298" s="403"/>
      <c r="G298" s="402"/>
      <c r="H298" s="402"/>
      <c r="I298" s="402"/>
      <c r="J298" s="402"/>
      <c r="K298" s="402"/>
      <c r="L298" s="402"/>
      <c r="M298" s="402"/>
      <c r="N298" s="402"/>
      <c r="O298" s="402"/>
      <c r="P298" s="402"/>
      <c r="Q298" s="402"/>
      <c r="R298" s="402"/>
      <c r="S298" s="402"/>
      <c r="T298" s="402"/>
      <c r="U298" s="402"/>
      <c r="V298" s="402"/>
      <c r="W298" s="402"/>
      <c r="X298" s="402"/>
      <c r="Y298" s="402"/>
      <c r="Z298" s="402"/>
    </row>
    <row r="299" ht="14.25" customHeight="1">
      <c r="A299" s="402"/>
      <c r="B299" s="402"/>
      <c r="C299" s="402"/>
      <c r="D299" s="402"/>
      <c r="E299" s="402"/>
      <c r="F299" s="403"/>
      <c r="G299" s="402"/>
      <c r="H299" s="402"/>
      <c r="I299" s="402"/>
      <c r="J299" s="402"/>
      <c r="K299" s="402"/>
      <c r="L299" s="402"/>
      <c r="M299" s="402"/>
      <c r="N299" s="402"/>
      <c r="O299" s="402"/>
      <c r="P299" s="402"/>
      <c r="Q299" s="402"/>
      <c r="R299" s="402"/>
      <c r="S299" s="402"/>
      <c r="T299" s="402"/>
      <c r="U299" s="402"/>
      <c r="V299" s="402"/>
      <c r="W299" s="402"/>
      <c r="X299" s="402"/>
      <c r="Y299" s="402"/>
      <c r="Z299" s="402"/>
    </row>
    <row r="300" ht="14.25" customHeight="1">
      <c r="A300" s="402"/>
      <c r="B300" s="402"/>
      <c r="C300" s="402"/>
      <c r="D300" s="402"/>
      <c r="E300" s="402"/>
      <c r="F300" s="403"/>
      <c r="G300" s="402"/>
      <c r="H300" s="402"/>
      <c r="I300" s="402"/>
      <c r="J300" s="402"/>
      <c r="K300" s="402"/>
      <c r="L300" s="402"/>
      <c r="M300" s="402"/>
      <c r="N300" s="402"/>
      <c r="O300" s="402"/>
      <c r="P300" s="402"/>
      <c r="Q300" s="402"/>
      <c r="R300" s="402"/>
      <c r="S300" s="402"/>
      <c r="T300" s="402"/>
      <c r="U300" s="402"/>
      <c r="V300" s="402"/>
      <c r="W300" s="402"/>
      <c r="X300" s="402"/>
      <c r="Y300" s="402"/>
      <c r="Z300" s="402"/>
    </row>
    <row r="301" ht="14.25" customHeight="1">
      <c r="A301" s="402"/>
      <c r="B301" s="402"/>
      <c r="C301" s="402"/>
      <c r="D301" s="402"/>
      <c r="E301" s="402"/>
      <c r="F301" s="403"/>
      <c r="G301" s="402"/>
      <c r="H301" s="402"/>
      <c r="I301" s="402"/>
      <c r="J301" s="402"/>
      <c r="K301" s="402"/>
      <c r="L301" s="402"/>
      <c r="M301" s="402"/>
      <c r="N301" s="402"/>
      <c r="O301" s="402"/>
      <c r="P301" s="402"/>
      <c r="Q301" s="402"/>
      <c r="R301" s="402"/>
      <c r="S301" s="402"/>
      <c r="T301" s="402"/>
      <c r="U301" s="402"/>
      <c r="V301" s="402"/>
      <c r="W301" s="402"/>
      <c r="X301" s="402"/>
      <c r="Y301" s="402"/>
      <c r="Z301" s="402"/>
    </row>
    <row r="302" ht="14.25" customHeight="1">
      <c r="A302" s="402"/>
      <c r="B302" s="402"/>
      <c r="C302" s="402"/>
      <c r="D302" s="402"/>
      <c r="E302" s="402"/>
      <c r="F302" s="403"/>
      <c r="G302" s="402"/>
      <c r="H302" s="402"/>
      <c r="I302" s="402"/>
      <c r="J302" s="402"/>
      <c r="K302" s="402"/>
      <c r="L302" s="402"/>
      <c r="M302" s="402"/>
      <c r="N302" s="402"/>
      <c r="O302" s="402"/>
      <c r="P302" s="402"/>
      <c r="Q302" s="402"/>
      <c r="R302" s="402"/>
      <c r="S302" s="402"/>
      <c r="T302" s="402"/>
      <c r="U302" s="402"/>
      <c r="V302" s="402"/>
      <c r="W302" s="402"/>
      <c r="X302" s="402"/>
      <c r="Y302" s="402"/>
      <c r="Z302" s="402"/>
    </row>
    <row r="303" ht="14.25" customHeight="1">
      <c r="A303" s="402"/>
      <c r="B303" s="402"/>
      <c r="C303" s="402"/>
      <c r="D303" s="402"/>
      <c r="E303" s="402"/>
      <c r="F303" s="403"/>
      <c r="G303" s="402"/>
      <c r="H303" s="402"/>
      <c r="I303" s="402"/>
      <c r="J303" s="402"/>
      <c r="K303" s="402"/>
      <c r="L303" s="402"/>
      <c r="M303" s="402"/>
      <c r="N303" s="402"/>
      <c r="O303" s="402"/>
      <c r="P303" s="402"/>
      <c r="Q303" s="402"/>
      <c r="R303" s="402"/>
      <c r="S303" s="402"/>
      <c r="T303" s="402"/>
      <c r="U303" s="402"/>
      <c r="V303" s="402"/>
      <c r="W303" s="402"/>
      <c r="X303" s="402"/>
      <c r="Y303" s="402"/>
      <c r="Z303" s="402"/>
    </row>
    <row r="304" ht="14.25" customHeight="1">
      <c r="A304" s="402"/>
      <c r="B304" s="402"/>
      <c r="C304" s="402"/>
      <c r="D304" s="402"/>
      <c r="E304" s="402"/>
      <c r="F304" s="403"/>
      <c r="G304" s="402"/>
      <c r="H304" s="402"/>
      <c r="I304" s="402"/>
      <c r="J304" s="402"/>
      <c r="K304" s="402"/>
      <c r="L304" s="402"/>
      <c r="M304" s="402"/>
      <c r="N304" s="402"/>
      <c r="O304" s="402"/>
      <c r="P304" s="402"/>
      <c r="Q304" s="402"/>
      <c r="R304" s="402"/>
      <c r="S304" s="402"/>
      <c r="T304" s="402"/>
      <c r="U304" s="402"/>
      <c r="V304" s="402"/>
      <c r="W304" s="402"/>
      <c r="X304" s="402"/>
      <c r="Y304" s="402"/>
      <c r="Z304" s="402"/>
    </row>
    <row r="305" ht="14.25" customHeight="1">
      <c r="A305" s="402"/>
      <c r="B305" s="402"/>
      <c r="C305" s="402"/>
      <c r="D305" s="402"/>
      <c r="E305" s="402"/>
      <c r="F305" s="403"/>
      <c r="G305" s="402"/>
      <c r="H305" s="402"/>
      <c r="I305" s="402"/>
      <c r="J305" s="402"/>
      <c r="K305" s="402"/>
      <c r="L305" s="402"/>
      <c r="M305" s="402"/>
      <c r="N305" s="402"/>
      <c r="O305" s="402"/>
      <c r="P305" s="402"/>
      <c r="Q305" s="402"/>
      <c r="R305" s="402"/>
      <c r="S305" s="402"/>
      <c r="T305" s="402"/>
      <c r="U305" s="402"/>
      <c r="V305" s="402"/>
      <c r="W305" s="402"/>
      <c r="X305" s="402"/>
      <c r="Y305" s="402"/>
      <c r="Z305" s="402"/>
    </row>
    <row r="306" ht="14.25" customHeight="1">
      <c r="A306" s="402"/>
      <c r="B306" s="402"/>
      <c r="C306" s="402"/>
      <c r="D306" s="402"/>
      <c r="E306" s="402"/>
      <c r="F306" s="403"/>
      <c r="G306" s="402"/>
      <c r="H306" s="402"/>
      <c r="I306" s="402"/>
      <c r="J306" s="402"/>
      <c r="K306" s="402"/>
      <c r="L306" s="402"/>
      <c r="M306" s="402"/>
      <c r="N306" s="402"/>
      <c r="O306" s="402"/>
      <c r="P306" s="402"/>
      <c r="Q306" s="402"/>
      <c r="R306" s="402"/>
      <c r="S306" s="402"/>
      <c r="T306" s="402"/>
      <c r="U306" s="402"/>
      <c r="V306" s="402"/>
      <c r="W306" s="402"/>
      <c r="X306" s="402"/>
      <c r="Y306" s="402"/>
      <c r="Z306" s="402"/>
    </row>
    <row r="307" ht="14.25" customHeight="1">
      <c r="A307" s="402"/>
      <c r="B307" s="402"/>
      <c r="C307" s="402"/>
      <c r="D307" s="402"/>
      <c r="E307" s="402"/>
      <c r="F307" s="403"/>
      <c r="G307" s="402"/>
      <c r="H307" s="402"/>
      <c r="I307" s="402"/>
      <c r="J307" s="402"/>
      <c r="K307" s="402"/>
      <c r="L307" s="402"/>
      <c r="M307" s="402"/>
      <c r="N307" s="402"/>
      <c r="O307" s="402"/>
      <c r="P307" s="402"/>
      <c r="Q307" s="402"/>
      <c r="R307" s="402"/>
      <c r="S307" s="402"/>
      <c r="T307" s="402"/>
      <c r="U307" s="402"/>
      <c r="V307" s="402"/>
      <c r="W307" s="402"/>
      <c r="X307" s="402"/>
      <c r="Y307" s="402"/>
      <c r="Z307" s="402"/>
    </row>
    <row r="308" ht="14.25" customHeight="1">
      <c r="A308" s="402"/>
      <c r="B308" s="402"/>
      <c r="C308" s="402"/>
      <c r="D308" s="402"/>
      <c r="E308" s="402"/>
      <c r="F308" s="403"/>
      <c r="G308" s="402"/>
      <c r="H308" s="402"/>
      <c r="I308" s="402"/>
      <c r="J308" s="402"/>
      <c r="K308" s="402"/>
      <c r="L308" s="402"/>
      <c r="M308" s="402"/>
      <c r="N308" s="402"/>
      <c r="O308" s="402"/>
      <c r="P308" s="402"/>
      <c r="Q308" s="402"/>
      <c r="R308" s="402"/>
      <c r="S308" s="402"/>
      <c r="T308" s="402"/>
      <c r="U308" s="402"/>
      <c r="V308" s="402"/>
      <c r="W308" s="402"/>
      <c r="X308" s="402"/>
      <c r="Y308" s="402"/>
      <c r="Z308" s="402"/>
    </row>
    <row r="309" ht="14.25" customHeight="1">
      <c r="A309" s="402"/>
      <c r="B309" s="402"/>
      <c r="C309" s="402"/>
      <c r="D309" s="402"/>
      <c r="E309" s="402"/>
      <c r="F309" s="403"/>
      <c r="G309" s="402"/>
      <c r="H309" s="402"/>
      <c r="I309" s="402"/>
      <c r="J309" s="402"/>
      <c r="K309" s="402"/>
      <c r="L309" s="402"/>
      <c r="M309" s="402"/>
      <c r="N309" s="402"/>
      <c r="O309" s="402"/>
      <c r="P309" s="402"/>
      <c r="Q309" s="402"/>
      <c r="R309" s="402"/>
      <c r="S309" s="402"/>
      <c r="T309" s="402"/>
      <c r="U309" s="402"/>
      <c r="V309" s="402"/>
      <c r="W309" s="402"/>
      <c r="X309" s="402"/>
      <c r="Y309" s="402"/>
      <c r="Z309" s="402"/>
    </row>
    <row r="310" ht="14.25" customHeight="1">
      <c r="A310" s="402"/>
      <c r="B310" s="402"/>
      <c r="C310" s="402"/>
      <c r="D310" s="402"/>
      <c r="E310" s="402"/>
      <c r="F310" s="403"/>
      <c r="G310" s="402"/>
      <c r="H310" s="402"/>
      <c r="I310" s="402"/>
      <c r="J310" s="402"/>
      <c r="K310" s="402"/>
      <c r="L310" s="402"/>
      <c r="M310" s="402"/>
      <c r="N310" s="402"/>
      <c r="O310" s="402"/>
      <c r="P310" s="402"/>
      <c r="Q310" s="402"/>
      <c r="R310" s="402"/>
      <c r="S310" s="402"/>
      <c r="T310" s="402"/>
      <c r="U310" s="402"/>
      <c r="V310" s="402"/>
      <c r="W310" s="402"/>
      <c r="X310" s="402"/>
      <c r="Y310" s="402"/>
      <c r="Z310" s="402"/>
    </row>
    <row r="311" ht="14.25" customHeight="1">
      <c r="A311" s="402"/>
      <c r="B311" s="402"/>
      <c r="C311" s="402"/>
      <c r="D311" s="402"/>
      <c r="E311" s="402"/>
      <c r="F311" s="403"/>
      <c r="G311" s="402"/>
      <c r="H311" s="402"/>
      <c r="I311" s="402"/>
      <c r="J311" s="402"/>
      <c r="K311" s="402"/>
      <c r="L311" s="402"/>
      <c r="M311" s="402"/>
      <c r="N311" s="402"/>
      <c r="O311" s="402"/>
      <c r="P311" s="402"/>
      <c r="Q311" s="402"/>
      <c r="R311" s="402"/>
      <c r="S311" s="402"/>
      <c r="T311" s="402"/>
      <c r="U311" s="402"/>
      <c r="V311" s="402"/>
      <c r="W311" s="402"/>
      <c r="X311" s="402"/>
      <c r="Y311" s="402"/>
      <c r="Z311" s="402"/>
    </row>
    <row r="312" ht="14.25" customHeight="1">
      <c r="A312" s="402"/>
      <c r="B312" s="402"/>
      <c r="C312" s="402"/>
      <c r="D312" s="402"/>
      <c r="E312" s="402"/>
      <c r="F312" s="403"/>
      <c r="G312" s="402"/>
      <c r="H312" s="402"/>
      <c r="I312" s="402"/>
      <c r="J312" s="402"/>
      <c r="K312" s="402"/>
      <c r="L312" s="402"/>
      <c r="M312" s="402"/>
      <c r="N312" s="402"/>
      <c r="O312" s="402"/>
      <c r="P312" s="402"/>
      <c r="Q312" s="402"/>
      <c r="R312" s="402"/>
      <c r="S312" s="402"/>
      <c r="T312" s="402"/>
      <c r="U312" s="402"/>
      <c r="V312" s="402"/>
      <c r="W312" s="402"/>
      <c r="X312" s="402"/>
      <c r="Y312" s="402"/>
      <c r="Z312" s="402"/>
    </row>
    <row r="313" ht="14.25" customHeight="1">
      <c r="A313" s="402"/>
      <c r="B313" s="402"/>
      <c r="C313" s="402"/>
      <c r="D313" s="402"/>
      <c r="E313" s="402"/>
      <c r="F313" s="403"/>
      <c r="G313" s="402"/>
      <c r="H313" s="402"/>
      <c r="I313" s="402"/>
      <c r="J313" s="402"/>
      <c r="K313" s="402"/>
      <c r="L313" s="402"/>
      <c r="M313" s="402"/>
      <c r="N313" s="402"/>
      <c r="O313" s="402"/>
      <c r="P313" s="402"/>
      <c r="Q313" s="402"/>
      <c r="R313" s="402"/>
      <c r="S313" s="402"/>
      <c r="T313" s="402"/>
      <c r="U313" s="402"/>
      <c r="V313" s="402"/>
      <c r="W313" s="402"/>
      <c r="X313" s="402"/>
      <c r="Y313" s="402"/>
      <c r="Z313" s="402"/>
    </row>
    <row r="314" ht="14.25" customHeight="1">
      <c r="A314" s="402"/>
      <c r="B314" s="402"/>
      <c r="C314" s="402"/>
      <c r="D314" s="402"/>
      <c r="E314" s="402"/>
      <c r="F314" s="403"/>
      <c r="G314" s="402"/>
      <c r="H314" s="402"/>
      <c r="I314" s="402"/>
      <c r="J314" s="402"/>
      <c r="K314" s="402"/>
      <c r="L314" s="402"/>
      <c r="M314" s="402"/>
      <c r="N314" s="402"/>
      <c r="O314" s="402"/>
      <c r="P314" s="402"/>
      <c r="Q314" s="402"/>
      <c r="R314" s="402"/>
      <c r="S314" s="402"/>
      <c r="T314" s="402"/>
      <c r="U314" s="402"/>
      <c r="V314" s="402"/>
      <c r="W314" s="402"/>
      <c r="X314" s="402"/>
      <c r="Y314" s="402"/>
      <c r="Z314" s="402"/>
    </row>
    <row r="315" ht="14.25" customHeight="1">
      <c r="A315" s="402"/>
      <c r="B315" s="402"/>
      <c r="C315" s="402"/>
      <c r="D315" s="402"/>
      <c r="E315" s="402"/>
      <c r="F315" s="403"/>
      <c r="G315" s="402"/>
      <c r="H315" s="402"/>
      <c r="I315" s="402"/>
      <c r="J315" s="402"/>
      <c r="K315" s="402"/>
      <c r="L315" s="402"/>
      <c r="M315" s="402"/>
      <c r="N315" s="402"/>
      <c r="O315" s="402"/>
      <c r="P315" s="402"/>
      <c r="Q315" s="402"/>
      <c r="R315" s="402"/>
      <c r="S315" s="402"/>
      <c r="T315" s="402"/>
      <c r="U315" s="402"/>
      <c r="V315" s="402"/>
      <c r="W315" s="402"/>
      <c r="X315" s="402"/>
      <c r="Y315" s="402"/>
      <c r="Z315" s="402"/>
    </row>
    <row r="316" ht="14.25" customHeight="1">
      <c r="A316" s="402"/>
      <c r="B316" s="402"/>
      <c r="C316" s="402"/>
      <c r="D316" s="402"/>
      <c r="E316" s="402"/>
      <c r="F316" s="403"/>
      <c r="G316" s="402"/>
      <c r="H316" s="402"/>
      <c r="I316" s="402"/>
      <c r="J316" s="402"/>
      <c r="K316" s="402"/>
      <c r="L316" s="402"/>
      <c r="M316" s="402"/>
      <c r="N316" s="402"/>
      <c r="O316" s="402"/>
      <c r="P316" s="402"/>
      <c r="Q316" s="402"/>
      <c r="R316" s="402"/>
      <c r="S316" s="402"/>
      <c r="T316" s="402"/>
      <c r="U316" s="402"/>
      <c r="V316" s="402"/>
      <c r="W316" s="402"/>
      <c r="X316" s="402"/>
      <c r="Y316" s="402"/>
      <c r="Z316" s="402"/>
    </row>
    <row r="317" ht="14.25" customHeight="1">
      <c r="A317" s="402"/>
      <c r="B317" s="402"/>
      <c r="C317" s="402"/>
      <c r="D317" s="402"/>
      <c r="E317" s="402"/>
      <c r="F317" s="403"/>
      <c r="G317" s="402"/>
      <c r="H317" s="402"/>
      <c r="I317" s="402"/>
      <c r="J317" s="402"/>
      <c r="K317" s="402"/>
      <c r="L317" s="402"/>
      <c r="M317" s="402"/>
      <c r="N317" s="402"/>
      <c r="O317" s="402"/>
      <c r="P317" s="402"/>
      <c r="Q317" s="402"/>
      <c r="R317" s="402"/>
      <c r="S317" s="402"/>
      <c r="T317" s="402"/>
      <c r="U317" s="402"/>
      <c r="V317" s="402"/>
      <c r="W317" s="402"/>
      <c r="X317" s="402"/>
      <c r="Y317" s="402"/>
      <c r="Z317" s="402"/>
    </row>
    <row r="318" ht="14.25" customHeight="1">
      <c r="A318" s="402"/>
      <c r="B318" s="402"/>
      <c r="C318" s="402"/>
      <c r="D318" s="402"/>
      <c r="E318" s="402"/>
      <c r="F318" s="403"/>
      <c r="G318" s="402"/>
      <c r="H318" s="402"/>
      <c r="I318" s="402"/>
      <c r="J318" s="402"/>
      <c r="K318" s="402"/>
      <c r="L318" s="402"/>
      <c r="M318" s="402"/>
      <c r="N318" s="402"/>
      <c r="O318" s="402"/>
      <c r="P318" s="402"/>
      <c r="Q318" s="402"/>
      <c r="R318" s="402"/>
      <c r="S318" s="402"/>
      <c r="T318" s="402"/>
      <c r="U318" s="402"/>
      <c r="V318" s="402"/>
      <c r="W318" s="402"/>
      <c r="X318" s="402"/>
      <c r="Y318" s="402"/>
      <c r="Z318" s="402"/>
    </row>
    <row r="319" ht="14.25" customHeight="1">
      <c r="A319" s="402"/>
      <c r="B319" s="402"/>
      <c r="C319" s="402"/>
      <c r="D319" s="402"/>
      <c r="E319" s="402"/>
      <c r="F319" s="403"/>
      <c r="G319" s="402"/>
      <c r="H319" s="402"/>
      <c r="I319" s="402"/>
      <c r="J319" s="402"/>
      <c r="K319" s="402"/>
      <c r="L319" s="402"/>
      <c r="M319" s="402"/>
      <c r="N319" s="402"/>
      <c r="O319" s="402"/>
      <c r="P319" s="402"/>
      <c r="Q319" s="402"/>
      <c r="R319" s="402"/>
      <c r="S319" s="402"/>
      <c r="T319" s="402"/>
      <c r="U319" s="402"/>
      <c r="V319" s="402"/>
      <c r="W319" s="402"/>
      <c r="X319" s="402"/>
      <c r="Y319" s="402"/>
      <c r="Z319" s="402"/>
    </row>
    <row r="320" ht="14.25" customHeight="1">
      <c r="A320" s="402"/>
      <c r="B320" s="402"/>
      <c r="C320" s="402"/>
      <c r="D320" s="402"/>
      <c r="E320" s="402"/>
      <c r="F320" s="403"/>
      <c r="G320" s="402"/>
      <c r="H320" s="402"/>
      <c r="I320" s="402"/>
      <c r="J320" s="402"/>
      <c r="K320" s="402"/>
      <c r="L320" s="402"/>
      <c r="M320" s="402"/>
      <c r="N320" s="402"/>
      <c r="O320" s="402"/>
      <c r="P320" s="402"/>
      <c r="Q320" s="402"/>
      <c r="R320" s="402"/>
      <c r="S320" s="402"/>
      <c r="T320" s="402"/>
      <c r="U320" s="402"/>
      <c r="V320" s="402"/>
      <c r="W320" s="402"/>
      <c r="X320" s="402"/>
      <c r="Y320" s="402"/>
      <c r="Z320" s="402"/>
    </row>
    <row r="321" ht="14.25" customHeight="1">
      <c r="A321" s="402"/>
      <c r="B321" s="402"/>
      <c r="C321" s="402"/>
      <c r="D321" s="402"/>
      <c r="E321" s="402"/>
      <c r="F321" s="403"/>
      <c r="G321" s="402"/>
      <c r="H321" s="402"/>
      <c r="I321" s="402"/>
      <c r="J321" s="402"/>
      <c r="K321" s="402"/>
      <c r="L321" s="402"/>
      <c r="M321" s="402"/>
      <c r="N321" s="402"/>
      <c r="O321" s="402"/>
      <c r="P321" s="402"/>
      <c r="Q321" s="402"/>
      <c r="R321" s="402"/>
      <c r="S321" s="402"/>
      <c r="T321" s="402"/>
      <c r="U321" s="402"/>
      <c r="V321" s="402"/>
      <c r="W321" s="402"/>
      <c r="X321" s="402"/>
      <c r="Y321" s="402"/>
      <c r="Z321" s="402"/>
    </row>
    <row r="322" ht="14.25" customHeight="1">
      <c r="A322" s="402"/>
      <c r="B322" s="402"/>
      <c r="C322" s="402"/>
      <c r="D322" s="402"/>
      <c r="E322" s="402"/>
      <c r="F322" s="403"/>
      <c r="G322" s="402"/>
      <c r="H322" s="402"/>
      <c r="I322" s="402"/>
      <c r="J322" s="402"/>
      <c r="K322" s="402"/>
      <c r="L322" s="402"/>
      <c r="M322" s="402"/>
      <c r="N322" s="402"/>
      <c r="O322" s="402"/>
      <c r="P322" s="402"/>
      <c r="Q322" s="402"/>
      <c r="R322" s="402"/>
      <c r="S322" s="402"/>
      <c r="T322" s="402"/>
      <c r="U322" s="402"/>
      <c r="V322" s="402"/>
      <c r="W322" s="402"/>
      <c r="X322" s="402"/>
      <c r="Y322" s="402"/>
      <c r="Z322" s="402"/>
    </row>
    <row r="323" ht="14.25" customHeight="1">
      <c r="A323" s="402"/>
      <c r="B323" s="402"/>
      <c r="C323" s="402"/>
      <c r="D323" s="402"/>
      <c r="E323" s="402"/>
      <c r="F323" s="403"/>
      <c r="G323" s="402"/>
      <c r="H323" s="402"/>
      <c r="I323" s="402"/>
      <c r="J323" s="402"/>
      <c r="K323" s="402"/>
      <c r="L323" s="402"/>
      <c r="M323" s="402"/>
      <c r="N323" s="402"/>
      <c r="O323" s="402"/>
      <c r="P323" s="402"/>
      <c r="Q323" s="402"/>
      <c r="R323" s="402"/>
      <c r="S323" s="402"/>
      <c r="T323" s="402"/>
      <c r="U323" s="402"/>
      <c r="V323" s="402"/>
      <c r="W323" s="402"/>
      <c r="X323" s="402"/>
      <c r="Y323" s="402"/>
      <c r="Z323" s="402"/>
    </row>
    <row r="324" ht="14.25" customHeight="1">
      <c r="A324" s="402"/>
      <c r="B324" s="402"/>
      <c r="C324" s="402"/>
      <c r="D324" s="402"/>
      <c r="E324" s="402"/>
      <c r="F324" s="403"/>
      <c r="G324" s="402"/>
      <c r="H324" s="402"/>
      <c r="I324" s="402"/>
      <c r="J324" s="402"/>
      <c r="K324" s="402"/>
      <c r="L324" s="402"/>
      <c r="M324" s="402"/>
      <c r="N324" s="402"/>
      <c r="O324" s="402"/>
      <c r="P324" s="402"/>
      <c r="Q324" s="402"/>
      <c r="R324" s="402"/>
      <c r="S324" s="402"/>
      <c r="T324" s="402"/>
      <c r="U324" s="402"/>
      <c r="V324" s="402"/>
      <c r="W324" s="402"/>
      <c r="X324" s="402"/>
      <c r="Y324" s="402"/>
      <c r="Z324" s="402"/>
    </row>
    <row r="325" ht="14.25" customHeight="1">
      <c r="A325" s="402"/>
      <c r="B325" s="402"/>
      <c r="C325" s="402"/>
      <c r="D325" s="402"/>
      <c r="E325" s="402"/>
      <c r="F325" s="403"/>
      <c r="G325" s="402"/>
      <c r="H325" s="402"/>
      <c r="I325" s="402"/>
      <c r="J325" s="402"/>
      <c r="K325" s="402"/>
      <c r="L325" s="402"/>
      <c r="M325" s="402"/>
      <c r="N325" s="402"/>
      <c r="O325" s="402"/>
      <c r="P325" s="402"/>
      <c r="Q325" s="402"/>
      <c r="R325" s="402"/>
      <c r="S325" s="402"/>
      <c r="T325" s="402"/>
      <c r="U325" s="402"/>
      <c r="V325" s="402"/>
      <c r="W325" s="402"/>
      <c r="X325" s="402"/>
      <c r="Y325" s="402"/>
      <c r="Z325" s="402"/>
    </row>
    <row r="326" ht="14.25" customHeight="1">
      <c r="A326" s="402"/>
      <c r="B326" s="402"/>
      <c r="C326" s="402"/>
      <c r="D326" s="402"/>
      <c r="E326" s="402"/>
      <c r="F326" s="403"/>
      <c r="G326" s="402"/>
      <c r="H326" s="402"/>
      <c r="I326" s="402"/>
      <c r="J326" s="402"/>
      <c r="K326" s="402"/>
      <c r="L326" s="402"/>
      <c r="M326" s="402"/>
      <c r="N326" s="402"/>
      <c r="O326" s="402"/>
      <c r="P326" s="402"/>
      <c r="Q326" s="402"/>
      <c r="R326" s="402"/>
      <c r="S326" s="402"/>
      <c r="T326" s="402"/>
      <c r="U326" s="402"/>
      <c r="V326" s="402"/>
      <c r="W326" s="402"/>
      <c r="X326" s="402"/>
      <c r="Y326" s="402"/>
      <c r="Z326" s="402"/>
    </row>
    <row r="327" ht="14.25" customHeight="1">
      <c r="A327" s="402"/>
      <c r="B327" s="402"/>
      <c r="C327" s="402"/>
      <c r="D327" s="402"/>
      <c r="E327" s="402"/>
      <c r="F327" s="403"/>
      <c r="G327" s="402"/>
      <c r="H327" s="402"/>
      <c r="I327" s="402"/>
      <c r="J327" s="402"/>
      <c r="K327" s="402"/>
      <c r="L327" s="402"/>
      <c r="M327" s="402"/>
      <c r="N327" s="402"/>
      <c r="O327" s="402"/>
      <c r="P327" s="402"/>
      <c r="Q327" s="402"/>
      <c r="R327" s="402"/>
      <c r="S327" s="402"/>
      <c r="T327" s="402"/>
      <c r="U327" s="402"/>
      <c r="V327" s="402"/>
      <c r="W327" s="402"/>
      <c r="X327" s="402"/>
      <c r="Y327" s="402"/>
      <c r="Z327" s="402"/>
    </row>
    <row r="328" ht="14.25" customHeight="1">
      <c r="A328" s="402"/>
      <c r="B328" s="402"/>
      <c r="C328" s="402"/>
      <c r="D328" s="402"/>
      <c r="E328" s="402"/>
      <c r="F328" s="403"/>
      <c r="G328" s="402"/>
      <c r="H328" s="402"/>
      <c r="I328" s="402"/>
      <c r="J328" s="402"/>
      <c r="K328" s="402"/>
      <c r="L328" s="402"/>
      <c r="M328" s="402"/>
      <c r="N328" s="402"/>
      <c r="O328" s="402"/>
      <c r="P328" s="402"/>
      <c r="Q328" s="402"/>
      <c r="R328" s="402"/>
      <c r="S328" s="402"/>
      <c r="T328" s="402"/>
      <c r="U328" s="402"/>
      <c r="V328" s="402"/>
      <c r="W328" s="402"/>
      <c r="X328" s="402"/>
      <c r="Y328" s="402"/>
      <c r="Z328" s="402"/>
    </row>
    <row r="329" ht="14.25" customHeight="1">
      <c r="A329" s="402"/>
      <c r="B329" s="402"/>
      <c r="C329" s="402"/>
      <c r="D329" s="402"/>
      <c r="E329" s="402"/>
      <c r="F329" s="403"/>
      <c r="G329" s="402"/>
      <c r="H329" s="402"/>
      <c r="I329" s="402"/>
      <c r="J329" s="402"/>
      <c r="K329" s="402"/>
      <c r="L329" s="402"/>
      <c r="M329" s="402"/>
      <c r="N329" s="402"/>
      <c r="O329" s="402"/>
      <c r="P329" s="402"/>
      <c r="Q329" s="402"/>
      <c r="R329" s="402"/>
      <c r="S329" s="402"/>
      <c r="T329" s="402"/>
      <c r="U329" s="402"/>
      <c r="V329" s="402"/>
      <c r="W329" s="402"/>
      <c r="X329" s="402"/>
      <c r="Y329" s="402"/>
      <c r="Z329" s="402"/>
    </row>
    <row r="330" ht="14.25" customHeight="1">
      <c r="A330" s="402"/>
      <c r="B330" s="402"/>
      <c r="C330" s="402"/>
      <c r="D330" s="402"/>
      <c r="E330" s="402"/>
      <c r="F330" s="403"/>
      <c r="G330" s="402"/>
      <c r="H330" s="402"/>
      <c r="I330" s="402"/>
      <c r="J330" s="402"/>
      <c r="K330" s="402"/>
      <c r="L330" s="402"/>
      <c r="M330" s="402"/>
      <c r="N330" s="402"/>
      <c r="O330" s="402"/>
      <c r="P330" s="402"/>
      <c r="Q330" s="402"/>
      <c r="R330" s="402"/>
      <c r="S330" s="402"/>
      <c r="T330" s="402"/>
      <c r="U330" s="402"/>
      <c r="V330" s="402"/>
      <c r="W330" s="402"/>
      <c r="X330" s="402"/>
      <c r="Y330" s="402"/>
      <c r="Z330" s="402"/>
    </row>
    <row r="331" ht="14.25" customHeight="1">
      <c r="A331" s="402"/>
      <c r="B331" s="402"/>
      <c r="C331" s="402"/>
      <c r="D331" s="402"/>
      <c r="E331" s="402"/>
      <c r="F331" s="403"/>
      <c r="G331" s="402"/>
      <c r="H331" s="402"/>
      <c r="I331" s="402"/>
      <c r="J331" s="402"/>
      <c r="K331" s="402"/>
      <c r="L331" s="402"/>
      <c r="M331" s="402"/>
      <c r="N331" s="402"/>
      <c r="O331" s="402"/>
      <c r="P331" s="402"/>
      <c r="Q331" s="402"/>
      <c r="R331" s="402"/>
      <c r="S331" s="402"/>
      <c r="T331" s="402"/>
      <c r="U331" s="402"/>
      <c r="V331" s="402"/>
      <c r="W331" s="402"/>
      <c r="X331" s="402"/>
      <c r="Y331" s="402"/>
      <c r="Z331" s="402"/>
    </row>
    <row r="332" ht="14.25" customHeight="1">
      <c r="A332" s="402"/>
      <c r="B332" s="402"/>
      <c r="C332" s="402"/>
      <c r="D332" s="402"/>
      <c r="E332" s="402"/>
      <c r="F332" s="403"/>
      <c r="G332" s="402"/>
      <c r="H332" s="402"/>
      <c r="I332" s="402"/>
      <c r="J332" s="402"/>
      <c r="K332" s="402"/>
      <c r="L332" s="402"/>
      <c r="M332" s="402"/>
      <c r="N332" s="402"/>
      <c r="O332" s="402"/>
      <c r="P332" s="402"/>
      <c r="Q332" s="402"/>
      <c r="R332" s="402"/>
      <c r="S332" s="402"/>
      <c r="T332" s="402"/>
      <c r="U332" s="402"/>
      <c r="V332" s="402"/>
      <c r="W332" s="402"/>
      <c r="X332" s="402"/>
      <c r="Y332" s="402"/>
      <c r="Z332" s="402"/>
    </row>
    <row r="333" ht="14.25" customHeight="1">
      <c r="A333" s="402"/>
      <c r="B333" s="402"/>
      <c r="C333" s="402"/>
      <c r="D333" s="402"/>
      <c r="E333" s="402"/>
      <c r="F333" s="403"/>
      <c r="G333" s="402"/>
      <c r="H333" s="402"/>
      <c r="I333" s="402"/>
      <c r="J333" s="402"/>
      <c r="K333" s="402"/>
      <c r="L333" s="402"/>
      <c r="M333" s="402"/>
      <c r="N333" s="402"/>
      <c r="O333" s="402"/>
      <c r="P333" s="402"/>
      <c r="Q333" s="402"/>
      <c r="R333" s="402"/>
      <c r="S333" s="402"/>
      <c r="T333" s="402"/>
      <c r="U333" s="402"/>
      <c r="V333" s="402"/>
      <c r="W333" s="402"/>
      <c r="X333" s="402"/>
      <c r="Y333" s="402"/>
      <c r="Z333" s="402"/>
    </row>
    <row r="334" ht="14.25" customHeight="1">
      <c r="A334" s="402"/>
      <c r="B334" s="402"/>
      <c r="C334" s="402"/>
      <c r="D334" s="402"/>
      <c r="E334" s="402"/>
      <c r="F334" s="403"/>
      <c r="G334" s="402"/>
      <c r="H334" s="402"/>
      <c r="I334" s="402"/>
      <c r="J334" s="402"/>
      <c r="K334" s="402"/>
      <c r="L334" s="402"/>
      <c r="M334" s="402"/>
      <c r="N334" s="402"/>
      <c r="O334" s="402"/>
      <c r="P334" s="402"/>
      <c r="Q334" s="402"/>
      <c r="R334" s="402"/>
      <c r="S334" s="402"/>
      <c r="T334" s="402"/>
      <c r="U334" s="402"/>
      <c r="V334" s="402"/>
      <c r="W334" s="402"/>
      <c r="X334" s="402"/>
      <c r="Y334" s="402"/>
      <c r="Z334" s="402"/>
    </row>
    <row r="335" ht="14.25" customHeight="1">
      <c r="A335" s="402"/>
      <c r="B335" s="402"/>
      <c r="C335" s="402"/>
      <c r="D335" s="402"/>
      <c r="E335" s="402"/>
      <c r="F335" s="403"/>
      <c r="G335" s="402"/>
      <c r="H335" s="402"/>
      <c r="I335" s="402"/>
      <c r="J335" s="402"/>
      <c r="K335" s="402"/>
      <c r="L335" s="402"/>
      <c r="M335" s="402"/>
      <c r="N335" s="402"/>
      <c r="O335" s="402"/>
      <c r="P335" s="402"/>
      <c r="Q335" s="402"/>
      <c r="R335" s="402"/>
      <c r="S335" s="402"/>
      <c r="T335" s="402"/>
      <c r="U335" s="402"/>
      <c r="V335" s="402"/>
      <c r="W335" s="402"/>
      <c r="X335" s="402"/>
      <c r="Y335" s="402"/>
      <c r="Z335" s="402"/>
    </row>
    <row r="336" ht="14.25" customHeight="1">
      <c r="A336" s="402"/>
      <c r="B336" s="402"/>
      <c r="C336" s="402"/>
      <c r="D336" s="402"/>
      <c r="E336" s="402"/>
      <c r="F336" s="403"/>
      <c r="G336" s="402"/>
      <c r="H336" s="402"/>
      <c r="I336" s="402"/>
      <c r="J336" s="402"/>
      <c r="K336" s="402"/>
      <c r="L336" s="402"/>
      <c r="M336" s="402"/>
      <c r="N336" s="402"/>
      <c r="O336" s="402"/>
      <c r="P336" s="402"/>
      <c r="Q336" s="402"/>
      <c r="R336" s="402"/>
      <c r="S336" s="402"/>
      <c r="T336" s="402"/>
      <c r="U336" s="402"/>
      <c r="V336" s="402"/>
      <c r="W336" s="402"/>
      <c r="X336" s="402"/>
      <c r="Y336" s="402"/>
      <c r="Z336" s="402"/>
    </row>
    <row r="337" ht="14.25" customHeight="1">
      <c r="A337" s="402"/>
      <c r="B337" s="402"/>
      <c r="C337" s="402"/>
      <c r="D337" s="402"/>
      <c r="E337" s="402"/>
      <c r="F337" s="403"/>
      <c r="G337" s="402"/>
      <c r="H337" s="402"/>
      <c r="I337" s="402"/>
      <c r="J337" s="402"/>
      <c r="K337" s="402"/>
      <c r="L337" s="402"/>
      <c r="M337" s="402"/>
      <c r="N337" s="402"/>
      <c r="O337" s="402"/>
      <c r="P337" s="402"/>
      <c r="Q337" s="402"/>
      <c r="R337" s="402"/>
      <c r="S337" s="402"/>
      <c r="T337" s="402"/>
      <c r="U337" s="402"/>
      <c r="V337" s="402"/>
      <c r="W337" s="402"/>
      <c r="X337" s="402"/>
      <c r="Y337" s="402"/>
      <c r="Z337" s="402"/>
    </row>
    <row r="338" ht="14.25" customHeight="1">
      <c r="A338" s="402"/>
      <c r="B338" s="402"/>
      <c r="C338" s="402"/>
      <c r="D338" s="402"/>
      <c r="E338" s="402"/>
      <c r="F338" s="403"/>
      <c r="G338" s="402"/>
      <c r="H338" s="402"/>
      <c r="I338" s="402"/>
      <c r="J338" s="402"/>
      <c r="K338" s="402"/>
      <c r="L338" s="402"/>
      <c r="M338" s="402"/>
      <c r="N338" s="402"/>
      <c r="O338" s="402"/>
      <c r="P338" s="402"/>
      <c r="Q338" s="402"/>
      <c r="R338" s="402"/>
      <c r="S338" s="402"/>
      <c r="T338" s="402"/>
      <c r="U338" s="402"/>
      <c r="V338" s="402"/>
      <c r="W338" s="402"/>
      <c r="X338" s="402"/>
      <c r="Y338" s="402"/>
      <c r="Z338" s="402"/>
    </row>
    <row r="339" ht="14.25" customHeight="1">
      <c r="A339" s="402"/>
      <c r="B339" s="402"/>
      <c r="C339" s="402"/>
      <c r="D339" s="402"/>
      <c r="E339" s="402"/>
      <c r="F339" s="403"/>
      <c r="G339" s="402"/>
      <c r="H339" s="402"/>
      <c r="I339" s="402"/>
      <c r="J339" s="402"/>
      <c r="K339" s="402"/>
      <c r="L339" s="402"/>
      <c r="M339" s="402"/>
      <c r="N339" s="402"/>
      <c r="O339" s="402"/>
      <c r="P339" s="402"/>
      <c r="Q339" s="402"/>
      <c r="R339" s="402"/>
      <c r="S339" s="402"/>
      <c r="T339" s="402"/>
      <c r="U339" s="402"/>
      <c r="V339" s="402"/>
      <c r="W339" s="402"/>
      <c r="X339" s="402"/>
      <c r="Y339" s="402"/>
      <c r="Z339" s="402"/>
    </row>
    <row r="340" ht="14.25" customHeight="1">
      <c r="A340" s="402"/>
      <c r="B340" s="402"/>
      <c r="C340" s="402"/>
      <c r="D340" s="402"/>
      <c r="E340" s="402"/>
      <c r="F340" s="403"/>
      <c r="G340" s="402"/>
      <c r="H340" s="402"/>
      <c r="I340" s="402"/>
      <c r="J340" s="402"/>
      <c r="K340" s="402"/>
      <c r="L340" s="402"/>
      <c r="M340" s="402"/>
      <c r="N340" s="402"/>
      <c r="O340" s="402"/>
      <c r="P340" s="402"/>
      <c r="Q340" s="402"/>
      <c r="R340" s="402"/>
      <c r="S340" s="402"/>
      <c r="T340" s="402"/>
      <c r="U340" s="402"/>
      <c r="V340" s="402"/>
      <c r="W340" s="402"/>
      <c r="X340" s="402"/>
      <c r="Y340" s="402"/>
      <c r="Z340" s="402"/>
    </row>
    <row r="341" ht="14.25" customHeight="1">
      <c r="A341" s="402"/>
      <c r="B341" s="402"/>
      <c r="C341" s="402"/>
      <c r="D341" s="402"/>
      <c r="E341" s="402"/>
      <c r="F341" s="403"/>
      <c r="G341" s="402"/>
      <c r="H341" s="402"/>
      <c r="I341" s="402"/>
      <c r="J341" s="402"/>
      <c r="K341" s="402"/>
      <c r="L341" s="402"/>
      <c r="M341" s="402"/>
      <c r="N341" s="402"/>
      <c r="O341" s="402"/>
      <c r="P341" s="402"/>
      <c r="Q341" s="402"/>
      <c r="R341" s="402"/>
      <c r="S341" s="402"/>
      <c r="T341" s="402"/>
      <c r="U341" s="402"/>
      <c r="V341" s="402"/>
      <c r="W341" s="402"/>
      <c r="X341" s="402"/>
      <c r="Y341" s="402"/>
      <c r="Z341" s="402"/>
    </row>
    <row r="342" ht="14.25" customHeight="1">
      <c r="A342" s="402"/>
      <c r="B342" s="402"/>
      <c r="C342" s="402"/>
      <c r="D342" s="402"/>
      <c r="E342" s="402"/>
      <c r="F342" s="403"/>
      <c r="G342" s="402"/>
      <c r="H342" s="402"/>
      <c r="I342" s="402"/>
      <c r="J342" s="402"/>
      <c r="K342" s="402"/>
      <c r="L342" s="402"/>
      <c r="M342" s="402"/>
      <c r="N342" s="402"/>
      <c r="O342" s="402"/>
      <c r="P342" s="402"/>
      <c r="Q342" s="402"/>
      <c r="R342" s="402"/>
      <c r="S342" s="402"/>
      <c r="T342" s="402"/>
      <c r="U342" s="402"/>
      <c r="V342" s="402"/>
      <c r="W342" s="402"/>
      <c r="X342" s="402"/>
      <c r="Y342" s="402"/>
      <c r="Z342" s="402"/>
    </row>
    <row r="343" ht="14.25" customHeight="1">
      <c r="A343" s="402"/>
      <c r="B343" s="402"/>
      <c r="C343" s="402"/>
      <c r="D343" s="402"/>
      <c r="E343" s="402"/>
      <c r="F343" s="403"/>
      <c r="G343" s="402"/>
      <c r="H343" s="402"/>
      <c r="I343" s="402"/>
      <c r="J343" s="402"/>
      <c r="K343" s="402"/>
      <c r="L343" s="402"/>
      <c r="M343" s="402"/>
      <c r="N343" s="402"/>
      <c r="O343" s="402"/>
      <c r="P343" s="402"/>
      <c r="Q343" s="402"/>
      <c r="R343" s="402"/>
      <c r="S343" s="402"/>
      <c r="T343" s="402"/>
      <c r="U343" s="402"/>
      <c r="V343" s="402"/>
      <c r="W343" s="402"/>
      <c r="X343" s="402"/>
      <c r="Y343" s="402"/>
      <c r="Z343" s="402"/>
    </row>
    <row r="344" ht="14.25" customHeight="1">
      <c r="A344" s="402"/>
      <c r="B344" s="402"/>
      <c r="C344" s="402"/>
      <c r="D344" s="402"/>
      <c r="E344" s="402"/>
      <c r="F344" s="403"/>
      <c r="G344" s="402"/>
      <c r="H344" s="402"/>
      <c r="I344" s="402"/>
      <c r="J344" s="402"/>
      <c r="K344" s="402"/>
      <c r="L344" s="402"/>
      <c r="M344" s="402"/>
      <c r="N344" s="402"/>
      <c r="O344" s="402"/>
      <c r="P344" s="402"/>
      <c r="Q344" s="402"/>
      <c r="R344" s="402"/>
      <c r="S344" s="402"/>
      <c r="T344" s="402"/>
      <c r="U344" s="402"/>
      <c r="V344" s="402"/>
      <c r="W344" s="402"/>
      <c r="X344" s="402"/>
      <c r="Y344" s="402"/>
      <c r="Z344" s="402"/>
    </row>
    <row r="345" ht="14.25" customHeight="1">
      <c r="A345" s="402"/>
      <c r="B345" s="402"/>
      <c r="C345" s="402"/>
      <c r="D345" s="402"/>
      <c r="E345" s="402"/>
      <c r="F345" s="403"/>
      <c r="G345" s="402"/>
      <c r="H345" s="402"/>
      <c r="I345" s="402"/>
      <c r="J345" s="402"/>
      <c r="K345" s="402"/>
      <c r="L345" s="402"/>
      <c r="M345" s="402"/>
      <c r="N345" s="402"/>
      <c r="O345" s="402"/>
      <c r="P345" s="402"/>
      <c r="Q345" s="402"/>
      <c r="R345" s="402"/>
      <c r="S345" s="402"/>
      <c r="T345" s="402"/>
      <c r="U345" s="402"/>
      <c r="V345" s="402"/>
      <c r="W345" s="402"/>
      <c r="X345" s="402"/>
      <c r="Y345" s="402"/>
      <c r="Z345" s="402"/>
    </row>
    <row r="346" ht="14.25" customHeight="1">
      <c r="A346" s="402"/>
      <c r="B346" s="402"/>
      <c r="C346" s="402"/>
      <c r="D346" s="402"/>
      <c r="E346" s="402"/>
      <c r="F346" s="403"/>
      <c r="G346" s="402"/>
      <c r="H346" s="402"/>
      <c r="I346" s="402"/>
      <c r="J346" s="402"/>
      <c r="K346" s="402"/>
      <c r="L346" s="402"/>
      <c r="M346" s="402"/>
      <c r="N346" s="402"/>
      <c r="O346" s="402"/>
      <c r="P346" s="402"/>
      <c r="Q346" s="402"/>
      <c r="R346" s="402"/>
      <c r="S346" s="402"/>
      <c r="T346" s="402"/>
      <c r="U346" s="402"/>
      <c r="V346" s="402"/>
      <c r="W346" s="402"/>
      <c r="X346" s="402"/>
      <c r="Y346" s="402"/>
      <c r="Z346" s="402"/>
    </row>
    <row r="347" ht="14.25" customHeight="1">
      <c r="A347" s="402"/>
      <c r="B347" s="402"/>
      <c r="C347" s="402"/>
      <c r="D347" s="402"/>
      <c r="E347" s="402"/>
      <c r="F347" s="403"/>
      <c r="G347" s="402"/>
      <c r="H347" s="402"/>
      <c r="I347" s="402"/>
      <c r="J347" s="402"/>
      <c r="K347" s="402"/>
      <c r="L347" s="402"/>
      <c r="M347" s="402"/>
      <c r="N347" s="402"/>
      <c r="O347" s="402"/>
      <c r="P347" s="402"/>
      <c r="Q347" s="402"/>
      <c r="R347" s="402"/>
      <c r="S347" s="402"/>
      <c r="T347" s="402"/>
      <c r="U347" s="402"/>
      <c r="V347" s="402"/>
      <c r="W347" s="402"/>
      <c r="X347" s="402"/>
      <c r="Y347" s="402"/>
      <c r="Z347" s="402"/>
    </row>
    <row r="348" ht="14.25" customHeight="1">
      <c r="A348" s="402"/>
      <c r="B348" s="402"/>
      <c r="C348" s="402"/>
      <c r="D348" s="402"/>
      <c r="E348" s="402"/>
      <c r="F348" s="403"/>
      <c r="G348" s="402"/>
      <c r="H348" s="402"/>
      <c r="I348" s="402"/>
      <c r="J348" s="402"/>
      <c r="K348" s="402"/>
      <c r="L348" s="402"/>
      <c r="M348" s="402"/>
      <c r="N348" s="402"/>
      <c r="O348" s="402"/>
      <c r="P348" s="402"/>
      <c r="Q348" s="402"/>
      <c r="R348" s="402"/>
      <c r="S348" s="402"/>
      <c r="T348" s="402"/>
      <c r="U348" s="402"/>
      <c r="V348" s="402"/>
      <c r="W348" s="402"/>
      <c r="X348" s="402"/>
      <c r="Y348" s="402"/>
      <c r="Z348" s="402"/>
    </row>
    <row r="349" ht="14.25" customHeight="1">
      <c r="A349" s="402"/>
      <c r="B349" s="402"/>
      <c r="C349" s="402"/>
      <c r="D349" s="402"/>
      <c r="E349" s="402"/>
      <c r="F349" s="403"/>
      <c r="G349" s="402"/>
      <c r="H349" s="402"/>
      <c r="I349" s="402"/>
      <c r="J349" s="402"/>
      <c r="K349" s="402"/>
      <c r="L349" s="402"/>
      <c r="M349" s="402"/>
      <c r="N349" s="402"/>
      <c r="O349" s="402"/>
      <c r="P349" s="402"/>
      <c r="Q349" s="402"/>
      <c r="R349" s="402"/>
      <c r="S349" s="402"/>
      <c r="T349" s="402"/>
      <c r="U349" s="402"/>
      <c r="V349" s="402"/>
      <c r="W349" s="402"/>
      <c r="X349" s="402"/>
      <c r="Y349" s="402"/>
      <c r="Z349" s="402"/>
    </row>
    <row r="350" ht="14.25" customHeight="1">
      <c r="A350" s="402"/>
      <c r="B350" s="402"/>
      <c r="C350" s="402"/>
      <c r="D350" s="402"/>
      <c r="E350" s="402"/>
      <c r="F350" s="403"/>
      <c r="G350" s="402"/>
      <c r="H350" s="402"/>
      <c r="I350" s="402"/>
      <c r="J350" s="402"/>
      <c r="K350" s="402"/>
      <c r="L350" s="402"/>
      <c r="M350" s="402"/>
      <c r="N350" s="402"/>
      <c r="O350" s="402"/>
      <c r="P350" s="402"/>
      <c r="Q350" s="402"/>
      <c r="R350" s="402"/>
      <c r="S350" s="402"/>
      <c r="T350" s="402"/>
      <c r="U350" s="402"/>
      <c r="V350" s="402"/>
      <c r="W350" s="402"/>
      <c r="X350" s="402"/>
      <c r="Y350" s="402"/>
      <c r="Z350" s="402"/>
    </row>
    <row r="351" ht="14.25" customHeight="1">
      <c r="A351" s="402"/>
      <c r="B351" s="402"/>
      <c r="C351" s="402"/>
      <c r="D351" s="402"/>
      <c r="E351" s="402"/>
      <c r="F351" s="403"/>
      <c r="G351" s="402"/>
      <c r="H351" s="402"/>
      <c r="I351" s="402"/>
      <c r="J351" s="402"/>
      <c r="K351" s="402"/>
      <c r="L351" s="402"/>
      <c r="M351" s="402"/>
      <c r="N351" s="402"/>
      <c r="O351" s="402"/>
      <c r="P351" s="402"/>
      <c r="Q351" s="402"/>
      <c r="R351" s="402"/>
      <c r="S351" s="402"/>
      <c r="T351" s="402"/>
      <c r="U351" s="402"/>
      <c r="V351" s="402"/>
      <c r="W351" s="402"/>
      <c r="X351" s="402"/>
      <c r="Y351" s="402"/>
      <c r="Z351" s="402"/>
    </row>
    <row r="352" ht="14.25" customHeight="1">
      <c r="A352" s="402"/>
      <c r="B352" s="402"/>
      <c r="C352" s="402"/>
      <c r="D352" s="402"/>
      <c r="E352" s="402"/>
      <c r="F352" s="403"/>
      <c r="G352" s="402"/>
      <c r="H352" s="402"/>
      <c r="I352" s="402"/>
      <c r="J352" s="402"/>
      <c r="K352" s="402"/>
      <c r="L352" s="402"/>
      <c r="M352" s="402"/>
      <c r="N352" s="402"/>
      <c r="O352" s="402"/>
      <c r="P352" s="402"/>
      <c r="Q352" s="402"/>
      <c r="R352" s="402"/>
      <c r="S352" s="402"/>
      <c r="T352" s="402"/>
      <c r="U352" s="402"/>
      <c r="V352" s="402"/>
      <c r="W352" s="402"/>
      <c r="X352" s="402"/>
      <c r="Y352" s="402"/>
      <c r="Z352" s="402"/>
    </row>
    <row r="353" ht="14.25" customHeight="1">
      <c r="A353" s="402"/>
      <c r="B353" s="402"/>
      <c r="C353" s="402"/>
      <c r="D353" s="402"/>
      <c r="E353" s="402"/>
      <c r="F353" s="403"/>
      <c r="G353" s="402"/>
      <c r="H353" s="402"/>
      <c r="I353" s="402"/>
      <c r="J353" s="402"/>
      <c r="K353" s="402"/>
      <c r="L353" s="402"/>
      <c r="M353" s="402"/>
      <c r="N353" s="402"/>
      <c r="O353" s="402"/>
      <c r="P353" s="402"/>
      <c r="Q353" s="402"/>
      <c r="R353" s="402"/>
      <c r="S353" s="402"/>
      <c r="T353" s="402"/>
      <c r="U353" s="402"/>
      <c r="V353" s="402"/>
      <c r="W353" s="402"/>
      <c r="X353" s="402"/>
      <c r="Y353" s="402"/>
      <c r="Z353" s="402"/>
    </row>
    <row r="354" ht="14.25" customHeight="1">
      <c r="A354" s="402"/>
      <c r="B354" s="402"/>
      <c r="C354" s="402"/>
      <c r="D354" s="402"/>
      <c r="E354" s="402"/>
      <c r="F354" s="403"/>
      <c r="G354" s="402"/>
      <c r="H354" s="402"/>
      <c r="I354" s="402"/>
      <c r="J354" s="402"/>
      <c r="K354" s="402"/>
      <c r="L354" s="402"/>
      <c r="M354" s="402"/>
      <c r="N354" s="402"/>
      <c r="O354" s="402"/>
      <c r="P354" s="402"/>
      <c r="Q354" s="402"/>
      <c r="R354" s="402"/>
      <c r="S354" s="402"/>
      <c r="T354" s="402"/>
      <c r="U354" s="402"/>
      <c r="V354" s="402"/>
      <c r="W354" s="402"/>
      <c r="X354" s="402"/>
      <c r="Y354" s="402"/>
      <c r="Z354" s="402"/>
    </row>
    <row r="355" ht="14.25" customHeight="1">
      <c r="A355" s="402"/>
      <c r="B355" s="402"/>
      <c r="C355" s="402"/>
      <c r="D355" s="402"/>
      <c r="E355" s="402"/>
      <c r="F355" s="403"/>
      <c r="G355" s="402"/>
      <c r="H355" s="402"/>
      <c r="I355" s="402"/>
      <c r="J355" s="402"/>
      <c r="K355" s="402"/>
      <c r="L355" s="402"/>
      <c r="M355" s="402"/>
      <c r="N355" s="402"/>
      <c r="O355" s="402"/>
      <c r="P355" s="402"/>
      <c r="Q355" s="402"/>
      <c r="R355" s="402"/>
      <c r="S355" s="402"/>
      <c r="T355" s="402"/>
      <c r="U355" s="402"/>
      <c r="V355" s="402"/>
      <c r="W355" s="402"/>
      <c r="X355" s="402"/>
      <c r="Y355" s="402"/>
      <c r="Z355" s="402"/>
    </row>
    <row r="356" ht="14.25" customHeight="1">
      <c r="A356" s="402"/>
      <c r="B356" s="402"/>
      <c r="C356" s="402"/>
      <c r="D356" s="402"/>
      <c r="E356" s="402"/>
      <c r="F356" s="403"/>
      <c r="G356" s="402"/>
      <c r="H356" s="402"/>
      <c r="I356" s="402"/>
      <c r="J356" s="402"/>
      <c r="K356" s="402"/>
      <c r="L356" s="402"/>
      <c r="M356" s="402"/>
      <c r="N356" s="402"/>
      <c r="O356" s="402"/>
      <c r="P356" s="402"/>
      <c r="Q356" s="402"/>
      <c r="R356" s="402"/>
      <c r="S356" s="402"/>
      <c r="T356" s="402"/>
      <c r="U356" s="402"/>
      <c r="V356" s="402"/>
      <c r="W356" s="402"/>
      <c r="X356" s="402"/>
      <c r="Y356" s="402"/>
      <c r="Z356" s="402"/>
    </row>
    <row r="357" ht="14.25" customHeight="1">
      <c r="A357" s="402"/>
      <c r="B357" s="402"/>
      <c r="C357" s="402"/>
      <c r="D357" s="402"/>
      <c r="E357" s="402"/>
      <c r="F357" s="403"/>
      <c r="G357" s="402"/>
      <c r="H357" s="402"/>
      <c r="I357" s="402"/>
      <c r="J357" s="402"/>
      <c r="K357" s="402"/>
      <c r="L357" s="402"/>
      <c r="M357" s="402"/>
      <c r="N357" s="402"/>
      <c r="O357" s="402"/>
      <c r="P357" s="402"/>
      <c r="Q357" s="402"/>
      <c r="R357" s="402"/>
      <c r="S357" s="402"/>
      <c r="T357" s="402"/>
      <c r="U357" s="402"/>
      <c r="V357" s="402"/>
      <c r="W357" s="402"/>
      <c r="X357" s="402"/>
      <c r="Y357" s="402"/>
      <c r="Z357" s="402"/>
    </row>
    <row r="358" ht="14.25" customHeight="1">
      <c r="A358" s="402"/>
      <c r="B358" s="402"/>
      <c r="C358" s="402"/>
      <c r="D358" s="402"/>
      <c r="E358" s="402"/>
      <c r="F358" s="403"/>
      <c r="G358" s="402"/>
      <c r="H358" s="402"/>
      <c r="I358" s="402"/>
      <c r="J358" s="402"/>
      <c r="K358" s="402"/>
      <c r="L358" s="402"/>
      <c r="M358" s="402"/>
      <c r="N358" s="402"/>
      <c r="O358" s="402"/>
      <c r="P358" s="402"/>
      <c r="Q358" s="402"/>
      <c r="R358" s="402"/>
      <c r="S358" s="402"/>
      <c r="T358" s="402"/>
      <c r="U358" s="402"/>
      <c r="V358" s="402"/>
      <c r="W358" s="402"/>
      <c r="X358" s="402"/>
      <c r="Y358" s="402"/>
      <c r="Z358" s="402"/>
    </row>
    <row r="359" ht="14.25" customHeight="1">
      <c r="A359" s="402"/>
      <c r="B359" s="402"/>
      <c r="C359" s="402"/>
      <c r="D359" s="402"/>
      <c r="E359" s="402"/>
      <c r="F359" s="403"/>
      <c r="G359" s="402"/>
      <c r="H359" s="402"/>
      <c r="I359" s="402"/>
      <c r="J359" s="402"/>
      <c r="K359" s="402"/>
      <c r="L359" s="402"/>
      <c r="M359" s="402"/>
      <c r="N359" s="402"/>
      <c r="O359" s="402"/>
      <c r="P359" s="402"/>
      <c r="Q359" s="402"/>
      <c r="R359" s="402"/>
      <c r="S359" s="402"/>
      <c r="T359" s="402"/>
      <c r="U359" s="402"/>
      <c r="V359" s="402"/>
      <c r="W359" s="402"/>
      <c r="X359" s="402"/>
      <c r="Y359" s="402"/>
      <c r="Z359" s="402"/>
    </row>
    <row r="360" ht="14.25" customHeight="1">
      <c r="A360" s="402"/>
      <c r="B360" s="402"/>
      <c r="C360" s="402"/>
      <c r="D360" s="402"/>
      <c r="E360" s="402"/>
      <c r="F360" s="403"/>
      <c r="G360" s="402"/>
      <c r="H360" s="402"/>
      <c r="I360" s="402"/>
      <c r="J360" s="402"/>
      <c r="K360" s="402"/>
      <c r="L360" s="402"/>
      <c r="M360" s="402"/>
      <c r="N360" s="402"/>
      <c r="O360" s="402"/>
      <c r="P360" s="402"/>
      <c r="Q360" s="402"/>
      <c r="R360" s="402"/>
      <c r="S360" s="402"/>
      <c r="T360" s="402"/>
      <c r="U360" s="402"/>
      <c r="V360" s="402"/>
      <c r="W360" s="402"/>
      <c r="X360" s="402"/>
      <c r="Y360" s="402"/>
      <c r="Z360" s="402"/>
    </row>
    <row r="361" ht="14.25" customHeight="1">
      <c r="A361" s="402"/>
      <c r="B361" s="402"/>
      <c r="C361" s="402"/>
      <c r="D361" s="402"/>
      <c r="E361" s="402"/>
      <c r="F361" s="403"/>
      <c r="G361" s="402"/>
      <c r="H361" s="402"/>
      <c r="I361" s="402"/>
      <c r="J361" s="402"/>
      <c r="K361" s="402"/>
      <c r="L361" s="402"/>
      <c r="M361" s="402"/>
      <c r="N361" s="402"/>
      <c r="O361" s="402"/>
      <c r="P361" s="402"/>
      <c r="Q361" s="402"/>
      <c r="R361" s="402"/>
      <c r="S361" s="402"/>
      <c r="T361" s="402"/>
      <c r="U361" s="402"/>
      <c r="V361" s="402"/>
      <c r="W361" s="402"/>
      <c r="X361" s="402"/>
      <c r="Y361" s="402"/>
      <c r="Z361" s="402"/>
    </row>
    <row r="362" ht="14.25" customHeight="1">
      <c r="A362" s="402"/>
      <c r="B362" s="402"/>
      <c r="C362" s="402"/>
      <c r="D362" s="402"/>
      <c r="E362" s="402"/>
      <c r="F362" s="403"/>
      <c r="G362" s="402"/>
      <c r="H362" s="402"/>
      <c r="I362" s="402"/>
      <c r="J362" s="402"/>
      <c r="K362" s="402"/>
      <c r="L362" s="402"/>
      <c r="M362" s="402"/>
      <c r="N362" s="402"/>
      <c r="O362" s="402"/>
      <c r="P362" s="402"/>
      <c r="Q362" s="402"/>
      <c r="R362" s="402"/>
      <c r="S362" s="402"/>
      <c r="T362" s="402"/>
      <c r="U362" s="402"/>
      <c r="V362" s="402"/>
      <c r="W362" s="402"/>
      <c r="X362" s="402"/>
      <c r="Y362" s="402"/>
      <c r="Z362" s="402"/>
    </row>
    <row r="363" ht="14.25" customHeight="1">
      <c r="A363" s="402"/>
      <c r="B363" s="402"/>
      <c r="C363" s="402"/>
      <c r="D363" s="402"/>
      <c r="E363" s="402"/>
      <c r="F363" s="403"/>
      <c r="G363" s="402"/>
      <c r="H363" s="402"/>
      <c r="I363" s="402"/>
      <c r="J363" s="402"/>
      <c r="K363" s="402"/>
      <c r="L363" s="402"/>
      <c r="M363" s="402"/>
      <c r="N363" s="402"/>
      <c r="O363" s="402"/>
      <c r="P363" s="402"/>
      <c r="Q363" s="402"/>
      <c r="R363" s="402"/>
      <c r="S363" s="402"/>
      <c r="T363" s="402"/>
      <c r="U363" s="402"/>
      <c r="V363" s="402"/>
      <c r="W363" s="402"/>
      <c r="X363" s="402"/>
      <c r="Y363" s="402"/>
      <c r="Z363" s="402"/>
    </row>
    <row r="364" ht="14.25" customHeight="1">
      <c r="A364" s="402"/>
      <c r="B364" s="402"/>
      <c r="C364" s="402"/>
      <c r="D364" s="402"/>
      <c r="E364" s="402"/>
      <c r="F364" s="403"/>
      <c r="G364" s="402"/>
      <c r="H364" s="402"/>
      <c r="I364" s="402"/>
      <c r="J364" s="402"/>
      <c r="K364" s="402"/>
      <c r="L364" s="402"/>
      <c r="M364" s="402"/>
      <c r="N364" s="402"/>
      <c r="O364" s="402"/>
      <c r="P364" s="402"/>
      <c r="Q364" s="402"/>
      <c r="R364" s="402"/>
      <c r="S364" s="402"/>
      <c r="T364" s="402"/>
      <c r="U364" s="402"/>
      <c r="V364" s="402"/>
      <c r="W364" s="402"/>
      <c r="X364" s="402"/>
      <c r="Y364" s="402"/>
      <c r="Z364" s="402"/>
    </row>
    <row r="365" ht="14.25" customHeight="1">
      <c r="A365" s="402"/>
      <c r="B365" s="402"/>
      <c r="C365" s="402"/>
      <c r="D365" s="402"/>
      <c r="E365" s="402"/>
      <c r="F365" s="403"/>
      <c r="G365" s="402"/>
      <c r="H365" s="402"/>
      <c r="I365" s="402"/>
      <c r="J365" s="402"/>
      <c r="K365" s="402"/>
      <c r="L365" s="402"/>
      <c r="M365" s="402"/>
      <c r="N365" s="402"/>
      <c r="O365" s="402"/>
      <c r="P365" s="402"/>
      <c r="Q365" s="402"/>
      <c r="R365" s="402"/>
      <c r="S365" s="402"/>
      <c r="T365" s="402"/>
      <c r="U365" s="402"/>
      <c r="V365" s="402"/>
      <c r="W365" s="402"/>
      <c r="X365" s="402"/>
      <c r="Y365" s="402"/>
      <c r="Z365" s="402"/>
    </row>
    <row r="366" ht="14.25" customHeight="1">
      <c r="A366" s="402"/>
      <c r="B366" s="402"/>
      <c r="C366" s="402"/>
      <c r="D366" s="402"/>
      <c r="E366" s="402"/>
      <c r="F366" s="403"/>
      <c r="G366" s="402"/>
      <c r="H366" s="402"/>
      <c r="I366" s="402"/>
      <c r="J366" s="402"/>
      <c r="K366" s="402"/>
      <c r="L366" s="402"/>
      <c r="M366" s="402"/>
      <c r="N366" s="402"/>
      <c r="O366" s="402"/>
      <c r="P366" s="402"/>
      <c r="Q366" s="402"/>
      <c r="R366" s="402"/>
      <c r="S366" s="402"/>
      <c r="T366" s="402"/>
      <c r="U366" s="402"/>
      <c r="V366" s="402"/>
      <c r="W366" s="402"/>
      <c r="X366" s="402"/>
      <c r="Y366" s="402"/>
      <c r="Z366" s="402"/>
    </row>
    <row r="367" ht="14.25" customHeight="1">
      <c r="A367" s="402"/>
      <c r="B367" s="402"/>
      <c r="C367" s="402"/>
      <c r="D367" s="402"/>
      <c r="E367" s="402"/>
      <c r="F367" s="403"/>
      <c r="G367" s="402"/>
      <c r="H367" s="402"/>
      <c r="I367" s="402"/>
      <c r="J367" s="402"/>
      <c r="K367" s="402"/>
      <c r="L367" s="402"/>
      <c r="M367" s="402"/>
      <c r="N367" s="402"/>
      <c r="O367" s="402"/>
      <c r="P367" s="402"/>
      <c r="Q367" s="402"/>
      <c r="R367" s="402"/>
      <c r="S367" s="402"/>
      <c r="T367" s="402"/>
      <c r="U367" s="402"/>
      <c r="V367" s="402"/>
      <c r="W367" s="402"/>
      <c r="X367" s="402"/>
      <c r="Y367" s="402"/>
      <c r="Z367" s="402"/>
    </row>
    <row r="368" ht="14.25" customHeight="1">
      <c r="A368" s="402"/>
      <c r="B368" s="402"/>
      <c r="C368" s="402"/>
      <c r="D368" s="402"/>
      <c r="E368" s="402"/>
      <c r="F368" s="403"/>
      <c r="G368" s="402"/>
      <c r="H368" s="402"/>
      <c r="I368" s="402"/>
      <c r="J368" s="402"/>
      <c r="K368" s="402"/>
      <c r="L368" s="402"/>
      <c r="M368" s="402"/>
      <c r="N368" s="402"/>
      <c r="O368" s="402"/>
      <c r="P368" s="402"/>
      <c r="Q368" s="402"/>
      <c r="R368" s="402"/>
      <c r="S368" s="402"/>
      <c r="T368" s="402"/>
      <c r="U368" s="402"/>
      <c r="V368" s="402"/>
      <c r="W368" s="402"/>
      <c r="X368" s="402"/>
      <c r="Y368" s="402"/>
      <c r="Z368" s="402"/>
    </row>
    <row r="369" ht="14.25" customHeight="1">
      <c r="A369" s="402"/>
      <c r="B369" s="402"/>
      <c r="C369" s="402"/>
      <c r="D369" s="402"/>
      <c r="E369" s="402"/>
      <c r="F369" s="403"/>
      <c r="G369" s="402"/>
      <c r="H369" s="402"/>
      <c r="I369" s="402"/>
      <c r="J369" s="402"/>
      <c r="K369" s="402"/>
      <c r="L369" s="402"/>
      <c r="M369" s="402"/>
      <c r="N369" s="402"/>
      <c r="O369" s="402"/>
      <c r="P369" s="402"/>
      <c r="Q369" s="402"/>
      <c r="R369" s="402"/>
      <c r="S369" s="402"/>
      <c r="T369" s="402"/>
      <c r="U369" s="402"/>
      <c r="V369" s="402"/>
      <c r="W369" s="402"/>
      <c r="X369" s="402"/>
      <c r="Y369" s="402"/>
      <c r="Z369" s="402"/>
    </row>
    <row r="370" ht="14.25" customHeight="1">
      <c r="A370" s="402"/>
      <c r="B370" s="402"/>
      <c r="C370" s="402"/>
      <c r="D370" s="402"/>
      <c r="E370" s="402"/>
      <c r="F370" s="403"/>
      <c r="G370" s="402"/>
      <c r="H370" s="402"/>
      <c r="I370" s="402"/>
      <c r="J370" s="402"/>
      <c r="K370" s="402"/>
      <c r="L370" s="402"/>
      <c r="M370" s="402"/>
      <c r="N370" s="402"/>
      <c r="O370" s="402"/>
      <c r="P370" s="402"/>
      <c r="Q370" s="402"/>
      <c r="R370" s="402"/>
      <c r="S370" s="402"/>
      <c r="T370" s="402"/>
      <c r="U370" s="402"/>
      <c r="V370" s="402"/>
      <c r="W370" s="402"/>
      <c r="X370" s="402"/>
      <c r="Y370" s="402"/>
      <c r="Z370" s="402"/>
    </row>
    <row r="371" ht="14.25" customHeight="1">
      <c r="A371" s="402"/>
      <c r="B371" s="402"/>
      <c r="C371" s="402"/>
      <c r="D371" s="402"/>
      <c r="E371" s="402"/>
      <c r="F371" s="403"/>
      <c r="G371" s="402"/>
      <c r="H371" s="402"/>
      <c r="I371" s="402"/>
      <c r="J371" s="402"/>
      <c r="K371" s="402"/>
      <c r="L371" s="402"/>
      <c r="M371" s="402"/>
      <c r="N371" s="402"/>
      <c r="O371" s="402"/>
      <c r="P371" s="402"/>
      <c r="Q371" s="402"/>
      <c r="R371" s="402"/>
      <c r="S371" s="402"/>
      <c r="T371" s="402"/>
      <c r="U371" s="402"/>
      <c r="V371" s="402"/>
      <c r="W371" s="402"/>
      <c r="X371" s="402"/>
      <c r="Y371" s="402"/>
      <c r="Z371" s="402"/>
    </row>
    <row r="372" ht="14.25" customHeight="1">
      <c r="A372" s="402"/>
      <c r="B372" s="402"/>
      <c r="C372" s="402"/>
      <c r="D372" s="402"/>
      <c r="E372" s="402"/>
      <c r="F372" s="403"/>
      <c r="G372" s="402"/>
      <c r="H372" s="402"/>
      <c r="I372" s="402"/>
      <c r="J372" s="402"/>
      <c r="K372" s="402"/>
      <c r="L372" s="402"/>
      <c r="M372" s="402"/>
      <c r="N372" s="402"/>
      <c r="O372" s="402"/>
      <c r="P372" s="402"/>
      <c r="Q372" s="402"/>
      <c r="R372" s="402"/>
      <c r="S372" s="402"/>
      <c r="T372" s="402"/>
      <c r="U372" s="402"/>
      <c r="V372" s="402"/>
      <c r="W372" s="402"/>
      <c r="X372" s="402"/>
      <c r="Y372" s="402"/>
      <c r="Z372" s="402"/>
    </row>
    <row r="373" ht="14.25" customHeight="1">
      <c r="A373" s="402"/>
      <c r="B373" s="402"/>
      <c r="C373" s="402"/>
      <c r="D373" s="402"/>
      <c r="E373" s="402"/>
      <c r="F373" s="403"/>
      <c r="G373" s="402"/>
      <c r="H373" s="402"/>
      <c r="I373" s="402"/>
      <c r="J373" s="402"/>
      <c r="K373" s="402"/>
      <c r="L373" s="402"/>
      <c r="M373" s="402"/>
      <c r="N373" s="402"/>
      <c r="O373" s="402"/>
      <c r="P373" s="402"/>
      <c r="Q373" s="402"/>
      <c r="R373" s="402"/>
      <c r="S373" s="402"/>
      <c r="T373" s="402"/>
      <c r="U373" s="402"/>
      <c r="V373" s="402"/>
      <c r="W373" s="402"/>
      <c r="X373" s="402"/>
      <c r="Y373" s="402"/>
      <c r="Z373" s="402"/>
    </row>
    <row r="374" ht="14.25" customHeight="1">
      <c r="A374" s="402"/>
      <c r="B374" s="402"/>
      <c r="C374" s="402"/>
      <c r="D374" s="402"/>
      <c r="E374" s="402"/>
      <c r="F374" s="403"/>
      <c r="G374" s="402"/>
      <c r="H374" s="402"/>
      <c r="I374" s="402"/>
      <c r="J374" s="402"/>
      <c r="K374" s="402"/>
      <c r="L374" s="402"/>
      <c r="M374" s="402"/>
      <c r="N374" s="402"/>
      <c r="O374" s="402"/>
      <c r="P374" s="402"/>
      <c r="Q374" s="402"/>
      <c r="R374" s="402"/>
      <c r="S374" s="402"/>
      <c r="T374" s="402"/>
      <c r="U374" s="402"/>
      <c r="V374" s="402"/>
      <c r="W374" s="402"/>
      <c r="X374" s="402"/>
      <c r="Y374" s="402"/>
      <c r="Z374" s="402"/>
    </row>
    <row r="375" ht="14.25" customHeight="1">
      <c r="A375" s="402"/>
      <c r="B375" s="402"/>
      <c r="C375" s="402"/>
      <c r="D375" s="402"/>
      <c r="E375" s="402"/>
      <c r="F375" s="403"/>
      <c r="G375" s="402"/>
      <c r="H375" s="402"/>
      <c r="I375" s="402"/>
      <c r="J375" s="402"/>
      <c r="K375" s="402"/>
      <c r="L375" s="402"/>
      <c r="M375" s="402"/>
      <c r="N375" s="402"/>
      <c r="O375" s="402"/>
      <c r="P375" s="402"/>
      <c r="Q375" s="402"/>
      <c r="R375" s="402"/>
      <c r="S375" s="402"/>
      <c r="T375" s="402"/>
      <c r="U375" s="402"/>
      <c r="V375" s="402"/>
      <c r="W375" s="402"/>
      <c r="X375" s="402"/>
      <c r="Y375" s="402"/>
      <c r="Z375" s="402"/>
    </row>
    <row r="376" ht="14.25" customHeight="1">
      <c r="A376" s="402"/>
      <c r="B376" s="402"/>
      <c r="C376" s="402"/>
      <c r="D376" s="402"/>
      <c r="E376" s="402"/>
      <c r="F376" s="403"/>
      <c r="G376" s="402"/>
      <c r="H376" s="402"/>
      <c r="I376" s="402"/>
      <c r="J376" s="402"/>
      <c r="K376" s="402"/>
      <c r="L376" s="402"/>
      <c r="M376" s="402"/>
      <c r="N376" s="402"/>
      <c r="O376" s="402"/>
      <c r="P376" s="402"/>
      <c r="Q376" s="402"/>
      <c r="R376" s="402"/>
      <c r="S376" s="402"/>
      <c r="T376" s="402"/>
      <c r="U376" s="402"/>
      <c r="V376" s="402"/>
      <c r="W376" s="402"/>
      <c r="X376" s="402"/>
      <c r="Y376" s="402"/>
      <c r="Z376" s="402"/>
    </row>
    <row r="377" ht="14.25" customHeight="1">
      <c r="A377" s="402"/>
      <c r="B377" s="402"/>
      <c r="C377" s="402"/>
      <c r="D377" s="402"/>
      <c r="E377" s="402"/>
      <c r="F377" s="403"/>
      <c r="G377" s="402"/>
      <c r="H377" s="402"/>
      <c r="I377" s="402"/>
      <c r="J377" s="402"/>
      <c r="K377" s="402"/>
      <c r="L377" s="402"/>
      <c r="M377" s="402"/>
      <c r="N377" s="402"/>
      <c r="O377" s="402"/>
      <c r="P377" s="402"/>
      <c r="Q377" s="402"/>
      <c r="R377" s="402"/>
      <c r="S377" s="402"/>
      <c r="T377" s="402"/>
      <c r="U377" s="402"/>
      <c r="V377" s="402"/>
      <c r="W377" s="402"/>
      <c r="X377" s="402"/>
      <c r="Y377" s="402"/>
      <c r="Z377" s="402"/>
    </row>
    <row r="378" ht="14.25" customHeight="1">
      <c r="A378" s="402"/>
      <c r="B378" s="402"/>
      <c r="C378" s="402"/>
      <c r="D378" s="402"/>
      <c r="E378" s="402"/>
      <c r="F378" s="403"/>
      <c r="G378" s="402"/>
      <c r="H378" s="402"/>
      <c r="I378" s="402"/>
      <c r="J378" s="402"/>
      <c r="K378" s="402"/>
      <c r="L378" s="402"/>
      <c r="M378" s="402"/>
      <c r="N378" s="402"/>
      <c r="O378" s="402"/>
      <c r="P378" s="402"/>
      <c r="Q378" s="402"/>
      <c r="R378" s="402"/>
      <c r="S378" s="402"/>
      <c r="T378" s="402"/>
      <c r="U378" s="402"/>
      <c r="V378" s="402"/>
      <c r="W378" s="402"/>
      <c r="X378" s="402"/>
      <c r="Y378" s="402"/>
      <c r="Z378" s="402"/>
    </row>
    <row r="379" ht="14.25" customHeight="1">
      <c r="A379" s="402"/>
      <c r="B379" s="402"/>
      <c r="C379" s="402"/>
      <c r="D379" s="402"/>
      <c r="E379" s="402"/>
      <c r="F379" s="403"/>
      <c r="G379" s="402"/>
      <c r="H379" s="402"/>
      <c r="I379" s="402"/>
      <c r="J379" s="402"/>
      <c r="K379" s="402"/>
      <c r="L379" s="402"/>
      <c r="M379" s="402"/>
      <c r="N379" s="402"/>
      <c r="O379" s="402"/>
      <c r="P379" s="402"/>
      <c r="Q379" s="402"/>
      <c r="R379" s="402"/>
      <c r="S379" s="402"/>
      <c r="T379" s="402"/>
      <c r="U379" s="402"/>
      <c r="V379" s="402"/>
      <c r="W379" s="402"/>
      <c r="X379" s="402"/>
      <c r="Y379" s="402"/>
      <c r="Z379" s="402"/>
    </row>
    <row r="380" ht="14.25" customHeight="1">
      <c r="A380" s="402"/>
      <c r="B380" s="402"/>
      <c r="C380" s="402"/>
      <c r="D380" s="402"/>
      <c r="E380" s="402"/>
      <c r="F380" s="403"/>
      <c r="G380" s="402"/>
      <c r="H380" s="402"/>
      <c r="I380" s="402"/>
      <c r="J380" s="402"/>
      <c r="K380" s="402"/>
      <c r="L380" s="402"/>
      <c r="M380" s="402"/>
      <c r="N380" s="402"/>
      <c r="O380" s="402"/>
      <c r="P380" s="402"/>
      <c r="Q380" s="402"/>
      <c r="R380" s="402"/>
      <c r="S380" s="402"/>
      <c r="T380" s="402"/>
      <c r="U380" s="402"/>
      <c r="V380" s="402"/>
      <c r="W380" s="402"/>
      <c r="X380" s="402"/>
      <c r="Y380" s="402"/>
      <c r="Z380" s="402"/>
    </row>
    <row r="381" ht="14.25" customHeight="1">
      <c r="A381" s="402"/>
      <c r="B381" s="402"/>
      <c r="C381" s="402"/>
      <c r="D381" s="402"/>
      <c r="E381" s="402"/>
      <c r="F381" s="403"/>
      <c r="G381" s="402"/>
      <c r="H381" s="402"/>
      <c r="I381" s="402"/>
      <c r="J381" s="402"/>
      <c r="K381" s="402"/>
      <c r="L381" s="402"/>
      <c r="M381" s="402"/>
      <c r="N381" s="402"/>
      <c r="O381" s="402"/>
      <c r="P381" s="402"/>
      <c r="Q381" s="402"/>
      <c r="R381" s="402"/>
      <c r="S381" s="402"/>
      <c r="T381" s="402"/>
      <c r="U381" s="402"/>
      <c r="V381" s="402"/>
      <c r="W381" s="402"/>
      <c r="X381" s="402"/>
      <c r="Y381" s="402"/>
      <c r="Z381" s="402"/>
    </row>
    <row r="382" ht="14.25" customHeight="1">
      <c r="A382" s="402"/>
      <c r="B382" s="402"/>
      <c r="C382" s="402"/>
      <c r="D382" s="402"/>
      <c r="E382" s="402"/>
      <c r="F382" s="403"/>
      <c r="G382" s="402"/>
      <c r="H382" s="402"/>
      <c r="I382" s="402"/>
      <c r="J382" s="402"/>
      <c r="K382" s="402"/>
      <c r="L382" s="402"/>
      <c r="M382" s="402"/>
      <c r="N382" s="402"/>
      <c r="O382" s="402"/>
      <c r="P382" s="402"/>
      <c r="Q382" s="402"/>
      <c r="R382" s="402"/>
      <c r="S382" s="402"/>
      <c r="T382" s="402"/>
      <c r="U382" s="402"/>
      <c r="V382" s="402"/>
      <c r="W382" s="402"/>
      <c r="X382" s="402"/>
      <c r="Y382" s="402"/>
      <c r="Z382" s="402"/>
    </row>
    <row r="383" ht="14.25" customHeight="1">
      <c r="A383" s="402"/>
      <c r="B383" s="402"/>
      <c r="C383" s="402"/>
      <c r="D383" s="402"/>
      <c r="E383" s="402"/>
      <c r="F383" s="403"/>
      <c r="G383" s="402"/>
      <c r="H383" s="402"/>
      <c r="I383" s="402"/>
      <c r="J383" s="402"/>
      <c r="K383" s="402"/>
      <c r="L383" s="402"/>
      <c r="M383" s="402"/>
      <c r="N383" s="402"/>
      <c r="O383" s="402"/>
      <c r="P383" s="402"/>
      <c r="Q383" s="402"/>
      <c r="R383" s="402"/>
      <c r="S383" s="402"/>
      <c r="T383" s="402"/>
      <c r="U383" s="402"/>
      <c r="V383" s="402"/>
      <c r="W383" s="402"/>
      <c r="X383" s="402"/>
      <c r="Y383" s="402"/>
      <c r="Z383" s="402"/>
    </row>
    <row r="384" ht="14.25" customHeight="1">
      <c r="A384" s="402"/>
      <c r="B384" s="402"/>
      <c r="C384" s="402"/>
      <c r="D384" s="402"/>
      <c r="E384" s="402"/>
      <c r="F384" s="403"/>
      <c r="G384" s="402"/>
      <c r="H384" s="402"/>
      <c r="I384" s="402"/>
      <c r="J384" s="402"/>
      <c r="K384" s="402"/>
      <c r="L384" s="402"/>
      <c r="M384" s="402"/>
      <c r="N384" s="402"/>
      <c r="O384" s="402"/>
      <c r="P384" s="402"/>
      <c r="Q384" s="402"/>
      <c r="R384" s="402"/>
      <c r="S384" s="402"/>
      <c r="T384" s="402"/>
      <c r="U384" s="402"/>
      <c r="V384" s="402"/>
      <c r="W384" s="402"/>
      <c r="X384" s="402"/>
      <c r="Y384" s="402"/>
      <c r="Z384" s="402"/>
    </row>
    <row r="385" ht="14.25" customHeight="1">
      <c r="A385" s="402"/>
      <c r="B385" s="402"/>
      <c r="C385" s="402"/>
      <c r="D385" s="402"/>
      <c r="E385" s="402"/>
      <c r="F385" s="403"/>
      <c r="G385" s="402"/>
      <c r="H385" s="402"/>
      <c r="I385" s="402"/>
      <c r="J385" s="402"/>
      <c r="K385" s="402"/>
      <c r="L385" s="402"/>
      <c r="M385" s="402"/>
      <c r="N385" s="402"/>
      <c r="O385" s="402"/>
      <c r="P385" s="402"/>
      <c r="Q385" s="402"/>
      <c r="R385" s="402"/>
      <c r="S385" s="402"/>
      <c r="T385" s="402"/>
      <c r="U385" s="402"/>
      <c r="V385" s="402"/>
      <c r="W385" s="402"/>
      <c r="X385" s="402"/>
      <c r="Y385" s="402"/>
      <c r="Z385" s="402"/>
    </row>
    <row r="386" ht="14.25" customHeight="1">
      <c r="A386" s="402"/>
      <c r="B386" s="402"/>
      <c r="C386" s="402"/>
      <c r="D386" s="402"/>
      <c r="E386" s="402"/>
      <c r="F386" s="403"/>
      <c r="G386" s="402"/>
      <c r="H386" s="402"/>
      <c r="I386" s="402"/>
      <c r="J386" s="402"/>
      <c r="K386" s="402"/>
      <c r="L386" s="402"/>
      <c r="M386" s="402"/>
      <c r="N386" s="402"/>
      <c r="O386" s="402"/>
      <c r="P386" s="402"/>
      <c r="Q386" s="402"/>
      <c r="R386" s="402"/>
      <c r="S386" s="402"/>
      <c r="T386" s="402"/>
      <c r="U386" s="402"/>
      <c r="V386" s="402"/>
      <c r="W386" s="402"/>
      <c r="X386" s="402"/>
      <c r="Y386" s="402"/>
      <c r="Z386" s="402"/>
    </row>
    <row r="387" ht="14.25" customHeight="1">
      <c r="A387" s="402"/>
      <c r="B387" s="402"/>
      <c r="C387" s="402"/>
      <c r="D387" s="402"/>
      <c r="E387" s="402"/>
      <c r="F387" s="403"/>
      <c r="G387" s="402"/>
      <c r="H387" s="402"/>
      <c r="I387" s="402"/>
      <c r="J387" s="402"/>
      <c r="K387" s="402"/>
      <c r="L387" s="402"/>
      <c r="M387" s="402"/>
      <c r="N387" s="402"/>
      <c r="O387" s="402"/>
      <c r="P387" s="402"/>
      <c r="Q387" s="402"/>
      <c r="R387" s="402"/>
      <c r="S387" s="402"/>
      <c r="T387" s="402"/>
      <c r="U387" s="402"/>
      <c r="V387" s="402"/>
      <c r="W387" s="402"/>
      <c r="X387" s="402"/>
      <c r="Y387" s="402"/>
      <c r="Z387" s="402"/>
    </row>
    <row r="388" ht="14.25" customHeight="1">
      <c r="A388" s="402"/>
      <c r="B388" s="402"/>
      <c r="C388" s="402"/>
      <c r="D388" s="402"/>
      <c r="E388" s="402"/>
      <c r="F388" s="403"/>
      <c r="G388" s="402"/>
      <c r="H388" s="402"/>
      <c r="I388" s="402"/>
      <c r="J388" s="402"/>
      <c r="K388" s="402"/>
      <c r="L388" s="402"/>
      <c r="M388" s="402"/>
      <c r="N388" s="402"/>
      <c r="O388" s="402"/>
      <c r="P388" s="402"/>
      <c r="Q388" s="402"/>
      <c r="R388" s="402"/>
      <c r="S388" s="402"/>
      <c r="T388" s="402"/>
      <c r="U388" s="402"/>
      <c r="V388" s="402"/>
      <c r="W388" s="402"/>
      <c r="X388" s="402"/>
      <c r="Y388" s="402"/>
      <c r="Z388" s="402"/>
    </row>
    <row r="389" ht="14.25" customHeight="1">
      <c r="A389" s="402"/>
      <c r="B389" s="402"/>
      <c r="C389" s="402"/>
      <c r="D389" s="402"/>
      <c r="E389" s="402"/>
      <c r="F389" s="403"/>
      <c r="G389" s="402"/>
      <c r="H389" s="402"/>
      <c r="I389" s="402"/>
      <c r="J389" s="402"/>
      <c r="K389" s="402"/>
      <c r="L389" s="402"/>
      <c r="M389" s="402"/>
      <c r="N389" s="402"/>
      <c r="O389" s="402"/>
      <c r="P389" s="402"/>
      <c r="Q389" s="402"/>
      <c r="R389" s="402"/>
      <c r="S389" s="402"/>
      <c r="T389" s="402"/>
      <c r="U389" s="402"/>
      <c r="V389" s="402"/>
      <c r="W389" s="402"/>
      <c r="X389" s="402"/>
      <c r="Y389" s="402"/>
      <c r="Z389" s="402"/>
    </row>
    <row r="390" ht="14.25" customHeight="1">
      <c r="A390" s="402"/>
      <c r="B390" s="402"/>
      <c r="C390" s="402"/>
      <c r="D390" s="402"/>
      <c r="E390" s="402"/>
      <c r="F390" s="403"/>
      <c r="G390" s="402"/>
      <c r="H390" s="402"/>
      <c r="I390" s="402"/>
      <c r="J390" s="402"/>
      <c r="K390" s="402"/>
      <c r="L390" s="402"/>
      <c r="M390" s="402"/>
      <c r="N390" s="402"/>
      <c r="O390" s="402"/>
      <c r="P390" s="402"/>
      <c r="Q390" s="402"/>
      <c r="R390" s="402"/>
      <c r="S390" s="402"/>
      <c r="T390" s="402"/>
      <c r="U390" s="402"/>
      <c r="V390" s="402"/>
      <c r="W390" s="402"/>
      <c r="X390" s="402"/>
      <c r="Y390" s="402"/>
      <c r="Z390" s="402"/>
    </row>
    <row r="391" ht="14.25" customHeight="1">
      <c r="A391" s="402"/>
      <c r="B391" s="402"/>
      <c r="C391" s="402"/>
      <c r="D391" s="402"/>
      <c r="E391" s="402"/>
      <c r="F391" s="403"/>
      <c r="G391" s="402"/>
      <c r="H391" s="402"/>
      <c r="I391" s="402"/>
      <c r="J391" s="402"/>
      <c r="K391" s="402"/>
      <c r="L391" s="402"/>
      <c r="M391" s="402"/>
      <c r="N391" s="402"/>
      <c r="O391" s="402"/>
      <c r="P391" s="402"/>
      <c r="Q391" s="402"/>
      <c r="R391" s="402"/>
      <c r="S391" s="402"/>
      <c r="T391" s="402"/>
      <c r="U391" s="402"/>
      <c r="V391" s="402"/>
      <c r="W391" s="402"/>
      <c r="X391" s="402"/>
      <c r="Y391" s="402"/>
      <c r="Z391" s="402"/>
    </row>
    <row r="392" ht="14.25" customHeight="1">
      <c r="A392" s="402"/>
      <c r="B392" s="402"/>
      <c r="C392" s="402"/>
      <c r="D392" s="402"/>
      <c r="E392" s="402"/>
      <c r="F392" s="403"/>
      <c r="G392" s="402"/>
      <c r="H392" s="402"/>
      <c r="I392" s="402"/>
      <c r="J392" s="402"/>
      <c r="K392" s="402"/>
      <c r="L392" s="402"/>
      <c r="M392" s="402"/>
      <c r="N392" s="402"/>
      <c r="O392" s="402"/>
      <c r="P392" s="402"/>
      <c r="Q392" s="402"/>
      <c r="R392" s="402"/>
      <c r="S392" s="402"/>
      <c r="T392" s="402"/>
      <c r="U392" s="402"/>
      <c r="V392" s="402"/>
      <c r="W392" s="402"/>
      <c r="X392" s="402"/>
      <c r="Y392" s="402"/>
      <c r="Z392" s="402"/>
    </row>
    <row r="393" ht="14.25" customHeight="1">
      <c r="A393" s="402"/>
      <c r="B393" s="402"/>
      <c r="C393" s="402"/>
      <c r="D393" s="402"/>
      <c r="E393" s="402"/>
      <c r="F393" s="403"/>
      <c r="G393" s="402"/>
      <c r="H393" s="402"/>
      <c r="I393" s="402"/>
      <c r="J393" s="402"/>
      <c r="K393" s="402"/>
      <c r="L393" s="402"/>
      <c r="M393" s="402"/>
      <c r="N393" s="402"/>
      <c r="O393" s="402"/>
      <c r="P393" s="402"/>
      <c r="Q393" s="402"/>
      <c r="R393" s="402"/>
      <c r="S393" s="402"/>
      <c r="T393" s="402"/>
      <c r="U393" s="402"/>
      <c r="V393" s="402"/>
      <c r="W393" s="402"/>
      <c r="X393" s="402"/>
      <c r="Y393" s="402"/>
      <c r="Z393" s="402"/>
    </row>
    <row r="394" ht="14.25" customHeight="1">
      <c r="A394" s="402"/>
      <c r="B394" s="402"/>
      <c r="C394" s="402"/>
      <c r="D394" s="402"/>
      <c r="E394" s="402"/>
      <c r="F394" s="403"/>
      <c r="G394" s="402"/>
      <c r="H394" s="402"/>
      <c r="I394" s="402"/>
      <c r="J394" s="402"/>
      <c r="K394" s="402"/>
      <c r="L394" s="402"/>
      <c r="M394" s="402"/>
      <c r="N394" s="402"/>
      <c r="O394" s="402"/>
      <c r="P394" s="402"/>
      <c r="Q394" s="402"/>
      <c r="R394" s="402"/>
      <c r="S394" s="402"/>
      <c r="T394" s="402"/>
      <c r="U394" s="402"/>
      <c r="V394" s="402"/>
      <c r="W394" s="402"/>
      <c r="X394" s="402"/>
      <c r="Y394" s="402"/>
      <c r="Z394" s="402"/>
    </row>
    <row r="395" ht="14.25" customHeight="1">
      <c r="A395" s="402"/>
      <c r="B395" s="402"/>
      <c r="C395" s="402"/>
      <c r="D395" s="402"/>
      <c r="E395" s="402"/>
      <c r="F395" s="403"/>
      <c r="G395" s="402"/>
      <c r="H395" s="402"/>
      <c r="I395" s="402"/>
      <c r="J395" s="402"/>
      <c r="K395" s="402"/>
      <c r="L395" s="402"/>
      <c r="M395" s="402"/>
      <c r="N395" s="402"/>
      <c r="O395" s="402"/>
      <c r="P395" s="402"/>
      <c r="Q395" s="402"/>
      <c r="R395" s="402"/>
      <c r="S395" s="402"/>
      <c r="T395" s="402"/>
      <c r="U395" s="402"/>
      <c r="V395" s="402"/>
      <c r="W395" s="402"/>
      <c r="X395" s="402"/>
      <c r="Y395" s="402"/>
      <c r="Z395" s="402"/>
    </row>
    <row r="396" ht="14.25" customHeight="1">
      <c r="A396" s="402"/>
      <c r="B396" s="402"/>
      <c r="C396" s="402"/>
      <c r="D396" s="402"/>
      <c r="E396" s="402"/>
      <c r="F396" s="403"/>
      <c r="G396" s="402"/>
      <c r="H396" s="402"/>
      <c r="I396" s="402"/>
      <c r="J396" s="402"/>
      <c r="K396" s="402"/>
      <c r="L396" s="402"/>
      <c r="M396" s="402"/>
      <c r="N396" s="402"/>
      <c r="O396" s="402"/>
      <c r="P396" s="402"/>
      <c r="Q396" s="402"/>
      <c r="R396" s="402"/>
      <c r="S396" s="402"/>
      <c r="T396" s="402"/>
      <c r="U396" s="402"/>
      <c r="V396" s="402"/>
      <c r="W396" s="402"/>
      <c r="X396" s="402"/>
      <c r="Y396" s="402"/>
      <c r="Z396" s="402"/>
    </row>
    <row r="397" ht="14.25" customHeight="1">
      <c r="A397" s="402"/>
      <c r="B397" s="402"/>
      <c r="C397" s="402"/>
      <c r="D397" s="402"/>
      <c r="E397" s="402"/>
      <c r="F397" s="403"/>
      <c r="G397" s="402"/>
      <c r="H397" s="402"/>
      <c r="I397" s="402"/>
      <c r="J397" s="402"/>
      <c r="K397" s="402"/>
      <c r="L397" s="402"/>
      <c r="M397" s="402"/>
      <c r="N397" s="402"/>
      <c r="O397" s="402"/>
      <c r="P397" s="402"/>
      <c r="Q397" s="402"/>
      <c r="R397" s="402"/>
      <c r="S397" s="402"/>
      <c r="T397" s="402"/>
      <c r="U397" s="402"/>
      <c r="V397" s="402"/>
      <c r="W397" s="402"/>
      <c r="X397" s="402"/>
      <c r="Y397" s="402"/>
      <c r="Z397" s="402"/>
    </row>
    <row r="398" ht="14.25" customHeight="1">
      <c r="A398" s="402"/>
      <c r="B398" s="402"/>
      <c r="C398" s="402"/>
      <c r="D398" s="402"/>
      <c r="E398" s="402"/>
      <c r="F398" s="403"/>
      <c r="G398" s="402"/>
      <c r="H398" s="402"/>
      <c r="I398" s="402"/>
      <c r="J398" s="402"/>
      <c r="K398" s="402"/>
      <c r="L398" s="402"/>
      <c r="M398" s="402"/>
      <c r="N398" s="402"/>
      <c r="O398" s="402"/>
      <c r="P398" s="402"/>
      <c r="Q398" s="402"/>
      <c r="R398" s="402"/>
      <c r="S398" s="402"/>
      <c r="T398" s="402"/>
      <c r="U398" s="402"/>
      <c r="V398" s="402"/>
      <c r="W398" s="402"/>
      <c r="X398" s="402"/>
      <c r="Y398" s="402"/>
      <c r="Z398" s="402"/>
    </row>
    <row r="399" ht="14.25" customHeight="1">
      <c r="A399" s="402"/>
      <c r="B399" s="402"/>
      <c r="C399" s="402"/>
      <c r="D399" s="402"/>
      <c r="E399" s="402"/>
      <c r="F399" s="403"/>
      <c r="G399" s="402"/>
      <c r="H399" s="402"/>
      <c r="I399" s="402"/>
      <c r="J399" s="402"/>
      <c r="K399" s="402"/>
      <c r="L399" s="402"/>
      <c r="M399" s="402"/>
      <c r="N399" s="402"/>
      <c r="O399" s="402"/>
      <c r="P399" s="402"/>
      <c r="Q399" s="402"/>
      <c r="R399" s="402"/>
      <c r="S399" s="402"/>
      <c r="T399" s="402"/>
      <c r="U399" s="402"/>
      <c r="V399" s="402"/>
      <c r="W399" s="402"/>
      <c r="X399" s="402"/>
      <c r="Y399" s="402"/>
      <c r="Z399" s="402"/>
    </row>
    <row r="400" ht="14.25" customHeight="1">
      <c r="A400" s="402"/>
      <c r="B400" s="402"/>
      <c r="C400" s="402"/>
      <c r="D400" s="402"/>
      <c r="E400" s="402"/>
      <c r="F400" s="403"/>
      <c r="G400" s="402"/>
      <c r="H400" s="402"/>
      <c r="I400" s="402"/>
      <c r="J400" s="402"/>
      <c r="K400" s="402"/>
      <c r="L400" s="402"/>
      <c r="M400" s="402"/>
      <c r="N400" s="402"/>
      <c r="O400" s="402"/>
      <c r="P400" s="402"/>
      <c r="Q400" s="402"/>
      <c r="R400" s="402"/>
      <c r="S400" s="402"/>
      <c r="T400" s="402"/>
      <c r="U400" s="402"/>
      <c r="V400" s="402"/>
      <c r="W400" s="402"/>
      <c r="X400" s="402"/>
      <c r="Y400" s="402"/>
      <c r="Z400" s="402"/>
    </row>
    <row r="401" ht="14.25" customHeight="1">
      <c r="A401" s="402"/>
      <c r="B401" s="402"/>
      <c r="C401" s="402"/>
      <c r="D401" s="402"/>
      <c r="E401" s="402"/>
      <c r="F401" s="403"/>
      <c r="G401" s="402"/>
      <c r="H401" s="402"/>
      <c r="I401" s="402"/>
      <c r="J401" s="402"/>
      <c r="K401" s="402"/>
      <c r="L401" s="402"/>
      <c r="M401" s="402"/>
      <c r="N401" s="402"/>
      <c r="O401" s="402"/>
      <c r="P401" s="402"/>
      <c r="Q401" s="402"/>
      <c r="R401" s="402"/>
      <c r="S401" s="402"/>
      <c r="T401" s="402"/>
      <c r="U401" s="402"/>
      <c r="V401" s="402"/>
      <c r="W401" s="402"/>
      <c r="X401" s="402"/>
      <c r="Y401" s="402"/>
      <c r="Z401" s="402"/>
    </row>
    <row r="402" ht="14.25" customHeight="1">
      <c r="A402" s="402"/>
      <c r="B402" s="402"/>
      <c r="C402" s="402"/>
      <c r="D402" s="402"/>
      <c r="E402" s="402"/>
      <c r="F402" s="403"/>
      <c r="G402" s="402"/>
      <c r="H402" s="402"/>
      <c r="I402" s="402"/>
      <c r="J402" s="402"/>
      <c r="K402" s="402"/>
      <c r="L402" s="402"/>
      <c r="M402" s="402"/>
      <c r="N402" s="402"/>
      <c r="O402" s="402"/>
      <c r="P402" s="402"/>
      <c r="Q402" s="402"/>
      <c r="R402" s="402"/>
      <c r="S402" s="402"/>
      <c r="T402" s="402"/>
      <c r="U402" s="402"/>
      <c r="V402" s="402"/>
      <c r="W402" s="402"/>
      <c r="X402" s="402"/>
      <c r="Y402" s="402"/>
      <c r="Z402" s="402"/>
    </row>
    <row r="403" ht="14.25" customHeight="1">
      <c r="A403" s="402"/>
      <c r="B403" s="402"/>
      <c r="C403" s="402"/>
      <c r="D403" s="402"/>
      <c r="E403" s="402"/>
      <c r="F403" s="403"/>
      <c r="G403" s="402"/>
      <c r="H403" s="402"/>
      <c r="I403" s="402"/>
      <c r="J403" s="402"/>
      <c r="K403" s="402"/>
      <c r="L403" s="402"/>
      <c r="M403" s="402"/>
      <c r="N403" s="402"/>
      <c r="O403" s="402"/>
      <c r="P403" s="402"/>
      <c r="Q403" s="402"/>
      <c r="R403" s="402"/>
      <c r="S403" s="402"/>
      <c r="T403" s="402"/>
      <c r="U403" s="402"/>
      <c r="V403" s="402"/>
      <c r="W403" s="402"/>
      <c r="X403" s="402"/>
      <c r="Y403" s="402"/>
      <c r="Z403" s="402"/>
    </row>
    <row r="404" ht="14.25" customHeight="1">
      <c r="A404" s="402"/>
      <c r="B404" s="402"/>
      <c r="C404" s="402"/>
      <c r="D404" s="402"/>
      <c r="E404" s="402"/>
      <c r="F404" s="403"/>
      <c r="G404" s="402"/>
      <c r="H404" s="402"/>
      <c r="I404" s="402"/>
      <c r="J404" s="402"/>
      <c r="K404" s="402"/>
      <c r="L404" s="402"/>
      <c r="M404" s="402"/>
      <c r="N404" s="402"/>
      <c r="O404" s="402"/>
      <c r="P404" s="402"/>
      <c r="Q404" s="402"/>
      <c r="R404" s="402"/>
      <c r="S404" s="402"/>
      <c r="T404" s="402"/>
      <c r="U404" s="402"/>
      <c r="V404" s="402"/>
      <c r="W404" s="402"/>
      <c r="X404" s="402"/>
      <c r="Y404" s="402"/>
      <c r="Z404" s="402"/>
    </row>
    <row r="405" ht="14.25" customHeight="1">
      <c r="A405" s="402"/>
      <c r="B405" s="402"/>
      <c r="C405" s="402"/>
      <c r="D405" s="402"/>
      <c r="E405" s="402"/>
      <c r="F405" s="403"/>
      <c r="G405" s="402"/>
      <c r="H405" s="402"/>
      <c r="I405" s="402"/>
      <c r="J405" s="402"/>
      <c r="K405" s="402"/>
      <c r="L405" s="402"/>
      <c r="M405" s="402"/>
      <c r="N405" s="402"/>
      <c r="O405" s="402"/>
      <c r="P405" s="402"/>
      <c r="Q405" s="402"/>
      <c r="R405" s="402"/>
      <c r="S405" s="402"/>
      <c r="T405" s="402"/>
      <c r="U405" s="402"/>
      <c r="V405" s="402"/>
      <c r="W405" s="402"/>
      <c r="X405" s="402"/>
      <c r="Y405" s="402"/>
      <c r="Z405" s="402"/>
    </row>
    <row r="406" ht="14.25" customHeight="1">
      <c r="A406" s="402"/>
      <c r="B406" s="402"/>
      <c r="C406" s="402"/>
      <c r="D406" s="402"/>
      <c r="E406" s="402"/>
      <c r="F406" s="403"/>
      <c r="G406" s="402"/>
      <c r="H406" s="402"/>
      <c r="I406" s="402"/>
      <c r="J406" s="402"/>
      <c r="K406" s="402"/>
      <c r="L406" s="402"/>
      <c r="M406" s="402"/>
      <c r="N406" s="402"/>
      <c r="O406" s="402"/>
      <c r="P406" s="402"/>
      <c r="Q406" s="402"/>
      <c r="R406" s="402"/>
      <c r="S406" s="402"/>
      <c r="T406" s="402"/>
      <c r="U406" s="402"/>
      <c r="V406" s="402"/>
      <c r="W406" s="402"/>
      <c r="X406" s="402"/>
      <c r="Y406" s="402"/>
      <c r="Z406" s="402"/>
    </row>
    <row r="407" ht="14.25" customHeight="1">
      <c r="A407" s="402"/>
      <c r="B407" s="402"/>
      <c r="C407" s="402"/>
      <c r="D407" s="402"/>
      <c r="E407" s="402"/>
      <c r="F407" s="403"/>
      <c r="G407" s="402"/>
      <c r="H407" s="402"/>
      <c r="I407" s="402"/>
      <c r="J407" s="402"/>
      <c r="K407" s="402"/>
      <c r="L407" s="402"/>
      <c r="M407" s="402"/>
      <c r="N407" s="402"/>
      <c r="O407" s="402"/>
      <c r="P407" s="402"/>
      <c r="Q407" s="402"/>
      <c r="R407" s="402"/>
      <c r="S407" s="402"/>
      <c r="T407" s="402"/>
      <c r="U407" s="402"/>
      <c r="V407" s="402"/>
      <c r="W407" s="402"/>
      <c r="X407" s="402"/>
      <c r="Y407" s="402"/>
      <c r="Z407" s="402"/>
    </row>
    <row r="408" ht="14.25" customHeight="1">
      <c r="A408" s="402"/>
      <c r="B408" s="402"/>
      <c r="C408" s="402"/>
      <c r="D408" s="402"/>
      <c r="E408" s="402"/>
      <c r="F408" s="403"/>
      <c r="G408" s="402"/>
      <c r="H408" s="402"/>
      <c r="I408" s="402"/>
      <c r="J408" s="402"/>
      <c r="K408" s="402"/>
      <c r="L408" s="402"/>
      <c r="M408" s="402"/>
      <c r="N408" s="402"/>
      <c r="O408" s="402"/>
      <c r="P408" s="402"/>
      <c r="Q408" s="402"/>
      <c r="R408" s="402"/>
      <c r="S408" s="402"/>
      <c r="T408" s="402"/>
      <c r="U408" s="402"/>
      <c r="V408" s="402"/>
      <c r="W408" s="402"/>
      <c r="X408" s="402"/>
      <c r="Y408" s="402"/>
      <c r="Z408" s="402"/>
    </row>
    <row r="409" ht="14.25" customHeight="1">
      <c r="A409" s="402"/>
      <c r="B409" s="402"/>
      <c r="C409" s="402"/>
      <c r="D409" s="402"/>
      <c r="E409" s="402"/>
      <c r="F409" s="403"/>
      <c r="G409" s="402"/>
      <c r="H409" s="402"/>
      <c r="I409" s="402"/>
      <c r="J409" s="402"/>
      <c r="K409" s="402"/>
      <c r="L409" s="402"/>
      <c r="M409" s="402"/>
      <c r="N409" s="402"/>
      <c r="O409" s="402"/>
      <c r="P409" s="402"/>
      <c r="Q409" s="402"/>
      <c r="R409" s="402"/>
      <c r="S409" s="402"/>
      <c r="T409" s="402"/>
      <c r="U409" s="402"/>
      <c r="V409" s="402"/>
      <c r="W409" s="402"/>
      <c r="X409" s="402"/>
      <c r="Y409" s="402"/>
      <c r="Z409" s="402"/>
    </row>
    <row r="410" ht="14.25" customHeight="1">
      <c r="A410" s="402"/>
      <c r="B410" s="402"/>
      <c r="C410" s="402"/>
      <c r="D410" s="402"/>
      <c r="E410" s="402"/>
      <c r="F410" s="403"/>
      <c r="G410" s="402"/>
      <c r="H410" s="402"/>
      <c r="I410" s="402"/>
      <c r="J410" s="402"/>
      <c r="K410" s="402"/>
      <c r="L410" s="402"/>
      <c r="M410" s="402"/>
      <c r="N410" s="402"/>
      <c r="O410" s="402"/>
      <c r="P410" s="402"/>
      <c r="Q410" s="402"/>
      <c r="R410" s="402"/>
      <c r="S410" s="402"/>
      <c r="T410" s="402"/>
      <c r="U410" s="402"/>
      <c r="V410" s="402"/>
      <c r="W410" s="402"/>
      <c r="X410" s="402"/>
      <c r="Y410" s="402"/>
      <c r="Z410" s="402"/>
    </row>
    <row r="411" ht="14.25" customHeight="1">
      <c r="A411" s="402"/>
      <c r="B411" s="402"/>
      <c r="C411" s="402"/>
      <c r="D411" s="402"/>
      <c r="E411" s="402"/>
      <c r="F411" s="403"/>
      <c r="G411" s="402"/>
      <c r="H411" s="402"/>
      <c r="I411" s="402"/>
      <c r="J411" s="402"/>
      <c r="K411" s="402"/>
      <c r="L411" s="402"/>
      <c r="M411" s="402"/>
      <c r="N411" s="402"/>
      <c r="O411" s="402"/>
      <c r="P411" s="402"/>
      <c r="Q411" s="402"/>
      <c r="R411" s="402"/>
      <c r="S411" s="402"/>
      <c r="T411" s="402"/>
      <c r="U411" s="402"/>
      <c r="V411" s="402"/>
      <c r="W411" s="402"/>
      <c r="X411" s="402"/>
      <c r="Y411" s="402"/>
      <c r="Z411" s="402"/>
    </row>
    <row r="412" ht="14.25" customHeight="1">
      <c r="A412" s="402"/>
      <c r="B412" s="402"/>
      <c r="C412" s="402"/>
      <c r="D412" s="402"/>
      <c r="E412" s="402"/>
      <c r="F412" s="403"/>
      <c r="G412" s="402"/>
      <c r="H412" s="402"/>
      <c r="I412" s="402"/>
      <c r="J412" s="402"/>
      <c r="K412" s="402"/>
      <c r="L412" s="402"/>
      <c r="M412" s="402"/>
      <c r="N412" s="402"/>
      <c r="O412" s="402"/>
      <c r="P412" s="402"/>
      <c r="Q412" s="402"/>
      <c r="R412" s="402"/>
      <c r="S412" s="402"/>
      <c r="T412" s="402"/>
      <c r="U412" s="402"/>
      <c r="V412" s="402"/>
      <c r="W412" s="402"/>
      <c r="X412" s="402"/>
      <c r="Y412" s="402"/>
      <c r="Z412" s="402"/>
    </row>
    <row r="413" ht="14.25" customHeight="1">
      <c r="A413" s="402"/>
      <c r="B413" s="402"/>
      <c r="C413" s="402"/>
      <c r="D413" s="402"/>
      <c r="E413" s="402"/>
      <c r="F413" s="403"/>
      <c r="G413" s="402"/>
      <c r="H413" s="402"/>
      <c r="I413" s="402"/>
      <c r="J413" s="402"/>
      <c r="K413" s="402"/>
      <c r="L413" s="402"/>
      <c r="M413" s="402"/>
      <c r="N413" s="402"/>
      <c r="O413" s="402"/>
      <c r="P413" s="402"/>
      <c r="Q413" s="402"/>
      <c r="R413" s="402"/>
      <c r="S413" s="402"/>
      <c r="T413" s="402"/>
      <c r="U413" s="402"/>
      <c r="V413" s="402"/>
      <c r="W413" s="402"/>
      <c r="X413" s="402"/>
      <c r="Y413" s="402"/>
      <c r="Z413" s="402"/>
    </row>
    <row r="414" ht="14.25" customHeight="1">
      <c r="A414" s="402"/>
      <c r="B414" s="402"/>
      <c r="C414" s="402"/>
      <c r="D414" s="402"/>
      <c r="E414" s="402"/>
      <c r="F414" s="403"/>
      <c r="G414" s="402"/>
      <c r="H414" s="402"/>
      <c r="I414" s="402"/>
      <c r="J414" s="402"/>
      <c r="K414" s="402"/>
      <c r="L414" s="402"/>
      <c r="M414" s="402"/>
      <c r="N414" s="402"/>
      <c r="O414" s="402"/>
      <c r="P414" s="402"/>
      <c r="Q414" s="402"/>
      <c r="R414" s="402"/>
      <c r="S414" s="402"/>
      <c r="T414" s="402"/>
      <c r="U414" s="402"/>
      <c r="V414" s="402"/>
      <c r="W414" s="402"/>
      <c r="X414" s="402"/>
      <c r="Y414" s="402"/>
      <c r="Z414" s="402"/>
    </row>
    <row r="415" ht="14.25" customHeight="1">
      <c r="A415" s="402"/>
      <c r="B415" s="402"/>
      <c r="C415" s="402"/>
      <c r="D415" s="402"/>
      <c r="E415" s="402"/>
      <c r="F415" s="403"/>
      <c r="G415" s="402"/>
      <c r="H415" s="402"/>
      <c r="I415" s="402"/>
      <c r="J415" s="402"/>
      <c r="K415" s="402"/>
      <c r="L415" s="402"/>
      <c r="M415" s="402"/>
      <c r="N415" s="402"/>
      <c r="O415" s="402"/>
      <c r="P415" s="402"/>
      <c r="Q415" s="402"/>
      <c r="R415" s="402"/>
      <c r="S415" s="402"/>
      <c r="T415" s="402"/>
      <c r="U415" s="402"/>
      <c r="V415" s="402"/>
      <c r="W415" s="402"/>
      <c r="X415" s="402"/>
      <c r="Y415" s="402"/>
      <c r="Z415" s="402"/>
    </row>
    <row r="416" ht="14.25" customHeight="1">
      <c r="A416" s="402"/>
      <c r="B416" s="402"/>
      <c r="C416" s="402"/>
      <c r="D416" s="402"/>
      <c r="E416" s="402"/>
      <c r="F416" s="403"/>
      <c r="G416" s="402"/>
      <c r="H416" s="402"/>
      <c r="I416" s="402"/>
      <c r="J416" s="402"/>
      <c r="K416" s="402"/>
      <c r="L416" s="402"/>
      <c r="M416" s="402"/>
      <c r="N416" s="402"/>
      <c r="O416" s="402"/>
      <c r="P416" s="402"/>
      <c r="Q416" s="402"/>
      <c r="R416" s="402"/>
      <c r="S416" s="402"/>
      <c r="T416" s="402"/>
      <c r="U416" s="402"/>
      <c r="V416" s="402"/>
      <c r="W416" s="402"/>
      <c r="X416" s="402"/>
      <c r="Y416" s="402"/>
      <c r="Z416" s="402"/>
    </row>
    <row r="417" ht="14.25" customHeight="1">
      <c r="A417" s="402"/>
      <c r="B417" s="402"/>
      <c r="C417" s="402"/>
      <c r="D417" s="402"/>
      <c r="E417" s="402"/>
      <c r="F417" s="403"/>
      <c r="G417" s="402"/>
      <c r="H417" s="402"/>
      <c r="I417" s="402"/>
      <c r="J417" s="402"/>
      <c r="K417" s="402"/>
      <c r="L417" s="402"/>
      <c r="M417" s="402"/>
      <c r="N417" s="402"/>
      <c r="O417" s="402"/>
      <c r="P417" s="402"/>
      <c r="Q417" s="402"/>
      <c r="R417" s="402"/>
      <c r="S417" s="402"/>
      <c r="T417" s="402"/>
      <c r="U417" s="402"/>
      <c r="V417" s="402"/>
      <c r="W417" s="402"/>
      <c r="X417" s="402"/>
      <c r="Y417" s="402"/>
      <c r="Z417" s="402"/>
    </row>
    <row r="418" ht="14.25" customHeight="1">
      <c r="A418" s="402"/>
      <c r="B418" s="402"/>
      <c r="C418" s="402"/>
      <c r="D418" s="402"/>
      <c r="E418" s="402"/>
      <c r="F418" s="403"/>
      <c r="G418" s="402"/>
      <c r="H418" s="402"/>
      <c r="I418" s="402"/>
      <c r="J418" s="402"/>
      <c r="K418" s="402"/>
      <c r="L418" s="402"/>
      <c r="M418" s="402"/>
      <c r="N418" s="402"/>
      <c r="O418" s="402"/>
      <c r="P418" s="402"/>
      <c r="Q418" s="402"/>
      <c r="R418" s="402"/>
      <c r="S418" s="402"/>
      <c r="T418" s="402"/>
      <c r="U418" s="402"/>
      <c r="V418" s="402"/>
      <c r="W418" s="402"/>
      <c r="X418" s="402"/>
      <c r="Y418" s="402"/>
      <c r="Z418" s="402"/>
    </row>
    <row r="419" ht="14.25" customHeight="1">
      <c r="A419" s="402"/>
      <c r="B419" s="402"/>
      <c r="C419" s="402"/>
      <c r="D419" s="402"/>
      <c r="E419" s="402"/>
      <c r="F419" s="403"/>
      <c r="G419" s="402"/>
      <c r="H419" s="402"/>
      <c r="I419" s="402"/>
      <c r="J419" s="402"/>
      <c r="K419" s="402"/>
      <c r="L419" s="402"/>
      <c r="M419" s="402"/>
      <c r="N419" s="402"/>
      <c r="O419" s="402"/>
      <c r="P419" s="402"/>
      <c r="Q419" s="402"/>
      <c r="R419" s="402"/>
      <c r="S419" s="402"/>
      <c r="T419" s="402"/>
      <c r="U419" s="402"/>
      <c r="V419" s="402"/>
      <c r="W419" s="402"/>
      <c r="X419" s="402"/>
      <c r="Y419" s="402"/>
      <c r="Z419" s="402"/>
    </row>
    <row r="420" ht="14.25" customHeight="1">
      <c r="A420" s="402"/>
      <c r="B420" s="402"/>
      <c r="C420" s="402"/>
      <c r="D420" s="402"/>
      <c r="E420" s="402"/>
      <c r="F420" s="403"/>
      <c r="G420" s="402"/>
      <c r="H420" s="402"/>
      <c r="I420" s="402"/>
      <c r="J420" s="402"/>
      <c r="K420" s="402"/>
      <c r="L420" s="402"/>
      <c r="M420" s="402"/>
      <c r="N420" s="402"/>
      <c r="O420" s="402"/>
      <c r="P420" s="402"/>
      <c r="Q420" s="402"/>
      <c r="R420" s="402"/>
      <c r="S420" s="402"/>
      <c r="T420" s="402"/>
      <c r="U420" s="402"/>
      <c r="V420" s="402"/>
      <c r="W420" s="402"/>
      <c r="X420" s="402"/>
      <c r="Y420" s="402"/>
      <c r="Z420" s="402"/>
    </row>
    <row r="421" ht="14.25" customHeight="1">
      <c r="A421" s="402"/>
      <c r="B421" s="402"/>
      <c r="C421" s="402"/>
      <c r="D421" s="402"/>
      <c r="E421" s="402"/>
      <c r="F421" s="403"/>
      <c r="G421" s="402"/>
      <c r="H421" s="402"/>
      <c r="I421" s="402"/>
      <c r="J421" s="402"/>
      <c r="K421" s="402"/>
      <c r="L421" s="402"/>
      <c r="M421" s="402"/>
      <c r="N421" s="402"/>
      <c r="O421" s="402"/>
      <c r="P421" s="402"/>
      <c r="Q421" s="402"/>
      <c r="R421" s="402"/>
      <c r="S421" s="402"/>
      <c r="T421" s="402"/>
      <c r="U421" s="402"/>
      <c r="V421" s="402"/>
      <c r="W421" s="402"/>
      <c r="X421" s="402"/>
      <c r="Y421" s="402"/>
      <c r="Z421" s="402"/>
    </row>
    <row r="422" ht="14.25" customHeight="1">
      <c r="A422" s="402"/>
      <c r="B422" s="402"/>
      <c r="C422" s="402"/>
      <c r="D422" s="402"/>
      <c r="E422" s="402"/>
      <c r="F422" s="403"/>
      <c r="G422" s="402"/>
      <c r="H422" s="402"/>
      <c r="I422" s="402"/>
      <c r="J422" s="402"/>
      <c r="K422" s="402"/>
      <c r="L422" s="402"/>
      <c r="M422" s="402"/>
      <c r="N422" s="402"/>
      <c r="O422" s="402"/>
      <c r="P422" s="402"/>
      <c r="Q422" s="402"/>
      <c r="R422" s="402"/>
      <c r="S422" s="402"/>
      <c r="T422" s="402"/>
      <c r="U422" s="402"/>
      <c r="V422" s="402"/>
      <c r="W422" s="402"/>
      <c r="X422" s="402"/>
      <c r="Y422" s="402"/>
      <c r="Z422" s="402"/>
    </row>
    <row r="423" ht="14.25" customHeight="1">
      <c r="A423" s="402"/>
      <c r="B423" s="402"/>
      <c r="C423" s="402"/>
      <c r="D423" s="402"/>
      <c r="E423" s="402"/>
      <c r="F423" s="403"/>
      <c r="G423" s="402"/>
      <c r="H423" s="402"/>
      <c r="I423" s="402"/>
      <c r="J423" s="402"/>
      <c r="K423" s="402"/>
      <c r="L423" s="402"/>
      <c r="M423" s="402"/>
      <c r="N423" s="402"/>
      <c r="O423" s="402"/>
      <c r="P423" s="402"/>
      <c r="Q423" s="402"/>
      <c r="R423" s="402"/>
      <c r="S423" s="402"/>
      <c r="T423" s="402"/>
      <c r="U423" s="402"/>
      <c r="V423" s="402"/>
      <c r="W423" s="402"/>
      <c r="X423" s="402"/>
      <c r="Y423" s="402"/>
      <c r="Z423" s="402"/>
    </row>
    <row r="424" ht="14.25" customHeight="1">
      <c r="A424" s="402"/>
      <c r="B424" s="402"/>
      <c r="C424" s="402"/>
      <c r="D424" s="402"/>
      <c r="E424" s="402"/>
      <c r="F424" s="403"/>
      <c r="G424" s="402"/>
      <c r="H424" s="402"/>
      <c r="I424" s="402"/>
      <c r="J424" s="402"/>
      <c r="K424" s="402"/>
      <c r="L424" s="402"/>
      <c r="M424" s="402"/>
      <c r="N424" s="402"/>
      <c r="O424" s="402"/>
      <c r="P424" s="402"/>
      <c r="Q424" s="402"/>
      <c r="R424" s="402"/>
      <c r="S424" s="402"/>
      <c r="T424" s="402"/>
      <c r="U424" s="402"/>
      <c r="V424" s="402"/>
      <c r="W424" s="402"/>
      <c r="X424" s="402"/>
      <c r="Y424" s="402"/>
      <c r="Z424" s="402"/>
    </row>
    <row r="425" ht="14.25" customHeight="1">
      <c r="A425" s="402"/>
      <c r="B425" s="402"/>
      <c r="C425" s="402"/>
      <c r="D425" s="402"/>
      <c r="E425" s="402"/>
      <c r="F425" s="403"/>
      <c r="G425" s="402"/>
      <c r="H425" s="402"/>
      <c r="I425" s="402"/>
      <c r="J425" s="402"/>
      <c r="K425" s="402"/>
      <c r="L425" s="402"/>
      <c r="M425" s="402"/>
      <c r="N425" s="402"/>
      <c r="O425" s="402"/>
      <c r="P425" s="402"/>
      <c r="Q425" s="402"/>
      <c r="R425" s="402"/>
      <c r="S425" s="402"/>
      <c r="T425" s="402"/>
      <c r="U425" s="402"/>
      <c r="V425" s="402"/>
      <c r="W425" s="402"/>
      <c r="X425" s="402"/>
      <c r="Y425" s="402"/>
      <c r="Z425" s="402"/>
    </row>
    <row r="426" ht="14.25" customHeight="1">
      <c r="A426" s="402"/>
      <c r="B426" s="402"/>
      <c r="C426" s="402"/>
      <c r="D426" s="402"/>
      <c r="E426" s="402"/>
      <c r="F426" s="403"/>
      <c r="G426" s="402"/>
      <c r="H426" s="402"/>
      <c r="I426" s="402"/>
      <c r="J426" s="402"/>
      <c r="K426" s="402"/>
      <c r="L426" s="402"/>
      <c r="M426" s="402"/>
      <c r="N426" s="402"/>
      <c r="O426" s="402"/>
      <c r="P426" s="402"/>
      <c r="Q426" s="402"/>
      <c r="R426" s="402"/>
      <c r="S426" s="402"/>
      <c r="T426" s="402"/>
      <c r="U426" s="402"/>
      <c r="V426" s="402"/>
      <c r="W426" s="402"/>
      <c r="X426" s="402"/>
      <c r="Y426" s="402"/>
      <c r="Z426" s="402"/>
    </row>
    <row r="427" ht="14.25" customHeight="1">
      <c r="A427" s="402"/>
      <c r="B427" s="402"/>
      <c r="C427" s="402"/>
      <c r="D427" s="402"/>
      <c r="E427" s="402"/>
      <c r="F427" s="403"/>
      <c r="G427" s="402"/>
      <c r="H427" s="402"/>
      <c r="I427" s="402"/>
      <c r="J427" s="402"/>
      <c r="K427" s="402"/>
      <c r="L427" s="402"/>
      <c r="M427" s="402"/>
      <c r="N427" s="402"/>
      <c r="O427" s="402"/>
      <c r="P427" s="402"/>
      <c r="Q427" s="402"/>
      <c r="R427" s="402"/>
      <c r="S427" s="402"/>
      <c r="T427" s="402"/>
      <c r="U427" s="402"/>
      <c r="V427" s="402"/>
      <c r="W427" s="402"/>
      <c r="X427" s="402"/>
      <c r="Y427" s="402"/>
      <c r="Z427" s="402"/>
    </row>
    <row r="428" ht="14.25" customHeight="1">
      <c r="A428" s="402"/>
      <c r="B428" s="402"/>
      <c r="C428" s="402"/>
      <c r="D428" s="402"/>
      <c r="E428" s="402"/>
      <c r="F428" s="403"/>
      <c r="G428" s="402"/>
      <c r="H428" s="402"/>
      <c r="I428" s="402"/>
      <c r="J428" s="402"/>
      <c r="K428" s="402"/>
      <c r="L428" s="402"/>
      <c r="M428" s="402"/>
      <c r="N428" s="402"/>
      <c r="O428" s="402"/>
      <c r="P428" s="402"/>
      <c r="Q428" s="402"/>
      <c r="R428" s="402"/>
      <c r="S428" s="402"/>
      <c r="T428" s="402"/>
      <c r="U428" s="402"/>
      <c r="V428" s="402"/>
      <c r="W428" s="402"/>
      <c r="X428" s="402"/>
      <c r="Y428" s="402"/>
      <c r="Z428" s="402"/>
    </row>
    <row r="429" ht="14.25" customHeight="1">
      <c r="A429" s="402"/>
      <c r="B429" s="402"/>
      <c r="C429" s="402"/>
      <c r="D429" s="402"/>
      <c r="E429" s="402"/>
      <c r="F429" s="403"/>
      <c r="G429" s="402"/>
      <c r="H429" s="402"/>
      <c r="I429" s="402"/>
      <c r="J429" s="402"/>
      <c r="K429" s="402"/>
      <c r="L429" s="402"/>
      <c r="M429" s="402"/>
      <c r="N429" s="402"/>
      <c r="O429" s="402"/>
      <c r="P429" s="402"/>
      <c r="Q429" s="402"/>
      <c r="R429" s="402"/>
      <c r="S429" s="402"/>
      <c r="T429" s="402"/>
      <c r="U429" s="402"/>
      <c r="V429" s="402"/>
      <c r="W429" s="402"/>
      <c r="X429" s="402"/>
      <c r="Y429" s="402"/>
      <c r="Z429" s="402"/>
    </row>
    <row r="430" ht="14.25" customHeight="1">
      <c r="A430" s="402"/>
      <c r="B430" s="402"/>
      <c r="C430" s="402"/>
      <c r="D430" s="402"/>
      <c r="E430" s="402"/>
      <c r="F430" s="403"/>
      <c r="G430" s="402"/>
      <c r="H430" s="402"/>
      <c r="I430" s="402"/>
      <c r="J430" s="402"/>
      <c r="K430" s="402"/>
      <c r="L430" s="402"/>
      <c r="M430" s="402"/>
      <c r="N430" s="402"/>
      <c r="O430" s="402"/>
      <c r="P430" s="402"/>
      <c r="Q430" s="402"/>
      <c r="R430" s="402"/>
      <c r="S430" s="402"/>
      <c r="T430" s="402"/>
      <c r="U430" s="402"/>
      <c r="V430" s="402"/>
      <c r="W430" s="402"/>
      <c r="X430" s="402"/>
      <c r="Y430" s="402"/>
      <c r="Z430" s="402"/>
    </row>
    <row r="431" ht="14.25" customHeight="1">
      <c r="A431" s="402"/>
      <c r="B431" s="402"/>
      <c r="C431" s="402"/>
      <c r="D431" s="402"/>
      <c r="E431" s="402"/>
      <c r="F431" s="403"/>
      <c r="G431" s="402"/>
      <c r="H431" s="402"/>
      <c r="I431" s="402"/>
      <c r="J431" s="402"/>
      <c r="K431" s="402"/>
      <c r="L431" s="402"/>
      <c r="M431" s="402"/>
      <c r="N431" s="402"/>
      <c r="O431" s="402"/>
      <c r="P431" s="402"/>
      <c r="Q431" s="402"/>
      <c r="R431" s="402"/>
      <c r="S431" s="402"/>
      <c r="T431" s="402"/>
      <c r="U431" s="402"/>
      <c r="V431" s="402"/>
      <c r="W431" s="402"/>
      <c r="X431" s="402"/>
      <c r="Y431" s="402"/>
      <c r="Z431" s="402"/>
    </row>
    <row r="432" ht="14.25" customHeight="1">
      <c r="A432" s="402"/>
      <c r="B432" s="402"/>
      <c r="C432" s="402"/>
      <c r="D432" s="402"/>
      <c r="E432" s="402"/>
      <c r="F432" s="403"/>
      <c r="G432" s="402"/>
      <c r="H432" s="402"/>
      <c r="I432" s="402"/>
      <c r="J432" s="402"/>
      <c r="K432" s="402"/>
      <c r="L432" s="402"/>
      <c r="M432" s="402"/>
      <c r="N432" s="402"/>
      <c r="O432" s="402"/>
      <c r="P432" s="402"/>
      <c r="Q432" s="402"/>
      <c r="R432" s="402"/>
      <c r="S432" s="402"/>
      <c r="T432" s="402"/>
      <c r="U432" s="402"/>
      <c r="V432" s="402"/>
      <c r="W432" s="402"/>
      <c r="X432" s="402"/>
      <c r="Y432" s="402"/>
      <c r="Z432" s="402"/>
    </row>
    <row r="433" ht="14.25" customHeight="1">
      <c r="A433" s="402"/>
      <c r="B433" s="402"/>
      <c r="C433" s="402"/>
      <c r="D433" s="402"/>
      <c r="E433" s="402"/>
      <c r="F433" s="403"/>
      <c r="G433" s="402"/>
      <c r="H433" s="402"/>
      <c r="I433" s="402"/>
      <c r="J433" s="402"/>
      <c r="K433" s="402"/>
      <c r="L433" s="402"/>
      <c r="M433" s="402"/>
      <c r="N433" s="402"/>
      <c r="O433" s="402"/>
      <c r="P433" s="402"/>
      <c r="Q433" s="402"/>
      <c r="R433" s="402"/>
      <c r="S433" s="402"/>
      <c r="T433" s="402"/>
      <c r="U433" s="402"/>
      <c r="V433" s="402"/>
      <c r="W433" s="402"/>
      <c r="X433" s="402"/>
      <c r="Y433" s="402"/>
      <c r="Z433" s="402"/>
    </row>
    <row r="434" ht="14.25" customHeight="1">
      <c r="A434" s="402"/>
      <c r="B434" s="402"/>
      <c r="C434" s="402"/>
      <c r="D434" s="402"/>
      <c r="E434" s="402"/>
      <c r="F434" s="403"/>
      <c r="G434" s="402"/>
      <c r="H434" s="402"/>
      <c r="I434" s="402"/>
      <c r="J434" s="402"/>
      <c r="K434" s="402"/>
      <c r="L434" s="402"/>
      <c r="M434" s="402"/>
      <c r="N434" s="402"/>
      <c r="O434" s="402"/>
      <c r="P434" s="402"/>
      <c r="Q434" s="402"/>
      <c r="R434" s="402"/>
      <c r="S434" s="402"/>
      <c r="T434" s="402"/>
      <c r="U434" s="402"/>
      <c r="V434" s="402"/>
      <c r="W434" s="402"/>
      <c r="X434" s="402"/>
      <c r="Y434" s="402"/>
      <c r="Z434" s="402"/>
    </row>
    <row r="435" ht="14.25" customHeight="1">
      <c r="A435" s="402"/>
      <c r="B435" s="402"/>
      <c r="C435" s="402"/>
      <c r="D435" s="402"/>
      <c r="E435" s="402"/>
      <c r="F435" s="403"/>
      <c r="G435" s="402"/>
      <c r="H435" s="402"/>
      <c r="I435" s="402"/>
      <c r="J435" s="402"/>
      <c r="K435" s="402"/>
      <c r="L435" s="402"/>
      <c r="M435" s="402"/>
      <c r="N435" s="402"/>
      <c r="O435" s="402"/>
      <c r="P435" s="402"/>
      <c r="Q435" s="402"/>
      <c r="R435" s="402"/>
      <c r="S435" s="402"/>
      <c r="T435" s="402"/>
      <c r="U435" s="402"/>
      <c r="V435" s="402"/>
      <c r="W435" s="402"/>
      <c r="X435" s="402"/>
      <c r="Y435" s="402"/>
      <c r="Z435" s="402"/>
    </row>
    <row r="436" ht="14.25" customHeight="1">
      <c r="A436" s="402"/>
      <c r="B436" s="402"/>
      <c r="C436" s="402"/>
      <c r="D436" s="402"/>
      <c r="E436" s="402"/>
      <c r="F436" s="403"/>
      <c r="G436" s="402"/>
      <c r="H436" s="402"/>
      <c r="I436" s="402"/>
      <c r="J436" s="402"/>
      <c r="K436" s="402"/>
      <c r="L436" s="402"/>
      <c r="M436" s="402"/>
      <c r="N436" s="402"/>
      <c r="O436" s="402"/>
      <c r="P436" s="402"/>
      <c r="Q436" s="402"/>
      <c r="R436" s="402"/>
      <c r="S436" s="402"/>
      <c r="T436" s="402"/>
      <c r="U436" s="402"/>
      <c r="V436" s="402"/>
      <c r="W436" s="402"/>
      <c r="X436" s="402"/>
      <c r="Y436" s="402"/>
      <c r="Z436" s="402"/>
    </row>
    <row r="437" ht="14.25" customHeight="1">
      <c r="A437" s="402"/>
      <c r="B437" s="402"/>
      <c r="C437" s="402"/>
      <c r="D437" s="402"/>
      <c r="E437" s="402"/>
      <c r="F437" s="403"/>
      <c r="G437" s="402"/>
      <c r="H437" s="402"/>
      <c r="I437" s="402"/>
      <c r="J437" s="402"/>
      <c r="K437" s="402"/>
      <c r="L437" s="402"/>
      <c r="M437" s="402"/>
      <c r="N437" s="402"/>
      <c r="O437" s="402"/>
      <c r="P437" s="402"/>
      <c r="Q437" s="402"/>
      <c r="R437" s="402"/>
      <c r="S437" s="402"/>
      <c r="T437" s="402"/>
      <c r="U437" s="402"/>
      <c r="V437" s="402"/>
      <c r="W437" s="402"/>
      <c r="X437" s="402"/>
      <c r="Y437" s="402"/>
      <c r="Z437" s="402"/>
    </row>
    <row r="438" ht="14.25" customHeight="1">
      <c r="A438" s="402"/>
      <c r="B438" s="402"/>
      <c r="C438" s="402"/>
      <c r="D438" s="402"/>
      <c r="E438" s="402"/>
      <c r="F438" s="403"/>
      <c r="G438" s="402"/>
      <c r="H438" s="402"/>
      <c r="I438" s="402"/>
      <c r="J438" s="402"/>
      <c r="K438" s="402"/>
      <c r="L438" s="402"/>
      <c r="M438" s="402"/>
      <c r="N438" s="402"/>
      <c r="O438" s="402"/>
      <c r="P438" s="402"/>
      <c r="Q438" s="402"/>
      <c r="R438" s="402"/>
      <c r="S438" s="402"/>
      <c r="T438" s="402"/>
      <c r="U438" s="402"/>
      <c r="V438" s="402"/>
      <c r="W438" s="402"/>
      <c r="X438" s="402"/>
      <c r="Y438" s="402"/>
      <c r="Z438" s="402"/>
    </row>
    <row r="439" ht="14.25" customHeight="1">
      <c r="A439" s="402"/>
      <c r="B439" s="402"/>
      <c r="C439" s="402"/>
      <c r="D439" s="402"/>
      <c r="E439" s="402"/>
      <c r="F439" s="403"/>
      <c r="G439" s="402"/>
      <c r="H439" s="402"/>
      <c r="I439" s="402"/>
      <c r="J439" s="402"/>
      <c r="K439" s="402"/>
      <c r="L439" s="402"/>
      <c r="M439" s="402"/>
      <c r="N439" s="402"/>
      <c r="O439" s="402"/>
      <c r="P439" s="402"/>
      <c r="Q439" s="402"/>
      <c r="R439" s="402"/>
      <c r="S439" s="402"/>
      <c r="T439" s="402"/>
      <c r="U439" s="402"/>
      <c r="V439" s="402"/>
      <c r="W439" s="402"/>
      <c r="X439" s="402"/>
      <c r="Y439" s="402"/>
      <c r="Z439" s="402"/>
    </row>
    <row r="440" ht="14.25" customHeight="1">
      <c r="A440" s="402"/>
      <c r="B440" s="402"/>
      <c r="C440" s="402"/>
      <c r="D440" s="402"/>
      <c r="E440" s="402"/>
      <c r="F440" s="403"/>
      <c r="G440" s="402"/>
      <c r="H440" s="402"/>
      <c r="I440" s="402"/>
      <c r="J440" s="402"/>
      <c r="K440" s="402"/>
      <c r="L440" s="402"/>
      <c r="M440" s="402"/>
      <c r="N440" s="402"/>
      <c r="O440" s="402"/>
      <c r="P440" s="402"/>
      <c r="Q440" s="402"/>
      <c r="R440" s="402"/>
      <c r="S440" s="402"/>
      <c r="T440" s="402"/>
      <c r="U440" s="402"/>
      <c r="V440" s="402"/>
      <c r="W440" s="402"/>
      <c r="X440" s="402"/>
      <c r="Y440" s="402"/>
      <c r="Z440" s="402"/>
    </row>
    <row r="441" ht="14.25" customHeight="1">
      <c r="A441" s="402"/>
      <c r="B441" s="402"/>
      <c r="C441" s="402"/>
      <c r="D441" s="402"/>
      <c r="E441" s="402"/>
      <c r="F441" s="403"/>
      <c r="G441" s="402"/>
      <c r="H441" s="402"/>
      <c r="I441" s="402"/>
      <c r="J441" s="402"/>
      <c r="K441" s="402"/>
      <c r="L441" s="402"/>
      <c r="M441" s="402"/>
      <c r="N441" s="402"/>
      <c r="O441" s="402"/>
      <c r="P441" s="402"/>
      <c r="Q441" s="402"/>
      <c r="R441" s="402"/>
      <c r="S441" s="402"/>
      <c r="T441" s="402"/>
      <c r="U441" s="402"/>
      <c r="V441" s="402"/>
      <c r="W441" s="402"/>
      <c r="X441" s="402"/>
      <c r="Y441" s="402"/>
      <c r="Z441" s="402"/>
    </row>
    <row r="442" ht="14.25" customHeight="1">
      <c r="A442" s="402"/>
      <c r="B442" s="402"/>
      <c r="C442" s="402"/>
      <c r="D442" s="402"/>
      <c r="E442" s="402"/>
      <c r="F442" s="403"/>
      <c r="G442" s="402"/>
      <c r="H442" s="402"/>
      <c r="I442" s="402"/>
      <c r="J442" s="402"/>
      <c r="K442" s="402"/>
      <c r="L442" s="402"/>
      <c r="M442" s="402"/>
      <c r="N442" s="402"/>
      <c r="O442" s="402"/>
      <c r="P442" s="402"/>
      <c r="Q442" s="402"/>
      <c r="R442" s="402"/>
      <c r="S442" s="402"/>
      <c r="T442" s="402"/>
      <c r="U442" s="402"/>
      <c r="V442" s="402"/>
      <c r="W442" s="402"/>
      <c r="X442" s="402"/>
      <c r="Y442" s="402"/>
      <c r="Z442" s="402"/>
    </row>
    <row r="443" ht="14.25" customHeight="1">
      <c r="A443" s="402"/>
      <c r="B443" s="402"/>
      <c r="C443" s="402"/>
      <c r="D443" s="402"/>
      <c r="E443" s="402"/>
      <c r="F443" s="403"/>
      <c r="G443" s="402"/>
      <c r="H443" s="402"/>
      <c r="I443" s="402"/>
      <c r="J443" s="402"/>
      <c r="K443" s="402"/>
      <c r="L443" s="402"/>
      <c r="M443" s="402"/>
      <c r="N443" s="402"/>
      <c r="O443" s="402"/>
      <c r="P443" s="402"/>
      <c r="Q443" s="402"/>
      <c r="R443" s="402"/>
      <c r="S443" s="402"/>
      <c r="T443" s="402"/>
      <c r="U443" s="402"/>
      <c r="V443" s="402"/>
      <c r="W443" s="402"/>
      <c r="X443" s="402"/>
      <c r="Y443" s="402"/>
      <c r="Z443" s="402"/>
    </row>
    <row r="444" ht="14.25" customHeight="1">
      <c r="A444" s="402"/>
      <c r="B444" s="402"/>
      <c r="C444" s="402"/>
      <c r="D444" s="402"/>
      <c r="E444" s="402"/>
      <c r="F444" s="403"/>
      <c r="G444" s="402"/>
      <c r="H444" s="402"/>
      <c r="I444" s="402"/>
      <c r="J444" s="402"/>
      <c r="K444" s="402"/>
      <c r="L444" s="402"/>
      <c r="M444" s="402"/>
      <c r="N444" s="402"/>
      <c r="O444" s="402"/>
      <c r="P444" s="402"/>
      <c r="Q444" s="402"/>
      <c r="R444" s="402"/>
      <c r="S444" s="402"/>
      <c r="T444" s="402"/>
      <c r="U444" s="402"/>
      <c r="V444" s="402"/>
      <c r="W444" s="402"/>
      <c r="X444" s="402"/>
      <c r="Y444" s="402"/>
      <c r="Z444" s="402"/>
    </row>
    <row r="445" ht="14.25" customHeight="1">
      <c r="A445" s="402"/>
      <c r="B445" s="402"/>
      <c r="C445" s="402"/>
      <c r="D445" s="402"/>
      <c r="E445" s="402"/>
      <c r="F445" s="403"/>
      <c r="G445" s="402"/>
      <c r="H445" s="402"/>
      <c r="I445" s="402"/>
      <c r="J445" s="402"/>
      <c r="K445" s="402"/>
      <c r="L445" s="402"/>
      <c r="M445" s="402"/>
      <c r="N445" s="402"/>
      <c r="O445" s="402"/>
      <c r="P445" s="402"/>
      <c r="Q445" s="402"/>
      <c r="R445" s="402"/>
      <c r="S445" s="402"/>
      <c r="T445" s="402"/>
      <c r="U445" s="402"/>
      <c r="V445" s="402"/>
      <c r="W445" s="402"/>
      <c r="X445" s="402"/>
      <c r="Y445" s="402"/>
      <c r="Z445" s="402"/>
    </row>
    <row r="446" ht="14.25" customHeight="1">
      <c r="A446" s="402"/>
      <c r="B446" s="402"/>
      <c r="C446" s="402"/>
      <c r="D446" s="402"/>
      <c r="E446" s="402"/>
      <c r="F446" s="403"/>
      <c r="G446" s="402"/>
      <c r="H446" s="402"/>
      <c r="I446" s="402"/>
      <c r="J446" s="402"/>
      <c r="K446" s="402"/>
      <c r="L446" s="402"/>
      <c r="M446" s="402"/>
      <c r="N446" s="402"/>
      <c r="O446" s="402"/>
      <c r="P446" s="402"/>
      <c r="Q446" s="402"/>
      <c r="R446" s="402"/>
      <c r="S446" s="402"/>
      <c r="T446" s="402"/>
      <c r="U446" s="402"/>
      <c r="V446" s="402"/>
      <c r="W446" s="402"/>
      <c r="X446" s="402"/>
      <c r="Y446" s="402"/>
      <c r="Z446" s="402"/>
    </row>
    <row r="447" ht="14.25" customHeight="1">
      <c r="A447" s="402"/>
      <c r="B447" s="402"/>
      <c r="C447" s="402"/>
      <c r="D447" s="402"/>
      <c r="E447" s="402"/>
      <c r="F447" s="403"/>
      <c r="G447" s="402"/>
      <c r="H447" s="402"/>
      <c r="I447" s="402"/>
      <c r="J447" s="402"/>
      <c r="K447" s="402"/>
      <c r="L447" s="402"/>
      <c r="M447" s="402"/>
      <c r="N447" s="402"/>
      <c r="O447" s="402"/>
      <c r="P447" s="402"/>
      <c r="Q447" s="402"/>
      <c r="R447" s="402"/>
      <c r="S447" s="402"/>
      <c r="T447" s="402"/>
      <c r="U447" s="402"/>
      <c r="V447" s="402"/>
      <c r="W447" s="402"/>
      <c r="X447" s="402"/>
      <c r="Y447" s="402"/>
      <c r="Z447" s="402"/>
    </row>
    <row r="448" ht="14.25" customHeight="1">
      <c r="A448" s="402"/>
      <c r="B448" s="402"/>
      <c r="C448" s="402"/>
      <c r="D448" s="402"/>
      <c r="E448" s="402"/>
      <c r="F448" s="403"/>
      <c r="G448" s="402"/>
      <c r="H448" s="402"/>
      <c r="I448" s="402"/>
      <c r="J448" s="402"/>
      <c r="K448" s="402"/>
      <c r="L448" s="402"/>
      <c r="M448" s="402"/>
      <c r="N448" s="402"/>
      <c r="O448" s="402"/>
      <c r="P448" s="402"/>
      <c r="Q448" s="402"/>
      <c r="R448" s="402"/>
      <c r="S448" s="402"/>
      <c r="T448" s="402"/>
      <c r="U448" s="402"/>
      <c r="V448" s="402"/>
      <c r="W448" s="402"/>
      <c r="X448" s="402"/>
      <c r="Y448" s="402"/>
      <c r="Z448" s="402"/>
    </row>
    <row r="449" ht="14.25" customHeight="1">
      <c r="A449" s="402"/>
      <c r="B449" s="402"/>
      <c r="C449" s="402"/>
      <c r="D449" s="402"/>
      <c r="E449" s="402"/>
      <c r="F449" s="403"/>
      <c r="G449" s="402"/>
      <c r="H449" s="402"/>
      <c r="I449" s="402"/>
      <c r="J449" s="402"/>
      <c r="K449" s="402"/>
      <c r="L449" s="402"/>
      <c r="M449" s="402"/>
      <c r="N449" s="402"/>
      <c r="O449" s="402"/>
      <c r="P449" s="402"/>
      <c r="Q449" s="402"/>
      <c r="R449" s="402"/>
      <c r="S449" s="402"/>
      <c r="T449" s="402"/>
      <c r="U449" s="402"/>
      <c r="V449" s="402"/>
      <c r="W449" s="402"/>
      <c r="X449" s="402"/>
      <c r="Y449" s="402"/>
      <c r="Z449" s="402"/>
    </row>
    <row r="450" ht="14.25" customHeight="1">
      <c r="A450" s="402"/>
      <c r="B450" s="402"/>
      <c r="C450" s="402"/>
      <c r="D450" s="402"/>
      <c r="E450" s="402"/>
      <c r="F450" s="403"/>
      <c r="G450" s="402"/>
      <c r="H450" s="402"/>
      <c r="I450" s="402"/>
      <c r="J450" s="402"/>
      <c r="K450" s="402"/>
      <c r="L450" s="402"/>
      <c r="M450" s="402"/>
      <c r="N450" s="402"/>
      <c r="O450" s="402"/>
      <c r="P450" s="402"/>
      <c r="Q450" s="402"/>
      <c r="R450" s="402"/>
      <c r="S450" s="402"/>
      <c r="T450" s="402"/>
      <c r="U450" s="402"/>
      <c r="V450" s="402"/>
      <c r="W450" s="402"/>
      <c r="X450" s="402"/>
      <c r="Y450" s="402"/>
      <c r="Z450" s="402"/>
    </row>
    <row r="451" ht="14.25" customHeight="1">
      <c r="A451" s="402"/>
      <c r="B451" s="402"/>
      <c r="C451" s="402"/>
      <c r="D451" s="402"/>
      <c r="E451" s="402"/>
      <c r="F451" s="403"/>
      <c r="G451" s="402"/>
      <c r="H451" s="402"/>
      <c r="I451" s="402"/>
      <c r="J451" s="402"/>
      <c r="K451" s="402"/>
      <c r="L451" s="402"/>
      <c r="M451" s="402"/>
      <c r="N451" s="402"/>
      <c r="O451" s="402"/>
      <c r="P451" s="402"/>
      <c r="Q451" s="402"/>
      <c r="R451" s="402"/>
      <c r="S451" s="402"/>
      <c r="T451" s="402"/>
      <c r="U451" s="402"/>
      <c r="V451" s="402"/>
      <c r="W451" s="402"/>
      <c r="X451" s="402"/>
      <c r="Y451" s="402"/>
      <c r="Z451" s="402"/>
    </row>
    <row r="452" ht="14.25" customHeight="1">
      <c r="A452" s="402"/>
      <c r="B452" s="402"/>
      <c r="C452" s="402"/>
      <c r="D452" s="402"/>
      <c r="E452" s="402"/>
      <c r="F452" s="403"/>
      <c r="G452" s="402"/>
      <c r="H452" s="402"/>
      <c r="I452" s="402"/>
      <c r="J452" s="402"/>
      <c r="K452" s="402"/>
      <c r="L452" s="402"/>
      <c r="M452" s="402"/>
      <c r="N452" s="402"/>
      <c r="O452" s="402"/>
      <c r="P452" s="402"/>
      <c r="Q452" s="402"/>
      <c r="R452" s="402"/>
      <c r="S452" s="402"/>
      <c r="T452" s="402"/>
      <c r="U452" s="402"/>
      <c r="V452" s="402"/>
      <c r="W452" s="402"/>
      <c r="X452" s="402"/>
      <c r="Y452" s="402"/>
      <c r="Z452" s="402"/>
    </row>
    <row r="453" ht="14.25" customHeight="1">
      <c r="A453" s="402"/>
      <c r="B453" s="402"/>
      <c r="C453" s="402"/>
      <c r="D453" s="402"/>
      <c r="E453" s="402"/>
      <c r="F453" s="403"/>
      <c r="G453" s="402"/>
      <c r="H453" s="402"/>
      <c r="I453" s="402"/>
      <c r="J453" s="402"/>
      <c r="K453" s="402"/>
      <c r="L453" s="402"/>
      <c r="M453" s="402"/>
      <c r="N453" s="402"/>
      <c r="O453" s="402"/>
      <c r="P453" s="402"/>
      <c r="Q453" s="402"/>
      <c r="R453" s="402"/>
      <c r="S453" s="402"/>
      <c r="T453" s="402"/>
      <c r="U453" s="402"/>
      <c r="V453" s="402"/>
      <c r="W453" s="402"/>
      <c r="X453" s="402"/>
      <c r="Y453" s="402"/>
      <c r="Z453" s="402"/>
    </row>
    <row r="454" ht="14.25" customHeight="1">
      <c r="A454" s="402"/>
      <c r="B454" s="402"/>
      <c r="C454" s="402"/>
      <c r="D454" s="402"/>
      <c r="E454" s="402"/>
      <c r="F454" s="403"/>
      <c r="G454" s="402"/>
      <c r="H454" s="402"/>
      <c r="I454" s="402"/>
      <c r="J454" s="402"/>
      <c r="K454" s="402"/>
      <c r="L454" s="402"/>
      <c r="M454" s="402"/>
      <c r="N454" s="402"/>
      <c r="O454" s="402"/>
      <c r="P454" s="402"/>
      <c r="Q454" s="402"/>
      <c r="R454" s="402"/>
      <c r="S454" s="402"/>
      <c r="T454" s="402"/>
      <c r="U454" s="402"/>
      <c r="V454" s="402"/>
      <c r="W454" s="402"/>
      <c r="X454" s="402"/>
      <c r="Y454" s="402"/>
      <c r="Z454" s="402"/>
    </row>
    <row r="455" ht="14.25" customHeight="1">
      <c r="A455" s="402"/>
      <c r="B455" s="402"/>
      <c r="C455" s="402"/>
      <c r="D455" s="402"/>
      <c r="E455" s="402"/>
      <c r="F455" s="403"/>
      <c r="G455" s="402"/>
      <c r="H455" s="402"/>
      <c r="I455" s="402"/>
      <c r="J455" s="402"/>
      <c r="K455" s="402"/>
      <c r="L455" s="402"/>
      <c r="M455" s="402"/>
      <c r="N455" s="402"/>
      <c r="O455" s="402"/>
      <c r="P455" s="402"/>
      <c r="Q455" s="402"/>
      <c r="R455" s="402"/>
      <c r="S455" s="402"/>
      <c r="T455" s="402"/>
      <c r="U455" s="402"/>
      <c r="V455" s="402"/>
      <c r="W455" s="402"/>
      <c r="X455" s="402"/>
      <c r="Y455" s="402"/>
      <c r="Z455" s="402"/>
    </row>
    <row r="456" ht="14.25" customHeight="1">
      <c r="A456" s="402"/>
      <c r="B456" s="402"/>
      <c r="C456" s="402"/>
      <c r="D456" s="402"/>
      <c r="E456" s="402"/>
      <c r="F456" s="403"/>
      <c r="G456" s="402"/>
      <c r="H456" s="402"/>
      <c r="I456" s="402"/>
      <c r="J456" s="402"/>
      <c r="K456" s="402"/>
      <c r="L456" s="402"/>
      <c r="M456" s="402"/>
      <c r="N456" s="402"/>
      <c r="O456" s="402"/>
      <c r="P456" s="402"/>
      <c r="Q456" s="402"/>
      <c r="R456" s="402"/>
      <c r="S456" s="402"/>
      <c r="T456" s="402"/>
      <c r="U456" s="402"/>
      <c r="V456" s="402"/>
      <c r="W456" s="402"/>
      <c r="X456" s="402"/>
      <c r="Y456" s="402"/>
      <c r="Z456" s="402"/>
    </row>
    <row r="457" ht="14.25" customHeight="1">
      <c r="A457" s="402"/>
      <c r="B457" s="402"/>
      <c r="C457" s="402"/>
      <c r="D457" s="402"/>
      <c r="E457" s="402"/>
      <c r="F457" s="403"/>
      <c r="G457" s="402"/>
      <c r="H457" s="402"/>
      <c r="I457" s="402"/>
      <c r="J457" s="402"/>
      <c r="K457" s="402"/>
      <c r="L457" s="402"/>
      <c r="M457" s="402"/>
      <c r="N457" s="402"/>
      <c r="O457" s="402"/>
      <c r="P457" s="402"/>
      <c r="Q457" s="402"/>
      <c r="R457" s="402"/>
      <c r="S457" s="402"/>
      <c r="T457" s="402"/>
      <c r="U457" s="402"/>
      <c r="V457" s="402"/>
      <c r="W457" s="402"/>
      <c r="X457" s="402"/>
      <c r="Y457" s="402"/>
      <c r="Z457" s="402"/>
    </row>
    <row r="458" ht="14.25" customHeight="1">
      <c r="A458" s="402"/>
      <c r="B458" s="402"/>
      <c r="C458" s="402"/>
      <c r="D458" s="402"/>
      <c r="E458" s="402"/>
      <c r="F458" s="403"/>
      <c r="G458" s="402"/>
      <c r="H458" s="402"/>
      <c r="I458" s="402"/>
      <c r="J458" s="402"/>
      <c r="K458" s="402"/>
      <c r="L458" s="402"/>
      <c r="M458" s="402"/>
      <c r="N458" s="402"/>
      <c r="O458" s="402"/>
      <c r="P458" s="402"/>
      <c r="Q458" s="402"/>
      <c r="R458" s="402"/>
      <c r="S458" s="402"/>
      <c r="T458" s="402"/>
      <c r="U458" s="402"/>
      <c r="V458" s="402"/>
      <c r="W458" s="402"/>
      <c r="X458" s="402"/>
      <c r="Y458" s="402"/>
      <c r="Z458" s="402"/>
    </row>
    <row r="459" ht="14.25" customHeight="1">
      <c r="A459" s="402"/>
      <c r="B459" s="402"/>
      <c r="C459" s="402"/>
      <c r="D459" s="402"/>
      <c r="E459" s="402"/>
      <c r="F459" s="403"/>
      <c r="G459" s="402"/>
      <c r="H459" s="402"/>
      <c r="I459" s="402"/>
      <c r="J459" s="402"/>
      <c r="K459" s="402"/>
      <c r="L459" s="402"/>
      <c r="M459" s="402"/>
      <c r="N459" s="402"/>
      <c r="O459" s="402"/>
      <c r="P459" s="402"/>
      <c r="Q459" s="402"/>
      <c r="R459" s="402"/>
      <c r="S459" s="402"/>
      <c r="T459" s="402"/>
      <c r="U459" s="402"/>
      <c r="V459" s="402"/>
      <c r="W459" s="402"/>
      <c r="X459" s="402"/>
      <c r="Y459" s="402"/>
      <c r="Z459" s="402"/>
    </row>
    <row r="460" ht="14.25" customHeight="1">
      <c r="A460" s="402"/>
      <c r="B460" s="402"/>
      <c r="C460" s="402"/>
      <c r="D460" s="402"/>
      <c r="E460" s="402"/>
      <c r="F460" s="403"/>
      <c r="G460" s="402"/>
      <c r="H460" s="402"/>
      <c r="I460" s="402"/>
      <c r="J460" s="402"/>
      <c r="K460" s="402"/>
      <c r="L460" s="402"/>
      <c r="M460" s="402"/>
      <c r="N460" s="402"/>
      <c r="O460" s="402"/>
      <c r="P460" s="402"/>
      <c r="Q460" s="402"/>
      <c r="R460" s="402"/>
      <c r="S460" s="402"/>
      <c r="T460" s="402"/>
      <c r="U460" s="402"/>
      <c r="V460" s="402"/>
      <c r="W460" s="402"/>
      <c r="X460" s="402"/>
      <c r="Y460" s="402"/>
      <c r="Z460" s="402"/>
    </row>
    <row r="461" ht="14.25" customHeight="1">
      <c r="A461" s="402"/>
      <c r="B461" s="402"/>
      <c r="C461" s="402"/>
      <c r="D461" s="402"/>
      <c r="E461" s="402"/>
      <c r="F461" s="403"/>
      <c r="G461" s="402"/>
      <c r="H461" s="402"/>
      <c r="I461" s="402"/>
      <c r="J461" s="402"/>
      <c r="K461" s="402"/>
      <c r="L461" s="402"/>
      <c r="M461" s="402"/>
      <c r="N461" s="402"/>
      <c r="O461" s="402"/>
      <c r="P461" s="402"/>
      <c r="Q461" s="402"/>
      <c r="R461" s="402"/>
      <c r="S461" s="402"/>
      <c r="T461" s="402"/>
      <c r="U461" s="402"/>
      <c r="V461" s="402"/>
      <c r="W461" s="402"/>
      <c r="X461" s="402"/>
      <c r="Y461" s="402"/>
      <c r="Z461" s="402"/>
    </row>
    <row r="462" ht="14.25" customHeight="1">
      <c r="A462" s="402"/>
      <c r="B462" s="402"/>
      <c r="C462" s="402"/>
      <c r="D462" s="402"/>
      <c r="E462" s="402"/>
      <c r="F462" s="403"/>
      <c r="G462" s="402"/>
      <c r="H462" s="402"/>
      <c r="I462" s="402"/>
      <c r="J462" s="402"/>
      <c r="K462" s="402"/>
      <c r="L462" s="402"/>
      <c r="M462" s="402"/>
      <c r="N462" s="402"/>
      <c r="O462" s="402"/>
      <c r="P462" s="402"/>
      <c r="Q462" s="402"/>
      <c r="R462" s="402"/>
      <c r="S462" s="402"/>
      <c r="T462" s="402"/>
      <c r="U462" s="402"/>
      <c r="V462" s="402"/>
      <c r="W462" s="402"/>
      <c r="X462" s="402"/>
      <c r="Y462" s="402"/>
      <c r="Z462" s="402"/>
    </row>
    <row r="463" ht="14.25" customHeight="1">
      <c r="A463" s="402"/>
      <c r="B463" s="402"/>
      <c r="C463" s="402"/>
      <c r="D463" s="402"/>
      <c r="E463" s="402"/>
      <c r="F463" s="403"/>
      <c r="G463" s="402"/>
      <c r="H463" s="402"/>
      <c r="I463" s="402"/>
      <c r="J463" s="402"/>
      <c r="K463" s="402"/>
      <c r="L463" s="402"/>
      <c r="M463" s="402"/>
      <c r="N463" s="402"/>
      <c r="O463" s="402"/>
      <c r="P463" s="402"/>
      <c r="Q463" s="402"/>
      <c r="R463" s="402"/>
      <c r="S463" s="402"/>
      <c r="T463" s="402"/>
      <c r="U463" s="402"/>
      <c r="V463" s="402"/>
      <c r="W463" s="402"/>
      <c r="X463" s="402"/>
      <c r="Y463" s="402"/>
      <c r="Z463" s="402"/>
    </row>
    <row r="464" ht="14.25" customHeight="1">
      <c r="A464" s="402"/>
      <c r="B464" s="402"/>
      <c r="C464" s="402"/>
      <c r="D464" s="402"/>
      <c r="E464" s="402"/>
      <c r="F464" s="403"/>
      <c r="G464" s="402"/>
      <c r="H464" s="402"/>
      <c r="I464" s="402"/>
      <c r="J464" s="402"/>
      <c r="K464" s="402"/>
      <c r="L464" s="402"/>
      <c r="M464" s="402"/>
      <c r="N464" s="402"/>
      <c r="O464" s="402"/>
      <c r="P464" s="402"/>
      <c r="Q464" s="402"/>
      <c r="R464" s="402"/>
      <c r="S464" s="402"/>
      <c r="T464" s="402"/>
      <c r="U464" s="402"/>
      <c r="V464" s="402"/>
      <c r="W464" s="402"/>
      <c r="X464" s="402"/>
      <c r="Y464" s="402"/>
      <c r="Z464" s="402"/>
    </row>
    <row r="465" ht="14.25" customHeight="1">
      <c r="A465" s="402"/>
      <c r="B465" s="402"/>
      <c r="C465" s="402"/>
      <c r="D465" s="402"/>
      <c r="E465" s="402"/>
      <c r="F465" s="403"/>
      <c r="G465" s="402"/>
      <c r="H465" s="402"/>
      <c r="I465" s="402"/>
      <c r="J465" s="402"/>
      <c r="K465" s="402"/>
      <c r="L465" s="402"/>
      <c r="M465" s="402"/>
      <c r="N465" s="402"/>
      <c r="O465" s="402"/>
      <c r="P465" s="402"/>
      <c r="Q465" s="402"/>
      <c r="R465" s="402"/>
      <c r="S465" s="402"/>
      <c r="T465" s="402"/>
      <c r="U465" s="402"/>
      <c r="V465" s="402"/>
      <c r="W465" s="402"/>
      <c r="X465" s="402"/>
      <c r="Y465" s="402"/>
      <c r="Z465" s="402"/>
    </row>
    <row r="466" ht="14.25" customHeight="1">
      <c r="A466" s="402"/>
      <c r="B466" s="402"/>
      <c r="C466" s="402"/>
      <c r="D466" s="402"/>
      <c r="E466" s="402"/>
      <c r="F466" s="403"/>
      <c r="G466" s="402"/>
      <c r="H466" s="402"/>
      <c r="I466" s="402"/>
      <c r="J466" s="402"/>
      <c r="K466" s="402"/>
      <c r="L466" s="402"/>
      <c r="M466" s="402"/>
      <c r="N466" s="402"/>
      <c r="O466" s="402"/>
      <c r="P466" s="402"/>
      <c r="Q466" s="402"/>
      <c r="R466" s="402"/>
      <c r="S466" s="402"/>
      <c r="T466" s="402"/>
      <c r="U466" s="402"/>
      <c r="V466" s="402"/>
      <c r="W466" s="402"/>
      <c r="X466" s="402"/>
      <c r="Y466" s="402"/>
      <c r="Z466" s="402"/>
    </row>
    <row r="467" ht="14.25" customHeight="1">
      <c r="A467" s="402"/>
      <c r="B467" s="402"/>
      <c r="C467" s="402"/>
      <c r="D467" s="402"/>
      <c r="E467" s="402"/>
      <c r="F467" s="403"/>
      <c r="G467" s="402"/>
      <c r="H467" s="402"/>
      <c r="I467" s="402"/>
      <c r="J467" s="402"/>
      <c r="K467" s="402"/>
      <c r="L467" s="402"/>
      <c r="M467" s="402"/>
      <c r="N467" s="402"/>
      <c r="O467" s="402"/>
      <c r="P467" s="402"/>
      <c r="Q467" s="402"/>
      <c r="R467" s="402"/>
      <c r="S467" s="402"/>
      <c r="T467" s="402"/>
      <c r="U467" s="402"/>
      <c r="V467" s="402"/>
      <c r="W467" s="402"/>
      <c r="X467" s="402"/>
      <c r="Y467" s="402"/>
      <c r="Z467" s="402"/>
    </row>
    <row r="468" ht="14.25" customHeight="1">
      <c r="A468" s="402"/>
      <c r="B468" s="402"/>
      <c r="C468" s="402"/>
      <c r="D468" s="402"/>
      <c r="E468" s="402"/>
      <c r="F468" s="403"/>
      <c r="G468" s="402"/>
      <c r="H468" s="402"/>
      <c r="I468" s="402"/>
      <c r="J468" s="402"/>
      <c r="K468" s="402"/>
      <c r="L468" s="402"/>
      <c r="M468" s="402"/>
      <c r="N468" s="402"/>
      <c r="O468" s="402"/>
      <c r="P468" s="402"/>
      <c r="Q468" s="402"/>
      <c r="R468" s="402"/>
      <c r="S468" s="402"/>
      <c r="T468" s="402"/>
      <c r="U468" s="402"/>
      <c r="V468" s="402"/>
      <c r="W468" s="402"/>
      <c r="X468" s="402"/>
      <c r="Y468" s="402"/>
      <c r="Z468" s="402"/>
    </row>
    <row r="469" ht="14.25" customHeight="1">
      <c r="A469" s="402"/>
      <c r="B469" s="402"/>
      <c r="C469" s="402"/>
      <c r="D469" s="402"/>
      <c r="E469" s="402"/>
      <c r="F469" s="403"/>
      <c r="G469" s="402"/>
      <c r="H469" s="402"/>
      <c r="I469" s="402"/>
      <c r="J469" s="402"/>
      <c r="K469" s="402"/>
      <c r="L469" s="402"/>
      <c r="M469" s="402"/>
      <c r="N469" s="402"/>
      <c r="O469" s="402"/>
      <c r="P469" s="402"/>
      <c r="Q469" s="402"/>
      <c r="R469" s="402"/>
      <c r="S469" s="402"/>
      <c r="T469" s="402"/>
      <c r="U469" s="402"/>
      <c r="V469" s="402"/>
      <c r="W469" s="402"/>
      <c r="X469" s="402"/>
      <c r="Y469" s="402"/>
      <c r="Z469" s="402"/>
    </row>
    <row r="470" ht="14.25" customHeight="1">
      <c r="A470" s="402"/>
      <c r="B470" s="402"/>
      <c r="C470" s="402"/>
      <c r="D470" s="402"/>
      <c r="E470" s="402"/>
      <c r="F470" s="403"/>
      <c r="G470" s="402"/>
      <c r="H470" s="402"/>
      <c r="I470" s="402"/>
      <c r="J470" s="402"/>
      <c r="K470" s="402"/>
      <c r="L470" s="402"/>
      <c r="M470" s="402"/>
      <c r="N470" s="402"/>
      <c r="O470" s="402"/>
      <c r="P470" s="402"/>
      <c r="Q470" s="402"/>
      <c r="R470" s="402"/>
      <c r="S470" s="402"/>
      <c r="T470" s="402"/>
      <c r="U470" s="402"/>
      <c r="V470" s="402"/>
      <c r="W470" s="402"/>
      <c r="X470" s="402"/>
      <c r="Y470" s="402"/>
      <c r="Z470" s="402"/>
    </row>
    <row r="471" ht="14.25" customHeight="1">
      <c r="A471" s="402"/>
      <c r="B471" s="402"/>
      <c r="C471" s="402"/>
      <c r="D471" s="402"/>
      <c r="E471" s="402"/>
      <c r="F471" s="403"/>
      <c r="G471" s="402"/>
      <c r="H471" s="402"/>
      <c r="I471" s="402"/>
      <c r="J471" s="402"/>
      <c r="K471" s="402"/>
      <c r="L471" s="402"/>
      <c r="M471" s="402"/>
      <c r="N471" s="402"/>
      <c r="O471" s="402"/>
      <c r="P471" s="402"/>
      <c r="Q471" s="402"/>
      <c r="R471" s="402"/>
      <c r="S471" s="402"/>
      <c r="T471" s="402"/>
      <c r="U471" s="402"/>
      <c r="V471" s="402"/>
      <c r="W471" s="402"/>
      <c r="X471" s="402"/>
      <c r="Y471" s="402"/>
      <c r="Z471" s="402"/>
    </row>
    <row r="472" ht="14.25" customHeight="1">
      <c r="A472" s="402"/>
      <c r="B472" s="402"/>
      <c r="C472" s="402"/>
      <c r="D472" s="402"/>
      <c r="E472" s="402"/>
      <c r="F472" s="403"/>
      <c r="G472" s="402"/>
      <c r="H472" s="402"/>
      <c r="I472" s="402"/>
      <c r="J472" s="402"/>
      <c r="K472" s="402"/>
      <c r="L472" s="402"/>
      <c r="M472" s="402"/>
      <c r="N472" s="402"/>
      <c r="O472" s="402"/>
      <c r="P472" s="402"/>
      <c r="Q472" s="402"/>
      <c r="R472" s="402"/>
      <c r="S472" s="402"/>
      <c r="T472" s="402"/>
      <c r="U472" s="402"/>
      <c r="V472" s="402"/>
      <c r="W472" s="402"/>
      <c r="X472" s="402"/>
      <c r="Y472" s="402"/>
      <c r="Z472" s="402"/>
    </row>
    <row r="473" ht="14.25" customHeight="1">
      <c r="A473" s="402"/>
      <c r="B473" s="402"/>
      <c r="C473" s="402"/>
      <c r="D473" s="402"/>
      <c r="E473" s="402"/>
      <c r="F473" s="403"/>
      <c r="G473" s="402"/>
      <c r="H473" s="402"/>
      <c r="I473" s="402"/>
      <c r="J473" s="402"/>
      <c r="K473" s="402"/>
      <c r="L473" s="402"/>
      <c r="M473" s="402"/>
      <c r="N473" s="402"/>
      <c r="O473" s="402"/>
      <c r="P473" s="402"/>
      <c r="Q473" s="402"/>
      <c r="R473" s="402"/>
      <c r="S473" s="402"/>
      <c r="T473" s="402"/>
      <c r="U473" s="402"/>
      <c r="V473" s="402"/>
      <c r="W473" s="402"/>
      <c r="X473" s="402"/>
      <c r="Y473" s="402"/>
      <c r="Z473" s="402"/>
    </row>
    <row r="474" ht="14.25" customHeight="1">
      <c r="A474" s="402"/>
      <c r="B474" s="402"/>
      <c r="C474" s="402"/>
      <c r="D474" s="402"/>
      <c r="E474" s="402"/>
      <c r="F474" s="403"/>
      <c r="G474" s="402"/>
      <c r="H474" s="402"/>
      <c r="I474" s="402"/>
      <c r="J474" s="402"/>
      <c r="K474" s="402"/>
      <c r="L474" s="402"/>
      <c r="M474" s="402"/>
      <c r="N474" s="402"/>
      <c r="O474" s="402"/>
      <c r="P474" s="402"/>
      <c r="Q474" s="402"/>
      <c r="R474" s="402"/>
      <c r="S474" s="402"/>
      <c r="T474" s="402"/>
      <c r="U474" s="402"/>
      <c r="V474" s="402"/>
      <c r="W474" s="402"/>
      <c r="X474" s="402"/>
      <c r="Y474" s="402"/>
      <c r="Z474" s="402"/>
    </row>
    <row r="475" ht="14.25" customHeight="1">
      <c r="A475" s="402"/>
      <c r="B475" s="402"/>
      <c r="C475" s="402"/>
      <c r="D475" s="402"/>
      <c r="E475" s="402"/>
      <c r="F475" s="403"/>
      <c r="G475" s="402"/>
      <c r="H475" s="402"/>
      <c r="I475" s="402"/>
      <c r="J475" s="402"/>
      <c r="K475" s="402"/>
      <c r="L475" s="402"/>
      <c r="M475" s="402"/>
      <c r="N475" s="402"/>
      <c r="O475" s="402"/>
      <c r="P475" s="402"/>
      <c r="Q475" s="402"/>
      <c r="R475" s="402"/>
      <c r="S475" s="402"/>
      <c r="T475" s="402"/>
      <c r="U475" s="402"/>
      <c r="V475" s="402"/>
      <c r="W475" s="402"/>
      <c r="X475" s="402"/>
      <c r="Y475" s="402"/>
      <c r="Z475" s="402"/>
    </row>
    <row r="476" ht="14.25" customHeight="1">
      <c r="A476" s="402"/>
      <c r="B476" s="402"/>
      <c r="C476" s="402"/>
      <c r="D476" s="402"/>
      <c r="E476" s="402"/>
      <c r="F476" s="403"/>
      <c r="G476" s="402"/>
      <c r="H476" s="402"/>
      <c r="I476" s="402"/>
      <c r="J476" s="402"/>
      <c r="K476" s="402"/>
      <c r="L476" s="402"/>
      <c r="M476" s="402"/>
      <c r="N476" s="402"/>
      <c r="O476" s="402"/>
      <c r="P476" s="402"/>
      <c r="Q476" s="402"/>
      <c r="R476" s="402"/>
      <c r="S476" s="402"/>
      <c r="T476" s="402"/>
      <c r="U476" s="402"/>
      <c r="V476" s="402"/>
      <c r="W476" s="402"/>
      <c r="X476" s="402"/>
      <c r="Y476" s="402"/>
      <c r="Z476" s="402"/>
    </row>
    <row r="477" ht="14.25" customHeight="1">
      <c r="A477" s="402"/>
      <c r="B477" s="402"/>
      <c r="C477" s="402"/>
      <c r="D477" s="402"/>
      <c r="E477" s="402"/>
      <c r="F477" s="403"/>
      <c r="G477" s="402"/>
      <c r="H477" s="402"/>
      <c r="I477" s="402"/>
      <c r="J477" s="402"/>
      <c r="K477" s="402"/>
      <c r="L477" s="402"/>
      <c r="M477" s="402"/>
      <c r="N477" s="402"/>
      <c r="O477" s="402"/>
      <c r="P477" s="402"/>
      <c r="Q477" s="402"/>
      <c r="R477" s="402"/>
      <c r="S477" s="402"/>
      <c r="T477" s="402"/>
      <c r="U477" s="402"/>
      <c r="V477" s="402"/>
      <c r="W477" s="402"/>
      <c r="X477" s="402"/>
      <c r="Y477" s="402"/>
      <c r="Z477" s="402"/>
    </row>
    <row r="478" ht="14.25" customHeight="1">
      <c r="A478" s="402"/>
      <c r="B478" s="402"/>
      <c r="C478" s="402"/>
      <c r="D478" s="402"/>
      <c r="E478" s="402"/>
      <c r="F478" s="403"/>
      <c r="G478" s="402"/>
      <c r="H478" s="402"/>
      <c r="I478" s="402"/>
      <c r="J478" s="402"/>
      <c r="K478" s="402"/>
      <c r="L478" s="402"/>
      <c r="M478" s="402"/>
      <c r="N478" s="402"/>
      <c r="O478" s="402"/>
      <c r="P478" s="402"/>
      <c r="Q478" s="402"/>
      <c r="R478" s="402"/>
      <c r="S478" s="402"/>
      <c r="T478" s="402"/>
      <c r="U478" s="402"/>
      <c r="V478" s="402"/>
      <c r="W478" s="402"/>
      <c r="X478" s="402"/>
      <c r="Y478" s="402"/>
      <c r="Z478" s="402"/>
    </row>
    <row r="479" ht="14.25" customHeight="1">
      <c r="A479" s="402"/>
      <c r="B479" s="402"/>
      <c r="C479" s="402"/>
      <c r="D479" s="402"/>
      <c r="E479" s="402"/>
      <c r="F479" s="403"/>
      <c r="G479" s="402"/>
      <c r="H479" s="402"/>
      <c r="I479" s="402"/>
      <c r="J479" s="402"/>
      <c r="K479" s="402"/>
      <c r="L479" s="402"/>
      <c r="M479" s="402"/>
      <c r="N479" s="402"/>
      <c r="O479" s="402"/>
      <c r="P479" s="402"/>
      <c r="Q479" s="402"/>
      <c r="R479" s="402"/>
      <c r="S479" s="402"/>
      <c r="T479" s="402"/>
      <c r="U479" s="402"/>
      <c r="V479" s="402"/>
      <c r="W479" s="402"/>
      <c r="X479" s="402"/>
      <c r="Y479" s="402"/>
      <c r="Z479" s="402"/>
    </row>
    <row r="480" ht="14.25" customHeight="1">
      <c r="A480" s="402"/>
      <c r="B480" s="402"/>
      <c r="C480" s="402"/>
      <c r="D480" s="402"/>
      <c r="E480" s="402"/>
      <c r="F480" s="403"/>
      <c r="G480" s="402"/>
      <c r="H480" s="402"/>
      <c r="I480" s="402"/>
      <c r="J480" s="402"/>
      <c r="K480" s="402"/>
      <c r="L480" s="402"/>
      <c r="M480" s="402"/>
      <c r="N480" s="402"/>
      <c r="O480" s="402"/>
      <c r="P480" s="402"/>
      <c r="Q480" s="402"/>
      <c r="R480" s="402"/>
      <c r="S480" s="402"/>
      <c r="T480" s="402"/>
      <c r="U480" s="402"/>
      <c r="V480" s="402"/>
      <c r="W480" s="402"/>
      <c r="X480" s="402"/>
      <c r="Y480" s="402"/>
      <c r="Z480" s="402"/>
    </row>
    <row r="481" ht="14.25" customHeight="1">
      <c r="A481" s="402"/>
      <c r="B481" s="402"/>
      <c r="C481" s="402"/>
      <c r="D481" s="402"/>
      <c r="E481" s="402"/>
      <c r="F481" s="403"/>
      <c r="G481" s="402"/>
      <c r="H481" s="402"/>
      <c r="I481" s="402"/>
      <c r="J481" s="402"/>
      <c r="K481" s="402"/>
      <c r="L481" s="402"/>
      <c r="M481" s="402"/>
      <c r="N481" s="402"/>
      <c r="O481" s="402"/>
      <c r="P481" s="402"/>
      <c r="Q481" s="402"/>
      <c r="R481" s="402"/>
      <c r="S481" s="402"/>
      <c r="T481" s="402"/>
      <c r="U481" s="402"/>
      <c r="V481" s="402"/>
      <c r="W481" s="402"/>
      <c r="X481" s="402"/>
      <c r="Y481" s="402"/>
      <c r="Z481" s="402"/>
    </row>
    <row r="482" ht="14.25" customHeight="1">
      <c r="A482" s="402"/>
      <c r="B482" s="402"/>
      <c r="C482" s="402"/>
      <c r="D482" s="402"/>
      <c r="E482" s="402"/>
      <c r="F482" s="403"/>
      <c r="G482" s="402"/>
      <c r="H482" s="402"/>
      <c r="I482" s="402"/>
      <c r="J482" s="402"/>
      <c r="K482" s="402"/>
      <c r="L482" s="402"/>
      <c r="M482" s="402"/>
      <c r="N482" s="402"/>
      <c r="O482" s="402"/>
      <c r="P482" s="402"/>
      <c r="Q482" s="402"/>
      <c r="R482" s="402"/>
      <c r="S482" s="402"/>
      <c r="T482" s="402"/>
      <c r="U482" s="402"/>
      <c r="V482" s="402"/>
      <c r="W482" s="402"/>
      <c r="X482" s="402"/>
      <c r="Y482" s="402"/>
      <c r="Z482" s="402"/>
    </row>
    <row r="483" ht="14.25" customHeight="1">
      <c r="A483" s="402"/>
      <c r="B483" s="402"/>
      <c r="C483" s="402"/>
      <c r="D483" s="402"/>
      <c r="E483" s="402"/>
      <c r="F483" s="403"/>
      <c r="G483" s="402"/>
      <c r="H483" s="402"/>
      <c r="I483" s="402"/>
      <c r="J483" s="402"/>
      <c r="K483" s="402"/>
      <c r="L483" s="402"/>
      <c r="M483" s="402"/>
      <c r="N483" s="402"/>
      <c r="O483" s="402"/>
      <c r="P483" s="402"/>
      <c r="Q483" s="402"/>
      <c r="R483" s="402"/>
      <c r="S483" s="402"/>
      <c r="T483" s="402"/>
      <c r="U483" s="402"/>
      <c r="V483" s="402"/>
      <c r="W483" s="402"/>
      <c r="X483" s="402"/>
      <c r="Y483" s="402"/>
      <c r="Z483" s="402"/>
    </row>
    <row r="484" ht="14.25" customHeight="1">
      <c r="A484" s="402"/>
      <c r="B484" s="402"/>
      <c r="C484" s="402"/>
      <c r="D484" s="402"/>
      <c r="E484" s="402"/>
      <c r="F484" s="403"/>
      <c r="G484" s="402"/>
      <c r="H484" s="402"/>
      <c r="I484" s="402"/>
      <c r="J484" s="402"/>
      <c r="K484" s="402"/>
      <c r="L484" s="402"/>
      <c r="M484" s="402"/>
      <c r="N484" s="402"/>
      <c r="O484" s="402"/>
      <c r="P484" s="402"/>
      <c r="Q484" s="402"/>
      <c r="R484" s="402"/>
      <c r="S484" s="402"/>
      <c r="T484" s="402"/>
      <c r="U484" s="402"/>
      <c r="V484" s="402"/>
      <c r="W484" s="402"/>
      <c r="X484" s="402"/>
      <c r="Y484" s="402"/>
      <c r="Z484" s="402"/>
    </row>
    <row r="485" ht="14.25" customHeight="1">
      <c r="A485" s="402"/>
      <c r="B485" s="402"/>
      <c r="C485" s="402"/>
      <c r="D485" s="402"/>
      <c r="E485" s="402"/>
      <c r="F485" s="403"/>
      <c r="G485" s="402"/>
      <c r="H485" s="402"/>
      <c r="I485" s="402"/>
      <c r="J485" s="402"/>
      <c r="K485" s="402"/>
      <c r="L485" s="402"/>
      <c r="M485" s="402"/>
      <c r="N485" s="402"/>
      <c r="O485" s="402"/>
      <c r="P485" s="402"/>
      <c r="Q485" s="402"/>
      <c r="R485" s="402"/>
      <c r="S485" s="402"/>
      <c r="T485" s="402"/>
      <c r="U485" s="402"/>
      <c r="V485" s="402"/>
      <c r="W485" s="402"/>
      <c r="X485" s="402"/>
      <c r="Y485" s="402"/>
      <c r="Z485" s="402"/>
    </row>
    <row r="486" ht="14.25" customHeight="1">
      <c r="A486" s="402"/>
      <c r="B486" s="402"/>
      <c r="C486" s="402"/>
      <c r="D486" s="402"/>
      <c r="E486" s="402"/>
      <c r="F486" s="403"/>
      <c r="G486" s="402"/>
      <c r="H486" s="402"/>
      <c r="I486" s="402"/>
      <c r="J486" s="402"/>
      <c r="K486" s="402"/>
      <c r="L486" s="402"/>
      <c r="M486" s="402"/>
      <c r="N486" s="402"/>
      <c r="O486" s="402"/>
      <c r="P486" s="402"/>
      <c r="Q486" s="402"/>
      <c r="R486" s="402"/>
      <c r="S486" s="402"/>
      <c r="T486" s="402"/>
      <c r="U486" s="402"/>
      <c r="V486" s="402"/>
      <c r="W486" s="402"/>
      <c r="X486" s="402"/>
      <c r="Y486" s="402"/>
      <c r="Z486" s="402"/>
    </row>
    <row r="487" ht="14.25" customHeight="1">
      <c r="A487" s="402"/>
      <c r="B487" s="402"/>
      <c r="C487" s="402"/>
      <c r="D487" s="402"/>
      <c r="E487" s="402"/>
      <c r="F487" s="403"/>
      <c r="G487" s="402"/>
      <c r="H487" s="402"/>
      <c r="I487" s="402"/>
      <c r="J487" s="402"/>
      <c r="K487" s="402"/>
      <c r="L487" s="402"/>
      <c r="M487" s="402"/>
      <c r="N487" s="402"/>
      <c r="O487" s="402"/>
      <c r="P487" s="402"/>
      <c r="Q487" s="402"/>
      <c r="R487" s="402"/>
      <c r="S487" s="402"/>
      <c r="T487" s="402"/>
      <c r="U487" s="402"/>
      <c r="V487" s="402"/>
      <c r="W487" s="402"/>
      <c r="X487" s="402"/>
      <c r="Y487" s="402"/>
      <c r="Z487" s="402"/>
    </row>
    <row r="488" ht="14.25" customHeight="1">
      <c r="A488" s="402"/>
      <c r="B488" s="402"/>
      <c r="C488" s="402"/>
      <c r="D488" s="402"/>
      <c r="E488" s="402"/>
      <c r="F488" s="403"/>
      <c r="G488" s="402"/>
      <c r="H488" s="402"/>
      <c r="I488" s="402"/>
      <c r="J488" s="402"/>
      <c r="K488" s="402"/>
      <c r="L488" s="402"/>
      <c r="M488" s="402"/>
      <c r="N488" s="402"/>
      <c r="O488" s="402"/>
      <c r="P488" s="402"/>
      <c r="Q488" s="402"/>
      <c r="R488" s="402"/>
      <c r="S488" s="402"/>
      <c r="T488" s="402"/>
      <c r="U488" s="402"/>
      <c r="V488" s="402"/>
      <c r="W488" s="402"/>
      <c r="X488" s="402"/>
      <c r="Y488" s="402"/>
      <c r="Z488" s="402"/>
    </row>
    <row r="489" ht="14.25" customHeight="1">
      <c r="A489" s="402"/>
      <c r="B489" s="402"/>
      <c r="C489" s="402"/>
      <c r="D489" s="402"/>
      <c r="E489" s="402"/>
      <c r="F489" s="403"/>
      <c r="G489" s="402"/>
      <c r="H489" s="402"/>
      <c r="I489" s="402"/>
      <c r="J489" s="402"/>
      <c r="K489" s="402"/>
      <c r="L489" s="402"/>
      <c r="M489" s="402"/>
      <c r="N489" s="402"/>
      <c r="O489" s="402"/>
      <c r="P489" s="402"/>
      <c r="Q489" s="402"/>
      <c r="R489" s="402"/>
      <c r="S489" s="402"/>
      <c r="T489" s="402"/>
      <c r="U489" s="402"/>
      <c r="V489" s="402"/>
      <c r="W489" s="402"/>
      <c r="X489" s="402"/>
      <c r="Y489" s="402"/>
      <c r="Z489" s="402"/>
    </row>
    <row r="490" ht="14.25" customHeight="1">
      <c r="A490" s="402"/>
      <c r="B490" s="402"/>
      <c r="C490" s="402"/>
      <c r="D490" s="402"/>
      <c r="E490" s="402"/>
      <c r="F490" s="403"/>
      <c r="G490" s="402"/>
      <c r="H490" s="402"/>
      <c r="I490" s="402"/>
      <c r="J490" s="402"/>
      <c r="K490" s="402"/>
      <c r="L490" s="402"/>
      <c r="M490" s="402"/>
      <c r="N490" s="402"/>
      <c r="O490" s="402"/>
      <c r="P490" s="402"/>
      <c r="Q490" s="402"/>
      <c r="R490" s="402"/>
      <c r="S490" s="402"/>
      <c r="T490" s="402"/>
      <c r="U490" s="402"/>
      <c r="V490" s="402"/>
      <c r="W490" s="402"/>
      <c r="X490" s="402"/>
      <c r="Y490" s="402"/>
      <c r="Z490" s="402"/>
    </row>
    <row r="491" ht="14.25" customHeight="1">
      <c r="A491" s="402"/>
      <c r="B491" s="402"/>
      <c r="C491" s="402"/>
      <c r="D491" s="402"/>
      <c r="E491" s="402"/>
      <c r="F491" s="403"/>
      <c r="G491" s="402"/>
      <c r="H491" s="402"/>
      <c r="I491" s="402"/>
      <c r="J491" s="402"/>
      <c r="K491" s="402"/>
      <c r="L491" s="402"/>
      <c r="M491" s="402"/>
      <c r="N491" s="402"/>
      <c r="O491" s="402"/>
      <c r="P491" s="402"/>
      <c r="Q491" s="402"/>
      <c r="R491" s="402"/>
      <c r="S491" s="402"/>
      <c r="T491" s="402"/>
      <c r="U491" s="402"/>
      <c r="V491" s="402"/>
      <c r="W491" s="402"/>
      <c r="X491" s="402"/>
      <c r="Y491" s="402"/>
      <c r="Z491" s="402"/>
    </row>
    <row r="492" ht="14.25" customHeight="1">
      <c r="A492" s="402"/>
      <c r="B492" s="402"/>
      <c r="C492" s="402"/>
      <c r="D492" s="402"/>
      <c r="E492" s="402"/>
      <c r="F492" s="403"/>
      <c r="G492" s="402"/>
      <c r="H492" s="402"/>
      <c r="I492" s="402"/>
      <c r="J492" s="402"/>
      <c r="K492" s="402"/>
      <c r="L492" s="402"/>
      <c r="M492" s="402"/>
      <c r="N492" s="402"/>
      <c r="O492" s="402"/>
      <c r="P492" s="402"/>
      <c r="Q492" s="402"/>
      <c r="R492" s="402"/>
      <c r="S492" s="402"/>
      <c r="T492" s="402"/>
      <c r="U492" s="402"/>
      <c r="V492" s="402"/>
      <c r="W492" s="402"/>
      <c r="X492" s="402"/>
      <c r="Y492" s="402"/>
      <c r="Z492" s="402"/>
    </row>
    <row r="493" ht="14.25" customHeight="1">
      <c r="A493" s="402"/>
      <c r="B493" s="402"/>
      <c r="C493" s="402"/>
      <c r="D493" s="402"/>
      <c r="E493" s="402"/>
      <c r="F493" s="403"/>
      <c r="G493" s="402"/>
      <c r="H493" s="402"/>
      <c r="I493" s="402"/>
      <c r="J493" s="402"/>
      <c r="K493" s="402"/>
      <c r="L493" s="402"/>
      <c r="M493" s="402"/>
      <c r="N493" s="402"/>
      <c r="O493" s="402"/>
      <c r="P493" s="402"/>
      <c r="Q493" s="402"/>
      <c r="R493" s="402"/>
      <c r="S493" s="402"/>
      <c r="T493" s="402"/>
      <c r="U493" s="402"/>
      <c r="V493" s="402"/>
      <c r="W493" s="402"/>
      <c r="X493" s="402"/>
      <c r="Y493" s="402"/>
      <c r="Z493" s="402"/>
    </row>
    <row r="494" ht="14.25" customHeight="1">
      <c r="A494" s="402"/>
      <c r="B494" s="402"/>
      <c r="C494" s="402"/>
      <c r="D494" s="402"/>
      <c r="E494" s="402"/>
      <c r="F494" s="403"/>
      <c r="G494" s="402"/>
      <c r="H494" s="402"/>
      <c r="I494" s="402"/>
      <c r="J494" s="402"/>
      <c r="K494" s="402"/>
      <c r="L494" s="402"/>
      <c r="M494" s="402"/>
      <c r="N494" s="402"/>
      <c r="O494" s="402"/>
      <c r="P494" s="402"/>
      <c r="Q494" s="402"/>
      <c r="R494" s="402"/>
      <c r="S494" s="402"/>
      <c r="T494" s="402"/>
      <c r="U494" s="402"/>
      <c r="V494" s="402"/>
      <c r="W494" s="402"/>
      <c r="X494" s="402"/>
      <c r="Y494" s="402"/>
      <c r="Z494" s="402"/>
    </row>
    <row r="495" ht="14.25" customHeight="1">
      <c r="A495" s="402"/>
      <c r="B495" s="402"/>
      <c r="C495" s="402"/>
      <c r="D495" s="402"/>
      <c r="E495" s="402"/>
      <c r="F495" s="403"/>
      <c r="G495" s="402"/>
      <c r="H495" s="402"/>
      <c r="I495" s="402"/>
      <c r="J495" s="402"/>
      <c r="K495" s="402"/>
      <c r="L495" s="402"/>
      <c r="M495" s="402"/>
      <c r="N495" s="402"/>
      <c r="O495" s="402"/>
      <c r="P495" s="402"/>
      <c r="Q495" s="402"/>
      <c r="R495" s="402"/>
      <c r="S495" s="402"/>
      <c r="T495" s="402"/>
      <c r="U495" s="402"/>
      <c r="V495" s="402"/>
      <c r="W495" s="402"/>
      <c r="X495" s="402"/>
      <c r="Y495" s="402"/>
      <c r="Z495" s="402"/>
    </row>
    <row r="496" ht="14.25" customHeight="1">
      <c r="A496" s="402"/>
      <c r="B496" s="402"/>
      <c r="C496" s="402"/>
      <c r="D496" s="402"/>
      <c r="E496" s="402"/>
      <c r="F496" s="403"/>
      <c r="G496" s="402"/>
      <c r="H496" s="402"/>
      <c r="I496" s="402"/>
      <c r="J496" s="402"/>
      <c r="K496" s="402"/>
      <c r="L496" s="402"/>
      <c r="M496" s="402"/>
      <c r="N496" s="402"/>
      <c r="O496" s="402"/>
      <c r="P496" s="402"/>
      <c r="Q496" s="402"/>
      <c r="R496" s="402"/>
      <c r="S496" s="402"/>
      <c r="T496" s="402"/>
      <c r="U496" s="402"/>
      <c r="V496" s="402"/>
      <c r="W496" s="402"/>
      <c r="X496" s="402"/>
      <c r="Y496" s="402"/>
      <c r="Z496" s="402"/>
    </row>
    <row r="497" ht="14.25" customHeight="1">
      <c r="A497" s="402"/>
      <c r="B497" s="402"/>
      <c r="C497" s="402"/>
      <c r="D497" s="402"/>
      <c r="E497" s="402"/>
      <c r="F497" s="403"/>
      <c r="G497" s="402"/>
      <c r="H497" s="402"/>
      <c r="I497" s="402"/>
      <c r="J497" s="402"/>
      <c r="K497" s="402"/>
      <c r="L497" s="402"/>
      <c r="M497" s="402"/>
      <c r="N497" s="402"/>
      <c r="O497" s="402"/>
      <c r="P497" s="402"/>
      <c r="Q497" s="402"/>
      <c r="R497" s="402"/>
      <c r="S497" s="402"/>
      <c r="T497" s="402"/>
      <c r="U497" s="402"/>
      <c r="V497" s="402"/>
      <c r="W497" s="402"/>
      <c r="X497" s="402"/>
      <c r="Y497" s="402"/>
      <c r="Z497" s="402"/>
    </row>
    <row r="498" ht="14.25" customHeight="1">
      <c r="A498" s="402"/>
      <c r="B498" s="402"/>
      <c r="C498" s="402"/>
      <c r="D498" s="402"/>
      <c r="E498" s="402"/>
      <c r="F498" s="403"/>
      <c r="G498" s="402"/>
      <c r="H498" s="402"/>
      <c r="I498" s="402"/>
      <c r="J498" s="402"/>
      <c r="K498" s="402"/>
      <c r="L498" s="402"/>
      <c r="M498" s="402"/>
      <c r="N498" s="402"/>
      <c r="O498" s="402"/>
      <c r="P498" s="402"/>
      <c r="Q498" s="402"/>
      <c r="R498" s="402"/>
      <c r="S498" s="402"/>
      <c r="T498" s="402"/>
      <c r="U498" s="402"/>
      <c r="V498" s="402"/>
      <c r="W498" s="402"/>
      <c r="X498" s="402"/>
      <c r="Y498" s="402"/>
      <c r="Z498" s="402"/>
    </row>
    <row r="499" ht="14.25" customHeight="1">
      <c r="A499" s="402"/>
      <c r="B499" s="402"/>
      <c r="C499" s="402"/>
      <c r="D499" s="402"/>
      <c r="E499" s="402"/>
      <c r="F499" s="403"/>
      <c r="G499" s="402"/>
      <c r="H499" s="402"/>
      <c r="I499" s="402"/>
      <c r="J499" s="402"/>
      <c r="K499" s="402"/>
      <c r="L499" s="402"/>
      <c r="M499" s="402"/>
      <c r="N499" s="402"/>
      <c r="O499" s="402"/>
      <c r="P499" s="402"/>
      <c r="Q499" s="402"/>
      <c r="R499" s="402"/>
      <c r="S499" s="402"/>
      <c r="T499" s="402"/>
      <c r="U499" s="402"/>
      <c r="V499" s="402"/>
      <c r="W499" s="402"/>
      <c r="X499" s="402"/>
      <c r="Y499" s="402"/>
      <c r="Z499" s="402"/>
    </row>
    <row r="500" ht="14.25" customHeight="1">
      <c r="A500" s="402"/>
      <c r="B500" s="402"/>
      <c r="C500" s="402"/>
      <c r="D500" s="402"/>
      <c r="E500" s="402"/>
      <c r="F500" s="403"/>
      <c r="G500" s="402"/>
      <c r="H500" s="402"/>
      <c r="I500" s="402"/>
      <c r="J500" s="402"/>
      <c r="K500" s="402"/>
      <c r="L500" s="402"/>
      <c r="M500" s="402"/>
      <c r="N500" s="402"/>
      <c r="O500" s="402"/>
      <c r="P500" s="402"/>
      <c r="Q500" s="402"/>
      <c r="R500" s="402"/>
      <c r="S500" s="402"/>
      <c r="T500" s="402"/>
      <c r="U500" s="402"/>
      <c r="V500" s="402"/>
      <c r="W500" s="402"/>
      <c r="X500" s="402"/>
      <c r="Y500" s="402"/>
      <c r="Z500" s="402"/>
    </row>
    <row r="501" ht="14.25" customHeight="1">
      <c r="A501" s="402"/>
      <c r="B501" s="402"/>
      <c r="C501" s="402"/>
      <c r="D501" s="402"/>
      <c r="E501" s="402"/>
      <c r="F501" s="403"/>
      <c r="G501" s="402"/>
      <c r="H501" s="402"/>
      <c r="I501" s="402"/>
      <c r="J501" s="402"/>
      <c r="K501" s="402"/>
      <c r="L501" s="402"/>
      <c r="M501" s="402"/>
      <c r="N501" s="402"/>
      <c r="O501" s="402"/>
      <c r="P501" s="402"/>
      <c r="Q501" s="402"/>
      <c r="R501" s="402"/>
      <c r="S501" s="402"/>
      <c r="T501" s="402"/>
      <c r="U501" s="402"/>
      <c r="V501" s="402"/>
      <c r="W501" s="402"/>
      <c r="X501" s="402"/>
      <c r="Y501" s="402"/>
      <c r="Z501" s="402"/>
    </row>
    <row r="502" ht="14.25" customHeight="1">
      <c r="A502" s="402"/>
      <c r="B502" s="402"/>
      <c r="C502" s="402"/>
      <c r="D502" s="402"/>
      <c r="E502" s="402"/>
      <c r="F502" s="403"/>
      <c r="G502" s="402"/>
      <c r="H502" s="402"/>
      <c r="I502" s="402"/>
      <c r="J502" s="402"/>
      <c r="K502" s="402"/>
      <c r="L502" s="402"/>
      <c r="M502" s="402"/>
      <c r="N502" s="402"/>
      <c r="O502" s="402"/>
      <c r="P502" s="402"/>
      <c r="Q502" s="402"/>
      <c r="R502" s="402"/>
      <c r="S502" s="402"/>
      <c r="T502" s="402"/>
      <c r="U502" s="402"/>
      <c r="V502" s="402"/>
      <c r="W502" s="402"/>
      <c r="X502" s="402"/>
      <c r="Y502" s="402"/>
      <c r="Z502" s="402"/>
    </row>
    <row r="503" ht="14.25" customHeight="1">
      <c r="A503" s="402"/>
      <c r="B503" s="402"/>
      <c r="C503" s="402"/>
      <c r="D503" s="402"/>
      <c r="E503" s="402"/>
      <c r="F503" s="403"/>
      <c r="G503" s="402"/>
      <c r="H503" s="402"/>
      <c r="I503" s="402"/>
      <c r="J503" s="402"/>
      <c r="K503" s="402"/>
      <c r="L503" s="402"/>
      <c r="M503" s="402"/>
      <c r="N503" s="402"/>
      <c r="O503" s="402"/>
      <c r="P503" s="402"/>
      <c r="Q503" s="402"/>
      <c r="R503" s="402"/>
      <c r="S503" s="402"/>
      <c r="T503" s="402"/>
      <c r="U503" s="402"/>
      <c r="V503" s="402"/>
      <c r="W503" s="402"/>
      <c r="X503" s="402"/>
      <c r="Y503" s="402"/>
      <c r="Z503" s="402"/>
    </row>
    <row r="504" ht="14.25" customHeight="1">
      <c r="A504" s="402"/>
      <c r="B504" s="402"/>
      <c r="C504" s="402"/>
      <c r="D504" s="402"/>
      <c r="E504" s="402"/>
      <c r="F504" s="403"/>
      <c r="G504" s="402"/>
      <c r="H504" s="402"/>
      <c r="I504" s="402"/>
      <c r="J504" s="402"/>
      <c r="K504" s="402"/>
      <c r="L504" s="402"/>
      <c r="M504" s="402"/>
      <c r="N504" s="402"/>
      <c r="O504" s="402"/>
      <c r="P504" s="402"/>
      <c r="Q504" s="402"/>
      <c r="R504" s="402"/>
      <c r="S504" s="402"/>
      <c r="T504" s="402"/>
      <c r="U504" s="402"/>
      <c r="V504" s="402"/>
      <c r="W504" s="402"/>
      <c r="X504" s="402"/>
      <c r="Y504" s="402"/>
      <c r="Z504" s="402"/>
    </row>
    <row r="505" ht="14.25" customHeight="1">
      <c r="A505" s="402"/>
      <c r="B505" s="402"/>
      <c r="C505" s="402"/>
      <c r="D505" s="402"/>
      <c r="E505" s="402"/>
      <c r="F505" s="403"/>
      <c r="G505" s="402"/>
      <c r="H505" s="402"/>
      <c r="I505" s="402"/>
      <c r="J505" s="402"/>
      <c r="K505" s="402"/>
      <c r="L505" s="402"/>
      <c r="M505" s="402"/>
      <c r="N505" s="402"/>
      <c r="O505" s="402"/>
      <c r="P505" s="402"/>
      <c r="Q505" s="402"/>
      <c r="R505" s="402"/>
      <c r="S505" s="402"/>
      <c r="T505" s="402"/>
      <c r="U505" s="402"/>
      <c r="V505" s="402"/>
      <c r="W505" s="402"/>
      <c r="X505" s="402"/>
      <c r="Y505" s="402"/>
      <c r="Z505" s="402"/>
    </row>
    <row r="506" ht="14.25" customHeight="1">
      <c r="A506" s="402"/>
      <c r="B506" s="402"/>
      <c r="C506" s="402"/>
      <c r="D506" s="402"/>
      <c r="E506" s="402"/>
      <c r="F506" s="403"/>
      <c r="G506" s="402"/>
      <c r="H506" s="402"/>
      <c r="I506" s="402"/>
      <c r="J506" s="402"/>
      <c r="K506" s="402"/>
      <c r="L506" s="402"/>
      <c r="M506" s="402"/>
      <c r="N506" s="402"/>
      <c r="O506" s="402"/>
      <c r="P506" s="402"/>
      <c r="Q506" s="402"/>
      <c r="R506" s="402"/>
      <c r="S506" s="402"/>
      <c r="T506" s="402"/>
      <c r="U506" s="402"/>
      <c r="V506" s="402"/>
      <c r="W506" s="402"/>
      <c r="X506" s="402"/>
      <c r="Y506" s="402"/>
      <c r="Z506" s="402"/>
    </row>
    <row r="507" ht="14.25" customHeight="1">
      <c r="A507" s="402"/>
      <c r="B507" s="402"/>
      <c r="C507" s="402"/>
      <c r="D507" s="402"/>
      <c r="E507" s="402"/>
      <c r="F507" s="403"/>
      <c r="G507" s="402"/>
      <c r="H507" s="402"/>
      <c r="I507" s="402"/>
      <c r="J507" s="402"/>
      <c r="K507" s="402"/>
      <c r="L507" s="402"/>
      <c r="M507" s="402"/>
      <c r="N507" s="402"/>
      <c r="O507" s="402"/>
      <c r="P507" s="402"/>
      <c r="Q507" s="402"/>
      <c r="R507" s="402"/>
      <c r="S507" s="402"/>
      <c r="T507" s="402"/>
      <c r="U507" s="402"/>
      <c r="V507" s="402"/>
      <c r="W507" s="402"/>
      <c r="X507" s="402"/>
      <c r="Y507" s="402"/>
      <c r="Z507" s="402"/>
    </row>
    <row r="508" ht="14.25" customHeight="1">
      <c r="A508" s="402"/>
      <c r="B508" s="402"/>
      <c r="C508" s="402"/>
      <c r="D508" s="402"/>
      <c r="E508" s="402"/>
      <c r="F508" s="403"/>
      <c r="G508" s="402"/>
      <c r="H508" s="402"/>
      <c r="I508" s="402"/>
      <c r="J508" s="402"/>
      <c r="K508" s="402"/>
      <c r="L508" s="402"/>
      <c r="M508" s="402"/>
      <c r="N508" s="402"/>
      <c r="O508" s="402"/>
      <c r="P508" s="402"/>
      <c r="Q508" s="402"/>
      <c r="R508" s="402"/>
      <c r="S508" s="402"/>
      <c r="T508" s="402"/>
      <c r="U508" s="402"/>
      <c r="V508" s="402"/>
      <c r="W508" s="402"/>
      <c r="X508" s="402"/>
      <c r="Y508" s="402"/>
      <c r="Z508" s="402"/>
    </row>
    <row r="509" ht="14.25" customHeight="1">
      <c r="A509" s="402"/>
      <c r="B509" s="402"/>
      <c r="C509" s="402"/>
      <c r="D509" s="402"/>
      <c r="E509" s="402"/>
      <c r="F509" s="403"/>
      <c r="G509" s="402"/>
      <c r="H509" s="402"/>
      <c r="I509" s="402"/>
      <c r="J509" s="402"/>
      <c r="K509" s="402"/>
      <c r="L509" s="402"/>
      <c r="M509" s="402"/>
      <c r="N509" s="402"/>
      <c r="O509" s="402"/>
      <c r="P509" s="402"/>
      <c r="Q509" s="402"/>
      <c r="R509" s="402"/>
      <c r="S509" s="402"/>
      <c r="T509" s="402"/>
      <c r="U509" s="402"/>
      <c r="V509" s="402"/>
      <c r="W509" s="402"/>
      <c r="X509" s="402"/>
      <c r="Y509" s="402"/>
      <c r="Z509" s="402"/>
    </row>
    <row r="510" ht="14.25" customHeight="1">
      <c r="A510" s="402"/>
      <c r="B510" s="402"/>
      <c r="C510" s="402"/>
      <c r="D510" s="402"/>
      <c r="E510" s="402"/>
      <c r="F510" s="403"/>
      <c r="G510" s="402"/>
      <c r="H510" s="402"/>
      <c r="I510" s="402"/>
      <c r="J510" s="402"/>
      <c r="K510" s="402"/>
      <c r="L510" s="402"/>
      <c r="M510" s="402"/>
      <c r="N510" s="402"/>
      <c r="O510" s="402"/>
      <c r="P510" s="402"/>
      <c r="Q510" s="402"/>
      <c r="R510" s="402"/>
      <c r="S510" s="402"/>
      <c r="T510" s="402"/>
      <c r="U510" s="402"/>
      <c r="V510" s="402"/>
      <c r="W510" s="402"/>
      <c r="X510" s="402"/>
      <c r="Y510" s="402"/>
      <c r="Z510" s="402"/>
    </row>
    <row r="511" ht="14.25" customHeight="1">
      <c r="A511" s="402"/>
      <c r="B511" s="402"/>
      <c r="C511" s="402"/>
      <c r="D511" s="402"/>
      <c r="E511" s="402"/>
      <c r="F511" s="403"/>
      <c r="G511" s="402"/>
      <c r="H511" s="402"/>
      <c r="I511" s="402"/>
      <c r="J511" s="402"/>
      <c r="K511" s="402"/>
      <c r="L511" s="402"/>
      <c r="M511" s="402"/>
      <c r="N511" s="402"/>
      <c r="O511" s="402"/>
      <c r="P511" s="402"/>
      <c r="Q511" s="402"/>
      <c r="R511" s="402"/>
      <c r="S511" s="402"/>
      <c r="T511" s="402"/>
      <c r="U511" s="402"/>
      <c r="V511" s="402"/>
      <c r="W511" s="402"/>
      <c r="X511" s="402"/>
      <c r="Y511" s="402"/>
      <c r="Z511" s="402"/>
    </row>
    <row r="512" ht="14.25" customHeight="1">
      <c r="A512" s="402"/>
      <c r="B512" s="402"/>
      <c r="C512" s="402"/>
      <c r="D512" s="402"/>
      <c r="E512" s="402"/>
      <c r="F512" s="403"/>
      <c r="G512" s="402"/>
      <c r="H512" s="402"/>
      <c r="I512" s="402"/>
      <c r="J512" s="402"/>
      <c r="K512" s="402"/>
      <c r="L512" s="402"/>
      <c r="M512" s="402"/>
      <c r="N512" s="402"/>
      <c r="O512" s="402"/>
      <c r="P512" s="402"/>
      <c r="Q512" s="402"/>
      <c r="R512" s="402"/>
      <c r="S512" s="402"/>
      <c r="T512" s="402"/>
      <c r="U512" s="402"/>
      <c r="V512" s="402"/>
      <c r="W512" s="402"/>
      <c r="X512" s="402"/>
      <c r="Y512" s="402"/>
      <c r="Z512" s="402"/>
    </row>
    <row r="513" ht="14.25" customHeight="1">
      <c r="A513" s="402"/>
      <c r="B513" s="402"/>
      <c r="C513" s="402"/>
      <c r="D513" s="402"/>
      <c r="E513" s="402"/>
      <c r="F513" s="403"/>
      <c r="G513" s="402"/>
      <c r="H513" s="402"/>
      <c r="I513" s="402"/>
      <c r="J513" s="402"/>
      <c r="K513" s="402"/>
      <c r="L513" s="402"/>
      <c r="M513" s="402"/>
      <c r="N513" s="402"/>
      <c r="O513" s="402"/>
      <c r="P513" s="402"/>
      <c r="Q513" s="402"/>
      <c r="R513" s="402"/>
      <c r="S513" s="402"/>
      <c r="T513" s="402"/>
      <c r="U513" s="402"/>
      <c r="V513" s="402"/>
      <c r="W513" s="402"/>
      <c r="X513" s="402"/>
      <c r="Y513" s="402"/>
      <c r="Z513" s="402"/>
    </row>
    <row r="514" ht="14.25" customHeight="1">
      <c r="A514" s="402"/>
      <c r="B514" s="402"/>
      <c r="C514" s="402"/>
      <c r="D514" s="402"/>
      <c r="E514" s="402"/>
      <c r="F514" s="403"/>
      <c r="G514" s="402"/>
      <c r="H514" s="402"/>
      <c r="I514" s="402"/>
      <c r="J514" s="402"/>
      <c r="K514" s="402"/>
      <c r="L514" s="402"/>
      <c r="M514" s="402"/>
      <c r="N514" s="402"/>
      <c r="O514" s="402"/>
      <c r="P514" s="402"/>
      <c r="Q514" s="402"/>
      <c r="R514" s="402"/>
      <c r="S514" s="402"/>
      <c r="T514" s="402"/>
      <c r="U514" s="402"/>
      <c r="V514" s="402"/>
      <c r="W514" s="402"/>
      <c r="X514" s="402"/>
      <c r="Y514" s="402"/>
      <c r="Z514" s="402"/>
    </row>
    <row r="515" ht="14.25" customHeight="1">
      <c r="A515" s="402"/>
      <c r="B515" s="402"/>
      <c r="C515" s="402"/>
      <c r="D515" s="402"/>
      <c r="E515" s="402"/>
      <c r="F515" s="403"/>
      <c r="G515" s="402"/>
      <c r="H515" s="402"/>
      <c r="I515" s="402"/>
      <c r="J515" s="402"/>
      <c r="K515" s="402"/>
      <c r="L515" s="402"/>
      <c r="M515" s="402"/>
      <c r="N515" s="402"/>
      <c r="O515" s="402"/>
      <c r="P515" s="402"/>
      <c r="Q515" s="402"/>
      <c r="R515" s="402"/>
      <c r="S515" s="402"/>
      <c r="T515" s="402"/>
      <c r="U515" s="402"/>
      <c r="V515" s="402"/>
      <c r="W515" s="402"/>
      <c r="X515" s="402"/>
      <c r="Y515" s="402"/>
      <c r="Z515" s="402"/>
    </row>
    <row r="516" ht="14.25" customHeight="1">
      <c r="A516" s="402"/>
      <c r="B516" s="402"/>
      <c r="C516" s="402"/>
      <c r="D516" s="402"/>
      <c r="E516" s="402"/>
      <c r="F516" s="403"/>
      <c r="G516" s="402"/>
      <c r="H516" s="402"/>
      <c r="I516" s="402"/>
      <c r="J516" s="402"/>
      <c r="K516" s="402"/>
      <c r="L516" s="402"/>
      <c r="M516" s="402"/>
      <c r="N516" s="402"/>
      <c r="O516" s="402"/>
      <c r="P516" s="402"/>
      <c r="Q516" s="402"/>
      <c r="R516" s="402"/>
      <c r="S516" s="402"/>
      <c r="T516" s="402"/>
      <c r="U516" s="402"/>
      <c r="V516" s="402"/>
      <c r="W516" s="402"/>
      <c r="X516" s="402"/>
      <c r="Y516" s="402"/>
      <c r="Z516" s="402"/>
    </row>
    <row r="517" ht="14.25" customHeight="1">
      <c r="A517" s="402"/>
      <c r="B517" s="402"/>
      <c r="C517" s="402"/>
      <c r="D517" s="402"/>
      <c r="E517" s="402"/>
      <c r="F517" s="403"/>
      <c r="G517" s="402"/>
      <c r="H517" s="402"/>
      <c r="I517" s="402"/>
      <c r="J517" s="402"/>
      <c r="K517" s="402"/>
      <c r="L517" s="402"/>
      <c r="M517" s="402"/>
      <c r="N517" s="402"/>
      <c r="O517" s="402"/>
      <c r="P517" s="402"/>
      <c r="Q517" s="402"/>
      <c r="R517" s="402"/>
      <c r="S517" s="402"/>
      <c r="T517" s="402"/>
      <c r="U517" s="402"/>
      <c r="V517" s="402"/>
      <c r="W517" s="402"/>
      <c r="X517" s="402"/>
      <c r="Y517" s="402"/>
      <c r="Z517" s="402"/>
    </row>
    <row r="518" ht="14.25" customHeight="1">
      <c r="A518" s="402"/>
      <c r="B518" s="402"/>
      <c r="C518" s="402"/>
      <c r="D518" s="402"/>
      <c r="E518" s="402"/>
      <c r="F518" s="403"/>
      <c r="G518" s="402"/>
      <c r="H518" s="402"/>
      <c r="I518" s="402"/>
      <c r="J518" s="402"/>
      <c r="K518" s="402"/>
      <c r="L518" s="402"/>
      <c r="M518" s="402"/>
      <c r="N518" s="402"/>
      <c r="O518" s="402"/>
      <c r="P518" s="402"/>
      <c r="Q518" s="402"/>
      <c r="R518" s="402"/>
      <c r="S518" s="402"/>
      <c r="T518" s="402"/>
      <c r="U518" s="402"/>
      <c r="V518" s="402"/>
      <c r="W518" s="402"/>
      <c r="X518" s="402"/>
      <c r="Y518" s="402"/>
      <c r="Z518" s="402"/>
    </row>
    <row r="519" ht="14.25" customHeight="1">
      <c r="A519" s="402"/>
      <c r="B519" s="402"/>
      <c r="C519" s="402"/>
      <c r="D519" s="402"/>
      <c r="E519" s="402"/>
      <c r="F519" s="403"/>
      <c r="G519" s="402"/>
      <c r="H519" s="402"/>
      <c r="I519" s="402"/>
      <c r="J519" s="402"/>
      <c r="K519" s="402"/>
      <c r="L519" s="402"/>
      <c r="M519" s="402"/>
      <c r="N519" s="402"/>
      <c r="O519" s="402"/>
      <c r="P519" s="402"/>
      <c r="Q519" s="402"/>
      <c r="R519" s="402"/>
      <c r="S519" s="402"/>
      <c r="T519" s="402"/>
      <c r="U519" s="402"/>
      <c r="V519" s="402"/>
      <c r="W519" s="402"/>
      <c r="X519" s="402"/>
      <c r="Y519" s="402"/>
      <c r="Z519" s="402"/>
    </row>
    <row r="520" ht="14.25" customHeight="1">
      <c r="A520" s="402"/>
      <c r="B520" s="402"/>
      <c r="C520" s="402"/>
      <c r="D520" s="402"/>
      <c r="E520" s="402"/>
      <c r="F520" s="403"/>
      <c r="G520" s="402"/>
      <c r="H520" s="402"/>
      <c r="I520" s="402"/>
      <c r="J520" s="402"/>
      <c r="K520" s="402"/>
      <c r="L520" s="402"/>
      <c r="M520" s="402"/>
      <c r="N520" s="402"/>
      <c r="O520" s="402"/>
      <c r="P520" s="402"/>
      <c r="Q520" s="402"/>
      <c r="R520" s="402"/>
      <c r="S520" s="402"/>
      <c r="T520" s="402"/>
      <c r="U520" s="402"/>
      <c r="V520" s="402"/>
      <c r="W520" s="402"/>
      <c r="X520" s="402"/>
      <c r="Y520" s="402"/>
      <c r="Z520" s="402"/>
    </row>
    <row r="521" ht="14.25" customHeight="1">
      <c r="A521" s="402"/>
      <c r="B521" s="402"/>
      <c r="C521" s="402"/>
      <c r="D521" s="402"/>
      <c r="E521" s="402"/>
      <c r="F521" s="403"/>
      <c r="G521" s="402"/>
      <c r="H521" s="402"/>
      <c r="I521" s="402"/>
      <c r="J521" s="402"/>
      <c r="K521" s="402"/>
      <c r="L521" s="402"/>
      <c r="M521" s="402"/>
      <c r="N521" s="402"/>
      <c r="O521" s="402"/>
      <c r="P521" s="402"/>
      <c r="Q521" s="402"/>
      <c r="R521" s="402"/>
      <c r="S521" s="402"/>
      <c r="T521" s="402"/>
      <c r="U521" s="402"/>
      <c r="V521" s="402"/>
      <c r="W521" s="402"/>
      <c r="X521" s="402"/>
      <c r="Y521" s="402"/>
      <c r="Z521" s="402"/>
    </row>
    <row r="522" ht="14.25" customHeight="1">
      <c r="A522" s="402"/>
      <c r="B522" s="402"/>
      <c r="C522" s="402"/>
      <c r="D522" s="402"/>
      <c r="E522" s="402"/>
      <c r="F522" s="403"/>
      <c r="G522" s="402"/>
      <c r="H522" s="402"/>
      <c r="I522" s="402"/>
      <c r="J522" s="402"/>
      <c r="K522" s="402"/>
      <c r="L522" s="402"/>
      <c r="M522" s="402"/>
      <c r="N522" s="402"/>
      <c r="O522" s="402"/>
      <c r="P522" s="402"/>
      <c r="Q522" s="402"/>
      <c r="R522" s="402"/>
      <c r="S522" s="402"/>
      <c r="T522" s="402"/>
      <c r="U522" s="402"/>
      <c r="V522" s="402"/>
      <c r="W522" s="402"/>
      <c r="X522" s="402"/>
      <c r="Y522" s="402"/>
      <c r="Z522" s="402"/>
    </row>
    <row r="523" ht="14.25" customHeight="1">
      <c r="A523" s="402"/>
      <c r="B523" s="402"/>
      <c r="C523" s="402"/>
      <c r="D523" s="402"/>
      <c r="E523" s="402"/>
      <c r="F523" s="403"/>
      <c r="G523" s="402"/>
      <c r="H523" s="402"/>
      <c r="I523" s="402"/>
      <c r="J523" s="402"/>
      <c r="K523" s="402"/>
      <c r="L523" s="402"/>
      <c r="M523" s="402"/>
      <c r="N523" s="402"/>
      <c r="O523" s="402"/>
      <c r="P523" s="402"/>
      <c r="Q523" s="402"/>
      <c r="R523" s="402"/>
      <c r="S523" s="402"/>
      <c r="T523" s="402"/>
      <c r="U523" s="402"/>
      <c r="V523" s="402"/>
      <c r="W523" s="402"/>
      <c r="X523" s="402"/>
      <c r="Y523" s="402"/>
      <c r="Z523" s="402"/>
    </row>
    <row r="524" ht="14.25" customHeight="1">
      <c r="A524" s="402"/>
      <c r="B524" s="402"/>
      <c r="C524" s="402"/>
      <c r="D524" s="402"/>
      <c r="E524" s="402"/>
      <c r="F524" s="403"/>
      <c r="G524" s="402"/>
      <c r="H524" s="402"/>
      <c r="I524" s="402"/>
      <c r="J524" s="402"/>
      <c r="K524" s="402"/>
      <c r="L524" s="402"/>
      <c r="M524" s="402"/>
      <c r="N524" s="402"/>
      <c r="O524" s="402"/>
      <c r="P524" s="402"/>
      <c r="Q524" s="402"/>
      <c r="R524" s="402"/>
      <c r="S524" s="402"/>
      <c r="T524" s="402"/>
      <c r="U524" s="402"/>
      <c r="V524" s="402"/>
      <c r="W524" s="402"/>
      <c r="X524" s="402"/>
      <c r="Y524" s="402"/>
      <c r="Z524" s="402"/>
    </row>
    <row r="525" ht="14.25" customHeight="1">
      <c r="A525" s="402"/>
      <c r="B525" s="402"/>
      <c r="C525" s="402"/>
      <c r="D525" s="402"/>
      <c r="E525" s="402"/>
      <c r="F525" s="403"/>
      <c r="G525" s="402"/>
      <c r="H525" s="402"/>
      <c r="I525" s="402"/>
      <c r="J525" s="402"/>
      <c r="K525" s="402"/>
      <c r="L525" s="402"/>
      <c r="M525" s="402"/>
      <c r="N525" s="402"/>
      <c r="O525" s="402"/>
      <c r="P525" s="402"/>
      <c r="Q525" s="402"/>
      <c r="R525" s="402"/>
      <c r="S525" s="402"/>
      <c r="T525" s="402"/>
      <c r="U525" s="402"/>
      <c r="V525" s="402"/>
      <c r="W525" s="402"/>
      <c r="X525" s="402"/>
      <c r="Y525" s="402"/>
      <c r="Z525" s="402"/>
    </row>
    <row r="526" ht="14.25" customHeight="1">
      <c r="A526" s="402"/>
      <c r="B526" s="402"/>
      <c r="C526" s="402"/>
      <c r="D526" s="402"/>
      <c r="E526" s="402"/>
      <c r="F526" s="403"/>
      <c r="G526" s="402"/>
      <c r="H526" s="402"/>
      <c r="I526" s="402"/>
      <c r="J526" s="402"/>
      <c r="K526" s="402"/>
      <c r="L526" s="402"/>
      <c r="M526" s="402"/>
      <c r="N526" s="402"/>
      <c r="O526" s="402"/>
      <c r="P526" s="402"/>
      <c r="Q526" s="402"/>
      <c r="R526" s="402"/>
      <c r="S526" s="402"/>
      <c r="T526" s="402"/>
      <c r="U526" s="402"/>
      <c r="V526" s="402"/>
      <c r="W526" s="402"/>
      <c r="X526" s="402"/>
      <c r="Y526" s="402"/>
      <c r="Z526" s="402"/>
    </row>
    <row r="527" ht="14.25" customHeight="1">
      <c r="A527" s="402"/>
      <c r="B527" s="402"/>
      <c r="C527" s="402"/>
      <c r="D527" s="402"/>
      <c r="E527" s="402"/>
      <c r="F527" s="403"/>
      <c r="G527" s="402"/>
      <c r="H527" s="402"/>
      <c r="I527" s="402"/>
      <c r="J527" s="402"/>
      <c r="K527" s="402"/>
      <c r="L527" s="402"/>
      <c r="M527" s="402"/>
      <c r="N527" s="402"/>
      <c r="O527" s="402"/>
      <c r="P527" s="402"/>
      <c r="Q527" s="402"/>
      <c r="R527" s="402"/>
      <c r="S527" s="402"/>
      <c r="T527" s="402"/>
      <c r="U527" s="402"/>
      <c r="V527" s="402"/>
      <c r="W527" s="402"/>
      <c r="X527" s="402"/>
      <c r="Y527" s="402"/>
      <c r="Z527" s="402"/>
    </row>
    <row r="528" ht="14.25" customHeight="1">
      <c r="A528" s="402"/>
      <c r="B528" s="402"/>
      <c r="C528" s="402"/>
      <c r="D528" s="402"/>
      <c r="E528" s="402"/>
      <c r="F528" s="403"/>
      <c r="G528" s="402"/>
      <c r="H528" s="402"/>
      <c r="I528" s="402"/>
      <c r="J528" s="402"/>
      <c r="K528" s="402"/>
      <c r="L528" s="402"/>
      <c r="M528" s="402"/>
      <c r="N528" s="402"/>
      <c r="O528" s="402"/>
      <c r="P528" s="402"/>
      <c r="Q528" s="402"/>
      <c r="R528" s="402"/>
      <c r="S528" s="402"/>
      <c r="T528" s="402"/>
      <c r="U528" s="402"/>
      <c r="V528" s="402"/>
      <c r="W528" s="402"/>
      <c r="X528" s="402"/>
      <c r="Y528" s="402"/>
      <c r="Z528" s="402"/>
    </row>
    <row r="529" ht="14.25" customHeight="1">
      <c r="A529" s="402"/>
      <c r="B529" s="402"/>
      <c r="C529" s="402"/>
      <c r="D529" s="402"/>
      <c r="E529" s="402"/>
      <c r="F529" s="403"/>
      <c r="G529" s="402"/>
      <c r="H529" s="402"/>
      <c r="I529" s="402"/>
      <c r="J529" s="402"/>
      <c r="K529" s="402"/>
      <c r="L529" s="402"/>
      <c r="M529" s="402"/>
      <c r="N529" s="402"/>
      <c r="O529" s="402"/>
      <c r="P529" s="402"/>
      <c r="Q529" s="402"/>
      <c r="R529" s="402"/>
      <c r="S529" s="402"/>
      <c r="T529" s="402"/>
      <c r="U529" s="402"/>
      <c r="V529" s="402"/>
      <c r="W529" s="402"/>
      <c r="X529" s="402"/>
      <c r="Y529" s="402"/>
      <c r="Z529" s="402"/>
    </row>
    <row r="530" ht="14.25" customHeight="1">
      <c r="A530" s="402"/>
      <c r="B530" s="402"/>
      <c r="C530" s="402"/>
      <c r="D530" s="402"/>
      <c r="E530" s="402"/>
      <c r="F530" s="403"/>
      <c r="G530" s="402"/>
      <c r="H530" s="402"/>
      <c r="I530" s="402"/>
      <c r="J530" s="402"/>
      <c r="K530" s="402"/>
      <c r="L530" s="402"/>
      <c r="M530" s="402"/>
      <c r="N530" s="402"/>
      <c r="O530" s="402"/>
      <c r="P530" s="402"/>
      <c r="Q530" s="402"/>
      <c r="R530" s="402"/>
      <c r="S530" s="402"/>
      <c r="T530" s="402"/>
      <c r="U530" s="402"/>
      <c r="V530" s="402"/>
      <c r="W530" s="402"/>
      <c r="X530" s="402"/>
      <c r="Y530" s="402"/>
      <c r="Z530" s="402"/>
    </row>
    <row r="531" ht="14.25" customHeight="1">
      <c r="A531" s="402"/>
      <c r="B531" s="402"/>
      <c r="C531" s="402"/>
      <c r="D531" s="402"/>
      <c r="E531" s="402"/>
      <c r="F531" s="403"/>
      <c r="G531" s="402"/>
      <c r="H531" s="402"/>
      <c r="I531" s="402"/>
      <c r="J531" s="402"/>
      <c r="K531" s="402"/>
      <c r="L531" s="402"/>
      <c r="M531" s="402"/>
      <c r="N531" s="402"/>
      <c r="O531" s="402"/>
      <c r="P531" s="402"/>
      <c r="Q531" s="402"/>
      <c r="R531" s="402"/>
      <c r="S531" s="402"/>
      <c r="T531" s="402"/>
      <c r="U531" s="402"/>
      <c r="V531" s="402"/>
      <c r="W531" s="402"/>
      <c r="X531" s="402"/>
      <c r="Y531" s="402"/>
      <c r="Z531" s="402"/>
    </row>
    <row r="532" ht="14.25" customHeight="1">
      <c r="A532" s="402"/>
      <c r="B532" s="402"/>
      <c r="C532" s="402"/>
      <c r="D532" s="402"/>
      <c r="E532" s="402"/>
      <c r="F532" s="403"/>
      <c r="G532" s="402"/>
      <c r="H532" s="402"/>
      <c r="I532" s="402"/>
      <c r="J532" s="402"/>
      <c r="K532" s="402"/>
      <c r="L532" s="402"/>
      <c r="M532" s="402"/>
      <c r="N532" s="402"/>
      <c r="O532" s="402"/>
      <c r="P532" s="402"/>
      <c r="Q532" s="402"/>
      <c r="R532" s="402"/>
      <c r="S532" s="402"/>
      <c r="T532" s="402"/>
      <c r="U532" s="402"/>
      <c r="V532" s="402"/>
      <c r="W532" s="402"/>
      <c r="X532" s="402"/>
      <c r="Y532" s="402"/>
      <c r="Z532" s="402"/>
    </row>
    <row r="533" ht="14.25" customHeight="1">
      <c r="A533" s="402"/>
      <c r="B533" s="402"/>
      <c r="C533" s="402"/>
      <c r="D533" s="402"/>
      <c r="E533" s="402"/>
      <c r="F533" s="403"/>
      <c r="G533" s="402"/>
      <c r="H533" s="402"/>
      <c r="I533" s="402"/>
      <c r="J533" s="402"/>
      <c r="K533" s="402"/>
      <c r="L533" s="402"/>
      <c r="M533" s="402"/>
      <c r="N533" s="402"/>
      <c r="O533" s="402"/>
      <c r="P533" s="402"/>
      <c r="Q533" s="402"/>
      <c r="R533" s="402"/>
      <c r="S533" s="402"/>
      <c r="T533" s="402"/>
      <c r="U533" s="402"/>
      <c r="V533" s="402"/>
      <c r="W533" s="402"/>
      <c r="X533" s="402"/>
      <c r="Y533" s="402"/>
      <c r="Z533" s="402"/>
    </row>
    <row r="534" ht="14.25" customHeight="1">
      <c r="A534" s="402"/>
      <c r="B534" s="402"/>
      <c r="C534" s="402"/>
      <c r="D534" s="402"/>
      <c r="E534" s="402"/>
      <c r="F534" s="403"/>
      <c r="G534" s="402"/>
      <c r="H534" s="402"/>
      <c r="I534" s="402"/>
      <c r="J534" s="402"/>
      <c r="K534" s="402"/>
      <c r="L534" s="402"/>
      <c r="M534" s="402"/>
      <c r="N534" s="402"/>
      <c r="O534" s="402"/>
      <c r="P534" s="402"/>
      <c r="Q534" s="402"/>
      <c r="R534" s="402"/>
      <c r="S534" s="402"/>
      <c r="T534" s="402"/>
      <c r="U534" s="402"/>
      <c r="V534" s="402"/>
      <c r="W534" s="402"/>
      <c r="X534" s="402"/>
      <c r="Y534" s="402"/>
      <c r="Z534" s="402"/>
    </row>
    <row r="535" ht="14.25" customHeight="1">
      <c r="A535" s="402"/>
      <c r="B535" s="402"/>
      <c r="C535" s="402"/>
      <c r="D535" s="402"/>
      <c r="E535" s="402"/>
      <c r="F535" s="403"/>
      <c r="G535" s="402"/>
      <c r="H535" s="402"/>
      <c r="I535" s="402"/>
      <c r="J535" s="402"/>
      <c r="K535" s="402"/>
      <c r="L535" s="402"/>
      <c r="M535" s="402"/>
      <c r="N535" s="402"/>
      <c r="O535" s="402"/>
      <c r="P535" s="402"/>
      <c r="Q535" s="402"/>
      <c r="R535" s="402"/>
      <c r="S535" s="402"/>
      <c r="T535" s="402"/>
      <c r="U535" s="402"/>
      <c r="V535" s="402"/>
      <c r="W535" s="402"/>
      <c r="X535" s="402"/>
      <c r="Y535" s="402"/>
      <c r="Z535" s="402"/>
    </row>
    <row r="536" ht="14.25" customHeight="1">
      <c r="A536" s="402"/>
      <c r="B536" s="402"/>
      <c r="C536" s="402"/>
      <c r="D536" s="402"/>
      <c r="E536" s="402"/>
      <c r="F536" s="403"/>
      <c r="G536" s="402"/>
      <c r="H536" s="402"/>
      <c r="I536" s="402"/>
      <c r="J536" s="402"/>
      <c r="K536" s="402"/>
      <c r="L536" s="402"/>
      <c r="M536" s="402"/>
      <c r="N536" s="402"/>
      <c r="O536" s="402"/>
      <c r="P536" s="402"/>
      <c r="Q536" s="402"/>
      <c r="R536" s="402"/>
      <c r="S536" s="402"/>
      <c r="T536" s="402"/>
      <c r="U536" s="402"/>
      <c r="V536" s="402"/>
      <c r="W536" s="402"/>
      <c r="X536" s="402"/>
      <c r="Y536" s="402"/>
      <c r="Z536" s="402"/>
    </row>
    <row r="537" ht="14.25" customHeight="1">
      <c r="A537" s="402"/>
      <c r="B537" s="402"/>
      <c r="C537" s="402"/>
      <c r="D537" s="402"/>
      <c r="E537" s="402"/>
      <c r="F537" s="403"/>
      <c r="G537" s="402"/>
      <c r="H537" s="402"/>
      <c r="I537" s="402"/>
      <c r="J537" s="402"/>
      <c r="K537" s="402"/>
      <c r="L537" s="402"/>
      <c r="M537" s="402"/>
      <c r="N537" s="402"/>
      <c r="O537" s="402"/>
      <c r="P537" s="402"/>
      <c r="Q537" s="402"/>
      <c r="R537" s="402"/>
      <c r="S537" s="402"/>
      <c r="T537" s="402"/>
      <c r="U537" s="402"/>
      <c r="V537" s="402"/>
      <c r="W537" s="402"/>
      <c r="X537" s="402"/>
      <c r="Y537" s="402"/>
      <c r="Z537" s="402"/>
    </row>
    <row r="538" ht="14.25" customHeight="1">
      <c r="A538" s="402"/>
      <c r="B538" s="402"/>
      <c r="C538" s="402"/>
      <c r="D538" s="402"/>
      <c r="E538" s="402"/>
      <c r="F538" s="403"/>
      <c r="G538" s="402"/>
      <c r="H538" s="402"/>
      <c r="I538" s="402"/>
      <c r="J538" s="402"/>
      <c r="K538" s="402"/>
      <c r="L538" s="402"/>
      <c r="M538" s="402"/>
      <c r="N538" s="402"/>
      <c r="O538" s="402"/>
      <c r="P538" s="402"/>
      <c r="Q538" s="402"/>
      <c r="R538" s="402"/>
      <c r="S538" s="402"/>
      <c r="T538" s="402"/>
      <c r="U538" s="402"/>
      <c r="V538" s="402"/>
      <c r="W538" s="402"/>
      <c r="X538" s="402"/>
      <c r="Y538" s="402"/>
      <c r="Z538" s="402"/>
    </row>
    <row r="539" ht="14.25" customHeight="1">
      <c r="A539" s="402"/>
      <c r="B539" s="402"/>
      <c r="C539" s="402"/>
      <c r="D539" s="402"/>
      <c r="E539" s="402"/>
      <c r="F539" s="403"/>
      <c r="G539" s="402"/>
      <c r="H539" s="402"/>
      <c r="I539" s="402"/>
      <c r="J539" s="402"/>
      <c r="K539" s="402"/>
      <c r="L539" s="402"/>
      <c r="M539" s="402"/>
      <c r="N539" s="402"/>
      <c r="O539" s="402"/>
      <c r="P539" s="402"/>
      <c r="Q539" s="402"/>
      <c r="R539" s="402"/>
      <c r="S539" s="402"/>
      <c r="T539" s="402"/>
      <c r="U539" s="402"/>
      <c r="V539" s="402"/>
      <c r="W539" s="402"/>
      <c r="X539" s="402"/>
      <c r="Y539" s="402"/>
      <c r="Z539" s="402"/>
    </row>
    <row r="540" ht="14.25" customHeight="1">
      <c r="A540" s="402"/>
      <c r="B540" s="402"/>
      <c r="C540" s="402"/>
      <c r="D540" s="402"/>
      <c r="E540" s="402"/>
      <c r="F540" s="403"/>
      <c r="G540" s="402"/>
      <c r="H540" s="402"/>
      <c r="I540" s="402"/>
      <c r="J540" s="402"/>
      <c r="K540" s="402"/>
      <c r="L540" s="402"/>
      <c r="M540" s="402"/>
      <c r="N540" s="402"/>
      <c r="O540" s="402"/>
      <c r="P540" s="402"/>
      <c r="Q540" s="402"/>
      <c r="R540" s="402"/>
      <c r="S540" s="402"/>
      <c r="T540" s="402"/>
      <c r="U540" s="402"/>
      <c r="V540" s="402"/>
      <c r="W540" s="402"/>
      <c r="X540" s="402"/>
      <c r="Y540" s="402"/>
      <c r="Z540" s="402"/>
    </row>
    <row r="541" ht="14.25" customHeight="1">
      <c r="A541" s="402"/>
      <c r="B541" s="402"/>
      <c r="C541" s="402"/>
      <c r="D541" s="402"/>
      <c r="E541" s="402"/>
      <c r="F541" s="403"/>
      <c r="G541" s="402"/>
      <c r="H541" s="402"/>
      <c r="I541" s="402"/>
      <c r="J541" s="402"/>
      <c r="K541" s="402"/>
      <c r="L541" s="402"/>
      <c r="M541" s="402"/>
      <c r="N541" s="402"/>
      <c r="O541" s="402"/>
      <c r="P541" s="402"/>
      <c r="Q541" s="402"/>
      <c r="R541" s="402"/>
      <c r="S541" s="402"/>
      <c r="T541" s="402"/>
      <c r="U541" s="402"/>
      <c r="V541" s="402"/>
      <c r="W541" s="402"/>
      <c r="X541" s="402"/>
      <c r="Y541" s="402"/>
      <c r="Z541" s="402"/>
    </row>
    <row r="542" ht="14.25" customHeight="1">
      <c r="A542" s="402"/>
      <c r="B542" s="402"/>
      <c r="C542" s="402"/>
      <c r="D542" s="402"/>
      <c r="E542" s="402"/>
      <c r="F542" s="403"/>
      <c r="G542" s="402"/>
      <c r="H542" s="402"/>
      <c r="I542" s="402"/>
      <c r="J542" s="402"/>
      <c r="K542" s="402"/>
      <c r="L542" s="402"/>
      <c r="M542" s="402"/>
      <c r="N542" s="402"/>
      <c r="O542" s="402"/>
      <c r="P542" s="402"/>
      <c r="Q542" s="402"/>
      <c r="R542" s="402"/>
      <c r="S542" s="402"/>
      <c r="T542" s="402"/>
      <c r="U542" s="402"/>
      <c r="V542" s="402"/>
      <c r="W542" s="402"/>
      <c r="X542" s="402"/>
      <c r="Y542" s="402"/>
      <c r="Z542" s="402"/>
    </row>
    <row r="543" ht="14.25" customHeight="1">
      <c r="A543" s="402"/>
      <c r="B543" s="402"/>
      <c r="C543" s="402"/>
      <c r="D543" s="402"/>
      <c r="E543" s="402"/>
      <c r="F543" s="403"/>
      <c r="G543" s="402"/>
      <c r="H543" s="402"/>
      <c r="I543" s="402"/>
      <c r="J543" s="402"/>
      <c r="K543" s="402"/>
      <c r="L543" s="402"/>
      <c r="M543" s="402"/>
      <c r="N543" s="402"/>
      <c r="O543" s="402"/>
      <c r="P543" s="402"/>
      <c r="Q543" s="402"/>
      <c r="R543" s="402"/>
      <c r="S543" s="402"/>
      <c r="T543" s="402"/>
      <c r="U543" s="402"/>
      <c r="V543" s="402"/>
      <c r="W543" s="402"/>
      <c r="X543" s="402"/>
      <c r="Y543" s="402"/>
      <c r="Z543" s="402"/>
    </row>
    <row r="544" ht="14.25" customHeight="1">
      <c r="A544" s="402"/>
      <c r="B544" s="402"/>
      <c r="C544" s="402"/>
      <c r="D544" s="402"/>
      <c r="E544" s="402"/>
      <c r="F544" s="403"/>
      <c r="G544" s="402"/>
      <c r="H544" s="402"/>
      <c r="I544" s="402"/>
      <c r="J544" s="402"/>
      <c r="K544" s="402"/>
      <c r="L544" s="402"/>
      <c r="M544" s="402"/>
      <c r="N544" s="402"/>
      <c r="O544" s="402"/>
      <c r="P544" s="402"/>
      <c r="Q544" s="402"/>
      <c r="R544" s="402"/>
      <c r="S544" s="402"/>
      <c r="T544" s="402"/>
      <c r="U544" s="402"/>
      <c r="V544" s="402"/>
      <c r="W544" s="402"/>
      <c r="X544" s="402"/>
      <c r="Y544" s="402"/>
      <c r="Z544" s="402"/>
    </row>
    <row r="545" ht="14.25" customHeight="1">
      <c r="A545" s="402"/>
      <c r="B545" s="402"/>
      <c r="C545" s="402"/>
      <c r="D545" s="402"/>
      <c r="E545" s="402"/>
      <c r="F545" s="403"/>
      <c r="G545" s="402"/>
      <c r="H545" s="402"/>
      <c r="I545" s="402"/>
      <c r="J545" s="402"/>
      <c r="K545" s="402"/>
      <c r="L545" s="402"/>
      <c r="M545" s="402"/>
      <c r="N545" s="402"/>
      <c r="O545" s="402"/>
      <c r="P545" s="402"/>
      <c r="Q545" s="402"/>
      <c r="R545" s="402"/>
      <c r="S545" s="402"/>
      <c r="T545" s="402"/>
      <c r="U545" s="402"/>
      <c r="V545" s="402"/>
      <c r="W545" s="402"/>
      <c r="X545" s="402"/>
      <c r="Y545" s="402"/>
      <c r="Z545" s="402"/>
    </row>
    <row r="546" ht="14.25" customHeight="1">
      <c r="A546" s="402"/>
      <c r="B546" s="402"/>
      <c r="C546" s="402"/>
      <c r="D546" s="402"/>
      <c r="E546" s="402"/>
      <c r="F546" s="403"/>
      <c r="G546" s="402"/>
      <c r="H546" s="402"/>
      <c r="I546" s="402"/>
      <c r="J546" s="402"/>
      <c r="K546" s="402"/>
      <c r="L546" s="402"/>
      <c r="M546" s="402"/>
      <c r="N546" s="402"/>
      <c r="O546" s="402"/>
      <c r="P546" s="402"/>
      <c r="Q546" s="402"/>
      <c r="R546" s="402"/>
      <c r="S546" s="402"/>
      <c r="T546" s="402"/>
      <c r="U546" s="402"/>
      <c r="V546" s="402"/>
      <c r="W546" s="402"/>
      <c r="X546" s="402"/>
      <c r="Y546" s="402"/>
      <c r="Z546" s="402"/>
    </row>
    <row r="547" ht="14.25" customHeight="1">
      <c r="A547" s="402"/>
      <c r="B547" s="402"/>
      <c r="C547" s="402"/>
      <c r="D547" s="402"/>
      <c r="E547" s="402"/>
      <c r="F547" s="403"/>
      <c r="G547" s="402"/>
      <c r="H547" s="402"/>
      <c r="I547" s="402"/>
      <c r="J547" s="402"/>
      <c r="K547" s="402"/>
      <c r="L547" s="402"/>
      <c r="M547" s="402"/>
      <c r="N547" s="402"/>
      <c r="O547" s="402"/>
      <c r="P547" s="402"/>
      <c r="Q547" s="402"/>
      <c r="R547" s="402"/>
      <c r="S547" s="402"/>
      <c r="T547" s="402"/>
      <c r="U547" s="402"/>
      <c r="V547" s="402"/>
      <c r="W547" s="402"/>
      <c r="X547" s="402"/>
      <c r="Y547" s="402"/>
      <c r="Z547" s="402"/>
    </row>
    <row r="548" ht="14.25" customHeight="1">
      <c r="A548" s="402"/>
      <c r="B548" s="402"/>
      <c r="C548" s="402"/>
      <c r="D548" s="402"/>
      <c r="E548" s="402"/>
      <c r="F548" s="403"/>
      <c r="G548" s="402"/>
      <c r="H548" s="402"/>
      <c r="I548" s="402"/>
      <c r="J548" s="402"/>
      <c r="K548" s="402"/>
      <c r="L548" s="402"/>
      <c r="M548" s="402"/>
      <c r="N548" s="402"/>
      <c r="O548" s="402"/>
      <c r="P548" s="402"/>
      <c r="Q548" s="402"/>
      <c r="R548" s="402"/>
      <c r="S548" s="402"/>
      <c r="T548" s="402"/>
      <c r="U548" s="402"/>
      <c r="V548" s="402"/>
      <c r="W548" s="402"/>
      <c r="X548" s="402"/>
      <c r="Y548" s="402"/>
      <c r="Z548" s="402"/>
    </row>
    <row r="549" ht="14.25" customHeight="1">
      <c r="A549" s="402"/>
      <c r="B549" s="402"/>
      <c r="C549" s="402"/>
      <c r="D549" s="402"/>
      <c r="E549" s="402"/>
      <c r="F549" s="403"/>
      <c r="G549" s="402"/>
      <c r="H549" s="402"/>
      <c r="I549" s="402"/>
      <c r="J549" s="402"/>
      <c r="K549" s="402"/>
      <c r="L549" s="402"/>
      <c r="M549" s="402"/>
      <c r="N549" s="402"/>
      <c r="O549" s="402"/>
      <c r="P549" s="402"/>
      <c r="Q549" s="402"/>
      <c r="R549" s="402"/>
      <c r="S549" s="402"/>
      <c r="T549" s="402"/>
      <c r="U549" s="402"/>
      <c r="V549" s="402"/>
      <c r="W549" s="402"/>
      <c r="X549" s="402"/>
      <c r="Y549" s="402"/>
      <c r="Z549" s="402"/>
    </row>
    <row r="550" ht="14.25" customHeight="1">
      <c r="A550" s="402"/>
      <c r="B550" s="402"/>
      <c r="C550" s="402"/>
      <c r="D550" s="402"/>
      <c r="E550" s="402"/>
      <c r="F550" s="403"/>
      <c r="G550" s="402"/>
      <c r="H550" s="402"/>
      <c r="I550" s="402"/>
      <c r="J550" s="402"/>
      <c r="K550" s="402"/>
      <c r="L550" s="402"/>
      <c r="M550" s="402"/>
      <c r="N550" s="402"/>
      <c r="O550" s="402"/>
      <c r="P550" s="402"/>
      <c r="Q550" s="402"/>
      <c r="R550" s="402"/>
      <c r="S550" s="402"/>
      <c r="T550" s="402"/>
      <c r="U550" s="402"/>
      <c r="V550" s="402"/>
      <c r="W550" s="402"/>
      <c r="X550" s="402"/>
      <c r="Y550" s="402"/>
      <c r="Z550" s="402"/>
    </row>
    <row r="551" ht="14.25" customHeight="1">
      <c r="A551" s="402"/>
      <c r="B551" s="402"/>
      <c r="C551" s="402"/>
      <c r="D551" s="402"/>
      <c r="E551" s="402"/>
      <c r="F551" s="403"/>
      <c r="G551" s="402"/>
      <c r="H551" s="402"/>
      <c r="I551" s="402"/>
      <c r="J551" s="402"/>
      <c r="K551" s="402"/>
      <c r="L551" s="402"/>
      <c r="M551" s="402"/>
      <c r="N551" s="402"/>
      <c r="O551" s="402"/>
      <c r="P551" s="402"/>
      <c r="Q551" s="402"/>
      <c r="R551" s="402"/>
      <c r="S551" s="402"/>
      <c r="T551" s="402"/>
      <c r="U551" s="402"/>
      <c r="V551" s="402"/>
      <c r="W551" s="402"/>
      <c r="X551" s="402"/>
      <c r="Y551" s="402"/>
      <c r="Z551" s="402"/>
    </row>
    <row r="552" ht="14.25" customHeight="1">
      <c r="A552" s="402"/>
      <c r="B552" s="402"/>
      <c r="C552" s="402"/>
      <c r="D552" s="402"/>
      <c r="E552" s="402"/>
      <c r="F552" s="403"/>
      <c r="G552" s="402"/>
      <c r="H552" s="402"/>
      <c r="I552" s="402"/>
      <c r="J552" s="402"/>
      <c r="K552" s="402"/>
      <c r="L552" s="402"/>
      <c r="M552" s="402"/>
      <c r="N552" s="402"/>
      <c r="O552" s="402"/>
      <c r="P552" s="402"/>
      <c r="Q552" s="402"/>
      <c r="R552" s="402"/>
      <c r="S552" s="402"/>
      <c r="T552" s="402"/>
      <c r="U552" s="402"/>
      <c r="V552" s="402"/>
      <c r="W552" s="402"/>
      <c r="X552" s="402"/>
      <c r="Y552" s="402"/>
      <c r="Z552" s="402"/>
    </row>
    <row r="553" ht="14.25" customHeight="1">
      <c r="A553" s="402"/>
      <c r="B553" s="402"/>
      <c r="C553" s="402"/>
      <c r="D553" s="402"/>
      <c r="E553" s="402"/>
      <c r="F553" s="403"/>
      <c r="G553" s="402"/>
      <c r="H553" s="402"/>
      <c r="I553" s="402"/>
      <c r="J553" s="402"/>
      <c r="K553" s="402"/>
      <c r="L553" s="402"/>
      <c r="M553" s="402"/>
      <c r="N553" s="402"/>
      <c r="O553" s="402"/>
      <c r="P553" s="402"/>
      <c r="Q553" s="402"/>
      <c r="R553" s="402"/>
      <c r="S553" s="402"/>
      <c r="T553" s="402"/>
      <c r="U553" s="402"/>
      <c r="V553" s="402"/>
      <c r="W553" s="402"/>
      <c r="X553" s="402"/>
      <c r="Y553" s="402"/>
      <c r="Z553" s="402"/>
    </row>
    <row r="554" ht="14.25" customHeight="1">
      <c r="A554" s="402"/>
      <c r="B554" s="402"/>
      <c r="C554" s="402"/>
      <c r="D554" s="402"/>
      <c r="E554" s="402"/>
      <c r="F554" s="403"/>
      <c r="G554" s="402"/>
      <c r="H554" s="402"/>
      <c r="I554" s="402"/>
      <c r="J554" s="402"/>
      <c r="K554" s="402"/>
      <c r="L554" s="402"/>
      <c r="M554" s="402"/>
      <c r="N554" s="402"/>
      <c r="O554" s="402"/>
      <c r="P554" s="402"/>
      <c r="Q554" s="402"/>
      <c r="R554" s="402"/>
      <c r="S554" s="402"/>
      <c r="T554" s="402"/>
      <c r="U554" s="402"/>
      <c r="V554" s="402"/>
      <c r="W554" s="402"/>
      <c r="X554" s="402"/>
      <c r="Y554" s="402"/>
      <c r="Z554" s="402"/>
    </row>
    <row r="555" ht="14.25" customHeight="1">
      <c r="A555" s="402"/>
      <c r="B555" s="402"/>
      <c r="C555" s="402"/>
      <c r="D555" s="402"/>
      <c r="E555" s="402"/>
      <c r="F555" s="403"/>
      <c r="G555" s="402"/>
      <c r="H555" s="402"/>
      <c r="I555" s="402"/>
      <c r="J555" s="402"/>
      <c r="K555" s="402"/>
      <c r="L555" s="402"/>
      <c r="M555" s="402"/>
      <c r="N555" s="402"/>
      <c r="O555" s="402"/>
      <c r="P555" s="402"/>
      <c r="Q555" s="402"/>
      <c r="R555" s="402"/>
      <c r="S555" s="402"/>
      <c r="T555" s="402"/>
      <c r="U555" s="402"/>
      <c r="V555" s="402"/>
      <c r="W555" s="402"/>
      <c r="X555" s="402"/>
      <c r="Y555" s="402"/>
      <c r="Z555" s="402"/>
    </row>
    <row r="556" ht="14.25" customHeight="1">
      <c r="A556" s="402"/>
      <c r="B556" s="402"/>
      <c r="C556" s="402"/>
      <c r="D556" s="402"/>
      <c r="E556" s="402"/>
      <c r="F556" s="403"/>
      <c r="G556" s="402"/>
      <c r="H556" s="402"/>
      <c r="I556" s="402"/>
      <c r="J556" s="402"/>
      <c r="K556" s="402"/>
      <c r="L556" s="402"/>
      <c r="M556" s="402"/>
      <c r="N556" s="402"/>
      <c r="O556" s="402"/>
      <c r="P556" s="402"/>
      <c r="Q556" s="402"/>
      <c r="R556" s="402"/>
      <c r="S556" s="402"/>
      <c r="T556" s="402"/>
      <c r="U556" s="402"/>
      <c r="V556" s="402"/>
      <c r="W556" s="402"/>
      <c r="X556" s="402"/>
      <c r="Y556" s="402"/>
      <c r="Z556" s="402"/>
    </row>
    <row r="557" ht="14.25" customHeight="1">
      <c r="A557" s="402"/>
      <c r="B557" s="402"/>
      <c r="C557" s="402"/>
      <c r="D557" s="402"/>
      <c r="E557" s="402"/>
      <c r="F557" s="403"/>
      <c r="G557" s="402"/>
      <c r="H557" s="402"/>
      <c r="I557" s="402"/>
      <c r="J557" s="402"/>
      <c r="K557" s="402"/>
      <c r="L557" s="402"/>
      <c r="M557" s="402"/>
      <c r="N557" s="402"/>
      <c r="O557" s="402"/>
      <c r="P557" s="402"/>
      <c r="Q557" s="402"/>
      <c r="R557" s="402"/>
      <c r="S557" s="402"/>
      <c r="T557" s="402"/>
      <c r="U557" s="402"/>
      <c r="V557" s="402"/>
      <c r="W557" s="402"/>
      <c r="X557" s="402"/>
      <c r="Y557" s="402"/>
      <c r="Z557" s="402"/>
    </row>
    <row r="558" ht="14.25" customHeight="1">
      <c r="A558" s="402"/>
      <c r="B558" s="402"/>
      <c r="C558" s="402"/>
      <c r="D558" s="402"/>
      <c r="E558" s="402"/>
      <c r="F558" s="403"/>
      <c r="G558" s="402"/>
      <c r="H558" s="402"/>
      <c r="I558" s="402"/>
      <c r="J558" s="402"/>
      <c r="K558" s="402"/>
      <c r="L558" s="402"/>
      <c r="M558" s="402"/>
      <c r="N558" s="402"/>
      <c r="O558" s="402"/>
      <c r="P558" s="402"/>
      <c r="Q558" s="402"/>
      <c r="R558" s="402"/>
      <c r="S558" s="402"/>
      <c r="T558" s="402"/>
      <c r="U558" s="402"/>
      <c r="V558" s="402"/>
      <c r="W558" s="402"/>
      <c r="X558" s="402"/>
      <c r="Y558" s="402"/>
      <c r="Z558" s="402"/>
    </row>
    <row r="559" ht="14.25" customHeight="1">
      <c r="A559" s="402"/>
      <c r="B559" s="402"/>
      <c r="C559" s="402"/>
      <c r="D559" s="402"/>
      <c r="E559" s="402"/>
      <c r="F559" s="403"/>
      <c r="G559" s="402"/>
      <c r="H559" s="402"/>
      <c r="I559" s="402"/>
      <c r="J559" s="402"/>
      <c r="K559" s="402"/>
      <c r="L559" s="402"/>
      <c r="M559" s="402"/>
      <c r="N559" s="402"/>
      <c r="O559" s="402"/>
      <c r="P559" s="402"/>
      <c r="Q559" s="402"/>
      <c r="R559" s="402"/>
      <c r="S559" s="402"/>
      <c r="T559" s="402"/>
      <c r="U559" s="402"/>
      <c r="V559" s="402"/>
      <c r="W559" s="402"/>
      <c r="X559" s="402"/>
      <c r="Y559" s="402"/>
      <c r="Z559" s="402"/>
    </row>
    <row r="560" ht="14.25" customHeight="1">
      <c r="A560" s="402"/>
      <c r="B560" s="402"/>
      <c r="C560" s="402"/>
      <c r="D560" s="402"/>
      <c r="E560" s="402"/>
      <c r="F560" s="403"/>
      <c r="G560" s="402"/>
      <c r="H560" s="402"/>
      <c r="I560" s="402"/>
      <c r="J560" s="402"/>
      <c r="K560" s="402"/>
      <c r="L560" s="402"/>
      <c r="M560" s="402"/>
      <c r="N560" s="402"/>
      <c r="O560" s="402"/>
      <c r="P560" s="402"/>
      <c r="Q560" s="402"/>
      <c r="R560" s="402"/>
      <c r="S560" s="402"/>
      <c r="T560" s="402"/>
      <c r="U560" s="402"/>
      <c r="V560" s="402"/>
      <c r="W560" s="402"/>
      <c r="X560" s="402"/>
      <c r="Y560" s="402"/>
      <c r="Z560" s="402"/>
    </row>
    <row r="561" ht="14.25" customHeight="1">
      <c r="A561" s="402"/>
      <c r="B561" s="402"/>
      <c r="C561" s="402"/>
      <c r="D561" s="402"/>
      <c r="E561" s="402"/>
      <c r="F561" s="403"/>
      <c r="G561" s="402"/>
      <c r="H561" s="402"/>
      <c r="I561" s="402"/>
      <c r="J561" s="402"/>
      <c r="K561" s="402"/>
      <c r="L561" s="402"/>
      <c r="M561" s="402"/>
      <c r="N561" s="402"/>
      <c r="O561" s="402"/>
      <c r="P561" s="402"/>
      <c r="Q561" s="402"/>
      <c r="R561" s="402"/>
      <c r="S561" s="402"/>
      <c r="T561" s="402"/>
      <c r="U561" s="402"/>
      <c r="V561" s="402"/>
      <c r="W561" s="402"/>
      <c r="X561" s="402"/>
      <c r="Y561" s="402"/>
      <c r="Z561" s="402"/>
    </row>
    <row r="562" ht="14.25" customHeight="1">
      <c r="A562" s="402"/>
      <c r="B562" s="402"/>
      <c r="C562" s="402"/>
      <c r="D562" s="402"/>
      <c r="E562" s="402"/>
      <c r="F562" s="403"/>
      <c r="G562" s="402"/>
      <c r="H562" s="402"/>
      <c r="I562" s="402"/>
      <c r="J562" s="402"/>
      <c r="K562" s="402"/>
      <c r="L562" s="402"/>
      <c r="M562" s="402"/>
      <c r="N562" s="402"/>
      <c r="O562" s="402"/>
      <c r="P562" s="402"/>
      <c r="Q562" s="402"/>
      <c r="R562" s="402"/>
      <c r="S562" s="402"/>
      <c r="T562" s="402"/>
      <c r="U562" s="402"/>
      <c r="V562" s="402"/>
      <c r="W562" s="402"/>
      <c r="X562" s="402"/>
      <c r="Y562" s="402"/>
      <c r="Z562" s="402"/>
    </row>
    <row r="563" ht="14.25" customHeight="1">
      <c r="A563" s="402"/>
      <c r="B563" s="402"/>
      <c r="C563" s="402"/>
      <c r="D563" s="402"/>
      <c r="E563" s="402"/>
      <c r="F563" s="403"/>
      <c r="G563" s="402"/>
      <c r="H563" s="402"/>
      <c r="I563" s="402"/>
      <c r="J563" s="402"/>
      <c r="K563" s="402"/>
      <c r="L563" s="402"/>
      <c r="M563" s="402"/>
      <c r="N563" s="402"/>
      <c r="O563" s="402"/>
      <c r="P563" s="402"/>
      <c r="Q563" s="402"/>
      <c r="R563" s="402"/>
      <c r="S563" s="402"/>
      <c r="T563" s="402"/>
      <c r="U563" s="402"/>
      <c r="V563" s="402"/>
      <c r="W563" s="402"/>
      <c r="X563" s="402"/>
      <c r="Y563" s="402"/>
      <c r="Z563" s="402"/>
    </row>
    <row r="564" ht="14.25" customHeight="1">
      <c r="A564" s="402"/>
      <c r="B564" s="402"/>
      <c r="C564" s="402"/>
      <c r="D564" s="402"/>
      <c r="E564" s="402"/>
      <c r="F564" s="403"/>
      <c r="G564" s="402"/>
      <c r="H564" s="402"/>
      <c r="I564" s="402"/>
      <c r="J564" s="402"/>
      <c r="K564" s="402"/>
      <c r="L564" s="402"/>
      <c r="M564" s="402"/>
      <c r="N564" s="402"/>
      <c r="O564" s="402"/>
      <c r="P564" s="402"/>
      <c r="Q564" s="402"/>
      <c r="R564" s="402"/>
      <c r="S564" s="402"/>
      <c r="T564" s="402"/>
      <c r="U564" s="402"/>
      <c r="V564" s="402"/>
      <c r="W564" s="402"/>
      <c r="X564" s="402"/>
      <c r="Y564" s="402"/>
      <c r="Z564" s="402"/>
    </row>
    <row r="565" ht="14.25" customHeight="1">
      <c r="A565" s="402"/>
      <c r="B565" s="402"/>
      <c r="C565" s="402"/>
      <c r="D565" s="402"/>
      <c r="E565" s="402"/>
      <c r="F565" s="403"/>
      <c r="G565" s="402"/>
      <c r="H565" s="402"/>
      <c r="I565" s="402"/>
      <c r="J565" s="402"/>
      <c r="K565" s="402"/>
      <c r="L565" s="402"/>
      <c r="M565" s="402"/>
      <c r="N565" s="402"/>
      <c r="O565" s="402"/>
      <c r="P565" s="402"/>
      <c r="Q565" s="402"/>
      <c r="R565" s="402"/>
      <c r="S565" s="402"/>
      <c r="T565" s="402"/>
      <c r="U565" s="402"/>
      <c r="V565" s="402"/>
      <c r="W565" s="402"/>
      <c r="X565" s="402"/>
      <c r="Y565" s="402"/>
      <c r="Z565" s="402"/>
    </row>
    <row r="566" ht="14.25" customHeight="1">
      <c r="A566" s="402"/>
      <c r="B566" s="402"/>
      <c r="C566" s="402"/>
      <c r="D566" s="402"/>
      <c r="E566" s="402"/>
      <c r="F566" s="403"/>
      <c r="G566" s="402"/>
      <c r="H566" s="402"/>
      <c r="I566" s="402"/>
      <c r="J566" s="402"/>
      <c r="K566" s="402"/>
      <c r="L566" s="402"/>
      <c r="M566" s="402"/>
      <c r="N566" s="402"/>
      <c r="O566" s="402"/>
      <c r="P566" s="402"/>
      <c r="Q566" s="402"/>
      <c r="R566" s="402"/>
      <c r="S566" s="402"/>
      <c r="T566" s="402"/>
      <c r="U566" s="402"/>
      <c r="V566" s="402"/>
      <c r="W566" s="402"/>
      <c r="X566" s="402"/>
      <c r="Y566" s="402"/>
      <c r="Z566" s="402"/>
    </row>
    <row r="567" ht="14.25" customHeight="1">
      <c r="A567" s="402"/>
      <c r="B567" s="402"/>
      <c r="C567" s="402"/>
      <c r="D567" s="402"/>
      <c r="E567" s="402"/>
      <c r="F567" s="403"/>
      <c r="G567" s="402"/>
      <c r="H567" s="402"/>
      <c r="I567" s="402"/>
      <c r="J567" s="402"/>
      <c r="K567" s="402"/>
      <c r="L567" s="402"/>
      <c r="M567" s="402"/>
      <c r="N567" s="402"/>
      <c r="O567" s="402"/>
      <c r="P567" s="402"/>
      <c r="Q567" s="402"/>
      <c r="R567" s="402"/>
      <c r="S567" s="402"/>
      <c r="T567" s="402"/>
      <c r="U567" s="402"/>
      <c r="V567" s="402"/>
      <c r="W567" s="402"/>
      <c r="X567" s="402"/>
      <c r="Y567" s="402"/>
      <c r="Z567" s="402"/>
    </row>
    <row r="568" ht="14.25" customHeight="1">
      <c r="A568" s="402"/>
      <c r="B568" s="402"/>
      <c r="C568" s="402"/>
      <c r="D568" s="402"/>
      <c r="E568" s="402"/>
      <c r="F568" s="403"/>
      <c r="G568" s="402"/>
      <c r="H568" s="402"/>
      <c r="I568" s="402"/>
      <c r="J568" s="402"/>
      <c r="K568" s="402"/>
      <c r="L568" s="402"/>
      <c r="M568" s="402"/>
      <c r="N568" s="402"/>
      <c r="O568" s="402"/>
      <c r="P568" s="402"/>
      <c r="Q568" s="402"/>
      <c r="R568" s="402"/>
      <c r="S568" s="402"/>
      <c r="T568" s="402"/>
      <c r="U568" s="402"/>
      <c r="V568" s="402"/>
      <c r="W568" s="402"/>
      <c r="X568" s="402"/>
      <c r="Y568" s="402"/>
      <c r="Z568" s="402"/>
    </row>
    <row r="569" ht="14.25" customHeight="1">
      <c r="A569" s="402"/>
      <c r="B569" s="402"/>
      <c r="C569" s="402"/>
      <c r="D569" s="402"/>
      <c r="E569" s="402"/>
      <c r="F569" s="403"/>
      <c r="G569" s="402"/>
      <c r="H569" s="402"/>
      <c r="I569" s="402"/>
      <c r="J569" s="402"/>
      <c r="K569" s="402"/>
      <c r="L569" s="402"/>
      <c r="M569" s="402"/>
      <c r="N569" s="402"/>
      <c r="O569" s="402"/>
      <c r="P569" s="402"/>
      <c r="Q569" s="402"/>
      <c r="R569" s="402"/>
      <c r="S569" s="402"/>
      <c r="T569" s="402"/>
      <c r="U569" s="402"/>
      <c r="V569" s="402"/>
      <c r="W569" s="402"/>
      <c r="X569" s="402"/>
      <c r="Y569" s="402"/>
      <c r="Z569" s="402"/>
    </row>
    <row r="570" ht="14.25" customHeight="1">
      <c r="A570" s="402"/>
      <c r="B570" s="402"/>
      <c r="C570" s="402"/>
      <c r="D570" s="402"/>
      <c r="E570" s="402"/>
      <c r="F570" s="403"/>
      <c r="G570" s="402"/>
      <c r="H570" s="402"/>
      <c r="I570" s="402"/>
      <c r="J570" s="402"/>
      <c r="K570" s="402"/>
      <c r="L570" s="402"/>
      <c r="M570" s="402"/>
      <c r="N570" s="402"/>
      <c r="O570" s="402"/>
      <c r="P570" s="402"/>
      <c r="Q570" s="402"/>
      <c r="R570" s="402"/>
      <c r="S570" s="402"/>
      <c r="T570" s="402"/>
      <c r="U570" s="402"/>
      <c r="V570" s="402"/>
      <c r="W570" s="402"/>
      <c r="X570" s="402"/>
      <c r="Y570" s="402"/>
      <c r="Z570" s="402"/>
    </row>
    <row r="571" ht="14.25" customHeight="1">
      <c r="A571" s="402"/>
      <c r="B571" s="402"/>
      <c r="C571" s="402"/>
      <c r="D571" s="402"/>
      <c r="E571" s="402"/>
      <c r="F571" s="403"/>
      <c r="G571" s="402"/>
      <c r="H571" s="402"/>
      <c r="I571" s="402"/>
      <c r="J571" s="402"/>
      <c r="K571" s="402"/>
      <c r="L571" s="402"/>
      <c r="M571" s="402"/>
      <c r="N571" s="402"/>
      <c r="O571" s="402"/>
      <c r="P571" s="402"/>
      <c r="Q571" s="402"/>
      <c r="R571" s="402"/>
      <c r="S571" s="402"/>
      <c r="T571" s="402"/>
      <c r="U571" s="402"/>
      <c r="V571" s="402"/>
      <c r="W571" s="402"/>
      <c r="X571" s="402"/>
      <c r="Y571" s="402"/>
      <c r="Z571" s="402"/>
    </row>
    <row r="572" ht="14.25" customHeight="1">
      <c r="A572" s="402"/>
      <c r="B572" s="402"/>
      <c r="C572" s="402"/>
      <c r="D572" s="402"/>
      <c r="E572" s="402"/>
      <c r="F572" s="403"/>
      <c r="G572" s="402"/>
      <c r="H572" s="402"/>
      <c r="I572" s="402"/>
      <c r="J572" s="402"/>
      <c r="K572" s="402"/>
      <c r="L572" s="402"/>
      <c r="M572" s="402"/>
      <c r="N572" s="402"/>
      <c r="O572" s="402"/>
      <c r="P572" s="402"/>
      <c r="Q572" s="402"/>
      <c r="R572" s="402"/>
      <c r="S572" s="402"/>
      <c r="T572" s="402"/>
      <c r="U572" s="402"/>
      <c r="V572" s="402"/>
      <c r="W572" s="402"/>
      <c r="X572" s="402"/>
      <c r="Y572" s="402"/>
      <c r="Z572" s="402"/>
    </row>
    <row r="573" ht="14.25" customHeight="1">
      <c r="A573" s="402"/>
      <c r="B573" s="402"/>
      <c r="C573" s="402"/>
      <c r="D573" s="402"/>
      <c r="E573" s="402"/>
      <c r="F573" s="403"/>
      <c r="G573" s="402"/>
      <c r="H573" s="402"/>
      <c r="I573" s="402"/>
      <c r="J573" s="402"/>
      <c r="K573" s="402"/>
      <c r="L573" s="402"/>
      <c r="M573" s="402"/>
      <c r="N573" s="402"/>
      <c r="O573" s="402"/>
      <c r="P573" s="402"/>
      <c r="Q573" s="402"/>
      <c r="R573" s="402"/>
      <c r="S573" s="402"/>
      <c r="T573" s="402"/>
      <c r="U573" s="402"/>
      <c r="V573" s="402"/>
      <c r="W573" s="402"/>
      <c r="X573" s="402"/>
      <c r="Y573" s="402"/>
      <c r="Z573" s="402"/>
    </row>
    <row r="574" ht="14.25" customHeight="1">
      <c r="A574" s="402"/>
      <c r="B574" s="402"/>
      <c r="C574" s="402"/>
      <c r="D574" s="402"/>
      <c r="E574" s="402"/>
      <c r="F574" s="403"/>
      <c r="G574" s="402"/>
      <c r="H574" s="402"/>
      <c r="I574" s="402"/>
      <c r="J574" s="402"/>
      <c r="K574" s="402"/>
      <c r="L574" s="402"/>
      <c r="M574" s="402"/>
      <c r="N574" s="402"/>
      <c r="O574" s="402"/>
      <c r="P574" s="402"/>
      <c r="Q574" s="402"/>
      <c r="R574" s="402"/>
      <c r="S574" s="402"/>
      <c r="T574" s="402"/>
      <c r="U574" s="402"/>
      <c r="V574" s="402"/>
      <c r="W574" s="402"/>
      <c r="X574" s="402"/>
      <c r="Y574" s="402"/>
      <c r="Z574" s="402"/>
    </row>
    <row r="575" ht="14.25" customHeight="1">
      <c r="A575" s="402"/>
      <c r="B575" s="402"/>
      <c r="C575" s="402"/>
      <c r="D575" s="402"/>
      <c r="E575" s="402"/>
      <c r="F575" s="403"/>
      <c r="G575" s="402"/>
      <c r="H575" s="402"/>
      <c r="I575" s="402"/>
      <c r="J575" s="402"/>
      <c r="K575" s="402"/>
      <c r="L575" s="402"/>
      <c r="M575" s="402"/>
      <c r="N575" s="402"/>
      <c r="O575" s="402"/>
      <c r="P575" s="402"/>
      <c r="Q575" s="402"/>
      <c r="R575" s="402"/>
      <c r="S575" s="402"/>
      <c r="T575" s="402"/>
      <c r="U575" s="402"/>
      <c r="V575" s="402"/>
      <c r="W575" s="402"/>
      <c r="X575" s="402"/>
      <c r="Y575" s="402"/>
      <c r="Z575" s="402"/>
    </row>
    <row r="576" ht="14.25" customHeight="1">
      <c r="A576" s="402"/>
      <c r="B576" s="402"/>
      <c r="C576" s="402"/>
      <c r="D576" s="402"/>
      <c r="E576" s="402"/>
      <c r="F576" s="403"/>
      <c r="G576" s="402"/>
      <c r="H576" s="402"/>
      <c r="I576" s="402"/>
      <c r="J576" s="402"/>
      <c r="K576" s="402"/>
      <c r="L576" s="402"/>
      <c r="M576" s="402"/>
      <c r="N576" s="402"/>
      <c r="O576" s="402"/>
      <c r="P576" s="402"/>
      <c r="Q576" s="402"/>
      <c r="R576" s="402"/>
      <c r="S576" s="402"/>
      <c r="T576" s="402"/>
      <c r="U576" s="402"/>
      <c r="V576" s="402"/>
      <c r="W576" s="402"/>
      <c r="X576" s="402"/>
      <c r="Y576" s="402"/>
      <c r="Z576" s="402"/>
    </row>
    <row r="577" ht="14.25" customHeight="1">
      <c r="A577" s="402"/>
      <c r="B577" s="402"/>
      <c r="C577" s="402"/>
      <c r="D577" s="402"/>
      <c r="E577" s="402"/>
      <c r="F577" s="403"/>
      <c r="G577" s="402"/>
      <c r="H577" s="402"/>
      <c r="I577" s="402"/>
      <c r="J577" s="402"/>
      <c r="K577" s="402"/>
      <c r="L577" s="402"/>
      <c r="M577" s="402"/>
      <c r="N577" s="402"/>
      <c r="O577" s="402"/>
      <c r="P577" s="402"/>
      <c r="Q577" s="402"/>
      <c r="R577" s="402"/>
      <c r="S577" s="402"/>
      <c r="T577" s="402"/>
      <c r="U577" s="402"/>
      <c r="V577" s="402"/>
      <c r="W577" s="402"/>
      <c r="X577" s="402"/>
      <c r="Y577" s="402"/>
      <c r="Z577" s="402"/>
    </row>
    <row r="578" ht="14.25" customHeight="1">
      <c r="A578" s="402"/>
      <c r="B578" s="402"/>
      <c r="C578" s="402"/>
      <c r="D578" s="402"/>
      <c r="E578" s="402"/>
      <c r="F578" s="403"/>
      <c r="G578" s="402"/>
      <c r="H578" s="402"/>
      <c r="I578" s="402"/>
      <c r="J578" s="402"/>
      <c r="K578" s="402"/>
      <c r="L578" s="402"/>
      <c r="M578" s="402"/>
      <c r="N578" s="402"/>
      <c r="O578" s="402"/>
      <c r="P578" s="402"/>
      <c r="Q578" s="402"/>
      <c r="R578" s="402"/>
      <c r="S578" s="402"/>
      <c r="T578" s="402"/>
      <c r="U578" s="402"/>
      <c r="V578" s="402"/>
      <c r="W578" s="402"/>
      <c r="X578" s="402"/>
      <c r="Y578" s="402"/>
      <c r="Z578" s="402"/>
    </row>
    <row r="579" ht="14.25" customHeight="1">
      <c r="A579" s="402"/>
      <c r="B579" s="402"/>
      <c r="C579" s="402"/>
      <c r="D579" s="402"/>
      <c r="E579" s="402"/>
      <c r="F579" s="403"/>
      <c r="G579" s="402"/>
      <c r="H579" s="402"/>
      <c r="I579" s="402"/>
      <c r="J579" s="402"/>
      <c r="K579" s="402"/>
      <c r="L579" s="402"/>
      <c r="M579" s="402"/>
      <c r="N579" s="402"/>
      <c r="O579" s="402"/>
      <c r="P579" s="402"/>
      <c r="Q579" s="402"/>
      <c r="R579" s="402"/>
      <c r="S579" s="402"/>
      <c r="T579" s="402"/>
      <c r="U579" s="402"/>
      <c r="V579" s="402"/>
      <c r="W579" s="402"/>
      <c r="X579" s="402"/>
      <c r="Y579" s="402"/>
      <c r="Z579" s="402"/>
    </row>
    <row r="580" ht="14.25" customHeight="1">
      <c r="A580" s="402"/>
      <c r="B580" s="402"/>
      <c r="C580" s="402"/>
      <c r="D580" s="402"/>
      <c r="E580" s="402"/>
      <c r="F580" s="403"/>
      <c r="G580" s="402"/>
      <c r="H580" s="402"/>
      <c r="I580" s="402"/>
      <c r="J580" s="402"/>
      <c r="K580" s="402"/>
      <c r="L580" s="402"/>
      <c r="M580" s="402"/>
      <c r="N580" s="402"/>
      <c r="O580" s="402"/>
      <c r="P580" s="402"/>
      <c r="Q580" s="402"/>
      <c r="R580" s="402"/>
      <c r="S580" s="402"/>
      <c r="T580" s="402"/>
      <c r="U580" s="402"/>
      <c r="V580" s="402"/>
      <c r="W580" s="402"/>
      <c r="X580" s="402"/>
      <c r="Y580" s="402"/>
      <c r="Z580" s="402"/>
    </row>
    <row r="581" ht="14.25" customHeight="1">
      <c r="A581" s="402"/>
      <c r="B581" s="402"/>
      <c r="C581" s="402"/>
      <c r="D581" s="402"/>
      <c r="E581" s="402"/>
      <c r="F581" s="403"/>
      <c r="G581" s="402"/>
      <c r="H581" s="402"/>
      <c r="I581" s="402"/>
      <c r="J581" s="402"/>
      <c r="K581" s="402"/>
      <c r="L581" s="402"/>
      <c r="M581" s="402"/>
      <c r="N581" s="402"/>
      <c r="O581" s="402"/>
      <c r="P581" s="402"/>
      <c r="Q581" s="402"/>
      <c r="R581" s="402"/>
      <c r="S581" s="402"/>
      <c r="T581" s="402"/>
      <c r="U581" s="402"/>
      <c r="V581" s="402"/>
      <c r="W581" s="402"/>
      <c r="X581" s="402"/>
      <c r="Y581" s="402"/>
      <c r="Z581" s="402"/>
    </row>
    <row r="582" ht="14.25" customHeight="1">
      <c r="A582" s="402"/>
      <c r="B582" s="402"/>
      <c r="C582" s="402"/>
      <c r="D582" s="402"/>
      <c r="E582" s="402"/>
      <c r="F582" s="403"/>
      <c r="G582" s="402"/>
      <c r="H582" s="402"/>
      <c r="I582" s="402"/>
      <c r="J582" s="402"/>
      <c r="K582" s="402"/>
      <c r="L582" s="402"/>
      <c r="M582" s="402"/>
      <c r="N582" s="402"/>
      <c r="O582" s="402"/>
      <c r="P582" s="402"/>
      <c r="Q582" s="402"/>
      <c r="R582" s="402"/>
      <c r="S582" s="402"/>
      <c r="T582" s="402"/>
      <c r="U582" s="402"/>
      <c r="V582" s="402"/>
      <c r="W582" s="402"/>
      <c r="X582" s="402"/>
      <c r="Y582" s="402"/>
      <c r="Z582" s="402"/>
    </row>
    <row r="583" ht="14.25" customHeight="1">
      <c r="A583" s="402"/>
      <c r="B583" s="402"/>
      <c r="C583" s="402"/>
      <c r="D583" s="402"/>
      <c r="E583" s="402"/>
      <c r="F583" s="403"/>
      <c r="G583" s="402"/>
      <c r="H583" s="402"/>
      <c r="I583" s="402"/>
      <c r="J583" s="402"/>
      <c r="K583" s="402"/>
      <c r="L583" s="402"/>
      <c r="M583" s="402"/>
      <c r="N583" s="402"/>
      <c r="O583" s="402"/>
      <c r="P583" s="402"/>
      <c r="Q583" s="402"/>
      <c r="R583" s="402"/>
      <c r="S583" s="402"/>
      <c r="T583" s="402"/>
      <c r="U583" s="402"/>
      <c r="V583" s="402"/>
      <c r="W583" s="402"/>
      <c r="X583" s="402"/>
      <c r="Y583" s="402"/>
      <c r="Z583" s="402"/>
    </row>
    <row r="584" ht="14.25" customHeight="1">
      <c r="A584" s="402"/>
      <c r="B584" s="402"/>
      <c r="C584" s="402"/>
      <c r="D584" s="402"/>
      <c r="E584" s="402"/>
      <c r="F584" s="403"/>
      <c r="G584" s="402"/>
      <c r="H584" s="402"/>
      <c r="I584" s="402"/>
      <c r="J584" s="402"/>
      <c r="K584" s="402"/>
      <c r="L584" s="402"/>
      <c r="M584" s="402"/>
      <c r="N584" s="402"/>
      <c r="O584" s="402"/>
      <c r="P584" s="402"/>
      <c r="Q584" s="402"/>
      <c r="R584" s="402"/>
      <c r="S584" s="402"/>
      <c r="T584" s="402"/>
      <c r="U584" s="402"/>
      <c r="V584" s="402"/>
      <c r="W584" s="402"/>
      <c r="X584" s="402"/>
      <c r="Y584" s="402"/>
      <c r="Z584" s="402"/>
    </row>
    <row r="585" ht="14.25" customHeight="1">
      <c r="A585" s="402"/>
      <c r="B585" s="402"/>
      <c r="C585" s="402"/>
      <c r="D585" s="402"/>
      <c r="E585" s="402"/>
      <c r="F585" s="403"/>
      <c r="G585" s="402"/>
      <c r="H585" s="402"/>
      <c r="I585" s="402"/>
      <c r="J585" s="402"/>
      <c r="K585" s="402"/>
      <c r="L585" s="402"/>
      <c r="M585" s="402"/>
      <c r="N585" s="402"/>
      <c r="O585" s="402"/>
      <c r="P585" s="402"/>
      <c r="Q585" s="402"/>
      <c r="R585" s="402"/>
      <c r="S585" s="402"/>
      <c r="T585" s="402"/>
      <c r="U585" s="402"/>
      <c r="V585" s="402"/>
      <c r="W585" s="402"/>
      <c r="X585" s="402"/>
      <c r="Y585" s="402"/>
      <c r="Z585" s="402"/>
    </row>
    <row r="586" ht="14.25" customHeight="1">
      <c r="A586" s="402"/>
      <c r="B586" s="402"/>
      <c r="C586" s="402"/>
      <c r="D586" s="402"/>
      <c r="E586" s="402"/>
      <c r="F586" s="403"/>
      <c r="G586" s="402"/>
      <c r="H586" s="402"/>
      <c r="I586" s="402"/>
      <c r="J586" s="402"/>
      <c r="K586" s="402"/>
      <c r="L586" s="402"/>
      <c r="M586" s="402"/>
      <c r="N586" s="402"/>
      <c r="O586" s="402"/>
      <c r="P586" s="402"/>
      <c r="Q586" s="402"/>
      <c r="R586" s="402"/>
      <c r="S586" s="402"/>
      <c r="T586" s="402"/>
      <c r="U586" s="402"/>
      <c r="V586" s="402"/>
      <c r="W586" s="402"/>
      <c r="X586" s="402"/>
      <c r="Y586" s="402"/>
      <c r="Z586" s="402"/>
    </row>
    <row r="587" ht="14.25" customHeight="1">
      <c r="A587" s="402"/>
      <c r="B587" s="402"/>
      <c r="C587" s="402"/>
      <c r="D587" s="402"/>
      <c r="E587" s="402"/>
      <c r="F587" s="403"/>
      <c r="G587" s="402"/>
      <c r="H587" s="402"/>
      <c r="I587" s="402"/>
      <c r="J587" s="402"/>
      <c r="K587" s="402"/>
      <c r="L587" s="402"/>
      <c r="M587" s="402"/>
      <c r="N587" s="402"/>
      <c r="O587" s="402"/>
      <c r="P587" s="402"/>
      <c r="Q587" s="402"/>
      <c r="R587" s="402"/>
      <c r="S587" s="402"/>
      <c r="T587" s="402"/>
      <c r="U587" s="402"/>
      <c r="V587" s="402"/>
      <c r="W587" s="402"/>
      <c r="X587" s="402"/>
      <c r="Y587" s="402"/>
      <c r="Z587" s="402"/>
    </row>
    <row r="588" ht="14.25" customHeight="1">
      <c r="A588" s="402"/>
      <c r="B588" s="402"/>
      <c r="C588" s="402"/>
      <c r="D588" s="402"/>
      <c r="E588" s="402"/>
      <c r="F588" s="403"/>
      <c r="G588" s="402"/>
      <c r="H588" s="402"/>
      <c r="I588" s="402"/>
      <c r="J588" s="402"/>
      <c r="K588" s="402"/>
      <c r="L588" s="402"/>
      <c r="M588" s="402"/>
      <c r="N588" s="402"/>
      <c r="O588" s="402"/>
      <c r="P588" s="402"/>
      <c r="Q588" s="402"/>
      <c r="R588" s="402"/>
      <c r="S588" s="402"/>
      <c r="T588" s="402"/>
      <c r="U588" s="402"/>
      <c r="V588" s="402"/>
      <c r="W588" s="402"/>
      <c r="X588" s="402"/>
      <c r="Y588" s="402"/>
      <c r="Z588" s="402"/>
    </row>
    <row r="589" ht="14.25" customHeight="1">
      <c r="A589" s="402"/>
      <c r="B589" s="402"/>
      <c r="C589" s="402"/>
      <c r="D589" s="402"/>
      <c r="E589" s="402"/>
      <c r="F589" s="403"/>
      <c r="G589" s="402"/>
      <c r="H589" s="402"/>
      <c r="I589" s="402"/>
      <c r="J589" s="402"/>
      <c r="K589" s="402"/>
      <c r="L589" s="402"/>
      <c r="M589" s="402"/>
      <c r="N589" s="402"/>
      <c r="O589" s="402"/>
      <c r="P589" s="402"/>
      <c r="Q589" s="402"/>
      <c r="R589" s="402"/>
      <c r="S589" s="402"/>
      <c r="T589" s="402"/>
      <c r="U589" s="402"/>
      <c r="V589" s="402"/>
      <c r="W589" s="402"/>
      <c r="X589" s="402"/>
      <c r="Y589" s="402"/>
      <c r="Z589" s="402"/>
    </row>
    <row r="590" ht="14.25" customHeight="1">
      <c r="A590" s="402"/>
      <c r="B590" s="402"/>
      <c r="C590" s="402"/>
      <c r="D590" s="402"/>
      <c r="E590" s="402"/>
      <c r="F590" s="403"/>
      <c r="G590" s="402"/>
      <c r="H590" s="402"/>
      <c r="I590" s="402"/>
      <c r="J590" s="402"/>
      <c r="K590" s="402"/>
      <c r="L590" s="402"/>
      <c r="M590" s="402"/>
      <c r="N590" s="402"/>
      <c r="O590" s="402"/>
      <c r="P590" s="402"/>
      <c r="Q590" s="402"/>
      <c r="R590" s="402"/>
      <c r="S590" s="402"/>
      <c r="T590" s="402"/>
      <c r="U590" s="402"/>
      <c r="V590" s="402"/>
      <c r="W590" s="402"/>
      <c r="X590" s="402"/>
      <c r="Y590" s="402"/>
      <c r="Z590" s="402"/>
    </row>
    <row r="591" ht="14.25" customHeight="1">
      <c r="A591" s="402"/>
      <c r="B591" s="402"/>
      <c r="C591" s="402"/>
      <c r="D591" s="402"/>
      <c r="E591" s="402"/>
      <c r="F591" s="403"/>
      <c r="G591" s="402"/>
      <c r="H591" s="402"/>
      <c r="I591" s="402"/>
      <c r="J591" s="402"/>
      <c r="K591" s="402"/>
      <c r="L591" s="402"/>
      <c r="M591" s="402"/>
      <c r="N591" s="402"/>
      <c r="O591" s="402"/>
      <c r="P591" s="402"/>
      <c r="Q591" s="402"/>
      <c r="R591" s="402"/>
      <c r="S591" s="402"/>
      <c r="T591" s="402"/>
      <c r="U591" s="402"/>
      <c r="V591" s="402"/>
      <c r="W591" s="402"/>
      <c r="X591" s="402"/>
      <c r="Y591" s="402"/>
      <c r="Z591" s="402"/>
    </row>
    <row r="592" ht="14.25" customHeight="1">
      <c r="A592" s="402"/>
      <c r="B592" s="402"/>
      <c r="C592" s="402"/>
      <c r="D592" s="402"/>
      <c r="E592" s="402"/>
      <c r="F592" s="403"/>
      <c r="G592" s="402"/>
      <c r="H592" s="402"/>
      <c r="I592" s="402"/>
      <c r="J592" s="402"/>
      <c r="K592" s="402"/>
      <c r="L592" s="402"/>
      <c r="M592" s="402"/>
      <c r="N592" s="402"/>
      <c r="O592" s="402"/>
      <c r="P592" s="402"/>
      <c r="Q592" s="402"/>
      <c r="R592" s="402"/>
      <c r="S592" s="402"/>
      <c r="T592" s="402"/>
      <c r="U592" s="402"/>
      <c r="V592" s="402"/>
      <c r="W592" s="402"/>
      <c r="X592" s="402"/>
      <c r="Y592" s="402"/>
      <c r="Z592" s="402"/>
    </row>
    <row r="593" ht="14.25" customHeight="1">
      <c r="A593" s="402"/>
      <c r="B593" s="402"/>
      <c r="C593" s="402"/>
      <c r="D593" s="402"/>
      <c r="E593" s="402"/>
      <c r="F593" s="403"/>
      <c r="G593" s="402"/>
      <c r="H593" s="402"/>
      <c r="I593" s="402"/>
      <c r="J593" s="402"/>
      <c r="K593" s="402"/>
      <c r="L593" s="402"/>
      <c r="M593" s="402"/>
      <c r="N593" s="402"/>
      <c r="O593" s="402"/>
      <c r="P593" s="402"/>
      <c r="Q593" s="402"/>
      <c r="R593" s="402"/>
      <c r="S593" s="402"/>
      <c r="T593" s="402"/>
      <c r="U593" s="402"/>
      <c r="V593" s="402"/>
      <c r="W593" s="402"/>
      <c r="X593" s="402"/>
      <c r="Y593" s="402"/>
      <c r="Z593" s="402"/>
    </row>
    <row r="594" ht="14.25" customHeight="1">
      <c r="A594" s="402"/>
      <c r="B594" s="402"/>
      <c r="C594" s="402"/>
      <c r="D594" s="402"/>
      <c r="E594" s="402"/>
      <c r="F594" s="403"/>
      <c r="G594" s="402"/>
      <c r="H594" s="402"/>
      <c r="I594" s="402"/>
      <c r="J594" s="402"/>
      <c r="K594" s="402"/>
      <c r="L594" s="402"/>
      <c r="M594" s="402"/>
      <c r="N594" s="402"/>
      <c r="O594" s="402"/>
      <c r="P594" s="402"/>
      <c r="Q594" s="402"/>
      <c r="R594" s="402"/>
      <c r="S594" s="402"/>
      <c r="T594" s="402"/>
      <c r="U594" s="402"/>
      <c r="V594" s="402"/>
      <c r="W594" s="402"/>
      <c r="X594" s="402"/>
      <c r="Y594" s="402"/>
      <c r="Z594" s="402"/>
    </row>
    <row r="595" ht="14.25" customHeight="1">
      <c r="A595" s="402"/>
      <c r="B595" s="402"/>
      <c r="C595" s="402"/>
      <c r="D595" s="402"/>
      <c r="E595" s="402"/>
      <c r="F595" s="403"/>
      <c r="G595" s="402"/>
      <c r="H595" s="402"/>
      <c r="I595" s="402"/>
      <c r="J595" s="402"/>
      <c r="K595" s="402"/>
      <c r="L595" s="402"/>
      <c r="M595" s="402"/>
      <c r="N595" s="402"/>
      <c r="O595" s="402"/>
      <c r="P595" s="402"/>
      <c r="Q595" s="402"/>
      <c r="R595" s="402"/>
      <c r="S595" s="402"/>
      <c r="T595" s="402"/>
      <c r="U595" s="402"/>
      <c r="V595" s="402"/>
      <c r="W595" s="402"/>
      <c r="X595" s="402"/>
      <c r="Y595" s="402"/>
      <c r="Z595" s="402"/>
    </row>
    <row r="596" ht="14.25" customHeight="1">
      <c r="A596" s="402"/>
      <c r="B596" s="402"/>
      <c r="C596" s="402"/>
      <c r="D596" s="402"/>
      <c r="E596" s="402"/>
      <c r="F596" s="403"/>
      <c r="G596" s="402"/>
      <c r="H596" s="402"/>
      <c r="I596" s="402"/>
      <c r="J596" s="402"/>
      <c r="K596" s="402"/>
      <c r="L596" s="402"/>
      <c r="M596" s="402"/>
      <c r="N596" s="402"/>
      <c r="O596" s="402"/>
      <c r="P596" s="402"/>
      <c r="Q596" s="402"/>
      <c r="R596" s="402"/>
      <c r="S596" s="402"/>
      <c r="T596" s="402"/>
      <c r="U596" s="402"/>
      <c r="V596" s="402"/>
      <c r="W596" s="402"/>
      <c r="X596" s="402"/>
      <c r="Y596" s="402"/>
      <c r="Z596" s="402"/>
    </row>
    <row r="597" ht="14.25" customHeight="1">
      <c r="A597" s="402"/>
      <c r="B597" s="402"/>
      <c r="C597" s="402"/>
      <c r="D597" s="402"/>
      <c r="E597" s="402"/>
      <c r="F597" s="403"/>
      <c r="G597" s="402"/>
      <c r="H597" s="402"/>
      <c r="I597" s="402"/>
      <c r="J597" s="402"/>
      <c r="K597" s="402"/>
      <c r="L597" s="402"/>
      <c r="M597" s="402"/>
      <c r="N597" s="402"/>
      <c r="O597" s="402"/>
      <c r="P597" s="402"/>
      <c r="Q597" s="402"/>
      <c r="R597" s="402"/>
      <c r="S597" s="402"/>
      <c r="T597" s="402"/>
      <c r="U597" s="402"/>
      <c r="V597" s="402"/>
      <c r="W597" s="402"/>
      <c r="X597" s="402"/>
      <c r="Y597" s="402"/>
      <c r="Z597" s="402"/>
    </row>
    <row r="598" ht="14.25" customHeight="1">
      <c r="A598" s="402"/>
      <c r="B598" s="402"/>
      <c r="C598" s="402"/>
      <c r="D598" s="402"/>
      <c r="E598" s="402"/>
      <c r="F598" s="403"/>
      <c r="G598" s="402"/>
      <c r="H598" s="402"/>
      <c r="I598" s="402"/>
      <c r="J598" s="402"/>
      <c r="K598" s="402"/>
      <c r="L598" s="402"/>
      <c r="M598" s="402"/>
      <c r="N598" s="402"/>
      <c r="O598" s="402"/>
      <c r="P598" s="402"/>
      <c r="Q598" s="402"/>
      <c r="R598" s="402"/>
      <c r="S598" s="402"/>
      <c r="T598" s="402"/>
      <c r="U598" s="402"/>
      <c r="V598" s="402"/>
      <c r="W598" s="402"/>
      <c r="X598" s="402"/>
      <c r="Y598" s="402"/>
      <c r="Z598" s="402"/>
    </row>
    <row r="599" ht="14.25" customHeight="1">
      <c r="A599" s="402"/>
      <c r="B599" s="402"/>
      <c r="C599" s="402"/>
      <c r="D599" s="402"/>
      <c r="E599" s="402"/>
      <c r="F599" s="403"/>
      <c r="G599" s="402"/>
      <c r="H599" s="402"/>
      <c r="I599" s="402"/>
      <c r="J599" s="402"/>
      <c r="K599" s="402"/>
      <c r="L599" s="402"/>
      <c r="M599" s="402"/>
      <c r="N599" s="402"/>
      <c r="O599" s="402"/>
      <c r="P599" s="402"/>
      <c r="Q599" s="402"/>
      <c r="R599" s="402"/>
      <c r="S599" s="402"/>
      <c r="T599" s="402"/>
      <c r="U599" s="402"/>
      <c r="V599" s="402"/>
      <c r="W599" s="402"/>
      <c r="X599" s="402"/>
      <c r="Y599" s="402"/>
      <c r="Z599" s="402"/>
    </row>
    <row r="600" ht="14.25" customHeight="1">
      <c r="A600" s="402"/>
      <c r="B600" s="402"/>
      <c r="C600" s="402"/>
      <c r="D600" s="402"/>
      <c r="E600" s="402"/>
      <c r="F600" s="403"/>
      <c r="G600" s="402"/>
      <c r="H600" s="402"/>
      <c r="I600" s="402"/>
      <c r="J600" s="402"/>
      <c r="K600" s="402"/>
      <c r="L600" s="402"/>
      <c r="M600" s="402"/>
      <c r="N600" s="402"/>
      <c r="O600" s="402"/>
      <c r="P600" s="402"/>
      <c r="Q600" s="402"/>
      <c r="R600" s="402"/>
      <c r="S600" s="402"/>
      <c r="T600" s="402"/>
      <c r="U600" s="402"/>
      <c r="V600" s="402"/>
      <c r="W600" s="402"/>
      <c r="X600" s="402"/>
      <c r="Y600" s="402"/>
      <c r="Z600" s="402"/>
    </row>
    <row r="601" ht="14.25" customHeight="1">
      <c r="A601" s="402"/>
      <c r="B601" s="402"/>
      <c r="C601" s="402"/>
      <c r="D601" s="402"/>
      <c r="E601" s="402"/>
      <c r="F601" s="403"/>
      <c r="G601" s="402"/>
      <c r="H601" s="402"/>
      <c r="I601" s="402"/>
      <c r="J601" s="402"/>
      <c r="K601" s="402"/>
      <c r="L601" s="402"/>
      <c r="M601" s="402"/>
      <c r="N601" s="402"/>
      <c r="O601" s="402"/>
      <c r="P601" s="402"/>
      <c r="Q601" s="402"/>
      <c r="R601" s="402"/>
      <c r="S601" s="402"/>
      <c r="T601" s="402"/>
      <c r="U601" s="402"/>
      <c r="V601" s="402"/>
      <c r="W601" s="402"/>
      <c r="X601" s="402"/>
      <c r="Y601" s="402"/>
      <c r="Z601" s="402"/>
    </row>
    <row r="602" ht="14.25" customHeight="1">
      <c r="A602" s="402"/>
      <c r="B602" s="402"/>
      <c r="C602" s="402"/>
      <c r="D602" s="402"/>
      <c r="E602" s="402"/>
      <c r="F602" s="403"/>
      <c r="G602" s="402"/>
      <c r="H602" s="402"/>
      <c r="I602" s="402"/>
      <c r="J602" s="402"/>
      <c r="K602" s="402"/>
      <c r="L602" s="402"/>
      <c r="M602" s="402"/>
      <c r="N602" s="402"/>
      <c r="O602" s="402"/>
      <c r="P602" s="402"/>
      <c r="Q602" s="402"/>
      <c r="R602" s="402"/>
      <c r="S602" s="402"/>
      <c r="T602" s="402"/>
      <c r="U602" s="402"/>
      <c r="V602" s="402"/>
      <c r="W602" s="402"/>
      <c r="X602" s="402"/>
      <c r="Y602" s="402"/>
      <c r="Z602" s="402"/>
    </row>
    <row r="603" ht="14.25" customHeight="1">
      <c r="A603" s="402"/>
      <c r="B603" s="402"/>
      <c r="C603" s="402"/>
      <c r="D603" s="402"/>
      <c r="E603" s="402"/>
      <c r="F603" s="403"/>
      <c r="G603" s="402"/>
      <c r="H603" s="402"/>
      <c r="I603" s="402"/>
      <c r="J603" s="402"/>
      <c r="K603" s="402"/>
      <c r="L603" s="402"/>
      <c r="M603" s="402"/>
      <c r="N603" s="402"/>
      <c r="O603" s="402"/>
      <c r="P603" s="402"/>
      <c r="Q603" s="402"/>
      <c r="R603" s="402"/>
      <c r="S603" s="402"/>
      <c r="T603" s="402"/>
      <c r="U603" s="402"/>
      <c r="V603" s="402"/>
      <c r="W603" s="402"/>
      <c r="X603" s="402"/>
      <c r="Y603" s="402"/>
      <c r="Z603" s="402"/>
    </row>
    <row r="604" ht="14.25" customHeight="1">
      <c r="A604" s="402"/>
      <c r="B604" s="402"/>
      <c r="C604" s="402"/>
      <c r="D604" s="402"/>
      <c r="E604" s="402"/>
      <c r="F604" s="403"/>
      <c r="G604" s="402"/>
      <c r="H604" s="402"/>
      <c r="I604" s="402"/>
      <c r="J604" s="402"/>
      <c r="K604" s="402"/>
      <c r="L604" s="402"/>
      <c r="M604" s="402"/>
      <c r="N604" s="402"/>
      <c r="O604" s="402"/>
      <c r="P604" s="402"/>
      <c r="Q604" s="402"/>
      <c r="R604" s="402"/>
      <c r="S604" s="402"/>
      <c r="T604" s="402"/>
      <c r="U604" s="402"/>
      <c r="V604" s="402"/>
      <c r="W604" s="402"/>
      <c r="X604" s="402"/>
      <c r="Y604" s="402"/>
      <c r="Z604" s="402"/>
    </row>
    <row r="605" ht="14.25" customHeight="1">
      <c r="A605" s="402"/>
      <c r="B605" s="402"/>
      <c r="C605" s="402"/>
      <c r="D605" s="402"/>
      <c r="E605" s="402"/>
      <c r="F605" s="403"/>
      <c r="G605" s="402"/>
      <c r="H605" s="402"/>
      <c r="I605" s="402"/>
      <c r="J605" s="402"/>
      <c r="K605" s="402"/>
      <c r="L605" s="402"/>
      <c r="M605" s="402"/>
      <c r="N605" s="402"/>
      <c r="O605" s="402"/>
      <c r="P605" s="402"/>
      <c r="Q605" s="402"/>
      <c r="R605" s="402"/>
      <c r="S605" s="402"/>
      <c r="T605" s="402"/>
      <c r="U605" s="402"/>
      <c r="V605" s="402"/>
      <c r="W605" s="402"/>
      <c r="X605" s="402"/>
      <c r="Y605" s="402"/>
      <c r="Z605" s="402"/>
    </row>
    <row r="606" ht="14.25" customHeight="1">
      <c r="A606" s="402"/>
      <c r="B606" s="402"/>
      <c r="C606" s="402"/>
      <c r="D606" s="402"/>
      <c r="E606" s="402"/>
      <c r="F606" s="403"/>
      <c r="G606" s="402"/>
      <c r="H606" s="402"/>
      <c r="I606" s="402"/>
      <c r="J606" s="402"/>
      <c r="K606" s="402"/>
      <c r="L606" s="402"/>
      <c r="M606" s="402"/>
      <c r="N606" s="402"/>
      <c r="O606" s="402"/>
      <c r="P606" s="402"/>
      <c r="Q606" s="402"/>
      <c r="R606" s="402"/>
      <c r="S606" s="402"/>
      <c r="T606" s="402"/>
      <c r="U606" s="402"/>
      <c r="V606" s="402"/>
      <c r="W606" s="402"/>
      <c r="X606" s="402"/>
      <c r="Y606" s="402"/>
      <c r="Z606" s="402"/>
    </row>
    <row r="607" ht="14.25" customHeight="1">
      <c r="A607" s="402"/>
      <c r="B607" s="402"/>
      <c r="C607" s="402"/>
      <c r="D607" s="402"/>
      <c r="E607" s="402"/>
      <c r="F607" s="403"/>
      <c r="G607" s="402"/>
      <c r="H607" s="402"/>
      <c r="I607" s="402"/>
      <c r="J607" s="402"/>
      <c r="K607" s="402"/>
      <c r="L607" s="402"/>
      <c r="M607" s="402"/>
      <c r="N607" s="402"/>
      <c r="O607" s="402"/>
      <c r="P607" s="402"/>
      <c r="Q607" s="402"/>
      <c r="R607" s="402"/>
      <c r="S607" s="402"/>
      <c r="T607" s="402"/>
      <c r="U607" s="402"/>
      <c r="V607" s="402"/>
      <c r="W607" s="402"/>
      <c r="X607" s="402"/>
      <c r="Y607" s="402"/>
      <c r="Z607" s="402"/>
    </row>
    <row r="608" ht="14.25" customHeight="1">
      <c r="A608" s="402"/>
      <c r="B608" s="402"/>
      <c r="C608" s="402"/>
      <c r="D608" s="402"/>
      <c r="E608" s="402"/>
      <c r="F608" s="403"/>
      <c r="G608" s="402"/>
      <c r="H608" s="402"/>
      <c r="I608" s="402"/>
      <c r="J608" s="402"/>
      <c r="K608" s="402"/>
      <c r="L608" s="402"/>
      <c r="M608" s="402"/>
      <c r="N608" s="402"/>
      <c r="O608" s="402"/>
      <c r="P608" s="402"/>
      <c r="Q608" s="402"/>
      <c r="R608" s="402"/>
      <c r="S608" s="402"/>
      <c r="T608" s="402"/>
      <c r="U608" s="402"/>
      <c r="V608" s="402"/>
      <c r="W608" s="402"/>
      <c r="X608" s="402"/>
      <c r="Y608" s="402"/>
      <c r="Z608" s="402"/>
    </row>
    <row r="609" ht="14.25" customHeight="1">
      <c r="A609" s="402"/>
      <c r="B609" s="402"/>
      <c r="C609" s="402"/>
      <c r="D609" s="402"/>
      <c r="E609" s="402"/>
      <c r="F609" s="403"/>
      <c r="G609" s="402"/>
      <c r="H609" s="402"/>
      <c r="I609" s="402"/>
      <c r="J609" s="402"/>
      <c r="K609" s="402"/>
      <c r="L609" s="402"/>
      <c r="M609" s="402"/>
      <c r="N609" s="402"/>
      <c r="O609" s="402"/>
      <c r="P609" s="402"/>
      <c r="Q609" s="402"/>
      <c r="R609" s="402"/>
      <c r="S609" s="402"/>
      <c r="T609" s="402"/>
      <c r="U609" s="402"/>
      <c r="V609" s="402"/>
      <c r="W609" s="402"/>
      <c r="X609" s="402"/>
      <c r="Y609" s="402"/>
      <c r="Z609" s="402"/>
    </row>
    <row r="610" ht="14.25" customHeight="1">
      <c r="A610" s="402"/>
      <c r="B610" s="402"/>
      <c r="C610" s="402"/>
      <c r="D610" s="402"/>
      <c r="E610" s="402"/>
      <c r="F610" s="403"/>
      <c r="G610" s="402"/>
      <c r="H610" s="402"/>
      <c r="I610" s="402"/>
      <c r="J610" s="402"/>
      <c r="K610" s="402"/>
      <c r="L610" s="402"/>
      <c r="M610" s="402"/>
      <c r="N610" s="402"/>
      <c r="O610" s="402"/>
      <c r="P610" s="402"/>
      <c r="Q610" s="402"/>
      <c r="R610" s="402"/>
      <c r="S610" s="402"/>
      <c r="T610" s="402"/>
      <c r="U610" s="402"/>
      <c r="V610" s="402"/>
      <c r="W610" s="402"/>
      <c r="X610" s="402"/>
      <c r="Y610" s="402"/>
      <c r="Z610" s="402"/>
    </row>
    <row r="611" ht="14.25" customHeight="1">
      <c r="A611" s="402"/>
      <c r="B611" s="402"/>
      <c r="C611" s="402"/>
      <c r="D611" s="402"/>
      <c r="E611" s="402"/>
      <c r="F611" s="403"/>
      <c r="G611" s="402"/>
      <c r="H611" s="402"/>
      <c r="I611" s="402"/>
      <c r="J611" s="402"/>
      <c r="K611" s="402"/>
      <c r="L611" s="402"/>
      <c r="M611" s="402"/>
      <c r="N611" s="402"/>
      <c r="O611" s="402"/>
      <c r="P611" s="402"/>
      <c r="Q611" s="402"/>
      <c r="R611" s="402"/>
      <c r="S611" s="402"/>
      <c r="T611" s="402"/>
      <c r="U611" s="402"/>
      <c r="V611" s="402"/>
      <c r="W611" s="402"/>
      <c r="X611" s="402"/>
      <c r="Y611" s="402"/>
      <c r="Z611" s="402"/>
    </row>
    <row r="612" ht="14.25" customHeight="1">
      <c r="A612" s="402"/>
      <c r="B612" s="402"/>
      <c r="C612" s="402"/>
      <c r="D612" s="402"/>
      <c r="E612" s="402"/>
      <c r="F612" s="403"/>
      <c r="G612" s="402"/>
      <c r="H612" s="402"/>
      <c r="I612" s="402"/>
      <c r="J612" s="402"/>
      <c r="K612" s="402"/>
      <c r="L612" s="402"/>
      <c r="M612" s="402"/>
      <c r="N612" s="402"/>
      <c r="O612" s="402"/>
      <c r="P612" s="402"/>
      <c r="Q612" s="402"/>
      <c r="R612" s="402"/>
      <c r="S612" s="402"/>
      <c r="T612" s="402"/>
      <c r="U612" s="402"/>
      <c r="V612" s="402"/>
      <c r="W612" s="402"/>
      <c r="X612" s="402"/>
      <c r="Y612" s="402"/>
      <c r="Z612" s="402"/>
    </row>
    <row r="613" ht="14.25" customHeight="1">
      <c r="A613" s="402"/>
      <c r="B613" s="402"/>
      <c r="C613" s="402"/>
      <c r="D613" s="402"/>
      <c r="E613" s="402"/>
      <c r="F613" s="403"/>
      <c r="G613" s="402"/>
      <c r="H613" s="402"/>
      <c r="I613" s="402"/>
      <c r="J613" s="402"/>
      <c r="K613" s="402"/>
      <c r="L613" s="402"/>
      <c r="M613" s="402"/>
      <c r="N613" s="402"/>
      <c r="O613" s="402"/>
      <c r="P613" s="402"/>
      <c r="Q613" s="402"/>
      <c r="R613" s="402"/>
      <c r="S613" s="402"/>
      <c r="T613" s="402"/>
      <c r="U613" s="402"/>
      <c r="V613" s="402"/>
      <c r="W613" s="402"/>
      <c r="X613" s="402"/>
      <c r="Y613" s="402"/>
      <c r="Z613" s="402"/>
    </row>
    <row r="614" ht="14.25" customHeight="1">
      <c r="A614" s="402"/>
      <c r="B614" s="402"/>
      <c r="C614" s="402"/>
      <c r="D614" s="402"/>
      <c r="E614" s="402"/>
      <c r="F614" s="403"/>
      <c r="G614" s="402"/>
      <c r="H614" s="402"/>
      <c r="I614" s="402"/>
      <c r="J614" s="402"/>
      <c r="K614" s="402"/>
      <c r="L614" s="402"/>
      <c r="M614" s="402"/>
      <c r="N614" s="402"/>
      <c r="O614" s="402"/>
      <c r="P614" s="402"/>
      <c r="Q614" s="402"/>
      <c r="R614" s="402"/>
      <c r="S614" s="402"/>
      <c r="T614" s="402"/>
      <c r="U614" s="402"/>
      <c r="V614" s="402"/>
      <c r="W614" s="402"/>
      <c r="X614" s="402"/>
      <c r="Y614" s="402"/>
      <c r="Z614" s="402"/>
    </row>
    <row r="615" ht="14.25" customHeight="1">
      <c r="A615" s="402"/>
      <c r="B615" s="402"/>
      <c r="C615" s="402"/>
      <c r="D615" s="402"/>
      <c r="E615" s="402"/>
      <c r="F615" s="403"/>
      <c r="G615" s="402"/>
      <c r="H615" s="402"/>
      <c r="I615" s="402"/>
      <c r="J615" s="402"/>
      <c r="K615" s="402"/>
      <c r="L615" s="402"/>
      <c r="M615" s="402"/>
      <c r="N615" s="402"/>
      <c r="O615" s="402"/>
      <c r="P615" s="402"/>
      <c r="Q615" s="402"/>
      <c r="R615" s="402"/>
      <c r="S615" s="402"/>
      <c r="T615" s="402"/>
      <c r="U615" s="402"/>
      <c r="V615" s="402"/>
      <c r="W615" s="402"/>
      <c r="X615" s="402"/>
      <c r="Y615" s="402"/>
      <c r="Z615" s="402"/>
    </row>
    <row r="616" ht="14.25" customHeight="1">
      <c r="A616" s="402"/>
      <c r="B616" s="402"/>
      <c r="C616" s="402"/>
      <c r="D616" s="402"/>
      <c r="E616" s="402"/>
      <c r="F616" s="403"/>
      <c r="G616" s="402"/>
      <c r="H616" s="402"/>
      <c r="I616" s="402"/>
      <c r="J616" s="402"/>
      <c r="K616" s="402"/>
      <c r="L616" s="402"/>
      <c r="M616" s="402"/>
      <c r="N616" s="402"/>
      <c r="O616" s="402"/>
      <c r="P616" s="402"/>
      <c r="Q616" s="402"/>
      <c r="R616" s="402"/>
      <c r="S616" s="402"/>
      <c r="T616" s="402"/>
      <c r="U616" s="402"/>
      <c r="V616" s="402"/>
      <c r="W616" s="402"/>
      <c r="X616" s="402"/>
      <c r="Y616" s="402"/>
      <c r="Z616" s="402"/>
    </row>
    <row r="617" ht="14.25" customHeight="1">
      <c r="A617" s="402"/>
      <c r="B617" s="402"/>
      <c r="C617" s="402"/>
      <c r="D617" s="402"/>
      <c r="E617" s="402"/>
      <c r="F617" s="403"/>
      <c r="G617" s="402"/>
      <c r="H617" s="402"/>
      <c r="I617" s="402"/>
      <c r="J617" s="402"/>
      <c r="K617" s="402"/>
      <c r="L617" s="402"/>
      <c r="M617" s="402"/>
      <c r="N617" s="402"/>
      <c r="O617" s="402"/>
      <c r="P617" s="402"/>
      <c r="Q617" s="402"/>
      <c r="R617" s="402"/>
      <c r="S617" s="402"/>
      <c r="T617" s="402"/>
      <c r="U617" s="402"/>
      <c r="V617" s="402"/>
      <c r="W617" s="402"/>
      <c r="X617" s="402"/>
      <c r="Y617" s="402"/>
      <c r="Z617" s="402"/>
    </row>
    <row r="618" ht="14.25" customHeight="1">
      <c r="A618" s="402"/>
      <c r="B618" s="402"/>
      <c r="C618" s="402"/>
      <c r="D618" s="402"/>
      <c r="E618" s="402"/>
      <c r="F618" s="403"/>
      <c r="G618" s="402"/>
      <c r="H618" s="402"/>
      <c r="I618" s="402"/>
      <c r="J618" s="402"/>
      <c r="K618" s="402"/>
      <c r="L618" s="402"/>
      <c r="M618" s="402"/>
      <c r="N618" s="402"/>
      <c r="O618" s="402"/>
      <c r="P618" s="402"/>
      <c r="Q618" s="402"/>
      <c r="R618" s="402"/>
      <c r="S618" s="402"/>
      <c r="T618" s="402"/>
      <c r="U618" s="402"/>
      <c r="V618" s="402"/>
      <c r="W618" s="402"/>
      <c r="X618" s="402"/>
      <c r="Y618" s="402"/>
      <c r="Z618" s="402"/>
    </row>
    <row r="619" ht="14.25" customHeight="1">
      <c r="A619" s="402"/>
      <c r="B619" s="402"/>
      <c r="C619" s="402"/>
      <c r="D619" s="402"/>
      <c r="E619" s="402"/>
      <c r="F619" s="403"/>
      <c r="G619" s="402"/>
      <c r="H619" s="402"/>
      <c r="I619" s="402"/>
      <c r="J619" s="402"/>
      <c r="K619" s="402"/>
      <c r="L619" s="402"/>
      <c r="M619" s="402"/>
      <c r="N619" s="402"/>
      <c r="O619" s="402"/>
      <c r="P619" s="402"/>
      <c r="Q619" s="402"/>
      <c r="R619" s="402"/>
      <c r="S619" s="402"/>
      <c r="T619" s="402"/>
      <c r="U619" s="402"/>
      <c r="V619" s="402"/>
      <c r="W619" s="402"/>
      <c r="X619" s="402"/>
      <c r="Y619" s="402"/>
      <c r="Z619" s="402"/>
    </row>
    <row r="620" ht="14.25" customHeight="1">
      <c r="A620" s="402"/>
      <c r="B620" s="402"/>
      <c r="C620" s="402"/>
      <c r="D620" s="402"/>
      <c r="E620" s="402"/>
      <c r="F620" s="403"/>
      <c r="G620" s="402"/>
      <c r="H620" s="402"/>
      <c r="I620" s="402"/>
      <c r="J620" s="402"/>
      <c r="K620" s="402"/>
      <c r="L620" s="402"/>
      <c r="M620" s="402"/>
      <c r="N620" s="402"/>
      <c r="O620" s="402"/>
      <c r="P620" s="402"/>
      <c r="Q620" s="402"/>
      <c r="R620" s="402"/>
      <c r="S620" s="402"/>
      <c r="T620" s="402"/>
      <c r="U620" s="402"/>
      <c r="V620" s="402"/>
      <c r="W620" s="402"/>
      <c r="X620" s="402"/>
      <c r="Y620" s="402"/>
      <c r="Z620" s="402"/>
    </row>
    <row r="621" ht="14.25" customHeight="1">
      <c r="A621" s="402"/>
      <c r="B621" s="402"/>
      <c r="C621" s="402"/>
      <c r="D621" s="402"/>
      <c r="E621" s="402"/>
      <c r="F621" s="403"/>
      <c r="G621" s="402"/>
      <c r="H621" s="402"/>
      <c r="I621" s="402"/>
      <c r="J621" s="402"/>
      <c r="K621" s="402"/>
      <c r="L621" s="402"/>
      <c r="M621" s="402"/>
      <c r="N621" s="402"/>
      <c r="O621" s="402"/>
      <c r="P621" s="402"/>
      <c r="Q621" s="402"/>
      <c r="R621" s="402"/>
      <c r="S621" s="402"/>
      <c r="T621" s="402"/>
      <c r="U621" s="402"/>
      <c r="V621" s="402"/>
      <c r="W621" s="402"/>
      <c r="X621" s="402"/>
      <c r="Y621" s="402"/>
      <c r="Z621" s="402"/>
    </row>
    <row r="622" ht="14.25" customHeight="1">
      <c r="A622" s="402"/>
      <c r="B622" s="402"/>
      <c r="C622" s="402"/>
      <c r="D622" s="402"/>
      <c r="E622" s="402"/>
      <c r="F622" s="403"/>
      <c r="G622" s="402"/>
      <c r="H622" s="402"/>
      <c r="I622" s="402"/>
      <c r="J622" s="402"/>
      <c r="K622" s="402"/>
      <c r="L622" s="402"/>
      <c r="M622" s="402"/>
      <c r="N622" s="402"/>
      <c r="O622" s="402"/>
      <c r="P622" s="402"/>
      <c r="Q622" s="402"/>
      <c r="R622" s="402"/>
      <c r="S622" s="402"/>
      <c r="T622" s="402"/>
      <c r="U622" s="402"/>
      <c r="V622" s="402"/>
      <c r="W622" s="402"/>
      <c r="X622" s="402"/>
      <c r="Y622" s="402"/>
      <c r="Z622" s="402"/>
    </row>
    <row r="623" ht="14.25" customHeight="1">
      <c r="A623" s="402"/>
      <c r="B623" s="402"/>
      <c r="C623" s="402"/>
      <c r="D623" s="402"/>
      <c r="E623" s="402"/>
      <c r="F623" s="403"/>
      <c r="G623" s="402"/>
      <c r="H623" s="402"/>
      <c r="I623" s="402"/>
      <c r="J623" s="402"/>
      <c r="K623" s="402"/>
      <c r="L623" s="402"/>
      <c r="M623" s="402"/>
      <c r="N623" s="402"/>
      <c r="O623" s="402"/>
      <c r="P623" s="402"/>
      <c r="Q623" s="402"/>
      <c r="R623" s="402"/>
      <c r="S623" s="402"/>
      <c r="T623" s="402"/>
      <c r="U623" s="402"/>
      <c r="V623" s="402"/>
      <c r="W623" s="402"/>
      <c r="X623" s="402"/>
      <c r="Y623" s="402"/>
      <c r="Z623" s="402"/>
    </row>
    <row r="624" ht="14.25" customHeight="1">
      <c r="A624" s="402"/>
      <c r="B624" s="402"/>
      <c r="C624" s="402"/>
      <c r="D624" s="402"/>
      <c r="E624" s="402"/>
      <c r="F624" s="403"/>
      <c r="G624" s="402"/>
      <c r="H624" s="402"/>
      <c r="I624" s="402"/>
      <c r="J624" s="402"/>
      <c r="K624" s="402"/>
      <c r="L624" s="402"/>
      <c r="M624" s="402"/>
      <c r="N624" s="402"/>
      <c r="O624" s="402"/>
      <c r="P624" s="402"/>
      <c r="Q624" s="402"/>
      <c r="R624" s="402"/>
      <c r="S624" s="402"/>
      <c r="T624" s="402"/>
      <c r="U624" s="402"/>
      <c r="V624" s="402"/>
      <c r="W624" s="402"/>
      <c r="X624" s="402"/>
      <c r="Y624" s="402"/>
      <c r="Z624" s="402"/>
    </row>
    <row r="625" ht="14.25" customHeight="1">
      <c r="A625" s="402"/>
      <c r="B625" s="402"/>
      <c r="C625" s="402"/>
      <c r="D625" s="402"/>
      <c r="E625" s="402"/>
      <c r="F625" s="403"/>
      <c r="G625" s="402"/>
      <c r="H625" s="402"/>
      <c r="I625" s="402"/>
      <c r="J625" s="402"/>
      <c r="K625" s="402"/>
      <c r="L625" s="402"/>
      <c r="M625" s="402"/>
      <c r="N625" s="402"/>
      <c r="O625" s="402"/>
      <c r="P625" s="402"/>
      <c r="Q625" s="402"/>
      <c r="R625" s="402"/>
      <c r="S625" s="402"/>
      <c r="T625" s="402"/>
      <c r="U625" s="402"/>
      <c r="V625" s="402"/>
      <c r="W625" s="402"/>
      <c r="X625" s="402"/>
      <c r="Y625" s="402"/>
      <c r="Z625" s="402"/>
    </row>
    <row r="626" ht="14.25" customHeight="1">
      <c r="A626" s="402"/>
      <c r="B626" s="402"/>
      <c r="C626" s="402"/>
      <c r="D626" s="402"/>
      <c r="E626" s="402"/>
      <c r="F626" s="403"/>
      <c r="G626" s="402"/>
      <c r="H626" s="402"/>
      <c r="I626" s="402"/>
      <c r="J626" s="402"/>
      <c r="K626" s="402"/>
      <c r="L626" s="402"/>
      <c r="M626" s="402"/>
      <c r="N626" s="402"/>
      <c r="O626" s="402"/>
      <c r="P626" s="402"/>
      <c r="Q626" s="402"/>
      <c r="R626" s="402"/>
      <c r="S626" s="402"/>
      <c r="T626" s="402"/>
      <c r="U626" s="402"/>
      <c r="V626" s="402"/>
      <c r="W626" s="402"/>
      <c r="X626" s="402"/>
      <c r="Y626" s="402"/>
      <c r="Z626" s="402"/>
    </row>
    <row r="627" ht="14.25" customHeight="1">
      <c r="A627" s="402"/>
      <c r="B627" s="402"/>
      <c r="C627" s="402"/>
      <c r="D627" s="402"/>
      <c r="E627" s="402"/>
      <c r="F627" s="403"/>
      <c r="G627" s="402"/>
      <c r="H627" s="402"/>
      <c r="I627" s="402"/>
      <c r="J627" s="402"/>
      <c r="K627" s="402"/>
      <c r="L627" s="402"/>
      <c r="M627" s="402"/>
      <c r="N627" s="402"/>
      <c r="O627" s="402"/>
      <c r="P627" s="402"/>
      <c r="Q627" s="402"/>
      <c r="R627" s="402"/>
      <c r="S627" s="402"/>
      <c r="T627" s="402"/>
      <c r="U627" s="402"/>
      <c r="V627" s="402"/>
      <c r="W627" s="402"/>
      <c r="X627" s="402"/>
      <c r="Y627" s="402"/>
      <c r="Z627" s="402"/>
    </row>
    <row r="628" ht="14.25" customHeight="1">
      <c r="A628" s="402"/>
      <c r="B628" s="402"/>
      <c r="C628" s="402"/>
      <c r="D628" s="402"/>
      <c r="E628" s="402"/>
      <c r="F628" s="403"/>
      <c r="G628" s="402"/>
      <c r="H628" s="402"/>
      <c r="I628" s="402"/>
      <c r="J628" s="402"/>
      <c r="K628" s="402"/>
      <c r="L628" s="402"/>
      <c r="M628" s="402"/>
      <c r="N628" s="402"/>
      <c r="O628" s="402"/>
      <c r="P628" s="402"/>
      <c r="Q628" s="402"/>
      <c r="R628" s="402"/>
      <c r="S628" s="402"/>
      <c r="T628" s="402"/>
      <c r="U628" s="402"/>
      <c r="V628" s="402"/>
      <c r="W628" s="402"/>
      <c r="X628" s="402"/>
      <c r="Y628" s="402"/>
      <c r="Z628" s="402"/>
    </row>
    <row r="629" ht="14.25" customHeight="1">
      <c r="A629" s="402"/>
      <c r="B629" s="402"/>
      <c r="C629" s="402"/>
      <c r="D629" s="402"/>
      <c r="E629" s="402"/>
      <c r="F629" s="403"/>
      <c r="G629" s="402"/>
      <c r="H629" s="402"/>
      <c r="I629" s="402"/>
      <c r="J629" s="402"/>
      <c r="K629" s="402"/>
      <c r="L629" s="402"/>
      <c r="M629" s="402"/>
      <c r="N629" s="402"/>
      <c r="O629" s="402"/>
      <c r="P629" s="402"/>
      <c r="Q629" s="402"/>
      <c r="R629" s="402"/>
      <c r="S629" s="402"/>
      <c r="T629" s="402"/>
      <c r="U629" s="402"/>
      <c r="V629" s="402"/>
      <c r="W629" s="402"/>
      <c r="X629" s="402"/>
      <c r="Y629" s="402"/>
      <c r="Z629" s="402"/>
    </row>
    <row r="630" ht="14.25" customHeight="1">
      <c r="A630" s="402"/>
      <c r="B630" s="402"/>
      <c r="C630" s="402"/>
      <c r="D630" s="402"/>
      <c r="E630" s="402"/>
      <c r="F630" s="403"/>
      <c r="G630" s="402"/>
      <c r="H630" s="402"/>
      <c r="I630" s="402"/>
      <c r="J630" s="402"/>
      <c r="K630" s="402"/>
      <c r="L630" s="402"/>
      <c r="M630" s="402"/>
      <c r="N630" s="402"/>
      <c r="O630" s="402"/>
      <c r="P630" s="402"/>
      <c r="Q630" s="402"/>
      <c r="R630" s="402"/>
      <c r="S630" s="402"/>
      <c r="T630" s="402"/>
      <c r="U630" s="402"/>
      <c r="V630" s="402"/>
      <c r="W630" s="402"/>
      <c r="X630" s="402"/>
      <c r="Y630" s="402"/>
      <c r="Z630" s="402"/>
    </row>
    <row r="631" ht="14.25" customHeight="1">
      <c r="A631" s="402"/>
      <c r="B631" s="402"/>
      <c r="C631" s="402"/>
      <c r="D631" s="402"/>
      <c r="E631" s="402"/>
      <c r="F631" s="403"/>
      <c r="G631" s="402"/>
      <c r="H631" s="402"/>
      <c r="I631" s="402"/>
      <c r="J631" s="402"/>
      <c r="K631" s="402"/>
      <c r="L631" s="402"/>
      <c r="M631" s="402"/>
      <c r="N631" s="402"/>
      <c r="O631" s="402"/>
      <c r="P631" s="402"/>
      <c r="Q631" s="402"/>
      <c r="R631" s="402"/>
      <c r="S631" s="402"/>
      <c r="T631" s="402"/>
      <c r="U631" s="402"/>
      <c r="V631" s="402"/>
      <c r="W631" s="402"/>
      <c r="X631" s="402"/>
      <c r="Y631" s="402"/>
      <c r="Z631" s="402"/>
    </row>
    <row r="632" ht="14.25" customHeight="1">
      <c r="A632" s="402"/>
      <c r="B632" s="402"/>
      <c r="C632" s="402"/>
      <c r="D632" s="402"/>
      <c r="E632" s="402"/>
      <c r="F632" s="403"/>
      <c r="G632" s="402"/>
      <c r="H632" s="402"/>
      <c r="I632" s="402"/>
      <c r="J632" s="402"/>
      <c r="K632" s="402"/>
      <c r="L632" s="402"/>
      <c r="M632" s="402"/>
      <c r="N632" s="402"/>
      <c r="O632" s="402"/>
      <c r="P632" s="402"/>
      <c r="Q632" s="402"/>
      <c r="R632" s="402"/>
      <c r="S632" s="402"/>
      <c r="T632" s="402"/>
      <c r="U632" s="402"/>
      <c r="V632" s="402"/>
      <c r="W632" s="402"/>
      <c r="X632" s="402"/>
      <c r="Y632" s="402"/>
      <c r="Z632" s="402"/>
    </row>
    <row r="633" ht="14.25" customHeight="1">
      <c r="A633" s="402"/>
      <c r="B633" s="402"/>
      <c r="C633" s="402"/>
      <c r="D633" s="402"/>
      <c r="E633" s="402"/>
      <c r="F633" s="403"/>
      <c r="G633" s="402"/>
      <c r="H633" s="402"/>
      <c r="I633" s="402"/>
      <c r="J633" s="402"/>
      <c r="K633" s="402"/>
      <c r="L633" s="402"/>
      <c r="M633" s="402"/>
      <c r="N633" s="402"/>
      <c r="O633" s="402"/>
      <c r="P633" s="402"/>
      <c r="Q633" s="402"/>
      <c r="R633" s="402"/>
      <c r="S633" s="402"/>
      <c r="T633" s="402"/>
      <c r="U633" s="402"/>
      <c r="V633" s="402"/>
      <c r="W633" s="402"/>
      <c r="X633" s="402"/>
      <c r="Y633" s="402"/>
      <c r="Z633" s="402"/>
    </row>
    <row r="634" ht="14.25" customHeight="1">
      <c r="A634" s="402"/>
      <c r="B634" s="402"/>
      <c r="C634" s="402"/>
      <c r="D634" s="402"/>
      <c r="E634" s="402"/>
      <c r="F634" s="403"/>
      <c r="G634" s="402"/>
      <c r="H634" s="402"/>
      <c r="I634" s="402"/>
      <c r="J634" s="402"/>
      <c r="K634" s="402"/>
      <c r="L634" s="402"/>
      <c r="M634" s="402"/>
      <c r="N634" s="402"/>
      <c r="O634" s="402"/>
      <c r="P634" s="402"/>
      <c r="Q634" s="402"/>
      <c r="R634" s="402"/>
      <c r="S634" s="402"/>
      <c r="T634" s="402"/>
      <c r="U634" s="402"/>
      <c r="V634" s="402"/>
      <c r="W634" s="402"/>
      <c r="X634" s="402"/>
      <c r="Y634" s="402"/>
      <c r="Z634" s="402"/>
    </row>
    <row r="635" ht="14.25" customHeight="1">
      <c r="A635" s="402"/>
      <c r="B635" s="402"/>
      <c r="C635" s="402"/>
      <c r="D635" s="402"/>
      <c r="E635" s="402"/>
      <c r="F635" s="403"/>
      <c r="G635" s="402"/>
      <c r="H635" s="402"/>
      <c r="I635" s="402"/>
      <c r="J635" s="402"/>
      <c r="K635" s="402"/>
      <c r="L635" s="402"/>
      <c r="M635" s="402"/>
      <c r="N635" s="402"/>
      <c r="O635" s="402"/>
      <c r="P635" s="402"/>
      <c r="Q635" s="402"/>
      <c r="R635" s="402"/>
      <c r="S635" s="402"/>
      <c r="T635" s="402"/>
      <c r="U635" s="402"/>
      <c r="V635" s="402"/>
      <c r="W635" s="402"/>
      <c r="X635" s="402"/>
      <c r="Y635" s="402"/>
      <c r="Z635" s="402"/>
    </row>
    <row r="636" ht="14.25" customHeight="1">
      <c r="A636" s="402"/>
      <c r="B636" s="402"/>
      <c r="C636" s="402"/>
      <c r="D636" s="402"/>
      <c r="E636" s="402"/>
      <c r="F636" s="403"/>
      <c r="G636" s="402"/>
      <c r="H636" s="402"/>
      <c r="I636" s="402"/>
      <c r="J636" s="402"/>
      <c r="K636" s="402"/>
      <c r="L636" s="402"/>
      <c r="M636" s="402"/>
      <c r="N636" s="402"/>
      <c r="O636" s="402"/>
      <c r="P636" s="402"/>
      <c r="Q636" s="402"/>
      <c r="R636" s="402"/>
      <c r="S636" s="402"/>
      <c r="T636" s="402"/>
      <c r="U636" s="402"/>
      <c r="V636" s="402"/>
      <c r="W636" s="402"/>
      <c r="X636" s="402"/>
      <c r="Y636" s="402"/>
      <c r="Z636" s="402"/>
    </row>
    <row r="637" ht="14.25" customHeight="1">
      <c r="A637" s="402"/>
      <c r="B637" s="402"/>
      <c r="C637" s="402"/>
      <c r="D637" s="402"/>
      <c r="E637" s="402"/>
      <c r="F637" s="403"/>
      <c r="G637" s="402"/>
      <c r="H637" s="402"/>
      <c r="I637" s="402"/>
      <c r="J637" s="402"/>
      <c r="K637" s="402"/>
      <c r="L637" s="402"/>
      <c r="M637" s="402"/>
      <c r="N637" s="402"/>
      <c r="O637" s="402"/>
      <c r="P637" s="402"/>
      <c r="Q637" s="402"/>
      <c r="R637" s="402"/>
      <c r="S637" s="402"/>
      <c r="T637" s="402"/>
      <c r="U637" s="402"/>
      <c r="V637" s="402"/>
      <c r="W637" s="402"/>
      <c r="X637" s="402"/>
      <c r="Y637" s="402"/>
      <c r="Z637" s="402"/>
    </row>
    <row r="638" ht="14.25" customHeight="1">
      <c r="A638" s="402"/>
      <c r="B638" s="402"/>
      <c r="C638" s="402"/>
      <c r="D638" s="402"/>
      <c r="E638" s="402"/>
      <c r="F638" s="403"/>
      <c r="G638" s="402"/>
      <c r="H638" s="402"/>
      <c r="I638" s="402"/>
      <c r="J638" s="402"/>
      <c r="K638" s="402"/>
      <c r="L638" s="402"/>
      <c r="M638" s="402"/>
      <c r="N638" s="402"/>
      <c r="O638" s="402"/>
      <c r="P638" s="402"/>
      <c r="Q638" s="402"/>
      <c r="R638" s="402"/>
      <c r="S638" s="402"/>
      <c r="T638" s="402"/>
      <c r="U638" s="402"/>
      <c r="V638" s="402"/>
      <c r="W638" s="402"/>
      <c r="X638" s="402"/>
      <c r="Y638" s="402"/>
      <c r="Z638" s="402"/>
    </row>
    <row r="639" ht="14.25" customHeight="1">
      <c r="A639" s="402"/>
      <c r="B639" s="402"/>
      <c r="C639" s="402"/>
      <c r="D639" s="402"/>
      <c r="E639" s="402"/>
      <c r="F639" s="403"/>
      <c r="G639" s="402"/>
      <c r="H639" s="402"/>
      <c r="I639" s="402"/>
      <c r="J639" s="402"/>
      <c r="K639" s="402"/>
      <c r="L639" s="402"/>
      <c r="M639" s="402"/>
      <c r="N639" s="402"/>
      <c r="O639" s="402"/>
      <c r="P639" s="402"/>
      <c r="Q639" s="402"/>
      <c r="R639" s="402"/>
      <c r="S639" s="402"/>
      <c r="T639" s="402"/>
      <c r="U639" s="402"/>
      <c r="V639" s="402"/>
      <c r="W639" s="402"/>
      <c r="X639" s="402"/>
      <c r="Y639" s="402"/>
      <c r="Z639" s="402"/>
    </row>
    <row r="640" ht="14.25" customHeight="1">
      <c r="A640" s="402"/>
      <c r="B640" s="402"/>
      <c r="C640" s="402"/>
      <c r="D640" s="402"/>
      <c r="E640" s="402"/>
      <c r="F640" s="403"/>
      <c r="G640" s="402"/>
      <c r="H640" s="402"/>
      <c r="I640" s="402"/>
      <c r="J640" s="402"/>
      <c r="K640" s="402"/>
      <c r="L640" s="402"/>
      <c r="M640" s="402"/>
      <c r="N640" s="402"/>
      <c r="O640" s="402"/>
      <c r="P640" s="402"/>
      <c r="Q640" s="402"/>
      <c r="R640" s="402"/>
      <c r="S640" s="402"/>
      <c r="T640" s="402"/>
      <c r="U640" s="402"/>
      <c r="V640" s="402"/>
      <c r="W640" s="402"/>
      <c r="X640" s="402"/>
      <c r="Y640" s="402"/>
      <c r="Z640" s="402"/>
    </row>
    <row r="641" ht="14.25" customHeight="1">
      <c r="A641" s="402"/>
      <c r="B641" s="402"/>
      <c r="C641" s="402"/>
      <c r="D641" s="402"/>
      <c r="E641" s="402"/>
      <c r="F641" s="403"/>
      <c r="G641" s="402"/>
      <c r="H641" s="402"/>
      <c r="I641" s="402"/>
      <c r="J641" s="402"/>
      <c r="K641" s="402"/>
      <c r="L641" s="402"/>
      <c r="M641" s="402"/>
      <c r="N641" s="402"/>
      <c r="O641" s="402"/>
      <c r="P641" s="402"/>
      <c r="Q641" s="402"/>
      <c r="R641" s="402"/>
      <c r="S641" s="402"/>
      <c r="T641" s="402"/>
      <c r="U641" s="402"/>
      <c r="V641" s="402"/>
      <c r="W641" s="402"/>
      <c r="X641" s="402"/>
      <c r="Y641" s="402"/>
      <c r="Z641" s="402"/>
    </row>
    <row r="642" ht="14.25" customHeight="1">
      <c r="A642" s="402"/>
      <c r="B642" s="402"/>
      <c r="C642" s="402"/>
      <c r="D642" s="402"/>
      <c r="E642" s="402"/>
      <c r="F642" s="403"/>
      <c r="G642" s="402"/>
      <c r="H642" s="402"/>
      <c r="I642" s="402"/>
      <c r="J642" s="402"/>
      <c r="K642" s="402"/>
      <c r="L642" s="402"/>
      <c r="M642" s="402"/>
      <c r="N642" s="402"/>
      <c r="O642" s="402"/>
      <c r="P642" s="402"/>
      <c r="Q642" s="402"/>
      <c r="R642" s="402"/>
      <c r="S642" s="402"/>
      <c r="T642" s="402"/>
      <c r="U642" s="402"/>
      <c r="V642" s="402"/>
      <c r="W642" s="402"/>
      <c r="X642" s="402"/>
      <c r="Y642" s="402"/>
      <c r="Z642" s="402"/>
    </row>
    <row r="643" ht="14.25" customHeight="1">
      <c r="A643" s="402"/>
      <c r="B643" s="402"/>
      <c r="C643" s="402"/>
      <c r="D643" s="402"/>
      <c r="E643" s="402"/>
      <c r="F643" s="403"/>
      <c r="G643" s="402"/>
      <c r="H643" s="402"/>
      <c r="I643" s="402"/>
      <c r="J643" s="402"/>
      <c r="K643" s="402"/>
      <c r="L643" s="402"/>
      <c r="M643" s="402"/>
      <c r="N643" s="402"/>
      <c r="O643" s="402"/>
      <c r="P643" s="402"/>
      <c r="Q643" s="402"/>
      <c r="R643" s="402"/>
      <c r="S643" s="402"/>
      <c r="T643" s="402"/>
      <c r="U643" s="402"/>
      <c r="V643" s="402"/>
      <c r="W643" s="402"/>
      <c r="X643" s="402"/>
      <c r="Y643" s="402"/>
      <c r="Z643" s="402"/>
    </row>
    <row r="644" ht="14.25" customHeight="1">
      <c r="A644" s="402"/>
      <c r="B644" s="402"/>
      <c r="C644" s="402"/>
      <c r="D644" s="402"/>
      <c r="E644" s="402"/>
      <c r="F644" s="403"/>
      <c r="G644" s="402"/>
      <c r="H644" s="402"/>
      <c r="I644" s="402"/>
      <c r="J644" s="402"/>
      <c r="K644" s="402"/>
      <c r="L644" s="402"/>
      <c r="M644" s="402"/>
      <c r="N644" s="402"/>
      <c r="O644" s="402"/>
      <c r="P644" s="402"/>
      <c r="Q644" s="402"/>
      <c r="R644" s="402"/>
      <c r="S644" s="402"/>
      <c r="T644" s="402"/>
      <c r="U644" s="402"/>
      <c r="V644" s="402"/>
      <c r="W644" s="402"/>
      <c r="X644" s="402"/>
      <c r="Y644" s="402"/>
      <c r="Z644" s="402"/>
    </row>
    <row r="645" ht="14.25" customHeight="1">
      <c r="A645" s="402"/>
      <c r="B645" s="402"/>
      <c r="C645" s="402"/>
      <c r="D645" s="402"/>
      <c r="E645" s="402"/>
      <c r="F645" s="403"/>
      <c r="G645" s="402"/>
      <c r="H645" s="402"/>
      <c r="I645" s="402"/>
      <c r="J645" s="402"/>
      <c r="K645" s="402"/>
      <c r="L645" s="402"/>
      <c r="M645" s="402"/>
      <c r="N645" s="402"/>
      <c r="O645" s="402"/>
      <c r="P645" s="402"/>
      <c r="Q645" s="402"/>
      <c r="R645" s="402"/>
      <c r="S645" s="402"/>
      <c r="T645" s="402"/>
      <c r="U645" s="402"/>
      <c r="V645" s="402"/>
      <c r="W645" s="402"/>
      <c r="X645" s="402"/>
      <c r="Y645" s="402"/>
      <c r="Z645" s="402"/>
    </row>
    <row r="646" ht="14.25" customHeight="1">
      <c r="A646" s="402"/>
      <c r="B646" s="402"/>
      <c r="C646" s="402"/>
      <c r="D646" s="402"/>
      <c r="E646" s="402"/>
      <c r="F646" s="403"/>
      <c r="G646" s="402"/>
      <c r="H646" s="402"/>
      <c r="I646" s="402"/>
      <c r="J646" s="402"/>
      <c r="K646" s="402"/>
      <c r="L646" s="402"/>
      <c r="M646" s="402"/>
      <c r="N646" s="402"/>
      <c r="O646" s="402"/>
      <c r="P646" s="402"/>
      <c r="Q646" s="402"/>
      <c r="R646" s="402"/>
      <c r="S646" s="402"/>
      <c r="T646" s="402"/>
      <c r="U646" s="402"/>
      <c r="V646" s="402"/>
      <c r="W646" s="402"/>
      <c r="X646" s="402"/>
      <c r="Y646" s="402"/>
      <c r="Z646" s="402"/>
    </row>
    <row r="647" ht="14.25" customHeight="1">
      <c r="A647" s="402"/>
      <c r="B647" s="402"/>
      <c r="C647" s="402"/>
      <c r="D647" s="402"/>
      <c r="E647" s="402"/>
      <c r="F647" s="403"/>
      <c r="G647" s="402"/>
      <c r="H647" s="402"/>
      <c r="I647" s="402"/>
      <c r="J647" s="402"/>
      <c r="K647" s="402"/>
      <c r="L647" s="402"/>
      <c r="M647" s="402"/>
      <c r="N647" s="402"/>
      <c r="O647" s="402"/>
      <c r="P647" s="402"/>
      <c r="Q647" s="402"/>
      <c r="R647" s="402"/>
      <c r="S647" s="402"/>
      <c r="T647" s="402"/>
      <c r="U647" s="402"/>
      <c r="V647" s="402"/>
      <c r="W647" s="402"/>
      <c r="X647" s="402"/>
      <c r="Y647" s="402"/>
      <c r="Z647" s="402"/>
    </row>
    <row r="648" ht="14.25" customHeight="1">
      <c r="A648" s="402"/>
      <c r="B648" s="402"/>
      <c r="C648" s="402"/>
      <c r="D648" s="402"/>
      <c r="E648" s="402"/>
      <c r="F648" s="403"/>
      <c r="G648" s="402"/>
      <c r="H648" s="402"/>
      <c r="I648" s="402"/>
      <c r="J648" s="402"/>
      <c r="K648" s="402"/>
      <c r="L648" s="402"/>
      <c r="M648" s="402"/>
      <c r="N648" s="402"/>
      <c r="O648" s="402"/>
      <c r="P648" s="402"/>
      <c r="Q648" s="402"/>
      <c r="R648" s="402"/>
      <c r="S648" s="402"/>
      <c r="T648" s="402"/>
      <c r="U648" s="402"/>
      <c r="V648" s="402"/>
      <c r="W648" s="402"/>
      <c r="X648" s="402"/>
      <c r="Y648" s="402"/>
      <c r="Z648" s="402"/>
    </row>
    <row r="649" ht="14.25" customHeight="1">
      <c r="A649" s="402"/>
      <c r="B649" s="402"/>
      <c r="C649" s="402"/>
      <c r="D649" s="402"/>
      <c r="E649" s="402"/>
      <c r="F649" s="403"/>
      <c r="G649" s="402"/>
      <c r="H649" s="402"/>
      <c r="I649" s="402"/>
      <c r="J649" s="402"/>
      <c r="K649" s="402"/>
      <c r="L649" s="402"/>
      <c r="M649" s="402"/>
      <c r="N649" s="402"/>
      <c r="O649" s="402"/>
      <c r="P649" s="402"/>
      <c r="Q649" s="402"/>
      <c r="R649" s="402"/>
      <c r="S649" s="402"/>
      <c r="T649" s="402"/>
      <c r="U649" s="402"/>
      <c r="V649" s="402"/>
      <c r="W649" s="402"/>
      <c r="X649" s="402"/>
      <c r="Y649" s="402"/>
      <c r="Z649" s="402"/>
    </row>
    <row r="650" ht="14.25" customHeight="1">
      <c r="A650" s="402"/>
      <c r="B650" s="402"/>
      <c r="C650" s="402"/>
      <c r="D650" s="402"/>
      <c r="E650" s="402"/>
      <c r="F650" s="403"/>
      <c r="G650" s="402"/>
      <c r="H650" s="402"/>
      <c r="I650" s="402"/>
      <c r="J650" s="402"/>
      <c r="K650" s="402"/>
      <c r="L650" s="402"/>
      <c r="M650" s="402"/>
      <c r="N650" s="402"/>
      <c r="O650" s="402"/>
      <c r="P650" s="402"/>
      <c r="Q650" s="402"/>
      <c r="R650" s="402"/>
      <c r="S650" s="402"/>
      <c r="T650" s="402"/>
      <c r="U650" s="402"/>
      <c r="V650" s="402"/>
      <c r="W650" s="402"/>
      <c r="X650" s="402"/>
      <c r="Y650" s="402"/>
      <c r="Z650" s="402"/>
    </row>
    <row r="651" ht="14.25" customHeight="1">
      <c r="A651" s="402"/>
      <c r="B651" s="402"/>
      <c r="C651" s="402"/>
      <c r="D651" s="402"/>
      <c r="E651" s="402"/>
      <c r="F651" s="403"/>
      <c r="G651" s="402"/>
      <c r="H651" s="402"/>
      <c r="I651" s="402"/>
      <c r="J651" s="402"/>
      <c r="K651" s="402"/>
      <c r="L651" s="402"/>
      <c r="M651" s="402"/>
      <c r="N651" s="402"/>
      <c r="O651" s="402"/>
      <c r="P651" s="402"/>
      <c r="Q651" s="402"/>
      <c r="R651" s="402"/>
      <c r="S651" s="402"/>
      <c r="T651" s="402"/>
      <c r="U651" s="402"/>
      <c r="V651" s="402"/>
      <c r="W651" s="402"/>
      <c r="X651" s="402"/>
      <c r="Y651" s="402"/>
      <c r="Z651" s="402"/>
    </row>
    <row r="652" ht="14.25" customHeight="1">
      <c r="A652" s="402"/>
      <c r="B652" s="402"/>
      <c r="C652" s="402"/>
      <c r="D652" s="402"/>
      <c r="E652" s="402"/>
      <c r="F652" s="403"/>
      <c r="G652" s="402"/>
      <c r="H652" s="402"/>
      <c r="I652" s="402"/>
      <c r="J652" s="402"/>
      <c r="K652" s="402"/>
      <c r="L652" s="402"/>
      <c r="M652" s="402"/>
      <c r="N652" s="402"/>
      <c r="O652" s="402"/>
      <c r="P652" s="402"/>
      <c r="Q652" s="402"/>
      <c r="R652" s="402"/>
      <c r="S652" s="402"/>
      <c r="T652" s="402"/>
      <c r="U652" s="402"/>
      <c r="V652" s="402"/>
      <c r="W652" s="402"/>
      <c r="X652" s="402"/>
      <c r="Y652" s="402"/>
      <c r="Z652" s="402"/>
    </row>
    <row r="653" ht="14.25" customHeight="1">
      <c r="A653" s="402"/>
      <c r="B653" s="402"/>
      <c r="C653" s="402"/>
      <c r="D653" s="402"/>
      <c r="E653" s="402"/>
      <c r="F653" s="403"/>
      <c r="G653" s="402"/>
      <c r="H653" s="402"/>
      <c r="I653" s="402"/>
      <c r="J653" s="402"/>
      <c r="K653" s="402"/>
      <c r="L653" s="402"/>
      <c r="M653" s="402"/>
      <c r="N653" s="402"/>
      <c r="O653" s="402"/>
      <c r="P653" s="402"/>
      <c r="Q653" s="402"/>
      <c r="R653" s="402"/>
      <c r="S653" s="402"/>
      <c r="T653" s="402"/>
      <c r="U653" s="402"/>
      <c r="V653" s="402"/>
      <c r="W653" s="402"/>
      <c r="X653" s="402"/>
      <c r="Y653" s="402"/>
      <c r="Z653" s="402"/>
    </row>
    <row r="654" ht="14.25" customHeight="1">
      <c r="A654" s="402"/>
      <c r="B654" s="402"/>
      <c r="C654" s="402"/>
      <c r="D654" s="402"/>
      <c r="E654" s="402"/>
      <c r="F654" s="403"/>
      <c r="G654" s="402"/>
      <c r="H654" s="402"/>
      <c r="I654" s="402"/>
      <c r="J654" s="402"/>
      <c r="K654" s="402"/>
      <c r="L654" s="402"/>
      <c r="M654" s="402"/>
      <c r="N654" s="402"/>
      <c r="O654" s="402"/>
      <c r="P654" s="402"/>
      <c r="Q654" s="402"/>
      <c r="R654" s="402"/>
      <c r="S654" s="402"/>
      <c r="T654" s="402"/>
      <c r="U654" s="402"/>
      <c r="V654" s="402"/>
      <c r="W654" s="402"/>
      <c r="X654" s="402"/>
      <c r="Y654" s="402"/>
      <c r="Z654" s="402"/>
    </row>
    <row r="655" ht="14.25" customHeight="1">
      <c r="A655" s="402"/>
      <c r="B655" s="402"/>
      <c r="C655" s="402"/>
      <c r="D655" s="402"/>
      <c r="E655" s="402"/>
      <c r="F655" s="403"/>
      <c r="G655" s="402"/>
      <c r="H655" s="402"/>
      <c r="I655" s="402"/>
      <c r="J655" s="402"/>
      <c r="K655" s="402"/>
      <c r="L655" s="402"/>
      <c r="M655" s="402"/>
      <c r="N655" s="402"/>
      <c r="O655" s="402"/>
      <c r="P655" s="402"/>
      <c r="Q655" s="402"/>
      <c r="R655" s="402"/>
      <c r="S655" s="402"/>
      <c r="T655" s="402"/>
      <c r="U655" s="402"/>
      <c r="V655" s="402"/>
      <c r="W655" s="402"/>
      <c r="X655" s="402"/>
      <c r="Y655" s="402"/>
      <c r="Z655" s="402"/>
    </row>
    <row r="656" ht="14.25" customHeight="1">
      <c r="A656" s="402"/>
      <c r="B656" s="402"/>
      <c r="C656" s="402"/>
      <c r="D656" s="402"/>
      <c r="E656" s="402"/>
      <c r="F656" s="403"/>
      <c r="G656" s="402"/>
      <c r="H656" s="402"/>
      <c r="I656" s="402"/>
      <c r="J656" s="402"/>
      <c r="K656" s="402"/>
      <c r="L656" s="402"/>
      <c r="M656" s="402"/>
      <c r="N656" s="402"/>
      <c r="O656" s="402"/>
      <c r="P656" s="402"/>
      <c r="Q656" s="402"/>
      <c r="R656" s="402"/>
      <c r="S656" s="402"/>
      <c r="T656" s="402"/>
      <c r="U656" s="402"/>
      <c r="V656" s="402"/>
      <c r="W656" s="402"/>
      <c r="X656" s="402"/>
      <c r="Y656" s="402"/>
      <c r="Z656" s="402"/>
    </row>
    <row r="657" ht="14.25" customHeight="1">
      <c r="A657" s="402"/>
      <c r="B657" s="402"/>
      <c r="C657" s="402"/>
      <c r="D657" s="402"/>
      <c r="E657" s="402"/>
      <c r="F657" s="403"/>
      <c r="G657" s="402"/>
      <c r="H657" s="402"/>
      <c r="I657" s="402"/>
      <c r="J657" s="402"/>
      <c r="K657" s="402"/>
      <c r="L657" s="402"/>
      <c r="M657" s="402"/>
      <c r="N657" s="402"/>
      <c r="O657" s="402"/>
      <c r="P657" s="402"/>
      <c r="Q657" s="402"/>
      <c r="R657" s="402"/>
      <c r="S657" s="402"/>
      <c r="T657" s="402"/>
      <c r="U657" s="402"/>
      <c r="V657" s="402"/>
      <c r="W657" s="402"/>
      <c r="X657" s="402"/>
      <c r="Y657" s="402"/>
      <c r="Z657" s="402"/>
    </row>
    <row r="658" ht="14.25" customHeight="1">
      <c r="A658" s="402"/>
      <c r="B658" s="402"/>
      <c r="C658" s="402"/>
      <c r="D658" s="402"/>
      <c r="E658" s="402"/>
      <c r="F658" s="403"/>
      <c r="G658" s="402"/>
      <c r="H658" s="402"/>
      <c r="I658" s="402"/>
      <c r="J658" s="402"/>
      <c r="K658" s="402"/>
      <c r="L658" s="402"/>
      <c r="M658" s="402"/>
      <c r="N658" s="402"/>
      <c r="O658" s="402"/>
      <c r="P658" s="402"/>
      <c r="Q658" s="402"/>
      <c r="R658" s="402"/>
      <c r="S658" s="402"/>
      <c r="T658" s="402"/>
      <c r="U658" s="402"/>
      <c r="V658" s="402"/>
      <c r="W658" s="402"/>
      <c r="X658" s="402"/>
      <c r="Y658" s="402"/>
      <c r="Z658" s="402"/>
    </row>
    <row r="659" ht="14.25" customHeight="1">
      <c r="A659" s="402"/>
      <c r="B659" s="402"/>
      <c r="C659" s="402"/>
      <c r="D659" s="402"/>
      <c r="E659" s="402"/>
      <c r="F659" s="403"/>
      <c r="G659" s="402"/>
      <c r="H659" s="402"/>
      <c r="I659" s="402"/>
      <c r="J659" s="402"/>
      <c r="K659" s="402"/>
      <c r="L659" s="402"/>
      <c r="M659" s="402"/>
      <c r="N659" s="402"/>
      <c r="O659" s="402"/>
      <c r="P659" s="402"/>
      <c r="Q659" s="402"/>
      <c r="R659" s="402"/>
      <c r="S659" s="402"/>
      <c r="T659" s="402"/>
      <c r="U659" s="402"/>
      <c r="V659" s="402"/>
      <c r="W659" s="402"/>
      <c r="X659" s="402"/>
      <c r="Y659" s="402"/>
      <c r="Z659" s="402"/>
    </row>
    <row r="660" ht="14.25" customHeight="1">
      <c r="A660" s="402"/>
      <c r="B660" s="402"/>
      <c r="C660" s="402"/>
      <c r="D660" s="402"/>
      <c r="E660" s="402"/>
      <c r="F660" s="403"/>
      <c r="G660" s="402"/>
      <c r="H660" s="402"/>
      <c r="I660" s="402"/>
      <c r="J660" s="402"/>
      <c r="K660" s="402"/>
      <c r="L660" s="402"/>
      <c r="M660" s="402"/>
      <c r="N660" s="402"/>
      <c r="O660" s="402"/>
      <c r="P660" s="402"/>
      <c r="Q660" s="402"/>
      <c r="R660" s="402"/>
      <c r="S660" s="402"/>
      <c r="T660" s="402"/>
      <c r="U660" s="402"/>
      <c r="V660" s="402"/>
      <c r="W660" s="402"/>
      <c r="X660" s="402"/>
      <c r="Y660" s="402"/>
      <c r="Z660" s="402"/>
    </row>
    <row r="661" ht="14.25" customHeight="1">
      <c r="A661" s="402"/>
      <c r="B661" s="402"/>
      <c r="C661" s="402"/>
      <c r="D661" s="402"/>
      <c r="E661" s="402"/>
      <c r="F661" s="403"/>
      <c r="G661" s="402"/>
      <c r="H661" s="402"/>
      <c r="I661" s="402"/>
      <c r="J661" s="402"/>
      <c r="K661" s="402"/>
      <c r="L661" s="402"/>
      <c r="M661" s="402"/>
      <c r="N661" s="402"/>
      <c r="O661" s="402"/>
      <c r="P661" s="402"/>
      <c r="Q661" s="402"/>
      <c r="R661" s="402"/>
      <c r="S661" s="402"/>
      <c r="T661" s="402"/>
      <c r="U661" s="402"/>
      <c r="V661" s="402"/>
      <c r="W661" s="402"/>
      <c r="X661" s="402"/>
      <c r="Y661" s="402"/>
      <c r="Z661" s="402"/>
    </row>
    <row r="662" ht="14.25" customHeight="1">
      <c r="A662" s="402"/>
      <c r="B662" s="402"/>
      <c r="C662" s="402"/>
      <c r="D662" s="402"/>
      <c r="E662" s="402"/>
      <c r="F662" s="403"/>
      <c r="G662" s="402"/>
      <c r="H662" s="402"/>
      <c r="I662" s="402"/>
      <c r="J662" s="402"/>
      <c r="K662" s="402"/>
      <c r="L662" s="402"/>
      <c r="M662" s="402"/>
      <c r="N662" s="402"/>
      <c r="O662" s="402"/>
      <c r="P662" s="402"/>
      <c r="Q662" s="402"/>
      <c r="R662" s="402"/>
      <c r="S662" s="402"/>
      <c r="T662" s="402"/>
      <c r="U662" s="402"/>
      <c r="V662" s="402"/>
      <c r="W662" s="402"/>
      <c r="X662" s="402"/>
      <c r="Y662" s="402"/>
      <c r="Z662" s="402"/>
    </row>
    <row r="663" ht="14.25" customHeight="1">
      <c r="A663" s="402"/>
      <c r="B663" s="402"/>
      <c r="C663" s="402"/>
      <c r="D663" s="402"/>
      <c r="E663" s="402"/>
      <c r="F663" s="403"/>
      <c r="G663" s="402"/>
      <c r="H663" s="402"/>
      <c r="I663" s="402"/>
      <c r="J663" s="402"/>
      <c r="K663" s="402"/>
      <c r="L663" s="402"/>
      <c r="M663" s="402"/>
      <c r="N663" s="402"/>
      <c r="O663" s="402"/>
      <c r="P663" s="402"/>
      <c r="Q663" s="402"/>
      <c r="R663" s="402"/>
      <c r="S663" s="402"/>
      <c r="T663" s="402"/>
      <c r="U663" s="402"/>
      <c r="V663" s="402"/>
      <c r="W663" s="402"/>
      <c r="X663" s="402"/>
      <c r="Y663" s="402"/>
      <c r="Z663" s="402"/>
    </row>
    <row r="664" ht="14.25" customHeight="1">
      <c r="A664" s="402"/>
      <c r="B664" s="402"/>
      <c r="C664" s="402"/>
      <c r="D664" s="402"/>
      <c r="E664" s="402"/>
      <c r="F664" s="403"/>
      <c r="G664" s="402"/>
      <c r="H664" s="402"/>
      <c r="I664" s="402"/>
      <c r="J664" s="402"/>
      <c r="K664" s="402"/>
      <c r="L664" s="402"/>
      <c r="M664" s="402"/>
      <c r="N664" s="402"/>
      <c r="O664" s="402"/>
      <c r="P664" s="402"/>
      <c r="Q664" s="402"/>
      <c r="R664" s="402"/>
      <c r="S664" s="402"/>
      <c r="T664" s="402"/>
      <c r="U664" s="402"/>
      <c r="V664" s="402"/>
      <c r="W664" s="402"/>
      <c r="X664" s="402"/>
      <c r="Y664" s="402"/>
      <c r="Z664" s="402"/>
    </row>
    <row r="665" ht="14.25" customHeight="1">
      <c r="A665" s="402"/>
      <c r="B665" s="402"/>
      <c r="C665" s="402"/>
      <c r="D665" s="402"/>
      <c r="E665" s="402"/>
      <c r="F665" s="403"/>
      <c r="G665" s="402"/>
      <c r="H665" s="402"/>
      <c r="I665" s="402"/>
      <c r="J665" s="402"/>
      <c r="K665" s="402"/>
      <c r="L665" s="402"/>
      <c r="M665" s="402"/>
      <c r="N665" s="402"/>
      <c r="O665" s="402"/>
      <c r="P665" s="402"/>
      <c r="Q665" s="402"/>
      <c r="R665" s="402"/>
      <c r="S665" s="402"/>
      <c r="T665" s="402"/>
      <c r="U665" s="402"/>
      <c r="V665" s="402"/>
      <c r="W665" s="402"/>
      <c r="X665" s="402"/>
      <c r="Y665" s="402"/>
      <c r="Z665" s="402"/>
    </row>
    <row r="666" ht="14.25" customHeight="1">
      <c r="A666" s="402"/>
      <c r="B666" s="402"/>
      <c r="C666" s="402"/>
      <c r="D666" s="402"/>
      <c r="E666" s="402"/>
      <c r="F666" s="403"/>
      <c r="G666" s="402"/>
      <c r="H666" s="402"/>
      <c r="I666" s="402"/>
      <c r="J666" s="402"/>
      <c r="K666" s="402"/>
      <c r="L666" s="402"/>
      <c r="M666" s="402"/>
      <c r="N666" s="402"/>
      <c r="O666" s="402"/>
      <c r="P666" s="402"/>
      <c r="Q666" s="402"/>
      <c r="R666" s="402"/>
      <c r="S666" s="402"/>
      <c r="T666" s="402"/>
      <c r="U666" s="402"/>
      <c r="V666" s="402"/>
      <c r="W666" s="402"/>
      <c r="X666" s="402"/>
      <c r="Y666" s="402"/>
      <c r="Z666" s="402"/>
    </row>
    <row r="667" ht="14.25" customHeight="1">
      <c r="A667" s="402"/>
      <c r="B667" s="402"/>
      <c r="C667" s="402"/>
      <c r="D667" s="402"/>
      <c r="E667" s="402"/>
      <c r="F667" s="403"/>
      <c r="G667" s="402"/>
      <c r="H667" s="402"/>
      <c r="I667" s="402"/>
      <c r="J667" s="402"/>
      <c r="K667" s="402"/>
      <c r="L667" s="402"/>
      <c r="M667" s="402"/>
      <c r="N667" s="402"/>
      <c r="O667" s="402"/>
      <c r="P667" s="402"/>
      <c r="Q667" s="402"/>
      <c r="R667" s="402"/>
      <c r="S667" s="402"/>
      <c r="T667" s="402"/>
      <c r="U667" s="402"/>
      <c r="V667" s="402"/>
      <c r="W667" s="402"/>
      <c r="X667" s="402"/>
      <c r="Y667" s="402"/>
      <c r="Z667" s="402"/>
    </row>
    <row r="668" ht="14.25" customHeight="1">
      <c r="A668" s="402"/>
      <c r="B668" s="402"/>
      <c r="C668" s="402"/>
      <c r="D668" s="402"/>
      <c r="E668" s="402"/>
      <c r="F668" s="403"/>
      <c r="G668" s="402"/>
      <c r="H668" s="402"/>
      <c r="I668" s="402"/>
      <c r="J668" s="402"/>
      <c r="K668" s="402"/>
      <c r="L668" s="402"/>
      <c r="M668" s="402"/>
      <c r="N668" s="402"/>
      <c r="O668" s="402"/>
      <c r="P668" s="402"/>
      <c r="Q668" s="402"/>
      <c r="R668" s="402"/>
      <c r="S668" s="402"/>
      <c r="T668" s="402"/>
      <c r="U668" s="402"/>
      <c r="V668" s="402"/>
      <c r="W668" s="402"/>
      <c r="X668" s="402"/>
      <c r="Y668" s="402"/>
      <c r="Z668" s="402"/>
    </row>
    <row r="669" ht="14.25" customHeight="1">
      <c r="A669" s="402"/>
      <c r="B669" s="402"/>
      <c r="C669" s="402"/>
      <c r="D669" s="402"/>
      <c r="E669" s="402"/>
      <c r="F669" s="403"/>
      <c r="G669" s="402"/>
      <c r="H669" s="402"/>
      <c r="I669" s="402"/>
      <c r="J669" s="402"/>
      <c r="K669" s="402"/>
      <c r="L669" s="402"/>
      <c r="M669" s="402"/>
      <c r="N669" s="402"/>
      <c r="O669" s="402"/>
      <c r="P669" s="402"/>
      <c r="Q669" s="402"/>
      <c r="R669" s="402"/>
      <c r="S669" s="402"/>
      <c r="T669" s="402"/>
      <c r="U669" s="402"/>
      <c r="V669" s="402"/>
      <c r="W669" s="402"/>
      <c r="X669" s="402"/>
      <c r="Y669" s="402"/>
      <c r="Z669" s="402"/>
    </row>
    <row r="670" ht="14.25" customHeight="1">
      <c r="A670" s="402"/>
      <c r="B670" s="402"/>
      <c r="C670" s="402"/>
      <c r="D670" s="402"/>
      <c r="E670" s="402"/>
      <c r="F670" s="403"/>
      <c r="G670" s="402"/>
      <c r="H670" s="402"/>
      <c r="I670" s="402"/>
      <c r="J670" s="402"/>
      <c r="K670" s="402"/>
      <c r="L670" s="402"/>
      <c r="M670" s="402"/>
      <c r="N670" s="402"/>
      <c r="O670" s="402"/>
      <c r="P670" s="402"/>
      <c r="Q670" s="402"/>
      <c r="R670" s="402"/>
      <c r="S670" s="402"/>
      <c r="T670" s="402"/>
      <c r="U670" s="402"/>
      <c r="V670" s="402"/>
      <c r="W670" s="402"/>
      <c r="X670" s="402"/>
      <c r="Y670" s="402"/>
      <c r="Z670" s="402"/>
    </row>
    <row r="671" ht="14.25" customHeight="1">
      <c r="A671" s="402"/>
      <c r="B671" s="402"/>
      <c r="C671" s="402"/>
      <c r="D671" s="402"/>
      <c r="E671" s="402"/>
      <c r="F671" s="403"/>
      <c r="G671" s="402"/>
      <c r="H671" s="402"/>
      <c r="I671" s="402"/>
      <c r="J671" s="402"/>
      <c r="K671" s="402"/>
      <c r="L671" s="402"/>
      <c r="M671" s="402"/>
      <c r="N671" s="402"/>
      <c r="O671" s="402"/>
      <c r="P671" s="402"/>
      <c r="Q671" s="402"/>
      <c r="R671" s="402"/>
      <c r="S671" s="402"/>
      <c r="T671" s="402"/>
      <c r="U671" s="402"/>
      <c r="V671" s="402"/>
      <c r="W671" s="402"/>
      <c r="X671" s="402"/>
      <c r="Y671" s="402"/>
      <c r="Z671" s="402"/>
    </row>
    <row r="672" ht="14.25" customHeight="1">
      <c r="A672" s="402"/>
      <c r="B672" s="402"/>
      <c r="C672" s="402"/>
      <c r="D672" s="402"/>
      <c r="E672" s="402"/>
      <c r="F672" s="403"/>
      <c r="G672" s="402"/>
      <c r="H672" s="402"/>
      <c r="I672" s="402"/>
      <c r="J672" s="402"/>
      <c r="K672" s="402"/>
      <c r="L672" s="402"/>
      <c r="M672" s="402"/>
      <c r="N672" s="402"/>
      <c r="O672" s="402"/>
      <c r="P672" s="402"/>
      <c r="Q672" s="402"/>
      <c r="R672" s="402"/>
      <c r="S672" s="402"/>
      <c r="T672" s="402"/>
      <c r="U672" s="402"/>
      <c r="V672" s="402"/>
      <c r="W672" s="402"/>
      <c r="X672" s="402"/>
      <c r="Y672" s="402"/>
      <c r="Z672" s="402"/>
    </row>
    <row r="673" ht="14.25" customHeight="1">
      <c r="A673" s="402"/>
      <c r="B673" s="402"/>
      <c r="C673" s="402"/>
      <c r="D673" s="402"/>
      <c r="E673" s="402"/>
      <c r="F673" s="403"/>
      <c r="G673" s="402"/>
      <c r="H673" s="402"/>
      <c r="I673" s="402"/>
      <c r="J673" s="402"/>
      <c r="K673" s="402"/>
      <c r="L673" s="402"/>
      <c r="M673" s="402"/>
      <c r="N673" s="402"/>
      <c r="O673" s="402"/>
      <c r="P673" s="402"/>
      <c r="Q673" s="402"/>
      <c r="R673" s="402"/>
      <c r="S673" s="402"/>
      <c r="T673" s="402"/>
      <c r="U673" s="402"/>
      <c r="V673" s="402"/>
      <c r="W673" s="402"/>
      <c r="X673" s="402"/>
      <c r="Y673" s="402"/>
      <c r="Z673" s="402"/>
    </row>
    <row r="674" ht="14.25" customHeight="1">
      <c r="A674" s="402"/>
      <c r="B674" s="402"/>
      <c r="C674" s="402"/>
      <c r="D674" s="402"/>
      <c r="E674" s="402"/>
      <c r="F674" s="403"/>
      <c r="G674" s="402"/>
      <c r="H674" s="402"/>
      <c r="I674" s="402"/>
      <c r="J674" s="402"/>
      <c r="K674" s="402"/>
      <c r="L674" s="402"/>
      <c r="M674" s="402"/>
      <c r="N674" s="402"/>
      <c r="O674" s="402"/>
      <c r="P674" s="402"/>
      <c r="Q674" s="402"/>
      <c r="R674" s="402"/>
      <c r="S674" s="402"/>
      <c r="T674" s="402"/>
      <c r="U674" s="402"/>
      <c r="V674" s="402"/>
      <c r="W674" s="402"/>
      <c r="X674" s="402"/>
      <c r="Y674" s="402"/>
      <c r="Z674" s="402"/>
    </row>
    <row r="675" ht="14.25" customHeight="1">
      <c r="A675" s="402"/>
      <c r="B675" s="402"/>
      <c r="C675" s="402"/>
      <c r="D675" s="402"/>
      <c r="E675" s="402"/>
      <c r="F675" s="403"/>
      <c r="G675" s="402"/>
      <c r="H675" s="402"/>
      <c r="I675" s="402"/>
      <c r="J675" s="402"/>
      <c r="K675" s="402"/>
      <c r="L675" s="402"/>
      <c r="M675" s="402"/>
      <c r="N675" s="402"/>
      <c r="O675" s="402"/>
      <c r="P675" s="402"/>
      <c r="Q675" s="402"/>
      <c r="R675" s="402"/>
      <c r="S675" s="402"/>
      <c r="T675" s="402"/>
      <c r="U675" s="402"/>
      <c r="V675" s="402"/>
      <c r="W675" s="402"/>
      <c r="X675" s="402"/>
      <c r="Y675" s="402"/>
      <c r="Z675" s="402"/>
    </row>
    <row r="676" ht="14.25" customHeight="1">
      <c r="A676" s="402"/>
      <c r="B676" s="402"/>
      <c r="C676" s="402"/>
      <c r="D676" s="402"/>
      <c r="E676" s="402"/>
      <c r="F676" s="403"/>
      <c r="G676" s="402"/>
      <c r="H676" s="402"/>
      <c r="I676" s="402"/>
      <c r="J676" s="402"/>
      <c r="K676" s="402"/>
      <c r="L676" s="402"/>
      <c r="M676" s="402"/>
      <c r="N676" s="402"/>
      <c r="O676" s="402"/>
      <c r="P676" s="402"/>
      <c r="Q676" s="402"/>
      <c r="R676" s="402"/>
      <c r="S676" s="402"/>
      <c r="T676" s="402"/>
      <c r="U676" s="402"/>
      <c r="V676" s="402"/>
      <c r="W676" s="402"/>
      <c r="X676" s="402"/>
      <c r="Y676" s="402"/>
      <c r="Z676" s="402"/>
    </row>
    <row r="677" ht="14.25" customHeight="1">
      <c r="A677" s="402"/>
      <c r="B677" s="402"/>
      <c r="C677" s="402"/>
      <c r="D677" s="402"/>
      <c r="E677" s="402"/>
      <c r="F677" s="403"/>
      <c r="G677" s="402"/>
      <c r="H677" s="402"/>
      <c r="I677" s="402"/>
      <c r="J677" s="402"/>
      <c r="K677" s="402"/>
      <c r="L677" s="402"/>
      <c r="M677" s="402"/>
      <c r="N677" s="402"/>
      <c r="O677" s="402"/>
      <c r="P677" s="402"/>
      <c r="Q677" s="402"/>
      <c r="R677" s="402"/>
      <c r="S677" s="402"/>
      <c r="T677" s="402"/>
      <c r="U677" s="402"/>
      <c r="V677" s="402"/>
      <c r="W677" s="402"/>
      <c r="X677" s="402"/>
      <c r="Y677" s="402"/>
      <c r="Z677" s="402"/>
    </row>
    <row r="678" ht="14.25" customHeight="1">
      <c r="A678" s="402"/>
      <c r="B678" s="402"/>
      <c r="C678" s="402"/>
      <c r="D678" s="402"/>
      <c r="E678" s="402"/>
      <c r="F678" s="403"/>
      <c r="G678" s="402"/>
      <c r="H678" s="402"/>
      <c r="I678" s="402"/>
      <c r="J678" s="402"/>
      <c r="K678" s="402"/>
      <c r="L678" s="402"/>
      <c r="M678" s="402"/>
      <c r="N678" s="402"/>
      <c r="O678" s="402"/>
      <c r="P678" s="402"/>
      <c r="Q678" s="402"/>
      <c r="R678" s="402"/>
      <c r="S678" s="402"/>
      <c r="T678" s="402"/>
      <c r="U678" s="402"/>
      <c r="V678" s="402"/>
      <c r="W678" s="402"/>
      <c r="X678" s="402"/>
      <c r="Y678" s="402"/>
      <c r="Z678" s="402"/>
    </row>
    <row r="679" ht="14.25" customHeight="1">
      <c r="A679" s="402"/>
      <c r="B679" s="402"/>
      <c r="C679" s="402"/>
      <c r="D679" s="402"/>
      <c r="E679" s="402"/>
      <c r="F679" s="403"/>
      <c r="G679" s="402"/>
      <c r="H679" s="402"/>
      <c r="I679" s="402"/>
      <c r="J679" s="402"/>
      <c r="K679" s="402"/>
      <c r="L679" s="402"/>
      <c r="M679" s="402"/>
      <c r="N679" s="402"/>
      <c r="O679" s="402"/>
      <c r="P679" s="402"/>
      <c r="Q679" s="402"/>
      <c r="R679" s="402"/>
      <c r="S679" s="402"/>
      <c r="T679" s="402"/>
      <c r="U679" s="402"/>
      <c r="V679" s="402"/>
      <c r="W679" s="402"/>
      <c r="X679" s="402"/>
      <c r="Y679" s="402"/>
      <c r="Z679" s="402"/>
    </row>
    <row r="680" ht="14.25" customHeight="1">
      <c r="A680" s="402"/>
      <c r="B680" s="402"/>
      <c r="C680" s="402"/>
      <c r="D680" s="402"/>
      <c r="E680" s="402"/>
      <c r="F680" s="403"/>
      <c r="G680" s="402"/>
      <c r="H680" s="402"/>
      <c r="I680" s="402"/>
      <c r="J680" s="402"/>
      <c r="K680" s="402"/>
      <c r="L680" s="402"/>
      <c r="M680" s="402"/>
      <c r="N680" s="402"/>
      <c r="O680" s="402"/>
      <c r="P680" s="402"/>
      <c r="Q680" s="402"/>
      <c r="R680" s="402"/>
      <c r="S680" s="402"/>
      <c r="T680" s="402"/>
      <c r="U680" s="402"/>
      <c r="V680" s="402"/>
      <c r="W680" s="402"/>
      <c r="X680" s="402"/>
      <c r="Y680" s="402"/>
      <c r="Z680" s="402"/>
    </row>
    <row r="681" ht="14.25" customHeight="1">
      <c r="A681" s="402"/>
      <c r="B681" s="402"/>
      <c r="C681" s="402"/>
      <c r="D681" s="402"/>
      <c r="E681" s="402"/>
      <c r="F681" s="403"/>
      <c r="G681" s="402"/>
      <c r="H681" s="402"/>
      <c r="I681" s="402"/>
      <c r="J681" s="402"/>
      <c r="K681" s="402"/>
      <c r="L681" s="402"/>
      <c r="M681" s="402"/>
      <c r="N681" s="402"/>
      <c r="O681" s="402"/>
      <c r="P681" s="402"/>
      <c r="Q681" s="402"/>
      <c r="R681" s="402"/>
      <c r="S681" s="402"/>
      <c r="T681" s="402"/>
      <c r="U681" s="402"/>
      <c r="V681" s="402"/>
      <c r="W681" s="402"/>
      <c r="X681" s="402"/>
      <c r="Y681" s="402"/>
      <c r="Z681" s="402"/>
    </row>
    <row r="682" ht="14.25" customHeight="1">
      <c r="A682" s="402"/>
      <c r="B682" s="402"/>
      <c r="C682" s="402"/>
      <c r="D682" s="402"/>
      <c r="E682" s="402"/>
      <c r="F682" s="403"/>
      <c r="G682" s="402"/>
      <c r="H682" s="402"/>
      <c r="I682" s="402"/>
      <c r="J682" s="402"/>
      <c r="K682" s="402"/>
      <c r="L682" s="402"/>
      <c r="M682" s="402"/>
      <c r="N682" s="402"/>
      <c r="O682" s="402"/>
      <c r="P682" s="402"/>
      <c r="Q682" s="402"/>
      <c r="R682" s="402"/>
      <c r="S682" s="402"/>
      <c r="T682" s="402"/>
      <c r="U682" s="402"/>
      <c r="V682" s="402"/>
      <c r="W682" s="402"/>
      <c r="X682" s="402"/>
      <c r="Y682" s="402"/>
      <c r="Z682" s="402"/>
    </row>
    <row r="683" ht="14.25" customHeight="1">
      <c r="A683" s="402"/>
      <c r="B683" s="402"/>
      <c r="C683" s="402"/>
      <c r="D683" s="402"/>
      <c r="E683" s="402"/>
      <c r="F683" s="403"/>
      <c r="G683" s="402"/>
      <c r="H683" s="402"/>
      <c r="I683" s="402"/>
      <c r="J683" s="402"/>
      <c r="K683" s="402"/>
      <c r="L683" s="402"/>
      <c r="M683" s="402"/>
      <c r="N683" s="402"/>
      <c r="O683" s="402"/>
      <c r="P683" s="402"/>
      <c r="Q683" s="402"/>
      <c r="R683" s="402"/>
      <c r="S683" s="402"/>
      <c r="T683" s="402"/>
      <c r="U683" s="402"/>
      <c r="V683" s="402"/>
      <c r="W683" s="402"/>
      <c r="X683" s="402"/>
      <c r="Y683" s="402"/>
      <c r="Z683" s="402"/>
    </row>
    <row r="684" ht="14.25" customHeight="1">
      <c r="A684" s="402"/>
      <c r="B684" s="402"/>
      <c r="C684" s="402"/>
      <c r="D684" s="402"/>
      <c r="E684" s="402"/>
      <c r="F684" s="403"/>
      <c r="G684" s="402"/>
      <c r="H684" s="402"/>
      <c r="I684" s="402"/>
      <c r="J684" s="402"/>
      <c r="K684" s="402"/>
      <c r="L684" s="402"/>
      <c r="M684" s="402"/>
      <c r="N684" s="402"/>
      <c r="O684" s="402"/>
      <c r="P684" s="402"/>
      <c r="Q684" s="402"/>
      <c r="R684" s="402"/>
      <c r="S684" s="402"/>
      <c r="T684" s="402"/>
      <c r="U684" s="402"/>
      <c r="V684" s="402"/>
      <c r="W684" s="402"/>
      <c r="X684" s="402"/>
      <c r="Y684" s="402"/>
      <c r="Z684" s="402"/>
    </row>
    <row r="685" ht="14.25" customHeight="1">
      <c r="A685" s="402"/>
      <c r="B685" s="402"/>
      <c r="C685" s="402"/>
      <c r="D685" s="402"/>
      <c r="E685" s="402"/>
      <c r="F685" s="403"/>
      <c r="G685" s="402"/>
      <c r="H685" s="402"/>
      <c r="I685" s="402"/>
      <c r="J685" s="402"/>
      <c r="K685" s="402"/>
      <c r="L685" s="402"/>
      <c r="M685" s="402"/>
      <c r="N685" s="402"/>
      <c r="O685" s="402"/>
      <c r="P685" s="402"/>
      <c r="Q685" s="402"/>
      <c r="R685" s="402"/>
      <c r="S685" s="402"/>
      <c r="T685" s="402"/>
      <c r="U685" s="402"/>
      <c r="V685" s="402"/>
      <c r="W685" s="402"/>
      <c r="X685" s="402"/>
      <c r="Y685" s="402"/>
      <c r="Z685" s="402"/>
    </row>
    <row r="686" ht="14.25" customHeight="1">
      <c r="A686" s="402"/>
      <c r="B686" s="402"/>
      <c r="C686" s="402"/>
      <c r="D686" s="402"/>
      <c r="E686" s="402"/>
      <c r="F686" s="403"/>
      <c r="G686" s="402"/>
      <c r="H686" s="402"/>
      <c r="I686" s="402"/>
      <c r="J686" s="402"/>
      <c r="K686" s="402"/>
      <c r="L686" s="402"/>
      <c r="M686" s="402"/>
      <c r="N686" s="402"/>
      <c r="O686" s="402"/>
      <c r="P686" s="402"/>
      <c r="Q686" s="402"/>
      <c r="R686" s="402"/>
      <c r="S686" s="402"/>
      <c r="T686" s="402"/>
      <c r="U686" s="402"/>
      <c r="V686" s="402"/>
      <c r="W686" s="402"/>
      <c r="X686" s="402"/>
      <c r="Y686" s="402"/>
      <c r="Z686" s="402"/>
    </row>
    <row r="687" ht="14.25" customHeight="1">
      <c r="A687" s="402"/>
      <c r="B687" s="402"/>
      <c r="C687" s="402"/>
      <c r="D687" s="402"/>
      <c r="E687" s="402"/>
      <c r="F687" s="403"/>
      <c r="G687" s="402"/>
      <c r="H687" s="402"/>
      <c r="I687" s="402"/>
      <c r="J687" s="402"/>
      <c r="K687" s="402"/>
      <c r="L687" s="402"/>
      <c r="M687" s="402"/>
      <c r="N687" s="402"/>
      <c r="O687" s="402"/>
      <c r="P687" s="402"/>
      <c r="Q687" s="402"/>
      <c r="R687" s="402"/>
      <c r="S687" s="402"/>
      <c r="T687" s="402"/>
      <c r="U687" s="402"/>
      <c r="V687" s="402"/>
      <c r="W687" s="402"/>
      <c r="X687" s="402"/>
      <c r="Y687" s="402"/>
      <c r="Z687" s="402"/>
    </row>
    <row r="688" ht="14.25" customHeight="1">
      <c r="A688" s="402"/>
      <c r="B688" s="402"/>
      <c r="C688" s="402"/>
      <c r="D688" s="402"/>
      <c r="E688" s="402"/>
      <c r="F688" s="403"/>
      <c r="G688" s="402"/>
      <c r="H688" s="402"/>
      <c r="I688" s="402"/>
      <c r="J688" s="402"/>
      <c r="K688" s="402"/>
      <c r="L688" s="402"/>
      <c r="M688" s="402"/>
      <c r="N688" s="402"/>
      <c r="O688" s="402"/>
      <c r="P688" s="402"/>
      <c r="Q688" s="402"/>
      <c r="R688" s="402"/>
      <c r="S688" s="402"/>
      <c r="T688" s="402"/>
      <c r="U688" s="402"/>
      <c r="V688" s="402"/>
      <c r="W688" s="402"/>
      <c r="X688" s="402"/>
      <c r="Y688" s="402"/>
      <c r="Z688" s="402"/>
    </row>
    <row r="689" ht="14.25" customHeight="1">
      <c r="A689" s="402"/>
      <c r="B689" s="402"/>
      <c r="C689" s="402"/>
      <c r="D689" s="402"/>
      <c r="E689" s="402"/>
      <c r="F689" s="403"/>
      <c r="G689" s="402"/>
      <c r="H689" s="402"/>
      <c r="I689" s="402"/>
      <c r="J689" s="402"/>
      <c r="K689" s="402"/>
      <c r="L689" s="402"/>
      <c r="M689" s="402"/>
      <c r="N689" s="402"/>
      <c r="O689" s="402"/>
      <c r="P689" s="402"/>
      <c r="Q689" s="402"/>
      <c r="R689" s="402"/>
      <c r="S689" s="402"/>
      <c r="T689" s="402"/>
      <c r="U689" s="402"/>
      <c r="V689" s="402"/>
      <c r="W689" s="402"/>
      <c r="X689" s="402"/>
      <c r="Y689" s="402"/>
      <c r="Z689" s="402"/>
    </row>
    <row r="690" ht="14.25" customHeight="1">
      <c r="A690" s="402"/>
      <c r="B690" s="402"/>
      <c r="C690" s="402"/>
      <c r="D690" s="402"/>
      <c r="E690" s="402"/>
      <c r="F690" s="403"/>
      <c r="G690" s="402"/>
      <c r="H690" s="402"/>
      <c r="I690" s="402"/>
      <c r="J690" s="402"/>
      <c r="K690" s="402"/>
      <c r="L690" s="402"/>
      <c r="M690" s="402"/>
      <c r="N690" s="402"/>
      <c r="O690" s="402"/>
      <c r="P690" s="402"/>
      <c r="Q690" s="402"/>
      <c r="R690" s="402"/>
      <c r="S690" s="402"/>
      <c r="T690" s="402"/>
      <c r="U690" s="402"/>
      <c r="V690" s="402"/>
      <c r="W690" s="402"/>
      <c r="X690" s="402"/>
      <c r="Y690" s="402"/>
      <c r="Z690" s="402"/>
    </row>
    <row r="691" ht="14.25" customHeight="1">
      <c r="A691" s="402"/>
      <c r="B691" s="402"/>
      <c r="C691" s="402"/>
      <c r="D691" s="402"/>
      <c r="E691" s="402"/>
      <c r="F691" s="403"/>
      <c r="G691" s="402"/>
      <c r="H691" s="402"/>
      <c r="I691" s="402"/>
      <c r="J691" s="402"/>
      <c r="K691" s="402"/>
      <c r="L691" s="402"/>
      <c r="M691" s="402"/>
      <c r="N691" s="402"/>
      <c r="O691" s="402"/>
      <c r="P691" s="402"/>
      <c r="Q691" s="402"/>
      <c r="R691" s="402"/>
      <c r="S691" s="402"/>
      <c r="T691" s="402"/>
      <c r="U691" s="402"/>
      <c r="V691" s="402"/>
      <c r="W691" s="402"/>
      <c r="X691" s="402"/>
      <c r="Y691" s="402"/>
      <c r="Z691" s="402"/>
    </row>
    <row r="692" ht="14.25" customHeight="1">
      <c r="A692" s="402"/>
      <c r="B692" s="402"/>
      <c r="C692" s="402"/>
      <c r="D692" s="402"/>
      <c r="E692" s="402"/>
      <c r="F692" s="403"/>
      <c r="G692" s="402"/>
      <c r="H692" s="402"/>
      <c r="I692" s="402"/>
      <c r="J692" s="402"/>
      <c r="K692" s="402"/>
      <c r="L692" s="402"/>
      <c r="M692" s="402"/>
      <c r="N692" s="402"/>
      <c r="O692" s="402"/>
      <c r="P692" s="402"/>
      <c r="Q692" s="402"/>
      <c r="R692" s="402"/>
      <c r="S692" s="402"/>
      <c r="T692" s="402"/>
      <c r="U692" s="402"/>
      <c r="V692" s="402"/>
      <c r="W692" s="402"/>
      <c r="X692" s="402"/>
      <c r="Y692" s="402"/>
      <c r="Z692" s="402"/>
    </row>
    <row r="693" ht="14.25" customHeight="1">
      <c r="A693" s="402"/>
      <c r="B693" s="402"/>
      <c r="C693" s="402"/>
      <c r="D693" s="402"/>
      <c r="E693" s="402"/>
      <c r="F693" s="403"/>
      <c r="G693" s="402"/>
      <c r="H693" s="402"/>
      <c r="I693" s="402"/>
      <c r="J693" s="402"/>
      <c r="K693" s="402"/>
      <c r="L693" s="402"/>
      <c r="M693" s="402"/>
      <c r="N693" s="402"/>
      <c r="O693" s="402"/>
      <c r="P693" s="402"/>
      <c r="Q693" s="402"/>
      <c r="R693" s="402"/>
      <c r="S693" s="402"/>
      <c r="T693" s="402"/>
      <c r="U693" s="402"/>
      <c r="V693" s="402"/>
      <c r="W693" s="402"/>
      <c r="X693" s="402"/>
      <c r="Y693" s="402"/>
      <c r="Z693" s="402"/>
    </row>
    <row r="694" ht="14.25" customHeight="1">
      <c r="A694" s="402"/>
      <c r="B694" s="402"/>
      <c r="C694" s="402"/>
      <c r="D694" s="402"/>
      <c r="E694" s="402"/>
      <c r="F694" s="403"/>
      <c r="G694" s="402"/>
      <c r="H694" s="402"/>
      <c r="I694" s="402"/>
      <c r="J694" s="402"/>
      <c r="K694" s="402"/>
      <c r="L694" s="402"/>
      <c r="M694" s="402"/>
      <c r="N694" s="402"/>
      <c r="O694" s="402"/>
      <c r="P694" s="402"/>
      <c r="Q694" s="402"/>
      <c r="R694" s="402"/>
      <c r="S694" s="402"/>
      <c r="T694" s="402"/>
      <c r="U694" s="402"/>
      <c r="V694" s="402"/>
      <c r="W694" s="402"/>
      <c r="X694" s="402"/>
      <c r="Y694" s="402"/>
      <c r="Z694" s="402"/>
    </row>
    <row r="695" ht="14.25" customHeight="1">
      <c r="A695" s="402"/>
      <c r="B695" s="402"/>
      <c r="C695" s="402"/>
      <c r="D695" s="402"/>
      <c r="E695" s="402"/>
      <c r="F695" s="403"/>
      <c r="G695" s="402"/>
      <c r="H695" s="402"/>
      <c r="I695" s="402"/>
      <c r="J695" s="402"/>
      <c r="K695" s="402"/>
      <c r="L695" s="402"/>
      <c r="M695" s="402"/>
      <c r="N695" s="402"/>
      <c r="O695" s="402"/>
      <c r="P695" s="402"/>
      <c r="Q695" s="402"/>
      <c r="R695" s="402"/>
      <c r="S695" s="402"/>
      <c r="T695" s="402"/>
      <c r="U695" s="402"/>
      <c r="V695" s="402"/>
      <c r="W695" s="402"/>
      <c r="X695" s="402"/>
      <c r="Y695" s="402"/>
      <c r="Z695" s="402"/>
    </row>
    <row r="696" ht="14.25" customHeight="1">
      <c r="A696" s="402"/>
      <c r="B696" s="402"/>
      <c r="C696" s="402"/>
      <c r="D696" s="402"/>
      <c r="E696" s="402"/>
      <c r="F696" s="403"/>
      <c r="G696" s="402"/>
      <c r="H696" s="402"/>
      <c r="I696" s="402"/>
      <c r="J696" s="402"/>
      <c r="K696" s="402"/>
      <c r="L696" s="402"/>
      <c r="M696" s="402"/>
      <c r="N696" s="402"/>
      <c r="O696" s="402"/>
      <c r="P696" s="402"/>
      <c r="Q696" s="402"/>
      <c r="R696" s="402"/>
      <c r="S696" s="402"/>
      <c r="T696" s="402"/>
      <c r="U696" s="402"/>
      <c r="V696" s="402"/>
      <c r="W696" s="402"/>
      <c r="X696" s="402"/>
      <c r="Y696" s="402"/>
      <c r="Z696" s="402"/>
    </row>
    <row r="697" ht="14.25" customHeight="1">
      <c r="A697" s="402"/>
      <c r="B697" s="402"/>
      <c r="C697" s="402"/>
      <c r="D697" s="402"/>
      <c r="E697" s="402"/>
      <c r="F697" s="403"/>
      <c r="G697" s="402"/>
      <c r="H697" s="402"/>
      <c r="I697" s="402"/>
      <c r="J697" s="402"/>
      <c r="K697" s="402"/>
      <c r="L697" s="402"/>
      <c r="M697" s="402"/>
      <c r="N697" s="402"/>
      <c r="O697" s="402"/>
      <c r="P697" s="402"/>
      <c r="Q697" s="402"/>
      <c r="R697" s="402"/>
      <c r="S697" s="402"/>
      <c r="T697" s="402"/>
      <c r="U697" s="402"/>
      <c r="V697" s="402"/>
      <c r="W697" s="402"/>
      <c r="X697" s="402"/>
      <c r="Y697" s="402"/>
      <c r="Z697" s="402"/>
    </row>
    <row r="698" ht="14.25" customHeight="1">
      <c r="A698" s="402"/>
      <c r="B698" s="402"/>
      <c r="C698" s="402"/>
      <c r="D698" s="402"/>
      <c r="E698" s="402"/>
      <c r="F698" s="403"/>
      <c r="G698" s="402"/>
      <c r="H698" s="402"/>
      <c r="I698" s="402"/>
      <c r="J698" s="402"/>
      <c r="K698" s="402"/>
      <c r="L698" s="402"/>
      <c r="M698" s="402"/>
      <c r="N698" s="402"/>
      <c r="O698" s="402"/>
      <c r="P698" s="402"/>
      <c r="Q698" s="402"/>
      <c r="R698" s="402"/>
      <c r="S698" s="402"/>
      <c r="T698" s="402"/>
      <c r="U698" s="402"/>
      <c r="V698" s="402"/>
      <c r="W698" s="402"/>
      <c r="X698" s="402"/>
      <c r="Y698" s="402"/>
      <c r="Z698" s="402"/>
    </row>
    <row r="699" ht="14.25" customHeight="1">
      <c r="A699" s="402"/>
      <c r="B699" s="402"/>
      <c r="C699" s="402"/>
      <c r="D699" s="402"/>
      <c r="E699" s="402"/>
      <c r="F699" s="403"/>
      <c r="G699" s="402"/>
      <c r="H699" s="402"/>
      <c r="I699" s="402"/>
      <c r="J699" s="402"/>
      <c r="K699" s="402"/>
      <c r="L699" s="402"/>
      <c r="M699" s="402"/>
      <c r="N699" s="402"/>
      <c r="O699" s="402"/>
      <c r="P699" s="402"/>
      <c r="Q699" s="402"/>
      <c r="R699" s="402"/>
      <c r="S699" s="402"/>
      <c r="T699" s="402"/>
      <c r="U699" s="402"/>
      <c r="V699" s="402"/>
      <c r="W699" s="402"/>
      <c r="X699" s="402"/>
      <c r="Y699" s="402"/>
      <c r="Z699" s="402"/>
    </row>
    <row r="700" ht="14.25" customHeight="1">
      <c r="A700" s="402"/>
      <c r="B700" s="402"/>
      <c r="C700" s="402"/>
      <c r="D700" s="402"/>
      <c r="E700" s="402"/>
      <c r="F700" s="403"/>
      <c r="G700" s="402"/>
      <c r="H700" s="402"/>
      <c r="I700" s="402"/>
      <c r="J700" s="402"/>
      <c r="K700" s="402"/>
      <c r="L700" s="402"/>
      <c r="M700" s="402"/>
      <c r="N700" s="402"/>
      <c r="O700" s="402"/>
      <c r="P700" s="402"/>
      <c r="Q700" s="402"/>
      <c r="R700" s="402"/>
      <c r="S700" s="402"/>
      <c r="T700" s="402"/>
      <c r="U700" s="402"/>
      <c r="V700" s="402"/>
      <c r="W700" s="402"/>
      <c r="X700" s="402"/>
      <c r="Y700" s="402"/>
      <c r="Z700" s="402"/>
    </row>
    <row r="701" ht="14.25" customHeight="1">
      <c r="A701" s="402"/>
      <c r="B701" s="402"/>
      <c r="C701" s="402"/>
      <c r="D701" s="402"/>
      <c r="E701" s="402"/>
      <c r="F701" s="403"/>
      <c r="G701" s="402"/>
      <c r="H701" s="402"/>
      <c r="I701" s="402"/>
      <c r="J701" s="402"/>
      <c r="K701" s="402"/>
      <c r="L701" s="402"/>
      <c r="M701" s="402"/>
      <c r="N701" s="402"/>
      <c r="O701" s="402"/>
      <c r="P701" s="402"/>
      <c r="Q701" s="402"/>
      <c r="R701" s="402"/>
      <c r="S701" s="402"/>
      <c r="T701" s="402"/>
      <c r="U701" s="402"/>
      <c r="V701" s="402"/>
      <c r="W701" s="402"/>
      <c r="X701" s="402"/>
      <c r="Y701" s="402"/>
      <c r="Z701" s="402"/>
    </row>
    <row r="702" ht="14.25" customHeight="1">
      <c r="A702" s="402"/>
      <c r="B702" s="402"/>
      <c r="C702" s="402"/>
      <c r="D702" s="402"/>
      <c r="E702" s="402"/>
      <c r="F702" s="403"/>
      <c r="G702" s="402"/>
      <c r="H702" s="402"/>
      <c r="I702" s="402"/>
      <c r="J702" s="402"/>
      <c r="K702" s="402"/>
      <c r="L702" s="402"/>
      <c r="M702" s="402"/>
      <c r="N702" s="402"/>
      <c r="O702" s="402"/>
      <c r="P702" s="402"/>
      <c r="Q702" s="402"/>
      <c r="R702" s="402"/>
      <c r="S702" s="402"/>
      <c r="T702" s="402"/>
      <c r="U702" s="402"/>
      <c r="V702" s="402"/>
      <c r="W702" s="402"/>
      <c r="X702" s="402"/>
      <c r="Y702" s="402"/>
      <c r="Z702" s="402"/>
    </row>
    <row r="703" ht="14.25" customHeight="1">
      <c r="A703" s="402"/>
      <c r="B703" s="402"/>
      <c r="C703" s="402"/>
      <c r="D703" s="402"/>
      <c r="E703" s="402"/>
      <c r="F703" s="403"/>
      <c r="G703" s="402"/>
      <c r="H703" s="402"/>
      <c r="I703" s="402"/>
      <c r="J703" s="402"/>
      <c r="K703" s="402"/>
      <c r="L703" s="402"/>
      <c r="M703" s="402"/>
      <c r="N703" s="402"/>
      <c r="O703" s="402"/>
      <c r="P703" s="402"/>
      <c r="Q703" s="402"/>
      <c r="R703" s="402"/>
      <c r="S703" s="402"/>
      <c r="T703" s="402"/>
      <c r="U703" s="402"/>
      <c r="V703" s="402"/>
      <c r="W703" s="402"/>
      <c r="X703" s="402"/>
      <c r="Y703" s="402"/>
      <c r="Z703" s="402"/>
    </row>
    <row r="704" ht="14.25" customHeight="1">
      <c r="A704" s="402"/>
      <c r="B704" s="402"/>
      <c r="C704" s="402"/>
      <c r="D704" s="402"/>
      <c r="E704" s="402"/>
      <c r="F704" s="403"/>
      <c r="G704" s="402"/>
      <c r="H704" s="402"/>
      <c r="I704" s="402"/>
      <c r="J704" s="402"/>
      <c r="K704" s="402"/>
      <c r="L704" s="402"/>
      <c r="M704" s="402"/>
      <c r="N704" s="402"/>
      <c r="O704" s="402"/>
      <c r="P704" s="402"/>
      <c r="Q704" s="402"/>
      <c r="R704" s="402"/>
      <c r="S704" s="402"/>
      <c r="T704" s="402"/>
      <c r="U704" s="402"/>
      <c r="V704" s="402"/>
      <c r="W704" s="402"/>
      <c r="X704" s="402"/>
      <c r="Y704" s="402"/>
      <c r="Z704" s="402"/>
    </row>
    <row r="705" ht="14.25" customHeight="1">
      <c r="A705" s="402"/>
      <c r="B705" s="402"/>
      <c r="C705" s="402"/>
      <c r="D705" s="402"/>
      <c r="E705" s="402"/>
      <c r="F705" s="403"/>
      <c r="G705" s="402"/>
      <c r="H705" s="402"/>
      <c r="I705" s="402"/>
      <c r="J705" s="402"/>
      <c r="K705" s="402"/>
      <c r="L705" s="402"/>
      <c r="M705" s="402"/>
      <c r="N705" s="402"/>
      <c r="O705" s="402"/>
      <c r="P705" s="402"/>
      <c r="Q705" s="402"/>
      <c r="R705" s="402"/>
      <c r="S705" s="402"/>
      <c r="T705" s="402"/>
      <c r="U705" s="402"/>
      <c r="V705" s="402"/>
      <c r="W705" s="402"/>
      <c r="X705" s="402"/>
      <c r="Y705" s="402"/>
      <c r="Z705" s="402"/>
    </row>
    <row r="706" ht="14.25" customHeight="1">
      <c r="A706" s="402"/>
      <c r="B706" s="402"/>
      <c r="C706" s="402"/>
      <c r="D706" s="402"/>
      <c r="E706" s="402"/>
      <c r="F706" s="403"/>
      <c r="G706" s="402"/>
      <c r="H706" s="402"/>
      <c r="I706" s="402"/>
      <c r="J706" s="402"/>
      <c r="K706" s="402"/>
      <c r="L706" s="402"/>
      <c r="M706" s="402"/>
      <c r="N706" s="402"/>
      <c r="O706" s="402"/>
      <c r="P706" s="402"/>
      <c r="Q706" s="402"/>
      <c r="R706" s="402"/>
      <c r="S706" s="402"/>
      <c r="T706" s="402"/>
      <c r="U706" s="402"/>
      <c r="V706" s="402"/>
      <c r="W706" s="402"/>
      <c r="X706" s="402"/>
      <c r="Y706" s="402"/>
      <c r="Z706" s="402"/>
    </row>
    <row r="707" ht="14.25" customHeight="1">
      <c r="A707" s="402"/>
      <c r="B707" s="402"/>
      <c r="C707" s="402"/>
      <c r="D707" s="402"/>
      <c r="E707" s="402"/>
      <c r="F707" s="403"/>
      <c r="G707" s="402"/>
      <c r="H707" s="402"/>
      <c r="I707" s="402"/>
      <c r="J707" s="402"/>
      <c r="K707" s="402"/>
      <c r="L707" s="402"/>
      <c r="M707" s="402"/>
      <c r="N707" s="402"/>
      <c r="O707" s="402"/>
      <c r="P707" s="402"/>
      <c r="Q707" s="402"/>
      <c r="R707" s="402"/>
      <c r="S707" s="402"/>
      <c r="T707" s="402"/>
      <c r="U707" s="402"/>
      <c r="V707" s="402"/>
      <c r="W707" s="402"/>
      <c r="X707" s="402"/>
      <c r="Y707" s="402"/>
      <c r="Z707" s="402"/>
    </row>
    <row r="708" ht="14.25" customHeight="1">
      <c r="A708" s="402"/>
      <c r="B708" s="402"/>
      <c r="C708" s="402"/>
      <c r="D708" s="402"/>
      <c r="E708" s="402"/>
      <c r="F708" s="403"/>
      <c r="G708" s="402"/>
      <c r="H708" s="402"/>
      <c r="I708" s="402"/>
      <c r="J708" s="402"/>
      <c r="K708" s="402"/>
      <c r="L708" s="402"/>
      <c r="M708" s="402"/>
      <c r="N708" s="402"/>
      <c r="O708" s="402"/>
      <c r="P708" s="402"/>
      <c r="Q708" s="402"/>
      <c r="R708" s="402"/>
      <c r="S708" s="402"/>
      <c r="T708" s="402"/>
      <c r="U708" s="402"/>
      <c r="V708" s="402"/>
      <c r="W708" s="402"/>
      <c r="X708" s="402"/>
      <c r="Y708" s="402"/>
      <c r="Z708" s="402"/>
    </row>
    <row r="709" ht="14.25" customHeight="1">
      <c r="A709" s="402"/>
      <c r="B709" s="402"/>
      <c r="C709" s="402"/>
      <c r="D709" s="402"/>
      <c r="E709" s="402"/>
      <c r="F709" s="403"/>
      <c r="G709" s="402"/>
      <c r="H709" s="402"/>
      <c r="I709" s="402"/>
      <c r="J709" s="402"/>
      <c r="K709" s="402"/>
      <c r="L709" s="402"/>
      <c r="M709" s="402"/>
      <c r="N709" s="402"/>
      <c r="O709" s="402"/>
      <c r="P709" s="402"/>
      <c r="Q709" s="402"/>
      <c r="R709" s="402"/>
      <c r="S709" s="402"/>
      <c r="T709" s="402"/>
      <c r="U709" s="402"/>
      <c r="V709" s="402"/>
      <c r="W709" s="402"/>
      <c r="X709" s="402"/>
      <c r="Y709" s="402"/>
      <c r="Z709" s="402"/>
    </row>
    <row r="710" ht="14.25" customHeight="1">
      <c r="A710" s="402"/>
      <c r="B710" s="402"/>
      <c r="C710" s="402"/>
      <c r="D710" s="402"/>
      <c r="E710" s="402"/>
      <c r="F710" s="403"/>
      <c r="G710" s="402"/>
      <c r="H710" s="402"/>
      <c r="I710" s="402"/>
      <c r="J710" s="402"/>
      <c r="K710" s="402"/>
      <c r="L710" s="402"/>
      <c r="M710" s="402"/>
      <c r="N710" s="402"/>
      <c r="O710" s="402"/>
      <c r="P710" s="402"/>
      <c r="Q710" s="402"/>
      <c r="R710" s="402"/>
      <c r="S710" s="402"/>
      <c r="T710" s="402"/>
      <c r="U710" s="402"/>
      <c r="V710" s="402"/>
      <c r="W710" s="402"/>
      <c r="X710" s="402"/>
      <c r="Y710" s="402"/>
      <c r="Z710" s="402"/>
    </row>
    <row r="711" ht="14.25" customHeight="1">
      <c r="A711" s="402"/>
      <c r="B711" s="402"/>
      <c r="C711" s="402"/>
      <c r="D711" s="402"/>
      <c r="E711" s="402"/>
      <c r="F711" s="403"/>
      <c r="G711" s="402"/>
      <c r="H711" s="402"/>
      <c r="I711" s="402"/>
      <c r="J711" s="402"/>
      <c r="K711" s="402"/>
      <c r="L711" s="402"/>
      <c r="M711" s="402"/>
      <c r="N711" s="402"/>
      <c r="O711" s="402"/>
      <c r="P711" s="402"/>
      <c r="Q711" s="402"/>
      <c r="R711" s="402"/>
      <c r="S711" s="402"/>
      <c r="T711" s="402"/>
      <c r="U711" s="402"/>
      <c r="V711" s="402"/>
      <c r="W711" s="402"/>
      <c r="X711" s="402"/>
      <c r="Y711" s="402"/>
      <c r="Z711" s="402"/>
    </row>
    <row r="712" ht="14.25" customHeight="1">
      <c r="A712" s="402"/>
      <c r="B712" s="402"/>
      <c r="C712" s="402"/>
      <c r="D712" s="402"/>
      <c r="E712" s="402"/>
      <c r="F712" s="403"/>
      <c r="G712" s="402"/>
      <c r="H712" s="402"/>
      <c r="I712" s="402"/>
      <c r="J712" s="402"/>
      <c r="K712" s="402"/>
      <c r="L712" s="402"/>
      <c r="M712" s="402"/>
      <c r="N712" s="402"/>
      <c r="O712" s="402"/>
      <c r="P712" s="402"/>
      <c r="Q712" s="402"/>
      <c r="R712" s="402"/>
      <c r="S712" s="402"/>
      <c r="T712" s="402"/>
      <c r="U712" s="402"/>
      <c r="V712" s="402"/>
      <c r="W712" s="402"/>
      <c r="X712" s="402"/>
      <c r="Y712" s="402"/>
      <c r="Z712" s="402"/>
    </row>
    <row r="713" ht="14.25" customHeight="1">
      <c r="A713" s="402"/>
      <c r="B713" s="402"/>
      <c r="C713" s="402"/>
      <c r="D713" s="402"/>
      <c r="E713" s="402"/>
      <c r="F713" s="403"/>
      <c r="G713" s="402"/>
      <c r="H713" s="402"/>
      <c r="I713" s="402"/>
      <c r="J713" s="402"/>
      <c r="K713" s="402"/>
      <c r="L713" s="402"/>
      <c r="M713" s="402"/>
      <c r="N713" s="402"/>
      <c r="O713" s="402"/>
      <c r="P713" s="402"/>
      <c r="Q713" s="402"/>
      <c r="R713" s="402"/>
      <c r="S713" s="402"/>
      <c r="T713" s="402"/>
      <c r="U713" s="402"/>
      <c r="V713" s="402"/>
      <c r="W713" s="402"/>
      <c r="X713" s="402"/>
      <c r="Y713" s="402"/>
      <c r="Z713" s="402"/>
    </row>
    <row r="714" ht="14.25" customHeight="1">
      <c r="A714" s="402"/>
      <c r="B714" s="402"/>
      <c r="C714" s="402"/>
      <c r="D714" s="402"/>
      <c r="E714" s="402"/>
      <c r="F714" s="403"/>
      <c r="G714" s="402"/>
      <c r="H714" s="402"/>
      <c r="I714" s="402"/>
      <c r="J714" s="402"/>
      <c r="K714" s="402"/>
      <c r="L714" s="402"/>
      <c r="M714" s="402"/>
      <c r="N714" s="402"/>
      <c r="O714" s="402"/>
      <c r="P714" s="402"/>
      <c r="Q714" s="402"/>
      <c r="R714" s="402"/>
      <c r="S714" s="402"/>
      <c r="T714" s="402"/>
      <c r="U714" s="402"/>
      <c r="V714" s="402"/>
      <c r="W714" s="402"/>
      <c r="X714" s="402"/>
      <c r="Y714" s="402"/>
      <c r="Z714" s="402"/>
    </row>
    <row r="715" ht="14.25" customHeight="1">
      <c r="A715" s="402"/>
      <c r="B715" s="402"/>
      <c r="C715" s="402"/>
      <c r="D715" s="402"/>
      <c r="E715" s="402"/>
      <c r="F715" s="403"/>
      <c r="G715" s="402"/>
      <c r="H715" s="402"/>
      <c r="I715" s="402"/>
      <c r="J715" s="402"/>
      <c r="K715" s="402"/>
      <c r="L715" s="402"/>
      <c r="M715" s="402"/>
      <c r="N715" s="402"/>
      <c r="O715" s="402"/>
      <c r="P715" s="402"/>
      <c r="Q715" s="402"/>
      <c r="R715" s="402"/>
      <c r="S715" s="402"/>
      <c r="T715" s="402"/>
      <c r="U715" s="402"/>
      <c r="V715" s="402"/>
      <c r="W715" s="402"/>
      <c r="X715" s="402"/>
      <c r="Y715" s="402"/>
      <c r="Z715" s="402"/>
    </row>
    <row r="716" ht="14.25" customHeight="1">
      <c r="A716" s="402"/>
      <c r="B716" s="402"/>
      <c r="C716" s="402"/>
      <c r="D716" s="402"/>
      <c r="E716" s="402"/>
      <c r="F716" s="403"/>
      <c r="G716" s="402"/>
      <c r="H716" s="402"/>
      <c r="I716" s="402"/>
      <c r="J716" s="402"/>
      <c r="K716" s="402"/>
      <c r="L716" s="402"/>
      <c r="M716" s="402"/>
      <c r="N716" s="402"/>
      <c r="O716" s="402"/>
      <c r="P716" s="402"/>
      <c r="Q716" s="402"/>
      <c r="R716" s="402"/>
      <c r="S716" s="402"/>
      <c r="T716" s="402"/>
      <c r="U716" s="402"/>
      <c r="V716" s="402"/>
      <c r="W716" s="402"/>
      <c r="X716" s="402"/>
      <c r="Y716" s="402"/>
      <c r="Z716" s="402"/>
    </row>
    <row r="717" ht="14.25" customHeight="1">
      <c r="A717" s="402"/>
      <c r="B717" s="402"/>
      <c r="C717" s="402"/>
      <c r="D717" s="402"/>
      <c r="E717" s="402"/>
      <c r="F717" s="403"/>
      <c r="G717" s="402"/>
      <c r="H717" s="402"/>
      <c r="I717" s="402"/>
      <c r="J717" s="402"/>
      <c r="K717" s="402"/>
      <c r="L717" s="402"/>
      <c r="M717" s="402"/>
      <c r="N717" s="402"/>
      <c r="O717" s="402"/>
      <c r="P717" s="402"/>
      <c r="Q717" s="402"/>
      <c r="R717" s="402"/>
      <c r="S717" s="402"/>
      <c r="T717" s="402"/>
      <c r="U717" s="402"/>
      <c r="V717" s="402"/>
      <c r="W717" s="402"/>
      <c r="X717" s="402"/>
      <c r="Y717" s="402"/>
      <c r="Z717" s="402"/>
    </row>
    <row r="718" ht="14.25" customHeight="1">
      <c r="A718" s="402"/>
      <c r="B718" s="402"/>
      <c r="C718" s="402"/>
      <c r="D718" s="402"/>
      <c r="E718" s="402"/>
      <c r="F718" s="403"/>
      <c r="G718" s="402"/>
      <c r="H718" s="402"/>
      <c r="I718" s="402"/>
      <c r="J718" s="402"/>
      <c r="K718" s="402"/>
      <c r="L718" s="402"/>
      <c r="M718" s="402"/>
      <c r="N718" s="402"/>
      <c r="O718" s="402"/>
      <c r="P718" s="402"/>
      <c r="Q718" s="402"/>
      <c r="R718" s="402"/>
      <c r="S718" s="402"/>
      <c r="T718" s="402"/>
      <c r="U718" s="402"/>
      <c r="V718" s="402"/>
      <c r="W718" s="402"/>
      <c r="X718" s="402"/>
      <c r="Y718" s="402"/>
      <c r="Z718" s="402"/>
    </row>
    <row r="719" ht="14.25" customHeight="1">
      <c r="A719" s="402"/>
      <c r="B719" s="402"/>
      <c r="C719" s="402"/>
      <c r="D719" s="402"/>
      <c r="E719" s="402"/>
      <c r="F719" s="403"/>
      <c r="G719" s="402"/>
      <c r="H719" s="402"/>
      <c r="I719" s="402"/>
      <c r="J719" s="402"/>
      <c r="K719" s="402"/>
      <c r="L719" s="402"/>
      <c r="M719" s="402"/>
      <c r="N719" s="402"/>
      <c r="O719" s="402"/>
      <c r="P719" s="402"/>
      <c r="Q719" s="402"/>
      <c r="R719" s="402"/>
      <c r="S719" s="402"/>
      <c r="T719" s="402"/>
      <c r="U719" s="402"/>
      <c r="V719" s="402"/>
      <c r="W719" s="402"/>
      <c r="X719" s="402"/>
      <c r="Y719" s="402"/>
      <c r="Z719" s="402"/>
    </row>
    <row r="720" ht="14.25" customHeight="1">
      <c r="A720" s="402"/>
      <c r="B720" s="402"/>
      <c r="C720" s="402"/>
      <c r="D720" s="402"/>
      <c r="E720" s="402"/>
      <c r="F720" s="403"/>
      <c r="G720" s="402"/>
      <c r="H720" s="402"/>
      <c r="I720" s="402"/>
      <c r="J720" s="402"/>
      <c r="K720" s="402"/>
      <c r="L720" s="402"/>
      <c r="M720" s="402"/>
      <c r="N720" s="402"/>
      <c r="O720" s="402"/>
      <c r="P720" s="402"/>
      <c r="Q720" s="402"/>
      <c r="R720" s="402"/>
      <c r="S720" s="402"/>
      <c r="T720" s="402"/>
      <c r="U720" s="402"/>
      <c r="V720" s="402"/>
      <c r="W720" s="402"/>
      <c r="X720" s="402"/>
      <c r="Y720" s="402"/>
      <c r="Z720" s="402"/>
    </row>
    <row r="721" ht="14.25" customHeight="1">
      <c r="A721" s="402"/>
      <c r="B721" s="402"/>
      <c r="C721" s="402"/>
      <c r="D721" s="402"/>
      <c r="E721" s="402"/>
      <c r="F721" s="403"/>
      <c r="G721" s="402"/>
      <c r="H721" s="402"/>
      <c r="I721" s="402"/>
      <c r="J721" s="402"/>
      <c r="K721" s="402"/>
      <c r="L721" s="402"/>
      <c r="M721" s="402"/>
      <c r="N721" s="402"/>
      <c r="O721" s="402"/>
      <c r="P721" s="402"/>
      <c r="Q721" s="402"/>
      <c r="R721" s="402"/>
      <c r="S721" s="402"/>
      <c r="T721" s="402"/>
      <c r="U721" s="402"/>
      <c r="V721" s="402"/>
      <c r="W721" s="402"/>
      <c r="X721" s="402"/>
      <c r="Y721" s="402"/>
      <c r="Z721" s="402"/>
    </row>
    <row r="722" ht="14.25" customHeight="1">
      <c r="A722" s="402"/>
      <c r="B722" s="402"/>
      <c r="C722" s="402"/>
      <c r="D722" s="402"/>
      <c r="E722" s="402"/>
      <c r="F722" s="403"/>
      <c r="G722" s="402"/>
      <c r="H722" s="402"/>
      <c r="I722" s="402"/>
      <c r="J722" s="402"/>
      <c r="K722" s="402"/>
      <c r="L722" s="402"/>
      <c r="M722" s="402"/>
      <c r="N722" s="402"/>
      <c r="O722" s="402"/>
      <c r="P722" s="402"/>
      <c r="Q722" s="402"/>
      <c r="R722" s="402"/>
      <c r="S722" s="402"/>
      <c r="T722" s="402"/>
      <c r="U722" s="402"/>
      <c r="V722" s="402"/>
      <c r="W722" s="402"/>
      <c r="X722" s="402"/>
      <c r="Y722" s="402"/>
      <c r="Z722" s="402"/>
    </row>
    <row r="723" ht="14.25" customHeight="1">
      <c r="A723" s="402"/>
      <c r="B723" s="402"/>
      <c r="C723" s="402"/>
      <c r="D723" s="402"/>
      <c r="E723" s="402"/>
      <c r="F723" s="403"/>
      <c r="G723" s="402"/>
      <c r="H723" s="402"/>
      <c r="I723" s="402"/>
      <c r="J723" s="402"/>
      <c r="K723" s="402"/>
      <c r="L723" s="402"/>
      <c r="M723" s="402"/>
      <c r="N723" s="402"/>
      <c r="O723" s="402"/>
      <c r="P723" s="402"/>
      <c r="Q723" s="402"/>
      <c r="R723" s="402"/>
      <c r="S723" s="402"/>
      <c r="T723" s="402"/>
      <c r="U723" s="402"/>
      <c r="V723" s="402"/>
      <c r="W723" s="402"/>
      <c r="X723" s="402"/>
      <c r="Y723" s="402"/>
      <c r="Z723" s="402"/>
    </row>
    <row r="724" ht="14.25" customHeight="1">
      <c r="A724" s="402"/>
      <c r="B724" s="402"/>
      <c r="C724" s="402"/>
      <c r="D724" s="402"/>
      <c r="E724" s="402"/>
      <c r="F724" s="403"/>
      <c r="G724" s="402"/>
      <c r="H724" s="402"/>
      <c r="I724" s="402"/>
      <c r="J724" s="402"/>
      <c r="K724" s="402"/>
      <c r="L724" s="402"/>
      <c r="M724" s="402"/>
      <c r="N724" s="402"/>
      <c r="O724" s="402"/>
      <c r="P724" s="402"/>
      <c r="Q724" s="402"/>
      <c r="R724" s="402"/>
      <c r="S724" s="402"/>
      <c r="T724" s="402"/>
      <c r="U724" s="402"/>
      <c r="V724" s="402"/>
      <c r="W724" s="402"/>
      <c r="X724" s="402"/>
      <c r="Y724" s="402"/>
      <c r="Z724" s="402"/>
    </row>
    <row r="725" ht="14.25" customHeight="1">
      <c r="A725" s="402"/>
      <c r="B725" s="402"/>
      <c r="C725" s="402"/>
      <c r="D725" s="402"/>
      <c r="E725" s="402"/>
      <c r="F725" s="403"/>
      <c r="G725" s="402"/>
      <c r="H725" s="402"/>
      <c r="I725" s="402"/>
      <c r="J725" s="402"/>
      <c r="K725" s="402"/>
      <c r="L725" s="402"/>
      <c r="M725" s="402"/>
      <c r="N725" s="402"/>
      <c r="O725" s="402"/>
      <c r="P725" s="402"/>
      <c r="Q725" s="402"/>
      <c r="R725" s="402"/>
      <c r="S725" s="402"/>
      <c r="T725" s="402"/>
      <c r="U725" s="402"/>
      <c r="V725" s="402"/>
      <c r="W725" s="402"/>
      <c r="X725" s="402"/>
      <c r="Y725" s="402"/>
      <c r="Z725" s="402"/>
    </row>
    <row r="726" ht="14.25" customHeight="1">
      <c r="A726" s="402"/>
      <c r="B726" s="402"/>
      <c r="C726" s="402"/>
      <c r="D726" s="402"/>
      <c r="E726" s="402"/>
      <c r="F726" s="403"/>
      <c r="G726" s="402"/>
      <c r="H726" s="402"/>
      <c r="I726" s="402"/>
      <c r="J726" s="402"/>
      <c r="K726" s="402"/>
      <c r="L726" s="402"/>
      <c r="M726" s="402"/>
      <c r="N726" s="402"/>
      <c r="O726" s="402"/>
      <c r="P726" s="402"/>
      <c r="Q726" s="402"/>
      <c r="R726" s="402"/>
      <c r="S726" s="402"/>
      <c r="T726" s="402"/>
      <c r="U726" s="402"/>
      <c r="V726" s="402"/>
      <c r="W726" s="402"/>
      <c r="X726" s="402"/>
      <c r="Y726" s="402"/>
      <c r="Z726" s="402"/>
    </row>
    <row r="727" ht="14.25" customHeight="1">
      <c r="A727" s="402"/>
      <c r="B727" s="402"/>
      <c r="C727" s="402"/>
      <c r="D727" s="402"/>
      <c r="E727" s="402"/>
      <c r="F727" s="403"/>
      <c r="G727" s="402"/>
      <c r="H727" s="402"/>
      <c r="I727" s="402"/>
      <c r="J727" s="402"/>
      <c r="K727" s="402"/>
      <c r="L727" s="402"/>
      <c r="M727" s="402"/>
      <c r="N727" s="402"/>
      <c r="O727" s="402"/>
      <c r="P727" s="402"/>
      <c r="Q727" s="402"/>
      <c r="R727" s="402"/>
      <c r="S727" s="402"/>
      <c r="T727" s="402"/>
      <c r="U727" s="402"/>
      <c r="V727" s="402"/>
      <c r="W727" s="402"/>
      <c r="X727" s="402"/>
      <c r="Y727" s="402"/>
      <c r="Z727" s="402"/>
    </row>
    <row r="728" ht="14.25" customHeight="1">
      <c r="A728" s="402"/>
      <c r="B728" s="402"/>
      <c r="C728" s="402"/>
      <c r="D728" s="402"/>
      <c r="E728" s="402"/>
      <c r="F728" s="403"/>
      <c r="G728" s="402"/>
      <c r="H728" s="402"/>
      <c r="I728" s="402"/>
      <c r="J728" s="402"/>
      <c r="K728" s="402"/>
      <c r="L728" s="402"/>
      <c r="M728" s="402"/>
      <c r="N728" s="402"/>
      <c r="O728" s="402"/>
      <c r="P728" s="402"/>
      <c r="Q728" s="402"/>
      <c r="R728" s="402"/>
      <c r="S728" s="402"/>
      <c r="T728" s="402"/>
      <c r="U728" s="402"/>
      <c r="V728" s="402"/>
      <c r="W728" s="402"/>
      <c r="X728" s="402"/>
      <c r="Y728" s="402"/>
      <c r="Z728" s="402"/>
    </row>
    <row r="729" ht="14.25" customHeight="1">
      <c r="A729" s="402"/>
      <c r="B729" s="402"/>
      <c r="C729" s="402"/>
      <c r="D729" s="402"/>
      <c r="E729" s="402"/>
      <c r="F729" s="403"/>
      <c r="G729" s="402"/>
      <c r="H729" s="402"/>
      <c r="I729" s="402"/>
      <c r="J729" s="402"/>
      <c r="K729" s="402"/>
      <c r="L729" s="402"/>
      <c r="M729" s="402"/>
      <c r="N729" s="402"/>
      <c r="O729" s="402"/>
      <c r="P729" s="402"/>
      <c r="Q729" s="402"/>
      <c r="R729" s="402"/>
      <c r="S729" s="402"/>
      <c r="T729" s="402"/>
      <c r="U729" s="402"/>
      <c r="V729" s="402"/>
      <c r="W729" s="402"/>
      <c r="X729" s="402"/>
      <c r="Y729" s="402"/>
      <c r="Z729" s="402"/>
    </row>
    <row r="730" ht="14.25" customHeight="1">
      <c r="A730" s="402"/>
      <c r="B730" s="402"/>
      <c r="C730" s="402"/>
      <c r="D730" s="402"/>
      <c r="E730" s="402"/>
      <c r="F730" s="403"/>
      <c r="G730" s="402"/>
      <c r="H730" s="402"/>
      <c r="I730" s="402"/>
      <c r="J730" s="402"/>
      <c r="K730" s="402"/>
      <c r="L730" s="402"/>
      <c r="M730" s="402"/>
      <c r="N730" s="402"/>
      <c r="O730" s="402"/>
      <c r="P730" s="402"/>
      <c r="Q730" s="402"/>
      <c r="R730" s="402"/>
      <c r="S730" s="402"/>
      <c r="T730" s="402"/>
      <c r="U730" s="402"/>
      <c r="V730" s="402"/>
      <c r="W730" s="402"/>
      <c r="X730" s="402"/>
      <c r="Y730" s="402"/>
      <c r="Z730" s="402"/>
    </row>
    <row r="731" ht="14.25" customHeight="1">
      <c r="A731" s="402"/>
      <c r="B731" s="402"/>
      <c r="C731" s="402"/>
      <c r="D731" s="402"/>
      <c r="E731" s="402"/>
      <c r="F731" s="403"/>
      <c r="G731" s="402"/>
      <c r="H731" s="402"/>
      <c r="I731" s="402"/>
      <c r="J731" s="402"/>
      <c r="K731" s="402"/>
      <c r="L731" s="402"/>
      <c r="M731" s="402"/>
      <c r="N731" s="402"/>
      <c r="O731" s="402"/>
      <c r="P731" s="402"/>
      <c r="Q731" s="402"/>
      <c r="R731" s="402"/>
      <c r="S731" s="402"/>
      <c r="T731" s="402"/>
      <c r="U731" s="402"/>
      <c r="V731" s="402"/>
      <c r="W731" s="402"/>
      <c r="X731" s="402"/>
      <c r="Y731" s="402"/>
      <c r="Z731" s="402"/>
    </row>
    <row r="732" ht="14.25" customHeight="1">
      <c r="A732" s="402"/>
      <c r="B732" s="402"/>
      <c r="C732" s="402"/>
      <c r="D732" s="402"/>
      <c r="E732" s="402"/>
      <c r="F732" s="403"/>
      <c r="G732" s="402"/>
      <c r="H732" s="402"/>
      <c r="I732" s="402"/>
      <c r="J732" s="402"/>
      <c r="K732" s="402"/>
      <c r="L732" s="402"/>
      <c r="M732" s="402"/>
      <c r="N732" s="402"/>
      <c r="O732" s="402"/>
      <c r="P732" s="402"/>
      <c r="Q732" s="402"/>
      <c r="R732" s="402"/>
      <c r="S732" s="402"/>
      <c r="T732" s="402"/>
      <c r="U732" s="402"/>
      <c r="V732" s="402"/>
      <c r="W732" s="402"/>
      <c r="X732" s="402"/>
      <c r="Y732" s="402"/>
      <c r="Z732" s="402"/>
    </row>
    <row r="733" ht="14.25" customHeight="1">
      <c r="A733" s="402"/>
      <c r="B733" s="402"/>
      <c r="C733" s="402"/>
      <c r="D733" s="402"/>
      <c r="E733" s="402"/>
      <c r="F733" s="403"/>
      <c r="G733" s="402"/>
      <c r="H733" s="402"/>
      <c r="I733" s="402"/>
      <c r="J733" s="402"/>
      <c r="K733" s="402"/>
      <c r="L733" s="402"/>
      <c r="M733" s="402"/>
      <c r="N733" s="402"/>
      <c r="O733" s="402"/>
      <c r="P733" s="402"/>
      <c r="Q733" s="402"/>
      <c r="R733" s="402"/>
      <c r="S733" s="402"/>
      <c r="T733" s="402"/>
      <c r="U733" s="402"/>
      <c r="V733" s="402"/>
      <c r="W733" s="402"/>
      <c r="X733" s="402"/>
      <c r="Y733" s="402"/>
      <c r="Z733" s="402"/>
    </row>
    <row r="734" ht="14.25" customHeight="1">
      <c r="A734" s="402"/>
      <c r="B734" s="402"/>
      <c r="C734" s="402"/>
      <c r="D734" s="402"/>
      <c r="E734" s="402"/>
      <c r="F734" s="403"/>
      <c r="G734" s="402"/>
      <c r="H734" s="402"/>
      <c r="I734" s="402"/>
      <c r="J734" s="402"/>
      <c r="K734" s="402"/>
      <c r="L734" s="402"/>
      <c r="M734" s="402"/>
      <c r="N734" s="402"/>
      <c r="O734" s="402"/>
      <c r="P734" s="402"/>
      <c r="Q734" s="402"/>
      <c r="R734" s="402"/>
      <c r="S734" s="402"/>
      <c r="T734" s="402"/>
      <c r="U734" s="402"/>
      <c r="V734" s="402"/>
      <c r="W734" s="402"/>
      <c r="X734" s="402"/>
      <c r="Y734" s="402"/>
      <c r="Z734" s="402"/>
    </row>
    <row r="735" ht="14.25" customHeight="1">
      <c r="A735" s="402"/>
      <c r="B735" s="402"/>
      <c r="C735" s="402"/>
      <c r="D735" s="402"/>
      <c r="E735" s="402"/>
      <c r="F735" s="403"/>
      <c r="G735" s="402"/>
      <c r="H735" s="402"/>
      <c r="I735" s="402"/>
      <c r="J735" s="402"/>
      <c r="K735" s="402"/>
      <c r="L735" s="402"/>
      <c r="M735" s="402"/>
      <c r="N735" s="402"/>
      <c r="O735" s="402"/>
      <c r="P735" s="402"/>
      <c r="Q735" s="402"/>
      <c r="R735" s="402"/>
      <c r="S735" s="402"/>
      <c r="T735" s="402"/>
      <c r="U735" s="402"/>
      <c r="V735" s="402"/>
      <c r="W735" s="402"/>
      <c r="X735" s="402"/>
      <c r="Y735" s="402"/>
      <c r="Z735" s="402"/>
    </row>
    <row r="736" ht="14.25" customHeight="1">
      <c r="A736" s="402"/>
      <c r="B736" s="402"/>
      <c r="C736" s="402"/>
      <c r="D736" s="402"/>
      <c r="E736" s="402"/>
      <c r="F736" s="403"/>
      <c r="G736" s="402"/>
      <c r="H736" s="402"/>
      <c r="I736" s="402"/>
      <c r="J736" s="402"/>
      <c r="K736" s="402"/>
      <c r="L736" s="402"/>
      <c r="M736" s="402"/>
      <c r="N736" s="402"/>
      <c r="O736" s="402"/>
      <c r="P736" s="402"/>
      <c r="Q736" s="402"/>
      <c r="R736" s="402"/>
      <c r="S736" s="402"/>
      <c r="T736" s="402"/>
      <c r="U736" s="402"/>
      <c r="V736" s="402"/>
      <c r="W736" s="402"/>
      <c r="X736" s="402"/>
      <c r="Y736" s="402"/>
      <c r="Z736" s="402"/>
    </row>
    <row r="737" ht="14.25" customHeight="1">
      <c r="A737" s="402"/>
      <c r="B737" s="402"/>
      <c r="C737" s="402"/>
      <c r="D737" s="402"/>
      <c r="E737" s="402"/>
      <c r="F737" s="403"/>
      <c r="G737" s="402"/>
      <c r="H737" s="402"/>
      <c r="I737" s="402"/>
      <c r="J737" s="402"/>
      <c r="K737" s="402"/>
      <c r="L737" s="402"/>
      <c r="M737" s="402"/>
      <c r="N737" s="402"/>
      <c r="O737" s="402"/>
      <c r="P737" s="402"/>
      <c r="Q737" s="402"/>
      <c r="R737" s="402"/>
      <c r="S737" s="402"/>
      <c r="T737" s="402"/>
      <c r="U737" s="402"/>
      <c r="V737" s="402"/>
      <c r="W737" s="402"/>
      <c r="X737" s="402"/>
      <c r="Y737" s="402"/>
      <c r="Z737" s="402"/>
    </row>
    <row r="738" ht="14.25" customHeight="1">
      <c r="A738" s="402"/>
      <c r="B738" s="402"/>
      <c r="C738" s="402"/>
      <c r="D738" s="402"/>
      <c r="E738" s="402"/>
      <c r="F738" s="403"/>
      <c r="G738" s="402"/>
      <c r="H738" s="402"/>
      <c r="I738" s="402"/>
      <c r="J738" s="402"/>
      <c r="K738" s="402"/>
      <c r="L738" s="402"/>
      <c r="M738" s="402"/>
      <c r="N738" s="402"/>
      <c r="O738" s="402"/>
      <c r="P738" s="402"/>
      <c r="Q738" s="402"/>
      <c r="R738" s="402"/>
      <c r="S738" s="402"/>
      <c r="T738" s="402"/>
      <c r="U738" s="402"/>
      <c r="V738" s="402"/>
      <c r="W738" s="402"/>
      <c r="X738" s="402"/>
      <c r="Y738" s="402"/>
      <c r="Z738" s="402"/>
    </row>
    <row r="739" ht="14.25" customHeight="1">
      <c r="A739" s="402"/>
      <c r="B739" s="402"/>
      <c r="C739" s="402"/>
      <c r="D739" s="402"/>
      <c r="E739" s="402"/>
      <c r="F739" s="403"/>
      <c r="G739" s="402"/>
      <c r="H739" s="402"/>
      <c r="I739" s="402"/>
      <c r="J739" s="402"/>
      <c r="K739" s="402"/>
      <c r="L739" s="402"/>
      <c r="M739" s="402"/>
      <c r="N739" s="402"/>
      <c r="O739" s="402"/>
      <c r="P739" s="402"/>
      <c r="Q739" s="402"/>
      <c r="R739" s="402"/>
      <c r="S739" s="402"/>
      <c r="T739" s="402"/>
      <c r="U739" s="402"/>
      <c r="V739" s="402"/>
      <c r="W739" s="402"/>
      <c r="X739" s="402"/>
      <c r="Y739" s="402"/>
      <c r="Z739" s="402"/>
    </row>
    <row r="740" ht="14.25" customHeight="1">
      <c r="A740" s="402"/>
      <c r="B740" s="402"/>
      <c r="C740" s="402"/>
      <c r="D740" s="402"/>
      <c r="E740" s="402"/>
      <c r="F740" s="403"/>
      <c r="G740" s="402"/>
      <c r="H740" s="402"/>
      <c r="I740" s="402"/>
      <c r="J740" s="402"/>
      <c r="K740" s="402"/>
      <c r="L740" s="402"/>
      <c r="M740" s="402"/>
      <c r="N740" s="402"/>
      <c r="O740" s="402"/>
      <c r="P740" s="402"/>
      <c r="Q740" s="402"/>
      <c r="R740" s="402"/>
      <c r="S740" s="402"/>
      <c r="T740" s="402"/>
      <c r="U740" s="402"/>
      <c r="V740" s="402"/>
      <c r="W740" s="402"/>
      <c r="X740" s="402"/>
      <c r="Y740" s="402"/>
      <c r="Z740" s="402"/>
    </row>
    <row r="741" ht="14.25" customHeight="1">
      <c r="A741" s="402"/>
      <c r="B741" s="402"/>
      <c r="C741" s="402"/>
      <c r="D741" s="402"/>
      <c r="E741" s="402"/>
      <c r="F741" s="403"/>
      <c r="G741" s="402"/>
      <c r="H741" s="402"/>
      <c r="I741" s="402"/>
      <c r="J741" s="402"/>
      <c r="K741" s="402"/>
      <c r="L741" s="402"/>
      <c r="M741" s="402"/>
      <c r="N741" s="402"/>
      <c r="O741" s="402"/>
      <c r="P741" s="402"/>
      <c r="Q741" s="402"/>
      <c r="R741" s="402"/>
      <c r="S741" s="402"/>
      <c r="T741" s="402"/>
      <c r="U741" s="402"/>
      <c r="V741" s="402"/>
      <c r="W741" s="402"/>
      <c r="X741" s="402"/>
      <c r="Y741" s="402"/>
      <c r="Z741" s="402"/>
    </row>
    <row r="742" ht="14.25" customHeight="1">
      <c r="A742" s="402"/>
      <c r="B742" s="402"/>
      <c r="C742" s="402"/>
      <c r="D742" s="402"/>
      <c r="E742" s="402"/>
      <c r="F742" s="403"/>
      <c r="G742" s="402"/>
      <c r="H742" s="402"/>
      <c r="I742" s="402"/>
      <c r="J742" s="402"/>
      <c r="K742" s="402"/>
      <c r="L742" s="402"/>
      <c r="M742" s="402"/>
      <c r="N742" s="402"/>
      <c r="O742" s="402"/>
      <c r="P742" s="402"/>
      <c r="Q742" s="402"/>
      <c r="R742" s="402"/>
      <c r="S742" s="402"/>
      <c r="T742" s="402"/>
      <c r="U742" s="402"/>
      <c r="V742" s="402"/>
      <c r="W742" s="402"/>
      <c r="X742" s="402"/>
      <c r="Y742" s="402"/>
      <c r="Z742" s="402"/>
    </row>
    <row r="743" ht="14.25" customHeight="1">
      <c r="A743" s="402"/>
      <c r="B743" s="402"/>
      <c r="C743" s="402"/>
      <c r="D743" s="402"/>
      <c r="E743" s="402"/>
      <c r="F743" s="403"/>
      <c r="G743" s="402"/>
      <c r="H743" s="402"/>
      <c r="I743" s="402"/>
      <c r="J743" s="402"/>
      <c r="K743" s="402"/>
      <c r="L743" s="402"/>
      <c r="M743" s="402"/>
      <c r="N743" s="402"/>
      <c r="O743" s="402"/>
      <c r="P743" s="402"/>
      <c r="Q743" s="402"/>
      <c r="R743" s="402"/>
      <c r="S743" s="402"/>
      <c r="T743" s="402"/>
      <c r="U743" s="402"/>
      <c r="V743" s="402"/>
      <c r="W743" s="402"/>
      <c r="X743" s="402"/>
      <c r="Y743" s="402"/>
      <c r="Z743" s="402"/>
    </row>
    <row r="744" ht="14.25" customHeight="1">
      <c r="A744" s="402"/>
      <c r="B744" s="402"/>
      <c r="C744" s="402"/>
      <c r="D744" s="402"/>
      <c r="E744" s="402"/>
      <c r="F744" s="403"/>
      <c r="G744" s="402"/>
      <c r="H744" s="402"/>
      <c r="I744" s="402"/>
      <c r="J744" s="402"/>
      <c r="K744" s="402"/>
      <c r="L744" s="402"/>
      <c r="M744" s="402"/>
      <c r="N744" s="402"/>
      <c r="O744" s="402"/>
      <c r="P744" s="402"/>
      <c r="Q744" s="402"/>
      <c r="R744" s="402"/>
      <c r="S744" s="402"/>
      <c r="T744" s="402"/>
      <c r="U744" s="402"/>
      <c r="V744" s="402"/>
      <c r="W744" s="402"/>
      <c r="X744" s="402"/>
      <c r="Y744" s="402"/>
      <c r="Z744" s="402"/>
    </row>
    <row r="745" ht="14.25" customHeight="1">
      <c r="A745" s="402"/>
      <c r="B745" s="402"/>
      <c r="C745" s="402"/>
      <c r="D745" s="402"/>
      <c r="E745" s="402"/>
      <c r="F745" s="403"/>
      <c r="G745" s="402"/>
      <c r="H745" s="402"/>
      <c r="I745" s="402"/>
      <c r="J745" s="402"/>
      <c r="K745" s="402"/>
      <c r="L745" s="402"/>
      <c r="M745" s="402"/>
      <c r="N745" s="402"/>
      <c r="O745" s="402"/>
      <c r="P745" s="402"/>
      <c r="Q745" s="402"/>
      <c r="R745" s="402"/>
      <c r="S745" s="402"/>
      <c r="T745" s="402"/>
      <c r="U745" s="402"/>
      <c r="V745" s="402"/>
      <c r="W745" s="402"/>
      <c r="X745" s="402"/>
      <c r="Y745" s="402"/>
      <c r="Z745" s="402"/>
    </row>
    <row r="746" ht="14.25" customHeight="1">
      <c r="A746" s="402"/>
      <c r="B746" s="402"/>
      <c r="C746" s="402"/>
      <c r="D746" s="402"/>
      <c r="E746" s="402"/>
      <c r="F746" s="403"/>
      <c r="G746" s="402"/>
      <c r="H746" s="402"/>
      <c r="I746" s="402"/>
      <c r="J746" s="402"/>
      <c r="K746" s="402"/>
      <c r="L746" s="402"/>
      <c r="M746" s="402"/>
      <c r="N746" s="402"/>
      <c r="O746" s="402"/>
      <c r="P746" s="402"/>
      <c r="Q746" s="402"/>
      <c r="R746" s="402"/>
      <c r="S746" s="402"/>
      <c r="T746" s="402"/>
      <c r="U746" s="402"/>
      <c r="V746" s="402"/>
      <c r="W746" s="402"/>
      <c r="X746" s="402"/>
      <c r="Y746" s="402"/>
      <c r="Z746" s="402"/>
    </row>
    <row r="747" ht="14.25" customHeight="1">
      <c r="A747" s="402"/>
      <c r="B747" s="402"/>
      <c r="C747" s="402"/>
      <c r="D747" s="402"/>
      <c r="E747" s="402"/>
      <c r="F747" s="403"/>
      <c r="G747" s="402"/>
      <c r="H747" s="402"/>
      <c r="I747" s="402"/>
      <c r="J747" s="402"/>
      <c r="K747" s="402"/>
      <c r="L747" s="402"/>
      <c r="M747" s="402"/>
      <c r="N747" s="402"/>
      <c r="O747" s="402"/>
      <c r="P747" s="402"/>
      <c r="Q747" s="402"/>
      <c r="R747" s="402"/>
      <c r="S747" s="402"/>
      <c r="T747" s="402"/>
      <c r="U747" s="402"/>
      <c r="V747" s="402"/>
      <c r="W747" s="402"/>
      <c r="X747" s="402"/>
      <c r="Y747" s="402"/>
      <c r="Z747" s="402"/>
    </row>
    <row r="748" ht="14.25" customHeight="1">
      <c r="A748" s="402"/>
      <c r="B748" s="402"/>
      <c r="C748" s="402"/>
      <c r="D748" s="402"/>
      <c r="E748" s="402"/>
      <c r="F748" s="403"/>
      <c r="G748" s="402"/>
      <c r="H748" s="402"/>
      <c r="I748" s="402"/>
      <c r="J748" s="402"/>
      <c r="K748" s="402"/>
      <c r="L748" s="402"/>
      <c r="M748" s="402"/>
      <c r="N748" s="402"/>
      <c r="O748" s="402"/>
      <c r="P748" s="402"/>
      <c r="Q748" s="402"/>
      <c r="R748" s="402"/>
      <c r="S748" s="402"/>
      <c r="T748" s="402"/>
      <c r="U748" s="402"/>
      <c r="V748" s="402"/>
      <c r="W748" s="402"/>
      <c r="X748" s="402"/>
      <c r="Y748" s="402"/>
      <c r="Z748" s="402"/>
    </row>
    <row r="749" ht="14.25" customHeight="1">
      <c r="A749" s="402"/>
      <c r="B749" s="402"/>
      <c r="C749" s="402"/>
      <c r="D749" s="402"/>
      <c r="E749" s="402"/>
      <c r="F749" s="403"/>
      <c r="G749" s="402"/>
      <c r="H749" s="402"/>
      <c r="I749" s="402"/>
      <c r="J749" s="402"/>
      <c r="K749" s="402"/>
      <c r="L749" s="402"/>
      <c r="M749" s="402"/>
      <c r="N749" s="402"/>
      <c r="O749" s="402"/>
      <c r="P749" s="402"/>
      <c r="Q749" s="402"/>
      <c r="R749" s="402"/>
      <c r="S749" s="402"/>
      <c r="T749" s="402"/>
      <c r="U749" s="402"/>
      <c r="V749" s="402"/>
      <c r="W749" s="402"/>
      <c r="X749" s="402"/>
      <c r="Y749" s="402"/>
      <c r="Z749" s="402"/>
    </row>
    <row r="750" ht="14.25" customHeight="1">
      <c r="A750" s="402"/>
      <c r="B750" s="402"/>
      <c r="C750" s="402"/>
      <c r="D750" s="402"/>
      <c r="E750" s="402"/>
      <c r="F750" s="403"/>
      <c r="G750" s="402"/>
      <c r="H750" s="402"/>
      <c r="I750" s="402"/>
      <c r="J750" s="402"/>
      <c r="K750" s="402"/>
      <c r="L750" s="402"/>
      <c r="M750" s="402"/>
      <c r="N750" s="402"/>
      <c r="O750" s="402"/>
      <c r="P750" s="402"/>
      <c r="Q750" s="402"/>
      <c r="R750" s="402"/>
      <c r="S750" s="402"/>
      <c r="T750" s="402"/>
      <c r="U750" s="402"/>
      <c r="V750" s="402"/>
      <c r="W750" s="402"/>
      <c r="X750" s="402"/>
      <c r="Y750" s="402"/>
      <c r="Z750" s="402"/>
    </row>
    <row r="751" ht="14.25" customHeight="1">
      <c r="A751" s="402"/>
      <c r="B751" s="402"/>
      <c r="C751" s="402"/>
      <c r="D751" s="402"/>
      <c r="E751" s="402"/>
      <c r="F751" s="403"/>
      <c r="G751" s="402"/>
      <c r="H751" s="402"/>
      <c r="I751" s="402"/>
      <c r="J751" s="402"/>
      <c r="K751" s="402"/>
      <c r="L751" s="402"/>
      <c r="M751" s="402"/>
      <c r="N751" s="402"/>
      <c r="O751" s="402"/>
      <c r="P751" s="402"/>
      <c r="Q751" s="402"/>
      <c r="R751" s="402"/>
      <c r="S751" s="402"/>
      <c r="T751" s="402"/>
      <c r="U751" s="402"/>
      <c r="V751" s="402"/>
      <c r="W751" s="402"/>
      <c r="X751" s="402"/>
      <c r="Y751" s="402"/>
      <c r="Z751" s="402"/>
    </row>
    <row r="752" ht="14.25" customHeight="1">
      <c r="A752" s="402"/>
      <c r="B752" s="402"/>
      <c r="C752" s="402"/>
      <c r="D752" s="402"/>
      <c r="E752" s="402"/>
      <c r="F752" s="403"/>
      <c r="G752" s="402"/>
      <c r="H752" s="402"/>
      <c r="I752" s="402"/>
      <c r="J752" s="402"/>
      <c r="K752" s="402"/>
      <c r="L752" s="402"/>
      <c r="M752" s="402"/>
      <c r="N752" s="402"/>
      <c r="O752" s="402"/>
      <c r="P752" s="402"/>
      <c r="Q752" s="402"/>
      <c r="R752" s="402"/>
      <c r="S752" s="402"/>
      <c r="T752" s="402"/>
      <c r="U752" s="402"/>
      <c r="V752" s="402"/>
      <c r="W752" s="402"/>
      <c r="X752" s="402"/>
      <c r="Y752" s="402"/>
      <c r="Z752" s="402"/>
    </row>
    <row r="753" ht="14.25" customHeight="1">
      <c r="A753" s="402"/>
      <c r="B753" s="402"/>
      <c r="C753" s="402"/>
      <c r="D753" s="402"/>
      <c r="E753" s="402"/>
      <c r="F753" s="403"/>
      <c r="G753" s="402"/>
      <c r="H753" s="402"/>
      <c r="I753" s="402"/>
      <c r="J753" s="402"/>
      <c r="K753" s="402"/>
      <c r="L753" s="402"/>
      <c r="M753" s="402"/>
      <c r="N753" s="402"/>
      <c r="O753" s="402"/>
      <c r="P753" s="402"/>
      <c r="Q753" s="402"/>
      <c r="R753" s="402"/>
      <c r="S753" s="402"/>
      <c r="T753" s="402"/>
      <c r="U753" s="402"/>
      <c r="V753" s="402"/>
      <c r="W753" s="402"/>
      <c r="X753" s="402"/>
      <c r="Y753" s="402"/>
      <c r="Z753" s="402"/>
    </row>
    <row r="754" ht="14.25" customHeight="1">
      <c r="A754" s="402"/>
      <c r="B754" s="402"/>
      <c r="C754" s="402"/>
      <c r="D754" s="402"/>
      <c r="E754" s="402"/>
      <c r="F754" s="403"/>
      <c r="G754" s="402"/>
      <c r="H754" s="402"/>
      <c r="I754" s="402"/>
      <c r="J754" s="402"/>
      <c r="K754" s="402"/>
      <c r="L754" s="402"/>
      <c r="M754" s="402"/>
      <c r="N754" s="402"/>
      <c r="O754" s="402"/>
      <c r="P754" s="402"/>
      <c r="Q754" s="402"/>
      <c r="R754" s="402"/>
      <c r="S754" s="402"/>
      <c r="T754" s="402"/>
      <c r="U754" s="402"/>
      <c r="V754" s="402"/>
      <c r="W754" s="402"/>
      <c r="X754" s="402"/>
      <c r="Y754" s="402"/>
      <c r="Z754" s="402"/>
    </row>
    <row r="755" ht="14.25" customHeight="1">
      <c r="A755" s="402"/>
      <c r="B755" s="402"/>
      <c r="C755" s="402"/>
      <c r="D755" s="402"/>
      <c r="E755" s="402"/>
      <c r="F755" s="403"/>
      <c r="G755" s="402"/>
      <c r="H755" s="402"/>
      <c r="I755" s="402"/>
      <c r="J755" s="402"/>
      <c r="K755" s="402"/>
      <c r="L755" s="402"/>
      <c r="M755" s="402"/>
      <c r="N755" s="402"/>
      <c r="O755" s="402"/>
      <c r="P755" s="402"/>
      <c r="Q755" s="402"/>
      <c r="R755" s="402"/>
      <c r="S755" s="402"/>
      <c r="T755" s="402"/>
      <c r="U755" s="402"/>
      <c r="V755" s="402"/>
      <c r="W755" s="402"/>
      <c r="X755" s="402"/>
      <c r="Y755" s="402"/>
      <c r="Z755" s="402"/>
    </row>
    <row r="756" ht="14.25" customHeight="1">
      <c r="A756" s="402"/>
      <c r="B756" s="402"/>
      <c r="C756" s="402"/>
      <c r="D756" s="402"/>
      <c r="E756" s="402"/>
      <c r="F756" s="403"/>
      <c r="G756" s="402"/>
      <c r="H756" s="402"/>
      <c r="I756" s="402"/>
      <c r="J756" s="402"/>
      <c r="K756" s="402"/>
      <c r="L756" s="402"/>
      <c r="M756" s="402"/>
      <c r="N756" s="402"/>
      <c r="O756" s="402"/>
      <c r="P756" s="402"/>
      <c r="Q756" s="402"/>
      <c r="R756" s="402"/>
      <c r="S756" s="402"/>
      <c r="T756" s="402"/>
      <c r="U756" s="402"/>
      <c r="V756" s="402"/>
      <c r="W756" s="402"/>
      <c r="X756" s="402"/>
      <c r="Y756" s="402"/>
      <c r="Z756" s="402"/>
    </row>
    <row r="757" ht="14.25" customHeight="1">
      <c r="A757" s="402"/>
      <c r="B757" s="402"/>
      <c r="C757" s="402"/>
      <c r="D757" s="402"/>
      <c r="E757" s="402"/>
      <c r="F757" s="403"/>
      <c r="G757" s="402"/>
      <c r="H757" s="402"/>
      <c r="I757" s="402"/>
      <c r="J757" s="402"/>
      <c r="K757" s="402"/>
      <c r="L757" s="402"/>
      <c r="M757" s="402"/>
      <c r="N757" s="402"/>
      <c r="O757" s="402"/>
      <c r="P757" s="402"/>
      <c r="Q757" s="402"/>
      <c r="R757" s="402"/>
      <c r="S757" s="402"/>
      <c r="T757" s="402"/>
      <c r="U757" s="402"/>
      <c r="V757" s="402"/>
      <c r="W757" s="402"/>
      <c r="X757" s="402"/>
      <c r="Y757" s="402"/>
      <c r="Z757" s="402"/>
    </row>
    <row r="758" ht="14.25" customHeight="1">
      <c r="A758" s="402"/>
      <c r="B758" s="402"/>
      <c r="C758" s="402"/>
      <c r="D758" s="402"/>
      <c r="E758" s="402"/>
      <c r="F758" s="403"/>
      <c r="G758" s="402"/>
      <c r="H758" s="402"/>
      <c r="I758" s="402"/>
      <c r="J758" s="402"/>
      <c r="K758" s="402"/>
      <c r="L758" s="402"/>
      <c r="M758" s="402"/>
      <c r="N758" s="402"/>
      <c r="O758" s="402"/>
      <c r="P758" s="402"/>
      <c r="Q758" s="402"/>
      <c r="R758" s="402"/>
      <c r="S758" s="402"/>
      <c r="T758" s="402"/>
      <c r="U758" s="402"/>
      <c r="V758" s="402"/>
      <c r="W758" s="402"/>
      <c r="X758" s="402"/>
      <c r="Y758" s="402"/>
      <c r="Z758" s="402"/>
    </row>
    <row r="759" ht="14.25" customHeight="1">
      <c r="A759" s="402"/>
      <c r="B759" s="402"/>
      <c r="C759" s="402"/>
      <c r="D759" s="402"/>
      <c r="E759" s="402"/>
      <c r="F759" s="403"/>
      <c r="G759" s="402"/>
      <c r="H759" s="402"/>
      <c r="I759" s="402"/>
      <c r="J759" s="402"/>
      <c r="K759" s="402"/>
      <c r="L759" s="402"/>
      <c r="M759" s="402"/>
      <c r="N759" s="402"/>
      <c r="O759" s="402"/>
      <c r="P759" s="402"/>
      <c r="Q759" s="402"/>
      <c r="R759" s="402"/>
      <c r="S759" s="402"/>
      <c r="T759" s="402"/>
      <c r="U759" s="402"/>
      <c r="V759" s="402"/>
      <c r="W759" s="402"/>
      <c r="X759" s="402"/>
      <c r="Y759" s="402"/>
      <c r="Z759" s="402"/>
    </row>
    <row r="760" ht="14.25" customHeight="1">
      <c r="A760" s="402"/>
      <c r="B760" s="402"/>
      <c r="C760" s="402"/>
      <c r="D760" s="402"/>
      <c r="E760" s="402"/>
      <c r="F760" s="403"/>
      <c r="G760" s="402"/>
      <c r="H760" s="402"/>
      <c r="I760" s="402"/>
      <c r="J760" s="402"/>
      <c r="K760" s="402"/>
      <c r="L760" s="402"/>
      <c r="M760" s="402"/>
      <c r="N760" s="402"/>
      <c r="O760" s="402"/>
      <c r="P760" s="402"/>
      <c r="Q760" s="402"/>
      <c r="R760" s="402"/>
      <c r="S760" s="402"/>
      <c r="T760" s="402"/>
      <c r="U760" s="402"/>
      <c r="V760" s="402"/>
      <c r="W760" s="402"/>
      <c r="X760" s="402"/>
      <c r="Y760" s="402"/>
      <c r="Z760" s="402"/>
    </row>
    <row r="761" ht="14.25" customHeight="1">
      <c r="A761" s="402"/>
      <c r="B761" s="402"/>
      <c r="C761" s="402"/>
      <c r="D761" s="402"/>
      <c r="E761" s="402"/>
      <c r="F761" s="403"/>
      <c r="G761" s="402"/>
      <c r="H761" s="402"/>
      <c r="I761" s="402"/>
      <c r="J761" s="402"/>
      <c r="K761" s="402"/>
      <c r="L761" s="402"/>
      <c r="M761" s="402"/>
      <c r="N761" s="402"/>
      <c r="O761" s="402"/>
      <c r="P761" s="402"/>
      <c r="Q761" s="402"/>
      <c r="R761" s="402"/>
      <c r="S761" s="402"/>
      <c r="T761" s="402"/>
      <c r="U761" s="402"/>
      <c r="V761" s="402"/>
      <c r="W761" s="402"/>
      <c r="X761" s="402"/>
      <c r="Y761" s="402"/>
      <c r="Z761" s="402"/>
    </row>
    <row r="762" ht="14.25" customHeight="1">
      <c r="A762" s="402"/>
      <c r="B762" s="402"/>
      <c r="C762" s="402"/>
      <c r="D762" s="402"/>
      <c r="E762" s="402"/>
      <c r="F762" s="403"/>
      <c r="G762" s="402"/>
      <c r="H762" s="402"/>
      <c r="I762" s="402"/>
      <c r="J762" s="402"/>
      <c r="K762" s="402"/>
      <c r="L762" s="402"/>
      <c r="M762" s="402"/>
      <c r="N762" s="402"/>
      <c r="O762" s="402"/>
      <c r="P762" s="402"/>
      <c r="Q762" s="402"/>
      <c r="R762" s="402"/>
      <c r="S762" s="402"/>
      <c r="T762" s="402"/>
      <c r="U762" s="402"/>
      <c r="V762" s="402"/>
      <c r="W762" s="402"/>
      <c r="X762" s="402"/>
      <c r="Y762" s="402"/>
      <c r="Z762" s="402"/>
    </row>
    <row r="763" ht="14.25" customHeight="1">
      <c r="A763" s="402"/>
      <c r="B763" s="402"/>
      <c r="C763" s="402"/>
      <c r="D763" s="402"/>
      <c r="E763" s="402"/>
      <c r="F763" s="403"/>
      <c r="G763" s="402"/>
      <c r="H763" s="402"/>
      <c r="I763" s="402"/>
      <c r="J763" s="402"/>
      <c r="K763" s="402"/>
      <c r="L763" s="402"/>
      <c r="M763" s="402"/>
      <c r="N763" s="402"/>
      <c r="O763" s="402"/>
      <c r="P763" s="402"/>
      <c r="Q763" s="402"/>
      <c r="R763" s="402"/>
      <c r="S763" s="402"/>
      <c r="T763" s="402"/>
      <c r="U763" s="402"/>
      <c r="V763" s="402"/>
      <c r="W763" s="402"/>
      <c r="X763" s="402"/>
      <c r="Y763" s="402"/>
      <c r="Z763" s="402"/>
    </row>
    <row r="764" ht="14.25" customHeight="1">
      <c r="A764" s="402"/>
      <c r="B764" s="402"/>
      <c r="C764" s="402"/>
      <c r="D764" s="402"/>
      <c r="E764" s="402"/>
      <c r="F764" s="403"/>
      <c r="G764" s="402"/>
      <c r="H764" s="402"/>
      <c r="I764" s="402"/>
      <c r="J764" s="402"/>
      <c r="K764" s="402"/>
      <c r="L764" s="402"/>
      <c r="M764" s="402"/>
      <c r="N764" s="402"/>
      <c r="O764" s="402"/>
      <c r="P764" s="402"/>
      <c r="Q764" s="402"/>
      <c r="R764" s="402"/>
      <c r="S764" s="402"/>
      <c r="T764" s="402"/>
      <c r="U764" s="402"/>
      <c r="V764" s="402"/>
      <c r="W764" s="402"/>
      <c r="X764" s="402"/>
      <c r="Y764" s="402"/>
      <c r="Z764" s="402"/>
    </row>
    <row r="765" ht="14.25" customHeight="1">
      <c r="A765" s="402"/>
      <c r="B765" s="402"/>
      <c r="C765" s="402"/>
      <c r="D765" s="402"/>
      <c r="E765" s="402"/>
      <c r="F765" s="403"/>
      <c r="G765" s="402"/>
      <c r="H765" s="402"/>
      <c r="I765" s="402"/>
      <c r="J765" s="402"/>
      <c r="K765" s="402"/>
      <c r="L765" s="402"/>
      <c r="M765" s="402"/>
      <c r="N765" s="402"/>
      <c r="O765" s="402"/>
      <c r="P765" s="402"/>
      <c r="Q765" s="402"/>
      <c r="R765" s="402"/>
      <c r="S765" s="402"/>
      <c r="T765" s="402"/>
      <c r="U765" s="402"/>
      <c r="V765" s="402"/>
      <c r="W765" s="402"/>
      <c r="X765" s="402"/>
      <c r="Y765" s="402"/>
      <c r="Z765" s="402"/>
    </row>
    <row r="766" ht="14.25" customHeight="1">
      <c r="A766" s="402"/>
      <c r="B766" s="402"/>
      <c r="C766" s="402"/>
      <c r="D766" s="402"/>
      <c r="E766" s="402"/>
      <c r="F766" s="403"/>
      <c r="G766" s="402"/>
      <c r="H766" s="402"/>
      <c r="I766" s="402"/>
      <c r="J766" s="402"/>
      <c r="K766" s="402"/>
      <c r="L766" s="402"/>
      <c r="M766" s="402"/>
      <c r="N766" s="402"/>
      <c r="O766" s="402"/>
      <c r="P766" s="402"/>
      <c r="Q766" s="402"/>
      <c r="R766" s="402"/>
      <c r="S766" s="402"/>
      <c r="T766" s="402"/>
      <c r="U766" s="402"/>
      <c r="V766" s="402"/>
      <c r="W766" s="402"/>
      <c r="X766" s="402"/>
      <c r="Y766" s="402"/>
      <c r="Z766" s="402"/>
    </row>
    <row r="767" ht="14.25" customHeight="1">
      <c r="A767" s="402"/>
      <c r="B767" s="402"/>
      <c r="C767" s="402"/>
      <c r="D767" s="402"/>
      <c r="E767" s="402"/>
      <c r="F767" s="403"/>
      <c r="G767" s="402"/>
      <c r="H767" s="402"/>
      <c r="I767" s="402"/>
      <c r="J767" s="402"/>
      <c r="K767" s="402"/>
      <c r="L767" s="402"/>
      <c r="M767" s="402"/>
      <c r="N767" s="402"/>
      <c r="O767" s="402"/>
      <c r="P767" s="402"/>
      <c r="Q767" s="402"/>
      <c r="R767" s="402"/>
      <c r="S767" s="402"/>
      <c r="T767" s="402"/>
      <c r="U767" s="402"/>
      <c r="V767" s="402"/>
      <c r="W767" s="402"/>
      <c r="X767" s="402"/>
      <c r="Y767" s="402"/>
      <c r="Z767" s="402"/>
    </row>
    <row r="768" ht="14.25" customHeight="1">
      <c r="A768" s="402"/>
      <c r="B768" s="402"/>
      <c r="C768" s="402"/>
      <c r="D768" s="402"/>
      <c r="E768" s="402"/>
      <c r="F768" s="403"/>
      <c r="G768" s="402"/>
      <c r="H768" s="402"/>
      <c r="I768" s="402"/>
      <c r="J768" s="402"/>
      <c r="K768" s="402"/>
      <c r="L768" s="402"/>
      <c r="M768" s="402"/>
      <c r="N768" s="402"/>
      <c r="O768" s="402"/>
      <c r="P768" s="402"/>
      <c r="Q768" s="402"/>
      <c r="R768" s="402"/>
      <c r="S768" s="402"/>
      <c r="T768" s="402"/>
      <c r="U768" s="402"/>
      <c r="V768" s="402"/>
      <c r="W768" s="402"/>
      <c r="X768" s="402"/>
      <c r="Y768" s="402"/>
      <c r="Z768" s="402"/>
    </row>
    <row r="769" ht="14.25" customHeight="1">
      <c r="A769" s="402"/>
      <c r="B769" s="402"/>
      <c r="C769" s="402"/>
      <c r="D769" s="402"/>
      <c r="E769" s="402"/>
      <c r="F769" s="403"/>
      <c r="G769" s="402"/>
      <c r="H769" s="402"/>
      <c r="I769" s="402"/>
      <c r="J769" s="402"/>
      <c r="K769" s="402"/>
      <c r="L769" s="402"/>
      <c r="M769" s="402"/>
      <c r="N769" s="402"/>
      <c r="O769" s="402"/>
      <c r="P769" s="402"/>
      <c r="Q769" s="402"/>
      <c r="R769" s="402"/>
      <c r="S769" s="402"/>
      <c r="T769" s="402"/>
      <c r="U769" s="402"/>
      <c r="V769" s="402"/>
      <c r="W769" s="402"/>
      <c r="X769" s="402"/>
      <c r="Y769" s="402"/>
      <c r="Z769" s="402"/>
    </row>
    <row r="770" ht="14.25" customHeight="1">
      <c r="A770" s="402"/>
      <c r="B770" s="402"/>
      <c r="C770" s="402"/>
      <c r="D770" s="402"/>
      <c r="E770" s="402"/>
      <c r="F770" s="403"/>
      <c r="G770" s="402"/>
      <c r="H770" s="402"/>
      <c r="I770" s="402"/>
      <c r="J770" s="402"/>
      <c r="K770" s="402"/>
      <c r="L770" s="402"/>
      <c r="M770" s="402"/>
      <c r="N770" s="402"/>
      <c r="O770" s="402"/>
      <c r="P770" s="402"/>
      <c r="Q770" s="402"/>
      <c r="R770" s="402"/>
      <c r="S770" s="402"/>
      <c r="T770" s="402"/>
      <c r="U770" s="402"/>
      <c r="V770" s="402"/>
      <c r="W770" s="402"/>
      <c r="X770" s="402"/>
      <c r="Y770" s="402"/>
      <c r="Z770" s="402"/>
    </row>
    <row r="771" ht="14.25" customHeight="1">
      <c r="A771" s="402"/>
      <c r="B771" s="402"/>
      <c r="C771" s="402"/>
      <c r="D771" s="402"/>
      <c r="E771" s="402"/>
      <c r="F771" s="403"/>
      <c r="G771" s="402"/>
      <c r="H771" s="402"/>
      <c r="I771" s="402"/>
      <c r="J771" s="402"/>
      <c r="K771" s="402"/>
      <c r="L771" s="402"/>
      <c r="M771" s="402"/>
      <c r="N771" s="402"/>
      <c r="O771" s="402"/>
      <c r="P771" s="402"/>
      <c r="Q771" s="402"/>
      <c r="R771" s="402"/>
      <c r="S771" s="402"/>
      <c r="T771" s="402"/>
      <c r="U771" s="402"/>
      <c r="V771" s="402"/>
      <c r="W771" s="402"/>
      <c r="X771" s="402"/>
      <c r="Y771" s="402"/>
      <c r="Z771" s="402"/>
    </row>
    <row r="772" ht="14.25" customHeight="1">
      <c r="A772" s="402"/>
      <c r="B772" s="402"/>
      <c r="C772" s="402"/>
      <c r="D772" s="402"/>
      <c r="E772" s="402"/>
      <c r="F772" s="403"/>
      <c r="G772" s="402"/>
      <c r="H772" s="402"/>
      <c r="I772" s="402"/>
      <c r="J772" s="402"/>
      <c r="K772" s="402"/>
      <c r="L772" s="402"/>
      <c r="M772" s="402"/>
      <c r="N772" s="402"/>
      <c r="O772" s="402"/>
      <c r="P772" s="402"/>
      <c r="Q772" s="402"/>
      <c r="R772" s="402"/>
      <c r="S772" s="402"/>
      <c r="T772" s="402"/>
      <c r="U772" s="402"/>
      <c r="V772" s="402"/>
      <c r="W772" s="402"/>
      <c r="X772" s="402"/>
      <c r="Y772" s="402"/>
      <c r="Z772" s="402"/>
    </row>
    <row r="773" ht="14.25" customHeight="1">
      <c r="A773" s="402"/>
      <c r="B773" s="402"/>
      <c r="C773" s="402"/>
      <c r="D773" s="402"/>
      <c r="E773" s="402"/>
      <c r="F773" s="403"/>
      <c r="G773" s="402"/>
      <c r="H773" s="402"/>
      <c r="I773" s="402"/>
      <c r="J773" s="402"/>
      <c r="K773" s="402"/>
      <c r="L773" s="402"/>
      <c r="M773" s="402"/>
      <c r="N773" s="402"/>
      <c r="O773" s="402"/>
      <c r="P773" s="402"/>
      <c r="Q773" s="402"/>
      <c r="R773" s="402"/>
      <c r="S773" s="402"/>
      <c r="T773" s="402"/>
      <c r="U773" s="402"/>
      <c r="V773" s="402"/>
      <c r="W773" s="402"/>
      <c r="X773" s="402"/>
      <c r="Y773" s="402"/>
      <c r="Z773" s="402"/>
    </row>
    <row r="774" ht="14.25" customHeight="1">
      <c r="A774" s="402"/>
      <c r="B774" s="402"/>
      <c r="C774" s="402"/>
      <c r="D774" s="402"/>
      <c r="E774" s="402"/>
      <c r="F774" s="403"/>
      <c r="G774" s="402"/>
      <c r="H774" s="402"/>
      <c r="I774" s="402"/>
      <c r="J774" s="402"/>
      <c r="K774" s="402"/>
      <c r="L774" s="402"/>
      <c r="M774" s="402"/>
      <c r="N774" s="402"/>
      <c r="O774" s="402"/>
      <c r="P774" s="402"/>
      <c r="Q774" s="402"/>
      <c r="R774" s="402"/>
      <c r="S774" s="402"/>
      <c r="T774" s="402"/>
      <c r="U774" s="402"/>
      <c r="V774" s="402"/>
      <c r="W774" s="402"/>
      <c r="X774" s="402"/>
      <c r="Y774" s="402"/>
      <c r="Z774" s="402"/>
    </row>
    <row r="775" ht="14.25" customHeight="1">
      <c r="A775" s="402"/>
      <c r="B775" s="402"/>
      <c r="C775" s="402"/>
      <c r="D775" s="402"/>
      <c r="E775" s="402"/>
      <c r="F775" s="403"/>
      <c r="G775" s="402"/>
      <c r="H775" s="402"/>
      <c r="I775" s="402"/>
      <c r="J775" s="402"/>
      <c r="K775" s="402"/>
      <c r="L775" s="402"/>
      <c r="M775" s="402"/>
      <c r="N775" s="402"/>
      <c r="O775" s="402"/>
      <c r="P775" s="402"/>
      <c r="Q775" s="402"/>
      <c r="R775" s="402"/>
      <c r="S775" s="402"/>
      <c r="T775" s="402"/>
      <c r="U775" s="402"/>
      <c r="V775" s="402"/>
      <c r="W775" s="402"/>
      <c r="X775" s="402"/>
      <c r="Y775" s="402"/>
      <c r="Z775" s="402"/>
    </row>
    <row r="776" ht="14.25" customHeight="1">
      <c r="A776" s="402"/>
      <c r="B776" s="402"/>
      <c r="C776" s="402"/>
      <c r="D776" s="402"/>
      <c r="E776" s="402"/>
      <c r="F776" s="403"/>
      <c r="G776" s="402"/>
      <c r="H776" s="402"/>
      <c r="I776" s="402"/>
      <c r="J776" s="402"/>
      <c r="K776" s="402"/>
      <c r="L776" s="402"/>
      <c r="M776" s="402"/>
      <c r="N776" s="402"/>
      <c r="O776" s="402"/>
      <c r="P776" s="402"/>
      <c r="Q776" s="402"/>
      <c r="R776" s="402"/>
      <c r="S776" s="402"/>
      <c r="T776" s="402"/>
      <c r="U776" s="402"/>
      <c r="V776" s="402"/>
      <c r="W776" s="402"/>
      <c r="X776" s="402"/>
      <c r="Y776" s="402"/>
      <c r="Z776" s="402"/>
    </row>
    <row r="777" ht="14.25" customHeight="1">
      <c r="A777" s="402"/>
      <c r="B777" s="402"/>
      <c r="C777" s="402"/>
      <c r="D777" s="402"/>
      <c r="E777" s="402"/>
      <c r="F777" s="403"/>
      <c r="G777" s="402"/>
      <c r="H777" s="402"/>
      <c r="I777" s="402"/>
      <c r="J777" s="402"/>
      <c r="K777" s="402"/>
      <c r="L777" s="402"/>
      <c r="M777" s="402"/>
      <c r="N777" s="402"/>
      <c r="O777" s="402"/>
      <c r="P777" s="402"/>
      <c r="Q777" s="402"/>
      <c r="R777" s="402"/>
      <c r="S777" s="402"/>
      <c r="T777" s="402"/>
      <c r="U777" s="402"/>
      <c r="V777" s="402"/>
      <c r="W777" s="402"/>
      <c r="X777" s="402"/>
      <c r="Y777" s="402"/>
      <c r="Z777" s="402"/>
    </row>
    <row r="778" ht="14.25" customHeight="1">
      <c r="A778" s="402"/>
      <c r="B778" s="402"/>
      <c r="C778" s="402"/>
      <c r="D778" s="402"/>
      <c r="E778" s="402"/>
      <c r="F778" s="403"/>
      <c r="G778" s="402"/>
      <c r="H778" s="402"/>
      <c r="I778" s="402"/>
      <c r="J778" s="402"/>
      <c r="K778" s="402"/>
      <c r="L778" s="402"/>
      <c r="M778" s="402"/>
      <c r="N778" s="402"/>
      <c r="O778" s="402"/>
      <c r="P778" s="402"/>
      <c r="Q778" s="402"/>
      <c r="R778" s="402"/>
      <c r="S778" s="402"/>
      <c r="T778" s="402"/>
      <c r="U778" s="402"/>
      <c r="V778" s="402"/>
      <c r="W778" s="402"/>
      <c r="X778" s="402"/>
      <c r="Y778" s="402"/>
      <c r="Z778" s="402"/>
    </row>
    <row r="779" ht="14.25" customHeight="1">
      <c r="A779" s="402"/>
      <c r="B779" s="402"/>
      <c r="C779" s="402"/>
      <c r="D779" s="402"/>
      <c r="E779" s="402"/>
      <c r="F779" s="403"/>
      <c r="G779" s="402"/>
      <c r="H779" s="402"/>
      <c r="I779" s="402"/>
      <c r="J779" s="402"/>
      <c r="K779" s="402"/>
      <c r="L779" s="402"/>
      <c r="M779" s="402"/>
      <c r="N779" s="402"/>
      <c r="O779" s="402"/>
      <c r="P779" s="402"/>
      <c r="Q779" s="402"/>
      <c r="R779" s="402"/>
      <c r="S779" s="402"/>
      <c r="T779" s="402"/>
      <c r="U779" s="402"/>
      <c r="V779" s="402"/>
      <c r="W779" s="402"/>
      <c r="X779" s="402"/>
      <c r="Y779" s="402"/>
      <c r="Z779" s="402"/>
    </row>
    <row r="780" ht="14.25" customHeight="1">
      <c r="A780" s="402"/>
      <c r="B780" s="402"/>
      <c r="C780" s="402"/>
      <c r="D780" s="402"/>
      <c r="E780" s="402"/>
      <c r="F780" s="403"/>
      <c r="G780" s="402"/>
      <c r="H780" s="402"/>
      <c r="I780" s="402"/>
      <c r="J780" s="402"/>
      <c r="K780" s="402"/>
      <c r="L780" s="402"/>
      <c r="M780" s="402"/>
      <c r="N780" s="402"/>
      <c r="O780" s="402"/>
      <c r="P780" s="402"/>
      <c r="Q780" s="402"/>
      <c r="R780" s="402"/>
      <c r="S780" s="402"/>
      <c r="T780" s="402"/>
      <c r="U780" s="402"/>
      <c r="V780" s="402"/>
      <c r="W780" s="402"/>
      <c r="X780" s="402"/>
      <c r="Y780" s="402"/>
      <c r="Z780" s="402"/>
    </row>
    <row r="781" ht="14.25" customHeight="1">
      <c r="A781" s="402"/>
      <c r="B781" s="402"/>
      <c r="C781" s="402"/>
      <c r="D781" s="402"/>
      <c r="E781" s="402"/>
      <c r="F781" s="403"/>
      <c r="G781" s="402"/>
      <c r="H781" s="402"/>
      <c r="I781" s="402"/>
      <c r="J781" s="402"/>
      <c r="K781" s="402"/>
      <c r="L781" s="402"/>
      <c r="M781" s="402"/>
      <c r="N781" s="402"/>
      <c r="O781" s="402"/>
      <c r="P781" s="402"/>
      <c r="Q781" s="402"/>
      <c r="R781" s="402"/>
      <c r="S781" s="402"/>
      <c r="T781" s="402"/>
      <c r="U781" s="402"/>
      <c r="V781" s="402"/>
      <c r="W781" s="402"/>
      <c r="X781" s="402"/>
      <c r="Y781" s="402"/>
      <c r="Z781" s="402"/>
    </row>
    <row r="782" ht="14.25" customHeight="1">
      <c r="A782" s="402"/>
      <c r="B782" s="402"/>
      <c r="C782" s="402"/>
      <c r="D782" s="402"/>
      <c r="E782" s="402"/>
      <c r="F782" s="403"/>
      <c r="G782" s="402"/>
      <c r="H782" s="402"/>
      <c r="I782" s="402"/>
      <c r="J782" s="402"/>
      <c r="K782" s="402"/>
      <c r="L782" s="402"/>
      <c r="M782" s="402"/>
      <c r="N782" s="402"/>
      <c r="O782" s="402"/>
      <c r="P782" s="402"/>
      <c r="Q782" s="402"/>
      <c r="R782" s="402"/>
      <c r="S782" s="402"/>
      <c r="T782" s="402"/>
      <c r="U782" s="402"/>
      <c r="V782" s="402"/>
      <c r="W782" s="402"/>
      <c r="X782" s="402"/>
      <c r="Y782" s="402"/>
      <c r="Z782" s="402"/>
    </row>
    <row r="783" ht="14.25" customHeight="1">
      <c r="A783" s="402"/>
      <c r="B783" s="402"/>
      <c r="C783" s="402"/>
      <c r="D783" s="402"/>
      <c r="E783" s="402"/>
      <c r="F783" s="403"/>
      <c r="G783" s="402"/>
      <c r="H783" s="402"/>
      <c r="I783" s="402"/>
      <c r="J783" s="402"/>
      <c r="K783" s="402"/>
      <c r="L783" s="402"/>
      <c r="M783" s="402"/>
      <c r="N783" s="402"/>
      <c r="O783" s="402"/>
      <c r="P783" s="402"/>
      <c r="Q783" s="402"/>
      <c r="R783" s="402"/>
      <c r="S783" s="402"/>
      <c r="T783" s="402"/>
      <c r="U783" s="402"/>
      <c r="V783" s="402"/>
      <c r="W783" s="402"/>
      <c r="X783" s="402"/>
      <c r="Y783" s="402"/>
      <c r="Z783" s="402"/>
    </row>
    <row r="784" ht="14.25" customHeight="1">
      <c r="A784" s="402"/>
      <c r="B784" s="402"/>
      <c r="C784" s="402"/>
      <c r="D784" s="402"/>
      <c r="E784" s="402"/>
      <c r="F784" s="403"/>
      <c r="G784" s="402"/>
      <c r="H784" s="402"/>
      <c r="I784" s="402"/>
      <c r="J784" s="402"/>
      <c r="K784" s="402"/>
      <c r="L784" s="402"/>
      <c r="M784" s="402"/>
      <c r="N784" s="402"/>
      <c r="O784" s="402"/>
      <c r="P784" s="402"/>
      <c r="Q784" s="402"/>
      <c r="R784" s="402"/>
      <c r="S784" s="402"/>
      <c r="T784" s="402"/>
      <c r="U784" s="402"/>
      <c r="V784" s="402"/>
      <c r="W784" s="402"/>
      <c r="X784" s="402"/>
      <c r="Y784" s="402"/>
      <c r="Z784" s="402"/>
    </row>
    <row r="785" ht="14.25" customHeight="1">
      <c r="A785" s="402"/>
      <c r="B785" s="402"/>
      <c r="C785" s="402"/>
      <c r="D785" s="402"/>
      <c r="E785" s="402"/>
      <c r="F785" s="403"/>
      <c r="G785" s="402"/>
      <c r="H785" s="402"/>
      <c r="I785" s="402"/>
      <c r="J785" s="402"/>
      <c r="K785" s="402"/>
      <c r="L785" s="402"/>
      <c r="M785" s="402"/>
      <c r="N785" s="402"/>
      <c r="O785" s="402"/>
      <c r="P785" s="402"/>
      <c r="Q785" s="402"/>
      <c r="R785" s="402"/>
      <c r="S785" s="402"/>
      <c r="T785" s="402"/>
      <c r="U785" s="402"/>
      <c r="V785" s="402"/>
      <c r="W785" s="402"/>
      <c r="X785" s="402"/>
      <c r="Y785" s="402"/>
      <c r="Z785" s="402"/>
    </row>
    <row r="786" ht="14.25" customHeight="1">
      <c r="A786" s="402"/>
      <c r="B786" s="402"/>
      <c r="C786" s="402"/>
      <c r="D786" s="402"/>
      <c r="E786" s="402"/>
      <c r="F786" s="403"/>
      <c r="G786" s="402"/>
      <c r="H786" s="402"/>
      <c r="I786" s="402"/>
      <c r="J786" s="402"/>
      <c r="K786" s="402"/>
      <c r="L786" s="402"/>
      <c r="M786" s="402"/>
      <c r="N786" s="402"/>
      <c r="O786" s="402"/>
      <c r="P786" s="402"/>
      <c r="Q786" s="402"/>
      <c r="R786" s="402"/>
      <c r="S786" s="402"/>
      <c r="T786" s="402"/>
      <c r="U786" s="402"/>
      <c r="V786" s="402"/>
      <c r="W786" s="402"/>
      <c r="X786" s="402"/>
      <c r="Y786" s="402"/>
      <c r="Z786" s="402"/>
    </row>
    <row r="787" ht="14.25" customHeight="1">
      <c r="A787" s="402"/>
      <c r="B787" s="402"/>
      <c r="C787" s="402"/>
      <c r="D787" s="402"/>
      <c r="E787" s="402"/>
      <c r="F787" s="403"/>
      <c r="G787" s="402"/>
      <c r="H787" s="402"/>
      <c r="I787" s="402"/>
      <c r="J787" s="402"/>
      <c r="K787" s="402"/>
      <c r="L787" s="402"/>
      <c r="M787" s="402"/>
      <c r="N787" s="402"/>
      <c r="O787" s="402"/>
      <c r="P787" s="402"/>
      <c r="Q787" s="402"/>
      <c r="R787" s="402"/>
      <c r="S787" s="402"/>
      <c r="T787" s="402"/>
      <c r="U787" s="402"/>
      <c r="V787" s="402"/>
      <c r="W787" s="402"/>
      <c r="X787" s="402"/>
      <c r="Y787" s="402"/>
      <c r="Z787" s="402"/>
    </row>
    <row r="788" ht="14.25" customHeight="1">
      <c r="A788" s="402"/>
      <c r="B788" s="402"/>
      <c r="C788" s="402"/>
      <c r="D788" s="402"/>
      <c r="E788" s="402"/>
      <c r="F788" s="403"/>
      <c r="G788" s="402"/>
      <c r="H788" s="402"/>
      <c r="I788" s="402"/>
      <c r="J788" s="402"/>
      <c r="K788" s="402"/>
      <c r="L788" s="402"/>
      <c r="M788" s="402"/>
      <c r="N788" s="402"/>
      <c r="O788" s="402"/>
      <c r="P788" s="402"/>
      <c r="Q788" s="402"/>
      <c r="R788" s="402"/>
      <c r="S788" s="402"/>
      <c r="T788" s="402"/>
      <c r="U788" s="402"/>
      <c r="V788" s="402"/>
      <c r="W788" s="402"/>
      <c r="X788" s="402"/>
      <c r="Y788" s="402"/>
      <c r="Z788" s="402"/>
    </row>
    <row r="789" ht="14.25" customHeight="1">
      <c r="A789" s="402"/>
      <c r="B789" s="402"/>
      <c r="C789" s="402"/>
      <c r="D789" s="402"/>
      <c r="E789" s="402"/>
      <c r="F789" s="403"/>
      <c r="G789" s="402"/>
      <c r="H789" s="402"/>
      <c r="I789" s="402"/>
      <c r="J789" s="402"/>
      <c r="K789" s="402"/>
      <c r="L789" s="402"/>
      <c r="M789" s="402"/>
      <c r="N789" s="402"/>
      <c r="O789" s="402"/>
      <c r="P789" s="402"/>
      <c r="Q789" s="402"/>
      <c r="R789" s="402"/>
      <c r="S789" s="402"/>
      <c r="T789" s="402"/>
      <c r="U789" s="402"/>
      <c r="V789" s="402"/>
      <c r="W789" s="402"/>
      <c r="X789" s="402"/>
      <c r="Y789" s="402"/>
      <c r="Z789" s="402"/>
    </row>
    <row r="790" ht="14.25" customHeight="1">
      <c r="A790" s="402"/>
      <c r="B790" s="402"/>
      <c r="C790" s="402"/>
      <c r="D790" s="402"/>
      <c r="E790" s="402"/>
      <c r="F790" s="403"/>
      <c r="G790" s="402"/>
      <c r="H790" s="402"/>
      <c r="I790" s="402"/>
      <c r="J790" s="402"/>
      <c r="K790" s="402"/>
      <c r="L790" s="402"/>
      <c r="M790" s="402"/>
      <c r="N790" s="402"/>
      <c r="O790" s="402"/>
      <c r="P790" s="402"/>
      <c r="Q790" s="402"/>
      <c r="R790" s="402"/>
      <c r="S790" s="402"/>
      <c r="T790" s="402"/>
      <c r="U790" s="402"/>
      <c r="V790" s="402"/>
      <c r="W790" s="402"/>
      <c r="X790" s="402"/>
      <c r="Y790" s="402"/>
      <c r="Z790" s="402"/>
    </row>
    <row r="791" ht="14.25" customHeight="1">
      <c r="A791" s="402"/>
      <c r="B791" s="402"/>
      <c r="C791" s="402"/>
      <c r="D791" s="402"/>
      <c r="E791" s="402"/>
      <c r="F791" s="403"/>
      <c r="G791" s="402"/>
      <c r="H791" s="402"/>
      <c r="I791" s="402"/>
      <c r="J791" s="402"/>
      <c r="K791" s="402"/>
      <c r="L791" s="402"/>
      <c r="M791" s="402"/>
      <c r="N791" s="402"/>
      <c r="O791" s="402"/>
      <c r="P791" s="402"/>
      <c r="Q791" s="402"/>
      <c r="R791" s="402"/>
      <c r="S791" s="402"/>
      <c r="T791" s="402"/>
      <c r="U791" s="402"/>
      <c r="V791" s="402"/>
      <c r="W791" s="402"/>
      <c r="X791" s="402"/>
      <c r="Y791" s="402"/>
      <c r="Z791" s="402"/>
    </row>
    <row r="792" ht="14.25" customHeight="1">
      <c r="A792" s="402"/>
      <c r="B792" s="402"/>
      <c r="C792" s="402"/>
      <c r="D792" s="402"/>
      <c r="E792" s="402"/>
      <c r="F792" s="403"/>
      <c r="G792" s="402"/>
      <c r="H792" s="402"/>
      <c r="I792" s="402"/>
      <c r="J792" s="402"/>
      <c r="K792" s="402"/>
      <c r="L792" s="402"/>
      <c r="M792" s="402"/>
      <c r="N792" s="402"/>
      <c r="O792" s="402"/>
      <c r="P792" s="402"/>
      <c r="Q792" s="402"/>
      <c r="R792" s="402"/>
      <c r="S792" s="402"/>
      <c r="T792" s="402"/>
      <c r="U792" s="402"/>
      <c r="V792" s="402"/>
      <c r="W792" s="402"/>
      <c r="X792" s="402"/>
      <c r="Y792" s="402"/>
      <c r="Z792" s="402"/>
    </row>
    <row r="793" ht="14.25" customHeight="1">
      <c r="A793" s="402"/>
      <c r="B793" s="402"/>
      <c r="C793" s="402"/>
      <c r="D793" s="402"/>
      <c r="E793" s="402"/>
      <c r="F793" s="403"/>
      <c r="G793" s="402"/>
      <c r="H793" s="402"/>
      <c r="I793" s="402"/>
      <c r="J793" s="402"/>
      <c r="K793" s="402"/>
      <c r="L793" s="402"/>
      <c r="M793" s="402"/>
      <c r="N793" s="402"/>
      <c r="O793" s="402"/>
      <c r="P793" s="402"/>
      <c r="Q793" s="402"/>
      <c r="R793" s="402"/>
      <c r="S793" s="402"/>
      <c r="T793" s="402"/>
      <c r="U793" s="402"/>
      <c r="V793" s="402"/>
      <c r="W793" s="402"/>
      <c r="X793" s="402"/>
      <c r="Y793" s="402"/>
      <c r="Z793" s="402"/>
    </row>
    <row r="794" ht="14.25" customHeight="1">
      <c r="A794" s="402"/>
      <c r="B794" s="402"/>
      <c r="C794" s="402"/>
      <c r="D794" s="402"/>
      <c r="E794" s="402"/>
      <c r="F794" s="403"/>
      <c r="G794" s="402"/>
      <c r="H794" s="402"/>
      <c r="I794" s="402"/>
      <c r="J794" s="402"/>
      <c r="K794" s="402"/>
      <c r="L794" s="402"/>
      <c r="M794" s="402"/>
      <c r="N794" s="402"/>
      <c r="O794" s="402"/>
      <c r="P794" s="402"/>
      <c r="Q794" s="402"/>
      <c r="R794" s="402"/>
      <c r="S794" s="402"/>
      <c r="T794" s="402"/>
      <c r="U794" s="402"/>
      <c r="V794" s="402"/>
      <c r="W794" s="402"/>
      <c r="X794" s="402"/>
      <c r="Y794" s="402"/>
      <c r="Z794" s="402"/>
    </row>
    <row r="795" ht="14.25" customHeight="1">
      <c r="A795" s="402"/>
      <c r="B795" s="402"/>
      <c r="C795" s="402"/>
      <c r="D795" s="402"/>
      <c r="E795" s="402"/>
      <c r="F795" s="403"/>
      <c r="G795" s="402"/>
      <c r="H795" s="402"/>
      <c r="I795" s="402"/>
      <c r="J795" s="402"/>
      <c r="K795" s="402"/>
      <c r="L795" s="402"/>
      <c r="M795" s="402"/>
      <c r="N795" s="402"/>
      <c r="O795" s="402"/>
      <c r="P795" s="402"/>
      <c r="Q795" s="402"/>
      <c r="R795" s="402"/>
      <c r="S795" s="402"/>
      <c r="T795" s="402"/>
      <c r="U795" s="402"/>
      <c r="V795" s="402"/>
      <c r="W795" s="402"/>
      <c r="X795" s="402"/>
      <c r="Y795" s="402"/>
      <c r="Z795" s="402"/>
    </row>
    <row r="796" ht="14.25" customHeight="1">
      <c r="A796" s="402"/>
      <c r="B796" s="402"/>
      <c r="C796" s="402"/>
      <c r="D796" s="402"/>
      <c r="E796" s="402"/>
      <c r="F796" s="403"/>
      <c r="G796" s="402"/>
      <c r="H796" s="402"/>
      <c r="I796" s="402"/>
      <c r="J796" s="402"/>
      <c r="K796" s="402"/>
      <c r="L796" s="402"/>
      <c r="M796" s="402"/>
      <c r="N796" s="402"/>
      <c r="O796" s="402"/>
      <c r="P796" s="402"/>
      <c r="Q796" s="402"/>
      <c r="R796" s="402"/>
      <c r="S796" s="402"/>
      <c r="T796" s="402"/>
      <c r="U796" s="402"/>
      <c r="V796" s="402"/>
      <c r="W796" s="402"/>
      <c r="X796" s="402"/>
      <c r="Y796" s="402"/>
      <c r="Z796" s="402"/>
    </row>
    <row r="797" ht="14.25" customHeight="1">
      <c r="A797" s="402"/>
      <c r="B797" s="402"/>
      <c r="C797" s="402"/>
      <c r="D797" s="402"/>
      <c r="E797" s="402"/>
      <c r="F797" s="403"/>
      <c r="G797" s="402"/>
      <c r="H797" s="402"/>
      <c r="I797" s="402"/>
      <c r="J797" s="402"/>
      <c r="K797" s="402"/>
      <c r="L797" s="402"/>
      <c r="M797" s="402"/>
      <c r="N797" s="402"/>
      <c r="O797" s="402"/>
      <c r="P797" s="402"/>
      <c r="Q797" s="402"/>
      <c r="R797" s="402"/>
      <c r="S797" s="402"/>
      <c r="T797" s="402"/>
      <c r="U797" s="402"/>
      <c r="V797" s="402"/>
      <c r="W797" s="402"/>
      <c r="X797" s="402"/>
      <c r="Y797" s="402"/>
      <c r="Z797" s="402"/>
    </row>
    <row r="798" ht="14.25" customHeight="1">
      <c r="A798" s="402"/>
      <c r="B798" s="402"/>
      <c r="C798" s="402"/>
      <c r="D798" s="402"/>
      <c r="E798" s="402"/>
      <c r="F798" s="403"/>
      <c r="G798" s="402"/>
      <c r="H798" s="402"/>
      <c r="I798" s="402"/>
      <c r="J798" s="402"/>
      <c r="K798" s="402"/>
      <c r="L798" s="402"/>
      <c r="M798" s="402"/>
      <c r="N798" s="402"/>
      <c r="O798" s="402"/>
      <c r="P798" s="402"/>
      <c r="Q798" s="402"/>
      <c r="R798" s="402"/>
      <c r="S798" s="402"/>
      <c r="T798" s="402"/>
      <c r="U798" s="402"/>
      <c r="V798" s="402"/>
      <c r="W798" s="402"/>
      <c r="X798" s="402"/>
      <c r="Y798" s="402"/>
      <c r="Z798" s="402"/>
    </row>
    <row r="799" ht="14.25" customHeight="1">
      <c r="A799" s="402"/>
      <c r="B799" s="402"/>
      <c r="C799" s="402"/>
      <c r="D799" s="402"/>
      <c r="E799" s="402"/>
      <c r="F799" s="403"/>
      <c r="G799" s="402"/>
      <c r="H799" s="402"/>
      <c r="I799" s="402"/>
      <c r="J799" s="402"/>
      <c r="K799" s="402"/>
      <c r="L799" s="402"/>
      <c r="M799" s="402"/>
      <c r="N799" s="402"/>
      <c r="O799" s="402"/>
      <c r="P799" s="402"/>
      <c r="Q799" s="402"/>
      <c r="R799" s="402"/>
      <c r="S799" s="402"/>
      <c r="T799" s="402"/>
      <c r="U799" s="402"/>
      <c r="V799" s="402"/>
      <c r="W799" s="402"/>
      <c r="X799" s="402"/>
      <c r="Y799" s="402"/>
      <c r="Z799" s="402"/>
    </row>
    <row r="800" ht="14.25" customHeight="1">
      <c r="A800" s="402"/>
      <c r="B800" s="402"/>
      <c r="C800" s="402"/>
      <c r="D800" s="402"/>
      <c r="E800" s="402"/>
      <c r="F800" s="403"/>
      <c r="G800" s="402"/>
      <c r="H800" s="402"/>
      <c r="I800" s="402"/>
      <c r="J800" s="402"/>
      <c r="K800" s="402"/>
      <c r="L800" s="402"/>
      <c r="M800" s="402"/>
      <c r="N800" s="402"/>
      <c r="O800" s="402"/>
      <c r="P800" s="402"/>
      <c r="Q800" s="402"/>
      <c r="R800" s="402"/>
      <c r="S800" s="402"/>
      <c r="T800" s="402"/>
      <c r="U800" s="402"/>
      <c r="V800" s="402"/>
      <c r="W800" s="402"/>
      <c r="X800" s="402"/>
      <c r="Y800" s="402"/>
      <c r="Z800" s="402"/>
    </row>
    <row r="801" ht="14.25" customHeight="1">
      <c r="A801" s="402"/>
      <c r="B801" s="402"/>
      <c r="C801" s="402"/>
      <c r="D801" s="402"/>
      <c r="E801" s="402"/>
      <c r="F801" s="403"/>
      <c r="G801" s="402"/>
      <c r="H801" s="402"/>
      <c r="I801" s="402"/>
      <c r="J801" s="402"/>
      <c r="K801" s="402"/>
      <c r="L801" s="402"/>
      <c r="M801" s="402"/>
      <c r="N801" s="402"/>
      <c r="O801" s="402"/>
      <c r="P801" s="402"/>
      <c r="Q801" s="402"/>
      <c r="R801" s="402"/>
      <c r="S801" s="402"/>
      <c r="T801" s="402"/>
      <c r="U801" s="402"/>
      <c r="V801" s="402"/>
      <c r="W801" s="402"/>
      <c r="X801" s="402"/>
      <c r="Y801" s="402"/>
      <c r="Z801" s="402"/>
    </row>
    <row r="802" ht="14.25" customHeight="1">
      <c r="A802" s="402"/>
      <c r="B802" s="402"/>
      <c r="C802" s="402"/>
      <c r="D802" s="402"/>
      <c r="E802" s="402"/>
      <c r="F802" s="403"/>
      <c r="G802" s="402"/>
      <c r="H802" s="402"/>
      <c r="I802" s="402"/>
      <c r="J802" s="402"/>
      <c r="K802" s="402"/>
      <c r="L802" s="402"/>
      <c r="M802" s="402"/>
      <c r="N802" s="402"/>
      <c r="O802" s="402"/>
      <c r="P802" s="402"/>
      <c r="Q802" s="402"/>
      <c r="R802" s="402"/>
      <c r="S802" s="402"/>
      <c r="T802" s="402"/>
      <c r="U802" s="402"/>
      <c r="V802" s="402"/>
      <c r="W802" s="402"/>
      <c r="X802" s="402"/>
      <c r="Y802" s="402"/>
      <c r="Z802" s="402"/>
    </row>
    <row r="803" ht="14.25" customHeight="1">
      <c r="A803" s="402"/>
      <c r="B803" s="402"/>
      <c r="C803" s="402"/>
      <c r="D803" s="402"/>
      <c r="E803" s="402"/>
      <c r="F803" s="403"/>
      <c r="G803" s="402"/>
      <c r="H803" s="402"/>
      <c r="I803" s="402"/>
      <c r="J803" s="402"/>
      <c r="K803" s="402"/>
      <c r="L803" s="402"/>
      <c r="M803" s="402"/>
      <c r="N803" s="402"/>
      <c r="O803" s="402"/>
      <c r="P803" s="402"/>
      <c r="Q803" s="402"/>
      <c r="R803" s="402"/>
      <c r="S803" s="402"/>
      <c r="T803" s="402"/>
      <c r="U803" s="402"/>
      <c r="V803" s="402"/>
      <c r="W803" s="402"/>
      <c r="X803" s="402"/>
      <c r="Y803" s="402"/>
      <c r="Z803" s="402"/>
    </row>
    <row r="804" ht="14.25" customHeight="1">
      <c r="A804" s="402"/>
      <c r="B804" s="402"/>
      <c r="C804" s="402"/>
      <c r="D804" s="402"/>
      <c r="E804" s="402"/>
      <c r="F804" s="403"/>
      <c r="G804" s="402"/>
      <c r="H804" s="402"/>
      <c r="I804" s="402"/>
      <c r="J804" s="402"/>
      <c r="K804" s="402"/>
      <c r="L804" s="402"/>
      <c r="M804" s="402"/>
      <c r="N804" s="402"/>
      <c r="O804" s="402"/>
      <c r="P804" s="402"/>
      <c r="Q804" s="402"/>
      <c r="R804" s="402"/>
      <c r="S804" s="402"/>
      <c r="T804" s="402"/>
      <c r="U804" s="402"/>
      <c r="V804" s="402"/>
      <c r="W804" s="402"/>
      <c r="X804" s="402"/>
      <c r="Y804" s="402"/>
      <c r="Z804" s="402"/>
    </row>
    <row r="805" ht="14.25" customHeight="1">
      <c r="A805" s="402"/>
      <c r="B805" s="402"/>
      <c r="C805" s="402"/>
      <c r="D805" s="402"/>
      <c r="E805" s="402"/>
      <c r="F805" s="403"/>
      <c r="G805" s="402"/>
      <c r="H805" s="402"/>
      <c r="I805" s="402"/>
      <c r="J805" s="402"/>
      <c r="K805" s="402"/>
      <c r="L805" s="402"/>
      <c r="M805" s="402"/>
      <c r="N805" s="402"/>
      <c r="O805" s="402"/>
      <c r="P805" s="402"/>
      <c r="Q805" s="402"/>
      <c r="R805" s="402"/>
      <c r="S805" s="402"/>
      <c r="T805" s="402"/>
      <c r="U805" s="402"/>
      <c r="V805" s="402"/>
      <c r="W805" s="402"/>
      <c r="X805" s="402"/>
      <c r="Y805" s="402"/>
      <c r="Z805" s="402"/>
    </row>
    <row r="806" ht="14.25" customHeight="1">
      <c r="A806" s="402"/>
      <c r="B806" s="402"/>
      <c r="C806" s="402"/>
      <c r="D806" s="402"/>
      <c r="E806" s="402"/>
      <c r="F806" s="403"/>
      <c r="G806" s="402"/>
      <c r="H806" s="402"/>
      <c r="I806" s="402"/>
      <c r="J806" s="402"/>
      <c r="K806" s="402"/>
      <c r="L806" s="402"/>
      <c r="M806" s="402"/>
      <c r="N806" s="402"/>
      <c r="O806" s="402"/>
      <c r="P806" s="402"/>
      <c r="Q806" s="402"/>
      <c r="R806" s="402"/>
      <c r="S806" s="402"/>
      <c r="T806" s="402"/>
      <c r="U806" s="402"/>
      <c r="V806" s="402"/>
      <c r="W806" s="402"/>
      <c r="X806" s="402"/>
      <c r="Y806" s="402"/>
      <c r="Z806" s="402"/>
    </row>
    <row r="807" ht="14.25" customHeight="1">
      <c r="A807" s="402"/>
      <c r="B807" s="402"/>
      <c r="C807" s="402"/>
      <c r="D807" s="402"/>
      <c r="E807" s="402"/>
      <c r="F807" s="403"/>
      <c r="G807" s="402"/>
      <c r="H807" s="402"/>
      <c r="I807" s="402"/>
      <c r="J807" s="402"/>
      <c r="K807" s="402"/>
      <c r="L807" s="402"/>
      <c r="M807" s="402"/>
      <c r="N807" s="402"/>
      <c r="O807" s="402"/>
      <c r="P807" s="402"/>
      <c r="Q807" s="402"/>
      <c r="R807" s="402"/>
      <c r="S807" s="402"/>
      <c r="T807" s="402"/>
      <c r="U807" s="402"/>
      <c r="V807" s="402"/>
      <c r="W807" s="402"/>
      <c r="X807" s="402"/>
      <c r="Y807" s="402"/>
      <c r="Z807" s="402"/>
    </row>
    <row r="808" ht="14.25" customHeight="1">
      <c r="A808" s="402"/>
      <c r="B808" s="402"/>
      <c r="C808" s="402"/>
      <c r="D808" s="402"/>
      <c r="E808" s="402"/>
      <c r="F808" s="403"/>
      <c r="G808" s="402"/>
      <c r="H808" s="402"/>
      <c r="I808" s="402"/>
      <c r="J808" s="402"/>
      <c r="K808" s="402"/>
      <c r="L808" s="402"/>
      <c r="M808" s="402"/>
      <c r="N808" s="402"/>
      <c r="O808" s="402"/>
      <c r="P808" s="402"/>
      <c r="Q808" s="402"/>
      <c r="R808" s="402"/>
      <c r="S808" s="402"/>
      <c r="T808" s="402"/>
      <c r="U808" s="402"/>
      <c r="V808" s="402"/>
      <c r="W808" s="402"/>
      <c r="X808" s="402"/>
      <c r="Y808" s="402"/>
      <c r="Z808" s="402"/>
    </row>
    <row r="809" ht="14.25" customHeight="1">
      <c r="A809" s="402"/>
      <c r="B809" s="402"/>
      <c r="C809" s="402"/>
      <c r="D809" s="402"/>
      <c r="E809" s="402"/>
      <c r="F809" s="403"/>
      <c r="G809" s="402"/>
      <c r="H809" s="402"/>
      <c r="I809" s="402"/>
      <c r="J809" s="402"/>
      <c r="K809" s="402"/>
      <c r="L809" s="402"/>
      <c r="M809" s="402"/>
      <c r="N809" s="402"/>
      <c r="O809" s="402"/>
      <c r="P809" s="402"/>
      <c r="Q809" s="402"/>
      <c r="R809" s="402"/>
      <c r="S809" s="402"/>
      <c r="T809" s="402"/>
      <c r="U809" s="402"/>
      <c r="V809" s="402"/>
      <c r="W809" s="402"/>
      <c r="X809" s="402"/>
      <c r="Y809" s="402"/>
      <c r="Z809" s="402"/>
    </row>
    <row r="810" ht="14.25" customHeight="1">
      <c r="A810" s="402"/>
      <c r="B810" s="402"/>
      <c r="C810" s="402"/>
      <c r="D810" s="402"/>
      <c r="E810" s="402"/>
      <c r="F810" s="403"/>
      <c r="G810" s="402"/>
      <c r="H810" s="402"/>
      <c r="I810" s="402"/>
      <c r="J810" s="402"/>
      <c r="K810" s="402"/>
      <c r="L810" s="402"/>
      <c r="M810" s="402"/>
      <c r="N810" s="402"/>
      <c r="O810" s="402"/>
      <c r="P810" s="402"/>
      <c r="Q810" s="402"/>
      <c r="R810" s="402"/>
      <c r="S810" s="402"/>
      <c r="T810" s="402"/>
      <c r="U810" s="402"/>
      <c r="V810" s="402"/>
      <c r="W810" s="402"/>
      <c r="X810" s="402"/>
      <c r="Y810" s="402"/>
      <c r="Z810" s="402"/>
    </row>
    <row r="811" ht="14.25" customHeight="1">
      <c r="A811" s="402"/>
      <c r="B811" s="402"/>
      <c r="C811" s="402"/>
      <c r="D811" s="402"/>
      <c r="E811" s="402"/>
      <c r="F811" s="403"/>
      <c r="G811" s="402"/>
      <c r="H811" s="402"/>
      <c r="I811" s="402"/>
      <c r="J811" s="402"/>
      <c r="K811" s="402"/>
      <c r="L811" s="402"/>
      <c r="M811" s="402"/>
      <c r="N811" s="402"/>
      <c r="O811" s="402"/>
      <c r="P811" s="402"/>
      <c r="Q811" s="402"/>
      <c r="R811" s="402"/>
      <c r="S811" s="402"/>
      <c r="T811" s="402"/>
      <c r="U811" s="402"/>
      <c r="V811" s="402"/>
      <c r="W811" s="402"/>
      <c r="X811" s="402"/>
      <c r="Y811" s="402"/>
      <c r="Z811" s="402"/>
    </row>
    <row r="812" ht="14.25" customHeight="1">
      <c r="A812" s="402"/>
      <c r="B812" s="402"/>
      <c r="C812" s="402"/>
      <c r="D812" s="402"/>
      <c r="E812" s="402"/>
      <c r="F812" s="403"/>
      <c r="G812" s="402"/>
      <c r="H812" s="402"/>
      <c r="I812" s="402"/>
      <c r="J812" s="402"/>
      <c r="K812" s="402"/>
      <c r="L812" s="402"/>
      <c r="M812" s="402"/>
      <c r="N812" s="402"/>
      <c r="O812" s="402"/>
      <c r="P812" s="402"/>
      <c r="Q812" s="402"/>
      <c r="R812" s="402"/>
      <c r="S812" s="402"/>
      <c r="T812" s="402"/>
      <c r="U812" s="402"/>
      <c r="V812" s="402"/>
      <c r="W812" s="402"/>
      <c r="X812" s="402"/>
      <c r="Y812" s="402"/>
      <c r="Z812" s="402"/>
    </row>
    <row r="813" ht="14.25" customHeight="1">
      <c r="A813" s="402"/>
      <c r="B813" s="402"/>
      <c r="C813" s="402"/>
      <c r="D813" s="402"/>
      <c r="E813" s="402"/>
      <c r="F813" s="403"/>
      <c r="G813" s="402"/>
      <c r="H813" s="402"/>
      <c r="I813" s="402"/>
      <c r="J813" s="402"/>
      <c r="K813" s="402"/>
      <c r="L813" s="402"/>
      <c r="M813" s="402"/>
      <c r="N813" s="402"/>
      <c r="O813" s="402"/>
      <c r="P813" s="402"/>
      <c r="Q813" s="402"/>
      <c r="R813" s="402"/>
      <c r="S813" s="402"/>
      <c r="T813" s="402"/>
      <c r="U813" s="402"/>
      <c r="V813" s="402"/>
      <c r="W813" s="402"/>
      <c r="X813" s="402"/>
      <c r="Y813" s="402"/>
      <c r="Z813" s="402"/>
    </row>
    <row r="814" ht="14.25" customHeight="1">
      <c r="A814" s="402"/>
      <c r="B814" s="402"/>
      <c r="C814" s="402"/>
      <c r="D814" s="402"/>
      <c r="E814" s="402"/>
      <c r="F814" s="403"/>
      <c r="G814" s="402"/>
      <c r="H814" s="402"/>
      <c r="I814" s="402"/>
      <c r="J814" s="402"/>
      <c r="K814" s="402"/>
      <c r="L814" s="402"/>
      <c r="M814" s="402"/>
      <c r="N814" s="402"/>
      <c r="O814" s="402"/>
      <c r="P814" s="402"/>
      <c r="Q814" s="402"/>
      <c r="R814" s="402"/>
      <c r="S814" s="402"/>
      <c r="T814" s="402"/>
      <c r="U814" s="402"/>
      <c r="V814" s="402"/>
      <c r="W814" s="402"/>
      <c r="X814" s="402"/>
      <c r="Y814" s="402"/>
      <c r="Z814" s="402"/>
    </row>
    <row r="815" ht="14.25" customHeight="1">
      <c r="A815" s="402"/>
      <c r="B815" s="402"/>
      <c r="C815" s="402"/>
      <c r="D815" s="402"/>
      <c r="E815" s="402"/>
      <c r="F815" s="403"/>
      <c r="G815" s="402"/>
      <c r="H815" s="402"/>
      <c r="I815" s="402"/>
      <c r="J815" s="402"/>
      <c r="K815" s="402"/>
      <c r="L815" s="402"/>
      <c r="M815" s="402"/>
      <c r="N815" s="402"/>
      <c r="O815" s="402"/>
      <c r="P815" s="402"/>
      <c r="Q815" s="402"/>
      <c r="R815" s="402"/>
      <c r="S815" s="402"/>
      <c r="T815" s="402"/>
      <c r="U815" s="402"/>
      <c r="V815" s="402"/>
      <c r="W815" s="402"/>
      <c r="X815" s="402"/>
      <c r="Y815" s="402"/>
      <c r="Z815" s="402"/>
    </row>
    <row r="816" ht="14.25" customHeight="1">
      <c r="A816" s="402"/>
      <c r="B816" s="402"/>
      <c r="C816" s="402"/>
      <c r="D816" s="402"/>
      <c r="E816" s="402"/>
      <c r="F816" s="403"/>
      <c r="G816" s="402"/>
      <c r="H816" s="402"/>
      <c r="I816" s="402"/>
      <c r="J816" s="402"/>
      <c r="K816" s="402"/>
      <c r="L816" s="402"/>
      <c r="M816" s="402"/>
      <c r="N816" s="402"/>
      <c r="O816" s="402"/>
      <c r="P816" s="402"/>
      <c r="Q816" s="402"/>
      <c r="R816" s="402"/>
      <c r="S816" s="402"/>
      <c r="T816" s="402"/>
      <c r="U816" s="402"/>
      <c r="V816" s="402"/>
      <c r="W816" s="402"/>
      <c r="X816" s="402"/>
      <c r="Y816" s="402"/>
      <c r="Z816" s="402"/>
    </row>
    <row r="817" ht="14.25" customHeight="1">
      <c r="A817" s="402"/>
      <c r="B817" s="402"/>
      <c r="C817" s="402"/>
      <c r="D817" s="402"/>
      <c r="E817" s="402"/>
      <c r="F817" s="403"/>
      <c r="G817" s="402"/>
      <c r="H817" s="402"/>
      <c r="I817" s="402"/>
      <c r="J817" s="402"/>
      <c r="K817" s="402"/>
      <c r="L817" s="402"/>
      <c r="M817" s="402"/>
      <c r="N817" s="402"/>
      <c r="O817" s="402"/>
      <c r="P817" s="402"/>
      <c r="Q817" s="402"/>
      <c r="R817" s="402"/>
      <c r="S817" s="402"/>
      <c r="T817" s="402"/>
      <c r="U817" s="402"/>
      <c r="V817" s="402"/>
      <c r="W817" s="402"/>
      <c r="X817" s="402"/>
      <c r="Y817" s="402"/>
      <c r="Z817" s="402"/>
    </row>
    <row r="818" ht="14.25" customHeight="1">
      <c r="A818" s="402"/>
      <c r="B818" s="402"/>
      <c r="C818" s="402"/>
      <c r="D818" s="402"/>
      <c r="E818" s="402"/>
      <c r="F818" s="403"/>
      <c r="G818" s="402"/>
      <c r="H818" s="402"/>
      <c r="I818" s="402"/>
      <c r="J818" s="402"/>
      <c r="K818" s="402"/>
      <c r="L818" s="402"/>
      <c r="M818" s="402"/>
      <c r="N818" s="402"/>
      <c r="O818" s="402"/>
      <c r="P818" s="402"/>
      <c r="Q818" s="402"/>
      <c r="R818" s="402"/>
      <c r="S818" s="402"/>
      <c r="T818" s="402"/>
      <c r="U818" s="402"/>
      <c r="V818" s="402"/>
      <c r="W818" s="402"/>
      <c r="X818" s="402"/>
      <c r="Y818" s="402"/>
      <c r="Z818" s="402"/>
    </row>
    <row r="819" ht="14.25" customHeight="1">
      <c r="A819" s="402"/>
      <c r="B819" s="402"/>
      <c r="C819" s="402"/>
      <c r="D819" s="402"/>
      <c r="E819" s="402"/>
      <c r="F819" s="403"/>
      <c r="G819" s="402"/>
      <c r="H819" s="402"/>
      <c r="I819" s="402"/>
      <c r="J819" s="402"/>
      <c r="K819" s="402"/>
      <c r="L819" s="402"/>
      <c r="M819" s="402"/>
      <c r="N819" s="402"/>
      <c r="O819" s="402"/>
      <c r="P819" s="402"/>
      <c r="Q819" s="402"/>
      <c r="R819" s="402"/>
      <c r="S819" s="402"/>
      <c r="T819" s="402"/>
      <c r="U819" s="402"/>
      <c r="V819" s="402"/>
      <c r="W819" s="402"/>
      <c r="X819" s="402"/>
      <c r="Y819" s="402"/>
      <c r="Z819" s="402"/>
    </row>
    <row r="820" ht="14.25" customHeight="1">
      <c r="A820" s="402"/>
      <c r="B820" s="402"/>
      <c r="C820" s="402"/>
      <c r="D820" s="402"/>
      <c r="E820" s="402"/>
      <c r="F820" s="403"/>
      <c r="G820" s="402"/>
      <c r="H820" s="402"/>
      <c r="I820" s="402"/>
      <c r="J820" s="402"/>
      <c r="K820" s="402"/>
      <c r="L820" s="402"/>
      <c r="M820" s="402"/>
      <c r="N820" s="402"/>
      <c r="O820" s="402"/>
      <c r="P820" s="402"/>
      <c r="Q820" s="402"/>
      <c r="R820" s="402"/>
      <c r="S820" s="402"/>
      <c r="T820" s="402"/>
      <c r="U820" s="402"/>
      <c r="V820" s="402"/>
      <c r="W820" s="402"/>
      <c r="X820" s="402"/>
      <c r="Y820" s="402"/>
      <c r="Z820" s="402"/>
    </row>
    <row r="821" ht="14.25" customHeight="1">
      <c r="A821" s="402"/>
      <c r="B821" s="402"/>
      <c r="C821" s="402"/>
      <c r="D821" s="402"/>
      <c r="E821" s="402"/>
      <c r="F821" s="403"/>
      <c r="G821" s="402"/>
      <c r="H821" s="402"/>
      <c r="I821" s="402"/>
      <c r="J821" s="402"/>
      <c r="K821" s="402"/>
      <c r="L821" s="402"/>
      <c r="M821" s="402"/>
      <c r="N821" s="402"/>
      <c r="O821" s="402"/>
      <c r="P821" s="402"/>
      <c r="Q821" s="402"/>
      <c r="R821" s="402"/>
      <c r="S821" s="402"/>
      <c r="T821" s="402"/>
      <c r="U821" s="402"/>
      <c r="V821" s="402"/>
      <c r="W821" s="402"/>
      <c r="X821" s="402"/>
      <c r="Y821" s="402"/>
      <c r="Z821" s="402"/>
    </row>
    <row r="822" ht="14.25" customHeight="1">
      <c r="A822" s="402"/>
      <c r="B822" s="402"/>
      <c r="C822" s="402"/>
      <c r="D822" s="402"/>
      <c r="E822" s="402"/>
      <c r="F822" s="403"/>
      <c r="G822" s="402"/>
      <c r="H822" s="402"/>
      <c r="I822" s="402"/>
      <c r="J822" s="402"/>
      <c r="K822" s="402"/>
      <c r="L822" s="402"/>
      <c r="M822" s="402"/>
      <c r="N822" s="402"/>
      <c r="O822" s="402"/>
      <c r="P822" s="402"/>
      <c r="Q822" s="402"/>
      <c r="R822" s="402"/>
      <c r="S822" s="402"/>
      <c r="T822" s="402"/>
      <c r="U822" s="402"/>
      <c r="V822" s="402"/>
      <c r="W822" s="402"/>
      <c r="X822" s="402"/>
      <c r="Y822" s="402"/>
      <c r="Z822" s="402"/>
    </row>
    <row r="823" ht="14.25" customHeight="1">
      <c r="A823" s="402"/>
      <c r="B823" s="402"/>
      <c r="C823" s="402"/>
      <c r="D823" s="402"/>
      <c r="E823" s="402"/>
      <c r="F823" s="403"/>
      <c r="G823" s="402"/>
      <c r="H823" s="402"/>
      <c r="I823" s="402"/>
      <c r="J823" s="402"/>
      <c r="K823" s="402"/>
      <c r="L823" s="402"/>
      <c r="M823" s="402"/>
      <c r="N823" s="402"/>
      <c r="O823" s="402"/>
      <c r="P823" s="402"/>
      <c r="Q823" s="402"/>
      <c r="R823" s="402"/>
      <c r="S823" s="402"/>
      <c r="T823" s="402"/>
      <c r="U823" s="402"/>
      <c r="V823" s="402"/>
      <c r="W823" s="402"/>
      <c r="X823" s="402"/>
      <c r="Y823" s="402"/>
      <c r="Z823" s="402"/>
    </row>
    <row r="824" ht="14.25" customHeight="1">
      <c r="A824" s="402"/>
      <c r="B824" s="402"/>
      <c r="C824" s="402"/>
      <c r="D824" s="402"/>
      <c r="E824" s="402"/>
      <c r="F824" s="403"/>
      <c r="G824" s="402"/>
      <c r="H824" s="402"/>
      <c r="I824" s="402"/>
      <c r="J824" s="402"/>
      <c r="K824" s="402"/>
      <c r="L824" s="402"/>
      <c r="M824" s="402"/>
      <c r="N824" s="402"/>
      <c r="O824" s="402"/>
      <c r="P824" s="402"/>
      <c r="Q824" s="402"/>
      <c r="R824" s="402"/>
      <c r="S824" s="402"/>
      <c r="T824" s="402"/>
      <c r="U824" s="402"/>
      <c r="V824" s="402"/>
      <c r="W824" s="402"/>
      <c r="X824" s="402"/>
      <c r="Y824" s="402"/>
      <c r="Z824" s="402"/>
    </row>
    <row r="825" ht="14.25" customHeight="1">
      <c r="A825" s="402"/>
      <c r="B825" s="402"/>
      <c r="C825" s="402"/>
      <c r="D825" s="402"/>
      <c r="E825" s="402"/>
      <c r="F825" s="403"/>
      <c r="G825" s="402"/>
      <c r="H825" s="402"/>
      <c r="I825" s="402"/>
      <c r="J825" s="402"/>
      <c r="K825" s="402"/>
      <c r="L825" s="402"/>
      <c r="M825" s="402"/>
      <c r="N825" s="402"/>
      <c r="O825" s="402"/>
      <c r="P825" s="402"/>
      <c r="Q825" s="402"/>
      <c r="R825" s="402"/>
      <c r="S825" s="402"/>
      <c r="T825" s="402"/>
      <c r="U825" s="402"/>
      <c r="V825" s="402"/>
      <c r="W825" s="402"/>
      <c r="X825" s="402"/>
      <c r="Y825" s="402"/>
      <c r="Z825" s="402"/>
    </row>
    <row r="826" ht="14.25" customHeight="1">
      <c r="A826" s="402"/>
      <c r="B826" s="402"/>
      <c r="C826" s="402"/>
      <c r="D826" s="402"/>
      <c r="E826" s="402"/>
      <c r="F826" s="403"/>
      <c r="G826" s="402"/>
      <c r="H826" s="402"/>
      <c r="I826" s="402"/>
      <c r="J826" s="402"/>
      <c r="K826" s="402"/>
      <c r="L826" s="402"/>
      <c r="M826" s="402"/>
      <c r="N826" s="402"/>
      <c r="O826" s="402"/>
      <c r="P826" s="402"/>
      <c r="Q826" s="402"/>
      <c r="R826" s="402"/>
      <c r="S826" s="402"/>
      <c r="T826" s="402"/>
      <c r="U826" s="402"/>
      <c r="V826" s="402"/>
      <c r="W826" s="402"/>
      <c r="X826" s="402"/>
      <c r="Y826" s="402"/>
      <c r="Z826" s="402"/>
    </row>
    <row r="827" ht="14.25" customHeight="1">
      <c r="A827" s="402"/>
      <c r="B827" s="402"/>
      <c r="C827" s="402"/>
      <c r="D827" s="402"/>
      <c r="E827" s="402"/>
      <c r="F827" s="403"/>
      <c r="G827" s="402"/>
      <c r="H827" s="402"/>
      <c r="I827" s="402"/>
      <c r="J827" s="402"/>
      <c r="K827" s="402"/>
      <c r="L827" s="402"/>
      <c r="M827" s="402"/>
      <c r="N827" s="402"/>
      <c r="O827" s="402"/>
      <c r="P827" s="402"/>
      <c r="Q827" s="402"/>
      <c r="R827" s="402"/>
      <c r="S827" s="402"/>
      <c r="T827" s="402"/>
      <c r="U827" s="402"/>
      <c r="V827" s="402"/>
      <c r="W827" s="402"/>
      <c r="X827" s="402"/>
      <c r="Y827" s="402"/>
      <c r="Z827" s="402"/>
    </row>
    <row r="828" ht="14.25" customHeight="1">
      <c r="A828" s="402"/>
      <c r="B828" s="402"/>
      <c r="C828" s="402"/>
      <c r="D828" s="402"/>
      <c r="E828" s="402"/>
      <c r="F828" s="403"/>
      <c r="G828" s="402"/>
      <c r="H828" s="402"/>
      <c r="I828" s="402"/>
      <c r="J828" s="402"/>
      <c r="K828" s="402"/>
      <c r="L828" s="402"/>
      <c r="M828" s="402"/>
      <c r="N828" s="402"/>
      <c r="O828" s="402"/>
      <c r="P828" s="402"/>
      <c r="Q828" s="402"/>
      <c r="R828" s="402"/>
      <c r="S828" s="402"/>
      <c r="T828" s="402"/>
      <c r="U828" s="402"/>
      <c r="V828" s="402"/>
      <c r="W828" s="402"/>
      <c r="X828" s="402"/>
      <c r="Y828" s="402"/>
      <c r="Z828" s="402"/>
    </row>
    <row r="829" ht="14.25" customHeight="1">
      <c r="A829" s="402"/>
      <c r="B829" s="402"/>
      <c r="C829" s="402"/>
      <c r="D829" s="402"/>
      <c r="E829" s="402"/>
      <c r="F829" s="403"/>
      <c r="G829" s="402"/>
      <c r="H829" s="402"/>
      <c r="I829" s="402"/>
      <c r="J829" s="402"/>
      <c r="K829" s="402"/>
      <c r="L829" s="402"/>
      <c r="M829" s="402"/>
      <c r="N829" s="402"/>
      <c r="O829" s="402"/>
      <c r="P829" s="402"/>
      <c r="Q829" s="402"/>
      <c r="R829" s="402"/>
      <c r="S829" s="402"/>
      <c r="T829" s="402"/>
      <c r="U829" s="402"/>
      <c r="V829" s="402"/>
      <c r="W829" s="402"/>
      <c r="X829" s="402"/>
      <c r="Y829" s="402"/>
      <c r="Z829" s="402"/>
    </row>
    <row r="830" ht="14.25" customHeight="1">
      <c r="A830" s="402"/>
      <c r="B830" s="402"/>
      <c r="C830" s="402"/>
      <c r="D830" s="402"/>
      <c r="E830" s="402"/>
      <c r="F830" s="403"/>
      <c r="G830" s="402"/>
      <c r="H830" s="402"/>
      <c r="I830" s="402"/>
      <c r="J830" s="402"/>
      <c r="K830" s="402"/>
      <c r="L830" s="402"/>
      <c r="M830" s="402"/>
      <c r="N830" s="402"/>
      <c r="O830" s="402"/>
      <c r="P830" s="402"/>
      <c r="Q830" s="402"/>
      <c r="R830" s="402"/>
      <c r="S830" s="402"/>
      <c r="T830" s="402"/>
      <c r="U830" s="402"/>
      <c r="V830" s="402"/>
      <c r="W830" s="402"/>
      <c r="X830" s="402"/>
      <c r="Y830" s="402"/>
      <c r="Z830" s="402"/>
    </row>
    <row r="831" ht="14.25" customHeight="1">
      <c r="A831" s="402"/>
      <c r="B831" s="402"/>
      <c r="C831" s="402"/>
      <c r="D831" s="402"/>
      <c r="E831" s="402"/>
      <c r="F831" s="403"/>
      <c r="G831" s="402"/>
      <c r="H831" s="402"/>
      <c r="I831" s="402"/>
      <c r="J831" s="402"/>
      <c r="K831" s="402"/>
      <c r="L831" s="402"/>
      <c r="M831" s="402"/>
      <c r="N831" s="402"/>
      <c r="O831" s="402"/>
      <c r="P831" s="402"/>
      <c r="Q831" s="402"/>
      <c r="R831" s="402"/>
      <c r="S831" s="402"/>
      <c r="T831" s="402"/>
      <c r="U831" s="402"/>
      <c r="V831" s="402"/>
      <c r="W831" s="402"/>
      <c r="X831" s="402"/>
      <c r="Y831" s="402"/>
      <c r="Z831" s="402"/>
    </row>
    <row r="832" ht="14.25" customHeight="1">
      <c r="A832" s="402"/>
      <c r="B832" s="402"/>
      <c r="C832" s="402"/>
      <c r="D832" s="402"/>
      <c r="E832" s="402"/>
      <c r="F832" s="403"/>
      <c r="G832" s="402"/>
      <c r="H832" s="402"/>
      <c r="I832" s="402"/>
      <c r="J832" s="402"/>
      <c r="K832" s="402"/>
      <c r="L832" s="402"/>
      <c r="M832" s="402"/>
      <c r="N832" s="402"/>
      <c r="O832" s="402"/>
      <c r="P832" s="402"/>
      <c r="Q832" s="402"/>
      <c r="R832" s="402"/>
      <c r="S832" s="402"/>
      <c r="T832" s="402"/>
      <c r="U832" s="402"/>
      <c r="V832" s="402"/>
      <c r="W832" s="402"/>
      <c r="X832" s="402"/>
      <c r="Y832" s="402"/>
      <c r="Z832" s="402"/>
    </row>
    <row r="833" ht="14.25" customHeight="1">
      <c r="A833" s="402"/>
      <c r="B833" s="402"/>
      <c r="C833" s="402"/>
      <c r="D833" s="402"/>
      <c r="E833" s="402"/>
      <c r="F833" s="403"/>
      <c r="G833" s="402"/>
      <c r="H833" s="402"/>
      <c r="I833" s="402"/>
      <c r="J833" s="402"/>
      <c r="K833" s="402"/>
      <c r="L833" s="402"/>
      <c r="M833" s="402"/>
      <c r="N833" s="402"/>
      <c r="O833" s="402"/>
      <c r="P833" s="402"/>
      <c r="Q833" s="402"/>
      <c r="R833" s="402"/>
      <c r="S833" s="402"/>
      <c r="T833" s="402"/>
      <c r="U833" s="402"/>
      <c r="V833" s="402"/>
      <c r="W833" s="402"/>
      <c r="X833" s="402"/>
      <c r="Y833" s="402"/>
      <c r="Z833" s="402"/>
    </row>
    <row r="834" ht="14.25" customHeight="1">
      <c r="A834" s="402"/>
      <c r="B834" s="402"/>
      <c r="C834" s="402"/>
      <c r="D834" s="402"/>
      <c r="E834" s="402"/>
      <c r="F834" s="403"/>
      <c r="G834" s="402"/>
      <c r="H834" s="402"/>
      <c r="I834" s="402"/>
      <c r="J834" s="402"/>
      <c r="K834" s="402"/>
      <c r="L834" s="402"/>
      <c r="M834" s="402"/>
      <c r="N834" s="402"/>
      <c r="O834" s="402"/>
      <c r="P834" s="402"/>
      <c r="Q834" s="402"/>
      <c r="R834" s="402"/>
      <c r="S834" s="402"/>
      <c r="T834" s="402"/>
      <c r="U834" s="402"/>
      <c r="V834" s="402"/>
      <c r="W834" s="402"/>
      <c r="X834" s="402"/>
      <c r="Y834" s="402"/>
      <c r="Z834" s="402"/>
    </row>
    <row r="835" ht="14.25" customHeight="1">
      <c r="A835" s="402"/>
      <c r="B835" s="402"/>
      <c r="C835" s="402"/>
      <c r="D835" s="402"/>
      <c r="E835" s="402"/>
      <c r="F835" s="403"/>
      <c r="G835" s="402"/>
      <c r="H835" s="402"/>
      <c r="I835" s="402"/>
      <c r="J835" s="402"/>
      <c r="K835" s="402"/>
      <c r="L835" s="402"/>
      <c r="M835" s="402"/>
      <c r="N835" s="402"/>
      <c r="O835" s="402"/>
      <c r="P835" s="402"/>
      <c r="Q835" s="402"/>
      <c r="R835" s="402"/>
      <c r="S835" s="402"/>
      <c r="T835" s="402"/>
      <c r="U835" s="402"/>
      <c r="V835" s="402"/>
      <c r="W835" s="402"/>
      <c r="X835" s="402"/>
      <c r="Y835" s="402"/>
      <c r="Z835" s="402"/>
    </row>
    <row r="836" ht="14.25" customHeight="1">
      <c r="A836" s="402"/>
      <c r="B836" s="402"/>
      <c r="C836" s="402"/>
      <c r="D836" s="402"/>
      <c r="E836" s="402"/>
      <c r="F836" s="403"/>
      <c r="G836" s="402"/>
      <c r="H836" s="402"/>
      <c r="I836" s="402"/>
      <c r="J836" s="402"/>
      <c r="K836" s="402"/>
      <c r="L836" s="402"/>
      <c r="M836" s="402"/>
      <c r="N836" s="402"/>
      <c r="O836" s="402"/>
      <c r="P836" s="402"/>
      <c r="Q836" s="402"/>
      <c r="R836" s="402"/>
      <c r="S836" s="402"/>
      <c r="T836" s="402"/>
      <c r="U836" s="402"/>
      <c r="V836" s="402"/>
      <c r="W836" s="402"/>
      <c r="X836" s="402"/>
      <c r="Y836" s="402"/>
      <c r="Z836" s="402"/>
    </row>
    <row r="837" ht="14.25" customHeight="1">
      <c r="A837" s="402"/>
      <c r="B837" s="402"/>
      <c r="C837" s="402"/>
      <c r="D837" s="402"/>
      <c r="E837" s="402"/>
      <c r="F837" s="403"/>
      <c r="G837" s="402"/>
      <c r="H837" s="402"/>
      <c r="I837" s="402"/>
      <c r="J837" s="402"/>
      <c r="K837" s="402"/>
      <c r="L837" s="402"/>
      <c r="M837" s="402"/>
      <c r="N837" s="402"/>
      <c r="O837" s="402"/>
      <c r="P837" s="402"/>
      <c r="Q837" s="402"/>
      <c r="R837" s="402"/>
      <c r="S837" s="402"/>
      <c r="T837" s="402"/>
      <c r="U837" s="402"/>
      <c r="V837" s="402"/>
      <c r="W837" s="402"/>
      <c r="X837" s="402"/>
      <c r="Y837" s="402"/>
      <c r="Z837" s="402"/>
    </row>
    <row r="838" ht="14.25" customHeight="1">
      <c r="A838" s="402"/>
      <c r="B838" s="402"/>
      <c r="C838" s="402"/>
      <c r="D838" s="402"/>
      <c r="E838" s="402"/>
      <c r="F838" s="403"/>
      <c r="G838" s="402"/>
      <c r="H838" s="402"/>
      <c r="I838" s="402"/>
      <c r="J838" s="402"/>
      <c r="K838" s="402"/>
      <c r="L838" s="402"/>
      <c r="M838" s="402"/>
      <c r="N838" s="402"/>
      <c r="O838" s="402"/>
      <c r="P838" s="402"/>
      <c r="Q838" s="402"/>
      <c r="R838" s="402"/>
      <c r="S838" s="402"/>
      <c r="T838" s="402"/>
      <c r="U838" s="402"/>
      <c r="V838" s="402"/>
      <c r="W838" s="402"/>
      <c r="X838" s="402"/>
      <c r="Y838" s="402"/>
      <c r="Z838" s="402"/>
    </row>
    <row r="839" ht="14.25" customHeight="1">
      <c r="A839" s="402"/>
      <c r="B839" s="402"/>
      <c r="C839" s="402"/>
      <c r="D839" s="402"/>
      <c r="E839" s="402"/>
      <c r="F839" s="403"/>
      <c r="G839" s="402"/>
      <c r="H839" s="402"/>
      <c r="I839" s="402"/>
      <c r="J839" s="402"/>
      <c r="K839" s="402"/>
      <c r="L839" s="402"/>
      <c r="M839" s="402"/>
      <c r="N839" s="402"/>
      <c r="O839" s="402"/>
      <c r="P839" s="402"/>
      <c r="Q839" s="402"/>
      <c r="R839" s="402"/>
      <c r="S839" s="402"/>
      <c r="T839" s="402"/>
      <c r="U839" s="402"/>
      <c r="V839" s="402"/>
      <c r="W839" s="402"/>
      <c r="X839" s="402"/>
      <c r="Y839" s="402"/>
      <c r="Z839" s="402"/>
    </row>
    <row r="840" ht="14.25" customHeight="1">
      <c r="A840" s="402"/>
      <c r="B840" s="402"/>
      <c r="C840" s="402"/>
      <c r="D840" s="402"/>
      <c r="E840" s="402"/>
      <c r="F840" s="403"/>
      <c r="G840" s="402"/>
      <c r="H840" s="402"/>
      <c r="I840" s="402"/>
      <c r="J840" s="402"/>
      <c r="K840" s="402"/>
      <c r="L840" s="402"/>
      <c r="M840" s="402"/>
      <c r="N840" s="402"/>
      <c r="O840" s="402"/>
      <c r="P840" s="402"/>
      <c r="Q840" s="402"/>
      <c r="R840" s="402"/>
      <c r="S840" s="402"/>
      <c r="T840" s="402"/>
      <c r="U840" s="402"/>
      <c r="V840" s="402"/>
      <c r="W840" s="402"/>
      <c r="X840" s="402"/>
      <c r="Y840" s="402"/>
      <c r="Z840" s="402"/>
    </row>
    <row r="841" ht="14.25" customHeight="1">
      <c r="A841" s="402"/>
      <c r="B841" s="402"/>
      <c r="C841" s="402"/>
      <c r="D841" s="402"/>
      <c r="E841" s="402"/>
      <c r="F841" s="403"/>
      <c r="G841" s="402"/>
      <c r="H841" s="402"/>
      <c r="I841" s="402"/>
      <c r="J841" s="402"/>
      <c r="K841" s="402"/>
      <c r="L841" s="402"/>
      <c r="M841" s="402"/>
      <c r="N841" s="402"/>
      <c r="O841" s="402"/>
      <c r="P841" s="402"/>
      <c r="Q841" s="402"/>
      <c r="R841" s="402"/>
      <c r="S841" s="402"/>
      <c r="T841" s="402"/>
      <c r="U841" s="402"/>
      <c r="V841" s="402"/>
      <c r="W841" s="402"/>
      <c r="X841" s="402"/>
      <c r="Y841" s="402"/>
      <c r="Z841" s="402"/>
    </row>
    <row r="842" ht="14.25" customHeight="1">
      <c r="A842" s="402"/>
      <c r="B842" s="402"/>
      <c r="C842" s="402"/>
      <c r="D842" s="402"/>
      <c r="E842" s="402"/>
      <c r="F842" s="403"/>
      <c r="G842" s="402"/>
      <c r="H842" s="402"/>
      <c r="I842" s="402"/>
      <c r="J842" s="402"/>
      <c r="K842" s="402"/>
      <c r="L842" s="402"/>
      <c r="M842" s="402"/>
      <c r="N842" s="402"/>
      <c r="O842" s="402"/>
      <c r="P842" s="402"/>
      <c r="Q842" s="402"/>
      <c r="R842" s="402"/>
      <c r="S842" s="402"/>
      <c r="T842" s="402"/>
      <c r="U842" s="402"/>
      <c r="V842" s="402"/>
      <c r="W842" s="402"/>
      <c r="X842" s="402"/>
      <c r="Y842" s="402"/>
      <c r="Z842" s="402"/>
    </row>
    <row r="843" ht="14.25" customHeight="1">
      <c r="A843" s="402"/>
      <c r="B843" s="402"/>
      <c r="C843" s="402"/>
      <c r="D843" s="402"/>
      <c r="E843" s="402"/>
      <c r="F843" s="403"/>
      <c r="G843" s="402"/>
      <c r="H843" s="402"/>
      <c r="I843" s="402"/>
      <c r="J843" s="402"/>
      <c r="K843" s="402"/>
      <c r="L843" s="402"/>
      <c r="M843" s="402"/>
      <c r="N843" s="402"/>
      <c r="O843" s="402"/>
      <c r="P843" s="402"/>
      <c r="Q843" s="402"/>
      <c r="R843" s="402"/>
      <c r="S843" s="402"/>
      <c r="T843" s="402"/>
      <c r="U843" s="402"/>
      <c r="V843" s="402"/>
      <c r="W843" s="402"/>
      <c r="X843" s="402"/>
      <c r="Y843" s="402"/>
      <c r="Z843" s="402"/>
    </row>
    <row r="844" ht="14.25" customHeight="1">
      <c r="A844" s="402"/>
      <c r="B844" s="402"/>
      <c r="C844" s="402"/>
      <c r="D844" s="402"/>
      <c r="E844" s="402"/>
      <c r="F844" s="403"/>
      <c r="G844" s="402"/>
      <c r="H844" s="402"/>
      <c r="I844" s="402"/>
      <c r="J844" s="402"/>
      <c r="K844" s="402"/>
      <c r="L844" s="402"/>
      <c r="M844" s="402"/>
      <c r="N844" s="402"/>
      <c r="O844" s="402"/>
      <c r="P844" s="402"/>
      <c r="Q844" s="402"/>
      <c r="R844" s="402"/>
      <c r="S844" s="402"/>
      <c r="T844" s="402"/>
      <c r="U844" s="402"/>
      <c r="V844" s="402"/>
      <c r="W844" s="402"/>
      <c r="X844" s="402"/>
      <c r="Y844" s="402"/>
      <c r="Z844" s="402"/>
    </row>
    <row r="845" ht="14.25" customHeight="1">
      <c r="A845" s="402"/>
      <c r="B845" s="402"/>
      <c r="C845" s="402"/>
      <c r="D845" s="402"/>
      <c r="E845" s="402"/>
      <c r="F845" s="403"/>
      <c r="G845" s="402"/>
      <c r="H845" s="402"/>
      <c r="I845" s="402"/>
      <c r="J845" s="402"/>
      <c r="K845" s="402"/>
      <c r="L845" s="402"/>
      <c r="M845" s="402"/>
      <c r="N845" s="402"/>
      <c r="O845" s="402"/>
      <c r="P845" s="402"/>
      <c r="Q845" s="402"/>
      <c r="R845" s="402"/>
      <c r="S845" s="402"/>
      <c r="T845" s="402"/>
      <c r="U845" s="402"/>
      <c r="V845" s="402"/>
      <c r="W845" s="402"/>
      <c r="X845" s="402"/>
      <c r="Y845" s="402"/>
      <c r="Z845" s="402"/>
    </row>
    <row r="846" ht="14.25" customHeight="1">
      <c r="A846" s="402"/>
      <c r="B846" s="402"/>
      <c r="C846" s="402"/>
      <c r="D846" s="402"/>
      <c r="E846" s="402"/>
      <c r="F846" s="403"/>
      <c r="G846" s="402"/>
      <c r="H846" s="402"/>
      <c r="I846" s="402"/>
      <c r="J846" s="402"/>
      <c r="K846" s="402"/>
      <c r="L846" s="402"/>
      <c r="M846" s="402"/>
      <c r="N846" s="402"/>
      <c r="O846" s="402"/>
      <c r="P846" s="402"/>
      <c r="Q846" s="402"/>
      <c r="R846" s="402"/>
      <c r="S846" s="402"/>
      <c r="T846" s="402"/>
      <c r="U846" s="402"/>
      <c r="V846" s="402"/>
      <c r="W846" s="402"/>
      <c r="X846" s="402"/>
      <c r="Y846" s="402"/>
      <c r="Z846" s="402"/>
    </row>
    <row r="847" ht="14.25" customHeight="1">
      <c r="A847" s="402"/>
      <c r="B847" s="402"/>
      <c r="C847" s="402"/>
      <c r="D847" s="402"/>
      <c r="E847" s="402"/>
      <c r="F847" s="403"/>
      <c r="G847" s="402"/>
      <c r="H847" s="402"/>
      <c r="I847" s="402"/>
      <c r="J847" s="402"/>
      <c r="K847" s="402"/>
      <c r="L847" s="402"/>
      <c r="M847" s="402"/>
      <c r="N847" s="402"/>
      <c r="O847" s="402"/>
      <c r="P847" s="402"/>
      <c r="Q847" s="402"/>
      <c r="R847" s="402"/>
      <c r="S847" s="402"/>
      <c r="T847" s="402"/>
      <c r="U847" s="402"/>
      <c r="V847" s="402"/>
      <c r="W847" s="402"/>
      <c r="X847" s="402"/>
      <c r="Y847" s="402"/>
      <c r="Z847" s="402"/>
    </row>
    <row r="848" ht="14.25" customHeight="1">
      <c r="A848" s="402"/>
      <c r="B848" s="402"/>
      <c r="C848" s="402"/>
      <c r="D848" s="402"/>
      <c r="E848" s="402"/>
      <c r="F848" s="403"/>
      <c r="G848" s="402"/>
      <c r="H848" s="402"/>
      <c r="I848" s="402"/>
      <c r="J848" s="402"/>
      <c r="K848" s="402"/>
      <c r="L848" s="402"/>
      <c r="M848" s="402"/>
      <c r="N848" s="402"/>
      <c r="O848" s="402"/>
      <c r="P848" s="402"/>
      <c r="Q848" s="402"/>
      <c r="R848" s="402"/>
      <c r="S848" s="402"/>
      <c r="T848" s="402"/>
      <c r="U848" s="402"/>
      <c r="V848" s="402"/>
      <c r="W848" s="402"/>
      <c r="X848" s="402"/>
      <c r="Y848" s="402"/>
      <c r="Z848" s="402"/>
    </row>
    <row r="849" ht="14.25" customHeight="1">
      <c r="A849" s="402"/>
      <c r="B849" s="402"/>
      <c r="C849" s="402"/>
      <c r="D849" s="402"/>
      <c r="E849" s="402"/>
      <c r="F849" s="403"/>
      <c r="G849" s="402"/>
      <c r="H849" s="402"/>
      <c r="I849" s="402"/>
      <c r="J849" s="402"/>
      <c r="K849" s="402"/>
      <c r="L849" s="402"/>
      <c r="M849" s="402"/>
      <c r="N849" s="402"/>
      <c r="O849" s="402"/>
      <c r="P849" s="402"/>
      <c r="Q849" s="402"/>
      <c r="R849" s="402"/>
      <c r="S849" s="402"/>
      <c r="T849" s="402"/>
      <c r="U849" s="402"/>
      <c r="V849" s="402"/>
      <c r="W849" s="402"/>
      <c r="X849" s="402"/>
      <c r="Y849" s="402"/>
      <c r="Z849" s="402"/>
    </row>
    <row r="850" ht="14.25" customHeight="1">
      <c r="A850" s="402"/>
      <c r="B850" s="402"/>
      <c r="C850" s="402"/>
      <c r="D850" s="402"/>
      <c r="E850" s="402"/>
      <c r="F850" s="403"/>
      <c r="G850" s="402"/>
      <c r="H850" s="402"/>
      <c r="I850" s="402"/>
      <c r="J850" s="402"/>
      <c r="K850" s="402"/>
      <c r="L850" s="402"/>
      <c r="M850" s="402"/>
      <c r="N850" s="402"/>
      <c r="O850" s="402"/>
      <c r="P850" s="402"/>
      <c r="Q850" s="402"/>
      <c r="R850" s="402"/>
      <c r="S850" s="402"/>
      <c r="T850" s="402"/>
      <c r="U850" s="402"/>
      <c r="V850" s="402"/>
      <c r="W850" s="402"/>
      <c r="X850" s="402"/>
      <c r="Y850" s="402"/>
      <c r="Z850" s="402"/>
    </row>
    <row r="851" ht="14.25" customHeight="1">
      <c r="A851" s="402"/>
      <c r="B851" s="402"/>
      <c r="C851" s="402"/>
      <c r="D851" s="402"/>
      <c r="E851" s="402"/>
      <c r="F851" s="403"/>
      <c r="G851" s="402"/>
      <c r="H851" s="402"/>
      <c r="I851" s="402"/>
      <c r="J851" s="402"/>
      <c r="K851" s="402"/>
      <c r="L851" s="402"/>
      <c r="M851" s="402"/>
      <c r="N851" s="402"/>
      <c r="O851" s="402"/>
      <c r="P851" s="402"/>
      <c r="Q851" s="402"/>
      <c r="R851" s="402"/>
      <c r="S851" s="402"/>
      <c r="T851" s="402"/>
      <c r="U851" s="402"/>
      <c r="V851" s="402"/>
      <c r="W851" s="402"/>
      <c r="X851" s="402"/>
      <c r="Y851" s="402"/>
      <c r="Z851" s="402"/>
    </row>
    <row r="852" ht="14.25" customHeight="1">
      <c r="A852" s="402"/>
      <c r="B852" s="402"/>
      <c r="C852" s="402"/>
      <c r="D852" s="402"/>
      <c r="E852" s="402"/>
      <c r="F852" s="403"/>
      <c r="G852" s="402"/>
      <c r="H852" s="402"/>
      <c r="I852" s="402"/>
      <c r="J852" s="402"/>
      <c r="K852" s="402"/>
      <c r="L852" s="402"/>
      <c r="M852" s="402"/>
      <c r="N852" s="402"/>
      <c r="O852" s="402"/>
      <c r="P852" s="402"/>
      <c r="Q852" s="402"/>
      <c r="R852" s="402"/>
      <c r="S852" s="402"/>
      <c r="T852" s="402"/>
      <c r="U852" s="402"/>
      <c r="V852" s="402"/>
      <c r="W852" s="402"/>
      <c r="X852" s="402"/>
      <c r="Y852" s="402"/>
      <c r="Z852" s="402"/>
    </row>
    <row r="853" ht="14.25" customHeight="1">
      <c r="A853" s="402"/>
      <c r="B853" s="402"/>
      <c r="C853" s="402"/>
      <c r="D853" s="402"/>
      <c r="E853" s="402"/>
      <c r="F853" s="403"/>
      <c r="G853" s="402"/>
      <c r="H853" s="402"/>
      <c r="I853" s="402"/>
      <c r="J853" s="402"/>
      <c r="K853" s="402"/>
      <c r="L853" s="402"/>
      <c r="M853" s="402"/>
      <c r="N853" s="402"/>
      <c r="O853" s="402"/>
      <c r="P853" s="402"/>
      <c r="Q853" s="402"/>
      <c r="R853" s="402"/>
      <c r="S853" s="402"/>
      <c r="T853" s="402"/>
      <c r="U853" s="402"/>
      <c r="V853" s="402"/>
      <c r="W853" s="402"/>
      <c r="X853" s="402"/>
      <c r="Y853" s="402"/>
      <c r="Z853" s="402"/>
    </row>
    <row r="854" ht="14.25" customHeight="1">
      <c r="A854" s="402"/>
      <c r="B854" s="402"/>
      <c r="C854" s="402"/>
      <c r="D854" s="402"/>
      <c r="E854" s="402"/>
      <c r="F854" s="403"/>
      <c r="G854" s="402"/>
      <c r="H854" s="402"/>
      <c r="I854" s="402"/>
      <c r="J854" s="402"/>
      <c r="K854" s="402"/>
      <c r="L854" s="402"/>
      <c r="M854" s="402"/>
      <c r="N854" s="402"/>
      <c r="O854" s="402"/>
      <c r="P854" s="402"/>
      <c r="Q854" s="402"/>
      <c r="R854" s="402"/>
      <c r="S854" s="402"/>
      <c r="T854" s="402"/>
      <c r="U854" s="402"/>
      <c r="V854" s="402"/>
      <c r="W854" s="402"/>
      <c r="X854" s="402"/>
      <c r="Y854" s="402"/>
      <c r="Z854" s="402"/>
    </row>
    <row r="855" ht="14.25" customHeight="1">
      <c r="A855" s="402"/>
      <c r="B855" s="402"/>
      <c r="C855" s="402"/>
      <c r="D855" s="402"/>
      <c r="E855" s="402"/>
      <c r="F855" s="403"/>
      <c r="G855" s="402"/>
      <c r="H855" s="402"/>
      <c r="I855" s="402"/>
      <c r="J855" s="402"/>
      <c r="K855" s="402"/>
      <c r="L855" s="402"/>
      <c r="M855" s="402"/>
      <c r="N855" s="402"/>
      <c r="O855" s="402"/>
      <c r="P855" s="402"/>
      <c r="Q855" s="402"/>
      <c r="R855" s="402"/>
      <c r="S855" s="402"/>
      <c r="T855" s="402"/>
      <c r="U855" s="402"/>
      <c r="V855" s="402"/>
      <c r="W855" s="402"/>
      <c r="X855" s="402"/>
      <c r="Y855" s="402"/>
      <c r="Z855" s="402"/>
    </row>
    <row r="856" ht="14.25" customHeight="1">
      <c r="A856" s="402"/>
      <c r="B856" s="402"/>
      <c r="C856" s="402"/>
      <c r="D856" s="402"/>
      <c r="E856" s="402"/>
      <c r="F856" s="403"/>
      <c r="G856" s="402"/>
      <c r="H856" s="402"/>
      <c r="I856" s="402"/>
      <c r="J856" s="402"/>
      <c r="K856" s="402"/>
      <c r="L856" s="402"/>
      <c r="M856" s="402"/>
      <c r="N856" s="402"/>
      <c r="O856" s="402"/>
      <c r="P856" s="402"/>
      <c r="Q856" s="402"/>
      <c r="R856" s="402"/>
      <c r="S856" s="402"/>
      <c r="T856" s="402"/>
      <c r="U856" s="402"/>
      <c r="V856" s="402"/>
      <c r="W856" s="402"/>
      <c r="X856" s="402"/>
      <c r="Y856" s="402"/>
      <c r="Z856" s="402"/>
    </row>
    <row r="857" ht="14.25" customHeight="1">
      <c r="A857" s="402"/>
      <c r="B857" s="402"/>
      <c r="C857" s="402"/>
      <c r="D857" s="402"/>
      <c r="E857" s="402"/>
      <c r="F857" s="403"/>
      <c r="G857" s="402"/>
      <c r="H857" s="402"/>
      <c r="I857" s="402"/>
      <c r="J857" s="402"/>
      <c r="K857" s="402"/>
      <c r="L857" s="402"/>
      <c r="M857" s="402"/>
      <c r="N857" s="402"/>
      <c r="O857" s="402"/>
      <c r="P857" s="402"/>
      <c r="Q857" s="402"/>
      <c r="R857" s="402"/>
      <c r="S857" s="402"/>
      <c r="T857" s="402"/>
      <c r="U857" s="402"/>
      <c r="V857" s="402"/>
      <c r="W857" s="402"/>
      <c r="X857" s="402"/>
      <c r="Y857" s="402"/>
      <c r="Z857" s="402"/>
    </row>
    <row r="858" ht="14.25" customHeight="1">
      <c r="A858" s="402"/>
      <c r="B858" s="402"/>
      <c r="C858" s="402"/>
      <c r="D858" s="402"/>
      <c r="E858" s="402"/>
      <c r="F858" s="403"/>
      <c r="G858" s="402"/>
      <c r="H858" s="402"/>
      <c r="I858" s="402"/>
      <c r="J858" s="402"/>
      <c r="K858" s="402"/>
      <c r="L858" s="402"/>
      <c r="M858" s="402"/>
      <c r="N858" s="402"/>
      <c r="O858" s="402"/>
      <c r="P858" s="402"/>
      <c r="Q858" s="402"/>
      <c r="R858" s="402"/>
      <c r="S858" s="402"/>
      <c r="T858" s="402"/>
      <c r="U858" s="402"/>
      <c r="V858" s="402"/>
      <c r="W858" s="402"/>
      <c r="X858" s="402"/>
      <c r="Y858" s="402"/>
      <c r="Z858" s="402"/>
    </row>
    <row r="859" ht="14.25" customHeight="1">
      <c r="A859" s="402"/>
      <c r="B859" s="402"/>
      <c r="C859" s="402"/>
      <c r="D859" s="402"/>
      <c r="E859" s="402"/>
      <c r="F859" s="403"/>
      <c r="G859" s="402"/>
      <c r="H859" s="402"/>
      <c r="I859" s="402"/>
      <c r="J859" s="402"/>
      <c r="K859" s="402"/>
      <c r="L859" s="402"/>
      <c r="M859" s="402"/>
      <c r="N859" s="402"/>
      <c r="O859" s="402"/>
      <c r="P859" s="402"/>
      <c r="Q859" s="402"/>
      <c r="R859" s="402"/>
      <c r="S859" s="402"/>
      <c r="T859" s="402"/>
      <c r="U859" s="402"/>
      <c r="V859" s="402"/>
      <c r="W859" s="402"/>
      <c r="X859" s="402"/>
      <c r="Y859" s="402"/>
      <c r="Z859" s="402"/>
    </row>
    <row r="860" ht="14.25" customHeight="1">
      <c r="A860" s="402"/>
      <c r="B860" s="402"/>
      <c r="C860" s="402"/>
      <c r="D860" s="402"/>
      <c r="E860" s="402"/>
      <c r="F860" s="403"/>
      <c r="G860" s="402"/>
      <c r="H860" s="402"/>
      <c r="I860" s="402"/>
      <c r="J860" s="402"/>
      <c r="K860" s="402"/>
      <c r="L860" s="402"/>
      <c r="M860" s="402"/>
      <c r="N860" s="402"/>
      <c r="O860" s="402"/>
      <c r="P860" s="402"/>
      <c r="Q860" s="402"/>
      <c r="R860" s="402"/>
      <c r="S860" s="402"/>
      <c r="T860" s="402"/>
      <c r="U860" s="402"/>
      <c r="V860" s="402"/>
      <c r="W860" s="402"/>
      <c r="X860" s="402"/>
      <c r="Y860" s="402"/>
      <c r="Z860" s="402"/>
    </row>
    <row r="861" ht="14.25" customHeight="1">
      <c r="A861" s="402"/>
      <c r="B861" s="402"/>
      <c r="C861" s="402"/>
      <c r="D861" s="402"/>
      <c r="E861" s="402"/>
      <c r="F861" s="403"/>
      <c r="G861" s="402"/>
      <c r="H861" s="402"/>
      <c r="I861" s="402"/>
      <c r="J861" s="402"/>
      <c r="K861" s="402"/>
      <c r="L861" s="402"/>
      <c r="M861" s="402"/>
      <c r="N861" s="402"/>
      <c r="O861" s="402"/>
      <c r="P861" s="402"/>
      <c r="Q861" s="402"/>
      <c r="R861" s="402"/>
      <c r="S861" s="402"/>
      <c r="T861" s="402"/>
      <c r="U861" s="402"/>
      <c r="V861" s="402"/>
      <c r="W861" s="402"/>
      <c r="X861" s="402"/>
      <c r="Y861" s="402"/>
      <c r="Z861" s="402"/>
    </row>
    <row r="862" ht="14.25" customHeight="1">
      <c r="A862" s="402"/>
      <c r="B862" s="402"/>
      <c r="C862" s="402"/>
      <c r="D862" s="402"/>
      <c r="E862" s="402"/>
      <c r="F862" s="403"/>
      <c r="G862" s="402"/>
      <c r="H862" s="402"/>
      <c r="I862" s="402"/>
      <c r="J862" s="402"/>
      <c r="K862" s="402"/>
      <c r="L862" s="402"/>
      <c r="M862" s="402"/>
      <c r="N862" s="402"/>
      <c r="O862" s="402"/>
      <c r="P862" s="402"/>
      <c r="Q862" s="402"/>
      <c r="R862" s="402"/>
      <c r="S862" s="402"/>
      <c r="T862" s="402"/>
      <c r="U862" s="402"/>
      <c r="V862" s="402"/>
      <c r="W862" s="402"/>
      <c r="X862" s="402"/>
      <c r="Y862" s="402"/>
      <c r="Z862" s="402"/>
    </row>
    <row r="863" ht="14.25" customHeight="1">
      <c r="A863" s="402"/>
      <c r="B863" s="402"/>
      <c r="C863" s="402"/>
      <c r="D863" s="402"/>
      <c r="E863" s="402"/>
      <c r="F863" s="403"/>
      <c r="G863" s="402"/>
      <c r="H863" s="402"/>
      <c r="I863" s="402"/>
      <c r="J863" s="402"/>
      <c r="K863" s="402"/>
      <c r="L863" s="402"/>
      <c r="M863" s="402"/>
      <c r="N863" s="402"/>
      <c r="O863" s="402"/>
      <c r="P863" s="402"/>
      <c r="Q863" s="402"/>
      <c r="R863" s="402"/>
      <c r="S863" s="402"/>
      <c r="T863" s="402"/>
      <c r="U863" s="402"/>
      <c r="V863" s="402"/>
      <c r="W863" s="402"/>
      <c r="X863" s="402"/>
      <c r="Y863" s="402"/>
      <c r="Z863" s="402"/>
    </row>
    <row r="864" ht="14.25" customHeight="1">
      <c r="A864" s="402"/>
      <c r="B864" s="402"/>
      <c r="C864" s="402"/>
      <c r="D864" s="402"/>
      <c r="E864" s="402"/>
      <c r="F864" s="403"/>
      <c r="G864" s="402"/>
      <c r="H864" s="402"/>
      <c r="I864" s="402"/>
      <c r="J864" s="402"/>
      <c r="K864" s="402"/>
      <c r="L864" s="402"/>
      <c r="M864" s="402"/>
      <c r="N864" s="402"/>
      <c r="O864" s="402"/>
      <c r="P864" s="402"/>
      <c r="Q864" s="402"/>
      <c r="R864" s="402"/>
      <c r="S864" s="402"/>
      <c r="T864" s="402"/>
      <c r="U864" s="402"/>
      <c r="V864" s="402"/>
      <c r="W864" s="402"/>
      <c r="X864" s="402"/>
      <c r="Y864" s="402"/>
      <c r="Z864" s="402"/>
    </row>
    <row r="865" ht="14.25" customHeight="1">
      <c r="A865" s="402"/>
      <c r="B865" s="402"/>
      <c r="C865" s="402"/>
      <c r="D865" s="402"/>
      <c r="E865" s="402"/>
      <c r="F865" s="403"/>
      <c r="G865" s="402"/>
      <c r="H865" s="402"/>
      <c r="I865" s="402"/>
      <c r="J865" s="402"/>
      <c r="K865" s="402"/>
      <c r="L865" s="402"/>
      <c r="M865" s="402"/>
      <c r="N865" s="402"/>
      <c r="O865" s="402"/>
      <c r="P865" s="402"/>
      <c r="Q865" s="402"/>
      <c r="R865" s="402"/>
      <c r="S865" s="402"/>
      <c r="T865" s="402"/>
      <c r="U865" s="402"/>
      <c r="V865" s="402"/>
      <c r="W865" s="402"/>
      <c r="X865" s="402"/>
      <c r="Y865" s="402"/>
      <c r="Z865" s="402"/>
    </row>
    <row r="866" ht="14.25" customHeight="1">
      <c r="A866" s="402"/>
      <c r="B866" s="402"/>
      <c r="C866" s="402"/>
      <c r="D866" s="402"/>
      <c r="E866" s="402"/>
      <c r="F866" s="403"/>
      <c r="G866" s="402"/>
      <c r="H866" s="402"/>
      <c r="I866" s="402"/>
      <c r="J866" s="402"/>
      <c r="K866" s="402"/>
      <c r="L866" s="402"/>
      <c r="M866" s="402"/>
      <c r="N866" s="402"/>
      <c r="O866" s="402"/>
      <c r="P866" s="402"/>
      <c r="Q866" s="402"/>
      <c r="R866" s="402"/>
      <c r="S866" s="402"/>
      <c r="T866" s="402"/>
      <c r="U866" s="402"/>
      <c r="V866" s="402"/>
      <c r="W866" s="402"/>
      <c r="X866" s="402"/>
      <c r="Y866" s="402"/>
      <c r="Z866" s="402"/>
    </row>
    <row r="867" ht="14.25" customHeight="1">
      <c r="A867" s="402"/>
      <c r="B867" s="402"/>
      <c r="C867" s="402"/>
      <c r="D867" s="402"/>
      <c r="E867" s="402"/>
      <c r="F867" s="403"/>
      <c r="G867" s="402"/>
      <c r="H867" s="402"/>
      <c r="I867" s="402"/>
      <c r="J867" s="402"/>
      <c r="K867" s="402"/>
      <c r="L867" s="402"/>
      <c r="M867" s="402"/>
      <c r="N867" s="402"/>
      <c r="O867" s="402"/>
      <c r="P867" s="402"/>
      <c r="Q867" s="402"/>
      <c r="R867" s="402"/>
      <c r="S867" s="402"/>
      <c r="T867" s="402"/>
      <c r="U867" s="402"/>
      <c r="V867" s="402"/>
      <c r="W867" s="402"/>
      <c r="X867" s="402"/>
      <c r="Y867" s="402"/>
      <c r="Z867" s="402"/>
    </row>
    <row r="868" ht="14.25" customHeight="1">
      <c r="A868" s="402"/>
      <c r="B868" s="402"/>
      <c r="C868" s="402"/>
      <c r="D868" s="402"/>
      <c r="E868" s="402"/>
      <c r="F868" s="403"/>
      <c r="G868" s="402"/>
      <c r="H868" s="402"/>
      <c r="I868" s="402"/>
      <c r="J868" s="402"/>
      <c r="K868" s="402"/>
      <c r="L868" s="402"/>
      <c r="M868" s="402"/>
      <c r="N868" s="402"/>
      <c r="O868" s="402"/>
      <c r="P868" s="402"/>
      <c r="Q868" s="402"/>
      <c r="R868" s="402"/>
      <c r="S868" s="402"/>
      <c r="T868" s="402"/>
      <c r="U868" s="402"/>
      <c r="V868" s="402"/>
      <c r="W868" s="402"/>
      <c r="X868" s="402"/>
      <c r="Y868" s="402"/>
      <c r="Z868" s="402"/>
    </row>
    <row r="869" ht="14.25" customHeight="1">
      <c r="A869" s="402"/>
      <c r="B869" s="402"/>
      <c r="C869" s="402"/>
      <c r="D869" s="402"/>
      <c r="E869" s="402"/>
      <c r="F869" s="403"/>
      <c r="G869" s="402"/>
      <c r="H869" s="402"/>
      <c r="I869" s="402"/>
      <c r="J869" s="402"/>
      <c r="K869" s="402"/>
      <c r="L869" s="402"/>
      <c r="M869" s="402"/>
      <c r="N869" s="402"/>
      <c r="O869" s="402"/>
      <c r="P869" s="402"/>
      <c r="Q869" s="402"/>
      <c r="R869" s="402"/>
      <c r="S869" s="402"/>
      <c r="T869" s="402"/>
      <c r="U869" s="402"/>
      <c r="V869" s="402"/>
      <c r="W869" s="402"/>
      <c r="X869" s="402"/>
      <c r="Y869" s="402"/>
      <c r="Z869" s="402"/>
    </row>
    <row r="870" ht="14.25" customHeight="1">
      <c r="A870" s="402"/>
      <c r="B870" s="402"/>
      <c r="C870" s="402"/>
      <c r="D870" s="402"/>
      <c r="E870" s="402"/>
      <c r="F870" s="403"/>
      <c r="G870" s="402"/>
      <c r="H870" s="402"/>
      <c r="I870" s="402"/>
      <c r="J870" s="402"/>
      <c r="K870" s="402"/>
      <c r="L870" s="402"/>
      <c r="M870" s="402"/>
      <c r="N870" s="402"/>
      <c r="O870" s="402"/>
      <c r="P870" s="402"/>
      <c r="Q870" s="402"/>
      <c r="R870" s="402"/>
      <c r="S870" s="402"/>
      <c r="T870" s="402"/>
      <c r="U870" s="402"/>
      <c r="V870" s="402"/>
      <c r="W870" s="402"/>
      <c r="X870" s="402"/>
      <c r="Y870" s="402"/>
      <c r="Z870" s="402"/>
    </row>
    <row r="871" ht="14.25" customHeight="1">
      <c r="A871" s="402"/>
      <c r="B871" s="402"/>
      <c r="C871" s="402"/>
      <c r="D871" s="402"/>
      <c r="E871" s="402"/>
      <c r="F871" s="403"/>
      <c r="G871" s="402"/>
      <c r="H871" s="402"/>
      <c r="I871" s="402"/>
      <c r="J871" s="402"/>
      <c r="K871" s="402"/>
      <c r="L871" s="402"/>
      <c r="M871" s="402"/>
      <c r="N871" s="402"/>
      <c r="O871" s="402"/>
      <c r="P871" s="402"/>
      <c r="Q871" s="402"/>
      <c r="R871" s="402"/>
      <c r="S871" s="402"/>
      <c r="T871" s="402"/>
      <c r="U871" s="402"/>
      <c r="V871" s="402"/>
      <c r="W871" s="402"/>
      <c r="X871" s="402"/>
      <c r="Y871" s="402"/>
      <c r="Z871" s="402"/>
    </row>
    <row r="872" ht="14.25" customHeight="1">
      <c r="A872" s="402"/>
      <c r="B872" s="402"/>
      <c r="C872" s="402"/>
      <c r="D872" s="402"/>
      <c r="E872" s="402"/>
      <c r="F872" s="403"/>
      <c r="G872" s="402"/>
      <c r="H872" s="402"/>
      <c r="I872" s="402"/>
      <c r="J872" s="402"/>
      <c r="K872" s="402"/>
      <c r="L872" s="402"/>
      <c r="M872" s="402"/>
      <c r="N872" s="402"/>
      <c r="O872" s="402"/>
      <c r="P872" s="402"/>
      <c r="Q872" s="402"/>
      <c r="R872" s="402"/>
      <c r="S872" s="402"/>
      <c r="T872" s="402"/>
      <c r="U872" s="402"/>
      <c r="V872" s="402"/>
      <c r="W872" s="402"/>
      <c r="X872" s="402"/>
      <c r="Y872" s="402"/>
      <c r="Z872" s="402"/>
    </row>
    <row r="873" ht="14.25" customHeight="1">
      <c r="A873" s="402"/>
      <c r="B873" s="402"/>
      <c r="C873" s="402"/>
      <c r="D873" s="402"/>
      <c r="E873" s="402"/>
      <c r="F873" s="403"/>
      <c r="G873" s="402"/>
      <c r="H873" s="402"/>
      <c r="I873" s="402"/>
      <c r="J873" s="402"/>
      <c r="K873" s="402"/>
      <c r="L873" s="402"/>
      <c r="M873" s="402"/>
      <c r="N873" s="402"/>
      <c r="O873" s="402"/>
      <c r="P873" s="402"/>
      <c r="Q873" s="402"/>
      <c r="R873" s="402"/>
      <c r="S873" s="402"/>
      <c r="T873" s="402"/>
      <c r="U873" s="402"/>
      <c r="V873" s="402"/>
      <c r="W873" s="402"/>
      <c r="X873" s="402"/>
      <c r="Y873" s="402"/>
      <c r="Z873" s="402"/>
    </row>
    <row r="874" ht="14.25" customHeight="1">
      <c r="A874" s="402"/>
      <c r="B874" s="402"/>
      <c r="C874" s="402"/>
      <c r="D874" s="402"/>
      <c r="E874" s="402"/>
      <c r="F874" s="403"/>
      <c r="G874" s="402"/>
      <c r="H874" s="402"/>
      <c r="I874" s="402"/>
      <c r="J874" s="402"/>
      <c r="K874" s="402"/>
      <c r="L874" s="402"/>
      <c r="M874" s="402"/>
      <c r="N874" s="402"/>
      <c r="O874" s="402"/>
      <c r="P874" s="402"/>
      <c r="Q874" s="402"/>
      <c r="R874" s="402"/>
      <c r="S874" s="402"/>
      <c r="T874" s="402"/>
      <c r="U874" s="402"/>
      <c r="V874" s="402"/>
      <c r="W874" s="402"/>
      <c r="X874" s="402"/>
      <c r="Y874" s="402"/>
      <c r="Z874" s="402"/>
    </row>
    <row r="875" ht="14.25" customHeight="1">
      <c r="A875" s="402"/>
      <c r="B875" s="402"/>
      <c r="C875" s="402"/>
      <c r="D875" s="402"/>
      <c r="E875" s="402"/>
      <c r="F875" s="403"/>
      <c r="G875" s="402"/>
      <c r="H875" s="402"/>
      <c r="I875" s="402"/>
      <c r="J875" s="402"/>
      <c r="K875" s="402"/>
      <c r="L875" s="402"/>
      <c r="M875" s="402"/>
      <c r="N875" s="402"/>
      <c r="O875" s="402"/>
      <c r="P875" s="402"/>
      <c r="Q875" s="402"/>
      <c r="R875" s="402"/>
      <c r="S875" s="402"/>
      <c r="T875" s="402"/>
      <c r="U875" s="402"/>
      <c r="V875" s="402"/>
      <c r="W875" s="402"/>
      <c r="X875" s="402"/>
      <c r="Y875" s="402"/>
      <c r="Z875" s="402"/>
    </row>
    <row r="876" ht="14.25" customHeight="1">
      <c r="A876" s="402"/>
      <c r="B876" s="402"/>
      <c r="C876" s="402"/>
      <c r="D876" s="402"/>
      <c r="E876" s="402"/>
      <c r="F876" s="403"/>
      <c r="G876" s="402"/>
      <c r="H876" s="402"/>
      <c r="I876" s="402"/>
      <c r="J876" s="402"/>
      <c r="K876" s="402"/>
      <c r="L876" s="402"/>
      <c r="M876" s="402"/>
      <c r="N876" s="402"/>
      <c r="O876" s="402"/>
      <c r="P876" s="402"/>
      <c r="Q876" s="402"/>
      <c r="R876" s="402"/>
      <c r="S876" s="402"/>
      <c r="T876" s="402"/>
      <c r="U876" s="402"/>
      <c r="V876" s="402"/>
      <c r="W876" s="402"/>
      <c r="X876" s="402"/>
      <c r="Y876" s="402"/>
      <c r="Z876" s="402"/>
    </row>
    <row r="877" ht="14.25" customHeight="1">
      <c r="A877" s="402"/>
      <c r="B877" s="402"/>
      <c r="C877" s="402"/>
      <c r="D877" s="402"/>
      <c r="E877" s="402"/>
      <c r="F877" s="403"/>
      <c r="G877" s="402"/>
      <c r="H877" s="402"/>
      <c r="I877" s="402"/>
      <c r="J877" s="402"/>
      <c r="K877" s="402"/>
      <c r="L877" s="402"/>
      <c r="M877" s="402"/>
      <c r="N877" s="402"/>
      <c r="O877" s="402"/>
      <c r="P877" s="402"/>
      <c r="Q877" s="402"/>
      <c r="R877" s="402"/>
      <c r="S877" s="402"/>
      <c r="T877" s="402"/>
      <c r="U877" s="402"/>
      <c r="V877" s="402"/>
      <c r="W877" s="402"/>
      <c r="X877" s="402"/>
      <c r="Y877" s="402"/>
      <c r="Z877" s="402"/>
    </row>
    <row r="878" ht="14.25" customHeight="1">
      <c r="A878" s="402"/>
      <c r="B878" s="402"/>
      <c r="C878" s="402"/>
      <c r="D878" s="402"/>
      <c r="E878" s="402"/>
      <c r="F878" s="403"/>
      <c r="G878" s="402"/>
      <c r="H878" s="402"/>
      <c r="I878" s="402"/>
      <c r="J878" s="402"/>
      <c r="K878" s="402"/>
      <c r="L878" s="402"/>
      <c r="M878" s="402"/>
      <c r="N878" s="402"/>
      <c r="O878" s="402"/>
      <c r="P878" s="402"/>
      <c r="Q878" s="402"/>
      <c r="R878" s="402"/>
      <c r="S878" s="402"/>
      <c r="T878" s="402"/>
      <c r="U878" s="402"/>
      <c r="V878" s="402"/>
      <c r="W878" s="402"/>
      <c r="X878" s="402"/>
      <c r="Y878" s="402"/>
      <c r="Z878" s="402"/>
    </row>
    <row r="879" ht="14.25" customHeight="1">
      <c r="A879" s="402"/>
      <c r="B879" s="402"/>
      <c r="C879" s="402"/>
      <c r="D879" s="402"/>
      <c r="E879" s="402"/>
      <c r="F879" s="403"/>
      <c r="G879" s="402"/>
      <c r="H879" s="402"/>
      <c r="I879" s="402"/>
      <c r="J879" s="402"/>
      <c r="K879" s="402"/>
      <c r="L879" s="402"/>
      <c r="M879" s="402"/>
      <c r="N879" s="402"/>
      <c r="O879" s="402"/>
      <c r="P879" s="402"/>
      <c r="Q879" s="402"/>
      <c r="R879" s="402"/>
      <c r="S879" s="402"/>
      <c r="T879" s="402"/>
      <c r="U879" s="402"/>
      <c r="V879" s="402"/>
      <c r="W879" s="402"/>
      <c r="X879" s="402"/>
      <c r="Y879" s="402"/>
      <c r="Z879" s="402"/>
    </row>
    <row r="880" ht="14.25" customHeight="1">
      <c r="A880" s="402"/>
      <c r="B880" s="402"/>
      <c r="C880" s="402"/>
      <c r="D880" s="402"/>
      <c r="E880" s="402"/>
      <c r="F880" s="403"/>
      <c r="G880" s="402"/>
      <c r="H880" s="402"/>
      <c r="I880" s="402"/>
      <c r="J880" s="402"/>
      <c r="K880" s="402"/>
      <c r="L880" s="402"/>
      <c r="M880" s="402"/>
      <c r="N880" s="402"/>
      <c r="O880" s="402"/>
      <c r="P880" s="402"/>
      <c r="Q880" s="402"/>
      <c r="R880" s="402"/>
      <c r="S880" s="402"/>
      <c r="T880" s="402"/>
      <c r="U880" s="402"/>
      <c r="V880" s="402"/>
      <c r="W880" s="402"/>
      <c r="X880" s="402"/>
      <c r="Y880" s="402"/>
      <c r="Z880" s="402"/>
    </row>
    <row r="881" ht="14.25" customHeight="1">
      <c r="A881" s="402"/>
      <c r="B881" s="402"/>
      <c r="C881" s="402"/>
      <c r="D881" s="402"/>
      <c r="E881" s="402"/>
      <c r="F881" s="403"/>
      <c r="G881" s="402"/>
      <c r="H881" s="402"/>
      <c r="I881" s="402"/>
      <c r="J881" s="402"/>
      <c r="K881" s="402"/>
      <c r="L881" s="402"/>
      <c r="M881" s="402"/>
      <c r="N881" s="402"/>
      <c r="O881" s="402"/>
      <c r="P881" s="402"/>
      <c r="Q881" s="402"/>
      <c r="R881" s="402"/>
      <c r="S881" s="402"/>
      <c r="T881" s="402"/>
      <c r="U881" s="402"/>
      <c r="V881" s="402"/>
      <c r="W881" s="402"/>
      <c r="X881" s="402"/>
      <c r="Y881" s="402"/>
      <c r="Z881" s="402"/>
    </row>
    <row r="882" ht="14.25" customHeight="1">
      <c r="A882" s="402"/>
      <c r="B882" s="402"/>
      <c r="C882" s="402"/>
      <c r="D882" s="402"/>
      <c r="E882" s="402"/>
      <c r="F882" s="403"/>
      <c r="G882" s="402"/>
      <c r="H882" s="402"/>
      <c r="I882" s="402"/>
      <c r="J882" s="402"/>
      <c r="K882" s="402"/>
      <c r="L882" s="402"/>
      <c r="M882" s="402"/>
      <c r="N882" s="402"/>
      <c r="O882" s="402"/>
      <c r="P882" s="402"/>
      <c r="Q882" s="402"/>
      <c r="R882" s="402"/>
      <c r="S882" s="402"/>
      <c r="T882" s="402"/>
      <c r="U882" s="402"/>
      <c r="V882" s="402"/>
      <c r="W882" s="402"/>
      <c r="X882" s="402"/>
      <c r="Y882" s="402"/>
      <c r="Z882" s="402"/>
    </row>
    <row r="883" ht="14.25" customHeight="1">
      <c r="A883" s="402"/>
      <c r="B883" s="402"/>
      <c r="C883" s="402"/>
      <c r="D883" s="402"/>
      <c r="E883" s="402"/>
      <c r="F883" s="403"/>
      <c r="G883" s="402"/>
      <c r="H883" s="402"/>
      <c r="I883" s="402"/>
      <c r="J883" s="402"/>
      <c r="K883" s="402"/>
      <c r="L883" s="402"/>
      <c r="M883" s="402"/>
      <c r="N883" s="402"/>
      <c r="O883" s="402"/>
      <c r="P883" s="402"/>
      <c r="Q883" s="402"/>
      <c r="R883" s="402"/>
      <c r="S883" s="402"/>
      <c r="T883" s="402"/>
      <c r="U883" s="402"/>
      <c r="V883" s="402"/>
      <c r="W883" s="402"/>
      <c r="X883" s="402"/>
      <c r="Y883" s="402"/>
      <c r="Z883" s="402"/>
    </row>
    <row r="884" ht="14.25" customHeight="1">
      <c r="A884" s="402"/>
      <c r="B884" s="402"/>
      <c r="C884" s="402"/>
      <c r="D884" s="402"/>
      <c r="E884" s="402"/>
      <c r="F884" s="403"/>
      <c r="G884" s="402"/>
      <c r="H884" s="402"/>
      <c r="I884" s="402"/>
      <c r="J884" s="402"/>
      <c r="K884" s="402"/>
      <c r="L884" s="402"/>
      <c r="M884" s="402"/>
      <c r="N884" s="402"/>
      <c r="O884" s="402"/>
      <c r="P884" s="402"/>
      <c r="Q884" s="402"/>
      <c r="R884" s="402"/>
      <c r="S884" s="402"/>
      <c r="T884" s="402"/>
      <c r="U884" s="402"/>
      <c r="V884" s="402"/>
      <c r="W884" s="402"/>
      <c r="X884" s="402"/>
      <c r="Y884" s="402"/>
      <c r="Z884" s="402"/>
    </row>
    <row r="885" ht="14.25" customHeight="1">
      <c r="A885" s="402"/>
      <c r="B885" s="402"/>
      <c r="C885" s="402"/>
      <c r="D885" s="402"/>
      <c r="E885" s="402"/>
      <c r="F885" s="403"/>
      <c r="G885" s="402"/>
      <c r="H885" s="402"/>
      <c r="I885" s="402"/>
      <c r="J885" s="402"/>
      <c r="K885" s="402"/>
      <c r="L885" s="402"/>
      <c r="M885" s="402"/>
      <c r="N885" s="402"/>
      <c r="O885" s="402"/>
      <c r="P885" s="402"/>
      <c r="Q885" s="402"/>
      <c r="R885" s="402"/>
      <c r="S885" s="402"/>
      <c r="T885" s="402"/>
      <c r="U885" s="402"/>
      <c r="V885" s="402"/>
      <c r="W885" s="402"/>
      <c r="X885" s="402"/>
      <c r="Y885" s="402"/>
      <c r="Z885" s="402"/>
    </row>
    <row r="886" ht="14.25" customHeight="1">
      <c r="A886" s="402"/>
      <c r="B886" s="402"/>
      <c r="C886" s="402"/>
      <c r="D886" s="402"/>
      <c r="E886" s="402"/>
      <c r="F886" s="403"/>
      <c r="G886" s="402"/>
      <c r="H886" s="402"/>
      <c r="I886" s="402"/>
      <c r="J886" s="402"/>
      <c r="K886" s="402"/>
      <c r="L886" s="402"/>
      <c r="M886" s="402"/>
      <c r="N886" s="402"/>
      <c r="O886" s="402"/>
      <c r="P886" s="402"/>
      <c r="Q886" s="402"/>
      <c r="R886" s="402"/>
      <c r="S886" s="402"/>
      <c r="T886" s="402"/>
      <c r="U886" s="402"/>
      <c r="V886" s="402"/>
      <c r="W886" s="402"/>
      <c r="X886" s="402"/>
      <c r="Y886" s="402"/>
      <c r="Z886" s="402"/>
    </row>
    <row r="887" ht="14.25" customHeight="1">
      <c r="A887" s="402"/>
      <c r="B887" s="402"/>
      <c r="C887" s="402"/>
      <c r="D887" s="402"/>
      <c r="E887" s="402"/>
      <c r="F887" s="403"/>
      <c r="G887" s="402"/>
      <c r="H887" s="402"/>
      <c r="I887" s="402"/>
      <c r="J887" s="402"/>
      <c r="K887" s="402"/>
      <c r="L887" s="402"/>
      <c r="M887" s="402"/>
      <c r="N887" s="402"/>
      <c r="O887" s="402"/>
      <c r="P887" s="402"/>
      <c r="Q887" s="402"/>
      <c r="R887" s="402"/>
      <c r="S887" s="402"/>
      <c r="T887" s="402"/>
      <c r="U887" s="402"/>
      <c r="V887" s="402"/>
      <c r="W887" s="402"/>
      <c r="X887" s="402"/>
      <c r="Y887" s="402"/>
      <c r="Z887" s="402"/>
    </row>
    <row r="888" ht="14.25" customHeight="1">
      <c r="A888" s="402"/>
      <c r="B888" s="402"/>
      <c r="C888" s="402"/>
      <c r="D888" s="402"/>
      <c r="E888" s="402"/>
      <c r="F888" s="403"/>
      <c r="G888" s="402"/>
      <c r="H888" s="402"/>
      <c r="I888" s="402"/>
      <c r="J888" s="402"/>
      <c r="K888" s="402"/>
      <c r="L888" s="402"/>
      <c r="M888" s="402"/>
      <c r="N888" s="402"/>
      <c r="O888" s="402"/>
      <c r="P888" s="402"/>
      <c r="Q888" s="402"/>
      <c r="R888" s="402"/>
      <c r="S888" s="402"/>
      <c r="T888" s="402"/>
      <c r="U888" s="402"/>
      <c r="V888" s="402"/>
      <c r="W888" s="402"/>
      <c r="X888" s="402"/>
      <c r="Y888" s="402"/>
      <c r="Z888" s="402"/>
    </row>
    <row r="889" ht="14.25" customHeight="1">
      <c r="A889" s="402"/>
      <c r="B889" s="402"/>
      <c r="C889" s="402"/>
      <c r="D889" s="402"/>
      <c r="E889" s="402"/>
      <c r="F889" s="403"/>
      <c r="G889" s="402"/>
      <c r="H889" s="402"/>
      <c r="I889" s="402"/>
      <c r="J889" s="402"/>
      <c r="K889" s="402"/>
      <c r="L889" s="402"/>
      <c r="M889" s="402"/>
      <c r="N889" s="402"/>
      <c r="O889" s="402"/>
      <c r="P889" s="402"/>
      <c r="Q889" s="402"/>
      <c r="R889" s="402"/>
      <c r="S889" s="402"/>
      <c r="T889" s="402"/>
      <c r="U889" s="402"/>
      <c r="V889" s="402"/>
      <c r="W889" s="402"/>
      <c r="X889" s="402"/>
      <c r="Y889" s="402"/>
      <c r="Z889" s="402"/>
    </row>
    <row r="890" ht="14.25" customHeight="1">
      <c r="A890" s="402"/>
      <c r="B890" s="402"/>
      <c r="C890" s="402"/>
      <c r="D890" s="402"/>
      <c r="E890" s="402"/>
      <c r="F890" s="403"/>
      <c r="G890" s="402"/>
      <c r="H890" s="402"/>
      <c r="I890" s="402"/>
      <c r="J890" s="402"/>
      <c r="K890" s="402"/>
      <c r="L890" s="402"/>
      <c r="M890" s="402"/>
      <c r="N890" s="402"/>
      <c r="O890" s="402"/>
      <c r="P890" s="402"/>
      <c r="Q890" s="402"/>
      <c r="R890" s="402"/>
      <c r="S890" s="402"/>
      <c r="T890" s="402"/>
      <c r="U890" s="402"/>
      <c r="V890" s="402"/>
      <c r="W890" s="402"/>
      <c r="X890" s="402"/>
      <c r="Y890" s="402"/>
      <c r="Z890" s="402"/>
    </row>
    <row r="891" ht="14.25" customHeight="1">
      <c r="A891" s="402"/>
      <c r="B891" s="402"/>
      <c r="C891" s="402"/>
      <c r="D891" s="402"/>
      <c r="E891" s="402"/>
      <c r="F891" s="403"/>
      <c r="G891" s="402"/>
      <c r="H891" s="402"/>
      <c r="I891" s="402"/>
      <c r="J891" s="402"/>
      <c r="K891" s="402"/>
      <c r="L891" s="402"/>
      <c r="M891" s="402"/>
      <c r="N891" s="402"/>
      <c r="O891" s="402"/>
      <c r="P891" s="402"/>
      <c r="Q891" s="402"/>
      <c r="R891" s="402"/>
      <c r="S891" s="402"/>
      <c r="T891" s="402"/>
      <c r="U891" s="402"/>
      <c r="V891" s="402"/>
      <c r="W891" s="402"/>
      <c r="X891" s="402"/>
      <c r="Y891" s="402"/>
      <c r="Z891" s="402"/>
    </row>
    <row r="892" ht="14.25" customHeight="1">
      <c r="A892" s="402"/>
      <c r="B892" s="402"/>
      <c r="C892" s="402"/>
      <c r="D892" s="402"/>
      <c r="E892" s="402"/>
      <c r="F892" s="403"/>
      <c r="G892" s="402"/>
      <c r="H892" s="402"/>
      <c r="I892" s="402"/>
      <c r="J892" s="402"/>
      <c r="K892" s="402"/>
      <c r="L892" s="402"/>
      <c r="M892" s="402"/>
      <c r="N892" s="402"/>
      <c r="O892" s="402"/>
      <c r="P892" s="402"/>
      <c r="Q892" s="402"/>
      <c r="R892" s="402"/>
      <c r="S892" s="402"/>
      <c r="T892" s="402"/>
      <c r="U892" s="402"/>
      <c r="V892" s="402"/>
      <c r="W892" s="402"/>
      <c r="X892" s="402"/>
      <c r="Y892" s="402"/>
      <c r="Z892" s="402"/>
    </row>
    <row r="893" ht="14.25" customHeight="1">
      <c r="A893" s="402"/>
      <c r="B893" s="402"/>
      <c r="C893" s="402"/>
      <c r="D893" s="402"/>
      <c r="E893" s="402"/>
      <c r="F893" s="403"/>
      <c r="G893" s="402"/>
      <c r="H893" s="402"/>
      <c r="I893" s="402"/>
      <c r="J893" s="402"/>
      <c r="K893" s="402"/>
      <c r="L893" s="402"/>
      <c r="M893" s="402"/>
      <c r="N893" s="402"/>
      <c r="O893" s="402"/>
      <c r="P893" s="402"/>
      <c r="Q893" s="402"/>
      <c r="R893" s="402"/>
      <c r="S893" s="402"/>
      <c r="T893" s="402"/>
      <c r="U893" s="402"/>
      <c r="V893" s="402"/>
      <c r="W893" s="402"/>
      <c r="X893" s="402"/>
      <c r="Y893" s="402"/>
      <c r="Z893" s="402"/>
    </row>
    <row r="894" ht="14.25" customHeight="1">
      <c r="A894" s="402"/>
      <c r="B894" s="402"/>
      <c r="C894" s="402"/>
      <c r="D894" s="402"/>
      <c r="E894" s="402"/>
      <c r="F894" s="403"/>
      <c r="G894" s="402"/>
      <c r="H894" s="402"/>
      <c r="I894" s="402"/>
      <c r="J894" s="402"/>
      <c r="K894" s="402"/>
      <c r="L894" s="402"/>
      <c r="M894" s="402"/>
      <c r="N894" s="402"/>
      <c r="O894" s="402"/>
      <c r="P894" s="402"/>
      <c r="Q894" s="402"/>
      <c r="R894" s="402"/>
      <c r="S894" s="402"/>
      <c r="T894" s="402"/>
      <c r="U894" s="402"/>
      <c r="V894" s="402"/>
      <c r="W894" s="402"/>
      <c r="X894" s="402"/>
      <c r="Y894" s="402"/>
      <c r="Z894" s="402"/>
    </row>
    <row r="895" ht="14.25" customHeight="1">
      <c r="A895" s="402"/>
      <c r="B895" s="402"/>
      <c r="C895" s="402"/>
      <c r="D895" s="402"/>
      <c r="E895" s="402"/>
      <c r="F895" s="403"/>
      <c r="G895" s="402"/>
      <c r="H895" s="402"/>
      <c r="I895" s="402"/>
      <c r="J895" s="402"/>
      <c r="K895" s="402"/>
      <c r="L895" s="402"/>
      <c r="M895" s="402"/>
      <c r="N895" s="402"/>
      <c r="O895" s="402"/>
      <c r="P895" s="402"/>
      <c r="Q895" s="402"/>
      <c r="R895" s="402"/>
      <c r="S895" s="402"/>
      <c r="T895" s="402"/>
      <c r="U895" s="402"/>
      <c r="V895" s="402"/>
      <c r="W895" s="402"/>
      <c r="X895" s="402"/>
      <c r="Y895" s="402"/>
      <c r="Z895" s="402"/>
    </row>
    <row r="896" ht="14.25" customHeight="1">
      <c r="A896" s="402"/>
      <c r="B896" s="402"/>
      <c r="C896" s="402"/>
      <c r="D896" s="402"/>
      <c r="E896" s="402"/>
      <c r="F896" s="403"/>
      <c r="G896" s="402"/>
      <c r="H896" s="402"/>
      <c r="I896" s="402"/>
      <c r="J896" s="402"/>
      <c r="K896" s="402"/>
      <c r="L896" s="402"/>
      <c r="M896" s="402"/>
      <c r="N896" s="402"/>
      <c r="O896" s="402"/>
      <c r="P896" s="402"/>
      <c r="Q896" s="402"/>
      <c r="R896" s="402"/>
      <c r="S896" s="402"/>
      <c r="T896" s="402"/>
      <c r="U896" s="402"/>
      <c r="V896" s="402"/>
      <c r="W896" s="402"/>
      <c r="X896" s="402"/>
      <c r="Y896" s="402"/>
      <c r="Z896" s="402"/>
    </row>
    <row r="897" ht="14.25" customHeight="1">
      <c r="A897" s="402"/>
      <c r="B897" s="402"/>
      <c r="C897" s="402"/>
      <c r="D897" s="402"/>
      <c r="E897" s="402"/>
      <c r="F897" s="403"/>
      <c r="G897" s="402"/>
      <c r="H897" s="402"/>
      <c r="I897" s="402"/>
      <c r="J897" s="402"/>
      <c r="K897" s="402"/>
      <c r="L897" s="402"/>
      <c r="M897" s="402"/>
      <c r="N897" s="402"/>
      <c r="O897" s="402"/>
      <c r="P897" s="402"/>
      <c r="Q897" s="402"/>
      <c r="R897" s="402"/>
      <c r="S897" s="402"/>
      <c r="T897" s="402"/>
      <c r="U897" s="402"/>
      <c r="V897" s="402"/>
      <c r="W897" s="402"/>
      <c r="X897" s="402"/>
      <c r="Y897" s="402"/>
      <c r="Z897" s="402"/>
    </row>
    <row r="898" ht="14.25" customHeight="1">
      <c r="A898" s="402"/>
      <c r="B898" s="402"/>
      <c r="C898" s="402"/>
      <c r="D898" s="402"/>
      <c r="E898" s="402"/>
      <c r="F898" s="403"/>
      <c r="G898" s="402"/>
      <c r="H898" s="402"/>
      <c r="I898" s="402"/>
      <c r="J898" s="402"/>
      <c r="K898" s="402"/>
      <c r="L898" s="402"/>
      <c r="M898" s="402"/>
      <c r="N898" s="402"/>
      <c r="O898" s="402"/>
      <c r="P898" s="402"/>
      <c r="Q898" s="402"/>
      <c r="R898" s="402"/>
      <c r="S898" s="402"/>
      <c r="T898" s="402"/>
      <c r="U898" s="402"/>
      <c r="V898" s="402"/>
      <c r="W898" s="402"/>
      <c r="X898" s="402"/>
      <c r="Y898" s="402"/>
      <c r="Z898" s="402"/>
    </row>
    <row r="899" ht="14.25" customHeight="1">
      <c r="A899" s="402"/>
      <c r="B899" s="402"/>
      <c r="C899" s="402"/>
      <c r="D899" s="402"/>
      <c r="E899" s="402"/>
      <c r="F899" s="403"/>
      <c r="G899" s="402"/>
      <c r="H899" s="402"/>
      <c r="I899" s="402"/>
      <c r="J899" s="402"/>
      <c r="K899" s="402"/>
      <c r="L899" s="402"/>
      <c r="M899" s="402"/>
      <c r="N899" s="402"/>
      <c r="O899" s="402"/>
      <c r="P899" s="402"/>
      <c r="Q899" s="402"/>
      <c r="R899" s="402"/>
      <c r="S899" s="402"/>
      <c r="T899" s="402"/>
      <c r="U899" s="402"/>
      <c r="V899" s="402"/>
      <c r="W899" s="402"/>
      <c r="X899" s="402"/>
      <c r="Y899" s="402"/>
      <c r="Z899" s="402"/>
    </row>
    <row r="900" ht="14.25" customHeight="1">
      <c r="A900" s="402"/>
      <c r="B900" s="402"/>
      <c r="C900" s="402"/>
      <c r="D900" s="402"/>
      <c r="E900" s="402"/>
      <c r="F900" s="403"/>
      <c r="G900" s="402"/>
      <c r="H900" s="402"/>
      <c r="I900" s="402"/>
      <c r="J900" s="402"/>
      <c r="K900" s="402"/>
      <c r="L900" s="402"/>
      <c r="M900" s="402"/>
      <c r="N900" s="402"/>
      <c r="O900" s="402"/>
      <c r="P900" s="402"/>
      <c r="Q900" s="402"/>
      <c r="R900" s="402"/>
      <c r="S900" s="402"/>
      <c r="T900" s="402"/>
      <c r="U900" s="402"/>
      <c r="V900" s="402"/>
      <c r="W900" s="402"/>
      <c r="X900" s="402"/>
      <c r="Y900" s="402"/>
      <c r="Z900" s="402"/>
    </row>
    <row r="901" ht="14.25" customHeight="1">
      <c r="A901" s="402"/>
      <c r="B901" s="402"/>
      <c r="C901" s="402"/>
      <c r="D901" s="402"/>
      <c r="E901" s="402"/>
      <c r="F901" s="403"/>
      <c r="G901" s="402"/>
      <c r="H901" s="402"/>
      <c r="I901" s="402"/>
      <c r="J901" s="402"/>
      <c r="K901" s="402"/>
      <c r="L901" s="402"/>
      <c r="M901" s="402"/>
      <c r="N901" s="402"/>
      <c r="O901" s="402"/>
      <c r="P901" s="402"/>
      <c r="Q901" s="402"/>
      <c r="R901" s="402"/>
      <c r="S901" s="402"/>
      <c r="T901" s="402"/>
      <c r="U901" s="402"/>
      <c r="V901" s="402"/>
      <c r="W901" s="402"/>
      <c r="X901" s="402"/>
      <c r="Y901" s="402"/>
      <c r="Z901" s="402"/>
    </row>
    <row r="902" ht="14.25" customHeight="1">
      <c r="A902" s="402"/>
      <c r="B902" s="402"/>
      <c r="C902" s="402"/>
      <c r="D902" s="402"/>
      <c r="E902" s="402"/>
      <c r="F902" s="403"/>
      <c r="G902" s="402"/>
      <c r="H902" s="402"/>
      <c r="I902" s="402"/>
      <c r="J902" s="402"/>
      <c r="K902" s="402"/>
      <c r="L902" s="402"/>
      <c r="M902" s="402"/>
      <c r="N902" s="402"/>
      <c r="O902" s="402"/>
      <c r="P902" s="402"/>
      <c r="Q902" s="402"/>
      <c r="R902" s="402"/>
      <c r="S902" s="402"/>
      <c r="T902" s="402"/>
      <c r="U902" s="402"/>
      <c r="V902" s="402"/>
      <c r="W902" s="402"/>
      <c r="X902" s="402"/>
      <c r="Y902" s="402"/>
      <c r="Z902" s="402"/>
    </row>
    <row r="903" ht="14.25" customHeight="1">
      <c r="A903" s="402"/>
      <c r="B903" s="402"/>
      <c r="C903" s="402"/>
      <c r="D903" s="402"/>
      <c r="E903" s="402"/>
      <c r="F903" s="403"/>
      <c r="G903" s="402"/>
      <c r="H903" s="402"/>
      <c r="I903" s="402"/>
      <c r="J903" s="402"/>
      <c r="K903" s="402"/>
      <c r="L903" s="402"/>
      <c r="M903" s="402"/>
      <c r="N903" s="402"/>
      <c r="O903" s="402"/>
      <c r="P903" s="402"/>
      <c r="Q903" s="402"/>
      <c r="R903" s="402"/>
      <c r="S903" s="402"/>
      <c r="T903" s="402"/>
      <c r="U903" s="402"/>
      <c r="V903" s="402"/>
      <c r="W903" s="402"/>
      <c r="X903" s="402"/>
      <c r="Y903" s="402"/>
      <c r="Z903" s="402"/>
    </row>
    <row r="904" ht="14.25" customHeight="1">
      <c r="A904" s="402"/>
      <c r="B904" s="402"/>
      <c r="C904" s="402"/>
      <c r="D904" s="402"/>
      <c r="E904" s="402"/>
      <c r="F904" s="403"/>
      <c r="G904" s="402"/>
      <c r="H904" s="402"/>
      <c r="I904" s="402"/>
      <c r="J904" s="402"/>
      <c r="K904" s="402"/>
      <c r="L904" s="402"/>
      <c r="M904" s="402"/>
      <c r="N904" s="402"/>
      <c r="O904" s="402"/>
      <c r="P904" s="402"/>
      <c r="Q904" s="402"/>
      <c r="R904" s="402"/>
      <c r="S904" s="402"/>
      <c r="T904" s="402"/>
      <c r="U904" s="402"/>
      <c r="V904" s="402"/>
      <c r="W904" s="402"/>
      <c r="X904" s="402"/>
      <c r="Y904" s="402"/>
      <c r="Z904" s="402"/>
    </row>
    <row r="905" ht="14.25" customHeight="1">
      <c r="A905" s="402"/>
      <c r="B905" s="402"/>
      <c r="C905" s="402"/>
      <c r="D905" s="402"/>
      <c r="E905" s="402"/>
      <c r="F905" s="403"/>
      <c r="G905" s="402"/>
      <c r="H905" s="402"/>
      <c r="I905" s="402"/>
      <c r="J905" s="402"/>
      <c r="K905" s="402"/>
      <c r="L905" s="402"/>
      <c r="M905" s="402"/>
      <c r="N905" s="402"/>
      <c r="O905" s="402"/>
      <c r="P905" s="402"/>
      <c r="Q905" s="402"/>
      <c r="R905" s="402"/>
      <c r="S905" s="402"/>
      <c r="T905" s="402"/>
      <c r="U905" s="402"/>
      <c r="V905" s="402"/>
      <c r="W905" s="402"/>
      <c r="X905" s="402"/>
      <c r="Y905" s="402"/>
      <c r="Z905" s="402"/>
    </row>
    <row r="906" ht="14.25" customHeight="1">
      <c r="A906" s="402"/>
      <c r="B906" s="402"/>
      <c r="C906" s="402"/>
      <c r="D906" s="402"/>
      <c r="E906" s="402"/>
      <c r="F906" s="403"/>
      <c r="G906" s="402"/>
      <c r="H906" s="402"/>
      <c r="I906" s="402"/>
      <c r="J906" s="402"/>
      <c r="K906" s="402"/>
      <c r="L906" s="402"/>
      <c r="M906" s="402"/>
      <c r="N906" s="402"/>
      <c r="O906" s="402"/>
      <c r="P906" s="402"/>
      <c r="Q906" s="402"/>
      <c r="R906" s="402"/>
      <c r="S906" s="402"/>
      <c r="T906" s="402"/>
      <c r="U906" s="402"/>
      <c r="V906" s="402"/>
      <c r="W906" s="402"/>
      <c r="X906" s="402"/>
      <c r="Y906" s="402"/>
      <c r="Z906" s="402"/>
    </row>
    <row r="907" ht="14.25" customHeight="1">
      <c r="A907" s="402"/>
      <c r="B907" s="402"/>
      <c r="C907" s="402"/>
      <c r="D907" s="402"/>
      <c r="E907" s="402"/>
      <c r="F907" s="403"/>
      <c r="G907" s="402"/>
      <c r="H907" s="402"/>
      <c r="I907" s="402"/>
      <c r="J907" s="402"/>
      <c r="K907" s="402"/>
      <c r="L907" s="402"/>
      <c r="M907" s="402"/>
      <c r="N907" s="402"/>
      <c r="O907" s="402"/>
      <c r="P907" s="402"/>
      <c r="Q907" s="402"/>
      <c r="R907" s="402"/>
      <c r="S907" s="402"/>
      <c r="T907" s="402"/>
      <c r="U907" s="402"/>
      <c r="V907" s="402"/>
      <c r="W907" s="402"/>
      <c r="X907" s="402"/>
      <c r="Y907" s="402"/>
      <c r="Z907" s="402"/>
    </row>
    <row r="908" ht="14.25" customHeight="1">
      <c r="A908" s="402"/>
      <c r="B908" s="402"/>
      <c r="C908" s="402"/>
      <c r="D908" s="402"/>
      <c r="E908" s="402"/>
      <c r="F908" s="403"/>
      <c r="G908" s="402"/>
      <c r="H908" s="402"/>
      <c r="I908" s="402"/>
      <c r="J908" s="402"/>
      <c r="K908" s="402"/>
      <c r="L908" s="402"/>
      <c r="M908" s="402"/>
      <c r="N908" s="402"/>
      <c r="O908" s="402"/>
      <c r="P908" s="402"/>
      <c r="Q908" s="402"/>
      <c r="R908" s="402"/>
      <c r="S908" s="402"/>
      <c r="T908" s="402"/>
      <c r="U908" s="402"/>
      <c r="V908" s="402"/>
      <c r="W908" s="402"/>
      <c r="X908" s="402"/>
      <c r="Y908" s="402"/>
      <c r="Z908" s="402"/>
    </row>
    <row r="909" ht="14.25" customHeight="1">
      <c r="A909" s="402"/>
      <c r="B909" s="402"/>
      <c r="C909" s="402"/>
      <c r="D909" s="402"/>
      <c r="E909" s="402"/>
      <c r="F909" s="403"/>
      <c r="G909" s="402"/>
      <c r="H909" s="402"/>
      <c r="I909" s="402"/>
      <c r="J909" s="402"/>
      <c r="K909" s="402"/>
      <c r="L909" s="402"/>
      <c r="M909" s="402"/>
      <c r="N909" s="402"/>
      <c r="O909" s="402"/>
      <c r="P909" s="402"/>
      <c r="Q909" s="402"/>
      <c r="R909" s="402"/>
      <c r="S909" s="402"/>
      <c r="T909" s="402"/>
      <c r="U909" s="402"/>
      <c r="V909" s="402"/>
      <c r="W909" s="402"/>
      <c r="X909" s="402"/>
      <c r="Y909" s="402"/>
      <c r="Z909" s="402"/>
    </row>
    <row r="910" ht="14.25" customHeight="1">
      <c r="A910" s="402"/>
      <c r="B910" s="402"/>
      <c r="C910" s="402"/>
      <c r="D910" s="402"/>
      <c r="E910" s="402"/>
      <c r="F910" s="403"/>
      <c r="G910" s="402"/>
      <c r="H910" s="402"/>
      <c r="I910" s="402"/>
      <c r="J910" s="402"/>
      <c r="K910" s="402"/>
      <c r="L910" s="402"/>
      <c r="M910" s="402"/>
      <c r="N910" s="402"/>
      <c r="O910" s="402"/>
      <c r="P910" s="402"/>
      <c r="Q910" s="402"/>
      <c r="R910" s="402"/>
      <c r="S910" s="402"/>
      <c r="T910" s="402"/>
      <c r="U910" s="402"/>
      <c r="V910" s="402"/>
      <c r="W910" s="402"/>
      <c r="X910" s="402"/>
      <c r="Y910" s="402"/>
      <c r="Z910" s="402"/>
    </row>
    <row r="911" ht="14.25" customHeight="1">
      <c r="A911" s="402"/>
      <c r="B911" s="402"/>
      <c r="C911" s="402"/>
      <c r="D911" s="402"/>
      <c r="E911" s="402"/>
      <c r="F911" s="403"/>
      <c r="G911" s="402"/>
      <c r="H911" s="402"/>
      <c r="I911" s="402"/>
      <c r="J911" s="402"/>
      <c r="K911" s="402"/>
      <c r="L911" s="402"/>
      <c r="M911" s="402"/>
      <c r="N911" s="402"/>
      <c r="O911" s="402"/>
      <c r="P911" s="402"/>
      <c r="Q911" s="402"/>
      <c r="R911" s="402"/>
      <c r="S911" s="402"/>
      <c r="T911" s="402"/>
      <c r="U911" s="402"/>
      <c r="V911" s="402"/>
      <c r="W911" s="402"/>
      <c r="X911" s="402"/>
      <c r="Y911" s="402"/>
      <c r="Z911" s="402"/>
    </row>
    <row r="912" ht="14.25" customHeight="1">
      <c r="A912" s="402"/>
      <c r="B912" s="402"/>
      <c r="C912" s="402"/>
      <c r="D912" s="402"/>
      <c r="E912" s="402"/>
      <c r="F912" s="403"/>
      <c r="G912" s="402"/>
      <c r="H912" s="402"/>
      <c r="I912" s="402"/>
      <c r="J912" s="402"/>
      <c r="K912" s="402"/>
      <c r="L912" s="402"/>
      <c r="M912" s="402"/>
      <c r="N912" s="402"/>
      <c r="O912" s="402"/>
      <c r="P912" s="402"/>
      <c r="Q912" s="402"/>
      <c r="R912" s="402"/>
      <c r="S912" s="402"/>
      <c r="T912" s="402"/>
      <c r="U912" s="402"/>
      <c r="V912" s="402"/>
      <c r="W912" s="402"/>
      <c r="X912" s="402"/>
      <c r="Y912" s="402"/>
      <c r="Z912" s="402"/>
    </row>
    <row r="913" ht="14.25" customHeight="1">
      <c r="A913" s="402"/>
      <c r="B913" s="402"/>
      <c r="C913" s="402"/>
      <c r="D913" s="402"/>
      <c r="E913" s="402"/>
      <c r="F913" s="403"/>
      <c r="G913" s="402"/>
      <c r="H913" s="402"/>
      <c r="I913" s="402"/>
      <c r="J913" s="402"/>
      <c r="K913" s="402"/>
      <c r="L913" s="402"/>
      <c r="M913" s="402"/>
      <c r="N913" s="402"/>
      <c r="O913" s="402"/>
      <c r="P913" s="402"/>
      <c r="Q913" s="402"/>
      <c r="R913" s="402"/>
      <c r="S913" s="402"/>
      <c r="T913" s="402"/>
      <c r="U913" s="402"/>
      <c r="V913" s="402"/>
      <c r="W913" s="402"/>
      <c r="X913" s="402"/>
      <c r="Y913" s="402"/>
      <c r="Z913" s="402"/>
    </row>
    <row r="914" ht="14.25" customHeight="1">
      <c r="A914" s="402"/>
      <c r="B914" s="402"/>
      <c r="C914" s="402"/>
      <c r="D914" s="402"/>
      <c r="E914" s="402"/>
      <c r="F914" s="403"/>
      <c r="G914" s="402"/>
      <c r="H914" s="402"/>
      <c r="I914" s="402"/>
      <c r="J914" s="402"/>
      <c r="K914" s="402"/>
      <c r="L914" s="402"/>
      <c r="M914" s="402"/>
      <c r="N914" s="402"/>
      <c r="O914" s="402"/>
      <c r="P914" s="402"/>
      <c r="Q914" s="402"/>
      <c r="R914" s="402"/>
      <c r="S914" s="402"/>
      <c r="T914" s="402"/>
      <c r="U914" s="402"/>
      <c r="V914" s="402"/>
      <c r="W914" s="402"/>
      <c r="X914" s="402"/>
      <c r="Y914" s="402"/>
      <c r="Z914" s="402"/>
    </row>
    <row r="915" ht="14.25" customHeight="1">
      <c r="A915" s="402"/>
      <c r="B915" s="402"/>
      <c r="C915" s="402"/>
      <c r="D915" s="402"/>
      <c r="E915" s="402"/>
      <c r="F915" s="403"/>
      <c r="G915" s="402"/>
      <c r="H915" s="402"/>
      <c r="I915" s="402"/>
      <c r="J915" s="402"/>
      <c r="K915" s="402"/>
      <c r="L915" s="402"/>
      <c r="M915" s="402"/>
      <c r="N915" s="402"/>
      <c r="O915" s="402"/>
      <c r="P915" s="402"/>
      <c r="Q915" s="402"/>
      <c r="R915" s="402"/>
      <c r="S915" s="402"/>
      <c r="T915" s="402"/>
      <c r="U915" s="402"/>
      <c r="V915" s="402"/>
      <c r="W915" s="402"/>
      <c r="X915" s="402"/>
      <c r="Y915" s="402"/>
      <c r="Z915" s="402"/>
    </row>
    <row r="916" ht="14.25" customHeight="1">
      <c r="A916" s="402"/>
      <c r="B916" s="402"/>
      <c r="C916" s="402"/>
      <c r="D916" s="402"/>
      <c r="E916" s="402"/>
      <c r="F916" s="403"/>
      <c r="G916" s="402"/>
      <c r="H916" s="402"/>
      <c r="I916" s="402"/>
      <c r="J916" s="402"/>
      <c r="K916" s="402"/>
      <c r="L916" s="402"/>
      <c r="M916" s="402"/>
      <c r="N916" s="402"/>
      <c r="O916" s="402"/>
      <c r="P916" s="402"/>
      <c r="Q916" s="402"/>
      <c r="R916" s="402"/>
      <c r="S916" s="402"/>
      <c r="T916" s="402"/>
      <c r="U916" s="402"/>
      <c r="V916" s="402"/>
      <c r="W916" s="402"/>
      <c r="X916" s="402"/>
      <c r="Y916" s="402"/>
      <c r="Z916" s="402"/>
    </row>
    <row r="917" ht="14.25" customHeight="1">
      <c r="A917" s="402"/>
      <c r="B917" s="402"/>
      <c r="C917" s="402"/>
      <c r="D917" s="402"/>
      <c r="E917" s="402"/>
      <c r="F917" s="403"/>
      <c r="G917" s="402"/>
      <c r="H917" s="402"/>
      <c r="I917" s="402"/>
      <c r="J917" s="402"/>
      <c r="K917" s="402"/>
      <c r="L917" s="402"/>
      <c r="M917" s="402"/>
      <c r="N917" s="402"/>
      <c r="O917" s="402"/>
      <c r="P917" s="402"/>
      <c r="Q917" s="402"/>
      <c r="R917" s="402"/>
      <c r="S917" s="402"/>
      <c r="T917" s="402"/>
      <c r="U917" s="402"/>
      <c r="V917" s="402"/>
      <c r="W917" s="402"/>
      <c r="X917" s="402"/>
      <c r="Y917" s="402"/>
      <c r="Z917" s="402"/>
    </row>
    <row r="918" ht="14.25" customHeight="1">
      <c r="A918" s="402"/>
      <c r="B918" s="402"/>
      <c r="C918" s="402"/>
      <c r="D918" s="402"/>
      <c r="E918" s="402"/>
      <c r="F918" s="403"/>
      <c r="G918" s="402"/>
      <c r="H918" s="402"/>
      <c r="I918" s="402"/>
      <c r="J918" s="402"/>
      <c r="K918" s="402"/>
      <c r="L918" s="402"/>
      <c r="M918" s="402"/>
      <c r="N918" s="402"/>
      <c r="O918" s="402"/>
      <c r="P918" s="402"/>
      <c r="Q918" s="402"/>
      <c r="R918" s="402"/>
      <c r="S918" s="402"/>
      <c r="T918" s="402"/>
      <c r="U918" s="402"/>
      <c r="V918" s="402"/>
      <c r="W918" s="402"/>
      <c r="X918" s="402"/>
      <c r="Y918" s="402"/>
      <c r="Z918" s="402"/>
    </row>
    <row r="919" ht="14.25" customHeight="1">
      <c r="A919" s="402"/>
      <c r="B919" s="402"/>
      <c r="C919" s="402"/>
      <c r="D919" s="402"/>
      <c r="E919" s="402"/>
      <c r="F919" s="403"/>
      <c r="G919" s="402"/>
      <c r="H919" s="402"/>
      <c r="I919" s="402"/>
      <c r="J919" s="402"/>
      <c r="K919" s="402"/>
      <c r="L919" s="402"/>
      <c r="M919" s="402"/>
      <c r="N919" s="402"/>
      <c r="O919" s="402"/>
      <c r="P919" s="402"/>
      <c r="Q919" s="402"/>
      <c r="R919" s="402"/>
      <c r="S919" s="402"/>
      <c r="T919" s="402"/>
      <c r="U919" s="402"/>
      <c r="V919" s="402"/>
      <c r="W919" s="402"/>
      <c r="X919" s="402"/>
      <c r="Y919" s="402"/>
      <c r="Z919" s="402"/>
    </row>
    <row r="920" ht="14.25" customHeight="1">
      <c r="A920" s="402"/>
      <c r="B920" s="402"/>
      <c r="C920" s="402"/>
      <c r="D920" s="402"/>
      <c r="E920" s="402"/>
      <c r="F920" s="403"/>
      <c r="G920" s="402"/>
      <c r="H920" s="402"/>
      <c r="I920" s="402"/>
      <c r="J920" s="402"/>
      <c r="K920" s="402"/>
      <c r="L920" s="402"/>
      <c r="M920" s="402"/>
      <c r="N920" s="402"/>
      <c r="O920" s="402"/>
      <c r="P920" s="402"/>
      <c r="Q920" s="402"/>
      <c r="R920" s="402"/>
      <c r="S920" s="402"/>
      <c r="T920" s="402"/>
      <c r="U920" s="402"/>
      <c r="V920" s="402"/>
      <c r="W920" s="402"/>
      <c r="X920" s="402"/>
      <c r="Y920" s="402"/>
      <c r="Z920" s="402"/>
    </row>
    <row r="921" ht="14.25" customHeight="1">
      <c r="A921" s="402"/>
      <c r="B921" s="402"/>
      <c r="C921" s="402"/>
      <c r="D921" s="402"/>
      <c r="E921" s="402"/>
      <c r="F921" s="403"/>
      <c r="G921" s="402"/>
      <c r="H921" s="402"/>
      <c r="I921" s="402"/>
      <c r="J921" s="402"/>
      <c r="K921" s="402"/>
      <c r="L921" s="402"/>
      <c r="M921" s="402"/>
      <c r="N921" s="402"/>
      <c r="O921" s="402"/>
      <c r="P921" s="402"/>
      <c r="Q921" s="402"/>
      <c r="R921" s="402"/>
      <c r="S921" s="402"/>
      <c r="T921" s="402"/>
      <c r="U921" s="402"/>
      <c r="V921" s="402"/>
      <c r="W921" s="402"/>
      <c r="X921" s="402"/>
      <c r="Y921" s="402"/>
      <c r="Z921" s="402"/>
    </row>
    <row r="922" ht="14.25" customHeight="1">
      <c r="A922" s="402"/>
      <c r="B922" s="402"/>
      <c r="C922" s="402"/>
      <c r="D922" s="402"/>
      <c r="E922" s="402"/>
      <c r="F922" s="403"/>
      <c r="G922" s="402"/>
      <c r="H922" s="402"/>
      <c r="I922" s="402"/>
      <c r="J922" s="402"/>
      <c r="K922" s="402"/>
      <c r="L922" s="402"/>
      <c r="M922" s="402"/>
      <c r="N922" s="402"/>
      <c r="O922" s="402"/>
      <c r="P922" s="402"/>
      <c r="Q922" s="402"/>
      <c r="R922" s="402"/>
      <c r="S922" s="402"/>
      <c r="T922" s="402"/>
      <c r="U922" s="402"/>
      <c r="V922" s="402"/>
      <c r="W922" s="402"/>
      <c r="X922" s="402"/>
      <c r="Y922" s="402"/>
      <c r="Z922" s="402"/>
    </row>
    <row r="923" ht="14.25" customHeight="1">
      <c r="A923" s="402"/>
      <c r="B923" s="402"/>
      <c r="C923" s="402"/>
      <c r="D923" s="402"/>
      <c r="E923" s="402"/>
      <c r="F923" s="403"/>
      <c r="G923" s="402"/>
      <c r="H923" s="402"/>
      <c r="I923" s="402"/>
      <c r="J923" s="402"/>
      <c r="K923" s="402"/>
      <c r="L923" s="402"/>
      <c r="M923" s="402"/>
      <c r="N923" s="402"/>
      <c r="O923" s="402"/>
      <c r="P923" s="402"/>
      <c r="Q923" s="402"/>
      <c r="R923" s="402"/>
      <c r="S923" s="402"/>
      <c r="T923" s="402"/>
      <c r="U923" s="402"/>
      <c r="V923" s="402"/>
      <c r="W923" s="402"/>
      <c r="X923" s="402"/>
      <c r="Y923" s="402"/>
      <c r="Z923" s="402"/>
    </row>
    <row r="924" ht="14.25" customHeight="1">
      <c r="A924" s="402"/>
      <c r="B924" s="402"/>
      <c r="C924" s="402"/>
      <c r="D924" s="402"/>
      <c r="E924" s="402"/>
      <c r="F924" s="403"/>
      <c r="G924" s="402"/>
      <c r="H924" s="402"/>
      <c r="I924" s="402"/>
      <c r="J924" s="402"/>
      <c r="K924" s="402"/>
      <c r="L924" s="402"/>
      <c r="M924" s="402"/>
      <c r="N924" s="402"/>
      <c r="O924" s="402"/>
      <c r="P924" s="402"/>
      <c r="Q924" s="402"/>
      <c r="R924" s="402"/>
      <c r="S924" s="402"/>
      <c r="T924" s="402"/>
      <c r="U924" s="402"/>
      <c r="V924" s="402"/>
      <c r="W924" s="402"/>
      <c r="X924" s="402"/>
      <c r="Y924" s="402"/>
      <c r="Z924" s="402"/>
    </row>
    <row r="925" ht="14.25" customHeight="1">
      <c r="A925" s="402"/>
      <c r="B925" s="402"/>
      <c r="C925" s="402"/>
      <c r="D925" s="402"/>
      <c r="E925" s="402"/>
      <c r="F925" s="403"/>
      <c r="G925" s="402"/>
      <c r="H925" s="402"/>
      <c r="I925" s="402"/>
      <c r="J925" s="402"/>
      <c r="K925" s="402"/>
      <c r="L925" s="402"/>
      <c r="M925" s="402"/>
      <c r="N925" s="402"/>
      <c r="O925" s="402"/>
      <c r="P925" s="402"/>
      <c r="Q925" s="402"/>
      <c r="R925" s="402"/>
      <c r="S925" s="402"/>
      <c r="T925" s="402"/>
      <c r="U925" s="402"/>
      <c r="V925" s="402"/>
      <c r="W925" s="402"/>
      <c r="X925" s="402"/>
      <c r="Y925" s="402"/>
      <c r="Z925" s="402"/>
    </row>
    <row r="926" ht="14.25" customHeight="1">
      <c r="A926" s="402"/>
      <c r="B926" s="402"/>
      <c r="C926" s="402"/>
      <c r="D926" s="402"/>
      <c r="E926" s="402"/>
      <c r="F926" s="403"/>
      <c r="G926" s="402"/>
      <c r="H926" s="402"/>
      <c r="I926" s="402"/>
      <c r="J926" s="402"/>
      <c r="K926" s="402"/>
      <c r="L926" s="402"/>
      <c r="M926" s="402"/>
      <c r="N926" s="402"/>
      <c r="O926" s="402"/>
      <c r="P926" s="402"/>
      <c r="Q926" s="402"/>
      <c r="R926" s="402"/>
      <c r="S926" s="402"/>
      <c r="T926" s="402"/>
      <c r="U926" s="402"/>
      <c r="V926" s="402"/>
      <c r="W926" s="402"/>
      <c r="X926" s="402"/>
      <c r="Y926" s="402"/>
      <c r="Z926" s="402"/>
    </row>
    <row r="927" ht="14.25" customHeight="1">
      <c r="A927" s="402"/>
      <c r="B927" s="402"/>
      <c r="C927" s="402"/>
      <c r="D927" s="402"/>
      <c r="E927" s="402"/>
      <c r="F927" s="403"/>
      <c r="G927" s="402"/>
      <c r="H927" s="402"/>
      <c r="I927" s="402"/>
      <c r="J927" s="402"/>
      <c r="K927" s="402"/>
      <c r="L927" s="402"/>
      <c r="M927" s="402"/>
      <c r="N927" s="402"/>
      <c r="O927" s="402"/>
      <c r="P927" s="402"/>
      <c r="Q927" s="402"/>
      <c r="R927" s="402"/>
      <c r="S927" s="402"/>
      <c r="T927" s="402"/>
      <c r="U927" s="402"/>
      <c r="V927" s="402"/>
      <c r="W927" s="402"/>
      <c r="X927" s="402"/>
      <c r="Y927" s="402"/>
      <c r="Z927" s="402"/>
    </row>
    <row r="928" ht="14.25" customHeight="1">
      <c r="A928" s="402"/>
      <c r="B928" s="402"/>
      <c r="C928" s="402"/>
      <c r="D928" s="402"/>
      <c r="E928" s="402"/>
      <c r="F928" s="403"/>
      <c r="G928" s="402"/>
      <c r="H928" s="402"/>
      <c r="I928" s="402"/>
      <c r="J928" s="402"/>
      <c r="K928" s="402"/>
      <c r="L928" s="402"/>
      <c r="M928" s="402"/>
      <c r="N928" s="402"/>
      <c r="O928" s="402"/>
      <c r="P928" s="402"/>
      <c r="Q928" s="402"/>
      <c r="R928" s="402"/>
      <c r="S928" s="402"/>
      <c r="T928" s="402"/>
      <c r="U928" s="402"/>
      <c r="V928" s="402"/>
      <c r="W928" s="402"/>
      <c r="X928" s="402"/>
      <c r="Y928" s="402"/>
      <c r="Z928" s="402"/>
    </row>
    <row r="929" ht="14.25" customHeight="1">
      <c r="A929" s="402"/>
      <c r="B929" s="402"/>
      <c r="C929" s="402"/>
      <c r="D929" s="402"/>
      <c r="E929" s="402"/>
      <c r="F929" s="403"/>
      <c r="G929" s="402"/>
      <c r="H929" s="402"/>
      <c r="I929" s="402"/>
      <c r="J929" s="402"/>
      <c r="K929" s="402"/>
      <c r="L929" s="402"/>
      <c r="M929" s="402"/>
      <c r="N929" s="402"/>
      <c r="O929" s="402"/>
      <c r="P929" s="402"/>
      <c r="Q929" s="402"/>
      <c r="R929" s="402"/>
      <c r="S929" s="402"/>
      <c r="T929" s="402"/>
      <c r="U929" s="402"/>
      <c r="V929" s="402"/>
      <c r="W929" s="402"/>
      <c r="X929" s="402"/>
      <c r="Y929" s="402"/>
      <c r="Z929" s="402"/>
    </row>
    <row r="930" ht="14.25" customHeight="1">
      <c r="A930" s="402"/>
      <c r="B930" s="402"/>
      <c r="C930" s="402"/>
      <c r="D930" s="402"/>
      <c r="E930" s="402"/>
      <c r="F930" s="403"/>
      <c r="G930" s="402"/>
      <c r="H930" s="402"/>
      <c r="I930" s="402"/>
      <c r="J930" s="402"/>
      <c r="K930" s="402"/>
      <c r="L930" s="402"/>
      <c r="M930" s="402"/>
      <c r="N930" s="402"/>
      <c r="O930" s="402"/>
      <c r="P930" s="402"/>
      <c r="Q930" s="402"/>
      <c r="R930" s="402"/>
      <c r="S930" s="402"/>
      <c r="T930" s="402"/>
      <c r="U930" s="402"/>
      <c r="V930" s="402"/>
      <c r="W930" s="402"/>
      <c r="X930" s="402"/>
      <c r="Y930" s="402"/>
      <c r="Z930" s="402"/>
    </row>
    <row r="931" ht="14.25" customHeight="1">
      <c r="A931" s="402"/>
      <c r="B931" s="402"/>
      <c r="C931" s="402"/>
      <c r="D931" s="402"/>
      <c r="E931" s="402"/>
      <c r="F931" s="403"/>
      <c r="G931" s="402"/>
      <c r="H931" s="402"/>
      <c r="I931" s="402"/>
      <c r="J931" s="402"/>
      <c r="K931" s="402"/>
      <c r="L931" s="402"/>
      <c r="M931" s="402"/>
      <c r="N931" s="402"/>
      <c r="O931" s="402"/>
      <c r="P931" s="402"/>
      <c r="Q931" s="402"/>
      <c r="R931" s="402"/>
      <c r="S931" s="402"/>
      <c r="T931" s="402"/>
      <c r="U931" s="402"/>
      <c r="V931" s="402"/>
      <c r="W931" s="402"/>
      <c r="X931" s="402"/>
      <c r="Y931" s="402"/>
      <c r="Z931" s="402"/>
    </row>
    <row r="932" ht="14.25" customHeight="1">
      <c r="A932" s="402"/>
      <c r="B932" s="402"/>
      <c r="C932" s="402"/>
      <c r="D932" s="402"/>
      <c r="E932" s="402"/>
      <c r="F932" s="403"/>
      <c r="G932" s="402"/>
      <c r="H932" s="402"/>
      <c r="I932" s="402"/>
      <c r="J932" s="402"/>
      <c r="K932" s="402"/>
      <c r="L932" s="402"/>
      <c r="M932" s="402"/>
      <c r="N932" s="402"/>
      <c r="O932" s="402"/>
      <c r="P932" s="402"/>
      <c r="Q932" s="402"/>
      <c r="R932" s="402"/>
      <c r="S932" s="402"/>
      <c r="T932" s="402"/>
      <c r="U932" s="402"/>
      <c r="V932" s="402"/>
      <c r="W932" s="402"/>
      <c r="X932" s="402"/>
      <c r="Y932" s="402"/>
      <c r="Z932" s="402"/>
    </row>
    <row r="933" ht="14.25" customHeight="1">
      <c r="A933" s="402"/>
      <c r="B933" s="402"/>
      <c r="C933" s="402"/>
      <c r="D933" s="402"/>
      <c r="E933" s="402"/>
      <c r="F933" s="403"/>
      <c r="G933" s="402"/>
      <c r="H933" s="402"/>
      <c r="I933" s="402"/>
      <c r="J933" s="402"/>
      <c r="K933" s="402"/>
      <c r="L933" s="402"/>
      <c r="M933" s="402"/>
      <c r="N933" s="402"/>
      <c r="O933" s="402"/>
      <c r="P933" s="402"/>
      <c r="Q933" s="402"/>
      <c r="R933" s="402"/>
      <c r="S933" s="402"/>
      <c r="T933" s="402"/>
      <c r="U933" s="402"/>
      <c r="V933" s="402"/>
      <c r="W933" s="402"/>
      <c r="X933" s="402"/>
      <c r="Y933" s="402"/>
      <c r="Z933" s="402"/>
    </row>
    <row r="934" ht="14.25" customHeight="1">
      <c r="A934" s="402"/>
      <c r="B934" s="402"/>
      <c r="C934" s="402"/>
      <c r="D934" s="402"/>
      <c r="E934" s="402"/>
      <c r="F934" s="403"/>
      <c r="G934" s="402"/>
      <c r="H934" s="402"/>
      <c r="I934" s="402"/>
      <c r="J934" s="402"/>
      <c r="K934" s="402"/>
      <c r="L934" s="402"/>
      <c r="M934" s="402"/>
      <c r="N934" s="402"/>
      <c r="O934" s="402"/>
      <c r="P934" s="402"/>
      <c r="Q934" s="402"/>
      <c r="R934" s="402"/>
      <c r="S934" s="402"/>
      <c r="T934" s="402"/>
      <c r="U934" s="402"/>
      <c r="V934" s="402"/>
      <c r="W934" s="402"/>
      <c r="X934" s="402"/>
      <c r="Y934" s="402"/>
      <c r="Z934" s="402"/>
    </row>
    <row r="935" ht="14.25" customHeight="1">
      <c r="A935" s="402"/>
      <c r="B935" s="402"/>
      <c r="C935" s="402"/>
      <c r="D935" s="402"/>
      <c r="E935" s="402"/>
      <c r="F935" s="403"/>
      <c r="G935" s="402"/>
      <c r="H935" s="402"/>
      <c r="I935" s="402"/>
      <c r="J935" s="402"/>
      <c r="K935" s="402"/>
      <c r="L935" s="402"/>
      <c r="M935" s="402"/>
      <c r="N935" s="402"/>
      <c r="O935" s="402"/>
      <c r="P935" s="402"/>
      <c r="Q935" s="402"/>
      <c r="R935" s="402"/>
      <c r="S935" s="402"/>
      <c r="T935" s="402"/>
      <c r="U935" s="402"/>
      <c r="V935" s="402"/>
      <c r="W935" s="402"/>
      <c r="X935" s="402"/>
      <c r="Y935" s="402"/>
      <c r="Z935" s="402"/>
    </row>
    <row r="936" ht="14.25" customHeight="1">
      <c r="A936" s="402"/>
      <c r="B936" s="402"/>
      <c r="C936" s="402"/>
      <c r="D936" s="402"/>
      <c r="E936" s="402"/>
      <c r="F936" s="403"/>
      <c r="G936" s="402"/>
      <c r="H936" s="402"/>
      <c r="I936" s="402"/>
      <c r="J936" s="402"/>
      <c r="K936" s="402"/>
      <c r="L936" s="402"/>
      <c r="M936" s="402"/>
      <c r="N936" s="402"/>
      <c r="O936" s="402"/>
      <c r="P936" s="402"/>
      <c r="Q936" s="402"/>
      <c r="R936" s="402"/>
      <c r="S936" s="402"/>
      <c r="T936" s="402"/>
      <c r="U936" s="402"/>
      <c r="V936" s="402"/>
      <c r="W936" s="402"/>
      <c r="X936" s="402"/>
      <c r="Y936" s="402"/>
      <c r="Z936" s="402"/>
    </row>
    <row r="937" ht="14.25" customHeight="1">
      <c r="A937" s="402"/>
      <c r="B937" s="402"/>
      <c r="C937" s="402"/>
      <c r="D937" s="402"/>
      <c r="E937" s="402"/>
      <c r="F937" s="403"/>
      <c r="G937" s="402"/>
      <c r="H937" s="402"/>
      <c r="I937" s="402"/>
      <c r="J937" s="402"/>
      <c r="K937" s="402"/>
      <c r="L937" s="402"/>
      <c r="M937" s="402"/>
      <c r="N937" s="402"/>
      <c r="O937" s="402"/>
      <c r="P937" s="402"/>
      <c r="Q937" s="402"/>
      <c r="R937" s="402"/>
      <c r="S937" s="402"/>
      <c r="T937" s="402"/>
      <c r="U937" s="402"/>
      <c r="V937" s="402"/>
      <c r="W937" s="402"/>
      <c r="X937" s="402"/>
      <c r="Y937" s="402"/>
      <c r="Z937" s="402"/>
    </row>
    <row r="938" ht="14.25" customHeight="1">
      <c r="A938" s="402"/>
      <c r="B938" s="402"/>
      <c r="C938" s="402"/>
      <c r="D938" s="402"/>
      <c r="E938" s="402"/>
      <c r="F938" s="403"/>
      <c r="G938" s="402"/>
      <c r="H938" s="402"/>
      <c r="I938" s="402"/>
      <c r="J938" s="402"/>
      <c r="K938" s="402"/>
      <c r="L938" s="402"/>
      <c r="M938" s="402"/>
      <c r="N938" s="402"/>
      <c r="O938" s="402"/>
      <c r="P938" s="402"/>
      <c r="Q938" s="402"/>
      <c r="R938" s="402"/>
      <c r="S938" s="402"/>
      <c r="T938" s="402"/>
      <c r="U938" s="402"/>
      <c r="V938" s="402"/>
      <c r="W938" s="402"/>
      <c r="X938" s="402"/>
      <c r="Y938" s="402"/>
      <c r="Z938" s="402"/>
    </row>
    <row r="939" ht="14.25" customHeight="1">
      <c r="A939" s="402"/>
      <c r="B939" s="402"/>
      <c r="C939" s="402"/>
      <c r="D939" s="402"/>
      <c r="E939" s="402"/>
      <c r="F939" s="403"/>
      <c r="G939" s="402"/>
      <c r="H939" s="402"/>
      <c r="I939" s="402"/>
      <c r="J939" s="402"/>
      <c r="K939" s="402"/>
      <c r="L939" s="402"/>
      <c r="M939" s="402"/>
      <c r="N939" s="402"/>
      <c r="O939" s="402"/>
      <c r="P939" s="402"/>
      <c r="Q939" s="402"/>
      <c r="R939" s="402"/>
      <c r="S939" s="402"/>
      <c r="T939" s="402"/>
      <c r="U939" s="402"/>
      <c r="V939" s="402"/>
      <c r="W939" s="402"/>
      <c r="X939" s="402"/>
      <c r="Y939" s="402"/>
      <c r="Z939" s="402"/>
    </row>
    <row r="940" ht="14.25" customHeight="1">
      <c r="A940" s="402"/>
      <c r="B940" s="402"/>
      <c r="C940" s="402"/>
      <c r="D940" s="402"/>
      <c r="E940" s="402"/>
      <c r="F940" s="403"/>
      <c r="G940" s="402"/>
      <c r="H940" s="402"/>
      <c r="I940" s="402"/>
      <c r="J940" s="402"/>
      <c r="K940" s="402"/>
      <c r="L940" s="402"/>
      <c r="M940" s="402"/>
      <c r="N940" s="402"/>
      <c r="O940" s="402"/>
      <c r="P940" s="402"/>
      <c r="Q940" s="402"/>
      <c r="R940" s="402"/>
      <c r="S940" s="402"/>
      <c r="T940" s="402"/>
      <c r="U940" s="402"/>
      <c r="V940" s="402"/>
      <c r="W940" s="402"/>
      <c r="X940" s="402"/>
      <c r="Y940" s="402"/>
      <c r="Z940" s="402"/>
    </row>
    <row r="941" ht="14.25" customHeight="1">
      <c r="A941" s="402"/>
      <c r="B941" s="402"/>
      <c r="C941" s="402"/>
      <c r="D941" s="402"/>
      <c r="E941" s="402"/>
      <c r="F941" s="403"/>
      <c r="G941" s="402"/>
      <c r="H941" s="402"/>
      <c r="I941" s="402"/>
      <c r="J941" s="402"/>
      <c r="K941" s="402"/>
      <c r="L941" s="402"/>
      <c r="M941" s="402"/>
      <c r="N941" s="402"/>
      <c r="O941" s="402"/>
      <c r="P941" s="402"/>
      <c r="Q941" s="402"/>
      <c r="R941" s="402"/>
      <c r="S941" s="402"/>
      <c r="T941" s="402"/>
      <c r="U941" s="402"/>
      <c r="V941" s="402"/>
      <c r="W941" s="402"/>
      <c r="X941" s="402"/>
      <c r="Y941" s="402"/>
      <c r="Z941" s="402"/>
    </row>
    <row r="942" ht="14.25" customHeight="1">
      <c r="A942" s="402"/>
      <c r="B942" s="402"/>
      <c r="C942" s="402"/>
      <c r="D942" s="402"/>
      <c r="E942" s="402"/>
      <c r="F942" s="403"/>
      <c r="G942" s="402"/>
      <c r="H942" s="402"/>
      <c r="I942" s="402"/>
      <c r="J942" s="402"/>
      <c r="K942" s="402"/>
      <c r="L942" s="402"/>
      <c r="M942" s="402"/>
      <c r="N942" s="402"/>
      <c r="O942" s="402"/>
      <c r="P942" s="402"/>
      <c r="Q942" s="402"/>
      <c r="R942" s="402"/>
      <c r="S942" s="402"/>
      <c r="T942" s="402"/>
      <c r="U942" s="402"/>
      <c r="V942" s="402"/>
      <c r="W942" s="402"/>
      <c r="X942" s="402"/>
      <c r="Y942" s="402"/>
      <c r="Z942" s="402"/>
    </row>
    <row r="943" ht="14.25" customHeight="1">
      <c r="A943" s="402"/>
      <c r="B943" s="402"/>
      <c r="C943" s="402"/>
      <c r="D943" s="402"/>
      <c r="E943" s="402"/>
      <c r="F943" s="403"/>
      <c r="G943" s="402"/>
      <c r="H943" s="402"/>
      <c r="I943" s="402"/>
      <c r="J943" s="402"/>
      <c r="K943" s="402"/>
      <c r="L943" s="402"/>
      <c r="M943" s="402"/>
      <c r="N943" s="402"/>
      <c r="O943" s="402"/>
      <c r="P943" s="402"/>
      <c r="Q943" s="402"/>
      <c r="R943" s="402"/>
      <c r="S943" s="402"/>
      <c r="T943" s="402"/>
      <c r="U943" s="402"/>
      <c r="V943" s="402"/>
      <c r="W943" s="402"/>
      <c r="X943" s="402"/>
      <c r="Y943" s="402"/>
      <c r="Z943" s="402"/>
    </row>
    <row r="944" ht="14.25" customHeight="1">
      <c r="A944" s="402"/>
      <c r="B944" s="402"/>
      <c r="C944" s="402"/>
      <c r="D944" s="402"/>
      <c r="E944" s="402"/>
      <c r="F944" s="403"/>
      <c r="G944" s="402"/>
      <c r="H944" s="402"/>
      <c r="I944" s="402"/>
      <c r="J944" s="402"/>
      <c r="K944" s="402"/>
      <c r="L944" s="402"/>
      <c r="M944" s="402"/>
      <c r="N944" s="402"/>
      <c r="O944" s="402"/>
      <c r="P944" s="402"/>
      <c r="Q944" s="402"/>
      <c r="R944" s="402"/>
      <c r="S944" s="402"/>
      <c r="T944" s="402"/>
      <c r="U944" s="402"/>
      <c r="V944" s="402"/>
      <c r="W944" s="402"/>
      <c r="X944" s="402"/>
      <c r="Y944" s="402"/>
      <c r="Z944" s="402"/>
    </row>
    <row r="945" ht="14.25" customHeight="1">
      <c r="A945" s="402"/>
      <c r="B945" s="402"/>
      <c r="C945" s="402"/>
      <c r="D945" s="402"/>
      <c r="E945" s="402"/>
      <c r="F945" s="403"/>
      <c r="G945" s="402"/>
      <c r="H945" s="402"/>
      <c r="I945" s="402"/>
      <c r="J945" s="402"/>
      <c r="K945" s="402"/>
      <c r="L945" s="402"/>
      <c r="M945" s="402"/>
      <c r="N945" s="402"/>
      <c r="O945" s="402"/>
      <c r="P945" s="402"/>
      <c r="Q945" s="402"/>
      <c r="R945" s="402"/>
      <c r="S945" s="402"/>
      <c r="T945" s="402"/>
      <c r="U945" s="402"/>
      <c r="V945" s="402"/>
      <c r="W945" s="402"/>
      <c r="X945" s="402"/>
      <c r="Y945" s="402"/>
      <c r="Z945" s="402"/>
    </row>
    <row r="946" ht="14.25" customHeight="1">
      <c r="A946" s="402"/>
      <c r="B946" s="402"/>
      <c r="C946" s="402"/>
      <c r="D946" s="402"/>
      <c r="E946" s="402"/>
      <c r="F946" s="403"/>
      <c r="G946" s="402"/>
      <c r="H946" s="402"/>
      <c r="I946" s="402"/>
      <c r="J946" s="402"/>
      <c r="K946" s="402"/>
      <c r="L946" s="402"/>
      <c r="M946" s="402"/>
      <c r="N946" s="402"/>
      <c r="O946" s="402"/>
      <c r="P946" s="402"/>
      <c r="Q946" s="402"/>
      <c r="R946" s="402"/>
      <c r="S946" s="402"/>
      <c r="T946" s="402"/>
      <c r="U946" s="402"/>
      <c r="V946" s="402"/>
      <c r="W946" s="402"/>
      <c r="X946" s="402"/>
      <c r="Y946" s="402"/>
      <c r="Z946" s="402"/>
    </row>
    <row r="947" ht="14.25" customHeight="1">
      <c r="A947" s="402"/>
      <c r="B947" s="402"/>
      <c r="C947" s="402"/>
      <c r="D947" s="402"/>
      <c r="E947" s="402"/>
      <c r="F947" s="403"/>
      <c r="G947" s="402"/>
      <c r="H947" s="402"/>
      <c r="I947" s="402"/>
      <c r="J947" s="402"/>
      <c r="K947" s="402"/>
      <c r="L947" s="402"/>
      <c r="M947" s="402"/>
      <c r="N947" s="402"/>
      <c r="O947" s="402"/>
      <c r="P947" s="402"/>
      <c r="Q947" s="402"/>
      <c r="R947" s="402"/>
      <c r="S947" s="402"/>
      <c r="T947" s="402"/>
      <c r="U947" s="402"/>
      <c r="V947" s="402"/>
      <c r="W947" s="402"/>
      <c r="X947" s="402"/>
      <c r="Y947" s="402"/>
      <c r="Z947" s="402"/>
    </row>
    <row r="948" ht="14.25" customHeight="1">
      <c r="A948" s="402"/>
      <c r="B948" s="402"/>
      <c r="C948" s="402"/>
      <c r="D948" s="402"/>
      <c r="E948" s="402"/>
      <c r="F948" s="403"/>
      <c r="G948" s="402"/>
      <c r="H948" s="402"/>
      <c r="I948" s="402"/>
      <c r="J948" s="402"/>
      <c r="K948" s="402"/>
      <c r="L948" s="402"/>
      <c r="M948" s="402"/>
      <c r="N948" s="402"/>
      <c r="O948" s="402"/>
      <c r="P948" s="402"/>
      <c r="Q948" s="402"/>
      <c r="R948" s="402"/>
      <c r="S948" s="402"/>
      <c r="T948" s="402"/>
      <c r="U948" s="402"/>
      <c r="V948" s="402"/>
      <c r="W948" s="402"/>
      <c r="X948" s="402"/>
      <c r="Y948" s="402"/>
      <c r="Z948" s="402"/>
    </row>
    <row r="949" ht="14.25" customHeight="1">
      <c r="A949" s="402"/>
      <c r="B949" s="402"/>
      <c r="C949" s="402"/>
      <c r="D949" s="402"/>
      <c r="E949" s="402"/>
      <c r="F949" s="403"/>
      <c r="G949" s="402"/>
      <c r="H949" s="402"/>
      <c r="I949" s="402"/>
      <c r="J949" s="402"/>
      <c r="K949" s="402"/>
      <c r="L949" s="402"/>
      <c r="M949" s="402"/>
      <c r="N949" s="402"/>
      <c r="O949" s="402"/>
      <c r="P949" s="402"/>
      <c r="Q949" s="402"/>
      <c r="R949" s="402"/>
      <c r="S949" s="402"/>
      <c r="T949" s="402"/>
      <c r="U949" s="402"/>
      <c r="V949" s="402"/>
      <c r="W949" s="402"/>
      <c r="X949" s="402"/>
      <c r="Y949" s="402"/>
      <c r="Z949" s="402"/>
    </row>
    <row r="950" ht="14.25" customHeight="1">
      <c r="A950" s="402"/>
      <c r="B950" s="402"/>
      <c r="C950" s="402"/>
      <c r="D950" s="402"/>
      <c r="E950" s="402"/>
      <c r="F950" s="403"/>
      <c r="G950" s="402"/>
      <c r="H950" s="402"/>
      <c r="I950" s="402"/>
      <c r="J950" s="402"/>
      <c r="K950" s="402"/>
      <c r="L950" s="402"/>
      <c r="M950" s="402"/>
      <c r="N950" s="402"/>
      <c r="O950" s="402"/>
      <c r="P950" s="402"/>
      <c r="Q950" s="402"/>
      <c r="R950" s="402"/>
      <c r="S950" s="402"/>
      <c r="T950" s="402"/>
      <c r="U950" s="402"/>
      <c r="V950" s="402"/>
      <c r="W950" s="402"/>
      <c r="X950" s="402"/>
      <c r="Y950" s="402"/>
      <c r="Z950" s="402"/>
    </row>
    <row r="951" ht="14.25" customHeight="1">
      <c r="A951" s="402"/>
      <c r="B951" s="402"/>
      <c r="C951" s="402"/>
      <c r="D951" s="402"/>
      <c r="E951" s="402"/>
      <c r="F951" s="403"/>
      <c r="G951" s="402"/>
      <c r="H951" s="402"/>
      <c r="I951" s="402"/>
      <c r="J951" s="402"/>
      <c r="K951" s="402"/>
      <c r="L951" s="402"/>
      <c r="M951" s="402"/>
      <c r="N951" s="402"/>
      <c r="O951" s="402"/>
      <c r="P951" s="402"/>
      <c r="Q951" s="402"/>
      <c r="R951" s="402"/>
      <c r="S951" s="402"/>
      <c r="T951" s="402"/>
      <c r="U951" s="402"/>
      <c r="V951" s="402"/>
      <c r="W951" s="402"/>
      <c r="X951" s="402"/>
      <c r="Y951" s="402"/>
      <c r="Z951" s="402"/>
    </row>
    <row r="952" ht="14.25" customHeight="1">
      <c r="A952" s="402"/>
      <c r="B952" s="402"/>
      <c r="C952" s="402"/>
      <c r="D952" s="402"/>
      <c r="E952" s="402"/>
      <c r="F952" s="403"/>
      <c r="G952" s="402"/>
      <c r="H952" s="402"/>
      <c r="I952" s="402"/>
      <c r="J952" s="402"/>
      <c r="K952" s="402"/>
      <c r="L952" s="402"/>
      <c r="M952" s="402"/>
      <c r="N952" s="402"/>
      <c r="O952" s="402"/>
      <c r="P952" s="402"/>
      <c r="Q952" s="402"/>
      <c r="R952" s="402"/>
      <c r="S952" s="402"/>
      <c r="T952" s="402"/>
      <c r="U952" s="402"/>
      <c r="V952" s="402"/>
      <c r="W952" s="402"/>
      <c r="X952" s="402"/>
      <c r="Y952" s="402"/>
      <c r="Z952" s="402"/>
    </row>
    <row r="953" ht="14.25" customHeight="1">
      <c r="A953" s="402"/>
      <c r="B953" s="402"/>
      <c r="C953" s="402"/>
      <c r="D953" s="402"/>
      <c r="E953" s="402"/>
      <c r="F953" s="403"/>
      <c r="G953" s="402"/>
      <c r="H953" s="402"/>
      <c r="I953" s="402"/>
      <c r="J953" s="402"/>
      <c r="K953" s="402"/>
      <c r="L953" s="402"/>
      <c r="M953" s="402"/>
      <c r="N953" s="402"/>
      <c r="O953" s="402"/>
      <c r="P953" s="402"/>
      <c r="Q953" s="402"/>
      <c r="R953" s="402"/>
      <c r="S953" s="402"/>
      <c r="T953" s="402"/>
      <c r="U953" s="402"/>
      <c r="V953" s="402"/>
      <c r="W953" s="402"/>
      <c r="X953" s="402"/>
      <c r="Y953" s="402"/>
      <c r="Z953" s="402"/>
    </row>
    <row r="954" ht="14.25" customHeight="1">
      <c r="A954" s="402"/>
      <c r="B954" s="402"/>
      <c r="C954" s="402"/>
      <c r="D954" s="402"/>
      <c r="E954" s="402"/>
      <c r="F954" s="403"/>
      <c r="G954" s="402"/>
      <c r="H954" s="402"/>
      <c r="I954" s="402"/>
      <c r="J954" s="402"/>
      <c r="K954" s="402"/>
      <c r="L954" s="402"/>
      <c r="M954" s="402"/>
      <c r="N954" s="402"/>
      <c r="O954" s="402"/>
      <c r="P954" s="402"/>
      <c r="Q954" s="402"/>
      <c r="R954" s="402"/>
      <c r="S954" s="402"/>
      <c r="T954" s="402"/>
      <c r="U954" s="402"/>
      <c r="V954" s="402"/>
      <c r="W954" s="402"/>
      <c r="X954" s="402"/>
      <c r="Y954" s="402"/>
      <c r="Z954" s="402"/>
    </row>
    <row r="955" ht="14.25" customHeight="1">
      <c r="A955" s="402"/>
      <c r="B955" s="402"/>
      <c r="C955" s="402"/>
      <c r="D955" s="402"/>
      <c r="E955" s="402"/>
      <c r="F955" s="403"/>
      <c r="G955" s="402"/>
      <c r="H955" s="402"/>
      <c r="I955" s="402"/>
      <c r="J955" s="402"/>
      <c r="K955" s="402"/>
      <c r="L955" s="402"/>
      <c r="M955" s="402"/>
      <c r="N955" s="402"/>
      <c r="O955" s="402"/>
      <c r="P955" s="402"/>
      <c r="Q955" s="402"/>
      <c r="R955" s="402"/>
      <c r="S955" s="402"/>
      <c r="T955" s="402"/>
      <c r="U955" s="402"/>
      <c r="V955" s="402"/>
      <c r="W955" s="402"/>
      <c r="X955" s="402"/>
      <c r="Y955" s="402"/>
      <c r="Z955" s="402"/>
    </row>
    <row r="956" ht="14.25" customHeight="1">
      <c r="A956" s="402"/>
      <c r="B956" s="402"/>
      <c r="C956" s="402"/>
      <c r="D956" s="402"/>
      <c r="E956" s="402"/>
      <c r="F956" s="403"/>
      <c r="G956" s="402"/>
      <c r="H956" s="402"/>
      <c r="I956" s="402"/>
      <c r="J956" s="402"/>
      <c r="K956" s="402"/>
      <c r="L956" s="402"/>
      <c r="M956" s="402"/>
      <c r="N956" s="402"/>
      <c r="O956" s="402"/>
      <c r="P956" s="402"/>
      <c r="Q956" s="402"/>
      <c r="R956" s="402"/>
      <c r="S956" s="402"/>
      <c r="T956" s="402"/>
      <c r="U956" s="402"/>
      <c r="V956" s="402"/>
      <c r="W956" s="402"/>
      <c r="X956" s="402"/>
      <c r="Y956" s="402"/>
      <c r="Z956" s="402"/>
    </row>
    <row r="957" ht="14.25" customHeight="1">
      <c r="A957" s="402"/>
      <c r="B957" s="402"/>
      <c r="C957" s="402"/>
      <c r="D957" s="402"/>
      <c r="E957" s="402"/>
      <c r="F957" s="403"/>
      <c r="G957" s="402"/>
      <c r="H957" s="402"/>
      <c r="I957" s="402"/>
      <c r="J957" s="402"/>
      <c r="K957" s="402"/>
      <c r="L957" s="402"/>
      <c r="M957" s="402"/>
      <c r="N957" s="402"/>
      <c r="O957" s="402"/>
      <c r="P957" s="402"/>
      <c r="Q957" s="402"/>
      <c r="R957" s="402"/>
      <c r="S957" s="402"/>
      <c r="T957" s="402"/>
      <c r="U957" s="402"/>
      <c r="V957" s="402"/>
      <c r="W957" s="402"/>
      <c r="X957" s="402"/>
      <c r="Y957" s="402"/>
      <c r="Z957" s="402"/>
    </row>
    <row r="958" ht="14.25" customHeight="1">
      <c r="A958" s="402"/>
      <c r="B958" s="402"/>
      <c r="C958" s="402"/>
      <c r="D958" s="402"/>
      <c r="E958" s="402"/>
      <c r="F958" s="403"/>
      <c r="G958" s="402"/>
      <c r="H958" s="402"/>
      <c r="I958" s="402"/>
      <c r="J958" s="402"/>
      <c r="K958" s="402"/>
      <c r="L958" s="402"/>
      <c r="M958" s="402"/>
      <c r="N958" s="402"/>
      <c r="O958" s="402"/>
      <c r="P958" s="402"/>
      <c r="Q958" s="402"/>
      <c r="R958" s="402"/>
      <c r="S958" s="402"/>
      <c r="T958" s="402"/>
      <c r="U958" s="402"/>
      <c r="V958" s="402"/>
      <c r="W958" s="402"/>
      <c r="X958" s="402"/>
      <c r="Y958" s="402"/>
      <c r="Z958" s="402"/>
    </row>
    <row r="959" ht="14.25" customHeight="1">
      <c r="A959" s="402"/>
      <c r="B959" s="402"/>
      <c r="C959" s="402"/>
      <c r="D959" s="402"/>
      <c r="E959" s="402"/>
      <c r="F959" s="403"/>
      <c r="G959" s="402"/>
      <c r="H959" s="402"/>
      <c r="I959" s="402"/>
      <c r="J959" s="402"/>
      <c r="K959" s="402"/>
      <c r="L959" s="402"/>
      <c r="M959" s="402"/>
      <c r="N959" s="402"/>
      <c r="O959" s="402"/>
      <c r="P959" s="402"/>
      <c r="Q959" s="402"/>
      <c r="R959" s="402"/>
      <c r="S959" s="402"/>
      <c r="T959" s="402"/>
      <c r="U959" s="402"/>
      <c r="V959" s="402"/>
      <c r="W959" s="402"/>
      <c r="X959" s="402"/>
      <c r="Y959" s="402"/>
      <c r="Z959" s="402"/>
    </row>
    <row r="960" ht="14.25" customHeight="1">
      <c r="A960" s="402"/>
      <c r="B960" s="402"/>
      <c r="C960" s="402"/>
      <c r="D960" s="402"/>
      <c r="E960" s="402"/>
      <c r="F960" s="403"/>
      <c r="G960" s="402"/>
      <c r="H960" s="402"/>
      <c r="I960" s="402"/>
      <c r="J960" s="402"/>
      <c r="K960" s="402"/>
      <c r="L960" s="402"/>
      <c r="M960" s="402"/>
      <c r="N960" s="402"/>
      <c r="O960" s="402"/>
      <c r="P960" s="402"/>
      <c r="Q960" s="402"/>
      <c r="R960" s="402"/>
      <c r="S960" s="402"/>
      <c r="T960" s="402"/>
      <c r="U960" s="402"/>
      <c r="V960" s="402"/>
      <c r="W960" s="402"/>
      <c r="X960" s="402"/>
      <c r="Y960" s="402"/>
      <c r="Z960" s="402"/>
    </row>
    <row r="961" ht="14.25" customHeight="1">
      <c r="A961" s="402"/>
      <c r="B961" s="402"/>
      <c r="C961" s="402"/>
      <c r="D961" s="402"/>
      <c r="E961" s="402"/>
      <c r="F961" s="403"/>
      <c r="G961" s="402"/>
      <c r="H961" s="402"/>
      <c r="I961" s="402"/>
      <c r="J961" s="402"/>
      <c r="K961" s="402"/>
      <c r="L961" s="402"/>
      <c r="M961" s="402"/>
      <c r="N961" s="402"/>
      <c r="O961" s="402"/>
      <c r="P961" s="402"/>
      <c r="Q961" s="402"/>
      <c r="R961" s="402"/>
      <c r="S961" s="402"/>
      <c r="T961" s="402"/>
      <c r="U961" s="402"/>
      <c r="V961" s="402"/>
      <c r="W961" s="402"/>
      <c r="X961" s="402"/>
      <c r="Y961" s="402"/>
      <c r="Z961" s="402"/>
    </row>
    <row r="962" ht="14.25" customHeight="1">
      <c r="A962" s="402"/>
      <c r="B962" s="402"/>
      <c r="C962" s="402"/>
      <c r="D962" s="402"/>
      <c r="E962" s="402"/>
      <c r="F962" s="403"/>
      <c r="G962" s="402"/>
      <c r="H962" s="402"/>
      <c r="I962" s="402"/>
      <c r="J962" s="402"/>
      <c r="K962" s="402"/>
      <c r="L962" s="402"/>
      <c r="M962" s="402"/>
      <c r="N962" s="402"/>
      <c r="O962" s="402"/>
      <c r="P962" s="402"/>
      <c r="Q962" s="402"/>
      <c r="R962" s="402"/>
      <c r="S962" s="402"/>
      <c r="T962" s="402"/>
      <c r="U962" s="402"/>
      <c r="V962" s="402"/>
      <c r="W962" s="402"/>
      <c r="X962" s="402"/>
      <c r="Y962" s="402"/>
      <c r="Z962" s="402"/>
    </row>
    <row r="963" ht="14.25" customHeight="1">
      <c r="A963" s="402"/>
      <c r="B963" s="402"/>
      <c r="C963" s="402"/>
      <c r="D963" s="402"/>
      <c r="E963" s="402"/>
      <c r="F963" s="403"/>
      <c r="G963" s="402"/>
      <c r="H963" s="402"/>
      <c r="I963" s="402"/>
      <c r="J963" s="402"/>
      <c r="K963" s="402"/>
      <c r="L963" s="402"/>
      <c r="M963" s="402"/>
      <c r="N963" s="402"/>
      <c r="O963" s="402"/>
      <c r="P963" s="402"/>
      <c r="Q963" s="402"/>
      <c r="R963" s="402"/>
      <c r="S963" s="402"/>
      <c r="T963" s="402"/>
      <c r="U963" s="402"/>
      <c r="V963" s="402"/>
      <c r="W963" s="402"/>
      <c r="X963" s="402"/>
      <c r="Y963" s="402"/>
      <c r="Z963" s="402"/>
    </row>
    <row r="964" ht="14.25" customHeight="1">
      <c r="A964" s="402"/>
      <c r="B964" s="402"/>
      <c r="C964" s="402"/>
      <c r="D964" s="402"/>
      <c r="E964" s="402"/>
      <c r="F964" s="403"/>
      <c r="G964" s="402"/>
      <c r="H964" s="402"/>
      <c r="I964" s="402"/>
      <c r="J964" s="402"/>
      <c r="K964" s="402"/>
      <c r="L964" s="402"/>
      <c r="M964" s="402"/>
      <c r="N964" s="402"/>
      <c r="O964" s="402"/>
      <c r="P964" s="402"/>
      <c r="Q964" s="402"/>
      <c r="R964" s="402"/>
      <c r="S964" s="402"/>
      <c r="T964" s="402"/>
      <c r="U964" s="402"/>
      <c r="V964" s="402"/>
      <c r="W964" s="402"/>
      <c r="X964" s="402"/>
      <c r="Y964" s="402"/>
      <c r="Z964" s="402"/>
    </row>
    <row r="965" ht="14.25" customHeight="1">
      <c r="A965" s="402"/>
      <c r="B965" s="402"/>
      <c r="C965" s="402"/>
      <c r="D965" s="402"/>
      <c r="E965" s="402"/>
      <c r="F965" s="403"/>
      <c r="G965" s="402"/>
      <c r="H965" s="402"/>
      <c r="I965" s="402"/>
      <c r="J965" s="402"/>
      <c r="K965" s="402"/>
      <c r="L965" s="402"/>
      <c r="M965" s="402"/>
      <c r="N965" s="402"/>
      <c r="O965" s="402"/>
      <c r="P965" s="402"/>
      <c r="Q965" s="402"/>
      <c r="R965" s="402"/>
      <c r="S965" s="402"/>
      <c r="T965" s="402"/>
      <c r="U965" s="402"/>
      <c r="V965" s="402"/>
      <c r="W965" s="402"/>
      <c r="X965" s="402"/>
      <c r="Y965" s="402"/>
      <c r="Z965" s="402"/>
    </row>
    <row r="966" ht="14.25" customHeight="1">
      <c r="A966" s="402"/>
      <c r="B966" s="402"/>
      <c r="C966" s="402"/>
      <c r="D966" s="402"/>
      <c r="E966" s="402"/>
      <c r="F966" s="403"/>
      <c r="G966" s="402"/>
      <c r="H966" s="402"/>
      <c r="I966" s="402"/>
      <c r="J966" s="402"/>
      <c r="K966" s="402"/>
      <c r="L966" s="402"/>
      <c r="M966" s="402"/>
      <c r="N966" s="402"/>
      <c r="O966" s="402"/>
      <c r="P966" s="402"/>
      <c r="Q966" s="402"/>
      <c r="R966" s="402"/>
      <c r="S966" s="402"/>
      <c r="T966" s="402"/>
      <c r="U966" s="402"/>
      <c r="V966" s="402"/>
      <c r="W966" s="402"/>
      <c r="X966" s="402"/>
      <c r="Y966" s="402"/>
      <c r="Z966" s="402"/>
    </row>
    <row r="967" ht="14.25" customHeight="1">
      <c r="A967" s="402"/>
      <c r="B967" s="402"/>
      <c r="C967" s="402"/>
      <c r="D967" s="402"/>
      <c r="E967" s="402"/>
      <c r="F967" s="403"/>
      <c r="G967" s="402"/>
      <c r="H967" s="402"/>
      <c r="I967" s="402"/>
      <c r="J967" s="402"/>
      <c r="K967" s="402"/>
      <c r="L967" s="402"/>
      <c r="M967" s="402"/>
      <c r="N967" s="402"/>
      <c r="O967" s="402"/>
      <c r="P967" s="402"/>
      <c r="Q967" s="402"/>
      <c r="R967" s="402"/>
      <c r="S967" s="402"/>
      <c r="T967" s="402"/>
      <c r="U967" s="402"/>
      <c r="V967" s="402"/>
      <c r="W967" s="402"/>
      <c r="X967" s="402"/>
      <c r="Y967" s="402"/>
      <c r="Z967" s="402"/>
    </row>
    <row r="968" ht="14.25" customHeight="1">
      <c r="A968" s="402"/>
      <c r="B968" s="402"/>
      <c r="C968" s="402"/>
      <c r="D968" s="402"/>
      <c r="E968" s="402"/>
      <c r="F968" s="403"/>
      <c r="G968" s="402"/>
      <c r="H968" s="402"/>
      <c r="I968" s="402"/>
      <c r="J968" s="402"/>
      <c r="K968" s="402"/>
      <c r="L968" s="402"/>
      <c r="M968" s="402"/>
      <c r="N968" s="402"/>
      <c r="O968" s="402"/>
      <c r="P968" s="402"/>
      <c r="Q968" s="402"/>
      <c r="R968" s="402"/>
      <c r="S968" s="402"/>
      <c r="T968" s="402"/>
      <c r="U968" s="402"/>
      <c r="V968" s="402"/>
      <c r="W968" s="402"/>
      <c r="X968" s="402"/>
      <c r="Y968" s="402"/>
      <c r="Z968" s="402"/>
    </row>
    <row r="969" ht="14.25" customHeight="1">
      <c r="A969" s="402"/>
      <c r="B969" s="402"/>
      <c r="C969" s="402"/>
      <c r="D969" s="402"/>
      <c r="E969" s="402"/>
      <c r="F969" s="403"/>
      <c r="G969" s="402"/>
      <c r="H969" s="402"/>
      <c r="I969" s="402"/>
      <c r="J969" s="402"/>
      <c r="K969" s="402"/>
      <c r="L969" s="402"/>
      <c r="M969" s="402"/>
      <c r="N969" s="402"/>
      <c r="O969" s="402"/>
      <c r="P969" s="402"/>
      <c r="Q969" s="402"/>
      <c r="R969" s="402"/>
      <c r="S969" s="402"/>
      <c r="T969" s="402"/>
      <c r="U969" s="402"/>
      <c r="V969" s="402"/>
      <c r="W969" s="402"/>
      <c r="X969" s="402"/>
      <c r="Y969" s="402"/>
      <c r="Z969" s="402"/>
    </row>
    <row r="970" ht="14.25" customHeight="1">
      <c r="A970" s="402"/>
      <c r="B970" s="402"/>
      <c r="C970" s="402"/>
      <c r="D970" s="402"/>
      <c r="E970" s="402"/>
      <c r="F970" s="403"/>
      <c r="G970" s="402"/>
      <c r="H970" s="402"/>
      <c r="I970" s="402"/>
      <c r="J970" s="402"/>
      <c r="K970" s="402"/>
      <c r="L970" s="402"/>
      <c r="M970" s="402"/>
      <c r="N970" s="402"/>
      <c r="O970" s="402"/>
      <c r="P970" s="402"/>
      <c r="Q970" s="402"/>
      <c r="R970" s="402"/>
      <c r="S970" s="402"/>
      <c r="T970" s="402"/>
      <c r="U970" s="402"/>
      <c r="V970" s="402"/>
      <c r="W970" s="402"/>
      <c r="X970" s="402"/>
      <c r="Y970" s="402"/>
      <c r="Z970" s="402"/>
    </row>
    <row r="971" ht="14.25" customHeight="1">
      <c r="A971" s="402"/>
      <c r="B971" s="402"/>
      <c r="C971" s="402"/>
      <c r="D971" s="402"/>
      <c r="E971" s="402"/>
      <c r="F971" s="403"/>
      <c r="G971" s="402"/>
      <c r="H971" s="402"/>
      <c r="I971" s="402"/>
      <c r="J971" s="402"/>
      <c r="K971" s="402"/>
      <c r="L971" s="402"/>
      <c r="M971" s="402"/>
      <c r="N971" s="402"/>
      <c r="O971" s="402"/>
      <c r="P971" s="402"/>
      <c r="Q971" s="402"/>
      <c r="R971" s="402"/>
      <c r="S971" s="402"/>
      <c r="T971" s="402"/>
      <c r="U971" s="402"/>
      <c r="V971" s="402"/>
      <c r="W971" s="402"/>
      <c r="X971" s="402"/>
      <c r="Y971" s="402"/>
      <c r="Z971" s="402"/>
    </row>
    <row r="972" ht="14.25" customHeight="1">
      <c r="A972" s="402"/>
      <c r="B972" s="402"/>
      <c r="C972" s="402"/>
      <c r="D972" s="402"/>
      <c r="E972" s="402"/>
      <c r="F972" s="403"/>
      <c r="G972" s="402"/>
      <c r="H972" s="402"/>
      <c r="I972" s="402"/>
      <c r="J972" s="402"/>
      <c r="K972" s="402"/>
      <c r="L972" s="402"/>
      <c r="M972" s="402"/>
      <c r="N972" s="402"/>
      <c r="O972" s="402"/>
      <c r="P972" s="402"/>
      <c r="Q972" s="402"/>
      <c r="R972" s="402"/>
      <c r="S972" s="402"/>
      <c r="T972" s="402"/>
      <c r="U972" s="402"/>
      <c r="V972" s="402"/>
      <c r="W972" s="402"/>
      <c r="X972" s="402"/>
      <c r="Y972" s="402"/>
      <c r="Z972" s="402"/>
    </row>
    <row r="973" ht="14.25" customHeight="1">
      <c r="A973" s="402"/>
      <c r="B973" s="402"/>
      <c r="C973" s="402"/>
      <c r="D973" s="402"/>
      <c r="E973" s="402"/>
      <c r="F973" s="403"/>
      <c r="G973" s="402"/>
      <c r="H973" s="402"/>
      <c r="I973" s="402"/>
      <c r="J973" s="402"/>
      <c r="K973" s="402"/>
      <c r="L973" s="402"/>
      <c r="M973" s="402"/>
      <c r="N973" s="402"/>
      <c r="O973" s="402"/>
      <c r="P973" s="402"/>
      <c r="Q973" s="402"/>
      <c r="R973" s="402"/>
      <c r="S973" s="402"/>
      <c r="T973" s="402"/>
      <c r="U973" s="402"/>
      <c r="V973" s="402"/>
      <c r="W973" s="402"/>
      <c r="X973" s="402"/>
      <c r="Y973" s="402"/>
      <c r="Z973" s="402"/>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29"/>
    <col customWidth="1" min="2" max="2" width="16.71"/>
    <col customWidth="1" min="3" max="3" width="43.57"/>
    <col customWidth="1" min="4" max="4" width="21.14"/>
    <col customWidth="1" min="5" max="5" width="16.57"/>
    <col customWidth="1" min="6" max="6" width="21.29"/>
    <col customWidth="1" min="7" max="7" width="16.29"/>
    <col customWidth="1" min="8" max="8" width="39.71"/>
    <col customWidth="1" min="9" max="9" width="32.71"/>
    <col customWidth="1" min="10" max="26" width="8.71"/>
  </cols>
  <sheetData>
    <row r="1" ht="14.25" customHeight="1">
      <c r="A1" s="424">
        <v>2700.0</v>
      </c>
      <c r="B1" s="861" t="s">
        <v>4766</v>
      </c>
      <c r="C1" s="584" t="s">
        <v>48</v>
      </c>
      <c r="D1" s="584" t="s">
        <v>49</v>
      </c>
      <c r="E1" s="862" t="s">
        <v>50</v>
      </c>
      <c r="F1" s="585" t="s">
        <v>2</v>
      </c>
      <c r="G1" s="586" t="s">
        <v>44</v>
      </c>
      <c r="H1" s="584" t="s">
        <v>45</v>
      </c>
      <c r="I1" s="584"/>
      <c r="J1" s="584"/>
      <c r="K1" s="584"/>
      <c r="L1" s="584"/>
      <c r="M1" s="584"/>
      <c r="N1" s="584"/>
      <c r="O1" s="584"/>
      <c r="P1" s="584"/>
      <c r="Q1" s="584"/>
      <c r="R1" s="584"/>
      <c r="S1" s="584"/>
      <c r="T1" s="584"/>
      <c r="U1" s="584"/>
      <c r="V1" s="584"/>
      <c r="W1" s="584"/>
      <c r="X1" s="584"/>
      <c r="Y1" s="584"/>
      <c r="Z1" s="584"/>
    </row>
    <row r="2" ht="14.25" customHeight="1">
      <c r="A2" s="763">
        <v>45495.0</v>
      </c>
      <c r="B2" s="863" t="s">
        <v>4767</v>
      </c>
      <c r="C2" s="863" t="s">
        <v>4768</v>
      </c>
      <c r="D2" s="864" t="s">
        <v>59</v>
      </c>
      <c r="E2" s="689" t="s">
        <v>4769</v>
      </c>
      <c r="F2" s="865">
        <v>71085.16</v>
      </c>
      <c r="G2" s="403"/>
      <c r="H2" s="349" t="s">
        <v>2263</v>
      </c>
      <c r="I2" s="866" t="str">
        <f t="shared" ref="I2:I38" si="1">IF(G2&gt;=F2,"FULLY PAID",IF(G2=0,"NOT PAID","PARTIALLY PAID"))</f>
        <v>NOT PAID</v>
      </c>
      <c r="J2" s="402"/>
      <c r="K2" s="402"/>
      <c r="L2" s="402"/>
      <c r="M2" s="402"/>
      <c r="N2" s="402"/>
      <c r="O2" s="402"/>
      <c r="P2" s="402"/>
      <c r="Q2" s="402"/>
      <c r="R2" s="402"/>
      <c r="S2" s="402"/>
      <c r="T2" s="402"/>
      <c r="U2" s="402"/>
      <c r="V2" s="402"/>
      <c r="W2" s="402"/>
      <c r="X2" s="402"/>
      <c r="Y2" s="402"/>
      <c r="Z2" s="402"/>
    </row>
    <row r="3" ht="14.25" customHeight="1">
      <c r="A3" s="763">
        <v>45495.0</v>
      </c>
      <c r="B3" s="863" t="s">
        <v>4770</v>
      </c>
      <c r="C3" s="863" t="s">
        <v>4771</v>
      </c>
      <c r="D3" s="867" t="s">
        <v>263</v>
      </c>
      <c r="E3" s="689" t="s">
        <v>4772</v>
      </c>
      <c r="F3" s="865">
        <v>280.14</v>
      </c>
      <c r="G3" s="413">
        <v>300.0</v>
      </c>
      <c r="H3" s="349" t="s">
        <v>772</v>
      </c>
      <c r="I3" s="866" t="str">
        <f t="shared" si="1"/>
        <v>FULLY PAID</v>
      </c>
      <c r="J3" s="402"/>
      <c r="K3" s="402"/>
      <c r="L3" s="402"/>
      <c r="M3" s="402"/>
      <c r="N3" s="402"/>
      <c r="O3" s="402"/>
      <c r="P3" s="402"/>
      <c r="Q3" s="402"/>
      <c r="R3" s="402"/>
      <c r="S3" s="402"/>
      <c r="T3" s="402"/>
      <c r="U3" s="402"/>
      <c r="V3" s="402"/>
      <c r="W3" s="402"/>
      <c r="X3" s="402"/>
      <c r="Y3" s="402"/>
      <c r="Z3" s="402"/>
    </row>
    <row r="4" ht="14.25" customHeight="1">
      <c r="A4" s="763">
        <v>45495.0</v>
      </c>
      <c r="B4" s="863" t="s">
        <v>4773</v>
      </c>
      <c r="C4" s="863" t="s">
        <v>4774</v>
      </c>
      <c r="D4" s="867" t="s">
        <v>54</v>
      </c>
      <c r="E4" s="689" t="s">
        <v>4772</v>
      </c>
      <c r="F4" s="865">
        <v>806.19</v>
      </c>
      <c r="G4" s="403"/>
      <c r="H4" s="349" t="s">
        <v>2263</v>
      </c>
      <c r="I4" s="866" t="str">
        <f t="shared" si="1"/>
        <v>NOT PAID</v>
      </c>
      <c r="J4" s="402"/>
      <c r="K4" s="402"/>
      <c r="L4" s="402"/>
      <c r="M4" s="402"/>
      <c r="N4" s="402"/>
      <c r="O4" s="402"/>
      <c r="P4" s="402"/>
      <c r="Q4" s="402"/>
      <c r="R4" s="402"/>
      <c r="S4" s="402"/>
      <c r="T4" s="402"/>
      <c r="U4" s="402"/>
      <c r="V4" s="402"/>
      <c r="W4" s="402"/>
      <c r="X4" s="402"/>
      <c r="Y4" s="402"/>
      <c r="Z4" s="402"/>
    </row>
    <row r="5" ht="14.25" customHeight="1">
      <c r="A5" s="763">
        <v>45495.0</v>
      </c>
      <c r="B5" s="863" t="s">
        <v>4775</v>
      </c>
      <c r="C5" s="863" t="s">
        <v>4776</v>
      </c>
      <c r="D5" s="864" t="s">
        <v>59</v>
      </c>
      <c r="E5" s="689" t="s">
        <v>4769</v>
      </c>
      <c r="F5" s="865">
        <v>148012.14</v>
      </c>
      <c r="G5" s="403"/>
      <c r="H5" s="349" t="s">
        <v>2263</v>
      </c>
      <c r="I5" s="866" t="str">
        <f t="shared" si="1"/>
        <v>NOT PAID</v>
      </c>
      <c r="J5" s="402"/>
      <c r="K5" s="402"/>
      <c r="L5" s="402"/>
      <c r="M5" s="402"/>
      <c r="N5" s="402"/>
      <c r="O5" s="402"/>
      <c r="P5" s="402"/>
      <c r="Q5" s="402"/>
      <c r="R5" s="402"/>
      <c r="S5" s="402"/>
      <c r="T5" s="402"/>
      <c r="U5" s="402"/>
      <c r="V5" s="402"/>
      <c r="W5" s="402"/>
      <c r="X5" s="402"/>
      <c r="Y5" s="402"/>
      <c r="Z5" s="402"/>
    </row>
    <row r="6" ht="14.25" customHeight="1">
      <c r="A6" s="763">
        <v>45495.0</v>
      </c>
      <c r="B6" s="863" t="s">
        <v>4777</v>
      </c>
      <c r="C6" s="863" t="s">
        <v>4778</v>
      </c>
      <c r="D6" s="864" t="s">
        <v>54</v>
      </c>
      <c r="E6" s="689" t="s">
        <v>4772</v>
      </c>
      <c r="F6" s="865">
        <v>1196.48</v>
      </c>
      <c r="G6" s="403"/>
      <c r="H6" s="349" t="s">
        <v>2263</v>
      </c>
      <c r="I6" s="866" t="str">
        <f t="shared" si="1"/>
        <v>NOT PAID</v>
      </c>
      <c r="J6" s="402"/>
      <c r="K6" s="402"/>
      <c r="L6" s="402"/>
      <c r="M6" s="402"/>
      <c r="N6" s="402"/>
      <c r="O6" s="402"/>
      <c r="P6" s="402"/>
      <c r="Q6" s="402"/>
      <c r="R6" s="402"/>
      <c r="S6" s="402"/>
      <c r="T6" s="402"/>
      <c r="U6" s="402"/>
      <c r="V6" s="402"/>
      <c r="W6" s="402"/>
      <c r="X6" s="402"/>
      <c r="Y6" s="402"/>
      <c r="Z6" s="402"/>
    </row>
    <row r="7" ht="14.25" customHeight="1">
      <c r="A7" s="763">
        <v>45495.0</v>
      </c>
      <c r="B7" s="863" t="s">
        <v>4779</v>
      </c>
      <c r="C7" s="863" t="s">
        <v>4780</v>
      </c>
      <c r="D7" s="864" t="s">
        <v>54</v>
      </c>
      <c r="E7" s="689" t="s">
        <v>4772</v>
      </c>
      <c r="F7" s="865">
        <v>2682.6</v>
      </c>
      <c r="G7" s="403"/>
      <c r="H7" s="349" t="s">
        <v>2263</v>
      </c>
      <c r="I7" s="866" t="str">
        <f t="shared" si="1"/>
        <v>NOT PAID</v>
      </c>
      <c r="J7" s="402"/>
      <c r="K7" s="402"/>
      <c r="L7" s="402"/>
      <c r="M7" s="402"/>
      <c r="N7" s="402"/>
      <c r="O7" s="402"/>
      <c r="P7" s="402"/>
      <c r="Q7" s="402"/>
      <c r="R7" s="402"/>
      <c r="S7" s="402"/>
      <c r="T7" s="402"/>
      <c r="U7" s="402"/>
      <c r="V7" s="402"/>
      <c r="W7" s="402"/>
      <c r="X7" s="402"/>
      <c r="Y7" s="402"/>
      <c r="Z7" s="402"/>
    </row>
    <row r="8" ht="14.25" customHeight="1">
      <c r="A8" s="763">
        <v>45495.0</v>
      </c>
      <c r="B8" s="863" t="s">
        <v>4781</v>
      </c>
      <c r="C8" s="863" t="s">
        <v>4782</v>
      </c>
      <c r="D8" s="864" t="s">
        <v>54</v>
      </c>
      <c r="E8" s="689" t="s">
        <v>4772</v>
      </c>
      <c r="F8" s="865">
        <v>55572.78</v>
      </c>
      <c r="G8" s="403"/>
      <c r="H8" s="349" t="s">
        <v>2263</v>
      </c>
      <c r="I8" s="866" t="str">
        <f t="shared" si="1"/>
        <v>NOT PAID</v>
      </c>
      <c r="J8" s="402"/>
      <c r="K8" s="402"/>
      <c r="L8" s="402"/>
      <c r="M8" s="402"/>
      <c r="N8" s="402"/>
      <c r="O8" s="402"/>
      <c r="P8" s="402"/>
      <c r="Q8" s="402"/>
      <c r="R8" s="402"/>
      <c r="S8" s="402"/>
      <c r="T8" s="402"/>
      <c r="U8" s="402"/>
      <c r="V8" s="402"/>
      <c r="W8" s="402"/>
      <c r="X8" s="402"/>
      <c r="Y8" s="402"/>
      <c r="Z8" s="402"/>
    </row>
    <row r="9" ht="14.25" customHeight="1">
      <c r="A9" s="763">
        <v>45495.0</v>
      </c>
      <c r="B9" s="863" t="s">
        <v>4783</v>
      </c>
      <c r="C9" s="863" t="s">
        <v>4784</v>
      </c>
      <c r="D9" s="864" t="s">
        <v>54</v>
      </c>
      <c r="E9" s="689" t="s">
        <v>4769</v>
      </c>
      <c r="F9" s="865">
        <v>8290.94</v>
      </c>
      <c r="G9" s="403"/>
      <c r="H9" s="349" t="s">
        <v>4655</v>
      </c>
      <c r="I9" s="866" t="str">
        <f t="shared" si="1"/>
        <v>NOT PAID</v>
      </c>
      <c r="J9" s="402"/>
      <c r="K9" s="402"/>
      <c r="L9" s="402"/>
      <c r="M9" s="402"/>
      <c r="N9" s="402"/>
      <c r="O9" s="402"/>
      <c r="P9" s="402"/>
      <c r="Q9" s="402"/>
      <c r="R9" s="402"/>
      <c r="S9" s="402"/>
      <c r="T9" s="402"/>
      <c r="U9" s="402"/>
      <c r="V9" s="402"/>
      <c r="W9" s="402"/>
      <c r="X9" s="402"/>
      <c r="Y9" s="402"/>
      <c r="Z9" s="402"/>
    </row>
    <row r="10" ht="14.25" customHeight="1">
      <c r="A10" s="763">
        <v>45495.0</v>
      </c>
      <c r="B10" s="863" t="s">
        <v>4785</v>
      </c>
      <c r="C10" s="863" t="s">
        <v>4786</v>
      </c>
      <c r="D10" s="864" t="s">
        <v>54</v>
      </c>
      <c r="E10" s="689" t="s">
        <v>4769</v>
      </c>
      <c r="F10" s="865">
        <v>45327.03</v>
      </c>
      <c r="G10" s="403"/>
      <c r="H10" s="349" t="s">
        <v>2263</v>
      </c>
      <c r="I10" s="866" t="str">
        <f t="shared" si="1"/>
        <v>NOT PAID</v>
      </c>
      <c r="J10" s="402"/>
      <c r="K10" s="402"/>
      <c r="L10" s="402"/>
      <c r="M10" s="402"/>
      <c r="N10" s="402"/>
      <c r="O10" s="402"/>
      <c r="P10" s="402"/>
      <c r="Q10" s="402"/>
      <c r="R10" s="402"/>
      <c r="S10" s="402"/>
      <c r="T10" s="402"/>
      <c r="U10" s="402"/>
      <c r="V10" s="402"/>
      <c r="W10" s="402"/>
      <c r="X10" s="402"/>
      <c r="Y10" s="402"/>
      <c r="Z10" s="402"/>
    </row>
    <row r="11" ht="14.25" customHeight="1">
      <c r="A11" s="763">
        <v>45495.0</v>
      </c>
      <c r="B11" s="863" t="s">
        <v>4787</v>
      </c>
      <c r="C11" s="863" t="s">
        <v>4788</v>
      </c>
      <c r="D11" s="864" t="s">
        <v>54</v>
      </c>
      <c r="E11" s="689" t="s">
        <v>4769</v>
      </c>
      <c r="F11" s="865">
        <v>5101.86</v>
      </c>
      <c r="G11" s="403"/>
      <c r="H11" s="349" t="s">
        <v>2263</v>
      </c>
      <c r="I11" s="866" t="str">
        <f t="shared" si="1"/>
        <v>NOT PAID</v>
      </c>
      <c r="J11" s="402"/>
      <c r="K11" s="402"/>
      <c r="L11" s="402"/>
      <c r="M11" s="402"/>
      <c r="N11" s="402"/>
      <c r="O11" s="402"/>
      <c r="P11" s="402"/>
      <c r="Q11" s="402"/>
      <c r="R11" s="402"/>
      <c r="S11" s="402"/>
      <c r="T11" s="402"/>
      <c r="U11" s="402"/>
      <c r="V11" s="402"/>
      <c r="W11" s="402"/>
      <c r="X11" s="402"/>
      <c r="Y11" s="402"/>
      <c r="Z11" s="402"/>
    </row>
    <row r="12" ht="14.25" customHeight="1">
      <c r="A12" s="763">
        <v>45495.0</v>
      </c>
      <c r="B12" s="863" t="s">
        <v>4789</v>
      </c>
      <c r="C12" s="863" t="s">
        <v>4790</v>
      </c>
      <c r="D12" s="864" t="s">
        <v>59</v>
      </c>
      <c r="E12" s="689" t="s">
        <v>4769</v>
      </c>
      <c r="F12" s="865">
        <v>65306.8</v>
      </c>
      <c r="G12" s="403"/>
      <c r="H12" s="349" t="s">
        <v>2263</v>
      </c>
      <c r="I12" s="866" t="str">
        <f t="shared" si="1"/>
        <v>NOT PAID</v>
      </c>
      <c r="J12" s="402"/>
      <c r="K12" s="402"/>
      <c r="L12" s="402"/>
      <c r="M12" s="402"/>
      <c r="N12" s="402"/>
      <c r="O12" s="402"/>
      <c r="P12" s="402"/>
      <c r="Q12" s="402"/>
      <c r="R12" s="402"/>
      <c r="S12" s="402"/>
      <c r="T12" s="402"/>
      <c r="U12" s="402"/>
      <c r="V12" s="402"/>
      <c r="W12" s="402"/>
      <c r="X12" s="402"/>
      <c r="Y12" s="402"/>
      <c r="Z12" s="402"/>
    </row>
    <row r="13" ht="14.25" customHeight="1">
      <c r="A13" s="763">
        <v>45495.0</v>
      </c>
      <c r="B13" s="863" t="s">
        <v>4791</v>
      </c>
      <c r="C13" s="863" t="s">
        <v>4792</v>
      </c>
      <c r="D13" s="864" t="s">
        <v>54</v>
      </c>
      <c r="E13" s="689" t="s">
        <v>4769</v>
      </c>
      <c r="F13" s="865">
        <v>3232.66</v>
      </c>
      <c r="G13" s="403"/>
      <c r="H13" s="349" t="s">
        <v>2263</v>
      </c>
      <c r="I13" s="866" t="str">
        <f t="shared" si="1"/>
        <v>NOT PAID</v>
      </c>
      <c r="J13" s="402"/>
      <c r="K13" s="402"/>
      <c r="L13" s="402"/>
      <c r="M13" s="402"/>
      <c r="N13" s="402"/>
      <c r="O13" s="402"/>
      <c r="P13" s="402"/>
      <c r="Q13" s="402"/>
      <c r="R13" s="402"/>
      <c r="S13" s="402"/>
      <c r="T13" s="402"/>
      <c r="U13" s="402"/>
      <c r="V13" s="402"/>
      <c r="W13" s="402"/>
      <c r="X13" s="402"/>
      <c r="Y13" s="402"/>
      <c r="Z13" s="402"/>
    </row>
    <row r="14" ht="14.25" customHeight="1">
      <c r="A14" s="763">
        <v>45495.0</v>
      </c>
      <c r="B14" s="863" t="s">
        <v>4793</v>
      </c>
      <c r="C14" s="863" t="s">
        <v>4794</v>
      </c>
      <c r="D14" s="867" t="s">
        <v>54</v>
      </c>
      <c r="E14" s="689" t="s">
        <v>4769</v>
      </c>
      <c r="F14" s="865">
        <v>192.85</v>
      </c>
      <c r="G14" s="403"/>
      <c r="H14" s="349" t="s">
        <v>2263</v>
      </c>
      <c r="I14" s="866" t="str">
        <f t="shared" si="1"/>
        <v>NOT PAID</v>
      </c>
      <c r="J14" s="402"/>
      <c r="K14" s="402"/>
      <c r="L14" s="402"/>
      <c r="M14" s="402"/>
      <c r="N14" s="402"/>
      <c r="O14" s="402"/>
      <c r="P14" s="402"/>
      <c r="Q14" s="402"/>
      <c r="R14" s="402"/>
      <c r="S14" s="402"/>
      <c r="T14" s="402"/>
      <c r="U14" s="402"/>
      <c r="V14" s="402"/>
      <c r="W14" s="402"/>
      <c r="X14" s="402"/>
      <c r="Y14" s="402"/>
      <c r="Z14" s="402"/>
    </row>
    <row r="15" ht="14.25" customHeight="1">
      <c r="A15" s="763">
        <v>45495.0</v>
      </c>
      <c r="B15" s="863" t="s">
        <v>4795</v>
      </c>
      <c r="C15" s="863" t="s">
        <v>4796</v>
      </c>
      <c r="D15" s="864" t="s">
        <v>54</v>
      </c>
      <c r="E15" s="689" t="s">
        <v>4769</v>
      </c>
      <c r="F15" s="865">
        <v>21342.75</v>
      </c>
      <c r="G15" s="403"/>
      <c r="H15" s="349" t="s">
        <v>2263</v>
      </c>
      <c r="I15" s="866" t="str">
        <f t="shared" si="1"/>
        <v>NOT PAID</v>
      </c>
      <c r="J15" s="402"/>
      <c r="K15" s="402"/>
      <c r="L15" s="402"/>
      <c r="M15" s="402"/>
      <c r="N15" s="402"/>
      <c r="O15" s="402"/>
      <c r="P15" s="402"/>
      <c r="Q15" s="402"/>
      <c r="R15" s="402"/>
      <c r="S15" s="402"/>
      <c r="T15" s="402"/>
      <c r="U15" s="402"/>
      <c r="V15" s="402"/>
      <c r="W15" s="402"/>
      <c r="X15" s="402"/>
      <c r="Y15" s="402"/>
      <c r="Z15" s="402"/>
    </row>
    <row r="16" ht="14.25" customHeight="1">
      <c r="A16" s="763">
        <v>45495.0</v>
      </c>
      <c r="B16" s="863" t="s">
        <v>4797</v>
      </c>
      <c r="C16" s="863" t="s">
        <v>4798</v>
      </c>
      <c r="D16" s="864" t="s">
        <v>54</v>
      </c>
      <c r="E16" s="689" t="s">
        <v>4769</v>
      </c>
      <c r="F16" s="865">
        <v>60620.91</v>
      </c>
      <c r="G16" s="403"/>
      <c r="H16" s="349" t="s">
        <v>4799</v>
      </c>
      <c r="I16" s="866" t="str">
        <f t="shared" si="1"/>
        <v>NOT PAID</v>
      </c>
      <c r="J16" s="402"/>
      <c r="K16" s="402"/>
      <c r="L16" s="402"/>
      <c r="M16" s="402"/>
      <c r="N16" s="402"/>
      <c r="O16" s="402"/>
      <c r="P16" s="402"/>
      <c r="Q16" s="402"/>
      <c r="R16" s="402"/>
      <c r="S16" s="402"/>
      <c r="T16" s="402"/>
      <c r="U16" s="402"/>
      <c r="V16" s="402"/>
      <c r="W16" s="402"/>
      <c r="X16" s="402"/>
      <c r="Y16" s="402"/>
      <c r="Z16" s="402"/>
    </row>
    <row r="17" ht="14.25" customHeight="1">
      <c r="A17" s="763">
        <v>45495.0</v>
      </c>
      <c r="B17" s="863" t="s">
        <v>4800</v>
      </c>
      <c r="C17" s="863" t="s">
        <v>4801</v>
      </c>
      <c r="D17" s="864" t="s">
        <v>59</v>
      </c>
      <c r="E17" s="689" t="s">
        <v>4772</v>
      </c>
      <c r="F17" s="865">
        <v>195465.41</v>
      </c>
      <c r="G17" s="403"/>
      <c r="H17" s="349" t="s">
        <v>4802</v>
      </c>
      <c r="I17" s="866" t="str">
        <f t="shared" si="1"/>
        <v>NOT PAID</v>
      </c>
      <c r="J17" s="402"/>
      <c r="K17" s="402"/>
      <c r="L17" s="402"/>
      <c r="M17" s="402"/>
      <c r="N17" s="402"/>
      <c r="O17" s="402"/>
      <c r="P17" s="402"/>
      <c r="Q17" s="402"/>
      <c r="R17" s="402"/>
      <c r="S17" s="402"/>
      <c r="T17" s="402"/>
      <c r="U17" s="402"/>
      <c r="V17" s="402"/>
      <c r="W17" s="402"/>
      <c r="X17" s="402"/>
      <c r="Y17" s="402"/>
      <c r="Z17" s="402"/>
    </row>
    <row r="18" ht="14.25" customHeight="1">
      <c r="A18" s="763">
        <v>45495.0</v>
      </c>
      <c r="B18" s="863" t="s">
        <v>4803</v>
      </c>
      <c r="C18" s="863" t="s">
        <v>4804</v>
      </c>
      <c r="D18" s="864" t="s">
        <v>54</v>
      </c>
      <c r="E18" s="689" t="s">
        <v>4772</v>
      </c>
      <c r="F18" s="865">
        <v>27230.76</v>
      </c>
      <c r="G18" s="403"/>
      <c r="H18" s="349" t="s">
        <v>2263</v>
      </c>
      <c r="I18" s="866" t="str">
        <f t="shared" si="1"/>
        <v>NOT PAID</v>
      </c>
      <c r="J18" s="402"/>
      <c r="K18" s="402"/>
      <c r="L18" s="402"/>
      <c r="M18" s="402"/>
      <c r="N18" s="402"/>
      <c r="O18" s="402"/>
      <c r="P18" s="402"/>
      <c r="Q18" s="402"/>
      <c r="R18" s="402"/>
      <c r="S18" s="402"/>
      <c r="T18" s="402"/>
      <c r="U18" s="402"/>
      <c r="V18" s="402"/>
      <c r="W18" s="402"/>
      <c r="X18" s="402"/>
      <c r="Y18" s="402"/>
      <c r="Z18" s="402"/>
    </row>
    <row r="19" ht="14.25" customHeight="1">
      <c r="A19" s="763">
        <v>45495.0</v>
      </c>
      <c r="B19" s="863" t="s">
        <v>4805</v>
      </c>
      <c r="C19" s="863" t="s">
        <v>4806</v>
      </c>
      <c r="D19" s="864" t="s">
        <v>54</v>
      </c>
      <c r="E19" s="689" t="s">
        <v>4769</v>
      </c>
      <c r="F19" s="865">
        <v>59108.55</v>
      </c>
      <c r="G19" s="413">
        <v>40000.0</v>
      </c>
      <c r="H19" s="349" t="s">
        <v>267</v>
      </c>
      <c r="I19" s="866" t="str">
        <f t="shared" si="1"/>
        <v>PARTIALLY PAID</v>
      </c>
      <c r="J19" s="402"/>
      <c r="K19" s="402"/>
      <c r="L19" s="402"/>
      <c r="M19" s="402"/>
      <c r="N19" s="402"/>
      <c r="O19" s="402"/>
      <c r="P19" s="402"/>
      <c r="Q19" s="402"/>
      <c r="R19" s="402"/>
      <c r="S19" s="402"/>
      <c r="T19" s="402"/>
      <c r="U19" s="402"/>
      <c r="V19" s="402"/>
      <c r="W19" s="402"/>
      <c r="X19" s="402"/>
      <c r="Y19" s="402"/>
      <c r="Z19" s="402"/>
    </row>
    <row r="20" ht="14.25" customHeight="1">
      <c r="A20" s="763">
        <v>45495.0</v>
      </c>
      <c r="B20" s="863" t="s">
        <v>4807</v>
      </c>
      <c r="C20" s="863" t="s">
        <v>4808</v>
      </c>
      <c r="D20" s="864" t="s">
        <v>346</v>
      </c>
      <c r="E20" s="689" t="s">
        <v>4772</v>
      </c>
      <c r="F20" s="865">
        <v>4187.53</v>
      </c>
      <c r="G20" s="403"/>
      <c r="H20" s="349" t="s">
        <v>2263</v>
      </c>
      <c r="I20" s="866" t="str">
        <f t="shared" si="1"/>
        <v>NOT PAID</v>
      </c>
      <c r="J20" s="402"/>
      <c r="K20" s="402"/>
      <c r="L20" s="402"/>
      <c r="M20" s="402"/>
      <c r="N20" s="402"/>
      <c r="O20" s="402"/>
      <c r="P20" s="402"/>
      <c r="Q20" s="402"/>
      <c r="R20" s="402"/>
      <c r="S20" s="402"/>
      <c r="T20" s="402"/>
      <c r="U20" s="402"/>
      <c r="V20" s="402"/>
      <c r="W20" s="402"/>
      <c r="X20" s="402"/>
      <c r="Y20" s="402"/>
      <c r="Z20" s="402"/>
    </row>
    <row r="21" ht="14.25" customHeight="1">
      <c r="A21" s="763">
        <v>45495.0</v>
      </c>
      <c r="B21" s="863" t="s">
        <v>4809</v>
      </c>
      <c r="C21" s="863" t="s">
        <v>4810</v>
      </c>
      <c r="D21" s="864" t="s">
        <v>54</v>
      </c>
      <c r="E21" s="689" t="s">
        <v>4772</v>
      </c>
      <c r="F21" s="865">
        <v>50283.4</v>
      </c>
      <c r="G21" s="403"/>
      <c r="H21" s="349" t="s">
        <v>2263</v>
      </c>
      <c r="I21" s="866" t="str">
        <f t="shared" si="1"/>
        <v>NOT PAID</v>
      </c>
      <c r="J21" s="402"/>
      <c r="K21" s="402"/>
      <c r="L21" s="402"/>
      <c r="M21" s="402"/>
      <c r="N21" s="402"/>
      <c r="O21" s="402"/>
      <c r="P21" s="402"/>
      <c r="Q21" s="402"/>
      <c r="R21" s="402"/>
      <c r="S21" s="402"/>
      <c r="T21" s="402"/>
      <c r="U21" s="402"/>
      <c r="V21" s="402"/>
      <c r="W21" s="402"/>
      <c r="X21" s="402"/>
      <c r="Y21" s="402"/>
      <c r="Z21" s="402"/>
    </row>
    <row r="22" ht="14.25" customHeight="1">
      <c r="A22" s="763">
        <v>45495.0</v>
      </c>
      <c r="B22" s="863" t="s">
        <v>4811</v>
      </c>
      <c r="C22" s="863" t="s">
        <v>4812</v>
      </c>
      <c r="D22" s="864" t="s">
        <v>54</v>
      </c>
      <c r="E22" s="689" t="s">
        <v>4769</v>
      </c>
      <c r="F22" s="865">
        <v>141768.0</v>
      </c>
      <c r="G22" s="413">
        <v>149771.0</v>
      </c>
      <c r="H22" s="349" t="s">
        <v>710</v>
      </c>
      <c r="I22" s="866" t="str">
        <f t="shared" si="1"/>
        <v>FULLY PAID</v>
      </c>
      <c r="J22" s="402"/>
      <c r="K22" s="402"/>
      <c r="L22" s="402"/>
      <c r="M22" s="402"/>
      <c r="N22" s="402"/>
      <c r="O22" s="402"/>
      <c r="P22" s="402"/>
      <c r="Q22" s="402"/>
      <c r="R22" s="402"/>
      <c r="S22" s="402"/>
      <c r="T22" s="402"/>
      <c r="U22" s="402"/>
      <c r="V22" s="402"/>
      <c r="W22" s="402"/>
      <c r="X22" s="402"/>
      <c r="Y22" s="402"/>
      <c r="Z22" s="402"/>
    </row>
    <row r="23" ht="14.25" customHeight="1">
      <c r="A23" s="763">
        <v>45495.0</v>
      </c>
      <c r="B23" s="863" t="s">
        <v>4813</v>
      </c>
      <c r="C23" s="863" t="s">
        <v>4814</v>
      </c>
      <c r="D23" s="864" t="s">
        <v>346</v>
      </c>
      <c r="E23" s="689" t="s">
        <v>4772</v>
      </c>
      <c r="F23" s="865">
        <v>6602.4</v>
      </c>
      <c r="G23" s="403"/>
      <c r="H23" s="349" t="s">
        <v>2263</v>
      </c>
      <c r="I23" s="866" t="str">
        <f t="shared" si="1"/>
        <v>NOT PAID</v>
      </c>
      <c r="J23" s="402"/>
      <c r="K23" s="402"/>
      <c r="L23" s="402"/>
      <c r="M23" s="402"/>
      <c r="N23" s="402"/>
      <c r="O23" s="402"/>
      <c r="P23" s="402"/>
      <c r="Q23" s="402"/>
      <c r="R23" s="402"/>
      <c r="S23" s="402"/>
      <c r="T23" s="402"/>
      <c r="U23" s="402"/>
      <c r="V23" s="402"/>
      <c r="W23" s="402"/>
      <c r="X23" s="402"/>
      <c r="Y23" s="402"/>
      <c r="Z23" s="402"/>
    </row>
    <row r="24" ht="14.25" customHeight="1">
      <c r="A24" s="763">
        <v>45495.0</v>
      </c>
      <c r="B24" s="863" t="s">
        <v>4815</v>
      </c>
      <c r="C24" s="863" t="s">
        <v>4812</v>
      </c>
      <c r="D24" s="864" t="s">
        <v>54</v>
      </c>
      <c r="E24" s="689" t="s">
        <v>4769</v>
      </c>
      <c r="F24" s="865">
        <v>168038.4</v>
      </c>
      <c r="G24" s="413">
        <v>149097.0</v>
      </c>
      <c r="H24" s="349" t="s">
        <v>710</v>
      </c>
      <c r="I24" s="866" t="str">
        <f t="shared" si="1"/>
        <v>PARTIALLY PAID</v>
      </c>
      <c r="J24" s="402"/>
      <c r="K24" s="402"/>
      <c r="L24" s="402"/>
      <c r="M24" s="402"/>
      <c r="N24" s="402"/>
      <c r="O24" s="402"/>
      <c r="P24" s="402"/>
      <c r="Q24" s="402"/>
      <c r="R24" s="402"/>
      <c r="S24" s="402"/>
      <c r="T24" s="402"/>
      <c r="U24" s="402"/>
      <c r="V24" s="402"/>
      <c r="W24" s="402"/>
      <c r="X24" s="402"/>
      <c r="Y24" s="402"/>
      <c r="Z24" s="402"/>
    </row>
    <row r="25" ht="14.25" customHeight="1">
      <c r="A25" s="763">
        <v>45495.0</v>
      </c>
      <c r="B25" s="863" t="s">
        <v>4816</v>
      </c>
      <c r="C25" s="863" t="s">
        <v>4817</v>
      </c>
      <c r="D25" s="864" t="s">
        <v>54</v>
      </c>
      <c r="E25" s="689" t="s">
        <v>4769</v>
      </c>
      <c r="F25" s="865">
        <v>14977.01</v>
      </c>
      <c r="G25" s="403"/>
      <c r="H25" s="349" t="s">
        <v>2263</v>
      </c>
      <c r="I25" s="866" t="str">
        <f t="shared" si="1"/>
        <v>NOT PAID</v>
      </c>
      <c r="J25" s="402"/>
      <c r="K25" s="402"/>
      <c r="L25" s="402"/>
      <c r="M25" s="402"/>
      <c r="N25" s="402"/>
      <c r="O25" s="402"/>
      <c r="P25" s="402"/>
      <c r="Q25" s="402"/>
      <c r="R25" s="402"/>
      <c r="S25" s="402"/>
      <c r="T25" s="402"/>
      <c r="U25" s="402"/>
      <c r="V25" s="402"/>
      <c r="W25" s="402"/>
      <c r="X25" s="402"/>
      <c r="Y25" s="402"/>
      <c r="Z25" s="402"/>
    </row>
    <row r="26" ht="14.25" customHeight="1">
      <c r="A26" s="763">
        <v>45495.0</v>
      </c>
      <c r="B26" s="863" t="s">
        <v>4818</v>
      </c>
      <c r="C26" s="863" t="s">
        <v>4812</v>
      </c>
      <c r="D26" s="864" t="s">
        <v>75</v>
      </c>
      <c r="E26" s="689" t="s">
        <v>4769</v>
      </c>
      <c r="F26" s="865">
        <v>70500.0</v>
      </c>
      <c r="G26" s="403"/>
      <c r="H26" s="349" t="s">
        <v>2263</v>
      </c>
      <c r="I26" s="866" t="str">
        <f t="shared" si="1"/>
        <v>NOT PAID</v>
      </c>
      <c r="J26" s="402"/>
      <c r="K26" s="402"/>
      <c r="L26" s="402"/>
      <c r="M26" s="402"/>
      <c r="N26" s="402"/>
      <c r="O26" s="402"/>
      <c r="P26" s="402"/>
      <c r="Q26" s="402"/>
      <c r="R26" s="402"/>
      <c r="S26" s="402"/>
      <c r="T26" s="402"/>
      <c r="U26" s="402"/>
      <c r="V26" s="402"/>
      <c r="W26" s="402"/>
      <c r="X26" s="402"/>
      <c r="Y26" s="402"/>
      <c r="Z26" s="402"/>
    </row>
    <row r="27" ht="14.25" customHeight="1">
      <c r="A27" s="763">
        <v>45495.0</v>
      </c>
      <c r="B27" s="863" t="s">
        <v>4819</v>
      </c>
      <c r="C27" s="863" t="s">
        <v>4820</v>
      </c>
      <c r="D27" s="864" t="s">
        <v>75</v>
      </c>
      <c r="E27" s="689" t="s">
        <v>4821</v>
      </c>
      <c r="F27" s="865">
        <v>120750.0</v>
      </c>
      <c r="G27" s="403"/>
      <c r="H27" s="349" t="s">
        <v>4822</v>
      </c>
      <c r="I27" s="866" t="str">
        <f t="shared" si="1"/>
        <v>NOT PAID</v>
      </c>
      <c r="J27" s="402"/>
      <c r="K27" s="402"/>
      <c r="L27" s="402"/>
      <c r="M27" s="402"/>
      <c r="N27" s="402"/>
      <c r="O27" s="402"/>
      <c r="P27" s="402"/>
      <c r="Q27" s="402"/>
      <c r="R27" s="402"/>
      <c r="S27" s="402"/>
      <c r="T27" s="402"/>
      <c r="U27" s="402"/>
      <c r="V27" s="402"/>
      <c r="W27" s="402"/>
      <c r="X27" s="402"/>
      <c r="Y27" s="402"/>
      <c r="Z27" s="402"/>
    </row>
    <row r="28" ht="14.25" customHeight="1">
      <c r="A28" s="763">
        <v>45495.0</v>
      </c>
      <c r="B28" s="863" t="s">
        <v>4823</v>
      </c>
      <c r="C28" s="863" t="s">
        <v>4768</v>
      </c>
      <c r="D28" s="864" t="s">
        <v>75</v>
      </c>
      <c r="E28" s="689" t="s">
        <v>4769</v>
      </c>
      <c r="F28" s="865">
        <v>230000.0</v>
      </c>
      <c r="G28" s="403"/>
      <c r="H28" s="349" t="s">
        <v>2263</v>
      </c>
      <c r="I28" s="866" t="str">
        <f t="shared" si="1"/>
        <v>NOT PAID</v>
      </c>
      <c r="J28" s="402"/>
      <c r="K28" s="402"/>
      <c r="L28" s="402"/>
      <c r="M28" s="402"/>
      <c r="N28" s="402"/>
      <c r="O28" s="402"/>
      <c r="P28" s="402"/>
      <c r="Q28" s="402"/>
      <c r="R28" s="402"/>
      <c r="S28" s="402"/>
      <c r="T28" s="402"/>
      <c r="U28" s="402"/>
      <c r="V28" s="402"/>
      <c r="W28" s="402"/>
      <c r="X28" s="402"/>
      <c r="Y28" s="402"/>
      <c r="Z28" s="402"/>
    </row>
    <row r="29" ht="14.25" customHeight="1">
      <c r="A29" s="763"/>
      <c r="B29" s="500"/>
      <c r="C29" s="402"/>
      <c r="D29" s="402"/>
      <c r="E29" s="868"/>
      <c r="F29" s="587"/>
      <c r="G29" s="403"/>
      <c r="H29" s="402"/>
      <c r="I29" s="866" t="str">
        <f t="shared" si="1"/>
        <v>FULLY PAID</v>
      </c>
      <c r="J29" s="402"/>
      <c r="K29" s="402"/>
      <c r="L29" s="402"/>
      <c r="M29" s="402"/>
      <c r="N29" s="402"/>
      <c r="O29" s="402"/>
      <c r="P29" s="402"/>
      <c r="Q29" s="402"/>
      <c r="R29" s="402"/>
      <c r="S29" s="402"/>
      <c r="T29" s="402"/>
      <c r="U29" s="402"/>
      <c r="V29" s="402"/>
      <c r="W29" s="402"/>
      <c r="X29" s="402"/>
      <c r="Y29" s="402"/>
      <c r="Z29" s="402"/>
    </row>
    <row r="30" ht="14.25" customHeight="1">
      <c r="A30" s="763"/>
      <c r="B30" s="500"/>
      <c r="C30" s="402"/>
      <c r="D30" s="402"/>
      <c r="E30" s="868"/>
      <c r="F30" s="587"/>
      <c r="G30" s="403"/>
      <c r="H30" s="402"/>
      <c r="I30" s="866" t="str">
        <f t="shared" si="1"/>
        <v>FULLY PAID</v>
      </c>
      <c r="J30" s="402"/>
      <c r="K30" s="402"/>
      <c r="L30" s="402"/>
      <c r="M30" s="402"/>
      <c r="N30" s="402"/>
      <c r="O30" s="402"/>
      <c r="P30" s="402"/>
      <c r="Q30" s="402"/>
      <c r="R30" s="402"/>
      <c r="S30" s="402"/>
      <c r="T30" s="402"/>
      <c r="U30" s="402"/>
      <c r="V30" s="402"/>
      <c r="W30" s="402"/>
      <c r="X30" s="402"/>
      <c r="Y30" s="402"/>
      <c r="Z30" s="402"/>
    </row>
    <row r="31" ht="14.25" customHeight="1">
      <c r="A31" s="402"/>
      <c r="B31" s="500"/>
      <c r="C31" s="402"/>
      <c r="D31" s="402"/>
      <c r="E31" s="868"/>
      <c r="F31" s="587"/>
      <c r="G31" s="403"/>
      <c r="H31" s="402"/>
      <c r="I31" s="866" t="str">
        <f t="shared" si="1"/>
        <v>FULLY PAID</v>
      </c>
      <c r="J31" s="402"/>
      <c r="K31" s="402"/>
      <c r="L31" s="402"/>
      <c r="M31" s="402"/>
      <c r="N31" s="402"/>
      <c r="O31" s="402"/>
      <c r="P31" s="402"/>
      <c r="Q31" s="402"/>
      <c r="R31" s="402"/>
      <c r="S31" s="402"/>
      <c r="T31" s="402"/>
      <c r="U31" s="402"/>
      <c r="V31" s="402"/>
      <c r="W31" s="402"/>
      <c r="X31" s="402"/>
      <c r="Y31" s="402"/>
      <c r="Z31" s="402"/>
    </row>
    <row r="32" ht="14.25" customHeight="1">
      <c r="A32" s="402"/>
      <c r="B32" s="861" t="s">
        <v>797</v>
      </c>
      <c r="C32" s="402"/>
      <c r="D32" s="402"/>
      <c r="E32" s="868"/>
      <c r="F32" s="587"/>
      <c r="G32" s="403"/>
      <c r="H32" s="402"/>
      <c r="I32" s="866" t="str">
        <f t="shared" si="1"/>
        <v>FULLY PAID</v>
      </c>
      <c r="J32" s="402"/>
      <c r="K32" s="402"/>
      <c r="L32" s="402"/>
      <c r="M32" s="402"/>
      <c r="N32" s="402"/>
      <c r="O32" s="402"/>
      <c r="P32" s="402"/>
      <c r="Q32" s="402"/>
      <c r="R32" s="402"/>
      <c r="S32" s="402"/>
      <c r="T32" s="402"/>
      <c r="U32" s="402"/>
      <c r="V32" s="402"/>
      <c r="W32" s="402"/>
      <c r="X32" s="402"/>
      <c r="Y32" s="402"/>
      <c r="Z32" s="402"/>
    </row>
    <row r="33" ht="14.25" customHeight="1">
      <c r="A33" s="406">
        <v>45495.0</v>
      </c>
      <c r="B33" s="869" t="s">
        <v>4824</v>
      </c>
      <c r="C33" s="870" t="s">
        <v>4825</v>
      </c>
      <c r="D33" s="870" t="s">
        <v>54</v>
      </c>
      <c r="E33" s="871" t="s">
        <v>578</v>
      </c>
      <c r="F33" s="872">
        <v>125000.0</v>
      </c>
      <c r="G33" s="403"/>
      <c r="H33" s="349" t="s">
        <v>4826</v>
      </c>
      <c r="I33" s="866" t="str">
        <f t="shared" si="1"/>
        <v>NOT PAID</v>
      </c>
      <c r="J33" s="402"/>
      <c r="K33" s="402"/>
      <c r="L33" s="402"/>
      <c r="M33" s="402"/>
      <c r="N33" s="402"/>
      <c r="O33" s="402"/>
      <c r="P33" s="402"/>
      <c r="Q33" s="402"/>
      <c r="R33" s="402"/>
      <c r="S33" s="402"/>
      <c r="T33" s="402"/>
      <c r="U33" s="402"/>
      <c r="V33" s="402"/>
      <c r="W33" s="402"/>
      <c r="X33" s="402"/>
      <c r="Y33" s="402"/>
      <c r="Z33" s="402"/>
    </row>
    <row r="34" ht="14.25" customHeight="1">
      <c r="A34" s="406">
        <v>45495.0</v>
      </c>
      <c r="B34" s="869" t="s">
        <v>4781</v>
      </c>
      <c r="C34" s="870" t="s">
        <v>4827</v>
      </c>
      <c r="D34" s="870" t="s">
        <v>54</v>
      </c>
      <c r="E34" s="871" t="s">
        <v>578</v>
      </c>
      <c r="F34" s="872">
        <v>94882.0</v>
      </c>
      <c r="G34" s="403"/>
      <c r="H34" s="349" t="s">
        <v>2263</v>
      </c>
      <c r="I34" s="866" t="str">
        <f t="shared" si="1"/>
        <v>NOT PAID</v>
      </c>
      <c r="J34" s="402"/>
      <c r="K34" s="402"/>
      <c r="L34" s="402"/>
      <c r="M34" s="402"/>
      <c r="N34" s="402"/>
      <c r="O34" s="402"/>
      <c r="P34" s="402"/>
      <c r="Q34" s="402"/>
      <c r="R34" s="402"/>
      <c r="S34" s="402"/>
      <c r="T34" s="402"/>
      <c r="U34" s="402"/>
      <c r="V34" s="402"/>
      <c r="W34" s="402"/>
      <c r="X34" s="402"/>
      <c r="Y34" s="402"/>
      <c r="Z34" s="402"/>
    </row>
    <row r="35" ht="14.25" customHeight="1">
      <c r="A35" s="406">
        <v>45495.0</v>
      </c>
      <c r="B35" s="869" t="s">
        <v>4828</v>
      </c>
      <c r="C35" s="870" t="s">
        <v>4829</v>
      </c>
      <c r="D35" s="349" t="s">
        <v>54</v>
      </c>
      <c r="E35" s="689" t="s">
        <v>578</v>
      </c>
      <c r="F35" s="559">
        <v>800000.0</v>
      </c>
      <c r="G35" s="403"/>
      <c r="H35" s="349" t="s">
        <v>2263</v>
      </c>
      <c r="I35" s="866" t="str">
        <f t="shared" si="1"/>
        <v>NOT PAID</v>
      </c>
      <c r="J35" s="402"/>
      <c r="K35" s="402"/>
      <c r="L35" s="402"/>
      <c r="M35" s="402"/>
      <c r="N35" s="402"/>
      <c r="O35" s="402"/>
      <c r="P35" s="402"/>
      <c r="Q35" s="402"/>
      <c r="R35" s="402"/>
      <c r="S35" s="402"/>
      <c r="T35" s="402"/>
      <c r="U35" s="402"/>
      <c r="V35" s="402"/>
      <c r="W35" s="402"/>
      <c r="X35" s="402"/>
      <c r="Y35" s="402"/>
      <c r="Z35" s="402"/>
    </row>
    <row r="36" ht="14.25" customHeight="1">
      <c r="A36" s="406">
        <v>45495.0</v>
      </c>
      <c r="B36" s="869" t="s">
        <v>4830</v>
      </c>
      <c r="C36" s="870" t="s">
        <v>4831</v>
      </c>
      <c r="D36" s="349" t="s">
        <v>54</v>
      </c>
      <c r="E36" s="689" t="s">
        <v>578</v>
      </c>
      <c r="F36" s="873">
        <v>78322.73</v>
      </c>
      <c r="G36" s="403"/>
      <c r="H36" s="349" t="s">
        <v>4832</v>
      </c>
      <c r="I36" s="866" t="str">
        <f t="shared" si="1"/>
        <v>NOT PAID</v>
      </c>
      <c r="J36" s="402"/>
      <c r="K36" s="402"/>
      <c r="L36" s="402"/>
      <c r="M36" s="402"/>
      <c r="N36" s="402"/>
      <c r="O36" s="402"/>
      <c r="P36" s="402"/>
      <c r="Q36" s="402"/>
      <c r="R36" s="402"/>
      <c r="S36" s="402"/>
      <c r="T36" s="402"/>
      <c r="U36" s="402"/>
      <c r="V36" s="402"/>
      <c r="W36" s="402"/>
      <c r="X36" s="402"/>
      <c r="Y36" s="402"/>
      <c r="Z36" s="402"/>
    </row>
    <row r="37" ht="14.25" customHeight="1">
      <c r="A37" s="406">
        <v>45495.0</v>
      </c>
      <c r="B37" s="874" t="s">
        <v>4833</v>
      </c>
      <c r="C37" s="875" t="s">
        <v>4834</v>
      </c>
      <c r="D37" s="349" t="s">
        <v>54</v>
      </c>
      <c r="E37" s="689" t="s">
        <v>578</v>
      </c>
      <c r="F37" s="872">
        <v>126000.0</v>
      </c>
      <c r="G37" s="413">
        <v>126000.0</v>
      </c>
      <c r="H37" s="349" t="s">
        <v>4835</v>
      </c>
      <c r="I37" s="866" t="str">
        <f t="shared" si="1"/>
        <v>FULLY PAID</v>
      </c>
      <c r="J37" s="402"/>
      <c r="K37" s="402"/>
      <c r="L37" s="402"/>
      <c r="M37" s="402"/>
      <c r="N37" s="402"/>
      <c r="O37" s="402"/>
      <c r="P37" s="402"/>
      <c r="Q37" s="402"/>
      <c r="R37" s="402"/>
      <c r="S37" s="402"/>
      <c r="T37" s="402"/>
      <c r="U37" s="402"/>
      <c r="V37" s="402"/>
      <c r="W37" s="402"/>
      <c r="X37" s="402"/>
      <c r="Y37" s="402"/>
      <c r="Z37" s="402"/>
    </row>
    <row r="38" ht="14.25" customHeight="1">
      <c r="A38" s="406">
        <v>45495.0</v>
      </c>
      <c r="B38" s="869" t="s">
        <v>4547</v>
      </c>
      <c r="C38" s="870" t="s">
        <v>4836</v>
      </c>
      <c r="D38" s="349" t="s">
        <v>54</v>
      </c>
      <c r="E38" s="689" t="s">
        <v>578</v>
      </c>
      <c r="F38" s="876">
        <v>635602.51</v>
      </c>
      <c r="G38" s="403"/>
      <c r="H38" s="349" t="s">
        <v>2263</v>
      </c>
      <c r="I38" s="866" t="str">
        <f t="shared" si="1"/>
        <v>NOT PAID</v>
      </c>
      <c r="J38" s="402"/>
      <c r="K38" s="402"/>
      <c r="L38" s="402"/>
      <c r="M38" s="402"/>
      <c r="N38" s="402"/>
      <c r="O38" s="402"/>
      <c r="P38" s="402"/>
      <c r="Q38" s="402"/>
      <c r="R38" s="402"/>
      <c r="S38" s="402"/>
      <c r="T38" s="402"/>
      <c r="U38" s="402"/>
      <c r="V38" s="402"/>
      <c r="W38" s="402"/>
      <c r="X38" s="402"/>
      <c r="Y38" s="402"/>
      <c r="Z38" s="402"/>
    </row>
    <row r="39" ht="14.25" customHeight="1">
      <c r="A39" s="402"/>
      <c r="B39" s="500"/>
      <c r="C39" s="402"/>
      <c r="D39" s="402"/>
      <c r="E39" s="868"/>
      <c r="F39" s="587"/>
      <c r="G39" s="403"/>
      <c r="H39" s="402"/>
      <c r="I39" s="866"/>
      <c r="J39" s="402"/>
      <c r="K39" s="402"/>
      <c r="L39" s="402"/>
      <c r="M39" s="402"/>
      <c r="N39" s="402"/>
      <c r="O39" s="402"/>
      <c r="P39" s="402"/>
      <c r="Q39" s="402"/>
      <c r="R39" s="402"/>
      <c r="S39" s="402"/>
      <c r="T39" s="402"/>
      <c r="U39" s="402"/>
      <c r="V39" s="402"/>
      <c r="W39" s="402"/>
      <c r="X39" s="402"/>
      <c r="Y39" s="402"/>
      <c r="Z39" s="402"/>
    </row>
    <row r="40" ht="14.25" customHeight="1">
      <c r="A40" s="402"/>
      <c r="B40" s="500"/>
      <c r="C40" s="402"/>
      <c r="D40" s="402"/>
      <c r="E40" s="868"/>
      <c r="F40" s="587"/>
      <c r="G40" s="403"/>
      <c r="H40" s="402"/>
      <c r="I40" s="866"/>
      <c r="J40" s="402"/>
      <c r="K40" s="402"/>
      <c r="L40" s="402"/>
      <c r="M40" s="402"/>
      <c r="N40" s="402"/>
      <c r="O40" s="402"/>
      <c r="P40" s="402"/>
      <c r="Q40" s="402"/>
      <c r="R40" s="402"/>
      <c r="S40" s="402"/>
      <c r="T40" s="402"/>
      <c r="U40" s="402"/>
      <c r="V40" s="402"/>
      <c r="W40" s="402"/>
      <c r="X40" s="402"/>
      <c r="Y40" s="402"/>
      <c r="Z40" s="402"/>
    </row>
    <row r="41" ht="14.25" customHeight="1">
      <c r="A41" s="584" t="s">
        <v>2130</v>
      </c>
      <c r="B41" s="877" t="s">
        <v>39</v>
      </c>
      <c r="C41" s="584" t="s">
        <v>48</v>
      </c>
      <c r="D41" s="584" t="s">
        <v>49</v>
      </c>
      <c r="E41" s="862" t="s">
        <v>50</v>
      </c>
      <c r="F41" s="585" t="s">
        <v>2</v>
      </c>
      <c r="G41" s="584" t="s">
        <v>44</v>
      </c>
      <c r="H41" s="584" t="s">
        <v>45</v>
      </c>
      <c r="I41" s="866"/>
      <c r="J41" s="402"/>
      <c r="K41" s="402"/>
      <c r="L41" s="402"/>
      <c r="M41" s="402"/>
      <c r="N41" s="402"/>
      <c r="O41" s="402"/>
      <c r="P41" s="402"/>
      <c r="Q41" s="402"/>
      <c r="R41" s="402"/>
      <c r="S41" s="402"/>
      <c r="T41" s="402"/>
      <c r="U41" s="402"/>
      <c r="V41" s="402"/>
      <c r="W41" s="402"/>
      <c r="X41" s="402"/>
      <c r="Y41" s="402"/>
      <c r="Z41" s="402"/>
    </row>
    <row r="42" ht="14.25" customHeight="1">
      <c r="A42" s="763">
        <v>45496.0</v>
      </c>
      <c r="B42" s="878" t="s">
        <v>4767</v>
      </c>
      <c r="C42" s="878" t="s">
        <v>4837</v>
      </c>
      <c r="D42" s="879" t="s">
        <v>59</v>
      </c>
      <c r="E42" s="880" t="s">
        <v>4769</v>
      </c>
      <c r="F42" s="881">
        <v>71085.16</v>
      </c>
      <c r="G42" s="882"/>
      <c r="H42" s="349" t="s">
        <v>4838</v>
      </c>
      <c r="I42" s="866" t="str">
        <f t="shared" ref="I42:I65" si="2">IF(G42&gt;=F42,"FULLY PAID",IF(G42=0,"NOT PAID","PARTIALLY PAID"))</f>
        <v>NOT PAID</v>
      </c>
      <c r="J42" s="402"/>
      <c r="K42" s="402"/>
      <c r="L42" s="402"/>
      <c r="M42" s="402"/>
      <c r="N42" s="402"/>
      <c r="O42" s="402"/>
      <c r="P42" s="402"/>
      <c r="Q42" s="402"/>
      <c r="R42" s="402"/>
      <c r="S42" s="402"/>
      <c r="T42" s="402"/>
      <c r="U42" s="402"/>
      <c r="V42" s="402"/>
      <c r="W42" s="402"/>
      <c r="X42" s="402"/>
      <c r="Y42" s="402"/>
      <c r="Z42" s="402"/>
    </row>
    <row r="43" ht="14.25" customHeight="1">
      <c r="A43" s="763">
        <v>45496.0</v>
      </c>
      <c r="B43" s="878" t="s">
        <v>4773</v>
      </c>
      <c r="C43" s="878" t="s">
        <v>4839</v>
      </c>
      <c r="D43" s="883" t="s">
        <v>54</v>
      </c>
      <c r="E43" s="880" t="s">
        <v>4772</v>
      </c>
      <c r="F43" s="881">
        <v>806.19</v>
      </c>
      <c r="G43" s="882"/>
      <c r="H43" s="349" t="s">
        <v>2263</v>
      </c>
      <c r="I43" s="866" t="str">
        <f t="shared" si="2"/>
        <v>NOT PAID</v>
      </c>
      <c r="J43" s="402"/>
      <c r="K43" s="402"/>
      <c r="L43" s="402"/>
      <c r="M43" s="402"/>
      <c r="N43" s="402"/>
      <c r="O43" s="402"/>
      <c r="P43" s="402"/>
      <c r="Q43" s="402"/>
      <c r="R43" s="402"/>
      <c r="S43" s="402"/>
      <c r="T43" s="402"/>
      <c r="U43" s="402"/>
      <c r="V43" s="402"/>
      <c r="W43" s="402"/>
      <c r="X43" s="402"/>
      <c r="Y43" s="402"/>
      <c r="Z43" s="402"/>
    </row>
    <row r="44" ht="14.25" customHeight="1">
      <c r="A44" s="763">
        <v>45496.0</v>
      </c>
      <c r="B44" s="878" t="s">
        <v>4775</v>
      </c>
      <c r="C44" s="878" t="s">
        <v>4840</v>
      </c>
      <c r="D44" s="879" t="s">
        <v>59</v>
      </c>
      <c r="E44" s="880" t="s">
        <v>4769</v>
      </c>
      <c r="F44" s="881">
        <v>148012.14</v>
      </c>
      <c r="G44" s="882"/>
      <c r="H44" s="349" t="s">
        <v>4841</v>
      </c>
      <c r="I44" s="866" t="str">
        <f t="shared" si="2"/>
        <v>NOT PAID</v>
      </c>
      <c r="J44" s="402"/>
      <c r="K44" s="402"/>
      <c r="L44" s="402"/>
      <c r="M44" s="402"/>
      <c r="N44" s="402"/>
      <c r="O44" s="402"/>
      <c r="P44" s="402"/>
      <c r="Q44" s="402"/>
      <c r="R44" s="402"/>
      <c r="S44" s="402"/>
      <c r="T44" s="402"/>
      <c r="U44" s="402"/>
      <c r="V44" s="402"/>
      <c r="W44" s="402"/>
      <c r="X44" s="402"/>
      <c r="Y44" s="402"/>
      <c r="Z44" s="402"/>
    </row>
    <row r="45" ht="14.25" customHeight="1">
      <c r="A45" s="763">
        <v>45496.0</v>
      </c>
      <c r="B45" s="878" t="s">
        <v>4777</v>
      </c>
      <c r="C45" s="878" t="s">
        <v>4842</v>
      </c>
      <c r="D45" s="879" t="s">
        <v>54</v>
      </c>
      <c r="E45" s="880" t="s">
        <v>4772</v>
      </c>
      <c r="F45" s="881">
        <v>1196.48</v>
      </c>
      <c r="G45" s="882"/>
      <c r="H45" s="349" t="s">
        <v>4841</v>
      </c>
      <c r="I45" s="866" t="str">
        <f t="shared" si="2"/>
        <v>NOT PAID</v>
      </c>
      <c r="J45" s="402"/>
      <c r="K45" s="402"/>
      <c r="L45" s="402"/>
      <c r="M45" s="402"/>
      <c r="N45" s="402"/>
      <c r="O45" s="402"/>
      <c r="P45" s="402"/>
      <c r="Q45" s="402"/>
      <c r="R45" s="402"/>
      <c r="S45" s="402"/>
      <c r="T45" s="402"/>
      <c r="U45" s="402"/>
      <c r="V45" s="402"/>
      <c r="W45" s="402"/>
      <c r="X45" s="402"/>
      <c r="Y45" s="402"/>
      <c r="Z45" s="402"/>
    </row>
    <row r="46" ht="14.25" customHeight="1">
      <c r="A46" s="763">
        <v>45496.0</v>
      </c>
      <c r="B46" s="878" t="s">
        <v>4779</v>
      </c>
      <c r="C46" s="878" t="s">
        <v>4843</v>
      </c>
      <c r="D46" s="879" t="s">
        <v>54</v>
      </c>
      <c r="E46" s="880" t="s">
        <v>4772</v>
      </c>
      <c r="F46" s="881">
        <v>2682.6</v>
      </c>
      <c r="G46" s="882"/>
      <c r="H46" s="349" t="s">
        <v>4841</v>
      </c>
      <c r="I46" s="866" t="str">
        <f t="shared" si="2"/>
        <v>NOT PAID</v>
      </c>
      <c r="J46" s="402"/>
      <c r="K46" s="402"/>
      <c r="L46" s="402"/>
      <c r="M46" s="402"/>
      <c r="N46" s="402"/>
      <c r="O46" s="402"/>
      <c r="P46" s="402"/>
      <c r="Q46" s="402"/>
      <c r="R46" s="402"/>
      <c r="S46" s="402"/>
      <c r="T46" s="402"/>
      <c r="U46" s="402"/>
      <c r="V46" s="402"/>
      <c r="W46" s="402"/>
      <c r="X46" s="402"/>
      <c r="Y46" s="402"/>
      <c r="Z46" s="402"/>
    </row>
    <row r="47" ht="14.25" customHeight="1">
      <c r="A47" s="763">
        <v>45496.0</v>
      </c>
      <c r="B47" s="878" t="s">
        <v>4783</v>
      </c>
      <c r="C47" s="878" t="s">
        <v>4844</v>
      </c>
      <c r="D47" s="879" t="s">
        <v>54</v>
      </c>
      <c r="E47" s="880" t="s">
        <v>4769</v>
      </c>
      <c r="F47" s="881">
        <v>8290.94</v>
      </c>
      <c r="G47" s="882"/>
      <c r="H47" s="349" t="s">
        <v>4841</v>
      </c>
      <c r="I47" s="866" t="str">
        <f t="shared" si="2"/>
        <v>NOT PAID</v>
      </c>
      <c r="J47" s="402"/>
      <c r="K47" s="402"/>
      <c r="L47" s="402"/>
      <c r="M47" s="402"/>
      <c r="N47" s="402"/>
      <c r="O47" s="402"/>
      <c r="P47" s="402"/>
      <c r="Q47" s="402"/>
      <c r="R47" s="402"/>
      <c r="S47" s="402"/>
      <c r="T47" s="402"/>
      <c r="U47" s="402"/>
      <c r="V47" s="402"/>
      <c r="W47" s="402"/>
      <c r="X47" s="402"/>
      <c r="Y47" s="402"/>
      <c r="Z47" s="402"/>
    </row>
    <row r="48" ht="14.25" customHeight="1">
      <c r="A48" s="763">
        <v>45496.0</v>
      </c>
      <c r="B48" s="878" t="s">
        <v>4785</v>
      </c>
      <c r="C48" s="878" t="s">
        <v>4845</v>
      </c>
      <c r="D48" s="879" t="s">
        <v>54</v>
      </c>
      <c r="E48" s="880" t="s">
        <v>4769</v>
      </c>
      <c r="F48" s="881">
        <v>45327.03</v>
      </c>
      <c r="G48" s="882"/>
      <c r="H48" s="349" t="s">
        <v>4841</v>
      </c>
      <c r="I48" s="866" t="str">
        <f t="shared" si="2"/>
        <v>NOT PAID</v>
      </c>
      <c r="J48" s="402"/>
      <c r="K48" s="402"/>
      <c r="L48" s="402"/>
      <c r="M48" s="402"/>
      <c r="N48" s="402"/>
      <c r="O48" s="402"/>
      <c r="P48" s="402"/>
      <c r="Q48" s="402"/>
      <c r="R48" s="402"/>
      <c r="S48" s="402"/>
      <c r="T48" s="402"/>
      <c r="U48" s="402"/>
      <c r="V48" s="402"/>
      <c r="W48" s="402"/>
      <c r="X48" s="402"/>
      <c r="Y48" s="402"/>
      <c r="Z48" s="402"/>
    </row>
    <row r="49" ht="14.25" customHeight="1">
      <c r="A49" s="763">
        <v>45496.0</v>
      </c>
      <c r="B49" s="878" t="s">
        <v>4787</v>
      </c>
      <c r="C49" s="878" t="s">
        <v>4846</v>
      </c>
      <c r="D49" s="879" t="s">
        <v>54</v>
      </c>
      <c r="E49" s="880" t="s">
        <v>4769</v>
      </c>
      <c r="F49" s="881">
        <v>5101.86</v>
      </c>
      <c r="G49" s="882"/>
      <c r="H49" s="349" t="s">
        <v>4841</v>
      </c>
      <c r="I49" s="866" t="str">
        <f t="shared" si="2"/>
        <v>NOT PAID</v>
      </c>
      <c r="J49" s="402"/>
      <c r="K49" s="402"/>
      <c r="L49" s="402"/>
      <c r="M49" s="402"/>
      <c r="N49" s="402"/>
      <c r="O49" s="402"/>
      <c r="P49" s="402"/>
      <c r="Q49" s="402"/>
      <c r="R49" s="402"/>
      <c r="S49" s="402"/>
      <c r="T49" s="402"/>
      <c r="U49" s="402"/>
      <c r="V49" s="402"/>
      <c r="W49" s="402"/>
      <c r="X49" s="402"/>
      <c r="Y49" s="402"/>
      <c r="Z49" s="402"/>
    </row>
    <row r="50" ht="14.25" customHeight="1">
      <c r="A50" s="763">
        <v>45496.0</v>
      </c>
      <c r="B50" s="878" t="s">
        <v>4847</v>
      </c>
      <c r="C50" s="878" t="s">
        <v>4848</v>
      </c>
      <c r="D50" s="883" t="s">
        <v>54</v>
      </c>
      <c r="E50" s="880" t="s">
        <v>4849</v>
      </c>
      <c r="F50" s="881">
        <v>65306.8</v>
      </c>
      <c r="G50" s="884">
        <v>123901.0</v>
      </c>
      <c r="H50" s="349" t="s">
        <v>710</v>
      </c>
      <c r="I50" s="866" t="str">
        <f t="shared" si="2"/>
        <v>FULLY PAID</v>
      </c>
      <c r="J50" s="402"/>
      <c r="K50" s="402"/>
      <c r="L50" s="402"/>
      <c r="M50" s="402"/>
      <c r="N50" s="402"/>
      <c r="O50" s="402"/>
      <c r="P50" s="402"/>
      <c r="Q50" s="402"/>
      <c r="R50" s="402"/>
      <c r="S50" s="402"/>
      <c r="T50" s="402"/>
      <c r="U50" s="402"/>
      <c r="V50" s="402"/>
      <c r="W50" s="402"/>
      <c r="X50" s="402"/>
      <c r="Y50" s="402"/>
      <c r="Z50" s="402"/>
    </row>
    <row r="51" ht="14.25" customHeight="1">
      <c r="A51" s="763">
        <v>45496.0</v>
      </c>
      <c r="B51" s="878" t="s">
        <v>4791</v>
      </c>
      <c r="C51" s="878" t="s">
        <v>4850</v>
      </c>
      <c r="D51" s="879" t="s">
        <v>54</v>
      </c>
      <c r="E51" s="880" t="s">
        <v>4769</v>
      </c>
      <c r="F51" s="881">
        <v>3232.66</v>
      </c>
      <c r="G51" s="882"/>
      <c r="H51" s="349" t="s">
        <v>4841</v>
      </c>
      <c r="I51" s="866" t="str">
        <f t="shared" si="2"/>
        <v>NOT PAID</v>
      </c>
      <c r="J51" s="402"/>
      <c r="K51" s="402"/>
      <c r="L51" s="402"/>
      <c r="M51" s="402"/>
      <c r="N51" s="402"/>
      <c r="O51" s="402"/>
      <c r="P51" s="402"/>
      <c r="Q51" s="402"/>
      <c r="R51" s="402"/>
      <c r="S51" s="402"/>
      <c r="T51" s="402"/>
      <c r="U51" s="402"/>
      <c r="V51" s="402"/>
      <c r="W51" s="402"/>
      <c r="X51" s="402"/>
      <c r="Y51" s="402"/>
      <c r="Z51" s="402"/>
    </row>
    <row r="52" ht="14.25" customHeight="1">
      <c r="A52" s="763">
        <v>45496.0</v>
      </c>
      <c r="B52" s="878" t="s">
        <v>4793</v>
      </c>
      <c r="C52" s="878" t="s">
        <v>4851</v>
      </c>
      <c r="D52" s="883" t="s">
        <v>54</v>
      </c>
      <c r="E52" s="880" t="s">
        <v>4769</v>
      </c>
      <c r="F52" s="881">
        <v>192.85</v>
      </c>
      <c r="G52" s="882"/>
      <c r="H52" s="349" t="s">
        <v>4841</v>
      </c>
      <c r="I52" s="866" t="str">
        <f t="shared" si="2"/>
        <v>NOT PAID</v>
      </c>
      <c r="J52" s="402"/>
      <c r="K52" s="402"/>
      <c r="L52" s="402"/>
      <c r="M52" s="402"/>
      <c r="N52" s="402"/>
      <c r="O52" s="402"/>
      <c r="P52" s="402"/>
      <c r="Q52" s="402"/>
      <c r="R52" s="402"/>
      <c r="S52" s="402"/>
      <c r="T52" s="402"/>
      <c r="U52" s="402"/>
      <c r="V52" s="402"/>
      <c r="W52" s="402"/>
      <c r="X52" s="402"/>
      <c r="Y52" s="402"/>
      <c r="Z52" s="402"/>
    </row>
    <row r="53" ht="14.25" customHeight="1">
      <c r="A53" s="763">
        <v>45496.0</v>
      </c>
      <c r="B53" s="878" t="s">
        <v>4795</v>
      </c>
      <c r="C53" s="878" t="s">
        <v>4852</v>
      </c>
      <c r="D53" s="879" t="s">
        <v>54</v>
      </c>
      <c r="E53" s="880" t="s">
        <v>4769</v>
      </c>
      <c r="F53" s="881">
        <v>21342.75</v>
      </c>
      <c r="G53" s="882"/>
      <c r="H53" s="349" t="s">
        <v>4841</v>
      </c>
      <c r="I53" s="866" t="str">
        <f t="shared" si="2"/>
        <v>NOT PAID</v>
      </c>
      <c r="J53" s="402"/>
      <c r="K53" s="402"/>
      <c r="L53" s="402"/>
      <c r="M53" s="402"/>
      <c r="N53" s="402"/>
      <c r="O53" s="402"/>
      <c r="P53" s="402"/>
      <c r="Q53" s="402"/>
      <c r="R53" s="402"/>
      <c r="S53" s="402"/>
      <c r="T53" s="402"/>
      <c r="U53" s="402"/>
      <c r="V53" s="402"/>
      <c r="W53" s="402"/>
      <c r="X53" s="402"/>
      <c r="Y53" s="402"/>
      <c r="Z53" s="402"/>
    </row>
    <row r="54" ht="14.25" customHeight="1">
      <c r="A54" s="763">
        <v>45496.0</v>
      </c>
      <c r="B54" s="878" t="s">
        <v>4800</v>
      </c>
      <c r="C54" s="878" t="s">
        <v>758</v>
      </c>
      <c r="D54" s="879" t="s">
        <v>59</v>
      </c>
      <c r="E54" s="880" t="s">
        <v>4772</v>
      </c>
      <c r="F54" s="881">
        <v>195465.41</v>
      </c>
      <c r="G54" s="882"/>
      <c r="H54" s="349" t="s">
        <v>4841</v>
      </c>
      <c r="I54" s="866" t="str">
        <f t="shared" si="2"/>
        <v>NOT PAID</v>
      </c>
      <c r="J54" s="402"/>
      <c r="K54" s="402"/>
      <c r="L54" s="402"/>
      <c r="M54" s="402"/>
      <c r="N54" s="402"/>
      <c r="O54" s="402"/>
      <c r="P54" s="402"/>
      <c r="Q54" s="402"/>
      <c r="R54" s="402"/>
      <c r="S54" s="402"/>
      <c r="T54" s="402"/>
      <c r="U54" s="402"/>
      <c r="V54" s="402"/>
      <c r="W54" s="402"/>
      <c r="X54" s="402"/>
      <c r="Y54" s="402"/>
      <c r="Z54" s="402"/>
    </row>
    <row r="55" ht="14.25" customHeight="1">
      <c r="A55" s="763">
        <v>45496.0</v>
      </c>
      <c r="B55" s="878" t="s">
        <v>4803</v>
      </c>
      <c r="C55" s="878" t="s">
        <v>4853</v>
      </c>
      <c r="D55" s="879" t="s">
        <v>54</v>
      </c>
      <c r="E55" s="880" t="s">
        <v>4772</v>
      </c>
      <c r="F55" s="881">
        <v>27230.76</v>
      </c>
      <c r="G55" s="882"/>
      <c r="H55" s="349" t="s">
        <v>4841</v>
      </c>
      <c r="I55" s="866" t="str">
        <f t="shared" si="2"/>
        <v>NOT PAID</v>
      </c>
      <c r="J55" s="402"/>
      <c r="K55" s="402"/>
      <c r="L55" s="402"/>
      <c r="M55" s="402"/>
      <c r="N55" s="402"/>
      <c r="O55" s="402"/>
      <c r="P55" s="402"/>
      <c r="Q55" s="402"/>
      <c r="R55" s="402"/>
      <c r="S55" s="402"/>
      <c r="T55" s="402"/>
      <c r="U55" s="402"/>
      <c r="V55" s="402"/>
      <c r="W55" s="402"/>
      <c r="X55" s="402"/>
      <c r="Y55" s="402"/>
      <c r="Z55" s="402"/>
    </row>
    <row r="56" ht="14.25" customHeight="1">
      <c r="A56" s="763">
        <v>45496.0</v>
      </c>
      <c r="B56" s="878" t="s">
        <v>4805</v>
      </c>
      <c r="C56" s="878" t="s">
        <v>4854</v>
      </c>
      <c r="D56" s="879" t="s">
        <v>54</v>
      </c>
      <c r="E56" s="880" t="s">
        <v>4769</v>
      </c>
      <c r="F56" s="881">
        <v>59108.55</v>
      </c>
      <c r="G56" s="882"/>
      <c r="H56" s="349" t="s">
        <v>4841</v>
      </c>
      <c r="I56" s="866" t="str">
        <f t="shared" si="2"/>
        <v>NOT PAID</v>
      </c>
      <c r="J56" s="402"/>
      <c r="K56" s="402"/>
      <c r="L56" s="402"/>
      <c r="M56" s="402"/>
      <c r="N56" s="402"/>
      <c r="O56" s="402"/>
      <c r="P56" s="402"/>
      <c r="Q56" s="402"/>
      <c r="R56" s="402"/>
      <c r="S56" s="402"/>
      <c r="T56" s="402"/>
      <c r="U56" s="402"/>
      <c r="V56" s="402"/>
      <c r="W56" s="402"/>
      <c r="X56" s="402"/>
      <c r="Y56" s="402"/>
      <c r="Z56" s="402"/>
    </row>
    <row r="57" ht="14.25" customHeight="1">
      <c r="A57" s="763">
        <v>45496.0</v>
      </c>
      <c r="B57" s="878" t="s">
        <v>4809</v>
      </c>
      <c r="C57" s="878" t="s">
        <v>4855</v>
      </c>
      <c r="D57" s="879" t="s">
        <v>54</v>
      </c>
      <c r="E57" s="880" t="s">
        <v>4772</v>
      </c>
      <c r="F57" s="881">
        <v>50283.4</v>
      </c>
      <c r="G57" s="882"/>
      <c r="H57" s="349" t="s">
        <v>4841</v>
      </c>
      <c r="I57" s="866" t="str">
        <f t="shared" si="2"/>
        <v>NOT PAID</v>
      </c>
      <c r="J57" s="402"/>
      <c r="K57" s="402"/>
      <c r="L57" s="402"/>
      <c r="M57" s="402"/>
      <c r="N57" s="402"/>
      <c r="O57" s="402"/>
      <c r="P57" s="402"/>
      <c r="Q57" s="402"/>
      <c r="R57" s="402"/>
      <c r="S57" s="402"/>
      <c r="T57" s="402"/>
      <c r="U57" s="402"/>
      <c r="V57" s="402"/>
      <c r="W57" s="402"/>
      <c r="X57" s="402"/>
      <c r="Y57" s="402"/>
      <c r="Z57" s="402"/>
    </row>
    <row r="58" ht="14.25" customHeight="1">
      <c r="A58" s="763">
        <v>45496.0</v>
      </c>
      <c r="B58" s="878" t="s">
        <v>4856</v>
      </c>
      <c r="C58" s="878" t="s">
        <v>4857</v>
      </c>
      <c r="D58" s="883" t="s">
        <v>54</v>
      </c>
      <c r="E58" s="880" t="s">
        <v>578</v>
      </c>
      <c r="F58" s="881">
        <v>6602.4</v>
      </c>
      <c r="G58" s="884">
        <v>25000.0</v>
      </c>
      <c r="H58" s="349" t="s">
        <v>710</v>
      </c>
      <c r="I58" s="866" t="str">
        <f t="shared" si="2"/>
        <v>FULLY PAID</v>
      </c>
      <c r="J58" s="402"/>
      <c r="K58" s="402"/>
      <c r="L58" s="402"/>
      <c r="M58" s="402"/>
      <c r="N58" s="402"/>
      <c r="O58" s="402"/>
      <c r="P58" s="402"/>
      <c r="Q58" s="402"/>
      <c r="R58" s="402"/>
      <c r="S58" s="402"/>
      <c r="T58" s="402"/>
      <c r="U58" s="402"/>
      <c r="V58" s="402"/>
      <c r="W58" s="402"/>
      <c r="X58" s="402"/>
      <c r="Y58" s="402"/>
      <c r="Z58" s="402"/>
    </row>
    <row r="59" ht="14.25" customHeight="1">
      <c r="A59" s="763">
        <v>45496.0</v>
      </c>
      <c r="B59" s="878" t="s">
        <v>4816</v>
      </c>
      <c r="C59" s="878" t="s">
        <v>4858</v>
      </c>
      <c r="D59" s="879" t="s">
        <v>54</v>
      </c>
      <c r="E59" s="880" t="s">
        <v>4769</v>
      </c>
      <c r="F59" s="881">
        <v>14977.01</v>
      </c>
      <c r="G59" s="882"/>
      <c r="H59" s="349" t="s">
        <v>4841</v>
      </c>
      <c r="I59" s="866" t="str">
        <f t="shared" si="2"/>
        <v>NOT PAID</v>
      </c>
      <c r="J59" s="402"/>
      <c r="K59" s="402"/>
      <c r="L59" s="402"/>
      <c r="M59" s="402"/>
      <c r="N59" s="402"/>
      <c r="O59" s="402"/>
      <c r="P59" s="402"/>
      <c r="Q59" s="402"/>
      <c r="R59" s="402"/>
      <c r="S59" s="402"/>
      <c r="T59" s="402"/>
      <c r="U59" s="402"/>
      <c r="V59" s="402"/>
      <c r="W59" s="402"/>
      <c r="X59" s="402"/>
      <c r="Y59" s="402"/>
      <c r="Z59" s="402"/>
    </row>
    <row r="60" ht="14.25" customHeight="1">
      <c r="A60" s="763">
        <v>45496.0</v>
      </c>
      <c r="B60" s="878" t="s">
        <v>4818</v>
      </c>
      <c r="C60" s="878" t="s">
        <v>4859</v>
      </c>
      <c r="D60" s="879" t="s">
        <v>75</v>
      </c>
      <c r="E60" s="880" t="s">
        <v>4769</v>
      </c>
      <c r="F60" s="881">
        <v>70500.0</v>
      </c>
      <c r="G60" s="882"/>
      <c r="H60" s="349" t="s">
        <v>4841</v>
      </c>
      <c r="I60" s="866" t="str">
        <f t="shared" si="2"/>
        <v>NOT PAID</v>
      </c>
      <c r="J60" s="402"/>
      <c r="K60" s="402"/>
      <c r="L60" s="402"/>
      <c r="M60" s="402"/>
      <c r="N60" s="402"/>
      <c r="O60" s="402"/>
      <c r="P60" s="402"/>
      <c r="Q60" s="402"/>
      <c r="R60" s="402"/>
      <c r="S60" s="402"/>
      <c r="T60" s="402"/>
      <c r="U60" s="402"/>
      <c r="V60" s="402"/>
      <c r="W60" s="402"/>
      <c r="X60" s="402"/>
      <c r="Y60" s="402"/>
      <c r="Z60" s="402"/>
    </row>
    <row r="61" ht="14.25" customHeight="1">
      <c r="A61" s="763">
        <v>45496.0</v>
      </c>
      <c r="B61" s="878" t="s">
        <v>4819</v>
      </c>
      <c r="C61" s="878" t="s">
        <v>4860</v>
      </c>
      <c r="D61" s="879" t="s">
        <v>75</v>
      </c>
      <c r="E61" s="880" t="s">
        <v>4821</v>
      </c>
      <c r="F61" s="881">
        <v>120750.0</v>
      </c>
      <c r="G61" s="884">
        <v>121000.0</v>
      </c>
      <c r="H61" s="349" t="s">
        <v>267</v>
      </c>
      <c r="I61" s="866" t="str">
        <f t="shared" si="2"/>
        <v>FULLY PAID</v>
      </c>
      <c r="J61" s="402"/>
      <c r="K61" s="402"/>
      <c r="L61" s="402"/>
      <c r="M61" s="402"/>
      <c r="N61" s="402"/>
      <c r="O61" s="402"/>
      <c r="P61" s="402"/>
      <c r="Q61" s="402"/>
      <c r="R61" s="402"/>
      <c r="S61" s="402"/>
      <c r="T61" s="402"/>
      <c r="U61" s="402"/>
      <c r="V61" s="402"/>
      <c r="W61" s="402"/>
      <c r="X61" s="402"/>
      <c r="Y61" s="402"/>
      <c r="Z61" s="402"/>
    </row>
    <row r="62" ht="14.25" customHeight="1">
      <c r="A62" s="763">
        <v>45496.0</v>
      </c>
      <c r="B62" s="878" t="s">
        <v>4823</v>
      </c>
      <c r="C62" s="878" t="s">
        <v>4861</v>
      </c>
      <c r="D62" s="879" t="s">
        <v>75</v>
      </c>
      <c r="E62" s="880" t="s">
        <v>4769</v>
      </c>
      <c r="F62" s="881">
        <v>230000.0</v>
      </c>
      <c r="G62" s="882"/>
      <c r="H62" s="349" t="s">
        <v>4841</v>
      </c>
      <c r="I62" s="866" t="str">
        <f t="shared" si="2"/>
        <v>NOT PAID</v>
      </c>
      <c r="J62" s="402"/>
      <c r="K62" s="402"/>
      <c r="L62" s="402"/>
      <c r="M62" s="402"/>
      <c r="N62" s="402"/>
      <c r="O62" s="402"/>
      <c r="P62" s="402"/>
      <c r="Q62" s="402"/>
      <c r="R62" s="402"/>
      <c r="S62" s="402"/>
      <c r="T62" s="402"/>
      <c r="U62" s="402"/>
      <c r="V62" s="402"/>
      <c r="W62" s="402"/>
      <c r="X62" s="402"/>
      <c r="Y62" s="402"/>
      <c r="Z62" s="402"/>
    </row>
    <row r="63" ht="14.25" customHeight="1">
      <c r="A63" s="763">
        <v>45496.0</v>
      </c>
      <c r="B63" s="869" t="s">
        <v>4862</v>
      </c>
      <c r="C63" s="870" t="s">
        <v>4863</v>
      </c>
      <c r="D63" s="870" t="s">
        <v>54</v>
      </c>
      <c r="E63" s="880" t="s">
        <v>4769</v>
      </c>
      <c r="F63" s="885">
        <v>25748.23</v>
      </c>
      <c r="G63" s="882"/>
      <c r="H63" s="349" t="s">
        <v>4841</v>
      </c>
      <c r="I63" s="866" t="str">
        <f t="shared" si="2"/>
        <v>NOT PAID</v>
      </c>
      <c r="J63" s="402"/>
      <c r="K63" s="402"/>
      <c r="L63" s="402"/>
      <c r="M63" s="402"/>
      <c r="N63" s="402"/>
      <c r="O63" s="402"/>
      <c r="P63" s="402"/>
      <c r="Q63" s="402"/>
      <c r="R63" s="402"/>
      <c r="S63" s="402"/>
      <c r="T63" s="402"/>
      <c r="U63" s="402"/>
      <c r="V63" s="402"/>
      <c r="W63" s="402"/>
      <c r="X63" s="402"/>
      <c r="Y63" s="402"/>
      <c r="Z63" s="402"/>
    </row>
    <row r="64" ht="14.25" customHeight="1">
      <c r="A64" s="763">
        <v>45496.0</v>
      </c>
      <c r="B64" s="869" t="s">
        <v>4864</v>
      </c>
      <c r="C64" s="870" t="s">
        <v>4865</v>
      </c>
      <c r="D64" s="870" t="s">
        <v>54</v>
      </c>
      <c r="E64" s="880" t="s">
        <v>4769</v>
      </c>
      <c r="F64" s="885">
        <v>5157.13</v>
      </c>
      <c r="G64" s="882"/>
      <c r="H64" s="349" t="s">
        <v>4841</v>
      </c>
      <c r="I64" s="866" t="str">
        <f t="shared" si="2"/>
        <v>NOT PAID</v>
      </c>
      <c r="J64" s="402"/>
      <c r="K64" s="402"/>
      <c r="L64" s="402"/>
      <c r="M64" s="402"/>
      <c r="N64" s="402"/>
      <c r="O64" s="402"/>
      <c r="P64" s="402"/>
      <c r="Q64" s="402"/>
      <c r="R64" s="402"/>
      <c r="S64" s="402"/>
      <c r="T64" s="402"/>
      <c r="U64" s="402"/>
      <c r="V64" s="402"/>
      <c r="W64" s="402"/>
      <c r="X64" s="402"/>
      <c r="Y64" s="402"/>
      <c r="Z64" s="402"/>
    </row>
    <row r="65" ht="14.25" customHeight="1">
      <c r="A65" s="763">
        <v>45496.0</v>
      </c>
      <c r="B65" s="869" t="s">
        <v>4866</v>
      </c>
      <c r="C65" s="870" t="s">
        <v>4867</v>
      </c>
      <c r="D65" s="870" t="s">
        <v>54</v>
      </c>
      <c r="E65" s="880" t="s">
        <v>4772</v>
      </c>
      <c r="F65" s="886">
        <v>15415.0</v>
      </c>
      <c r="G65" s="882"/>
      <c r="H65" s="349" t="s">
        <v>4841</v>
      </c>
      <c r="I65" s="866" t="str">
        <f t="shared" si="2"/>
        <v>NOT PAID</v>
      </c>
      <c r="J65" s="402"/>
      <c r="K65" s="402"/>
      <c r="L65" s="402"/>
      <c r="M65" s="402"/>
      <c r="N65" s="402"/>
      <c r="O65" s="402"/>
      <c r="P65" s="402"/>
      <c r="Q65" s="402"/>
      <c r="R65" s="402"/>
      <c r="S65" s="402"/>
      <c r="T65" s="402"/>
      <c r="U65" s="402"/>
      <c r="V65" s="402"/>
      <c r="W65" s="402"/>
      <c r="X65" s="402"/>
      <c r="Y65" s="402"/>
      <c r="Z65" s="402"/>
    </row>
    <row r="66" ht="14.25" customHeight="1">
      <c r="A66" s="763"/>
      <c r="B66" s="500"/>
      <c r="C66" s="402"/>
      <c r="D66" s="402"/>
      <c r="E66" s="868"/>
      <c r="F66" s="587"/>
      <c r="G66" s="403"/>
      <c r="H66" s="402"/>
      <c r="I66" s="866"/>
      <c r="J66" s="402"/>
      <c r="K66" s="402"/>
      <c r="L66" s="402"/>
      <c r="M66" s="402"/>
      <c r="N66" s="402"/>
      <c r="O66" s="402"/>
      <c r="P66" s="402"/>
      <c r="Q66" s="402"/>
      <c r="R66" s="402"/>
      <c r="S66" s="402"/>
      <c r="T66" s="402"/>
      <c r="U66" s="402"/>
      <c r="V66" s="402"/>
      <c r="W66" s="402"/>
      <c r="X66" s="402"/>
      <c r="Y66" s="402"/>
      <c r="Z66" s="402"/>
    </row>
    <row r="67" ht="14.25" customHeight="1">
      <c r="A67" s="402"/>
      <c r="B67" s="500"/>
      <c r="C67" s="424" t="s">
        <v>797</v>
      </c>
      <c r="D67" s="402"/>
      <c r="E67" s="868"/>
      <c r="F67" s="587"/>
      <c r="G67" s="403"/>
      <c r="H67" s="402"/>
      <c r="I67" s="866"/>
      <c r="J67" s="402"/>
      <c r="K67" s="402"/>
      <c r="L67" s="402"/>
      <c r="M67" s="402"/>
      <c r="N67" s="402"/>
      <c r="O67" s="402"/>
      <c r="P67" s="402"/>
      <c r="Q67" s="402"/>
      <c r="R67" s="402"/>
      <c r="S67" s="402"/>
      <c r="T67" s="402"/>
      <c r="U67" s="402"/>
      <c r="V67" s="402"/>
      <c r="W67" s="402"/>
      <c r="X67" s="402"/>
      <c r="Y67" s="402"/>
      <c r="Z67" s="402"/>
    </row>
    <row r="68" ht="14.25" customHeight="1">
      <c r="A68" s="763">
        <v>45496.0</v>
      </c>
      <c r="B68" s="631" t="s">
        <v>4781</v>
      </c>
      <c r="C68" s="631" t="s">
        <v>4827</v>
      </c>
      <c r="D68" s="631" t="s">
        <v>54</v>
      </c>
      <c r="E68" s="887" t="s">
        <v>578</v>
      </c>
      <c r="F68" s="885">
        <v>94882.0</v>
      </c>
      <c r="G68" s="403"/>
      <c r="H68" s="402"/>
      <c r="I68" s="866" t="str">
        <f t="shared" ref="I68:I73" si="3">IF(G68&gt;=F68,"FULLY PAID",IF(G68=0,"NOT PAID","PARTIALLY PAID"))</f>
        <v>NOT PAID</v>
      </c>
      <c r="J68" s="402"/>
      <c r="K68" s="402"/>
      <c r="L68" s="402"/>
      <c r="M68" s="402"/>
      <c r="N68" s="402"/>
      <c r="O68" s="402"/>
      <c r="P68" s="402"/>
      <c r="Q68" s="402"/>
      <c r="R68" s="402"/>
      <c r="S68" s="402"/>
      <c r="T68" s="402"/>
      <c r="U68" s="402"/>
      <c r="V68" s="402"/>
      <c r="W68" s="402"/>
      <c r="X68" s="402"/>
      <c r="Y68" s="402"/>
      <c r="Z68" s="402"/>
    </row>
    <row r="69" ht="14.25" customHeight="1">
      <c r="A69" s="763">
        <v>45496.0</v>
      </c>
      <c r="B69" s="888" t="s">
        <v>4767</v>
      </c>
      <c r="C69" s="889" t="s">
        <v>4861</v>
      </c>
      <c r="D69" s="631" t="s">
        <v>59</v>
      </c>
      <c r="E69" s="887" t="s">
        <v>578</v>
      </c>
      <c r="F69" s="890">
        <v>136606.17</v>
      </c>
      <c r="G69" s="403"/>
      <c r="H69" s="349" t="s">
        <v>4838</v>
      </c>
      <c r="I69" s="866" t="str">
        <f t="shared" si="3"/>
        <v>NOT PAID</v>
      </c>
      <c r="J69" s="402"/>
      <c r="K69" s="402"/>
      <c r="L69" s="402"/>
      <c r="M69" s="402"/>
      <c r="N69" s="402"/>
      <c r="O69" s="402"/>
      <c r="P69" s="402"/>
      <c r="Q69" s="402"/>
      <c r="R69" s="402"/>
      <c r="S69" s="402"/>
      <c r="T69" s="402"/>
      <c r="U69" s="402"/>
      <c r="V69" s="402"/>
      <c r="W69" s="402"/>
      <c r="X69" s="402"/>
      <c r="Y69" s="402"/>
      <c r="Z69" s="402"/>
    </row>
    <row r="70" ht="14.25" customHeight="1">
      <c r="A70" s="763">
        <v>45496.0</v>
      </c>
      <c r="B70" s="631" t="s">
        <v>4830</v>
      </c>
      <c r="C70" s="631" t="s">
        <v>4831</v>
      </c>
      <c r="D70" s="631" t="s">
        <v>1030</v>
      </c>
      <c r="E70" s="887" t="s">
        <v>578</v>
      </c>
      <c r="F70" s="885">
        <v>78322.73</v>
      </c>
      <c r="G70" s="403"/>
      <c r="H70" s="402"/>
      <c r="I70" s="866" t="str">
        <f t="shared" si="3"/>
        <v>NOT PAID</v>
      </c>
      <c r="J70" s="402"/>
      <c r="K70" s="402"/>
      <c r="L70" s="402"/>
      <c r="M70" s="402"/>
      <c r="N70" s="402"/>
      <c r="O70" s="402"/>
      <c r="P70" s="402"/>
      <c r="Q70" s="402"/>
      <c r="R70" s="402"/>
      <c r="S70" s="402"/>
      <c r="T70" s="402"/>
      <c r="U70" s="402"/>
      <c r="V70" s="402"/>
      <c r="W70" s="402"/>
      <c r="X70" s="402"/>
      <c r="Y70" s="402"/>
      <c r="Z70" s="402"/>
    </row>
    <row r="71" ht="14.25" customHeight="1">
      <c r="A71" s="763">
        <v>45496.0</v>
      </c>
      <c r="B71" s="631" t="s">
        <v>4797</v>
      </c>
      <c r="C71" s="631" t="s">
        <v>4868</v>
      </c>
      <c r="D71" s="631" t="s">
        <v>54</v>
      </c>
      <c r="E71" s="887" t="s">
        <v>578</v>
      </c>
      <c r="F71" s="885">
        <v>296470.66</v>
      </c>
      <c r="G71" s="403"/>
      <c r="H71" s="402"/>
      <c r="I71" s="866" t="str">
        <f t="shared" si="3"/>
        <v>NOT PAID</v>
      </c>
      <c r="J71" s="402"/>
      <c r="K71" s="402"/>
      <c r="L71" s="402"/>
      <c r="M71" s="402"/>
      <c r="N71" s="402"/>
      <c r="O71" s="402"/>
      <c r="P71" s="402"/>
      <c r="Q71" s="402"/>
      <c r="R71" s="402"/>
      <c r="S71" s="402"/>
      <c r="T71" s="402"/>
      <c r="U71" s="402"/>
      <c r="V71" s="402"/>
      <c r="W71" s="402"/>
      <c r="X71" s="402"/>
      <c r="Y71" s="402"/>
      <c r="Z71" s="402"/>
    </row>
    <row r="72" ht="14.25" customHeight="1">
      <c r="A72" s="763">
        <v>45496.0</v>
      </c>
      <c r="B72" s="631" t="s">
        <v>4547</v>
      </c>
      <c r="C72" s="631" t="s">
        <v>4836</v>
      </c>
      <c r="D72" s="631" t="s">
        <v>59</v>
      </c>
      <c r="E72" s="887" t="s">
        <v>578</v>
      </c>
      <c r="F72" s="885">
        <v>635602.51</v>
      </c>
      <c r="G72" s="403"/>
      <c r="H72" s="402"/>
      <c r="I72" s="866" t="str">
        <f t="shared" si="3"/>
        <v>NOT PAID</v>
      </c>
      <c r="J72" s="402"/>
      <c r="K72" s="402"/>
      <c r="L72" s="402"/>
      <c r="M72" s="402"/>
      <c r="N72" s="402"/>
      <c r="O72" s="402"/>
      <c r="P72" s="402"/>
      <c r="Q72" s="402"/>
      <c r="R72" s="402"/>
      <c r="S72" s="402"/>
      <c r="T72" s="402"/>
      <c r="U72" s="402"/>
      <c r="V72" s="402"/>
      <c r="W72" s="402"/>
      <c r="X72" s="402"/>
      <c r="Y72" s="402"/>
      <c r="Z72" s="402"/>
    </row>
    <row r="73" ht="14.25" customHeight="1">
      <c r="A73" s="763">
        <v>45496.0</v>
      </c>
      <c r="B73" s="631" t="s">
        <v>4869</v>
      </c>
      <c r="C73" s="631" t="s">
        <v>4870</v>
      </c>
      <c r="D73" s="631" t="s">
        <v>54</v>
      </c>
      <c r="E73" s="887" t="s">
        <v>578</v>
      </c>
      <c r="F73" s="885">
        <v>126571.3</v>
      </c>
      <c r="G73" s="403"/>
      <c r="H73" s="402"/>
      <c r="I73" s="866" t="str">
        <f t="shared" si="3"/>
        <v>NOT PAID</v>
      </c>
      <c r="J73" s="402"/>
      <c r="K73" s="402"/>
      <c r="L73" s="402"/>
      <c r="M73" s="402"/>
      <c r="N73" s="402"/>
      <c r="O73" s="402"/>
      <c r="P73" s="402"/>
      <c r="Q73" s="402"/>
      <c r="R73" s="402"/>
      <c r="S73" s="402"/>
      <c r="T73" s="402"/>
      <c r="U73" s="402"/>
      <c r="V73" s="402"/>
      <c r="W73" s="402"/>
      <c r="X73" s="402"/>
      <c r="Y73" s="402"/>
      <c r="Z73" s="402"/>
    </row>
    <row r="74" ht="14.25" customHeight="1">
      <c r="A74" s="402"/>
      <c r="B74" s="500"/>
      <c r="C74" s="402"/>
      <c r="D74" s="402"/>
      <c r="E74" s="868"/>
      <c r="F74" s="587"/>
      <c r="G74" s="403"/>
      <c r="H74" s="402"/>
      <c r="I74" s="866"/>
      <c r="J74" s="402"/>
      <c r="K74" s="402"/>
      <c r="L74" s="402"/>
      <c r="M74" s="402"/>
      <c r="N74" s="402"/>
      <c r="O74" s="402"/>
      <c r="P74" s="402"/>
      <c r="Q74" s="402"/>
      <c r="R74" s="402"/>
      <c r="S74" s="402"/>
      <c r="T74" s="402"/>
      <c r="U74" s="402"/>
      <c r="V74" s="402"/>
      <c r="W74" s="402"/>
      <c r="X74" s="402"/>
      <c r="Y74" s="402"/>
      <c r="Z74" s="402"/>
    </row>
    <row r="75" ht="14.25" customHeight="1">
      <c r="A75" s="402"/>
      <c r="B75" s="500"/>
      <c r="C75" s="402"/>
      <c r="D75" s="402"/>
      <c r="E75" s="868"/>
      <c r="F75" s="587"/>
      <c r="G75" s="403"/>
      <c r="H75" s="402"/>
      <c r="I75" s="866"/>
      <c r="J75" s="402"/>
      <c r="K75" s="402"/>
      <c r="L75" s="402"/>
      <c r="M75" s="402"/>
      <c r="N75" s="402"/>
      <c r="O75" s="402"/>
      <c r="P75" s="402"/>
      <c r="Q75" s="402"/>
      <c r="R75" s="402"/>
      <c r="S75" s="402"/>
      <c r="T75" s="402"/>
      <c r="U75" s="402"/>
      <c r="V75" s="402"/>
      <c r="W75" s="402"/>
      <c r="X75" s="402"/>
      <c r="Y75" s="402"/>
      <c r="Z75" s="402"/>
    </row>
    <row r="76" ht="14.25" customHeight="1">
      <c r="A76" s="584" t="s">
        <v>2130</v>
      </c>
      <c r="B76" s="877" t="s">
        <v>39</v>
      </c>
      <c r="C76" s="584" t="s">
        <v>48</v>
      </c>
      <c r="D76" s="584" t="s">
        <v>49</v>
      </c>
      <c r="E76" s="862" t="s">
        <v>50</v>
      </c>
      <c r="F76" s="585" t="s">
        <v>2</v>
      </c>
      <c r="G76" s="584" t="s">
        <v>44</v>
      </c>
      <c r="H76" s="584" t="s">
        <v>45</v>
      </c>
      <c r="I76" s="866"/>
      <c r="J76" s="402"/>
      <c r="K76" s="402"/>
      <c r="L76" s="402"/>
      <c r="M76" s="402"/>
      <c r="N76" s="402"/>
      <c r="O76" s="402"/>
      <c r="P76" s="402"/>
      <c r="Q76" s="402"/>
      <c r="R76" s="402"/>
      <c r="S76" s="402"/>
      <c r="T76" s="402"/>
      <c r="U76" s="402"/>
      <c r="V76" s="402"/>
      <c r="W76" s="402"/>
      <c r="X76" s="402"/>
      <c r="Y76" s="402"/>
      <c r="Z76" s="402"/>
    </row>
    <row r="77" ht="14.25" customHeight="1">
      <c r="A77" s="763">
        <v>45497.0</v>
      </c>
      <c r="B77" s="878" t="s">
        <v>4823</v>
      </c>
      <c r="C77" s="878" t="s">
        <v>4837</v>
      </c>
      <c r="D77" s="879" t="s">
        <v>75</v>
      </c>
      <c r="E77" s="880" t="s">
        <v>4769</v>
      </c>
      <c r="F77" s="881">
        <v>71085.16</v>
      </c>
      <c r="G77" s="413">
        <v>241500.0</v>
      </c>
      <c r="H77" s="349" t="s">
        <v>267</v>
      </c>
      <c r="I77" s="866" t="str">
        <f t="shared" ref="I77:I95" si="4">IF(G77&gt;=F77,"FULLY PAID",IF(G77=0,"NOT PAID","PARTIALLY PAID"))</f>
        <v>FULLY PAID</v>
      </c>
      <c r="J77" s="402"/>
      <c r="K77" s="402"/>
      <c r="L77" s="402"/>
      <c r="M77" s="402"/>
      <c r="N77" s="402"/>
      <c r="O77" s="402"/>
      <c r="P77" s="402"/>
      <c r="Q77" s="402"/>
      <c r="R77" s="402"/>
      <c r="S77" s="402"/>
      <c r="T77" s="402"/>
      <c r="U77" s="402"/>
      <c r="V77" s="402"/>
      <c r="W77" s="402"/>
      <c r="X77" s="402"/>
      <c r="Y77" s="402"/>
      <c r="Z77" s="402"/>
    </row>
    <row r="78" ht="14.25" customHeight="1">
      <c r="A78" s="763">
        <v>45497.0</v>
      </c>
      <c r="B78" s="878" t="s">
        <v>4773</v>
      </c>
      <c r="C78" s="878" t="s">
        <v>4839</v>
      </c>
      <c r="D78" s="883" t="s">
        <v>54</v>
      </c>
      <c r="E78" s="880" t="s">
        <v>4772</v>
      </c>
      <c r="F78" s="881">
        <v>806.19</v>
      </c>
      <c r="G78" s="403"/>
      <c r="H78" s="349" t="s">
        <v>2263</v>
      </c>
      <c r="I78" s="866" t="str">
        <f t="shared" si="4"/>
        <v>NOT PAID</v>
      </c>
      <c r="J78" s="402"/>
      <c r="K78" s="402"/>
      <c r="L78" s="402"/>
      <c r="M78" s="402"/>
      <c r="N78" s="402"/>
      <c r="O78" s="402"/>
      <c r="P78" s="402"/>
      <c r="Q78" s="402"/>
      <c r="R78" s="402"/>
      <c r="S78" s="402"/>
      <c r="T78" s="402"/>
      <c r="U78" s="402"/>
      <c r="V78" s="402"/>
      <c r="W78" s="402"/>
      <c r="X78" s="402"/>
      <c r="Y78" s="402"/>
      <c r="Z78" s="402"/>
    </row>
    <row r="79" ht="14.25" customHeight="1">
      <c r="A79" s="763">
        <v>45497.0</v>
      </c>
      <c r="B79" s="878" t="s">
        <v>4775</v>
      </c>
      <c r="C79" s="878" t="s">
        <v>4840</v>
      </c>
      <c r="D79" s="879" t="s">
        <v>59</v>
      </c>
      <c r="E79" s="880" t="s">
        <v>4769</v>
      </c>
      <c r="F79" s="881">
        <v>148012.14</v>
      </c>
      <c r="G79" s="403"/>
      <c r="H79" s="349" t="s">
        <v>2263</v>
      </c>
      <c r="I79" s="866" t="str">
        <f t="shared" si="4"/>
        <v>NOT PAID</v>
      </c>
      <c r="J79" s="402"/>
      <c r="K79" s="402"/>
      <c r="L79" s="402"/>
      <c r="M79" s="402"/>
      <c r="N79" s="402"/>
      <c r="O79" s="402"/>
      <c r="P79" s="402"/>
      <c r="Q79" s="402"/>
      <c r="R79" s="402"/>
      <c r="S79" s="402"/>
      <c r="T79" s="402"/>
      <c r="U79" s="402"/>
      <c r="V79" s="402"/>
      <c r="W79" s="402"/>
      <c r="X79" s="402"/>
      <c r="Y79" s="402"/>
      <c r="Z79" s="402"/>
    </row>
    <row r="80" ht="14.25" customHeight="1">
      <c r="A80" s="763">
        <v>45497.0</v>
      </c>
      <c r="B80" s="878" t="s">
        <v>4871</v>
      </c>
      <c r="C80" s="878" t="s">
        <v>4872</v>
      </c>
      <c r="D80" s="879" t="s">
        <v>54</v>
      </c>
      <c r="E80" s="880" t="s">
        <v>4772</v>
      </c>
      <c r="F80" s="881">
        <v>1196.48</v>
      </c>
      <c r="G80" s="413">
        <v>27650.0</v>
      </c>
      <c r="H80" s="349" t="s">
        <v>710</v>
      </c>
      <c r="I80" s="866" t="str">
        <f t="shared" si="4"/>
        <v>FULLY PAID</v>
      </c>
      <c r="J80" s="402"/>
      <c r="K80" s="402"/>
      <c r="L80" s="402"/>
      <c r="M80" s="402"/>
      <c r="N80" s="402"/>
      <c r="O80" s="402"/>
      <c r="P80" s="402"/>
      <c r="Q80" s="402"/>
      <c r="R80" s="402"/>
      <c r="S80" s="402"/>
      <c r="T80" s="402"/>
      <c r="U80" s="402"/>
      <c r="V80" s="402"/>
      <c r="W80" s="402"/>
      <c r="X80" s="402"/>
      <c r="Y80" s="402"/>
      <c r="Z80" s="402"/>
    </row>
    <row r="81" ht="14.25" customHeight="1">
      <c r="A81" s="763">
        <v>45497.0</v>
      </c>
      <c r="B81" s="878" t="s">
        <v>4779</v>
      </c>
      <c r="C81" s="878" t="s">
        <v>4843</v>
      </c>
      <c r="D81" s="879" t="s">
        <v>54</v>
      </c>
      <c r="E81" s="880" t="s">
        <v>4772</v>
      </c>
      <c r="F81" s="881">
        <v>2682.6</v>
      </c>
      <c r="G81" s="403"/>
      <c r="H81" s="349" t="s">
        <v>2263</v>
      </c>
      <c r="I81" s="866" t="str">
        <f t="shared" si="4"/>
        <v>NOT PAID</v>
      </c>
      <c r="J81" s="402"/>
      <c r="K81" s="402"/>
      <c r="L81" s="402"/>
      <c r="M81" s="402"/>
      <c r="N81" s="402"/>
      <c r="O81" s="402"/>
      <c r="P81" s="402"/>
      <c r="Q81" s="402"/>
      <c r="R81" s="402"/>
      <c r="S81" s="402"/>
      <c r="T81" s="402"/>
      <c r="U81" s="402"/>
      <c r="V81" s="402"/>
      <c r="W81" s="402"/>
      <c r="X81" s="402"/>
      <c r="Y81" s="402"/>
      <c r="Z81" s="402"/>
    </row>
    <row r="82" ht="14.25" customHeight="1">
      <c r="A82" s="763">
        <v>45497.0</v>
      </c>
      <c r="B82" s="878" t="s">
        <v>4783</v>
      </c>
      <c r="C82" s="878" t="s">
        <v>4844</v>
      </c>
      <c r="D82" s="879" t="s">
        <v>54</v>
      </c>
      <c r="E82" s="880" t="s">
        <v>4769</v>
      </c>
      <c r="F82" s="881">
        <v>8290.94</v>
      </c>
      <c r="G82" s="403"/>
      <c r="H82" s="349" t="s">
        <v>4873</v>
      </c>
      <c r="I82" s="866" t="str">
        <f t="shared" si="4"/>
        <v>NOT PAID</v>
      </c>
      <c r="J82" s="402"/>
      <c r="K82" s="402"/>
      <c r="L82" s="402"/>
      <c r="M82" s="402"/>
      <c r="N82" s="402"/>
      <c r="O82" s="402"/>
      <c r="P82" s="402"/>
      <c r="Q82" s="402"/>
      <c r="R82" s="402"/>
      <c r="S82" s="402"/>
      <c r="T82" s="402"/>
      <c r="U82" s="402"/>
      <c r="V82" s="402"/>
      <c r="W82" s="402"/>
      <c r="X82" s="402"/>
      <c r="Y82" s="402"/>
      <c r="Z82" s="402"/>
    </row>
    <row r="83" ht="14.25" customHeight="1">
      <c r="A83" s="763">
        <v>45497.0</v>
      </c>
      <c r="B83" s="878" t="s">
        <v>4785</v>
      </c>
      <c r="C83" s="878" t="s">
        <v>4845</v>
      </c>
      <c r="D83" s="879" t="s">
        <v>54</v>
      </c>
      <c r="E83" s="880" t="s">
        <v>4769</v>
      </c>
      <c r="F83" s="881">
        <v>45327.03</v>
      </c>
      <c r="G83" s="403"/>
      <c r="H83" s="349" t="s">
        <v>267</v>
      </c>
      <c r="I83" s="866" t="str">
        <f t="shared" si="4"/>
        <v>NOT PAID</v>
      </c>
      <c r="J83" s="402"/>
      <c r="K83" s="402"/>
      <c r="L83" s="402"/>
      <c r="M83" s="402"/>
      <c r="N83" s="402"/>
      <c r="O83" s="402"/>
      <c r="P83" s="402"/>
      <c r="Q83" s="402"/>
      <c r="R83" s="402"/>
      <c r="S83" s="402"/>
      <c r="T83" s="402"/>
      <c r="U83" s="402"/>
      <c r="V83" s="402"/>
      <c r="W83" s="402"/>
      <c r="X83" s="402"/>
      <c r="Y83" s="402"/>
      <c r="Z83" s="402"/>
    </row>
    <row r="84" ht="14.25" customHeight="1">
      <c r="A84" s="763">
        <v>45497.0</v>
      </c>
      <c r="B84" s="878" t="s">
        <v>4787</v>
      </c>
      <c r="C84" s="878" t="s">
        <v>4846</v>
      </c>
      <c r="D84" s="879" t="s">
        <v>54</v>
      </c>
      <c r="E84" s="880" t="s">
        <v>4769</v>
      </c>
      <c r="F84" s="881">
        <v>5101.86</v>
      </c>
      <c r="G84" s="891">
        <v>7051.0</v>
      </c>
      <c r="H84" s="349" t="s">
        <v>772</v>
      </c>
      <c r="I84" s="866" t="str">
        <f t="shared" si="4"/>
        <v>FULLY PAID</v>
      </c>
      <c r="J84" s="402"/>
      <c r="K84" s="402"/>
      <c r="L84" s="402"/>
      <c r="M84" s="402"/>
      <c r="N84" s="402"/>
      <c r="O84" s="402"/>
      <c r="P84" s="402"/>
      <c r="Q84" s="402"/>
      <c r="R84" s="402"/>
      <c r="S84" s="402"/>
      <c r="T84" s="402"/>
      <c r="U84" s="402"/>
      <c r="V84" s="402"/>
      <c r="W84" s="402"/>
      <c r="X84" s="402"/>
      <c r="Y84" s="402"/>
      <c r="Z84" s="402"/>
    </row>
    <row r="85" ht="14.25" customHeight="1">
      <c r="A85" s="763">
        <v>45497.0</v>
      </c>
      <c r="B85" s="878" t="s">
        <v>4791</v>
      </c>
      <c r="C85" s="878" t="s">
        <v>4850</v>
      </c>
      <c r="D85" s="879" t="s">
        <v>54</v>
      </c>
      <c r="E85" s="880" t="s">
        <v>4769</v>
      </c>
      <c r="F85" s="881">
        <v>3232.66</v>
      </c>
      <c r="G85" s="403"/>
      <c r="H85" s="349" t="s">
        <v>2263</v>
      </c>
      <c r="I85" s="866" t="str">
        <f t="shared" si="4"/>
        <v>NOT PAID</v>
      </c>
      <c r="J85" s="402"/>
      <c r="K85" s="402"/>
      <c r="L85" s="402"/>
      <c r="M85" s="402"/>
      <c r="N85" s="402"/>
      <c r="O85" s="402"/>
      <c r="P85" s="402"/>
      <c r="Q85" s="402"/>
      <c r="R85" s="402"/>
      <c r="S85" s="402"/>
      <c r="T85" s="402"/>
      <c r="U85" s="402"/>
      <c r="V85" s="402"/>
      <c r="W85" s="402"/>
      <c r="X85" s="402"/>
      <c r="Y85" s="402"/>
      <c r="Z85" s="402"/>
    </row>
    <row r="86" ht="14.25" customHeight="1">
      <c r="A86" s="763">
        <v>45497.0</v>
      </c>
      <c r="B86" s="878" t="s">
        <v>4793</v>
      </c>
      <c r="C86" s="878" t="s">
        <v>4851</v>
      </c>
      <c r="D86" s="883" t="s">
        <v>54</v>
      </c>
      <c r="E86" s="880" t="s">
        <v>4769</v>
      </c>
      <c r="F86" s="881">
        <v>192.85</v>
      </c>
      <c r="G86" s="403"/>
      <c r="H86" s="349" t="s">
        <v>2263</v>
      </c>
      <c r="I86" s="866" t="str">
        <f t="shared" si="4"/>
        <v>NOT PAID</v>
      </c>
      <c r="J86" s="402"/>
      <c r="K86" s="402"/>
      <c r="L86" s="402"/>
      <c r="M86" s="402"/>
      <c r="N86" s="402"/>
      <c r="O86" s="402"/>
      <c r="P86" s="402"/>
      <c r="Q86" s="402"/>
      <c r="R86" s="402"/>
      <c r="S86" s="402"/>
      <c r="T86" s="402"/>
      <c r="U86" s="402"/>
      <c r="V86" s="402"/>
      <c r="W86" s="402"/>
      <c r="X86" s="402"/>
      <c r="Y86" s="402"/>
      <c r="Z86" s="402"/>
    </row>
    <row r="87" ht="14.25" customHeight="1">
      <c r="A87" s="763">
        <v>45497.0</v>
      </c>
      <c r="B87" s="878" t="s">
        <v>4795</v>
      </c>
      <c r="C87" s="878" t="s">
        <v>4852</v>
      </c>
      <c r="D87" s="879" t="s">
        <v>54</v>
      </c>
      <c r="E87" s="880" t="s">
        <v>4769</v>
      </c>
      <c r="F87" s="881">
        <v>21342.75</v>
      </c>
      <c r="G87" s="403"/>
      <c r="H87" s="349" t="s">
        <v>2263</v>
      </c>
      <c r="I87" s="866" t="str">
        <f t="shared" si="4"/>
        <v>NOT PAID</v>
      </c>
      <c r="J87" s="402"/>
      <c r="K87" s="402"/>
      <c r="L87" s="402"/>
      <c r="M87" s="402"/>
      <c r="N87" s="402"/>
      <c r="O87" s="402"/>
      <c r="P87" s="402"/>
      <c r="Q87" s="402"/>
      <c r="R87" s="402"/>
      <c r="S87" s="402"/>
      <c r="T87" s="402"/>
      <c r="U87" s="402"/>
      <c r="V87" s="402"/>
      <c r="W87" s="402"/>
      <c r="X87" s="402"/>
      <c r="Y87" s="402"/>
      <c r="Z87" s="402"/>
    </row>
    <row r="88" ht="14.25" customHeight="1">
      <c r="A88" s="763">
        <v>45497.0</v>
      </c>
      <c r="B88" s="878" t="s">
        <v>4800</v>
      </c>
      <c r="C88" s="878" t="s">
        <v>758</v>
      </c>
      <c r="D88" s="879" t="s">
        <v>59</v>
      </c>
      <c r="E88" s="880" t="s">
        <v>4772</v>
      </c>
      <c r="F88" s="881">
        <v>195465.41</v>
      </c>
      <c r="G88" s="403"/>
      <c r="H88" s="349" t="s">
        <v>2263</v>
      </c>
      <c r="I88" s="866" t="str">
        <f t="shared" si="4"/>
        <v>NOT PAID</v>
      </c>
      <c r="J88" s="402"/>
      <c r="K88" s="402"/>
      <c r="L88" s="402"/>
      <c r="M88" s="402"/>
      <c r="N88" s="402"/>
      <c r="O88" s="402"/>
      <c r="P88" s="402"/>
      <c r="Q88" s="402"/>
      <c r="R88" s="402"/>
      <c r="S88" s="402"/>
      <c r="T88" s="402"/>
      <c r="U88" s="402"/>
      <c r="V88" s="402"/>
      <c r="W88" s="402"/>
      <c r="X88" s="402"/>
      <c r="Y88" s="402"/>
      <c r="Z88" s="402"/>
    </row>
    <row r="89" ht="14.25" customHeight="1">
      <c r="A89" s="763">
        <v>45497.0</v>
      </c>
      <c r="B89" s="878" t="s">
        <v>4803</v>
      </c>
      <c r="C89" s="878" t="s">
        <v>4853</v>
      </c>
      <c r="D89" s="879" t="s">
        <v>54</v>
      </c>
      <c r="E89" s="880" t="s">
        <v>4772</v>
      </c>
      <c r="F89" s="881">
        <v>27230.76</v>
      </c>
      <c r="G89" s="403"/>
      <c r="H89" s="349" t="s">
        <v>4874</v>
      </c>
      <c r="I89" s="866" t="str">
        <f t="shared" si="4"/>
        <v>NOT PAID</v>
      </c>
      <c r="J89" s="402"/>
      <c r="K89" s="402"/>
      <c r="L89" s="402"/>
      <c r="M89" s="402"/>
      <c r="N89" s="402"/>
      <c r="O89" s="402"/>
      <c r="P89" s="402"/>
      <c r="Q89" s="402"/>
      <c r="R89" s="402"/>
      <c r="S89" s="402"/>
      <c r="T89" s="402"/>
      <c r="U89" s="402"/>
      <c r="V89" s="402"/>
      <c r="W89" s="402"/>
      <c r="X89" s="402"/>
      <c r="Y89" s="402"/>
      <c r="Z89" s="402"/>
    </row>
    <row r="90" ht="14.25" customHeight="1">
      <c r="A90" s="763">
        <v>45497.0</v>
      </c>
      <c r="B90" s="878" t="s">
        <v>4805</v>
      </c>
      <c r="C90" s="878" t="s">
        <v>4854</v>
      </c>
      <c r="D90" s="879" t="s">
        <v>54</v>
      </c>
      <c r="E90" s="880" t="s">
        <v>4769</v>
      </c>
      <c r="F90" s="881">
        <v>59108.55</v>
      </c>
      <c r="G90" s="413"/>
      <c r="H90" s="349" t="s">
        <v>4875</v>
      </c>
      <c r="I90" s="866" t="str">
        <f t="shared" si="4"/>
        <v>NOT PAID</v>
      </c>
      <c r="J90" s="402"/>
      <c r="K90" s="402"/>
      <c r="L90" s="402"/>
      <c r="M90" s="402"/>
      <c r="N90" s="402"/>
      <c r="O90" s="402"/>
      <c r="P90" s="402"/>
      <c r="Q90" s="402"/>
      <c r="R90" s="402"/>
      <c r="S90" s="402"/>
      <c r="T90" s="402"/>
      <c r="U90" s="402"/>
      <c r="V90" s="402"/>
      <c r="W90" s="402"/>
      <c r="X90" s="402"/>
      <c r="Y90" s="402"/>
      <c r="Z90" s="402"/>
    </row>
    <row r="91" ht="14.25" customHeight="1">
      <c r="A91" s="763">
        <v>45497.0</v>
      </c>
      <c r="B91" s="878" t="s">
        <v>4809</v>
      </c>
      <c r="C91" s="878" t="s">
        <v>4855</v>
      </c>
      <c r="D91" s="879" t="s">
        <v>54</v>
      </c>
      <c r="E91" s="880" t="s">
        <v>4772</v>
      </c>
      <c r="F91" s="881">
        <v>50283.4</v>
      </c>
      <c r="G91" s="413"/>
      <c r="H91" s="349" t="s">
        <v>4876</v>
      </c>
      <c r="I91" s="866" t="str">
        <f t="shared" si="4"/>
        <v>NOT PAID</v>
      </c>
      <c r="J91" s="402"/>
      <c r="K91" s="402"/>
      <c r="L91" s="402"/>
      <c r="M91" s="402"/>
      <c r="N91" s="402"/>
      <c r="O91" s="402"/>
      <c r="P91" s="402"/>
      <c r="Q91" s="402"/>
      <c r="R91" s="402"/>
      <c r="S91" s="402"/>
      <c r="T91" s="402"/>
      <c r="U91" s="402"/>
      <c r="V91" s="402"/>
      <c r="W91" s="402"/>
      <c r="X91" s="402"/>
      <c r="Y91" s="402"/>
      <c r="Z91" s="402"/>
    </row>
    <row r="92" ht="14.25" customHeight="1">
      <c r="A92" s="763">
        <v>45497.0</v>
      </c>
      <c r="B92" s="878" t="s">
        <v>4823</v>
      </c>
      <c r="C92" s="878" t="s">
        <v>4861</v>
      </c>
      <c r="D92" s="879" t="s">
        <v>75</v>
      </c>
      <c r="E92" s="880" t="s">
        <v>4769</v>
      </c>
      <c r="F92" s="881">
        <v>230000.0</v>
      </c>
      <c r="G92" s="403"/>
      <c r="H92" s="349" t="s">
        <v>710</v>
      </c>
      <c r="I92" s="866" t="str">
        <f t="shared" si="4"/>
        <v>NOT PAID</v>
      </c>
      <c r="J92" s="402"/>
      <c r="K92" s="402"/>
      <c r="L92" s="402"/>
      <c r="M92" s="402"/>
      <c r="N92" s="402"/>
      <c r="O92" s="402"/>
      <c r="P92" s="402"/>
      <c r="Q92" s="402"/>
      <c r="R92" s="402"/>
      <c r="S92" s="402"/>
      <c r="T92" s="402"/>
      <c r="U92" s="402"/>
      <c r="V92" s="402"/>
      <c r="W92" s="402"/>
      <c r="X92" s="402"/>
      <c r="Y92" s="402"/>
      <c r="Z92" s="402"/>
    </row>
    <row r="93" ht="14.25" customHeight="1">
      <c r="A93" s="763">
        <v>45497.0</v>
      </c>
      <c r="B93" s="869" t="s">
        <v>4862</v>
      </c>
      <c r="C93" s="870" t="s">
        <v>4863</v>
      </c>
      <c r="D93" s="870" t="s">
        <v>54</v>
      </c>
      <c r="E93" s="880" t="s">
        <v>4769</v>
      </c>
      <c r="F93" s="885">
        <v>25748.23</v>
      </c>
      <c r="G93" s="403"/>
      <c r="H93" s="349" t="s">
        <v>4877</v>
      </c>
      <c r="I93" s="866" t="str">
        <f t="shared" si="4"/>
        <v>NOT PAID</v>
      </c>
      <c r="J93" s="402"/>
      <c r="K93" s="402"/>
      <c r="L93" s="402"/>
      <c r="M93" s="402"/>
      <c r="N93" s="402"/>
      <c r="O93" s="402"/>
      <c r="P93" s="402"/>
      <c r="Q93" s="402"/>
      <c r="R93" s="402"/>
      <c r="S93" s="402"/>
      <c r="T93" s="402"/>
      <c r="U93" s="402"/>
      <c r="V93" s="402"/>
      <c r="W93" s="402"/>
      <c r="X93" s="402"/>
      <c r="Y93" s="402"/>
      <c r="Z93" s="402"/>
    </row>
    <row r="94" ht="14.25" customHeight="1">
      <c r="A94" s="763">
        <v>45497.0</v>
      </c>
      <c r="B94" s="869" t="s">
        <v>4864</v>
      </c>
      <c r="C94" s="870" t="s">
        <v>4865</v>
      </c>
      <c r="D94" s="870" t="s">
        <v>54</v>
      </c>
      <c r="E94" s="880" t="s">
        <v>4769</v>
      </c>
      <c r="F94" s="885">
        <v>5157.13</v>
      </c>
      <c r="G94" s="403"/>
      <c r="H94" s="349" t="s">
        <v>2263</v>
      </c>
      <c r="I94" s="866" t="str">
        <f t="shared" si="4"/>
        <v>NOT PAID</v>
      </c>
      <c r="J94" s="402"/>
      <c r="K94" s="402"/>
      <c r="L94" s="402"/>
      <c r="M94" s="402"/>
      <c r="N94" s="402"/>
      <c r="O94" s="402"/>
      <c r="P94" s="402"/>
      <c r="Q94" s="402"/>
      <c r="R94" s="402"/>
      <c r="S94" s="402"/>
      <c r="T94" s="402"/>
      <c r="U94" s="402"/>
      <c r="V94" s="402"/>
      <c r="W94" s="402"/>
      <c r="X94" s="402"/>
      <c r="Y94" s="402"/>
      <c r="Z94" s="402"/>
    </row>
    <row r="95" ht="14.25" customHeight="1">
      <c r="A95" s="763">
        <v>45497.0</v>
      </c>
      <c r="B95" s="892" t="s">
        <v>4878</v>
      </c>
      <c r="C95" s="893" t="s">
        <v>4879</v>
      </c>
      <c r="D95" s="870" t="s">
        <v>54</v>
      </c>
      <c r="E95" s="880" t="s">
        <v>4772</v>
      </c>
      <c r="F95" s="886">
        <v>84000.0</v>
      </c>
      <c r="G95" s="413">
        <v>84000.0</v>
      </c>
      <c r="H95" s="349" t="s">
        <v>267</v>
      </c>
      <c r="I95" s="866" t="str">
        <f t="shared" si="4"/>
        <v>FULLY PAID</v>
      </c>
      <c r="J95" s="402"/>
      <c r="K95" s="402"/>
      <c r="L95" s="402"/>
      <c r="M95" s="402"/>
      <c r="N95" s="402"/>
      <c r="O95" s="402"/>
      <c r="P95" s="402"/>
      <c r="Q95" s="402"/>
      <c r="R95" s="402"/>
      <c r="S95" s="402"/>
      <c r="T95" s="402"/>
      <c r="U95" s="402"/>
      <c r="V95" s="402"/>
      <c r="W95" s="402"/>
      <c r="X95" s="402"/>
      <c r="Y95" s="402"/>
      <c r="Z95" s="402"/>
    </row>
    <row r="96" ht="14.25" customHeight="1">
      <c r="A96" s="763"/>
      <c r="B96" s="500"/>
      <c r="C96" s="402"/>
      <c r="D96" s="402"/>
      <c r="E96" s="868"/>
      <c r="F96" s="587"/>
      <c r="G96" s="403"/>
      <c r="H96" s="402"/>
      <c r="I96" s="866"/>
      <c r="J96" s="402"/>
      <c r="K96" s="402"/>
      <c r="L96" s="402"/>
      <c r="M96" s="402"/>
      <c r="N96" s="402"/>
      <c r="O96" s="402"/>
      <c r="P96" s="402"/>
      <c r="Q96" s="402"/>
      <c r="R96" s="402"/>
      <c r="S96" s="402"/>
      <c r="T96" s="402"/>
      <c r="U96" s="402"/>
      <c r="V96" s="402"/>
      <c r="W96" s="402"/>
      <c r="X96" s="402"/>
      <c r="Y96" s="402"/>
      <c r="Z96" s="402"/>
    </row>
    <row r="97" ht="14.25" customHeight="1">
      <c r="A97" s="763"/>
      <c r="B97" s="500"/>
      <c r="C97" s="424" t="s">
        <v>797</v>
      </c>
      <c r="D97" s="402"/>
      <c r="E97" s="868"/>
      <c r="F97" s="587"/>
      <c r="G97" s="403"/>
      <c r="H97" s="402"/>
      <c r="I97" s="866"/>
      <c r="J97" s="402"/>
      <c r="K97" s="402"/>
      <c r="L97" s="402"/>
      <c r="M97" s="402"/>
      <c r="N97" s="402"/>
      <c r="O97" s="402"/>
      <c r="P97" s="402"/>
      <c r="Q97" s="402"/>
      <c r="R97" s="402"/>
      <c r="S97" s="402"/>
      <c r="T97" s="402"/>
      <c r="U97" s="402"/>
      <c r="V97" s="402"/>
      <c r="W97" s="402"/>
      <c r="X97" s="402"/>
      <c r="Y97" s="402"/>
      <c r="Z97" s="402"/>
    </row>
    <row r="98" ht="14.25" customHeight="1">
      <c r="A98" s="763">
        <v>45497.0</v>
      </c>
      <c r="B98" s="631" t="s">
        <v>4781</v>
      </c>
      <c r="C98" s="631" t="s">
        <v>4827</v>
      </c>
      <c r="D98" s="631" t="s">
        <v>54</v>
      </c>
      <c r="E98" s="887" t="s">
        <v>578</v>
      </c>
      <c r="F98" s="885">
        <v>94882.0</v>
      </c>
      <c r="G98" s="403"/>
      <c r="H98" s="349" t="s">
        <v>4880</v>
      </c>
      <c r="I98" s="866" t="str">
        <f t="shared" ref="I98:I103" si="5">IF(G98&gt;=F98,"FULLY PAID",IF(G98=0,"NOT PAID","PARTIALLY PAID"))</f>
        <v>NOT PAID</v>
      </c>
      <c r="J98" s="402"/>
      <c r="K98" s="402"/>
      <c r="L98" s="402"/>
      <c r="M98" s="402"/>
      <c r="N98" s="402"/>
      <c r="O98" s="402"/>
      <c r="P98" s="402"/>
      <c r="Q98" s="402"/>
      <c r="R98" s="402"/>
      <c r="S98" s="402"/>
      <c r="T98" s="402"/>
      <c r="U98" s="402"/>
      <c r="V98" s="402"/>
      <c r="W98" s="402"/>
      <c r="X98" s="402"/>
      <c r="Y98" s="402"/>
      <c r="Z98" s="402"/>
    </row>
    <row r="99" ht="14.25" customHeight="1">
      <c r="A99" s="763">
        <v>45497.0</v>
      </c>
      <c r="B99" s="888" t="s">
        <v>4767</v>
      </c>
      <c r="C99" s="889" t="s">
        <v>4861</v>
      </c>
      <c r="D99" s="631" t="s">
        <v>59</v>
      </c>
      <c r="E99" s="887" t="s">
        <v>578</v>
      </c>
      <c r="F99" s="890">
        <v>136606.17</v>
      </c>
      <c r="G99" s="413">
        <v>53500.0</v>
      </c>
      <c r="H99" s="349" t="s">
        <v>4838</v>
      </c>
      <c r="I99" s="866" t="str">
        <f t="shared" si="5"/>
        <v>PARTIALLY PAID</v>
      </c>
      <c r="J99" s="402"/>
      <c r="K99" s="402"/>
      <c r="L99" s="402"/>
      <c r="M99" s="402"/>
      <c r="N99" s="402"/>
      <c r="O99" s="402"/>
      <c r="P99" s="402"/>
      <c r="Q99" s="402"/>
      <c r="R99" s="402"/>
      <c r="S99" s="402"/>
      <c r="T99" s="402"/>
      <c r="U99" s="402"/>
      <c r="V99" s="402"/>
      <c r="W99" s="402"/>
      <c r="X99" s="402"/>
      <c r="Y99" s="402"/>
      <c r="Z99" s="402"/>
    </row>
    <row r="100" ht="14.25" customHeight="1">
      <c r="A100" s="763">
        <v>45497.0</v>
      </c>
      <c r="B100" s="631" t="s">
        <v>4830</v>
      </c>
      <c r="C100" s="631" t="s">
        <v>4831</v>
      </c>
      <c r="D100" s="631" t="s">
        <v>1030</v>
      </c>
      <c r="E100" s="887" t="s">
        <v>578</v>
      </c>
      <c r="F100" s="885">
        <v>78322.73</v>
      </c>
      <c r="G100" s="403"/>
      <c r="H100" s="349" t="s">
        <v>4881</v>
      </c>
      <c r="I100" s="866" t="str">
        <f t="shared" si="5"/>
        <v>NOT PAID</v>
      </c>
      <c r="J100" s="402"/>
      <c r="K100" s="402"/>
      <c r="L100" s="402"/>
      <c r="M100" s="402"/>
      <c r="N100" s="402"/>
      <c r="O100" s="402"/>
      <c r="P100" s="402"/>
      <c r="Q100" s="402"/>
      <c r="R100" s="402"/>
      <c r="S100" s="402"/>
      <c r="T100" s="402"/>
      <c r="U100" s="402"/>
      <c r="V100" s="402"/>
      <c r="W100" s="402"/>
      <c r="X100" s="402"/>
      <c r="Y100" s="402"/>
      <c r="Z100" s="402"/>
    </row>
    <row r="101" ht="14.25" customHeight="1">
      <c r="A101" s="763">
        <v>45497.0</v>
      </c>
      <c r="B101" s="631" t="s">
        <v>4797</v>
      </c>
      <c r="C101" s="631" t="s">
        <v>4868</v>
      </c>
      <c r="D101" s="631" t="s">
        <v>54</v>
      </c>
      <c r="E101" s="887" t="s">
        <v>578</v>
      </c>
      <c r="F101" s="885">
        <v>296470.66</v>
      </c>
      <c r="G101" s="413">
        <v>62000.0</v>
      </c>
      <c r="H101" s="349" t="s">
        <v>4882</v>
      </c>
      <c r="I101" s="866" t="str">
        <f t="shared" si="5"/>
        <v>PARTIALLY PAID</v>
      </c>
      <c r="J101" s="402"/>
      <c r="K101" s="402"/>
      <c r="L101" s="402"/>
      <c r="M101" s="402"/>
      <c r="N101" s="402"/>
      <c r="O101" s="402"/>
      <c r="P101" s="402"/>
      <c r="Q101" s="402"/>
      <c r="R101" s="402"/>
      <c r="S101" s="402"/>
      <c r="T101" s="402"/>
      <c r="U101" s="402"/>
      <c r="V101" s="402"/>
      <c r="W101" s="402"/>
      <c r="X101" s="402"/>
      <c r="Y101" s="402"/>
      <c r="Z101" s="402"/>
    </row>
    <row r="102" ht="14.25" customHeight="1">
      <c r="A102" s="763">
        <v>45497.0</v>
      </c>
      <c r="B102" s="631" t="s">
        <v>4547</v>
      </c>
      <c r="C102" s="631" t="s">
        <v>4836</v>
      </c>
      <c r="D102" s="631" t="s">
        <v>59</v>
      </c>
      <c r="E102" s="887" t="s">
        <v>578</v>
      </c>
      <c r="F102" s="885">
        <v>635602.51</v>
      </c>
      <c r="G102" s="403"/>
      <c r="H102" s="349" t="s">
        <v>4883</v>
      </c>
      <c r="I102" s="866" t="str">
        <f t="shared" si="5"/>
        <v>NOT PAID</v>
      </c>
      <c r="J102" s="402"/>
      <c r="K102" s="402"/>
      <c r="L102" s="402"/>
      <c r="M102" s="402"/>
      <c r="N102" s="402"/>
      <c r="O102" s="402"/>
      <c r="P102" s="402"/>
      <c r="Q102" s="402"/>
      <c r="R102" s="402"/>
      <c r="S102" s="402"/>
      <c r="T102" s="402"/>
      <c r="U102" s="402"/>
      <c r="V102" s="402"/>
      <c r="W102" s="402"/>
      <c r="X102" s="402"/>
      <c r="Y102" s="402"/>
      <c r="Z102" s="402"/>
    </row>
    <row r="103" ht="14.25" customHeight="1">
      <c r="A103" s="763">
        <v>45497.0</v>
      </c>
      <c r="B103" s="631" t="s">
        <v>4869</v>
      </c>
      <c r="C103" s="631" t="s">
        <v>4870</v>
      </c>
      <c r="D103" s="631" t="s">
        <v>54</v>
      </c>
      <c r="E103" s="887" t="s">
        <v>578</v>
      </c>
      <c r="F103" s="885">
        <v>126571.3</v>
      </c>
      <c r="G103" s="403"/>
      <c r="H103" s="349" t="s">
        <v>4884</v>
      </c>
      <c r="I103" s="866" t="str">
        <f t="shared" si="5"/>
        <v>NOT PAID</v>
      </c>
      <c r="J103" s="402"/>
      <c r="K103" s="402"/>
      <c r="L103" s="402"/>
      <c r="M103" s="402"/>
      <c r="N103" s="402"/>
      <c r="O103" s="402"/>
      <c r="P103" s="402"/>
      <c r="Q103" s="402"/>
      <c r="R103" s="402"/>
      <c r="S103" s="402"/>
      <c r="T103" s="402"/>
      <c r="U103" s="402"/>
      <c r="V103" s="402"/>
      <c r="W103" s="402"/>
      <c r="X103" s="402"/>
      <c r="Y103" s="402"/>
      <c r="Z103" s="402"/>
    </row>
    <row r="104" ht="14.25" customHeight="1">
      <c r="A104" s="402"/>
      <c r="B104" s="500"/>
      <c r="C104" s="402"/>
      <c r="D104" s="402"/>
      <c r="E104" s="868"/>
      <c r="F104" s="587"/>
      <c r="G104" s="403"/>
      <c r="H104" s="402"/>
      <c r="I104" s="866"/>
      <c r="J104" s="402"/>
      <c r="K104" s="402"/>
      <c r="L104" s="402"/>
      <c r="M104" s="402"/>
      <c r="N104" s="402"/>
      <c r="O104" s="402"/>
      <c r="P104" s="402"/>
      <c r="Q104" s="402"/>
      <c r="R104" s="402"/>
      <c r="S104" s="402"/>
      <c r="T104" s="402"/>
      <c r="U104" s="402"/>
      <c r="V104" s="402"/>
      <c r="W104" s="402"/>
      <c r="X104" s="402"/>
      <c r="Y104" s="402"/>
      <c r="Z104" s="402"/>
    </row>
    <row r="105" ht="14.25" customHeight="1">
      <c r="A105" s="402"/>
      <c r="B105" s="500"/>
      <c r="C105" s="402"/>
      <c r="D105" s="402"/>
      <c r="E105" s="868"/>
      <c r="F105" s="587"/>
      <c r="G105" s="403"/>
      <c r="H105" s="402"/>
      <c r="I105" s="866"/>
      <c r="J105" s="402"/>
      <c r="K105" s="402"/>
      <c r="L105" s="402"/>
      <c r="M105" s="402"/>
      <c r="N105" s="402"/>
      <c r="O105" s="402"/>
      <c r="P105" s="402"/>
      <c r="Q105" s="402"/>
      <c r="R105" s="402"/>
      <c r="S105" s="402"/>
      <c r="T105" s="402"/>
      <c r="U105" s="402"/>
      <c r="V105" s="402"/>
      <c r="W105" s="402"/>
      <c r="X105" s="402"/>
      <c r="Y105" s="402"/>
      <c r="Z105" s="402"/>
    </row>
    <row r="106" ht="14.25" customHeight="1">
      <c r="A106" s="584" t="s">
        <v>2130</v>
      </c>
      <c r="B106" s="877" t="s">
        <v>39</v>
      </c>
      <c r="C106" s="584" t="s">
        <v>48</v>
      </c>
      <c r="D106" s="584" t="s">
        <v>49</v>
      </c>
      <c r="E106" s="862" t="s">
        <v>50</v>
      </c>
      <c r="F106" s="585" t="s">
        <v>2</v>
      </c>
      <c r="G106" s="584" t="s">
        <v>44</v>
      </c>
      <c r="H106" s="584" t="s">
        <v>45</v>
      </c>
      <c r="I106" s="866"/>
      <c r="J106" s="402"/>
      <c r="K106" s="402"/>
      <c r="L106" s="402"/>
      <c r="M106" s="402"/>
      <c r="N106" s="402"/>
      <c r="O106" s="402"/>
      <c r="P106" s="402"/>
      <c r="Q106" s="402"/>
      <c r="R106" s="402"/>
      <c r="S106" s="402"/>
      <c r="T106" s="402"/>
      <c r="U106" s="402"/>
      <c r="V106" s="402"/>
      <c r="W106" s="402"/>
      <c r="X106" s="402"/>
      <c r="Y106" s="402"/>
      <c r="Z106" s="402"/>
    </row>
    <row r="107" ht="14.25" customHeight="1">
      <c r="A107" s="763">
        <v>45498.0</v>
      </c>
      <c r="B107" s="883" t="s">
        <v>4885</v>
      </c>
      <c r="C107" s="883" t="s">
        <v>4886</v>
      </c>
      <c r="D107" s="883" t="s">
        <v>54</v>
      </c>
      <c r="E107" s="689" t="s">
        <v>4887</v>
      </c>
      <c r="F107" s="881">
        <v>1337.42</v>
      </c>
      <c r="G107" s="403"/>
      <c r="H107" s="349" t="s">
        <v>4841</v>
      </c>
      <c r="I107" s="866" t="str">
        <f t="shared" ref="I107:I133" si="6">IF(G107&gt;=F107,"FULLY PAID",IF(G107=0,"NOT PAID","PARTIALLY PAID"))</f>
        <v>NOT PAID</v>
      </c>
      <c r="J107" s="402"/>
      <c r="K107" s="402"/>
      <c r="L107" s="402"/>
      <c r="M107" s="402"/>
      <c r="N107" s="402"/>
      <c r="O107" s="402"/>
      <c r="P107" s="402"/>
      <c r="Q107" s="402"/>
      <c r="R107" s="402"/>
      <c r="S107" s="402"/>
      <c r="T107" s="402"/>
      <c r="U107" s="402"/>
      <c r="V107" s="402"/>
      <c r="W107" s="402"/>
      <c r="X107" s="402"/>
      <c r="Y107" s="402"/>
      <c r="Z107" s="402"/>
    </row>
    <row r="108" ht="14.25" customHeight="1">
      <c r="A108" s="763">
        <v>45498.0</v>
      </c>
      <c r="B108" s="883" t="s">
        <v>4888</v>
      </c>
      <c r="C108" s="883" t="s">
        <v>4889</v>
      </c>
      <c r="D108" s="883" t="s">
        <v>54</v>
      </c>
      <c r="E108" s="689" t="s">
        <v>4890</v>
      </c>
      <c r="F108" s="881">
        <v>1086.88</v>
      </c>
      <c r="G108" s="69">
        <v>20102.0</v>
      </c>
      <c r="H108" s="349" t="s">
        <v>650</v>
      </c>
      <c r="I108" s="866" t="str">
        <f t="shared" si="6"/>
        <v>FULLY PAID</v>
      </c>
      <c r="J108" s="402"/>
      <c r="K108" s="402"/>
      <c r="L108" s="402"/>
      <c r="M108" s="402"/>
      <c r="N108" s="402"/>
      <c r="O108" s="402"/>
      <c r="P108" s="402"/>
      <c r="Q108" s="402"/>
      <c r="R108" s="402"/>
      <c r="S108" s="402"/>
      <c r="T108" s="402"/>
      <c r="U108" s="402"/>
      <c r="V108" s="402"/>
      <c r="W108" s="402"/>
      <c r="X108" s="402"/>
      <c r="Y108" s="402"/>
      <c r="Z108" s="402"/>
    </row>
    <row r="109" ht="14.25" customHeight="1">
      <c r="A109" s="763">
        <v>45498.0</v>
      </c>
      <c r="B109" s="883" t="s">
        <v>4793</v>
      </c>
      <c r="C109" s="883" t="s">
        <v>4891</v>
      </c>
      <c r="D109" s="883" t="s">
        <v>54</v>
      </c>
      <c r="E109" s="689" t="s">
        <v>4892</v>
      </c>
      <c r="F109" s="881">
        <v>28453.85</v>
      </c>
      <c r="G109" s="403"/>
      <c r="H109" s="349" t="s">
        <v>4841</v>
      </c>
      <c r="I109" s="866" t="str">
        <f t="shared" si="6"/>
        <v>NOT PAID</v>
      </c>
      <c r="J109" s="402"/>
      <c r="K109" s="402"/>
      <c r="L109" s="402"/>
      <c r="M109" s="402"/>
      <c r="N109" s="402"/>
      <c r="O109" s="402"/>
      <c r="P109" s="402"/>
      <c r="Q109" s="402"/>
      <c r="R109" s="402"/>
      <c r="S109" s="402"/>
      <c r="T109" s="402"/>
      <c r="U109" s="402"/>
      <c r="V109" s="402"/>
      <c r="W109" s="402"/>
      <c r="X109" s="402"/>
      <c r="Y109" s="402"/>
      <c r="Z109" s="402"/>
    </row>
    <row r="110" ht="14.25" customHeight="1">
      <c r="A110" s="763">
        <v>45498.0</v>
      </c>
      <c r="B110" s="878" t="s">
        <v>4893</v>
      </c>
      <c r="C110" s="894" t="s">
        <v>4894</v>
      </c>
      <c r="D110" s="883" t="s">
        <v>54</v>
      </c>
      <c r="E110" s="689" t="s">
        <v>4895</v>
      </c>
      <c r="F110" s="881">
        <v>53387.56</v>
      </c>
      <c r="G110" s="403"/>
      <c r="H110" s="349" t="s">
        <v>3671</v>
      </c>
      <c r="I110" s="866" t="str">
        <f t="shared" si="6"/>
        <v>NOT PAID</v>
      </c>
      <c r="J110" s="402"/>
      <c r="K110" s="402"/>
      <c r="L110" s="402"/>
      <c r="M110" s="402"/>
      <c r="N110" s="402"/>
      <c r="O110" s="402"/>
      <c r="P110" s="402"/>
      <c r="Q110" s="402"/>
      <c r="R110" s="402"/>
      <c r="S110" s="402"/>
      <c r="T110" s="402"/>
      <c r="U110" s="402"/>
      <c r="V110" s="402"/>
      <c r="W110" s="402"/>
      <c r="X110" s="402"/>
      <c r="Y110" s="402"/>
      <c r="Z110" s="402"/>
    </row>
    <row r="111" ht="14.25" customHeight="1">
      <c r="A111" s="763">
        <v>45498.0</v>
      </c>
      <c r="B111" s="878" t="s">
        <v>4896</v>
      </c>
      <c r="C111" s="894" t="s">
        <v>4897</v>
      </c>
      <c r="D111" s="883" t="s">
        <v>54</v>
      </c>
      <c r="E111" s="689" t="s">
        <v>4887</v>
      </c>
      <c r="F111" s="881">
        <v>21468.63</v>
      </c>
      <c r="G111" s="413">
        <v>25000.0</v>
      </c>
      <c r="H111" s="349" t="s">
        <v>267</v>
      </c>
      <c r="I111" s="866" t="str">
        <f t="shared" si="6"/>
        <v>FULLY PAID</v>
      </c>
      <c r="J111" s="402"/>
      <c r="K111" s="402"/>
      <c r="L111" s="402"/>
      <c r="M111" s="402"/>
      <c r="N111" s="402"/>
      <c r="O111" s="402"/>
      <c r="P111" s="402"/>
      <c r="Q111" s="402"/>
      <c r="R111" s="402"/>
      <c r="S111" s="402"/>
      <c r="T111" s="402"/>
      <c r="U111" s="402"/>
      <c r="V111" s="402"/>
      <c r="W111" s="402"/>
      <c r="X111" s="402"/>
      <c r="Y111" s="402"/>
      <c r="Z111" s="402"/>
    </row>
    <row r="112" ht="14.25" customHeight="1">
      <c r="A112" s="763">
        <v>45498.0</v>
      </c>
      <c r="B112" s="878" t="s">
        <v>4898</v>
      </c>
      <c r="C112" s="894" t="s">
        <v>4899</v>
      </c>
      <c r="D112" s="883" t="s">
        <v>54</v>
      </c>
      <c r="E112" s="689" t="s">
        <v>4890</v>
      </c>
      <c r="F112" s="881">
        <v>903.85</v>
      </c>
      <c r="G112" s="403"/>
      <c r="H112" s="349" t="s">
        <v>4841</v>
      </c>
      <c r="I112" s="866" t="str">
        <f t="shared" si="6"/>
        <v>NOT PAID</v>
      </c>
      <c r="J112" s="402"/>
      <c r="K112" s="402"/>
      <c r="L112" s="402"/>
      <c r="M112" s="402"/>
      <c r="N112" s="402"/>
      <c r="O112" s="402"/>
      <c r="P112" s="402"/>
      <c r="Q112" s="402"/>
      <c r="R112" s="402"/>
      <c r="S112" s="402"/>
      <c r="T112" s="402"/>
      <c r="U112" s="402"/>
      <c r="V112" s="402"/>
      <c r="W112" s="402"/>
      <c r="X112" s="402"/>
      <c r="Y112" s="402"/>
      <c r="Z112" s="402"/>
    </row>
    <row r="113" ht="14.25" customHeight="1">
      <c r="A113" s="763">
        <v>45498.0</v>
      </c>
      <c r="B113" s="878" t="s">
        <v>4864</v>
      </c>
      <c r="C113" s="894" t="s">
        <v>4865</v>
      </c>
      <c r="D113" s="883" t="s">
        <v>54</v>
      </c>
      <c r="E113" s="689" t="s">
        <v>4895</v>
      </c>
      <c r="F113" s="881">
        <v>5414.99</v>
      </c>
      <c r="G113" s="403"/>
      <c r="H113" s="349" t="s">
        <v>4841</v>
      </c>
      <c r="I113" s="866" t="str">
        <f t="shared" si="6"/>
        <v>NOT PAID</v>
      </c>
      <c r="J113" s="402"/>
      <c r="K113" s="402"/>
      <c r="L113" s="402"/>
      <c r="M113" s="402"/>
      <c r="N113" s="402"/>
      <c r="O113" s="402"/>
      <c r="P113" s="402"/>
      <c r="Q113" s="402"/>
      <c r="R113" s="402"/>
      <c r="S113" s="402"/>
      <c r="T113" s="402"/>
      <c r="U113" s="402"/>
      <c r="V113" s="402"/>
      <c r="W113" s="402"/>
      <c r="X113" s="402"/>
      <c r="Y113" s="402"/>
      <c r="Z113" s="402"/>
    </row>
    <row r="114" ht="14.25" customHeight="1">
      <c r="A114" s="763">
        <v>45498.0</v>
      </c>
      <c r="B114" s="878" t="s">
        <v>4900</v>
      </c>
      <c r="C114" s="894" t="s">
        <v>4901</v>
      </c>
      <c r="D114" s="883" t="s">
        <v>54</v>
      </c>
      <c r="E114" s="689" t="s">
        <v>4895</v>
      </c>
      <c r="F114" s="881">
        <v>6384.37</v>
      </c>
      <c r="G114" s="403"/>
      <c r="H114" s="349" t="s">
        <v>4902</v>
      </c>
      <c r="I114" s="866" t="str">
        <f t="shared" si="6"/>
        <v>NOT PAID</v>
      </c>
      <c r="J114" s="402"/>
      <c r="K114" s="402"/>
      <c r="L114" s="402"/>
      <c r="M114" s="402"/>
      <c r="N114" s="402"/>
      <c r="O114" s="402"/>
      <c r="P114" s="402"/>
      <c r="Q114" s="402"/>
      <c r="R114" s="402"/>
      <c r="S114" s="402"/>
      <c r="T114" s="402"/>
      <c r="U114" s="402"/>
      <c r="V114" s="402"/>
      <c r="W114" s="402"/>
      <c r="X114" s="402"/>
      <c r="Y114" s="402"/>
      <c r="Z114" s="402"/>
    </row>
    <row r="115" ht="14.25" customHeight="1">
      <c r="A115" s="763">
        <v>45498.0</v>
      </c>
      <c r="B115" s="878" t="s">
        <v>4903</v>
      </c>
      <c r="C115" s="894" t="s">
        <v>4904</v>
      </c>
      <c r="D115" s="883" t="s">
        <v>54</v>
      </c>
      <c r="E115" s="689" t="s">
        <v>4895</v>
      </c>
      <c r="F115" s="881">
        <v>21711.43</v>
      </c>
      <c r="G115" s="403"/>
      <c r="H115" s="349" t="s">
        <v>4841</v>
      </c>
      <c r="I115" s="866" t="str">
        <f t="shared" si="6"/>
        <v>NOT PAID</v>
      </c>
      <c r="J115" s="402"/>
      <c r="K115" s="402"/>
      <c r="L115" s="402"/>
      <c r="M115" s="402"/>
      <c r="N115" s="402"/>
      <c r="O115" s="402"/>
      <c r="P115" s="402"/>
      <c r="Q115" s="402"/>
      <c r="R115" s="402"/>
      <c r="S115" s="402"/>
      <c r="T115" s="402"/>
      <c r="U115" s="402"/>
      <c r="V115" s="402"/>
      <c r="W115" s="402"/>
      <c r="X115" s="402"/>
      <c r="Y115" s="402"/>
      <c r="Z115" s="402"/>
    </row>
    <row r="116" ht="14.25" customHeight="1">
      <c r="A116" s="763">
        <v>45498.0</v>
      </c>
      <c r="B116" s="878" t="s">
        <v>4659</v>
      </c>
      <c r="C116" s="894" t="s">
        <v>4905</v>
      </c>
      <c r="D116" s="883" t="s">
        <v>54</v>
      </c>
      <c r="E116" s="689" t="s">
        <v>4895</v>
      </c>
      <c r="F116" s="881">
        <v>33674.16</v>
      </c>
      <c r="G116" s="413">
        <v>34000.0</v>
      </c>
      <c r="H116" s="349" t="s">
        <v>267</v>
      </c>
      <c r="I116" s="866" t="str">
        <f t="shared" si="6"/>
        <v>FULLY PAID</v>
      </c>
      <c r="J116" s="402"/>
      <c r="K116" s="402"/>
      <c r="L116" s="402"/>
      <c r="M116" s="402"/>
      <c r="N116" s="402"/>
      <c r="O116" s="402"/>
      <c r="P116" s="402"/>
      <c r="Q116" s="402"/>
      <c r="R116" s="402"/>
      <c r="S116" s="402"/>
      <c r="T116" s="402"/>
      <c r="U116" s="402"/>
      <c r="V116" s="402"/>
      <c r="W116" s="402"/>
      <c r="X116" s="402"/>
      <c r="Y116" s="402"/>
      <c r="Z116" s="402"/>
    </row>
    <row r="117" ht="14.25" customHeight="1">
      <c r="A117" s="763">
        <v>45498.0</v>
      </c>
      <c r="B117" s="878" t="s">
        <v>4767</v>
      </c>
      <c r="C117" s="894" t="s">
        <v>4861</v>
      </c>
      <c r="D117" s="883" t="s">
        <v>59</v>
      </c>
      <c r="E117" s="689" t="s">
        <v>4887</v>
      </c>
      <c r="F117" s="881">
        <v>21139.42</v>
      </c>
      <c r="G117" s="403"/>
      <c r="H117" s="349" t="s">
        <v>4841</v>
      </c>
      <c r="I117" s="866" t="str">
        <f t="shared" si="6"/>
        <v>NOT PAID</v>
      </c>
      <c r="J117" s="402"/>
      <c r="K117" s="402"/>
      <c r="L117" s="402"/>
      <c r="M117" s="402"/>
      <c r="N117" s="402"/>
      <c r="O117" s="402"/>
      <c r="P117" s="402"/>
      <c r="Q117" s="402"/>
      <c r="R117" s="402"/>
      <c r="S117" s="402"/>
      <c r="T117" s="402"/>
      <c r="U117" s="402"/>
      <c r="V117" s="402"/>
      <c r="W117" s="402"/>
      <c r="X117" s="402"/>
      <c r="Y117" s="402"/>
      <c r="Z117" s="402"/>
    </row>
    <row r="118" ht="14.25" customHeight="1">
      <c r="A118" s="763">
        <v>45498.0</v>
      </c>
      <c r="B118" s="878" t="s">
        <v>4773</v>
      </c>
      <c r="C118" s="894" t="s">
        <v>4906</v>
      </c>
      <c r="D118" s="883" t="s">
        <v>54</v>
      </c>
      <c r="E118" s="689" t="s">
        <v>4890</v>
      </c>
      <c r="F118" s="881">
        <v>806.19</v>
      </c>
      <c r="G118" s="403"/>
      <c r="H118" s="349" t="s">
        <v>4841</v>
      </c>
      <c r="I118" s="866" t="str">
        <f t="shared" si="6"/>
        <v>NOT PAID</v>
      </c>
      <c r="J118" s="402"/>
      <c r="K118" s="402"/>
      <c r="L118" s="402"/>
      <c r="M118" s="402"/>
      <c r="N118" s="402"/>
      <c r="O118" s="402"/>
      <c r="P118" s="402"/>
      <c r="Q118" s="402"/>
      <c r="R118" s="402"/>
      <c r="S118" s="402"/>
      <c r="T118" s="402"/>
      <c r="U118" s="402"/>
      <c r="V118" s="402"/>
      <c r="W118" s="402"/>
      <c r="X118" s="402"/>
      <c r="Y118" s="402"/>
      <c r="Z118" s="402"/>
    </row>
    <row r="119" ht="14.25" customHeight="1">
      <c r="A119" s="763">
        <v>45498.0</v>
      </c>
      <c r="B119" s="878" t="s">
        <v>4777</v>
      </c>
      <c r="C119" s="894" t="s">
        <v>4842</v>
      </c>
      <c r="D119" s="883" t="s">
        <v>54</v>
      </c>
      <c r="E119" s="689" t="s">
        <v>4887</v>
      </c>
      <c r="F119" s="881">
        <v>1256.3</v>
      </c>
      <c r="G119" s="403"/>
      <c r="H119" s="349" t="s">
        <v>4841</v>
      </c>
      <c r="I119" s="866" t="str">
        <f t="shared" si="6"/>
        <v>NOT PAID</v>
      </c>
      <c r="J119" s="402"/>
      <c r="K119" s="402"/>
      <c r="L119" s="402"/>
      <c r="M119" s="402"/>
      <c r="N119" s="402"/>
      <c r="O119" s="402"/>
      <c r="P119" s="402"/>
      <c r="Q119" s="402"/>
      <c r="R119" s="402"/>
      <c r="S119" s="402"/>
      <c r="T119" s="402"/>
      <c r="U119" s="402"/>
      <c r="V119" s="402"/>
      <c r="W119" s="402"/>
      <c r="X119" s="402"/>
      <c r="Y119" s="402"/>
      <c r="Z119" s="402"/>
    </row>
    <row r="120" ht="14.25" customHeight="1">
      <c r="A120" s="763">
        <v>45498.0</v>
      </c>
      <c r="B120" s="878" t="s">
        <v>4779</v>
      </c>
      <c r="C120" s="894" t="s">
        <v>4907</v>
      </c>
      <c r="D120" s="883" t="s">
        <v>54</v>
      </c>
      <c r="E120" s="689" t="s">
        <v>4887</v>
      </c>
      <c r="F120" s="881">
        <v>2682.6</v>
      </c>
      <c r="G120" s="403"/>
      <c r="H120" s="349" t="s">
        <v>4841</v>
      </c>
      <c r="I120" s="866" t="str">
        <f t="shared" si="6"/>
        <v>NOT PAID</v>
      </c>
      <c r="J120" s="402"/>
      <c r="K120" s="402"/>
      <c r="L120" s="402"/>
      <c r="M120" s="402"/>
      <c r="N120" s="402"/>
      <c r="O120" s="402"/>
      <c r="P120" s="402"/>
      <c r="Q120" s="402"/>
      <c r="R120" s="402"/>
      <c r="S120" s="402"/>
      <c r="T120" s="402"/>
      <c r="U120" s="402"/>
      <c r="V120" s="402"/>
      <c r="W120" s="402"/>
      <c r="X120" s="402"/>
      <c r="Y120" s="402"/>
      <c r="Z120" s="402"/>
    </row>
    <row r="121" ht="14.25" customHeight="1">
      <c r="A121" s="763">
        <v>45498.0</v>
      </c>
      <c r="B121" s="878" t="s">
        <v>4805</v>
      </c>
      <c r="C121" s="894" t="s">
        <v>4908</v>
      </c>
      <c r="D121" s="883" t="s">
        <v>54</v>
      </c>
      <c r="E121" s="689" t="s">
        <v>4887</v>
      </c>
      <c r="F121" s="881">
        <v>19108.55</v>
      </c>
      <c r="G121" s="413">
        <v>14605.0</v>
      </c>
      <c r="H121" s="349" t="s">
        <v>710</v>
      </c>
      <c r="I121" s="866" t="str">
        <f t="shared" si="6"/>
        <v>PARTIALLY PAID</v>
      </c>
      <c r="J121" s="402"/>
      <c r="K121" s="402"/>
      <c r="L121" s="402"/>
      <c r="M121" s="402"/>
      <c r="N121" s="402"/>
      <c r="O121" s="402"/>
      <c r="P121" s="402"/>
      <c r="Q121" s="402"/>
      <c r="R121" s="402"/>
      <c r="S121" s="402"/>
      <c r="T121" s="402"/>
      <c r="U121" s="402"/>
      <c r="V121" s="402"/>
      <c r="W121" s="402"/>
      <c r="X121" s="402"/>
      <c r="Y121" s="402"/>
      <c r="Z121" s="402"/>
    </row>
    <row r="122" ht="14.25" customHeight="1">
      <c r="A122" s="763">
        <v>45498.0</v>
      </c>
      <c r="B122" s="878" t="s">
        <v>4809</v>
      </c>
      <c r="C122" s="894" t="s">
        <v>4909</v>
      </c>
      <c r="D122" s="883" t="s">
        <v>54</v>
      </c>
      <c r="E122" s="689" t="s">
        <v>4887</v>
      </c>
      <c r="F122" s="881">
        <v>4297.57</v>
      </c>
      <c r="G122" s="403"/>
      <c r="H122" s="349" t="s">
        <v>4841</v>
      </c>
      <c r="I122" s="866" t="str">
        <f t="shared" si="6"/>
        <v>NOT PAID</v>
      </c>
      <c r="J122" s="402"/>
      <c r="K122" s="402"/>
      <c r="L122" s="402"/>
      <c r="M122" s="402"/>
      <c r="N122" s="402"/>
      <c r="O122" s="402"/>
      <c r="P122" s="402"/>
      <c r="Q122" s="402"/>
      <c r="R122" s="402"/>
      <c r="S122" s="402"/>
      <c r="T122" s="402"/>
      <c r="U122" s="402"/>
      <c r="V122" s="402"/>
      <c r="W122" s="402"/>
      <c r="X122" s="402"/>
      <c r="Y122" s="402"/>
      <c r="Z122" s="402"/>
    </row>
    <row r="123" ht="14.25" customHeight="1">
      <c r="A123" s="763">
        <v>45498.0</v>
      </c>
      <c r="B123" s="878" t="s">
        <v>4833</v>
      </c>
      <c r="C123" s="894" t="s">
        <v>4910</v>
      </c>
      <c r="D123" s="883" t="s">
        <v>54</v>
      </c>
      <c r="E123" s="689" t="s">
        <v>4887</v>
      </c>
      <c r="F123" s="881">
        <v>97037.34</v>
      </c>
      <c r="G123" s="403"/>
      <c r="H123" s="349" t="s">
        <v>4911</v>
      </c>
      <c r="I123" s="866" t="str">
        <f t="shared" si="6"/>
        <v>NOT PAID</v>
      </c>
      <c r="J123" s="402"/>
      <c r="K123" s="402"/>
      <c r="L123" s="402"/>
      <c r="M123" s="402"/>
      <c r="N123" s="402"/>
      <c r="O123" s="402"/>
      <c r="P123" s="402"/>
      <c r="Q123" s="402"/>
      <c r="R123" s="402"/>
      <c r="S123" s="402"/>
      <c r="T123" s="402"/>
      <c r="U123" s="402"/>
      <c r="V123" s="402"/>
      <c r="W123" s="402"/>
      <c r="X123" s="402"/>
      <c r="Y123" s="402"/>
      <c r="Z123" s="402"/>
    </row>
    <row r="124" ht="14.25" customHeight="1">
      <c r="A124" s="763">
        <v>45498.0</v>
      </c>
      <c r="B124" s="878" t="s">
        <v>4791</v>
      </c>
      <c r="C124" s="894" t="s">
        <v>4912</v>
      </c>
      <c r="D124" s="883" t="s">
        <v>54</v>
      </c>
      <c r="E124" s="689" t="s">
        <v>4913</v>
      </c>
      <c r="F124" s="881">
        <v>3394.29</v>
      </c>
      <c r="G124" s="413">
        <v>3200.0</v>
      </c>
      <c r="H124" s="349" t="s">
        <v>4914</v>
      </c>
      <c r="I124" s="866" t="str">
        <f t="shared" si="6"/>
        <v>PARTIALLY PAID</v>
      </c>
      <c r="J124" s="402"/>
      <c r="K124" s="402"/>
      <c r="L124" s="402"/>
      <c r="M124" s="402"/>
      <c r="N124" s="402"/>
      <c r="O124" s="402"/>
      <c r="P124" s="402"/>
      <c r="Q124" s="402"/>
      <c r="R124" s="402"/>
      <c r="S124" s="402"/>
      <c r="T124" s="402"/>
      <c r="U124" s="402"/>
      <c r="V124" s="402"/>
      <c r="W124" s="402"/>
      <c r="X124" s="402"/>
      <c r="Y124" s="402"/>
      <c r="Z124" s="402"/>
    </row>
    <row r="125" ht="14.25" customHeight="1">
      <c r="A125" s="763">
        <v>45498.0</v>
      </c>
      <c r="B125" s="878" t="s">
        <v>4795</v>
      </c>
      <c r="C125" s="894" t="s">
        <v>4852</v>
      </c>
      <c r="D125" s="883" t="s">
        <v>54</v>
      </c>
      <c r="E125" s="689" t="s">
        <v>4913</v>
      </c>
      <c r="F125" s="881">
        <v>22409.89</v>
      </c>
      <c r="G125" s="403"/>
      <c r="H125" s="349" t="s">
        <v>4841</v>
      </c>
      <c r="I125" s="866" t="str">
        <f t="shared" si="6"/>
        <v>NOT PAID</v>
      </c>
      <c r="J125" s="402"/>
      <c r="K125" s="402"/>
      <c r="L125" s="402"/>
      <c r="M125" s="402"/>
      <c r="N125" s="402"/>
      <c r="O125" s="402"/>
      <c r="P125" s="402"/>
      <c r="Q125" s="402"/>
      <c r="R125" s="402"/>
      <c r="S125" s="402"/>
      <c r="T125" s="402"/>
      <c r="U125" s="402"/>
      <c r="V125" s="402"/>
      <c r="W125" s="402"/>
      <c r="X125" s="402"/>
      <c r="Y125" s="402"/>
      <c r="Z125" s="402"/>
    </row>
    <row r="126" ht="14.25" customHeight="1">
      <c r="A126" s="763">
        <v>45498.0</v>
      </c>
      <c r="B126" s="878" t="s">
        <v>4815</v>
      </c>
      <c r="C126" s="894" t="s">
        <v>4859</v>
      </c>
      <c r="D126" s="883" t="s">
        <v>54</v>
      </c>
      <c r="E126" s="689" t="s">
        <v>4913</v>
      </c>
      <c r="F126" s="881">
        <v>26396.25</v>
      </c>
      <c r="G126" s="403"/>
      <c r="H126" s="349" t="s">
        <v>4841</v>
      </c>
      <c r="I126" s="866" t="str">
        <f t="shared" si="6"/>
        <v>NOT PAID</v>
      </c>
      <c r="J126" s="402"/>
      <c r="K126" s="402"/>
      <c r="L126" s="402"/>
      <c r="M126" s="402"/>
      <c r="N126" s="402"/>
      <c r="O126" s="402"/>
      <c r="P126" s="402"/>
      <c r="Q126" s="402"/>
      <c r="R126" s="402"/>
      <c r="S126" s="402"/>
      <c r="T126" s="402"/>
      <c r="U126" s="402"/>
      <c r="V126" s="402"/>
      <c r="W126" s="402"/>
      <c r="X126" s="402"/>
      <c r="Y126" s="402"/>
      <c r="Z126" s="402"/>
    </row>
    <row r="127" ht="14.25" customHeight="1">
      <c r="A127" s="763">
        <v>45498.0</v>
      </c>
      <c r="B127" s="878" t="s">
        <v>4797</v>
      </c>
      <c r="C127" s="894" t="s">
        <v>4868</v>
      </c>
      <c r="D127" s="883" t="s">
        <v>54</v>
      </c>
      <c r="E127" s="689" t="s">
        <v>4890</v>
      </c>
      <c r="F127" s="881">
        <v>28230.76</v>
      </c>
      <c r="G127" s="413">
        <v>69911.0</v>
      </c>
      <c r="H127" s="349" t="s">
        <v>4841</v>
      </c>
      <c r="I127" s="866" t="str">
        <f t="shared" si="6"/>
        <v>FULLY PAID</v>
      </c>
      <c r="J127" s="402"/>
      <c r="K127" s="402"/>
      <c r="L127" s="402"/>
      <c r="M127" s="402"/>
      <c r="N127" s="402"/>
      <c r="O127" s="402"/>
      <c r="P127" s="402"/>
      <c r="Q127" s="402"/>
      <c r="R127" s="402"/>
      <c r="S127" s="402"/>
      <c r="T127" s="402"/>
      <c r="U127" s="402"/>
      <c r="V127" s="402"/>
      <c r="W127" s="402"/>
      <c r="X127" s="402"/>
      <c r="Y127" s="402"/>
      <c r="Z127" s="402"/>
    </row>
    <row r="128" ht="14.25" customHeight="1">
      <c r="A128" s="763">
        <v>45498.0</v>
      </c>
      <c r="B128" s="878" t="s">
        <v>4781</v>
      </c>
      <c r="C128" s="894" t="s">
        <v>4915</v>
      </c>
      <c r="D128" s="883" t="s">
        <v>54</v>
      </c>
      <c r="E128" s="689" t="s">
        <v>4890</v>
      </c>
      <c r="F128" s="881">
        <v>171151.78</v>
      </c>
      <c r="G128" s="403"/>
      <c r="H128" s="349" t="s">
        <v>4916</v>
      </c>
      <c r="I128" s="866" t="str">
        <f t="shared" si="6"/>
        <v>NOT PAID</v>
      </c>
      <c r="J128" s="402"/>
      <c r="K128" s="402"/>
      <c r="L128" s="402"/>
      <c r="M128" s="402"/>
      <c r="N128" s="402"/>
      <c r="O128" s="402"/>
      <c r="P128" s="402"/>
      <c r="Q128" s="402"/>
      <c r="R128" s="402"/>
      <c r="S128" s="402"/>
      <c r="T128" s="402"/>
      <c r="U128" s="402"/>
      <c r="V128" s="402"/>
      <c r="W128" s="402"/>
      <c r="X128" s="402"/>
      <c r="Y128" s="402"/>
      <c r="Z128" s="402"/>
    </row>
    <row r="129" ht="14.25" customHeight="1">
      <c r="A129" s="763">
        <v>45498.0</v>
      </c>
      <c r="B129" s="878" t="s">
        <v>4807</v>
      </c>
      <c r="C129" s="894" t="s">
        <v>4917</v>
      </c>
      <c r="D129" s="883" t="s">
        <v>346</v>
      </c>
      <c r="E129" s="689" t="s">
        <v>4887</v>
      </c>
      <c r="F129" s="881">
        <v>4187.53</v>
      </c>
      <c r="G129" s="403"/>
      <c r="H129" s="349" t="s">
        <v>4841</v>
      </c>
      <c r="I129" s="866" t="str">
        <f t="shared" si="6"/>
        <v>NOT PAID</v>
      </c>
      <c r="J129" s="402"/>
      <c r="K129" s="402"/>
      <c r="L129" s="402"/>
      <c r="M129" s="402"/>
      <c r="N129" s="402"/>
      <c r="O129" s="402"/>
      <c r="P129" s="402"/>
      <c r="Q129" s="402"/>
      <c r="R129" s="402"/>
      <c r="S129" s="402"/>
      <c r="T129" s="402"/>
      <c r="U129" s="402"/>
      <c r="V129" s="402"/>
      <c r="W129" s="402"/>
      <c r="X129" s="402"/>
      <c r="Y129" s="402"/>
      <c r="Z129" s="402"/>
    </row>
    <row r="130" ht="14.25" customHeight="1">
      <c r="A130" s="763">
        <v>45498.0</v>
      </c>
      <c r="B130" s="878" t="s">
        <v>4866</v>
      </c>
      <c r="C130" s="894" t="s">
        <v>4918</v>
      </c>
      <c r="D130" s="883" t="s">
        <v>54</v>
      </c>
      <c r="E130" s="689" t="s">
        <v>4887</v>
      </c>
      <c r="F130" s="881">
        <v>24185.23</v>
      </c>
      <c r="G130" s="413"/>
      <c r="H130" s="349" t="s">
        <v>267</v>
      </c>
      <c r="I130" s="866" t="str">
        <f t="shared" si="6"/>
        <v>NOT PAID</v>
      </c>
      <c r="J130" s="402"/>
      <c r="K130" s="402"/>
      <c r="L130" s="402"/>
      <c r="M130" s="402"/>
      <c r="N130" s="402"/>
      <c r="O130" s="402"/>
      <c r="P130" s="402"/>
      <c r="Q130" s="402"/>
      <c r="R130" s="402"/>
      <c r="S130" s="402"/>
      <c r="T130" s="402"/>
      <c r="U130" s="402"/>
      <c r="V130" s="402"/>
      <c r="W130" s="402"/>
      <c r="X130" s="402"/>
      <c r="Y130" s="402"/>
      <c r="Z130" s="402"/>
    </row>
    <row r="131" ht="14.25" customHeight="1">
      <c r="A131" s="763">
        <v>45498.0</v>
      </c>
      <c r="B131" s="878" t="s">
        <v>4816</v>
      </c>
      <c r="C131" s="894" t="s">
        <v>4858</v>
      </c>
      <c r="D131" s="883" t="s">
        <v>54</v>
      </c>
      <c r="E131" s="689" t="s">
        <v>4887</v>
      </c>
      <c r="F131" s="881">
        <v>14977.01</v>
      </c>
      <c r="G131" s="403"/>
      <c r="H131" s="349" t="s">
        <v>4841</v>
      </c>
      <c r="I131" s="866" t="str">
        <f t="shared" si="6"/>
        <v>NOT PAID</v>
      </c>
      <c r="J131" s="402"/>
      <c r="K131" s="402"/>
      <c r="L131" s="402"/>
      <c r="M131" s="402"/>
      <c r="N131" s="402"/>
      <c r="O131" s="402"/>
      <c r="P131" s="402"/>
      <c r="Q131" s="402"/>
      <c r="R131" s="402"/>
      <c r="S131" s="402"/>
      <c r="T131" s="402"/>
      <c r="U131" s="402"/>
      <c r="V131" s="402"/>
      <c r="W131" s="402"/>
      <c r="X131" s="402"/>
      <c r="Y131" s="402"/>
      <c r="Z131" s="402"/>
    </row>
    <row r="132" ht="14.25" customHeight="1">
      <c r="A132" s="763">
        <v>45498.0</v>
      </c>
      <c r="B132" s="878" t="s">
        <v>4818</v>
      </c>
      <c r="C132" s="894" t="s">
        <v>4859</v>
      </c>
      <c r="D132" s="883" t="s">
        <v>75</v>
      </c>
      <c r="E132" s="689" t="s">
        <v>4887</v>
      </c>
      <c r="F132" s="881">
        <v>146632.5</v>
      </c>
      <c r="G132" s="403"/>
      <c r="H132" s="349" t="s">
        <v>4841</v>
      </c>
      <c r="I132" s="866" t="str">
        <f t="shared" si="6"/>
        <v>NOT PAID</v>
      </c>
      <c r="J132" s="402"/>
      <c r="K132" s="402"/>
      <c r="L132" s="402"/>
      <c r="M132" s="402"/>
      <c r="N132" s="402"/>
      <c r="O132" s="402"/>
      <c r="P132" s="402"/>
      <c r="Q132" s="402"/>
      <c r="R132" s="402"/>
      <c r="S132" s="402"/>
      <c r="T132" s="402"/>
      <c r="U132" s="402"/>
      <c r="V132" s="402"/>
      <c r="W132" s="402"/>
      <c r="X132" s="402"/>
      <c r="Y132" s="402"/>
      <c r="Z132" s="402"/>
    </row>
    <row r="133" ht="14.25" customHeight="1">
      <c r="A133" s="763">
        <v>45498.0</v>
      </c>
      <c r="B133" s="878" t="s">
        <v>4919</v>
      </c>
      <c r="C133" s="894" t="s">
        <v>4920</v>
      </c>
      <c r="D133" s="883" t="s">
        <v>75</v>
      </c>
      <c r="E133" s="689" t="s">
        <v>578</v>
      </c>
      <c r="F133" s="881">
        <v>506790.0</v>
      </c>
      <c r="G133" s="413">
        <v>220000.0</v>
      </c>
      <c r="H133" s="349" t="s">
        <v>267</v>
      </c>
      <c r="I133" s="866" t="str">
        <f t="shared" si="6"/>
        <v>PARTIALLY PAID</v>
      </c>
      <c r="J133" s="402"/>
      <c r="K133" s="402"/>
      <c r="L133" s="402"/>
      <c r="M133" s="402"/>
      <c r="N133" s="402"/>
      <c r="O133" s="402"/>
      <c r="P133" s="402"/>
      <c r="Q133" s="402"/>
      <c r="R133" s="402"/>
      <c r="S133" s="402"/>
      <c r="T133" s="402"/>
      <c r="U133" s="402"/>
      <c r="V133" s="402"/>
      <c r="W133" s="402"/>
      <c r="X133" s="402"/>
      <c r="Y133" s="402"/>
      <c r="Z133" s="402"/>
    </row>
    <row r="134" ht="14.25" customHeight="1">
      <c r="A134" s="402"/>
      <c r="B134" s="500"/>
      <c r="C134" s="878"/>
      <c r="D134" s="402"/>
      <c r="E134" s="868"/>
      <c r="F134" s="587"/>
      <c r="G134" s="403"/>
      <c r="H134" s="402"/>
      <c r="I134" s="866"/>
      <c r="J134" s="402"/>
      <c r="K134" s="402"/>
      <c r="L134" s="402"/>
      <c r="M134" s="402"/>
      <c r="N134" s="402"/>
      <c r="O134" s="402"/>
      <c r="P134" s="402"/>
      <c r="Q134" s="402"/>
      <c r="R134" s="402"/>
      <c r="S134" s="402"/>
      <c r="T134" s="402"/>
      <c r="U134" s="402"/>
      <c r="V134" s="402"/>
      <c r="W134" s="402"/>
      <c r="X134" s="402"/>
      <c r="Y134" s="402"/>
      <c r="Z134" s="402"/>
    </row>
    <row r="135" ht="14.25" customHeight="1">
      <c r="A135" s="402"/>
      <c r="B135" s="500"/>
      <c r="C135" s="878"/>
      <c r="D135" s="402"/>
      <c r="E135" s="868"/>
      <c r="F135" s="587"/>
      <c r="G135" s="403"/>
      <c r="H135" s="402"/>
      <c r="I135" s="866"/>
      <c r="J135" s="402"/>
      <c r="K135" s="402"/>
      <c r="L135" s="402"/>
      <c r="M135" s="402"/>
      <c r="N135" s="402"/>
      <c r="O135" s="402"/>
      <c r="P135" s="402"/>
      <c r="Q135" s="402"/>
      <c r="R135" s="402"/>
      <c r="S135" s="402"/>
      <c r="T135" s="402"/>
      <c r="U135" s="402"/>
      <c r="V135" s="402"/>
      <c r="W135" s="402"/>
      <c r="X135" s="402"/>
      <c r="Y135" s="402"/>
      <c r="Z135" s="402"/>
    </row>
    <row r="136" ht="14.25" customHeight="1">
      <c r="A136" s="402"/>
      <c r="B136" s="500"/>
      <c r="C136" s="878"/>
      <c r="D136" s="402"/>
      <c r="E136" s="868"/>
      <c r="F136" s="587"/>
      <c r="G136" s="403"/>
      <c r="H136" s="402"/>
      <c r="I136" s="866"/>
      <c r="J136" s="402"/>
      <c r="K136" s="402"/>
      <c r="L136" s="402"/>
      <c r="M136" s="402"/>
      <c r="N136" s="402"/>
      <c r="O136" s="402"/>
      <c r="P136" s="402"/>
      <c r="Q136" s="402"/>
      <c r="R136" s="402"/>
      <c r="S136" s="402"/>
      <c r="T136" s="402"/>
      <c r="U136" s="402"/>
      <c r="V136" s="402"/>
      <c r="W136" s="402"/>
      <c r="X136" s="402"/>
      <c r="Y136" s="402"/>
      <c r="Z136" s="402"/>
    </row>
    <row r="137" ht="14.25" customHeight="1">
      <c r="A137" s="402"/>
      <c r="B137" s="500"/>
      <c r="C137" s="895" t="s">
        <v>4921</v>
      </c>
      <c r="D137" s="402"/>
      <c r="E137" s="868"/>
      <c r="F137" s="587"/>
      <c r="G137" s="403"/>
      <c r="H137" s="402"/>
      <c r="I137" s="866"/>
      <c r="J137" s="402"/>
      <c r="K137" s="402"/>
      <c r="L137" s="402"/>
      <c r="M137" s="402"/>
      <c r="N137" s="402"/>
      <c r="O137" s="402"/>
      <c r="P137" s="402"/>
      <c r="Q137" s="402"/>
      <c r="R137" s="402"/>
      <c r="S137" s="402"/>
      <c r="T137" s="402"/>
      <c r="U137" s="402"/>
      <c r="V137" s="402"/>
      <c r="W137" s="402"/>
      <c r="X137" s="402"/>
      <c r="Y137" s="402"/>
      <c r="Z137" s="402"/>
    </row>
    <row r="138" ht="14.25" customHeight="1">
      <c r="A138" s="763">
        <v>45498.0</v>
      </c>
      <c r="B138" s="878" t="s">
        <v>4775</v>
      </c>
      <c r="C138" s="894" t="s">
        <v>4922</v>
      </c>
      <c r="D138" s="883" t="s">
        <v>59</v>
      </c>
      <c r="E138" s="689" t="s">
        <v>578</v>
      </c>
      <c r="F138" s="881">
        <v>155412.75</v>
      </c>
      <c r="G138" s="403"/>
      <c r="H138" s="349" t="s">
        <v>4841</v>
      </c>
      <c r="I138" s="866" t="str">
        <f t="shared" ref="I138:I143" si="7">IF(G138&gt;=F138,"FULLY PAID",IF(G138=0,"NOT PAID","PARTIALLY PAID"))</f>
        <v>NOT PAID</v>
      </c>
      <c r="J138" s="402"/>
      <c r="K138" s="402"/>
      <c r="L138" s="402"/>
      <c r="M138" s="402"/>
      <c r="N138" s="402"/>
      <c r="O138" s="402"/>
      <c r="P138" s="402"/>
      <c r="Q138" s="402"/>
      <c r="R138" s="402"/>
      <c r="S138" s="402"/>
      <c r="T138" s="402"/>
      <c r="U138" s="402"/>
      <c r="V138" s="402"/>
      <c r="W138" s="402"/>
      <c r="X138" s="402"/>
      <c r="Y138" s="402"/>
      <c r="Z138" s="402"/>
    </row>
    <row r="139" ht="14.25" customHeight="1">
      <c r="A139" s="763">
        <v>45498.0</v>
      </c>
      <c r="B139" s="878" t="s">
        <v>4800</v>
      </c>
      <c r="C139" s="894" t="s">
        <v>758</v>
      </c>
      <c r="D139" s="883" t="s">
        <v>59</v>
      </c>
      <c r="E139" s="689" t="s">
        <v>578</v>
      </c>
      <c r="F139" s="881">
        <v>196465.41</v>
      </c>
      <c r="G139" s="403"/>
      <c r="H139" s="349"/>
      <c r="I139" s="866" t="str">
        <f t="shared" si="7"/>
        <v>NOT PAID</v>
      </c>
      <c r="J139" s="402"/>
      <c r="K139" s="402"/>
      <c r="L139" s="402"/>
      <c r="M139" s="402"/>
      <c r="N139" s="402"/>
      <c r="O139" s="402"/>
      <c r="P139" s="402"/>
      <c r="Q139" s="402"/>
      <c r="R139" s="402"/>
      <c r="S139" s="402"/>
      <c r="T139" s="402"/>
      <c r="U139" s="402"/>
      <c r="V139" s="402"/>
      <c r="W139" s="402"/>
      <c r="X139" s="402"/>
      <c r="Y139" s="402"/>
      <c r="Z139" s="402"/>
    </row>
    <row r="140" ht="14.25" customHeight="1">
      <c r="A140" s="763">
        <v>45498.0</v>
      </c>
      <c r="B140" s="878" t="s">
        <v>4789</v>
      </c>
      <c r="C140" s="894" t="s">
        <v>4923</v>
      </c>
      <c r="D140" s="883" t="s">
        <v>59</v>
      </c>
      <c r="E140" s="689" t="s">
        <v>578</v>
      </c>
      <c r="F140" s="881">
        <v>68572.14</v>
      </c>
      <c r="G140" s="403"/>
      <c r="H140" s="349" t="s">
        <v>4924</v>
      </c>
      <c r="I140" s="866" t="str">
        <f t="shared" si="7"/>
        <v>NOT PAID</v>
      </c>
      <c r="J140" s="402"/>
      <c r="K140" s="402"/>
      <c r="L140" s="402"/>
      <c r="M140" s="402"/>
      <c r="N140" s="402"/>
      <c r="O140" s="402"/>
      <c r="P140" s="402"/>
      <c r="Q140" s="402"/>
      <c r="R140" s="402"/>
      <c r="S140" s="402"/>
      <c r="T140" s="402"/>
      <c r="U140" s="402"/>
      <c r="V140" s="402"/>
      <c r="W140" s="402"/>
      <c r="X140" s="402"/>
      <c r="Y140" s="402"/>
      <c r="Z140" s="402"/>
    </row>
    <row r="141" ht="14.25" customHeight="1">
      <c r="A141" s="763">
        <v>45498.0</v>
      </c>
      <c r="B141" s="878" t="s">
        <v>4869</v>
      </c>
      <c r="C141" s="894" t="s">
        <v>4925</v>
      </c>
      <c r="D141" s="883" t="s">
        <v>54</v>
      </c>
      <c r="E141" s="689" t="s">
        <v>578</v>
      </c>
      <c r="F141" s="881">
        <v>132899.87</v>
      </c>
      <c r="G141" s="403"/>
      <c r="H141" s="349" t="s">
        <v>4926</v>
      </c>
      <c r="I141" s="866" t="str">
        <f t="shared" si="7"/>
        <v>NOT PAID</v>
      </c>
      <c r="J141" s="402"/>
      <c r="K141" s="402"/>
      <c r="L141" s="402"/>
      <c r="M141" s="402"/>
      <c r="N141" s="402"/>
      <c r="O141" s="402"/>
      <c r="P141" s="402"/>
      <c r="Q141" s="402"/>
      <c r="R141" s="402"/>
      <c r="S141" s="402"/>
      <c r="T141" s="402"/>
      <c r="U141" s="402"/>
      <c r="V141" s="402"/>
      <c r="W141" s="402"/>
      <c r="X141" s="402"/>
      <c r="Y141" s="402"/>
      <c r="Z141" s="402"/>
    </row>
    <row r="142" ht="14.25" customHeight="1">
      <c r="A142" s="763">
        <v>45498.0</v>
      </c>
      <c r="B142" s="878" t="s">
        <v>4830</v>
      </c>
      <c r="C142" s="894" t="s">
        <v>4927</v>
      </c>
      <c r="D142" s="883" t="s">
        <v>54</v>
      </c>
      <c r="E142" s="689" t="s">
        <v>578</v>
      </c>
      <c r="F142" s="881">
        <v>82238.87</v>
      </c>
      <c r="G142" s="403"/>
      <c r="H142" s="349" t="s">
        <v>4928</v>
      </c>
      <c r="I142" s="866" t="str">
        <f t="shared" si="7"/>
        <v>NOT PAID</v>
      </c>
      <c r="J142" s="402"/>
      <c r="K142" s="402"/>
      <c r="L142" s="402"/>
      <c r="M142" s="402"/>
      <c r="N142" s="402"/>
      <c r="O142" s="402"/>
      <c r="P142" s="402"/>
      <c r="Q142" s="402"/>
      <c r="R142" s="402"/>
      <c r="S142" s="402"/>
      <c r="T142" s="402"/>
      <c r="U142" s="402"/>
      <c r="V142" s="402"/>
      <c r="W142" s="402"/>
      <c r="X142" s="402"/>
      <c r="Y142" s="402"/>
      <c r="Z142" s="402"/>
    </row>
    <row r="143" ht="14.25" customHeight="1">
      <c r="A143" s="763">
        <v>45498.0</v>
      </c>
      <c r="B143" s="878" t="s">
        <v>4547</v>
      </c>
      <c r="C143" s="894" t="s">
        <v>4548</v>
      </c>
      <c r="D143" s="883" t="s">
        <v>59</v>
      </c>
      <c r="E143" s="689" t="s">
        <v>578</v>
      </c>
      <c r="F143" s="881">
        <v>513754.11</v>
      </c>
      <c r="G143" s="403"/>
      <c r="H143" s="349" t="s">
        <v>4841</v>
      </c>
      <c r="I143" s="866" t="str">
        <f t="shared" si="7"/>
        <v>NOT PAID</v>
      </c>
      <c r="J143" s="402"/>
      <c r="K143" s="402"/>
      <c r="L143" s="402"/>
      <c r="M143" s="402"/>
      <c r="N143" s="402"/>
      <c r="O143" s="402"/>
      <c r="P143" s="402"/>
      <c r="Q143" s="402"/>
      <c r="R143" s="402"/>
      <c r="S143" s="402"/>
      <c r="T143" s="402"/>
      <c r="U143" s="402"/>
      <c r="V143" s="402"/>
      <c r="W143" s="402"/>
      <c r="X143" s="402"/>
      <c r="Y143" s="402"/>
      <c r="Z143" s="402"/>
    </row>
    <row r="144" ht="14.25" customHeight="1">
      <c r="A144" s="402"/>
      <c r="B144" s="500"/>
      <c r="C144" s="878"/>
      <c r="D144" s="402"/>
      <c r="E144" s="868"/>
      <c r="F144" s="587"/>
      <c r="G144" s="403"/>
      <c r="H144" s="402"/>
      <c r="I144" s="866"/>
      <c r="J144" s="402"/>
      <c r="K144" s="402"/>
      <c r="L144" s="402"/>
      <c r="M144" s="402"/>
      <c r="N144" s="402"/>
      <c r="O144" s="402"/>
      <c r="P144" s="402"/>
      <c r="Q144" s="402"/>
      <c r="R144" s="402"/>
      <c r="S144" s="402"/>
      <c r="T144" s="402"/>
      <c r="U144" s="402"/>
      <c r="V144" s="402"/>
      <c r="W144" s="402"/>
      <c r="X144" s="402"/>
      <c r="Y144" s="402"/>
      <c r="Z144" s="402"/>
    </row>
    <row r="145" ht="14.25" customHeight="1">
      <c r="A145" s="584"/>
      <c r="B145" s="877"/>
      <c r="C145" s="584"/>
      <c r="D145" s="584"/>
      <c r="E145" s="862"/>
      <c r="F145" s="585"/>
      <c r="G145" s="586"/>
      <c r="H145" s="584"/>
      <c r="I145" s="866"/>
      <c r="J145" s="402"/>
      <c r="K145" s="402"/>
      <c r="L145" s="402"/>
      <c r="M145" s="402"/>
      <c r="N145" s="402"/>
      <c r="O145" s="402"/>
      <c r="P145" s="402"/>
      <c r="Q145" s="402"/>
      <c r="R145" s="402"/>
      <c r="S145" s="402"/>
      <c r="T145" s="402"/>
      <c r="U145" s="402"/>
      <c r="V145" s="402"/>
      <c r="W145" s="402"/>
      <c r="X145" s="402"/>
      <c r="Y145" s="402"/>
      <c r="Z145" s="402"/>
    </row>
    <row r="146" ht="14.25" customHeight="1">
      <c r="A146" s="896" t="s">
        <v>2130</v>
      </c>
      <c r="B146" s="897" t="s">
        <v>39</v>
      </c>
      <c r="C146" s="896" t="s">
        <v>48</v>
      </c>
      <c r="D146" s="896" t="s">
        <v>49</v>
      </c>
      <c r="E146" s="898" t="s">
        <v>50</v>
      </c>
      <c r="F146" s="899" t="s">
        <v>2</v>
      </c>
      <c r="G146" s="896" t="s">
        <v>44</v>
      </c>
      <c r="H146" s="896" t="s">
        <v>45</v>
      </c>
      <c r="I146" s="866" t="str">
        <f t="shared" ref="I146:I167" si="8">IF(G146&gt;=F146,"FULLY PAID",IF(G146=0,"NOT PAID","PARTIALLY PAID"))</f>
        <v>FULLY PAID</v>
      </c>
      <c r="J146" s="896"/>
      <c r="K146" s="896"/>
      <c r="L146" s="896"/>
      <c r="M146" s="896"/>
      <c r="N146" s="896"/>
      <c r="O146" s="896"/>
      <c r="P146" s="896"/>
      <c r="Q146" s="896"/>
      <c r="R146" s="896"/>
      <c r="S146" s="896"/>
      <c r="T146" s="896"/>
      <c r="U146" s="896"/>
      <c r="V146" s="896"/>
      <c r="W146" s="896"/>
      <c r="X146" s="896"/>
      <c r="Y146" s="896"/>
      <c r="Z146" s="896"/>
    </row>
    <row r="147" ht="14.25" customHeight="1">
      <c r="A147" s="900">
        <v>45499.0</v>
      </c>
      <c r="B147" s="901" t="s">
        <v>4787</v>
      </c>
      <c r="C147" s="902" t="s">
        <v>4929</v>
      </c>
      <c r="D147" s="545" t="s">
        <v>54</v>
      </c>
      <c r="E147" s="903" t="s">
        <v>4895</v>
      </c>
      <c r="F147" s="904">
        <v>31673.86</v>
      </c>
      <c r="G147" s="905">
        <v>30000.0</v>
      </c>
      <c r="H147" s="545" t="s">
        <v>267</v>
      </c>
      <c r="I147" s="866" t="str">
        <f t="shared" si="8"/>
        <v>PARTIALLY PAID</v>
      </c>
      <c r="J147" s="797"/>
      <c r="K147" s="797"/>
      <c r="L147" s="797"/>
      <c r="M147" s="797"/>
      <c r="N147" s="797"/>
      <c r="O147" s="797"/>
      <c r="P147" s="797"/>
      <c r="Q147" s="797"/>
      <c r="R147" s="797"/>
      <c r="S147" s="797"/>
      <c r="T147" s="797"/>
      <c r="U147" s="797"/>
      <c r="V147" s="797"/>
      <c r="W147" s="797"/>
      <c r="X147" s="797"/>
      <c r="Y147" s="797"/>
      <c r="Z147" s="797"/>
    </row>
    <row r="148" ht="14.25" customHeight="1">
      <c r="A148" s="900">
        <v>45499.0</v>
      </c>
      <c r="B148" s="901" t="s">
        <v>4930</v>
      </c>
      <c r="C148" s="545" t="s">
        <v>4910</v>
      </c>
      <c r="D148" s="545" t="s">
        <v>75</v>
      </c>
      <c r="E148" s="903" t="s">
        <v>4887</v>
      </c>
      <c r="F148" s="904">
        <v>1100000.0</v>
      </c>
      <c r="G148" s="905">
        <v>1100000.0</v>
      </c>
      <c r="H148" s="545" t="s">
        <v>268</v>
      </c>
      <c r="I148" s="866" t="str">
        <f t="shared" si="8"/>
        <v>FULLY PAID</v>
      </c>
      <c r="J148" s="797"/>
      <c r="K148" s="797"/>
      <c r="L148" s="797"/>
      <c r="M148" s="797"/>
      <c r="N148" s="797"/>
      <c r="O148" s="797"/>
      <c r="P148" s="797"/>
      <c r="Q148" s="797"/>
      <c r="R148" s="797"/>
      <c r="S148" s="797"/>
      <c r="T148" s="797"/>
      <c r="U148" s="797"/>
      <c r="V148" s="797"/>
      <c r="W148" s="797"/>
      <c r="X148" s="797"/>
      <c r="Y148" s="797"/>
      <c r="Z148" s="797"/>
    </row>
    <row r="149" ht="14.25" customHeight="1">
      <c r="A149" s="900">
        <v>45499.0</v>
      </c>
      <c r="B149" s="901" t="s">
        <v>4931</v>
      </c>
      <c r="C149" s="545" t="s">
        <v>4932</v>
      </c>
      <c r="D149" s="545" t="s">
        <v>75</v>
      </c>
      <c r="E149" s="903" t="s">
        <v>4895</v>
      </c>
      <c r="F149" s="904">
        <v>30250.0</v>
      </c>
      <c r="G149" s="905">
        <v>30250.0</v>
      </c>
      <c r="H149" s="545" t="s">
        <v>267</v>
      </c>
      <c r="I149" s="866" t="str">
        <f t="shared" si="8"/>
        <v>FULLY PAID</v>
      </c>
      <c r="J149" s="797"/>
      <c r="K149" s="797"/>
      <c r="L149" s="797"/>
      <c r="M149" s="797"/>
      <c r="N149" s="797"/>
      <c r="O149" s="797"/>
      <c r="P149" s="797"/>
      <c r="Q149" s="797"/>
      <c r="R149" s="797"/>
      <c r="S149" s="797"/>
      <c r="T149" s="797"/>
      <c r="U149" s="797"/>
      <c r="V149" s="797"/>
      <c r="W149" s="797"/>
      <c r="X149" s="797"/>
      <c r="Y149" s="797"/>
      <c r="Z149" s="797"/>
    </row>
    <row r="150" ht="14.25" customHeight="1">
      <c r="A150" s="900">
        <v>45499.0</v>
      </c>
      <c r="B150" s="901" t="s">
        <v>4933</v>
      </c>
      <c r="C150" s="545" t="s">
        <v>4848</v>
      </c>
      <c r="D150" s="545" t="s">
        <v>59</v>
      </c>
      <c r="E150" s="903" t="s">
        <v>4887</v>
      </c>
      <c r="F150" s="904">
        <v>403830.85</v>
      </c>
      <c r="G150" s="905">
        <v>50000.0</v>
      </c>
      <c r="H150" s="545" t="s">
        <v>804</v>
      </c>
      <c r="I150" s="866" t="str">
        <f t="shared" si="8"/>
        <v>PARTIALLY PAID</v>
      </c>
      <c r="J150" s="797"/>
      <c r="K150" s="797"/>
      <c r="L150" s="797"/>
      <c r="M150" s="797"/>
      <c r="N150" s="797"/>
      <c r="O150" s="797"/>
      <c r="P150" s="797"/>
      <c r="Q150" s="797"/>
      <c r="R150" s="797"/>
      <c r="S150" s="797"/>
      <c r="T150" s="797"/>
      <c r="U150" s="797"/>
      <c r="V150" s="797"/>
      <c r="W150" s="797"/>
      <c r="X150" s="797"/>
      <c r="Y150" s="797"/>
      <c r="Z150" s="797"/>
    </row>
    <row r="151" ht="14.25" customHeight="1">
      <c r="A151" s="900">
        <v>45499.0</v>
      </c>
      <c r="B151" s="901" t="s">
        <v>4934</v>
      </c>
      <c r="C151" s="545" t="s">
        <v>4935</v>
      </c>
      <c r="D151" s="545" t="s">
        <v>54</v>
      </c>
      <c r="E151" s="903" t="s">
        <v>4895</v>
      </c>
      <c r="F151" s="904">
        <v>13600.0</v>
      </c>
      <c r="G151" s="905">
        <v>17600.0</v>
      </c>
      <c r="H151" s="545" t="s">
        <v>772</v>
      </c>
      <c r="I151" s="866" t="str">
        <f t="shared" si="8"/>
        <v>FULLY PAID</v>
      </c>
      <c r="J151" s="797"/>
      <c r="K151" s="797"/>
      <c r="L151" s="797"/>
      <c r="M151" s="797"/>
      <c r="N151" s="797"/>
      <c r="O151" s="797"/>
      <c r="P151" s="797"/>
      <c r="Q151" s="797"/>
      <c r="R151" s="797"/>
      <c r="S151" s="797"/>
      <c r="T151" s="797"/>
      <c r="U151" s="797"/>
      <c r="V151" s="797"/>
      <c r="W151" s="797"/>
      <c r="X151" s="797"/>
      <c r="Y151" s="797"/>
      <c r="Z151" s="797"/>
    </row>
    <row r="152" ht="14.25" customHeight="1">
      <c r="A152" s="900">
        <v>45499.0</v>
      </c>
      <c r="B152" s="906" t="s">
        <v>4885</v>
      </c>
      <c r="C152" s="906" t="s">
        <v>4886</v>
      </c>
      <c r="D152" s="906" t="s">
        <v>54</v>
      </c>
      <c r="E152" s="903" t="s">
        <v>4887</v>
      </c>
      <c r="F152" s="873">
        <v>1337.42</v>
      </c>
      <c r="G152" s="907"/>
      <c r="H152" s="545" t="s">
        <v>4936</v>
      </c>
      <c r="I152" s="866" t="str">
        <f t="shared" si="8"/>
        <v>NOT PAID</v>
      </c>
      <c r="J152" s="797"/>
      <c r="K152" s="797"/>
      <c r="L152" s="797"/>
      <c r="M152" s="797"/>
      <c r="N152" s="797"/>
      <c r="O152" s="797"/>
      <c r="P152" s="797"/>
      <c r="Q152" s="797"/>
      <c r="R152" s="797"/>
      <c r="S152" s="797"/>
      <c r="T152" s="797"/>
      <c r="U152" s="797"/>
      <c r="V152" s="797"/>
      <c r="W152" s="797"/>
      <c r="X152" s="797"/>
      <c r="Y152" s="797"/>
      <c r="Z152" s="797"/>
    </row>
    <row r="153" ht="14.25" customHeight="1">
      <c r="A153" s="900">
        <v>45499.0</v>
      </c>
      <c r="B153" s="906" t="s">
        <v>4793</v>
      </c>
      <c r="C153" s="906" t="s">
        <v>4891</v>
      </c>
      <c r="D153" s="906" t="s">
        <v>54</v>
      </c>
      <c r="E153" s="903" t="s">
        <v>4892</v>
      </c>
      <c r="F153" s="873">
        <v>28453.85</v>
      </c>
      <c r="G153" s="907"/>
      <c r="H153" s="545" t="s">
        <v>4936</v>
      </c>
      <c r="I153" s="866" t="str">
        <f t="shared" si="8"/>
        <v>NOT PAID</v>
      </c>
      <c r="J153" s="797"/>
      <c r="K153" s="797"/>
      <c r="L153" s="797"/>
      <c r="M153" s="797"/>
      <c r="N153" s="797"/>
      <c r="O153" s="797"/>
      <c r="P153" s="797"/>
      <c r="Q153" s="797"/>
      <c r="R153" s="797"/>
      <c r="S153" s="797"/>
      <c r="T153" s="797"/>
      <c r="U153" s="797"/>
      <c r="V153" s="797"/>
      <c r="W153" s="797"/>
      <c r="X153" s="797"/>
      <c r="Y153" s="797"/>
      <c r="Z153" s="797"/>
    </row>
    <row r="154" ht="14.25" customHeight="1">
      <c r="A154" s="900">
        <v>45499.0</v>
      </c>
      <c r="B154" s="902" t="s">
        <v>4898</v>
      </c>
      <c r="C154" s="908" t="s">
        <v>4899</v>
      </c>
      <c r="D154" s="906" t="s">
        <v>54</v>
      </c>
      <c r="E154" s="903" t="s">
        <v>4890</v>
      </c>
      <c r="F154" s="873">
        <v>903.85</v>
      </c>
      <c r="G154" s="907"/>
      <c r="H154" s="545" t="s">
        <v>4936</v>
      </c>
      <c r="I154" s="866" t="str">
        <f t="shared" si="8"/>
        <v>NOT PAID</v>
      </c>
      <c r="J154" s="797"/>
      <c r="K154" s="797"/>
      <c r="L154" s="797"/>
      <c r="M154" s="797"/>
      <c r="N154" s="797"/>
      <c r="O154" s="797"/>
      <c r="P154" s="797"/>
      <c r="Q154" s="797"/>
      <c r="R154" s="797"/>
      <c r="S154" s="797"/>
      <c r="T154" s="797"/>
      <c r="U154" s="797"/>
      <c r="V154" s="797"/>
      <c r="W154" s="797"/>
      <c r="X154" s="797"/>
      <c r="Y154" s="797"/>
      <c r="Z154" s="797"/>
    </row>
    <row r="155" ht="14.25" customHeight="1">
      <c r="A155" s="900">
        <v>45499.0</v>
      </c>
      <c r="B155" s="902" t="s">
        <v>4856</v>
      </c>
      <c r="C155" s="908" t="s">
        <v>4857</v>
      </c>
      <c r="D155" s="906" t="s">
        <v>54</v>
      </c>
      <c r="E155" s="903" t="s">
        <v>4895</v>
      </c>
      <c r="F155" s="873">
        <v>5414.99</v>
      </c>
      <c r="G155" s="909">
        <v>20860.0</v>
      </c>
      <c r="H155" s="545" t="s">
        <v>267</v>
      </c>
      <c r="I155" s="866" t="str">
        <f t="shared" si="8"/>
        <v>FULLY PAID</v>
      </c>
      <c r="J155" s="797"/>
      <c r="K155" s="797"/>
      <c r="L155" s="797"/>
      <c r="M155" s="797"/>
      <c r="N155" s="797"/>
      <c r="O155" s="797"/>
      <c r="P155" s="797"/>
      <c r="Q155" s="797"/>
      <c r="R155" s="797"/>
      <c r="S155" s="797"/>
      <c r="T155" s="797"/>
      <c r="U155" s="797"/>
      <c r="V155" s="797"/>
      <c r="W155" s="797"/>
      <c r="X155" s="797"/>
      <c r="Y155" s="797"/>
      <c r="Z155" s="797"/>
    </row>
    <row r="156" ht="14.25" customHeight="1">
      <c r="A156" s="900">
        <v>45499.0</v>
      </c>
      <c r="B156" s="902" t="s">
        <v>4903</v>
      </c>
      <c r="C156" s="908" t="s">
        <v>4904</v>
      </c>
      <c r="D156" s="906" t="s">
        <v>54</v>
      </c>
      <c r="E156" s="903" t="s">
        <v>4895</v>
      </c>
      <c r="F156" s="873">
        <v>21711.43</v>
      </c>
      <c r="G156" s="907"/>
      <c r="H156" s="545" t="s">
        <v>4936</v>
      </c>
      <c r="I156" s="866" t="str">
        <f t="shared" si="8"/>
        <v>NOT PAID</v>
      </c>
      <c r="J156" s="797"/>
      <c r="K156" s="797"/>
      <c r="L156" s="797"/>
      <c r="M156" s="797"/>
      <c r="N156" s="797"/>
      <c r="O156" s="797"/>
      <c r="P156" s="797"/>
      <c r="Q156" s="797"/>
      <c r="R156" s="797"/>
      <c r="S156" s="797"/>
      <c r="T156" s="797"/>
      <c r="U156" s="797"/>
      <c r="V156" s="797"/>
      <c r="W156" s="797"/>
      <c r="X156" s="797"/>
      <c r="Y156" s="797"/>
      <c r="Z156" s="797"/>
    </row>
    <row r="157" ht="14.25" customHeight="1">
      <c r="A157" s="900">
        <v>45499.0</v>
      </c>
      <c r="B157" s="902" t="s">
        <v>4773</v>
      </c>
      <c r="C157" s="908" t="s">
        <v>4906</v>
      </c>
      <c r="D157" s="906" t="s">
        <v>54</v>
      </c>
      <c r="E157" s="903" t="s">
        <v>4890</v>
      </c>
      <c r="F157" s="873">
        <v>806.19</v>
      </c>
      <c r="G157" s="907"/>
      <c r="H157" s="545" t="s">
        <v>4936</v>
      </c>
      <c r="I157" s="866" t="str">
        <f t="shared" si="8"/>
        <v>NOT PAID</v>
      </c>
      <c r="J157" s="797"/>
      <c r="K157" s="797"/>
      <c r="L157" s="797"/>
      <c r="M157" s="797"/>
      <c r="N157" s="797"/>
      <c r="O157" s="797"/>
      <c r="P157" s="797"/>
      <c r="Q157" s="797"/>
      <c r="R157" s="797"/>
      <c r="S157" s="797"/>
      <c r="T157" s="797"/>
      <c r="U157" s="797"/>
      <c r="V157" s="797"/>
      <c r="W157" s="797"/>
      <c r="X157" s="797"/>
      <c r="Y157" s="797"/>
      <c r="Z157" s="797"/>
    </row>
    <row r="158" ht="14.25" customHeight="1">
      <c r="A158" s="900">
        <v>45499.0</v>
      </c>
      <c r="B158" s="902" t="s">
        <v>4777</v>
      </c>
      <c r="C158" s="908" t="s">
        <v>4842</v>
      </c>
      <c r="D158" s="906" t="s">
        <v>54</v>
      </c>
      <c r="E158" s="903" t="s">
        <v>4887</v>
      </c>
      <c r="F158" s="873">
        <v>1256.3</v>
      </c>
      <c r="G158" s="907"/>
      <c r="H158" s="545" t="s">
        <v>4936</v>
      </c>
      <c r="I158" s="866" t="str">
        <f t="shared" si="8"/>
        <v>NOT PAID</v>
      </c>
      <c r="J158" s="797"/>
      <c r="K158" s="797"/>
      <c r="L158" s="797"/>
      <c r="M158" s="797"/>
      <c r="N158" s="797"/>
      <c r="O158" s="797"/>
      <c r="P158" s="797"/>
      <c r="Q158" s="797"/>
      <c r="R158" s="797"/>
      <c r="S158" s="797"/>
      <c r="T158" s="797"/>
      <c r="U158" s="797"/>
      <c r="V158" s="797"/>
      <c r="W158" s="797"/>
      <c r="X158" s="797"/>
      <c r="Y158" s="797"/>
      <c r="Z158" s="797"/>
    </row>
    <row r="159" ht="14.25" customHeight="1">
      <c r="A159" s="900">
        <v>45499.0</v>
      </c>
      <c r="B159" s="902" t="s">
        <v>4779</v>
      </c>
      <c r="C159" s="908" t="s">
        <v>4907</v>
      </c>
      <c r="D159" s="906" t="s">
        <v>54</v>
      </c>
      <c r="E159" s="903" t="s">
        <v>4887</v>
      </c>
      <c r="F159" s="873">
        <v>2682.6</v>
      </c>
      <c r="G159" s="907"/>
      <c r="H159" s="901" t="s">
        <v>4936</v>
      </c>
      <c r="I159" s="866" t="str">
        <f t="shared" si="8"/>
        <v>NOT PAID</v>
      </c>
      <c r="J159" s="797"/>
      <c r="K159" s="797"/>
      <c r="L159" s="797"/>
      <c r="M159" s="797"/>
      <c r="N159" s="797"/>
      <c r="O159" s="797"/>
      <c r="P159" s="797"/>
      <c r="Q159" s="797"/>
      <c r="R159" s="797"/>
      <c r="S159" s="797"/>
      <c r="T159" s="797"/>
      <c r="U159" s="797"/>
      <c r="V159" s="797"/>
      <c r="W159" s="797"/>
      <c r="X159" s="797"/>
      <c r="Y159" s="797"/>
      <c r="Z159" s="797"/>
    </row>
    <row r="160" ht="14.25" customHeight="1">
      <c r="A160" s="900">
        <v>45499.0</v>
      </c>
      <c r="B160" s="902" t="s">
        <v>4937</v>
      </c>
      <c r="C160" s="908" t="s">
        <v>4938</v>
      </c>
      <c r="D160" s="906" t="s">
        <v>54</v>
      </c>
      <c r="E160" s="903" t="s">
        <v>4887</v>
      </c>
      <c r="F160" s="873">
        <v>4297.57</v>
      </c>
      <c r="G160" s="905">
        <v>172500.0</v>
      </c>
      <c r="H160" s="545" t="s">
        <v>4936</v>
      </c>
      <c r="I160" s="866" t="str">
        <f t="shared" si="8"/>
        <v>FULLY PAID</v>
      </c>
      <c r="J160" s="797"/>
      <c r="K160" s="797"/>
      <c r="L160" s="797"/>
      <c r="M160" s="797"/>
      <c r="N160" s="797"/>
      <c r="O160" s="797"/>
      <c r="P160" s="797"/>
      <c r="Q160" s="797"/>
      <c r="R160" s="797"/>
      <c r="S160" s="797"/>
      <c r="T160" s="797"/>
      <c r="U160" s="797"/>
      <c r="V160" s="797"/>
      <c r="W160" s="797"/>
      <c r="X160" s="797"/>
      <c r="Y160" s="797"/>
      <c r="Z160" s="797"/>
    </row>
    <row r="161" ht="14.25" customHeight="1">
      <c r="A161" s="900">
        <v>45499.0</v>
      </c>
      <c r="B161" s="902" t="s">
        <v>4833</v>
      </c>
      <c r="C161" s="908" t="s">
        <v>4910</v>
      </c>
      <c r="D161" s="906" t="s">
        <v>54</v>
      </c>
      <c r="E161" s="903" t="s">
        <v>4887</v>
      </c>
      <c r="F161" s="873">
        <v>97037.34</v>
      </c>
      <c r="G161" s="905">
        <v>156100.0</v>
      </c>
      <c r="H161" s="545" t="s">
        <v>267</v>
      </c>
      <c r="I161" s="866" t="str">
        <f t="shared" si="8"/>
        <v>FULLY PAID</v>
      </c>
      <c r="J161" s="797"/>
      <c r="K161" s="797"/>
      <c r="L161" s="797"/>
      <c r="M161" s="797"/>
      <c r="N161" s="797"/>
      <c r="O161" s="797"/>
      <c r="P161" s="797"/>
      <c r="Q161" s="797"/>
      <c r="R161" s="797"/>
      <c r="S161" s="797"/>
      <c r="T161" s="797"/>
      <c r="U161" s="797"/>
      <c r="V161" s="797"/>
      <c r="W161" s="797"/>
      <c r="X161" s="797"/>
      <c r="Y161" s="797"/>
      <c r="Z161" s="797"/>
    </row>
    <row r="162" ht="14.25" customHeight="1">
      <c r="A162" s="900">
        <v>45499.0</v>
      </c>
      <c r="B162" s="902" t="s">
        <v>4795</v>
      </c>
      <c r="C162" s="908" t="s">
        <v>4852</v>
      </c>
      <c r="D162" s="906" t="s">
        <v>54</v>
      </c>
      <c r="E162" s="903" t="s">
        <v>4913</v>
      </c>
      <c r="F162" s="873">
        <v>22409.89</v>
      </c>
      <c r="G162" s="905">
        <v>20000.0</v>
      </c>
      <c r="H162" s="545" t="s">
        <v>267</v>
      </c>
      <c r="I162" s="866" t="str">
        <f t="shared" si="8"/>
        <v>PARTIALLY PAID</v>
      </c>
      <c r="J162" s="797"/>
      <c r="K162" s="797"/>
      <c r="L162" s="797"/>
      <c r="M162" s="797"/>
      <c r="N162" s="797"/>
      <c r="O162" s="797"/>
      <c r="P162" s="797"/>
      <c r="Q162" s="797"/>
      <c r="R162" s="797"/>
      <c r="S162" s="797"/>
      <c r="T162" s="797"/>
      <c r="U162" s="797"/>
      <c r="V162" s="797"/>
      <c r="W162" s="797"/>
      <c r="X162" s="797"/>
      <c r="Y162" s="797"/>
      <c r="Z162" s="797"/>
    </row>
    <row r="163" ht="14.25" customHeight="1">
      <c r="A163" s="900">
        <v>45499.0</v>
      </c>
      <c r="B163" s="902" t="s">
        <v>4815</v>
      </c>
      <c r="C163" s="908" t="s">
        <v>4859</v>
      </c>
      <c r="D163" s="906" t="s">
        <v>54</v>
      </c>
      <c r="E163" s="903" t="s">
        <v>4913</v>
      </c>
      <c r="F163" s="873">
        <v>26396.25</v>
      </c>
      <c r="G163" s="907"/>
      <c r="H163" s="545" t="s">
        <v>4936</v>
      </c>
      <c r="I163" s="866" t="str">
        <f t="shared" si="8"/>
        <v>NOT PAID</v>
      </c>
      <c r="J163" s="797"/>
      <c r="K163" s="797"/>
      <c r="L163" s="797"/>
      <c r="M163" s="797"/>
      <c r="N163" s="797"/>
      <c r="O163" s="797"/>
      <c r="P163" s="797"/>
      <c r="Q163" s="797"/>
      <c r="R163" s="797"/>
      <c r="S163" s="797"/>
      <c r="T163" s="797"/>
      <c r="U163" s="797"/>
      <c r="V163" s="797"/>
      <c r="W163" s="797"/>
      <c r="X163" s="797"/>
      <c r="Y163" s="797"/>
      <c r="Z163" s="797"/>
    </row>
    <row r="164" ht="14.25" customHeight="1">
      <c r="A164" s="900">
        <v>45499.0</v>
      </c>
      <c r="B164" s="902" t="s">
        <v>4939</v>
      </c>
      <c r="C164" s="908" t="s">
        <v>4932</v>
      </c>
      <c r="D164" s="906" t="s">
        <v>54</v>
      </c>
      <c r="E164" s="903" t="s">
        <v>4887</v>
      </c>
      <c r="F164" s="873">
        <v>4187.53</v>
      </c>
      <c r="G164" s="905">
        <v>26314.0</v>
      </c>
      <c r="H164" s="545" t="s">
        <v>267</v>
      </c>
      <c r="I164" s="866" t="str">
        <f t="shared" si="8"/>
        <v>FULLY PAID</v>
      </c>
      <c r="J164" s="797"/>
      <c r="K164" s="797"/>
      <c r="L164" s="797"/>
      <c r="M164" s="797"/>
      <c r="N164" s="797"/>
      <c r="O164" s="797"/>
      <c r="P164" s="797"/>
      <c r="Q164" s="797"/>
      <c r="R164" s="797"/>
      <c r="S164" s="797"/>
      <c r="T164" s="797"/>
      <c r="U164" s="797"/>
      <c r="V164" s="797"/>
      <c r="W164" s="797"/>
      <c r="X164" s="797"/>
      <c r="Y164" s="797"/>
      <c r="Z164" s="797"/>
    </row>
    <row r="165" ht="14.25" customHeight="1">
      <c r="A165" s="900">
        <v>45499.0</v>
      </c>
      <c r="B165" s="902" t="s">
        <v>4816</v>
      </c>
      <c r="C165" s="908" t="s">
        <v>4858</v>
      </c>
      <c r="D165" s="906" t="s">
        <v>54</v>
      </c>
      <c r="E165" s="903" t="s">
        <v>4887</v>
      </c>
      <c r="F165" s="873">
        <v>14977.01</v>
      </c>
      <c r="G165" s="907"/>
      <c r="H165" s="545" t="s">
        <v>4936</v>
      </c>
      <c r="I165" s="866" t="str">
        <f t="shared" si="8"/>
        <v>NOT PAID</v>
      </c>
      <c r="J165" s="797"/>
      <c r="K165" s="797"/>
      <c r="L165" s="797"/>
      <c r="M165" s="797"/>
      <c r="N165" s="797"/>
      <c r="O165" s="797"/>
      <c r="P165" s="797"/>
      <c r="Q165" s="797"/>
      <c r="R165" s="797"/>
      <c r="S165" s="797"/>
      <c r="T165" s="797"/>
      <c r="U165" s="797"/>
      <c r="V165" s="797"/>
      <c r="W165" s="797"/>
      <c r="X165" s="797"/>
      <c r="Y165" s="797"/>
      <c r="Z165" s="797"/>
    </row>
    <row r="166" ht="14.25" customHeight="1">
      <c r="A166" s="900">
        <v>45499.0</v>
      </c>
      <c r="B166" s="902" t="s">
        <v>4940</v>
      </c>
      <c r="C166" s="908" t="s">
        <v>4941</v>
      </c>
      <c r="D166" s="906" t="s">
        <v>75</v>
      </c>
      <c r="E166" s="903" t="s">
        <v>4887</v>
      </c>
      <c r="F166" s="873">
        <v>146632.5</v>
      </c>
      <c r="G166" s="905">
        <v>345000.0</v>
      </c>
      <c r="H166" s="545" t="s">
        <v>4936</v>
      </c>
      <c r="I166" s="866" t="str">
        <f t="shared" si="8"/>
        <v>FULLY PAID</v>
      </c>
      <c r="J166" s="797"/>
      <c r="K166" s="797"/>
      <c r="L166" s="797"/>
      <c r="M166" s="797"/>
      <c r="N166" s="797"/>
      <c r="O166" s="797"/>
      <c r="P166" s="797"/>
      <c r="Q166" s="797"/>
      <c r="R166" s="797"/>
      <c r="S166" s="797"/>
      <c r="T166" s="797"/>
      <c r="U166" s="797"/>
      <c r="V166" s="797"/>
      <c r="W166" s="797"/>
      <c r="X166" s="797"/>
      <c r="Y166" s="797"/>
      <c r="Z166" s="797"/>
    </row>
    <row r="167" ht="14.25" customHeight="1">
      <c r="A167" s="900">
        <v>45499.0</v>
      </c>
      <c r="B167" s="901" t="s">
        <v>4942</v>
      </c>
      <c r="C167" s="545" t="s">
        <v>4943</v>
      </c>
      <c r="D167" s="906" t="s">
        <v>75</v>
      </c>
      <c r="E167" s="903" t="s">
        <v>4895</v>
      </c>
      <c r="F167" s="904">
        <v>5000.0</v>
      </c>
      <c r="G167" s="905">
        <v>5000.0</v>
      </c>
      <c r="H167" s="545" t="s">
        <v>267</v>
      </c>
      <c r="I167" s="866" t="str">
        <f t="shared" si="8"/>
        <v>FULLY PAID</v>
      </c>
      <c r="J167" s="797"/>
      <c r="K167" s="797"/>
      <c r="L167" s="797"/>
      <c r="M167" s="797"/>
      <c r="N167" s="797"/>
      <c r="O167" s="797"/>
      <c r="P167" s="797"/>
      <c r="Q167" s="797"/>
      <c r="R167" s="797"/>
      <c r="S167" s="797"/>
      <c r="T167" s="797"/>
      <c r="U167" s="797"/>
      <c r="V167" s="797"/>
      <c r="W167" s="797"/>
      <c r="X167" s="797"/>
      <c r="Y167" s="797"/>
      <c r="Z167" s="797"/>
    </row>
    <row r="168" ht="14.25" customHeight="1">
      <c r="A168" s="797"/>
      <c r="B168" s="910"/>
      <c r="C168" s="911"/>
      <c r="D168" s="797"/>
      <c r="E168" s="912"/>
      <c r="F168" s="913"/>
      <c r="G168" s="907"/>
      <c r="H168" s="797"/>
      <c r="I168" s="866"/>
      <c r="J168" s="797"/>
      <c r="K168" s="797"/>
      <c r="L168" s="797"/>
      <c r="M168" s="797"/>
      <c r="N168" s="797"/>
      <c r="O168" s="797"/>
      <c r="P168" s="797"/>
      <c r="Q168" s="797"/>
      <c r="R168" s="797"/>
      <c r="S168" s="797"/>
      <c r="T168" s="797"/>
      <c r="U168" s="797"/>
      <c r="V168" s="797"/>
      <c r="W168" s="797"/>
      <c r="X168" s="797"/>
      <c r="Y168" s="797"/>
      <c r="Z168" s="797"/>
    </row>
    <row r="169" ht="14.25" customHeight="1">
      <c r="A169" s="797"/>
      <c r="B169" s="910"/>
      <c r="C169" s="911" t="s">
        <v>797</v>
      </c>
      <c r="D169" s="797"/>
      <c r="E169" s="912"/>
      <c r="F169" s="913"/>
      <c r="G169" s="907"/>
      <c r="H169" s="797"/>
      <c r="I169" s="866"/>
      <c r="J169" s="797"/>
      <c r="K169" s="797"/>
      <c r="L169" s="797"/>
      <c r="M169" s="797"/>
      <c r="N169" s="797"/>
      <c r="O169" s="797"/>
      <c r="P169" s="797"/>
      <c r="Q169" s="797"/>
      <c r="R169" s="797"/>
      <c r="S169" s="797"/>
      <c r="T169" s="797"/>
      <c r="U169" s="797"/>
      <c r="V169" s="797"/>
      <c r="W169" s="797"/>
      <c r="X169" s="797"/>
      <c r="Y169" s="797"/>
      <c r="Z169" s="797"/>
    </row>
    <row r="170" ht="14.25" customHeight="1">
      <c r="A170" s="697">
        <v>45499.0</v>
      </c>
      <c r="B170" s="914" t="s">
        <v>4781</v>
      </c>
      <c r="C170" s="915" t="s">
        <v>4827</v>
      </c>
      <c r="D170" s="906" t="s">
        <v>54</v>
      </c>
      <c r="E170" s="916" t="s">
        <v>578</v>
      </c>
      <c r="F170" s="917">
        <v>217051.52</v>
      </c>
      <c r="G170" s="907"/>
      <c r="H170" s="545" t="s">
        <v>4936</v>
      </c>
      <c r="I170" s="866" t="str">
        <f t="shared" ref="I170:I177" si="9">IF(G170&gt;=F170,"FULLY PAID",IF(G170=0,"NOT PAID","PARTIALLY PAID"))</f>
        <v>NOT PAID</v>
      </c>
      <c r="J170" s="797"/>
      <c r="K170" s="797"/>
      <c r="L170" s="797"/>
      <c r="M170" s="797"/>
      <c r="N170" s="797"/>
      <c r="O170" s="797"/>
      <c r="P170" s="797"/>
      <c r="Q170" s="797"/>
      <c r="R170" s="797"/>
      <c r="S170" s="797"/>
      <c r="T170" s="797"/>
      <c r="U170" s="797"/>
      <c r="V170" s="797"/>
      <c r="W170" s="797"/>
      <c r="X170" s="797"/>
      <c r="Y170" s="797"/>
      <c r="Z170" s="797"/>
    </row>
    <row r="171" ht="14.25" customHeight="1">
      <c r="A171" s="697">
        <v>45499.0</v>
      </c>
      <c r="B171" s="914" t="s">
        <v>4830</v>
      </c>
      <c r="C171" s="915" t="s">
        <v>4831</v>
      </c>
      <c r="D171" s="906" t="s">
        <v>54</v>
      </c>
      <c r="E171" s="903" t="s">
        <v>578</v>
      </c>
      <c r="F171" s="918">
        <v>78322.73</v>
      </c>
      <c r="G171" s="907"/>
      <c r="H171" s="545" t="s">
        <v>4944</v>
      </c>
      <c r="I171" s="866" t="str">
        <f t="shared" si="9"/>
        <v>NOT PAID</v>
      </c>
      <c r="J171" s="797"/>
      <c r="K171" s="797"/>
      <c r="L171" s="797"/>
      <c r="M171" s="797"/>
      <c r="N171" s="797"/>
      <c r="O171" s="797"/>
      <c r="P171" s="797"/>
      <c r="Q171" s="797"/>
      <c r="R171" s="797"/>
      <c r="S171" s="797"/>
      <c r="T171" s="797"/>
      <c r="U171" s="797"/>
      <c r="V171" s="797"/>
      <c r="W171" s="797"/>
      <c r="X171" s="797"/>
      <c r="Y171" s="797"/>
      <c r="Z171" s="797"/>
    </row>
    <row r="172" ht="14.25" customHeight="1">
      <c r="A172" s="697">
        <v>45499.0</v>
      </c>
      <c r="B172" s="914" t="s">
        <v>4547</v>
      </c>
      <c r="C172" s="915" t="s">
        <v>4836</v>
      </c>
      <c r="D172" s="901" t="s">
        <v>59</v>
      </c>
      <c r="E172" s="903" t="s">
        <v>578</v>
      </c>
      <c r="F172" s="919">
        <v>635602.51</v>
      </c>
      <c r="G172" s="907"/>
      <c r="H172" s="545" t="s">
        <v>4936</v>
      </c>
      <c r="I172" s="866" t="str">
        <f t="shared" si="9"/>
        <v>NOT PAID</v>
      </c>
      <c r="J172" s="797"/>
      <c r="K172" s="797"/>
      <c r="L172" s="797"/>
      <c r="M172" s="797"/>
      <c r="N172" s="797"/>
      <c r="O172" s="797"/>
      <c r="P172" s="797"/>
      <c r="Q172" s="797"/>
      <c r="R172" s="797"/>
      <c r="S172" s="797"/>
      <c r="T172" s="797"/>
      <c r="U172" s="797"/>
      <c r="V172" s="797"/>
      <c r="W172" s="797"/>
      <c r="X172" s="797"/>
      <c r="Y172" s="797"/>
      <c r="Z172" s="797"/>
    </row>
    <row r="173" ht="14.25" customHeight="1">
      <c r="A173" s="697">
        <v>45499.0</v>
      </c>
      <c r="B173" s="920" t="s">
        <v>4869</v>
      </c>
      <c r="C173" s="921" t="s">
        <v>4870</v>
      </c>
      <c r="D173" s="906" t="s">
        <v>54</v>
      </c>
      <c r="E173" s="903" t="s">
        <v>578</v>
      </c>
      <c r="F173" s="922">
        <v>126571.3</v>
      </c>
      <c r="G173" s="905">
        <v>133000.0</v>
      </c>
      <c r="H173" s="545" t="s">
        <v>267</v>
      </c>
      <c r="I173" s="866" t="str">
        <f t="shared" si="9"/>
        <v>FULLY PAID</v>
      </c>
      <c r="J173" s="797"/>
      <c r="K173" s="797"/>
      <c r="L173" s="797"/>
      <c r="M173" s="797"/>
      <c r="N173" s="797"/>
      <c r="O173" s="797"/>
      <c r="P173" s="797"/>
      <c r="Q173" s="797"/>
      <c r="R173" s="797"/>
      <c r="S173" s="797"/>
      <c r="T173" s="797"/>
      <c r="U173" s="797"/>
      <c r="V173" s="797"/>
      <c r="W173" s="797"/>
      <c r="X173" s="797"/>
      <c r="Y173" s="797"/>
      <c r="Z173" s="797"/>
    </row>
    <row r="174" ht="14.25" customHeight="1">
      <c r="A174" s="697">
        <v>45499.0</v>
      </c>
      <c r="B174" s="914" t="s">
        <v>4919</v>
      </c>
      <c r="C174" s="915" t="s">
        <v>4945</v>
      </c>
      <c r="D174" s="923" t="s">
        <v>54</v>
      </c>
      <c r="E174" s="903" t="s">
        <v>578</v>
      </c>
      <c r="F174" s="922">
        <v>306000.0</v>
      </c>
      <c r="G174" s="905">
        <v>20000.0</v>
      </c>
      <c r="H174" s="545" t="s">
        <v>804</v>
      </c>
      <c r="I174" s="866" t="str">
        <f t="shared" si="9"/>
        <v>PARTIALLY PAID</v>
      </c>
      <c r="J174" s="797"/>
      <c r="K174" s="797"/>
      <c r="L174" s="797"/>
      <c r="M174" s="797"/>
      <c r="N174" s="797"/>
      <c r="O174" s="797"/>
      <c r="P174" s="797"/>
      <c r="Q174" s="797"/>
      <c r="R174" s="797"/>
      <c r="S174" s="797"/>
      <c r="T174" s="797"/>
      <c r="U174" s="797"/>
      <c r="V174" s="797"/>
      <c r="W174" s="797"/>
      <c r="X174" s="797"/>
      <c r="Y174" s="797"/>
      <c r="Z174" s="797"/>
    </row>
    <row r="175" ht="14.25" customHeight="1">
      <c r="A175" s="697">
        <v>45499.0</v>
      </c>
      <c r="B175" s="924" t="s">
        <v>4767</v>
      </c>
      <c r="C175" s="925" t="s">
        <v>4861</v>
      </c>
      <c r="D175" s="926" t="s">
        <v>59</v>
      </c>
      <c r="E175" s="903" t="s">
        <v>578</v>
      </c>
      <c r="F175" s="919">
        <v>136606.17</v>
      </c>
      <c r="G175" s="927">
        <v>30000.0</v>
      </c>
      <c r="H175" s="545" t="s">
        <v>804</v>
      </c>
      <c r="I175" s="866" t="str">
        <f t="shared" si="9"/>
        <v>PARTIALLY PAID</v>
      </c>
      <c r="J175" s="797"/>
      <c r="K175" s="797"/>
      <c r="L175" s="797"/>
      <c r="M175" s="797"/>
      <c r="N175" s="797"/>
      <c r="O175" s="797"/>
      <c r="P175" s="797"/>
      <c r="Q175" s="797"/>
      <c r="R175" s="797"/>
      <c r="S175" s="797"/>
      <c r="T175" s="797"/>
      <c r="U175" s="797"/>
      <c r="V175" s="797"/>
      <c r="W175" s="797"/>
      <c r="X175" s="797"/>
      <c r="Y175" s="797"/>
      <c r="Z175" s="797"/>
    </row>
    <row r="176" ht="14.25" customHeight="1">
      <c r="A176" s="697">
        <v>45499.0</v>
      </c>
      <c r="B176" s="924" t="s">
        <v>4545</v>
      </c>
      <c r="C176" s="925" t="s">
        <v>4946</v>
      </c>
      <c r="D176" s="926" t="s">
        <v>59</v>
      </c>
      <c r="E176" s="903" t="s">
        <v>578</v>
      </c>
      <c r="F176" s="928">
        <v>228118.0</v>
      </c>
      <c r="G176" s="929">
        <v>228118.0</v>
      </c>
      <c r="H176" s="545" t="s">
        <v>2111</v>
      </c>
      <c r="I176" s="866" t="str">
        <f t="shared" si="9"/>
        <v>FULLY PAID</v>
      </c>
      <c r="J176" s="797"/>
      <c r="K176" s="797"/>
      <c r="L176" s="797"/>
      <c r="M176" s="797"/>
      <c r="N176" s="797"/>
      <c r="O176" s="797"/>
      <c r="P176" s="797"/>
      <c r="Q176" s="797"/>
      <c r="R176" s="797"/>
      <c r="S176" s="797"/>
      <c r="T176" s="797"/>
      <c r="U176" s="797"/>
      <c r="V176" s="797"/>
      <c r="W176" s="797"/>
      <c r="X176" s="797"/>
      <c r="Y176" s="797"/>
      <c r="Z176" s="797"/>
    </row>
    <row r="177" ht="14.25" customHeight="1">
      <c r="A177" s="697">
        <v>45499.0</v>
      </c>
      <c r="B177" s="930" t="s">
        <v>4947</v>
      </c>
      <c r="C177" s="931" t="s">
        <v>4948</v>
      </c>
      <c r="D177" s="901" t="s">
        <v>54</v>
      </c>
      <c r="E177" s="903" t="s">
        <v>578</v>
      </c>
      <c r="F177" s="917">
        <v>665948.87</v>
      </c>
      <c r="G177" s="929">
        <v>85283.0</v>
      </c>
      <c r="H177" s="545" t="s">
        <v>2111</v>
      </c>
      <c r="I177" s="866" t="str">
        <f t="shared" si="9"/>
        <v>PARTIALLY PAID</v>
      </c>
      <c r="J177" s="797"/>
      <c r="K177" s="797"/>
      <c r="L177" s="797"/>
      <c r="M177" s="797"/>
      <c r="N177" s="797"/>
      <c r="O177" s="797"/>
      <c r="P177" s="797"/>
      <c r="Q177" s="797"/>
      <c r="R177" s="797"/>
      <c r="S177" s="797"/>
      <c r="T177" s="797"/>
      <c r="U177" s="797"/>
      <c r="V177" s="797"/>
      <c r="W177" s="797"/>
      <c r="X177" s="797"/>
      <c r="Y177" s="797"/>
      <c r="Z177" s="797"/>
    </row>
    <row r="178" ht="14.25" customHeight="1">
      <c r="A178" s="402"/>
      <c r="B178" s="500"/>
      <c r="C178" s="402"/>
      <c r="D178" s="402"/>
      <c r="E178" s="868"/>
      <c r="F178" s="587"/>
      <c r="G178" s="932"/>
      <c r="H178" s="402"/>
      <c r="I178" s="866"/>
      <c r="J178" s="402"/>
      <c r="K178" s="402"/>
      <c r="L178" s="402"/>
      <c r="M178" s="402"/>
      <c r="N178" s="402"/>
      <c r="O178" s="402"/>
      <c r="P178" s="402"/>
      <c r="Q178" s="402"/>
      <c r="R178" s="402"/>
      <c r="S178" s="402"/>
      <c r="T178" s="402"/>
      <c r="U178" s="402"/>
      <c r="V178" s="402"/>
      <c r="W178" s="402"/>
      <c r="X178" s="402"/>
      <c r="Y178" s="402"/>
      <c r="Z178" s="402"/>
    </row>
    <row r="179" ht="14.25" customHeight="1">
      <c r="A179" s="402"/>
      <c r="B179" s="500"/>
      <c r="C179" s="402"/>
      <c r="D179" s="402"/>
      <c r="E179" s="868"/>
      <c r="F179" s="933"/>
      <c r="G179" s="932"/>
      <c r="H179" s="402"/>
      <c r="I179" s="866"/>
      <c r="J179" s="402"/>
      <c r="K179" s="402"/>
      <c r="L179" s="402"/>
      <c r="M179" s="402"/>
      <c r="N179" s="402"/>
      <c r="O179" s="402"/>
      <c r="P179" s="402"/>
      <c r="Q179" s="402"/>
      <c r="R179" s="402"/>
      <c r="S179" s="402"/>
      <c r="T179" s="402"/>
      <c r="U179" s="402"/>
      <c r="V179" s="402"/>
      <c r="W179" s="402"/>
      <c r="X179" s="402"/>
      <c r="Y179" s="402"/>
      <c r="Z179" s="402"/>
    </row>
    <row r="180" ht="14.25" customHeight="1">
      <c r="A180" s="934">
        <v>45500.0</v>
      </c>
      <c r="B180" s="878" t="s">
        <v>4898</v>
      </c>
      <c r="C180" s="878" t="s">
        <v>4949</v>
      </c>
      <c r="D180" s="883" t="s">
        <v>54</v>
      </c>
      <c r="E180" s="883" t="s">
        <v>4950</v>
      </c>
      <c r="F180" s="933">
        <v>903.85</v>
      </c>
      <c r="G180" s="932"/>
      <c r="H180" s="402"/>
      <c r="I180" s="866" t="str">
        <f t="shared" ref="I180:I615" si="10">IF(G180&gt;=F180,"FULLY PAID",IF(G180=0,"NOT PAID","PARTIALLY PAID"))</f>
        <v>NOT PAID</v>
      </c>
      <c r="J180" s="402"/>
      <c r="K180" s="402"/>
      <c r="L180" s="402"/>
      <c r="M180" s="402"/>
      <c r="N180" s="402"/>
      <c r="O180" s="402"/>
      <c r="P180" s="402"/>
      <c r="Q180" s="402"/>
      <c r="R180" s="402"/>
      <c r="S180" s="402"/>
      <c r="T180" s="402"/>
      <c r="U180" s="402"/>
      <c r="V180" s="402"/>
      <c r="W180" s="402"/>
      <c r="X180" s="402"/>
      <c r="Y180" s="402"/>
      <c r="Z180" s="402"/>
    </row>
    <row r="181" ht="14.25" customHeight="1">
      <c r="A181" s="688" t="s">
        <v>4951</v>
      </c>
      <c r="B181" s="878" t="s">
        <v>4864</v>
      </c>
      <c r="C181" s="878" t="s">
        <v>4952</v>
      </c>
      <c r="D181" s="883" t="s">
        <v>54</v>
      </c>
      <c r="E181" s="689" t="s">
        <v>4950</v>
      </c>
      <c r="F181" s="933">
        <v>5414.99</v>
      </c>
      <c r="G181" s="403"/>
      <c r="H181" s="402"/>
      <c r="I181" s="866" t="str">
        <f t="shared" si="10"/>
        <v>NOT PAID</v>
      </c>
      <c r="J181" s="402"/>
      <c r="K181" s="402"/>
      <c r="L181" s="402"/>
      <c r="M181" s="402"/>
      <c r="N181" s="402"/>
      <c r="O181" s="402"/>
      <c r="P181" s="402"/>
      <c r="Q181" s="402"/>
      <c r="R181" s="402"/>
      <c r="S181" s="402"/>
      <c r="T181" s="402"/>
      <c r="U181" s="402"/>
      <c r="V181" s="402"/>
      <c r="W181" s="402"/>
      <c r="X181" s="402"/>
      <c r="Y181" s="402"/>
      <c r="Z181" s="402"/>
    </row>
    <row r="182" ht="14.25" customHeight="1">
      <c r="A182" s="934">
        <v>45500.0</v>
      </c>
      <c r="B182" s="878" t="s">
        <v>4933</v>
      </c>
      <c r="C182" s="878" t="s">
        <v>4953</v>
      </c>
      <c r="D182" s="883" t="s">
        <v>59</v>
      </c>
      <c r="E182" s="689" t="s">
        <v>4950</v>
      </c>
      <c r="F182" s="933">
        <v>353830.85</v>
      </c>
      <c r="G182" s="403"/>
      <c r="H182" s="402"/>
      <c r="I182" s="866" t="str">
        <f t="shared" si="10"/>
        <v>NOT PAID</v>
      </c>
      <c r="J182" s="402"/>
      <c r="K182" s="402"/>
      <c r="L182" s="402"/>
      <c r="M182" s="402"/>
      <c r="N182" s="402"/>
      <c r="O182" s="402"/>
      <c r="P182" s="402"/>
      <c r="Q182" s="402"/>
      <c r="R182" s="402"/>
      <c r="S182" s="402"/>
      <c r="T182" s="402"/>
      <c r="U182" s="402"/>
      <c r="V182" s="402"/>
      <c r="W182" s="402"/>
      <c r="X182" s="402"/>
      <c r="Y182" s="402"/>
      <c r="Z182" s="402"/>
    </row>
    <row r="183" ht="14.25" customHeight="1">
      <c r="A183" s="934">
        <v>45500.0</v>
      </c>
      <c r="B183" s="878" t="s">
        <v>4903</v>
      </c>
      <c r="C183" s="878" t="s">
        <v>4954</v>
      </c>
      <c r="D183" s="883" t="s">
        <v>54</v>
      </c>
      <c r="E183" s="689" t="s">
        <v>4950</v>
      </c>
      <c r="F183" s="933">
        <v>21711.43</v>
      </c>
      <c r="G183" s="403"/>
      <c r="H183" s="402"/>
      <c r="I183" s="866" t="str">
        <f t="shared" si="10"/>
        <v>NOT PAID</v>
      </c>
      <c r="J183" s="402"/>
      <c r="K183" s="402"/>
      <c r="L183" s="402"/>
      <c r="M183" s="402"/>
      <c r="N183" s="402"/>
      <c r="O183" s="402"/>
      <c r="P183" s="402"/>
      <c r="Q183" s="402"/>
      <c r="R183" s="402"/>
      <c r="S183" s="402"/>
      <c r="T183" s="402"/>
      <c r="U183" s="402"/>
      <c r="V183" s="402"/>
      <c r="W183" s="402"/>
      <c r="X183" s="402"/>
      <c r="Y183" s="402"/>
      <c r="Z183" s="402"/>
    </row>
    <row r="184" ht="14.25" customHeight="1">
      <c r="A184" s="934">
        <v>45500.0</v>
      </c>
      <c r="B184" s="878" t="s">
        <v>4885</v>
      </c>
      <c r="C184" s="878" t="s">
        <v>4955</v>
      </c>
      <c r="D184" s="883" t="s">
        <v>54</v>
      </c>
      <c r="E184" s="689" t="s">
        <v>4950</v>
      </c>
      <c r="F184" s="933">
        <v>1404.29</v>
      </c>
      <c r="G184" s="403"/>
      <c r="H184" s="402"/>
      <c r="I184" s="866" t="str">
        <f t="shared" si="10"/>
        <v>NOT PAID</v>
      </c>
      <c r="J184" s="402"/>
      <c r="K184" s="402"/>
      <c r="L184" s="402"/>
      <c r="M184" s="402"/>
      <c r="N184" s="402"/>
      <c r="O184" s="402"/>
      <c r="P184" s="402"/>
      <c r="Q184" s="402"/>
      <c r="R184" s="402"/>
      <c r="S184" s="402"/>
      <c r="T184" s="402"/>
      <c r="U184" s="402"/>
      <c r="V184" s="402"/>
      <c r="W184" s="402"/>
      <c r="X184" s="402"/>
      <c r="Y184" s="402"/>
      <c r="Z184" s="402"/>
    </row>
    <row r="185" ht="14.25" customHeight="1">
      <c r="A185" s="934">
        <v>45500.0</v>
      </c>
      <c r="B185" s="878" t="s">
        <v>4956</v>
      </c>
      <c r="C185" s="878" t="s">
        <v>4957</v>
      </c>
      <c r="D185" s="883" t="s">
        <v>54</v>
      </c>
      <c r="E185" s="689" t="s">
        <v>578</v>
      </c>
      <c r="F185" s="933">
        <v>60270.04</v>
      </c>
      <c r="G185" s="403"/>
      <c r="H185" s="402"/>
      <c r="I185" s="866" t="str">
        <f t="shared" si="10"/>
        <v>NOT PAID</v>
      </c>
      <c r="J185" s="402"/>
      <c r="K185" s="402"/>
      <c r="L185" s="402"/>
      <c r="M185" s="402"/>
      <c r="N185" s="402"/>
      <c r="O185" s="402"/>
      <c r="P185" s="402"/>
      <c r="Q185" s="402"/>
      <c r="R185" s="402"/>
      <c r="S185" s="402"/>
      <c r="T185" s="402"/>
      <c r="U185" s="402"/>
      <c r="V185" s="402"/>
      <c r="W185" s="402"/>
      <c r="X185" s="402"/>
      <c r="Y185" s="402"/>
      <c r="Z185" s="402"/>
    </row>
    <row r="186" ht="14.25" customHeight="1">
      <c r="A186" s="934">
        <v>45500.0</v>
      </c>
      <c r="B186" s="878" t="s">
        <v>4773</v>
      </c>
      <c r="C186" s="878" t="s">
        <v>4774</v>
      </c>
      <c r="D186" s="883" t="s">
        <v>54</v>
      </c>
      <c r="E186" s="689" t="s">
        <v>4950</v>
      </c>
      <c r="F186" s="933">
        <v>846.5</v>
      </c>
      <c r="G186" s="403"/>
      <c r="H186" s="402"/>
      <c r="I186" s="866" t="str">
        <f t="shared" si="10"/>
        <v>NOT PAID</v>
      </c>
      <c r="J186" s="402"/>
      <c r="K186" s="402"/>
      <c r="L186" s="402"/>
      <c r="M186" s="402"/>
      <c r="N186" s="402"/>
      <c r="O186" s="402"/>
      <c r="P186" s="402"/>
      <c r="Q186" s="402"/>
      <c r="R186" s="402"/>
      <c r="S186" s="402"/>
      <c r="T186" s="402"/>
      <c r="U186" s="402"/>
      <c r="V186" s="402"/>
      <c r="W186" s="402"/>
      <c r="X186" s="402"/>
      <c r="Y186" s="402"/>
      <c r="Z186" s="402"/>
    </row>
    <row r="187" ht="14.25" customHeight="1">
      <c r="A187" s="934">
        <v>45500.0</v>
      </c>
      <c r="B187" s="878" t="s">
        <v>4958</v>
      </c>
      <c r="C187" s="878" t="s">
        <v>4959</v>
      </c>
      <c r="D187" s="883" t="s">
        <v>54</v>
      </c>
      <c r="E187" s="689" t="s">
        <v>4950</v>
      </c>
      <c r="F187" s="933">
        <v>11213.12</v>
      </c>
      <c r="G187" s="403"/>
      <c r="H187" s="402"/>
      <c r="I187" s="866" t="str">
        <f t="shared" si="10"/>
        <v>NOT PAID</v>
      </c>
      <c r="J187" s="402"/>
      <c r="K187" s="402"/>
      <c r="L187" s="402"/>
      <c r="M187" s="402"/>
      <c r="N187" s="402"/>
      <c r="O187" s="402"/>
      <c r="P187" s="402"/>
      <c r="Q187" s="402"/>
      <c r="R187" s="402"/>
      <c r="S187" s="402"/>
      <c r="T187" s="402"/>
      <c r="U187" s="402"/>
      <c r="V187" s="402"/>
      <c r="W187" s="402"/>
      <c r="X187" s="402"/>
      <c r="Y187" s="402"/>
      <c r="Z187" s="402"/>
    </row>
    <row r="188" ht="14.25" customHeight="1">
      <c r="A188" s="688" t="s">
        <v>4951</v>
      </c>
      <c r="B188" s="878" t="s">
        <v>4777</v>
      </c>
      <c r="C188" s="878" t="s">
        <v>4778</v>
      </c>
      <c r="D188" s="883" t="s">
        <v>54</v>
      </c>
      <c r="E188" s="689" t="s">
        <v>578</v>
      </c>
      <c r="F188" s="933">
        <v>1256.3</v>
      </c>
      <c r="G188" s="403"/>
      <c r="H188" s="402"/>
      <c r="I188" s="866" t="str">
        <f t="shared" si="10"/>
        <v>NOT PAID</v>
      </c>
      <c r="J188" s="402"/>
      <c r="K188" s="402"/>
      <c r="L188" s="402"/>
      <c r="M188" s="402"/>
      <c r="N188" s="402"/>
      <c r="O188" s="402"/>
      <c r="P188" s="402"/>
      <c r="Q188" s="402"/>
      <c r="R188" s="402"/>
      <c r="S188" s="402"/>
      <c r="T188" s="402"/>
      <c r="U188" s="402"/>
      <c r="V188" s="402"/>
      <c r="W188" s="402"/>
      <c r="X188" s="402"/>
      <c r="Y188" s="402"/>
      <c r="Z188" s="402"/>
    </row>
    <row r="189" ht="14.25" customHeight="1">
      <c r="A189" s="934">
        <v>45500.0</v>
      </c>
      <c r="B189" s="878" t="s">
        <v>4779</v>
      </c>
      <c r="C189" s="878" t="s">
        <v>4780</v>
      </c>
      <c r="D189" s="883" t="s">
        <v>54</v>
      </c>
      <c r="E189" s="689" t="s">
        <v>578</v>
      </c>
      <c r="F189" s="933">
        <v>2682.6</v>
      </c>
      <c r="G189" s="403"/>
      <c r="H189" s="402"/>
      <c r="I189" s="866" t="str">
        <f t="shared" si="10"/>
        <v>NOT PAID</v>
      </c>
      <c r="J189" s="402"/>
      <c r="K189" s="402"/>
      <c r="L189" s="402"/>
      <c r="M189" s="402"/>
      <c r="N189" s="402"/>
      <c r="O189" s="402"/>
      <c r="P189" s="402"/>
      <c r="Q189" s="402"/>
      <c r="R189" s="402"/>
      <c r="S189" s="402"/>
      <c r="T189" s="402"/>
      <c r="U189" s="402"/>
      <c r="V189" s="402"/>
      <c r="W189" s="402"/>
      <c r="X189" s="402"/>
      <c r="Y189" s="402"/>
      <c r="Z189" s="402"/>
    </row>
    <row r="190" ht="14.25" customHeight="1">
      <c r="A190" s="934">
        <v>45500.0</v>
      </c>
      <c r="B190" s="878" t="s">
        <v>4783</v>
      </c>
      <c r="C190" s="878" t="s">
        <v>4784</v>
      </c>
      <c r="D190" s="883" t="s">
        <v>54</v>
      </c>
      <c r="E190" s="689" t="s">
        <v>4950</v>
      </c>
      <c r="F190" s="933">
        <v>8705.49</v>
      </c>
      <c r="G190" s="403"/>
      <c r="H190" s="402"/>
      <c r="I190" s="866" t="str">
        <f t="shared" si="10"/>
        <v>NOT PAID</v>
      </c>
      <c r="J190" s="402"/>
      <c r="K190" s="402"/>
      <c r="L190" s="402"/>
      <c r="M190" s="402"/>
      <c r="N190" s="402"/>
      <c r="O190" s="402"/>
      <c r="P190" s="402"/>
      <c r="Q190" s="402"/>
      <c r="R190" s="402"/>
      <c r="S190" s="402"/>
      <c r="T190" s="402"/>
      <c r="U190" s="402"/>
      <c r="V190" s="402"/>
      <c r="W190" s="402"/>
      <c r="X190" s="402"/>
      <c r="Y190" s="402"/>
      <c r="Z190" s="402"/>
    </row>
    <row r="191" ht="14.25" customHeight="1">
      <c r="A191" s="934">
        <v>45500.0</v>
      </c>
      <c r="B191" s="878" t="s">
        <v>4809</v>
      </c>
      <c r="C191" s="878" t="s">
        <v>4810</v>
      </c>
      <c r="D191" s="883" t="s">
        <v>54</v>
      </c>
      <c r="E191" s="689" t="s">
        <v>578</v>
      </c>
      <c r="F191" s="933">
        <v>4297.57</v>
      </c>
      <c r="G191" s="403"/>
      <c r="H191" s="402"/>
      <c r="I191" s="866" t="str">
        <f t="shared" si="10"/>
        <v>NOT PAID</v>
      </c>
      <c r="J191" s="402"/>
      <c r="K191" s="402"/>
      <c r="L191" s="402"/>
      <c r="M191" s="402"/>
      <c r="N191" s="402"/>
      <c r="O191" s="402"/>
      <c r="P191" s="402"/>
      <c r="Q191" s="402"/>
      <c r="R191" s="402"/>
      <c r="S191" s="402"/>
      <c r="T191" s="402"/>
      <c r="U191" s="402"/>
      <c r="V191" s="402"/>
      <c r="W191" s="402"/>
      <c r="X191" s="402"/>
      <c r="Y191" s="402"/>
      <c r="Z191" s="402"/>
    </row>
    <row r="192" ht="14.25" customHeight="1">
      <c r="A192" s="688" t="s">
        <v>4951</v>
      </c>
      <c r="B192" s="878" t="s">
        <v>4960</v>
      </c>
      <c r="C192" s="878" t="s">
        <v>4961</v>
      </c>
      <c r="D192" s="883" t="s">
        <v>59</v>
      </c>
      <c r="E192" s="689" t="s">
        <v>4962</v>
      </c>
      <c r="F192" s="933">
        <v>78841.0</v>
      </c>
      <c r="G192" s="413">
        <v>35841.0</v>
      </c>
      <c r="H192" s="349" t="s">
        <v>710</v>
      </c>
      <c r="I192" s="866" t="str">
        <f t="shared" si="10"/>
        <v>PARTIALLY PAID</v>
      </c>
      <c r="J192" s="402"/>
      <c r="K192" s="402"/>
      <c r="L192" s="402"/>
      <c r="M192" s="402"/>
      <c r="N192" s="402"/>
      <c r="O192" s="402"/>
      <c r="P192" s="402"/>
      <c r="Q192" s="402"/>
      <c r="R192" s="402"/>
      <c r="S192" s="402"/>
      <c r="T192" s="402"/>
      <c r="U192" s="402"/>
      <c r="V192" s="402"/>
      <c r="W192" s="402"/>
      <c r="X192" s="402"/>
      <c r="Y192" s="402"/>
      <c r="Z192" s="402"/>
    </row>
    <row r="193" ht="14.25" customHeight="1">
      <c r="A193" s="934">
        <v>45500.0</v>
      </c>
      <c r="B193" s="878" t="s">
        <v>4787</v>
      </c>
      <c r="C193" s="878" t="s">
        <v>4788</v>
      </c>
      <c r="D193" s="883" t="s">
        <v>54</v>
      </c>
      <c r="E193" s="689" t="s">
        <v>578</v>
      </c>
      <c r="F193" s="933">
        <v>1673.86</v>
      </c>
      <c r="G193" s="403"/>
      <c r="H193" s="402"/>
      <c r="I193" s="866" t="str">
        <f t="shared" si="10"/>
        <v>NOT PAID</v>
      </c>
      <c r="J193" s="402"/>
      <c r="K193" s="402"/>
      <c r="L193" s="402"/>
      <c r="M193" s="402"/>
      <c r="N193" s="402"/>
      <c r="O193" s="402"/>
      <c r="P193" s="402"/>
      <c r="Q193" s="402"/>
      <c r="R193" s="402"/>
      <c r="S193" s="402"/>
      <c r="T193" s="402"/>
      <c r="U193" s="402"/>
      <c r="V193" s="402"/>
      <c r="W193" s="402"/>
      <c r="X193" s="402"/>
      <c r="Y193" s="402"/>
      <c r="Z193" s="402"/>
    </row>
    <row r="194" ht="14.25" customHeight="1">
      <c r="A194" s="934">
        <v>45500.0</v>
      </c>
      <c r="B194" s="878" t="s">
        <v>4789</v>
      </c>
      <c r="C194" s="878" t="s">
        <v>4790</v>
      </c>
      <c r="D194" s="883" t="s">
        <v>59</v>
      </c>
      <c r="E194" s="689" t="s">
        <v>578</v>
      </c>
      <c r="F194" s="933">
        <v>68572.14</v>
      </c>
      <c r="G194" s="403"/>
      <c r="H194" s="402"/>
      <c r="I194" s="866" t="str">
        <f t="shared" si="10"/>
        <v>NOT PAID</v>
      </c>
      <c r="J194" s="402"/>
      <c r="K194" s="402"/>
      <c r="L194" s="402"/>
      <c r="M194" s="402"/>
      <c r="N194" s="402"/>
      <c r="O194" s="402"/>
      <c r="P194" s="402"/>
      <c r="Q194" s="402"/>
      <c r="R194" s="402"/>
      <c r="S194" s="402"/>
      <c r="T194" s="402"/>
      <c r="U194" s="402"/>
      <c r="V194" s="402"/>
      <c r="W194" s="402"/>
      <c r="X194" s="402"/>
      <c r="Y194" s="402"/>
      <c r="Z194" s="402"/>
    </row>
    <row r="195" ht="14.25" customHeight="1">
      <c r="A195" s="934">
        <v>45500.0</v>
      </c>
      <c r="B195" s="878" t="s">
        <v>4791</v>
      </c>
      <c r="C195" s="878" t="s">
        <v>4792</v>
      </c>
      <c r="D195" s="883" t="s">
        <v>54</v>
      </c>
      <c r="E195" s="689" t="s">
        <v>4950</v>
      </c>
      <c r="F195" s="933">
        <v>194.29</v>
      </c>
      <c r="G195" s="403"/>
      <c r="H195" s="402"/>
      <c r="I195" s="866" t="str">
        <f t="shared" si="10"/>
        <v>NOT PAID</v>
      </c>
      <c r="J195" s="402"/>
      <c r="K195" s="402"/>
      <c r="L195" s="402"/>
      <c r="M195" s="402"/>
      <c r="N195" s="402"/>
      <c r="O195" s="402"/>
      <c r="P195" s="402"/>
      <c r="Q195" s="402"/>
      <c r="R195" s="402"/>
      <c r="S195" s="402"/>
      <c r="T195" s="402"/>
      <c r="U195" s="402"/>
      <c r="V195" s="402"/>
      <c r="W195" s="402"/>
      <c r="X195" s="402"/>
      <c r="Y195" s="402"/>
      <c r="Z195" s="402"/>
    </row>
    <row r="196" ht="14.25" customHeight="1">
      <c r="A196" s="688" t="s">
        <v>4951</v>
      </c>
      <c r="B196" s="878" t="s">
        <v>4866</v>
      </c>
      <c r="C196" s="878" t="s">
        <v>4963</v>
      </c>
      <c r="D196" s="883" t="s">
        <v>54</v>
      </c>
      <c r="E196" s="689" t="s">
        <v>578</v>
      </c>
      <c r="F196" s="933">
        <v>1695.23</v>
      </c>
      <c r="G196" s="403"/>
      <c r="H196" s="402"/>
      <c r="I196" s="866" t="str">
        <f t="shared" si="10"/>
        <v>NOT PAID</v>
      </c>
      <c r="J196" s="402"/>
      <c r="K196" s="402"/>
      <c r="L196" s="402"/>
      <c r="M196" s="402"/>
      <c r="N196" s="402"/>
      <c r="O196" s="402"/>
      <c r="P196" s="402"/>
      <c r="Q196" s="402"/>
      <c r="R196" s="402"/>
      <c r="S196" s="402"/>
      <c r="T196" s="402"/>
      <c r="U196" s="402"/>
      <c r="V196" s="402"/>
      <c r="W196" s="402"/>
      <c r="X196" s="402"/>
      <c r="Y196" s="402"/>
      <c r="Z196" s="402"/>
    </row>
    <row r="197" ht="14.25" customHeight="1">
      <c r="A197" s="934">
        <v>45500.0</v>
      </c>
      <c r="B197" s="878" t="s">
        <v>4795</v>
      </c>
      <c r="C197" s="878" t="s">
        <v>4796</v>
      </c>
      <c r="D197" s="883" t="s">
        <v>54</v>
      </c>
      <c r="E197" s="689" t="s">
        <v>578</v>
      </c>
      <c r="F197" s="933">
        <v>2409.89</v>
      </c>
      <c r="G197" s="403"/>
      <c r="H197" s="402"/>
      <c r="I197" s="866" t="str">
        <f t="shared" si="10"/>
        <v>NOT PAID</v>
      </c>
      <c r="J197" s="402"/>
      <c r="K197" s="402"/>
      <c r="L197" s="402"/>
      <c r="M197" s="402"/>
      <c r="N197" s="402"/>
      <c r="O197" s="402"/>
      <c r="P197" s="402"/>
      <c r="Q197" s="402"/>
      <c r="R197" s="402"/>
      <c r="S197" s="402"/>
      <c r="T197" s="402"/>
      <c r="U197" s="402"/>
      <c r="V197" s="402"/>
      <c r="W197" s="402"/>
      <c r="X197" s="402"/>
      <c r="Y197" s="402"/>
      <c r="Z197" s="402"/>
    </row>
    <row r="198" ht="14.25" customHeight="1">
      <c r="A198" s="934">
        <v>45500.0</v>
      </c>
      <c r="B198" s="878" t="s">
        <v>4815</v>
      </c>
      <c r="C198" s="878" t="s">
        <v>4812</v>
      </c>
      <c r="D198" s="883" t="s">
        <v>54</v>
      </c>
      <c r="E198" s="689" t="s">
        <v>4962</v>
      </c>
      <c r="F198" s="933">
        <v>27716.06</v>
      </c>
      <c r="G198" s="403"/>
      <c r="H198" s="402"/>
      <c r="I198" s="866" t="str">
        <f t="shared" si="10"/>
        <v>NOT PAID</v>
      </c>
      <c r="J198" s="402"/>
      <c r="K198" s="402"/>
      <c r="L198" s="402"/>
      <c r="M198" s="402"/>
      <c r="N198" s="402"/>
      <c r="O198" s="402"/>
      <c r="P198" s="402"/>
      <c r="Q198" s="402"/>
      <c r="R198" s="402"/>
      <c r="S198" s="402"/>
      <c r="T198" s="402"/>
      <c r="U198" s="402"/>
      <c r="V198" s="402"/>
      <c r="W198" s="402"/>
      <c r="X198" s="402"/>
      <c r="Y198" s="402"/>
      <c r="Z198" s="402"/>
    </row>
    <row r="199" ht="14.25" customHeight="1">
      <c r="A199" s="934">
        <v>45500.0</v>
      </c>
      <c r="B199" s="878" t="s">
        <v>4800</v>
      </c>
      <c r="C199" s="878" t="s">
        <v>4801</v>
      </c>
      <c r="D199" s="883" t="s">
        <v>59</v>
      </c>
      <c r="E199" s="689" t="s">
        <v>4950</v>
      </c>
      <c r="F199" s="933">
        <v>206288.68</v>
      </c>
      <c r="G199" s="403"/>
      <c r="H199" s="402"/>
      <c r="I199" s="866" t="str">
        <f t="shared" si="10"/>
        <v>NOT PAID</v>
      </c>
      <c r="J199" s="402"/>
      <c r="K199" s="402"/>
      <c r="L199" s="402"/>
      <c r="M199" s="402"/>
      <c r="N199" s="402"/>
      <c r="O199" s="402"/>
      <c r="P199" s="402"/>
      <c r="Q199" s="402"/>
      <c r="R199" s="402"/>
      <c r="S199" s="402"/>
      <c r="T199" s="402"/>
      <c r="U199" s="402"/>
      <c r="V199" s="402"/>
      <c r="W199" s="402"/>
      <c r="X199" s="402"/>
      <c r="Y199" s="402"/>
      <c r="Z199" s="402"/>
    </row>
    <row r="200" ht="14.25" customHeight="1">
      <c r="A200" s="688" t="s">
        <v>4951</v>
      </c>
      <c r="B200" s="878" t="s">
        <v>4803</v>
      </c>
      <c r="C200" s="878" t="s">
        <v>4804</v>
      </c>
      <c r="D200" s="883" t="s">
        <v>54</v>
      </c>
      <c r="E200" s="689" t="s">
        <v>578</v>
      </c>
      <c r="F200" s="933">
        <v>29642.3</v>
      </c>
      <c r="G200" s="413">
        <v>5000.0</v>
      </c>
      <c r="H200" s="349" t="s">
        <v>4964</v>
      </c>
      <c r="I200" s="866" t="str">
        <f t="shared" si="10"/>
        <v>PARTIALLY PAID</v>
      </c>
      <c r="J200" s="402"/>
      <c r="K200" s="402"/>
      <c r="L200" s="402"/>
      <c r="M200" s="402"/>
      <c r="N200" s="402"/>
      <c r="O200" s="402"/>
      <c r="P200" s="402"/>
      <c r="Q200" s="402"/>
      <c r="R200" s="402"/>
      <c r="S200" s="402"/>
      <c r="T200" s="402"/>
      <c r="U200" s="402"/>
      <c r="V200" s="402"/>
      <c r="W200" s="402"/>
      <c r="X200" s="402"/>
      <c r="Y200" s="402"/>
      <c r="Z200" s="402"/>
    </row>
    <row r="201" ht="14.25" customHeight="1">
      <c r="A201" s="934">
        <v>45500.0</v>
      </c>
      <c r="B201" s="878" t="s">
        <v>4775</v>
      </c>
      <c r="C201" s="878" t="s">
        <v>4776</v>
      </c>
      <c r="D201" s="883" t="s">
        <v>59</v>
      </c>
      <c r="E201" s="689" t="s">
        <v>4962</v>
      </c>
      <c r="F201" s="933">
        <v>155412.75</v>
      </c>
      <c r="G201" s="403"/>
      <c r="H201" s="402"/>
      <c r="I201" s="866" t="str">
        <f t="shared" si="10"/>
        <v>NOT PAID</v>
      </c>
      <c r="J201" s="402"/>
      <c r="K201" s="402"/>
      <c r="L201" s="402"/>
      <c r="M201" s="402"/>
      <c r="N201" s="402"/>
      <c r="O201" s="402"/>
      <c r="P201" s="402"/>
      <c r="Q201" s="402"/>
      <c r="R201" s="402"/>
      <c r="S201" s="402"/>
      <c r="T201" s="402"/>
      <c r="U201" s="402"/>
      <c r="V201" s="402"/>
      <c r="W201" s="402"/>
      <c r="X201" s="402"/>
      <c r="Y201" s="402"/>
      <c r="Z201" s="402"/>
    </row>
    <row r="202" ht="14.25" customHeight="1">
      <c r="A202" s="934">
        <v>45500.0</v>
      </c>
      <c r="B202" s="878" t="s">
        <v>4781</v>
      </c>
      <c r="C202" s="878" t="s">
        <v>4782</v>
      </c>
      <c r="D202" s="883" t="s">
        <v>54</v>
      </c>
      <c r="E202" s="689" t="s">
        <v>578</v>
      </c>
      <c r="F202" s="933">
        <v>171151.78</v>
      </c>
      <c r="G202" s="403"/>
      <c r="H202" s="402"/>
      <c r="I202" s="866" t="str">
        <f t="shared" si="10"/>
        <v>NOT PAID</v>
      </c>
      <c r="J202" s="402"/>
      <c r="K202" s="402"/>
      <c r="L202" s="402"/>
      <c r="M202" s="402"/>
      <c r="N202" s="402"/>
      <c r="O202" s="402"/>
      <c r="P202" s="402"/>
      <c r="Q202" s="402"/>
      <c r="R202" s="402"/>
      <c r="S202" s="402"/>
      <c r="T202" s="402"/>
      <c r="U202" s="402"/>
      <c r="V202" s="402"/>
      <c r="W202" s="402"/>
      <c r="X202" s="402"/>
      <c r="Y202" s="402"/>
      <c r="Z202" s="402"/>
    </row>
    <row r="203" ht="14.25" customHeight="1">
      <c r="A203" s="934">
        <v>45500.0</v>
      </c>
      <c r="B203" s="878" t="s">
        <v>4807</v>
      </c>
      <c r="C203" s="878" t="s">
        <v>4808</v>
      </c>
      <c r="D203" s="883" t="s">
        <v>346</v>
      </c>
      <c r="E203" s="689" t="s">
        <v>4962</v>
      </c>
      <c r="F203" s="933">
        <v>4187.53</v>
      </c>
      <c r="G203" s="403"/>
      <c r="H203" s="402"/>
      <c r="I203" s="866" t="str">
        <f t="shared" si="10"/>
        <v>NOT PAID</v>
      </c>
      <c r="J203" s="402"/>
      <c r="K203" s="402"/>
      <c r="L203" s="402"/>
      <c r="M203" s="402"/>
      <c r="N203" s="402"/>
      <c r="O203" s="402"/>
      <c r="P203" s="402"/>
      <c r="Q203" s="402"/>
      <c r="R203" s="402"/>
      <c r="S203" s="402"/>
      <c r="T203" s="402"/>
      <c r="U203" s="402"/>
      <c r="V203" s="402"/>
      <c r="W203" s="402"/>
      <c r="X203" s="402"/>
      <c r="Y203" s="402"/>
      <c r="Z203" s="402"/>
    </row>
    <row r="204" ht="14.25" customHeight="1">
      <c r="A204" s="688" t="s">
        <v>4951</v>
      </c>
      <c r="B204" s="878" t="s">
        <v>4793</v>
      </c>
      <c r="C204" s="878" t="s">
        <v>4794</v>
      </c>
      <c r="D204" s="883" t="s">
        <v>54</v>
      </c>
      <c r="E204" s="689" t="s">
        <v>4962</v>
      </c>
      <c r="F204" s="933">
        <v>28453.85</v>
      </c>
      <c r="G204" s="403"/>
      <c r="H204" s="402"/>
      <c r="I204" s="866" t="str">
        <f t="shared" si="10"/>
        <v>NOT PAID</v>
      </c>
      <c r="J204" s="402"/>
      <c r="K204" s="402"/>
      <c r="L204" s="402"/>
      <c r="M204" s="402"/>
      <c r="N204" s="402"/>
      <c r="O204" s="402"/>
      <c r="P204" s="402"/>
      <c r="Q204" s="402"/>
      <c r="R204" s="402"/>
      <c r="S204" s="402"/>
      <c r="T204" s="402"/>
      <c r="U204" s="402"/>
      <c r="V204" s="402"/>
      <c r="W204" s="402"/>
      <c r="X204" s="402"/>
      <c r="Y204" s="402"/>
      <c r="Z204" s="402"/>
    </row>
    <row r="205" ht="14.25" customHeight="1">
      <c r="A205" s="934">
        <v>45500.0</v>
      </c>
      <c r="B205" s="878" t="s">
        <v>4919</v>
      </c>
      <c r="C205" s="878" t="s">
        <v>4784</v>
      </c>
      <c r="D205" s="883" t="s">
        <v>75</v>
      </c>
      <c r="E205" s="689" t="s">
        <v>4965</v>
      </c>
      <c r="F205" s="933">
        <v>292137.0</v>
      </c>
      <c r="G205" s="403"/>
      <c r="H205" s="402"/>
      <c r="I205" s="866" t="str">
        <f t="shared" si="10"/>
        <v>NOT PAID</v>
      </c>
      <c r="J205" s="402"/>
      <c r="K205" s="402"/>
      <c r="L205" s="402"/>
      <c r="M205" s="402"/>
      <c r="N205" s="402"/>
      <c r="O205" s="402"/>
      <c r="P205" s="402"/>
      <c r="Q205" s="402"/>
      <c r="R205" s="402"/>
      <c r="S205" s="402"/>
      <c r="T205" s="402"/>
      <c r="U205" s="402"/>
      <c r="V205" s="402"/>
      <c r="W205" s="402"/>
      <c r="X205" s="402"/>
      <c r="Y205" s="402"/>
      <c r="Z205" s="402"/>
    </row>
    <row r="206" ht="14.25" customHeight="1">
      <c r="A206" s="934">
        <v>45500.0</v>
      </c>
      <c r="B206" s="878" t="s">
        <v>4816</v>
      </c>
      <c r="C206" s="878" t="s">
        <v>4817</v>
      </c>
      <c r="D206" s="883" t="s">
        <v>54</v>
      </c>
      <c r="E206" s="689" t="s">
        <v>4965</v>
      </c>
      <c r="F206" s="933">
        <v>14977.01</v>
      </c>
      <c r="G206" s="403"/>
      <c r="H206" s="402"/>
      <c r="I206" s="866" t="str">
        <f t="shared" si="10"/>
        <v>NOT PAID</v>
      </c>
      <c r="J206" s="402"/>
      <c r="K206" s="402"/>
      <c r="L206" s="402"/>
      <c r="M206" s="402"/>
      <c r="N206" s="402"/>
      <c r="O206" s="402"/>
      <c r="P206" s="402"/>
      <c r="Q206" s="402"/>
      <c r="R206" s="402"/>
      <c r="S206" s="402"/>
      <c r="T206" s="402"/>
      <c r="U206" s="402"/>
      <c r="V206" s="402"/>
      <c r="W206" s="402"/>
      <c r="X206" s="402"/>
      <c r="Y206" s="402"/>
      <c r="Z206" s="402"/>
    </row>
    <row r="207" ht="14.25" customHeight="1">
      <c r="A207" s="934">
        <v>45500.0</v>
      </c>
      <c r="B207" s="878" t="s">
        <v>4818</v>
      </c>
      <c r="C207" s="878" t="s">
        <v>4812</v>
      </c>
      <c r="D207" s="883" t="s">
        <v>75</v>
      </c>
      <c r="E207" s="689" t="s">
        <v>4966</v>
      </c>
      <c r="F207" s="933">
        <v>153964.13</v>
      </c>
      <c r="G207" s="403"/>
      <c r="H207" s="402"/>
      <c r="I207" s="866" t="str">
        <f t="shared" si="10"/>
        <v>NOT PAID</v>
      </c>
      <c r="J207" s="402"/>
      <c r="K207" s="402"/>
      <c r="L207" s="402"/>
      <c r="M207" s="402"/>
      <c r="N207" s="402"/>
      <c r="O207" s="402"/>
      <c r="P207" s="402"/>
      <c r="Q207" s="402"/>
      <c r="R207" s="402"/>
      <c r="S207" s="402"/>
      <c r="T207" s="402"/>
      <c r="U207" s="402"/>
      <c r="V207" s="402"/>
      <c r="W207" s="402"/>
      <c r="X207" s="402"/>
      <c r="Y207" s="402"/>
      <c r="Z207" s="402"/>
    </row>
    <row r="208" ht="14.25" customHeight="1">
      <c r="A208" s="934">
        <v>45500.0</v>
      </c>
      <c r="B208" s="829" t="s">
        <v>4967</v>
      </c>
      <c r="C208" s="349" t="s">
        <v>4908</v>
      </c>
      <c r="D208" s="349" t="s">
        <v>75</v>
      </c>
      <c r="E208" s="689" t="s">
        <v>4966</v>
      </c>
      <c r="F208" s="559">
        <v>287500.0</v>
      </c>
      <c r="G208" s="559">
        <v>287500.0</v>
      </c>
      <c r="H208" s="349" t="s">
        <v>710</v>
      </c>
      <c r="I208" s="866" t="str">
        <f t="shared" si="10"/>
        <v>FULLY PAID</v>
      </c>
      <c r="J208" s="402"/>
      <c r="K208" s="402"/>
      <c r="L208" s="402"/>
      <c r="M208" s="402"/>
      <c r="N208" s="402"/>
      <c r="O208" s="402"/>
      <c r="P208" s="402"/>
      <c r="Q208" s="402"/>
      <c r="R208" s="402"/>
      <c r="S208" s="402"/>
      <c r="T208" s="402"/>
      <c r="U208" s="402"/>
      <c r="V208" s="402"/>
      <c r="W208" s="402"/>
      <c r="X208" s="402"/>
      <c r="Y208" s="402"/>
      <c r="Z208" s="402"/>
    </row>
    <row r="209" ht="14.25" customHeight="1">
      <c r="A209" s="934"/>
      <c r="B209" s="500"/>
      <c r="C209" s="402"/>
      <c r="D209" s="402"/>
      <c r="E209" s="868"/>
      <c r="F209" s="587"/>
      <c r="G209" s="403"/>
      <c r="H209" s="402"/>
      <c r="I209" s="866" t="str">
        <f t="shared" si="10"/>
        <v>FULLY PAID</v>
      </c>
      <c r="J209" s="402"/>
      <c r="K209" s="402"/>
      <c r="L209" s="402"/>
      <c r="M209" s="402"/>
      <c r="N209" s="402"/>
      <c r="O209" s="402"/>
      <c r="P209" s="402"/>
      <c r="Q209" s="402"/>
      <c r="R209" s="402"/>
      <c r="S209" s="402"/>
      <c r="T209" s="402"/>
      <c r="U209" s="402"/>
      <c r="V209" s="402"/>
      <c r="W209" s="402"/>
      <c r="X209" s="402"/>
      <c r="Y209" s="402"/>
      <c r="Z209" s="402"/>
    </row>
    <row r="210" ht="14.25" customHeight="1">
      <c r="A210" s="584"/>
      <c r="B210" s="877"/>
      <c r="C210" s="584"/>
      <c r="D210" s="584"/>
      <c r="E210" s="862"/>
      <c r="F210" s="585"/>
      <c r="G210" s="586"/>
      <c r="H210" s="584"/>
      <c r="I210" s="866" t="str">
        <f t="shared" si="10"/>
        <v>FULLY PAID</v>
      </c>
      <c r="J210" s="402"/>
      <c r="K210" s="402"/>
      <c r="L210" s="402"/>
      <c r="M210" s="402"/>
      <c r="N210" s="402"/>
      <c r="O210" s="402"/>
      <c r="P210" s="402"/>
      <c r="Q210" s="402"/>
      <c r="R210" s="402"/>
      <c r="S210" s="402"/>
      <c r="T210" s="402"/>
      <c r="U210" s="402"/>
      <c r="V210" s="402"/>
      <c r="W210" s="402"/>
      <c r="X210" s="402"/>
      <c r="Y210" s="402"/>
      <c r="Z210" s="402"/>
    </row>
    <row r="211" ht="14.25" customHeight="1">
      <c r="A211" s="896" t="s">
        <v>2130</v>
      </c>
      <c r="B211" s="897" t="s">
        <v>39</v>
      </c>
      <c r="C211" s="896" t="s">
        <v>48</v>
      </c>
      <c r="D211" s="896" t="s">
        <v>49</v>
      </c>
      <c r="E211" s="898" t="s">
        <v>50</v>
      </c>
      <c r="F211" s="899" t="s">
        <v>2</v>
      </c>
      <c r="G211" s="896" t="s">
        <v>44</v>
      </c>
      <c r="H211" s="896" t="s">
        <v>45</v>
      </c>
      <c r="I211" s="866" t="str">
        <f t="shared" si="10"/>
        <v>FULLY PAID</v>
      </c>
      <c r="J211" s="402"/>
      <c r="K211" s="402"/>
      <c r="L211" s="402"/>
      <c r="M211" s="402"/>
      <c r="N211" s="402"/>
      <c r="O211" s="402"/>
      <c r="P211" s="402"/>
      <c r="Q211" s="402"/>
      <c r="R211" s="402"/>
      <c r="S211" s="402"/>
      <c r="T211" s="402"/>
      <c r="U211" s="402"/>
      <c r="V211" s="402"/>
      <c r="W211" s="402"/>
      <c r="X211" s="402"/>
      <c r="Y211" s="402"/>
      <c r="Z211" s="402"/>
    </row>
    <row r="212" ht="14.25" customHeight="1">
      <c r="A212" s="934">
        <v>45502.0</v>
      </c>
      <c r="B212" s="829" t="s">
        <v>4773</v>
      </c>
      <c r="C212" s="878" t="s">
        <v>4906</v>
      </c>
      <c r="D212" s="883" t="s">
        <v>54</v>
      </c>
      <c r="E212" s="689" t="s">
        <v>4887</v>
      </c>
      <c r="F212" s="881">
        <v>846.5</v>
      </c>
      <c r="G212" s="403"/>
      <c r="H212" s="349" t="s">
        <v>4968</v>
      </c>
      <c r="I212" s="866" t="str">
        <f t="shared" si="10"/>
        <v>NOT PAID</v>
      </c>
      <c r="J212" s="402"/>
      <c r="K212" s="402"/>
      <c r="L212" s="402"/>
      <c r="M212" s="402"/>
      <c r="N212" s="402"/>
      <c r="O212" s="402"/>
      <c r="P212" s="402"/>
      <c r="Q212" s="402"/>
      <c r="R212" s="402"/>
      <c r="S212" s="402"/>
      <c r="T212" s="402"/>
      <c r="U212" s="402"/>
      <c r="V212" s="402"/>
      <c r="W212" s="402"/>
      <c r="X212" s="402"/>
      <c r="Y212" s="402"/>
      <c r="Z212" s="402"/>
    </row>
    <row r="213" ht="14.25" customHeight="1">
      <c r="A213" s="934">
        <v>45502.0</v>
      </c>
      <c r="B213" s="829" t="s">
        <v>4969</v>
      </c>
      <c r="C213" s="878" t="s">
        <v>4970</v>
      </c>
      <c r="D213" s="883" t="s">
        <v>59</v>
      </c>
      <c r="E213" s="689" t="s">
        <v>4887</v>
      </c>
      <c r="F213" s="881">
        <v>1256.3</v>
      </c>
      <c r="G213" s="413">
        <v>4000.0</v>
      </c>
      <c r="H213" s="349" t="s">
        <v>4968</v>
      </c>
      <c r="I213" s="866" t="str">
        <f t="shared" si="10"/>
        <v>FULLY PAID</v>
      </c>
      <c r="J213" s="402"/>
      <c r="K213" s="402"/>
      <c r="L213" s="402"/>
      <c r="M213" s="402"/>
      <c r="N213" s="402"/>
      <c r="O213" s="402"/>
      <c r="P213" s="402"/>
      <c r="Q213" s="402"/>
      <c r="R213" s="402"/>
      <c r="S213" s="402"/>
      <c r="T213" s="402"/>
      <c r="U213" s="402"/>
      <c r="V213" s="402"/>
      <c r="W213" s="402"/>
      <c r="X213" s="402"/>
      <c r="Y213" s="402"/>
      <c r="Z213" s="402"/>
    </row>
    <row r="214" ht="14.25" customHeight="1">
      <c r="A214" s="934">
        <v>45502.0</v>
      </c>
      <c r="B214" s="829" t="s">
        <v>4919</v>
      </c>
      <c r="C214" s="878" t="s">
        <v>4920</v>
      </c>
      <c r="D214" s="883" t="s">
        <v>75</v>
      </c>
      <c r="E214" s="689" t="s">
        <v>578</v>
      </c>
      <c r="F214" s="881">
        <v>106625.49</v>
      </c>
      <c r="G214" s="403"/>
      <c r="H214" s="349" t="s">
        <v>4832</v>
      </c>
      <c r="I214" s="866" t="str">
        <f t="shared" si="10"/>
        <v>NOT PAID</v>
      </c>
      <c r="J214" s="402"/>
      <c r="K214" s="402"/>
      <c r="L214" s="402"/>
      <c r="M214" s="402"/>
      <c r="N214" s="402"/>
      <c r="O214" s="402"/>
      <c r="P214" s="402"/>
      <c r="Q214" s="402"/>
      <c r="R214" s="402"/>
      <c r="S214" s="402"/>
      <c r="T214" s="402"/>
      <c r="U214" s="402"/>
      <c r="V214" s="402"/>
      <c r="W214" s="402"/>
      <c r="X214" s="402"/>
      <c r="Y214" s="402"/>
      <c r="Z214" s="402"/>
    </row>
    <row r="215" ht="14.25" customHeight="1">
      <c r="A215" s="934">
        <v>45502.0</v>
      </c>
      <c r="B215" s="829" t="s">
        <v>4783</v>
      </c>
      <c r="C215" s="878" t="s">
        <v>4920</v>
      </c>
      <c r="D215" s="883" t="s">
        <v>54</v>
      </c>
      <c r="E215" s="689" t="s">
        <v>578</v>
      </c>
      <c r="F215" s="881">
        <v>8705.55</v>
      </c>
      <c r="G215" s="403"/>
      <c r="H215" s="349" t="s">
        <v>4832</v>
      </c>
      <c r="I215" s="866" t="str">
        <f t="shared" si="10"/>
        <v>NOT PAID</v>
      </c>
      <c r="J215" s="402"/>
      <c r="K215" s="402"/>
      <c r="L215" s="402"/>
      <c r="M215" s="402"/>
      <c r="N215" s="402"/>
      <c r="O215" s="402"/>
      <c r="P215" s="402"/>
      <c r="Q215" s="402"/>
      <c r="R215" s="402"/>
      <c r="S215" s="402"/>
      <c r="T215" s="402"/>
      <c r="U215" s="402"/>
      <c r="V215" s="402"/>
      <c r="W215" s="402"/>
      <c r="X215" s="402"/>
      <c r="Y215" s="402"/>
      <c r="Z215" s="402"/>
    </row>
    <row r="216" ht="14.25" customHeight="1">
      <c r="A216" s="934">
        <v>45502.0</v>
      </c>
      <c r="B216" s="829" t="s">
        <v>4809</v>
      </c>
      <c r="C216" s="878" t="s">
        <v>4909</v>
      </c>
      <c r="D216" s="883" t="s">
        <v>54</v>
      </c>
      <c r="E216" s="689" t="s">
        <v>4887</v>
      </c>
      <c r="F216" s="881">
        <v>4297.57</v>
      </c>
      <c r="G216" s="403"/>
      <c r="H216" s="349" t="s">
        <v>4968</v>
      </c>
      <c r="I216" s="866" t="str">
        <f t="shared" si="10"/>
        <v>NOT PAID</v>
      </c>
      <c r="J216" s="402"/>
      <c r="K216" s="402"/>
      <c r="L216" s="402"/>
      <c r="M216" s="402"/>
      <c r="N216" s="402"/>
      <c r="O216" s="402"/>
      <c r="P216" s="402"/>
      <c r="Q216" s="402"/>
      <c r="R216" s="402"/>
      <c r="S216" s="402"/>
      <c r="T216" s="402"/>
      <c r="U216" s="402"/>
      <c r="V216" s="402"/>
      <c r="W216" s="402"/>
      <c r="X216" s="402"/>
      <c r="Y216" s="402"/>
      <c r="Z216" s="402"/>
    </row>
    <row r="217" ht="14.25" customHeight="1">
      <c r="A217" s="934">
        <v>45502.0</v>
      </c>
      <c r="B217" s="829" t="s">
        <v>4942</v>
      </c>
      <c r="C217" s="878" t="s">
        <v>4943</v>
      </c>
      <c r="D217" s="883" t="s">
        <v>75</v>
      </c>
      <c r="E217" s="689" t="s">
        <v>4971</v>
      </c>
      <c r="F217" s="881">
        <v>1757.55</v>
      </c>
      <c r="G217" s="413">
        <v>2000.0</v>
      </c>
      <c r="H217" s="349" t="s">
        <v>267</v>
      </c>
      <c r="I217" s="866" t="str">
        <f t="shared" si="10"/>
        <v>FULLY PAID</v>
      </c>
      <c r="J217" s="402"/>
      <c r="K217" s="402"/>
      <c r="L217" s="402"/>
      <c r="M217" s="402"/>
      <c r="N217" s="402"/>
      <c r="O217" s="402"/>
      <c r="P217" s="402"/>
      <c r="Q217" s="402"/>
      <c r="R217" s="402"/>
      <c r="S217" s="402"/>
      <c r="T217" s="402"/>
      <c r="U217" s="402"/>
      <c r="V217" s="402"/>
      <c r="W217" s="402"/>
      <c r="X217" s="402"/>
      <c r="Y217" s="402"/>
      <c r="Z217" s="402"/>
    </row>
    <row r="218" ht="14.25" customHeight="1">
      <c r="A218" s="934">
        <v>45502.0</v>
      </c>
      <c r="B218" s="829" t="s">
        <v>4789</v>
      </c>
      <c r="C218" s="878" t="s">
        <v>4923</v>
      </c>
      <c r="D218" s="883" t="s">
        <v>59</v>
      </c>
      <c r="E218" s="689" t="s">
        <v>4971</v>
      </c>
      <c r="F218" s="881">
        <v>68572.14</v>
      </c>
      <c r="G218" s="403"/>
      <c r="H218" s="349" t="s">
        <v>4968</v>
      </c>
      <c r="I218" s="866" t="str">
        <f t="shared" si="10"/>
        <v>NOT PAID</v>
      </c>
      <c r="J218" s="402"/>
      <c r="K218" s="402"/>
      <c r="L218" s="402"/>
      <c r="M218" s="402"/>
      <c r="N218" s="402"/>
      <c r="O218" s="402"/>
      <c r="P218" s="402"/>
      <c r="Q218" s="402"/>
      <c r="R218" s="402"/>
      <c r="S218" s="402"/>
      <c r="T218" s="402"/>
      <c r="U218" s="402"/>
      <c r="V218" s="402"/>
      <c r="W218" s="402"/>
      <c r="X218" s="402"/>
      <c r="Y218" s="402"/>
      <c r="Z218" s="402"/>
    </row>
    <row r="219" ht="14.25" customHeight="1">
      <c r="A219" s="934">
        <v>45502.0</v>
      </c>
      <c r="B219" s="829" t="s">
        <v>4866</v>
      </c>
      <c r="C219" s="878" t="s">
        <v>4972</v>
      </c>
      <c r="D219" s="883" t="s">
        <v>54</v>
      </c>
      <c r="E219" s="689" t="s">
        <v>4971</v>
      </c>
      <c r="F219" s="881">
        <v>194.29</v>
      </c>
      <c r="G219" s="413">
        <v>1795.0</v>
      </c>
      <c r="H219" s="349" t="s">
        <v>267</v>
      </c>
      <c r="I219" s="866" t="str">
        <f t="shared" si="10"/>
        <v>FULLY PAID</v>
      </c>
      <c r="J219" s="402"/>
      <c r="K219" s="402"/>
      <c r="L219" s="402"/>
      <c r="M219" s="402"/>
      <c r="N219" s="402"/>
      <c r="O219" s="402"/>
      <c r="P219" s="402"/>
      <c r="Q219" s="402"/>
      <c r="R219" s="402"/>
      <c r="S219" s="402"/>
      <c r="T219" s="402"/>
      <c r="U219" s="402"/>
      <c r="V219" s="402"/>
      <c r="W219" s="402"/>
      <c r="X219" s="402"/>
      <c r="Y219" s="402"/>
      <c r="Z219" s="402"/>
    </row>
    <row r="220" ht="14.25" customHeight="1">
      <c r="A220" s="934">
        <v>45502.0</v>
      </c>
      <c r="B220" s="829" t="s">
        <v>4795</v>
      </c>
      <c r="C220" s="878" t="s">
        <v>4852</v>
      </c>
      <c r="D220" s="883" t="s">
        <v>54</v>
      </c>
      <c r="E220" s="689" t="s">
        <v>4973</v>
      </c>
      <c r="F220" s="881">
        <v>2409.89</v>
      </c>
      <c r="G220" s="403"/>
      <c r="H220" s="349" t="s">
        <v>4968</v>
      </c>
      <c r="I220" s="866" t="str">
        <f t="shared" si="10"/>
        <v>NOT PAID</v>
      </c>
      <c r="J220" s="402"/>
      <c r="K220" s="402"/>
      <c r="L220" s="402"/>
      <c r="M220" s="402"/>
      <c r="N220" s="402"/>
      <c r="O220" s="402"/>
      <c r="P220" s="402"/>
      <c r="Q220" s="402"/>
      <c r="R220" s="402"/>
      <c r="S220" s="402"/>
      <c r="T220" s="402"/>
      <c r="U220" s="402"/>
      <c r="V220" s="402"/>
      <c r="W220" s="402"/>
      <c r="X220" s="402"/>
      <c r="Y220" s="402"/>
      <c r="Z220" s="402"/>
    </row>
    <row r="221" ht="14.25" customHeight="1">
      <c r="A221" s="934">
        <v>45502.0</v>
      </c>
      <c r="B221" s="829" t="s">
        <v>4815</v>
      </c>
      <c r="C221" s="878" t="s">
        <v>4974</v>
      </c>
      <c r="D221" s="883" t="s">
        <v>54</v>
      </c>
      <c r="E221" s="689" t="s">
        <v>4971</v>
      </c>
      <c r="F221" s="881">
        <v>27716.06</v>
      </c>
      <c r="G221" s="403"/>
      <c r="H221" s="349" t="s">
        <v>4968</v>
      </c>
      <c r="I221" s="866" t="str">
        <f t="shared" si="10"/>
        <v>NOT PAID</v>
      </c>
      <c r="J221" s="402"/>
      <c r="K221" s="402"/>
      <c r="L221" s="402"/>
      <c r="M221" s="402"/>
      <c r="N221" s="402"/>
      <c r="O221" s="402"/>
      <c r="P221" s="402"/>
      <c r="Q221" s="402"/>
      <c r="R221" s="402"/>
      <c r="S221" s="402"/>
      <c r="T221" s="402"/>
      <c r="U221" s="402"/>
      <c r="V221" s="402"/>
      <c r="W221" s="402"/>
      <c r="X221" s="402"/>
      <c r="Y221" s="402"/>
      <c r="Z221" s="402"/>
    </row>
    <row r="222" ht="14.25" customHeight="1">
      <c r="A222" s="934">
        <v>45502.0</v>
      </c>
      <c r="B222" s="829" t="s">
        <v>4800</v>
      </c>
      <c r="C222" s="878" t="s">
        <v>758</v>
      </c>
      <c r="D222" s="883" t="s">
        <v>59</v>
      </c>
      <c r="E222" s="689" t="s">
        <v>4973</v>
      </c>
      <c r="F222" s="881">
        <v>206288.68</v>
      </c>
      <c r="G222" s="403"/>
      <c r="H222" s="349" t="s">
        <v>4968</v>
      </c>
      <c r="I222" s="866" t="str">
        <f t="shared" si="10"/>
        <v>NOT PAID</v>
      </c>
      <c r="J222" s="402"/>
      <c r="K222" s="402"/>
      <c r="L222" s="402"/>
      <c r="M222" s="402"/>
      <c r="N222" s="402"/>
      <c r="O222" s="402"/>
      <c r="P222" s="402"/>
      <c r="Q222" s="402"/>
      <c r="R222" s="402"/>
      <c r="S222" s="402"/>
      <c r="T222" s="402"/>
      <c r="U222" s="402"/>
      <c r="V222" s="402"/>
      <c r="W222" s="402"/>
      <c r="X222" s="402"/>
      <c r="Y222" s="402"/>
      <c r="Z222" s="402"/>
    </row>
    <row r="223" ht="14.25" customHeight="1">
      <c r="A223" s="934">
        <v>45502.0</v>
      </c>
      <c r="B223" s="829" t="s">
        <v>4803</v>
      </c>
      <c r="C223" s="878" t="s">
        <v>4975</v>
      </c>
      <c r="D223" s="883" t="s">
        <v>54</v>
      </c>
      <c r="E223" s="689" t="s">
        <v>4887</v>
      </c>
      <c r="F223" s="881">
        <v>24642.3</v>
      </c>
      <c r="G223" s="403"/>
      <c r="H223" s="349" t="s">
        <v>4968</v>
      </c>
      <c r="I223" s="866" t="str">
        <f t="shared" si="10"/>
        <v>NOT PAID</v>
      </c>
      <c r="J223" s="402"/>
      <c r="K223" s="402"/>
      <c r="L223" s="402"/>
      <c r="M223" s="402"/>
      <c r="N223" s="402"/>
      <c r="O223" s="402"/>
      <c r="P223" s="402"/>
      <c r="Q223" s="402"/>
      <c r="R223" s="402"/>
      <c r="S223" s="402"/>
      <c r="T223" s="402"/>
      <c r="U223" s="402"/>
      <c r="V223" s="402"/>
      <c r="W223" s="402"/>
      <c r="X223" s="402"/>
      <c r="Y223" s="402"/>
      <c r="Z223" s="402"/>
    </row>
    <row r="224" ht="14.25" customHeight="1">
      <c r="A224" s="934">
        <v>45502.0</v>
      </c>
      <c r="B224" s="829" t="s">
        <v>4956</v>
      </c>
      <c r="C224" s="878" t="s">
        <v>4976</v>
      </c>
      <c r="D224" s="883" t="s">
        <v>54</v>
      </c>
      <c r="E224" s="689" t="s">
        <v>4887</v>
      </c>
      <c r="F224" s="881">
        <v>63283.54</v>
      </c>
      <c r="G224" s="403"/>
      <c r="H224" s="349" t="s">
        <v>4968</v>
      </c>
      <c r="I224" s="866" t="str">
        <f t="shared" si="10"/>
        <v>NOT PAID</v>
      </c>
      <c r="J224" s="402"/>
      <c r="K224" s="402"/>
      <c r="L224" s="402"/>
      <c r="M224" s="402"/>
      <c r="N224" s="402"/>
      <c r="O224" s="402"/>
      <c r="P224" s="402"/>
      <c r="Q224" s="402"/>
      <c r="R224" s="402"/>
      <c r="S224" s="402"/>
      <c r="T224" s="402"/>
      <c r="U224" s="402"/>
      <c r="V224" s="402"/>
      <c r="W224" s="402"/>
      <c r="X224" s="402"/>
      <c r="Y224" s="402"/>
      <c r="Z224" s="402"/>
    </row>
    <row r="225" ht="14.25" customHeight="1">
      <c r="A225" s="934">
        <v>45502.0</v>
      </c>
      <c r="B225" s="829" t="s">
        <v>4775</v>
      </c>
      <c r="C225" s="878" t="s">
        <v>4922</v>
      </c>
      <c r="D225" s="883" t="s">
        <v>59</v>
      </c>
      <c r="E225" s="689" t="s">
        <v>4887</v>
      </c>
      <c r="F225" s="881">
        <v>155412.75</v>
      </c>
      <c r="G225" s="403"/>
      <c r="H225" s="349" t="s">
        <v>4832</v>
      </c>
      <c r="I225" s="866" t="str">
        <f t="shared" si="10"/>
        <v>NOT PAID</v>
      </c>
      <c r="J225" s="402"/>
      <c r="K225" s="402"/>
      <c r="L225" s="402"/>
      <c r="M225" s="402"/>
      <c r="N225" s="402"/>
      <c r="O225" s="402"/>
      <c r="P225" s="402"/>
      <c r="Q225" s="402"/>
      <c r="R225" s="402"/>
      <c r="S225" s="402"/>
      <c r="T225" s="402"/>
      <c r="U225" s="402"/>
      <c r="V225" s="402"/>
      <c r="W225" s="402"/>
      <c r="X225" s="402"/>
      <c r="Y225" s="402"/>
      <c r="Z225" s="402"/>
    </row>
    <row r="226" ht="14.25" customHeight="1">
      <c r="A226" s="934">
        <v>45502.0</v>
      </c>
      <c r="B226" s="829" t="s">
        <v>4781</v>
      </c>
      <c r="C226" s="878" t="s">
        <v>4915</v>
      </c>
      <c r="D226" s="883" t="s">
        <v>54</v>
      </c>
      <c r="E226" s="689" t="s">
        <v>4887</v>
      </c>
      <c r="F226" s="881">
        <v>179709.37</v>
      </c>
      <c r="G226" s="413"/>
      <c r="H226" s="349" t="s">
        <v>4968</v>
      </c>
      <c r="I226" s="866" t="str">
        <f t="shared" si="10"/>
        <v>NOT PAID</v>
      </c>
      <c r="J226" s="402"/>
      <c r="K226" s="402"/>
      <c r="L226" s="402"/>
      <c r="M226" s="402"/>
      <c r="N226" s="402"/>
      <c r="O226" s="402"/>
      <c r="P226" s="402"/>
      <c r="Q226" s="402"/>
      <c r="R226" s="402"/>
      <c r="S226" s="402"/>
      <c r="T226" s="402"/>
      <c r="U226" s="402"/>
      <c r="V226" s="402"/>
      <c r="W226" s="402"/>
      <c r="X226" s="402"/>
      <c r="Y226" s="402"/>
      <c r="Z226" s="402"/>
    </row>
    <row r="227" ht="14.25" customHeight="1">
      <c r="A227" s="934">
        <v>45502.0</v>
      </c>
      <c r="B227" s="829" t="s">
        <v>4977</v>
      </c>
      <c r="C227" s="878" t="s">
        <v>4978</v>
      </c>
      <c r="D227" s="883" t="s">
        <v>346</v>
      </c>
      <c r="E227" s="689" t="s">
        <v>4973</v>
      </c>
      <c r="F227" s="881">
        <v>4396.91</v>
      </c>
      <c r="G227" s="403"/>
      <c r="H227" s="349" t="s">
        <v>4968</v>
      </c>
      <c r="I227" s="866" t="str">
        <f t="shared" si="10"/>
        <v>NOT PAID</v>
      </c>
      <c r="J227" s="402"/>
      <c r="K227" s="402"/>
      <c r="L227" s="402"/>
      <c r="M227" s="402"/>
      <c r="N227" s="402"/>
      <c r="O227" s="402"/>
      <c r="P227" s="402"/>
      <c r="Q227" s="402"/>
      <c r="R227" s="402"/>
      <c r="S227" s="402"/>
      <c r="T227" s="402"/>
      <c r="U227" s="402"/>
      <c r="V227" s="402"/>
      <c r="W227" s="402"/>
      <c r="X227" s="402"/>
      <c r="Y227" s="402"/>
      <c r="Z227" s="402"/>
    </row>
    <row r="228" ht="14.25" customHeight="1">
      <c r="A228" s="934">
        <v>45502.0</v>
      </c>
      <c r="B228" s="829" t="s">
        <v>4767</v>
      </c>
      <c r="C228" s="878" t="s">
        <v>4861</v>
      </c>
      <c r="D228" s="883" t="s">
        <v>59</v>
      </c>
      <c r="E228" s="689" t="s">
        <v>4973</v>
      </c>
      <c r="F228" s="881">
        <v>45150.0</v>
      </c>
      <c r="G228" s="413">
        <v>53100.0</v>
      </c>
      <c r="H228" s="349" t="s">
        <v>4968</v>
      </c>
      <c r="I228" s="866" t="str">
        <f t="shared" si="10"/>
        <v>FULLY PAID</v>
      </c>
      <c r="J228" s="402"/>
      <c r="K228" s="402"/>
      <c r="L228" s="402"/>
      <c r="M228" s="402"/>
      <c r="N228" s="402"/>
      <c r="O228" s="402"/>
      <c r="P228" s="402"/>
      <c r="Q228" s="402"/>
      <c r="R228" s="402"/>
      <c r="S228" s="402"/>
      <c r="T228" s="402"/>
      <c r="U228" s="402"/>
      <c r="V228" s="402"/>
      <c r="W228" s="402"/>
      <c r="X228" s="402"/>
      <c r="Y228" s="402"/>
      <c r="Z228" s="402"/>
    </row>
    <row r="229" ht="14.25" customHeight="1">
      <c r="A229" s="935">
        <v>45502.0</v>
      </c>
      <c r="B229" s="829" t="s">
        <v>4793</v>
      </c>
      <c r="C229" s="878" t="s">
        <v>4891</v>
      </c>
      <c r="D229" s="883" t="s">
        <v>54</v>
      </c>
      <c r="E229" s="689" t="s">
        <v>4887</v>
      </c>
      <c r="F229" s="881">
        <v>29876.54</v>
      </c>
      <c r="G229" s="403"/>
      <c r="H229" s="349" t="s">
        <v>4968</v>
      </c>
      <c r="I229" s="866" t="str">
        <f t="shared" si="10"/>
        <v>NOT PAID</v>
      </c>
      <c r="J229" s="402"/>
      <c r="K229" s="402"/>
      <c r="L229" s="402"/>
      <c r="M229" s="402"/>
      <c r="N229" s="402"/>
      <c r="O229" s="402"/>
      <c r="P229" s="402"/>
      <c r="Q229" s="402"/>
      <c r="R229" s="402"/>
      <c r="S229" s="402"/>
      <c r="T229" s="402"/>
      <c r="U229" s="402"/>
      <c r="V229" s="402"/>
      <c r="W229" s="402"/>
      <c r="X229" s="402"/>
      <c r="Y229" s="402"/>
      <c r="Z229" s="402"/>
    </row>
    <row r="230" ht="14.25" customHeight="1">
      <c r="A230" s="935">
        <v>45502.0</v>
      </c>
      <c r="B230" s="829" t="s">
        <v>4979</v>
      </c>
      <c r="C230" s="878" t="s">
        <v>4980</v>
      </c>
      <c r="D230" s="883" t="s">
        <v>54</v>
      </c>
      <c r="E230" s="689" t="s">
        <v>4887</v>
      </c>
      <c r="F230" s="881">
        <v>15725.86</v>
      </c>
      <c r="G230" s="413">
        <v>20000.0</v>
      </c>
      <c r="H230" s="349" t="s">
        <v>4968</v>
      </c>
      <c r="I230" s="866" t="str">
        <f t="shared" si="10"/>
        <v>FULLY PAID</v>
      </c>
      <c r="J230" s="402"/>
      <c r="K230" s="402"/>
      <c r="L230" s="402"/>
      <c r="M230" s="402"/>
      <c r="N230" s="402"/>
      <c r="O230" s="402"/>
      <c r="P230" s="402"/>
      <c r="Q230" s="402"/>
      <c r="R230" s="402"/>
      <c r="S230" s="402"/>
      <c r="T230" s="402"/>
      <c r="U230" s="402"/>
      <c r="V230" s="402"/>
      <c r="W230" s="402"/>
      <c r="X230" s="402"/>
      <c r="Y230" s="402"/>
      <c r="Z230" s="402"/>
    </row>
    <row r="231" ht="14.25" customHeight="1">
      <c r="A231" s="934">
        <v>45502.0</v>
      </c>
      <c r="B231" s="829" t="s">
        <v>4818</v>
      </c>
      <c r="C231" s="878" t="s">
        <v>4859</v>
      </c>
      <c r="D231" s="883" t="s">
        <v>75</v>
      </c>
      <c r="E231" s="689" t="s">
        <v>4973</v>
      </c>
      <c r="F231" s="881">
        <v>153964.13</v>
      </c>
      <c r="G231" s="403"/>
      <c r="H231" s="349" t="s">
        <v>4968</v>
      </c>
      <c r="I231" s="866" t="str">
        <f t="shared" si="10"/>
        <v>NOT PAID</v>
      </c>
      <c r="J231" s="402"/>
      <c r="K231" s="402"/>
      <c r="L231" s="402"/>
      <c r="M231" s="402"/>
      <c r="N231" s="402"/>
      <c r="O231" s="402"/>
      <c r="P231" s="402"/>
      <c r="Q231" s="402"/>
      <c r="R231" s="402"/>
      <c r="S231" s="402"/>
      <c r="T231" s="402"/>
      <c r="U231" s="402"/>
      <c r="V231" s="402"/>
      <c r="W231" s="402"/>
      <c r="X231" s="402"/>
      <c r="Y231" s="402"/>
      <c r="Z231" s="402"/>
    </row>
    <row r="232" ht="14.25" customHeight="1">
      <c r="A232" s="935">
        <v>45502.0</v>
      </c>
      <c r="B232" s="829" t="s">
        <v>4981</v>
      </c>
      <c r="C232" s="878" t="s">
        <v>4982</v>
      </c>
      <c r="D232" s="883" t="s">
        <v>54</v>
      </c>
      <c r="E232" s="689" t="s">
        <v>4973</v>
      </c>
      <c r="F232" s="881">
        <v>121150.0</v>
      </c>
      <c r="G232" s="413">
        <v>121150.0</v>
      </c>
      <c r="H232" s="349" t="s">
        <v>267</v>
      </c>
      <c r="I232" s="866" t="str">
        <f t="shared" si="10"/>
        <v>FULLY PAID</v>
      </c>
      <c r="J232" s="402"/>
      <c r="K232" s="402"/>
      <c r="L232" s="402"/>
      <c r="M232" s="402"/>
      <c r="N232" s="402"/>
      <c r="O232" s="402"/>
      <c r="P232" s="402"/>
      <c r="Q232" s="402"/>
      <c r="R232" s="402"/>
      <c r="S232" s="402"/>
      <c r="T232" s="402"/>
      <c r="U232" s="402"/>
      <c r="V232" s="402"/>
      <c r="W232" s="402"/>
      <c r="X232" s="402"/>
      <c r="Y232" s="402"/>
      <c r="Z232" s="402"/>
    </row>
    <row r="233" ht="14.25" customHeight="1">
      <c r="A233" s="935">
        <v>45502.0</v>
      </c>
      <c r="B233" s="829" t="s">
        <v>4983</v>
      </c>
      <c r="C233" s="878" t="s">
        <v>4860</v>
      </c>
      <c r="D233" s="883" t="s">
        <v>54</v>
      </c>
      <c r="E233" s="689" t="s">
        <v>4973</v>
      </c>
      <c r="F233" s="881">
        <v>56923.0</v>
      </c>
      <c r="G233" s="403"/>
      <c r="H233" s="349" t="s">
        <v>4968</v>
      </c>
      <c r="I233" s="866" t="str">
        <f t="shared" si="10"/>
        <v>NOT PAID</v>
      </c>
      <c r="J233" s="402"/>
      <c r="K233" s="402"/>
      <c r="L233" s="402"/>
      <c r="M233" s="402"/>
      <c r="N233" s="402"/>
      <c r="O233" s="402"/>
      <c r="P233" s="402"/>
      <c r="Q233" s="402"/>
      <c r="R233" s="402"/>
      <c r="S233" s="402"/>
      <c r="T233" s="402"/>
      <c r="U233" s="402"/>
      <c r="V233" s="402"/>
      <c r="W233" s="402"/>
      <c r="X233" s="402"/>
      <c r="Y233" s="402"/>
      <c r="Z233" s="402"/>
    </row>
    <row r="234" ht="14.25" customHeight="1">
      <c r="A234" s="406">
        <v>45502.0</v>
      </c>
      <c r="B234" s="829" t="s">
        <v>4933</v>
      </c>
      <c r="C234" s="878" t="s">
        <v>4848</v>
      </c>
      <c r="D234" s="349" t="s">
        <v>4984</v>
      </c>
      <c r="E234" s="689" t="s">
        <v>4887</v>
      </c>
      <c r="F234" s="881">
        <v>371522.39</v>
      </c>
      <c r="G234" s="403"/>
      <c r="H234" s="349" t="s">
        <v>4968</v>
      </c>
      <c r="I234" s="866" t="str">
        <f t="shared" si="10"/>
        <v>NOT PAID</v>
      </c>
      <c r="J234" s="402"/>
      <c r="K234" s="402"/>
      <c r="L234" s="402"/>
      <c r="M234" s="402"/>
      <c r="N234" s="402"/>
      <c r="O234" s="402"/>
      <c r="P234" s="402"/>
      <c r="Q234" s="402"/>
      <c r="R234" s="402"/>
      <c r="S234" s="402"/>
      <c r="T234" s="402"/>
      <c r="U234" s="402"/>
      <c r="V234" s="402"/>
      <c r="W234" s="402"/>
      <c r="X234" s="402"/>
      <c r="Y234" s="402"/>
      <c r="Z234" s="402"/>
    </row>
    <row r="235" ht="14.25" customHeight="1">
      <c r="A235" s="402"/>
      <c r="B235" s="500"/>
      <c r="C235" s="402"/>
      <c r="D235" s="402"/>
      <c r="E235" s="868"/>
      <c r="F235" s="587"/>
      <c r="G235" s="403"/>
      <c r="H235" s="402"/>
      <c r="I235" s="866" t="str">
        <f t="shared" si="10"/>
        <v>FULLY PAID</v>
      </c>
      <c r="J235" s="402"/>
      <c r="K235" s="402"/>
      <c r="L235" s="402"/>
      <c r="M235" s="402"/>
      <c r="N235" s="402"/>
      <c r="O235" s="402"/>
      <c r="P235" s="402"/>
      <c r="Q235" s="402"/>
      <c r="R235" s="402"/>
      <c r="S235" s="402"/>
      <c r="T235" s="402"/>
      <c r="U235" s="402"/>
      <c r="V235" s="402"/>
      <c r="W235" s="402"/>
      <c r="X235" s="402"/>
      <c r="Y235" s="402"/>
      <c r="Z235" s="402"/>
    </row>
    <row r="236" ht="14.25" customHeight="1">
      <c r="A236" s="402"/>
      <c r="B236" s="500"/>
      <c r="C236" s="402"/>
      <c r="D236" s="402"/>
      <c r="E236" s="868"/>
      <c r="F236" s="587"/>
      <c r="G236" s="403"/>
      <c r="H236" s="402"/>
      <c r="I236" s="866" t="str">
        <f t="shared" si="10"/>
        <v>FULLY PAID</v>
      </c>
      <c r="J236" s="402"/>
      <c r="K236" s="402"/>
      <c r="L236" s="402"/>
      <c r="M236" s="402"/>
      <c r="N236" s="402"/>
      <c r="O236" s="402"/>
      <c r="P236" s="402"/>
      <c r="Q236" s="402"/>
      <c r="R236" s="402"/>
      <c r="S236" s="402"/>
      <c r="T236" s="402"/>
      <c r="U236" s="402"/>
      <c r="V236" s="402"/>
      <c r="W236" s="402"/>
      <c r="X236" s="402"/>
      <c r="Y236" s="402"/>
      <c r="Z236" s="402"/>
    </row>
    <row r="237" ht="14.25" customHeight="1">
      <c r="A237" s="406">
        <v>45502.0</v>
      </c>
      <c r="B237" s="455" t="s">
        <v>4781</v>
      </c>
      <c r="C237" s="911" t="s">
        <v>797</v>
      </c>
      <c r="D237" s="402"/>
      <c r="E237" s="868"/>
      <c r="F237" s="587"/>
      <c r="G237" s="403"/>
      <c r="H237" s="402"/>
      <c r="I237" s="866" t="str">
        <f t="shared" si="10"/>
        <v>FULLY PAID</v>
      </c>
      <c r="J237" s="402"/>
      <c r="K237" s="402"/>
      <c r="L237" s="402"/>
      <c r="M237" s="402"/>
      <c r="N237" s="402"/>
      <c r="O237" s="402"/>
      <c r="P237" s="402"/>
      <c r="Q237" s="402"/>
      <c r="R237" s="402"/>
      <c r="S237" s="402"/>
      <c r="T237" s="402"/>
      <c r="U237" s="402"/>
      <c r="V237" s="402"/>
      <c r="W237" s="402"/>
      <c r="X237" s="402"/>
      <c r="Y237" s="402"/>
      <c r="Z237" s="402"/>
    </row>
    <row r="238" ht="14.25" customHeight="1">
      <c r="A238" s="406">
        <v>45502.0</v>
      </c>
      <c r="B238" s="936" t="s">
        <v>4830</v>
      </c>
      <c r="C238" s="455" t="s">
        <v>4827</v>
      </c>
      <c r="D238" s="936" t="s">
        <v>54</v>
      </c>
      <c r="E238" s="937" t="s">
        <v>578</v>
      </c>
      <c r="F238" s="938">
        <v>217051.52</v>
      </c>
      <c r="G238" s="403"/>
      <c r="H238" s="349" t="s">
        <v>4968</v>
      </c>
      <c r="I238" s="866" t="str">
        <f t="shared" si="10"/>
        <v>NOT PAID</v>
      </c>
      <c r="J238" s="402"/>
      <c r="K238" s="402"/>
      <c r="L238" s="402"/>
      <c r="M238" s="402"/>
      <c r="N238" s="402"/>
      <c r="O238" s="402"/>
      <c r="P238" s="402"/>
      <c r="Q238" s="402"/>
      <c r="R238" s="402"/>
      <c r="S238" s="402"/>
      <c r="T238" s="402"/>
      <c r="U238" s="402"/>
      <c r="V238" s="402"/>
      <c r="W238" s="402"/>
      <c r="X238" s="402"/>
      <c r="Y238" s="402"/>
      <c r="Z238" s="402"/>
    </row>
    <row r="239" ht="14.25" customHeight="1">
      <c r="A239" s="406">
        <v>45502.0</v>
      </c>
      <c r="B239" s="936" t="s">
        <v>4547</v>
      </c>
      <c r="C239" s="936" t="s">
        <v>4831</v>
      </c>
      <c r="D239" s="936" t="s">
        <v>1030</v>
      </c>
      <c r="E239" s="937" t="s">
        <v>578</v>
      </c>
      <c r="F239" s="939">
        <v>78322.73</v>
      </c>
      <c r="G239" s="403"/>
      <c r="H239" s="349" t="s">
        <v>4832</v>
      </c>
      <c r="I239" s="866" t="str">
        <f t="shared" si="10"/>
        <v>NOT PAID</v>
      </c>
      <c r="J239" s="402"/>
      <c r="K239" s="402"/>
      <c r="L239" s="402"/>
      <c r="M239" s="402"/>
      <c r="N239" s="402"/>
      <c r="O239" s="402"/>
      <c r="P239" s="402"/>
      <c r="Q239" s="402"/>
      <c r="R239" s="402"/>
      <c r="S239" s="402"/>
      <c r="T239" s="402"/>
      <c r="U239" s="402"/>
      <c r="V239" s="402"/>
      <c r="W239" s="402"/>
      <c r="X239" s="402"/>
      <c r="Y239" s="402"/>
      <c r="Z239" s="402"/>
    </row>
    <row r="240" ht="14.25" customHeight="1">
      <c r="A240" s="406">
        <v>45502.0</v>
      </c>
      <c r="B240" s="936" t="s">
        <v>4919</v>
      </c>
      <c r="C240" s="936" t="s">
        <v>4836</v>
      </c>
      <c r="D240" s="936" t="s">
        <v>59</v>
      </c>
      <c r="E240" s="937" t="s">
        <v>578</v>
      </c>
      <c r="F240" s="940">
        <v>635602.51</v>
      </c>
      <c r="G240" s="403"/>
      <c r="H240" s="349" t="s">
        <v>4968</v>
      </c>
      <c r="I240" s="866" t="str">
        <f t="shared" si="10"/>
        <v>NOT PAID</v>
      </c>
      <c r="J240" s="402"/>
      <c r="K240" s="402"/>
      <c r="L240" s="402"/>
      <c r="M240" s="402"/>
      <c r="N240" s="402"/>
      <c r="O240" s="402"/>
      <c r="P240" s="402"/>
      <c r="Q240" s="402"/>
      <c r="R240" s="402"/>
      <c r="S240" s="402"/>
      <c r="T240" s="402"/>
      <c r="U240" s="402"/>
      <c r="V240" s="402"/>
      <c r="W240" s="402"/>
      <c r="X240" s="402"/>
      <c r="Y240" s="402"/>
      <c r="Z240" s="402"/>
    </row>
    <row r="241" ht="14.25" customHeight="1">
      <c r="A241" s="406">
        <v>45502.0</v>
      </c>
      <c r="B241" s="941" t="s">
        <v>4767</v>
      </c>
      <c r="C241" s="936" t="s">
        <v>4945</v>
      </c>
      <c r="D241" s="936" t="s">
        <v>54</v>
      </c>
      <c r="E241" s="937" t="s">
        <v>578</v>
      </c>
      <c r="F241" s="942">
        <v>306000.0</v>
      </c>
      <c r="G241" s="403"/>
      <c r="H241" s="349" t="s">
        <v>4832</v>
      </c>
      <c r="I241" s="866" t="str">
        <f t="shared" si="10"/>
        <v>NOT PAID</v>
      </c>
      <c r="J241" s="402"/>
      <c r="K241" s="402"/>
      <c r="L241" s="402"/>
      <c r="M241" s="402"/>
      <c r="N241" s="402"/>
      <c r="O241" s="402"/>
      <c r="P241" s="402"/>
      <c r="Q241" s="402"/>
      <c r="R241" s="402"/>
      <c r="S241" s="402"/>
      <c r="T241" s="402"/>
      <c r="U241" s="402"/>
      <c r="V241" s="402"/>
      <c r="W241" s="402"/>
      <c r="X241" s="402"/>
      <c r="Y241" s="402"/>
      <c r="Z241" s="402"/>
    </row>
    <row r="242" ht="14.25" customHeight="1">
      <c r="A242" s="406">
        <v>45502.0</v>
      </c>
      <c r="B242" s="943" t="s">
        <v>4789</v>
      </c>
      <c r="C242" s="944" t="s">
        <v>4861</v>
      </c>
      <c r="D242" s="944" t="s">
        <v>59</v>
      </c>
      <c r="E242" s="937" t="s">
        <v>578</v>
      </c>
      <c r="F242" s="940">
        <v>136606.17</v>
      </c>
      <c r="G242" s="413">
        <v>0.0</v>
      </c>
      <c r="H242" s="349" t="s">
        <v>267</v>
      </c>
      <c r="I242" s="866" t="str">
        <f t="shared" si="10"/>
        <v>NOT PAID</v>
      </c>
      <c r="J242" s="402"/>
      <c r="K242" s="402"/>
      <c r="L242" s="402"/>
      <c r="M242" s="402"/>
      <c r="N242" s="402"/>
      <c r="O242" s="402"/>
      <c r="P242" s="402"/>
      <c r="Q242" s="402"/>
      <c r="R242" s="402"/>
      <c r="S242" s="402"/>
      <c r="T242" s="402"/>
      <c r="U242" s="402"/>
      <c r="V242" s="402"/>
      <c r="W242" s="402"/>
      <c r="X242" s="402"/>
      <c r="Y242" s="402"/>
      <c r="Z242" s="402"/>
    </row>
    <row r="243" ht="14.25" customHeight="1">
      <c r="A243" s="406">
        <v>45502.0</v>
      </c>
      <c r="B243" s="943" t="s">
        <v>4985</v>
      </c>
      <c r="C243" s="943" t="s">
        <v>4986</v>
      </c>
      <c r="D243" s="936" t="s">
        <v>59</v>
      </c>
      <c r="E243" s="937" t="s">
        <v>578</v>
      </c>
      <c r="F243" s="881">
        <v>324742.75</v>
      </c>
      <c r="G243" s="403"/>
      <c r="H243" s="349" t="s">
        <v>4968</v>
      </c>
      <c r="I243" s="866" t="str">
        <f t="shared" si="10"/>
        <v>NOT PAID</v>
      </c>
      <c r="J243" s="402"/>
      <c r="K243" s="402"/>
      <c r="L243" s="402"/>
      <c r="M243" s="402"/>
      <c r="N243" s="402"/>
      <c r="O243" s="402"/>
      <c r="P243" s="402"/>
      <c r="Q243" s="402"/>
      <c r="R243" s="402"/>
      <c r="S243" s="402"/>
      <c r="T243" s="402"/>
      <c r="U243" s="402"/>
      <c r="V243" s="402"/>
      <c r="W243" s="402"/>
      <c r="X243" s="402"/>
      <c r="Y243" s="402"/>
      <c r="Z243" s="402"/>
    </row>
    <row r="244" ht="14.25" customHeight="1">
      <c r="A244" s="406"/>
      <c r="B244" s="500"/>
      <c r="C244" s="943"/>
      <c r="D244" s="936"/>
      <c r="E244" s="937"/>
      <c r="F244" s="942"/>
      <c r="G244" s="403"/>
      <c r="H244" s="349"/>
      <c r="I244" s="866" t="str">
        <f t="shared" si="10"/>
        <v>FULLY PAID</v>
      </c>
      <c r="J244" s="402"/>
      <c r="K244" s="402"/>
      <c r="L244" s="402"/>
      <c r="M244" s="402"/>
      <c r="N244" s="402"/>
      <c r="O244" s="402"/>
      <c r="P244" s="402"/>
      <c r="Q244" s="402"/>
      <c r="R244" s="402"/>
      <c r="S244" s="402"/>
      <c r="T244" s="402"/>
      <c r="U244" s="402"/>
      <c r="V244" s="402"/>
      <c r="W244" s="402"/>
      <c r="X244" s="402"/>
      <c r="Y244" s="402"/>
      <c r="Z244" s="402"/>
    </row>
    <row r="245" ht="14.25" customHeight="1">
      <c r="A245" s="402"/>
      <c r="B245" s="500"/>
      <c r="C245" s="402"/>
      <c r="D245" s="402"/>
      <c r="E245" s="868"/>
      <c r="F245" s="587"/>
      <c r="G245" s="403"/>
      <c r="H245" s="402"/>
      <c r="I245" s="866" t="str">
        <f t="shared" si="10"/>
        <v>FULLY PAID</v>
      </c>
      <c r="J245" s="402"/>
      <c r="K245" s="402"/>
      <c r="L245" s="402"/>
      <c r="M245" s="402"/>
      <c r="N245" s="402"/>
      <c r="O245" s="402"/>
      <c r="P245" s="402"/>
      <c r="Q245" s="402"/>
      <c r="R245" s="402"/>
      <c r="S245" s="402"/>
      <c r="T245" s="402"/>
      <c r="U245" s="402"/>
      <c r="V245" s="402"/>
      <c r="W245" s="402"/>
      <c r="X245" s="402"/>
      <c r="Y245" s="402"/>
      <c r="Z245" s="402"/>
    </row>
    <row r="246" ht="14.25" customHeight="1">
      <c r="A246" s="402"/>
      <c r="B246" s="500"/>
      <c r="C246" s="402"/>
      <c r="D246" s="402"/>
      <c r="E246" s="868"/>
      <c r="F246" s="587"/>
      <c r="G246" s="403"/>
      <c r="H246" s="402"/>
      <c r="I246" s="866" t="str">
        <f t="shared" si="10"/>
        <v>FULLY PAID</v>
      </c>
      <c r="J246" s="402"/>
      <c r="K246" s="402"/>
      <c r="L246" s="402"/>
      <c r="M246" s="402"/>
      <c r="N246" s="402"/>
      <c r="O246" s="402"/>
      <c r="P246" s="402"/>
      <c r="Q246" s="402"/>
      <c r="R246" s="402"/>
      <c r="S246" s="402"/>
      <c r="T246" s="402"/>
      <c r="U246" s="402"/>
      <c r="V246" s="402"/>
      <c r="W246" s="402"/>
      <c r="X246" s="402"/>
      <c r="Y246" s="402"/>
      <c r="Z246" s="402"/>
    </row>
    <row r="247" ht="14.25" customHeight="1">
      <c r="A247" s="896" t="s">
        <v>2130</v>
      </c>
      <c r="B247" s="897" t="s">
        <v>39</v>
      </c>
      <c r="C247" s="896" t="s">
        <v>48</v>
      </c>
      <c r="D247" s="896" t="s">
        <v>49</v>
      </c>
      <c r="E247" s="898" t="s">
        <v>50</v>
      </c>
      <c r="F247" s="899" t="s">
        <v>2</v>
      </c>
      <c r="G247" s="896" t="s">
        <v>44</v>
      </c>
      <c r="H247" s="896" t="s">
        <v>45</v>
      </c>
      <c r="I247" s="866" t="str">
        <f t="shared" si="10"/>
        <v>FULLY PAID</v>
      </c>
      <c r="J247" s="402"/>
      <c r="K247" s="402"/>
      <c r="L247" s="402"/>
      <c r="M247" s="402"/>
      <c r="N247" s="402"/>
      <c r="O247" s="402"/>
      <c r="P247" s="402"/>
      <c r="Q247" s="402"/>
      <c r="R247" s="402"/>
      <c r="S247" s="402"/>
      <c r="T247" s="402"/>
      <c r="U247" s="402"/>
      <c r="V247" s="402"/>
      <c r="W247" s="402"/>
      <c r="X247" s="402"/>
      <c r="Y247" s="402"/>
      <c r="Z247" s="402"/>
    </row>
    <row r="248" ht="14.25" customHeight="1">
      <c r="A248" s="406">
        <v>45503.0</v>
      </c>
      <c r="B248" s="883" t="s">
        <v>4981</v>
      </c>
      <c r="C248" s="883" t="s">
        <v>4982</v>
      </c>
      <c r="D248" s="883" t="s">
        <v>54</v>
      </c>
      <c r="E248" s="689" t="s">
        <v>4973</v>
      </c>
      <c r="F248" s="881">
        <v>127207.5</v>
      </c>
      <c r="G248" s="403"/>
      <c r="H248" s="349" t="s">
        <v>4987</v>
      </c>
      <c r="I248" s="866" t="str">
        <f t="shared" si="10"/>
        <v>NOT PAID</v>
      </c>
      <c r="J248" s="402"/>
      <c r="K248" s="402"/>
      <c r="L248" s="402"/>
      <c r="M248" s="402"/>
      <c r="N248" s="402"/>
      <c r="O248" s="402"/>
      <c r="P248" s="402"/>
      <c r="Q248" s="402"/>
      <c r="R248" s="402"/>
      <c r="S248" s="402"/>
      <c r="T248" s="402"/>
      <c r="U248" s="402"/>
      <c r="V248" s="402"/>
      <c r="W248" s="402"/>
      <c r="X248" s="402"/>
      <c r="Y248" s="402"/>
      <c r="Z248" s="402"/>
    </row>
    <row r="249" ht="14.25" customHeight="1">
      <c r="A249" s="406">
        <v>45503.0</v>
      </c>
      <c r="B249" s="883" t="s">
        <v>4983</v>
      </c>
      <c r="C249" s="883" t="s">
        <v>4860</v>
      </c>
      <c r="D249" s="883" t="s">
        <v>54</v>
      </c>
      <c r="E249" s="689" t="s">
        <v>4821</v>
      </c>
      <c r="F249" s="881">
        <v>59769.15</v>
      </c>
      <c r="G249" s="403"/>
      <c r="H249" s="349" t="s">
        <v>4968</v>
      </c>
      <c r="I249" s="866" t="str">
        <f t="shared" si="10"/>
        <v>NOT PAID</v>
      </c>
      <c r="J249" s="402"/>
      <c r="K249" s="402"/>
      <c r="L249" s="402"/>
      <c r="M249" s="402"/>
      <c r="N249" s="402"/>
      <c r="O249" s="402"/>
      <c r="P249" s="402"/>
      <c r="Q249" s="402"/>
      <c r="R249" s="402"/>
      <c r="S249" s="402"/>
      <c r="T249" s="402"/>
      <c r="U249" s="402"/>
      <c r="V249" s="402"/>
      <c r="W249" s="402"/>
      <c r="X249" s="402"/>
      <c r="Y249" s="402"/>
      <c r="Z249" s="402"/>
    </row>
    <row r="250" ht="14.25" customHeight="1">
      <c r="A250" s="406">
        <v>45503.0</v>
      </c>
      <c r="B250" s="883" t="s">
        <v>4939</v>
      </c>
      <c r="C250" s="883" t="s">
        <v>4932</v>
      </c>
      <c r="D250" s="883" t="s">
        <v>54</v>
      </c>
      <c r="E250" s="689" t="s">
        <v>4973</v>
      </c>
      <c r="F250" s="881">
        <v>17320.63</v>
      </c>
      <c r="G250" s="403"/>
      <c r="H250" s="349" t="s">
        <v>4968</v>
      </c>
      <c r="I250" s="866" t="str">
        <f t="shared" si="10"/>
        <v>NOT PAID</v>
      </c>
      <c r="J250" s="402"/>
      <c r="K250" s="402"/>
      <c r="L250" s="402"/>
      <c r="M250" s="402"/>
      <c r="N250" s="402"/>
      <c r="O250" s="402"/>
      <c r="P250" s="402"/>
      <c r="Q250" s="402"/>
      <c r="R250" s="402"/>
      <c r="S250" s="402"/>
      <c r="T250" s="402"/>
      <c r="U250" s="402"/>
      <c r="V250" s="402"/>
      <c r="W250" s="402"/>
      <c r="X250" s="402"/>
      <c r="Y250" s="402"/>
      <c r="Z250" s="402"/>
    </row>
    <row r="251" ht="14.25" customHeight="1">
      <c r="A251" s="406">
        <v>45503.0</v>
      </c>
      <c r="B251" s="883" t="s">
        <v>4783</v>
      </c>
      <c r="C251" s="883" t="s">
        <v>4920</v>
      </c>
      <c r="D251" s="883" t="s">
        <v>54</v>
      </c>
      <c r="E251" s="937" t="s">
        <v>578</v>
      </c>
      <c r="F251" s="881">
        <v>106625.49</v>
      </c>
      <c r="G251" s="403"/>
      <c r="H251" s="349" t="s">
        <v>4832</v>
      </c>
      <c r="I251" s="866" t="str">
        <f t="shared" si="10"/>
        <v>NOT PAID</v>
      </c>
      <c r="J251" s="402"/>
      <c r="K251" s="402"/>
      <c r="L251" s="402"/>
      <c r="M251" s="402"/>
      <c r="N251" s="402"/>
      <c r="O251" s="402"/>
      <c r="P251" s="402"/>
      <c r="Q251" s="402"/>
      <c r="R251" s="402"/>
      <c r="S251" s="402"/>
      <c r="T251" s="402"/>
      <c r="U251" s="402"/>
      <c r="V251" s="402"/>
      <c r="W251" s="402"/>
      <c r="X251" s="402"/>
      <c r="Y251" s="402"/>
      <c r="Z251" s="402"/>
    </row>
    <row r="252" ht="14.25" customHeight="1">
      <c r="A252" s="406">
        <v>45503.0</v>
      </c>
      <c r="B252" s="883" t="s">
        <v>4900</v>
      </c>
      <c r="C252" s="883" t="s">
        <v>4901</v>
      </c>
      <c r="D252" s="883" t="s">
        <v>54</v>
      </c>
      <c r="E252" s="937" t="s">
        <v>578</v>
      </c>
      <c r="F252" s="881">
        <v>23913.37</v>
      </c>
      <c r="G252" s="403"/>
      <c r="H252" s="349" t="s">
        <v>4968</v>
      </c>
      <c r="I252" s="866" t="str">
        <f t="shared" si="10"/>
        <v>NOT PAID</v>
      </c>
      <c r="J252" s="402"/>
      <c r="K252" s="402"/>
      <c r="L252" s="402"/>
      <c r="M252" s="402"/>
      <c r="N252" s="402"/>
      <c r="O252" s="402"/>
      <c r="P252" s="402"/>
      <c r="Q252" s="402"/>
      <c r="R252" s="402"/>
      <c r="S252" s="402"/>
      <c r="T252" s="402"/>
      <c r="U252" s="402"/>
      <c r="V252" s="402"/>
      <c r="W252" s="402"/>
      <c r="X252" s="402"/>
      <c r="Y252" s="402"/>
      <c r="Z252" s="402"/>
    </row>
    <row r="253" ht="14.25" customHeight="1">
      <c r="A253" s="406">
        <v>45503.0</v>
      </c>
      <c r="B253" s="883" t="s">
        <v>4988</v>
      </c>
      <c r="C253" s="883" t="s">
        <v>4989</v>
      </c>
      <c r="D253" s="883" t="s">
        <v>54</v>
      </c>
      <c r="E253" s="689" t="s">
        <v>4821</v>
      </c>
      <c r="F253" s="881">
        <v>72534.24</v>
      </c>
      <c r="G253" s="403"/>
      <c r="H253" s="349" t="s">
        <v>4968</v>
      </c>
      <c r="I253" s="866" t="str">
        <f t="shared" si="10"/>
        <v>NOT PAID</v>
      </c>
      <c r="J253" s="402"/>
      <c r="K253" s="402"/>
      <c r="L253" s="402"/>
      <c r="M253" s="402"/>
      <c r="N253" s="402"/>
      <c r="O253" s="402"/>
      <c r="P253" s="402"/>
      <c r="Q253" s="402"/>
      <c r="R253" s="402"/>
      <c r="S253" s="402"/>
      <c r="T253" s="402"/>
      <c r="U253" s="402"/>
      <c r="V253" s="402"/>
      <c r="W253" s="402"/>
      <c r="X253" s="402"/>
      <c r="Y253" s="402"/>
      <c r="Z253" s="402"/>
    </row>
    <row r="254" ht="14.25" customHeight="1">
      <c r="A254" s="406">
        <v>45503.0</v>
      </c>
      <c r="B254" s="883" t="s">
        <v>4773</v>
      </c>
      <c r="C254" s="883" t="s">
        <v>4906</v>
      </c>
      <c r="D254" s="883" t="s">
        <v>54</v>
      </c>
      <c r="E254" s="689" t="s">
        <v>4973</v>
      </c>
      <c r="F254" s="881">
        <v>12599.5</v>
      </c>
      <c r="G254" s="403"/>
      <c r="H254" s="349" t="s">
        <v>4968</v>
      </c>
      <c r="I254" s="866" t="str">
        <f t="shared" si="10"/>
        <v>NOT PAID</v>
      </c>
      <c r="J254" s="402"/>
      <c r="K254" s="402"/>
      <c r="L254" s="402"/>
      <c r="M254" s="402"/>
      <c r="N254" s="402"/>
      <c r="O254" s="402"/>
      <c r="P254" s="402"/>
      <c r="Q254" s="402"/>
      <c r="R254" s="402"/>
      <c r="S254" s="402"/>
      <c r="T254" s="402"/>
      <c r="U254" s="402"/>
      <c r="V254" s="402"/>
      <c r="W254" s="402"/>
      <c r="X254" s="402"/>
      <c r="Y254" s="402"/>
      <c r="Z254" s="402"/>
    </row>
    <row r="255" ht="14.25" customHeight="1">
      <c r="A255" s="406">
        <v>45503.0</v>
      </c>
      <c r="B255" s="883" t="s">
        <v>4789</v>
      </c>
      <c r="C255" s="883" t="s">
        <v>4923</v>
      </c>
      <c r="D255" s="883" t="s">
        <v>59</v>
      </c>
      <c r="E255" s="937" t="s">
        <v>578</v>
      </c>
      <c r="F255" s="881">
        <v>324742.75</v>
      </c>
      <c r="G255" s="413">
        <v>84700.0</v>
      </c>
      <c r="H255" s="349" t="s">
        <v>4968</v>
      </c>
      <c r="I255" s="866" t="str">
        <f t="shared" si="10"/>
        <v>PARTIALLY PAID</v>
      </c>
      <c r="J255" s="402"/>
      <c r="K255" s="402"/>
      <c r="L255" s="402"/>
      <c r="M255" s="402"/>
      <c r="N255" s="402"/>
      <c r="O255" s="402"/>
      <c r="P255" s="402"/>
      <c r="Q255" s="402"/>
      <c r="R255" s="402"/>
      <c r="S255" s="402"/>
      <c r="T255" s="402"/>
      <c r="U255" s="402"/>
      <c r="V255" s="402"/>
      <c r="W255" s="402"/>
      <c r="X255" s="402"/>
      <c r="Y255" s="402"/>
      <c r="Z255" s="402"/>
    </row>
    <row r="256" ht="14.25" customHeight="1">
      <c r="A256" s="406">
        <v>45503.0</v>
      </c>
      <c r="B256" s="883" t="s">
        <v>4990</v>
      </c>
      <c r="C256" s="883" t="s">
        <v>4991</v>
      </c>
      <c r="D256" s="883" t="s">
        <v>54</v>
      </c>
      <c r="E256" s="689" t="s">
        <v>4973</v>
      </c>
      <c r="F256" s="881">
        <v>66333.0</v>
      </c>
      <c r="G256" s="403"/>
      <c r="H256" s="349" t="s">
        <v>4968</v>
      </c>
      <c r="I256" s="866" t="str">
        <f t="shared" si="10"/>
        <v>NOT PAID</v>
      </c>
      <c r="J256" s="402"/>
      <c r="K256" s="402"/>
      <c r="L256" s="402"/>
      <c r="M256" s="402"/>
      <c r="N256" s="402"/>
      <c r="O256" s="402"/>
      <c r="P256" s="402"/>
      <c r="Q256" s="402"/>
      <c r="R256" s="402"/>
      <c r="S256" s="402"/>
      <c r="T256" s="402"/>
      <c r="U256" s="402"/>
      <c r="V256" s="402"/>
      <c r="W256" s="402"/>
      <c r="X256" s="402"/>
      <c r="Y256" s="402"/>
      <c r="Z256" s="402"/>
    </row>
    <row r="257" ht="14.25" customHeight="1">
      <c r="A257" s="406">
        <v>45503.0</v>
      </c>
      <c r="B257" s="829" t="s">
        <v>4933</v>
      </c>
      <c r="C257" s="878" t="s">
        <v>4848</v>
      </c>
      <c r="D257" s="349" t="s">
        <v>4984</v>
      </c>
      <c r="E257" s="689" t="s">
        <v>4887</v>
      </c>
      <c r="F257" s="881">
        <v>371522.39</v>
      </c>
      <c r="G257" s="403"/>
      <c r="H257" s="349" t="s">
        <v>4992</v>
      </c>
      <c r="I257" s="866" t="str">
        <f t="shared" si="10"/>
        <v>NOT PAID</v>
      </c>
      <c r="J257" s="402"/>
      <c r="K257" s="402"/>
      <c r="L257" s="402"/>
      <c r="M257" s="402"/>
      <c r="N257" s="402"/>
      <c r="O257" s="402"/>
      <c r="P257" s="402"/>
      <c r="Q257" s="402"/>
      <c r="R257" s="402"/>
      <c r="S257" s="402"/>
      <c r="T257" s="402"/>
      <c r="U257" s="402"/>
      <c r="V257" s="402"/>
      <c r="W257" s="402"/>
      <c r="X257" s="402"/>
      <c r="Y257" s="402"/>
      <c r="Z257" s="402"/>
    </row>
    <row r="258" ht="14.25" customHeight="1">
      <c r="A258" s="406">
        <v>45503.0</v>
      </c>
      <c r="B258" s="829" t="s">
        <v>4818</v>
      </c>
      <c r="C258" s="878" t="s">
        <v>4859</v>
      </c>
      <c r="D258" s="883" t="s">
        <v>75</v>
      </c>
      <c r="E258" s="689" t="s">
        <v>4973</v>
      </c>
      <c r="F258" s="881">
        <v>153964.13</v>
      </c>
      <c r="G258" s="403"/>
      <c r="H258" s="349" t="s">
        <v>4968</v>
      </c>
      <c r="I258" s="866" t="str">
        <f t="shared" si="10"/>
        <v>NOT PAID</v>
      </c>
      <c r="J258" s="402"/>
      <c r="K258" s="402"/>
      <c r="L258" s="402"/>
      <c r="M258" s="402"/>
      <c r="N258" s="402"/>
      <c r="O258" s="402"/>
      <c r="P258" s="402"/>
      <c r="Q258" s="402"/>
      <c r="R258" s="402"/>
      <c r="S258" s="402"/>
      <c r="T258" s="402"/>
      <c r="U258" s="402"/>
      <c r="V258" s="402"/>
      <c r="W258" s="402"/>
      <c r="X258" s="402"/>
      <c r="Y258" s="402"/>
      <c r="Z258" s="402"/>
    </row>
    <row r="259" ht="14.25" customHeight="1">
      <c r="A259" s="406">
        <v>45503.0</v>
      </c>
      <c r="B259" s="829" t="s">
        <v>4793</v>
      </c>
      <c r="C259" s="878" t="s">
        <v>4891</v>
      </c>
      <c r="D259" s="883" t="s">
        <v>54</v>
      </c>
      <c r="E259" s="689" t="s">
        <v>4887</v>
      </c>
      <c r="F259" s="881">
        <v>29876.54</v>
      </c>
      <c r="G259" s="403"/>
      <c r="H259" s="349" t="s">
        <v>4968</v>
      </c>
      <c r="I259" s="866" t="str">
        <f t="shared" si="10"/>
        <v>NOT PAID</v>
      </c>
      <c r="J259" s="402"/>
      <c r="K259" s="402"/>
      <c r="L259" s="402"/>
      <c r="M259" s="402"/>
      <c r="N259" s="402"/>
      <c r="O259" s="402"/>
      <c r="P259" s="402"/>
      <c r="Q259" s="402"/>
      <c r="R259" s="402"/>
      <c r="S259" s="402"/>
      <c r="T259" s="402"/>
      <c r="U259" s="402"/>
      <c r="V259" s="402"/>
      <c r="W259" s="402"/>
      <c r="X259" s="402"/>
      <c r="Y259" s="402"/>
      <c r="Z259" s="402"/>
    </row>
    <row r="260" ht="14.25" customHeight="1">
      <c r="A260" s="406">
        <v>45503.0</v>
      </c>
      <c r="B260" s="829" t="s">
        <v>4977</v>
      </c>
      <c r="C260" s="878" t="s">
        <v>4978</v>
      </c>
      <c r="D260" s="883" t="s">
        <v>346</v>
      </c>
      <c r="E260" s="689" t="s">
        <v>4973</v>
      </c>
      <c r="F260" s="881">
        <v>4396.91</v>
      </c>
      <c r="G260" s="403"/>
      <c r="H260" s="349" t="s">
        <v>4968</v>
      </c>
      <c r="I260" s="866" t="str">
        <f t="shared" si="10"/>
        <v>NOT PAID</v>
      </c>
      <c r="J260" s="402"/>
      <c r="K260" s="402"/>
      <c r="L260" s="402"/>
      <c r="M260" s="402"/>
      <c r="N260" s="402"/>
      <c r="O260" s="402"/>
      <c r="P260" s="402"/>
      <c r="Q260" s="402"/>
      <c r="R260" s="402"/>
      <c r="S260" s="402"/>
      <c r="T260" s="402"/>
      <c r="U260" s="402"/>
      <c r="V260" s="402"/>
      <c r="W260" s="402"/>
      <c r="X260" s="402"/>
      <c r="Y260" s="402"/>
      <c r="Z260" s="402"/>
    </row>
    <row r="261" ht="14.25" customHeight="1">
      <c r="A261" s="406">
        <v>45503.0</v>
      </c>
      <c r="B261" s="829" t="s">
        <v>4795</v>
      </c>
      <c r="C261" s="878" t="s">
        <v>4852</v>
      </c>
      <c r="D261" s="883" t="s">
        <v>54</v>
      </c>
      <c r="E261" s="689" t="s">
        <v>4973</v>
      </c>
      <c r="F261" s="881">
        <v>2409.89</v>
      </c>
      <c r="G261" s="403"/>
      <c r="H261" s="349" t="s">
        <v>4968</v>
      </c>
      <c r="I261" s="866" t="str">
        <f t="shared" si="10"/>
        <v>NOT PAID</v>
      </c>
      <c r="J261" s="402"/>
      <c r="K261" s="402"/>
      <c r="L261" s="402"/>
      <c r="M261" s="402"/>
      <c r="N261" s="402"/>
      <c r="O261" s="402"/>
      <c r="P261" s="402"/>
      <c r="Q261" s="402"/>
      <c r="R261" s="402"/>
      <c r="S261" s="402"/>
      <c r="T261" s="402"/>
      <c r="U261" s="402"/>
      <c r="V261" s="402"/>
      <c r="W261" s="402"/>
      <c r="X261" s="402"/>
      <c r="Y261" s="402"/>
      <c r="Z261" s="402"/>
    </row>
    <row r="262" ht="14.25" customHeight="1">
      <c r="A262" s="406">
        <v>45503.0</v>
      </c>
      <c r="B262" s="829" t="s">
        <v>4815</v>
      </c>
      <c r="C262" s="878" t="s">
        <v>4974</v>
      </c>
      <c r="D262" s="883" t="s">
        <v>54</v>
      </c>
      <c r="E262" s="689" t="s">
        <v>4973</v>
      </c>
      <c r="F262" s="881">
        <v>27716.06</v>
      </c>
      <c r="G262" s="403"/>
      <c r="H262" s="349" t="s">
        <v>4968</v>
      </c>
      <c r="I262" s="866" t="str">
        <f t="shared" si="10"/>
        <v>NOT PAID</v>
      </c>
      <c r="J262" s="402"/>
      <c r="K262" s="402"/>
      <c r="L262" s="402"/>
      <c r="M262" s="402"/>
      <c r="N262" s="402"/>
      <c r="O262" s="402"/>
      <c r="P262" s="402"/>
      <c r="Q262" s="402"/>
      <c r="R262" s="402"/>
      <c r="S262" s="402"/>
      <c r="T262" s="402"/>
      <c r="U262" s="402"/>
      <c r="V262" s="402"/>
      <c r="W262" s="402"/>
      <c r="X262" s="402"/>
      <c r="Y262" s="402"/>
      <c r="Z262" s="402"/>
    </row>
    <row r="263" ht="14.25" customHeight="1">
      <c r="A263" s="406">
        <v>45503.0</v>
      </c>
      <c r="B263" s="829" t="s">
        <v>4800</v>
      </c>
      <c r="C263" s="878" t="s">
        <v>758</v>
      </c>
      <c r="D263" s="883" t="s">
        <v>59</v>
      </c>
      <c r="E263" s="689" t="s">
        <v>4973</v>
      </c>
      <c r="F263" s="881">
        <v>206288.68</v>
      </c>
      <c r="G263" s="403"/>
      <c r="H263" s="349" t="s">
        <v>4993</v>
      </c>
      <c r="I263" s="866" t="str">
        <f t="shared" si="10"/>
        <v>NOT PAID</v>
      </c>
      <c r="J263" s="402"/>
      <c r="K263" s="402"/>
      <c r="L263" s="402"/>
      <c r="M263" s="402"/>
      <c r="N263" s="402"/>
      <c r="O263" s="402"/>
      <c r="P263" s="402"/>
      <c r="Q263" s="402"/>
      <c r="R263" s="402"/>
      <c r="S263" s="402"/>
      <c r="T263" s="402"/>
      <c r="U263" s="402"/>
      <c r="V263" s="402"/>
      <c r="W263" s="402"/>
      <c r="X263" s="402"/>
      <c r="Y263" s="402"/>
      <c r="Z263" s="402"/>
    </row>
    <row r="264" ht="14.25" customHeight="1">
      <c r="A264" s="406">
        <v>45503.0</v>
      </c>
      <c r="B264" s="829" t="s">
        <v>4803</v>
      </c>
      <c r="C264" s="878" t="s">
        <v>4975</v>
      </c>
      <c r="D264" s="883" t="s">
        <v>54</v>
      </c>
      <c r="E264" s="689" t="s">
        <v>4887</v>
      </c>
      <c r="F264" s="881">
        <v>24642.3</v>
      </c>
      <c r="G264" s="413">
        <v>5000.0</v>
      </c>
      <c r="H264" s="349" t="s">
        <v>267</v>
      </c>
      <c r="I264" s="866" t="str">
        <f t="shared" si="10"/>
        <v>PARTIALLY PAID</v>
      </c>
      <c r="J264" s="402"/>
      <c r="K264" s="402"/>
      <c r="L264" s="402"/>
      <c r="M264" s="402"/>
      <c r="N264" s="402"/>
      <c r="O264" s="402"/>
      <c r="P264" s="402"/>
      <c r="Q264" s="402"/>
      <c r="R264" s="402"/>
      <c r="S264" s="402"/>
      <c r="T264" s="402"/>
      <c r="U264" s="402"/>
      <c r="V264" s="402"/>
      <c r="W264" s="402"/>
      <c r="X264" s="402"/>
      <c r="Y264" s="402"/>
      <c r="Z264" s="402"/>
    </row>
    <row r="265" ht="14.25" customHeight="1">
      <c r="A265" s="406">
        <v>45503.0</v>
      </c>
      <c r="B265" s="829" t="s">
        <v>4956</v>
      </c>
      <c r="C265" s="878" t="s">
        <v>4976</v>
      </c>
      <c r="D265" s="883" t="s">
        <v>54</v>
      </c>
      <c r="E265" s="689" t="s">
        <v>4887</v>
      </c>
      <c r="F265" s="881">
        <v>63283.54</v>
      </c>
      <c r="G265" s="403"/>
      <c r="H265" s="349" t="s">
        <v>4968</v>
      </c>
      <c r="I265" s="866" t="str">
        <f t="shared" si="10"/>
        <v>NOT PAID</v>
      </c>
      <c r="J265" s="402"/>
      <c r="K265" s="402"/>
      <c r="L265" s="402"/>
      <c r="M265" s="402"/>
      <c r="N265" s="402"/>
      <c r="O265" s="402"/>
      <c r="P265" s="402"/>
      <c r="Q265" s="402"/>
      <c r="R265" s="402"/>
      <c r="S265" s="402"/>
      <c r="T265" s="402"/>
      <c r="U265" s="402"/>
      <c r="V265" s="402"/>
      <c r="W265" s="402"/>
      <c r="X265" s="402"/>
      <c r="Y265" s="402"/>
      <c r="Z265" s="402"/>
    </row>
    <row r="266" ht="14.25" customHeight="1">
      <c r="A266" s="406">
        <v>45503.0</v>
      </c>
      <c r="B266" s="829" t="s">
        <v>4775</v>
      </c>
      <c r="C266" s="878" t="s">
        <v>4922</v>
      </c>
      <c r="D266" s="883" t="s">
        <v>59</v>
      </c>
      <c r="E266" s="689" t="s">
        <v>4887</v>
      </c>
      <c r="F266" s="881">
        <v>155412.75</v>
      </c>
      <c r="G266" s="403"/>
      <c r="H266" s="349" t="s">
        <v>4968</v>
      </c>
      <c r="I266" s="866" t="str">
        <f t="shared" si="10"/>
        <v>NOT PAID</v>
      </c>
      <c r="J266" s="402"/>
      <c r="K266" s="402"/>
      <c r="L266" s="402"/>
      <c r="M266" s="402"/>
      <c r="N266" s="402"/>
      <c r="O266" s="402"/>
      <c r="P266" s="402"/>
      <c r="Q266" s="402"/>
      <c r="R266" s="402"/>
      <c r="S266" s="402"/>
      <c r="T266" s="402"/>
      <c r="U266" s="402"/>
      <c r="V266" s="402"/>
      <c r="W266" s="402"/>
      <c r="X266" s="402"/>
      <c r="Y266" s="402"/>
      <c r="Z266" s="402"/>
    </row>
    <row r="267" ht="14.25" customHeight="1">
      <c r="A267" s="406"/>
      <c r="B267" s="500"/>
      <c r="C267" s="402"/>
      <c r="D267" s="402"/>
      <c r="E267" s="868"/>
      <c r="F267" s="587"/>
      <c r="G267" s="403"/>
      <c r="H267" s="402"/>
      <c r="I267" s="866" t="str">
        <f t="shared" si="10"/>
        <v>FULLY PAID</v>
      </c>
      <c r="J267" s="402"/>
      <c r="K267" s="402"/>
      <c r="L267" s="402"/>
      <c r="M267" s="402"/>
      <c r="N267" s="402"/>
      <c r="O267" s="402"/>
      <c r="P267" s="402"/>
      <c r="Q267" s="402"/>
      <c r="R267" s="402"/>
      <c r="S267" s="402"/>
      <c r="T267" s="402"/>
      <c r="U267" s="402"/>
      <c r="V267" s="402"/>
      <c r="W267" s="402"/>
      <c r="X267" s="402"/>
      <c r="Y267" s="402"/>
      <c r="Z267" s="402"/>
    </row>
    <row r="268" ht="14.25" customHeight="1">
      <c r="A268" s="406"/>
      <c r="B268" s="500"/>
      <c r="C268" s="402"/>
      <c r="D268" s="402"/>
      <c r="E268" s="868"/>
      <c r="F268" s="587"/>
      <c r="G268" s="403"/>
      <c r="H268" s="402"/>
      <c r="I268" s="866" t="str">
        <f t="shared" si="10"/>
        <v>FULLY PAID</v>
      </c>
      <c r="J268" s="402"/>
      <c r="K268" s="402"/>
      <c r="L268" s="402"/>
      <c r="M268" s="402"/>
      <c r="N268" s="402"/>
      <c r="O268" s="402"/>
      <c r="P268" s="402"/>
      <c r="Q268" s="402"/>
      <c r="R268" s="402"/>
      <c r="S268" s="402"/>
      <c r="T268" s="402"/>
      <c r="U268" s="402"/>
      <c r="V268" s="402"/>
      <c r="W268" s="402"/>
      <c r="X268" s="402"/>
      <c r="Y268" s="402"/>
      <c r="Z268" s="402"/>
    </row>
    <row r="269" ht="14.25" customHeight="1">
      <c r="A269" s="402"/>
      <c r="B269" s="455"/>
      <c r="C269" s="911" t="s">
        <v>797</v>
      </c>
      <c r="D269" s="936"/>
      <c r="E269" s="945"/>
      <c r="F269" s="587"/>
      <c r="G269" s="403"/>
      <c r="H269" s="402"/>
      <c r="I269" s="866" t="str">
        <f t="shared" si="10"/>
        <v>FULLY PAID</v>
      </c>
      <c r="J269" s="402"/>
      <c r="K269" s="402"/>
      <c r="L269" s="402"/>
      <c r="M269" s="402"/>
      <c r="N269" s="402"/>
      <c r="O269" s="402"/>
      <c r="P269" s="402"/>
      <c r="Q269" s="402"/>
      <c r="R269" s="402"/>
      <c r="S269" s="402"/>
      <c r="T269" s="402"/>
      <c r="U269" s="402"/>
      <c r="V269" s="402"/>
      <c r="W269" s="402"/>
      <c r="X269" s="402"/>
      <c r="Y269" s="402"/>
      <c r="Z269" s="402"/>
    </row>
    <row r="270" ht="14.25" customHeight="1">
      <c r="A270" s="406">
        <v>45503.0</v>
      </c>
      <c r="B270" s="455" t="s">
        <v>4781</v>
      </c>
      <c r="C270" s="455" t="s">
        <v>4827</v>
      </c>
      <c r="D270" s="936" t="s">
        <v>54</v>
      </c>
      <c r="E270" s="937" t="s">
        <v>578</v>
      </c>
      <c r="F270" s="938">
        <v>217051.52</v>
      </c>
      <c r="G270" s="403"/>
      <c r="H270" s="349" t="s">
        <v>4832</v>
      </c>
      <c r="I270" s="866" t="str">
        <f t="shared" si="10"/>
        <v>NOT PAID</v>
      </c>
      <c r="J270" s="402"/>
      <c r="K270" s="402"/>
      <c r="L270" s="402"/>
      <c r="M270" s="402"/>
      <c r="N270" s="402"/>
      <c r="O270" s="402"/>
      <c r="P270" s="402"/>
      <c r="Q270" s="402"/>
      <c r="R270" s="402"/>
      <c r="S270" s="402"/>
      <c r="T270" s="402"/>
      <c r="U270" s="402"/>
      <c r="V270" s="402"/>
      <c r="W270" s="402"/>
      <c r="X270" s="402"/>
      <c r="Y270" s="402"/>
      <c r="Z270" s="402"/>
    </row>
    <row r="271" ht="14.25" customHeight="1">
      <c r="A271" s="406">
        <v>45503.0</v>
      </c>
      <c r="B271" s="936" t="s">
        <v>4830</v>
      </c>
      <c r="C271" s="936" t="s">
        <v>4831</v>
      </c>
      <c r="D271" s="936" t="s">
        <v>1030</v>
      </c>
      <c r="E271" s="937" t="s">
        <v>578</v>
      </c>
      <c r="F271" s="939">
        <v>78322.73</v>
      </c>
      <c r="G271" s="403"/>
      <c r="H271" s="349" t="s">
        <v>4832</v>
      </c>
      <c r="I271" s="866" t="str">
        <f t="shared" si="10"/>
        <v>NOT PAID</v>
      </c>
      <c r="J271" s="402"/>
      <c r="K271" s="402"/>
      <c r="L271" s="402"/>
      <c r="M271" s="402"/>
      <c r="N271" s="402"/>
      <c r="O271" s="402"/>
      <c r="P271" s="402"/>
      <c r="Q271" s="402"/>
      <c r="R271" s="402"/>
      <c r="S271" s="402"/>
      <c r="T271" s="402"/>
      <c r="U271" s="402"/>
      <c r="V271" s="402"/>
      <c r="W271" s="402"/>
      <c r="X271" s="402"/>
      <c r="Y271" s="402"/>
      <c r="Z271" s="402"/>
    </row>
    <row r="272" ht="14.25" customHeight="1">
      <c r="A272" s="406">
        <v>45503.0</v>
      </c>
      <c r="B272" s="936" t="s">
        <v>4547</v>
      </c>
      <c r="C272" s="936" t="s">
        <v>4836</v>
      </c>
      <c r="D272" s="936" t="s">
        <v>59</v>
      </c>
      <c r="E272" s="937" t="s">
        <v>578</v>
      </c>
      <c r="F272" s="940">
        <v>635602.51</v>
      </c>
      <c r="G272" s="403"/>
      <c r="H272" s="349" t="s">
        <v>4968</v>
      </c>
      <c r="I272" s="866" t="str">
        <f t="shared" si="10"/>
        <v>NOT PAID</v>
      </c>
      <c r="J272" s="402"/>
      <c r="K272" s="402"/>
      <c r="L272" s="402"/>
      <c r="M272" s="402"/>
      <c r="N272" s="402"/>
      <c r="O272" s="402"/>
      <c r="P272" s="402"/>
      <c r="Q272" s="402"/>
      <c r="R272" s="402"/>
      <c r="S272" s="402"/>
      <c r="T272" s="402"/>
      <c r="U272" s="402"/>
      <c r="V272" s="402"/>
      <c r="W272" s="402"/>
      <c r="X272" s="402"/>
      <c r="Y272" s="402"/>
      <c r="Z272" s="402"/>
    </row>
    <row r="273" ht="14.25" customHeight="1">
      <c r="A273" s="406">
        <v>45503.0</v>
      </c>
      <c r="B273" s="936" t="s">
        <v>4919</v>
      </c>
      <c r="C273" s="936" t="s">
        <v>4945</v>
      </c>
      <c r="D273" s="936" t="s">
        <v>54</v>
      </c>
      <c r="E273" s="937" t="s">
        <v>578</v>
      </c>
      <c r="F273" s="942">
        <v>306000.0</v>
      </c>
      <c r="G273" s="403"/>
      <c r="H273" s="349" t="s">
        <v>4832</v>
      </c>
      <c r="I273" s="866" t="str">
        <f t="shared" si="10"/>
        <v>NOT PAID</v>
      </c>
      <c r="J273" s="402"/>
      <c r="K273" s="402"/>
      <c r="L273" s="402"/>
      <c r="M273" s="402"/>
      <c r="N273" s="402"/>
      <c r="O273" s="402"/>
      <c r="P273" s="402"/>
      <c r="Q273" s="402"/>
      <c r="R273" s="402"/>
      <c r="S273" s="402"/>
      <c r="T273" s="402"/>
      <c r="U273" s="402"/>
      <c r="V273" s="402"/>
      <c r="W273" s="402"/>
      <c r="X273" s="402"/>
      <c r="Y273" s="402"/>
      <c r="Z273" s="402"/>
    </row>
    <row r="274" ht="14.25" customHeight="1">
      <c r="A274" s="406">
        <v>45503.0</v>
      </c>
      <c r="B274" s="943" t="s">
        <v>4789</v>
      </c>
      <c r="C274" s="943" t="s">
        <v>4986</v>
      </c>
      <c r="D274" s="936" t="s">
        <v>59</v>
      </c>
      <c r="E274" s="937" t="s">
        <v>578</v>
      </c>
      <c r="F274" s="881">
        <v>324742.75</v>
      </c>
      <c r="G274" s="413">
        <v>84700.0</v>
      </c>
      <c r="H274" s="349" t="s">
        <v>4968</v>
      </c>
      <c r="I274" s="866" t="str">
        <f t="shared" si="10"/>
        <v>PARTIALLY PAID</v>
      </c>
      <c r="J274" s="402"/>
      <c r="K274" s="402"/>
      <c r="L274" s="402"/>
      <c r="M274" s="402"/>
      <c r="N274" s="402"/>
      <c r="O274" s="402"/>
      <c r="P274" s="402"/>
      <c r="Q274" s="402"/>
      <c r="R274" s="402"/>
      <c r="S274" s="402"/>
      <c r="T274" s="402"/>
      <c r="U274" s="402"/>
      <c r="V274" s="402"/>
      <c r="W274" s="402"/>
      <c r="X274" s="402"/>
      <c r="Y274" s="402"/>
      <c r="Z274" s="402"/>
    </row>
    <row r="275" ht="14.25" customHeight="1">
      <c r="A275" s="406">
        <v>45503.0</v>
      </c>
      <c r="B275" s="943" t="s">
        <v>4985</v>
      </c>
      <c r="C275" s="943" t="s">
        <v>4994</v>
      </c>
      <c r="D275" s="936" t="s">
        <v>54</v>
      </c>
      <c r="E275" s="937" t="s">
        <v>578</v>
      </c>
      <c r="F275" s="942">
        <v>665000.0</v>
      </c>
      <c r="G275" s="403"/>
      <c r="H275" s="349" t="s">
        <v>4993</v>
      </c>
      <c r="I275" s="866" t="str">
        <f t="shared" si="10"/>
        <v>NOT PAID</v>
      </c>
      <c r="J275" s="402"/>
      <c r="K275" s="402"/>
      <c r="L275" s="402"/>
      <c r="M275" s="402"/>
      <c r="N275" s="402"/>
      <c r="O275" s="402"/>
      <c r="P275" s="402"/>
      <c r="Q275" s="402"/>
      <c r="R275" s="402"/>
      <c r="S275" s="402"/>
      <c r="T275" s="402"/>
      <c r="U275" s="402"/>
      <c r="V275" s="402"/>
      <c r="W275" s="402"/>
      <c r="X275" s="402"/>
      <c r="Y275" s="402"/>
      <c r="Z275" s="402"/>
    </row>
    <row r="276" ht="14.25" customHeight="1">
      <c r="A276" s="402"/>
      <c r="B276" s="500"/>
      <c r="C276" s="402"/>
      <c r="D276" s="402"/>
      <c r="E276" s="868"/>
      <c r="F276" s="587"/>
      <c r="G276" s="403"/>
      <c r="H276" s="402"/>
      <c r="I276" s="866" t="str">
        <f t="shared" si="10"/>
        <v>FULLY PAID</v>
      </c>
      <c r="J276" s="402"/>
      <c r="K276" s="402"/>
      <c r="L276" s="402"/>
      <c r="M276" s="402"/>
      <c r="N276" s="402"/>
      <c r="O276" s="402"/>
      <c r="P276" s="402"/>
      <c r="Q276" s="402"/>
      <c r="R276" s="402"/>
      <c r="S276" s="402"/>
      <c r="T276" s="402"/>
      <c r="U276" s="402"/>
      <c r="V276" s="402"/>
      <c r="W276" s="402"/>
      <c r="X276" s="402"/>
      <c r="Y276" s="402"/>
      <c r="Z276" s="402"/>
    </row>
    <row r="277" ht="14.25" customHeight="1">
      <c r="A277" s="402"/>
      <c r="B277" s="500"/>
      <c r="C277" s="402"/>
      <c r="D277" s="402"/>
      <c r="E277" s="868"/>
      <c r="F277" s="587"/>
      <c r="G277" s="403"/>
      <c r="H277" s="402"/>
      <c r="I277" s="866" t="str">
        <f t="shared" si="10"/>
        <v>FULLY PAID</v>
      </c>
      <c r="J277" s="402"/>
      <c r="K277" s="402"/>
      <c r="L277" s="402"/>
      <c r="M277" s="402"/>
      <c r="N277" s="402"/>
      <c r="O277" s="402"/>
      <c r="P277" s="402"/>
      <c r="Q277" s="402"/>
      <c r="R277" s="402"/>
      <c r="S277" s="402"/>
      <c r="T277" s="402"/>
      <c r="U277" s="402"/>
      <c r="V277" s="402"/>
      <c r="W277" s="402"/>
      <c r="X277" s="402"/>
      <c r="Y277" s="402"/>
      <c r="Z277" s="402"/>
    </row>
    <row r="278" ht="14.25" customHeight="1">
      <c r="A278" s="402"/>
      <c r="B278" s="500"/>
      <c r="C278" s="402"/>
      <c r="D278" s="402"/>
      <c r="E278" s="868"/>
      <c r="F278" s="587"/>
      <c r="G278" s="403"/>
      <c r="H278" s="402"/>
      <c r="I278" s="866" t="str">
        <f t="shared" si="10"/>
        <v>FULLY PAID</v>
      </c>
      <c r="J278" s="402"/>
      <c r="K278" s="402"/>
      <c r="L278" s="402"/>
      <c r="M278" s="402"/>
      <c r="N278" s="402"/>
      <c r="O278" s="402"/>
      <c r="P278" s="402"/>
      <c r="Q278" s="402"/>
      <c r="R278" s="402"/>
      <c r="S278" s="402"/>
      <c r="T278" s="402"/>
      <c r="U278" s="402"/>
      <c r="V278" s="402"/>
      <c r="W278" s="402"/>
      <c r="X278" s="402"/>
      <c r="Y278" s="402"/>
      <c r="Z278" s="402"/>
    </row>
    <row r="279" ht="14.25" customHeight="1">
      <c r="A279" s="896" t="s">
        <v>2130</v>
      </c>
      <c r="B279" s="897" t="s">
        <v>39</v>
      </c>
      <c r="C279" s="896" t="s">
        <v>48</v>
      </c>
      <c r="D279" s="896" t="s">
        <v>49</v>
      </c>
      <c r="E279" s="898" t="s">
        <v>50</v>
      </c>
      <c r="F279" s="899" t="s">
        <v>2</v>
      </c>
      <c r="G279" s="896" t="s">
        <v>44</v>
      </c>
      <c r="H279" s="896" t="s">
        <v>45</v>
      </c>
      <c r="I279" s="866" t="str">
        <f t="shared" si="10"/>
        <v>FULLY PAID</v>
      </c>
      <c r="J279" s="402"/>
      <c r="K279" s="402"/>
      <c r="L279" s="402"/>
      <c r="M279" s="402"/>
      <c r="N279" s="402"/>
      <c r="O279" s="402"/>
      <c r="P279" s="402"/>
      <c r="Q279" s="402"/>
      <c r="R279" s="402"/>
      <c r="S279" s="402"/>
      <c r="T279" s="402"/>
      <c r="U279" s="402"/>
      <c r="V279" s="402"/>
      <c r="W279" s="402"/>
      <c r="X279" s="402"/>
      <c r="Y279" s="402"/>
      <c r="Z279" s="402"/>
    </row>
    <row r="280" ht="14.25" customHeight="1">
      <c r="A280" s="406">
        <v>45504.0</v>
      </c>
      <c r="B280" s="883" t="s">
        <v>4981</v>
      </c>
      <c r="C280" s="883" t="s">
        <v>4982</v>
      </c>
      <c r="D280" s="883" t="s">
        <v>54</v>
      </c>
      <c r="E280" s="689" t="s">
        <v>4973</v>
      </c>
      <c r="F280" s="881">
        <v>127207.5</v>
      </c>
      <c r="G280" s="403"/>
      <c r="H280" s="349" t="s">
        <v>4995</v>
      </c>
      <c r="I280" s="866" t="str">
        <f t="shared" si="10"/>
        <v>NOT PAID</v>
      </c>
      <c r="J280" s="402"/>
      <c r="K280" s="402"/>
      <c r="L280" s="402"/>
      <c r="M280" s="402"/>
      <c r="N280" s="402"/>
      <c r="O280" s="402"/>
      <c r="P280" s="402"/>
      <c r="Q280" s="402"/>
      <c r="R280" s="402"/>
      <c r="S280" s="402"/>
      <c r="T280" s="402"/>
      <c r="U280" s="402"/>
      <c r="V280" s="402"/>
      <c r="W280" s="402"/>
      <c r="X280" s="402"/>
      <c r="Y280" s="402"/>
      <c r="Z280" s="402"/>
    </row>
    <row r="281" ht="14.25" customHeight="1">
      <c r="A281" s="406">
        <v>45504.0</v>
      </c>
      <c r="B281" s="883" t="s">
        <v>4983</v>
      </c>
      <c r="C281" s="883" t="s">
        <v>4860</v>
      </c>
      <c r="D281" s="883" t="s">
        <v>54</v>
      </c>
      <c r="E281" s="689" t="s">
        <v>4821</v>
      </c>
      <c r="F281" s="881">
        <v>59769.15</v>
      </c>
      <c r="G281" s="403"/>
      <c r="H281" s="349" t="s">
        <v>2263</v>
      </c>
      <c r="I281" s="866" t="str">
        <f t="shared" si="10"/>
        <v>NOT PAID</v>
      </c>
      <c r="J281" s="402"/>
      <c r="K281" s="402"/>
      <c r="L281" s="402"/>
      <c r="M281" s="402"/>
      <c r="N281" s="402"/>
      <c r="O281" s="402"/>
      <c r="P281" s="402"/>
      <c r="Q281" s="402"/>
      <c r="R281" s="402"/>
      <c r="S281" s="402"/>
      <c r="T281" s="402"/>
      <c r="U281" s="402"/>
      <c r="V281" s="402"/>
      <c r="W281" s="402"/>
      <c r="X281" s="402"/>
      <c r="Y281" s="402"/>
      <c r="Z281" s="402"/>
    </row>
    <row r="282" ht="14.25" customHeight="1">
      <c r="A282" s="406">
        <v>45504.0</v>
      </c>
      <c r="B282" s="883" t="s">
        <v>4869</v>
      </c>
      <c r="C282" s="883" t="s">
        <v>4925</v>
      </c>
      <c r="D282" s="883" t="s">
        <v>54</v>
      </c>
      <c r="E282" s="689" t="s">
        <v>4973</v>
      </c>
      <c r="F282" s="881">
        <v>17320.63</v>
      </c>
      <c r="G282" s="413">
        <v>5306.0</v>
      </c>
      <c r="H282" s="349" t="s">
        <v>267</v>
      </c>
      <c r="I282" s="866" t="str">
        <f t="shared" si="10"/>
        <v>PARTIALLY PAID</v>
      </c>
      <c r="J282" s="402"/>
      <c r="K282" s="402"/>
      <c r="L282" s="402"/>
      <c r="M282" s="402"/>
      <c r="N282" s="402"/>
      <c r="O282" s="402"/>
      <c r="P282" s="402"/>
      <c r="Q282" s="402"/>
      <c r="R282" s="402"/>
      <c r="S282" s="402"/>
      <c r="T282" s="402"/>
      <c r="U282" s="402"/>
      <c r="V282" s="402"/>
      <c r="W282" s="402"/>
      <c r="X282" s="402"/>
      <c r="Y282" s="402"/>
      <c r="Z282" s="402"/>
    </row>
    <row r="283" ht="15.0" customHeight="1">
      <c r="A283" s="406">
        <v>45504.0</v>
      </c>
      <c r="B283" s="883" t="s">
        <v>4783</v>
      </c>
      <c r="C283" s="883" t="s">
        <v>4920</v>
      </c>
      <c r="D283" s="883" t="s">
        <v>54</v>
      </c>
      <c r="E283" s="937" t="s">
        <v>578</v>
      </c>
      <c r="F283" s="881">
        <v>106625.49</v>
      </c>
      <c r="G283" s="403"/>
      <c r="H283" s="349" t="s">
        <v>2263</v>
      </c>
      <c r="I283" s="866" t="str">
        <f t="shared" si="10"/>
        <v>NOT PAID</v>
      </c>
      <c r="J283" s="402"/>
      <c r="K283" s="402"/>
      <c r="L283" s="402"/>
      <c r="M283" s="402"/>
      <c r="N283" s="402"/>
      <c r="O283" s="402"/>
      <c r="P283" s="402"/>
      <c r="Q283" s="402"/>
      <c r="R283" s="402"/>
      <c r="S283" s="402"/>
      <c r="T283" s="402"/>
      <c r="U283" s="402"/>
      <c r="V283" s="402"/>
      <c r="W283" s="402"/>
      <c r="X283" s="402"/>
      <c r="Y283" s="402"/>
      <c r="Z283" s="402"/>
    </row>
    <row r="284" ht="14.25" customHeight="1">
      <c r="A284" s="406">
        <v>45504.0</v>
      </c>
      <c r="B284" s="883" t="s">
        <v>4903</v>
      </c>
      <c r="C284" s="883" t="s">
        <v>4904</v>
      </c>
      <c r="D284" s="883" t="s">
        <v>54</v>
      </c>
      <c r="E284" s="937" t="s">
        <v>578</v>
      </c>
      <c r="F284" s="881">
        <v>23913.37</v>
      </c>
      <c r="G284" s="413">
        <v>28000.0</v>
      </c>
      <c r="H284" s="349" t="s">
        <v>710</v>
      </c>
      <c r="I284" s="866" t="str">
        <f t="shared" si="10"/>
        <v>FULLY PAID</v>
      </c>
      <c r="J284" s="402"/>
      <c r="K284" s="402"/>
      <c r="L284" s="402"/>
      <c r="M284" s="402"/>
      <c r="N284" s="402"/>
      <c r="O284" s="402"/>
      <c r="P284" s="402"/>
      <c r="Q284" s="402"/>
      <c r="R284" s="402"/>
      <c r="S284" s="402"/>
      <c r="T284" s="402"/>
      <c r="U284" s="402"/>
      <c r="V284" s="402"/>
      <c r="W284" s="402"/>
      <c r="X284" s="402"/>
      <c r="Y284" s="402"/>
      <c r="Z284" s="402"/>
    </row>
    <row r="285" ht="14.25" customHeight="1">
      <c r="A285" s="406">
        <v>45504.0</v>
      </c>
      <c r="B285" s="883" t="s">
        <v>4988</v>
      </c>
      <c r="C285" s="883" t="s">
        <v>4989</v>
      </c>
      <c r="D285" s="883" t="s">
        <v>54</v>
      </c>
      <c r="E285" s="689" t="s">
        <v>4821</v>
      </c>
      <c r="F285" s="881">
        <v>72534.24</v>
      </c>
      <c r="G285" s="403"/>
      <c r="H285" s="349" t="s">
        <v>710</v>
      </c>
      <c r="I285" s="866" t="str">
        <f t="shared" si="10"/>
        <v>NOT PAID</v>
      </c>
      <c r="J285" s="402"/>
      <c r="K285" s="402"/>
      <c r="L285" s="402"/>
      <c r="M285" s="402"/>
      <c r="N285" s="402"/>
      <c r="O285" s="402"/>
      <c r="P285" s="402"/>
      <c r="Q285" s="402"/>
      <c r="R285" s="402"/>
      <c r="S285" s="402"/>
      <c r="T285" s="402"/>
      <c r="U285" s="402"/>
      <c r="V285" s="402"/>
      <c r="W285" s="402"/>
      <c r="X285" s="402"/>
      <c r="Y285" s="402"/>
      <c r="Z285" s="402"/>
    </row>
    <row r="286" ht="14.25" customHeight="1">
      <c r="A286" s="406">
        <v>45504.0</v>
      </c>
      <c r="B286" s="883" t="s">
        <v>4773</v>
      </c>
      <c r="C286" s="883" t="s">
        <v>4906</v>
      </c>
      <c r="D286" s="883" t="s">
        <v>54</v>
      </c>
      <c r="E286" s="689" t="s">
        <v>4973</v>
      </c>
      <c r="F286" s="881">
        <v>12599.5</v>
      </c>
      <c r="G286" s="403"/>
      <c r="H286" s="349" t="s">
        <v>2263</v>
      </c>
      <c r="I286" s="866" t="str">
        <f t="shared" si="10"/>
        <v>NOT PAID</v>
      </c>
      <c r="J286" s="402"/>
      <c r="K286" s="402"/>
      <c r="L286" s="402"/>
      <c r="M286" s="402"/>
      <c r="N286" s="402"/>
      <c r="O286" s="402"/>
      <c r="P286" s="402"/>
      <c r="Q286" s="402"/>
      <c r="R286" s="402"/>
      <c r="S286" s="402"/>
      <c r="T286" s="402"/>
      <c r="U286" s="402"/>
      <c r="V286" s="402"/>
      <c r="W286" s="402"/>
      <c r="X286" s="402"/>
      <c r="Y286" s="402"/>
      <c r="Z286" s="402"/>
    </row>
    <row r="287" ht="14.25" customHeight="1">
      <c r="A287" s="406">
        <v>45504.0</v>
      </c>
      <c r="B287" s="883" t="s">
        <v>4789</v>
      </c>
      <c r="C287" s="883" t="s">
        <v>4923</v>
      </c>
      <c r="D287" s="883" t="s">
        <v>59</v>
      </c>
      <c r="E287" s="937" t="s">
        <v>578</v>
      </c>
      <c r="F287" s="881">
        <v>324742.75</v>
      </c>
      <c r="G287" s="413"/>
      <c r="H287" s="349" t="s">
        <v>2263</v>
      </c>
      <c r="I287" s="866" t="str">
        <f t="shared" si="10"/>
        <v>NOT PAID</v>
      </c>
      <c r="J287" s="402"/>
      <c r="K287" s="402"/>
      <c r="L287" s="402"/>
      <c r="M287" s="402"/>
      <c r="N287" s="402"/>
      <c r="O287" s="402"/>
      <c r="P287" s="402"/>
      <c r="Q287" s="402"/>
      <c r="R287" s="402"/>
      <c r="S287" s="402"/>
      <c r="T287" s="402"/>
      <c r="U287" s="402"/>
      <c r="V287" s="402"/>
      <c r="W287" s="402"/>
      <c r="X287" s="402"/>
      <c r="Y287" s="402"/>
      <c r="Z287" s="402"/>
    </row>
    <row r="288" ht="14.25" customHeight="1">
      <c r="A288" s="406">
        <v>45504.0</v>
      </c>
      <c r="B288" s="883" t="s">
        <v>4990</v>
      </c>
      <c r="C288" s="883" t="s">
        <v>4991</v>
      </c>
      <c r="D288" s="883" t="s">
        <v>54</v>
      </c>
      <c r="E288" s="689" t="s">
        <v>4973</v>
      </c>
      <c r="F288" s="881">
        <v>66333.0</v>
      </c>
      <c r="G288" s="403"/>
      <c r="H288" s="349" t="s">
        <v>2263</v>
      </c>
      <c r="I288" s="866" t="str">
        <f t="shared" si="10"/>
        <v>NOT PAID</v>
      </c>
      <c r="J288" s="402"/>
      <c r="K288" s="402"/>
      <c r="L288" s="402"/>
      <c r="M288" s="402"/>
      <c r="N288" s="402"/>
      <c r="O288" s="402"/>
      <c r="P288" s="402"/>
      <c r="Q288" s="402"/>
      <c r="R288" s="402"/>
      <c r="S288" s="402"/>
      <c r="T288" s="402"/>
      <c r="U288" s="402"/>
      <c r="V288" s="402"/>
      <c r="W288" s="402"/>
      <c r="X288" s="402"/>
      <c r="Y288" s="402"/>
      <c r="Z288" s="402"/>
    </row>
    <row r="289" ht="14.25" customHeight="1">
      <c r="A289" s="406">
        <v>45504.0</v>
      </c>
      <c r="B289" s="829" t="s">
        <v>4847</v>
      </c>
      <c r="C289" s="878" t="s">
        <v>4848</v>
      </c>
      <c r="D289" s="349" t="s">
        <v>4984</v>
      </c>
      <c r="E289" s="689" t="s">
        <v>4887</v>
      </c>
      <c r="F289" s="881">
        <v>371522.39</v>
      </c>
      <c r="G289" s="413">
        <v>100000.0</v>
      </c>
      <c r="H289" s="349" t="s">
        <v>710</v>
      </c>
      <c r="I289" s="866" t="str">
        <f t="shared" si="10"/>
        <v>PARTIALLY PAID</v>
      </c>
      <c r="J289" s="402"/>
      <c r="K289" s="402"/>
      <c r="L289" s="402"/>
      <c r="M289" s="402"/>
      <c r="N289" s="402"/>
      <c r="O289" s="402"/>
      <c r="P289" s="402"/>
      <c r="Q289" s="402"/>
      <c r="R289" s="402"/>
      <c r="S289" s="402"/>
      <c r="T289" s="402"/>
      <c r="U289" s="402"/>
      <c r="V289" s="402"/>
      <c r="W289" s="402"/>
      <c r="X289" s="402"/>
      <c r="Y289" s="402"/>
      <c r="Z289" s="402"/>
    </row>
    <row r="290" ht="14.25" customHeight="1">
      <c r="A290" s="406">
        <v>45504.0</v>
      </c>
      <c r="B290" s="829" t="s">
        <v>4818</v>
      </c>
      <c r="C290" s="878" t="s">
        <v>4859</v>
      </c>
      <c r="D290" s="883" t="s">
        <v>75</v>
      </c>
      <c r="E290" s="689" t="s">
        <v>4973</v>
      </c>
      <c r="F290" s="881">
        <v>153964.13</v>
      </c>
      <c r="G290" s="403"/>
      <c r="H290" s="349" t="s">
        <v>2263</v>
      </c>
      <c r="I290" s="866" t="str">
        <f t="shared" si="10"/>
        <v>NOT PAID</v>
      </c>
      <c r="J290" s="402"/>
      <c r="K290" s="402"/>
      <c r="L290" s="402"/>
      <c r="M290" s="402"/>
      <c r="N290" s="402"/>
      <c r="O290" s="402"/>
      <c r="P290" s="402"/>
      <c r="Q290" s="402"/>
      <c r="R290" s="402"/>
      <c r="S290" s="402"/>
      <c r="T290" s="402"/>
      <c r="U290" s="402"/>
      <c r="V290" s="402"/>
      <c r="W290" s="402"/>
      <c r="X290" s="402"/>
      <c r="Y290" s="402"/>
      <c r="Z290" s="402"/>
    </row>
    <row r="291" ht="14.25" customHeight="1">
      <c r="A291" s="406">
        <v>45504.0</v>
      </c>
      <c r="B291" s="829" t="s">
        <v>4793</v>
      </c>
      <c r="C291" s="878" t="s">
        <v>4891</v>
      </c>
      <c r="D291" s="883" t="s">
        <v>54</v>
      </c>
      <c r="E291" s="689" t="s">
        <v>4887</v>
      </c>
      <c r="F291" s="881">
        <v>29876.54</v>
      </c>
      <c r="G291" s="403"/>
      <c r="H291" s="349" t="s">
        <v>2263</v>
      </c>
      <c r="I291" s="866" t="str">
        <f t="shared" si="10"/>
        <v>NOT PAID</v>
      </c>
      <c r="J291" s="402"/>
      <c r="K291" s="402"/>
      <c r="L291" s="402"/>
      <c r="M291" s="402"/>
      <c r="N291" s="402"/>
      <c r="O291" s="402"/>
      <c r="P291" s="402"/>
      <c r="Q291" s="402"/>
      <c r="R291" s="402"/>
      <c r="S291" s="402"/>
      <c r="T291" s="402"/>
      <c r="U291" s="402"/>
      <c r="V291" s="402"/>
      <c r="W291" s="402"/>
      <c r="X291" s="402"/>
      <c r="Y291" s="402"/>
      <c r="Z291" s="402"/>
    </row>
    <row r="292" ht="14.25" customHeight="1">
      <c r="A292" s="406">
        <v>45504.0</v>
      </c>
      <c r="B292" s="829" t="s">
        <v>4942</v>
      </c>
      <c r="C292" s="878" t="s">
        <v>4943</v>
      </c>
      <c r="D292" s="883" t="s">
        <v>75</v>
      </c>
      <c r="E292" s="689" t="s">
        <v>4973</v>
      </c>
      <c r="F292" s="881">
        <v>4396.91</v>
      </c>
      <c r="G292" s="413">
        <v>26550.0</v>
      </c>
      <c r="H292" s="349" t="s">
        <v>710</v>
      </c>
      <c r="I292" s="866" t="str">
        <f t="shared" si="10"/>
        <v>FULLY PAID</v>
      </c>
      <c r="J292" s="402"/>
      <c r="K292" s="402"/>
      <c r="L292" s="402"/>
      <c r="M292" s="402"/>
      <c r="N292" s="402"/>
      <c r="O292" s="402"/>
      <c r="P292" s="402"/>
      <c r="Q292" s="402"/>
      <c r="R292" s="402"/>
      <c r="S292" s="402"/>
      <c r="T292" s="402"/>
      <c r="U292" s="402"/>
      <c r="V292" s="402"/>
      <c r="W292" s="402"/>
      <c r="X292" s="402"/>
      <c r="Y292" s="402"/>
      <c r="Z292" s="402"/>
    </row>
    <row r="293" ht="14.25" customHeight="1">
      <c r="A293" s="406">
        <v>45504.0</v>
      </c>
      <c r="B293" s="829" t="s">
        <v>4996</v>
      </c>
      <c r="C293" s="878" t="s">
        <v>4997</v>
      </c>
      <c r="D293" s="883" t="s">
        <v>54</v>
      </c>
      <c r="E293" s="689" t="s">
        <v>4973</v>
      </c>
      <c r="F293" s="881">
        <v>2409.89</v>
      </c>
      <c r="G293" s="413">
        <v>3000.0</v>
      </c>
      <c r="H293" s="349" t="s">
        <v>710</v>
      </c>
      <c r="I293" s="866" t="str">
        <f t="shared" si="10"/>
        <v>FULLY PAID</v>
      </c>
      <c r="J293" s="402"/>
      <c r="K293" s="402"/>
      <c r="L293" s="402"/>
      <c r="M293" s="402"/>
      <c r="N293" s="402"/>
      <c r="O293" s="402"/>
      <c r="P293" s="402"/>
      <c r="Q293" s="402"/>
      <c r="R293" s="402"/>
      <c r="S293" s="402"/>
      <c r="T293" s="402"/>
      <c r="U293" s="402"/>
      <c r="V293" s="402"/>
      <c r="W293" s="402"/>
      <c r="X293" s="402"/>
      <c r="Y293" s="402"/>
      <c r="Z293" s="402"/>
    </row>
    <row r="294" ht="14.25" customHeight="1">
      <c r="A294" s="406">
        <v>45504.0</v>
      </c>
      <c r="B294" s="829" t="s">
        <v>4815</v>
      </c>
      <c r="C294" s="878" t="s">
        <v>4974</v>
      </c>
      <c r="D294" s="883" t="s">
        <v>54</v>
      </c>
      <c r="E294" s="689" t="s">
        <v>4973</v>
      </c>
      <c r="F294" s="881">
        <v>27716.06</v>
      </c>
      <c r="G294" s="403"/>
      <c r="H294" s="349" t="s">
        <v>2263</v>
      </c>
      <c r="I294" s="866" t="str">
        <f t="shared" si="10"/>
        <v>NOT PAID</v>
      </c>
      <c r="J294" s="402"/>
      <c r="K294" s="402"/>
      <c r="L294" s="402"/>
      <c r="M294" s="402"/>
      <c r="N294" s="402"/>
      <c r="O294" s="402"/>
      <c r="P294" s="402"/>
      <c r="Q294" s="402"/>
      <c r="R294" s="402"/>
      <c r="S294" s="402"/>
      <c r="T294" s="402"/>
      <c r="U294" s="402"/>
      <c r="V294" s="402"/>
      <c r="W294" s="402"/>
      <c r="X294" s="402"/>
      <c r="Y294" s="402"/>
      <c r="Z294" s="402"/>
    </row>
    <row r="295" ht="14.25" customHeight="1">
      <c r="A295" s="406">
        <v>45504.0</v>
      </c>
      <c r="B295" s="829" t="s">
        <v>4800</v>
      </c>
      <c r="C295" s="878" t="s">
        <v>758</v>
      </c>
      <c r="D295" s="883" t="s">
        <v>59</v>
      </c>
      <c r="E295" s="689" t="s">
        <v>4973</v>
      </c>
      <c r="F295" s="881">
        <v>206288.68</v>
      </c>
      <c r="G295" s="403"/>
      <c r="H295" s="349" t="s">
        <v>2263</v>
      </c>
      <c r="I295" s="866" t="str">
        <f t="shared" si="10"/>
        <v>NOT PAID</v>
      </c>
      <c r="J295" s="402"/>
      <c r="K295" s="402"/>
      <c r="L295" s="402"/>
      <c r="M295" s="402"/>
      <c r="N295" s="402"/>
      <c r="O295" s="402"/>
      <c r="P295" s="402"/>
      <c r="Q295" s="402"/>
      <c r="R295" s="402"/>
      <c r="S295" s="402"/>
      <c r="T295" s="402"/>
      <c r="U295" s="402"/>
      <c r="V295" s="402"/>
      <c r="W295" s="402"/>
      <c r="X295" s="402"/>
      <c r="Y295" s="402"/>
      <c r="Z295" s="402"/>
    </row>
    <row r="296" ht="14.25" customHeight="1">
      <c r="A296" s="406">
        <v>45504.0</v>
      </c>
      <c r="B296" s="829" t="s">
        <v>4998</v>
      </c>
      <c r="C296" s="878" t="s">
        <v>4997</v>
      </c>
      <c r="D296" s="883" t="s">
        <v>75</v>
      </c>
      <c r="E296" s="689" t="s">
        <v>4887</v>
      </c>
      <c r="F296" s="881">
        <v>24642.3</v>
      </c>
      <c r="G296" s="413">
        <v>30000.0</v>
      </c>
      <c r="H296" s="349" t="s">
        <v>710</v>
      </c>
      <c r="I296" s="866" t="str">
        <f t="shared" si="10"/>
        <v>FULLY PAID</v>
      </c>
      <c r="J296" s="402"/>
      <c r="K296" s="402"/>
      <c r="L296" s="402"/>
      <c r="M296" s="402"/>
      <c r="N296" s="402"/>
      <c r="O296" s="402"/>
      <c r="P296" s="402"/>
      <c r="Q296" s="402"/>
      <c r="R296" s="402"/>
      <c r="S296" s="402"/>
      <c r="T296" s="402"/>
      <c r="U296" s="402"/>
      <c r="V296" s="402"/>
      <c r="W296" s="402"/>
      <c r="X296" s="402"/>
      <c r="Y296" s="402"/>
      <c r="Z296" s="402"/>
    </row>
    <row r="297" ht="14.25" customHeight="1">
      <c r="A297" s="406">
        <v>45504.0</v>
      </c>
      <c r="B297" s="829" t="s">
        <v>4956</v>
      </c>
      <c r="C297" s="878" t="s">
        <v>4976</v>
      </c>
      <c r="D297" s="883" t="s">
        <v>54</v>
      </c>
      <c r="E297" s="689" t="s">
        <v>4887</v>
      </c>
      <c r="F297" s="881">
        <v>63283.54</v>
      </c>
      <c r="G297" s="403"/>
      <c r="H297" s="349" t="s">
        <v>2263</v>
      </c>
      <c r="I297" s="866" t="str">
        <f t="shared" si="10"/>
        <v>NOT PAID</v>
      </c>
      <c r="J297" s="402"/>
      <c r="K297" s="402"/>
      <c r="L297" s="402"/>
      <c r="M297" s="402"/>
      <c r="N297" s="402"/>
      <c r="O297" s="402"/>
      <c r="P297" s="402"/>
      <c r="Q297" s="402"/>
      <c r="R297" s="402"/>
      <c r="S297" s="402"/>
      <c r="T297" s="402"/>
      <c r="U297" s="402"/>
      <c r="V297" s="402"/>
      <c r="W297" s="402"/>
      <c r="X297" s="402"/>
      <c r="Y297" s="402"/>
      <c r="Z297" s="402"/>
    </row>
    <row r="298" ht="14.25" customHeight="1">
      <c r="A298" s="406">
        <v>45504.0</v>
      </c>
      <c r="B298" s="829" t="s">
        <v>4775</v>
      </c>
      <c r="C298" s="878" t="s">
        <v>4922</v>
      </c>
      <c r="D298" s="883" t="s">
        <v>59</v>
      </c>
      <c r="E298" s="689" t="s">
        <v>4887</v>
      </c>
      <c r="F298" s="881">
        <v>155412.75</v>
      </c>
      <c r="G298" s="403"/>
      <c r="H298" s="349" t="s">
        <v>710</v>
      </c>
      <c r="I298" s="866" t="str">
        <f t="shared" si="10"/>
        <v>NOT PAID</v>
      </c>
      <c r="J298" s="402"/>
      <c r="K298" s="402"/>
      <c r="L298" s="402"/>
      <c r="M298" s="402"/>
      <c r="N298" s="402"/>
      <c r="O298" s="402"/>
      <c r="P298" s="402"/>
      <c r="Q298" s="402"/>
      <c r="R298" s="402"/>
      <c r="S298" s="402"/>
      <c r="T298" s="402"/>
      <c r="U298" s="402"/>
      <c r="V298" s="402"/>
      <c r="W298" s="402"/>
      <c r="X298" s="402"/>
      <c r="Y298" s="402"/>
      <c r="Z298" s="402"/>
    </row>
    <row r="299" ht="14.25" customHeight="1">
      <c r="A299" s="406"/>
      <c r="B299" s="500"/>
      <c r="C299" s="402"/>
      <c r="D299" s="402"/>
      <c r="E299" s="868"/>
      <c r="F299" s="587"/>
      <c r="G299" s="403"/>
      <c r="H299" s="402"/>
      <c r="I299" s="866" t="str">
        <f t="shared" si="10"/>
        <v>FULLY PAID</v>
      </c>
      <c r="J299" s="402"/>
      <c r="K299" s="402"/>
      <c r="L299" s="402"/>
      <c r="M299" s="402"/>
      <c r="N299" s="402"/>
      <c r="O299" s="402"/>
      <c r="P299" s="402"/>
      <c r="Q299" s="402"/>
      <c r="R299" s="402"/>
      <c r="S299" s="402"/>
      <c r="T299" s="402"/>
      <c r="U299" s="402"/>
      <c r="V299" s="402"/>
      <c r="W299" s="402"/>
      <c r="X299" s="402"/>
      <c r="Y299" s="402"/>
      <c r="Z299" s="402"/>
    </row>
    <row r="300" ht="14.25" customHeight="1">
      <c r="A300" s="406"/>
      <c r="B300" s="500"/>
      <c r="C300" s="402"/>
      <c r="D300" s="402"/>
      <c r="E300" s="868"/>
      <c r="F300" s="587"/>
      <c r="G300" s="403"/>
      <c r="H300" s="402"/>
      <c r="I300" s="866" t="str">
        <f t="shared" si="10"/>
        <v>FULLY PAID</v>
      </c>
      <c r="J300" s="402"/>
      <c r="K300" s="402"/>
      <c r="L300" s="402"/>
      <c r="M300" s="402"/>
      <c r="N300" s="402"/>
      <c r="O300" s="402"/>
      <c r="P300" s="402"/>
      <c r="Q300" s="402"/>
      <c r="R300" s="402"/>
      <c r="S300" s="402"/>
      <c r="T300" s="402"/>
      <c r="U300" s="402"/>
      <c r="V300" s="402"/>
      <c r="W300" s="402"/>
      <c r="X300" s="402"/>
      <c r="Y300" s="402"/>
      <c r="Z300" s="402"/>
    </row>
    <row r="301" ht="14.25" customHeight="1">
      <c r="A301" s="402"/>
      <c r="B301" s="455"/>
      <c r="C301" s="911" t="s">
        <v>797</v>
      </c>
      <c r="D301" s="936"/>
      <c r="E301" s="945"/>
      <c r="F301" s="587"/>
      <c r="G301" s="403"/>
      <c r="H301" s="402"/>
      <c r="I301" s="866" t="str">
        <f t="shared" si="10"/>
        <v>FULLY PAID</v>
      </c>
      <c r="J301" s="402"/>
      <c r="K301" s="402"/>
      <c r="L301" s="402"/>
      <c r="M301" s="402"/>
      <c r="N301" s="402"/>
      <c r="O301" s="402"/>
      <c r="P301" s="402"/>
      <c r="Q301" s="402"/>
      <c r="R301" s="402"/>
      <c r="S301" s="402"/>
      <c r="T301" s="402"/>
      <c r="U301" s="402"/>
      <c r="V301" s="402"/>
      <c r="W301" s="402"/>
      <c r="X301" s="402"/>
      <c r="Y301" s="402"/>
      <c r="Z301" s="402"/>
    </row>
    <row r="302" ht="14.25" customHeight="1">
      <c r="A302" s="406" t="s">
        <v>4999</v>
      </c>
      <c r="B302" s="455" t="s">
        <v>4781</v>
      </c>
      <c r="C302" s="455" t="s">
        <v>4827</v>
      </c>
      <c r="D302" s="936" t="s">
        <v>54</v>
      </c>
      <c r="E302" s="937" t="s">
        <v>578</v>
      </c>
      <c r="F302" s="938">
        <v>217051.52</v>
      </c>
      <c r="G302" s="403"/>
      <c r="H302" s="349"/>
      <c r="I302" s="866" t="str">
        <f t="shared" si="10"/>
        <v>NOT PAID</v>
      </c>
      <c r="J302" s="402"/>
      <c r="K302" s="402"/>
      <c r="L302" s="402"/>
      <c r="M302" s="402"/>
      <c r="N302" s="402"/>
      <c r="O302" s="402"/>
      <c r="P302" s="402"/>
      <c r="Q302" s="402"/>
      <c r="R302" s="402"/>
      <c r="S302" s="402"/>
      <c r="T302" s="402"/>
      <c r="U302" s="402"/>
      <c r="V302" s="402"/>
      <c r="W302" s="402"/>
      <c r="X302" s="402"/>
      <c r="Y302" s="402"/>
      <c r="Z302" s="402"/>
    </row>
    <row r="303" ht="14.25" customHeight="1">
      <c r="A303" s="406">
        <v>45504.0</v>
      </c>
      <c r="B303" s="936" t="s">
        <v>4830</v>
      </c>
      <c r="C303" s="936" t="s">
        <v>4831</v>
      </c>
      <c r="D303" s="936" t="s">
        <v>1030</v>
      </c>
      <c r="E303" s="937" t="s">
        <v>578</v>
      </c>
      <c r="F303" s="939">
        <v>78322.73</v>
      </c>
      <c r="G303" s="403"/>
      <c r="H303" s="349"/>
      <c r="I303" s="866" t="str">
        <f t="shared" si="10"/>
        <v>NOT PAID</v>
      </c>
      <c r="J303" s="402"/>
      <c r="K303" s="402"/>
      <c r="L303" s="402"/>
      <c r="M303" s="402"/>
      <c r="N303" s="402"/>
      <c r="O303" s="402"/>
      <c r="P303" s="402"/>
      <c r="Q303" s="402"/>
      <c r="R303" s="402"/>
      <c r="S303" s="402"/>
      <c r="T303" s="402"/>
      <c r="U303" s="402"/>
      <c r="V303" s="402"/>
      <c r="W303" s="402"/>
      <c r="X303" s="402"/>
      <c r="Y303" s="402"/>
      <c r="Z303" s="402"/>
    </row>
    <row r="304" ht="14.25" customHeight="1">
      <c r="A304" s="406">
        <v>45504.0</v>
      </c>
      <c r="B304" s="936" t="s">
        <v>4547</v>
      </c>
      <c r="C304" s="936" t="s">
        <v>4836</v>
      </c>
      <c r="D304" s="936" t="s">
        <v>59</v>
      </c>
      <c r="E304" s="937" t="s">
        <v>578</v>
      </c>
      <c r="F304" s="940">
        <v>635602.51</v>
      </c>
      <c r="G304" s="403"/>
      <c r="H304" s="349"/>
      <c r="I304" s="866" t="str">
        <f t="shared" si="10"/>
        <v>NOT PAID</v>
      </c>
      <c r="J304" s="402"/>
      <c r="K304" s="402"/>
      <c r="L304" s="402"/>
      <c r="M304" s="402"/>
      <c r="N304" s="402"/>
      <c r="O304" s="402"/>
      <c r="P304" s="402"/>
      <c r="Q304" s="402"/>
      <c r="R304" s="402"/>
      <c r="S304" s="402"/>
      <c r="T304" s="402"/>
      <c r="U304" s="402"/>
      <c r="V304" s="402"/>
      <c r="W304" s="402"/>
      <c r="X304" s="402"/>
      <c r="Y304" s="402"/>
      <c r="Z304" s="402"/>
    </row>
    <row r="305" ht="14.25" customHeight="1">
      <c r="A305" s="406" t="s">
        <v>4999</v>
      </c>
      <c r="B305" s="936" t="s">
        <v>4919</v>
      </c>
      <c r="C305" s="936" t="s">
        <v>4945</v>
      </c>
      <c r="D305" s="936" t="s">
        <v>54</v>
      </c>
      <c r="E305" s="937" t="s">
        <v>578</v>
      </c>
      <c r="F305" s="942">
        <v>306000.0</v>
      </c>
      <c r="G305" s="403"/>
      <c r="H305" s="349"/>
      <c r="I305" s="866" t="str">
        <f t="shared" si="10"/>
        <v>NOT PAID</v>
      </c>
      <c r="J305" s="402"/>
      <c r="K305" s="402"/>
      <c r="L305" s="402"/>
      <c r="M305" s="402"/>
      <c r="N305" s="402"/>
      <c r="O305" s="402"/>
      <c r="P305" s="402"/>
      <c r="Q305" s="402"/>
      <c r="R305" s="402"/>
      <c r="S305" s="402"/>
      <c r="T305" s="402"/>
      <c r="U305" s="402"/>
      <c r="V305" s="402"/>
      <c r="W305" s="402"/>
      <c r="X305" s="402"/>
      <c r="Y305" s="402"/>
      <c r="Z305" s="402"/>
    </row>
    <row r="306" ht="14.25" customHeight="1">
      <c r="A306" s="406">
        <v>45504.0</v>
      </c>
      <c r="B306" s="943" t="s">
        <v>4789</v>
      </c>
      <c r="C306" s="943" t="s">
        <v>4986</v>
      </c>
      <c r="D306" s="936" t="s">
        <v>59</v>
      </c>
      <c r="E306" s="937" t="s">
        <v>578</v>
      </c>
      <c r="F306" s="881">
        <v>324742.75</v>
      </c>
      <c r="G306" s="413"/>
      <c r="H306" s="349"/>
      <c r="I306" s="866" t="str">
        <f t="shared" si="10"/>
        <v>NOT PAID</v>
      </c>
      <c r="J306" s="402"/>
      <c r="K306" s="402"/>
      <c r="L306" s="402"/>
      <c r="M306" s="402"/>
      <c r="N306" s="402"/>
      <c r="O306" s="402"/>
      <c r="P306" s="402"/>
      <c r="Q306" s="402"/>
      <c r="R306" s="402"/>
      <c r="S306" s="402"/>
      <c r="T306" s="402"/>
      <c r="U306" s="402"/>
      <c r="V306" s="402"/>
      <c r="W306" s="402"/>
      <c r="X306" s="402"/>
      <c r="Y306" s="402"/>
      <c r="Z306" s="402"/>
    </row>
    <row r="307" ht="14.25" customHeight="1">
      <c r="A307" s="406">
        <v>45504.0</v>
      </c>
      <c r="B307" s="943" t="s">
        <v>4985</v>
      </c>
      <c r="C307" s="943" t="s">
        <v>4994</v>
      </c>
      <c r="D307" s="936" t="s">
        <v>54</v>
      </c>
      <c r="E307" s="937" t="s">
        <v>578</v>
      </c>
      <c r="F307" s="942">
        <v>665000.0</v>
      </c>
      <c r="G307" s="403"/>
      <c r="H307" s="349"/>
      <c r="I307" s="866" t="str">
        <f t="shared" si="10"/>
        <v>NOT PAID</v>
      </c>
      <c r="J307" s="402"/>
      <c r="K307" s="402"/>
      <c r="L307" s="402"/>
      <c r="M307" s="402"/>
      <c r="N307" s="402"/>
      <c r="O307" s="402"/>
      <c r="P307" s="402"/>
      <c r="Q307" s="402"/>
      <c r="R307" s="402"/>
      <c r="S307" s="402"/>
      <c r="T307" s="402"/>
      <c r="U307" s="402"/>
      <c r="V307" s="402"/>
      <c r="W307" s="402"/>
      <c r="X307" s="402"/>
      <c r="Y307" s="402"/>
      <c r="Z307" s="402"/>
    </row>
    <row r="308" ht="14.25" customHeight="1">
      <c r="A308" s="406"/>
      <c r="B308" s="500"/>
      <c r="C308" s="402"/>
      <c r="D308" s="402"/>
      <c r="E308" s="868"/>
      <c r="F308" s="587"/>
      <c r="G308" s="403"/>
      <c r="H308" s="402"/>
      <c r="I308" s="866" t="str">
        <f t="shared" si="10"/>
        <v>FULLY PAID</v>
      </c>
      <c r="J308" s="402"/>
      <c r="K308" s="402"/>
      <c r="L308" s="402"/>
      <c r="M308" s="402"/>
      <c r="N308" s="402"/>
      <c r="O308" s="402"/>
      <c r="P308" s="402"/>
      <c r="Q308" s="402"/>
      <c r="R308" s="402"/>
      <c r="S308" s="402"/>
      <c r="T308" s="402"/>
      <c r="U308" s="402"/>
      <c r="V308" s="402"/>
      <c r="W308" s="402"/>
      <c r="X308" s="402"/>
      <c r="Y308" s="402"/>
      <c r="Z308" s="402"/>
    </row>
    <row r="309" ht="14.25" customHeight="1">
      <c r="A309" s="896" t="s">
        <v>2130</v>
      </c>
      <c r="B309" s="897" t="s">
        <v>39</v>
      </c>
      <c r="C309" s="896" t="s">
        <v>48</v>
      </c>
      <c r="D309" s="896" t="s">
        <v>49</v>
      </c>
      <c r="E309" s="898" t="s">
        <v>50</v>
      </c>
      <c r="F309" s="899" t="s">
        <v>2</v>
      </c>
      <c r="G309" s="896" t="s">
        <v>44</v>
      </c>
      <c r="H309" s="896" t="s">
        <v>45</v>
      </c>
      <c r="I309" s="866" t="str">
        <f t="shared" si="10"/>
        <v>FULLY PAID</v>
      </c>
      <c r="J309" s="402"/>
      <c r="K309" s="402"/>
      <c r="L309" s="402"/>
      <c r="M309" s="402"/>
      <c r="N309" s="402"/>
      <c r="O309" s="402"/>
      <c r="P309" s="402"/>
      <c r="Q309" s="402"/>
      <c r="R309" s="402"/>
      <c r="S309" s="402"/>
      <c r="T309" s="402"/>
      <c r="U309" s="402"/>
      <c r="V309" s="402"/>
      <c r="W309" s="402"/>
      <c r="X309" s="402"/>
      <c r="Y309" s="402"/>
      <c r="Z309" s="402"/>
    </row>
    <row r="310" ht="14.25" customHeight="1">
      <c r="A310" s="406">
        <v>45505.0</v>
      </c>
      <c r="B310" s="863" t="s">
        <v>4939</v>
      </c>
      <c r="C310" s="863" t="s">
        <v>4932</v>
      </c>
      <c r="D310" s="867" t="s">
        <v>54</v>
      </c>
      <c r="E310" s="689" t="s">
        <v>5000</v>
      </c>
      <c r="F310" s="865">
        <v>19186.66</v>
      </c>
      <c r="G310" s="403"/>
      <c r="H310" s="349" t="s">
        <v>5001</v>
      </c>
      <c r="I310" s="866" t="str">
        <f t="shared" si="10"/>
        <v>NOT PAID</v>
      </c>
      <c r="J310" s="402"/>
      <c r="K310" s="402"/>
      <c r="L310" s="402"/>
      <c r="M310" s="402"/>
      <c r="N310" s="402"/>
      <c r="O310" s="402"/>
      <c r="P310" s="402"/>
      <c r="Q310" s="402"/>
      <c r="R310" s="402"/>
      <c r="S310" s="402"/>
      <c r="T310" s="402"/>
      <c r="U310" s="402"/>
      <c r="V310" s="402"/>
      <c r="W310" s="402"/>
      <c r="X310" s="402"/>
      <c r="Y310" s="402"/>
      <c r="Z310" s="402"/>
    </row>
    <row r="311" ht="14.25" customHeight="1">
      <c r="A311" s="406">
        <v>45505.0</v>
      </c>
      <c r="B311" s="863" t="s">
        <v>4898</v>
      </c>
      <c r="C311" s="863" t="s">
        <v>4899</v>
      </c>
      <c r="D311" s="867" t="s">
        <v>54</v>
      </c>
      <c r="E311" s="689" t="s">
        <v>5002</v>
      </c>
      <c r="F311" s="865">
        <v>949.04</v>
      </c>
      <c r="G311" s="403"/>
      <c r="H311" s="349" t="s">
        <v>4968</v>
      </c>
      <c r="I311" s="866" t="str">
        <f t="shared" si="10"/>
        <v>NOT PAID</v>
      </c>
      <c r="J311" s="402"/>
      <c r="K311" s="402"/>
      <c r="L311" s="402"/>
      <c r="M311" s="402"/>
      <c r="N311" s="402"/>
      <c r="O311" s="402"/>
      <c r="P311" s="402"/>
      <c r="Q311" s="402"/>
      <c r="R311" s="402"/>
      <c r="S311" s="402"/>
      <c r="T311" s="402"/>
      <c r="U311" s="402"/>
      <c r="V311" s="402"/>
      <c r="W311" s="402"/>
      <c r="X311" s="402"/>
      <c r="Y311" s="402"/>
      <c r="Z311" s="402"/>
    </row>
    <row r="312" ht="14.25" customHeight="1">
      <c r="A312" s="406">
        <v>45505.0</v>
      </c>
      <c r="B312" s="863" t="s">
        <v>4969</v>
      </c>
      <c r="C312" s="863" t="s">
        <v>4970</v>
      </c>
      <c r="D312" s="867" t="s">
        <v>54</v>
      </c>
      <c r="E312" s="689" t="s">
        <v>578</v>
      </c>
      <c r="F312" s="865">
        <v>6735.74</v>
      </c>
      <c r="G312" s="413">
        <v>9000.0</v>
      </c>
      <c r="H312" s="349" t="s">
        <v>4968</v>
      </c>
      <c r="I312" s="866" t="str">
        <f t="shared" si="10"/>
        <v>FULLY PAID</v>
      </c>
      <c r="J312" s="402"/>
      <c r="K312" s="402"/>
      <c r="L312" s="402"/>
      <c r="M312" s="402"/>
      <c r="N312" s="402"/>
      <c r="O312" s="402"/>
      <c r="P312" s="402"/>
      <c r="Q312" s="402"/>
      <c r="R312" s="402"/>
      <c r="S312" s="402"/>
      <c r="T312" s="402"/>
      <c r="U312" s="402"/>
      <c r="V312" s="402"/>
      <c r="W312" s="402"/>
      <c r="X312" s="402"/>
      <c r="Y312" s="402"/>
      <c r="Z312" s="402"/>
    </row>
    <row r="313" ht="14.25" customHeight="1">
      <c r="A313" s="406">
        <v>45505.0</v>
      </c>
      <c r="B313" s="863" t="s">
        <v>4933</v>
      </c>
      <c r="C313" s="863" t="s">
        <v>4848</v>
      </c>
      <c r="D313" s="867" t="s">
        <v>59</v>
      </c>
      <c r="E313" s="689" t="s">
        <v>5002</v>
      </c>
      <c r="F313" s="865">
        <v>371522.39</v>
      </c>
      <c r="G313" s="403"/>
      <c r="H313" s="349" t="s">
        <v>5003</v>
      </c>
      <c r="I313" s="866" t="str">
        <f t="shared" si="10"/>
        <v>NOT PAID</v>
      </c>
      <c r="J313" s="402"/>
      <c r="K313" s="402"/>
      <c r="L313" s="402"/>
      <c r="M313" s="402"/>
      <c r="N313" s="402"/>
      <c r="O313" s="402"/>
      <c r="P313" s="402"/>
      <c r="Q313" s="402"/>
      <c r="R313" s="402"/>
      <c r="S313" s="402"/>
      <c r="T313" s="402"/>
      <c r="U313" s="402"/>
      <c r="V313" s="402"/>
      <c r="W313" s="402"/>
      <c r="X313" s="402"/>
      <c r="Y313" s="402"/>
      <c r="Z313" s="402"/>
    </row>
    <row r="314" ht="14.25" customHeight="1">
      <c r="A314" s="406">
        <v>45505.0</v>
      </c>
      <c r="B314" s="863" t="s">
        <v>4885</v>
      </c>
      <c r="C314" s="863" t="s">
        <v>4886</v>
      </c>
      <c r="D314" s="867" t="s">
        <v>54</v>
      </c>
      <c r="E314" s="689" t="s">
        <v>5002</v>
      </c>
      <c r="F314" s="865">
        <v>1404.29</v>
      </c>
      <c r="G314" s="403"/>
      <c r="H314" s="349" t="s">
        <v>4968</v>
      </c>
      <c r="I314" s="866" t="str">
        <f t="shared" si="10"/>
        <v>NOT PAID</v>
      </c>
      <c r="J314" s="402"/>
      <c r="K314" s="402"/>
      <c r="L314" s="402"/>
      <c r="M314" s="402"/>
      <c r="N314" s="402"/>
      <c r="O314" s="402"/>
      <c r="P314" s="402"/>
      <c r="Q314" s="402"/>
      <c r="R314" s="402"/>
      <c r="S314" s="402"/>
      <c r="T314" s="402"/>
      <c r="U314" s="402"/>
      <c r="V314" s="402"/>
      <c r="W314" s="402"/>
      <c r="X314" s="402"/>
      <c r="Y314" s="402"/>
      <c r="Z314" s="402"/>
    </row>
    <row r="315" ht="14.25" customHeight="1">
      <c r="A315" s="406">
        <v>45505.0</v>
      </c>
      <c r="B315" s="863" t="s">
        <v>4878</v>
      </c>
      <c r="C315" s="863" t="s">
        <v>4879</v>
      </c>
      <c r="D315" s="867" t="s">
        <v>263</v>
      </c>
      <c r="E315" s="689" t="s">
        <v>578</v>
      </c>
      <c r="F315" s="865">
        <v>80390.14</v>
      </c>
      <c r="G315" s="413">
        <v>84000.0</v>
      </c>
      <c r="H315" s="349" t="s">
        <v>267</v>
      </c>
      <c r="I315" s="866" t="str">
        <f t="shared" si="10"/>
        <v>FULLY PAID</v>
      </c>
      <c r="J315" s="402"/>
      <c r="K315" s="402"/>
      <c r="L315" s="402"/>
      <c r="M315" s="402"/>
      <c r="N315" s="402"/>
      <c r="O315" s="402"/>
      <c r="P315" s="402"/>
      <c r="Q315" s="402"/>
      <c r="R315" s="402"/>
      <c r="S315" s="402"/>
      <c r="T315" s="402"/>
      <c r="U315" s="402"/>
      <c r="V315" s="402"/>
      <c r="W315" s="402"/>
      <c r="X315" s="402"/>
      <c r="Y315" s="402"/>
      <c r="Z315" s="402"/>
    </row>
    <row r="316" ht="14.25" customHeight="1">
      <c r="A316" s="406">
        <v>45505.0</v>
      </c>
      <c r="B316" s="863" t="s">
        <v>4773</v>
      </c>
      <c r="C316" s="863" t="s">
        <v>4906</v>
      </c>
      <c r="D316" s="867" t="s">
        <v>54</v>
      </c>
      <c r="E316" s="689" t="s">
        <v>5002</v>
      </c>
      <c r="F316" s="865">
        <v>846.5</v>
      </c>
      <c r="G316" s="403"/>
      <c r="H316" s="349" t="s">
        <v>5004</v>
      </c>
      <c r="I316" s="866" t="str">
        <f t="shared" si="10"/>
        <v>NOT PAID</v>
      </c>
      <c r="J316" s="402"/>
      <c r="K316" s="402"/>
      <c r="L316" s="402"/>
      <c r="M316" s="402"/>
      <c r="N316" s="402"/>
      <c r="O316" s="402"/>
      <c r="P316" s="402"/>
      <c r="Q316" s="402"/>
      <c r="R316" s="402"/>
      <c r="S316" s="402"/>
      <c r="T316" s="402"/>
      <c r="U316" s="402"/>
      <c r="V316" s="402"/>
      <c r="W316" s="402"/>
      <c r="X316" s="402"/>
      <c r="Y316" s="402"/>
      <c r="Z316" s="402"/>
    </row>
    <row r="317" ht="14.25" customHeight="1">
      <c r="A317" s="406">
        <v>45505.0</v>
      </c>
      <c r="B317" s="863" t="s">
        <v>5005</v>
      </c>
      <c r="C317" s="863" t="s">
        <v>5006</v>
      </c>
      <c r="D317" s="867" t="s">
        <v>54</v>
      </c>
      <c r="E317" s="689" t="s">
        <v>578</v>
      </c>
      <c r="F317" s="865">
        <v>19255.54</v>
      </c>
      <c r="G317" s="413">
        <v>25048.0</v>
      </c>
      <c r="H317" s="349" t="s">
        <v>710</v>
      </c>
      <c r="I317" s="866" t="str">
        <f t="shared" si="10"/>
        <v>FULLY PAID</v>
      </c>
      <c r="J317" s="402"/>
      <c r="K317" s="402"/>
      <c r="L317" s="402"/>
      <c r="M317" s="402"/>
      <c r="N317" s="402"/>
      <c r="O317" s="402"/>
      <c r="P317" s="402"/>
      <c r="Q317" s="402"/>
      <c r="R317" s="402"/>
      <c r="S317" s="402"/>
      <c r="T317" s="402"/>
      <c r="U317" s="402"/>
      <c r="V317" s="402"/>
      <c r="W317" s="402"/>
      <c r="X317" s="402"/>
      <c r="Y317" s="402"/>
      <c r="Z317" s="402"/>
    </row>
    <row r="318" ht="14.25" customHeight="1">
      <c r="A318" s="406">
        <v>45505.0</v>
      </c>
      <c r="B318" s="863" t="s">
        <v>4958</v>
      </c>
      <c r="C318" s="863" t="s">
        <v>5007</v>
      </c>
      <c r="D318" s="867" t="s">
        <v>54</v>
      </c>
      <c r="E318" s="689" t="s">
        <v>5002</v>
      </c>
      <c r="F318" s="865">
        <v>20.78</v>
      </c>
      <c r="G318" s="403"/>
      <c r="H318" s="349" t="s">
        <v>5008</v>
      </c>
      <c r="I318" s="866" t="str">
        <f t="shared" si="10"/>
        <v>NOT PAID</v>
      </c>
      <c r="J318" s="402"/>
      <c r="K318" s="402"/>
      <c r="L318" s="402"/>
      <c r="M318" s="402"/>
      <c r="N318" s="402"/>
      <c r="O318" s="402"/>
      <c r="P318" s="402"/>
      <c r="Q318" s="402"/>
      <c r="R318" s="402"/>
      <c r="S318" s="402"/>
      <c r="T318" s="402"/>
      <c r="U318" s="402"/>
      <c r="V318" s="402"/>
      <c r="W318" s="402"/>
      <c r="X318" s="402"/>
      <c r="Y318" s="402"/>
      <c r="Z318" s="402"/>
    </row>
    <row r="319" ht="14.25" customHeight="1">
      <c r="A319" s="406">
        <v>45505.0</v>
      </c>
      <c r="B319" s="863" t="s">
        <v>4777</v>
      </c>
      <c r="C319" s="863" t="s">
        <v>4842</v>
      </c>
      <c r="D319" s="867" t="s">
        <v>54</v>
      </c>
      <c r="E319" s="689" t="s">
        <v>578</v>
      </c>
      <c r="F319" s="865">
        <v>1319.12</v>
      </c>
      <c r="G319" s="403"/>
      <c r="H319" s="349" t="s">
        <v>4968</v>
      </c>
      <c r="I319" s="866" t="str">
        <f t="shared" si="10"/>
        <v>NOT PAID</v>
      </c>
      <c r="J319" s="402"/>
      <c r="K319" s="402"/>
      <c r="L319" s="402"/>
      <c r="M319" s="402"/>
      <c r="N319" s="402"/>
      <c r="O319" s="402"/>
      <c r="P319" s="402"/>
      <c r="Q319" s="402"/>
      <c r="R319" s="402"/>
      <c r="S319" s="402"/>
      <c r="T319" s="402"/>
      <c r="U319" s="402"/>
      <c r="V319" s="402"/>
      <c r="W319" s="402"/>
      <c r="X319" s="402"/>
      <c r="Y319" s="402"/>
      <c r="Z319" s="402"/>
    </row>
    <row r="320" ht="14.25" customHeight="1">
      <c r="A320" s="406">
        <v>45505.0</v>
      </c>
      <c r="B320" s="863" t="s">
        <v>4779</v>
      </c>
      <c r="C320" s="863" t="s">
        <v>4907</v>
      </c>
      <c r="D320" s="867" t="s">
        <v>54</v>
      </c>
      <c r="E320" s="689" t="s">
        <v>578</v>
      </c>
      <c r="F320" s="865">
        <v>2682.6</v>
      </c>
      <c r="G320" s="403"/>
      <c r="H320" s="349" t="s">
        <v>4968</v>
      </c>
      <c r="I320" s="866" t="str">
        <f t="shared" si="10"/>
        <v>NOT PAID</v>
      </c>
      <c r="J320" s="402"/>
      <c r="K320" s="402"/>
      <c r="L320" s="402"/>
      <c r="M320" s="402"/>
      <c r="N320" s="402"/>
      <c r="O320" s="402"/>
      <c r="P320" s="402"/>
      <c r="Q320" s="402"/>
      <c r="R320" s="402"/>
      <c r="S320" s="402"/>
      <c r="T320" s="402"/>
      <c r="U320" s="402"/>
      <c r="V320" s="402"/>
      <c r="W320" s="402"/>
      <c r="X320" s="402"/>
      <c r="Y320" s="402"/>
      <c r="Z320" s="402"/>
    </row>
    <row r="321" ht="14.25" customHeight="1">
      <c r="A321" s="406">
        <v>45505.0</v>
      </c>
      <c r="B321" s="863" t="s">
        <v>4809</v>
      </c>
      <c r="C321" s="863" t="s">
        <v>4909</v>
      </c>
      <c r="D321" s="867" t="s">
        <v>54</v>
      </c>
      <c r="E321" s="689" t="s">
        <v>578</v>
      </c>
      <c r="F321" s="865">
        <v>5512.45</v>
      </c>
      <c r="G321" s="403"/>
      <c r="H321" s="349" t="s">
        <v>4968</v>
      </c>
      <c r="I321" s="866" t="str">
        <f t="shared" si="10"/>
        <v>NOT PAID</v>
      </c>
      <c r="J321" s="402"/>
      <c r="K321" s="402"/>
      <c r="L321" s="402"/>
      <c r="M321" s="402"/>
      <c r="N321" s="402"/>
      <c r="O321" s="402"/>
      <c r="P321" s="402"/>
      <c r="Q321" s="402"/>
      <c r="R321" s="402"/>
      <c r="S321" s="402"/>
      <c r="T321" s="402"/>
      <c r="U321" s="402"/>
      <c r="V321" s="402"/>
      <c r="W321" s="402"/>
      <c r="X321" s="402"/>
      <c r="Y321" s="402"/>
      <c r="Z321" s="402"/>
    </row>
    <row r="322" ht="14.25" customHeight="1">
      <c r="A322" s="406">
        <v>45505.0</v>
      </c>
      <c r="B322" s="863" t="s">
        <v>4960</v>
      </c>
      <c r="C322" s="863" t="s">
        <v>5009</v>
      </c>
      <c r="D322" s="867" t="s">
        <v>59</v>
      </c>
      <c r="E322" s="689" t="s">
        <v>5000</v>
      </c>
      <c r="F322" s="865">
        <v>24647.0</v>
      </c>
      <c r="G322" s="403"/>
      <c r="H322" s="349" t="s">
        <v>5010</v>
      </c>
      <c r="I322" s="866" t="str">
        <f t="shared" si="10"/>
        <v>NOT PAID</v>
      </c>
      <c r="J322" s="402"/>
      <c r="K322" s="402"/>
      <c r="L322" s="402"/>
      <c r="M322" s="402"/>
      <c r="N322" s="402"/>
      <c r="O322" s="402"/>
      <c r="P322" s="402"/>
      <c r="Q322" s="402"/>
      <c r="R322" s="402"/>
      <c r="S322" s="402"/>
      <c r="T322" s="402"/>
      <c r="U322" s="402"/>
      <c r="V322" s="402"/>
      <c r="W322" s="402"/>
      <c r="X322" s="402"/>
      <c r="Y322" s="402"/>
      <c r="Z322" s="402"/>
    </row>
    <row r="323" ht="14.25" customHeight="1">
      <c r="A323" s="406">
        <v>45505.0</v>
      </c>
      <c r="B323" s="863" t="s">
        <v>4787</v>
      </c>
      <c r="C323" s="863" t="s">
        <v>4929</v>
      </c>
      <c r="D323" s="867" t="s">
        <v>54</v>
      </c>
      <c r="E323" s="689" t="s">
        <v>5000</v>
      </c>
      <c r="F323" s="865">
        <v>2757.55</v>
      </c>
      <c r="G323" s="403"/>
      <c r="H323" s="349" t="s">
        <v>1705</v>
      </c>
      <c r="I323" s="866" t="str">
        <f t="shared" si="10"/>
        <v>NOT PAID</v>
      </c>
      <c r="J323" s="402"/>
      <c r="K323" s="402"/>
      <c r="L323" s="402"/>
      <c r="M323" s="402"/>
      <c r="N323" s="402"/>
      <c r="O323" s="402"/>
      <c r="P323" s="402"/>
      <c r="Q323" s="402"/>
      <c r="R323" s="402"/>
      <c r="S323" s="402"/>
      <c r="T323" s="402"/>
      <c r="U323" s="402"/>
      <c r="V323" s="402"/>
      <c r="W323" s="402"/>
      <c r="X323" s="402"/>
      <c r="Y323" s="402"/>
      <c r="Z323" s="402"/>
    </row>
    <row r="324" ht="14.25" customHeight="1">
      <c r="A324" s="406">
        <v>45505.0</v>
      </c>
      <c r="B324" s="863" t="s">
        <v>4791</v>
      </c>
      <c r="C324" s="863" t="s">
        <v>4912</v>
      </c>
      <c r="D324" s="867" t="s">
        <v>54</v>
      </c>
      <c r="E324" s="689" t="s">
        <v>5000</v>
      </c>
      <c r="F324" s="865">
        <v>204.0</v>
      </c>
      <c r="G324" s="413">
        <v>250.0</v>
      </c>
      <c r="H324" s="349" t="s">
        <v>267</v>
      </c>
      <c r="I324" s="866" t="str">
        <f t="shared" si="10"/>
        <v>FULLY PAID</v>
      </c>
      <c r="J324" s="402"/>
      <c r="K324" s="402"/>
      <c r="L324" s="402"/>
      <c r="M324" s="402"/>
      <c r="N324" s="402"/>
      <c r="O324" s="402"/>
      <c r="P324" s="402"/>
      <c r="Q324" s="402"/>
      <c r="R324" s="402"/>
      <c r="S324" s="402"/>
      <c r="T324" s="402"/>
      <c r="U324" s="402"/>
      <c r="V324" s="402"/>
      <c r="W324" s="402"/>
      <c r="X324" s="402"/>
      <c r="Y324" s="402"/>
      <c r="Z324" s="402"/>
    </row>
    <row r="325" ht="14.25" customHeight="1">
      <c r="A325" s="406">
        <v>45505.0</v>
      </c>
      <c r="B325" s="863" t="s">
        <v>4811</v>
      </c>
      <c r="C325" s="863" t="s">
        <v>4859</v>
      </c>
      <c r="D325" s="867" t="s">
        <v>54</v>
      </c>
      <c r="E325" s="689" t="s">
        <v>5000</v>
      </c>
      <c r="F325" s="865">
        <v>8085.55</v>
      </c>
      <c r="G325" s="403"/>
      <c r="H325" s="349" t="s">
        <v>5011</v>
      </c>
      <c r="I325" s="866" t="str">
        <f t="shared" si="10"/>
        <v>NOT PAID</v>
      </c>
      <c r="J325" s="402"/>
      <c r="K325" s="402"/>
      <c r="L325" s="402"/>
      <c r="M325" s="402"/>
      <c r="N325" s="402"/>
      <c r="O325" s="402"/>
      <c r="P325" s="402"/>
      <c r="Q325" s="402"/>
      <c r="R325" s="402"/>
      <c r="S325" s="402"/>
      <c r="T325" s="402"/>
      <c r="U325" s="402"/>
      <c r="V325" s="402"/>
      <c r="W325" s="402"/>
      <c r="X325" s="402"/>
      <c r="Y325" s="402"/>
      <c r="Z325" s="402"/>
    </row>
    <row r="326" ht="14.25" customHeight="1">
      <c r="A326" s="406">
        <v>45505.0</v>
      </c>
      <c r="B326" s="863" t="s">
        <v>4795</v>
      </c>
      <c r="C326" s="863" t="s">
        <v>5012</v>
      </c>
      <c r="D326" s="867" t="s">
        <v>54</v>
      </c>
      <c r="E326" s="689" t="s">
        <v>5002</v>
      </c>
      <c r="F326" s="865">
        <v>2530.38</v>
      </c>
      <c r="G326" s="403"/>
      <c r="H326" s="349" t="s">
        <v>4968</v>
      </c>
      <c r="I326" s="866" t="str">
        <f t="shared" si="10"/>
        <v>NOT PAID</v>
      </c>
      <c r="J326" s="402"/>
      <c r="K326" s="402"/>
      <c r="L326" s="402"/>
      <c r="M326" s="402"/>
      <c r="N326" s="402"/>
      <c r="O326" s="402"/>
      <c r="P326" s="402"/>
      <c r="Q326" s="402"/>
      <c r="R326" s="402"/>
      <c r="S326" s="402"/>
      <c r="T326" s="402"/>
      <c r="U326" s="402"/>
      <c r="V326" s="402"/>
      <c r="W326" s="402"/>
      <c r="X326" s="402"/>
      <c r="Y326" s="402"/>
      <c r="Z326" s="402"/>
    </row>
    <row r="327" ht="14.25" customHeight="1">
      <c r="A327" s="406">
        <v>45505.0</v>
      </c>
      <c r="B327" s="863" t="s">
        <v>4781</v>
      </c>
      <c r="C327" s="863" t="s">
        <v>4827</v>
      </c>
      <c r="D327" s="867" t="s">
        <v>54</v>
      </c>
      <c r="E327" s="689" t="s">
        <v>578</v>
      </c>
      <c r="F327" s="865">
        <v>28716.06</v>
      </c>
      <c r="G327" s="413">
        <v>100000.0</v>
      </c>
      <c r="H327" s="936" t="s">
        <v>5013</v>
      </c>
      <c r="I327" s="866" t="str">
        <f t="shared" si="10"/>
        <v>FULLY PAID</v>
      </c>
      <c r="J327" s="402"/>
      <c r="K327" s="402"/>
      <c r="L327" s="402"/>
      <c r="M327" s="402"/>
      <c r="N327" s="402"/>
      <c r="O327" s="402"/>
      <c r="P327" s="402"/>
      <c r="Q327" s="402"/>
      <c r="R327" s="402"/>
      <c r="S327" s="402"/>
      <c r="T327" s="402"/>
      <c r="U327" s="402"/>
      <c r="V327" s="402"/>
      <c r="W327" s="402"/>
      <c r="X327" s="402"/>
      <c r="Y327" s="402"/>
      <c r="Z327" s="402"/>
    </row>
    <row r="328" ht="14.25" customHeight="1">
      <c r="A328" s="406">
        <v>45505.0</v>
      </c>
      <c r="B328" s="863" t="s">
        <v>4998</v>
      </c>
      <c r="C328" s="863" t="s">
        <v>4997</v>
      </c>
      <c r="D328" s="867" t="s">
        <v>75</v>
      </c>
      <c r="E328" s="689" t="s">
        <v>5000</v>
      </c>
      <c r="F328" s="865">
        <v>200000.0</v>
      </c>
      <c r="G328" s="403"/>
      <c r="H328" s="349" t="s">
        <v>4968</v>
      </c>
      <c r="I328" s="866" t="str">
        <f t="shared" si="10"/>
        <v>NOT PAID</v>
      </c>
      <c r="J328" s="402"/>
      <c r="K328" s="402"/>
      <c r="L328" s="402"/>
      <c r="M328" s="402"/>
      <c r="N328" s="402"/>
      <c r="O328" s="402"/>
      <c r="P328" s="402"/>
      <c r="Q328" s="402"/>
      <c r="R328" s="402"/>
      <c r="S328" s="402"/>
      <c r="T328" s="402"/>
      <c r="U328" s="402"/>
      <c r="V328" s="402"/>
      <c r="W328" s="402"/>
      <c r="X328" s="402"/>
      <c r="Y328" s="402"/>
      <c r="Z328" s="402"/>
    </row>
    <row r="329" ht="14.25" customHeight="1">
      <c r="A329" s="406">
        <v>45505.0</v>
      </c>
      <c r="B329" s="863" t="s">
        <v>4800</v>
      </c>
      <c r="C329" s="863" t="s">
        <v>758</v>
      </c>
      <c r="D329" s="867" t="s">
        <v>59</v>
      </c>
      <c r="E329" s="689" t="s">
        <v>5002</v>
      </c>
      <c r="F329" s="865">
        <v>206288.68</v>
      </c>
      <c r="G329" s="413">
        <v>33740.0</v>
      </c>
      <c r="H329" s="349" t="s">
        <v>5014</v>
      </c>
      <c r="I329" s="866" t="str">
        <f t="shared" si="10"/>
        <v>PARTIALLY PAID</v>
      </c>
      <c r="J329" s="402"/>
      <c r="K329" s="402"/>
      <c r="L329" s="402"/>
      <c r="M329" s="402"/>
      <c r="N329" s="402"/>
      <c r="O329" s="402"/>
      <c r="P329" s="402"/>
      <c r="Q329" s="402"/>
      <c r="R329" s="402"/>
      <c r="S329" s="402"/>
      <c r="T329" s="402"/>
      <c r="U329" s="402"/>
      <c r="V329" s="402"/>
      <c r="W329" s="402"/>
      <c r="X329" s="402"/>
      <c r="Y329" s="402"/>
      <c r="Z329" s="402"/>
    </row>
    <row r="330" ht="14.25" customHeight="1">
      <c r="A330" s="406">
        <v>45505.0</v>
      </c>
      <c r="B330" s="863" t="s">
        <v>4803</v>
      </c>
      <c r="C330" s="863" t="s">
        <v>4975</v>
      </c>
      <c r="D330" s="867" t="s">
        <v>54</v>
      </c>
      <c r="E330" s="689" t="s">
        <v>5000</v>
      </c>
      <c r="F330" s="865">
        <v>15433.88</v>
      </c>
      <c r="G330" s="403"/>
      <c r="H330" s="349" t="s">
        <v>952</v>
      </c>
      <c r="I330" s="866" t="str">
        <f t="shared" si="10"/>
        <v>NOT PAID</v>
      </c>
      <c r="J330" s="402"/>
      <c r="K330" s="402"/>
      <c r="L330" s="402"/>
      <c r="M330" s="402"/>
      <c r="N330" s="402"/>
      <c r="O330" s="402"/>
      <c r="P330" s="402"/>
      <c r="Q330" s="402"/>
      <c r="R330" s="402"/>
      <c r="S330" s="402"/>
      <c r="T330" s="402"/>
      <c r="U330" s="402"/>
      <c r="V330" s="402"/>
      <c r="W330" s="402"/>
      <c r="X330" s="402"/>
      <c r="Y330" s="402"/>
      <c r="Z330" s="402"/>
    </row>
    <row r="331" ht="14.25" customHeight="1">
      <c r="A331" s="406">
        <v>45505.0</v>
      </c>
      <c r="B331" s="863" t="s">
        <v>4900</v>
      </c>
      <c r="C331" s="863" t="s">
        <v>4901</v>
      </c>
      <c r="D331" s="867" t="s">
        <v>54</v>
      </c>
      <c r="E331" s="689" t="s">
        <v>5000</v>
      </c>
      <c r="F331" s="865">
        <v>25109.04</v>
      </c>
      <c r="G331" s="413">
        <v>17530.0</v>
      </c>
      <c r="H331" s="349" t="s">
        <v>710</v>
      </c>
      <c r="I331" s="866" t="str">
        <f t="shared" si="10"/>
        <v>PARTIALLY PAID</v>
      </c>
      <c r="J331" s="402"/>
      <c r="K331" s="402"/>
      <c r="L331" s="402"/>
      <c r="M331" s="402"/>
      <c r="N331" s="402"/>
      <c r="O331" s="402"/>
      <c r="P331" s="402"/>
      <c r="Q331" s="402"/>
      <c r="R331" s="402"/>
      <c r="S331" s="402"/>
      <c r="T331" s="402"/>
      <c r="U331" s="402"/>
      <c r="V331" s="402"/>
      <c r="W331" s="402"/>
      <c r="X331" s="402"/>
      <c r="Y331" s="402"/>
      <c r="Z331" s="402"/>
    </row>
    <row r="332" ht="14.25" customHeight="1">
      <c r="A332" s="406">
        <v>45505.0</v>
      </c>
      <c r="B332" s="863" t="s">
        <v>4775</v>
      </c>
      <c r="C332" s="863" t="s">
        <v>4922</v>
      </c>
      <c r="D332" s="867" t="s">
        <v>59</v>
      </c>
      <c r="E332" s="689" t="s">
        <v>5002</v>
      </c>
      <c r="F332" s="865">
        <v>164233.39</v>
      </c>
      <c r="G332" s="403"/>
      <c r="H332" s="349" t="s">
        <v>4968</v>
      </c>
      <c r="I332" s="866" t="str">
        <f t="shared" si="10"/>
        <v>NOT PAID</v>
      </c>
      <c r="J332" s="402"/>
      <c r="K332" s="402"/>
      <c r="L332" s="402"/>
      <c r="M332" s="402"/>
      <c r="N332" s="402"/>
      <c r="O332" s="402"/>
      <c r="P332" s="402"/>
      <c r="Q332" s="402"/>
      <c r="R332" s="402"/>
      <c r="S332" s="402"/>
      <c r="T332" s="402"/>
      <c r="U332" s="402"/>
      <c r="V332" s="402"/>
      <c r="W332" s="402"/>
      <c r="X332" s="402"/>
      <c r="Y332" s="402"/>
      <c r="Z332" s="402"/>
    </row>
    <row r="333" ht="14.25" customHeight="1">
      <c r="A333" s="406">
        <v>45505.0</v>
      </c>
      <c r="B333" s="863" t="s">
        <v>4783</v>
      </c>
      <c r="C333" s="863" t="s">
        <v>4920</v>
      </c>
      <c r="D333" s="867" t="s">
        <v>54</v>
      </c>
      <c r="E333" s="689" t="s">
        <v>5002</v>
      </c>
      <c r="F333" s="865">
        <v>140625.49</v>
      </c>
      <c r="G333" s="403"/>
      <c r="H333" s="349" t="s">
        <v>4968</v>
      </c>
      <c r="I333" s="866" t="str">
        <f t="shared" si="10"/>
        <v>NOT PAID</v>
      </c>
      <c r="J333" s="402"/>
      <c r="K333" s="402"/>
      <c r="L333" s="402"/>
      <c r="M333" s="402"/>
      <c r="N333" s="402"/>
      <c r="O333" s="402"/>
      <c r="P333" s="402"/>
      <c r="Q333" s="402"/>
      <c r="R333" s="402"/>
      <c r="S333" s="402"/>
      <c r="T333" s="402"/>
      <c r="U333" s="402"/>
      <c r="V333" s="402"/>
      <c r="W333" s="402"/>
      <c r="X333" s="402"/>
      <c r="Y333" s="402"/>
      <c r="Z333" s="402"/>
    </row>
    <row r="334" ht="14.25" customHeight="1">
      <c r="A334" s="406">
        <v>45505.0</v>
      </c>
      <c r="B334" s="863" t="s">
        <v>4793</v>
      </c>
      <c r="C334" s="863" t="s">
        <v>4891</v>
      </c>
      <c r="D334" s="867" t="s">
        <v>54</v>
      </c>
      <c r="E334" s="689" t="s">
        <v>5002</v>
      </c>
      <c r="F334" s="865">
        <v>29876.54</v>
      </c>
      <c r="G334" s="403"/>
      <c r="H334" s="349" t="s">
        <v>4968</v>
      </c>
      <c r="I334" s="866" t="str">
        <f t="shared" si="10"/>
        <v>NOT PAID</v>
      </c>
      <c r="J334" s="402"/>
      <c r="K334" s="402"/>
      <c r="L334" s="402"/>
      <c r="M334" s="402"/>
      <c r="N334" s="402"/>
      <c r="O334" s="402"/>
      <c r="P334" s="402"/>
      <c r="Q334" s="402"/>
      <c r="R334" s="402"/>
      <c r="S334" s="402"/>
      <c r="T334" s="402"/>
      <c r="U334" s="402"/>
      <c r="V334" s="402"/>
      <c r="W334" s="402"/>
      <c r="X334" s="402"/>
      <c r="Y334" s="402"/>
      <c r="Z334" s="402"/>
    </row>
    <row r="335" ht="14.25" customHeight="1">
      <c r="A335" s="406">
        <v>45505.0</v>
      </c>
      <c r="B335" s="863" t="s">
        <v>4990</v>
      </c>
      <c r="C335" s="863" t="s">
        <v>4991</v>
      </c>
      <c r="D335" s="867" t="s">
        <v>54</v>
      </c>
      <c r="E335" s="689" t="s">
        <v>5002</v>
      </c>
      <c r="F335" s="865">
        <v>69649.65</v>
      </c>
      <c r="G335" s="413">
        <v>33000.0</v>
      </c>
      <c r="H335" s="349" t="s">
        <v>4968</v>
      </c>
      <c r="I335" s="866" t="str">
        <f t="shared" si="10"/>
        <v>PARTIALLY PAID</v>
      </c>
      <c r="J335" s="402"/>
      <c r="K335" s="402"/>
      <c r="L335" s="402"/>
      <c r="M335" s="402"/>
      <c r="N335" s="402"/>
      <c r="O335" s="402"/>
      <c r="P335" s="402"/>
      <c r="Q335" s="402"/>
      <c r="R335" s="402"/>
      <c r="S335" s="402"/>
      <c r="T335" s="402"/>
      <c r="U335" s="402"/>
      <c r="V335" s="402"/>
      <c r="W335" s="402"/>
      <c r="X335" s="402"/>
      <c r="Y335" s="402"/>
      <c r="Z335" s="402"/>
    </row>
    <row r="336" ht="14.25" customHeight="1">
      <c r="A336" s="406">
        <v>45505.0</v>
      </c>
      <c r="B336" s="863" t="s">
        <v>4816</v>
      </c>
      <c r="C336" s="863" t="s">
        <v>5015</v>
      </c>
      <c r="D336" s="867" t="s">
        <v>54</v>
      </c>
      <c r="E336" s="689" t="s">
        <v>5002</v>
      </c>
      <c r="F336" s="865">
        <v>15725.86</v>
      </c>
      <c r="G336" s="403"/>
      <c r="H336" s="349" t="s">
        <v>4968</v>
      </c>
      <c r="I336" s="866" t="str">
        <f t="shared" si="10"/>
        <v>NOT PAID</v>
      </c>
      <c r="J336" s="402"/>
      <c r="K336" s="402"/>
      <c r="L336" s="402"/>
      <c r="M336" s="402"/>
      <c r="N336" s="402"/>
      <c r="O336" s="402"/>
      <c r="P336" s="402"/>
      <c r="Q336" s="402"/>
      <c r="R336" s="402"/>
      <c r="S336" s="402"/>
      <c r="T336" s="402"/>
      <c r="U336" s="402"/>
      <c r="V336" s="402"/>
      <c r="W336" s="402"/>
      <c r="X336" s="402"/>
      <c r="Y336" s="402"/>
      <c r="Z336" s="402"/>
    </row>
    <row r="337" ht="14.25" customHeight="1">
      <c r="A337" s="406">
        <v>45505.0</v>
      </c>
      <c r="B337" s="863" t="s">
        <v>4818</v>
      </c>
      <c r="C337" s="863" t="s">
        <v>4859</v>
      </c>
      <c r="D337" s="867" t="s">
        <v>75</v>
      </c>
      <c r="E337" s="689" t="s">
        <v>5002</v>
      </c>
      <c r="F337" s="865">
        <v>154964.13</v>
      </c>
      <c r="G337" s="413">
        <v>154965.0</v>
      </c>
      <c r="H337" s="349" t="s">
        <v>710</v>
      </c>
      <c r="I337" s="866" t="str">
        <f t="shared" si="10"/>
        <v>FULLY PAID</v>
      </c>
      <c r="J337" s="402"/>
      <c r="K337" s="402"/>
      <c r="L337" s="402"/>
      <c r="M337" s="402"/>
      <c r="N337" s="402"/>
      <c r="O337" s="402"/>
      <c r="P337" s="402"/>
      <c r="Q337" s="402"/>
      <c r="R337" s="402"/>
      <c r="S337" s="402"/>
      <c r="T337" s="402"/>
      <c r="U337" s="402"/>
      <c r="V337" s="402"/>
      <c r="W337" s="402"/>
      <c r="X337" s="402"/>
      <c r="Y337" s="402"/>
      <c r="Z337" s="402"/>
    </row>
    <row r="338" ht="14.25" customHeight="1">
      <c r="A338" s="406">
        <v>45505.0</v>
      </c>
      <c r="B338" s="863" t="s">
        <v>4983</v>
      </c>
      <c r="C338" s="863" t="s">
        <v>4860</v>
      </c>
      <c r="D338" s="867" t="s">
        <v>54</v>
      </c>
      <c r="E338" s="689" t="s">
        <v>5002</v>
      </c>
      <c r="F338" s="865">
        <v>47569.15</v>
      </c>
      <c r="G338" s="403"/>
      <c r="H338" s="349" t="s">
        <v>4968</v>
      </c>
      <c r="I338" s="866" t="str">
        <f t="shared" si="10"/>
        <v>NOT PAID</v>
      </c>
      <c r="J338" s="402"/>
      <c r="K338" s="402"/>
      <c r="L338" s="402"/>
      <c r="M338" s="402"/>
      <c r="N338" s="402"/>
      <c r="O338" s="402"/>
      <c r="P338" s="402"/>
      <c r="Q338" s="402"/>
      <c r="R338" s="402"/>
      <c r="S338" s="402"/>
      <c r="T338" s="402"/>
      <c r="U338" s="402"/>
      <c r="V338" s="402"/>
      <c r="W338" s="402"/>
      <c r="X338" s="402"/>
      <c r="Y338" s="402"/>
      <c r="Z338" s="402"/>
    </row>
    <row r="339" ht="14.25" customHeight="1">
      <c r="A339" s="406"/>
      <c r="B339" s="863"/>
      <c r="C339" s="402"/>
      <c r="D339" s="402"/>
      <c r="E339" s="868"/>
      <c r="F339" s="587"/>
      <c r="G339" s="403"/>
      <c r="H339" s="402"/>
      <c r="I339" s="866" t="str">
        <f t="shared" si="10"/>
        <v>FULLY PAID</v>
      </c>
      <c r="J339" s="402"/>
      <c r="K339" s="402"/>
      <c r="L339" s="402"/>
      <c r="M339" s="402"/>
      <c r="N339" s="402"/>
      <c r="O339" s="402"/>
      <c r="P339" s="402"/>
      <c r="Q339" s="402"/>
      <c r="R339" s="402"/>
      <c r="S339" s="402"/>
      <c r="T339" s="402"/>
      <c r="U339" s="402"/>
      <c r="V339" s="402"/>
      <c r="W339" s="402"/>
      <c r="X339" s="402"/>
      <c r="Y339" s="402"/>
      <c r="Z339" s="402"/>
    </row>
    <row r="340" ht="14.25" customHeight="1">
      <c r="A340" s="402"/>
      <c r="B340" s="500"/>
      <c r="C340" s="402"/>
      <c r="D340" s="402"/>
      <c r="E340" s="868"/>
      <c r="F340" s="587"/>
      <c r="G340" s="403"/>
      <c r="H340" s="402"/>
      <c r="I340" s="866" t="str">
        <f t="shared" si="10"/>
        <v>FULLY PAID</v>
      </c>
      <c r="J340" s="402"/>
      <c r="K340" s="402"/>
      <c r="L340" s="402"/>
      <c r="M340" s="402"/>
      <c r="N340" s="402"/>
      <c r="O340" s="402"/>
      <c r="P340" s="402"/>
      <c r="Q340" s="402"/>
      <c r="R340" s="402"/>
      <c r="S340" s="402"/>
      <c r="T340" s="402"/>
      <c r="U340" s="402"/>
      <c r="V340" s="402"/>
      <c r="W340" s="402"/>
      <c r="X340" s="402"/>
      <c r="Y340" s="402"/>
      <c r="Z340" s="402"/>
    </row>
    <row r="341" ht="14.25" customHeight="1">
      <c r="A341" s="697">
        <v>45505.0</v>
      </c>
      <c r="B341" s="946" t="s">
        <v>4781</v>
      </c>
      <c r="C341" s="946" t="s">
        <v>4827</v>
      </c>
      <c r="D341" s="946" t="s">
        <v>54</v>
      </c>
      <c r="E341" s="947" t="s">
        <v>578</v>
      </c>
      <c r="F341" s="948">
        <v>217051.52</v>
      </c>
      <c r="G341" s="949"/>
      <c r="H341" s="936" t="s">
        <v>5016</v>
      </c>
      <c r="I341" s="866" t="str">
        <f t="shared" si="10"/>
        <v>NOT PAID</v>
      </c>
      <c r="J341" s="402"/>
      <c r="K341" s="402"/>
      <c r="L341" s="402"/>
      <c r="M341" s="402"/>
      <c r="N341" s="402"/>
      <c r="O341" s="402"/>
      <c r="P341" s="402"/>
      <c r="Q341" s="402"/>
      <c r="R341" s="402"/>
      <c r="S341" s="402"/>
      <c r="T341" s="402"/>
      <c r="U341" s="402"/>
      <c r="V341" s="402"/>
      <c r="W341" s="402"/>
      <c r="X341" s="402"/>
      <c r="Y341" s="402"/>
      <c r="Z341" s="402"/>
    </row>
    <row r="342" ht="14.25" customHeight="1">
      <c r="A342" s="697">
        <v>45505.0</v>
      </c>
      <c r="B342" s="946" t="s">
        <v>4830</v>
      </c>
      <c r="C342" s="946" t="s">
        <v>4831</v>
      </c>
      <c r="D342" s="950" t="s">
        <v>1030</v>
      </c>
      <c r="E342" s="947" t="s">
        <v>578</v>
      </c>
      <c r="F342" s="951">
        <v>78322.73</v>
      </c>
      <c r="G342" s="949"/>
      <c r="H342" s="936" t="s">
        <v>5017</v>
      </c>
      <c r="I342" s="866" t="str">
        <f t="shared" si="10"/>
        <v>NOT PAID</v>
      </c>
      <c r="J342" s="402"/>
      <c r="K342" s="402"/>
      <c r="L342" s="402"/>
      <c r="M342" s="402"/>
      <c r="N342" s="402"/>
      <c r="O342" s="402"/>
      <c r="P342" s="402"/>
      <c r="Q342" s="402"/>
      <c r="R342" s="402"/>
      <c r="S342" s="402"/>
      <c r="T342" s="402"/>
      <c r="U342" s="402"/>
      <c r="V342" s="402"/>
      <c r="W342" s="402"/>
      <c r="X342" s="402"/>
      <c r="Y342" s="402"/>
      <c r="Z342" s="402"/>
    </row>
    <row r="343" ht="14.25" customHeight="1">
      <c r="A343" s="697">
        <v>45505.0</v>
      </c>
      <c r="B343" s="946" t="s">
        <v>4547</v>
      </c>
      <c r="C343" s="946" t="s">
        <v>4836</v>
      </c>
      <c r="D343" s="946" t="s">
        <v>59</v>
      </c>
      <c r="E343" s="947" t="s">
        <v>578</v>
      </c>
      <c r="F343" s="952">
        <v>635602.51</v>
      </c>
      <c r="G343" s="949"/>
      <c r="H343" s="936" t="s">
        <v>5018</v>
      </c>
      <c r="I343" s="866" t="str">
        <f t="shared" si="10"/>
        <v>NOT PAID</v>
      </c>
      <c r="J343" s="402"/>
      <c r="K343" s="402"/>
      <c r="L343" s="402"/>
      <c r="M343" s="402"/>
      <c r="N343" s="402"/>
      <c r="O343" s="402"/>
      <c r="P343" s="402"/>
      <c r="Q343" s="402"/>
      <c r="R343" s="402"/>
      <c r="S343" s="402"/>
      <c r="T343" s="402"/>
      <c r="U343" s="402"/>
      <c r="V343" s="402"/>
      <c r="W343" s="402"/>
      <c r="X343" s="402"/>
      <c r="Y343" s="402"/>
      <c r="Z343" s="402"/>
    </row>
    <row r="344" ht="14.25" customHeight="1">
      <c r="A344" s="697">
        <v>45505.0</v>
      </c>
      <c r="B344" s="946" t="s">
        <v>4919</v>
      </c>
      <c r="C344" s="946" t="s">
        <v>4945</v>
      </c>
      <c r="D344" s="946" t="s">
        <v>54</v>
      </c>
      <c r="E344" s="947" t="s">
        <v>578</v>
      </c>
      <c r="F344" s="953">
        <v>306000.0</v>
      </c>
      <c r="G344" s="949"/>
      <c r="H344" s="936" t="s">
        <v>5019</v>
      </c>
      <c r="I344" s="866" t="str">
        <f t="shared" si="10"/>
        <v>NOT PAID</v>
      </c>
      <c r="J344" s="402"/>
      <c r="K344" s="402"/>
      <c r="L344" s="402"/>
      <c r="M344" s="402"/>
      <c r="N344" s="402"/>
      <c r="O344" s="402"/>
      <c r="P344" s="402"/>
      <c r="Q344" s="402"/>
      <c r="R344" s="402"/>
      <c r="S344" s="402"/>
      <c r="T344" s="402"/>
      <c r="U344" s="402"/>
      <c r="V344" s="402"/>
      <c r="W344" s="402"/>
      <c r="X344" s="402"/>
      <c r="Y344" s="402"/>
      <c r="Z344" s="402"/>
    </row>
    <row r="345" ht="14.25" customHeight="1">
      <c r="A345" s="697">
        <v>45505.0</v>
      </c>
      <c r="B345" s="946" t="s">
        <v>5020</v>
      </c>
      <c r="C345" s="946" t="s">
        <v>5021</v>
      </c>
      <c r="D345" s="946" t="s">
        <v>59</v>
      </c>
      <c r="E345" s="947" t="s">
        <v>578</v>
      </c>
      <c r="F345" s="954">
        <v>2021250.0</v>
      </c>
      <c r="G345" s="949"/>
      <c r="H345" s="936" t="s">
        <v>5022</v>
      </c>
      <c r="I345" s="866" t="str">
        <f t="shared" si="10"/>
        <v>NOT PAID</v>
      </c>
      <c r="J345" s="402"/>
      <c r="K345" s="402"/>
      <c r="L345" s="402"/>
      <c r="M345" s="402"/>
      <c r="N345" s="402"/>
      <c r="O345" s="402"/>
      <c r="P345" s="402"/>
      <c r="Q345" s="402"/>
      <c r="R345" s="402"/>
      <c r="S345" s="402"/>
      <c r="T345" s="402"/>
      <c r="U345" s="402"/>
      <c r="V345" s="402"/>
      <c r="W345" s="402"/>
      <c r="X345" s="402"/>
      <c r="Y345" s="402"/>
      <c r="Z345" s="402"/>
    </row>
    <row r="346" ht="14.25" customHeight="1">
      <c r="A346" s="402"/>
      <c r="B346" s="500"/>
      <c r="C346" s="402"/>
      <c r="D346" s="402"/>
      <c r="E346" s="868"/>
      <c r="F346" s="587"/>
      <c r="G346" s="403"/>
      <c r="H346" s="402"/>
      <c r="I346" s="866" t="str">
        <f t="shared" si="10"/>
        <v>FULLY PAID</v>
      </c>
      <c r="J346" s="402"/>
      <c r="K346" s="402"/>
      <c r="L346" s="402"/>
      <c r="M346" s="402"/>
      <c r="N346" s="402"/>
      <c r="O346" s="402"/>
      <c r="P346" s="402"/>
      <c r="Q346" s="402"/>
      <c r="R346" s="402"/>
      <c r="S346" s="402"/>
      <c r="T346" s="402"/>
      <c r="U346" s="402"/>
      <c r="V346" s="402"/>
      <c r="W346" s="402"/>
      <c r="X346" s="402"/>
      <c r="Y346" s="402"/>
      <c r="Z346" s="402"/>
    </row>
    <row r="347" ht="14.25" customHeight="1">
      <c r="A347" s="402"/>
      <c r="B347" s="500"/>
      <c r="C347" s="402"/>
      <c r="D347" s="402"/>
      <c r="E347" s="868"/>
      <c r="F347" s="587"/>
      <c r="G347" s="403"/>
      <c r="H347" s="402"/>
      <c r="I347" s="866" t="str">
        <f t="shared" si="10"/>
        <v>FULLY PAID</v>
      </c>
      <c r="J347" s="402"/>
      <c r="K347" s="402"/>
      <c r="L347" s="402"/>
      <c r="M347" s="402"/>
      <c r="N347" s="402"/>
      <c r="O347" s="402"/>
      <c r="P347" s="402"/>
      <c r="Q347" s="402"/>
      <c r="R347" s="402"/>
      <c r="S347" s="402"/>
      <c r="T347" s="402"/>
      <c r="U347" s="402"/>
      <c r="V347" s="402"/>
      <c r="W347" s="402"/>
      <c r="X347" s="402"/>
      <c r="Y347" s="402"/>
      <c r="Z347" s="402"/>
    </row>
    <row r="348" ht="14.25" customHeight="1">
      <c r="A348" s="402"/>
      <c r="B348" s="500"/>
      <c r="C348" s="402"/>
      <c r="D348" s="402"/>
      <c r="E348" s="868"/>
      <c r="F348" s="587"/>
      <c r="G348" s="403"/>
      <c r="H348" s="402"/>
      <c r="I348" s="866" t="str">
        <f t="shared" si="10"/>
        <v>FULLY PAID</v>
      </c>
      <c r="J348" s="402"/>
      <c r="K348" s="402"/>
      <c r="L348" s="402"/>
      <c r="M348" s="402"/>
      <c r="N348" s="402"/>
      <c r="O348" s="402"/>
      <c r="P348" s="402"/>
      <c r="Q348" s="402"/>
      <c r="R348" s="402"/>
      <c r="S348" s="402"/>
      <c r="T348" s="402"/>
      <c r="U348" s="402"/>
      <c r="V348" s="402"/>
      <c r="W348" s="402"/>
      <c r="X348" s="402"/>
      <c r="Y348" s="402"/>
      <c r="Z348" s="402"/>
    </row>
    <row r="349" ht="14.25" customHeight="1">
      <c r="A349" s="406"/>
      <c r="B349" s="897" t="s">
        <v>39</v>
      </c>
      <c r="C349" s="896" t="s">
        <v>48</v>
      </c>
      <c r="D349" s="896" t="s">
        <v>49</v>
      </c>
      <c r="E349" s="898" t="s">
        <v>50</v>
      </c>
      <c r="F349" s="899" t="s">
        <v>2</v>
      </c>
      <c r="G349" s="896" t="s">
        <v>44</v>
      </c>
      <c r="H349" s="896" t="s">
        <v>45</v>
      </c>
      <c r="I349" s="866" t="str">
        <f t="shared" si="10"/>
        <v>FULLY PAID</v>
      </c>
      <c r="J349" s="402"/>
      <c r="K349" s="402"/>
      <c r="L349" s="402"/>
      <c r="M349" s="402"/>
      <c r="N349" s="402"/>
      <c r="O349" s="402"/>
      <c r="P349" s="402"/>
      <c r="Q349" s="402"/>
      <c r="R349" s="402"/>
      <c r="S349" s="402"/>
      <c r="T349" s="402"/>
      <c r="U349" s="402"/>
      <c r="V349" s="402"/>
      <c r="W349" s="402"/>
      <c r="X349" s="402"/>
      <c r="Y349" s="402"/>
      <c r="Z349" s="402"/>
    </row>
    <row r="350" ht="14.25" customHeight="1">
      <c r="A350" s="406">
        <v>45506.0</v>
      </c>
      <c r="B350" s="863" t="s">
        <v>4939</v>
      </c>
      <c r="C350" s="863" t="s">
        <v>4932</v>
      </c>
      <c r="D350" s="867" t="s">
        <v>54</v>
      </c>
      <c r="E350" s="689" t="s">
        <v>5000</v>
      </c>
      <c r="F350" s="865">
        <v>19186.66</v>
      </c>
      <c r="G350" s="403"/>
      <c r="H350" s="349" t="s">
        <v>5001</v>
      </c>
      <c r="I350" s="866" t="str">
        <f t="shared" si="10"/>
        <v>NOT PAID</v>
      </c>
      <c r="J350" s="402"/>
      <c r="K350" s="402"/>
      <c r="L350" s="402"/>
      <c r="M350" s="402"/>
      <c r="N350" s="402"/>
      <c r="O350" s="402"/>
      <c r="P350" s="402"/>
      <c r="Q350" s="402"/>
      <c r="R350" s="402"/>
      <c r="S350" s="402"/>
      <c r="T350" s="402"/>
      <c r="U350" s="402"/>
      <c r="V350" s="402"/>
      <c r="W350" s="402"/>
      <c r="X350" s="402"/>
      <c r="Y350" s="402"/>
      <c r="Z350" s="402"/>
    </row>
    <row r="351" ht="14.25" customHeight="1">
      <c r="A351" s="406">
        <v>45506.0</v>
      </c>
      <c r="B351" s="863" t="s">
        <v>4898</v>
      </c>
      <c r="C351" s="863" t="s">
        <v>4899</v>
      </c>
      <c r="D351" s="867" t="s">
        <v>54</v>
      </c>
      <c r="E351" s="689" t="s">
        <v>5002</v>
      </c>
      <c r="F351" s="865">
        <v>949.04</v>
      </c>
      <c r="G351" s="403"/>
      <c r="H351" s="349" t="s">
        <v>4968</v>
      </c>
      <c r="I351" s="866" t="str">
        <f t="shared" si="10"/>
        <v>NOT PAID</v>
      </c>
      <c r="J351" s="402"/>
      <c r="K351" s="402"/>
      <c r="L351" s="402"/>
      <c r="M351" s="402"/>
      <c r="N351" s="402"/>
      <c r="O351" s="402"/>
      <c r="P351" s="402"/>
      <c r="Q351" s="402"/>
      <c r="R351" s="402"/>
      <c r="S351" s="402"/>
      <c r="T351" s="402"/>
      <c r="U351" s="402"/>
      <c r="V351" s="402"/>
      <c r="W351" s="402"/>
      <c r="X351" s="402"/>
      <c r="Y351" s="402"/>
      <c r="Z351" s="402"/>
    </row>
    <row r="352" ht="14.25" customHeight="1">
      <c r="A352" s="406">
        <v>45506.0</v>
      </c>
      <c r="B352" s="863" t="s">
        <v>4933</v>
      </c>
      <c r="C352" s="863" t="s">
        <v>4848</v>
      </c>
      <c r="D352" s="867" t="s">
        <v>59</v>
      </c>
      <c r="E352" s="689" t="s">
        <v>5002</v>
      </c>
      <c r="F352" s="865">
        <v>371522.39</v>
      </c>
      <c r="G352" s="403"/>
      <c r="H352" s="349" t="s">
        <v>5023</v>
      </c>
      <c r="I352" s="866" t="str">
        <f t="shared" si="10"/>
        <v>NOT PAID</v>
      </c>
      <c r="J352" s="402"/>
      <c r="K352" s="402"/>
      <c r="L352" s="402"/>
      <c r="M352" s="402"/>
      <c r="N352" s="402"/>
      <c r="O352" s="402"/>
      <c r="P352" s="402"/>
      <c r="Q352" s="402"/>
      <c r="R352" s="402"/>
      <c r="S352" s="402"/>
      <c r="T352" s="402"/>
      <c r="U352" s="402"/>
      <c r="V352" s="402"/>
      <c r="W352" s="402"/>
      <c r="X352" s="402"/>
      <c r="Y352" s="402"/>
      <c r="Z352" s="402"/>
    </row>
    <row r="353" ht="14.25" customHeight="1">
      <c r="A353" s="406">
        <v>45506.0</v>
      </c>
      <c r="B353" s="863" t="s">
        <v>4885</v>
      </c>
      <c r="C353" s="863" t="s">
        <v>4886</v>
      </c>
      <c r="D353" s="867" t="s">
        <v>54</v>
      </c>
      <c r="E353" s="689" t="s">
        <v>5002</v>
      </c>
      <c r="F353" s="865">
        <v>1404.29</v>
      </c>
      <c r="G353" s="403"/>
      <c r="H353" s="349" t="s">
        <v>4968</v>
      </c>
      <c r="I353" s="866" t="str">
        <f t="shared" si="10"/>
        <v>NOT PAID</v>
      </c>
      <c r="J353" s="402"/>
      <c r="K353" s="402"/>
      <c r="L353" s="402"/>
      <c r="M353" s="402"/>
      <c r="N353" s="402"/>
      <c r="O353" s="402"/>
      <c r="P353" s="402"/>
      <c r="Q353" s="402"/>
      <c r="R353" s="402"/>
      <c r="S353" s="402"/>
      <c r="T353" s="402"/>
      <c r="U353" s="402"/>
      <c r="V353" s="402"/>
      <c r="W353" s="402"/>
      <c r="X353" s="402"/>
      <c r="Y353" s="402"/>
      <c r="Z353" s="402"/>
    </row>
    <row r="354" ht="14.25" customHeight="1">
      <c r="A354" s="406">
        <v>45506.0</v>
      </c>
      <c r="B354" s="863" t="s">
        <v>4773</v>
      </c>
      <c r="C354" s="863" t="s">
        <v>4906</v>
      </c>
      <c r="D354" s="867" t="s">
        <v>54</v>
      </c>
      <c r="E354" s="689" t="s">
        <v>5002</v>
      </c>
      <c r="F354" s="865">
        <v>846.5</v>
      </c>
      <c r="G354" s="403"/>
      <c r="H354" s="349" t="s">
        <v>4968</v>
      </c>
      <c r="I354" s="866" t="str">
        <f t="shared" si="10"/>
        <v>NOT PAID</v>
      </c>
      <c r="J354" s="402"/>
      <c r="K354" s="402"/>
      <c r="L354" s="402"/>
      <c r="M354" s="402"/>
      <c r="N354" s="402"/>
      <c r="O354" s="402"/>
      <c r="P354" s="402"/>
      <c r="Q354" s="402"/>
      <c r="R354" s="402"/>
      <c r="S354" s="402"/>
      <c r="T354" s="402"/>
      <c r="U354" s="402"/>
      <c r="V354" s="402"/>
      <c r="W354" s="402"/>
      <c r="X354" s="402"/>
      <c r="Y354" s="402"/>
      <c r="Z354" s="402"/>
    </row>
    <row r="355" ht="14.25" customHeight="1">
      <c r="A355" s="406">
        <v>45506.0</v>
      </c>
      <c r="B355" s="863" t="s">
        <v>4958</v>
      </c>
      <c r="C355" s="863" t="s">
        <v>5007</v>
      </c>
      <c r="D355" s="867" t="s">
        <v>54</v>
      </c>
      <c r="E355" s="689" t="s">
        <v>5002</v>
      </c>
      <c r="F355" s="865">
        <v>20.78</v>
      </c>
      <c r="G355" s="403"/>
      <c r="H355" s="349" t="s">
        <v>4968</v>
      </c>
      <c r="I355" s="866" t="str">
        <f t="shared" si="10"/>
        <v>NOT PAID</v>
      </c>
      <c r="J355" s="402"/>
      <c r="K355" s="402"/>
      <c r="L355" s="402"/>
      <c r="M355" s="402"/>
      <c r="N355" s="402"/>
      <c r="O355" s="402"/>
      <c r="P355" s="402"/>
      <c r="Q355" s="402"/>
      <c r="R355" s="402"/>
      <c r="S355" s="402"/>
      <c r="T355" s="402"/>
      <c r="U355" s="402"/>
      <c r="V355" s="402"/>
      <c r="W355" s="402"/>
      <c r="X355" s="402"/>
      <c r="Y355" s="402"/>
      <c r="Z355" s="402"/>
    </row>
    <row r="356" ht="14.25" customHeight="1">
      <c r="A356" s="406">
        <v>45506.0</v>
      </c>
      <c r="B356" s="863" t="s">
        <v>4777</v>
      </c>
      <c r="C356" s="863" t="s">
        <v>4842</v>
      </c>
      <c r="D356" s="867" t="s">
        <v>54</v>
      </c>
      <c r="E356" s="689" t="s">
        <v>578</v>
      </c>
      <c r="F356" s="865">
        <v>1319.12</v>
      </c>
      <c r="G356" s="403"/>
      <c r="H356" s="349" t="s">
        <v>4968</v>
      </c>
      <c r="I356" s="866" t="str">
        <f t="shared" si="10"/>
        <v>NOT PAID</v>
      </c>
      <c r="J356" s="402"/>
      <c r="K356" s="402"/>
      <c r="L356" s="402"/>
      <c r="M356" s="402"/>
      <c r="N356" s="402"/>
      <c r="O356" s="402"/>
      <c r="P356" s="402"/>
      <c r="Q356" s="402"/>
      <c r="R356" s="402"/>
      <c r="S356" s="402"/>
      <c r="T356" s="402"/>
      <c r="U356" s="402"/>
      <c r="V356" s="402"/>
      <c r="W356" s="402"/>
      <c r="X356" s="402"/>
      <c r="Y356" s="402"/>
      <c r="Z356" s="402"/>
    </row>
    <row r="357" ht="14.25" customHeight="1">
      <c r="A357" s="406">
        <v>45506.0</v>
      </c>
      <c r="B357" s="863" t="s">
        <v>4779</v>
      </c>
      <c r="C357" s="863" t="s">
        <v>4907</v>
      </c>
      <c r="D357" s="867" t="s">
        <v>54</v>
      </c>
      <c r="E357" s="689" t="s">
        <v>578</v>
      </c>
      <c r="F357" s="865">
        <v>2682.6</v>
      </c>
      <c r="G357" s="403"/>
      <c r="H357" s="349" t="s">
        <v>4968</v>
      </c>
      <c r="I357" s="866" t="str">
        <f t="shared" si="10"/>
        <v>NOT PAID</v>
      </c>
      <c r="J357" s="402"/>
      <c r="K357" s="402"/>
      <c r="L357" s="402"/>
      <c r="M357" s="402"/>
      <c r="N357" s="402"/>
      <c r="O357" s="402"/>
      <c r="P357" s="402"/>
      <c r="Q357" s="402"/>
      <c r="R357" s="402"/>
      <c r="S357" s="402"/>
      <c r="T357" s="402"/>
      <c r="U357" s="402"/>
      <c r="V357" s="402"/>
      <c r="W357" s="402"/>
      <c r="X357" s="402"/>
      <c r="Y357" s="402"/>
      <c r="Z357" s="402"/>
    </row>
    <row r="358" ht="14.25" customHeight="1">
      <c r="A358" s="406">
        <v>45506.0</v>
      </c>
      <c r="B358" s="863" t="s">
        <v>4809</v>
      </c>
      <c r="C358" s="863" t="s">
        <v>4909</v>
      </c>
      <c r="D358" s="867" t="s">
        <v>54</v>
      </c>
      <c r="E358" s="689" t="s">
        <v>578</v>
      </c>
      <c r="F358" s="865">
        <v>5512.45</v>
      </c>
      <c r="G358" s="403"/>
      <c r="H358" s="349" t="s">
        <v>5024</v>
      </c>
      <c r="I358" s="866" t="str">
        <f t="shared" si="10"/>
        <v>NOT PAID</v>
      </c>
      <c r="J358" s="402"/>
      <c r="K358" s="402"/>
      <c r="L358" s="402"/>
      <c r="M358" s="402"/>
      <c r="N358" s="402"/>
      <c r="O358" s="402"/>
      <c r="P358" s="402"/>
      <c r="Q358" s="402"/>
      <c r="R358" s="402"/>
      <c r="S358" s="402"/>
      <c r="T358" s="402"/>
      <c r="U358" s="402"/>
      <c r="V358" s="402"/>
      <c r="W358" s="402"/>
      <c r="X358" s="402"/>
      <c r="Y358" s="402"/>
      <c r="Z358" s="402"/>
    </row>
    <row r="359" ht="14.25" customHeight="1">
      <c r="A359" s="406">
        <v>45506.0</v>
      </c>
      <c r="B359" s="863" t="s">
        <v>4960</v>
      </c>
      <c r="C359" s="863" t="s">
        <v>5009</v>
      </c>
      <c r="D359" s="867" t="s">
        <v>59</v>
      </c>
      <c r="E359" s="689" t="s">
        <v>5000</v>
      </c>
      <c r="F359" s="865">
        <v>24647.0</v>
      </c>
      <c r="G359" s="413">
        <v>27142.0</v>
      </c>
      <c r="H359" s="349" t="s">
        <v>710</v>
      </c>
      <c r="I359" s="866" t="str">
        <f t="shared" si="10"/>
        <v>FULLY PAID</v>
      </c>
      <c r="J359" s="402"/>
      <c r="K359" s="402"/>
      <c r="L359" s="402"/>
      <c r="M359" s="402"/>
      <c r="N359" s="402"/>
      <c r="O359" s="402"/>
      <c r="P359" s="402"/>
      <c r="Q359" s="402"/>
      <c r="R359" s="402"/>
      <c r="S359" s="402"/>
      <c r="T359" s="402"/>
      <c r="U359" s="402"/>
      <c r="V359" s="402"/>
      <c r="W359" s="402"/>
      <c r="X359" s="402"/>
      <c r="Y359" s="402"/>
      <c r="Z359" s="402"/>
    </row>
    <row r="360" ht="14.25" customHeight="1">
      <c r="A360" s="406">
        <v>45506.0</v>
      </c>
      <c r="B360" s="863" t="s">
        <v>4787</v>
      </c>
      <c r="C360" s="863" t="s">
        <v>4929</v>
      </c>
      <c r="D360" s="867" t="s">
        <v>54</v>
      </c>
      <c r="E360" s="689" t="s">
        <v>5000</v>
      </c>
      <c r="F360" s="865">
        <v>2757.55</v>
      </c>
      <c r="G360" s="403"/>
      <c r="H360" s="349" t="s">
        <v>5001</v>
      </c>
      <c r="I360" s="866" t="str">
        <f t="shared" si="10"/>
        <v>NOT PAID</v>
      </c>
      <c r="J360" s="402"/>
      <c r="K360" s="402"/>
      <c r="L360" s="402"/>
      <c r="M360" s="402"/>
      <c r="N360" s="402"/>
      <c r="O360" s="402"/>
      <c r="P360" s="402"/>
      <c r="Q360" s="402"/>
      <c r="R360" s="402"/>
      <c r="S360" s="402"/>
      <c r="T360" s="402"/>
      <c r="U360" s="402"/>
      <c r="V360" s="402"/>
      <c r="W360" s="402"/>
      <c r="X360" s="402"/>
      <c r="Y360" s="402"/>
      <c r="Z360" s="402"/>
    </row>
    <row r="361" ht="14.25" customHeight="1">
      <c r="A361" s="406">
        <v>45506.0</v>
      </c>
      <c r="B361" s="863" t="s">
        <v>4811</v>
      </c>
      <c r="C361" s="863" t="s">
        <v>4859</v>
      </c>
      <c r="D361" s="867" t="s">
        <v>54</v>
      </c>
      <c r="E361" s="689" t="s">
        <v>5000</v>
      </c>
      <c r="F361" s="865">
        <v>8085.55</v>
      </c>
      <c r="G361" s="403"/>
      <c r="H361" s="349" t="s">
        <v>5025</v>
      </c>
      <c r="I361" s="866" t="str">
        <f t="shared" si="10"/>
        <v>NOT PAID</v>
      </c>
      <c r="J361" s="402"/>
      <c r="K361" s="402"/>
      <c r="L361" s="402"/>
      <c r="M361" s="402"/>
      <c r="N361" s="402"/>
      <c r="O361" s="402"/>
      <c r="P361" s="402"/>
      <c r="Q361" s="402"/>
      <c r="R361" s="402"/>
      <c r="S361" s="402"/>
      <c r="T361" s="402"/>
      <c r="U361" s="402"/>
      <c r="V361" s="402"/>
      <c r="W361" s="402"/>
      <c r="X361" s="402"/>
      <c r="Y361" s="402"/>
      <c r="Z361" s="402"/>
    </row>
    <row r="362" ht="14.25" customHeight="1">
      <c r="A362" s="406">
        <v>45506.0</v>
      </c>
      <c r="B362" s="863" t="s">
        <v>4795</v>
      </c>
      <c r="C362" s="863" t="s">
        <v>5012</v>
      </c>
      <c r="D362" s="867" t="s">
        <v>54</v>
      </c>
      <c r="E362" s="689" t="s">
        <v>5002</v>
      </c>
      <c r="F362" s="865">
        <v>2530.38</v>
      </c>
      <c r="G362" s="403"/>
      <c r="H362" s="349" t="s">
        <v>4968</v>
      </c>
      <c r="I362" s="866" t="str">
        <f t="shared" si="10"/>
        <v>NOT PAID</v>
      </c>
      <c r="J362" s="402"/>
      <c r="K362" s="402"/>
      <c r="L362" s="402"/>
      <c r="M362" s="402"/>
      <c r="N362" s="402"/>
      <c r="O362" s="402"/>
      <c r="P362" s="402"/>
      <c r="Q362" s="402"/>
      <c r="R362" s="402"/>
      <c r="S362" s="402"/>
      <c r="T362" s="402"/>
      <c r="U362" s="402"/>
      <c r="V362" s="402"/>
      <c r="W362" s="402"/>
      <c r="X362" s="402"/>
      <c r="Y362" s="402"/>
      <c r="Z362" s="402"/>
    </row>
    <row r="363" ht="14.25" customHeight="1">
      <c r="A363" s="406">
        <v>45506.0</v>
      </c>
      <c r="B363" s="863" t="s">
        <v>4998</v>
      </c>
      <c r="C363" s="863" t="s">
        <v>4997</v>
      </c>
      <c r="D363" s="867" t="s">
        <v>75</v>
      </c>
      <c r="E363" s="689" t="s">
        <v>5000</v>
      </c>
      <c r="F363" s="865">
        <v>200000.0</v>
      </c>
      <c r="G363" s="413">
        <v>0.0</v>
      </c>
      <c r="H363" s="349" t="s">
        <v>3584</v>
      </c>
      <c r="I363" s="866" t="str">
        <f t="shared" si="10"/>
        <v>NOT PAID</v>
      </c>
      <c r="J363" s="402"/>
      <c r="K363" s="402"/>
      <c r="L363" s="402"/>
      <c r="M363" s="402"/>
      <c r="N363" s="402"/>
      <c r="O363" s="402"/>
      <c r="P363" s="402"/>
      <c r="Q363" s="402"/>
      <c r="R363" s="402"/>
      <c r="S363" s="402"/>
      <c r="T363" s="402"/>
      <c r="U363" s="402"/>
      <c r="V363" s="402"/>
      <c r="W363" s="402"/>
      <c r="X363" s="402"/>
      <c r="Y363" s="402"/>
      <c r="Z363" s="402"/>
    </row>
    <row r="364" ht="14.25" customHeight="1">
      <c r="A364" s="406">
        <v>45506.0</v>
      </c>
      <c r="B364" s="863" t="s">
        <v>4803</v>
      </c>
      <c r="C364" s="863" t="s">
        <v>4975</v>
      </c>
      <c r="D364" s="867" t="s">
        <v>54</v>
      </c>
      <c r="E364" s="689" t="s">
        <v>5000</v>
      </c>
      <c r="F364" s="865">
        <v>15433.88</v>
      </c>
      <c r="G364" s="413">
        <v>5000.0</v>
      </c>
      <c r="H364" s="349" t="s">
        <v>5026</v>
      </c>
      <c r="I364" s="866" t="str">
        <f t="shared" si="10"/>
        <v>PARTIALLY PAID</v>
      </c>
      <c r="J364" s="402"/>
      <c r="K364" s="402"/>
      <c r="L364" s="402"/>
      <c r="M364" s="402"/>
      <c r="N364" s="402"/>
      <c r="O364" s="402"/>
      <c r="P364" s="402"/>
      <c r="Q364" s="402"/>
      <c r="R364" s="402"/>
      <c r="S364" s="402"/>
      <c r="T364" s="402"/>
      <c r="U364" s="402"/>
      <c r="V364" s="402"/>
      <c r="W364" s="402"/>
      <c r="X364" s="402"/>
      <c r="Y364" s="402"/>
      <c r="Z364" s="402"/>
    </row>
    <row r="365" ht="14.25" customHeight="1">
      <c r="A365" s="406">
        <v>45506.0</v>
      </c>
      <c r="B365" s="863" t="s">
        <v>4775</v>
      </c>
      <c r="C365" s="863" t="s">
        <v>4922</v>
      </c>
      <c r="D365" s="867" t="s">
        <v>59</v>
      </c>
      <c r="E365" s="689" t="s">
        <v>5002</v>
      </c>
      <c r="F365" s="865">
        <v>164233.39</v>
      </c>
      <c r="G365" s="403"/>
      <c r="H365" s="349" t="s">
        <v>5027</v>
      </c>
      <c r="I365" s="866" t="str">
        <f t="shared" si="10"/>
        <v>NOT PAID</v>
      </c>
      <c r="J365" s="402"/>
      <c r="K365" s="402"/>
      <c r="L365" s="402"/>
      <c r="M365" s="402"/>
      <c r="N365" s="402"/>
      <c r="O365" s="402"/>
      <c r="P365" s="402"/>
      <c r="Q365" s="402"/>
      <c r="R365" s="402"/>
      <c r="S365" s="402"/>
      <c r="T365" s="402"/>
      <c r="U365" s="402"/>
      <c r="V365" s="402"/>
      <c r="W365" s="402"/>
      <c r="X365" s="402"/>
      <c r="Y365" s="402"/>
      <c r="Z365" s="402"/>
    </row>
    <row r="366" ht="14.25" customHeight="1">
      <c r="A366" s="406">
        <v>45506.0</v>
      </c>
      <c r="B366" s="863" t="s">
        <v>4783</v>
      </c>
      <c r="C366" s="863" t="s">
        <v>4920</v>
      </c>
      <c r="D366" s="867" t="s">
        <v>54</v>
      </c>
      <c r="E366" s="689" t="s">
        <v>5002</v>
      </c>
      <c r="F366" s="865">
        <v>140625.49</v>
      </c>
      <c r="G366" s="403"/>
      <c r="H366" s="349" t="s">
        <v>5028</v>
      </c>
      <c r="I366" s="866" t="str">
        <f t="shared" si="10"/>
        <v>NOT PAID</v>
      </c>
      <c r="J366" s="402"/>
      <c r="K366" s="402"/>
      <c r="L366" s="402"/>
      <c r="M366" s="402"/>
      <c r="N366" s="402"/>
      <c r="O366" s="402"/>
      <c r="P366" s="402"/>
      <c r="Q366" s="402"/>
      <c r="R366" s="402"/>
      <c r="S366" s="402"/>
      <c r="T366" s="402"/>
      <c r="U366" s="402"/>
      <c r="V366" s="402"/>
      <c r="W366" s="402"/>
      <c r="X366" s="402"/>
      <c r="Y366" s="402"/>
      <c r="Z366" s="402"/>
    </row>
    <row r="367" ht="14.25" customHeight="1">
      <c r="A367" s="406">
        <v>45506.0</v>
      </c>
      <c r="B367" s="863" t="s">
        <v>4793</v>
      </c>
      <c r="C367" s="863" t="s">
        <v>4891</v>
      </c>
      <c r="D367" s="867" t="s">
        <v>54</v>
      </c>
      <c r="E367" s="689" t="s">
        <v>5002</v>
      </c>
      <c r="F367" s="865">
        <v>29876.54</v>
      </c>
      <c r="G367" s="403"/>
      <c r="H367" s="349" t="s">
        <v>4968</v>
      </c>
      <c r="I367" s="866" t="str">
        <f t="shared" si="10"/>
        <v>NOT PAID</v>
      </c>
      <c r="J367" s="402"/>
      <c r="K367" s="402"/>
      <c r="L367" s="402"/>
      <c r="M367" s="402"/>
      <c r="N367" s="402"/>
      <c r="O367" s="402"/>
      <c r="P367" s="402"/>
      <c r="Q367" s="402"/>
      <c r="R367" s="402"/>
      <c r="S367" s="402"/>
      <c r="T367" s="402"/>
      <c r="U367" s="402"/>
      <c r="V367" s="402"/>
      <c r="W367" s="402"/>
      <c r="X367" s="402"/>
      <c r="Y367" s="402"/>
      <c r="Z367" s="402"/>
    </row>
    <row r="368" ht="14.25" customHeight="1">
      <c r="A368" s="406">
        <v>45506.0</v>
      </c>
      <c r="B368" s="863" t="s">
        <v>5029</v>
      </c>
      <c r="C368" s="863" t="s">
        <v>5030</v>
      </c>
      <c r="D368" s="867" t="s">
        <v>75</v>
      </c>
      <c r="E368" s="689" t="s">
        <v>5002</v>
      </c>
      <c r="F368" s="865">
        <v>69649.65</v>
      </c>
      <c r="G368" s="413">
        <v>115000.0</v>
      </c>
      <c r="H368" s="349" t="s">
        <v>710</v>
      </c>
      <c r="I368" s="866" t="str">
        <f t="shared" si="10"/>
        <v>FULLY PAID</v>
      </c>
      <c r="J368" s="402"/>
      <c r="K368" s="402"/>
      <c r="L368" s="402"/>
      <c r="M368" s="402"/>
      <c r="N368" s="402"/>
      <c r="O368" s="402"/>
      <c r="P368" s="402"/>
      <c r="Q368" s="402"/>
      <c r="R368" s="402"/>
      <c r="S368" s="402"/>
      <c r="T368" s="402"/>
      <c r="U368" s="402"/>
      <c r="V368" s="402"/>
      <c r="W368" s="402"/>
      <c r="X368" s="402"/>
      <c r="Y368" s="402"/>
      <c r="Z368" s="402"/>
    </row>
    <row r="369" ht="14.25" customHeight="1">
      <c r="A369" s="406">
        <v>45506.0</v>
      </c>
      <c r="B369" s="863" t="s">
        <v>4816</v>
      </c>
      <c r="C369" s="863" t="s">
        <v>5015</v>
      </c>
      <c r="D369" s="867" t="s">
        <v>54</v>
      </c>
      <c r="E369" s="689" t="s">
        <v>5002</v>
      </c>
      <c r="F369" s="865">
        <v>15725.86</v>
      </c>
      <c r="G369" s="403"/>
      <c r="H369" s="349" t="s">
        <v>5031</v>
      </c>
      <c r="I369" s="866" t="str">
        <f t="shared" si="10"/>
        <v>NOT PAID</v>
      </c>
      <c r="J369" s="402"/>
      <c r="K369" s="402"/>
      <c r="L369" s="402"/>
      <c r="M369" s="402"/>
      <c r="N369" s="402"/>
      <c r="O369" s="402"/>
      <c r="P369" s="402"/>
      <c r="Q369" s="402"/>
      <c r="R369" s="402"/>
      <c r="S369" s="402"/>
      <c r="T369" s="402"/>
      <c r="U369" s="402"/>
      <c r="V369" s="402"/>
      <c r="W369" s="402"/>
      <c r="X369" s="402"/>
      <c r="Y369" s="402"/>
      <c r="Z369" s="402"/>
    </row>
    <row r="370" ht="14.25" customHeight="1">
      <c r="A370" s="406">
        <v>45506.0</v>
      </c>
      <c r="B370" s="863" t="s">
        <v>4983</v>
      </c>
      <c r="C370" s="863" t="s">
        <v>4860</v>
      </c>
      <c r="D370" s="867" t="s">
        <v>54</v>
      </c>
      <c r="E370" s="689" t="s">
        <v>5002</v>
      </c>
      <c r="F370" s="865">
        <v>47569.15</v>
      </c>
      <c r="G370" s="403"/>
      <c r="H370" s="349" t="s">
        <v>5032</v>
      </c>
      <c r="I370" s="866" t="str">
        <f t="shared" si="10"/>
        <v>NOT PAID</v>
      </c>
      <c r="J370" s="402"/>
      <c r="K370" s="402"/>
      <c r="L370" s="402"/>
      <c r="M370" s="402"/>
      <c r="N370" s="402"/>
      <c r="O370" s="402"/>
      <c r="P370" s="402"/>
      <c r="Q370" s="402"/>
      <c r="R370" s="402"/>
      <c r="S370" s="402"/>
      <c r="T370" s="402"/>
      <c r="U370" s="402"/>
      <c r="V370" s="402"/>
      <c r="W370" s="402"/>
      <c r="X370" s="402"/>
      <c r="Y370" s="402"/>
      <c r="Z370" s="402"/>
    </row>
    <row r="371" ht="14.25" customHeight="1">
      <c r="A371" s="406">
        <v>45506.0</v>
      </c>
      <c r="B371" s="955" t="s">
        <v>5033</v>
      </c>
      <c r="C371" s="417" t="s">
        <v>5034</v>
      </c>
      <c r="D371" s="417" t="s">
        <v>54</v>
      </c>
      <c r="E371" s="689" t="s">
        <v>5000</v>
      </c>
      <c r="F371" s="69">
        <v>43150.01</v>
      </c>
      <c r="G371" s="403"/>
      <c r="H371" s="349" t="s">
        <v>4968</v>
      </c>
      <c r="I371" s="866" t="str">
        <f t="shared" si="10"/>
        <v>NOT PAID</v>
      </c>
      <c r="J371" s="402"/>
      <c r="K371" s="402"/>
      <c r="L371" s="402"/>
      <c r="M371" s="402"/>
      <c r="N371" s="402"/>
      <c r="O371" s="402"/>
      <c r="P371" s="402"/>
      <c r="Q371" s="402"/>
      <c r="R371" s="402"/>
      <c r="S371" s="402"/>
      <c r="T371" s="402"/>
      <c r="U371" s="402"/>
      <c r="V371" s="402"/>
      <c r="W371" s="402"/>
      <c r="X371" s="402"/>
      <c r="Y371" s="402"/>
      <c r="Z371" s="402"/>
    </row>
    <row r="372" ht="14.25" customHeight="1">
      <c r="A372" s="406">
        <v>45506.0</v>
      </c>
      <c r="B372" s="955" t="s">
        <v>5035</v>
      </c>
      <c r="C372" s="417" t="s">
        <v>5036</v>
      </c>
      <c r="D372" s="417" t="s">
        <v>54</v>
      </c>
      <c r="E372" s="689" t="s">
        <v>5037</v>
      </c>
      <c r="F372" s="69">
        <v>75583.5</v>
      </c>
      <c r="G372" s="403"/>
      <c r="H372" s="349" t="s">
        <v>4968</v>
      </c>
      <c r="I372" s="866" t="str">
        <f t="shared" si="10"/>
        <v>NOT PAID</v>
      </c>
      <c r="J372" s="402"/>
      <c r="K372" s="402"/>
      <c r="L372" s="402"/>
      <c r="M372" s="402"/>
      <c r="N372" s="402"/>
      <c r="O372" s="402"/>
      <c r="P372" s="402"/>
      <c r="Q372" s="402"/>
      <c r="R372" s="402"/>
      <c r="S372" s="402"/>
      <c r="T372" s="402"/>
      <c r="U372" s="402"/>
      <c r="V372" s="402"/>
      <c r="W372" s="402"/>
      <c r="X372" s="402"/>
      <c r="Y372" s="402"/>
      <c r="Z372" s="402"/>
    </row>
    <row r="373" ht="14.25" customHeight="1">
      <c r="A373" s="406">
        <v>45506.0</v>
      </c>
      <c r="B373" s="955" t="s">
        <v>5038</v>
      </c>
      <c r="C373" s="417" t="s">
        <v>5039</v>
      </c>
      <c r="D373" s="417" t="s">
        <v>75</v>
      </c>
      <c r="E373" s="689" t="s">
        <v>5000</v>
      </c>
      <c r="F373" s="409">
        <v>172500.0</v>
      </c>
      <c r="G373" s="413">
        <v>172500.0</v>
      </c>
      <c r="H373" s="349" t="s">
        <v>267</v>
      </c>
      <c r="I373" s="866" t="str">
        <f t="shared" si="10"/>
        <v>FULLY PAID</v>
      </c>
      <c r="J373" s="402"/>
      <c r="K373" s="402"/>
      <c r="L373" s="402"/>
      <c r="M373" s="402"/>
      <c r="N373" s="402"/>
      <c r="O373" s="402"/>
      <c r="P373" s="402"/>
      <c r="Q373" s="402"/>
      <c r="R373" s="402"/>
      <c r="S373" s="402"/>
      <c r="T373" s="402"/>
      <c r="U373" s="402"/>
      <c r="V373" s="402"/>
      <c r="W373" s="402"/>
      <c r="X373" s="402"/>
      <c r="Y373" s="402"/>
      <c r="Z373" s="402"/>
    </row>
    <row r="374" ht="14.25" customHeight="1">
      <c r="A374" s="406"/>
      <c r="B374" s="829"/>
      <c r="C374" s="545"/>
      <c r="D374" s="349"/>
      <c r="E374" s="689"/>
      <c r="F374" s="559"/>
      <c r="G374" s="413"/>
      <c r="H374" s="349"/>
      <c r="I374" s="866" t="str">
        <f t="shared" si="10"/>
        <v>FULLY PAID</v>
      </c>
      <c r="J374" s="402"/>
      <c r="K374" s="402"/>
      <c r="L374" s="402"/>
      <c r="M374" s="402"/>
      <c r="N374" s="402"/>
      <c r="O374" s="402"/>
      <c r="P374" s="402"/>
      <c r="Q374" s="402"/>
      <c r="R374" s="402"/>
      <c r="S374" s="402"/>
      <c r="T374" s="402"/>
      <c r="U374" s="402"/>
      <c r="V374" s="402"/>
      <c r="W374" s="402"/>
      <c r="X374" s="402"/>
      <c r="Y374" s="402"/>
      <c r="Z374" s="402"/>
    </row>
    <row r="375" ht="14.25" customHeight="1">
      <c r="A375" s="402"/>
      <c r="B375" s="500"/>
      <c r="C375" s="911" t="s">
        <v>797</v>
      </c>
      <c r="D375" s="402"/>
      <c r="E375" s="868"/>
      <c r="F375" s="587"/>
      <c r="G375" s="403"/>
      <c r="H375" s="402"/>
      <c r="I375" s="866" t="str">
        <f t="shared" si="10"/>
        <v>FULLY PAID</v>
      </c>
      <c r="J375" s="402"/>
      <c r="K375" s="402"/>
      <c r="L375" s="402"/>
      <c r="M375" s="402"/>
      <c r="N375" s="402"/>
      <c r="O375" s="402"/>
      <c r="P375" s="402"/>
      <c r="Q375" s="402"/>
      <c r="R375" s="402"/>
      <c r="S375" s="402"/>
      <c r="T375" s="402"/>
      <c r="U375" s="402"/>
      <c r="V375" s="402"/>
      <c r="W375" s="402"/>
      <c r="X375" s="402"/>
      <c r="Y375" s="402"/>
      <c r="Z375" s="402"/>
    </row>
    <row r="376" ht="14.25" customHeight="1">
      <c r="A376" s="406">
        <v>45506.0</v>
      </c>
      <c r="B376" s="955" t="s">
        <v>4781</v>
      </c>
      <c r="C376" s="407" t="s">
        <v>4827</v>
      </c>
      <c r="D376" s="956" t="s">
        <v>54</v>
      </c>
      <c r="E376" s="947" t="s">
        <v>578</v>
      </c>
      <c r="F376" s="957">
        <v>142630.9</v>
      </c>
      <c r="G376" s="949"/>
      <c r="H376" s="349" t="s">
        <v>4968</v>
      </c>
      <c r="I376" s="866" t="str">
        <f t="shared" si="10"/>
        <v>NOT PAID</v>
      </c>
      <c r="J376" s="402"/>
      <c r="K376" s="402"/>
      <c r="L376" s="402"/>
      <c r="M376" s="402"/>
      <c r="N376" s="402"/>
      <c r="O376" s="402"/>
      <c r="P376" s="402"/>
      <c r="Q376" s="402"/>
      <c r="R376" s="402"/>
      <c r="S376" s="402"/>
      <c r="T376" s="402"/>
      <c r="U376" s="402"/>
      <c r="V376" s="402"/>
      <c r="W376" s="402"/>
      <c r="X376" s="402"/>
      <c r="Y376" s="402"/>
      <c r="Z376" s="402"/>
    </row>
    <row r="377" ht="14.25" customHeight="1">
      <c r="A377" s="406">
        <v>45506.0</v>
      </c>
      <c r="B377" s="958" t="s">
        <v>4830</v>
      </c>
      <c r="C377" s="956" t="s">
        <v>4831</v>
      </c>
      <c r="D377" s="959" t="s">
        <v>1030</v>
      </c>
      <c r="E377" s="947" t="s">
        <v>578</v>
      </c>
      <c r="F377" s="933">
        <v>78322.73</v>
      </c>
      <c r="G377" s="949"/>
      <c r="H377" s="349" t="s">
        <v>4832</v>
      </c>
      <c r="I377" s="866" t="str">
        <f t="shared" si="10"/>
        <v>NOT PAID</v>
      </c>
      <c r="J377" s="402"/>
      <c r="K377" s="402"/>
      <c r="L377" s="402"/>
      <c r="M377" s="402"/>
      <c r="N377" s="402"/>
      <c r="O377" s="402"/>
      <c r="P377" s="402"/>
      <c r="Q377" s="402"/>
      <c r="R377" s="402"/>
      <c r="S377" s="402"/>
      <c r="T377" s="402"/>
      <c r="U377" s="402"/>
      <c r="V377" s="402"/>
      <c r="W377" s="402"/>
      <c r="X377" s="402"/>
      <c r="Y377" s="402"/>
      <c r="Z377" s="402"/>
    </row>
    <row r="378" ht="14.25" customHeight="1">
      <c r="A378" s="406">
        <v>45506.0</v>
      </c>
      <c r="B378" s="958" t="s">
        <v>4547</v>
      </c>
      <c r="C378" s="956" t="s">
        <v>4836</v>
      </c>
      <c r="D378" s="956" t="s">
        <v>59</v>
      </c>
      <c r="E378" s="947" t="s">
        <v>578</v>
      </c>
      <c r="F378" s="876">
        <v>635602.51</v>
      </c>
      <c r="G378" s="949"/>
      <c r="H378" s="349" t="s">
        <v>4968</v>
      </c>
      <c r="I378" s="866" t="str">
        <f t="shared" si="10"/>
        <v>NOT PAID</v>
      </c>
      <c r="J378" s="402"/>
      <c r="K378" s="402"/>
      <c r="L378" s="402"/>
      <c r="M378" s="402"/>
      <c r="N378" s="402"/>
      <c r="O378" s="402"/>
      <c r="P378" s="402"/>
      <c r="Q378" s="402"/>
      <c r="R378" s="402"/>
      <c r="S378" s="402"/>
      <c r="T378" s="402"/>
      <c r="U378" s="402"/>
      <c r="V378" s="402"/>
      <c r="W378" s="402"/>
      <c r="X378" s="402"/>
      <c r="Y378" s="402"/>
      <c r="Z378" s="402"/>
    </row>
    <row r="379" ht="14.25" customHeight="1">
      <c r="A379" s="406">
        <v>45506.0</v>
      </c>
      <c r="B379" s="958" t="s">
        <v>4919</v>
      </c>
      <c r="C379" s="956" t="s">
        <v>4945</v>
      </c>
      <c r="D379" s="956" t="s">
        <v>75</v>
      </c>
      <c r="E379" s="947" t="s">
        <v>578</v>
      </c>
      <c r="F379" s="957">
        <v>306751.35</v>
      </c>
      <c r="G379" s="949"/>
      <c r="H379" s="349" t="s">
        <v>5028</v>
      </c>
      <c r="I379" s="866" t="str">
        <f t="shared" si="10"/>
        <v>NOT PAID</v>
      </c>
      <c r="J379" s="402"/>
      <c r="K379" s="402"/>
      <c r="L379" s="402"/>
      <c r="M379" s="402"/>
      <c r="N379" s="402"/>
      <c r="O379" s="402"/>
      <c r="P379" s="402"/>
      <c r="Q379" s="402"/>
      <c r="R379" s="402"/>
      <c r="S379" s="402"/>
      <c r="T379" s="402"/>
      <c r="U379" s="402"/>
      <c r="V379" s="402"/>
      <c r="W379" s="402"/>
      <c r="X379" s="402"/>
      <c r="Y379" s="402"/>
      <c r="Z379" s="402"/>
    </row>
    <row r="380" ht="14.25" customHeight="1">
      <c r="A380" s="406">
        <v>45506.0</v>
      </c>
      <c r="B380" s="874" t="s">
        <v>4783</v>
      </c>
      <c r="C380" s="870" t="s">
        <v>4945</v>
      </c>
      <c r="D380" s="870" t="s">
        <v>54</v>
      </c>
      <c r="E380" s="947" t="s">
        <v>578</v>
      </c>
      <c r="F380" s="957">
        <v>147656.76</v>
      </c>
      <c r="G380" s="403"/>
      <c r="H380" s="349" t="s">
        <v>5028</v>
      </c>
      <c r="I380" s="866" t="str">
        <f t="shared" si="10"/>
        <v>NOT PAID</v>
      </c>
      <c r="J380" s="402"/>
      <c r="K380" s="402"/>
      <c r="L380" s="402"/>
      <c r="M380" s="402"/>
      <c r="N380" s="402"/>
      <c r="O380" s="402"/>
      <c r="P380" s="402"/>
      <c r="Q380" s="402"/>
      <c r="R380" s="402"/>
      <c r="S380" s="402"/>
      <c r="T380" s="402"/>
      <c r="U380" s="402"/>
      <c r="V380" s="402"/>
      <c r="W380" s="402"/>
      <c r="X380" s="402"/>
      <c r="Y380" s="402"/>
      <c r="Z380" s="402"/>
    </row>
    <row r="381" ht="14.25" customHeight="1">
      <c r="A381" s="406">
        <v>45506.0</v>
      </c>
      <c r="B381" s="960" t="s">
        <v>5040</v>
      </c>
      <c r="C381" s="417" t="s">
        <v>5041</v>
      </c>
      <c r="D381" s="870" t="s">
        <v>54</v>
      </c>
      <c r="E381" s="947" t="s">
        <v>578</v>
      </c>
      <c r="F381" s="69">
        <v>17717.15</v>
      </c>
      <c r="G381" s="413">
        <v>18083.0</v>
      </c>
      <c r="H381" s="349" t="s">
        <v>772</v>
      </c>
      <c r="I381" s="866" t="str">
        <f t="shared" si="10"/>
        <v>FULLY PAID</v>
      </c>
      <c r="J381" s="402"/>
      <c r="K381" s="402"/>
      <c r="L381" s="402"/>
      <c r="M381" s="402"/>
      <c r="N381" s="402"/>
      <c r="O381" s="402"/>
      <c r="P381" s="402"/>
      <c r="Q381" s="402"/>
      <c r="R381" s="402"/>
      <c r="S381" s="402"/>
      <c r="T381" s="402"/>
      <c r="U381" s="402"/>
      <c r="V381" s="402"/>
      <c r="W381" s="402"/>
      <c r="X381" s="402"/>
      <c r="Y381" s="402"/>
      <c r="Z381" s="402"/>
    </row>
    <row r="382" ht="14.25" customHeight="1">
      <c r="A382" s="406">
        <v>45506.0</v>
      </c>
      <c r="B382" s="829" t="s">
        <v>5020</v>
      </c>
      <c r="C382" s="545" t="s">
        <v>5021</v>
      </c>
      <c r="D382" s="349" t="s">
        <v>59</v>
      </c>
      <c r="E382" s="689" t="s">
        <v>578</v>
      </c>
      <c r="F382" s="559">
        <v>2021250.0</v>
      </c>
      <c r="G382" s="413"/>
      <c r="H382" s="402"/>
      <c r="I382" s="866" t="str">
        <f t="shared" si="10"/>
        <v>NOT PAID</v>
      </c>
      <c r="J382" s="402"/>
      <c r="K382" s="402"/>
      <c r="L382" s="402"/>
      <c r="M382" s="402"/>
      <c r="N382" s="402"/>
      <c r="O382" s="402"/>
      <c r="P382" s="402"/>
      <c r="Q382" s="402"/>
      <c r="R382" s="402"/>
      <c r="S382" s="402"/>
      <c r="T382" s="402"/>
      <c r="U382" s="402"/>
      <c r="V382" s="402"/>
      <c r="W382" s="402"/>
      <c r="X382" s="402"/>
      <c r="Y382" s="402"/>
      <c r="Z382" s="402"/>
    </row>
    <row r="383" ht="14.25" customHeight="1">
      <c r="A383" s="402"/>
      <c r="B383" s="500"/>
      <c r="C383" s="402"/>
      <c r="D383" s="402"/>
      <c r="E383" s="868"/>
      <c r="F383" s="587"/>
      <c r="G383" s="403"/>
      <c r="H383" s="402"/>
      <c r="I383" s="866" t="str">
        <f t="shared" si="10"/>
        <v>FULLY PAID</v>
      </c>
      <c r="J383" s="402"/>
      <c r="K383" s="402"/>
      <c r="L383" s="402"/>
      <c r="M383" s="402"/>
      <c r="N383" s="402"/>
      <c r="O383" s="402"/>
      <c r="P383" s="402"/>
      <c r="Q383" s="402"/>
      <c r="R383" s="402"/>
      <c r="S383" s="402"/>
      <c r="T383" s="402"/>
      <c r="U383" s="402"/>
      <c r="V383" s="402"/>
      <c r="W383" s="402"/>
      <c r="X383" s="402"/>
      <c r="Y383" s="402"/>
      <c r="Z383" s="402"/>
    </row>
    <row r="384" ht="14.25" customHeight="1">
      <c r="A384" s="402"/>
      <c r="B384" s="500"/>
      <c r="C384" s="402"/>
      <c r="D384" s="402"/>
      <c r="E384" s="868"/>
      <c r="F384" s="559"/>
      <c r="G384" s="403"/>
      <c r="H384" s="402"/>
      <c r="I384" s="866" t="str">
        <f t="shared" si="10"/>
        <v>FULLY PAID</v>
      </c>
      <c r="J384" s="402"/>
      <c r="K384" s="402"/>
      <c r="L384" s="402"/>
      <c r="M384" s="402"/>
      <c r="N384" s="402"/>
      <c r="O384" s="402"/>
      <c r="P384" s="402"/>
      <c r="Q384" s="402"/>
      <c r="R384" s="402"/>
      <c r="S384" s="402"/>
      <c r="T384" s="402"/>
      <c r="U384" s="402"/>
      <c r="V384" s="402"/>
      <c r="W384" s="402"/>
      <c r="X384" s="402"/>
      <c r="Y384" s="402"/>
      <c r="Z384" s="402"/>
    </row>
    <row r="385" ht="14.25" customHeight="1">
      <c r="A385" s="896" t="s">
        <v>2130</v>
      </c>
      <c r="B385" s="897" t="s">
        <v>39</v>
      </c>
      <c r="C385" s="896" t="s">
        <v>48</v>
      </c>
      <c r="D385" s="896" t="s">
        <v>49</v>
      </c>
      <c r="E385" s="898" t="s">
        <v>50</v>
      </c>
      <c r="F385" s="899" t="s">
        <v>2</v>
      </c>
      <c r="G385" s="896" t="s">
        <v>44</v>
      </c>
      <c r="H385" s="896" t="s">
        <v>45</v>
      </c>
      <c r="I385" s="866" t="str">
        <f t="shared" si="10"/>
        <v>FULLY PAID</v>
      </c>
      <c r="J385" s="402"/>
      <c r="K385" s="402"/>
      <c r="L385" s="402"/>
      <c r="M385" s="402"/>
      <c r="N385" s="402"/>
      <c r="O385" s="402"/>
      <c r="P385" s="402"/>
      <c r="Q385" s="402"/>
      <c r="R385" s="402"/>
      <c r="S385" s="402"/>
      <c r="T385" s="402"/>
      <c r="U385" s="402"/>
      <c r="V385" s="402"/>
      <c r="W385" s="402"/>
      <c r="X385" s="402"/>
      <c r="Y385" s="402"/>
      <c r="Z385" s="402"/>
    </row>
    <row r="386" ht="14.25" customHeight="1">
      <c r="A386" s="406">
        <v>45507.0</v>
      </c>
      <c r="B386" s="829" t="s">
        <v>4969</v>
      </c>
      <c r="C386" s="349" t="s">
        <v>4970</v>
      </c>
      <c r="D386" s="349" t="s">
        <v>59</v>
      </c>
      <c r="E386" s="868"/>
      <c r="F386" s="559">
        <v>29863.93</v>
      </c>
      <c r="G386" s="403"/>
      <c r="H386" s="349" t="s">
        <v>2769</v>
      </c>
      <c r="I386" s="866" t="str">
        <f t="shared" si="10"/>
        <v>NOT PAID</v>
      </c>
      <c r="J386" s="402"/>
      <c r="K386" s="402"/>
      <c r="L386" s="402"/>
      <c r="M386" s="402"/>
      <c r="N386" s="402"/>
      <c r="O386" s="402"/>
      <c r="P386" s="402"/>
      <c r="Q386" s="402"/>
      <c r="R386" s="402"/>
      <c r="S386" s="402"/>
      <c r="T386" s="402"/>
      <c r="U386" s="402"/>
      <c r="V386" s="402"/>
      <c r="W386" s="402"/>
      <c r="X386" s="402"/>
      <c r="Y386" s="402"/>
      <c r="Z386" s="402"/>
    </row>
    <row r="387" ht="14.25" customHeight="1">
      <c r="A387" s="406">
        <v>45507.0</v>
      </c>
      <c r="B387" s="829" t="s">
        <v>5042</v>
      </c>
      <c r="C387" s="349" t="s">
        <v>5043</v>
      </c>
      <c r="D387" s="349" t="s">
        <v>54</v>
      </c>
      <c r="E387" s="868"/>
      <c r="F387" s="559">
        <v>45136.87</v>
      </c>
      <c r="G387" s="403"/>
      <c r="H387" s="349" t="s">
        <v>2769</v>
      </c>
      <c r="I387" s="866" t="str">
        <f t="shared" si="10"/>
        <v>NOT PAID</v>
      </c>
      <c r="J387" s="402"/>
      <c r="K387" s="402"/>
      <c r="L387" s="402"/>
      <c r="M387" s="402"/>
      <c r="N387" s="402"/>
      <c r="O387" s="402"/>
      <c r="P387" s="402"/>
      <c r="Q387" s="402"/>
      <c r="R387" s="402"/>
      <c r="S387" s="402"/>
      <c r="T387" s="402"/>
      <c r="U387" s="402"/>
      <c r="V387" s="402"/>
      <c r="W387" s="402"/>
      <c r="X387" s="402"/>
      <c r="Y387" s="402"/>
      <c r="Z387" s="402"/>
    </row>
    <row r="388" ht="14.25" customHeight="1">
      <c r="A388" s="406">
        <v>45507.0</v>
      </c>
      <c r="B388" s="829" t="s">
        <v>4977</v>
      </c>
      <c r="C388" s="349" t="s">
        <v>4978</v>
      </c>
      <c r="D388" s="349" t="s">
        <v>54</v>
      </c>
      <c r="E388" s="868"/>
      <c r="F388" s="559">
        <v>850.14</v>
      </c>
      <c r="G388" s="403"/>
      <c r="H388" s="349" t="s">
        <v>2769</v>
      </c>
      <c r="I388" s="866" t="str">
        <f t="shared" si="10"/>
        <v>NOT PAID</v>
      </c>
      <c r="J388" s="402"/>
      <c r="K388" s="402"/>
      <c r="L388" s="402"/>
      <c r="M388" s="402"/>
      <c r="N388" s="402"/>
      <c r="O388" s="402"/>
      <c r="P388" s="402"/>
      <c r="Q388" s="402"/>
      <c r="R388" s="402"/>
      <c r="S388" s="402"/>
      <c r="T388" s="402"/>
      <c r="U388" s="402"/>
      <c r="V388" s="402"/>
      <c r="W388" s="402"/>
      <c r="X388" s="402"/>
      <c r="Y388" s="402"/>
      <c r="Z388" s="402"/>
    </row>
    <row r="389" ht="14.25" customHeight="1">
      <c r="A389" s="406">
        <v>45507.0</v>
      </c>
      <c r="B389" s="829" t="s">
        <v>5044</v>
      </c>
      <c r="C389" s="349" t="s">
        <v>4859</v>
      </c>
      <c r="D389" s="349" t="s">
        <v>54</v>
      </c>
      <c r="E389" s="868"/>
      <c r="F389" s="559">
        <v>90261.0</v>
      </c>
      <c r="G389" s="403"/>
      <c r="H389" s="349" t="s">
        <v>2769</v>
      </c>
      <c r="I389" s="866" t="str">
        <f t="shared" si="10"/>
        <v>NOT PAID</v>
      </c>
      <c r="J389" s="402"/>
      <c r="K389" s="402"/>
      <c r="L389" s="402"/>
      <c r="M389" s="402"/>
      <c r="N389" s="402"/>
      <c r="O389" s="402"/>
      <c r="P389" s="402"/>
      <c r="Q389" s="402"/>
      <c r="R389" s="402"/>
      <c r="S389" s="402"/>
      <c r="T389" s="402"/>
      <c r="U389" s="402"/>
      <c r="V389" s="402"/>
      <c r="W389" s="402"/>
      <c r="X389" s="402"/>
      <c r="Y389" s="402"/>
      <c r="Z389" s="402"/>
    </row>
    <row r="390" ht="14.25" customHeight="1">
      <c r="A390" s="406">
        <v>45507.0</v>
      </c>
      <c r="B390" s="829" t="s">
        <v>4919</v>
      </c>
      <c r="C390" s="349" t="s">
        <v>4920</v>
      </c>
      <c r="D390" s="349" t="s">
        <v>75</v>
      </c>
      <c r="E390" s="868"/>
      <c r="F390" s="559">
        <v>306901.35</v>
      </c>
      <c r="G390" s="413">
        <v>20000.0</v>
      </c>
      <c r="H390" s="349" t="s">
        <v>710</v>
      </c>
      <c r="I390" s="866" t="str">
        <f t="shared" si="10"/>
        <v>PARTIALLY PAID</v>
      </c>
      <c r="J390" s="402"/>
      <c r="K390" s="402"/>
      <c r="L390" s="402"/>
      <c r="M390" s="402"/>
      <c r="N390" s="402"/>
      <c r="O390" s="402"/>
      <c r="P390" s="402"/>
      <c r="Q390" s="402"/>
      <c r="R390" s="402"/>
      <c r="S390" s="402"/>
      <c r="T390" s="402"/>
      <c r="U390" s="402"/>
      <c r="V390" s="402"/>
      <c r="W390" s="402"/>
      <c r="X390" s="402"/>
      <c r="Y390" s="402"/>
      <c r="Z390" s="402"/>
    </row>
    <row r="391" ht="14.25" customHeight="1">
      <c r="A391" s="406">
        <v>45507.0</v>
      </c>
      <c r="B391" s="829" t="s">
        <v>5045</v>
      </c>
      <c r="C391" s="349" t="s">
        <v>5046</v>
      </c>
      <c r="D391" s="349" t="s">
        <v>346</v>
      </c>
      <c r="E391" s="868"/>
      <c r="F391" s="559">
        <v>6000.0</v>
      </c>
      <c r="G391" s="403"/>
      <c r="H391" s="349" t="s">
        <v>2769</v>
      </c>
      <c r="I391" s="866" t="str">
        <f t="shared" si="10"/>
        <v>NOT PAID</v>
      </c>
      <c r="J391" s="402"/>
      <c r="K391" s="402"/>
      <c r="L391" s="402"/>
      <c r="M391" s="402"/>
      <c r="N391" s="402"/>
      <c r="O391" s="402"/>
      <c r="P391" s="402"/>
      <c r="Q391" s="402"/>
      <c r="R391" s="402"/>
      <c r="S391" s="402"/>
      <c r="T391" s="402"/>
      <c r="U391" s="402"/>
      <c r="V391" s="402"/>
      <c r="W391" s="402"/>
      <c r="X391" s="402"/>
      <c r="Y391" s="402"/>
      <c r="Z391" s="402"/>
    </row>
    <row r="392" ht="14.25" customHeight="1">
      <c r="A392" s="406">
        <v>45507.0</v>
      </c>
      <c r="B392" s="829" t="s">
        <v>5047</v>
      </c>
      <c r="C392" s="349" t="s">
        <v>5048</v>
      </c>
      <c r="D392" s="349" t="s">
        <v>75</v>
      </c>
      <c r="E392" s="868"/>
      <c r="F392" s="559">
        <v>402500.0</v>
      </c>
      <c r="G392" s="413">
        <v>402500.0</v>
      </c>
      <c r="H392" s="349" t="s">
        <v>710</v>
      </c>
      <c r="I392" s="866" t="str">
        <f t="shared" si="10"/>
        <v>FULLY PAID</v>
      </c>
      <c r="J392" s="402"/>
      <c r="K392" s="402"/>
      <c r="L392" s="402"/>
      <c r="M392" s="402"/>
      <c r="N392" s="402"/>
      <c r="O392" s="402"/>
      <c r="P392" s="402"/>
      <c r="Q392" s="402"/>
      <c r="R392" s="402"/>
      <c r="S392" s="402"/>
      <c r="T392" s="402"/>
      <c r="U392" s="402"/>
      <c r="V392" s="402"/>
      <c r="W392" s="402"/>
      <c r="X392" s="402"/>
      <c r="Y392" s="402"/>
      <c r="Z392" s="402"/>
    </row>
    <row r="393" ht="14.25" customHeight="1">
      <c r="A393" s="406">
        <v>45507.0</v>
      </c>
      <c r="B393" s="863" t="s">
        <v>4800</v>
      </c>
      <c r="C393" s="863" t="s">
        <v>5049</v>
      </c>
      <c r="D393" s="867" t="s">
        <v>59</v>
      </c>
      <c r="E393" s="868"/>
      <c r="F393" s="865">
        <v>182863.11</v>
      </c>
      <c r="G393" s="403"/>
      <c r="H393" s="349" t="s">
        <v>2769</v>
      </c>
      <c r="I393" s="866" t="str">
        <f t="shared" si="10"/>
        <v>NOT PAID</v>
      </c>
      <c r="J393" s="402"/>
      <c r="K393" s="402"/>
      <c r="L393" s="402"/>
      <c r="M393" s="402"/>
      <c r="N393" s="402"/>
      <c r="O393" s="402"/>
      <c r="P393" s="402"/>
      <c r="Q393" s="402"/>
      <c r="R393" s="402"/>
      <c r="S393" s="402"/>
      <c r="T393" s="402"/>
      <c r="U393" s="402"/>
      <c r="V393" s="402"/>
      <c r="W393" s="402"/>
      <c r="X393" s="402"/>
      <c r="Y393" s="402"/>
      <c r="Z393" s="402"/>
    </row>
    <row r="394" ht="14.25" customHeight="1">
      <c r="A394" s="406">
        <v>45507.0</v>
      </c>
      <c r="B394" s="829" t="s">
        <v>4803</v>
      </c>
      <c r="C394" s="349" t="s">
        <v>4853</v>
      </c>
      <c r="D394" s="349" t="s">
        <v>54</v>
      </c>
      <c r="E394" s="689"/>
      <c r="F394" s="688">
        <v>11205.57</v>
      </c>
      <c r="G394" s="403"/>
      <c r="H394" s="349" t="s">
        <v>2769</v>
      </c>
      <c r="I394" s="866" t="str">
        <f t="shared" si="10"/>
        <v>NOT PAID</v>
      </c>
      <c r="J394" s="402"/>
      <c r="K394" s="402"/>
      <c r="L394" s="402"/>
      <c r="M394" s="402"/>
      <c r="N394" s="402"/>
      <c r="O394" s="402"/>
      <c r="P394" s="402"/>
      <c r="Q394" s="402"/>
      <c r="R394" s="402"/>
      <c r="S394" s="402"/>
      <c r="T394" s="402"/>
      <c r="U394" s="402"/>
      <c r="V394" s="402"/>
      <c r="W394" s="402"/>
      <c r="X394" s="402"/>
      <c r="Y394" s="402"/>
      <c r="Z394" s="402"/>
    </row>
    <row r="395" ht="14.25" customHeight="1">
      <c r="A395" s="406">
        <v>45507.0</v>
      </c>
      <c r="B395" s="829" t="s">
        <v>4775</v>
      </c>
      <c r="C395" s="349" t="s">
        <v>4922</v>
      </c>
      <c r="D395" s="349" t="s">
        <v>59</v>
      </c>
      <c r="E395" s="689"/>
      <c r="F395" s="688">
        <v>164233.39</v>
      </c>
      <c r="G395" s="403"/>
      <c r="H395" s="349" t="s">
        <v>2769</v>
      </c>
      <c r="I395" s="866" t="str">
        <f t="shared" si="10"/>
        <v>NOT PAID</v>
      </c>
      <c r="J395" s="402"/>
      <c r="K395" s="402"/>
      <c r="L395" s="402"/>
      <c r="M395" s="402"/>
      <c r="N395" s="402"/>
      <c r="O395" s="402"/>
      <c r="P395" s="402"/>
      <c r="Q395" s="402"/>
      <c r="R395" s="402"/>
      <c r="S395" s="402"/>
      <c r="T395" s="402"/>
      <c r="U395" s="402"/>
      <c r="V395" s="402"/>
      <c r="W395" s="402"/>
      <c r="X395" s="402"/>
      <c r="Y395" s="402"/>
      <c r="Z395" s="402"/>
    </row>
    <row r="396" ht="14.25" customHeight="1">
      <c r="A396" s="406">
        <v>45507.0</v>
      </c>
      <c r="B396" s="829" t="s">
        <v>5035</v>
      </c>
      <c r="C396" s="349" t="s">
        <v>5036</v>
      </c>
      <c r="D396" s="349" t="s">
        <v>54</v>
      </c>
      <c r="E396" s="689"/>
      <c r="F396" s="688">
        <v>75583.5</v>
      </c>
      <c r="G396" s="403"/>
      <c r="H396" s="349" t="s">
        <v>2769</v>
      </c>
      <c r="I396" s="866" t="str">
        <f t="shared" si="10"/>
        <v>NOT PAID</v>
      </c>
      <c r="J396" s="402"/>
      <c r="K396" s="402"/>
      <c r="L396" s="402"/>
      <c r="M396" s="402"/>
      <c r="N396" s="402"/>
      <c r="O396" s="402"/>
      <c r="P396" s="402"/>
      <c r="Q396" s="402"/>
      <c r="R396" s="402"/>
      <c r="S396" s="402"/>
      <c r="T396" s="402"/>
      <c r="U396" s="402"/>
      <c r="V396" s="402"/>
      <c r="W396" s="402"/>
      <c r="X396" s="402"/>
      <c r="Y396" s="402"/>
      <c r="Z396" s="402"/>
    </row>
    <row r="397" ht="14.25" customHeight="1">
      <c r="A397" s="406">
        <v>45507.0</v>
      </c>
      <c r="B397" s="829" t="s">
        <v>4789</v>
      </c>
      <c r="C397" s="349" t="s">
        <v>5050</v>
      </c>
      <c r="D397" s="349" t="s">
        <v>59</v>
      </c>
      <c r="E397" s="689"/>
      <c r="F397" s="688">
        <v>240042.75</v>
      </c>
      <c r="G397" s="403"/>
      <c r="H397" s="349" t="s">
        <v>2769</v>
      </c>
      <c r="I397" s="866" t="str">
        <f t="shared" si="10"/>
        <v>NOT PAID</v>
      </c>
      <c r="J397" s="402"/>
      <c r="K397" s="402"/>
      <c r="L397" s="402"/>
      <c r="M397" s="402"/>
      <c r="N397" s="402"/>
      <c r="O397" s="402"/>
      <c r="P397" s="402"/>
      <c r="Q397" s="402"/>
      <c r="R397" s="402"/>
      <c r="S397" s="402"/>
      <c r="T397" s="402"/>
      <c r="U397" s="402"/>
      <c r="V397" s="402"/>
      <c r="W397" s="402"/>
      <c r="X397" s="402"/>
      <c r="Y397" s="402"/>
      <c r="Z397" s="402"/>
    </row>
    <row r="398" ht="14.25" customHeight="1">
      <c r="A398" s="406">
        <v>45507.0</v>
      </c>
      <c r="B398" s="829" t="s">
        <v>4793</v>
      </c>
      <c r="C398" s="349" t="s">
        <v>4891</v>
      </c>
      <c r="D398" s="349" t="s">
        <v>54</v>
      </c>
      <c r="E398" s="689"/>
      <c r="F398" s="688">
        <v>29876.54</v>
      </c>
      <c r="G398" s="413">
        <v>5000.0</v>
      </c>
      <c r="H398" s="402"/>
      <c r="I398" s="866" t="str">
        <f t="shared" si="10"/>
        <v>PARTIALLY PAID</v>
      </c>
      <c r="J398" s="402"/>
      <c r="K398" s="402"/>
      <c r="L398" s="402"/>
      <c r="M398" s="402"/>
      <c r="N398" s="402"/>
      <c r="O398" s="402"/>
      <c r="P398" s="402"/>
      <c r="Q398" s="402"/>
      <c r="R398" s="402"/>
      <c r="S398" s="402"/>
      <c r="T398" s="402"/>
      <c r="U398" s="402"/>
      <c r="V398" s="402"/>
      <c r="W398" s="402"/>
      <c r="X398" s="402"/>
      <c r="Y398" s="402"/>
      <c r="Z398" s="402"/>
    </row>
    <row r="399" ht="14.25" customHeight="1">
      <c r="A399" s="406">
        <v>45507.0</v>
      </c>
      <c r="B399" s="829" t="s">
        <v>4990</v>
      </c>
      <c r="C399" s="349" t="s">
        <v>4991</v>
      </c>
      <c r="D399" s="349" t="s">
        <v>54</v>
      </c>
      <c r="E399" s="689"/>
      <c r="F399" s="688">
        <v>36649.65</v>
      </c>
      <c r="G399" s="413"/>
      <c r="H399" s="349" t="s">
        <v>710</v>
      </c>
      <c r="I399" s="866" t="str">
        <f t="shared" si="10"/>
        <v>NOT PAID</v>
      </c>
      <c r="J399" s="402"/>
      <c r="K399" s="402"/>
      <c r="L399" s="402"/>
      <c r="M399" s="402"/>
      <c r="N399" s="402"/>
      <c r="O399" s="402"/>
      <c r="P399" s="402"/>
      <c r="Q399" s="402"/>
      <c r="R399" s="402"/>
      <c r="S399" s="402"/>
      <c r="T399" s="402"/>
      <c r="U399" s="402"/>
      <c r="V399" s="402"/>
      <c r="W399" s="402"/>
      <c r="X399" s="402"/>
      <c r="Y399" s="402"/>
      <c r="Z399" s="402"/>
    </row>
    <row r="400" ht="14.25" customHeight="1">
      <c r="A400" s="406">
        <v>45507.0</v>
      </c>
      <c r="B400" s="829" t="s">
        <v>4816</v>
      </c>
      <c r="C400" s="349" t="s">
        <v>4858</v>
      </c>
      <c r="D400" s="349" t="s">
        <v>54</v>
      </c>
      <c r="E400" s="689"/>
      <c r="F400" s="688">
        <v>15844.86</v>
      </c>
      <c r="G400" s="403"/>
      <c r="H400" s="349" t="s">
        <v>2769</v>
      </c>
      <c r="I400" s="866" t="str">
        <f t="shared" si="10"/>
        <v>NOT PAID</v>
      </c>
      <c r="J400" s="402"/>
      <c r="K400" s="402"/>
      <c r="L400" s="402"/>
      <c r="M400" s="402"/>
      <c r="N400" s="402"/>
      <c r="O400" s="402"/>
      <c r="P400" s="402"/>
      <c r="Q400" s="402"/>
      <c r="R400" s="402"/>
      <c r="S400" s="402"/>
      <c r="T400" s="402"/>
      <c r="U400" s="402"/>
      <c r="V400" s="402"/>
      <c r="W400" s="402"/>
      <c r="X400" s="402"/>
      <c r="Y400" s="402"/>
      <c r="Z400" s="402"/>
    </row>
    <row r="401" ht="14.25" customHeight="1">
      <c r="A401" s="406">
        <v>45507.0</v>
      </c>
      <c r="B401" s="829" t="s">
        <v>4983</v>
      </c>
      <c r="C401" s="349" t="s">
        <v>4860</v>
      </c>
      <c r="D401" s="349" t="s">
        <v>54</v>
      </c>
      <c r="E401" s="689"/>
      <c r="F401" s="688">
        <v>47569.15</v>
      </c>
      <c r="G401" s="403"/>
      <c r="H401" s="349" t="s">
        <v>2769</v>
      </c>
      <c r="I401" s="866" t="str">
        <f t="shared" si="10"/>
        <v>NOT PAID</v>
      </c>
      <c r="J401" s="402"/>
      <c r="K401" s="402"/>
      <c r="L401" s="402"/>
      <c r="M401" s="402"/>
      <c r="N401" s="402"/>
      <c r="O401" s="402"/>
      <c r="P401" s="402"/>
      <c r="Q401" s="402"/>
      <c r="R401" s="402"/>
      <c r="S401" s="402"/>
      <c r="T401" s="402"/>
      <c r="U401" s="402"/>
      <c r="V401" s="402"/>
      <c r="W401" s="402"/>
      <c r="X401" s="402"/>
      <c r="Y401" s="402"/>
      <c r="Z401" s="402"/>
    </row>
    <row r="402" ht="14.25" customHeight="1">
      <c r="A402" s="406">
        <v>45507.0</v>
      </c>
      <c r="B402" s="829" t="s">
        <v>4942</v>
      </c>
      <c r="C402" s="349" t="s">
        <v>4943</v>
      </c>
      <c r="D402" s="349" t="s">
        <v>75</v>
      </c>
      <c r="E402" s="868"/>
      <c r="F402" s="559">
        <v>1000.0</v>
      </c>
      <c r="G402" s="413">
        <v>2000.0</v>
      </c>
      <c r="H402" s="349" t="s">
        <v>2769</v>
      </c>
      <c r="I402" s="866" t="str">
        <f t="shared" si="10"/>
        <v>FULLY PAID</v>
      </c>
      <c r="J402" s="402"/>
      <c r="K402" s="402"/>
      <c r="L402" s="402"/>
      <c r="M402" s="402"/>
      <c r="N402" s="402"/>
      <c r="O402" s="402"/>
      <c r="P402" s="402"/>
      <c r="Q402" s="402"/>
      <c r="R402" s="402"/>
      <c r="S402" s="402"/>
      <c r="T402" s="402"/>
      <c r="U402" s="402"/>
      <c r="V402" s="402"/>
      <c r="W402" s="402"/>
      <c r="X402" s="402"/>
      <c r="Y402" s="402"/>
      <c r="Z402" s="402"/>
    </row>
    <row r="403" ht="14.25" customHeight="1">
      <c r="A403" s="406">
        <v>45507.0</v>
      </c>
      <c r="B403" s="500"/>
      <c r="C403" s="402"/>
      <c r="D403" s="402"/>
      <c r="E403" s="868"/>
      <c r="F403" s="587"/>
      <c r="G403" s="403"/>
      <c r="H403" s="402"/>
      <c r="I403" s="866" t="str">
        <f t="shared" si="10"/>
        <v>FULLY PAID</v>
      </c>
      <c r="J403" s="402"/>
      <c r="K403" s="402"/>
      <c r="L403" s="402"/>
      <c r="M403" s="402"/>
      <c r="N403" s="402"/>
      <c r="O403" s="402"/>
      <c r="P403" s="402"/>
      <c r="Q403" s="402"/>
      <c r="R403" s="402"/>
      <c r="S403" s="402"/>
      <c r="T403" s="402"/>
      <c r="U403" s="402"/>
      <c r="V403" s="402"/>
      <c r="W403" s="402"/>
      <c r="X403" s="402"/>
      <c r="Y403" s="402"/>
      <c r="Z403" s="402"/>
    </row>
    <row r="404" ht="14.25" customHeight="1">
      <c r="A404" s="406">
        <v>45507.0</v>
      </c>
      <c r="B404" s="500"/>
      <c r="C404" s="402"/>
      <c r="D404" s="402"/>
      <c r="E404" s="868"/>
      <c r="F404" s="587"/>
      <c r="G404" s="403"/>
      <c r="H404" s="402"/>
      <c r="I404" s="866" t="str">
        <f t="shared" si="10"/>
        <v>FULLY PAID</v>
      </c>
      <c r="J404" s="402"/>
      <c r="K404" s="402"/>
      <c r="L404" s="402"/>
      <c r="M404" s="402"/>
      <c r="N404" s="402"/>
      <c r="O404" s="402"/>
      <c r="P404" s="402"/>
      <c r="Q404" s="402"/>
      <c r="R404" s="402"/>
      <c r="S404" s="402"/>
      <c r="T404" s="402"/>
      <c r="U404" s="402"/>
      <c r="V404" s="402"/>
      <c r="W404" s="402"/>
      <c r="X404" s="402"/>
      <c r="Y404" s="402"/>
      <c r="Z404" s="402"/>
    </row>
    <row r="405" ht="14.25" customHeight="1">
      <c r="A405" s="406">
        <v>45507.0</v>
      </c>
      <c r="B405" s="500"/>
      <c r="C405" s="402"/>
      <c r="D405" s="402"/>
      <c r="E405" s="868"/>
      <c r="F405" s="587"/>
      <c r="G405" s="403"/>
      <c r="H405" s="402"/>
      <c r="I405" s="866" t="str">
        <f t="shared" si="10"/>
        <v>FULLY PAID</v>
      </c>
      <c r="J405" s="402"/>
      <c r="K405" s="402"/>
      <c r="L405" s="402"/>
      <c r="M405" s="402"/>
      <c r="N405" s="402"/>
      <c r="O405" s="402"/>
      <c r="P405" s="402"/>
      <c r="Q405" s="402"/>
      <c r="R405" s="402"/>
      <c r="S405" s="402"/>
      <c r="T405" s="402"/>
      <c r="U405" s="402"/>
      <c r="V405" s="402"/>
      <c r="W405" s="402"/>
      <c r="X405" s="402"/>
      <c r="Y405" s="402"/>
      <c r="Z405" s="402"/>
    </row>
    <row r="406" ht="14.25" customHeight="1">
      <c r="A406" s="402"/>
      <c r="B406" s="500"/>
      <c r="C406" s="402"/>
      <c r="D406" s="402"/>
      <c r="E406" s="868"/>
      <c r="F406" s="587"/>
      <c r="G406" s="403"/>
      <c r="H406" s="402"/>
      <c r="I406" s="866" t="str">
        <f t="shared" si="10"/>
        <v>FULLY PAID</v>
      </c>
      <c r="J406" s="402"/>
      <c r="K406" s="402"/>
      <c r="L406" s="402"/>
      <c r="M406" s="402"/>
      <c r="N406" s="402"/>
      <c r="O406" s="402"/>
      <c r="P406" s="402"/>
      <c r="Q406" s="402"/>
      <c r="R406" s="402"/>
      <c r="S406" s="402"/>
      <c r="T406" s="402"/>
      <c r="U406" s="402"/>
      <c r="V406" s="402"/>
      <c r="W406" s="402"/>
      <c r="X406" s="402"/>
      <c r="Y406" s="402"/>
      <c r="Z406" s="402"/>
    </row>
    <row r="407" ht="14.25" customHeight="1">
      <c r="A407" s="402"/>
      <c r="B407" s="500"/>
      <c r="C407" s="402"/>
      <c r="D407" s="402"/>
      <c r="E407" s="868"/>
      <c r="F407" s="587"/>
      <c r="G407" s="403"/>
      <c r="H407" s="402"/>
      <c r="I407" s="866" t="str">
        <f t="shared" si="10"/>
        <v>FULLY PAID</v>
      </c>
      <c r="J407" s="402"/>
      <c r="K407" s="402"/>
      <c r="L407" s="402"/>
      <c r="M407" s="402"/>
      <c r="N407" s="402"/>
      <c r="O407" s="402"/>
      <c r="P407" s="402"/>
      <c r="Q407" s="402"/>
      <c r="R407" s="402"/>
      <c r="S407" s="402"/>
      <c r="T407" s="402"/>
      <c r="U407" s="402"/>
      <c r="V407" s="402"/>
      <c r="W407" s="402"/>
      <c r="X407" s="402"/>
      <c r="Y407" s="402"/>
      <c r="Z407" s="402"/>
    </row>
    <row r="408" ht="14.25" customHeight="1">
      <c r="A408" s="406">
        <v>45507.0</v>
      </c>
      <c r="B408" s="829" t="s">
        <v>4781</v>
      </c>
      <c r="C408" s="349" t="s">
        <v>4827</v>
      </c>
      <c r="D408" s="349" t="s">
        <v>54</v>
      </c>
      <c r="E408" s="689" t="s">
        <v>578</v>
      </c>
      <c r="F408" s="559">
        <v>142630.9</v>
      </c>
      <c r="G408" s="403"/>
      <c r="H408" s="402"/>
      <c r="I408" s="866" t="str">
        <f t="shared" si="10"/>
        <v>NOT PAID</v>
      </c>
      <c r="J408" s="402"/>
      <c r="K408" s="402"/>
      <c r="L408" s="402"/>
      <c r="M408" s="402"/>
      <c r="N408" s="402"/>
      <c r="O408" s="402"/>
      <c r="P408" s="402"/>
      <c r="Q408" s="402"/>
      <c r="R408" s="402"/>
      <c r="S408" s="402"/>
      <c r="T408" s="402"/>
      <c r="U408" s="402"/>
      <c r="V408" s="402"/>
      <c r="W408" s="402"/>
      <c r="X408" s="402"/>
      <c r="Y408" s="402"/>
      <c r="Z408" s="402"/>
    </row>
    <row r="409" ht="14.25" customHeight="1">
      <c r="A409" s="406">
        <v>45507.0</v>
      </c>
      <c r="B409" s="829" t="s">
        <v>4830</v>
      </c>
      <c r="C409" s="349" t="s">
        <v>4831</v>
      </c>
      <c r="D409" s="349" t="s">
        <v>1030</v>
      </c>
      <c r="E409" s="689" t="s">
        <v>578</v>
      </c>
      <c r="F409" s="559">
        <v>78322.73</v>
      </c>
      <c r="G409" s="403"/>
      <c r="H409" s="402"/>
      <c r="I409" s="866" t="str">
        <f t="shared" si="10"/>
        <v>NOT PAID</v>
      </c>
      <c r="J409" s="402"/>
      <c r="K409" s="402"/>
      <c r="L409" s="402"/>
      <c r="M409" s="402"/>
      <c r="N409" s="402"/>
      <c r="O409" s="402"/>
      <c r="P409" s="402"/>
      <c r="Q409" s="402"/>
      <c r="R409" s="402"/>
      <c r="S409" s="402"/>
      <c r="T409" s="402"/>
      <c r="U409" s="402"/>
      <c r="V409" s="402"/>
      <c r="W409" s="402"/>
      <c r="X409" s="402"/>
      <c r="Y409" s="402"/>
      <c r="Z409" s="402"/>
    </row>
    <row r="410" ht="14.25" customHeight="1">
      <c r="A410" s="406">
        <v>45507.0</v>
      </c>
      <c r="B410" s="829" t="s">
        <v>4547</v>
      </c>
      <c r="C410" s="349" t="s">
        <v>4836</v>
      </c>
      <c r="D410" s="349" t="s">
        <v>59</v>
      </c>
      <c r="E410" s="689" t="s">
        <v>578</v>
      </c>
      <c r="F410" s="559">
        <v>635602.51</v>
      </c>
      <c r="G410" s="403"/>
      <c r="H410" s="402"/>
      <c r="I410" s="866" t="str">
        <f t="shared" si="10"/>
        <v>NOT PAID</v>
      </c>
      <c r="J410" s="402"/>
      <c r="K410" s="402"/>
      <c r="L410" s="402"/>
      <c r="M410" s="402"/>
      <c r="N410" s="402"/>
      <c r="O410" s="402"/>
      <c r="P410" s="402"/>
      <c r="Q410" s="402"/>
      <c r="R410" s="402"/>
      <c r="S410" s="402"/>
      <c r="T410" s="402"/>
      <c r="U410" s="402"/>
      <c r="V410" s="402"/>
      <c r="W410" s="402"/>
      <c r="X410" s="402"/>
      <c r="Y410" s="402"/>
      <c r="Z410" s="402"/>
    </row>
    <row r="411" ht="14.25" customHeight="1">
      <c r="A411" s="406">
        <v>45507.0</v>
      </c>
      <c r="B411" s="829" t="s">
        <v>4783</v>
      </c>
      <c r="C411" s="349" t="s">
        <v>4945</v>
      </c>
      <c r="D411" s="349" t="s">
        <v>54</v>
      </c>
      <c r="E411" s="689" t="s">
        <v>578</v>
      </c>
      <c r="F411" s="559">
        <v>147656.76</v>
      </c>
      <c r="G411" s="403"/>
      <c r="H411" s="402"/>
      <c r="I411" s="866" t="str">
        <f t="shared" si="10"/>
        <v>NOT PAID</v>
      </c>
      <c r="J411" s="402"/>
      <c r="K411" s="402"/>
      <c r="L411" s="402"/>
      <c r="M411" s="402"/>
      <c r="N411" s="402"/>
      <c r="O411" s="402"/>
      <c r="P411" s="402"/>
      <c r="Q411" s="402"/>
      <c r="R411" s="402"/>
      <c r="S411" s="402"/>
      <c r="T411" s="402"/>
      <c r="U411" s="402"/>
      <c r="V411" s="402"/>
      <c r="W411" s="402"/>
      <c r="X411" s="402"/>
      <c r="Y411" s="402"/>
      <c r="Z411" s="402"/>
    </row>
    <row r="412" ht="14.25" customHeight="1">
      <c r="A412" s="402"/>
      <c r="B412" s="829" t="s">
        <v>5040</v>
      </c>
      <c r="C412" s="349" t="s">
        <v>5041</v>
      </c>
      <c r="D412" s="349" t="s">
        <v>54</v>
      </c>
      <c r="E412" s="689" t="s">
        <v>578</v>
      </c>
      <c r="F412" s="559">
        <v>17717.15</v>
      </c>
      <c r="G412" s="403"/>
      <c r="H412" s="402"/>
      <c r="I412" s="866" t="str">
        <f t="shared" si="10"/>
        <v>NOT PAID</v>
      </c>
      <c r="J412" s="402"/>
      <c r="K412" s="402"/>
      <c r="L412" s="402"/>
      <c r="M412" s="402"/>
      <c r="N412" s="402"/>
      <c r="O412" s="402"/>
      <c r="P412" s="402"/>
      <c r="Q412" s="402"/>
      <c r="R412" s="402"/>
      <c r="S412" s="402"/>
      <c r="T412" s="402"/>
      <c r="U412" s="402"/>
      <c r="V412" s="402"/>
      <c r="W412" s="402"/>
      <c r="X412" s="402"/>
      <c r="Y412" s="402"/>
      <c r="Z412" s="402"/>
    </row>
    <row r="413" ht="14.25" customHeight="1">
      <c r="A413" s="402"/>
      <c r="B413" s="500"/>
      <c r="C413" s="402"/>
      <c r="D413" s="402"/>
      <c r="E413" s="868"/>
      <c r="F413" s="587"/>
      <c r="G413" s="403"/>
      <c r="H413" s="402"/>
      <c r="I413" s="866" t="str">
        <f t="shared" si="10"/>
        <v>FULLY PAID</v>
      </c>
      <c r="J413" s="402"/>
      <c r="K413" s="402"/>
      <c r="L413" s="402"/>
      <c r="M413" s="402"/>
      <c r="N413" s="402"/>
      <c r="O413" s="402"/>
      <c r="P413" s="402"/>
      <c r="Q413" s="402"/>
      <c r="R413" s="402"/>
      <c r="S413" s="402"/>
      <c r="T413" s="402"/>
      <c r="U413" s="402"/>
      <c r="V413" s="402"/>
      <c r="W413" s="402"/>
      <c r="X413" s="402"/>
      <c r="Y413" s="402"/>
      <c r="Z413" s="402"/>
    </row>
    <row r="414" ht="14.25" customHeight="1">
      <c r="A414" s="402"/>
      <c r="B414" s="500"/>
      <c r="C414" s="402"/>
      <c r="D414" s="402"/>
      <c r="E414" s="868"/>
      <c r="F414" s="587"/>
      <c r="G414" s="403"/>
      <c r="H414" s="402"/>
      <c r="I414" s="866" t="str">
        <f t="shared" si="10"/>
        <v>FULLY PAID</v>
      </c>
      <c r="J414" s="402"/>
      <c r="K414" s="402"/>
      <c r="L414" s="402"/>
      <c r="M414" s="402"/>
      <c r="N414" s="402"/>
      <c r="O414" s="402"/>
      <c r="P414" s="402"/>
      <c r="Q414" s="402"/>
      <c r="R414" s="402"/>
      <c r="S414" s="402"/>
      <c r="T414" s="402"/>
      <c r="U414" s="402"/>
      <c r="V414" s="402"/>
      <c r="W414" s="402"/>
      <c r="X414" s="402"/>
      <c r="Y414" s="402"/>
      <c r="Z414" s="402"/>
    </row>
    <row r="415" ht="14.25" customHeight="1">
      <c r="A415" s="896" t="s">
        <v>2130</v>
      </c>
      <c r="B415" s="897" t="s">
        <v>39</v>
      </c>
      <c r="C415" s="896" t="s">
        <v>48</v>
      </c>
      <c r="D415" s="896" t="s">
        <v>49</v>
      </c>
      <c r="E415" s="898" t="s">
        <v>50</v>
      </c>
      <c r="F415" s="899" t="s">
        <v>2</v>
      </c>
      <c r="G415" s="896" t="s">
        <v>44</v>
      </c>
      <c r="H415" s="896" t="s">
        <v>45</v>
      </c>
      <c r="I415" s="866" t="str">
        <f t="shared" si="10"/>
        <v>FULLY PAID</v>
      </c>
      <c r="J415" s="402"/>
      <c r="K415" s="402"/>
      <c r="L415" s="402"/>
      <c r="M415" s="402"/>
      <c r="N415" s="402"/>
      <c r="O415" s="402"/>
      <c r="P415" s="402"/>
      <c r="Q415" s="402"/>
      <c r="R415" s="402"/>
      <c r="S415" s="402"/>
      <c r="T415" s="402"/>
      <c r="U415" s="402"/>
      <c r="V415" s="402"/>
      <c r="W415" s="402"/>
      <c r="X415" s="402"/>
      <c r="Y415" s="402"/>
      <c r="Z415" s="402"/>
    </row>
    <row r="416" ht="14.25" customHeight="1">
      <c r="A416" s="406">
        <v>45509.0</v>
      </c>
      <c r="B416" s="878" t="s">
        <v>5051</v>
      </c>
      <c r="C416" s="878" t="s">
        <v>5052</v>
      </c>
      <c r="D416" s="883" t="s">
        <v>54</v>
      </c>
      <c r="E416" s="689" t="s">
        <v>4971</v>
      </c>
      <c r="F416" s="881">
        <v>949.04</v>
      </c>
      <c r="G416" s="413">
        <v>1000.0</v>
      </c>
      <c r="H416" s="349" t="s">
        <v>267</v>
      </c>
      <c r="I416" s="866" t="str">
        <f t="shared" si="10"/>
        <v>FULLY PAID</v>
      </c>
      <c r="J416" s="402"/>
      <c r="K416" s="402"/>
      <c r="L416" s="402"/>
      <c r="M416" s="402"/>
      <c r="N416" s="402"/>
      <c r="O416" s="402"/>
      <c r="P416" s="402"/>
      <c r="Q416" s="402"/>
      <c r="R416" s="402"/>
      <c r="S416" s="402"/>
      <c r="T416" s="402"/>
      <c r="U416" s="402"/>
      <c r="V416" s="402"/>
      <c r="W416" s="402"/>
      <c r="X416" s="402"/>
      <c r="Y416" s="402"/>
      <c r="Z416" s="402"/>
    </row>
    <row r="417" ht="14.25" customHeight="1">
      <c r="A417" s="406">
        <v>45509.0</v>
      </c>
      <c r="B417" s="878" t="s">
        <v>4864</v>
      </c>
      <c r="C417" s="878" t="s">
        <v>5053</v>
      </c>
      <c r="D417" s="883" t="s">
        <v>54</v>
      </c>
      <c r="E417" s="689" t="s">
        <v>4971</v>
      </c>
      <c r="F417" s="881">
        <v>6735.74</v>
      </c>
      <c r="G417" s="403"/>
      <c r="H417" s="349" t="s">
        <v>5054</v>
      </c>
      <c r="I417" s="866" t="str">
        <f t="shared" si="10"/>
        <v>NOT PAID</v>
      </c>
      <c r="J417" s="402"/>
      <c r="K417" s="402"/>
      <c r="L417" s="402"/>
      <c r="M417" s="402"/>
      <c r="N417" s="402"/>
      <c r="O417" s="402"/>
      <c r="P417" s="402"/>
      <c r="Q417" s="402"/>
      <c r="R417" s="402"/>
      <c r="S417" s="402"/>
      <c r="T417" s="402"/>
      <c r="U417" s="402"/>
      <c r="V417" s="402"/>
      <c r="W417" s="402"/>
      <c r="X417" s="402"/>
      <c r="Y417" s="402"/>
      <c r="Z417" s="402"/>
    </row>
    <row r="418" ht="14.25" customHeight="1">
      <c r="A418" s="406">
        <v>45509.0</v>
      </c>
      <c r="B418" s="878" t="s">
        <v>4900</v>
      </c>
      <c r="C418" s="878" t="s">
        <v>5055</v>
      </c>
      <c r="D418" s="883" t="s">
        <v>54</v>
      </c>
      <c r="E418" s="689" t="s">
        <v>4971</v>
      </c>
      <c r="F418" s="881">
        <v>7579.04</v>
      </c>
      <c r="G418" s="403"/>
      <c r="H418" s="349" t="s">
        <v>5056</v>
      </c>
      <c r="I418" s="866" t="str">
        <f t="shared" si="10"/>
        <v>NOT PAID</v>
      </c>
      <c r="J418" s="402"/>
      <c r="K418" s="402"/>
      <c r="L418" s="402"/>
      <c r="M418" s="402"/>
      <c r="N418" s="402"/>
      <c r="O418" s="402"/>
      <c r="P418" s="402"/>
      <c r="Q418" s="402"/>
      <c r="R418" s="402"/>
      <c r="S418" s="402"/>
      <c r="T418" s="402"/>
      <c r="U418" s="402"/>
      <c r="V418" s="402"/>
      <c r="W418" s="402"/>
      <c r="X418" s="402"/>
      <c r="Y418" s="402"/>
      <c r="Z418" s="402"/>
    </row>
    <row r="419" ht="14.25" customHeight="1">
      <c r="A419" s="406">
        <v>45509.0</v>
      </c>
      <c r="B419" s="878" t="s">
        <v>4933</v>
      </c>
      <c r="C419" s="878" t="s">
        <v>5057</v>
      </c>
      <c r="D419" s="883" t="s">
        <v>59</v>
      </c>
      <c r="E419" s="689" t="s">
        <v>5058</v>
      </c>
      <c r="F419" s="881">
        <v>390098.51</v>
      </c>
      <c r="G419" s="403"/>
      <c r="H419" s="349" t="s">
        <v>5010</v>
      </c>
      <c r="I419" s="866" t="str">
        <f t="shared" si="10"/>
        <v>NOT PAID</v>
      </c>
      <c r="J419" s="402"/>
      <c r="K419" s="402"/>
      <c r="L419" s="402"/>
      <c r="M419" s="402"/>
      <c r="N419" s="402"/>
      <c r="O419" s="402"/>
      <c r="P419" s="402"/>
      <c r="Q419" s="402"/>
      <c r="R419" s="402"/>
      <c r="S419" s="402"/>
      <c r="T419" s="402"/>
      <c r="U419" s="402"/>
      <c r="V419" s="402"/>
      <c r="W419" s="402"/>
      <c r="X419" s="402"/>
      <c r="Y419" s="402"/>
      <c r="Z419" s="402"/>
    </row>
    <row r="420" ht="14.25" customHeight="1">
      <c r="A420" s="406">
        <v>45509.0</v>
      </c>
      <c r="B420" s="878" t="s">
        <v>4885</v>
      </c>
      <c r="C420" s="878" t="s">
        <v>4886</v>
      </c>
      <c r="D420" s="883" t="s">
        <v>54</v>
      </c>
      <c r="E420" s="689" t="s">
        <v>5058</v>
      </c>
      <c r="F420" s="881">
        <v>1474.5</v>
      </c>
      <c r="G420" s="403"/>
      <c r="H420" s="349" t="s">
        <v>2769</v>
      </c>
      <c r="I420" s="866" t="str">
        <f t="shared" si="10"/>
        <v>NOT PAID</v>
      </c>
      <c r="J420" s="402"/>
      <c r="K420" s="402"/>
      <c r="L420" s="402"/>
      <c r="M420" s="402"/>
      <c r="N420" s="402"/>
      <c r="O420" s="402"/>
      <c r="P420" s="402"/>
      <c r="Q420" s="402"/>
      <c r="R420" s="402"/>
      <c r="S420" s="402"/>
      <c r="T420" s="402"/>
      <c r="U420" s="402"/>
      <c r="V420" s="402"/>
      <c r="W420" s="402"/>
      <c r="X420" s="402"/>
      <c r="Y420" s="402"/>
      <c r="Z420" s="402"/>
    </row>
    <row r="421" ht="14.25" customHeight="1">
      <c r="A421" s="406">
        <v>45509.0</v>
      </c>
      <c r="B421" s="878" t="s">
        <v>4770</v>
      </c>
      <c r="C421" s="878" t="s">
        <v>2529</v>
      </c>
      <c r="D421" s="883" t="s">
        <v>263</v>
      </c>
      <c r="E421" s="689" t="s">
        <v>5058</v>
      </c>
      <c r="F421" s="881">
        <v>84409.65</v>
      </c>
      <c r="G421" s="413">
        <v>16000.0</v>
      </c>
      <c r="H421" s="349" t="s">
        <v>5010</v>
      </c>
      <c r="I421" s="866" t="str">
        <f t="shared" si="10"/>
        <v>PARTIALLY PAID</v>
      </c>
      <c r="J421" s="402"/>
      <c r="K421" s="402"/>
      <c r="L421" s="402"/>
      <c r="M421" s="402"/>
      <c r="N421" s="402"/>
      <c r="O421" s="402"/>
      <c r="P421" s="402"/>
      <c r="Q421" s="402"/>
      <c r="R421" s="402"/>
      <c r="S421" s="402"/>
      <c r="T421" s="402"/>
      <c r="U421" s="402"/>
      <c r="V421" s="402"/>
      <c r="W421" s="402"/>
      <c r="X421" s="402"/>
      <c r="Y421" s="402"/>
      <c r="Z421" s="402"/>
    </row>
    <row r="422" ht="14.25" customHeight="1">
      <c r="A422" s="406">
        <v>45509.0</v>
      </c>
      <c r="B422" s="878" t="s">
        <v>4773</v>
      </c>
      <c r="C422" s="878" t="s">
        <v>4839</v>
      </c>
      <c r="D422" s="883" t="s">
        <v>54</v>
      </c>
      <c r="E422" s="689" t="s">
        <v>4971</v>
      </c>
      <c r="F422" s="881">
        <v>888.83</v>
      </c>
      <c r="G422" s="403"/>
      <c r="H422" s="349" t="s">
        <v>5059</v>
      </c>
      <c r="I422" s="866" t="str">
        <f t="shared" si="10"/>
        <v>NOT PAID</v>
      </c>
      <c r="J422" s="402"/>
      <c r="K422" s="402"/>
      <c r="L422" s="402"/>
      <c r="M422" s="402"/>
      <c r="N422" s="402"/>
      <c r="O422" s="402"/>
      <c r="P422" s="402"/>
      <c r="Q422" s="402"/>
      <c r="R422" s="402"/>
      <c r="S422" s="402"/>
      <c r="T422" s="402"/>
      <c r="U422" s="402"/>
      <c r="V422" s="402"/>
      <c r="W422" s="402"/>
      <c r="X422" s="402"/>
      <c r="Y422" s="402"/>
      <c r="Z422" s="402"/>
    </row>
    <row r="423" ht="14.25" customHeight="1">
      <c r="A423" s="406">
        <v>45509.0</v>
      </c>
      <c r="B423" s="878" t="s">
        <v>5042</v>
      </c>
      <c r="C423" s="878" t="s">
        <v>5060</v>
      </c>
      <c r="D423" s="883" t="s">
        <v>54</v>
      </c>
      <c r="E423" s="689" t="s">
        <v>5058</v>
      </c>
      <c r="F423" s="881">
        <v>47393.71</v>
      </c>
      <c r="G423" s="403"/>
      <c r="H423" s="349" t="s">
        <v>2337</v>
      </c>
      <c r="I423" s="866" t="str">
        <f t="shared" si="10"/>
        <v>NOT PAID</v>
      </c>
      <c r="J423" s="402"/>
      <c r="K423" s="402"/>
      <c r="L423" s="402"/>
      <c r="M423" s="402"/>
      <c r="N423" s="402"/>
      <c r="O423" s="402"/>
      <c r="P423" s="402"/>
      <c r="Q423" s="402"/>
      <c r="R423" s="402"/>
      <c r="S423" s="402"/>
      <c r="T423" s="402"/>
      <c r="U423" s="402"/>
      <c r="V423" s="402"/>
      <c r="W423" s="402"/>
      <c r="X423" s="402"/>
      <c r="Y423" s="402"/>
      <c r="Z423" s="402"/>
    </row>
    <row r="424" ht="14.25" customHeight="1">
      <c r="A424" s="406">
        <v>45509.0</v>
      </c>
      <c r="B424" s="878" t="s">
        <v>4958</v>
      </c>
      <c r="C424" s="878" t="s">
        <v>5007</v>
      </c>
      <c r="D424" s="883" t="s">
        <v>54</v>
      </c>
      <c r="E424" s="689" t="s">
        <v>5058</v>
      </c>
      <c r="F424" s="881">
        <v>21.82</v>
      </c>
      <c r="G424" s="413">
        <v>22.0</v>
      </c>
      <c r="H424" s="349" t="s">
        <v>710</v>
      </c>
      <c r="I424" s="866" t="str">
        <f t="shared" si="10"/>
        <v>FULLY PAID</v>
      </c>
      <c r="J424" s="402"/>
      <c r="K424" s="402"/>
      <c r="L424" s="402"/>
      <c r="M424" s="402"/>
      <c r="N424" s="402"/>
      <c r="O424" s="402"/>
      <c r="P424" s="402"/>
      <c r="Q424" s="402"/>
      <c r="R424" s="402"/>
      <c r="S424" s="402"/>
      <c r="T424" s="402"/>
      <c r="U424" s="402"/>
      <c r="V424" s="402"/>
      <c r="W424" s="402"/>
      <c r="X424" s="402"/>
      <c r="Y424" s="402"/>
      <c r="Z424" s="402"/>
    </row>
    <row r="425" ht="14.25" customHeight="1">
      <c r="A425" s="406">
        <v>45509.0</v>
      </c>
      <c r="B425" s="878" t="s">
        <v>5061</v>
      </c>
      <c r="C425" s="878" t="s">
        <v>4842</v>
      </c>
      <c r="D425" s="883" t="s">
        <v>54</v>
      </c>
      <c r="E425" s="689" t="s">
        <v>5058</v>
      </c>
      <c r="F425" s="881">
        <v>1319.12</v>
      </c>
      <c r="G425" s="413">
        <v>1400.0</v>
      </c>
      <c r="H425" s="349" t="s">
        <v>710</v>
      </c>
      <c r="I425" s="866" t="str">
        <f t="shared" si="10"/>
        <v>FULLY PAID</v>
      </c>
      <c r="J425" s="402"/>
      <c r="K425" s="402"/>
      <c r="L425" s="402"/>
      <c r="M425" s="402"/>
      <c r="N425" s="402"/>
      <c r="O425" s="402"/>
      <c r="P425" s="402"/>
      <c r="Q425" s="402"/>
      <c r="R425" s="402"/>
      <c r="S425" s="402"/>
      <c r="T425" s="402"/>
      <c r="U425" s="402"/>
      <c r="V425" s="402"/>
      <c r="W425" s="402"/>
      <c r="X425" s="402"/>
      <c r="Y425" s="402"/>
      <c r="Z425" s="402"/>
    </row>
    <row r="426" ht="14.25" customHeight="1">
      <c r="A426" s="406">
        <v>45509.0</v>
      </c>
      <c r="B426" s="878" t="s">
        <v>4779</v>
      </c>
      <c r="C426" s="878" t="s">
        <v>4907</v>
      </c>
      <c r="D426" s="883" t="s">
        <v>54</v>
      </c>
      <c r="E426" s="689" t="s">
        <v>5058</v>
      </c>
      <c r="F426" s="881">
        <v>2682.6</v>
      </c>
      <c r="G426" s="403"/>
      <c r="H426" s="349" t="s">
        <v>5062</v>
      </c>
      <c r="I426" s="866" t="str">
        <f t="shared" si="10"/>
        <v>NOT PAID</v>
      </c>
      <c r="J426" s="402"/>
      <c r="K426" s="402"/>
      <c r="L426" s="402"/>
      <c r="M426" s="402"/>
      <c r="N426" s="402"/>
      <c r="O426" s="402"/>
      <c r="P426" s="402"/>
      <c r="Q426" s="402"/>
      <c r="R426" s="402"/>
      <c r="S426" s="402"/>
      <c r="T426" s="402"/>
      <c r="U426" s="402"/>
      <c r="V426" s="402"/>
      <c r="W426" s="402"/>
      <c r="X426" s="402"/>
      <c r="Y426" s="402"/>
      <c r="Z426" s="402"/>
    </row>
    <row r="427" ht="14.25" customHeight="1">
      <c r="A427" s="406">
        <v>45509.0</v>
      </c>
      <c r="B427" s="878" t="s">
        <v>4977</v>
      </c>
      <c r="C427" s="878" t="s">
        <v>4978</v>
      </c>
      <c r="D427" s="883" t="s">
        <v>54</v>
      </c>
      <c r="E427" s="689" t="s">
        <v>4913</v>
      </c>
      <c r="F427" s="881">
        <v>892.65</v>
      </c>
      <c r="G427" s="403"/>
      <c r="H427" s="349" t="s">
        <v>5062</v>
      </c>
      <c r="I427" s="866" t="str">
        <f t="shared" si="10"/>
        <v>NOT PAID</v>
      </c>
      <c r="J427" s="402"/>
      <c r="K427" s="402"/>
      <c r="L427" s="402"/>
      <c r="M427" s="402"/>
      <c r="N427" s="402"/>
      <c r="O427" s="402"/>
      <c r="P427" s="402"/>
      <c r="Q427" s="402"/>
      <c r="R427" s="402"/>
      <c r="S427" s="402"/>
      <c r="T427" s="402"/>
      <c r="U427" s="402"/>
      <c r="V427" s="402"/>
      <c r="W427" s="402"/>
      <c r="X427" s="402"/>
      <c r="Y427" s="402"/>
      <c r="Z427" s="402"/>
    </row>
    <row r="428" ht="14.25" customHeight="1">
      <c r="A428" s="406">
        <v>45509.0</v>
      </c>
      <c r="B428" s="878" t="s">
        <v>4807</v>
      </c>
      <c r="C428" s="878" t="s">
        <v>4978</v>
      </c>
      <c r="D428" s="883" t="s">
        <v>346</v>
      </c>
      <c r="E428" s="689" t="s">
        <v>5058</v>
      </c>
      <c r="F428" s="881">
        <v>3896.91</v>
      </c>
      <c r="G428" s="403"/>
      <c r="H428" s="349" t="s">
        <v>5062</v>
      </c>
      <c r="I428" s="866" t="str">
        <f t="shared" si="10"/>
        <v>NOT PAID</v>
      </c>
      <c r="J428" s="402"/>
      <c r="K428" s="402"/>
      <c r="L428" s="402"/>
      <c r="M428" s="402"/>
      <c r="N428" s="402"/>
      <c r="O428" s="402"/>
      <c r="P428" s="402"/>
      <c r="Q428" s="402"/>
      <c r="R428" s="402"/>
      <c r="S428" s="402"/>
      <c r="T428" s="402"/>
      <c r="U428" s="402"/>
      <c r="V428" s="402"/>
      <c r="W428" s="402"/>
      <c r="X428" s="402"/>
      <c r="Y428" s="402"/>
      <c r="Z428" s="402"/>
    </row>
    <row r="429" ht="14.25" customHeight="1">
      <c r="A429" s="406">
        <v>45509.0</v>
      </c>
      <c r="B429" s="878" t="s">
        <v>4809</v>
      </c>
      <c r="C429" s="878" t="s">
        <v>4909</v>
      </c>
      <c r="D429" s="883" t="s">
        <v>54</v>
      </c>
      <c r="E429" s="689" t="s">
        <v>4913</v>
      </c>
      <c r="F429" s="881">
        <v>5512.45</v>
      </c>
      <c r="G429" s="403"/>
      <c r="H429" s="349" t="s">
        <v>5063</v>
      </c>
      <c r="I429" s="866" t="str">
        <f t="shared" si="10"/>
        <v>NOT PAID</v>
      </c>
      <c r="J429" s="402"/>
      <c r="K429" s="402"/>
      <c r="L429" s="402"/>
      <c r="M429" s="402"/>
      <c r="N429" s="402"/>
      <c r="O429" s="402"/>
      <c r="P429" s="402"/>
      <c r="Q429" s="402"/>
      <c r="R429" s="402"/>
      <c r="S429" s="402"/>
      <c r="T429" s="402"/>
      <c r="U429" s="402"/>
      <c r="V429" s="402"/>
      <c r="W429" s="402"/>
      <c r="X429" s="402"/>
      <c r="Y429" s="402"/>
      <c r="Z429" s="402"/>
    </row>
    <row r="430" ht="14.25" customHeight="1">
      <c r="A430" s="406">
        <v>45509.0</v>
      </c>
      <c r="B430" s="878" t="s">
        <v>5033</v>
      </c>
      <c r="C430" s="878" t="s">
        <v>5034</v>
      </c>
      <c r="D430" s="883" t="s">
        <v>54</v>
      </c>
      <c r="E430" s="689" t="s">
        <v>4913</v>
      </c>
      <c r="F430" s="881">
        <v>45307.51</v>
      </c>
      <c r="G430" s="403"/>
      <c r="H430" s="349" t="s">
        <v>2337</v>
      </c>
      <c r="I430" s="866" t="str">
        <f t="shared" si="10"/>
        <v>NOT PAID</v>
      </c>
      <c r="J430" s="402"/>
      <c r="K430" s="402"/>
      <c r="L430" s="402"/>
      <c r="M430" s="402"/>
      <c r="N430" s="402"/>
      <c r="O430" s="402"/>
      <c r="P430" s="402"/>
      <c r="Q430" s="402"/>
      <c r="R430" s="402"/>
      <c r="S430" s="402"/>
      <c r="T430" s="402"/>
      <c r="U430" s="402"/>
      <c r="V430" s="402"/>
      <c r="W430" s="402"/>
      <c r="X430" s="402"/>
      <c r="Y430" s="402"/>
      <c r="Z430" s="402"/>
    </row>
    <row r="431" ht="14.25" customHeight="1">
      <c r="A431" s="406">
        <v>45509.0</v>
      </c>
      <c r="B431" s="878" t="s">
        <v>4939</v>
      </c>
      <c r="C431" s="878" t="s">
        <v>4932</v>
      </c>
      <c r="D431" s="883" t="s">
        <v>54</v>
      </c>
      <c r="E431" s="689" t="s">
        <v>5058</v>
      </c>
      <c r="F431" s="881">
        <v>10380.0</v>
      </c>
      <c r="G431" s="413">
        <v>10000.0</v>
      </c>
      <c r="H431" s="349" t="s">
        <v>710</v>
      </c>
      <c r="I431" s="866" t="str">
        <f t="shared" si="10"/>
        <v>PARTIALLY PAID</v>
      </c>
      <c r="J431" s="402"/>
      <c r="K431" s="402"/>
      <c r="L431" s="402"/>
      <c r="M431" s="402"/>
      <c r="N431" s="402"/>
      <c r="O431" s="402"/>
      <c r="P431" s="402"/>
      <c r="Q431" s="402"/>
      <c r="R431" s="402"/>
      <c r="S431" s="402"/>
      <c r="T431" s="402"/>
      <c r="U431" s="402"/>
      <c r="V431" s="402"/>
      <c r="W431" s="402"/>
      <c r="X431" s="402"/>
      <c r="Y431" s="402"/>
      <c r="Z431" s="402"/>
    </row>
    <row r="432" ht="14.25" customHeight="1">
      <c r="A432" s="406">
        <v>45509.0</v>
      </c>
      <c r="B432" s="878" t="s">
        <v>4787</v>
      </c>
      <c r="C432" s="878" t="s">
        <v>4846</v>
      </c>
      <c r="D432" s="883" t="s">
        <v>54</v>
      </c>
      <c r="E432" s="689" t="s">
        <v>4971</v>
      </c>
      <c r="F432" s="881">
        <v>2895.43</v>
      </c>
      <c r="G432" s="403"/>
      <c r="H432" s="349" t="s">
        <v>4964</v>
      </c>
      <c r="I432" s="866" t="str">
        <f t="shared" si="10"/>
        <v>NOT PAID</v>
      </c>
      <c r="J432" s="402"/>
      <c r="K432" s="402"/>
      <c r="L432" s="402"/>
      <c r="M432" s="402"/>
      <c r="N432" s="402"/>
      <c r="O432" s="402"/>
      <c r="P432" s="402"/>
      <c r="Q432" s="402"/>
      <c r="R432" s="402"/>
      <c r="S432" s="402"/>
      <c r="T432" s="402"/>
      <c r="U432" s="402"/>
      <c r="V432" s="402"/>
      <c r="W432" s="402"/>
      <c r="X432" s="402"/>
      <c r="Y432" s="402"/>
      <c r="Z432" s="402"/>
    </row>
    <row r="433" ht="14.25" customHeight="1">
      <c r="A433" s="406">
        <v>45509.0</v>
      </c>
      <c r="B433" s="878" t="s">
        <v>4833</v>
      </c>
      <c r="C433" s="878" t="s">
        <v>5064</v>
      </c>
      <c r="D433" s="883" t="s">
        <v>54</v>
      </c>
      <c r="E433" s="689" t="s">
        <v>5058</v>
      </c>
      <c r="F433" s="881">
        <v>153190.91</v>
      </c>
      <c r="G433" s="403"/>
      <c r="H433" s="349" t="s">
        <v>5065</v>
      </c>
      <c r="I433" s="866" t="str">
        <f t="shared" si="10"/>
        <v>NOT PAID</v>
      </c>
      <c r="J433" s="402"/>
      <c r="K433" s="402"/>
      <c r="L433" s="402"/>
      <c r="M433" s="402"/>
      <c r="N433" s="402"/>
      <c r="O433" s="402"/>
      <c r="P433" s="402"/>
      <c r="Q433" s="402"/>
      <c r="R433" s="402"/>
      <c r="S433" s="402"/>
      <c r="T433" s="402"/>
      <c r="U433" s="402"/>
      <c r="V433" s="402"/>
      <c r="W433" s="402"/>
      <c r="X433" s="402"/>
      <c r="Y433" s="402"/>
      <c r="Z433" s="402"/>
    </row>
    <row r="434" ht="14.25" customHeight="1">
      <c r="A434" s="406">
        <v>45509.0</v>
      </c>
      <c r="B434" s="878" t="s">
        <v>4811</v>
      </c>
      <c r="C434" s="878" t="s">
        <v>4859</v>
      </c>
      <c r="D434" s="883" t="s">
        <v>54</v>
      </c>
      <c r="E434" s="689" t="s">
        <v>4913</v>
      </c>
      <c r="F434" s="881">
        <v>8085.55</v>
      </c>
      <c r="G434" s="403"/>
      <c r="H434" s="349" t="s">
        <v>5066</v>
      </c>
      <c r="I434" s="866" t="str">
        <f t="shared" si="10"/>
        <v>NOT PAID</v>
      </c>
      <c r="J434" s="402"/>
      <c r="K434" s="402"/>
      <c r="L434" s="402"/>
      <c r="M434" s="402"/>
      <c r="N434" s="402"/>
      <c r="O434" s="402"/>
      <c r="P434" s="402"/>
      <c r="Q434" s="402"/>
      <c r="R434" s="402"/>
      <c r="S434" s="402"/>
      <c r="T434" s="402"/>
      <c r="U434" s="402"/>
      <c r="V434" s="402"/>
      <c r="W434" s="402"/>
      <c r="X434" s="402"/>
      <c r="Y434" s="402"/>
      <c r="Z434" s="402"/>
    </row>
    <row r="435" ht="14.25" customHeight="1">
      <c r="A435" s="406">
        <v>45509.0</v>
      </c>
      <c r="B435" s="878" t="s">
        <v>4815</v>
      </c>
      <c r="C435" s="878" t="s">
        <v>4974</v>
      </c>
      <c r="D435" s="883" t="s">
        <v>54</v>
      </c>
      <c r="E435" s="689" t="s">
        <v>4913</v>
      </c>
      <c r="F435" s="881">
        <v>30151.86</v>
      </c>
      <c r="G435" s="403"/>
      <c r="H435" s="349" t="s">
        <v>5066</v>
      </c>
      <c r="I435" s="866" t="str">
        <f t="shared" si="10"/>
        <v>NOT PAID</v>
      </c>
      <c r="J435" s="402"/>
      <c r="K435" s="402"/>
      <c r="L435" s="402"/>
      <c r="M435" s="402"/>
      <c r="N435" s="402"/>
      <c r="O435" s="402"/>
      <c r="P435" s="402"/>
      <c r="Q435" s="402"/>
      <c r="R435" s="402"/>
      <c r="S435" s="402"/>
      <c r="T435" s="402"/>
      <c r="U435" s="402"/>
      <c r="V435" s="402"/>
      <c r="W435" s="402"/>
      <c r="X435" s="402"/>
      <c r="Y435" s="402"/>
      <c r="Z435" s="402"/>
    </row>
    <row r="436" ht="14.25" customHeight="1">
      <c r="A436" s="406">
        <v>45509.0</v>
      </c>
      <c r="B436" s="878" t="s">
        <v>4990</v>
      </c>
      <c r="C436" s="878" t="s">
        <v>4991</v>
      </c>
      <c r="D436" s="883" t="s">
        <v>54</v>
      </c>
      <c r="E436" s="689" t="s">
        <v>5067</v>
      </c>
      <c r="F436" s="881">
        <v>26649.65</v>
      </c>
      <c r="G436" s="403"/>
      <c r="H436" s="349" t="s">
        <v>5065</v>
      </c>
      <c r="I436" s="866" t="str">
        <f t="shared" si="10"/>
        <v>NOT PAID</v>
      </c>
      <c r="J436" s="402"/>
      <c r="K436" s="402"/>
      <c r="L436" s="402"/>
      <c r="M436" s="402"/>
      <c r="N436" s="402"/>
      <c r="O436" s="402"/>
      <c r="P436" s="402"/>
      <c r="Q436" s="402"/>
      <c r="R436" s="402"/>
      <c r="S436" s="402"/>
      <c r="T436" s="402"/>
      <c r="U436" s="402"/>
      <c r="V436" s="402"/>
      <c r="W436" s="402"/>
      <c r="X436" s="402"/>
      <c r="Y436" s="402"/>
      <c r="Z436" s="402"/>
    </row>
    <row r="437" ht="14.25" customHeight="1">
      <c r="A437" s="406">
        <v>45509.0</v>
      </c>
      <c r="B437" s="878" t="s">
        <v>5068</v>
      </c>
      <c r="C437" s="878" t="s">
        <v>4843</v>
      </c>
      <c r="D437" s="883" t="s">
        <v>54</v>
      </c>
      <c r="E437" s="689" t="s">
        <v>5067</v>
      </c>
      <c r="F437" s="881">
        <v>89136.0</v>
      </c>
      <c r="G437" s="403"/>
      <c r="H437" s="349" t="s">
        <v>5069</v>
      </c>
      <c r="I437" s="866" t="str">
        <f t="shared" si="10"/>
        <v>NOT PAID</v>
      </c>
      <c r="J437" s="402"/>
      <c r="K437" s="402"/>
      <c r="L437" s="402"/>
      <c r="M437" s="402"/>
      <c r="N437" s="402"/>
      <c r="O437" s="402"/>
      <c r="P437" s="402"/>
      <c r="Q437" s="402"/>
      <c r="R437" s="402"/>
      <c r="S437" s="402"/>
      <c r="T437" s="402"/>
      <c r="U437" s="402"/>
      <c r="V437" s="402"/>
      <c r="W437" s="402"/>
      <c r="X437" s="402"/>
      <c r="Y437" s="402"/>
      <c r="Z437" s="402"/>
    </row>
    <row r="438" ht="14.25" customHeight="1">
      <c r="A438" s="406">
        <v>45509.0</v>
      </c>
      <c r="B438" s="878" t="s">
        <v>4981</v>
      </c>
      <c r="C438" s="878" t="s">
        <v>4982</v>
      </c>
      <c r="D438" s="883" t="s">
        <v>54</v>
      </c>
      <c r="E438" s="689" t="s">
        <v>5058</v>
      </c>
      <c r="F438" s="881">
        <v>6057.5</v>
      </c>
      <c r="G438" s="403"/>
      <c r="H438" s="349" t="s">
        <v>1534</v>
      </c>
      <c r="I438" s="866" t="str">
        <f t="shared" si="10"/>
        <v>NOT PAID</v>
      </c>
      <c r="J438" s="402"/>
      <c r="K438" s="402"/>
      <c r="L438" s="402"/>
      <c r="M438" s="402"/>
      <c r="N438" s="402"/>
      <c r="O438" s="402"/>
      <c r="P438" s="402"/>
      <c r="Q438" s="402"/>
      <c r="R438" s="402"/>
      <c r="S438" s="402"/>
      <c r="T438" s="402"/>
      <c r="U438" s="402"/>
      <c r="V438" s="402"/>
      <c r="W438" s="402"/>
      <c r="X438" s="402"/>
      <c r="Y438" s="402"/>
      <c r="Z438" s="402"/>
    </row>
    <row r="439" ht="14.25" customHeight="1">
      <c r="A439" s="406">
        <v>45509.0</v>
      </c>
      <c r="B439" s="878" t="s">
        <v>5070</v>
      </c>
      <c r="C439" s="878" t="s">
        <v>4974</v>
      </c>
      <c r="D439" s="883" t="s">
        <v>75</v>
      </c>
      <c r="E439" s="689" t="s">
        <v>4913</v>
      </c>
      <c r="F439" s="881">
        <v>1650000.0</v>
      </c>
      <c r="G439" s="413">
        <v>1650000.0</v>
      </c>
      <c r="H439" s="349" t="s">
        <v>267</v>
      </c>
      <c r="I439" s="866" t="str">
        <f t="shared" si="10"/>
        <v>FULLY PAID</v>
      </c>
      <c r="J439" s="402"/>
      <c r="K439" s="402"/>
      <c r="L439" s="402"/>
      <c r="M439" s="402"/>
      <c r="N439" s="402"/>
      <c r="O439" s="402"/>
      <c r="P439" s="402"/>
      <c r="Q439" s="402"/>
      <c r="R439" s="402"/>
      <c r="S439" s="402"/>
      <c r="T439" s="402"/>
      <c r="U439" s="402"/>
      <c r="V439" s="402"/>
      <c r="W439" s="402"/>
      <c r="X439" s="402"/>
      <c r="Y439" s="402"/>
      <c r="Z439" s="402"/>
    </row>
    <row r="440" ht="14.25" customHeight="1">
      <c r="A440" s="406">
        <v>45509.0</v>
      </c>
      <c r="B440" s="878" t="s">
        <v>5071</v>
      </c>
      <c r="C440" s="878" t="s">
        <v>5072</v>
      </c>
      <c r="D440" s="883" t="s">
        <v>54</v>
      </c>
      <c r="E440" s="689" t="s">
        <v>5073</v>
      </c>
      <c r="F440" s="881">
        <v>59639.0</v>
      </c>
      <c r="G440" s="403"/>
      <c r="H440" s="490" t="s">
        <v>5074</v>
      </c>
      <c r="I440" s="866" t="str">
        <f t="shared" si="10"/>
        <v>NOT PAID</v>
      </c>
      <c r="J440" s="402"/>
      <c r="K440" s="402"/>
      <c r="L440" s="402"/>
      <c r="M440" s="402"/>
      <c r="N440" s="402"/>
      <c r="O440" s="402"/>
      <c r="P440" s="402"/>
      <c r="Q440" s="402"/>
      <c r="R440" s="402"/>
      <c r="S440" s="402"/>
      <c r="T440" s="402"/>
      <c r="U440" s="402"/>
      <c r="V440" s="402"/>
      <c r="W440" s="402"/>
      <c r="X440" s="402"/>
      <c r="Y440" s="402"/>
      <c r="Z440" s="402"/>
    </row>
    <row r="441" ht="14.25" customHeight="1">
      <c r="A441" s="406">
        <v>45509.0</v>
      </c>
      <c r="B441" s="878" t="s">
        <v>5075</v>
      </c>
      <c r="C441" s="878" t="s">
        <v>5076</v>
      </c>
      <c r="D441" s="883" t="s">
        <v>75</v>
      </c>
      <c r="E441" s="689" t="s">
        <v>4913</v>
      </c>
      <c r="F441" s="881">
        <v>74300.0</v>
      </c>
      <c r="G441" s="403"/>
      <c r="H441" s="349" t="s">
        <v>5077</v>
      </c>
      <c r="I441" s="866" t="str">
        <f t="shared" si="10"/>
        <v>NOT PAID</v>
      </c>
      <c r="J441" s="402"/>
      <c r="K441" s="402"/>
      <c r="L441" s="402"/>
      <c r="M441" s="402"/>
      <c r="N441" s="402"/>
      <c r="O441" s="402"/>
      <c r="P441" s="402"/>
      <c r="Q441" s="402"/>
      <c r="R441" s="402"/>
      <c r="S441" s="402"/>
      <c r="T441" s="402"/>
      <c r="U441" s="402"/>
      <c r="V441" s="402"/>
      <c r="W441" s="402"/>
      <c r="X441" s="402"/>
      <c r="Y441" s="402"/>
      <c r="Z441" s="402"/>
    </row>
    <row r="442" ht="14.25" customHeight="1">
      <c r="A442" s="406">
        <v>45509.0</v>
      </c>
      <c r="B442" s="878" t="s">
        <v>5078</v>
      </c>
      <c r="C442" s="878" t="s">
        <v>1244</v>
      </c>
      <c r="D442" s="883" t="s">
        <v>54</v>
      </c>
      <c r="E442" s="689" t="s">
        <v>5058</v>
      </c>
      <c r="F442" s="881">
        <v>82157.2</v>
      </c>
      <c r="G442" s="413">
        <v>0.0</v>
      </c>
      <c r="H442" s="349" t="s">
        <v>5079</v>
      </c>
      <c r="I442" s="866" t="str">
        <f t="shared" si="10"/>
        <v>NOT PAID</v>
      </c>
      <c r="J442" s="402"/>
      <c r="K442" s="402"/>
      <c r="L442" s="402"/>
      <c r="M442" s="402"/>
      <c r="N442" s="402"/>
      <c r="O442" s="402"/>
      <c r="P442" s="402"/>
      <c r="Q442" s="402"/>
      <c r="R442" s="402"/>
      <c r="S442" s="402"/>
      <c r="T442" s="402"/>
      <c r="U442" s="402"/>
      <c r="V442" s="402"/>
      <c r="W442" s="402"/>
      <c r="X442" s="402"/>
      <c r="Y442" s="402"/>
      <c r="Z442" s="402"/>
    </row>
    <row r="443" ht="14.25" customHeight="1">
      <c r="A443" s="406">
        <v>45509.0</v>
      </c>
      <c r="B443" s="878" t="s">
        <v>4800</v>
      </c>
      <c r="C443" s="878" t="s">
        <v>758</v>
      </c>
      <c r="D443" s="883" t="s">
        <v>59</v>
      </c>
      <c r="E443" s="689" t="s">
        <v>4913</v>
      </c>
      <c r="F443" s="881">
        <v>182863.11</v>
      </c>
      <c r="G443" s="403"/>
      <c r="H443" s="349" t="s">
        <v>2769</v>
      </c>
      <c r="I443" s="866" t="str">
        <f t="shared" si="10"/>
        <v>NOT PAID</v>
      </c>
      <c r="J443" s="402"/>
      <c r="K443" s="402"/>
      <c r="L443" s="402"/>
      <c r="M443" s="402"/>
      <c r="N443" s="402"/>
      <c r="O443" s="402"/>
      <c r="P443" s="402"/>
      <c r="Q443" s="402"/>
      <c r="R443" s="402"/>
      <c r="S443" s="402"/>
      <c r="T443" s="402"/>
      <c r="U443" s="402"/>
      <c r="V443" s="402"/>
      <c r="W443" s="402"/>
      <c r="X443" s="402"/>
      <c r="Y443" s="402"/>
      <c r="Z443" s="402"/>
    </row>
    <row r="444" ht="14.25" customHeight="1">
      <c r="A444" s="406">
        <v>45509.0</v>
      </c>
      <c r="B444" s="878" t="s">
        <v>4803</v>
      </c>
      <c r="C444" s="878" t="s">
        <v>4853</v>
      </c>
      <c r="D444" s="883" t="s">
        <v>54</v>
      </c>
      <c r="E444" s="689" t="s">
        <v>4913</v>
      </c>
      <c r="F444" s="881">
        <v>11205.57</v>
      </c>
      <c r="G444" s="403"/>
      <c r="H444" s="349" t="s">
        <v>952</v>
      </c>
      <c r="I444" s="866" t="str">
        <f t="shared" si="10"/>
        <v>NOT PAID</v>
      </c>
      <c r="J444" s="402"/>
      <c r="K444" s="402"/>
      <c r="L444" s="402"/>
      <c r="M444" s="402"/>
      <c r="N444" s="402"/>
      <c r="O444" s="402"/>
      <c r="P444" s="402"/>
      <c r="Q444" s="402"/>
      <c r="R444" s="402"/>
      <c r="S444" s="402"/>
      <c r="T444" s="402"/>
      <c r="U444" s="402"/>
      <c r="V444" s="402"/>
      <c r="W444" s="402"/>
      <c r="X444" s="402"/>
      <c r="Y444" s="402"/>
      <c r="Z444" s="402"/>
    </row>
    <row r="445" ht="14.25" customHeight="1">
      <c r="A445" s="406">
        <v>45509.0</v>
      </c>
      <c r="B445" s="878" t="s">
        <v>4775</v>
      </c>
      <c r="C445" s="878" t="s">
        <v>4922</v>
      </c>
      <c r="D445" s="883" t="s">
        <v>59</v>
      </c>
      <c r="E445" s="689" t="s">
        <v>5058</v>
      </c>
      <c r="F445" s="881">
        <v>164233.39</v>
      </c>
      <c r="G445" s="403"/>
      <c r="H445" s="349" t="s">
        <v>5080</v>
      </c>
      <c r="I445" s="866" t="str">
        <f t="shared" si="10"/>
        <v>NOT PAID</v>
      </c>
      <c r="J445" s="402"/>
      <c r="K445" s="402"/>
      <c r="L445" s="402"/>
      <c r="M445" s="402"/>
      <c r="N445" s="402"/>
      <c r="O445" s="402"/>
      <c r="P445" s="402"/>
      <c r="Q445" s="402"/>
      <c r="R445" s="402"/>
      <c r="S445" s="402"/>
      <c r="T445" s="402"/>
      <c r="U445" s="402"/>
      <c r="V445" s="402"/>
      <c r="W445" s="402"/>
      <c r="X445" s="402"/>
      <c r="Y445" s="402"/>
      <c r="Z445" s="402"/>
    </row>
    <row r="446" ht="14.25" customHeight="1">
      <c r="A446" s="406">
        <v>45509.0</v>
      </c>
      <c r="B446" s="878" t="s">
        <v>4969</v>
      </c>
      <c r="C446" s="878" t="s">
        <v>4970</v>
      </c>
      <c r="D446" s="883" t="s">
        <v>59</v>
      </c>
      <c r="E446" s="689" t="s">
        <v>4971</v>
      </c>
      <c r="F446" s="881">
        <v>31357.13</v>
      </c>
      <c r="G446" s="403"/>
      <c r="H446" s="349" t="s">
        <v>2769</v>
      </c>
      <c r="I446" s="866" t="str">
        <f t="shared" si="10"/>
        <v>NOT PAID</v>
      </c>
      <c r="J446" s="402"/>
      <c r="K446" s="402"/>
      <c r="L446" s="402"/>
      <c r="M446" s="402"/>
      <c r="N446" s="402"/>
      <c r="O446" s="402"/>
      <c r="P446" s="402"/>
      <c r="Q446" s="402"/>
      <c r="R446" s="402"/>
      <c r="S446" s="402"/>
      <c r="T446" s="402"/>
      <c r="U446" s="402"/>
      <c r="V446" s="402"/>
      <c r="W446" s="402"/>
      <c r="X446" s="402"/>
      <c r="Y446" s="402"/>
      <c r="Z446" s="402"/>
    </row>
    <row r="447" ht="14.25" customHeight="1">
      <c r="A447" s="406">
        <v>45509.0</v>
      </c>
      <c r="B447" s="878" t="s">
        <v>5035</v>
      </c>
      <c r="C447" s="878" t="s">
        <v>5036</v>
      </c>
      <c r="D447" s="883" t="s">
        <v>54</v>
      </c>
      <c r="E447" s="689" t="s">
        <v>5058</v>
      </c>
      <c r="F447" s="881">
        <v>83362.68</v>
      </c>
      <c r="G447" s="413">
        <v>30000.0</v>
      </c>
      <c r="H447" s="349" t="s">
        <v>5081</v>
      </c>
      <c r="I447" s="866" t="str">
        <f t="shared" si="10"/>
        <v>PARTIALLY PAID</v>
      </c>
      <c r="J447" s="402"/>
      <c r="K447" s="402"/>
      <c r="L447" s="402"/>
      <c r="M447" s="402"/>
      <c r="N447" s="402"/>
      <c r="O447" s="402"/>
      <c r="P447" s="402"/>
      <c r="Q447" s="402"/>
      <c r="R447" s="402"/>
      <c r="S447" s="402"/>
      <c r="T447" s="402"/>
      <c r="U447" s="402"/>
      <c r="V447" s="402"/>
      <c r="W447" s="402"/>
      <c r="X447" s="402"/>
      <c r="Y447" s="402"/>
      <c r="Z447" s="402"/>
    </row>
    <row r="448" ht="14.25" customHeight="1">
      <c r="A448" s="406">
        <v>45509.0</v>
      </c>
      <c r="B448" s="878" t="s">
        <v>4793</v>
      </c>
      <c r="C448" s="878" t="s">
        <v>4891</v>
      </c>
      <c r="D448" s="883" t="s">
        <v>54</v>
      </c>
      <c r="E448" s="689" t="s">
        <v>4913</v>
      </c>
      <c r="F448" s="881">
        <v>26120.37</v>
      </c>
      <c r="G448" s="403"/>
      <c r="H448" s="349" t="s">
        <v>5082</v>
      </c>
      <c r="I448" s="866" t="str">
        <f t="shared" si="10"/>
        <v>NOT PAID</v>
      </c>
      <c r="J448" s="402"/>
      <c r="K448" s="402"/>
      <c r="L448" s="402"/>
      <c r="M448" s="402"/>
      <c r="N448" s="402"/>
      <c r="O448" s="402"/>
      <c r="P448" s="402"/>
      <c r="Q448" s="402"/>
      <c r="R448" s="402"/>
      <c r="S448" s="402"/>
      <c r="T448" s="402"/>
      <c r="U448" s="402"/>
      <c r="V448" s="402"/>
      <c r="W448" s="402"/>
      <c r="X448" s="402"/>
      <c r="Y448" s="402"/>
      <c r="Z448" s="402"/>
    </row>
    <row r="449" ht="14.25" customHeight="1">
      <c r="A449" s="406">
        <v>45509.0</v>
      </c>
      <c r="B449" s="878" t="s">
        <v>5044</v>
      </c>
      <c r="C449" s="878" t="s">
        <v>4859</v>
      </c>
      <c r="D449" s="883" t="s">
        <v>54</v>
      </c>
      <c r="E449" s="689" t="s">
        <v>4913</v>
      </c>
      <c r="F449" s="881">
        <v>94774.05</v>
      </c>
      <c r="G449" s="413">
        <v>90261.0</v>
      </c>
      <c r="H449" s="349" t="s">
        <v>5083</v>
      </c>
      <c r="I449" s="866" t="str">
        <f t="shared" si="10"/>
        <v>PARTIALLY PAID</v>
      </c>
      <c r="J449" s="402"/>
      <c r="K449" s="402"/>
      <c r="L449" s="402"/>
      <c r="M449" s="402"/>
      <c r="N449" s="402"/>
      <c r="O449" s="402"/>
      <c r="P449" s="402"/>
      <c r="Q449" s="402"/>
      <c r="R449" s="402"/>
      <c r="S449" s="402"/>
      <c r="T449" s="402"/>
      <c r="U449" s="402"/>
      <c r="V449" s="402"/>
      <c r="W449" s="402"/>
      <c r="X449" s="402"/>
      <c r="Y449" s="402"/>
      <c r="Z449" s="402"/>
    </row>
    <row r="450" ht="14.25" customHeight="1">
      <c r="A450" s="406">
        <v>45509.0</v>
      </c>
      <c r="B450" s="878" t="s">
        <v>4816</v>
      </c>
      <c r="C450" s="878" t="s">
        <v>4858</v>
      </c>
      <c r="D450" s="883" t="s">
        <v>54</v>
      </c>
      <c r="E450" s="689" t="s">
        <v>5067</v>
      </c>
      <c r="F450" s="881">
        <v>16637.1</v>
      </c>
      <c r="G450" s="403"/>
      <c r="H450" s="349" t="s">
        <v>2769</v>
      </c>
      <c r="I450" s="866" t="str">
        <f t="shared" si="10"/>
        <v>NOT PAID</v>
      </c>
      <c r="J450" s="402"/>
      <c r="K450" s="402"/>
      <c r="L450" s="402"/>
      <c r="M450" s="402"/>
      <c r="N450" s="402"/>
      <c r="O450" s="402"/>
      <c r="P450" s="402"/>
      <c r="Q450" s="402"/>
      <c r="R450" s="402"/>
      <c r="S450" s="402"/>
      <c r="T450" s="402"/>
      <c r="U450" s="402"/>
      <c r="V450" s="402"/>
      <c r="W450" s="402"/>
      <c r="X450" s="402"/>
      <c r="Y450" s="402"/>
      <c r="Z450" s="402"/>
    </row>
    <row r="451" ht="14.25" customHeight="1">
      <c r="A451" s="406">
        <v>45509.0</v>
      </c>
      <c r="B451" s="878" t="s">
        <v>4983</v>
      </c>
      <c r="C451" s="878" t="s">
        <v>4860</v>
      </c>
      <c r="D451" s="883" t="s">
        <v>54</v>
      </c>
      <c r="E451" s="689" t="s">
        <v>5067</v>
      </c>
      <c r="F451" s="881">
        <v>47569.15</v>
      </c>
      <c r="G451" s="403"/>
      <c r="H451" s="349" t="s">
        <v>5084</v>
      </c>
      <c r="I451" s="866" t="str">
        <f t="shared" si="10"/>
        <v>NOT PAID</v>
      </c>
      <c r="J451" s="402"/>
      <c r="K451" s="402"/>
      <c r="L451" s="402"/>
      <c r="M451" s="402"/>
      <c r="N451" s="402"/>
      <c r="O451" s="402"/>
      <c r="P451" s="402"/>
      <c r="Q451" s="402"/>
      <c r="R451" s="402"/>
      <c r="S451" s="402"/>
      <c r="T451" s="402"/>
      <c r="U451" s="402"/>
      <c r="V451" s="402"/>
      <c r="W451" s="402"/>
      <c r="X451" s="402"/>
      <c r="Y451" s="402"/>
      <c r="Z451" s="402"/>
    </row>
    <row r="452" ht="14.25" customHeight="1">
      <c r="A452" s="406">
        <v>45509.0</v>
      </c>
      <c r="B452" s="878" t="s">
        <v>5045</v>
      </c>
      <c r="C452" s="878" t="s">
        <v>5046</v>
      </c>
      <c r="D452" s="883" t="s">
        <v>346</v>
      </c>
      <c r="E452" s="689" t="s">
        <v>5058</v>
      </c>
      <c r="F452" s="881">
        <v>6300.0</v>
      </c>
      <c r="G452" s="403"/>
      <c r="H452" s="349" t="s">
        <v>2769</v>
      </c>
      <c r="I452" s="866" t="str">
        <f t="shared" si="10"/>
        <v>NOT PAID</v>
      </c>
      <c r="J452" s="402"/>
      <c r="K452" s="402"/>
      <c r="L452" s="402"/>
      <c r="M452" s="402"/>
      <c r="N452" s="402"/>
      <c r="O452" s="402"/>
      <c r="P452" s="402"/>
      <c r="Q452" s="402"/>
      <c r="R452" s="402"/>
      <c r="S452" s="402"/>
      <c r="T452" s="402"/>
      <c r="U452" s="402"/>
      <c r="V452" s="402"/>
      <c r="W452" s="402"/>
      <c r="X452" s="402"/>
      <c r="Y452" s="402"/>
      <c r="Z452" s="402"/>
    </row>
    <row r="453" ht="14.25" customHeight="1">
      <c r="A453" s="406">
        <v>45509.0</v>
      </c>
      <c r="B453" s="878" t="s">
        <v>5085</v>
      </c>
      <c r="C453" s="878" t="s">
        <v>5086</v>
      </c>
      <c r="D453" s="349" t="s">
        <v>75</v>
      </c>
      <c r="E453" s="689" t="s">
        <v>4913</v>
      </c>
      <c r="F453" s="881">
        <v>230000.0</v>
      </c>
      <c r="G453" s="403"/>
      <c r="H453" s="349" t="s">
        <v>5087</v>
      </c>
      <c r="I453" s="866" t="str">
        <f t="shared" si="10"/>
        <v>NOT PAID</v>
      </c>
      <c r="J453" s="402"/>
      <c r="K453" s="402"/>
      <c r="L453" s="402"/>
      <c r="M453" s="402"/>
      <c r="N453" s="402"/>
      <c r="O453" s="402"/>
      <c r="P453" s="402"/>
      <c r="Q453" s="402"/>
      <c r="R453" s="402"/>
      <c r="S453" s="402"/>
      <c r="T453" s="402"/>
      <c r="U453" s="402"/>
      <c r="V453" s="402"/>
      <c r="W453" s="402"/>
      <c r="X453" s="402"/>
      <c r="Y453" s="402"/>
      <c r="Z453" s="402"/>
    </row>
    <row r="454" ht="14.25" customHeight="1">
      <c r="A454" s="406"/>
      <c r="B454" s="500"/>
      <c r="C454" s="402"/>
      <c r="D454" s="402"/>
      <c r="E454" s="868"/>
      <c r="F454" s="587"/>
      <c r="G454" s="403"/>
      <c r="H454" s="402"/>
      <c r="I454" s="866" t="str">
        <f t="shared" si="10"/>
        <v>FULLY PAID</v>
      </c>
      <c r="J454" s="402"/>
      <c r="K454" s="402"/>
      <c r="L454" s="402"/>
      <c r="M454" s="402"/>
      <c r="N454" s="402"/>
      <c r="O454" s="402"/>
      <c r="P454" s="402"/>
      <c r="Q454" s="402"/>
      <c r="R454" s="402"/>
      <c r="S454" s="402"/>
      <c r="T454" s="402"/>
      <c r="U454" s="402"/>
      <c r="V454" s="402"/>
      <c r="W454" s="402"/>
      <c r="X454" s="402"/>
      <c r="Y454" s="402"/>
      <c r="Z454" s="402"/>
    </row>
    <row r="455" ht="14.25" customHeight="1">
      <c r="A455" s="406"/>
      <c r="B455" s="500"/>
      <c r="C455" s="402"/>
      <c r="D455" s="402"/>
      <c r="E455" s="868"/>
      <c r="F455" s="587"/>
      <c r="G455" s="403"/>
      <c r="H455" s="402"/>
      <c r="I455" s="866" t="str">
        <f t="shared" si="10"/>
        <v>FULLY PAID</v>
      </c>
      <c r="J455" s="402"/>
      <c r="K455" s="402"/>
      <c r="L455" s="402"/>
      <c r="M455" s="402"/>
      <c r="N455" s="402"/>
      <c r="O455" s="402"/>
      <c r="P455" s="402"/>
      <c r="Q455" s="402"/>
      <c r="R455" s="402"/>
      <c r="S455" s="402"/>
      <c r="T455" s="402"/>
      <c r="U455" s="402"/>
      <c r="V455" s="402"/>
      <c r="W455" s="402"/>
      <c r="X455" s="402"/>
      <c r="Y455" s="402"/>
      <c r="Z455" s="402"/>
    </row>
    <row r="456" ht="14.25" customHeight="1">
      <c r="A456" s="402"/>
      <c r="B456" s="500"/>
      <c r="C456" s="402"/>
      <c r="D456" s="402"/>
      <c r="E456" s="868"/>
      <c r="F456" s="587"/>
      <c r="G456" s="403"/>
      <c r="H456" s="402"/>
      <c r="I456" s="866" t="str">
        <f t="shared" si="10"/>
        <v>FULLY PAID</v>
      </c>
      <c r="J456" s="402"/>
      <c r="K456" s="402"/>
      <c r="L456" s="402"/>
      <c r="M456" s="402"/>
      <c r="N456" s="402"/>
      <c r="O456" s="402"/>
      <c r="P456" s="402"/>
      <c r="Q456" s="402"/>
      <c r="R456" s="402"/>
      <c r="S456" s="402"/>
      <c r="T456" s="402"/>
      <c r="U456" s="402"/>
      <c r="V456" s="402"/>
      <c r="W456" s="402"/>
      <c r="X456" s="402"/>
      <c r="Y456" s="402"/>
      <c r="Z456" s="402"/>
    </row>
    <row r="457" ht="14.25" customHeight="1">
      <c r="A457" s="402"/>
      <c r="B457" s="500"/>
      <c r="C457" s="911" t="s">
        <v>797</v>
      </c>
      <c r="D457" s="402"/>
      <c r="E457" s="868"/>
      <c r="F457" s="587"/>
      <c r="G457" s="403"/>
      <c r="H457" s="402"/>
      <c r="I457" s="866" t="str">
        <f t="shared" si="10"/>
        <v>FULLY PAID</v>
      </c>
      <c r="J457" s="402"/>
      <c r="K457" s="402"/>
      <c r="L457" s="402"/>
      <c r="M457" s="402"/>
      <c r="N457" s="402"/>
      <c r="O457" s="402"/>
      <c r="P457" s="402"/>
      <c r="Q457" s="402"/>
      <c r="R457" s="402"/>
      <c r="S457" s="402"/>
      <c r="T457" s="402"/>
      <c r="U457" s="402"/>
      <c r="V457" s="402"/>
      <c r="W457" s="402"/>
      <c r="X457" s="402"/>
      <c r="Y457" s="402"/>
      <c r="Z457" s="402"/>
    </row>
    <row r="458" ht="14.25" customHeight="1">
      <c r="A458" s="406">
        <v>45509.0</v>
      </c>
      <c r="B458" s="829" t="s">
        <v>4781</v>
      </c>
      <c r="C458" s="349" t="s">
        <v>4827</v>
      </c>
      <c r="D458" s="349" t="s">
        <v>54</v>
      </c>
      <c r="E458" s="689" t="s">
        <v>578</v>
      </c>
      <c r="F458" s="559">
        <v>142630.9</v>
      </c>
      <c r="G458" s="403"/>
      <c r="H458" s="349" t="s">
        <v>5088</v>
      </c>
      <c r="I458" s="866" t="str">
        <f t="shared" si="10"/>
        <v>NOT PAID</v>
      </c>
      <c r="J458" s="402"/>
      <c r="K458" s="402"/>
      <c r="L458" s="402"/>
      <c r="M458" s="402"/>
      <c r="N458" s="402"/>
      <c r="O458" s="402"/>
      <c r="P458" s="402"/>
      <c r="Q458" s="402"/>
      <c r="R458" s="402"/>
      <c r="S458" s="402"/>
      <c r="T458" s="402"/>
      <c r="U458" s="402"/>
      <c r="V458" s="402"/>
      <c r="W458" s="402"/>
      <c r="X458" s="402"/>
      <c r="Y458" s="402"/>
      <c r="Z458" s="402"/>
    </row>
    <row r="459" ht="14.25" customHeight="1">
      <c r="A459" s="406">
        <v>45509.0</v>
      </c>
      <c r="B459" s="829" t="s">
        <v>5044</v>
      </c>
      <c r="C459" s="349" t="s">
        <v>5089</v>
      </c>
      <c r="D459" s="349" t="s">
        <v>1030</v>
      </c>
      <c r="E459" s="689" t="s">
        <v>578</v>
      </c>
      <c r="F459" s="559">
        <v>90261.0</v>
      </c>
      <c r="G459" s="403"/>
      <c r="H459" s="349" t="s">
        <v>5090</v>
      </c>
      <c r="I459" s="866" t="str">
        <f t="shared" si="10"/>
        <v>NOT PAID</v>
      </c>
      <c r="J459" s="402"/>
      <c r="K459" s="402"/>
      <c r="L459" s="402"/>
      <c r="M459" s="402"/>
      <c r="N459" s="402"/>
      <c r="O459" s="402"/>
      <c r="P459" s="402"/>
      <c r="Q459" s="402"/>
      <c r="R459" s="402"/>
      <c r="S459" s="402"/>
      <c r="T459" s="402"/>
      <c r="U459" s="402"/>
      <c r="V459" s="402"/>
      <c r="W459" s="402"/>
      <c r="X459" s="402"/>
      <c r="Y459" s="402"/>
      <c r="Z459" s="402"/>
    </row>
    <row r="460" ht="14.25" customHeight="1">
      <c r="A460" s="406">
        <v>45509.0</v>
      </c>
      <c r="B460" s="829" t="s">
        <v>4547</v>
      </c>
      <c r="C460" s="349" t="s">
        <v>4836</v>
      </c>
      <c r="D460" s="349" t="s">
        <v>59</v>
      </c>
      <c r="E460" s="689" t="s">
        <v>578</v>
      </c>
      <c r="F460" s="559">
        <v>635602.51</v>
      </c>
      <c r="G460" s="403"/>
      <c r="H460" s="349" t="s">
        <v>5088</v>
      </c>
      <c r="I460" s="866" t="str">
        <f t="shared" si="10"/>
        <v>NOT PAID</v>
      </c>
      <c r="J460" s="402"/>
      <c r="K460" s="402"/>
      <c r="L460" s="402"/>
      <c r="M460" s="402"/>
      <c r="N460" s="402"/>
      <c r="O460" s="402"/>
      <c r="P460" s="402"/>
      <c r="Q460" s="402"/>
      <c r="R460" s="402"/>
      <c r="S460" s="402"/>
      <c r="T460" s="402"/>
      <c r="U460" s="402"/>
      <c r="V460" s="402"/>
      <c r="W460" s="402"/>
      <c r="X460" s="402"/>
      <c r="Y460" s="402"/>
      <c r="Z460" s="402"/>
    </row>
    <row r="461" ht="14.25" customHeight="1">
      <c r="A461" s="406">
        <v>45509.0</v>
      </c>
      <c r="B461" s="829" t="s">
        <v>4919</v>
      </c>
      <c r="C461" s="349" t="s">
        <v>4945</v>
      </c>
      <c r="D461" s="349" t="s">
        <v>75</v>
      </c>
      <c r="E461" s="689" t="s">
        <v>578</v>
      </c>
      <c r="F461" s="559">
        <v>306751.35</v>
      </c>
      <c r="G461" s="403"/>
      <c r="H461" s="349" t="s">
        <v>5091</v>
      </c>
      <c r="I461" s="866" t="str">
        <f t="shared" si="10"/>
        <v>NOT PAID</v>
      </c>
      <c r="J461" s="402"/>
      <c r="K461" s="402"/>
      <c r="L461" s="402"/>
      <c r="M461" s="402"/>
      <c r="N461" s="402"/>
      <c r="O461" s="402"/>
      <c r="P461" s="402"/>
      <c r="Q461" s="402"/>
      <c r="R461" s="402"/>
      <c r="S461" s="402"/>
      <c r="T461" s="402"/>
      <c r="U461" s="402"/>
      <c r="V461" s="402"/>
      <c r="W461" s="402"/>
      <c r="X461" s="402"/>
      <c r="Y461" s="402"/>
      <c r="Z461" s="402"/>
    </row>
    <row r="462" ht="14.25" customHeight="1">
      <c r="A462" s="406">
        <v>45509.0</v>
      </c>
      <c r="B462" s="829" t="s">
        <v>4783</v>
      </c>
      <c r="C462" s="349" t="s">
        <v>4945</v>
      </c>
      <c r="D462" s="349" t="s">
        <v>54</v>
      </c>
      <c r="E462" s="689" t="s">
        <v>578</v>
      </c>
      <c r="F462" s="559">
        <v>147656.76</v>
      </c>
      <c r="G462" s="403"/>
      <c r="H462" s="349" t="s">
        <v>5091</v>
      </c>
      <c r="I462" s="866" t="str">
        <f t="shared" si="10"/>
        <v>NOT PAID</v>
      </c>
      <c r="J462" s="402"/>
      <c r="K462" s="402"/>
      <c r="L462" s="402"/>
      <c r="M462" s="402"/>
      <c r="N462" s="402"/>
      <c r="O462" s="402"/>
      <c r="P462" s="402"/>
      <c r="Q462" s="402"/>
      <c r="R462" s="402"/>
      <c r="S462" s="402"/>
      <c r="T462" s="402"/>
      <c r="U462" s="402"/>
      <c r="V462" s="402"/>
      <c r="W462" s="402"/>
      <c r="X462" s="402"/>
      <c r="Y462" s="402"/>
      <c r="Z462" s="402"/>
    </row>
    <row r="463" ht="14.25" customHeight="1">
      <c r="A463" s="406">
        <v>45509.0</v>
      </c>
      <c r="B463" s="829" t="s">
        <v>4789</v>
      </c>
      <c r="C463" s="349" t="s">
        <v>4923</v>
      </c>
      <c r="D463" s="349" t="s">
        <v>59</v>
      </c>
      <c r="E463" s="689" t="s">
        <v>578</v>
      </c>
      <c r="F463" s="559">
        <v>265314.17</v>
      </c>
      <c r="G463" s="403"/>
      <c r="H463" s="349" t="s">
        <v>5092</v>
      </c>
      <c r="I463" s="866" t="str">
        <f t="shared" si="10"/>
        <v>NOT PAID</v>
      </c>
      <c r="J463" s="402"/>
      <c r="K463" s="402"/>
      <c r="L463" s="402"/>
      <c r="M463" s="402"/>
      <c r="N463" s="402"/>
      <c r="O463" s="402"/>
      <c r="P463" s="402"/>
      <c r="Q463" s="402"/>
      <c r="R463" s="402"/>
      <c r="S463" s="402"/>
      <c r="T463" s="402"/>
      <c r="U463" s="402"/>
      <c r="V463" s="402"/>
      <c r="W463" s="402"/>
      <c r="X463" s="402"/>
      <c r="Y463" s="402"/>
      <c r="Z463" s="402"/>
    </row>
    <row r="464" ht="14.25" customHeight="1">
      <c r="A464" s="402"/>
      <c r="B464" s="500"/>
      <c r="C464" s="402"/>
      <c r="D464" s="402"/>
      <c r="E464" s="868"/>
      <c r="F464" s="587"/>
      <c r="G464" s="403"/>
      <c r="H464" s="402"/>
      <c r="I464" s="866" t="str">
        <f t="shared" si="10"/>
        <v>FULLY PAID</v>
      </c>
      <c r="J464" s="402"/>
      <c r="K464" s="402"/>
      <c r="L464" s="402"/>
      <c r="M464" s="402"/>
      <c r="N464" s="402"/>
      <c r="O464" s="402"/>
      <c r="P464" s="402"/>
      <c r="Q464" s="402"/>
      <c r="R464" s="402"/>
      <c r="S464" s="402"/>
      <c r="T464" s="402"/>
      <c r="U464" s="402"/>
      <c r="V464" s="402"/>
      <c r="W464" s="402"/>
      <c r="X464" s="402"/>
      <c r="Y464" s="402"/>
      <c r="Z464" s="402"/>
    </row>
    <row r="465" ht="14.25" customHeight="1">
      <c r="A465" s="402"/>
      <c r="B465" s="500"/>
      <c r="C465" s="402"/>
      <c r="D465" s="402"/>
      <c r="E465" s="868"/>
      <c r="F465" s="587"/>
      <c r="G465" s="403"/>
      <c r="H465" s="402"/>
      <c r="I465" s="866" t="str">
        <f t="shared" si="10"/>
        <v>FULLY PAID</v>
      </c>
      <c r="J465" s="402"/>
      <c r="K465" s="402"/>
      <c r="L465" s="402"/>
      <c r="M465" s="402"/>
      <c r="N465" s="402"/>
      <c r="O465" s="402"/>
      <c r="P465" s="402"/>
      <c r="Q465" s="402"/>
      <c r="R465" s="402"/>
      <c r="S465" s="402"/>
      <c r="T465" s="402"/>
      <c r="U465" s="402"/>
      <c r="V465" s="402"/>
      <c r="W465" s="402"/>
      <c r="X465" s="402"/>
      <c r="Y465" s="402"/>
      <c r="Z465" s="402"/>
    </row>
    <row r="466" ht="14.25" customHeight="1">
      <c r="A466" s="896" t="s">
        <v>2130</v>
      </c>
      <c r="B466" s="897" t="s">
        <v>39</v>
      </c>
      <c r="C466" s="896" t="s">
        <v>48</v>
      </c>
      <c r="D466" s="896" t="s">
        <v>49</v>
      </c>
      <c r="E466" s="898" t="s">
        <v>50</v>
      </c>
      <c r="F466" s="899" t="s">
        <v>2</v>
      </c>
      <c r="G466" s="896" t="s">
        <v>44</v>
      </c>
      <c r="H466" s="896" t="s">
        <v>45</v>
      </c>
      <c r="I466" s="866" t="str">
        <f t="shared" si="10"/>
        <v>FULLY PAID</v>
      </c>
      <c r="J466" s="402"/>
      <c r="K466" s="402"/>
      <c r="L466" s="402"/>
      <c r="M466" s="402"/>
      <c r="N466" s="402"/>
      <c r="O466" s="402"/>
      <c r="P466" s="402"/>
      <c r="Q466" s="402"/>
      <c r="R466" s="402"/>
      <c r="S466" s="402"/>
      <c r="T466" s="402"/>
      <c r="U466" s="402"/>
      <c r="V466" s="402"/>
      <c r="W466" s="402"/>
      <c r="X466" s="402"/>
      <c r="Y466" s="402"/>
      <c r="Z466" s="402"/>
    </row>
    <row r="467" ht="14.25" customHeight="1">
      <c r="A467" s="406">
        <v>45510.0</v>
      </c>
      <c r="B467" s="863" t="s">
        <v>4898</v>
      </c>
      <c r="C467" s="863" t="s">
        <v>4899</v>
      </c>
      <c r="D467" s="867" t="s">
        <v>54</v>
      </c>
      <c r="E467" s="689" t="s">
        <v>5093</v>
      </c>
      <c r="F467" s="865">
        <v>949.04</v>
      </c>
      <c r="G467" s="403"/>
      <c r="H467" s="349" t="s">
        <v>4841</v>
      </c>
      <c r="I467" s="866" t="str">
        <f t="shared" si="10"/>
        <v>NOT PAID</v>
      </c>
      <c r="J467" s="402"/>
      <c r="K467" s="402"/>
      <c r="L467" s="402"/>
      <c r="M467" s="402"/>
      <c r="N467" s="402"/>
      <c r="O467" s="402"/>
      <c r="P467" s="402"/>
      <c r="Q467" s="402"/>
      <c r="R467" s="402"/>
      <c r="S467" s="402"/>
      <c r="T467" s="402"/>
      <c r="U467" s="402"/>
      <c r="V467" s="402"/>
      <c r="W467" s="402"/>
      <c r="X467" s="402"/>
      <c r="Y467" s="402"/>
      <c r="Z467" s="402"/>
    </row>
    <row r="468" ht="14.25" customHeight="1">
      <c r="A468" s="406">
        <v>45510.0</v>
      </c>
      <c r="B468" s="863" t="s">
        <v>4864</v>
      </c>
      <c r="C468" s="863" t="s">
        <v>4865</v>
      </c>
      <c r="D468" s="867" t="s">
        <v>54</v>
      </c>
      <c r="E468" s="689" t="s">
        <v>5093</v>
      </c>
      <c r="F468" s="865">
        <v>6735.74</v>
      </c>
      <c r="G468" s="403"/>
      <c r="H468" s="349" t="s">
        <v>5094</v>
      </c>
      <c r="I468" s="866" t="str">
        <f t="shared" si="10"/>
        <v>NOT PAID</v>
      </c>
      <c r="J468" s="402"/>
      <c r="K468" s="402"/>
      <c r="L468" s="402"/>
      <c r="M468" s="402"/>
      <c r="N468" s="402"/>
      <c r="O468" s="402"/>
      <c r="P468" s="402"/>
      <c r="Q468" s="402"/>
      <c r="R468" s="402"/>
      <c r="S468" s="402"/>
      <c r="T468" s="402"/>
      <c r="U468" s="402"/>
      <c r="V468" s="402"/>
      <c r="W468" s="402"/>
      <c r="X468" s="402"/>
      <c r="Y468" s="402"/>
      <c r="Z468" s="402"/>
    </row>
    <row r="469" ht="14.25" customHeight="1">
      <c r="A469" s="406">
        <v>45510.0</v>
      </c>
      <c r="B469" s="863" t="s">
        <v>4900</v>
      </c>
      <c r="C469" s="863" t="s">
        <v>4901</v>
      </c>
      <c r="D469" s="867" t="s">
        <v>54</v>
      </c>
      <c r="E469" s="689" t="s">
        <v>5093</v>
      </c>
      <c r="F469" s="865">
        <v>7579.04</v>
      </c>
      <c r="G469" s="403"/>
      <c r="H469" s="349" t="s">
        <v>5095</v>
      </c>
      <c r="I469" s="866" t="str">
        <f t="shared" si="10"/>
        <v>NOT PAID</v>
      </c>
      <c r="J469" s="402"/>
      <c r="K469" s="402"/>
      <c r="L469" s="402"/>
      <c r="M469" s="402"/>
      <c r="N469" s="402"/>
      <c r="O469" s="402"/>
      <c r="P469" s="402"/>
      <c r="Q469" s="402"/>
      <c r="R469" s="402"/>
      <c r="S469" s="402"/>
      <c r="T469" s="402"/>
      <c r="U469" s="402"/>
      <c r="V469" s="402"/>
      <c r="W469" s="402"/>
      <c r="X469" s="402"/>
      <c r="Y469" s="402"/>
      <c r="Z469" s="402"/>
    </row>
    <row r="470" ht="14.25" customHeight="1">
      <c r="A470" s="406">
        <v>45510.0</v>
      </c>
      <c r="B470" s="863" t="s">
        <v>4847</v>
      </c>
      <c r="C470" s="863" t="s">
        <v>4848</v>
      </c>
      <c r="D470" s="867" t="s">
        <v>54</v>
      </c>
      <c r="E470" s="689" t="s">
        <v>5093</v>
      </c>
      <c r="F470" s="865">
        <v>391098.51</v>
      </c>
      <c r="G470" s="413">
        <v>100000.0</v>
      </c>
      <c r="H470" s="349" t="s">
        <v>5096</v>
      </c>
      <c r="I470" s="866" t="str">
        <f t="shared" si="10"/>
        <v>PARTIALLY PAID</v>
      </c>
      <c r="J470" s="402"/>
      <c r="K470" s="402"/>
      <c r="L470" s="402"/>
      <c r="M470" s="402"/>
      <c r="N470" s="402"/>
      <c r="O470" s="402"/>
      <c r="P470" s="402"/>
      <c r="Q470" s="402"/>
      <c r="R470" s="402"/>
      <c r="S470" s="402"/>
      <c r="T470" s="402"/>
      <c r="U470" s="402"/>
      <c r="V470" s="402"/>
      <c r="W470" s="402"/>
      <c r="X470" s="402"/>
      <c r="Y470" s="402"/>
      <c r="Z470" s="402"/>
    </row>
    <row r="471" ht="14.25" customHeight="1">
      <c r="A471" s="406">
        <v>45510.0</v>
      </c>
      <c r="B471" s="863" t="s">
        <v>5097</v>
      </c>
      <c r="C471" s="863" t="s">
        <v>5076</v>
      </c>
      <c r="D471" s="867" t="s">
        <v>54</v>
      </c>
      <c r="E471" s="689" t="s">
        <v>5098</v>
      </c>
      <c r="F471" s="865">
        <v>39920.81</v>
      </c>
      <c r="G471" s="403"/>
      <c r="H471" s="349" t="s">
        <v>4841</v>
      </c>
      <c r="I471" s="866" t="str">
        <f t="shared" si="10"/>
        <v>NOT PAID</v>
      </c>
      <c r="J471" s="402"/>
      <c r="K471" s="402"/>
      <c r="L471" s="402"/>
      <c r="M471" s="402"/>
      <c r="N471" s="402"/>
      <c r="O471" s="402"/>
      <c r="P471" s="402"/>
      <c r="Q471" s="402"/>
      <c r="R471" s="402"/>
      <c r="S471" s="402"/>
      <c r="T471" s="402"/>
      <c r="U471" s="402"/>
      <c r="V471" s="402"/>
      <c r="W471" s="402"/>
      <c r="X471" s="402"/>
      <c r="Y471" s="402"/>
      <c r="Z471" s="402"/>
    </row>
    <row r="472" ht="14.25" customHeight="1">
      <c r="A472" s="406">
        <v>45510.0</v>
      </c>
      <c r="B472" s="863" t="s">
        <v>4942</v>
      </c>
      <c r="C472" s="863" t="s">
        <v>4943</v>
      </c>
      <c r="D472" s="867" t="s">
        <v>75</v>
      </c>
      <c r="E472" s="689" t="s">
        <v>5093</v>
      </c>
      <c r="F472" s="865">
        <v>1474.5</v>
      </c>
      <c r="G472" s="413">
        <v>1500.0</v>
      </c>
      <c r="H472" s="349" t="s">
        <v>2769</v>
      </c>
      <c r="I472" s="866" t="str">
        <f t="shared" si="10"/>
        <v>FULLY PAID</v>
      </c>
      <c r="J472" s="402"/>
      <c r="K472" s="402"/>
      <c r="L472" s="402"/>
      <c r="M472" s="402"/>
      <c r="N472" s="402"/>
      <c r="O472" s="402"/>
      <c r="P472" s="402"/>
      <c r="Q472" s="402"/>
      <c r="R472" s="402"/>
      <c r="S472" s="402"/>
      <c r="T472" s="402"/>
      <c r="U472" s="402"/>
      <c r="V472" s="402"/>
      <c r="W472" s="402"/>
      <c r="X472" s="402"/>
      <c r="Y472" s="402"/>
      <c r="Z472" s="402"/>
    </row>
    <row r="473" ht="14.25" customHeight="1">
      <c r="A473" s="406">
        <v>45510.0</v>
      </c>
      <c r="B473" s="863" t="s">
        <v>4770</v>
      </c>
      <c r="C473" s="863" t="s">
        <v>2529</v>
      </c>
      <c r="D473" s="867" t="s">
        <v>263</v>
      </c>
      <c r="E473" s="689" t="s">
        <v>5099</v>
      </c>
      <c r="F473" s="865">
        <v>69409.65</v>
      </c>
      <c r="G473" s="403"/>
      <c r="H473" s="349" t="s">
        <v>5100</v>
      </c>
      <c r="I473" s="866" t="str">
        <f t="shared" si="10"/>
        <v>NOT PAID</v>
      </c>
      <c r="J473" s="402"/>
      <c r="K473" s="402"/>
      <c r="L473" s="402"/>
      <c r="M473" s="402"/>
      <c r="N473" s="402"/>
      <c r="O473" s="402"/>
      <c r="P473" s="402"/>
      <c r="Q473" s="402"/>
      <c r="R473" s="402"/>
      <c r="S473" s="402"/>
      <c r="T473" s="402"/>
      <c r="U473" s="402"/>
      <c r="V473" s="402"/>
      <c r="W473" s="402"/>
      <c r="X473" s="402"/>
      <c r="Y473" s="402"/>
      <c r="Z473" s="402"/>
    </row>
    <row r="474" ht="14.25" customHeight="1">
      <c r="A474" s="406">
        <v>45510.0</v>
      </c>
      <c r="B474" s="863" t="s">
        <v>4773</v>
      </c>
      <c r="C474" s="863" t="s">
        <v>4906</v>
      </c>
      <c r="D474" s="867" t="s">
        <v>54</v>
      </c>
      <c r="E474" s="689" t="s">
        <v>5093</v>
      </c>
      <c r="F474" s="865">
        <v>888.83</v>
      </c>
      <c r="G474" s="403"/>
      <c r="H474" s="349" t="s">
        <v>5101</v>
      </c>
      <c r="I474" s="866" t="str">
        <f t="shared" si="10"/>
        <v>NOT PAID</v>
      </c>
      <c r="J474" s="402"/>
      <c r="K474" s="402"/>
      <c r="L474" s="402"/>
      <c r="M474" s="402"/>
      <c r="N474" s="402"/>
      <c r="O474" s="402"/>
      <c r="P474" s="402"/>
      <c r="Q474" s="402"/>
      <c r="R474" s="402"/>
      <c r="S474" s="402"/>
      <c r="T474" s="402"/>
      <c r="U474" s="402"/>
      <c r="V474" s="402"/>
      <c r="W474" s="402"/>
      <c r="X474" s="402"/>
      <c r="Y474" s="402"/>
      <c r="Z474" s="402"/>
    </row>
    <row r="475" ht="14.25" customHeight="1">
      <c r="A475" s="406">
        <v>45510.0</v>
      </c>
      <c r="B475" s="863" t="s">
        <v>5042</v>
      </c>
      <c r="C475" s="863" t="s">
        <v>5060</v>
      </c>
      <c r="D475" s="867" t="s">
        <v>54</v>
      </c>
      <c r="E475" s="689" t="s">
        <v>5093</v>
      </c>
      <c r="F475" s="865">
        <v>48393.71</v>
      </c>
      <c r="G475" s="403"/>
      <c r="H475" s="349" t="s">
        <v>5102</v>
      </c>
      <c r="I475" s="866" t="str">
        <f t="shared" si="10"/>
        <v>NOT PAID</v>
      </c>
      <c r="J475" s="402"/>
      <c r="K475" s="402"/>
      <c r="L475" s="402"/>
      <c r="M475" s="402"/>
      <c r="N475" s="402"/>
      <c r="O475" s="402"/>
      <c r="P475" s="402"/>
      <c r="Q475" s="402"/>
      <c r="R475" s="402"/>
      <c r="S475" s="402"/>
      <c r="T475" s="402"/>
      <c r="U475" s="402"/>
      <c r="V475" s="402"/>
      <c r="W475" s="402"/>
      <c r="X475" s="402"/>
      <c r="Y475" s="402"/>
      <c r="Z475" s="402"/>
    </row>
    <row r="476" ht="14.25" customHeight="1">
      <c r="A476" s="406">
        <v>45510.0</v>
      </c>
      <c r="B476" s="863" t="s">
        <v>5103</v>
      </c>
      <c r="C476" s="863" t="s">
        <v>5104</v>
      </c>
      <c r="D476" s="867" t="s">
        <v>54</v>
      </c>
      <c r="E476" s="689" t="s">
        <v>5093</v>
      </c>
      <c r="F476" s="865">
        <v>19255.54</v>
      </c>
      <c r="G476" s="403"/>
      <c r="H476" s="349" t="s">
        <v>5105</v>
      </c>
      <c r="I476" s="866" t="str">
        <f t="shared" si="10"/>
        <v>NOT PAID</v>
      </c>
      <c r="J476" s="402"/>
      <c r="K476" s="402"/>
      <c r="L476" s="402"/>
      <c r="M476" s="402"/>
      <c r="N476" s="402"/>
      <c r="O476" s="402"/>
      <c r="P476" s="402"/>
      <c r="Q476" s="402"/>
      <c r="R476" s="402"/>
      <c r="S476" s="402"/>
      <c r="T476" s="402"/>
      <c r="U476" s="402"/>
      <c r="V476" s="402"/>
      <c r="W476" s="402"/>
      <c r="X476" s="402"/>
      <c r="Y476" s="402"/>
      <c r="Z476" s="402"/>
    </row>
    <row r="477" ht="14.25" customHeight="1">
      <c r="A477" s="406">
        <v>45510.0</v>
      </c>
      <c r="B477" s="863" t="s">
        <v>4977</v>
      </c>
      <c r="C477" s="863" t="s">
        <v>4978</v>
      </c>
      <c r="D477" s="867" t="s">
        <v>54</v>
      </c>
      <c r="E477" s="689" t="s">
        <v>5099</v>
      </c>
      <c r="F477" s="865">
        <v>1319.12</v>
      </c>
      <c r="G477" s="413">
        <v>1000.0</v>
      </c>
      <c r="H477" s="349" t="s">
        <v>5062</v>
      </c>
      <c r="I477" s="866" t="str">
        <f t="shared" si="10"/>
        <v>PARTIALLY PAID</v>
      </c>
      <c r="J477" s="402"/>
      <c r="K477" s="402"/>
      <c r="L477" s="402"/>
      <c r="M477" s="402"/>
      <c r="N477" s="402"/>
      <c r="O477" s="402"/>
      <c r="P477" s="402"/>
      <c r="Q477" s="402"/>
      <c r="R477" s="402"/>
      <c r="S477" s="402"/>
      <c r="T477" s="402"/>
      <c r="U477" s="402"/>
      <c r="V477" s="402"/>
      <c r="W477" s="402"/>
      <c r="X477" s="402"/>
      <c r="Y477" s="402"/>
      <c r="Z477" s="402"/>
    </row>
    <row r="478" ht="14.25" customHeight="1">
      <c r="A478" s="406">
        <v>45510.0</v>
      </c>
      <c r="B478" s="863" t="s">
        <v>4779</v>
      </c>
      <c r="C478" s="863" t="s">
        <v>4907</v>
      </c>
      <c r="D478" s="867" t="s">
        <v>54</v>
      </c>
      <c r="E478" s="689" t="s">
        <v>5099</v>
      </c>
      <c r="F478" s="865">
        <v>2682.6</v>
      </c>
      <c r="G478" s="403"/>
      <c r="H478" s="349" t="s">
        <v>5106</v>
      </c>
      <c r="I478" s="866" t="str">
        <f t="shared" si="10"/>
        <v>NOT PAID</v>
      </c>
      <c r="J478" s="402"/>
      <c r="K478" s="402"/>
      <c r="L478" s="402"/>
      <c r="M478" s="402"/>
      <c r="N478" s="402"/>
      <c r="O478" s="402"/>
      <c r="P478" s="402"/>
      <c r="Q478" s="402"/>
      <c r="R478" s="402"/>
      <c r="S478" s="402"/>
      <c r="T478" s="402"/>
      <c r="U478" s="402"/>
      <c r="V478" s="402"/>
      <c r="W478" s="402"/>
      <c r="X478" s="402"/>
      <c r="Y478" s="402"/>
      <c r="Z478" s="402"/>
    </row>
    <row r="479" ht="14.25" customHeight="1">
      <c r="A479" s="406">
        <v>45510.0</v>
      </c>
      <c r="B479" s="863" t="s">
        <v>4781</v>
      </c>
      <c r="C479" s="863" t="s">
        <v>4915</v>
      </c>
      <c r="D479" s="867" t="s">
        <v>54</v>
      </c>
      <c r="E479" s="689" t="s">
        <v>5099</v>
      </c>
      <c r="F479" s="865">
        <v>87894.84</v>
      </c>
      <c r="G479" s="403"/>
      <c r="H479" s="349" t="s">
        <v>5088</v>
      </c>
      <c r="I479" s="866" t="str">
        <f t="shared" si="10"/>
        <v>NOT PAID</v>
      </c>
      <c r="J479" s="402"/>
      <c r="K479" s="402"/>
      <c r="L479" s="402"/>
      <c r="M479" s="402"/>
      <c r="N479" s="402"/>
      <c r="O479" s="402"/>
      <c r="P479" s="402"/>
      <c r="Q479" s="402"/>
      <c r="R479" s="402"/>
      <c r="S479" s="402"/>
      <c r="T479" s="402"/>
      <c r="U479" s="402"/>
      <c r="V479" s="402"/>
      <c r="W479" s="402"/>
      <c r="X479" s="402"/>
      <c r="Y479" s="402"/>
      <c r="Z479" s="402"/>
    </row>
    <row r="480" ht="14.25" customHeight="1">
      <c r="A480" s="406">
        <v>45510.0</v>
      </c>
      <c r="B480" s="863" t="s">
        <v>4960</v>
      </c>
      <c r="C480" s="863" t="s">
        <v>5009</v>
      </c>
      <c r="D480" s="867" t="s">
        <v>54</v>
      </c>
      <c r="E480" s="689" t="s">
        <v>5107</v>
      </c>
      <c r="F480" s="865">
        <v>892.65</v>
      </c>
      <c r="G480" s="413">
        <v>42100.0</v>
      </c>
      <c r="H480" s="349" t="s">
        <v>267</v>
      </c>
      <c r="I480" s="866" t="str">
        <f t="shared" si="10"/>
        <v>FULLY PAID</v>
      </c>
      <c r="J480" s="402"/>
      <c r="K480" s="402"/>
      <c r="L480" s="402"/>
      <c r="M480" s="402"/>
      <c r="N480" s="402"/>
      <c r="O480" s="402"/>
      <c r="P480" s="402"/>
      <c r="Q480" s="402"/>
      <c r="R480" s="402"/>
      <c r="S480" s="402"/>
      <c r="T480" s="402"/>
      <c r="U480" s="402"/>
      <c r="V480" s="402"/>
      <c r="W480" s="402"/>
      <c r="X480" s="402"/>
      <c r="Y480" s="402"/>
      <c r="Z480" s="402"/>
    </row>
    <row r="481" ht="14.25" customHeight="1">
      <c r="A481" s="406">
        <v>45510.0</v>
      </c>
      <c r="B481" s="863" t="s">
        <v>4809</v>
      </c>
      <c r="C481" s="863" t="s">
        <v>4909</v>
      </c>
      <c r="D481" s="867" t="s">
        <v>54</v>
      </c>
      <c r="E481" s="689" t="s">
        <v>5107</v>
      </c>
      <c r="F481" s="865">
        <v>5788.07</v>
      </c>
      <c r="G481" s="403"/>
      <c r="H481" s="349" t="s">
        <v>5063</v>
      </c>
      <c r="I481" s="866" t="str">
        <f t="shared" si="10"/>
        <v>NOT PAID</v>
      </c>
      <c r="J481" s="402"/>
      <c r="K481" s="402"/>
      <c r="L481" s="402"/>
      <c r="M481" s="402"/>
      <c r="N481" s="402"/>
      <c r="O481" s="402"/>
      <c r="P481" s="402"/>
      <c r="Q481" s="402"/>
      <c r="R481" s="402"/>
      <c r="S481" s="402"/>
      <c r="T481" s="402"/>
      <c r="U481" s="402"/>
      <c r="V481" s="402"/>
      <c r="W481" s="402"/>
      <c r="X481" s="402"/>
      <c r="Y481" s="402"/>
      <c r="Z481" s="402"/>
    </row>
    <row r="482" ht="14.25" customHeight="1">
      <c r="A482" s="406">
        <v>45510.0</v>
      </c>
      <c r="B482" s="863" t="s">
        <v>5033</v>
      </c>
      <c r="C482" s="863" t="s">
        <v>5034</v>
      </c>
      <c r="D482" s="867" t="s">
        <v>54</v>
      </c>
      <c r="E482" s="689" t="s">
        <v>5108</v>
      </c>
      <c r="F482" s="865">
        <v>50307.51</v>
      </c>
      <c r="G482" s="403"/>
      <c r="H482" s="349" t="s">
        <v>5109</v>
      </c>
      <c r="I482" s="866" t="str">
        <f t="shared" si="10"/>
        <v>NOT PAID</v>
      </c>
      <c r="J482" s="402"/>
      <c r="K482" s="402"/>
      <c r="L482" s="402"/>
      <c r="M482" s="402"/>
      <c r="N482" s="402"/>
      <c r="O482" s="402"/>
      <c r="P482" s="402"/>
      <c r="Q482" s="402"/>
      <c r="R482" s="402"/>
      <c r="S482" s="402"/>
      <c r="T482" s="402"/>
      <c r="U482" s="402"/>
      <c r="V482" s="402"/>
      <c r="W482" s="402"/>
      <c r="X482" s="402"/>
      <c r="Y482" s="402"/>
      <c r="Z482" s="402"/>
    </row>
    <row r="483" ht="14.25" customHeight="1">
      <c r="A483" s="406">
        <v>45510.0</v>
      </c>
      <c r="B483" s="863" t="s">
        <v>4896</v>
      </c>
      <c r="C483" s="863" t="s">
        <v>5110</v>
      </c>
      <c r="D483" s="867" t="s">
        <v>54</v>
      </c>
      <c r="E483" s="689" t="s">
        <v>5093</v>
      </c>
      <c r="F483" s="865">
        <v>10380.0</v>
      </c>
      <c r="G483" s="403"/>
      <c r="H483" s="349" t="s">
        <v>4841</v>
      </c>
      <c r="I483" s="866" t="str">
        <f t="shared" si="10"/>
        <v>NOT PAID</v>
      </c>
      <c r="J483" s="402"/>
      <c r="K483" s="402"/>
      <c r="L483" s="402"/>
      <c r="M483" s="402"/>
      <c r="N483" s="402"/>
      <c r="O483" s="402"/>
      <c r="P483" s="402"/>
      <c r="Q483" s="402"/>
      <c r="R483" s="402"/>
      <c r="S483" s="402"/>
      <c r="T483" s="402"/>
      <c r="U483" s="402"/>
      <c r="V483" s="402"/>
      <c r="W483" s="402"/>
      <c r="X483" s="402"/>
      <c r="Y483" s="402"/>
      <c r="Z483" s="402"/>
    </row>
    <row r="484" ht="14.25" customHeight="1">
      <c r="A484" s="406">
        <v>45510.0</v>
      </c>
      <c r="B484" s="863" t="s">
        <v>4787</v>
      </c>
      <c r="C484" s="863" t="s">
        <v>4929</v>
      </c>
      <c r="D484" s="867" t="s">
        <v>54</v>
      </c>
      <c r="E484" s="689" t="s">
        <v>5108</v>
      </c>
      <c r="F484" s="865">
        <v>2895.43</v>
      </c>
      <c r="G484" s="403"/>
      <c r="H484" s="349" t="s">
        <v>5111</v>
      </c>
      <c r="I484" s="866" t="str">
        <f t="shared" si="10"/>
        <v>NOT PAID</v>
      </c>
      <c r="J484" s="402"/>
      <c r="K484" s="402"/>
      <c r="L484" s="402"/>
      <c r="M484" s="402"/>
      <c r="N484" s="402"/>
      <c r="O484" s="402"/>
      <c r="P484" s="402"/>
      <c r="Q484" s="402"/>
      <c r="R484" s="402"/>
      <c r="S484" s="402"/>
      <c r="T484" s="402"/>
      <c r="U484" s="402"/>
      <c r="V484" s="402"/>
      <c r="W484" s="402"/>
      <c r="X484" s="402"/>
      <c r="Y484" s="402"/>
      <c r="Z484" s="402"/>
    </row>
    <row r="485" ht="14.25" customHeight="1">
      <c r="A485" s="406">
        <v>45510.0</v>
      </c>
      <c r="B485" s="863" t="s">
        <v>5035</v>
      </c>
      <c r="C485" s="863" t="s">
        <v>5036</v>
      </c>
      <c r="D485" s="867" t="s">
        <v>54</v>
      </c>
      <c r="E485" s="689" t="s">
        <v>5098</v>
      </c>
      <c r="F485" s="865">
        <v>53362.68</v>
      </c>
      <c r="G485" s="413">
        <v>20000.0</v>
      </c>
      <c r="H485" s="349" t="s">
        <v>5081</v>
      </c>
      <c r="I485" s="866" t="str">
        <f t="shared" si="10"/>
        <v>PARTIALLY PAID</v>
      </c>
      <c r="J485" s="402"/>
      <c r="K485" s="402"/>
      <c r="L485" s="402"/>
      <c r="M485" s="402"/>
      <c r="N485" s="402"/>
      <c r="O485" s="402"/>
      <c r="P485" s="402"/>
      <c r="Q485" s="402"/>
      <c r="R485" s="402"/>
      <c r="S485" s="402"/>
      <c r="T485" s="402"/>
      <c r="U485" s="402"/>
      <c r="V485" s="402"/>
      <c r="W485" s="402"/>
      <c r="X485" s="402"/>
      <c r="Y485" s="402"/>
      <c r="Z485" s="402"/>
    </row>
    <row r="486" ht="14.25" customHeight="1">
      <c r="A486" s="406">
        <v>45510.0</v>
      </c>
      <c r="B486" s="863" t="s">
        <v>4833</v>
      </c>
      <c r="C486" s="863" t="s">
        <v>4910</v>
      </c>
      <c r="D486" s="867" t="s">
        <v>54</v>
      </c>
      <c r="E486" s="689" t="s">
        <v>5093</v>
      </c>
      <c r="F486" s="865">
        <v>160850.46</v>
      </c>
      <c r="G486" s="403"/>
      <c r="H486" s="349" t="s">
        <v>5112</v>
      </c>
      <c r="I486" s="866" t="str">
        <f t="shared" si="10"/>
        <v>NOT PAID</v>
      </c>
      <c r="J486" s="402"/>
      <c r="K486" s="402"/>
      <c r="L486" s="402"/>
      <c r="M486" s="402"/>
      <c r="N486" s="402"/>
      <c r="O486" s="402"/>
      <c r="P486" s="402"/>
      <c r="Q486" s="402"/>
      <c r="R486" s="402"/>
      <c r="S486" s="402"/>
      <c r="T486" s="402"/>
      <c r="U486" s="402"/>
      <c r="V486" s="402"/>
      <c r="W486" s="402"/>
      <c r="X486" s="402"/>
      <c r="Y486" s="402"/>
      <c r="Z486" s="402"/>
    </row>
    <row r="487" ht="14.25" customHeight="1">
      <c r="A487" s="406">
        <v>45510.0</v>
      </c>
      <c r="B487" s="863" t="s">
        <v>4811</v>
      </c>
      <c r="C487" s="863" t="s">
        <v>4859</v>
      </c>
      <c r="D487" s="867" t="s">
        <v>54</v>
      </c>
      <c r="E487" s="689" t="s">
        <v>5108</v>
      </c>
      <c r="F487" s="865">
        <v>8085.55</v>
      </c>
      <c r="G487" s="403"/>
      <c r="H487" s="349" t="s">
        <v>5066</v>
      </c>
      <c r="I487" s="866" t="str">
        <f t="shared" si="10"/>
        <v>NOT PAID</v>
      </c>
      <c r="J487" s="402"/>
      <c r="K487" s="402"/>
      <c r="L487" s="402"/>
      <c r="M487" s="402"/>
      <c r="N487" s="402"/>
      <c r="O487" s="402"/>
      <c r="P487" s="402"/>
      <c r="Q487" s="402"/>
      <c r="R487" s="402"/>
      <c r="S487" s="402"/>
      <c r="T487" s="402"/>
      <c r="U487" s="402"/>
      <c r="V487" s="402"/>
      <c r="W487" s="402"/>
      <c r="X487" s="402"/>
      <c r="Y487" s="402"/>
      <c r="Z487" s="402"/>
    </row>
    <row r="488" ht="14.25" customHeight="1">
      <c r="A488" s="406">
        <v>45510.0</v>
      </c>
      <c r="B488" s="863" t="s">
        <v>4878</v>
      </c>
      <c r="C488" s="863" t="s">
        <v>4879</v>
      </c>
      <c r="D488" s="867" t="s">
        <v>54</v>
      </c>
      <c r="E488" s="689" t="s">
        <v>5108</v>
      </c>
      <c r="F488" s="865">
        <v>30151.86</v>
      </c>
      <c r="G488" s="413">
        <v>30000.0</v>
      </c>
      <c r="H488" s="349" t="s">
        <v>267</v>
      </c>
      <c r="I488" s="866" t="str">
        <f t="shared" si="10"/>
        <v>PARTIALLY PAID</v>
      </c>
      <c r="J488" s="402"/>
      <c r="K488" s="402"/>
      <c r="L488" s="402"/>
      <c r="M488" s="402"/>
      <c r="N488" s="402"/>
      <c r="O488" s="402"/>
      <c r="P488" s="402"/>
      <c r="Q488" s="402"/>
      <c r="R488" s="402"/>
      <c r="S488" s="402"/>
      <c r="T488" s="402"/>
      <c r="U488" s="402"/>
      <c r="V488" s="402"/>
      <c r="W488" s="402"/>
      <c r="X488" s="402"/>
      <c r="Y488" s="402"/>
      <c r="Z488" s="402"/>
    </row>
    <row r="489" ht="14.25" customHeight="1">
      <c r="A489" s="406">
        <v>45510.0</v>
      </c>
      <c r="B489" s="863" t="s">
        <v>4990</v>
      </c>
      <c r="C489" s="863" t="s">
        <v>4991</v>
      </c>
      <c r="D489" s="867" t="s">
        <v>54</v>
      </c>
      <c r="E489" s="689" t="s">
        <v>5108</v>
      </c>
      <c r="F489" s="865">
        <v>26649.65</v>
      </c>
      <c r="G489" s="403"/>
      <c r="H489" s="349" t="s">
        <v>5112</v>
      </c>
      <c r="I489" s="866" t="str">
        <f t="shared" si="10"/>
        <v>NOT PAID</v>
      </c>
      <c r="J489" s="402"/>
      <c r="K489" s="402"/>
      <c r="L489" s="402"/>
      <c r="M489" s="402"/>
      <c r="N489" s="402"/>
      <c r="O489" s="402"/>
      <c r="P489" s="402"/>
      <c r="Q489" s="402"/>
      <c r="R489" s="402"/>
      <c r="S489" s="402"/>
      <c r="T489" s="402"/>
      <c r="U489" s="402"/>
      <c r="V489" s="402"/>
      <c r="W489" s="402"/>
      <c r="X489" s="402"/>
      <c r="Y489" s="402"/>
      <c r="Z489" s="402"/>
    </row>
    <row r="490" ht="14.25" customHeight="1">
      <c r="A490" s="406">
        <v>45510.0</v>
      </c>
      <c r="B490" s="863" t="s">
        <v>5044</v>
      </c>
      <c r="C490" s="863" t="s">
        <v>4859</v>
      </c>
      <c r="D490" s="867" t="s">
        <v>54</v>
      </c>
      <c r="E490" s="689" t="s">
        <v>5108</v>
      </c>
      <c r="F490" s="865">
        <v>4513.05</v>
      </c>
      <c r="G490" s="403"/>
      <c r="H490" s="349" t="s">
        <v>710</v>
      </c>
      <c r="I490" s="866" t="str">
        <f t="shared" si="10"/>
        <v>NOT PAID</v>
      </c>
      <c r="J490" s="402"/>
      <c r="K490" s="402"/>
      <c r="L490" s="402"/>
      <c r="M490" s="402"/>
      <c r="N490" s="402"/>
      <c r="O490" s="402"/>
      <c r="P490" s="402"/>
      <c r="Q490" s="402"/>
      <c r="R490" s="402"/>
      <c r="S490" s="402"/>
      <c r="T490" s="402"/>
      <c r="U490" s="402"/>
      <c r="V490" s="402"/>
      <c r="W490" s="402"/>
      <c r="X490" s="402"/>
      <c r="Y490" s="402"/>
      <c r="Z490" s="402"/>
    </row>
    <row r="491" ht="14.25" customHeight="1">
      <c r="A491" s="406">
        <v>45510.0</v>
      </c>
      <c r="B491" s="863" t="s">
        <v>5045</v>
      </c>
      <c r="C491" s="863" t="s">
        <v>5046</v>
      </c>
      <c r="D491" s="867" t="s">
        <v>346</v>
      </c>
      <c r="E491" s="689" t="s">
        <v>5093</v>
      </c>
      <c r="F491" s="865">
        <v>300.0</v>
      </c>
      <c r="G491" s="403"/>
      <c r="H491" s="349" t="s">
        <v>2769</v>
      </c>
      <c r="I491" s="866" t="str">
        <f t="shared" si="10"/>
        <v>NOT PAID</v>
      </c>
      <c r="J491" s="402"/>
      <c r="K491" s="402"/>
      <c r="L491" s="402"/>
      <c r="M491" s="402"/>
      <c r="N491" s="402"/>
      <c r="O491" s="402"/>
      <c r="P491" s="402"/>
      <c r="Q491" s="402"/>
      <c r="R491" s="402"/>
      <c r="S491" s="402"/>
      <c r="T491" s="402"/>
      <c r="U491" s="402"/>
      <c r="V491" s="402"/>
      <c r="W491" s="402"/>
      <c r="X491" s="402"/>
      <c r="Y491" s="402"/>
      <c r="Z491" s="402"/>
    </row>
    <row r="492" ht="14.25" customHeight="1">
      <c r="A492" s="406">
        <v>45510.0</v>
      </c>
      <c r="B492" s="863" t="s">
        <v>5113</v>
      </c>
      <c r="C492" s="863" t="s">
        <v>5114</v>
      </c>
      <c r="D492" s="867" t="s">
        <v>75</v>
      </c>
      <c r="E492" s="689" t="s">
        <v>5108</v>
      </c>
      <c r="F492" s="865">
        <v>230000.0</v>
      </c>
      <c r="G492" s="403"/>
      <c r="H492" s="349" t="s">
        <v>2769</v>
      </c>
      <c r="I492" s="866" t="str">
        <f t="shared" si="10"/>
        <v>NOT PAID</v>
      </c>
      <c r="J492" s="402"/>
      <c r="K492" s="402"/>
      <c r="L492" s="402"/>
      <c r="M492" s="402"/>
      <c r="N492" s="402"/>
      <c r="O492" s="402"/>
      <c r="P492" s="402"/>
      <c r="Q492" s="402"/>
      <c r="R492" s="402"/>
      <c r="S492" s="402"/>
      <c r="T492" s="402"/>
      <c r="U492" s="402"/>
      <c r="V492" s="402"/>
      <c r="W492" s="402"/>
      <c r="X492" s="402"/>
      <c r="Y492" s="402"/>
      <c r="Z492" s="402"/>
    </row>
    <row r="493" ht="14.25" customHeight="1">
      <c r="A493" s="406">
        <v>45510.0</v>
      </c>
      <c r="B493" s="863" t="s">
        <v>5115</v>
      </c>
      <c r="C493" s="863" t="s">
        <v>4842</v>
      </c>
      <c r="D493" s="867" t="s">
        <v>75</v>
      </c>
      <c r="E493" s="689" t="s">
        <v>5108</v>
      </c>
      <c r="F493" s="865">
        <v>172500.0</v>
      </c>
      <c r="G493" s="403"/>
      <c r="H493" s="349" t="s">
        <v>2769</v>
      </c>
      <c r="I493" s="866" t="str">
        <f t="shared" si="10"/>
        <v>NOT PAID</v>
      </c>
      <c r="J493" s="402"/>
      <c r="K493" s="402"/>
      <c r="L493" s="402"/>
      <c r="M493" s="402"/>
      <c r="N493" s="402"/>
      <c r="O493" s="402"/>
      <c r="P493" s="402"/>
      <c r="Q493" s="402"/>
      <c r="R493" s="402"/>
      <c r="S493" s="402"/>
      <c r="T493" s="402"/>
      <c r="U493" s="402"/>
      <c r="V493" s="402"/>
      <c r="W493" s="402"/>
      <c r="X493" s="402"/>
      <c r="Y493" s="402"/>
      <c r="Z493" s="402"/>
    </row>
    <row r="494" ht="14.25" customHeight="1">
      <c r="A494" s="406">
        <v>45510.0</v>
      </c>
      <c r="B494" s="863" t="s">
        <v>4816</v>
      </c>
      <c r="C494" s="863" t="s">
        <v>5015</v>
      </c>
      <c r="D494" s="867" t="s">
        <v>54</v>
      </c>
      <c r="E494" s="689" t="s">
        <v>5108</v>
      </c>
      <c r="F494" s="865">
        <v>38764.1</v>
      </c>
      <c r="G494" s="403"/>
      <c r="H494" s="349" t="s">
        <v>5116</v>
      </c>
      <c r="I494" s="866" t="str">
        <f t="shared" si="10"/>
        <v>NOT PAID</v>
      </c>
      <c r="J494" s="402"/>
      <c r="K494" s="402"/>
      <c r="L494" s="402"/>
      <c r="M494" s="402"/>
      <c r="N494" s="402"/>
      <c r="O494" s="402"/>
      <c r="P494" s="402"/>
      <c r="Q494" s="402"/>
      <c r="R494" s="402"/>
      <c r="S494" s="402"/>
      <c r="T494" s="402"/>
      <c r="U494" s="402"/>
      <c r="V494" s="402"/>
      <c r="W494" s="402"/>
      <c r="X494" s="402"/>
      <c r="Y494" s="402"/>
      <c r="Z494" s="402"/>
    </row>
    <row r="495" ht="14.25" customHeight="1">
      <c r="A495" s="406">
        <v>45510.0</v>
      </c>
      <c r="B495" s="863" t="s">
        <v>4800</v>
      </c>
      <c r="C495" s="863" t="s">
        <v>758</v>
      </c>
      <c r="D495" s="867" t="s">
        <v>59</v>
      </c>
      <c r="E495" s="689" t="s">
        <v>5093</v>
      </c>
      <c r="F495" s="865">
        <v>182863.11</v>
      </c>
      <c r="G495" s="403"/>
      <c r="H495" s="349" t="s">
        <v>5117</v>
      </c>
      <c r="I495" s="866" t="str">
        <f t="shared" si="10"/>
        <v>NOT PAID</v>
      </c>
      <c r="J495" s="402"/>
      <c r="K495" s="402"/>
      <c r="L495" s="402"/>
      <c r="M495" s="402"/>
      <c r="N495" s="402"/>
      <c r="O495" s="402"/>
      <c r="P495" s="402"/>
      <c r="Q495" s="402"/>
      <c r="R495" s="402"/>
      <c r="S495" s="402"/>
      <c r="T495" s="402"/>
      <c r="U495" s="402"/>
      <c r="V495" s="402"/>
      <c r="W495" s="402"/>
      <c r="X495" s="402"/>
      <c r="Y495" s="402"/>
      <c r="Z495" s="402"/>
    </row>
    <row r="496" ht="14.25" customHeight="1">
      <c r="A496" s="406">
        <v>45510.0</v>
      </c>
      <c r="B496" s="863" t="s">
        <v>4803</v>
      </c>
      <c r="C496" s="863" t="s">
        <v>4975</v>
      </c>
      <c r="D496" s="867" t="s">
        <v>54</v>
      </c>
      <c r="E496" s="689" t="s">
        <v>5093</v>
      </c>
      <c r="F496" s="865">
        <v>11205.57</v>
      </c>
      <c r="G496" s="403"/>
      <c r="H496" s="349" t="s">
        <v>952</v>
      </c>
      <c r="I496" s="866" t="str">
        <f t="shared" si="10"/>
        <v>NOT PAID</v>
      </c>
      <c r="J496" s="402"/>
      <c r="K496" s="402"/>
      <c r="L496" s="402"/>
      <c r="M496" s="402"/>
      <c r="N496" s="402"/>
      <c r="O496" s="402"/>
      <c r="P496" s="402"/>
      <c r="Q496" s="402"/>
      <c r="R496" s="402"/>
      <c r="S496" s="402"/>
      <c r="T496" s="402"/>
      <c r="U496" s="402"/>
      <c r="V496" s="402"/>
      <c r="W496" s="402"/>
      <c r="X496" s="402"/>
      <c r="Y496" s="402"/>
      <c r="Z496" s="402"/>
    </row>
    <row r="497" ht="14.25" customHeight="1">
      <c r="A497" s="406">
        <v>45510.0</v>
      </c>
      <c r="B497" s="863" t="s">
        <v>4775</v>
      </c>
      <c r="C497" s="863" t="s">
        <v>4922</v>
      </c>
      <c r="D497" s="867" t="s">
        <v>59</v>
      </c>
      <c r="E497" s="689" t="s">
        <v>5093</v>
      </c>
      <c r="F497" s="865">
        <v>164233.39</v>
      </c>
      <c r="G497" s="403"/>
      <c r="H497" s="349" t="s">
        <v>2769</v>
      </c>
      <c r="I497" s="866" t="str">
        <f t="shared" si="10"/>
        <v>NOT PAID</v>
      </c>
      <c r="J497" s="402"/>
      <c r="K497" s="402"/>
      <c r="L497" s="402"/>
      <c r="M497" s="402"/>
      <c r="N497" s="402"/>
      <c r="O497" s="402"/>
      <c r="P497" s="402"/>
      <c r="Q497" s="402"/>
      <c r="R497" s="402"/>
      <c r="S497" s="402"/>
      <c r="T497" s="402"/>
      <c r="U497" s="402"/>
      <c r="V497" s="402"/>
      <c r="W497" s="402"/>
      <c r="X497" s="402"/>
      <c r="Y497" s="402"/>
      <c r="Z497" s="402"/>
    </row>
    <row r="498" ht="14.25" customHeight="1">
      <c r="A498" s="406">
        <v>45510.0</v>
      </c>
      <c r="B498" s="863" t="s">
        <v>4969</v>
      </c>
      <c r="C498" s="863" t="s">
        <v>4970</v>
      </c>
      <c r="D498" s="867" t="s">
        <v>59</v>
      </c>
      <c r="E498" s="689" t="s">
        <v>5093</v>
      </c>
      <c r="F498" s="865">
        <v>31357.13</v>
      </c>
      <c r="G498" s="403"/>
      <c r="H498" s="349" t="s">
        <v>2769</v>
      </c>
      <c r="I498" s="866" t="str">
        <f t="shared" si="10"/>
        <v>NOT PAID</v>
      </c>
      <c r="J498" s="402"/>
      <c r="K498" s="402"/>
      <c r="L498" s="402"/>
      <c r="M498" s="402"/>
      <c r="N498" s="402"/>
      <c r="O498" s="402"/>
      <c r="P498" s="402"/>
      <c r="Q498" s="402"/>
      <c r="R498" s="402"/>
      <c r="S498" s="402"/>
      <c r="T498" s="402"/>
      <c r="U498" s="402"/>
      <c r="V498" s="402"/>
      <c r="W498" s="402"/>
      <c r="X498" s="402"/>
      <c r="Y498" s="402"/>
      <c r="Z498" s="402"/>
    </row>
    <row r="499" ht="14.25" customHeight="1">
      <c r="A499" s="406">
        <v>45510.0</v>
      </c>
      <c r="B499" s="863" t="s">
        <v>4807</v>
      </c>
      <c r="C499" s="863" t="s">
        <v>4978</v>
      </c>
      <c r="D499" s="867" t="s">
        <v>346</v>
      </c>
      <c r="E499" s="689" t="s">
        <v>5108</v>
      </c>
      <c r="F499" s="865">
        <v>3896.91</v>
      </c>
      <c r="G499" s="413">
        <v>1000.0</v>
      </c>
      <c r="H499" s="349" t="s">
        <v>267</v>
      </c>
      <c r="I499" s="866" t="str">
        <f t="shared" si="10"/>
        <v>PARTIALLY PAID</v>
      </c>
      <c r="J499" s="402"/>
      <c r="K499" s="402"/>
      <c r="L499" s="402"/>
      <c r="M499" s="402"/>
      <c r="N499" s="402"/>
      <c r="O499" s="402"/>
      <c r="P499" s="402"/>
      <c r="Q499" s="402"/>
      <c r="R499" s="402"/>
      <c r="S499" s="402"/>
      <c r="T499" s="402"/>
      <c r="U499" s="402"/>
      <c r="V499" s="402"/>
      <c r="W499" s="402"/>
      <c r="X499" s="402"/>
      <c r="Y499" s="402"/>
      <c r="Z499" s="402"/>
    </row>
    <row r="500" ht="14.25" customHeight="1">
      <c r="A500" s="406">
        <v>45510.0</v>
      </c>
      <c r="B500" s="863" t="s">
        <v>4789</v>
      </c>
      <c r="C500" s="863" t="s">
        <v>4923</v>
      </c>
      <c r="D500" s="867" t="s">
        <v>59</v>
      </c>
      <c r="E500" s="689" t="s">
        <v>5099</v>
      </c>
      <c r="F500" s="865">
        <v>253094.89</v>
      </c>
      <c r="G500" s="413">
        <v>265314.0</v>
      </c>
      <c r="H500" s="349" t="s">
        <v>710</v>
      </c>
      <c r="I500" s="866" t="str">
        <f t="shared" si="10"/>
        <v>FULLY PAID</v>
      </c>
      <c r="J500" s="402"/>
      <c r="K500" s="402"/>
      <c r="L500" s="402"/>
      <c r="M500" s="402"/>
      <c r="N500" s="402"/>
      <c r="O500" s="402"/>
      <c r="P500" s="402"/>
      <c r="Q500" s="402"/>
      <c r="R500" s="402"/>
      <c r="S500" s="402"/>
      <c r="T500" s="402"/>
      <c r="U500" s="402"/>
      <c r="V500" s="402"/>
      <c r="W500" s="402"/>
      <c r="X500" s="402"/>
      <c r="Y500" s="402"/>
      <c r="Z500" s="402"/>
    </row>
    <row r="501" ht="14.25" customHeight="1">
      <c r="A501" s="406">
        <v>45510.0</v>
      </c>
      <c r="B501" s="863" t="s">
        <v>4793</v>
      </c>
      <c r="C501" s="863" t="s">
        <v>4891</v>
      </c>
      <c r="D501" s="867" t="s">
        <v>54</v>
      </c>
      <c r="E501" s="689" t="s">
        <v>5099</v>
      </c>
      <c r="F501" s="865">
        <v>26120.37</v>
      </c>
      <c r="G501" s="413">
        <v>0.0</v>
      </c>
      <c r="H501" s="349" t="s">
        <v>3584</v>
      </c>
      <c r="I501" s="866" t="str">
        <f t="shared" si="10"/>
        <v>NOT PAID</v>
      </c>
      <c r="J501" s="402"/>
      <c r="K501" s="402"/>
      <c r="L501" s="402"/>
      <c r="M501" s="402"/>
      <c r="N501" s="402"/>
      <c r="O501" s="402"/>
      <c r="P501" s="402"/>
      <c r="Q501" s="402"/>
      <c r="R501" s="402"/>
      <c r="S501" s="402"/>
      <c r="T501" s="402"/>
      <c r="U501" s="402"/>
      <c r="V501" s="402"/>
      <c r="W501" s="402"/>
      <c r="X501" s="402"/>
      <c r="Y501" s="402"/>
      <c r="Z501" s="402"/>
    </row>
    <row r="502" ht="14.25" customHeight="1">
      <c r="A502" s="406">
        <v>45510.0</v>
      </c>
      <c r="B502" s="863" t="s">
        <v>5068</v>
      </c>
      <c r="C502" s="863" t="s">
        <v>4907</v>
      </c>
      <c r="D502" s="867" t="s">
        <v>54</v>
      </c>
      <c r="E502" s="689" t="s">
        <v>5108</v>
      </c>
      <c r="F502" s="865">
        <v>89136.0</v>
      </c>
      <c r="G502" s="413">
        <v>0.0</v>
      </c>
      <c r="H502" s="349" t="s">
        <v>3584</v>
      </c>
      <c r="I502" s="866" t="str">
        <f t="shared" si="10"/>
        <v>NOT PAID</v>
      </c>
      <c r="J502" s="402"/>
      <c r="K502" s="402"/>
      <c r="L502" s="402"/>
      <c r="M502" s="402"/>
      <c r="N502" s="402"/>
      <c r="O502" s="402"/>
      <c r="P502" s="402"/>
      <c r="Q502" s="402"/>
      <c r="R502" s="402"/>
      <c r="S502" s="402"/>
      <c r="T502" s="402"/>
      <c r="U502" s="402"/>
      <c r="V502" s="402"/>
      <c r="W502" s="402"/>
      <c r="X502" s="402"/>
      <c r="Y502" s="402"/>
      <c r="Z502" s="402"/>
    </row>
    <row r="503" ht="14.25" customHeight="1">
      <c r="A503" s="406">
        <v>45510.0</v>
      </c>
      <c r="B503" s="863" t="s">
        <v>4983</v>
      </c>
      <c r="C503" s="863" t="s">
        <v>4860</v>
      </c>
      <c r="D503" s="867" t="s">
        <v>54</v>
      </c>
      <c r="E503" s="689" t="s">
        <v>5098</v>
      </c>
      <c r="F503" s="865">
        <v>49947.61</v>
      </c>
      <c r="G503" s="403"/>
      <c r="H503" s="349" t="s">
        <v>2769</v>
      </c>
      <c r="I503" s="866" t="str">
        <f t="shared" si="10"/>
        <v>NOT PAID</v>
      </c>
      <c r="J503" s="402"/>
      <c r="K503" s="402"/>
      <c r="L503" s="402"/>
      <c r="M503" s="402"/>
      <c r="N503" s="402"/>
      <c r="O503" s="402"/>
      <c r="P503" s="402"/>
      <c r="Q503" s="402"/>
      <c r="R503" s="402"/>
      <c r="S503" s="402"/>
      <c r="T503" s="402"/>
      <c r="U503" s="402"/>
      <c r="V503" s="402"/>
      <c r="W503" s="402"/>
      <c r="X503" s="402"/>
      <c r="Y503" s="402"/>
      <c r="Z503" s="402"/>
    </row>
    <row r="504" ht="14.25" customHeight="1">
      <c r="A504" s="406">
        <v>45510.0</v>
      </c>
      <c r="B504" s="863" t="s">
        <v>5085</v>
      </c>
      <c r="C504" s="863" t="s">
        <v>5036</v>
      </c>
      <c r="D504" s="867" t="s">
        <v>75</v>
      </c>
      <c r="E504" s="689" t="s">
        <v>5098</v>
      </c>
      <c r="F504" s="865">
        <v>241500.0</v>
      </c>
      <c r="G504" s="403"/>
      <c r="H504" s="349" t="s">
        <v>5118</v>
      </c>
      <c r="I504" s="866" t="str">
        <f t="shared" si="10"/>
        <v>NOT PAID</v>
      </c>
      <c r="J504" s="402"/>
      <c r="K504" s="402"/>
      <c r="L504" s="402"/>
      <c r="M504" s="402"/>
      <c r="N504" s="402"/>
      <c r="O504" s="402"/>
      <c r="P504" s="402"/>
      <c r="Q504" s="402"/>
      <c r="R504" s="402"/>
      <c r="S504" s="402"/>
      <c r="T504" s="402"/>
      <c r="U504" s="402"/>
      <c r="V504" s="402"/>
      <c r="W504" s="402"/>
      <c r="X504" s="402"/>
      <c r="Y504" s="402"/>
      <c r="Z504" s="402"/>
    </row>
    <row r="505" ht="14.25" customHeight="1">
      <c r="A505" s="406">
        <v>45510.0</v>
      </c>
      <c r="B505" s="863" t="s">
        <v>5071</v>
      </c>
      <c r="C505" s="863" t="s">
        <v>5119</v>
      </c>
      <c r="D505" s="867" t="s">
        <v>54</v>
      </c>
      <c r="E505" s="689" t="s">
        <v>5108</v>
      </c>
      <c r="F505" s="865">
        <v>59639.0</v>
      </c>
      <c r="G505" s="403"/>
      <c r="H505" s="349" t="s">
        <v>5120</v>
      </c>
      <c r="I505" s="866" t="str">
        <f t="shared" si="10"/>
        <v>NOT PAID</v>
      </c>
      <c r="J505" s="402"/>
      <c r="K505" s="402"/>
      <c r="L505" s="402"/>
      <c r="M505" s="402"/>
      <c r="N505" s="402"/>
      <c r="O505" s="402"/>
      <c r="P505" s="402"/>
      <c r="Q505" s="402"/>
      <c r="R505" s="402"/>
      <c r="S505" s="402"/>
      <c r="T505" s="402"/>
      <c r="U505" s="402"/>
      <c r="V505" s="402"/>
      <c r="W505" s="402"/>
      <c r="X505" s="402"/>
      <c r="Y505" s="402"/>
      <c r="Z505" s="402"/>
    </row>
    <row r="506" ht="14.25" customHeight="1">
      <c r="A506" s="406">
        <v>45510.0</v>
      </c>
      <c r="B506" s="863" t="s">
        <v>5075</v>
      </c>
      <c r="C506" s="863" t="s">
        <v>5076</v>
      </c>
      <c r="D506" s="867" t="s">
        <v>75</v>
      </c>
      <c r="E506" s="689" t="s">
        <v>5098</v>
      </c>
      <c r="F506" s="865">
        <v>74300.0</v>
      </c>
      <c r="G506" s="413">
        <v>10200.0</v>
      </c>
      <c r="H506" s="349" t="s">
        <v>5121</v>
      </c>
      <c r="I506" s="866" t="str">
        <f t="shared" si="10"/>
        <v>PARTIALLY PAID</v>
      </c>
      <c r="J506" s="402"/>
      <c r="K506" s="402"/>
      <c r="L506" s="402"/>
      <c r="M506" s="402"/>
      <c r="N506" s="402"/>
      <c r="O506" s="402"/>
      <c r="P506" s="402"/>
      <c r="Q506" s="402"/>
      <c r="R506" s="402"/>
      <c r="S506" s="402"/>
      <c r="T506" s="402"/>
      <c r="U506" s="402"/>
      <c r="V506" s="402"/>
      <c r="W506" s="402"/>
      <c r="X506" s="402"/>
      <c r="Y506" s="402"/>
      <c r="Z506" s="402"/>
    </row>
    <row r="507" ht="14.25" customHeight="1">
      <c r="A507" s="406"/>
      <c r="B507" s="500"/>
      <c r="C507" s="402"/>
      <c r="D507" s="402"/>
      <c r="E507" s="868"/>
      <c r="F507" s="587"/>
      <c r="G507" s="403"/>
      <c r="H507" s="402"/>
      <c r="I507" s="866" t="str">
        <f t="shared" si="10"/>
        <v>FULLY PAID</v>
      </c>
      <c r="J507" s="402"/>
      <c r="K507" s="402"/>
      <c r="L507" s="402"/>
      <c r="M507" s="402"/>
      <c r="N507" s="402"/>
      <c r="O507" s="402"/>
      <c r="P507" s="402"/>
      <c r="Q507" s="402"/>
      <c r="R507" s="402"/>
      <c r="S507" s="402"/>
      <c r="T507" s="402"/>
      <c r="U507" s="402"/>
      <c r="V507" s="402"/>
      <c r="W507" s="402"/>
      <c r="X507" s="402"/>
      <c r="Y507" s="402"/>
      <c r="Z507" s="402"/>
    </row>
    <row r="508" ht="14.25" customHeight="1">
      <c r="A508" s="406"/>
      <c r="B508" s="500"/>
      <c r="C508" s="911" t="s">
        <v>797</v>
      </c>
      <c r="D508" s="402"/>
      <c r="E508" s="868"/>
      <c r="F508" s="587"/>
      <c r="G508" s="403"/>
      <c r="H508" s="402"/>
      <c r="I508" s="866" t="str">
        <f t="shared" si="10"/>
        <v>FULLY PAID</v>
      </c>
      <c r="J508" s="402"/>
      <c r="K508" s="402"/>
      <c r="L508" s="402"/>
      <c r="M508" s="402"/>
      <c r="N508" s="402"/>
      <c r="O508" s="402"/>
      <c r="P508" s="402"/>
      <c r="Q508" s="402"/>
      <c r="R508" s="402"/>
      <c r="S508" s="402"/>
      <c r="T508" s="402"/>
      <c r="U508" s="402"/>
      <c r="V508" s="402"/>
      <c r="W508" s="402"/>
      <c r="X508" s="402"/>
      <c r="Y508" s="402"/>
      <c r="Z508" s="402"/>
    </row>
    <row r="509" ht="14.25" customHeight="1">
      <c r="A509" s="406">
        <v>45510.0</v>
      </c>
      <c r="B509" s="829" t="s">
        <v>4781</v>
      </c>
      <c r="C509" s="349" t="s">
        <v>4827</v>
      </c>
      <c r="D509" s="349" t="s">
        <v>54</v>
      </c>
      <c r="E509" s="689" t="s">
        <v>578</v>
      </c>
      <c r="F509" s="559">
        <v>142630.9</v>
      </c>
      <c r="G509" s="403"/>
      <c r="H509" s="349" t="s">
        <v>5088</v>
      </c>
      <c r="I509" s="866" t="str">
        <f t="shared" si="10"/>
        <v>NOT PAID</v>
      </c>
      <c r="J509" s="402"/>
      <c r="K509" s="402"/>
      <c r="L509" s="402"/>
      <c r="M509" s="402"/>
      <c r="N509" s="402"/>
      <c r="O509" s="402"/>
      <c r="P509" s="402"/>
      <c r="Q509" s="402"/>
      <c r="R509" s="402"/>
      <c r="S509" s="402"/>
      <c r="T509" s="402"/>
      <c r="U509" s="402"/>
      <c r="V509" s="402"/>
      <c r="W509" s="402"/>
      <c r="X509" s="402"/>
      <c r="Y509" s="402"/>
      <c r="Z509" s="402"/>
    </row>
    <row r="510" ht="14.25" customHeight="1">
      <c r="A510" s="406">
        <v>45510.0</v>
      </c>
      <c r="B510" s="829" t="s">
        <v>5044</v>
      </c>
      <c r="C510" s="349" t="s">
        <v>5089</v>
      </c>
      <c r="D510" s="349" t="s">
        <v>1030</v>
      </c>
      <c r="E510" s="689" t="s">
        <v>578</v>
      </c>
      <c r="F510" s="559">
        <v>90261.0</v>
      </c>
      <c r="G510" s="403"/>
      <c r="H510" s="349" t="s">
        <v>267</v>
      </c>
      <c r="I510" s="866" t="str">
        <f t="shared" si="10"/>
        <v>NOT PAID</v>
      </c>
      <c r="J510" s="402"/>
      <c r="K510" s="402"/>
      <c r="L510" s="402"/>
      <c r="M510" s="402"/>
      <c r="N510" s="402"/>
      <c r="O510" s="402"/>
      <c r="P510" s="402"/>
      <c r="Q510" s="402"/>
      <c r="R510" s="402"/>
      <c r="S510" s="402"/>
      <c r="T510" s="402"/>
      <c r="U510" s="402"/>
      <c r="V510" s="402"/>
      <c r="W510" s="402"/>
      <c r="X510" s="402"/>
      <c r="Y510" s="402"/>
      <c r="Z510" s="402"/>
    </row>
    <row r="511" ht="14.25" customHeight="1">
      <c r="A511" s="406">
        <v>45510.0</v>
      </c>
      <c r="B511" s="829" t="s">
        <v>5122</v>
      </c>
      <c r="C511" s="349" t="s">
        <v>5123</v>
      </c>
      <c r="D511" s="349" t="s">
        <v>59</v>
      </c>
      <c r="E511" s="689" t="s">
        <v>578</v>
      </c>
      <c r="F511" s="559">
        <v>635602.51</v>
      </c>
      <c r="G511" s="413">
        <v>108707.0</v>
      </c>
      <c r="H511" s="349" t="s">
        <v>5124</v>
      </c>
      <c r="I511" s="866" t="str">
        <f t="shared" si="10"/>
        <v>PARTIALLY PAID</v>
      </c>
      <c r="J511" s="402"/>
      <c r="K511" s="402"/>
      <c r="L511" s="402"/>
      <c r="M511" s="402"/>
      <c r="N511" s="402"/>
      <c r="O511" s="402"/>
      <c r="P511" s="402"/>
      <c r="Q511" s="402"/>
      <c r="R511" s="402"/>
      <c r="S511" s="402"/>
      <c r="T511" s="402"/>
      <c r="U511" s="402"/>
      <c r="V511" s="402"/>
      <c r="W511" s="402"/>
      <c r="X511" s="402"/>
      <c r="Y511" s="402"/>
      <c r="Z511" s="402"/>
    </row>
    <row r="512" ht="14.25" customHeight="1">
      <c r="A512" s="406">
        <v>45510.0</v>
      </c>
      <c r="B512" s="829" t="s">
        <v>4919</v>
      </c>
      <c r="C512" s="349" t="s">
        <v>4945</v>
      </c>
      <c r="D512" s="349" t="s">
        <v>75</v>
      </c>
      <c r="E512" s="689" t="s">
        <v>578</v>
      </c>
      <c r="F512" s="559">
        <v>306751.35</v>
      </c>
      <c r="G512" s="403"/>
      <c r="H512" s="349" t="s">
        <v>5125</v>
      </c>
      <c r="I512" s="866" t="str">
        <f t="shared" si="10"/>
        <v>NOT PAID</v>
      </c>
      <c r="J512" s="402"/>
      <c r="K512" s="402"/>
      <c r="L512" s="402"/>
      <c r="M512" s="402"/>
      <c r="N512" s="402"/>
      <c r="O512" s="402"/>
      <c r="P512" s="402"/>
      <c r="Q512" s="402"/>
      <c r="R512" s="402"/>
      <c r="S512" s="402"/>
      <c r="T512" s="402"/>
      <c r="U512" s="402"/>
      <c r="V512" s="402"/>
      <c r="W512" s="402"/>
      <c r="X512" s="402"/>
      <c r="Y512" s="402"/>
      <c r="Z512" s="402"/>
    </row>
    <row r="513" ht="14.25" customHeight="1">
      <c r="A513" s="406">
        <v>45510.0</v>
      </c>
      <c r="B513" s="829" t="s">
        <v>4783</v>
      </c>
      <c r="C513" s="349" t="s">
        <v>4945</v>
      </c>
      <c r="D513" s="349" t="s">
        <v>54</v>
      </c>
      <c r="E513" s="689" t="s">
        <v>578</v>
      </c>
      <c r="F513" s="559">
        <v>147656.76</v>
      </c>
      <c r="G513" s="403"/>
      <c r="H513" s="349" t="s">
        <v>5125</v>
      </c>
      <c r="I513" s="866" t="str">
        <f t="shared" si="10"/>
        <v>NOT PAID</v>
      </c>
      <c r="J513" s="402"/>
      <c r="K513" s="402"/>
      <c r="L513" s="402"/>
      <c r="M513" s="402"/>
      <c r="N513" s="402"/>
      <c r="O513" s="402"/>
      <c r="P513" s="402"/>
      <c r="Q513" s="402"/>
      <c r="R513" s="402"/>
      <c r="S513" s="402"/>
      <c r="T513" s="402"/>
      <c r="U513" s="402"/>
      <c r="V513" s="402"/>
      <c r="W513" s="402"/>
      <c r="X513" s="402"/>
      <c r="Y513" s="402"/>
      <c r="Z513" s="402"/>
    </row>
    <row r="514" ht="14.25" customHeight="1">
      <c r="A514" s="406">
        <v>45510.0</v>
      </c>
      <c r="B514" s="829" t="s">
        <v>4789</v>
      </c>
      <c r="C514" s="349" t="s">
        <v>4923</v>
      </c>
      <c r="D514" s="349" t="s">
        <v>59</v>
      </c>
      <c r="E514" s="689" t="s">
        <v>578</v>
      </c>
      <c r="F514" s="559">
        <v>265314.17</v>
      </c>
      <c r="G514" s="403"/>
      <c r="H514" s="349" t="s">
        <v>710</v>
      </c>
      <c r="I514" s="866" t="str">
        <f t="shared" si="10"/>
        <v>NOT PAID</v>
      </c>
      <c r="J514" s="402"/>
      <c r="K514" s="402"/>
      <c r="L514" s="402"/>
      <c r="M514" s="402"/>
      <c r="N514" s="402"/>
      <c r="O514" s="402"/>
      <c r="P514" s="402"/>
      <c r="Q514" s="402"/>
      <c r="R514" s="402"/>
      <c r="S514" s="402"/>
      <c r="T514" s="402"/>
      <c r="U514" s="402"/>
      <c r="V514" s="402"/>
      <c r="W514" s="402"/>
      <c r="X514" s="402"/>
      <c r="Y514" s="402"/>
      <c r="Z514" s="402"/>
    </row>
    <row r="515" ht="14.25" customHeight="1">
      <c r="A515" s="406">
        <v>45510.0</v>
      </c>
      <c r="B515" s="829" t="s">
        <v>4828</v>
      </c>
      <c r="C515" s="349" t="s">
        <v>4829</v>
      </c>
      <c r="D515" s="349" t="s">
        <v>59</v>
      </c>
      <c r="E515" s="689" t="s">
        <v>273</v>
      </c>
      <c r="F515" s="559">
        <v>500000.0</v>
      </c>
      <c r="G515" s="403"/>
      <c r="H515" s="349" t="s">
        <v>5126</v>
      </c>
      <c r="I515" s="866" t="str">
        <f t="shared" si="10"/>
        <v>NOT PAID</v>
      </c>
      <c r="J515" s="402"/>
      <c r="K515" s="402"/>
      <c r="L515" s="402"/>
      <c r="M515" s="402"/>
      <c r="N515" s="402"/>
      <c r="O515" s="402"/>
      <c r="P515" s="402"/>
      <c r="Q515" s="402"/>
      <c r="R515" s="402"/>
      <c r="S515" s="402"/>
      <c r="T515" s="402"/>
      <c r="U515" s="402"/>
      <c r="V515" s="402"/>
      <c r="W515" s="402"/>
      <c r="X515" s="402"/>
      <c r="Y515" s="402"/>
      <c r="Z515" s="402"/>
    </row>
    <row r="516" ht="14.25" customHeight="1">
      <c r="A516" s="961"/>
      <c r="B516" s="500"/>
      <c r="C516" s="402"/>
      <c r="D516" s="402"/>
      <c r="E516" s="868"/>
      <c r="F516" s="587"/>
      <c r="G516" s="403"/>
      <c r="H516" s="402"/>
      <c r="I516" s="866" t="str">
        <f t="shared" si="10"/>
        <v>FULLY PAID</v>
      </c>
      <c r="J516" s="402"/>
      <c r="K516" s="402"/>
      <c r="L516" s="402"/>
      <c r="M516" s="402"/>
      <c r="N516" s="402"/>
      <c r="O516" s="402"/>
      <c r="P516" s="402"/>
      <c r="Q516" s="402"/>
      <c r="R516" s="402"/>
      <c r="S516" s="402"/>
      <c r="T516" s="402"/>
      <c r="U516" s="402"/>
      <c r="V516" s="402"/>
      <c r="W516" s="402"/>
      <c r="X516" s="402"/>
      <c r="Y516" s="402"/>
      <c r="Z516" s="402"/>
    </row>
    <row r="517" ht="14.25" customHeight="1">
      <c r="A517" s="961"/>
      <c r="B517" s="500"/>
      <c r="C517" s="349"/>
      <c r="D517" s="402"/>
      <c r="E517" s="868"/>
      <c r="F517" s="587"/>
      <c r="G517" s="403"/>
      <c r="H517" s="402"/>
      <c r="I517" s="866" t="str">
        <f t="shared" si="10"/>
        <v>FULLY PAID</v>
      </c>
      <c r="J517" s="402"/>
      <c r="K517" s="402"/>
      <c r="L517" s="402"/>
      <c r="M517" s="402"/>
      <c r="N517" s="402"/>
      <c r="O517" s="402"/>
      <c r="P517" s="402"/>
      <c r="Q517" s="402"/>
      <c r="R517" s="402"/>
      <c r="S517" s="402"/>
      <c r="T517" s="402"/>
      <c r="U517" s="402"/>
      <c r="V517" s="402"/>
      <c r="W517" s="402"/>
      <c r="X517" s="402"/>
      <c r="Y517" s="402"/>
      <c r="Z517" s="402"/>
    </row>
    <row r="518" ht="14.25" customHeight="1">
      <c r="A518" s="961"/>
      <c r="B518" s="500"/>
      <c r="C518" s="402"/>
      <c r="D518" s="402"/>
      <c r="E518" s="868"/>
      <c r="F518" s="587"/>
      <c r="G518" s="403"/>
      <c r="H518" s="402"/>
      <c r="I518" s="866" t="str">
        <f t="shared" si="10"/>
        <v>FULLY PAID</v>
      </c>
      <c r="J518" s="402"/>
      <c r="K518" s="402"/>
      <c r="L518" s="402"/>
      <c r="M518" s="402"/>
      <c r="N518" s="402"/>
      <c r="O518" s="402"/>
      <c r="P518" s="402"/>
      <c r="Q518" s="402"/>
      <c r="R518" s="402"/>
      <c r="S518" s="402"/>
      <c r="T518" s="402"/>
      <c r="U518" s="402"/>
      <c r="V518" s="402"/>
      <c r="W518" s="402"/>
      <c r="X518" s="402"/>
      <c r="Y518" s="402"/>
      <c r="Z518" s="402"/>
    </row>
    <row r="519" ht="14.25" customHeight="1">
      <c r="A519" s="896" t="s">
        <v>2130</v>
      </c>
      <c r="B519" s="897" t="s">
        <v>39</v>
      </c>
      <c r="C519" s="896" t="s">
        <v>48</v>
      </c>
      <c r="D519" s="896" t="s">
        <v>49</v>
      </c>
      <c r="E519" s="898" t="s">
        <v>50</v>
      </c>
      <c r="F519" s="899" t="s">
        <v>2</v>
      </c>
      <c r="G519" s="896" t="s">
        <v>44</v>
      </c>
      <c r="H519" s="896" t="s">
        <v>45</v>
      </c>
      <c r="I519" s="866" t="str">
        <f t="shared" si="10"/>
        <v>FULLY PAID</v>
      </c>
      <c r="J519" s="402"/>
      <c r="K519" s="402"/>
      <c r="L519" s="402"/>
      <c r="M519" s="402"/>
      <c r="N519" s="402"/>
      <c r="O519" s="402"/>
      <c r="P519" s="402"/>
      <c r="Q519" s="402"/>
      <c r="R519" s="402"/>
      <c r="S519" s="402"/>
      <c r="T519" s="402"/>
      <c r="U519" s="402"/>
      <c r="V519" s="402"/>
      <c r="W519" s="402"/>
      <c r="X519" s="402"/>
      <c r="Y519" s="402"/>
      <c r="Z519" s="402"/>
    </row>
    <row r="520" ht="14.25" customHeight="1">
      <c r="A520" s="697">
        <v>45511.0</v>
      </c>
      <c r="B520" s="863" t="s">
        <v>5127</v>
      </c>
      <c r="C520" s="863" t="s">
        <v>5128</v>
      </c>
      <c r="D520" s="867" t="s">
        <v>54</v>
      </c>
      <c r="E520" s="689" t="s">
        <v>5093</v>
      </c>
      <c r="F520" s="865">
        <v>127874.49</v>
      </c>
      <c r="G520" s="403"/>
      <c r="H520" s="349" t="s">
        <v>5129</v>
      </c>
      <c r="I520" s="866" t="str">
        <f t="shared" si="10"/>
        <v>NOT PAID</v>
      </c>
      <c r="J520" s="402"/>
      <c r="K520" s="402"/>
      <c r="L520" s="402"/>
      <c r="M520" s="402"/>
      <c r="N520" s="402"/>
      <c r="O520" s="402"/>
      <c r="P520" s="402"/>
      <c r="Q520" s="402"/>
      <c r="R520" s="402"/>
      <c r="S520" s="402"/>
      <c r="T520" s="402"/>
      <c r="U520" s="402"/>
      <c r="V520" s="402"/>
      <c r="W520" s="402"/>
      <c r="X520" s="402"/>
      <c r="Y520" s="402"/>
      <c r="Z520" s="402"/>
    </row>
    <row r="521" ht="14.25" customHeight="1">
      <c r="A521" s="697">
        <v>45511.0</v>
      </c>
      <c r="B521" s="863" t="s">
        <v>5130</v>
      </c>
      <c r="C521" s="863" t="s">
        <v>5131</v>
      </c>
      <c r="D521" s="867" t="s">
        <v>54</v>
      </c>
      <c r="E521" s="689" t="s">
        <v>5099</v>
      </c>
      <c r="F521" s="865">
        <v>3244.69</v>
      </c>
      <c r="G521" s="403"/>
      <c r="H521" s="349" t="s">
        <v>2769</v>
      </c>
      <c r="I521" s="866" t="str">
        <f t="shared" si="10"/>
        <v>NOT PAID</v>
      </c>
      <c r="J521" s="402"/>
      <c r="K521" s="402"/>
      <c r="L521" s="402"/>
      <c r="M521" s="402"/>
      <c r="N521" s="402"/>
      <c r="O521" s="402"/>
      <c r="P521" s="402"/>
      <c r="Q521" s="402"/>
      <c r="R521" s="402"/>
      <c r="S521" s="402"/>
      <c r="T521" s="402"/>
      <c r="U521" s="402"/>
      <c r="V521" s="402"/>
      <c r="W521" s="402"/>
      <c r="X521" s="402"/>
      <c r="Y521" s="402"/>
      <c r="Z521" s="402"/>
    </row>
    <row r="522" ht="14.25" customHeight="1">
      <c r="A522" s="697">
        <v>45511.0</v>
      </c>
      <c r="B522" s="863" t="s">
        <v>4939</v>
      </c>
      <c r="C522" s="863" t="s">
        <v>5132</v>
      </c>
      <c r="D522" s="867" t="s">
        <v>54</v>
      </c>
      <c r="E522" s="689" t="s">
        <v>5107</v>
      </c>
      <c r="F522" s="865">
        <v>13845.99</v>
      </c>
      <c r="G522" s="403"/>
      <c r="H522" s="349" t="s">
        <v>2769</v>
      </c>
      <c r="I522" s="866" t="str">
        <f t="shared" si="10"/>
        <v>NOT PAID</v>
      </c>
      <c r="J522" s="402"/>
      <c r="K522" s="402"/>
      <c r="L522" s="402"/>
      <c r="M522" s="402"/>
      <c r="N522" s="402"/>
      <c r="O522" s="402"/>
      <c r="P522" s="402"/>
      <c r="Q522" s="402"/>
      <c r="R522" s="402"/>
      <c r="S522" s="402"/>
      <c r="T522" s="402"/>
      <c r="U522" s="402"/>
      <c r="V522" s="402"/>
      <c r="W522" s="402"/>
      <c r="X522" s="402"/>
      <c r="Y522" s="402"/>
      <c r="Z522" s="402"/>
    </row>
    <row r="523" ht="14.25" customHeight="1">
      <c r="A523" s="697">
        <v>45511.0</v>
      </c>
      <c r="B523" s="863" t="s">
        <v>4898</v>
      </c>
      <c r="C523" s="863" t="s">
        <v>4949</v>
      </c>
      <c r="D523" s="867" t="s">
        <v>54</v>
      </c>
      <c r="E523" s="689" t="s">
        <v>5099</v>
      </c>
      <c r="F523" s="865">
        <v>949.04</v>
      </c>
      <c r="G523" s="403"/>
      <c r="H523" s="349" t="s">
        <v>4841</v>
      </c>
      <c r="I523" s="866" t="str">
        <f t="shared" si="10"/>
        <v>NOT PAID</v>
      </c>
      <c r="J523" s="402"/>
      <c r="K523" s="402"/>
      <c r="L523" s="402"/>
      <c r="M523" s="402"/>
      <c r="N523" s="402"/>
      <c r="O523" s="402"/>
      <c r="P523" s="402"/>
      <c r="Q523" s="402"/>
      <c r="R523" s="402"/>
      <c r="S523" s="402"/>
      <c r="T523" s="402"/>
      <c r="U523" s="402"/>
      <c r="V523" s="402"/>
      <c r="W523" s="402"/>
      <c r="X523" s="402"/>
      <c r="Y523" s="402"/>
      <c r="Z523" s="402"/>
    </row>
    <row r="524" ht="14.25" customHeight="1">
      <c r="A524" s="697">
        <v>45511.0</v>
      </c>
      <c r="B524" s="863" t="s">
        <v>4864</v>
      </c>
      <c r="C524" s="863" t="s">
        <v>4952</v>
      </c>
      <c r="D524" s="867" t="s">
        <v>54</v>
      </c>
      <c r="E524" s="689" t="s">
        <v>5107</v>
      </c>
      <c r="F524" s="865">
        <v>6735.74</v>
      </c>
      <c r="G524" s="403"/>
      <c r="H524" s="349" t="s">
        <v>5094</v>
      </c>
      <c r="I524" s="866" t="str">
        <f t="shared" si="10"/>
        <v>NOT PAID</v>
      </c>
      <c r="J524" s="402"/>
      <c r="K524" s="402"/>
      <c r="L524" s="402"/>
      <c r="M524" s="402"/>
      <c r="N524" s="402"/>
      <c r="O524" s="402"/>
      <c r="P524" s="402"/>
      <c r="Q524" s="402"/>
      <c r="R524" s="402"/>
      <c r="S524" s="402"/>
      <c r="T524" s="402"/>
      <c r="U524" s="402"/>
      <c r="V524" s="402"/>
      <c r="W524" s="402"/>
      <c r="X524" s="402"/>
      <c r="Y524" s="402"/>
      <c r="Z524" s="402"/>
    </row>
    <row r="525" ht="14.25" customHeight="1">
      <c r="A525" s="697">
        <v>45511.0</v>
      </c>
      <c r="B525" s="863" t="s">
        <v>4900</v>
      </c>
      <c r="C525" s="863" t="s">
        <v>5133</v>
      </c>
      <c r="D525" s="867" t="s">
        <v>54</v>
      </c>
      <c r="E525" s="689" t="s">
        <v>5093</v>
      </c>
      <c r="F525" s="865">
        <v>7579.04</v>
      </c>
      <c r="G525" s="403"/>
      <c r="H525" s="349" t="s">
        <v>5095</v>
      </c>
      <c r="I525" s="866" t="str">
        <f t="shared" si="10"/>
        <v>NOT PAID</v>
      </c>
      <c r="J525" s="402"/>
      <c r="K525" s="402"/>
      <c r="L525" s="402"/>
      <c r="M525" s="402"/>
      <c r="N525" s="402"/>
      <c r="O525" s="402"/>
      <c r="P525" s="402"/>
      <c r="Q525" s="402"/>
      <c r="R525" s="402"/>
      <c r="S525" s="402"/>
      <c r="T525" s="402"/>
      <c r="U525" s="402"/>
      <c r="V525" s="402"/>
      <c r="W525" s="402"/>
      <c r="X525" s="402"/>
      <c r="Y525" s="402"/>
      <c r="Z525" s="402"/>
    </row>
    <row r="526" ht="14.25" customHeight="1">
      <c r="A526" s="697">
        <v>45511.0</v>
      </c>
      <c r="B526" s="863" t="s">
        <v>4933</v>
      </c>
      <c r="C526" s="863" t="s">
        <v>4953</v>
      </c>
      <c r="D526" s="867" t="s">
        <v>59</v>
      </c>
      <c r="E526" s="689" t="s">
        <v>5093</v>
      </c>
      <c r="F526" s="865">
        <v>389998.51</v>
      </c>
      <c r="G526" s="413">
        <v>100000.0</v>
      </c>
      <c r="H526" s="349" t="s">
        <v>4964</v>
      </c>
      <c r="I526" s="866" t="str">
        <f t="shared" si="10"/>
        <v>PARTIALLY PAID</v>
      </c>
      <c r="J526" s="402"/>
      <c r="K526" s="402"/>
      <c r="L526" s="402"/>
      <c r="M526" s="402"/>
      <c r="N526" s="402"/>
      <c r="O526" s="402"/>
      <c r="P526" s="402"/>
      <c r="Q526" s="402"/>
      <c r="R526" s="402"/>
      <c r="S526" s="402"/>
      <c r="T526" s="402"/>
      <c r="U526" s="402"/>
      <c r="V526" s="402"/>
      <c r="W526" s="402"/>
      <c r="X526" s="402"/>
      <c r="Y526" s="402"/>
      <c r="Z526" s="402"/>
    </row>
    <row r="527" ht="14.25" customHeight="1">
      <c r="A527" s="697">
        <v>45511.0</v>
      </c>
      <c r="B527" s="863" t="s">
        <v>4885</v>
      </c>
      <c r="C527" s="863" t="s">
        <v>4955</v>
      </c>
      <c r="D527" s="867" t="s">
        <v>54</v>
      </c>
      <c r="E527" s="689" t="s">
        <v>5093</v>
      </c>
      <c r="F527" s="865">
        <v>1474.5</v>
      </c>
      <c r="G527" s="403"/>
      <c r="H527" s="349" t="s">
        <v>2769</v>
      </c>
      <c r="I527" s="866" t="str">
        <f t="shared" si="10"/>
        <v>NOT PAID</v>
      </c>
      <c r="J527" s="402"/>
      <c r="K527" s="402"/>
      <c r="L527" s="402"/>
      <c r="M527" s="402"/>
      <c r="N527" s="402"/>
      <c r="O527" s="402"/>
      <c r="P527" s="402"/>
      <c r="Q527" s="402"/>
      <c r="R527" s="402"/>
      <c r="S527" s="402"/>
      <c r="T527" s="402"/>
      <c r="U527" s="402"/>
      <c r="V527" s="402"/>
      <c r="W527" s="402"/>
      <c r="X527" s="402"/>
      <c r="Y527" s="402"/>
      <c r="Z527" s="402"/>
    </row>
    <row r="528" ht="14.25" customHeight="1">
      <c r="A528" s="697">
        <v>45511.0</v>
      </c>
      <c r="B528" s="863" t="s">
        <v>4767</v>
      </c>
      <c r="C528" s="863" t="s">
        <v>4768</v>
      </c>
      <c r="D528" s="867" t="s">
        <v>59</v>
      </c>
      <c r="E528" s="689" t="s">
        <v>5108</v>
      </c>
      <c r="F528" s="865">
        <v>91470.42</v>
      </c>
      <c r="G528" s="403"/>
      <c r="H528" s="455" t="s">
        <v>5134</v>
      </c>
      <c r="I528" s="866" t="str">
        <f t="shared" si="10"/>
        <v>NOT PAID</v>
      </c>
      <c r="J528" s="402"/>
      <c r="K528" s="402"/>
      <c r="L528" s="402"/>
      <c r="M528" s="402"/>
      <c r="N528" s="402"/>
      <c r="O528" s="402"/>
      <c r="P528" s="402"/>
      <c r="Q528" s="402"/>
      <c r="R528" s="402"/>
      <c r="S528" s="402"/>
      <c r="T528" s="402"/>
      <c r="U528" s="402"/>
      <c r="V528" s="402"/>
      <c r="W528" s="402"/>
      <c r="X528" s="402"/>
      <c r="Y528" s="402"/>
      <c r="Z528" s="402"/>
    </row>
    <row r="529" ht="14.25" customHeight="1">
      <c r="A529" s="697">
        <v>45511.0</v>
      </c>
      <c r="B529" s="863" t="s">
        <v>4770</v>
      </c>
      <c r="C529" s="863" t="s">
        <v>4771</v>
      </c>
      <c r="D529" s="867" t="s">
        <v>263</v>
      </c>
      <c r="E529" s="689" t="s">
        <v>5099</v>
      </c>
      <c r="F529" s="865">
        <v>69409.65</v>
      </c>
      <c r="G529" s="413">
        <v>15000.0</v>
      </c>
      <c r="H529" s="349" t="s">
        <v>5135</v>
      </c>
      <c r="I529" s="866" t="str">
        <f t="shared" si="10"/>
        <v>PARTIALLY PAID</v>
      </c>
      <c r="J529" s="402"/>
      <c r="K529" s="402"/>
      <c r="L529" s="402"/>
      <c r="M529" s="402"/>
      <c r="N529" s="402"/>
      <c r="O529" s="402"/>
      <c r="P529" s="402"/>
      <c r="Q529" s="402"/>
      <c r="R529" s="402"/>
      <c r="S529" s="402"/>
      <c r="T529" s="402"/>
      <c r="U529" s="402"/>
      <c r="V529" s="402"/>
      <c r="W529" s="402"/>
      <c r="X529" s="402"/>
      <c r="Y529" s="402"/>
      <c r="Z529" s="402"/>
    </row>
    <row r="530" ht="14.25" customHeight="1">
      <c r="A530" s="697">
        <v>45511.0</v>
      </c>
      <c r="B530" s="863" t="s">
        <v>4773</v>
      </c>
      <c r="C530" s="863" t="s">
        <v>4774</v>
      </c>
      <c r="D530" s="867" t="s">
        <v>54</v>
      </c>
      <c r="E530" s="689" t="s">
        <v>5108</v>
      </c>
      <c r="F530" s="865">
        <v>888.83</v>
      </c>
      <c r="G530" s="403"/>
      <c r="H530" s="349" t="s">
        <v>2769</v>
      </c>
      <c r="I530" s="866" t="str">
        <f t="shared" si="10"/>
        <v>NOT PAID</v>
      </c>
      <c r="J530" s="402"/>
      <c r="K530" s="402"/>
      <c r="L530" s="402"/>
      <c r="M530" s="402"/>
      <c r="N530" s="402"/>
      <c r="O530" s="402"/>
      <c r="P530" s="402"/>
      <c r="Q530" s="402"/>
      <c r="R530" s="402"/>
      <c r="S530" s="402"/>
      <c r="T530" s="402"/>
      <c r="U530" s="402"/>
      <c r="V530" s="402"/>
      <c r="W530" s="402"/>
      <c r="X530" s="402"/>
      <c r="Y530" s="402"/>
      <c r="Z530" s="402"/>
    </row>
    <row r="531" ht="14.25" customHeight="1">
      <c r="A531" s="697">
        <v>45511.0</v>
      </c>
      <c r="B531" s="863" t="s">
        <v>4775</v>
      </c>
      <c r="C531" s="863" t="s">
        <v>4776</v>
      </c>
      <c r="D531" s="867" t="s">
        <v>59</v>
      </c>
      <c r="E531" s="689" t="s">
        <v>5099</v>
      </c>
      <c r="F531" s="865">
        <v>161945.06</v>
      </c>
      <c r="G531" s="403"/>
      <c r="H531" s="349" t="s">
        <v>5136</v>
      </c>
      <c r="I531" s="866" t="str">
        <f t="shared" si="10"/>
        <v>NOT PAID</v>
      </c>
      <c r="J531" s="402"/>
      <c r="K531" s="402"/>
      <c r="L531" s="402"/>
      <c r="M531" s="402"/>
      <c r="N531" s="402"/>
      <c r="O531" s="402"/>
      <c r="P531" s="402"/>
      <c r="Q531" s="402"/>
      <c r="R531" s="402"/>
      <c r="S531" s="402"/>
      <c r="T531" s="402"/>
      <c r="U531" s="402"/>
      <c r="V531" s="402"/>
      <c r="W531" s="402"/>
      <c r="X531" s="402"/>
      <c r="Y531" s="402"/>
      <c r="Z531" s="402"/>
    </row>
    <row r="532" ht="14.25" customHeight="1">
      <c r="A532" s="697">
        <v>45511.0</v>
      </c>
      <c r="B532" s="863" t="s">
        <v>5042</v>
      </c>
      <c r="C532" s="863" t="s">
        <v>5137</v>
      </c>
      <c r="D532" s="867" t="s">
        <v>54</v>
      </c>
      <c r="E532" s="689" t="s">
        <v>5108</v>
      </c>
      <c r="F532" s="865">
        <v>48393.71</v>
      </c>
      <c r="G532" s="403"/>
      <c r="H532" s="545" t="s">
        <v>5138</v>
      </c>
      <c r="I532" s="866" t="str">
        <f t="shared" si="10"/>
        <v>NOT PAID</v>
      </c>
      <c r="J532" s="402"/>
      <c r="K532" s="402"/>
      <c r="L532" s="402"/>
      <c r="M532" s="402"/>
      <c r="N532" s="402"/>
      <c r="O532" s="402"/>
      <c r="P532" s="402"/>
      <c r="Q532" s="402"/>
      <c r="R532" s="402"/>
      <c r="S532" s="402"/>
      <c r="T532" s="402"/>
      <c r="U532" s="402"/>
      <c r="V532" s="402"/>
      <c r="W532" s="402"/>
      <c r="X532" s="402"/>
      <c r="Y532" s="402"/>
      <c r="Z532" s="402"/>
    </row>
    <row r="533" ht="14.25" customHeight="1">
      <c r="A533" s="697">
        <v>45511.0</v>
      </c>
      <c r="B533" s="863" t="s">
        <v>5103</v>
      </c>
      <c r="C533" s="863" t="s">
        <v>5139</v>
      </c>
      <c r="D533" s="867" t="s">
        <v>54</v>
      </c>
      <c r="E533" s="689" t="s">
        <v>5099</v>
      </c>
      <c r="F533" s="865">
        <v>19255.54</v>
      </c>
      <c r="G533" s="403"/>
      <c r="H533" s="349" t="s">
        <v>4841</v>
      </c>
      <c r="I533" s="866" t="str">
        <f t="shared" si="10"/>
        <v>NOT PAID</v>
      </c>
      <c r="J533" s="402"/>
      <c r="K533" s="402"/>
      <c r="L533" s="402"/>
      <c r="M533" s="402"/>
      <c r="N533" s="402"/>
      <c r="O533" s="402"/>
      <c r="P533" s="402"/>
      <c r="Q533" s="402"/>
      <c r="R533" s="402"/>
      <c r="S533" s="402"/>
      <c r="T533" s="402"/>
      <c r="U533" s="402"/>
      <c r="V533" s="402"/>
      <c r="W533" s="402"/>
      <c r="X533" s="402"/>
      <c r="Y533" s="402"/>
      <c r="Z533" s="402"/>
    </row>
    <row r="534" ht="14.25" customHeight="1">
      <c r="A534" s="697">
        <v>45511.0</v>
      </c>
      <c r="B534" s="863" t="s">
        <v>4777</v>
      </c>
      <c r="C534" s="863" t="s">
        <v>4778</v>
      </c>
      <c r="D534" s="867" t="s">
        <v>54</v>
      </c>
      <c r="E534" s="689" t="s">
        <v>5099</v>
      </c>
      <c r="F534" s="865">
        <v>1385.08</v>
      </c>
      <c r="G534" s="403"/>
      <c r="H534" s="349" t="s">
        <v>2769</v>
      </c>
      <c r="I534" s="866" t="str">
        <f t="shared" si="10"/>
        <v>NOT PAID</v>
      </c>
      <c r="J534" s="402"/>
      <c r="K534" s="402"/>
      <c r="L534" s="402"/>
      <c r="M534" s="402"/>
      <c r="N534" s="402"/>
      <c r="O534" s="402"/>
      <c r="P534" s="402"/>
      <c r="Q534" s="402"/>
      <c r="R534" s="402"/>
      <c r="S534" s="402"/>
      <c r="T534" s="402"/>
      <c r="U534" s="402"/>
      <c r="V534" s="402"/>
      <c r="W534" s="402"/>
      <c r="X534" s="402"/>
      <c r="Y534" s="402"/>
      <c r="Z534" s="402"/>
    </row>
    <row r="535" ht="14.25" customHeight="1">
      <c r="A535" s="697">
        <v>45511.0</v>
      </c>
      <c r="B535" s="863" t="s">
        <v>4779</v>
      </c>
      <c r="C535" s="863" t="s">
        <v>4780</v>
      </c>
      <c r="D535" s="867" t="s">
        <v>54</v>
      </c>
      <c r="E535" s="689" t="s">
        <v>5099</v>
      </c>
      <c r="F535" s="865">
        <v>2682.6</v>
      </c>
      <c r="G535" s="403"/>
      <c r="H535" s="455" t="s">
        <v>5140</v>
      </c>
      <c r="I535" s="866" t="str">
        <f t="shared" si="10"/>
        <v>NOT PAID</v>
      </c>
      <c r="J535" s="402"/>
      <c r="K535" s="402"/>
      <c r="L535" s="402"/>
      <c r="M535" s="402"/>
      <c r="N535" s="402"/>
      <c r="O535" s="402"/>
      <c r="P535" s="402"/>
      <c r="Q535" s="402"/>
      <c r="R535" s="402"/>
      <c r="S535" s="402"/>
      <c r="T535" s="402"/>
      <c r="U535" s="402"/>
      <c r="V535" s="402"/>
      <c r="W535" s="402"/>
      <c r="X535" s="402"/>
      <c r="Y535" s="402"/>
      <c r="Z535" s="402"/>
    </row>
    <row r="536" ht="14.25" customHeight="1">
      <c r="A536" s="697">
        <v>45511.0</v>
      </c>
      <c r="B536" s="863" t="s">
        <v>4781</v>
      </c>
      <c r="C536" s="863" t="s">
        <v>4782</v>
      </c>
      <c r="D536" s="867" t="s">
        <v>54</v>
      </c>
      <c r="E536" s="689" t="s">
        <v>5099</v>
      </c>
      <c r="F536" s="865">
        <v>87894.84</v>
      </c>
      <c r="G536" s="403"/>
      <c r="H536" s="545" t="s">
        <v>5141</v>
      </c>
      <c r="I536" s="866" t="str">
        <f t="shared" si="10"/>
        <v>NOT PAID</v>
      </c>
      <c r="J536" s="402"/>
      <c r="K536" s="402"/>
      <c r="L536" s="402"/>
      <c r="M536" s="402"/>
      <c r="N536" s="402"/>
      <c r="O536" s="402"/>
      <c r="P536" s="402"/>
      <c r="Q536" s="402"/>
      <c r="R536" s="402"/>
      <c r="S536" s="402"/>
      <c r="T536" s="402"/>
      <c r="U536" s="402"/>
      <c r="V536" s="402"/>
      <c r="W536" s="402"/>
      <c r="X536" s="402"/>
      <c r="Y536" s="402"/>
      <c r="Z536" s="402"/>
    </row>
    <row r="537" ht="14.25" customHeight="1">
      <c r="A537" s="697">
        <v>45511.0</v>
      </c>
      <c r="B537" s="863" t="s">
        <v>4807</v>
      </c>
      <c r="C537" s="863" t="s">
        <v>4808</v>
      </c>
      <c r="D537" s="867" t="s">
        <v>346</v>
      </c>
      <c r="E537" s="689" t="s">
        <v>5107</v>
      </c>
      <c r="F537" s="865">
        <v>3091.76</v>
      </c>
      <c r="G537" s="403"/>
      <c r="H537" s="349" t="s">
        <v>2769</v>
      </c>
      <c r="I537" s="866" t="str">
        <f t="shared" si="10"/>
        <v>NOT PAID</v>
      </c>
      <c r="J537" s="402"/>
      <c r="K537" s="402"/>
      <c r="L537" s="402"/>
      <c r="M537" s="402"/>
      <c r="N537" s="402"/>
      <c r="O537" s="402"/>
      <c r="P537" s="402"/>
      <c r="Q537" s="402"/>
      <c r="R537" s="402"/>
      <c r="S537" s="402"/>
      <c r="T537" s="402"/>
      <c r="U537" s="402"/>
      <c r="V537" s="402"/>
      <c r="W537" s="402"/>
      <c r="X537" s="402"/>
      <c r="Y537" s="402"/>
      <c r="Z537" s="402"/>
    </row>
    <row r="538" ht="14.25" customHeight="1">
      <c r="A538" s="697">
        <v>45511.0</v>
      </c>
      <c r="B538" s="863" t="s">
        <v>4942</v>
      </c>
      <c r="C538" s="863" t="s">
        <v>4943</v>
      </c>
      <c r="D538" s="867" t="s">
        <v>54</v>
      </c>
      <c r="E538" s="689" t="s">
        <v>5107</v>
      </c>
      <c r="F538" s="865">
        <v>5788.07</v>
      </c>
      <c r="G538" s="413">
        <v>9000.0</v>
      </c>
      <c r="H538" s="349" t="s">
        <v>710</v>
      </c>
      <c r="I538" s="866" t="str">
        <f t="shared" si="10"/>
        <v>FULLY PAID</v>
      </c>
      <c r="J538" s="402"/>
      <c r="K538" s="402"/>
      <c r="L538" s="402"/>
      <c r="M538" s="402"/>
      <c r="N538" s="402"/>
      <c r="O538" s="402"/>
      <c r="P538" s="402"/>
      <c r="Q538" s="402"/>
      <c r="R538" s="402"/>
      <c r="S538" s="402"/>
      <c r="T538" s="402"/>
      <c r="U538" s="402"/>
      <c r="V538" s="402"/>
      <c r="W538" s="402"/>
      <c r="X538" s="402"/>
      <c r="Y538" s="402"/>
      <c r="Z538" s="402"/>
    </row>
    <row r="539" ht="14.25" customHeight="1">
      <c r="A539" s="697">
        <v>45511.0</v>
      </c>
      <c r="B539" s="863" t="s">
        <v>5033</v>
      </c>
      <c r="C539" s="863" t="s">
        <v>5142</v>
      </c>
      <c r="D539" s="867" t="s">
        <v>54</v>
      </c>
      <c r="E539" s="689" t="s">
        <v>5108</v>
      </c>
      <c r="F539" s="865">
        <v>50307.51</v>
      </c>
      <c r="G539" s="403"/>
      <c r="H539" s="349" t="s">
        <v>5140</v>
      </c>
      <c r="I539" s="866" t="str">
        <f t="shared" si="10"/>
        <v>NOT PAID</v>
      </c>
      <c r="J539" s="402"/>
      <c r="K539" s="402"/>
      <c r="L539" s="402"/>
      <c r="M539" s="402"/>
      <c r="N539" s="402"/>
      <c r="O539" s="402"/>
      <c r="P539" s="402"/>
      <c r="Q539" s="402"/>
      <c r="R539" s="402"/>
      <c r="S539" s="402"/>
      <c r="T539" s="402"/>
      <c r="U539" s="402"/>
      <c r="V539" s="402"/>
      <c r="W539" s="402"/>
      <c r="X539" s="402"/>
      <c r="Y539" s="402"/>
      <c r="Z539" s="402"/>
    </row>
    <row r="540" ht="14.25" customHeight="1">
      <c r="A540" s="697">
        <v>45511.0</v>
      </c>
      <c r="B540" s="863" t="s">
        <v>5143</v>
      </c>
      <c r="C540" s="863" t="s">
        <v>5144</v>
      </c>
      <c r="D540" s="867" t="s">
        <v>54</v>
      </c>
      <c r="E540" s="689" t="s">
        <v>5108</v>
      </c>
      <c r="F540" s="865">
        <v>4135.59</v>
      </c>
      <c r="G540" s="403"/>
      <c r="H540" s="349" t="s">
        <v>5140</v>
      </c>
      <c r="I540" s="866" t="str">
        <f t="shared" si="10"/>
        <v>NOT PAID</v>
      </c>
      <c r="J540" s="402"/>
      <c r="K540" s="402"/>
      <c r="L540" s="402"/>
      <c r="M540" s="402"/>
      <c r="N540" s="402"/>
      <c r="O540" s="402"/>
      <c r="P540" s="402"/>
      <c r="Q540" s="402"/>
      <c r="R540" s="402"/>
      <c r="S540" s="402"/>
      <c r="T540" s="402"/>
      <c r="U540" s="402"/>
      <c r="V540" s="402"/>
      <c r="W540" s="402"/>
      <c r="X540" s="402"/>
      <c r="Y540" s="402"/>
      <c r="Z540" s="402"/>
    </row>
    <row r="541" ht="14.25" customHeight="1">
      <c r="A541" s="697">
        <v>45511.0</v>
      </c>
      <c r="B541" s="863" t="s">
        <v>4896</v>
      </c>
      <c r="C541" s="863" t="s">
        <v>5145</v>
      </c>
      <c r="D541" s="867" t="s">
        <v>54</v>
      </c>
      <c r="E541" s="689" t="s">
        <v>5108</v>
      </c>
      <c r="F541" s="865">
        <v>10380.0</v>
      </c>
      <c r="G541" s="413">
        <v>12000.0</v>
      </c>
      <c r="H541" s="349" t="s">
        <v>710</v>
      </c>
      <c r="I541" s="866" t="str">
        <f t="shared" si="10"/>
        <v>FULLY PAID</v>
      </c>
      <c r="J541" s="402"/>
      <c r="K541" s="402"/>
      <c r="L541" s="402"/>
      <c r="M541" s="402"/>
      <c r="N541" s="402"/>
      <c r="O541" s="402"/>
      <c r="P541" s="402"/>
      <c r="Q541" s="402"/>
      <c r="R541" s="402"/>
      <c r="S541" s="402"/>
      <c r="T541" s="402"/>
      <c r="U541" s="402"/>
      <c r="V541" s="402"/>
      <c r="W541" s="402"/>
      <c r="X541" s="402"/>
      <c r="Y541" s="402"/>
      <c r="Z541" s="402"/>
    </row>
    <row r="542" ht="14.25" customHeight="1">
      <c r="A542" s="697">
        <v>45511.0</v>
      </c>
      <c r="B542" s="863" t="s">
        <v>4787</v>
      </c>
      <c r="C542" s="863" t="s">
        <v>4788</v>
      </c>
      <c r="D542" s="867" t="s">
        <v>54</v>
      </c>
      <c r="E542" s="689" t="s">
        <v>5099</v>
      </c>
      <c r="F542" s="865">
        <v>2895.43</v>
      </c>
      <c r="G542" s="403"/>
      <c r="H542" s="349" t="s">
        <v>5140</v>
      </c>
      <c r="I542" s="866" t="str">
        <f t="shared" si="10"/>
        <v>NOT PAID</v>
      </c>
      <c r="J542" s="402"/>
      <c r="K542" s="402"/>
      <c r="L542" s="402"/>
      <c r="M542" s="402"/>
      <c r="N542" s="402"/>
      <c r="O542" s="402"/>
      <c r="P542" s="402"/>
      <c r="Q542" s="402"/>
      <c r="R542" s="402"/>
      <c r="S542" s="402"/>
      <c r="T542" s="402"/>
      <c r="U542" s="402"/>
      <c r="V542" s="402"/>
      <c r="W542" s="402"/>
      <c r="X542" s="402"/>
      <c r="Y542" s="402"/>
      <c r="Z542" s="402"/>
    </row>
    <row r="543" ht="14.25" customHeight="1">
      <c r="A543" s="697">
        <v>45511.0</v>
      </c>
      <c r="B543" s="863" t="s">
        <v>5035</v>
      </c>
      <c r="C543" s="863" t="s">
        <v>5146</v>
      </c>
      <c r="D543" s="867" t="s">
        <v>54</v>
      </c>
      <c r="E543" s="689" t="s">
        <v>5108</v>
      </c>
      <c r="F543" s="865">
        <v>33362.68</v>
      </c>
      <c r="G543" s="413">
        <v>14900.0</v>
      </c>
      <c r="H543" s="349" t="s">
        <v>5147</v>
      </c>
      <c r="I543" s="866" t="str">
        <f t="shared" si="10"/>
        <v>PARTIALLY PAID</v>
      </c>
      <c r="J543" s="402"/>
      <c r="K543" s="402"/>
      <c r="L543" s="402"/>
      <c r="M543" s="402"/>
      <c r="N543" s="402"/>
      <c r="O543" s="402"/>
      <c r="P543" s="402"/>
      <c r="Q543" s="402"/>
      <c r="R543" s="402"/>
      <c r="S543" s="402"/>
      <c r="T543" s="402"/>
      <c r="U543" s="402"/>
      <c r="V543" s="402"/>
      <c r="W543" s="402"/>
      <c r="X543" s="402"/>
      <c r="Y543" s="402"/>
      <c r="Z543" s="402"/>
    </row>
    <row r="544" ht="14.25" customHeight="1">
      <c r="A544" s="697">
        <v>45511.0</v>
      </c>
      <c r="B544" s="863" t="s">
        <v>4833</v>
      </c>
      <c r="C544" s="863" t="s">
        <v>5148</v>
      </c>
      <c r="D544" s="867" t="s">
        <v>54</v>
      </c>
      <c r="E544" s="689" t="s">
        <v>5093</v>
      </c>
      <c r="F544" s="865">
        <v>160850.46</v>
      </c>
      <c r="G544" s="403"/>
      <c r="H544" s="349" t="s">
        <v>5149</v>
      </c>
      <c r="I544" s="866" t="str">
        <f t="shared" si="10"/>
        <v>NOT PAID</v>
      </c>
      <c r="J544" s="402"/>
      <c r="K544" s="402"/>
      <c r="L544" s="402"/>
      <c r="M544" s="402"/>
      <c r="N544" s="402"/>
      <c r="O544" s="402"/>
      <c r="P544" s="402"/>
      <c r="Q544" s="402"/>
      <c r="R544" s="402"/>
      <c r="S544" s="402"/>
      <c r="T544" s="402"/>
      <c r="U544" s="402"/>
      <c r="V544" s="402"/>
      <c r="W544" s="402"/>
      <c r="X544" s="402"/>
      <c r="Y544" s="402"/>
      <c r="Z544" s="402"/>
    </row>
    <row r="545" ht="14.25" customHeight="1">
      <c r="A545" s="697">
        <v>45511.0</v>
      </c>
      <c r="B545" s="863" t="s">
        <v>4811</v>
      </c>
      <c r="C545" s="863" t="s">
        <v>4812</v>
      </c>
      <c r="D545" s="867" t="s">
        <v>54</v>
      </c>
      <c r="E545" s="689" t="s">
        <v>5108</v>
      </c>
      <c r="F545" s="865">
        <v>8085.55</v>
      </c>
      <c r="G545" s="403"/>
      <c r="H545" s="349" t="s">
        <v>2769</v>
      </c>
      <c r="I545" s="866" t="str">
        <f t="shared" si="10"/>
        <v>NOT PAID</v>
      </c>
      <c r="J545" s="402"/>
      <c r="K545" s="402"/>
      <c r="L545" s="402"/>
      <c r="M545" s="402"/>
      <c r="N545" s="402"/>
      <c r="O545" s="402"/>
      <c r="P545" s="402"/>
      <c r="Q545" s="402"/>
      <c r="R545" s="402"/>
      <c r="S545" s="402"/>
      <c r="T545" s="402"/>
      <c r="U545" s="402"/>
      <c r="V545" s="402"/>
      <c r="W545" s="402"/>
      <c r="X545" s="402"/>
      <c r="Y545" s="402"/>
      <c r="Z545" s="402"/>
    </row>
    <row r="546" ht="14.25" customHeight="1">
      <c r="A546" s="697">
        <v>45511.0</v>
      </c>
      <c r="B546" s="863" t="s">
        <v>5150</v>
      </c>
      <c r="C546" s="863" t="s">
        <v>5151</v>
      </c>
      <c r="D546" s="867" t="s">
        <v>54</v>
      </c>
      <c r="E546" s="689" t="s">
        <v>5108</v>
      </c>
      <c r="F546" s="865">
        <v>2265421.66</v>
      </c>
      <c r="G546" s="413">
        <v>2265423.0</v>
      </c>
      <c r="H546" s="349" t="s">
        <v>710</v>
      </c>
      <c r="I546" s="866" t="str">
        <f t="shared" si="10"/>
        <v>FULLY PAID</v>
      </c>
      <c r="J546" s="402"/>
      <c r="K546" s="402"/>
      <c r="L546" s="402"/>
      <c r="M546" s="402"/>
      <c r="N546" s="402"/>
      <c r="O546" s="402"/>
      <c r="P546" s="402"/>
      <c r="Q546" s="402"/>
      <c r="R546" s="402"/>
      <c r="S546" s="402"/>
      <c r="T546" s="402"/>
      <c r="U546" s="402"/>
      <c r="V546" s="402"/>
      <c r="W546" s="402"/>
      <c r="X546" s="402"/>
      <c r="Y546" s="402"/>
      <c r="Z546" s="402"/>
    </row>
    <row r="547" ht="14.25" customHeight="1">
      <c r="A547" s="697">
        <v>45511.0</v>
      </c>
      <c r="B547" s="863" t="s">
        <v>4795</v>
      </c>
      <c r="C547" s="863" t="s">
        <v>4796</v>
      </c>
      <c r="D547" s="867" t="s">
        <v>54</v>
      </c>
      <c r="E547" s="689" t="s">
        <v>5093</v>
      </c>
      <c r="F547" s="865">
        <v>42890.38</v>
      </c>
      <c r="G547" s="403"/>
      <c r="H547" s="349" t="s">
        <v>2769</v>
      </c>
      <c r="I547" s="866" t="str">
        <f t="shared" si="10"/>
        <v>NOT PAID</v>
      </c>
      <c r="J547" s="402"/>
      <c r="K547" s="402"/>
      <c r="L547" s="402"/>
      <c r="M547" s="402"/>
      <c r="N547" s="402"/>
      <c r="O547" s="402"/>
      <c r="P547" s="402"/>
      <c r="Q547" s="402"/>
      <c r="R547" s="402"/>
      <c r="S547" s="402"/>
      <c r="T547" s="402"/>
      <c r="U547" s="402"/>
      <c r="V547" s="402"/>
      <c r="W547" s="402"/>
      <c r="X547" s="402"/>
      <c r="Y547" s="402"/>
      <c r="Z547" s="402"/>
    </row>
    <row r="548" ht="14.25" customHeight="1">
      <c r="A548" s="697">
        <v>45511.0</v>
      </c>
      <c r="B548" s="863" t="s">
        <v>4815</v>
      </c>
      <c r="C548" s="863" t="s">
        <v>4812</v>
      </c>
      <c r="D548" s="867" t="s">
        <v>54</v>
      </c>
      <c r="E548" s="689" t="s">
        <v>5108</v>
      </c>
      <c r="F548" s="865">
        <v>30151.86</v>
      </c>
      <c r="G548" s="403"/>
      <c r="H548" s="349" t="s">
        <v>2769</v>
      </c>
      <c r="I548" s="866" t="str">
        <f t="shared" si="10"/>
        <v>NOT PAID</v>
      </c>
      <c r="J548" s="402"/>
      <c r="K548" s="402"/>
      <c r="L548" s="402"/>
      <c r="M548" s="402"/>
      <c r="N548" s="402"/>
      <c r="O548" s="402"/>
      <c r="P548" s="402"/>
      <c r="Q548" s="402"/>
      <c r="R548" s="402"/>
      <c r="S548" s="402"/>
      <c r="T548" s="402"/>
      <c r="U548" s="402"/>
      <c r="V548" s="402"/>
      <c r="W548" s="402"/>
      <c r="X548" s="402"/>
      <c r="Y548" s="402"/>
      <c r="Z548" s="402"/>
    </row>
    <row r="549" ht="14.25" customHeight="1">
      <c r="A549" s="697">
        <v>45511.0</v>
      </c>
      <c r="B549" s="863" t="s">
        <v>4990</v>
      </c>
      <c r="C549" s="863" t="s">
        <v>5152</v>
      </c>
      <c r="D549" s="867" t="s">
        <v>54</v>
      </c>
      <c r="E549" s="689" t="s">
        <v>5093</v>
      </c>
      <c r="F549" s="865">
        <v>26649.65</v>
      </c>
      <c r="G549" s="403"/>
      <c r="H549" s="349" t="s">
        <v>2769</v>
      </c>
      <c r="I549" s="866" t="str">
        <f t="shared" si="10"/>
        <v>NOT PAID</v>
      </c>
      <c r="J549" s="402"/>
      <c r="K549" s="402"/>
      <c r="L549" s="402"/>
      <c r="M549" s="402"/>
      <c r="N549" s="402"/>
      <c r="O549" s="402"/>
      <c r="P549" s="402"/>
      <c r="Q549" s="402"/>
      <c r="R549" s="402"/>
      <c r="S549" s="402"/>
      <c r="T549" s="402"/>
      <c r="U549" s="402"/>
      <c r="V549" s="402"/>
      <c r="W549" s="402"/>
      <c r="X549" s="402"/>
      <c r="Y549" s="402"/>
      <c r="Z549" s="402"/>
    </row>
    <row r="550" ht="14.25" customHeight="1">
      <c r="A550" s="697">
        <v>45511.0</v>
      </c>
      <c r="B550" s="863" t="s">
        <v>5044</v>
      </c>
      <c r="C550" s="863" t="s">
        <v>4812</v>
      </c>
      <c r="D550" s="867" t="s">
        <v>54</v>
      </c>
      <c r="E550" s="689" t="s">
        <v>5093</v>
      </c>
      <c r="F550" s="865">
        <v>4513.05</v>
      </c>
      <c r="G550" s="403"/>
      <c r="H550" s="349" t="s">
        <v>267</v>
      </c>
      <c r="I550" s="866" t="str">
        <f t="shared" si="10"/>
        <v>NOT PAID</v>
      </c>
      <c r="J550" s="402"/>
      <c r="K550" s="402"/>
      <c r="L550" s="402"/>
      <c r="M550" s="402"/>
      <c r="N550" s="402"/>
      <c r="O550" s="402"/>
      <c r="P550" s="402"/>
      <c r="Q550" s="402"/>
      <c r="R550" s="402"/>
      <c r="S550" s="402"/>
      <c r="T550" s="402"/>
      <c r="U550" s="402"/>
      <c r="V550" s="402"/>
      <c r="W550" s="402"/>
      <c r="X550" s="402"/>
      <c r="Y550" s="402"/>
      <c r="Z550" s="402"/>
    </row>
    <row r="551" ht="14.25" customHeight="1">
      <c r="A551" s="697">
        <v>45511.0</v>
      </c>
      <c r="B551" s="863" t="s">
        <v>5045</v>
      </c>
      <c r="C551" s="863" t="s">
        <v>5153</v>
      </c>
      <c r="D551" s="867" t="s">
        <v>346</v>
      </c>
      <c r="E551" s="689" t="s">
        <v>5093</v>
      </c>
      <c r="F551" s="865">
        <v>300.0</v>
      </c>
      <c r="G551" s="403"/>
      <c r="H551" s="349" t="s">
        <v>3462</v>
      </c>
      <c r="I551" s="866" t="str">
        <f t="shared" si="10"/>
        <v>NOT PAID</v>
      </c>
      <c r="J551" s="402"/>
      <c r="K551" s="402"/>
      <c r="L551" s="402"/>
      <c r="M551" s="402"/>
      <c r="N551" s="402"/>
      <c r="O551" s="402"/>
      <c r="P551" s="402"/>
      <c r="Q551" s="402"/>
      <c r="R551" s="402"/>
      <c r="S551" s="402"/>
      <c r="T551" s="402"/>
      <c r="U551" s="402"/>
      <c r="V551" s="402"/>
      <c r="W551" s="402"/>
      <c r="X551" s="402"/>
      <c r="Y551" s="402"/>
      <c r="Z551" s="402"/>
    </row>
    <row r="552" ht="14.25" customHeight="1">
      <c r="A552" s="697">
        <v>45511.0</v>
      </c>
      <c r="B552" s="863" t="s">
        <v>4816</v>
      </c>
      <c r="C552" s="863" t="s">
        <v>4817</v>
      </c>
      <c r="D552" s="867" t="s">
        <v>54</v>
      </c>
      <c r="E552" s="689" t="s">
        <v>5093</v>
      </c>
      <c r="F552" s="865">
        <v>38764.1</v>
      </c>
      <c r="G552" s="403"/>
      <c r="H552" s="349" t="s">
        <v>5154</v>
      </c>
      <c r="I552" s="866" t="str">
        <f t="shared" si="10"/>
        <v>NOT PAID</v>
      </c>
      <c r="J552" s="402"/>
      <c r="K552" s="402"/>
      <c r="L552" s="402"/>
      <c r="M552" s="402"/>
      <c r="N552" s="402"/>
      <c r="O552" s="402"/>
      <c r="P552" s="402"/>
      <c r="Q552" s="402"/>
      <c r="R552" s="402"/>
      <c r="S552" s="402"/>
      <c r="T552" s="402"/>
      <c r="U552" s="402"/>
      <c r="V552" s="402"/>
      <c r="W552" s="402"/>
      <c r="X552" s="402"/>
      <c r="Y552" s="402"/>
      <c r="Z552" s="402"/>
    </row>
    <row r="553" ht="14.25" customHeight="1">
      <c r="A553" s="697">
        <v>45511.0</v>
      </c>
      <c r="B553" s="863" t="s">
        <v>4969</v>
      </c>
      <c r="C553" s="863" t="s">
        <v>5155</v>
      </c>
      <c r="D553" s="867" t="s">
        <v>59</v>
      </c>
      <c r="E553" s="689" t="s">
        <v>5093</v>
      </c>
      <c r="F553" s="865">
        <v>31357.13</v>
      </c>
      <c r="G553" s="403"/>
      <c r="H553" s="349" t="s">
        <v>2769</v>
      </c>
      <c r="I553" s="866" t="str">
        <f t="shared" si="10"/>
        <v>NOT PAID</v>
      </c>
      <c r="J553" s="402"/>
      <c r="K553" s="402"/>
      <c r="L553" s="402"/>
      <c r="M553" s="402"/>
      <c r="N553" s="402"/>
      <c r="O553" s="402"/>
      <c r="P553" s="402"/>
      <c r="Q553" s="402"/>
      <c r="R553" s="402"/>
      <c r="S553" s="402"/>
      <c r="T553" s="402"/>
      <c r="U553" s="402"/>
      <c r="V553" s="402"/>
      <c r="W553" s="402"/>
      <c r="X553" s="402"/>
      <c r="Y553" s="402"/>
      <c r="Z553" s="402"/>
    </row>
    <row r="554" ht="14.25" customHeight="1">
      <c r="A554" s="697">
        <v>45511.0</v>
      </c>
      <c r="B554" s="863" t="s">
        <v>4793</v>
      </c>
      <c r="C554" s="863" t="s">
        <v>4794</v>
      </c>
      <c r="D554" s="867" t="s">
        <v>54</v>
      </c>
      <c r="E554" s="689" t="s">
        <v>5108</v>
      </c>
      <c r="F554" s="865">
        <v>26120.37</v>
      </c>
      <c r="G554" s="403"/>
      <c r="H554" s="349" t="s">
        <v>2769</v>
      </c>
      <c r="I554" s="866" t="str">
        <f t="shared" si="10"/>
        <v>NOT PAID</v>
      </c>
      <c r="J554" s="402"/>
      <c r="K554" s="402"/>
      <c r="L554" s="402"/>
      <c r="M554" s="402"/>
      <c r="N554" s="402"/>
      <c r="O554" s="402"/>
      <c r="P554" s="402"/>
      <c r="Q554" s="402"/>
      <c r="R554" s="402"/>
      <c r="S554" s="402"/>
      <c r="T554" s="402"/>
      <c r="U554" s="402"/>
      <c r="V554" s="402"/>
      <c r="W554" s="402"/>
      <c r="X554" s="402"/>
      <c r="Y554" s="402"/>
      <c r="Z554" s="402"/>
    </row>
    <row r="555" ht="14.25" customHeight="1">
      <c r="A555" s="697">
        <v>45511.0</v>
      </c>
      <c r="B555" s="863" t="s">
        <v>4983</v>
      </c>
      <c r="C555" s="863" t="s">
        <v>4820</v>
      </c>
      <c r="D555" s="867" t="s">
        <v>54</v>
      </c>
      <c r="E555" s="689" t="s">
        <v>5093</v>
      </c>
      <c r="F555" s="865">
        <v>49947.61</v>
      </c>
      <c r="G555" s="403"/>
      <c r="H555" s="349" t="s">
        <v>2769</v>
      </c>
      <c r="I555" s="866" t="str">
        <f t="shared" si="10"/>
        <v>NOT PAID</v>
      </c>
      <c r="J555" s="402"/>
      <c r="K555" s="402"/>
      <c r="L555" s="402"/>
      <c r="M555" s="402"/>
      <c r="N555" s="402"/>
      <c r="O555" s="402"/>
      <c r="P555" s="402"/>
      <c r="Q555" s="402"/>
      <c r="R555" s="402"/>
      <c r="S555" s="402"/>
      <c r="T555" s="402"/>
      <c r="U555" s="402"/>
      <c r="V555" s="402"/>
      <c r="W555" s="402"/>
      <c r="X555" s="402"/>
      <c r="Y555" s="402"/>
      <c r="Z555" s="402"/>
    </row>
    <row r="556" ht="14.25" customHeight="1">
      <c r="A556" s="697">
        <v>45511.0</v>
      </c>
      <c r="B556" s="863" t="s">
        <v>5085</v>
      </c>
      <c r="C556" s="863" t="s">
        <v>5146</v>
      </c>
      <c r="D556" s="867" t="s">
        <v>75</v>
      </c>
      <c r="E556" s="689" t="s">
        <v>5108</v>
      </c>
      <c r="F556" s="865">
        <v>221500.0</v>
      </c>
      <c r="G556" s="413">
        <v>0.0</v>
      </c>
      <c r="H556" s="349" t="s">
        <v>5154</v>
      </c>
      <c r="I556" s="866" t="str">
        <f t="shared" si="10"/>
        <v>NOT PAID</v>
      </c>
      <c r="J556" s="402"/>
      <c r="K556" s="402"/>
      <c r="L556" s="402"/>
      <c r="M556" s="402"/>
      <c r="N556" s="402"/>
      <c r="O556" s="402"/>
      <c r="P556" s="402"/>
      <c r="Q556" s="402"/>
      <c r="R556" s="402"/>
      <c r="S556" s="402"/>
      <c r="T556" s="402"/>
      <c r="U556" s="402"/>
      <c r="V556" s="402"/>
      <c r="W556" s="402"/>
      <c r="X556" s="402"/>
      <c r="Y556" s="402"/>
      <c r="Z556" s="402"/>
    </row>
    <row r="557" ht="14.25" customHeight="1">
      <c r="A557" s="697">
        <v>45511.0</v>
      </c>
      <c r="B557" s="863" t="s">
        <v>5071</v>
      </c>
      <c r="C557" s="863" t="s">
        <v>5156</v>
      </c>
      <c r="D557" s="867" t="s">
        <v>54</v>
      </c>
      <c r="E557" s="689" t="s">
        <v>5093</v>
      </c>
      <c r="F557" s="865">
        <v>62620.95</v>
      </c>
      <c r="G557" s="403"/>
      <c r="H557" s="349" t="s">
        <v>2769</v>
      </c>
      <c r="I557" s="866" t="str">
        <f t="shared" si="10"/>
        <v>NOT PAID</v>
      </c>
      <c r="J557" s="402"/>
      <c r="K557" s="402"/>
      <c r="L557" s="402"/>
      <c r="M557" s="402"/>
      <c r="N557" s="402"/>
      <c r="O557" s="402"/>
      <c r="P557" s="402"/>
      <c r="Q557" s="402"/>
      <c r="R557" s="402"/>
      <c r="S557" s="402"/>
      <c r="T557" s="402"/>
      <c r="U557" s="402"/>
      <c r="V557" s="402"/>
      <c r="W557" s="402"/>
      <c r="X557" s="402"/>
      <c r="Y557" s="402"/>
      <c r="Z557" s="402"/>
    </row>
    <row r="558" ht="14.25" customHeight="1">
      <c r="A558" s="697">
        <v>45511.0</v>
      </c>
      <c r="B558" s="863" t="s">
        <v>5075</v>
      </c>
      <c r="C558" s="863" t="s">
        <v>5157</v>
      </c>
      <c r="D558" s="867" t="s">
        <v>75</v>
      </c>
      <c r="E558" s="689" t="s">
        <v>5098</v>
      </c>
      <c r="F558" s="865">
        <v>67815.0</v>
      </c>
      <c r="G558" s="403"/>
      <c r="H558" s="349" t="s">
        <v>2769</v>
      </c>
      <c r="I558" s="866" t="str">
        <f t="shared" si="10"/>
        <v>NOT PAID</v>
      </c>
      <c r="J558" s="402"/>
      <c r="K558" s="402"/>
      <c r="L558" s="402"/>
      <c r="M558" s="402"/>
      <c r="N558" s="402"/>
      <c r="O558" s="402"/>
      <c r="P558" s="402"/>
      <c r="Q558" s="402"/>
      <c r="R558" s="402"/>
      <c r="S558" s="402"/>
      <c r="T558" s="402"/>
      <c r="U558" s="402"/>
      <c r="V558" s="402"/>
      <c r="W558" s="402"/>
      <c r="X558" s="402"/>
      <c r="Y558" s="402"/>
      <c r="Z558" s="402"/>
    </row>
    <row r="559" ht="14.25" customHeight="1">
      <c r="A559" s="697">
        <v>45511.0</v>
      </c>
      <c r="B559" s="863" t="s">
        <v>5113</v>
      </c>
      <c r="C559" s="863" t="s">
        <v>5158</v>
      </c>
      <c r="D559" s="867" t="s">
        <v>75</v>
      </c>
      <c r="E559" s="689" t="s">
        <v>5108</v>
      </c>
      <c r="F559" s="865">
        <v>230000.0</v>
      </c>
      <c r="G559" s="413">
        <v>68250.0</v>
      </c>
      <c r="H559" s="349" t="s">
        <v>267</v>
      </c>
      <c r="I559" s="866" t="str">
        <f t="shared" si="10"/>
        <v>PARTIALLY PAID</v>
      </c>
      <c r="J559" s="402"/>
      <c r="K559" s="402"/>
      <c r="L559" s="402"/>
      <c r="M559" s="402"/>
      <c r="N559" s="402"/>
      <c r="O559" s="402"/>
      <c r="P559" s="402"/>
      <c r="Q559" s="402"/>
      <c r="R559" s="402"/>
      <c r="S559" s="402"/>
      <c r="T559" s="402"/>
      <c r="U559" s="402"/>
      <c r="V559" s="402"/>
      <c r="W559" s="402"/>
      <c r="X559" s="402"/>
      <c r="Y559" s="402"/>
      <c r="Z559" s="402"/>
    </row>
    <row r="560" ht="14.25" customHeight="1">
      <c r="A560" s="697">
        <v>45511.0</v>
      </c>
      <c r="B560" s="863"/>
      <c r="C560" s="863" t="s">
        <v>5159</v>
      </c>
      <c r="D560" s="867" t="s">
        <v>1210</v>
      </c>
      <c r="E560" s="689" t="s">
        <v>5108</v>
      </c>
      <c r="F560" s="865">
        <v>1700000.0</v>
      </c>
      <c r="G560" s="403"/>
      <c r="H560" s="349" t="s">
        <v>2769</v>
      </c>
      <c r="I560" s="866" t="str">
        <f t="shared" si="10"/>
        <v>NOT PAID</v>
      </c>
      <c r="J560" s="402"/>
      <c r="K560" s="402"/>
      <c r="L560" s="402"/>
      <c r="M560" s="402"/>
      <c r="N560" s="402"/>
      <c r="O560" s="402"/>
      <c r="P560" s="402"/>
      <c r="Q560" s="402"/>
      <c r="R560" s="402"/>
      <c r="S560" s="402"/>
      <c r="T560" s="402"/>
      <c r="U560" s="402"/>
      <c r="V560" s="402"/>
      <c r="W560" s="402"/>
      <c r="X560" s="402"/>
      <c r="Y560" s="402"/>
      <c r="Z560" s="402"/>
    </row>
    <row r="561" ht="14.25" customHeight="1">
      <c r="A561" s="697">
        <v>45511.0</v>
      </c>
      <c r="B561" s="863" t="s">
        <v>4781</v>
      </c>
      <c r="C561" s="863" t="s">
        <v>4827</v>
      </c>
      <c r="D561" s="867" t="s">
        <v>54</v>
      </c>
      <c r="E561" s="689" t="s">
        <v>578</v>
      </c>
      <c r="F561" s="865">
        <v>142630.9</v>
      </c>
      <c r="G561" s="403"/>
      <c r="H561" s="545" t="s">
        <v>5141</v>
      </c>
      <c r="I561" s="866" t="str">
        <f t="shared" si="10"/>
        <v>NOT PAID</v>
      </c>
      <c r="J561" s="402"/>
      <c r="K561" s="402"/>
      <c r="L561" s="402"/>
      <c r="M561" s="402"/>
      <c r="N561" s="402"/>
      <c r="O561" s="402"/>
      <c r="P561" s="402"/>
      <c r="Q561" s="402"/>
      <c r="R561" s="402"/>
      <c r="S561" s="402"/>
      <c r="T561" s="402"/>
      <c r="U561" s="402"/>
      <c r="V561" s="402"/>
      <c r="W561" s="402"/>
      <c r="X561" s="402"/>
      <c r="Y561" s="402"/>
      <c r="Z561" s="402"/>
    </row>
    <row r="562" ht="14.25" customHeight="1">
      <c r="A562" s="697">
        <v>45511.0</v>
      </c>
      <c r="B562" s="863" t="s">
        <v>4547</v>
      </c>
      <c r="C562" s="863" t="s">
        <v>4836</v>
      </c>
      <c r="D562" s="867" t="s">
        <v>59</v>
      </c>
      <c r="E562" s="689" t="s">
        <v>578</v>
      </c>
      <c r="F562" s="865">
        <v>635602.51</v>
      </c>
      <c r="G562" s="403"/>
      <c r="H562" s="349" t="s">
        <v>5160</v>
      </c>
      <c r="I562" s="866" t="str">
        <f t="shared" si="10"/>
        <v>NOT PAID</v>
      </c>
      <c r="J562" s="402"/>
      <c r="K562" s="402"/>
      <c r="L562" s="402"/>
      <c r="M562" s="402"/>
      <c r="N562" s="402"/>
      <c r="O562" s="402"/>
      <c r="P562" s="402"/>
      <c r="Q562" s="402"/>
      <c r="R562" s="402"/>
      <c r="S562" s="402"/>
      <c r="T562" s="402"/>
      <c r="U562" s="402"/>
      <c r="V562" s="402"/>
      <c r="W562" s="402"/>
      <c r="X562" s="402"/>
      <c r="Y562" s="402"/>
      <c r="Z562" s="402"/>
    </row>
    <row r="563" ht="14.25" customHeight="1">
      <c r="A563" s="697">
        <v>45511.0</v>
      </c>
      <c r="B563" s="863" t="s">
        <v>4919</v>
      </c>
      <c r="C563" s="863" t="s">
        <v>4945</v>
      </c>
      <c r="D563" s="867" t="s">
        <v>75</v>
      </c>
      <c r="E563" s="689" t="s">
        <v>578</v>
      </c>
      <c r="F563" s="865">
        <v>306751.35</v>
      </c>
      <c r="G563" s="403"/>
      <c r="H563" s="349" t="s">
        <v>5125</v>
      </c>
      <c r="I563" s="866" t="str">
        <f t="shared" si="10"/>
        <v>NOT PAID</v>
      </c>
      <c r="J563" s="402"/>
      <c r="K563" s="402"/>
      <c r="L563" s="402"/>
      <c r="M563" s="402"/>
      <c r="N563" s="402"/>
      <c r="O563" s="402"/>
      <c r="P563" s="402"/>
      <c r="Q563" s="402"/>
      <c r="R563" s="402"/>
      <c r="S563" s="402"/>
      <c r="T563" s="402"/>
      <c r="U563" s="402"/>
      <c r="V563" s="402"/>
      <c r="W563" s="402"/>
      <c r="X563" s="402"/>
      <c r="Y563" s="402"/>
      <c r="Z563" s="402"/>
    </row>
    <row r="564" ht="14.25" customHeight="1">
      <c r="A564" s="697">
        <v>45511.0</v>
      </c>
      <c r="B564" s="863" t="s">
        <v>4789</v>
      </c>
      <c r="C564" s="863" t="s">
        <v>4923</v>
      </c>
      <c r="D564" s="867" t="s">
        <v>59</v>
      </c>
      <c r="E564" s="689" t="s">
        <v>578</v>
      </c>
      <c r="F564" s="865">
        <v>13052.31</v>
      </c>
      <c r="G564" s="413">
        <v>13051.0</v>
      </c>
      <c r="H564" s="349" t="s">
        <v>710</v>
      </c>
      <c r="I564" s="866" t="str">
        <f t="shared" si="10"/>
        <v>PARTIALLY PAID</v>
      </c>
      <c r="J564" s="402"/>
      <c r="K564" s="402"/>
      <c r="L564" s="402"/>
      <c r="M564" s="402"/>
      <c r="N564" s="402"/>
      <c r="O564" s="402"/>
      <c r="P564" s="402"/>
      <c r="Q564" s="402"/>
      <c r="R564" s="402"/>
      <c r="S564" s="402"/>
      <c r="T564" s="402"/>
      <c r="U564" s="402"/>
      <c r="V564" s="402"/>
      <c r="W564" s="402"/>
      <c r="X564" s="402"/>
      <c r="Y564" s="402"/>
      <c r="Z564" s="402"/>
    </row>
    <row r="565" ht="14.25" customHeight="1">
      <c r="A565" s="697">
        <v>45511.0</v>
      </c>
      <c r="B565" s="863" t="s">
        <v>4800</v>
      </c>
      <c r="C565" s="863" t="s">
        <v>758</v>
      </c>
      <c r="D565" s="867" t="s">
        <v>59</v>
      </c>
      <c r="E565" s="689" t="s">
        <v>578</v>
      </c>
      <c r="F565" s="865">
        <v>236712.46</v>
      </c>
      <c r="G565" s="403"/>
      <c r="H565" s="349" t="s">
        <v>5117</v>
      </c>
      <c r="I565" s="866" t="str">
        <f t="shared" si="10"/>
        <v>NOT PAID</v>
      </c>
      <c r="J565" s="402"/>
      <c r="K565" s="402"/>
      <c r="L565" s="402"/>
      <c r="M565" s="402"/>
      <c r="N565" s="402"/>
      <c r="O565" s="402"/>
      <c r="P565" s="402"/>
      <c r="Q565" s="402"/>
      <c r="R565" s="402"/>
      <c r="S565" s="402"/>
      <c r="T565" s="402"/>
      <c r="U565" s="402"/>
      <c r="V565" s="402"/>
      <c r="W565" s="402"/>
      <c r="X565" s="402"/>
      <c r="Y565" s="402"/>
      <c r="Z565" s="402"/>
    </row>
    <row r="566" ht="14.25" customHeight="1">
      <c r="A566" s="697"/>
      <c r="B566" s="863"/>
      <c r="C566" s="863"/>
      <c r="D566" s="867"/>
      <c r="E566" s="868"/>
      <c r="F566" s="865"/>
      <c r="G566" s="403"/>
      <c r="H566" s="402"/>
      <c r="I566" s="866" t="str">
        <f t="shared" si="10"/>
        <v>FULLY PAID</v>
      </c>
      <c r="J566" s="402"/>
      <c r="K566" s="402"/>
      <c r="L566" s="402"/>
      <c r="M566" s="402"/>
      <c r="N566" s="402"/>
      <c r="O566" s="402"/>
      <c r="P566" s="402"/>
      <c r="Q566" s="402"/>
      <c r="R566" s="402"/>
      <c r="S566" s="402"/>
      <c r="T566" s="402"/>
      <c r="U566" s="402"/>
      <c r="V566" s="402"/>
      <c r="W566" s="402"/>
      <c r="X566" s="402"/>
      <c r="Y566" s="402"/>
      <c r="Z566" s="402"/>
    </row>
    <row r="567" ht="14.25" customHeight="1">
      <c r="A567" s="896" t="s">
        <v>2130</v>
      </c>
      <c r="B567" s="897" t="s">
        <v>39</v>
      </c>
      <c r="C567" s="896" t="s">
        <v>48</v>
      </c>
      <c r="D567" s="896" t="s">
        <v>49</v>
      </c>
      <c r="E567" s="898" t="s">
        <v>50</v>
      </c>
      <c r="F567" s="899" t="s">
        <v>2</v>
      </c>
      <c r="G567" s="896" t="s">
        <v>44</v>
      </c>
      <c r="H567" s="896" t="s">
        <v>45</v>
      </c>
      <c r="I567" s="866" t="str">
        <f t="shared" si="10"/>
        <v>FULLY PAID</v>
      </c>
      <c r="J567" s="402"/>
      <c r="K567" s="402"/>
      <c r="L567" s="402"/>
      <c r="M567" s="402"/>
      <c r="N567" s="402"/>
      <c r="O567" s="402"/>
      <c r="P567" s="402"/>
      <c r="Q567" s="402"/>
      <c r="R567" s="402"/>
      <c r="S567" s="402"/>
      <c r="T567" s="402"/>
      <c r="U567" s="402"/>
      <c r="V567" s="402"/>
      <c r="W567" s="402"/>
      <c r="X567" s="402"/>
      <c r="Y567" s="402"/>
      <c r="Z567" s="402"/>
    </row>
    <row r="568" ht="14.25" customHeight="1">
      <c r="A568" s="697">
        <v>45512.0</v>
      </c>
      <c r="B568" s="863" t="s">
        <v>4990</v>
      </c>
      <c r="C568" s="863" t="s">
        <v>4991</v>
      </c>
      <c r="D568" s="867"/>
      <c r="E568" s="689" t="s">
        <v>5161</v>
      </c>
      <c r="F568" s="865">
        <v>27982.13</v>
      </c>
      <c r="G568" s="403"/>
      <c r="H568" s="349" t="s">
        <v>5162</v>
      </c>
      <c r="I568" s="866" t="str">
        <f t="shared" si="10"/>
        <v>NOT PAID</v>
      </c>
      <c r="J568" s="402"/>
      <c r="K568" s="402"/>
      <c r="L568" s="402"/>
      <c r="M568" s="402"/>
      <c r="N568" s="402"/>
      <c r="O568" s="402"/>
      <c r="P568" s="402"/>
      <c r="Q568" s="402"/>
      <c r="R568" s="402"/>
      <c r="S568" s="402"/>
      <c r="T568" s="402"/>
      <c r="U568" s="402"/>
      <c r="V568" s="402"/>
      <c r="W568" s="402"/>
      <c r="X568" s="402"/>
      <c r="Y568" s="402"/>
      <c r="Z568" s="402"/>
    </row>
    <row r="569" ht="14.25" customHeight="1">
      <c r="A569" s="697">
        <v>45512.0</v>
      </c>
      <c r="B569" s="863" t="s">
        <v>4981</v>
      </c>
      <c r="C569" s="863" t="s">
        <v>4982</v>
      </c>
      <c r="D569" s="867"/>
      <c r="E569" s="689" t="s">
        <v>5163</v>
      </c>
      <c r="F569" s="865">
        <v>6360.38</v>
      </c>
      <c r="G569" s="403"/>
      <c r="H569" s="349" t="s">
        <v>710</v>
      </c>
      <c r="I569" s="866" t="str">
        <f t="shared" si="10"/>
        <v>NOT PAID</v>
      </c>
      <c r="J569" s="402"/>
      <c r="K569" s="402"/>
      <c r="L569" s="402"/>
      <c r="M569" s="402"/>
      <c r="N569" s="402"/>
      <c r="O569" s="402"/>
      <c r="P569" s="402"/>
      <c r="Q569" s="402"/>
      <c r="R569" s="402"/>
      <c r="S569" s="402"/>
      <c r="T569" s="402"/>
      <c r="U569" s="402"/>
      <c r="V569" s="402"/>
      <c r="W569" s="402"/>
      <c r="X569" s="402"/>
      <c r="Y569" s="402"/>
      <c r="Z569" s="402"/>
    </row>
    <row r="570" ht="14.25" customHeight="1">
      <c r="A570" s="697">
        <v>45512.0</v>
      </c>
      <c r="B570" s="863" t="s">
        <v>5045</v>
      </c>
      <c r="C570" s="863" t="s">
        <v>5046</v>
      </c>
      <c r="D570" s="867"/>
      <c r="E570" s="689" t="s">
        <v>5161</v>
      </c>
      <c r="F570" s="865">
        <v>300.0</v>
      </c>
      <c r="G570" s="403"/>
      <c r="H570" s="349" t="s">
        <v>710</v>
      </c>
      <c r="I570" s="866" t="str">
        <f t="shared" si="10"/>
        <v>NOT PAID</v>
      </c>
      <c r="J570" s="402"/>
      <c r="K570" s="402"/>
      <c r="L570" s="402"/>
      <c r="M570" s="402"/>
      <c r="N570" s="402"/>
      <c r="O570" s="402"/>
      <c r="P570" s="402"/>
      <c r="Q570" s="402"/>
      <c r="R570" s="402"/>
      <c r="S570" s="402"/>
      <c r="T570" s="402"/>
      <c r="U570" s="402"/>
      <c r="V570" s="402"/>
      <c r="W570" s="402"/>
      <c r="X570" s="402"/>
      <c r="Y570" s="402"/>
      <c r="Z570" s="402"/>
    </row>
    <row r="571" ht="14.25" customHeight="1">
      <c r="A571" s="697">
        <v>45512.0</v>
      </c>
      <c r="B571" s="863" t="s">
        <v>5164</v>
      </c>
      <c r="C571" s="863" t="s">
        <v>5165</v>
      </c>
      <c r="D571" s="867"/>
      <c r="E571" s="689" t="s">
        <v>5107</v>
      </c>
      <c r="F571" s="865">
        <v>660000.0</v>
      </c>
      <c r="G571" s="403"/>
      <c r="H571" s="349" t="s">
        <v>710</v>
      </c>
      <c r="I571" s="866" t="str">
        <f t="shared" si="10"/>
        <v>NOT PAID</v>
      </c>
      <c r="J571" s="402"/>
      <c r="K571" s="402"/>
      <c r="L571" s="402"/>
      <c r="M571" s="402"/>
      <c r="N571" s="402"/>
      <c r="O571" s="402"/>
      <c r="P571" s="402"/>
      <c r="Q571" s="402"/>
      <c r="R571" s="402"/>
      <c r="S571" s="402"/>
      <c r="T571" s="402"/>
      <c r="U571" s="402"/>
      <c r="V571" s="402"/>
      <c r="W571" s="402"/>
      <c r="X571" s="402"/>
      <c r="Y571" s="402"/>
      <c r="Z571" s="402"/>
    </row>
    <row r="572" ht="14.25" customHeight="1">
      <c r="A572" s="697">
        <v>45512.0</v>
      </c>
      <c r="B572" s="863" t="s">
        <v>5166</v>
      </c>
      <c r="C572" s="863" t="s">
        <v>5167</v>
      </c>
      <c r="D572" s="867"/>
      <c r="E572" s="689" t="s">
        <v>5098</v>
      </c>
      <c r="F572" s="865">
        <v>46000.0</v>
      </c>
      <c r="G572" s="403"/>
      <c r="H572" s="349" t="s">
        <v>5168</v>
      </c>
      <c r="I572" s="866" t="str">
        <f t="shared" si="10"/>
        <v>NOT PAID</v>
      </c>
      <c r="J572" s="402"/>
      <c r="K572" s="402"/>
      <c r="L572" s="402"/>
      <c r="M572" s="402"/>
      <c r="N572" s="402"/>
      <c r="O572" s="402"/>
      <c r="P572" s="402"/>
      <c r="Q572" s="402"/>
      <c r="R572" s="402"/>
      <c r="S572" s="402"/>
      <c r="T572" s="402"/>
      <c r="U572" s="402"/>
      <c r="V572" s="402"/>
      <c r="W572" s="402"/>
      <c r="X572" s="402"/>
      <c r="Y572" s="402"/>
      <c r="Z572" s="402"/>
    </row>
    <row r="573" ht="14.25" customHeight="1">
      <c r="A573" s="697">
        <v>45512.0</v>
      </c>
      <c r="B573" s="863" t="s">
        <v>4816</v>
      </c>
      <c r="C573" s="863" t="s">
        <v>5015</v>
      </c>
      <c r="D573" s="867"/>
      <c r="E573" s="689" t="s">
        <v>5107</v>
      </c>
      <c r="F573" s="865">
        <v>38764.1</v>
      </c>
      <c r="G573" s="403"/>
      <c r="H573" s="349" t="s">
        <v>710</v>
      </c>
      <c r="I573" s="866" t="str">
        <f t="shared" si="10"/>
        <v>NOT PAID</v>
      </c>
      <c r="J573" s="402"/>
      <c r="K573" s="402"/>
      <c r="L573" s="402"/>
      <c r="M573" s="402"/>
      <c r="N573" s="402"/>
      <c r="O573" s="402"/>
      <c r="P573" s="402"/>
      <c r="Q573" s="402"/>
      <c r="R573" s="402"/>
      <c r="S573" s="402"/>
      <c r="T573" s="402"/>
      <c r="U573" s="402"/>
      <c r="V573" s="402"/>
      <c r="W573" s="402"/>
      <c r="X573" s="402"/>
      <c r="Y573" s="402"/>
      <c r="Z573" s="402"/>
    </row>
    <row r="574" ht="14.25" customHeight="1">
      <c r="A574" s="697">
        <v>45512.0</v>
      </c>
      <c r="B574" s="863" t="s">
        <v>4800</v>
      </c>
      <c r="C574" s="863" t="s">
        <v>758</v>
      </c>
      <c r="D574" s="867"/>
      <c r="E574" s="689" t="s">
        <v>5161</v>
      </c>
      <c r="F574" s="865">
        <v>182863.11</v>
      </c>
      <c r="G574" s="403"/>
      <c r="H574" s="349" t="s">
        <v>710</v>
      </c>
      <c r="I574" s="866" t="str">
        <f t="shared" si="10"/>
        <v>NOT PAID</v>
      </c>
      <c r="J574" s="402"/>
      <c r="K574" s="402"/>
      <c r="L574" s="402"/>
      <c r="M574" s="402"/>
      <c r="N574" s="402"/>
      <c r="O574" s="402"/>
      <c r="P574" s="402"/>
      <c r="Q574" s="402"/>
      <c r="R574" s="402"/>
      <c r="S574" s="402"/>
      <c r="T574" s="402"/>
      <c r="U574" s="402"/>
      <c r="V574" s="402"/>
      <c r="W574" s="402"/>
      <c r="X574" s="402"/>
      <c r="Y574" s="402"/>
      <c r="Z574" s="402"/>
    </row>
    <row r="575" ht="14.25" customHeight="1">
      <c r="A575" s="697">
        <v>45512.0</v>
      </c>
      <c r="B575" s="863" t="s">
        <v>5097</v>
      </c>
      <c r="C575" s="863" t="s">
        <v>5076</v>
      </c>
      <c r="D575" s="867"/>
      <c r="E575" s="689" t="s">
        <v>5098</v>
      </c>
      <c r="F575" s="865">
        <v>41916.85</v>
      </c>
      <c r="G575" s="413">
        <v>5000.0</v>
      </c>
      <c r="H575" s="349" t="s">
        <v>4964</v>
      </c>
      <c r="I575" s="866" t="str">
        <f t="shared" si="10"/>
        <v>PARTIALLY PAID</v>
      </c>
      <c r="J575" s="402"/>
      <c r="K575" s="402"/>
      <c r="L575" s="402"/>
      <c r="M575" s="402"/>
      <c r="N575" s="402"/>
      <c r="O575" s="402"/>
      <c r="P575" s="402"/>
      <c r="Q575" s="402"/>
      <c r="R575" s="402"/>
      <c r="S575" s="402"/>
      <c r="T575" s="402"/>
      <c r="U575" s="402"/>
      <c r="V575" s="402"/>
      <c r="W575" s="402"/>
      <c r="X575" s="402"/>
      <c r="Y575" s="402"/>
      <c r="Z575" s="402"/>
    </row>
    <row r="576" ht="14.25" customHeight="1">
      <c r="A576" s="697">
        <v>45512.0</v>
      </c>
      <c r="B576" s="863" t="s">
        <v>4969</v>
      </c>
      <c r="C576" s="863" t="s">
        <v>4970</v>
      </c>
      <c r="D576" s="867"/>
      <c r="E576" s="689" t="s">
        <v>5161</v>
      </c>
      <c r="F576" s="865">
        <v>31357.13</v>
      </c>
      <c r="G576" s="403"/>
      <c r="H576" s="349" t="s">
        <v>4964</v>
      </c>
      <c r="I576" s="866" t="str">
        <f t="shared" si="10"/>
        <v>NOT PAID</v>
      </c>
      <c r="J576" s="402"/>
      <c r="K576" s="402"/>
      <c r="L576" s="402"/>
      <c r="M576" s="402"/>
      <c r="N576" s="402"/>
      <c r="O576" s="402"/>
      <c r="P576" s="402"/>
      <c r="Q576" s="402"/>
      <c r="R576" s="402"/>
      <c r="S576" s="402"/>
      <c r="T576" s="402"/>
      <c r="U576" s="402"/>
      <c r="V576" s="402"/>
      <c r="W576" s="402"/>
      <c r="X576" s="402"/>
      <c r="Y576" s="402"/>
      <c r="Z576" s="402"/>
    </row>
    <row r="577" ht="14.25" customHeight="1">
      <c r="A577" s="697">
        <v>45512.0</v>
      </c>
      <c r="B577" s="863" t="s">
        <v>4783</v>
      </c>
      <c r="C577" s="863" t="s">
        <v>4920</v>
      </c>
      <c r="D577" s="867"/>
      <c r="E577" s="689" t="s">
        <v>5161</v>
      </c>
      <c r="F577" s="865">
        <v>164156.76</v>
      </c>
      <c r="G577" s="403"/>
      <c r="H577" s="349" t="s">
        <v>5169</v>
      </c>
      <c r="I577" s="866" t="str">
        <f t="shared" si="10"/>
        <v>NOT PAID</v>
      </c>
      <c r="J577" s="402"/>
      <c r="K577" s="402"/>
      <c r="L577" s="402"/>
      <c r="M577" s="402"/>
      <c r="N577" s="402"/>
      <c r="O577" s="402"/>
      <c r="P577" s="402"/>
      <c r="Q577" s="402"/>
      <c r="R577" s="402"/>
      <c r="S577" s="402"/>
      <c r="T577" s="402"/>
      <c r="U577" s="402"/>
      <c r="V577" s="402"/>
      <c r="W577" s="402"/>
      <c r="X577" s="402"/>
      <c r="Y577" s="402"/>
      <c r="Z577" s="402"/>
    </row>
    <row r="578" ht="14.25" customHeight="1">
      <c r="A578" s="697">
        <v>45512.0</v>
      </c>
      <c r="B578" s="863" t="s">
        <v>4793</v>
      </c>
      <c r="C578" s="863" t="s">
        <v>4891</v>
      </c>
      <c r="D578" s="867"/>
      <c r="E578" s="689" t="s">
        <v>5161</v>
      </c>
      <c r="F578" s="865">
        <v>26120.37</v>
      </c>
      <c r="G578" s="403"/>
      <c r="H578" s="349" t="s">
        <v>2769</v>
      </c>
      <c r="I578" s="866" t="str">
        <f t="shared" si="10"/>
        <v>NOT PAID</v>
      </c>
      <c r="J578" s="402"/>
      <c r="K578" s="402"/>
      <c r="L578" s="402"/>
      <c r="M578" s="402"/>
      <c r="N578" s="402"/>
      <c r="O578" s="402"/>
      <c r="P578" s="402"/>
      <c r="Q578" s="402"/>
      <c r="R578" s="402"/>
      <c r="S578" s="402"/>
      <c r="T578" s="402"/>
      <c r="U578" s="402"/>
      <c r="V578" s="402"/>
      <c r="W578" s="402"/>
      <c r="X578" s="402"/>
      <c r="Y578" s="402"/>
      <c r="Z578" s="402"/>
    </row>
    <row r="579" ht="14.25" customHeight="1">
      <c r="A579" s="697">
        <v>45512.0</v>
      </c>
      <c r="B579" s="863" t="s">
        <v>4795</v>
      </c>
      <c r="C579" s="863" t="s">
        <v>5012</v>
      </c>
      <c r="D579" s="867"/>
      <c r="E579" s="689" t="s">
        <v>5161</v>
      </c>
      <c r="F579" s="865">
        <v>42890.38</v>
      </c>
      <c r="G579" s="403"/>
      <c r="H579" s="349" t="s">
        <v>2769</v>
      </c>
      <c r="I579" s="866" t="str">
        <f t="shared" si="10"/>
        <v>NOT PAID</v>
      </c>
      <c r="J579" s="402"/>
      <c r="K579" s="402"/>
      <c r="L579" s="402"/>
      <c r="M579" s="402"/>
      <c r="N579" s="402"/>
      <c r="O579" s="402"/>
      <c r="P579" s="402"/>
      <c r="Q579" s="402"/>
      <c r="R579" s="402"/>
      <c r="S579" s="402"/>
      <c r="T579" s="402"/>
      <c r="U579" s="402"/>
      <c r="V579" s="402"/>
      <c r="W579" s="402"/>
      <c r="X579" s="402"/>
      <c r="Y579" s="402"/>
      <c r="Z579" s="402"/>
    </row>
    <row r="580" ht="14.25" customHeight="1">
      <c r="A580" s="697">
        <v>45512.0</v>
      </c>
      <c r="B580" s="863" t="s">
        <v>4983</v>
      </c>
      <c r="C580" s="863" t="s">
        <v>4860</v>
      </c>
      <c r="D580" s="867"/>
      <c r="E580" s="689" t="s">
        <v>5098</v>
      </c>
      <c r="F580" s="865">
        <v>49947.61</v>
      </c>
      <c r="G580" s="403"/>
      <c r="H580" s="349" t="s">
        <v>2769</v>
      </c>
      <c r="I580" s="866" t="str">
        <f t="shared" si="10"/>
        <v>NOT PAID</v>
      </c>
      <c r="J580" s="402"/>
      <c r="K580" s="402"/>
      <c r="L580" s="402"/>
      <c r="M580" s="402"/>
      <c r="N580" s="402"/>
      <c r="O580" s="402"/>
      <c r="P580" s="402"/>
      <c r="Q580" s="402"/>
      <c r="R580" s="402"/>
      <c r="S580" s="402"/>
      <c r="T580" s="402"/>
      <c r="U580" s="402"/>
      <c r="V580" s="402"/>
      <c r="W580" s="402"/>
      <c r="X580" s="402"/>
      <c r="Y580" s="402"/>
      <c r="Z580" s="402"/>
    </row>
    <row r="581" ht="14.25" customHeight="1">
      <c r="A581" s="697">
        <v>45512.0</v>
      </c>
      <c r="B581" s="863" t="s">
        <v>5070</v>
      </c>
      <c r="C581" s="863" t="s">
        <v>4859</v>
      </c>
      <c r="D581" s="867"/>
      <c r="E581" s="689" t="s">
        <v>5107</v>
      </c>
      <c r="F581" s="865">
        <v>949000.0</v>
      </c>
      <c r="G581" s="403"/>
      <c r="H581" s="349" t="s">
        <v>710</v>
      </c>
      <c r="I581" s="866" t="str">
        <f t="shared" si="10"/>
        <v>NOT PAID</v>
      </c>
      <c r="J581" s="402"/>
      <c r="K581" s="402"/>
      <c r="L581" s="402"/>
      <c r="M581" s="402"/>
      <c r="N581" s="402"/>
      <c r="O581" s="402"/>
      <c r="P581" s="402"/>
      <c r="Q581" s="402"/>
      <c r="R581" s="402"/>
      <c r="S581" s="402"/>
      <c r="T581" s="402"/>
      <c r="U581" s="402"/>
      <c r="V581" s="402"/>
      <c r="W581" s="402"/>
      <c r="X581" s="402"/>
      <c r="Y581" s="402"/>
      <c r="Z581" s="402"/>
    </row>
    <row r="582" ht="14.25" customHeight="1">
      <c r="A582" s="697">
        <v>45512.0</v>
      </c>
      <c r="B582" s="863" t="s">
        <v>5085</v>
      </c>
      <c r="C582" s="863" t="s">
        <v>5036</v>
      </c>
      <c r="D582" s="867"/>
      <c r="E582" s="689" t="s">
        <v>5098</v>
      </c>
      <c r="F582" s="865">
        <v>222500.0</v>
      </c>
      <c r="G582" s="413">
        <v>2000.0</v>
      </c>
      <c r="H582" s="349" t="s">
        <v>2769</v>
      </c>
      <c r="I582" s="866" t="str">
        <f t="shared" si="10"/>
        <v>PARTIALLY PAID</v>
      </c>
      <c r="J582" s="402"/>
      <c r="K582" s="402"/>
      <c r="L582" s="402"/>
      <c r="M582" s="402"/>
      <c r="N582" s="402"/>
      <c r="O582" s="402"/>
      <c r="P582" s="402"/>
      <c r="Q582" s="402"/>
      <c r="R582" s="402"/>
      <c r="S582" s="402"/>
      <c r="T582" s="402"/>
      <c r="U582" s="402"/>
      <c r="V582" s="402"/>
      <c r="W582" s="402"/>
      <c r="X582" s="402"/>
      <c r="Y582" s="402"/>
      <c r="Z582" s="402"/>
    </row>
    <row r="583" ht="14.25" customHeight="1">
      <c r="A583" s="697">
        <v>45512.0</v>
      </c>
      <c r="B583" s="863" t="s">
        <v>5075</v>
      </c>
      <c r="C583" s="863" t="s">
        <v>5076</v>
      </c>
      <c r="D583" s="867"/>
      <c r="E583" s="689" t="s">
        <v>5098</v>
      </c>
      <c r="F583" s="865">
        <v>67815.0</v>
      </c>
      <c r="G583" s="403"/>
      <c r="H583" s="349" t="s">
        <v>2769</v>
      </c>
      <c r="I583" s="866" t="str">
        <f t="shared" si="10"/>
        <v>NOT PAID</v>
      </c>
      <c r="J583" s="402"/>
      <c r="K583" s="402"/>
      <c r="L583" s="402"/>
      <c r="M583" s="402"/>
      <c r="N583" s="402"/>
      <c r="O583" s="402"/>
      <c r="P583" s="402"/>
      <c r="Q583" s="402"/>
      <c r="R583" s="402"/>
      <c r="S583" s="402"/>
      <c r="T583" s="402"/>
      <c r="U583" s="402"/>
      <c r="V583" s="402"/>
      <c r="W583" s="402"/>
      <c r="X583" s="402"/>
      <c r="Y583" s="402"/>
      <c r="Z583" s="402"/>
    </row>
    <row r="584" ht="14.25" customHeight="1">
      <c r="A584" s="697">
        <v>45512.0</v>
      </c>
      <c r="B584" s="863" t="s">
        <v>4777</v>
      </c>
      <c r="C584" s="863" t="s">
        <v>4842</v>
      </c>
      <c r="D584" s="867"/>
      <c r="E584" s="689" t="s">
        <v>5098</v>
      </c>
      <c r="F584" s="865">
        <v>22775.08</v>
      </c>
      <c r="G584" s="403"/>
      <c r="H584" s="349" t="s">
        <v>2769</v>
      </c>
      <c r="I584" s="866" t="str">
        <f t="shared" si="10"/>
        <v>NOT PAID</v>
      </c>
      <c r="J584" s="402"/>
      <c r="K584" s="402"/>
      <c r="L584" s="402"/>
      <c r="M584" s="402"/>
      <c r="N584" s="402"/>
      <c r="O584" s="402"/>
      <c r="P584" s="402"/>
      <c r="Q584" s="402"/>
      <c r="R584" s="402"/>
      <c r="S584" s="402"/>
      <c r="T584" s="402"/>
      <c r="U584" s="402"/>
      <c r="V584" s="402"/>
      <c r="W584" s="402"/>
      <c r="X584" s="402"/>
      <c r="Y584" s="402"/>
      <c r="Z584" s="402"/>
    </row>
    <row r="585" ht="14.25" customHeight="1">
      <c r="A585" s="697">
        <v>45512.0</v>
      </c>
      <c r="B585" s="863" t="s">
        <v>5127</v>
      </c>
      <c r="C585" s="863" t="s">
        <v>5170</v>
      </c>
      <c r="D585" s="867"/>
      <c r="E585" s="689" t="s">
        <v>5161</v>
      </c>
      <c r="F585" s="865">
        <v>127874.49</v>
      </c>
      <c r="G585" s="403"/>
      <c r="H585" s="349" t="s">
        <v>4964</v>
      </c>
      <c r="I585" s="866" t="str">
        <f t="shared" si="10"/>
        <v>NOT PAID</v>
      </c>
      <c r="J585" s="402"/>
      <c r="K585" s="402"/>
      <c r="L585" s="402"/>
      <c r="M585" s="402"/>
      <c r="N585" s="402"/>
      <c r="O585" s="402"/>
      <c r="P585" s="402"/>
      <c r="Q585" s="402"/>
      <c r="R585" s="402"/>
      <c r="S585" s="402"/>
      <c r="T585" s="402"/>
      <c r="U585" s="402"/>
      <c r="V585" s="402"/>
      <c r="W585" s="402"/>
      <c r="X585" s="402"/>
      <c r="Y585" s="402"/>
      <c r="Z585" s="402"/>
    </row>
    <row r="586" ht="14.25" customHeight="1">
      <c r="A586" s="697">
        <v>45512.0</v>
      </c>
      <c r="B586" s="863" t="s">
        <v>5130</v>
      </c>
      <c r="C586" s="863" t="s">
        <v>5171</v>
      </c>
      <c r="D586" s="867"/>
      <c r="E586" s="689" t="s">
        <v>5108</v>
      </c>
      <c r="F586" s="865">
        <v>3244.69</v>
      </c>
      <c r="G586" s="403"/>
      <c r="H586" s="349" t="s">
        <v>2769</v>
      </c>
      <c r="I586" s="866" t="str">
        <f t="shared" si="10"/>
        <v>NOT PAID</v>
      </c>
      <c r="J586" s="402"/>
      <c r="K586" s="402"/>
      <c r="L586" s="402"/>
      <c r="M586" s="402"/>
      <c r="N586" s="402"/>
      <c r="O586" s="402"/>
      <c r="P586" s="402"/>
      <c r="Q586" s="402"/>
      <c r="R586" s="402"/>
      <c r="S586" s="402"/>
      <c r="T586" s="402"/>
      <c r="U586" s="402"/>
      <c r="V586" s="402"/>
      <c r="W586" s="402"/>
      <c r="X586" s="402"/>
      <c r="Y586" s="402"/>
      <c r="Z586" s="402"/>
    </row>
    <row r="587" ht="14.25" customHeight="1">
      <c r="A587" s="697">
        <v>45512.0</v>
      </c>
      <c r="B587" s="863" t="s">
        <v>4939</v>
      </c>
      <c r="C587" s="863" t="s">
        <v>4932</v>
      </c>
      <c r="D587" s="867"/>
      <c r="E587" s="689" t="s">
        <v>5108</v>
      </c>
      <c r="F587" s="865">
        <v>13845.99</v>
      </c>
      <c r="G587" s="403"/>
      <c r="H587" s="349" t="s">
        <v>5172</v>
      </c>
      <c r="I587" s="866" t="str">
        <f t="shared" si="10"/>
        <v>NOT PAID</v>
      </c>
      <c r="J587" s="402"/>
      <c r="K587" s="402"/>
      <c r="L587" s="402"/>
      <c r="M587" s="402"/>
      <c r="N587" s="402"/>
      <c r="O587" s="402"/>
      <c r="P587" s="402"/>
      <c r="Q587" s="402"/>
      <c r="R587" s="402"/>
      <c r="S587" s="402"/>
      <c r="T587" s="402"/>
      <c r="U587" s="402"/>
      <c r="V587" s="402"/>
      <c r="W587" s="402"/>
      <c r="X587" s="402"/>
      <c r="Y587" s="402"/>
      <c r="Z587" s="402"/>
    </row>
    <row r="588" ht="14.25" customHeight="1">
      <c r="A588" s="697">
        <v>45512.0</v>
      </c>
      <c r="B588" s="863" t="s">
        <v>4864</v>
      </c>
      <c r="C588" s="863" t="s">
        <v>4865</v>
      </c>
      <c r="D588" s="867"/>
      <c r="E588" s="689" t="s">
        <v>5098</v>
      </c>
      <c r="F588" s="865">
        <v>7072.53</v>
      </c>
      <c r="G588" s="403"/>
      <c r="H588" s="349" t="s">
        <v>5172</v>
      </c>
      <c r="I588" s="866" t="str">
        <f t="shared" si="10"/>
        <v>NOT PAID</v>
      </c>
      <c r="J588" s="402"/>
      <c r="K588" s="402"/>
      <c r="L588" s="402"/>
      <c r="M588" s="402"/>
      <c r="N588" s="402"/>
      <c r="O588" s="402"/>
      <c r="P588" s="402"/>
      <c r="Q588" s="402"/>
      <c r="R588" s="402"/>
      <c r="S588" s="402"/>
      <c r="T588" s="402"/>
      <c r="U588" s="402"/>
      <c r="V588" s="402"/>
      <c r="W588" s="402"/>
      <c r="X588" s="402"/>
      <c r="Y588" s="402"/>
      <c r="Z588" s="402"/>
    </row>
    <row r="589" ht="14.25" customHeight="1">
      <c r="A589" s="697">
        <v>45512.0</v>
      </c>
      <c r="B589" s="863" t="s">
        <v>4900</v>
      </c>
      <c r="C589" s="863" t="s">
        <v>4901</v>
      </c>
      <c r="D589" s="867"/>
      <c r="E589" s="689" t="s">
        <v>5098</v>
      </c>
      <c r="F589" s="865">
        <v>7957.99</v>
      </c>
      <c r="G589" s="403"/>
      <c r="H589" s="349" t="s">
        <v>5172</v>
      </c>
      <c r="I589" s="866" t="str">
        <f t="shared" si="10"/>
        <v>NOT PAID</v>
      </c>
      <c r="J589" s="402"/>
      <c r="K589" s="402"/>
      <c r="L589" s="402"/>
      <c r="M589" s="402"/>
      <c r="N589" s="402"/>
      <c r="O589" s="402"/>
      <c r="P589" s="402"/>
      <c r="Q589" s="402"/>
      <c r="R589" s="402"/>
      <c r="S589" s="402"/>
      <c r="T589" s="402"/>
      <c r="U589" s="402"/>
      <c r="V589" s="402"/>
      <c r="W589" s="402"/>
      <c r="X589" s="402"/>
      <c r="Y589" s="402"/>
      <c r="Z589" s="402"/>
    </row>
    <row r="590" ht="14.25" customHeight="1">
      <c r="A590" s="697">
        <v>45512.0</v>
      </c>
      <c r="B590" s="863" t="s">
        <v>4933</v>
      </c>
      <c r="C590" s="863" t="s">
        <v>4848</v>
      </c>
      <c r="D590" s="867"/>
      <c r="E590" s="689" t="s">
        <v>5161</v>
      </c>
      <c r="F590" s="865">
        <v>289998.51</v>
      </c>
      <c r="G590" s="403"/>
      <c r="H590" s="349" t="s">
        <v>267</v>
      </c>
      <c r="I590" s="866" t="str">
        <f t="shared" si="10"/>
        <v>NOT PAID</v>
      </c>
      <c r="J590" s="402"/>
      <c r="K590" s="402"/>
      <c r="L590" s="402"/>
      <c r="M590" s="402"/>
      <c r="N590" s="402"/>
      <c r="O590" s="402"/>
      <c r="P590" s="402"/>
      <c r="Q590" s="402"/>
      <c r="R590" s="402"/>
      <c r="S590" s="402"/>
      <c r="T590" s="402"/>
      <c r="U590" s="402"/>
      <c r="V590" s="402"/>
      <c r="W590" s="402"/>
      <c r="X590" s="402"/>
      <c r="Y590" s="402"/>
      <c r="Z590" s="402"/>
    </row>
    <row r="591" ht="14.25" customHeight="1">
      <c r="A591" s="697">
        <v>45512.0</v>
      </c>
      <c r="B591" s="863" t="s">
        <v>4885</v>
      </c>
      <c r="C591" s="863" t="s">
        <v>4886</v>
      </c>
      <c r="D591" s="867"/>
      <c r="E591" s="689" t="s">
        <v>5108</v>
      </c>
      <c r="F591" s="865">
        <v>1474.5</v>
      </c>
      <c r="G591" s="403"/>
      <c r="H591" s="349" t="s">
        <v>5172</v>
      </c>
      <c r="I591" s="866" t="str">
        <f t="shared" si="10"/>
        <v>NOT PAID</v>
      </c>
      <c r="J591" s="402"/>
      <c r="K591" s="402"/>
      <c r="L591" s="402"/>
      <c r="M591" s="402"/>
      <c r="N591" s="402"/>
      <c r="O591" s="402"/>
      <c r="P591" s="402"/>
      <c r="Q591" s="402"/>
      <c r="R591" s="402"/>
      <c r="S591" s="402"/>
      <c r="T591" s="402"/>
      <c r="U591" s="402"/>
      <c r="V591" s="402"/>
      <c r="W591" s="402"/>
      <c r="X591" s="402"/>
      <c r="Y591" s="402"/>
      <c r="Z591" s="402"/>
    </row>
    <row r="592" ht="14.25" customHeight="1">
      <c r="A592" s="697">
        <v>45512.0</v>
      </c>
      <c r="B592" s="863" t="s">
        <v>4767</v>
      </c>
      <c r="C592" s="863" t="s">
        <v>4861</v>
      </c>
      <c r="D592" s="867"/>
      <c r="E592" s="689" t="s">
        <v>5108</v>
      </c>
      <c r="F592" s="865">
        <v>91470.42</v>
      </c>
      <c r="G592" s="403"/>
      <c r="H592" s="349" t="s">
        <v>5172</v>
      </c>
      <c r="I592" s="866" t="str">
        <f t="shared" si="10"/>
        <v>NOT PAID</v>
      </c>
      <c r="J592" s="402"/>
      <c r="K592" s="402"/>
      <c r="L592" s="402"/>
      <c r="M592" s="402"/>
      <c r="N592" s="402"/>
      <c r="O592" s="402"/>
      <c r="P592" s="402"/>
      <c r="Q592" s="402"/>
      <c r="R592" s="402"/>
      <c r="S592" s="402"/>
      <c r="T592" s="402"/>
      <c r="U592" s="402"/>
      <c r="V592" s="402"/>
      <c r="W592" s="402"/>
      <c r="X592" s="402"/>
      <c r="Y592" s="402"/>
      <c r="Z592" s="402"/>
    </row>
    <row r="593" ht="14.25" customHeight="1">
      <c r="A593" s="697">
        <v>45512.0</v>
      </c>
      <c r="B593" s="863" t="s">
        <v>4770</v>
      </c>
      <c r="C593" s="863" t="s">
        <v>2529</v>
      </c>
      <c r="D593" s="867"/>
      <c r="E593" s="689" t="s">
        <v>5173</v>
      </c>
      <c r="F593" s="865">
        <v>54409.65</v>
      </c>
      <c r="G593" s="403"/>
      <c r="H593" s="349" t="s">
        <v>5172</v>
      </c>
      <c r="I593" s="866" t="str">
        <f t="shared" si="10"/>
        <v>NOT PAID</v>
      </c>
      <c r="J593" s="402"/>
      <c r="K593" s="402"/>
      <c r="L593" s="402"/>
      <c r="M593" s="402"/>
      <c r="N593" s="402"/>
      <c r="O593" s="402"/>
      <c r="P593" s="402"/>
      <c r="Q593" s="402"/>
      <c r="R593" s="402"/>
      <c r="S593" s="402"/>
      <c r="T593" s="402"/>
      <c r="U593" s="402"/>
      <c r="V593" s="402"/>
      <c r="W593" s="402"/>
      <c r="X593" s="402"/>
      <c r="Y593" s="402"/>
      <c r="Z593" s="402"/>
    </row>
    <row r="594" ht="14.25" customHeight="1">
      <c r="A594" s="697">
        <v>45512.0</v>
      </c>
      <c r="B594" s="863" t="s">
        <v>4773</v>
      </c>
      <c r="C594" s="863" t="s">
        <v>4906</v>
      </c>
      <c r="D594" s="867"/>
      <c r="E594" s="689" t="s">
        <v>5173</v>
      </c>
      <c r="F594" s="865">
        <v>888.83</v>
      </c>
      <c r="G594" s="403"/>
      <c r="H594" s="349" t="s">
        <v>5172</v>
      </c>
      <c r="I594" s="866" t="str">
        <f t="shared" si="10"/>
        <v>NOT PAID</v>
      </c>
      <c r="J594" s="402"/>
      <c r="K594" s="402"/>
      <c r="L594" s="402"/>
      <c r="M594" s="402"/>
      <c r="N594" s="402"/>
      <c r="O594" s="402"/>
      <c r="P594" s="402"/>
      <c r="Q594" s="402"/>
      <c r="R594" s="402"/>
      <c r="S594" s="402"/>
      <c r="T594" s="402"/>
      <c r="U594" s="402"/>
      <c r="V594" s="402"/>
      <c r="W594" s="402"/>
      <c r="X594" s="402"/>
      <c r="Y594" s="402"/>
      <c r="Z594" s="402"/>
    </row>
    <row r="595" ht="14.25" customHeight="1">
      <c r="A595" s="697">
        <v>45512.0</v>
      </c>
      <c r="B595" s="863" t="s">
        <v>4775</v>
      </c>
      <c r="C595" s="863" t="s">
        <v>4922</v>
      </c>
      <c r="D595" s="867"/>
      <c r="E595" s="689" t="s">
        <v>5161</v>
      </c>
      <c r="F595" s="865">
        <v>161945.06</v>
      </c>
      <c r="G595" s="403"/>
      <c r="H595" s="349" t="s">
        <v>710</v>
      </c>
      <c r="I595" s="866" t="str">
        <f t="shared" si="10"/>
        <v>NOT PAID</v>
      </c>
      <c r="J595" s="402"/>
      <c r="K595" s="402"/>
      <c r="L595" s="402"/>
      <c r="M595" s="402"/>
      <c r="N595" s="402"/>
      <c r="O595" s="402"/>
      <c r="P595" s="402"/>
      <c r="Q595" s="402"/>
      <c r="R595" s="402"/>
      <c r="S595" s="402"/>
      <c r="T595" s="402"/>
      <c r="U595" s="402"/>
      <c r="V595" s="402"/>
      <c r="W595" s="402"/>
      <c r="X595" s="402"/>
      <c r="Y595" s="402"/>
      <c r="Z595" s="402"/>
    </row>
    <row r="596" ht="14.25" customHeight="1">
      <c r="A596" s="697">
        <v>45512.0</v>
      </c>
      <c r="B596" s="863" t="s">
        <v>5042</v>
      </c>
      <c r="C596" s="863" t="s">
        <v>5060</v>
      </c>
      <c r="D596" s="867"/>
      <c r="E596" s="689" t="s">
        <v>5161</v>
      </c>
      <c r="F596" s="865">
        <v>48393.71</v>
      </c>
      <c r="G596" s="403"/>
      <c r="H596" s="349" t="s">
        <v>5172</v>
      </c>
      <c r="I596" s="866" t="str">
        <f t="shared" si="10"/>
        <v>NOT PAID</v>
      </c>
      <c r="J596" s="402"/>
      <c r="K596" s="402"/>
      <c r="L596" s="402"/>
      <c r="M596" s="402"/>
      <c r="N596" s="402"/>
      <c r="O596" s="402"/>
      <c r="P596" s="402"/>
      <c r="Q596" s="402"/>
      <c r="R596" s="402"/>
      <c r="S596" s="402"/>
      <c r="T596" s="402"/>
      <c r="U596" s="402"/>
      <c r="V596" s="402"/>
      <c r="W596" s="402"/>
      <c r="X596" s="402"/>
      <c r="Y596" s="402"/>
      <c r="Z596" s="402"/>
    </row>
    <row r="597" ht="14.25" customHeight="1">
      <c r="A597" s="697">
        <v>45512.0</v>
      </c>
      <c r="B597" s="863" t="s">
        <v>5103</v>
      </c>
      <c r="C597" s="863" t="s">
        <v>5104</v>
      </c>
      <c r="D597" s="867"/>
      <c r="E597" s="689" t="s">
        <v>5161</v>
      </c>
      <c r="F597" s="865">
        <v>19255.54</v>
      </c>
      <c r="G597" s="403"/>
      <c r="H597" s="349" t="s">
        <v>5172</v>
      </c>
      <c r="I597" s="866" t="str">
        <f t="shared" si="10"/>
        <v>NOT PAID</v>
      </c>
      <c r="J597" s="402"/>
      <c r="K597" s="402"/>
      <c r="L597" s="402"/>
      <c r="M597" s="402"/>
      <c r="N597" s="402"/>
      <c r="O597" s="402"/>
      <c r="P597" s="402"/>
      <c r="Q597" s="402"/>
      <c r="R597" s="402"/>
      <c r="S597" s="402"/>
      <c r="T597" s="402"/>
      <c r="U597" s="402"/>
      <c r="V597" s="402"/>
      <c r="W597" s="402"/>
      <c r="X597" s="402"/>
      <c r="Y597" s="402"/>
      <c r="Z597" s="402"/>
    </row>
    <row r="598" ht="14.25" customHeight="1">
      <c r="A598" s="697">
        <v>45512.0</v>
      </c>
      <c r="B598" s="863" t="s">
        <v>4779</v>
      </c>
      <c r="C598" s="863" t="s">
        <v>4907</v>
      </c>
      <c r="D598" s="867"/>
      <c r="E598" s="689" t="s">
        <v>5161</v>
      </c>
      <c r="F598" s="865">
        <v>2682.6</v>
      </c>
      <c r="G598" s="403"/>
      <c r="H598" s="349" t="s">
        <v>5172</v>
      </c>
      <c r="I598" s="866" t="str">
        <f t="shared" si="10"/>
        <v>NOT PAID</v>
      </c>
      <c r="J598" s="402"/>
      <c r="K598" s="402"/>
      <c r="L598" s="402"/>
      <c r="M598" s="402"/>
      <c r="N598" s="402"/>
      <c r="O598" s="402"/>
      <c r="P598" s="402"/>
      <c r="Q598" s="402"/>
      <c r="R598" s="402"/>
      <c r="S598" s="402"/>
      <c r="T598" s="402"/>
      <c r="U598" s="402"/>
      <c r="V598" s="402"/>
      <c r="W598" s="402"/>
      <c r="X598" s="402"/>
      <c r="Y598" s="402"/>
      <c r="Z598" s="402"/>
    </row>
    <row r="599" ht="14.25" customHeight="1">
      <c r="A599" s="697">
        <v>45512.0</v>
      </c>
      <c r="B599" s="863" t="s">
        <v>4781</v>
      </c>
      <c r="C599" s="863" t="s">
        <v>4915</v>
      </c>
      <c r="D599" s="867"/>
      <c r="E599" s="689" t="s">
        <v>5099</v>
      </c>
      <c r="F599" s="865">
        <v>87894.84</v>
      </c>
      <c r="G599" s="403"/>
      <c r="H599" s="349" t="s">
        <v>5172</v>
      </c>
      <c r="I599" s="866" t="str">
        <f t="shared" si="10"/>
        <v>NOT PAID</v>
      </c>
      <c r="J599" s="402"/>
      <c r="K599" s="402"/>
      <c r="L599" s="402"/>
      <c r="M599" s="402"/>
      <c r="N599" s="402"/>
      <c r="O599" s="402"/>
      <c r="P599" s="402"/>
      <c r="Q599" s="402"/>
      <c r="R599" s="402"/>
      <c r="S599" s="402"/>
      <c r="T599" s="402"/>
      <c r="U599" s="402"/>
      <c r="V599" s="402"/>
      <c r="W599" s="402"/>
      <c r="X599" s="402"/>
      <c r="Y599" s="402"/>
      <c r="Z599" s="402"/>
    </row>
    <row r="600" ht="14.25" customHeight="1">
      <c r="A600" s="697">
        <v>45512.0</v>
      </c>
      <c r="B600" s="863" t="s">
        <v>4807</v>
      </c>
      <c r="C600" s="863" t="s">
        <v>4978</v>
      </c>
      <c r="D600" s="867"/>
      <c r="E600" s="689" t="s">
        <v>5108</v>
      </c>
      <c r="F600" s="865">
        <v>3091.76</v>
      </c>
      <c r="G600" s="403"/>
      <c r="H600" s="349" t="s">
        <v>5172</v>
      </c>
      <c r="I600" s="866" t="str">
        <f t="shared" si="10"/>
        <v>NOT PAID</v>
      </c>
      <c r="J600" s="402"/>
      <c r="K600" s="402"/>
      <c r="L600" s="402"/>
      <c r="M600" s="402"/>
      <c r="N600" s="402"/>
      <c r="O600" s="402"/>
      <c r="P600" s="402"/>
      <c r="Q600" s="402"/>
      <c r="R600" s="402"/>
      <c r="S600" s="402"/>
      <c r="T600" s="402"/>
      <c r="U600" s="402"/>
      <c r="V600" s="402"/>
      <c r="W600" s="402"/>
      <c r="X600" s="402"/>
      <c r="Y600" s="402"/>
      <c r="Z600" s="402"/>
    </row>
    <row r="601" ht="14.25" customHeight="1">
      <c r="A601" s="697">
        <v>45512.0</v>
      </c>
      <c r="B601" s="863" t="s">
        <v>4809</v>
      </c>
      <c r="C601" s="863" t="s">
        <v>4909</v>
      </c>
      <c r="D601" s="867"/>
      <c r="E601" s="689" t="s">
        <v>5108</v>
      </c>
      <c r="F601" s="865">
        <v>5788.07</v>
      </c>
      <c r="G601" s="403"/>
      <c r="H601" s="349" t="s">
        <v>5172</v>
      </c>
      <c r="I601" s="866" t="str">
        <f t="shared" si="10"/>
        <v>NOT PAID</v>
      </c>
      <c r="J601" s="402"/>
      <c r="K601" s="402"/>
      <c r="L601" s="402"/>
      <c r="M601" s="402"/>
      <c r="N601" s="402"/>
      <c r="O601" s="402"/>
      <c r="P601" s="402"/>
      <c r="Q601" s="402"/>
      <c r="R601" s="402"/>
      <c r="S601" s="402"/>
      <c r="T601" s="402"/>
      <c r="U601" s="402"/>
      <c r="V601" s="402"/>
      <c r="W601" s="402"/>
      <c r="X601" s="402"/>
      <c r="Y601" s="402"/>
      <c r="Z601" s="402"/>
    </row>
    <row r="602" ht="14.25" customHeight="1">
      <c r="A602" s="697">
        <v>45512.0</v>
      </c>
      <c r="B602" s="863" t="s">
        <v>5033</v>
      </c>
      <c r="C602" s="863" t="s">
        <v>5034</v>
      </c>
      <c r="D602" s="867"/>
      <c r="E602" s="689" t="s">
        <v>5108</v>
      </c>
      <c r="F602" s="865">
        <v>50307.51</v>
      </c>
      <c r="G602" s="403"/>
      <c r="H602" s="349" t="s">
        <v>5172</v>
      </c>
      <c r="I602" s="866" t="str">
        <f t="shared" si="10"/>
        <v>NOT PAID</v>
      </c>
      <c r="J602" s="402"/>
      <c r="K602" s="402"/>
      <c r="L602" s="402"/>
      <c r="M602" s="402"/>
      <c r="N602" s="402"/>
      <c r="O602" s="402"/>
      <c r="P602" s="402"/>
      <c r="Q602" s="402"/>
      <c r="R602" s="402"/>
      <c r="S602" s="402"/>
      <c r="T602" s="402"/>
      <c r="U602" s="402"/>
      <c r="V602" s="402"/>
      <c r="W602" s="402"/>
      <c r="X602" s="402"/>
      <c r="Y602" s="402"/>
      <c r="Z602" s="402"/>
    </row>
    <row r="603" ht="14.25" customHeight="1">
      <c r="A603" s="697">
        <v>45512.0</v>
      </c>
      <c r="B603" s="863" t="s">
        <v>5143</v>
      </c>
      <c r="C603" s="863" t="s">
        <v>5174</v>
      </c>
      <c r="D603" s="867"/>
      <c r="E603" s="689" t="s">
        <v>5107</v>
      </c>
      <c r="F603" s="865">
        <v>4135.59</v>
      </c>
      <c r="G603" s="403"/>
      <c r="H603" s="349" t="s">
        <v>5172</v>
      </c>
      <c r="I603" s="866" t="str">
        <f t="shared" si="10"/>
        <v>NOT PAID</v>
      </c>
      <c r="J603" s="402"/>
      <c r="K603" s="402"/>
      <c r="L603" s="402"/>
      <c r="M603" s="402"/>
      <c r="N603" s="402"/>
      <c r="O603" s="402"/>
      <c r="P603" s="402"/>
      <c r="Q603" s="402"/>
      <c r="R603" s="402"/>
      <c r="S603" s="402"/>
      <c r="T603" s="402"/>
      <c r="U603" s="402"/>
      <c r="V603" s="402"/>
      <c r="W603" s="402"/>
      <c r="X603" s="402"/>
      <c r="Y603" s="402"/>
      <c r="Z603" s="402"/>
    </row>
    <row r="604" ht="14.25" customHeight="1">
      <c r="A604" s="697">
        <v>45512.0</v>
      </c>
      <c r="B604" s="863" t="s">
        <v>4787</v>
      </c>
      <c r="C604" s="863" t="s">
        <v>4929</v>
      </c>
      <c r="D604" s="867"/>
      <c r="E604" s="689" t="s">
        <v>5099</v>
      </c>
      <c r="F604" s="865">
        <v>2895.43</v>
      </c>
      <c r="G604" s="403"/>
      <c r="H604" s="349" t="s">
        <v>5172</v>
      </c>
      <c r="I604" s="866" t="str">
        <f t="shared" si="10"/>
        <v>NOT PAID</v>
      </c>
      <c r="J604" s="402"/>
      <c r="K604" s="402"/>
      <c r="L604" s="402"/>
      <c r="M604" s="402"/>
      <c r="N604" s="402"/>
      <c r="O604" s="402"/>
      <c r="P604" s="402"/>
      <c r="Q604" s="402"/>
      <c r="R604" s="402"/>
      <c r="S604" s="402"/>
      <c r="T604" s="402"/>
      <c r="U604" s="402"/>
      <c r="V604" s="402"/>
      <c r="W604" s="402"/>
      <c r="X604" s="402"/>
      <c r="Y604" s="402"/>
      <c r="Z604" s="402"/>
    </row>
    <row r="605" ht="14.25" customHeight="1">
      <c r="A605" s="697">
        <v>45512.0</v>
      </c>
      <c r="B605" s="863" t="s">
        <v>5035</v>
      </c>
      <c r="C605" s="863" t="s">
        <v>5036</v>
      </c>
      <c r="D605" s="867"/>
      <c r="E605" s="689" t="s">
        <v>5098</v>
      </c>
      <c r="F605" s="865">
        <v>19462.68</v>
      </c>
      <c r="G605" s="403"/>
      <c r="H605" s="349" t="s">
        <v>5172</v>
      </c>
      <c r="I605" s="866" t="str">
        <f t="shared" si="10"/>
        <v>NOT PAID</v>
      </c>
      <c r="J605" s="402"/>
      <c r="K605" s="402"/>
      <c r="L605" s="402"/>
      <c r="M605" s="402"/>
      <c r="N605" s="402"/>
      <c r="O605" s="402"/>
      <c r="P605" s="402"/>
      <c r="Q605" s="402"/>
      <c r="R605" s="402"/>
      <c r="S605" s="402"/>
      <c r="T605" s="402"/>
      <c r="U605" s="402"/>
      <c r="V605" s="402"/>
      <c r="W605" s="402"/>
      <c r="X605" s="402"/>
      <c r="Y605" s="402"/>
      <c r="Z605" s="402"/>
    </row>
    <row r="606" ht="14.25" customHeight="1">
      <c r="A606" s="697">
        <v>45512.0</v>
      </c>
      <c r="B606" s="863" t="s">
        <v>4833</v>
      </c>
      <c r="C606" s="863" t="s">
        <v>4910</v>
      </c>
      <c r="D606" s="867"/>
      <c r="E606" s="689" t="s">
        <v>5161</v>
      </c>
      <c r="F606" s="865">
        <v>160850.46</v>
      </c>
      <c r="G606" s="403"/>
      <c r="H606" s="349" t="s">
        <v>710</v>
      </c>
      <c r="I606" s="866" t="str">
        <f t="shared" si="10"/>
        <v>NOT PAID</v>
      </c>
      <c r="J606" s="402"/>
      <c r="K606" s="402"/>
      <c r="L606" s="402"/>
      <c r="M606" s="402"/>
      <c r="N606" s="402"/>
      <c r="O606" s="402"/>
      <c r="P606" s="402"/>
      <c r="Q606" s="402"/>
      <c r="R606" s="402"/>
      <c r="S606" s="402"/>
      <c r="T606" s="402"/>
      <c r="U606" s="402"/>
      <c r="V606" s="402"/>
      <c r="W606" s="402"/>
      <c r="X606" s="402"/>
      <c r="Y606" s="402"/>
      <c r="Z606" s="402"/>
    </row>
    <row r="607" ht="14.25" customHeight="1">
      <c r="A607" s="697">
        <v>45512.0</v>
      </c>
      <c r="B607" s="863" t="s">
        <v>4811</v>
      </c>
      <c r="C607" s="863" t="s">
        <v>4859</v>
      </c>
      <c r="D607" s="867"/>
      <c r="E607" s="689" t="s">
        <v>5107</v>
      </c>
      <c r="F607" s="865">
        <v>8085.55</v>
      </c>
      <c r="G607" s="403"/>
      <c r="H607" s="349" t="s">
        <v>2200</v>
      </c>
      <c r="I607" s="866" t="str">
        <f t="shared" si="10"/>
        <v>NOT PAID</v>
      </c>
      <c r="J607" s="402"/>
      <c r="K607" s="402"/>
      <c r="L607" s="402"/>
      <c r="M607" s="402"/>
      <c r="N607" s="402"/>
      <c r="O607" s="402"/>
      <c r="P607" s="402"/>
      <c r="Q607" s="402"/>
      <c r="R607" s="402"/>
      <c r="S607" s="402"/>
      <c r="T607" s="402"/>
      <c r="U607" s="402"/>
      <c r="V607" s="402"/>
      <c r="W607" s="402"/>
      <c r="X607" s="402"/>
      <c r="Y607" s="402"/>
      <c r="Z607" s="402"/>
    </row>
    <row r="608" ht="14.25" customHeight="1">
      <c r="A608" s="697">
        <v>45512.0</v>
      </c>
      <c r="B608" s="863" t="s">
        <v>4815</v>
      </c>
      <c r="C608" s="863" t="s">
        <v>4859</v>
      </c>
      <c r="D608" s="867"/>
      <c r="E608" s="689" t="s">
        <v>5107</v>
      </c>
      <c r="F608" s="865">
        <v>30151.86</v>
      </c>
      <c r="G608" s="403"/>
      <c r="H608" s="349" t="s">
        <v>2200</v>
      </c>
      <c r="I608" s="866" t="str">
        <f t="shared" si="10"/>
        <v>NOT PAID</v>
      </c>
      <c r="J608" s="402"/>
      <c r="K608" s="402"/>
      <c r="L608" s="402"/>
      <c r="M608" s="402"/>
      <c r="N608" s="402"/>
      <c r="O608" s="402"/>
      <c r="P608" s="402"/>
      <c r="Q608" s="402"/>
      <c r="R608" s="402"/>
      <c r="S608" s="402"/>
      <c r="T608" s="402"/>
      <c r="U608" s="402"/>
      <c r="V608" s="402"/>
      <c r="W608" s="402"/>
      <c r="X608" s="402"/>
      <c r="Y608" s="402"/>
      <c r="Z608" s="402"/>
    </row>
    <row r="609" ht="14.25" customHeight="1">
      <c r="A609" s="697"/>
      <c r="B609" s="863"/>
      <c r="C609" s="863"/>
      <c r="D609" s="867"/>
      <c r="E609" s="868"/>
      <c r="F609" s="865"/>
      <c r="G609" s="403"/>
      <c r="H609" s="402"/>
      <c r="I609" s="866" t="str">
        <f t="shared" si="10"/>
        <v>FULLY PAID</v>
      </c>
      <c r="J609" s="402"/>
      <c r="K609" s="402"/>
      <c r="L609" s="402"/>
      <c r="M609" s="402"/>
      <c r="N609" s="402"/>
      <c r="O609" s="402"/>
      <c r="P609" s="402"/>
      <c r="Q609" s="402"/>
      <c r="R609" s="402"/>
      <c r="S609" s="402"/>
      <c r="T609" s="402"/>
      <c r="U609" s="402"/>
      <c r="V609" s="402"/>
      <c r="W609" s="402"/>
      <c r="X609" s="402"/>
      <c r="Y609" s="402"/>
      <c r="Z609" s="402"/>
    </row>
    <row r="610" ht="14.25" customHeight="1">
      <c r="A610" s="697"/>
      <c r="B610" s="863"/>
      <c r="C610" s="863"/>
      <c r="D610" s="867"/>
      <c r="E610" s="868"/>
      <c r="F610" s="865"/>
      <c r="G610" s="403"/>
      <c r="H610" s="402"/>
      <c r="I610" s="866" t="str">
        <f t="shared" si="10"/>
        <v>FULLY PAID</v>
      </c>
      <c r="J610" s="402"/>
      <c r="K610" s="402"/>
      <c r="L610" s="402"/>
      <c r="M610" s="402"/>
      <c r="N610" s="402"/>
      <c r="O610" s="402"/>
      <c r="P610" s="402"/>
      <c r="Q610" s="402"/>
      <c r="R610" s="402"/>
      <c r="S610" s="402"/>
      <c r="T610" s="402"/>
      <c r="U610" s="402"/>
      <c r="V610" s="402"/>
      <c r="W610" s="402"/>
      <c r="X610" s="402"/>
      <c r="Y610" s="402"/>
      <c r="Z610" s="402"/>
    </row>
    <row r="611" ht="14.25" customHeight="1">
      <c r="A611" s="697">
        <v>45512.0</v>
      </c>
      <c r="B611" s="863" t="s">
        <v>4547</v>
      </c>
      <c r="C611" s="863" t="s">
        <v>4836</v>
      </c>
      <c r="D611" s="867" t="s">
        <v>59</v>
      </c>
      <c r="E611" s="689" t="s">
        <v>578</v>
      </c>
      <c r="F611" s="865">
        <v>635602.51</v>
      </c>
      <c r="G611" s="403"/>
      <c r="H611" s="402"/>
      <c r="I611" s="866" t="str">
        <f t="shared" si="10"/>
        <v>NOT PAID</v>
      </c>
      <c r="J611" s="402"/>
      <c r="K611" s="402"/>
      <c r="L611" s="402"/>
      <c r="M611" s="402"/>
      <c r="N611" s="402"/>
      <c r="O611" s="402"/>
      <c r="P611" s="402"/>
      <c r="Q611" s="402"/>
      <c r="R611" s="402"/>
      <c r="S611" s="402"/>
      <c r="T611" s="402"/>
      <c r="U611" s="402"/>
      <c r="V611" s="402"/>
      <c r="W611" s="402"/>
      <c r="X611" s="402"/>
      <c r="Y611" s="402"/>
      <c r="Z611" s="402"/>
    </row>
    <row r="612" ht="14.25" customHeight="1">
      <c r="A612" s="697">
        <v>45512.0</v>
      </c>
      <c r="B612" s="863" t="s">
        <v>4919</v>
      </c>
      <c r="C612" s="863" t="s">
        <v>4945</v>
      </c>
      <c r="D612" s="867" t="s">
        <v>75</v>
      </c>
      <c r="E612" s="689" t="s">
        <v>578</v>
      </c>
      <c r="F612" s="865">
        <v>306751.35</v>
      </c>
      <c r="G612" s="403"/>
      <c r="H612" s="349" t="s">
        <v>5175</v>
      </c>
      <c r="I612" s="866" t="str">
        <f t="shared" si="10"/>
        <v>NOT PAID</v>
      </c>
      <c r="J612" s="402"/>
      <c r="K612" s="402"/>
      <c r="L612" s="402"/>
      <c r="M612" s="402"/>
      <c r="N612" s="402"/>
      <c r="O612" s="402"/>
      <c r="P612" s="402"/>
      <c r="Q612" s="402"/>
      <c r="R612" s="402"/>
      <c r="S612" s="402"/>
      <c r="T612" s="402"/>
      <c r="U612" s="402"/>
      <c r="V612" s="402"/>
      <c r="W612" s="402"/>
      <c r="X612" s="402"/>
      <c r="Y612" s="402"/>
      <c r="Z612" s="402"/>
    </row>
    <row r="613" ht="14.25" customHeight="1">
      <c r="A613" s="697">
        <v>45512.0</v>
      </c>
      <c r="B613" s="863" t="s">
        <v>4789</v>
      </c>
      <c r="C613" s="863" t="s">
        <v>4923</v>
      </c>
      <c r="D613" s="867" t="s">
        <v>59</v>
      </c>
      <c r="E613" s="689" t="s">
        <v>578</v>
      </c>
      <c r="F613" s="865">
        <v>13052.31</v>
      </c>
      <c r="G613" s="403"/>
      <c r="H613" s="349" t="s">
        <v>710</v>
      </c>
      <c r="I613" s="866" t="str">
        <f t="shared" si="10"/>
        <v>NOT PAID</v>
      </c>
      <c r="J613" s="402"/>
      <c r="K613" s="402"/>
      <c r="L613" s="402"/>
      <c r="M613" s="402"/>
      <c r="N613" s="402"/>
      <c r="O613" s="402"/>
      <c r="P613" s="402"/>
      <c r="Q613" s="402"/>
      <c r="R613" s="402"/>
      <c r="S613" s="402"/>
      <c r="T613" s="402"/>
      <c r="U613" s="402"/>
      <c r="V613" s="402"/>
      <c r="W613" s="402"/>
      <c r="X613" s="402"/>
      <c r="Y613" s="402"/>
      <c r="Z613" s="402"/>
    </row>
    <row r="614" ht="14.25" customHeight="1">
      <c r="A614" s="697">
        <v>45512.0</v>
      </c>
      <c r="B614" s="863" t="s">
        <v>4828</v>
      </c>
      <c r="C614" s="863" t="s">
        <v>4829</v>
      </c>
      <c r="D614" s="867" t="s">
        <v>59</v>
      </c>
      <c r="E614" s="689" t="s">
        <v>273</v>
      </c>
      <c r="F614" s="865">
        <v>500000.0</v>
      </c>
      <c r="G614" s="403"/>
      <c r="H614" s="349" t="s">
        <v>5176</v>
      </c>
      <c r="I614" s="866" t="str">
        <f t="shared" si="10"/>
        <v>NOT PAID</v>
      </c>
      <c r="J614" s="402"/>
      <c r="K614" s="402"/>
      <c r="L614" s="402"/>
      <c r="M614" s="402"/>
      <c r="N614" s="402"/>
      <c r="O614" s="402"/>
      <c r="P614" s="402"/>
      <c r="Q614" s="402"/>
      <c r="R614" s="402"/>
      <c r="S614" s="402"/>
      <c r="T614" s="402"/>
      <c r="U614" s="402"/>
      <c r="V614" s="402"/>
      <c r="W614" s="402"/>
      <c r="X614" s="402"/>
      <c r="Y614" s="402"/>
      <c r="Z614" s="402"/>
    </row>
    <row r="615" ht="14.25" customHeight="1">
      <c r="A615" s="697"/>
      <c r="B615" s="863"/>
      <c r="C615" s="863"/>
      <c r="D615" s="867"/>
      <c r="E615" s="868"/>
      <c r="F615" s="865"/>
      <c r="G615" s="403"/>
      <c r="H615" s="402"/>
      <c r="I615" s="866" t="str">
        <f t="shared" si="10"/>
        <v>FULLY PAID</v>
      </c>
      <c r="J615" s="402"/>
      <c r="K615" s="402"/>
      <c r="L615" s="402"/>
      <c r="M615" s="402"/>
      <c r="N615" s="402"/>
      <c r="O615" s="402"/>
      <c r="P615" s="402"/>
      <c r="Q615" s="402"/>
      <c r="R615" s="402"/>
      <c r="S615" s="402"/>
      <c r="T615" s="402"/>
      <c r="U615" s="402"/>
      <c r="V615" s="402"/>
      <c r="W615" s="402"/>
      <c r="X615" s="402"/>
      <c r="Y615" s="402"/>
      <c r="Z615" s="402"/>
    </row>
    <row r="616" ht="14.25" customHeight="1">
      <c r="A616" s="697"/>
      <c r="B616" s="863"/>
      <c r="C616" s="863"/>
      <c r="D616" s="867"/>
      <c r="E616" s="868"/>
      <c r="F616" s="865"/>
      <c r="G616" s="403"/>
      <c r="H616" s="402"/>
      <c r="I616" s="402"/>
      <c r="J616" s="402"/>
      <c r="K616" s="402"/>
      <c r="L616" s="402"/>
      <c r="M616" s="402"/>
      <c r="N616" s="402"/>
      <c r="O616" s="402"/>
      <c r="P616" s="402"/>
      <c r="Q616" s="402"/>
      <c r="R616" s="402"/>
      <c r="S616" s="402"/>
      <c r="T616" s="402"/>
      <c r="U616" s="402"/>
      <c r="V616" s="402"/>
      <c r="W616" s="402"/>
      <c r="X616" s="402"/>
      <c r="Y616" s="402"/>
      <c r="Z616" s="402"/>
    </row>
    <row r="617" ht="14.25" customHeight="1">
      <c r="A617" s="896" t="s">
        <v>2130</v>
      </c>
      <c r="B617" s="897" t="s">
        <v>39</v>
      </c>
      <c r="C617" s="896" t="s">
        <v>48</v>
      </c>
      <c r="D617" s="896" t="s">
        <v>49</v>
      </c>
      <c r="E617" s="898" t="s">
        <v>50</v>
      </c>
      <c r="F617" s="899" t="s">
        <v>2</v>
      </c>
      <c r="G617" s="896" t="s">
        <v>44</v>
      </c>
      <c r="H617" s="896" t="s">
        <v>45</v>
      </c>
      <c r="I617" s="866" t="str">
        <f t="shared" ref="I617:I781" si="11">IF(G617&gt;=F617,"FULLY PAID",IF(G617=0,"NOT PAID","PARTIALLY PAID"))</f>
        <v>FULLY PAID</v>
      </c>
      <c r="J617" s="402"/>
      <c r="K617" s="402"/>
      <c r="L617" s="402"/>
      <c r="M617" s="402"/>
      <c r="N617" s="402"/>
      <c r="O617" s="402"/>
      <c r="P617" s="402"/>
      <c r="Q617" s="402"/>
      <c r="R617" s="402"/>
      <c r="S617" s="402"/>
      <c r="T617" s="402"/>
      <c r="U617" s="402"/>
      <c r="V617" s="402"/>
      <c r="W617" s="402"/>
      <c r="X617" s="402"/>
      <c r="Y617" s="402"/>
      <c r="Z617" s="402"/>
    </row>
    <row r="618" ht="14.25" customHeight="1">
      <c r="A618" s="697">
        <v>45513.0</v>
      </c>
      <c r="B618" s="878" t="s">
        <v>5051</v>
      </c>
      <c r="C618" s="878" t="s">
        <v>5052</v>
      </c>
      <c r="D618" s="883" t="s">
        <v>54</v>
      </c>
      <c r="E618" s="883" t="s">
        <v>5000</v>
      </c>
      <c r="F618" s="881">
        <v>996.49</v>
      </c>
      <c r="G618" s="413">
        <v>1000.0</v>
      </c>
      <c r="H618" s="349" t="s">
        <v>267</v>
      </c>
      <c r="I618" s="866" t="str">
        <f t="shared" si="11"/>
        <v>FULLY PAID</v>
      </c>
      <c r="J618" s="402"/>
      <c r="K618" s="402"/>
      <c r="L618" s="402"/>
      <c r="M618" s="402"/>
      <c r="N618" s="402"/>
      <c r="O618" s="402"/>
      <c r="P618" s="402"/>
      <c r="Q618" s="402"/>
      <c r="R618" s="402"/>
      <c r="S618" s="402"/>
      <c r="T618" s="402"/>
      <c r="U618" s="402"/>
      <c r="V618" s="402"/>
      <c r="W618" s="402"/>
      <c r="X618" s="402"/>
      <c r="Y618" s="402"/>
      <c r="Z618" s="402"/>
    </row>
    <row r="619" ht="14.25" customHeight="1">
      <c r="A619" s="697">
        <v>45513.0</v>
      </c>
      <c r="B619" s="878" t="s">
        <v>4864</v>
      </c>
      <c r="C619" s="878" t="s">
        <v>4865</v>
      </c>
      <c r="D619" s="883" t="s">
        <v>54</v>
      </c>
      <c r="E619" s="883" t="s">
        <v>5000</v>
      </c>
      <c r="F619" s="881">
        <v>7072.53</v>
      </c>
      <c r="G619" s="403"/>
      <c r="H619" s="349" t="s">
        <v>5177</v>
      </c>
      <c r="I619" s="866" t="str">
        <f t="shared" si="11"/>
        <v>NOT PAID</v>
      </c>
      <c r="J619" s="402"/>
      <c r="K619" s="402"/>
      <c r="L619" s="402"/>
      <c r="M619" s="402"/>
      <c r="N619" s="402"/>
      <c r="O619" s="402"/>
      <c r="P619" s="402"/>
      <c r="Q619" s="402"/>
      <c r="R619" s="402"/>
      <c r="S619" s="402"/>
      <c r="T619" s="402"/>
      <c r="U619" s="402"/>
      <c r="V619" s="402"/>
      <c r="W619" s="402"/>
      <c r="X619" s="402"/>
      <c r="Y619" s="402"/>
      <c r="Z619" s="402"/>
    </row>
    <row r="620" ht="14.25" customHeight="1">
      <c r="A620" s="697">
        <v>45513.0</v>
      </c>
      <c r="B620" s="878" t="s">
        <v>5085</v>
      </c>
      <c r="C620" s="878" t="s">
        <v>5036</v>
      </c>
      <c r="D620" s="883" t="s">
        <v>75</v>
      </c>
      <c r="E620" s="689" t="s">
        <v>578</v>
      </c>
      <c r="F620" s="881">
        <v>289998.51</v>
      </c>
      <c r="G620" s="413">
        <v>222500.0</v>
      </c>
      <c r="H620" s="349" t="s">
        <v>5010</v>
      </c>
      <c r="I620" s="866" t="str">
        <f t="shared" si="11"/>
        <v>PARTIALLY PAID</v>
      </c>
      <c r="J620" s="402"/>
      <c r="K620" s="402"/>
      <c r="L620" s="402"/>
      <c r="M620" s="402"/>
      <c r="N620" s="402"/>
      <c r="O620" s="402"/>
      <c r="P620" s="402"/>
      <c r="Q620" s="402"/>
      <c r="R620" s="402"/>
      <c r="S620" s="402"/>
      <c r="T620" s="402"/>
      <c r="U620" s="402"/>
      <c r="V620" s="402"/>
      <c r="W620" s="402"/>
      <c r="X620" s="402"/>
      <c r="Y620" s="402"/>
      <c r="Z620" s="402"/>
    </row>
    <row r="621" ht="14.25" customHeight="1">
      <c r="A621" s="697">
        <v>45513.0</v>
      </c>
      <c r="B621" s="878" t="s">
        <v>5097</v>
      </c>
      <c r="C621" s="878" t="s">
        <v>5076</v>
      </c>
      <c r="D621" s="883" t="s">
        <v>54</v>
      </c>
      <c r="E621" s="689" t="s">
        <v>5067</v>
      </c>
      <c r="F621" s="881">
        <v>36916.85</v>
      </c>
      <c r="G621" s="403"/>
      <c r="H621" s="349" t="s">
        <v>5147</v>
      </c>
      <c r="I621" s="866" t="str">
        <f t="shared" si="11"/>
        <v>NOT PAID</v>
      </c>
      <c r="J621" s="402"/>
      <c r="K621" s="402"/>
      <c r="L621" s="402"/>
      <c r="M621" s="402"/>
      <c r="N621" s="402"/>
      <c r="O621" s="402"/>
      <c r="P621" s="402"/>
      <c r="Q621" s="402"/>
      <c r="R621" s="402"/>
      <c r="S621" s="402"/>
      <c r="T621" s="402"/>
      <c r="U621" s="402"/>
      <c r="V621" s="402"/>
      <c r="W621" s="402"/>
      <c r="X621" s="402"/>
      <c r="Y621" s="402"/>
      <c r="Z621" s="402"/>
    </row>
    <row r="622" ht="14.25" customHeight="1">
      <c r="A622" s="697">
        <v>45513.0</v>
      </c>
      <c r="B622" s="878" t="s">
        <v>4767</v>
      </c>
      <c r="C622" s="878" t="s">
        <v>4861</v>
      </c>
      <c r="D622" s="883" t="s">
        <v>59</v>
      </c>
      <c r="E622" s="883" t="s">
        <v>578</v>
      </c>
      <c r="F622" s="881">
        <v>96043.94</v>
      </c>
      <c r="G622" s="403"/>
      <c r="H622" s="349" t="s">
        <v>5178</v>
      </c>
      <c r="I622" s="866" t="str">
        <f t="shared" si="11"/>
        <v>NOT PAID</v>
      </c>
      <c r="J622" s="402"/>
      <c r="K622" s="402"/>
      <c r="L622" s="402"/>
      <c r="M622" s="402"/>
      <c r="N622" s="402"/>
      <c r="O622" s="402"/>
      <c r="P622" s="402"/>
      <c r="Q622" s="402"/>
      <c r="R622" s="402"/>
      <c r="S622" s="402"/>
      <c r="T622" s="402"/>
      <c r="U622" s="402"/>
      <c r="V622" s="402"/>
      <c r="W622" s="402"/>
      <c r="X622" s="402"/>
      <c r="Y622" s="402"/>
      <c r="Z622" s="402"/>
    </row>
    <row r="623" ht="14.25" customHeight="1">
      <c r="A623" s="697">
        <v>45513.0</v>
      </c>
      <c r="B623" s="878" t="s">
        <v>5179</v>
      </c>
      <c r="C623" s="878" t="s">
        <v>5180</v>
      </c>
      <c r="D623" s="883" t="s">
        <v>54</v>
      </c>
      <c r="E623" s="883" t="s">
        <v>578</v>
      </c>
      <c r="F623" s="881">
        <v>20000.0</v>
      </c>
      <c r="G623" s="403"/>
      <c r="H623" s="349" t="s">
        <v>710</v>
      </c>
      <c r="I623" s="866" t="str">
        <f t="shared" si="11"/>
        <v>NOT PAID</v>
      </c>
      <c r="J623" s="402"/>
      <c r="K623" s="402"/>
      <c r="L623" s="402"/>
      <c r="M623" s="402"/>
      <c r="N623" s="402"/>
      <c r="O623" s="402"/>
      <c r="P623" s="402"/>
      <c r="Q623" s="402"/>
      <c r="R623" s="402"/>
      <c r="S623" s="402"/>
      <c r="T623" s="402"/>
      <c r="U623" s="402"/>
      <c r="V623" s="402"/>
      <c r="W623" s="402"/>
      <c r="X623" s="402"/>
      <c r="Y623" s="402"/>
      <c r="Z623" s="402"/>
    </row>
    <row r="624" ht="14.25" customHeight="1">
      <c r="A624" s="697">
        <v>45513.0</v>
      </c>
      <c r="B624" s="878" t="s">
        <v>4809</v>
      </c>
      <c r="C624" s="878" t="s">
        <v>4909</v>
      </c>
      <c r="D624" s="883" t="s">
        <v>54</v>
      </c>
      <c r="E624" s="883" t="s">
        <v>5067</v>
      </c>
      <c r="F624" s="881">
        <v>5788.07</v>
      </c>
      <c r="G624" s="403"/>
      <c r="H624" s="349" t="s">
        <v>710</v>
      </c>
      <c r="I624" s="866" t="str">
        <f t="shared" si="11"/>
        <v>NOT PAID</v>
      </c>
      <c r="J624" s="402"/>
      <c r="K624" s="402"/>
      <c r="L624" s="402"/>
      <c r="M624" s="402"/>
      <c r="N624" s="402"/>
      <c r="O624" s="402"/>
      <c r="P624" s="402"/>
      <c r="Q624" s="402"/>
      <c r="R624" s="402"/>
      <c r="S624" s="402"/>
      <c r="T624" s="402"/>
      <c r="U624" s="402"/>
      <c r="V624" s="402"/>
      <c r="W624" s="402"/>
      <c r="X624" s="402"/>
      <c r="Y624" s="402"/>
      <c r="Z624" s="402"/>
    </row>
    <row r="625" ht="14.25" customHeight="1">
      <c r="A625" s="697">
        <v>45513.0</v>
      </c>
      <c r="B625" s="878" t="s">
        <v>5033</v>
      </c>
      <c r="C625" s="878" t="s">
        <v>5034</v>
      </c>
      <c r="D625" s="883" t="s">
        <v>54</v>
      </c>
      <c r="E625" s="883" t="s">
        <v>578</v>
      </c>
      <c r="F625" s="881">
        <v>50307.51</v>
      </c>
      <c r="G625" s="403"/>
      <c r="H625" s="349" t="s">
        <v>5181</v>
      </c>
      <c r="I625" s="866" t="str">
        <f t="shared" si="11"/>
        <v>NOT PAID</v>
      </c>
      <c r="J625" s="402"/>
      <c r="K625" s="402"/>
      <c r="L625" s="402"/>
      <c r="M625" s="402"/>
      <c r="N625" s="402"/>
      <c r="O625" s="402"/>
      <c r="P625" s="402"/>
      <c r="Q625" s="402"/>
      <c r="R625" s="402"/>
      <c r="S625" s="402"/>
      <c r="T625" s="402"/>
      <c r="U625" s="402"/>
      <c r="V625" s="402"/>
      <c r="W625" s="402"/>
      <c r="X625" s="402"/>
      <c r="Y625" s="402"/>
      <c r="Z625" s="402"/>
    </row>
    <row r="626" ht="14.25" customHeight="1">
      <c r="A626" s="697">
        <v>45513.0</v>
      </c>
      <c r="B626" s="878" t="s">
        <v>5035</v>
      </c>
      <c r="C626" s="878" t="s">
        <v>5036</v>
      </c>
      <c r="D626" s="883" t="s">
        <v>54</v>
      </c>
      <c r="E626" s="883" t="s">
        <v>5067</v>
      </c>
      <c r="F626" s="881">
        <v>19462.68</v>
      </c>
      <c r="G626" s="413">
        <v>19000.0</v>
      </c>
      <c r="H626" s="349" t="s">
        <v>5182</v>
      </c>
      <c r="I626" s="866" t="str">
        <f t="shared" si="11"/>
        <v>PARTIALLY PAID</v>
      </c>
      <c r="J626" s="402"/>
      <c r="K626" s="402"/>
      <c r="L626" s="402"/>
      <c r="M626" s="402"/>
      <c r="N626" s="402"/>
      <c r="O626" s="402"/>
      <c r="P626" s="402"/>
      <c r="Q626" s="402"/>
      <c r="R626" s="402"/>
      <c r="S626" s="402"/>
      <c r="T626" s="402"/>
      <c r="U626" s="402"/>
      <c r="V626" s="402"/>
      <c r="W626" s="402"/>
      <c r="X626" s="402"/>
      <c r="Y626" s="402"/>
      <c r="Z626" s="402"/>
    </row>
    <row r="627" ht="14.25" customHeight="1">
      <c r="A627" s="697">
        <v>45513.0</v>
      </c>
      <c r="B627" s="878" t="s">
        <v>4833</v>
      </c>
      <c r="C627" s="878" t="s">
        <v>4910</v>
      </c>
      <c r="D627" s="883" t="s">
        <v>54</v>
      </c>
      <c r="E627" s="883" t="s">
        <v>5000</v>
      </c>
      <c r="F627" s="881">
        <v>160850.46</v>
      </c>
      <c r="G627" s="403"/>
      <c r="H627" s="349" t="s">
        <v>5149</v>
      </c>
      <c r="I627" s="866" t="str">
        <f t="shared" si="11"/>
        <v>NOT PAID</v>
      </c>
      <c r="J627" s="402"/>
      <c r="K627" s="402"/>
      <c r="L627" s="402"/>
      <c r="M627" s="402"/>
      <c r="N627" s="402"/>
      <c r="O627" s="402"/>
      <c r="P627" s="402"/>
      <c r="Q627" s="402"/>
      <c r="R627" s="402"/>
      <c r="S627" s="402"/>
      <c r="T627" s="402"/>
      <c r="U627" s="402"/>
      <c r="V627" s="402"/>
      <c r="W627" s="402"/>
      <c r="X627" s="402"/>
      <c r="Y627" s="402"/>
      <c r="Z627" s="402"/>
    </row>
    <row r="628" ht="14.25" customHeight="1">
      <c r="A628" s="697">
        <v>45513.0</v>
      </c>
      <c r="B628" s="878" t="s">
        <v>4791</v>
      </c>
      <c r="C628" s="878" t="s">
        <v>4912</v>
      </c>
      <c r="D628" s="883" t="s">
        <v>54</v>
      </c>
      <c r="E628" s="883" t="s">
        <v>5000</v>
      </c>
      <c r="F628" s="881">
        <v>14687.3</v>
      </c>
      <c r="G628" s="403"/>
      <c r="H628" s="349" t="s">
        <v>5080</v>
      </c>
      <c r="I628" s="866" t="str">
        <f t="shared" si="11"/>
        <v>NOT PAID</v>
      </c>
      <c r="J628" s="402"/>
      <c r="K628" s="402"/>
      <c r="L628" s="402"/>
      <c r="M628" s="402"/>
      <c r="N628" s="402"/>
      <c r="O628" s="402"/>
      <c r="P628" s="402"/>
      <c r="Q628" s="402"/>
      <c r="R628" s="402"/>
      <c r="S628" s="402"/>
      <c r="T628" s="402"/>
      <c r="U628" s="402"/>
      <c r="V628" s="402"/>
      <c r="W628" s="402"/>
      <c r="X628" s="402"/>
      <c r="Y628" s="402"/>
      <c r="Z628" s="402"/>
    </row>
    <row r="629" ht="14.25" customHeight="1">
      <c r="A629" s="697">
        <v>45513.0</v>
      </c>
      <c r="B629" s="878" t="s">
        <v>5183</v>
      </c>
      <c r="C629" s="878" t="s">
        <v>5165</v>
      </c>
      <c r="D629" s="883" t="s">
        <v>54</v>
      </c>
      <c r="E629" s="883" t="s">
        <v>5000</v>
      </c>
      <c r="F629" s="881">
        <v>79543.05</v>
      </c>
      <c r="G629" s="413">
        <v>80000.0</v>
      </c>
      <c r="H629" s="349" t="s">
        <v>710</v>
      </c>
      <c r="I629" s="866" t="str">
        <f t="shared" si="11"/>
        <v>FULLY PAID</v>
      </c>
      <c r="J629" s="402"/>
      <c r="K629" s="402"/>
      <c r="L629" s="402"/>
      <c r="M629" s="402"/>
      <c r="N629" s="402"/>
      <c r="O629" s="402"/>
      <c r="P629" s="402"/>
      <c r="Q629" s="402"/>
      <c r="R629" s="402"/>
      <c r="S629" s="402"/>
      <c r="T629" s="402"/>
      <c r="U629" s="402"/>
      <c r="V629" s="402"/>
      <c r="W629" s="402"/>
      <c r="X629" s="402"/>
      <c r="Y629" s="402"/>
      <c r="Z629" s="402"/>
    </row>
    <row r="630" ht="14.25" customHeight="1">
      <c r="A630" s="697">
        <v>45513.0</v>
      </c>
      <c r="B630" s="878" t="s">
        <v>4815</v>
      </c>
      <c r="C630" s="878" t="s">
        <v>4859</v>
      </c>
      <c r="D630" s="883" t="s">
        <v>54</v>
      </c>
      <c r="E630" s="883" t="s">
        <v>5000</v>
      </c>
      <c r="F630" s="881">
        <v>30151.86</v>
      </c>
      <c r="G630" s="403"/>
      <c r="H630" s="349" t="s">
        <v>5184</v>
      </c>
      <c r="I630" s="866" t="str">
        <f t="shared" si="11"/>
        <v>NOT PAID</v>
      </c>
      <c r="J630" s="402"/>
      <c r="K630" s="402"/>
      <c r="L630" s="402"/>
      <c r="M630" s="402"/>
      <c r="N630" s="402"/>
      <c r="O630" s="402"/>
      <c r="P630" s="402"/>
      <c r="Q630" s="402"/>
      <c r="R630" s="402"/>
      <c r="S630" s="402"/>
      <c r="T630" s="402"/>
      <c r="U630" s="402"/>
      <c r="V630" s="402"/>
      <c r="W630" s="402"/>
      <c r="X630" s="402"/>
      <c r="Y630" s="402"/>
      <c r="Z630" s="402"/>
    </row>
    <row r="631" ht="14.25" customHeight="1">
      <c r="A631" s="697">
        <v>45513.0</v>
      </c>
      <c r="B631" s="878" t="s">
        <v>4990</v>
      </c>
      <c r="C631" s="878" t="s">
        <v>4991</v>
      </c>
      <c r="D631" s="883" t="s">
        <v>54</v>
      </c>
      <c r="E631" s="883" t="s">
        <v>5000</v>
      </c>
      <c r="F631" s="881">
        <v>27982.13</v>
      </c>
      <c r="G631" s="403"/>
      <c r="H631" s="349" t="s">
        <v>5162</v>
      </c>
      <c r="I631" s="866" t="str">
        <f t="shared" si="11"/>
        <v>NOT PAID</v>
      </c>
      <c r="J631" s="402"/>
      <c r="K631" s="402"/>
      <c r="L631" s="402"/>
      <c r="M631" s="402"/>
      <c r="N631" s="402"/>
      <c r="O631" s="402"/>
      <c r="P631" s="402"/>
      <c r="Q631" s="402"/>
      <c r="R631" s="402"/>
      <c r="S631" s="402"/>
      <c r="T631" s="402"/>
      <c r="U631" s="402"/>
      <c r="V631" s="402"/>
      <c r="W631" s="402"/>
      <c r="X631" s="402"/>
      <c r="Y631" s="402"/>
      <c r="Z631" s="402"/>
    </row>
    <row r="632" ht="14.25" customHeight="1">
      <c r="A632" s="697">
        <v>45513.0</v>
      </c>
      <c r="B632" s="878" t="s">
        <v>5185</v>
      </c>
      <c r="C632" s="878" t="s">
        <v>5186</v>
      </c>
      <c r="D632" s="883" t="s">
        <v>54</v>
      </c>
      <c r="E632" s="883" t="s">
        <v>5000</v>
      </c>
      <c r="F632" s="881">
        <v>17529.0</v>
      </c>
      <c r="G632" s="413">
        <v>17530.0</v>
      </c>
      <c r="H632" s="349" t="s">
        <v>267</v>
      </c>
      <c r="I632" s="866" t="str">
        <f t="shared" si="11"/>
        <v>FULLY PAID</v>
      </c>
      <c r="J632" s="402"/>
      <c r="K632" s="402"/>
      <c r="L632" s="402"/>
      <c r="M632" s="402"/>
      <c r="N632" s="402"/>
      <c r="O632" s="402"/>
      <c r="P632" s="402"/>
      <c r="Q632" s="402"/>
      <c r="R632" s="402"/>
      <c r="S632" s="402"/>
      <c r="T632" s="402"/>
      <c r="U632" s="402"/>
      <c r="V632" s="402"/>
      <c r="W632" s="402"/>
      <c r="X632" s="402"/>
      <c r="Y632" s="402"/>
      <c r="Z632" s="402"/>
    </row>
    <row r="633" ht="14.25" customHeight="1">
      <c r="A633" s="697">
        <v>45513.0</v>
      </c>
      <c r="B633" s="878" t="s">
        <v>4816</v>
      </c>
      <c r="C633" s="878" t="s">
        <v>5015</v>
      </c>
      <c r="D633" s="883" t="s">
        <v>54</v>
      </c>
      <c r="E633" s="883" t="s">
        <v>5000</v>
      </c>
      <c r="F633" s="881">
        <v>38764.1</v>
      </c>
      <c r="G633" s="403"/>
      <c r="H633" s="349" t="s">
        <v>5187</v>
      </c>
      <c r="I633" s="866" t="str">
        <f t="shared" si="11"/>
        <v>NOT PAID</v>
      </c>
      <c r="J633" s="402"/>
      <c r="K633" s="402"/>
      <c r="L633" s="402"/>
      <c r="M633" s="402"/>
      <c r="N633" s="402"/>
      <c r="O633" s="402"/>
      <c r="P633" s="402"/>
      <c r="Q633" s="402"/>
      <c r="R633" s="402"/>
      <c r="S633" s="402"/>
      <c r="T633" s="402"/>
      <c r="U633" s="402"/>
      <c r="V633" s="402"/>
      <c r="W633" s="402"/>
      <c r="X633" s="402"/>
      <c r="Y633" s="402"/>
      <c r="Z633" s="402"/>
    </row>
    <row r="634" ht="14.25" customHeight="1">
      <c r="A634" s="697">
        <v>45513.0</v>
      </c>
      <c r="B634" s="878" t="s">
        <v>4969</v>
      </c>
      <c r="C634" s="878" t="s">
        <v>4970</v>
      </c>
      <c r="D634" s="883" t="s">
        <v>59</v>
      </c>
      <c r="E634" s="883" t="s">
        <v>5000</v>
      </c>
      <c r="F634" s="881">
        <v>31357.13</v>
      </c>
      <c r="G634" s="403"/>
      <c r="H634" s="349" t="s">
        <v>5188</v>
      </c>
      <c r="I634" s="866" t="str">
        <f t="shared" si="11"/>
        <v>NOT PAID</v>
      </c>
      <c r="J634" s="402"/>
      <c r="K634" s="402"/>
      <c r="L634" s="402"/>
      <c r="M634" s="402"/>
      <c r="N634" s="402"/>
      <c r="O634" s="402"/>
      <c r="P634" s="402"/>
      <c r="Q634" s="402"/>
      <c r="R634" s="402"/>
      <c r="S634" s="402"/>
      <c r="T634" s="402"/>
      <c r="U634" s="402"/>
      <c r="V634" s="402"/>
      <c r="W634" s="402"/>
      <c r="X634" s="402"/>
      <c r="Y634" s="402"/>
      <c r="Z634" s="402"/>
    </row>
    <row r="635" ht="14.25" customHeight="1">
      <c r="A635" s="697">
        <v>45513.0</v>
      </c>
      <c r="B635" s="878" t="s">
        <v>4777</v>
      </c>
      <c r="C635" s="878" t="s">
        <v>4842</v>
      </c>
      <c r="D635" s="883" t="s">
        <v>54</v>
      </c>
      <c r="E635" s="883" t="s">
        <v>5000</v>
      </c>
      <c r="F635" s="881">
        <v>22775.08</v>
      </c>
      <c r="G635" s="403"/>
      <c r="H635" s="349" t="s">
        <v>5189</v>
      </c>
      <c r="I635" s="866" t="str">
        <f t="shared" si="11"/>
        <v>NOT PAID</v>
      </c>
      <c r="J635" s="402"/>
      <c r="K635" s="402"/>
      <c r="L635" s="402"/>
      <c r="M635" s="402"/>
      <c r="N635" s="402"/>
      <c r="O635" s="402"/>
      <c r="P635" s="402"/>
      <c r="Q635" s="402"/>
      <c r="R635" s="402"/>
      <c r="S635" s="402"/>
      <c r="T635" s="402"/>
      <c r="U635" s="402"/>
      <c r="V635" s="402"/>
      <c r="W635" s="402"/>
      <c r="X635" s="402"/>
      <c r="Y635" s="402"/>
      <c r="Z635" s="402"/>
    </row>
    <row r="636" ht="14.25" customHeight="1">
      <c r="A636" s="697">
        <v>45513.0</v>
      </c>
      <c r="B636" s="878" t="s">
        <v>4793</v>
      </c>
      <c r="C636" s="878" t="s">
        <v>4891</v>
      </c>
      <c r="D636" s="883" t="s">
        <v>54</v>
      </c>
      <c r="E636" s="883" t="s">
        <v>578</v>
      </c>
      <c r="F636" s="881">
        <v>26120.37</v>
      </c>
      <c r="G636" s="403"/>
      <c r="H636" s="349" t="s">
        <v>5190</v>
      </c>
      <c r="I636" s="866" t="str">
        <f t="shared" si="11"/>
        <v>NOT PAID</v>
      </c>
      <c r="J636" s="402"/>
      <c r="K636" s="402"/>
      <c r="L636" s="402"/>
      <c r="M636" s="402"/>
      <c r="N636" s="402"/>
      <c r="O636" s="402"/>
      <c r="P636" s="402"/>
      <c r="Q636" s="402"/>
      <c r="R636" s="402"/>
      <c r="S636" s="402"/>
      <c r="T636" s="402"/>
      <c r="U636" s="402"/>
      <c r="V636" s="402"/>
      <c r="W636" s="402"/>
      <c r="X636" s="402"/>
      <c r="Y636" s="402"/>
      <c r="Z636" s="402"/>
    </row>
    <row r="637" ht="14.25" customHeight="1">
      <c r="A637" s="697">
        <v>45513.0</v>
      </c>
      <c r="B637" s="878" t="s">
        <v>4795</v>
      </c>
      <c r="C637" s="878" t="s">
        <v>5012</v>
      </c>
      <c r="D637" s="883" t="s">
        <v>54</v>
      </c>
      <c r="E637" s="883" t="s">
        <v>5000</v>
      </c>
      <c r="F637" s="881">
        <v>45034.9</v>
      </c>
      <c r="G637" s="403"/>
      <c r="H637" s="349" t="s">
        <v>5191</v>
      </c>
      <c r="I637" s="866" t="str">
        <f t="shared" si="11"/>
        <v>NOT PAID</v>
      </c>
      <c r="J637" s="402"/>
      <c r="K637" s="402"/>
      <c r="L637" s="402"/>
      <c r="M637" s="402"/>
      <c r="N637" s="402"/>
      <c r="O637" s="402"/>
      <c r="P637" s="402"/>
      <c r="Q637" s="402"/>
      <c r="R637" s="402"/>
      <c r="S637" s="402"/>
      <c r="T637" s="402"/>
      <c r="U637" s="402"/>
      <c r="V637" s="402"/>
      <c r="W637" s="402"/>
      <c r="X637" s="402"/>
      <c r="Y637" s="402"/>
      <c r="Z637" s="402"/>
    </row>
    <row r="638" ht="14.25" customHeight="1">
      <c r="A638" s="697">
        <v>45513.0</v>
      </c>
      <c r="B638" s="878" t="s">
        <v>4983</v>
      </c>
      <c r="C638" s="878" t="s">
        <v>4860</v>
      </c>
      <c r="D638" s="883" t="s">
        <v>54</v>
      </c>
      <c r="E638" s="883" t="s">
        <v>5067</v>
      </c>
      <c r="F638" s="881">
        <v>49947.61</v>
      </c>
      <c r="G638" s="413">
        <v>40000.0</v>
      </c>
      <c r="H638" s="349" t="s">
        <v>5192</v>
      </c>
      <c r="I638" s="866" t="str">
        <f t="shared" si="11"/>
        <v>PARTIALLY PAID</v>
      </c>
      <c r="J638" s="402"/>
      <c r="K638" s="402"/>
      <c r="L638" s="402"/>
      <c r="M638" s="402"/>
      <c r="N638" s="402"/>
      <c r="O638" s="402"/>
      <c r="P638" s="402"/>
      <c r="Q638" s="402"/>
      <c r="R638" s="402"/>
      <c r="S638" s="402"/>
      <c r="T638" s="402"/>
      <c r="U638" s="402"/>
      <c r="V638" s="402"/>
      <c r="W638" s="402"/>
      <c r="X638" s="402"/>
      <c r="Y638" s="402"/>
      <c r="Z638" s="402"/>
    </row>
    <row r="639" ht="14.25" customHeight="1">
      <c r="A639" s="697">
        <v>45513.0</v>
      </c>
      <c r="B639" s="878" t="s">
        <v>5070</v>
      </c>
      <c r="C639" s="878" t="s">
        <v>4859</v>
      </c>
      <c r="D639" s="883" t="s">
        <v>75</v>
      </c>
      <c r="E639" s="883" t="s">
        <v>5000</v>
      </c>
      <c r="F639" s="881">
        <v>1650000.0</v>
      </c>
      <c r="G639" s="403"/>
      <c r="H639" s="349" t="s">
        <v>5193</v>
      </c>
      <c r="I639" s="866" t="str">
        <f t="shared" si="11"/>
        <v>NOT PAID</v>
      </c>
      <c r="J639" s="402"/>
      <c r="K639" s="402"/>
      <c r="L639" s="402"/>
      <c r="M639" s="402"/>
      <c r="N639" s="402"/>
      <c r="O639" s="402"/>
      <c r="P639" s="402"/>
      <c r="Q639" s="402"/>
      <c r="R639" s="402"/>
      <c r="S639" s="402"/>
      <c r="T639" s="402"/>
      <c r="U639" s="402"/>
      <c r="V639" s="402"/>
      <c r="W639" s="402"/>
      <c r="X639" s="402"/>
      <c r="Y639" s="402"/>
      <c r="Z639" s="402"/>
    </row>
    <row r="640" ht="14.25" customHeight="1">
      <c r="A640" s="697">
        <v>45513.0</v>
      </c>
      <c r="B640" s="962" t="s">
        <v>4775</v>
      </c>
      <c r="C640" s="962" t="s">
        <v>4922</v>
      </c>
      <c r="D640" s="963" t="s">
        <v>59</v>
      </c>
      <c r="E640" s="883" t="s">
        <v>578</v>
      </c>
      <c r="F640" s="881">
        <v>221500.0</v>
      </c>
      <c r="G640" s="413">
        <v>225000.0</v>
      </c>
      <c r="H640" s="349" t="s">
        <v>267</v>
      </c>
      <c r="I640" s="866" t="str">
        <f t="shared" si="11"/>
        <v>FULLY PAID</v>
      </c>
      <c r="J640" s="402"/>
      <c r="K640" s="402"/>
      <c r="L640" s="402"/>
      <c r="M640" s="402"/>
      <c r="N640" s="402"/>
      <c r="O640" s="402"/>
      <c r="P640" s="402"/>
      <c r="Q640" s="402"/>
      <c r="R640" s="402"/>
      <c r="S640" s="402"/>
      <c r="T640" s="402"/>
      <c r="U640" s="402"/>
      <c r="V640" s="402"/>
      <c r="W640" s="402"/>
      <c r="X640" s="402"/>
      <c r="Y640" s="402"/>
      <c r="Z640" s="402"/>
    </row>
    <row r="641" ht="14.25" customHeight="1">
      <c r="A641" s="697">
        <v>45513.0</v>
      </c>
      <c r="B641" s="878" t="s">
        <v>5075</v>
      </c>
      <c r="C641" s="878" t="s">
        <v>5076</v>
      </c>
      <c r="D641" s="883" t="s">
        <v>75</v>
      </c>
      <c r="E641" s="883" t="s">
        <v>5067</v>
      </c>
      <c r="F641" s="881">
        <v>67815.0</v>
      </c>
      <c r="G641" s="413">
        <v>5050.0</v>
      </c>
      <c r="H641" s="349" t="s">
        <v>5192</v>
      </c>
      <c r="I641" s="866" t="str">
        <f t="shared" si="11"/>
        <v>PARTIALLY PAID</v>
      </c>
      <c r="J641" s="402"/>
      <c r="K641" s="402"/>
      <c r="L641" s="402"/>
      <c r="M641" s="402"/>
      <c r="N641" s="402"/>
      <c r="O641" s="402"/>
      <c r="P641" s="402"/>
      <c r="Q641" s="402"/>
      <c r="R641" s="402"/>
      <c r="S641" s="402"/>
      <c r="T641" s="402"/>
      <c r="U641" s="402"/>
      <c r="V641" s="402"/>
      <c r="W641" s="402"/>
      <c r="X641" s="402"/>
      <c r="Y641" s="402"/>
      <c r="Z641" s="402"/>
    </row>
    <row r="642" ht="14.25" customHeight="1">
      <c r="A642" s="697">
        <v>45513.0</v>
      </c>
      <c r="B642" s="878" t="s">
        <v>5164</v>
      </c>
      <c r="C642" s="878" t="s">
        <v>5165</v>
      </c>
      <c r="D642" s="883" t="s">
        <v>75</v>
      </c>
      <c r="E642" s="883" t="s">
        <v>5000</v>
      </c>
      <c r="F642" s="881">
        <v>470000.0</v>
      </c>
      <c r="G642" s="413">
        <v>0.0</v>
      </c>
      <c r="H642" s="349" t="s">
        <v>5194</v>
      </c>
      <c r="I642" s="866" t="str">
        <f t="shared" si="11"/>
        <v>NOT PAID</v>
      </c>
      <c r="J642" s="402"/>
      <c r="K642" s="402"/>
      <c r="L642" s="402"/>
      <c r="M642" s="402"/>
      <c r="N642" s="402"/>
      <c r="O642" s="402"/>
      <c r="P642" s="402"/>
      <c r="Q642" s="402"/>
      <c r="R642" s="402"/>
      <c r="S642" s="402"/>
      <c r="T642" s="402"/>
      <c r="U642" s="402"/>
      <c r="V642" s="402"/>
      <c r="W642" s="402"/>
      <c r="X642" s="402"/>
      <c r="Y642" s="402"/>
      <c r="Z642" s="402"/>
    </row>
    <row r="643" ht="14.25" customHeight="1">
      <c r="A643" s="697">
        <v>45513.0</v>
      </c>
      <c r="B643" s="878" t="s">
        <v>5166</v>
      </c>
      <c r="C643" s="878" t="s">
        <v>5167</v>
      </c>
      <c r="D643" s="883" t="s">
        <v>75</v>
      </c>
      <c r="E643" s="883" t="s">
        <v>5067</v>
      </c>
      <c r="F643" s="881">
        <v>46000.0</v>
      </c>
      <c r="G643" s="413">
        <v>10000.0</v>
      </c>
      <c r="H643" s="349" t="s">
        <v>5168</v>
      </c>
      <c r="I643" s="866" t="str">
        <f t="shared" si="11"/>
        <v>PARTIALLY PAID</v>
      </c>
      <c r="J643" s="402"/>
      <c r="K643" s="402"/>
      <c r="L643" s="402"/>
      <c r="M643" s="402"/>
      <c r="N643" s="402"/>
      <c r="O643" s="402"/>
      <c r="P643" s="402"/>
      <c r="Q643" s="402"/>
      <c r="R643" s="402"/>
      <c r="S643" s="402"/>
      <c r="T643" s="402"/>
      <c r="U643" s="402"/>
      <c r="V643" s="402"/>
      <c r="W643" s="402"/>
      <c r="X643" s="402"/>
      <c r="Y643" s="402"/>
      <c r="Z643" s="402"/>
    </row>
    <row r="644" ht="14.25" customHeight="1">
      <c r="A644" s="697">
        <v>45513.0</v>
      </c>
      <c r="B644" s="790" t="s">
        <v>5195</v>
      </c>
      <c r="C644" s="790" t="s">
        <v>4922</v>
      </c>
      <c r="D644" s="790" t="s">
        <v>75</v>
      </c>
      <c r="E644" s="689" t="s">
        <v>578</v>
      </c>
      <c r="F644" s="964">
        <v>575000.0</v>
      </c>
      <c r="G644" s="413">
        <v>575000.0</v>
      </c>
      <c r="H644" s="349" t="s">
        <v>267</v>
      </c>
      <c r="I644" s="866" t="str">
        <f t="shared" si="11"/>
        <v>FULLY PAID</v>
      </c>
      <c r="J644" s="402"/>
      <c r="K644" s="402"/>
      <c r="L644" s="402"/>
      <c r="M644" s="402"/>
      <c r="N644" s="402"/>
      <c r="O644" s="402"/>
      <c r="P644" s="402"/>
      <c r="Q644" s="402"/>
      <c r="R644" s="402"/>
      <c r="S644" s="402"/>
      <c r="T644" s="402"/>
      <c r="U644" s="402"/>
      <c r="V644" s="402"/>
      <c r="W644" s="402"/>
      <c r="X644" s="402"/>
      <c r="Y644" s="402"/>
      <c r="Z644" s="402"/>
    </row>
    <row r="645" ht="14.25" customHeight="1">
      <c r="A645" s="697"/>
      <c r="B645" s="863"/>
      <c r="C645" s="863"/>
      <c r="D645" s="867"/>
      <c r="E645" s="868"/>
      <c r="F645" s="865"/>
      <c r="G645" s="403"/>
      <c r="H645" s="402"/>
      <c r="I645" s="866" t="str">
        <f t="shared" si="11"/>
        <v>FULLY PAID</v>
      </c>
      <c r="J645" s="402"/>
      <c r="K645" s="402"/>
      <c r="L645" s="402"/>
      <c r="M645" s="402"/>
      <c r="N645" s="402"/>
      <c r="O645" s="402"/>
      <c r="P645" s="402"/>
      <c r="Q645" s="402"/>
      <c r="R645" s="402"/>
      <c r="S645" s="402"/>
      <c r="T645" s="402"/>
      <c r="U645" s="402"/>
      <c r="V645" s="402"/>
      <c r="W645" s="402"/>
      <c r="X645" s="402"/>
      <c r="Y645" s="402"/>
      <c r="Z645" s="402"/>
    </row>
    <row r="646" ht="14.25" customHeight="1">
      <c r="A646" s="697"/>
      <c r="B646" s="863"/>
      <c r="C646" s="911" t="s">
        <v>797</v>
      </c>
      <c r="D646" s="867"/>
      <c r="E646" s="868"/>
      <c r="F646" s="865"/>
      <c r="G646" s="403"/>
      <c r="H646" s="402"/>
      <c r="I646" s="866" t="str">
        <f t="shared" si="11"/>
        <v>FULLY PAID</v>
      </c>
      <c r="J646" s="402"/>
      <c r="K646" s="402"/>
      <c r="L646" s="402"/>
      <c r="M646" s="402"/>
      <c r="N646" s="402"/>
      <c r="O646" s="402"/>
      <c r="P646" s="402"/>
      <c r="Q646" s="402"/>
      <c r="R646" s="402"/>
      <c r="S646" s="402"/>
      <c r="T646" s="402"/>
      <c r="U646" s="402"/>
      <c r="V646" s="402"/>
      <c r="W646" s="402"/>
      <c r="X646" s="402"/>
      <c r="Y646" s="402"/>
      <c r="Z646" s="402"/>
    </row>
    <row r="647" ht="14.25" customHeight="1">
      <c r="A647" s="697">
        <v>45513.0</v>
      </c>
      <c r="B647" s="962" t="s">
        <v>4781</v>
      </c>
      <c r="C647" s="965" t="s">
        <v>4915</v>
      </c>
      <c r="D647" s="966" t="s">
        <v>54</v>
      </c>
      <c r="E647" s="689" t="s">
        <v>578</v>
      </c>
      <c r="F647" s="957">
        <v>142630.9</v>
      </c>
      <c r="G647" s="403"/>
      <c r="H647" s="349" t="s">
        <v>5196</v>
      </c>
      <c r="I647" s="866" t="str">
        <f t="shared" si="11"/>
        <v>NOT PAID</v>
      </c>
      <c r="J647" s="402"/>
      <c r="K647" s="402"/>
      <c r="L647" s="402"/>
      <c r="M647" s="402"/>
      <c r="N647" s="402"/>
      <c r="O647" s="402"/>
      <c r="P647" s="402"/>
      <c r="Q647" s="402"/>
      <c r="R647" s="402"/>
      <c r="S647" s="402"/>
      <c r="T647" s="402"/>
      <c r="U647" s="402"/>
      <c r="V647" s="402"/>
      <c r="W647" s="402"/>
      <c r="X647" s="402"/>
      <c r="Y647" s="402"/>
      <c r="Z647" s="402"/>
    </row>
    <row r="648" ht="14.25" customHeight="1">
      <c r="A648" s="697">
        <v>45513.0</v>
      </c>
      <c r="B648" s="958" t="s">
        <v>4547</v>
      </c>
      <c r="C648" s="956" t="s">
        <v>4836</v>
      </c>
      <c r="D648" s="956" t="s">
        <v>59</v>
      </c>
      <c r="E648" s="689" t="s">
        <v>578</v>
      </c>
      <c r="F648" s="876">
        <v>635602.51</v>
      </c>
      <c r="G648" s="403"/>
      <c r="H648" s="349" t="s">
        <v>4968</v>
      </c>
      <c r="I648" s="866" t="str">
        <f t="shared" si="11"/>
        <v>NOT PAID</v>
      </c>
      <c r="J648" s="402"/>
      <c r="K648" s="402"/>
      <c r="L648" s="402"/>
      <c r="M648" s="402"/>
      <c r="N648" s="402"/>
      <c r="O648" s="402"/>
      <c r="P648" s="402"/>
      <c r="Q648" s="402"/>
      <c r="R648" s="402"/>
      <c r="S648" s="402"/>
      <c r="T648" s="402"/>
      <c r="U648" s="402"/>
      <c r="V648" s="402"/>
      <c r="W648" s="402"/>
      <c r="X648" s="402"/>
      <c r="Y648" s="402"/>
      <c r="Z648" s="402"/>
    </row>
    <row r="649" ht="14.25" customHeight="1">
      <c r="A649" s="697">
        <v>45513.0</v>
      </c>
      <c r="B649" s="958" t="s">
        <v>4919</v>
      </c>
      <c r="C649" s="956" t="s">
        <v>4945</v>
      </c>
      <c r="D649" s="956" t="s">
        <v>75</v>
      </c>
      <c r="E649" s="689" t="s">
        <v>578</v>
      </c>
      <c r="F649" s="957">
        <v>306751.35</v>
      </c>
      <c r="G649" s="403"/>
      <c r="H649" s="349" t="s">
        <v>5197</v>
      </c>
      <c r="I649" s="866" t="str">
        <f t="shared" si="11"/>
        <v>NOT PAID</v>
      </c>
      <c r="J649" s="402"/>
      <c r="K649" s="402"/>
      <c r="L649" s="402"/>
      <c r="M649" s="402"/>
      <c r="N649" s="402"/>
      <c r="O649" s="402"/>
      <c r="P649" s="402"/>
      <c r="Q649" s="402"/>
      <c r="R649" s="402"/>
      <c r="S649" s="402"/>
      <c r="T649" s="402"/>
      <c r="U649" s="402"/>
      <c r="V649" s="402"/>
      <c r="W649" s="402"/>
      <c r="X649" s="402"/>
      <c r="Y649" s="402"/>
      <c r="Z649" s="402"/>
    </row>
    <row r="650" ht="14.25" customHeight="1">
      <c r="A650" s="697">
        <v>45513.0</v>
      </c>
      <c r="B650" s="888" t="s">
        <v>4775</v>
      </c>
      <c r="C650" s="889" t="s">
        <v>4922</v>
      </c>
      <c r="D650" s="966" t="s">
        <v>59</v>
      </c>
      <c r="E650" s="689" t="s">
        <v>578</v>
      </c>
      <c r="F650" s="876">
        <v>220968.28</v>
      </c>
      <c r="G650" s="413"/>
      <c r="H650" s="349" t="s">
        <v>710</v>
      </c>
      <c r="I650" s="866" t="str">
        <f t="shared" si="11"/>
        <v>NOT PAID</v>
      </c>
      <c r="J650" s="402"/>
      <c r="K650" s="402"/>
      <c r="L650" s="402"/>
      <c r="M650" s="402"/>
      <c r="N650" s="402"/>
      <c r="O650" s="402"/>
      <c r="P650" s="402"/>
      <c r="Q650" s="402"/>
      <c r="R650" s="402"/>
      <c r="S650" s="402"/>
      <c r="T650" s="402"/>
      <c r="U650" s="402"/>
      <c r="V650" s="402"/>
      <c r="W650" s="402"/>
      <c r="X650" s="402"/>
      <c r="Y650" s="402"/>
      <c r="Z650" s="402"/>
    </row>
    <row r="651" ht="14.25" customHeight="1">
      <c r="A651" s="697">
        <v>45513.0</v>
      </c>
      <c r="B651" s="888" t="s">
        <v>4800</v>
      </c>
      <c r="C651" s="889" t="s">
        <v>758</v>
      </c>
      <c r="D651" s="966" t="s">
        <v>59</v>
      </c>
      <c r="E651" s="689" t="s">
        <v>578</v>
      </c>
      <c r="F651" s="876">
        <v>236712.46</v>
      </c>
      <c r="G651" s="413">
        <v>226000.0</v>
      </c>
      <c r="H651" s="349" t="s">
        <v>710</v>
      </c>
      <c r="I651" s="866" t="str">
        <f t="shared" si="11"/>
        <v>PARTIALLY PAID</v>
      </c>
      <c r="J651" s="402"/>
      <c r="K651" s="402"/>
      <c r="L651" s="402"/>
      <c r="M651" s="402"/>
      <c r="N651" s="402"/>
      <c r="O651" s="402"/>
      <c r="P651" s="402"/>
      <c r="Q651" s="402"/>
      <c r="R651" s="402"/>
      <c r="S651" s="402"/>
      <c r="T651" s="402"/>
      <c r="U651" s="402"/>
      <c r="V651" s="402"/>
      <c r="W651" s="402"/>
      <c r="X651" s="402"/>
      <c r="Y651" s="402"/>
      <c r="Z651" s="402"/>
    </row>
    <row r="652" ht="14.25" customHeight="1">
      <c r="A652" s="697"/>
      <c r="B652" s="863"/>
      <c r="C652" s="863"/>
      <c r="D652" s="867"/>
      <c r="E652" s="689"/>
      <c r="F652" s="865"/>
      <c r="G652" s="403"/>
      <c r="H652" s="402"/>
      <c r="I652" s="866" t="str">
        <f t="shared" si="11"/>
        <v>FULLY PAID</v>
      </c>
      <c r="J652" s="402"/>
      <c r="K652" s="402"/>
      <c r="L652" s="402"/>
      <c r="M652" s="402"/>
      <c r="N652" s="402"/>
      <c r="O652" s="402"/>
      <c r="P652" s="402"/>
      <c r="Q652" s="402"/>
      <c r="R652" s="402"/>
      <c r="S652" s="402"/>
      <c r="T652" s="402"/>
      <c r="U652" s="402"/>
      <c r="V652" s="402"/>
      <c r="W652" s="402"/>
      <c r="X652" s="402"/>
      <c r="Y652" s="402"/>
      <c r="Z652" s="402"/>
    </row>
    <row r="653" ht="14.25" customHeight="1">
      <c r="A653" s="697"/>
      <c r="B653" s="863"/>
      <c r="C653" s="863"/>
      <c r="D653" s="867"/>
      <c r="E653" s="868"/>
      <c r="F653" s="865"/>
      <c r="G653" s="403"/>
      <c r="H653" s="402"/>
      <c r="I653" s="866" t="str">
        <f t="shared" si="11"/>
        <v>FULLY PAID</v>
      </c>
      <c r="J653" s="402"/>
      <c r="K653" s="402"/>
      <c r="L653" s="402"/>
      <c r="M653" s="402"/>
      <c r="N653" s="402"/>
      <c r="O653" s="402"/>
      <c r="P653" s="402"/>
      <c r="Q653" s="402"/>
      <c r="R653" s="402"/>
      <c r="S653" s="402"/>
      <c r="T653" s="402"/>
      <c r="U653" s="402"/>
      <c r="V653" s="402"/>
      <c r="W653" s="402"/>
      <c r="X653" s="402"/>
      <c r="Y653" s="402"/>
      <c r="Z653" s="402"/>
    </row>
    <row r="654" ht="14.25" customHeight="1">
      <c r="A654" s="697"/>
      <c r="B654" s="863"/>
      <c r="C654" s="863"/>
      <c r="D654" s="867"/>
      <c r="E654" s="868"/>
      <c r="F654" s="865"/>
      <c r="G654" s="403"/>
      <c r="H654" s="402"/>
      <c r="I654" s="866" t="str">
        <f t="shared" si="11"/>
        <v>FULLY PAID</v>
      </c>
      <c r="J654" s="402"/>
      <c r="K654" s="402"/>
      <c r="L654" s="402"/>
      <c r="M654" s="402"/>
      <c r="N654" s="402"/>
      <c r="O654" s="402"/>
      <c r="P654" s="402"/>
      <c r="Q654" s="402"/>
      <c r="R654" s="402"/>
      <c r="S654" s="402"/>
      <c r="T654" s="402"/>
      <c r="U654" s="402"/>
      <c r="V654" s="402"/>
      <c r="W654" s="402"/>
      <c r="X654" s="402"/>
      <c r="Y654" s="402"/>
      <c r="Z654" s="402"/>
    </row>
    <row r="655" ht="14.25" customHeight="1">
      <c r="A655" s="697">
        <v>45513.0</v>
      </c>
      <c r="B655" s="863" t="s">
        <v>4781</v>
      </c>
      <c r="C655" s="863" t="s">
        <v>4915</v>
      </c>
      <c r="D655" s="867" t="s">
        <v>54</v>
      </c>
      <c r="E655" s="689" t="s">
        <v>578</v>
      </c>
      <c r="F655" s="865">
        <v>142630.9</v>
      </c>
      <c r="G655" s="403"/>
      <c r="H655" s="349" t="s">
        <v>5196</v>
      </c>
      <c r="I655" s="866" t="str">
        <f t="shared" si="11"/>
        <v>NOT PAID</v>
      </c>
      <c r="J655" s="402"/>
      <c r="K655" s="402"/>
      <c r="L655" s="402"/>
      <c r="M655" s="402"/>
      <c r="N655" s="402"/>
      <c r="O655" s="402"/>
      <c r="P655" s="402"/>
      <c r="Q655" s="402"/>
      <c r="R655" s="402"/>
      <c r="S655" s="402"/>
      <c r="T655" s="402"/>
      <c r="U655" s="402"/>
      <c r="V655" s="402"/>
      <c r="W655" s="402"/>
      <c r="X655" s="402"/>
      <c r="Y655" s="402"/>
      <c r="Z655" s="402"/>
    </row>
    <row r="656" ht="14.25" customHeight="1">
      <c r="A656" s="697">
        <v>45513.0</v>
      </c>
      <c r="B656" s="863" t="s">
        <v>4547</v>
      </c>
      <c r="C656" s="863" t="s">
        <v>4836</v>
      </c>
      <c r="D656" s="867" t="s">
        <v>59</v>
      </c>
      <c r="E656" s="689" t="s">
        <v>578</v>
      </c>
      <c r="F656" s="865">
        <v>635602.51</v>
      </c>
      <c r="G656" s="403"/>
      <c r="H656" s="349" t="s">
        <v>4968</v>
      </c>
      <c r="I656" s="866" t="str">
        <f t="shared" si="11"/>
        <v>NOT PAID</v>
      </c>
      <c r="J656" s="402"/>
      <c r="K656" s="402"/>
      <c r="L656" s="402"/>
      <c r="M656" s="402"/>
      <c r="N656" s="402"/>
      <c r="O656" s="402"/>
      <c r="P656" s="402"/>
      <c r="Q656" s="402"/>
      <c r="R656" s="402"/>
      <c r="S656" s="402"/>
      <c r="T656" s="402"/>
      <c r="U656" s="402"/>
      <c r="V656" s="402"/>
      <c r="W656" s="402"/>
      <c r="X656" s="402"/>
      <c r="Y656" s="402"/>
      <c r="Z656" s="402"/>
    </row>
    <row r="657" ht="14.25" customHeight="1">
      <c r="A657" s="697">
        <v>45513.0</v>
      </c>
      <c r="B657" s="863" t="s">
        <v>4919</v>
      </c>
      <c r="C657" s="863" t="s">
        <v>4945</v>
      </c>
      <c r="D657" s="867" t="s">
        <v>75</v>
      </c>
      <c r="E657" s="689" t="s">
        <v>578</v>
      </c>
      <c r="F657" s="865">
        <v>306751.35</v>
      </c>
      <c r="G657" s="403"/>
      <c r="H657" s="349" t="s">
        <v>5197</v>
      </c>
      <c r="I657" s="866" t="str">
        <f t="shared" si="11"/>
        <v>NOT PAID</v>
      </c>
      <c r="J657" s="402"/>
      <c r="K657" s="402"/>
      <c r="L657" s="402"/>
      <c r="M657" s="402"/>
      <c r="N657" s="402"/>
      <c r="O657" s="402"/>
      <c r="P657" s="402"/>
      <c r="Q657" s="402"/>
      <c r="R657" s="402"/>
      <c r="S657" s="402"/>
      <c r="T657" s="402"/>
      <c r="U657" s="402"/>
      <c r="V657" s="402"/>
      <c r="W657" s="402"/>
      <c r="X657" s="402"/>
      <c r="Y657" s="402"/>
      <c r="Z657" s="402"/>
    </row>
    <row r="658" ht="14.25" customHeight="1">
      <c r="A658" s="697">
        <v>45513.0</v>
      </c>
      <c r="B658" s="863" t="s">
        <v>4775</v>
      </c>
      <c r="C658" s="863" t="s">
        <v>4922</v>
      </c>
      <c r="D658" s="867" t="s">
        <v>59</v>
      </c>
      <c r="E658" s="689" t="s">
        <v>578</v>
      </c>
      <c r="F658" s="865">
        <v>220968.28</v>
      </c>
      <c r="G658" s="403"/>
      <c r="H658" s="349" t="s">
        <v>710</v>
      </c>
      <c r="I658" s="866" t="str">
        <f t="shared" si="11"/>
        <v>NOT PAID</v>
      </c>
      <c r="J658" s="402"/>
      <c r="K658" s="402"/>
      <c r="L658" s="402"/>
      <c r="M658" s="402"/>
      <c r="N658" s="402"/>
      <c r="O658" s="402"/>
      <c r="P658" s="402"/>
      <c r="Q658" s="402"/>
      <c r="R658" s="402"/>
      <c r="S658" s="402"/>
      <c r="T658" s="402"/>
      <c r="U658" s="402"/>
      <c r="V658" s="402"/>
      <c r="W658" s="402"/>
      <c r="X658" s="402"/>
      <c r="Y658" s="402"/>
      <c r="Z658" s="402"/>
    </row>
    <row r="659" ht="14.25" customHeight="1">
      <c r="A659" s="697">
        <v>45513.0</v>
      </c>
      <c r="B659" s="863" t="s">
        <v>4800</v>
      </c>
      <c r="C659" s="863" t="s">
        <v>758</v>
      </c>
      <c r="D659" s="867" t="s">
        <v>59</v>
      </c>
      <c r="E659" s="689" t="s">
        <v>578</v>
      </c>
      <c r="F659" s="865">
        <v>236712.46</v>
      </c>
      <c r="G659" s="403"/>
      <c r="H659" s="349" t="s">
        <v>710</v>
      </c>
      <c r="I659" s="866" t="str">
        <f t="shared" si="11"/>
        <v>NOT PAID</v>
      </c>
      <c r="J659" s="402"/>
      <c r="K659" s="402"/>
      <c r="L659" s="402"/>
      <c r="M659" s="402"/>
      <c r="N659" s="402"/>
      <c r="O659" s="402"/>
      <c r="P659" s="402"/>
      <c r="Q659" s="402"/>
      <c r="R659" s="402"/>
      <c r="S659" s="402"/>
      <c r="T659" s="402"/>
      <c r="U659" s="402"/>
      <c r="V659" s="402"/>
      <c r="W659" s="402"/>
      <c r="X659" s="402"/>
      <c r="Y659" s="402"/>
      <c r="Z659" s="402"/>
    </row>
    <row r="660" ht="14.25" customHeight="1">
      <c r="A660" s="697">
        <v>45513.0</v>
      </c>
      <c r="B660" s="863" t="s">
        <v>4828</v>
      </c>
      <c r="C660" s="863" t="s">
        <v>4829</v>
      </c>
      <c r="D660" s="867" t="s">
        <v>59</v>
      </c>
      <c r="E660" s="689" t="s">
        <v>273</v>
      </c>
      <c r="F660" s="865">
        <v>500000.0</v>
      </c>
      <c r="G660" s="403"/>
      <c r="H660" s="402"/>
      <c r="I660" s="866" t="str">
        <f t="shared" si="11"/>
        <v>NOT PAID</v>
      </c>
      <c r="J660" s="402"/>
      <c r="K660" s="402"/>
      <c r="L660" s="402"/>
      <c r="M660" s="402"/>
      <c r="N660" s="402"/>
      <c r="O660" s="402"/>
      <c r="P660" s="402"/>
      <c r="Q660" s="402"/>
      <c r="R660" s="402"/>
      <c r="S660" s="402"/>
      <c r="T660" s="402"/>
      <c r="U660" s="402"/>
      <c r="V660" s="402"/>
      <c r="W660" s="402"/>
      <c r="X660" s="402"/>
      <c r="Y660" s="402"/>
      <c r="Z660" s="402"/>
    </row>
    <row r="661" ht="14.25" customHeight="1">
      <c r="A661" s="697"/>
      <c r="B661" s="863"/>
      <c r="C661" s="863"/>
      <c r="D661" s="867"/>
      <c r="E661" s="868"/>
      <c r="F661" s="865"/>
      <c r="G661" s="403"/>
      <c r="H661" s="402"/>
      <c r="I661" s="866" t="str">
        <f t="shared" si="11"/>
        <v>FULLY PAID</v>
      </c>
      <c r="J661" s="402"/>
      <c r="K661" s="402"/>
      <c r="L661" s="402"/>
      <c r="M661" s="402"/>
      <c r="N661" s="402"/>
      <c r="O661" s="402"/>
      <c r="P661" s="402"/>
      <c r="Q661" s="402"/>
      <c r="R661" s="402"/>
      <c r="S661" s="402"/>
      <c r="T661" s="402"/>
      <c r="U661" s="402"/>
      <c r="V661" s="402"/>
      <c r="W661" s="402"/>
      <c r="X661" s="402"/>
      <c r="Y661" s="402"/>
      <c r="Z661" s="402"/>
    </row>
    <row r="662" ht="14.25" customHeight="1">
      <c r="A662" s="697"/>
      <c r="B662" s="863"/>
      <c r="C662" s="863"/>
      <c r="D662" s="867"/>
      <c r="E662" s="868"/>
      <c r="F662" s="865"/>
      <c r="G662" s="403"/>
      <c r="H662" s="402"/>
      <c r="I662" s="866" t="str">
        <f t="shared" si="11"/>
        <v>FULLY PAID</v>
      </c>
      <c r="J662" s="402"/>
      <c r="K662" s="402"/>
      <c r="L662" s="402"/>
      <c r="M662" s="402"/>
      <c r="N662" s="402"/>
      <c r="O662" s="402"/>
      <c r="P662" s="402"/>
      <c r="Q662" s="402"/>
      <c r="R662" s="402"/>
      <c r="S662" s="402"/>
      <c r="T662" s="402"/>
      <c r="U662" s="402"/>
      <c r="V662" s="402"/>
      <c r="W662" s="402"/>
      <c r="X662" s="402"/>
      <c r="Y662" s="402"/>
      <c r="Z662" s="402"/>
    </row>
    <row r="663" ht="14.25" customHeight="1">
      <c r="A663" s="896" t="s">
        <v>2130</v>
      </c>
      <c r="B663" s="897" t="s">
        <v>39</v>
      </c>
      <c r="C663" s="896" t="s">
        <v>48</v>
      </c>
      <c r="D663" s="896" t="s">
        <v>49</v>
      </c>
      <c r="E663" s="898" t="s">
        <v>50</v>
      </c>
      <c r="F663" s="899" t="s">
        <v>2</v>
      </c>
      <c r="G663" s="896" t="s">
        <v>44</v>
      </c>
      <c r="H663" s="896" t="s">
        <v>45</v>
      </c>
      <c r="I663" s="866" t="str">
        <f t="shared" si="11"/>
        <v>FULLY PAID</v>
      </c>
      <c r="J663" s="402"/>
      <c r="K663" s="402"/>
      <c r="L663" s="402"/>
      <c r="M663" s="402"/>
      <c r="N663" s="402"/>
      <c r="O663" s="402"/>
      <c r="P663" s="402"/>
      <c r="Q663" s="402"/>
      <c r="R663" s="402"/>
      <c r="S663" s="402"/>
      <c r="T663" s="402"/>
      <c r="U663" s="402"/>
      <c r="V663" s="402"/>
      <c r="W663" s="402"/>
      <c r="X663" s="402"/>
      <c r="Y663" s="402"/>
      <c r="Z663" s="402"/>
    </row>
    <row r="664" ht="14.25" customHeight="1">
      <c r="A664" s="697">
        <v>45514.0</v>
      </c>
      <c r="B664" s="883" t="s">
        <v>5198</v>
      </c>
      <c r="C664" s="883" t="s">
        <v>5199</v>
      </c>
      <c r="D664" s="883" t="s">
        <v>54</v>
      </c>
      <c r="E664" s="883" t="s">
        <v>5000</v>
      </c>
      <c r="F664" s="881">
        <v>29492.26</v>
      </c>
      <c r="G664" s="403"/>
      <c r="H664" s="349" t="s">
        <v>4968</v>
      </c>
      <c r="I664" s="866" t="str">
        <f t="shared" si="11"/>
        <v>NOT PAID</v>
      </c>
      <c r="J664" s="402"/>
      <c r="K664" s="402"/>
      <c r="L664" s="402"/>
      <c r="M664" s="402"/>
      <c r="N664" s="402"/>
      <c r="O664" s="402"/>
      <c r="P664" s="402"/>
      <c r="Q664" s="402"/>
      <c r="R664" s="402"/>
      <c r="S664" s="402"/>
      <c r="T664" s="402"/>
      <c r="U664" s="402"/>
      <c r="V664" s="402"/>
      <c r="W664" s="402"/>
      <c r="X664" s="402"/>
      <c r="Y664" s="402"/>
      <c r="Z664" s="402"/>
    </row>
    <row r="665" ht="14.25" customHeight="1">
      <c r="A665" s="697">
        <v>45514.0</v>
      </c>
      <c r="B665" s="883" t="s">
        <v>5200</v>
      </c>
      <c r="C665" s="883" t="s">
        <v>5201</v>
      </c>
      <c r="D665" s="883" t="s">
        <v>54</v>
      </c>
      <c r="E665" s="689" t="s">
        <v>5037</v>
      </c>
      <c r="F665" s="881">
        <v>33540.0</v>
      </c>
      <c r="G665" s="413">
        <v>33540.0</v>
      </c>
      <c r="H665" s="349" t="s">
        <v>4968</v>
      </c>
      <c r="I665" s="866" t="str">
        <f t="shared" si="11"/>
        <v>FULLY PAID</v>
      </c>
      <c r="J665" s="402"/>
      <c r="K665" s="402"/>
      <c r="L665" s="402"/>
      <c r="M665" s="402"/>
      <c r="N665" s="402"/>
      <c r="O665" s="402"/>
      <c r="P665" s="402"/>
      <c r="Q665" s="402"/>
      <c r="R665" s="402"/>
      <c r="S665" s="402"/>
      <c r="T665" s="402"/>
      <c r="U665" s="402"/>
      <c r="V665" s="402"/>
      <c r="W665" s="402"/>
      <c r="X665" s="402"/>
      <c r="Y665" s="402"/>
      <c r="Z665" s="402"/>
    </row>
    <row r="666" ht="14.25" customHeight="1">
      <c r="A666" s="697">
        <v>45514.0</v>
      </c>
      <c r="B666" s="883" t="s">
        <v>5202</v>
      </c>
      <c r="C666" s="883" t="s">
        <v>5203</v>
      </c>
      <c r="D666" s="883" t="s">
        <v>75</v>
      </c>
      <c r="E666" s="689" t="s">
        <v>5000</v>
      </c>
      <c r="F666" s="881">
        <v>115000.0</v>
      </c>
      <c r="G666" s="403"/>
      <c r="H666" s="349" t="s">
        <v>4968</v>
      </c>
      <c r="I666" s="866" t="str">
        <f t="shared" si="11"/>
        <v>NOT PAID</v>
      </c>
      <c r="J666" s="402"/>
      <c r="K666" s="402"/>
      <c r="L666" s="402"/>
      <c r="M666" s="402"/>
      <c r="N666" s="402"/>
      <c r="O666" s="402"/>
      <c r="P666" s="402"/>
      <c r="Q666" s="402"/>
      <c r="R666" s="402"/>
      <c r="S666" s="402"/>
      <c r="T666" s="402"/>
      <c r="U666" s="402"/>
      <c r="V666" s="402"/>
      <c r="W666" s="402"/>
      <c r="X666" s="402"/>
      <c r="Y666" s="402"/>
      <c r="Z666" s="402"/>
    </row>
    <row r="667" ht="14.25" customHeight="1">
      <c r="A667" s="697">
        <v>45514.0</v>
      </c>
      <c r="B667" s="878" t="s">
        <v>5204</v>
      </c>
      <c r="C667" s="878" t="s">
        <v>5205</v>
      </c>
      <c r="D667" s="883" t="s">
        <v>54</v>
      </c>
      <c r="E667" s="883" t="s">
        <v>5000</v>
      </c>
      <c r="F667" s="881">
        <v>7072.53</v>
      </c>
      <c r="G667" s="413">
        <v>10000.0</v>
      </c>
      <c r="H667" s="349" t="s">
        <v>5206</v>
      </c>
      <c r="I667" s="866" t="str">
        <f t="shared" si="11"/>
        <v>FULLY PAID</v>
      </c>
      <c r="J667" s="402"/>
      <c r="K667" s="402"/>
      <c r="L667" s="402"/>
      <c r="M667" s="402"/>
      <c r="N667" s="402"/>
      <c r="O667" s="402"/>
      <c r="P667" s="402"/>
      <c r="Q667" s="402"/>
      <c r="R667" s="402"/>
      <c r="S667" s="402"/>
      <c r="T667" s="402"/>
      <c r="U667" s="402"/>
      <c r="V667" s="402"/>
      <c r="W667" s="402"/>
      <c r="X667" s="402"/>
      <c r="Y667" s="402"/>
      <c r="Z667" s="402"/>
    </row>
    <row r="668" ht="14.25" customHeight="1">
      <c r="A668" s="697">
        <v>45514.0</v>
      </c>
      <c r="B668" s="878" t="s">
        <v>5097</v>
      </c>
      <c r="C668" s="878" t="s">
        <v>5076</v>
      </c>
      <c r="D668" s="883" t="s">
        <v>54</v>
      </c>
      <c r="E668" s="689" t="s">
        <v>5067</v>
      </c>
      <c r="F668" s="881">
        <v>36916.85</v>
      </c>
      <c r="G668" s="403"/>
      <c r="H668" s="349" t="s">
        <v>4968</v>
      </c>
      <c r="I668" s="866" t="str">
        <f t="shared" si="11"/>
        <v>NOT PAID</v>
      </c>
      <c r="J668" s="402"/>
      <c r="K668" s="402"/>
      <c r="L668" s="402"/>
      <c r="M668" s="402"/>
      <c r="N668" s="402"/>
      <c r="O668" s="402"/>
      <c r="P668" s="402"/>
      <c r="Q668" s="402"/>
      <c r="R668" s="402"/>
      <c r="S668" s="402"/>
      <c r="T668" s="402"/>
      <c r="U668" s="402"/>
      <c r="V668" s="402"/>
      <c r="W668" s="402"/>
      <c r="X668" s="402"/>
      <c r="Y668" s="402"/>
      <c r="Z668" s="402"/>
    </row>
    <row r="669" ht="14.25" customHeight="1">
      <c r="A669" s="697">
        <v>45514.0</v>
      </c>
      <c r="B669" s="878" t="s">
        <v>4767</v>
      </c>
      <c r="C669" s="878" t="s">
        <v>4861</v>
      </c>
      <c r="D669" s="883" t="s">
        <v>59</v>
      </c>
      <c r="E669" s="883" t="s">
        <v>578</v>
      </c>
      <c r="F669" s="881">
        <v>96043.94</v>
      </c>
      <c r="G669" s="403"/>
      <c r="H669" s="349" t="s">
        <v>5206</v>
      </c>
      <c r="I669" s="866" t="str">
        <f t="shared" si="11"/>
        <v>NOT PAID</v>
      </c>
      <c r="J669" s="402"/>
      <c r="K669" s="402"/>
      <c r="L669" s="402"/>
      <c r="M669" s="402"/>
      <c r="N669" s="402"/>
      <c r="O669" s="402"/>
      <c r="P669" s="402"/>
      <c r="Q669" s="402"/>
      <c r="R669" s="402"/>
      <c r="S669" s="402"/>
      <c r="T669" s="402"/>
      <c r="U669" s="402"/>
      <c r="V669" s="402"/>
      <c r="W669" s="402"/>
      <c r="X669" s="402"/>
      <c r="Y669" s="402"/>
      <c r="Z669" s="402"/>
    </row>
    <row r="670" ht="14.25" customHeight="1">
      <c r="A670" s="697">
        <v>45514.0</v>
      </c>
      <c r="B670" s="878" t="s">
        <v>4833</v>
      </c>
      <c r="C670" s="878" t="s">
        <v>4910</v>
      </c>
      <c r="D670" s="883" t="s">
        <v>54</v>
      </c>
      <c r="E670" s="883" t="s">
        <v>578</v>
      </c>
      <c r="F670" s="881">
        <v>160850.46</v>
      </c>
      <c r="G670" s="413">
        <v>0.0</v>
      </c>
      <c r="H670" s="349" t="s">
        <v>5207</v>
      </c>
      <c r="I670" s="866" t="str">
        <f t="shared" si="11"/>
        <v>NOT PAID</v>
      </c>
      <c r="J670" s="402"/>
      <c r="K670" s="402"/>
      <c r="L670" s="402"/>
      <c r="M670" s="402"/>
      <c r="N670" s="402"/>
      <c r="O670" s="402"/>
      <c r="P670" s="402"/>
      <c r="Q670" s="402"/>
      <c r="R670" s="402"/>
      <c r="S670" s="402"/>
      <c r="T670" s="402"/>
      <c r="U670" s="402"/>
      <c r="V670" s="402"/>
      <c r="W670" s="402"/>
      <c r="X670" s="402"/>
      <c r="Y670" s="402"/>
      <c r="Z670" s="402"/>
    </row>
    <row r="671" ht="14.25" customHeight="1">
      <c r="A671" s="697">
        <v>45514.0</v>
      </c>
      <c r="B671" s="878" t="s">
        <v>4791</v>
      </c>
      <c r="C671" s="878" t="s">
        <v>4912</v>
      </c>
      <c r="D671" s="883" t="s">
        <v>54</v>
      </c>
      <c r="E671" s="883" t="s">
        <v>5000</v>
      </c>
      <c r="F671" s="881">
        <v>14687.3</v>
      </c>
      <c r="G671" s="413">
        <v>5000.0</v>
      </c>
      <c r="H671" s="349" t="s">
        <v>4968</v>
      </c>
      <c r="I671" s="866" t="str">
        <f t="shared" si="11"/>
        <v>PARTIALLY PAID</v>
      </c>
      <c r="J671" s="402"/>
      <c r="K671" s="402"/>
      <c r="L671" s="402"/>
      <c r="M671" s="402"/>
      <c r="N671" s="402"/>
      <c r="O671" s="402"/>
      <c r="P671" s="402"/>
      <c r="Q671" s="402"/>
      <c r="R671" s="402"/>
      <c r="S671" s="402"/>
      <c r="T671" s="402"/>
      <c r="U671" s="402"/>
      <c r="V671" s="402"/>
      <c r="W671" s="402"/>
      <c r="X671" s="402"/>
      <c r="Y671" s="402"/>
      <c r="Z671" s="402"/>
    </row>
    <row r="672" ht="14.25" customHeight="1">
      <c r="A672" s="697">
        <v>45514.0</v>
      </c>
      <c r="B672" s="878" t="s">
        <v>4990</v>
      </c>
      <c r="C672" s="878" t="s">
        <v>4991</v>
      </c>
      <c r="D672" s="883" t="s">
        <v>54</v>
      </c>
      <c r="E672" s="883" t="s">
        <v>5000</v>
      </c>
      <c r="F672" s="881">
        <v>27982.13</v>
      </c>
      <c r="G672" s="403"/>
      <c r="H672" s="349" t="s">
        <v>4968</v>
      </c>
      <c r="I672" s="866" t="str">
        <f t="shared" si="11"/>
        <v>NOT PAID</v>
      </c>
      <c r="J672" s="402"/>
      <c r="K672" s="402"/>
      <c r="L672" s="402"/>
      <c r="M672" s="402"/>
      <c r="N672" s="402"/>
      <c r="O672" s="402"/>
      <c r="P672" s="402"/>
      <c r="Q672" s="402"/>
      <c r="R672" s="402"/>
      <c r="S672" s="402"/>
      <c r="T672" s="402"/>
      <c r="U672" s="402"/>
      <c r="V672" s="402"/>
      <c r="W672" s="402"/>
      <c r="X672" s="402"/>
      <c r="Y672" s="402"/>
      <c r="Z672" s="402"/>
    </row>
    <row r="673" ht="14.25" customHeight="1">
      <c r="A673" s="697">
        <v>45514.0</v>
      </c>
      <c r="B673" s="878" t="s">
        <v>4816</v>
      </c>
      <c r="C673" s="878" t="s">
        <v>5015</v>
      </c>
      <c r="D673" s="883" t="s">
        <v>54</v>
      </c>
      <c r="E673" s="883" t="s">
        <v>5000</v>
      </c>
      <c r="F673" s="881">
        <v>38764.1</v>
      </c>
      <c r="G673" s="403"/>
      <c r="H673" s="349" t="s">
        <v>5206</v>
      </c>
      <c r="I673" s="866" t="str">
        <f t="shared" si="11"/>
        <v>NOT PAID</v>
      </c>
      <c r="J673" s="402"/>
      <c r="K673" s="402"/>
      <c r="L673" s="402"/>
      <c r="M673" s="402"/>
      <c r="N673" s="402"/>
      <c r="O673" s="402"/>
      <c r="P673" s="402"/>
      <c r="Q673" s="402"/>
      <c r="R673" s="402"/>
      <c r="S673" s="402"/>
      <c r="T673" s="402"/>
      <c r="U673" s="402"/>
      <c r="V673" s="402"/>
      <c r="W673" s="402"/>
      <c r="X673" s="402"/>
      <c r="Y673" s="402"/>
      <c r="Z673" s="402"/>
    </row>
    <row r="674" ht="14.25" customHeight="1">
      <c r="A674" s="697">
        <v>45514.0</v>
      </c>
      <c r="B674" s="878" t="s">
        <v>4969</v>
      </c>
      <c r="C674" s="878" t="s">
        <v>4970</v>
      </c>
      <c r="D674" s="883" t="s">
        <v>59</v>
      </c>
      <c r="E674" s="883" t="s">
        <v>5000</v>
      </c>
      <c r="F674" s="881">
        <v>31357.13</v>
      </c>
      <c r="G674" s="403"/>
      <c r="H674" s="349" t="s">
        <v>5206</v>
      </c>
      <c r="I674" s="866" t="str">
        <f t="shared" si="11"/>
        <v>NOT PAID</v>
      </c>
      <c r="J674" s="402"/>
      <c r="K674" s="402"/>
      <c r="L674" s="402"/>
      <c r="M674" s="402"/>
      <c r="N674" s="402"/>
      <c r="O674" s="402"/>
      <c r="P674" s="402"/>
      <c r="Q674" s="402"/>
      <c r="R674" s="402"/>
      <c r="S674" s="402"/>
      <c r="T674" s="402"/>
      <c r="U674" s="402"/>
      <c r="V674" s="402"/>
      <c r="W674" s="402"/>
      <c r="X674" s="402"/>
      <c r="Y674" s="402"/>
      <c r="Z674" s="402"/>
    </row>
    <row r="675" ht="14.25" customHeight="1">
      <c r="A675" s="697">
        <v>45514.0</v>
      </c>
      <c r="B675" s="878" t="s">
        <v>4777</v>
      </c>
      <c r="C675" s="878" t="s">
        <v>4842</v>
      </c>
      <c r="D675" s="883" t="s">
        <v>54</v>
      </c>
      <c r="E675" s="883" t="s">
        <v>5000</v>
      </c>
      <c r="F675" s="881">
        <v>22775.08</v>
      </c>
      <c r="G675" s="403"/>
      <c r="H675" s="349" t="s">
        <v>5206</v>
      </c>
      <c r="I675" s="866" t="str">
        <f t="shared" si="11"/>
        <v>NOT PAID</v>
      </c>
      <c r="J675" s="402"/>
      <c r="K675" s="402"/>
      <c r="L675" s="402"/>
      <c r="M675" s="402"/>
      <c r="N675" s="402"/>
      <c r="O675" s="402"/>
      <c r="P675" s="402"/>
      <c r="Q675" s="402"/>
      <c r="R675" s="402"/>
      <c r="S675" s="402"/>
      <c r="T675" s="402"/>
      <c r="U675" s="402"/>
      <c r="V675" s="402"/>
      <c r="W675" s="402"/>
      <c r="X675" s="402"/>
      <c r="Y675" s="402"/>
      <c r="Z675" s="402"/>
    </row>
    <row r="676" ht="14.25" customHeight="1">
      <c r="A676" s="697">
        <v>45514.0</v>
      </c>
      <c r="B676" s="878" t="s">
        <v>4793</v>
      </c>
      <c r="C676" s="878" t="s">
        <v>4891</v>
      </c>
      <c r="D676" s="883" t="s">
        <v>54</v>
      </c>
      <c r="E676" s="883" t="s">
        <v>578</v>
      </c>
      <c r="F676" s="881">
        <v>26120.37</v>
      </c>
      <c r="G676" s="403"/>
      <c r="H676" s="349" t="s">
        <v>5206</v>
      </c>
      <c r="I676" s="866" t="str">
        <f t="shared" si="11"/>
        <v>NOT PAID</v>
      </c>
      <c r="J676" s="402"/>
      <c r="K676" s="402"/>
      <c r="L676" s="402"/>
      <c r="M676" s="402"/>
      <c r="N676" s="402"/>
      <c r="O676" s="402"/>
      <c r="P676" s="402"/>
      <c r="Q676" s="402"/>
      <c r="R676" s="402"/>
      <c r="S676" s="402"/>
      <c r="T676" s="402"/>
      <c r="U676" s="402"/>
      <c r="V676" s="402"/>
      <c r="W676" s="402"/>
      <c r="X676" s="402"/>
      <c r="Y676" s="402"/>
      <c r="Z676" s="402"/>
    </row>
    <row r="677" ht="14.25" customHeight="1">
      <c r="A677" s="697">
        <v>45514.0</v>
      </c>
      <c r="B677" s="878" t="s">
        <v>4795</v>
      </c>
      <c r="C677" s="878" t="s">
        <v>5012</v>
      </c>
      <c r="D677" s="883" t="s">
        <v>54</v>
      </c>
      <c r="E677" s="883" t="s">
        <v>5000</v>
      </c>
      <c r="F677" s="881">
        <v>45034.9</v>
      </c>
      <c r="G677" s="403"/>
      <c r="H677" s="349" t="s">
        <v>5206</v>
      </c>
      <c r="I677" s="866" t="str">
        <f t="shared" si="11"/>
        <v>NOT PAID</v>
      </c>
      <c r="J677" s="402"/>
      <c r="K677" s="402"/>
      <c r="L677" s="402"/>
      <c r="M677" s="402"/>
      <c r="N677" s="402"/>
      <c r="O677" s="402"/>
      <c r="P677" s="402"/>
      <c r="Q677" s="402"/>
      <c r="R677" s="402"/>
      <c r="S677" s="402"/>
      <c r="T677" s="402"/>
      <c r="U677" s="402"/>
      <c r="V677" s="402"/>
      <c r="W677" s="402"/>
      <c r="X677" s="402"/>
      <c r="Y677" s="402"/>
      <c r="Z677" s="402"/>
    </row>
    <row r="678" ht="14.25" customHeight="1">
      <c r="A678" s="697">
        <v>45514.0</v>
      </c>
      <c r="B678" s="863" t="s">
        <v>5208</v>
      </c>
      <c r="C678" s="863" t="s">
        <v>5209</v>
      </c>
      <c r="D678" s="867" t="s">
        <v>54</v>
      </c>
      <c r="E678" s="689" t="s">
        <v>578</v>
      </c>
      <c r="F678" s="865">
        <v>56147.0</v>
      </c>
      <c r="G678" s="413">
        <v>56107.0</v>
      </c>
      <c r="H678" s="349" t="s">
        <v>267</v>
      </c>
      <c r="I678" s="866" t="str">
        <f t="shared" si="11"/>
        <v>PARTIALLY PAID</v>
      </c>
      <c r="J678" s="402"/>
      <c r="K678" s="402"/>
      <c r="L678" s="402"/>
      <c r="M678" s="402"/>
      <c r="N678" s="402"/>
      <c r="O678" s="402"/>
      <c r="P678" s="402"/>
      <c r="Q678" s="402"/>
      <c r="R678" s="402"/>
      <c r="S678" s="402"/>
      <c r="T678" s="402"/>
      <c r="U678" s="402"/>
      <c r="V678" s="402"/>
      <c r="W678" s="402"/>
      <c r="X678" s="402"/>
      <c r="Y678" s="402"/>
      <c r="Z678" s="402"/>
    </row>
    <row r="679" ht="14.25" customHeight="1">
      <c r="A679" s="697">
        <v>45514.0</v>
      </c>
      <c r="B679" s="863" t="s">
        <v>5035</v>
      </c>
      <c r="C679" s="863" t="s">
        <v>5036</v>
      </c>
      <c r="D679" s="867" t="s">
        <v>54</v>
      </c>
      <c r="E679" s="689" t="s">
        <v>5210</v>
      </c>
      <c r="F679" s="865">
        <v>466.0</v>
      </c>
      <c r="G679" s="413">
        <v>466.0</v>
      </c>
      <c r="H679" s="349" t="s">
        <v>267</v>
      </c>
      <c r="I679" s="866" t="str">
        <f t="shared" si="11"/>
        <v>FULLY PAID</v>
      </c>
      <c r="J679" s="402"/>
      <c r="K679" s="402"/>
      <c r="L679" s="402"/>
      <c r="M679" s="402"/>
      <c r="N679" s="402"/>
      <c r="O679" s="402"/>
      <c r="P679" s="402"/>
      <c r="Q679" s="402"/>
      <c r="R679" s="402"/>
      <c r="S679" s="402"/>
      <c r="T679" s="402"/>
      <c r="U679" s="402"/>
      <c r="V679" s="402"/>
      <c r="W679" s="402"/>
      <c r="X679" s="402"/>
      <c r="Y679" s="402"/>
      <c r="Z679" s="402"/>
    </row>
    <row r="680" ht="14.25" customHeight="1">
      <c r="A680" s="697"/>
      <c r="B680" s="863"/>
      <c r="C680" s="863"/>
      <c r="D680" s="867"/>
      <c r="E680" s="868"/>
      <c r="F680" s="865"/>
      <c r="G680" s="403"/>
      <c r="H680" s="402"/>
      <c r="I680" s="866" t="str">
        <f t="shared" si="11"/>
        <v>FULLY PAID</v>
      </c>
      <c r="J680" s="402"/>
      <c r="K680" s="402"/>
      <c r="L680" s="402"/>
      <c r="M680" s="402"/>
      <c r="N680" s="402"/>
      <c r="O680" s="402"/>
      <c r="P680" s="402"/>
      <c r="Q680" s="402"/>
      <c r="R680" s="402"/>
      <c r="S680" s="402"/>
      <c r="T680" s="402"/>
      <c r="U680" s="402"/>
      <c r="V680" s="402"/>
      <c r="W680" s="402"/>
      <c r="X680" s="402"/>
      <c r="Y680" s="402"/>
      <c r="Z680" s="402"/>
    </row>
    <row r="681" ht="14.25" customHeight="1">
      <c r="A681" s="697">
        <v>45514.0</v>
      </c>
      <c r="B681" s="962" t="s">
        <v>4781</v>
      </c>
      <c r="C681" s="965" t="s">
        <v>4915</v>
      </c>
      <c r="D681" s="966" t="s">
        <v>54</v>
      </c>
      <c r="E681" s="883" t="s">
        <v>578</v>
      </c>
      <c r="F681" s="957">
        <v>219131.0</v>
      </c>
      <c r="G681" s="403"/>
      <c r="H681" s="349" t="s">
        <v>5206</v>
      </c>
      <c r="I681" s="866" t="str">
        <f t="shared" si="11"/>
        <v>NOT PAID</v>
      </c>
      <c r="J681" s="402"/>
      <c r="K681" s="402"/>
      <c r="L681" s="402"/>
      <c r="M681" s="402"/>
      <c r="N681" s="402"/>
      <c r="O681" s="402"/>
      <c r="P681" s="402"/>
      <c r="Q681" s="402"/>
      <c r="R681" s="402"/>
      <c r="S681" s="402"/>
      <c r="T681" s="402"/>
      <c r="U681" s="402"/>
      <c r="V681" s="402"/>
      <c r="W681" s="402"/>
      <c r="X681" s="402"/>
      <c r="Y681" s="402"/>
      <c r="Z681" s="402"/>
    </row>
    <row r="682" ht="14.25" customHeight="1">
      <c r="A682" s="697">
        <v>45514.0</v>
      </c>
      <c r="B682" s="958" t="s">
        <v>4547</v>
      </c>
      <c r="C682" s="956" t="s">
        <v>4836</v>
      </c>
      <c r="D682" s="956" t="s">
        <v>59</v>
      </c>
      <c r="E682" s="883" t="s">
        <v>578</v>
      </c>
      <c r="F682" s="876">
        <v>635602.51</v>
      </c>
      <c r="G682" s="413">
        <v>100000.0</v>
      </c>
      <c r="H682" s="349" t="s">
        <v>804</v>
      </c>
      <c r="I682" s="866" t="str">
        <f t="shared" si="11"/>
        <v>PARTIALLY PAID</v>
      </c>
      <c r="J682" s="402"/>
      <c r="K682" s="402"/>
      <c r="L682" s="402"/>
      <c r="M682" s="402"/>
      <c r="N682" s="402"/>
      <c r="O682" s="402"/>
      <c r="P682" s="402"/>
      <c r="Q682" s="402"/>
      <c r="R682" s="402"/>
      <c r="S682" s="402"/>
      <c r="T682" s="402"/>
      <c r="U682" s="402"/>
      <c r="V682" s="402"/>
      <c r="W682" s="402"/>
      <c r="X682" s="402"/>
      <c r="Y682" s="402"/>
      <c r="Z682" s="402"/>
    </row>
    <row r="683" ht="14.25" customHeight="1">
      <c r="A683" s="697">
        <v>45514.0</v>
      </c>
      <c r="B683" s="958" t="s">
        <v>4919</v>
      </c>
      <c r="C683" s="956" t="s">
        <v>4945</v>
      </c>
      <c r="D683" s="956" t="s">
        <v>75</v>
      </c>
      <c r="E683" s="883" t="s">
        <v>578</v>
      </c>
      <c r="F683" s="957">
        <v>306751.35</v>
      </c>
      <c r="G683" s="403"/>
      <c r="H683" s="349" t="s">
        <v>5206</v>
      </c>
      <c r="I683" s="866" t="str">
        <f t="shared" si="11"/>
        <v>NOT PAID</v>
      </c>
      <c r="J683" s="402"/>
      <c r="K683" s="402"/>
      <c r="L683" s="402"/>
      <c r="M683" s="402"/>
      <c r="N683" s="402"/>
      <c r="O683" s="402"/>
      <c r="P683" s="402"/>
      <c r="Q683" s="402"/>
      <c r="R683" s="402"/>
      <c r="S683" s="402"/>
      <c r="T683" s="402"/>
      <c r="U683" s="402"/>
      <c r="V683" s="402"/>
      <c r="W683" s="402"/>
      <c r="X683" s="402"/>
      <c r="Y683" s="402"/>
      <c r="Z683" s="402"/>
    </row>
    <row r="684" ht="14.25" customHeight="1">
      <c r="A684" s="697">
        <v>45514.0</v>
      </c>
      <c r="B684" s="967" t="s">
        <v>4783</v>
      </c>
      <c r="C684" s="956" t="s">
        <v>4945</v>
      </c>
      <c r="D684" s="966" t="s">
        <v>54</v>
      </c>
      <c r="E684" s="883" t="s">
        <v>578</v>
      </c>
      <c r="F684" s="766">
        <v>854884.6</v>
      </c>
      <c r="G684" s="403"/>
      <c r="H684" s="349" t="s">
        <v>5206</v>
      </c>
      <c r="I684" s="866" t="str">
        <f t="shared" si="11"/>
        <v>NOT PAID</v>
      </c>
      <c r="J684" s="402"/>
      <c r="K684" s="402"/>
      <c r="L684" s="402"/>
      <c r="M684" s="402"/>
      <c r="N684" s="402"/>
      <c r="O684" s="402"/>
      <c r="P684" s="402"/>
      <c r="Q684" s="402"/>
      <c r="R684" s="402"/>
      <c r="S684" s="402"/>
      <c r="T684" s="402"/>
      <c r="U684" s="402"/>
      <c r="V684" s="402"/>
      <c r="W684" s="402"/>
      <c r="X684" s="402"/>
      <c r="Y684" s="402"/>
      <c r="Z684" s="402"/>
    </row>
    <row r="685" ht="14.25" customHeight="1">
      <c r="A685" s="697">
        <v>45514.0</v>
      </c>
      <c r="B685" s="863"/>
      <c r="C685" s="863"/>
      <c r="D685" s="867"/>
      <c r="E685" s="868"/>
      <c r="F685" s="865"/>
      <c r="G685" s="403"/>
      <c r="H685" s="402"/>
      <c r="I685" s="866" t="str">
        <f t="shared" si="11"/>
        <v>FULLY PAID</v>
      </c>
      <c r="J685" s="402"/>
      <c r="K685" s="402"/>
      <c r="L685" s="402"/>
      <c r="M685" s="402"/>
      <c r="N685" s="402"/>
      <c r="O685" s="402"/>
      <c r="P685" s="402"/>
      <c r="Q685" s="402"/>
      <c r="R685" s="402"/>
      <c r="S685" s="402"/>
      <c r="T685" s="402"/>
      <c r="U685" s="402"/>
      <c r="V685" s="402"/>
      <c r="W685" s="402"/>
      <c r="X685" s="402"/>
      <c r="Y685" s="402"/>
      <c r="Z685" s="402"/>
    </row>
    <row r="686" ht="14.25" customHeight="1">
      <c r="A686" s="697"/>
      <c r="B686" s="863"/>
      <c r="C686" s="863"/>
      <c r="D686" s="867"/>
      <c r="E686" s="868"/>
      <c r="F686" s="865"/>
      <c r="G686" s="403"/>
      <c r="H686" s="402"/>
      <c r="I686" s="866" t="str">
        <f t="shared" si="11"/>
        <v>FULLY PAID</v>
      </c>
      <c r="J686" s="402"/>
      <c r="K686" s="402"/>
      <c r="L686" s="402"/>
      <c r="M686" s="402"/>
      <c r="N686" s="402"/>
      <c r="O686" s="402"/>
      <c r="P686" s="402"/>
      <c r="Q686" s="402"/>
      <c r="R686" s="402"/>
      <c r="S686" s="402"/>
      <c r="T686" s="402"/>
      <c r="U686" s="402"/>
      <c r="V686" s="402"/>
      <c r="W686" s="402"/>
      <c r="X686" s="402"/>
      <c r="Y686" s="402"/>
      <c r="Z686" s="402"/>
    </row>
    <row r="687" ht="14.25" customHeight="1">
      <c r="A687" s="697"/>
      <c r="B687" s="863"/>
      <c r="C687" s="863"/>
      <c r="D687" s="867"/>
      <c r="E687" s="868"/>
      <c r="F687" s="865"/>
      <c r="G687" s="403"/>
      <c r="H687" s="402"/>
      <c r="I687" s="866" t="str">
        <f t="shared" si="11"/>
        <v>FULLY PAID</v>
      </c>
      <c r="J687" s="402"/>
      <c r="K687" s="402"/>
      <c r="L687" s="402"/>
      <c r="M687" s="402"/>
      <c r="N687" s="402"/>
      <c r="O687" s="402"/>
      <c r="P687" s="402"/>
      <c r="Q687" s="402"/>
      <c r="R687" s="402"/>
      <c r="S687" s="402"/>
      <c r="T687" s="402"/>
      <c r="U687" s="402"/>
      <c r="V687" s="402"/>
      <c r="W687" s="402"/>
      <c r="X687" s="402"/>
      <c r="Y687" s="402"/>
      <c r="Z687" s="402"/>
    </row>
    <row r="688" ht="14.25" customHeight="1">
      <c r="A688" s="896" t="s">
        <v>2130</v>
      </c>
      <c r="B688" s="897" t="s">
        <v>39</v>
      </c>
      <c r="C688" s="896" t="s">
        <v>48</v>
      </c>
      <c r="D688" s="896" t="s">
        <v>49</v>
      </c>
      <c r="E688" s="898" t="s">
        <v>50</v>
      </c>
      <c r="F688" s="899" t="s">
        <v>2</v>
      </c>
      <c r="G688" s="896" t="s">
        <v>44</v>
      </c>
      <c r="H688" s="896" t="s">
        <v>45</v>
      </c>
      <c r="I688" s="866" t="str">
        <f t="shared" si="11"/>
        <v>FULLY PAID</v>
      </c>
      <c r="J688" s="402"/>
      <c r="K688" s="402"/>
      <c r="L688" s="402"/>
      <c r="M688" s="402"/>
      <c r="N688" s="402"/>
      <c r="O688" s="402"/>
      <c r="P688" s="402"/>
      <c r="Q688" s="402"/>
      <c r="R688" s="402"/>
      <c r="S688" s="402"/>
      <c r="T688" s="402"/>
      <c r="U688" s="402"/>
      <c r="V688" s="402"/>
      <c r="W688" s="402"/>
      <c r="X688" s="402"/>
      <c r="Y688" s="402"/>
      <c r="Z688" s="402"/>
    </row>
    <row r="689" ht="14.25" customHeight="1">
      <c r="A689" s="697">
        <v>45516.0</v>
      </c>
      <c r="B689" s="863" t="s">
        <v>5127</v>
      </c>
      <c r="C689" s="863" t="s">
        <v>5211</v>
      </c>
      <c r="D689" s="867" t="s">
        <v>54</v>
      </c>
      <c r="E689" s="689" t="s">
        <v>5002</v>
      </c>
      <c r="F689" s="865">
        <v>127874.49</v>
      </c>
      <c r="G689" s="403"/>
      <c r="H689" s="349" t="s">
        <v>650</v>
      </c>
      <c r="I689" s="866" t="str">
        <f t="shared" si="11"/>
        <v>NOT PAID</v>
      </c>
      <c r="J689" s="402"/>
      <c r="K689" s="402"/>
      <c r="L689" s="402"/>
      <c r="M689" s="402"/>
      <c r="N689" s="402"/>
      <c r="O689" s="402"/>
      <c r="P689" s="402"/>
      <c r="Q689" s="402"/>
      <c r="R689" s="402"/>
      <c r="S689" s="402"/>
      <c r="T689" s="402"/>
      <c r="U689" s="402"/>
      <c r="V689" s="402"/>
      <c r="W689" s="402"/>
      <c r="X689" s="402"/>
      <c r="Y689" s="402"/>
      <c r="Z689" s="402"/>
    </row>
    <row r="690" ht="14.25" customHeight="1">
      <c r="A690" s="697">
        <v>45516.0</v>
      </c>
      <c r="B690" s="863" t="s">
        <v>5130</v>
      </c>
      <c r="C690" s="863" t="s">
        <v>5171</v>
      </c>
      <c r="D690" s="867" t="s">
        <v>54</v>
      </c>
      <c r="E690" s="689" t="s">
        <v>5002</v>
      </c>
      <c r="F690" s="865">
        <v>3227.69</v>
      </c>
      <c r="G690" s="403"/>
      <c r="H690" s="349" t="s">
        <v>710</v>
      </c>
      <c r="I690" s="866" t="str">
        <f t="shared" si="11"/>
        <v>NOT PAID</v>
      </c>
      <c r="J690" s="402"/>
      <c r="K690" s="402"/>
      <c r="L690" s="402"/>
      <c r="M690" s="402"/>
      <c r="N690" s="402"/>
      <c r="O690" s="402"/>
      <c r="P690" s="402"/>
      <c r="Q690" s="402"/>
      <c r="R690" s="402"/>
      <c r="S690" s="402"/>
      <c r="T690" s="402"/>
      <c r="U690" s="402"/>
      <c r="V690" s="402"/>
      <c r="W690" s="402"/>
      <c r="X690" s="402"/>
      <c r="Y690" s="402"/>
      <c r="Z690" s="402"/>
    </row>
    <row r="691" ht="14.25" customHeight="1">
      <c r="A691" s="697">
        <v>45516.0</v>
      </c>
      <c r="B691" s="863" t="s">
        <v>5212</v>
      </c>
      <c r="C691" s="863" t="s">
        <v>5213</v>
      </c>
      <c r="D691" s="867" t="s">
        <v>54</v>
      </c>
      <c r="E691" s="883" t="s">
        <v>578</v>
      </c>
      <c r="F691" s="865">
        <v>5147.95</v>
      </c>
      <c r="G691" s="403"/>
      <c r="H691" s="349" t="s">
        <v>2769</v>
      </c>
      <c r="I691" s="866" t="str">
        <f t="shared" si="11"/>
        <v>NOT PAID</v>
      </c>
      <c r="J691" s="402"/>
      <c r="K691" s="402"/>
      <c r="L691" s="402"/>
      <c r="M691" s="402"/>
      <c r="N691" s="402"/>
      <c r="O691" s="402"/>
      <c r="P691" s="402"/>
      <c r="Q691" s="402"/>
      <c r="R691" s="402"/>
      <c r="S691" s="402"/>
      <c r="T691" s="402"/>
      <c r="U691" s="402"/>
      <c r="V691" s="402"/>
      <c r="W691" s="402"/>
      <c r="X691" s="402"/>
      <c r="Y691" s="402"/>
      <c r="Z691" s="402"/>
    </row>
    <row r="692" ht="14.25" customHeight="1">
      <c r="A692" s="697">
        <v>45516.0</v>
      </c>
      <c r="B692" s="863" t="s">
        <v>4939</v>
      </c>
      <c r="C692" s="863" t="s">
        <v>4932</v>
      </c>
      <c r="D692" s="867" t="s">
        <v>54</v>
      </c>
      <c r="E692" s="883" t="s">
        <v>5000</v>
      </c>
      <c r="F692" s="865">
        <v>13845.99</v>
      </c>
      <c r="G692" s="413">
        <v>12500.0</v>
      </c>
      <c r="H692" s="349" t="s">
        <v>5001</v>
      </c>
      <c r="I692" s="866" t="str">
        <f t="shared" si="11"/>
        <v>PARTIALLY PAID</v>
      </c>
      <c r="J692" s="402"/>
      <c r="K692" s="402"/>
      <c r="L692" s="402"/>
      <c r="M692" s="402"/>
      <c r="N692" s="402"/>
      <c r="O692" s="402"/>
      <c r="P692" s="402"/>
      <c r="Q692" s="402"/>
      <c r="R692" s="402"/>
      <c r="S692" s="402"/>
      <c r="T692" s="402"/>
      <c r="U692" s="402"/>
      <c r="V692" s="402"/>
      <c r="W692" s="402"/>
      <c r="X692" s="402"/>
      <c r="Y692" s="402"/>
      <c r="Z692" s="402"/>
    </row>
    <row r="693" ht="14.25" customHeight="1">
      <c r="A693" s="697">
        <v>45516.0</v>
      </c>
      <c r="B693" s="863" t="s">
        <v>5198</v>
      </c>
      <c r="C693" s="863" t="s">
        <v>5199</v>
      </c>
      <c r="D693" s="867" t="s">
        <v>54</v>
      </c>
      <c r="E693" s="689" t="s">
        <v>578</v>
      </c>
      <c r="F693" s="865">
        <v>30966.87</v>
      </c>
      <c r="G693" s="403"/>
      <c r="H693" s="349" t="s">
        <v>2769</v>
      </c>
      <c r="I693" s="866" t="str">
        <f t="shared" si="11"/>
        <v>NOT PAID</v>
      </c>
      <c r="J693" s="402"/>
      <c r="K693" s="402"/>
      <c r="L693" s="402"/>
      <c r="M693" s="402"/>
      <c r="N693" s="402"/>
      <c r="O693" s="402"/>
      <c r="P693" s="402"/>
      <c r="Q693" s="402"/>
      <c r="R693" s="402"/>
      <c r="S693" s="402"/>
      <c r="T693" s="402"/>
      <c r="U693" s="402"/>
      <c r="V693" s="402"/>
      <c r="W693" s="402"/>
      <c r="X693" s="402"/>
      <c r="Y693" s="402"/>
      <c r="Z693" s="402"/>
    </row>
    <row r="694" ht="14.25" customHeight="1">
      <c r="A694" s="697">
        <v>45516.0</v>
      </c>
      <c r="B694" s="863" t="s">
        <v>4898</v>
      </c>
      <c r="C694" s="863" t="s">
        <v>4899</v>
      </c>
      <c r="D694" s="867" t="s">
        <v>54</v>
      </c>
      <c r="E694" s="689" t="s">
        <v>5002</v>
      </c>
      <c r="F694" s="865">
        <v>996.49</v>
      </c>
      <c r="G694" s="403"/>
      <c r="H694" s="349" t="s">
        <v>4841</v>
      </c>
      <c r="I694" s="866" t="str">
        <f t="shared" si="11"/>
        <v>NOT PAID</v>
      </c>
      <c r="J694" s="402"/>
      <c r="K694" s="402"/>
      <c r="L694" s="402"/>
      <c r="M694" s="402"/>
      <c r="N694" s="402"/>
      <c r="O694" s="402"/>
      <c r="P694" s="402"/>
      <c r="Q694" s="402"/>
      <c r="R694" s="402"/>
      <c r="S694" s="402"/>
      <c r="T694" s="402"/>
      <c r="U694" s="402"/>
      <c r="V694" s="402"/>
      <c r="W694" s="402"/>
      <c r="X694" s="402"/>
      <c r="Y694" s="402"/>
      <c r="Z694" s="402"/>
    </row>
    <row r="695" ht="14.25" customHeight="1">
      <c r="A695" s="697">
        <v>45516.0</v>
      </c>
      <c r="B695" s="863" t="s">
        <v>4864</v>
      </c>
      <c r="C695" s="863" t="s">
        <v>4865</v>
      </c>
      <c r="D695" s="867" t="s">
        <v>54</v>
      </c>
      <c r="E695" s="689" t="s">
        <v>5000</v>
      </c>
      <c r="F695" s="865">
        <v>7072.53</v>
      </c>
      <c r="G695" s="403"/>
      <c r="H695" s="349" t="s">
        <v>5177</v>
      </c>
      <c r="I695" s="866" t="str">
        <f t="shared" si="11"/>
        <v>NOT PAID</v>
      </c>
      <c r="J695" s="402"/>
      <c r="K695" s="402"/>
      <c r="L695" s="402"/>
      <c r="M695" s="402"/>
      <c r="N695" s="402"/>
      <c r="O695" s="402"/>
      <c r="P695" s="402"/>
      <c r="Q695" s="402"/>
      <c r="R695" s="402"/>
      <c r="S695" s="402"/>
      <c r="T695" s="402"/>
      <c r="U695" s="402"/>
      <c r="V695" s="402"/>
      <c r="W695" s="402"/>
      <c r="X695" s="402"/>
      <c r="Y695" s="402"/>
      <c r="Z695" s="402"/>
    </row>
    <row r="696" ht="14.25" customHeight="1">
      <c r="A696" s="697">
        <v>45516.0</v>
      </c>
      <c r="B696" s="863" t="s">
        <v>4900</v>
      </c>
      <c r="C696" s="863" t="s">
        <v>5055</v>
      </c>
      <c r="D696" s="867" t="s">
        <v>54</v>
      </c>
      <c r="E696" s="689" t="s">
        <v>578</v>
      </c>
      <c r="F696" s="865">
        <v>7957.99</v>
      </c>
      <c r="G696" s="403"/>
      <c r="H696" s="349" t="s">
        <v>5214</v>
      </c>
      <c r="I696" s="866" t="str">
        <f t="shared" si="11"/>
        <v>NOT PAID</v>
      </c>
      <c r="J696" s="402"/>
      <c r="K696" s="402"/>
      <c r="L696" s="402"/>
      <c r="M696" s="402"/>
      <c r="N696" s="402"/>
      <c r="O696" s="402"/>
      <c r="P696" s="402"/>
      <c r="Q696" s="402"/>
      <c r="R696" s="402"/>
      <c r="S696" s="402"/>
      <c r="T696" s="402"/>
      <c r="U696" s="402"/>
      <c r="V696" s="402"/>
      <c r="W696" s="402"/>
      <c r="X696" s="402"/>
      <c r="Y696" s="402"/>
      <c r="Z696" s="402"/>
    </row>
    <row r="697" ht="14.25" customHeight="1">
      <c r="A697" s="697">
        <v>45516.0</v>
      </c>
      <c r="B697" s="863" t="s">
        <v>4933</v>
      </c>
      <c r="C697" s="863" t="s">
        <v>4848</v>
      </c>
      <c r="D697" s="867" t="s">
        <v>59</v>
      </c>
      <c r="E697" s="689" t="s">
        <v>578</v>
      </c>
      <c r="F697" s="865">
        <v>304498.44</v>
      </c>
      <c r="G697" s="403"/>
      <c r="H697" s="349" t="s">
        <v>5010</v>
      </c>
      <c r="I697" s="866" t="str">
        <f t="shared" si="11"/>
        <v>NOT PAID</v>
      </c>
      <c r="J697" s="402"/>
      <c r="K697" s="402"/>
      <c r="L697" s="402"/>
      <c r="M697" s="402"/>
      <c r="N697" s="402"/>
      <c r="O697" s="402"/>
      <c r="P697" s="402"/>
      <c r="Q697" s="402"/>
      <c r="R697" s="402"/>
      <c r="S697" s="402"/>
      <c r="T697" s="402"/>
      <c r="U697" s="402"/>
      <c r="V697" s="402"/>
      <c r="W697" s="402"/>
      <c r="X697" s="402"/>
      <c r="Y697" s="402"/>
      <c r="Z697" s="402"/>
    </row>
    <row r="698" ht="14.25" customHeight="1">
      <c r="A698" s="697">
        <v>45516.0</v>
      </c>
      <c r="B698" s="863" t="s">
        <v>5097</v>
      </c>
      <c r="C698" s="863" t="s">
        <v>5076</v>
      </c>
      <c r="D698" s="867" t="s">
        <v>54</v>
      </c>
      <c r="E698" s="689" t="s">
        <v>5037</v>
      </c>
      <c r="F698" s="865">
        <v>36916.85</v>
      </c>
      <c r="G698" s="403"/>
      <c r="H698" s="349" t="s">
        <v>5215</v>
      </c>
      <c r="I698" s="866" t="str">
        <f t="shared" si="11"/>
        <v>NOT PAID</v>
      </c>
      <c r="J698" s="402"/>
      <c r="K698" s="402"/>
      <c r="L698" s="402"/>
      <c r="M698" s="402"/>
      <c r="N698" s="402"/>
      <c r="O698" s="402"/>
      <c r="P698" s="402"/>
      <c r="Q698" s="402"/>
      <c r="R698" s="402"/>
      <c r="S698" s="402"/>
      <c r="T698" s="402"/>
      <c r="U698" s="402"/>
      <c r="V698" s="402"/>
      <c r="W698" s="402"/>
      <c r="X698" s="402"/>
      <c r="Y698" s="402"/>
      <c r="Z698" s="402"/>
    </row>
    <row r="699" ht="14.25" customHeight="1">
      <c r="A699" s="697">
        <v>45516.0</v>
      </c>
      <c r="B699" s="863" t="s">
        <v>4942</v>
      </c>
      <c r="C699" s="863" t="s">
        <v>4943</v>
      </c>
      <c r="D699" s="867" t="s">
        <v>54</v>
      </c>
      <c r="E699" s="689" t="s">
        <v>5002</v>
      </c>
      <c r="F699" s="865">
        <v>1548.23</v>
      </c>
      <c r="G699" s="413">
        <v>3000.0</v>
      </c>
      <c r="H699" s="349" t="s">
        <v>710</v>
      </c>
      <c r="I699" s="866" t="str">
        <f t="shared" si="11"/>
        <v>FULLY PAID</v>
      </c>
      <c r="J699" s="402"/>
      <c r="K699" s="402"/>
      <c r="L699" s="402"/>
      <c r="M699" s="402"/>
      <c r="N699" s="402"/>
      <c r="O699" s="402"/>
      <c r="P699" s="402"/>
      <c r="Q699" s="402"/>
      <c r="R699" s="402"/>
      <c r="S699" s="402"/>
      <c r="T699" s="402"/>
      <c r="U699" s="402"/>
      <c r="V699" s="402"/>
      <c r="W699" s="402"/>
      <c r="X699" s="402"/>
      <c r="Y699" s="402"/>
      <c r="Z699" s="402"/>
    </row>
    <row r="700" ht="14.25" customHeight="1">
      <c r="A700" s="697">
        <v>45516.0</v>
      </c>
      <c r="B700" s="863" t="s">
        <v>4767</v>
      </c>
      <c r="C700" s="863" t="s">
        <v>4861</v>
      </c>
      <c r="D700" s="867" t="s">
        <v>59</v>
      </c>
      <c r="E700" s="689" t="s">
        <v>5000</v>
      </c>
      <c r="F700" s="865">
        <v>96043.94</v>
      </c>
      <c r="G700" s="403"/>
      <c r="H700" s="349" t="s">
        <v>2769</v>
      </c>
      <c r="I700" s="866" t="str">
        <f t="shared" si="11"/>
        <v>NOT PAID</v>
      </c>
      <c r="J700" s="402"/>
      <c r="K700" s="402"/>
      <c r="L700" s="402"/>
      <c r="M700" s="402"/>
      <c r="N700" s="402"/>
      <c r="O700" s="402"/>
      <c r="P700" s="402"/>
      <c r="Q700" s="402"/>
      <c r="R700" s="402"/>
      <c r="S700" s="402"/>
      <c r="T700" s="402"/>
      <c r="U700" s="402"/>
      <c r="V700" s="402"/>
      <c r="W700" s="402"/>
      <c r="X700" s="402"/>
      <c r="Y700" s="402"/>
      <c r="Z700" s="402"/>
    </row>
    <row r="701" ht="14.25" customHeight="1">
      <c r="A701" s="697">
        <v>45516.0</v>
      </c>
      <c r="B701" s="863" t="s">
        <v>4770</v>
      </c>
      <c r="C701" s="863" t="s">
        <v>2529</v>
      </c>
      <c r="D701" s="867" t="s">
        <v>263</v>
      </c>
      <c r="E701" s="689" t="s">
        <v>578</v>
      </c>
      <c r="F701" s="865">
        <v>57130.13</v>
      </c>
      <c r="G701" s="403"/>
      <c r="H701" s="349" t="s">
        <v>5216</v>
      </c>
      <c r="I701" s="866" t="str">
        <f t="shared" si="11"/>
        <v>NOT PAID</v>
      </c>
      <c r="J701" s="402"/>
      <c r="K701" s="402"/>
      <c r="L701" s="402"/>
      <c r="M701" s="402"/>
      <c r="N701" s="402"/>
      <c r="O701" s="402"/>
      <c r="P701" s="402"/>
      <c r="Q701" s="402"/>
      <c r="R701" s="402"/>
      <c r="S701" s="402"/>
      <c r="T701" s="402"/>
      <c r="U701" s="402"/>
      <c r="V701" s="402"/>
      <c r="W701" s="402"/>
      <c r="X701" s="402"/>
      <c r="Y701" s="402"/>
      <c r="Z701" s="402"/>
    </row>
    <row r="702" ht="14.25" customHeight="1">
      <c r="A702" s="697">
        <v>45516.0</v>
      </c>
      <c r="B702" s="863" t="s">
        <v>4773</v>
      </c>
      <c r="C702" s="863" t="s">
        <v>4906</v>
      </c>
      <c r="D702" s="867" t="s">
        <v>54</v>
      </c>
      <c r="E702" s="689" t="s">
        <v>5000</v>
      </c>
      <c r="F702" s="865">
        <v>933.27</v>
      </c>
      <c r="G702" s="403"/>
      <c r="H702" s="349" t="s">
        <v>2769</v>
      </c>
      <c r="I702" s="866" t="str">
        <f t="shared" si="11"/>
        <v>NOT PAID</v>
      </c>
      <c r="J702" s="402"/>
      <c r="K702" s="402"/>
      <c r="L702" s="402"/>
      <c r="M702" s="402"/>
      <c r="N702" s="402"/>
      <c r="O702" s="402"/>
      <c r="P702" s="402"/>
      <c r="Q702" s="402"/>
      <c r="R702" s="402"/>
      <c r="S702" s="402"/>
      <c r="T702" s="402"/>
      <c r="U702" s="402"/>
      <c r="V702" s="402"/>
      <c r="W702" s="402"/>
      <c r="X702" s="402"/>
      <c r="Y702" s="402"/>
      <c r="Z702" s="402"/>
    </row>
    <row r="703" ht="14.25" customHeight="1">
      <c r="A703" s="697">
        <v>45516.0</v>
      </c>
      <c r="B703" s="863" t="s">
        <v>5042</v>
      </c>
      <c r="C703" s="863" t="s">
        <v>5060</v>
      </c>
      <c r="D703" s="867" t="s">
        <v>54</v>
      </c>
      <c r="E703" s="689" t="s">
        <v>578</v>
      </c>
      <c r="F703" s="865">
        <v>50813.4</v>
      </c>
      <c r="G703" s="403"/>
      <c r="H703" s="545" t="s">
        <v>5217</v>
      </c>
      <c r="I703" s="866" t="str">
        <f t="shared" si="11"/>
        <v>NOT PAID</v>
      </c>
      <c r="J703" s="402"/>
      <c r="K703" s="402"/>
      <c r="L703" s="402"/>
      <c r="M703" s="402"/>
      <c r="N703" s="402"/>
      <c r="O703" s="402"/>
      <c r="P703" s="402"/>
      <c r="Q703" s="402"/>
      <c r="R703" s="402"/>
      <c r="S703" s="402"/>
      <c r="T703" s="402"/>
      <c r="U703" s="402"/>
      <c r="V703" s="402"/>
      <c r="W703" s="402"/>
      <c r="X703" s="402"/>
      <c r="Y703" s="402"/>
      <c r="Z703" s="402"/>
    </row>
    <row r="704" ht="14.25" customHeight="1">
      <c r="A704" s="697">
        <v>45516.0</v>
      </c>
      <c r="B704" s="863" t="s">
        <v>4779</v>
      </c>
      <c r="C704" s="863" t="s">
        <v>4907</v>
      </c>
      <c r="D704" s="867" t="s">
        <v>54</v>
      </c>
      <c r="E704" s="689" t="s">
        <v>5002</v>
      </c>
      <c r="F704" s="865">
        <v>2682.6</v>
      </c>
      <c r="G704" s="403"/>
      <c r="H704" s="349" t="s">
        <v>2769</v>
      </c>
      <c r="I704" s="866" t="str">
        <f t="shared" si="11"/>
        <v>NOT PAID</v>
      </c>
      <c r="J704" s="402"/>
      <c r="K704" s="402"/>
      <c r="L704" s="402"/>
      <c r="M704" s="402"/>
      <c r="N704" s="402"/>
      <c r="O704" s="402"/>
      <c r="P704" s="402"/>
      <c r="Q704" s="402"/>
      <c r="R704" s="402"/>
      <c r="S704" s="402"/>
      <c r="T704" s="402"/>
      <c r="U704" s="402"/>
      <c r="V704" s="402"/>
      <c r="W704" s="402"/>
      <c r="X704" s="402"/>
      <c r="Y704" s="402"/>
      <c r="Z704" s="402"/>
    </row>
    <row r="705" ht="14.25" customHeight="1">
      <c r="A705" s="697">
        <v>45516.0</v>
      </c>
      <c r="B705" s="863" t="s">
        <v>4781</v>
      </c>
      <c r="C705" s="863" t="s">
        <v>4915</v>
      </c>
      <c r="D705" s="867" t="s">
        <v>54</v>
      </c>
      <c r="E705" s="689" t="s">
        <v>578</v>
      </c>
      <c r="F705" s="865">
        <v>92289.58</v>
      </c>
      <c r="G705" s="403"/>
      <c r="H705" s="349" t="s">
        <v>5218</v>
      </c>
      <c r="I705" s="866" t="str">
        <f t="shared" si="11"/>
        <v>NOT PAID</v>
      </c>
      <c r="J705" s="402"/>
      <c r="K705" s="402"/>
      <c r="L705" s="402"/>
      <c r="M705" s="402"/>
      <c r="N705" s="402"/>
      <c r="O705" s="402"/>
      <c r="P705" s="402"/>
      <c r="Q705" s="402"/>
      <c r="R705" s="402"/>
      <c r="S705" s="402"/>
      <c r="T705" s="402"/>
      <c r="U705" s="402"/>
      <c r="V705" s="402"/>
      <c r="W705" s="402"/>
      <c r="X705" s="402"/>
      <c r="Y705" s="402"/>
      <c r="Z705" s="402"/>
    </row>
    <row r="706" ht="14.25" customHeight="1">
      <c r="A706" s="697">
        <v>45516.0</v>
      </c>
      <c r="B706" s="863" t="s">
        <v>4807</v>
      </c>
      <c r="C706" s="863" t="s">
        <v>4978</v>
      </c>
      <c r="D706" s="867" t="s">
        <v>346</v>
      </c>
      <c r="E706" s="689" t="s">
        <v>5000</v>
      </c>
      <c r="F706" s="865">
        <v>3091.76</v>
      </c>
      <c r="G706" s="403"/>
      <c r="H706" s="349" t="s">
        <v>2769</v>
      </c>
      <c r="I706" s="866" t="str">
        <f t="shared" si="11"/>
        <v>NOT PAID</v>
      </c>
      <c r="J706" s="402"/>
      <c r="K706" s="402"/>
      <c r="L706" s="402"/>
      <c r="M706" s="402"/>
      <c r="N706" s="402"/>
      <c r="O706" s="402"/>
      <c r="P706" s="402"/>
      <c r="Q706" s="402"/>
      <c r="R706" s="402"/>
      <c r="S706" s="402"/>
      <c r="T706" s="402"/>
      <c r="U706" s="402"/>
      <c r="V706" s="402"/>
      <c r="W706" s="402"/>
      <c r="X706" s="402"/>
      <c r="Y706" s="402"/>
      <c r="Z706" s="402"/>
    </row>
    <row r="707" ht="14.25" customHeight="1">
      <c r="A707" s="697">
        <v>45516.0</v>
      </c>
      <c r="B707" s="863" t="s">
        <v>5033</v>
      </c>
      <c r="C707" s="863" t="s">
        <v>5034</v>
      </c>
      <c r="D707" s="867" t="s">
        <v>54</v>
      </c>
      <c r="E707" s="689" t="s">
        <v>5000</v>
      </c>
      <c r="F707" s="865">
        <v>52822.89</v>
      </c>
      <c r="G707" s="403"/>
      <c r="H707" s="349" t="s">
        <v>5181</v>
      </c>
      <c r="I707" s="866" t="str">
        <f t="shared" si="11"/>
        <v>NOT PAID</v>
      </c>
      <c r="J707" s="402"/>
      <c r="K707" s="402"/>
      <c r="L707" s="402"/>
      <c r="M707" s="402"/>
      <c r="N707" s="402"/>
      <c r="O707" s="402"/>
      <c r="P707" s="402"/>
      <c r="Q707" s="402"/>
      <c r="R707" s="402"/>
      <c r="S707" s="402"/>
      <c r="T707" s="402"/>
      <c r="U707" s="402"/>
      <c r="V707" s="402"/>
      <c r="W707" s="402"/>
      <c r="X707" s="402"/>
      <c r="Y707" s="402"/>
      <c r="Z707" s="402"/>
    </row>
    <row r="708" ht="14.25" customHeight="1">
      <c r="A708" s="697">
        <v>45516.0</v>
      </c>
      <c r="B708" s="863" t="s">
        <v>5143</v>
      </c>
      <c r="C708" s="863" t="s">
        <v>5174</v>
      </c>
      <c r="D708" s="867" t="s">
        <v>54</v>
      </c>
      <c r="E708" s="689" t="s">
        <v>5000</v>
      </c>
      <c r="F708" s="865">
        <v>4342.37</v>
      </c>
      <c r="G708" s="403"/>
      <c r="H708" s="349" t="s">
        <v>2769</v>
      </c>
      <c r="I708" s="866" t="str">
        <f t="shared" si="11"/>
        <v>NOT PAID</v>
      </c>
      <c r="J708" s="402"/>
      <c r="K708" s="402"/>
      <c r="L708" s="402"/>
      <c r="M708" s="402"/>
      <c r="N708" s="402"/>
      <c r="O708" s="402"/>
      <c r="P708" s="402"/>
      <c r="Q708" s="402"/>
      <c r="R708" s="402"/>
      <c r="S708" s="402"/>
      <c r="T708" s="402"/>
      <c r="U708" s="402"/>
      <c r="V708" s="402"/>
      <c r="W708" s="402"/>
      <c r="X708" s="402"/>
      <c r="Y708" s="402"/>
      <c r="Z708" s="402"/>
    </row>
    <row r="709" ht="14.25" customHeight="1">
      <c r="A709" s="697">
        <v>45516.0</v>
      </c>
      <c r="B709" s="863" t="s">
        <v>5035</v>
      </c>
      <c r="C709" s="863" t="s">
        <v>5036</v>
      </c>
      <c r="D709" s="867" t="s">
        <v>54</v>
      </c>
      <c r="E709" s="689" t="s">
        <v>5037</v>
      </c>
      <c r="F709" s="865">
        <v>19.81</v>
      </c>
      <c r="G709" s="403"/>
      <c r="H709" s="349" t="s">
        <v>2769</v>
      </c>
      <c r="I709" s="866" t="str">
        <f t="shared" si="11"/>
        <v>NOT PAID</v>
      </c>
      <c r="J709" s="402"/>
      <c r="K709" s="402"/>
      <c r="L709" s="402"/>
      <c r="M709" s="402"/>
      <c r="N709" s="402"/>
      <c r="O709" s="402"/>
      <c r="P709" s="402"/>
      <c r="Q709" s="402"/>
      <c r="R709" s="402"/>
      <c r="S709" s="402"/>
      <c r="T709" s="402"/>
      <c r="U709" s="402"/>
      <c r="V709" s="402"/>
      <c r="W709" s="402"/>
      <c r="X709" s="402"/>
      <c r="Y709" s="402"/>
      <c r="Z709" s="402"/>
    </row>
    <row r="710" ht="14.25" customHeight="1">
      <c r="A710" s="697">
        <v>45516.0</v>
      </c>
      <c r="B710" s="863" t="s">
        <v>4833</v>
      </c>
      <c r="C710" s="863" t="s">
        <v>4910</v>
      </c>
      <c r="D710" s="867" t="s">
        <v>54</v>
      </c>
      <c r="E710" s="689" t="s">
        <v>5002</v>
      </c>
      <c r="F710" s="865">
        <v>161850.46</v>
      </c>
      <c r="G710" s="413">
        <v>100000.0</v>
      </c>
      <c r="H710" s="349" t="s">
        <v>5219</v>
      </c>
      <c r="I710" s="866" t="str">
        <f t="shared" si="11"/>
        <v>PARTIALLY PAID</v>
      </c>
      <c r="J710" s="402"/>
      <c r="K710" s="402"/>
      <c r="L710" s="402"/>
      <c r="M710" s="402"/>
      <c r="N710" s="402"/>
      <c r="O710" s="402"/>
      <c r="P710" s="402"/>
      <c r="Q710" s="402"/>
      <c r="R710" s="402"/>
      <c r="S710" s="402"/>
      <c r="T710" s="402"/>
      <c r="U710" s="402"/>
      <c r="V710" s="402"/>
      <c r="W710" s="402"/>
      <c r="X710" s="402"/>
      <c r="Y710" s="402"/>
      <c r="Z710" s="402"/>
    </row>
    <row r="711" ht="14.25" customHeight="1">
      <c r="A711" s="697">
        <v>45516.0</v>
      </c>
      <c r="B711" s="863" t="s">
        <v>4791</v>
      </c>
      <c r="C711" s="863" t="s">
        <v>4912</v>
      </c>
      <c r="D711" s="867" t="s">
        <v>54</v>
      </c>
      <c r="E711" s="689" t="s">
        <v>5000</v>
      </c>
      <c r="F711" s="865">
        <v>10421.67</v>
      </c>
      <c r="G711" s="403"/>
      <c r="H711" s="349" t="s">
        <v>4968</v>
      </c>
      <c r="I711" s="866" t="str">
        <f t="shared" si="11"/>
        <v>NOT PAID</v>
      </c>
      <c r="J711" s="402"/>
      <c r="K711" s="402"/>
      <c r="L711" s="402"/>
      <c r="M711" s="402"/>
      <c r="N711" s="402"/>
      <c r="O711" s="402"/>
      <c r="P711" s="402"/>
      <c r="Q711" s="402"/>
      <c r="R711" s="402"/>
      <c r="S711" s="402"/>
      <c r="T711" s="402"/>
      <c r="U711" s="402"/>
      <c r="V711" s="402"/>
      <c r="W711" s="402"/>
      <c r="X711" s="402"/>
      <c r="Y711" s="402"/>
      <c r="Z711" s="402"/>
    </row>
    <row r="712" ht="14.25" customHeight="1">
      <c r="A712" s="697">
        <v>45516.0</v>
      </c>
      <c r="B712" s="863" t="s">
        <v>4793</v>
      </c>
      <c r="C712" s="863" t="s">
        <v>4891</v>
      </c>
      <c r="D712" s="867" t="s">
        <v>54</v>
      </c>
      <c r="E712" s="689" t="s">
        <v>578</v>
      </c>
      <c r="F712" s="865">
        <v>16926.39</v>
      </c>
      <c r="G712" s="403"/>
      <c r="H712" s="349" t="s">
        <v>4968</v>
      </c>
      <c r="I712" s="866" t="str">
        <f t="shared" si="11"/>
        <v>NOT PAID</v>
      </c>
      <c r="J712" s="402"/>
      <c r="K712" s="402"/>
      <c r="L712" s="402"/>
      <c r="M712" s="402"/>
      <c r="N712" s="402"/>
      <c r="O712" s="402"/>
      <c r="P712" s="402"/>
      <c r="Q712" s="402"/>
      <c r="R712" s="402"/>
      <c r="S712" s="402"/>
      <c r="T712" s="402"/>
      <c r="U712" s="402"/>
      <c r="V712" s="402"/>
      <c r="W712" s="402"/>
      <c r="X712" s="402"/>
      <c r="Y712" s="402"/>
      <c r="Z712" s="402"/>
    </row>
    <row r="713" ht="14.25" customHeight="1">
      <c r="A713" s="697">
        <v>45516.0</v>
      </c>
      <c r="B713" s="863" t="s">
        <v>4815</v>
      </c>
      <c r="C713" s="863" t="s">
        <v>4859</v>
      </c>
      <c r="D713" s="867" t="s">
        <v>54</v>
      </c>
      <c r="E713" s="689" t="s">
        <v>5000</v>
      </c>
      <c r="F713" s="865">
        <v>31659.45</v>
      </c>
      <c r="G713" s="403"/>
      <c r="H713" s="349" t="s">
        <v>4968</v>
      </c>
      <c r="I713" s="866" t="str">
        <f t="shared" si="11"/>
        <v>NOT PAID</v>
      </c>
      <c r="J713" s="402"/>
      <c r="K713" s="402"/>
      <c r="L713" s="402"/>
      <c r="M713" s="402"/>
      <c r="N713" s="402"/>
      <c r="O713" s="402"/>
      <c r="P713" s="402"/>
      <c r="Q713" s="402"/>
      <c r="R713" s="402"/>
      <c r="S713" s="402"/>
      <c r="T713" s="402"/>
      <c r="U713" s="402"/>
      <c r="V713" s="402"/>
      <c r="W713" s="402"/>
      <c r="X713" s="402"/>
      <c r="Y713" s="402"/>
      <c r="Z713" s="402"/>
    </row>
    <row r="714" ht="14.25" customHeight="1">
      <c r="A714" s="697">
        <v>45516.0</v>
      </c>
      <c r="B714" s="863" t="s">
        <v>4990</v>
      </c>
      <c r="C714" s="863" t="s">
        <v>4991</v>
      </c>
      <c r="D714" s="867" t="s">
        <v>54</v>
      </c>
      <c r="E714" s="689" t="s">
        <v>5000</v>
      </c>
      <c r="F714" s="865">
        <v>27982.13</v>
      </c>
      <c r="G714" s="403"/>
      <c r="H714" s="349" t="s">
        <v>4968</v>
      </c>
      <c r="I714" s="866" t="str">
        <f t="shared" si="11"/>
        <v>NOT PAID</v>
      </c>
      <c r="J714" s="402"/>
      <c r="K714" s="402"/>
      <c r="L714" s="402"/>
      <c r="M714" s="402"/>
      <c r="N714" s="402"/>
      <c r="O714" s="402"/>
      <c r="P714" s="402"/>
      <c r="Q714" s="402"/>
      <c r="R714" s="402"/>
      <c r="S714" s="402"/>
      <c r="T714" s="402"/>
      <c r="U714" s="402"/>
      <c r="V714" s="402"/>
      <c r="W714" s="402"/>
      <c r="X714" s="402"/>
      <c r="Y714" s="402"/>
      <c r="Z714" s="402"/>
    </row>
    <row r="715" ht="14.25" customHeight="1">
      <c r="A715" s="697">
        <v>45516.0</v>
      </c>
      <c r="B715" s="863" t="s">
        <v>4983</v>
      </c>
      <c r="C715" s="863" t="s">
        <v>5220</v>
      </c>
      <c r="D715" s="867" t="s">
        <v>54</v>
      </c>
      <c r="E715" s="689" t="s">
        <v>5037</v>
      </c>
      <c r="F715" s="865">
        <v>9947.61</v>
      </c>
      <c r="G715" s="403"/>
      <c r="H715" s="349" t="s">
        <v>4968</v>
      </c>
      <c r="I715" s="866" t="str">
        <f t="shared" si="11"/>
        <v>NOT PAID</v>
      </c>
      <c r="J715" s="402"/>
      <c r="K715" s="402"/>
      <c r="L715" s="402"/>
      <c r="M715" s="402"/>
      <c r="N715" s="402"/>
      <c r="O715" s="402"/>
      <c r="P715" s="402"/>
      <c r="Q715" s="402"/>
      <c r="R715" s="402"/>
      <c r="S715" s="402"/>
      <c r="T715" s="402"/>
      <c r="U715" s="402"/>
      <c r="V715" s="402"/>
      <c r="W715" s="402"/>
      <c r="X715" s="402"/>
      <c r="Y715" s="402"/>
      <c r="Z715" s="402"/>
    </row>
    <row r="716" ht="14.25" customHeight="1">
      <c r="A716" s="697">
        <v>45516.0</v>
      </c>
      <c r="B716" s="863" t="s">
        <v>5221</v>
      </c>
      <c r="C716" s="863" t="s">
        <v>5222</v>
      </c>
      <c r="D716" s="867" t="s">
        <v>75</v>
      </c>
      <c r="E716" s="689" t="s">
        <v>5000</v>
      </c>
      <c r="F716" s="865">
        <v>550000.0</v>
      </c>
      <c r="G716" s="413">
        <v>550000.0</v>
      </c>
      <c r="H716" s="349" t="s">
        <v>650</v>
      </c>
      <c r="I716" s="866" t="str">
        <f t="shared" si="11"/>
        <v>FULLY PAID</v>
      </c>
      <c r="J716" s="402"/>
      <c r="K716" s="402"/>
      <c r="L716" s="402"/>
      <c r="M716" s="402"/>
      <c r="N716" s="402"/>
      <c r="O716" s="402"/>
      <c r="P716" s="402"/>
      <c r="Q716" s="402"/>
      <c r="R716" s="402"/>
      <c r="S716" s="402"/>
      <c r="T716" s="402"/>
      <c r="U716" s="402"/>
      <c r="V716" s="402"/>
      <c r="W716" s="402"/>
      <c r="X716" s="402"/>
      <c r="Y716" s="402"/>
      <c r="Z716" s="402"/>
    </row>
    <row r="717" ht="14.25" customHeight="1">
      <c r="A717" s="697">
        <v>45516.0</v>
      </c>
      <c r="B717" s="863" t="s">
        <v>5223</v>
      </c>
      <c r="C717" s="863" t="s">
        <v>5009</v>
      </c>
      <c r="D717" s="867" t="s">
        <v>75</v>
      </c>
      <c r="E717" s="689" t="s">
        <v>578</v>
      </c>
      <c r="F717" s="865">
        <v>70400.0</v>
      </c>
      <c r="G717" s="403"/>
      <c r="H717" s="349" t="s">
        <v>4968</v>
      </c>
      <c r="I717" s="866" t="str">
        <f t="shared" si="11"/>
        <v>NOT PAID</v>
      </c>
      <c r="J717" s="402"/>
      <c r="K717" s="402"/>
      <c r="L717" s="402"/>
      <c r="M717" s="402"/>
      <c r="N717" s="402"/>
      <c r="O717" s="402"/>
      <c r="P717" s="402"/>
      <c r="Q717" s="402"/>
      <c r="R717" s="402"/>
      <c r="S717" s="402"/>
      <c r="T717" s="402"/>
      <c r="U717" s="402"/>
      <c r="V717" s="402"/>
      <c r="W717" s="402"/>
      <c r="X717" s="402"/>
      <c r="Y717" s="402"/>
      <c r="Z717" s="402"/>
    </row>
    <row r="718" ht="14.25" customHeight="1">
      <c r="A718" s="697">
        <v>45516.0</v>
      </c>
      <c r="B718" s="863" t="s">
        <v>4816</v>
      </c>
      <c r="C718" s="863" t="s">
        <v>5015</v>
      </c>
      <c r="D718" s="867" t="s">
        <v>54</v>
      </c>
      <c r="E718" s="689" t="s">
        <v>578</v>
      </c>
      <c r="F718" s="865">
        <v>40702.31</v>
      </c>
      <c r="G718" s="403"/>
      <c r="H718" s="349" t="s">
        <v>4968</v>
      </c>
      <c r="I718" s="866" t="str">
        <f t="shared" si="11"/>
        <v>NOT PAID</v>
      </c>
      <c r="J718" s="402"/>
      <c r="K718" s="402"/>
      <c r="L718" s="402"/>
      <c r="M718" s="402"/>
      <c r="N718" s="402"/>
      <c r="O718" s="402"/>
      <c r="P718" s="402"/>
      <c r="Q718" s="402"/>
      <c r="R718" s="402"/>
      <c r="S718" s="402"/>
      <c r="T718" s="402"/>
      <c r="U718" s="402"/>
      <c r="V718" s="402"/>
      <c r="W718" s="402"/>
      <c r="X718" s="402"/>
      <c r="Y718" s="402"/>
      <c r="Z718" s="402"/>
    </row>
    <row r="719" ht="14.25" customHeight="1">
      <c r="A719" s="697">
        <v>45516.0</v>
      </c>
      <c r="B719" s="863" t="s">
        <v>5224</v>
      </c>
      <c r="C719" s="863" t="s">
        <v>5225</v>
      </c>
      <c r="D719" s="867" t="s">
        <v>54</v>
      </c>
      <c r="E719" s="689" t="s">
        <v>5000</v>
      </c>
      <c r="F719" s="865">
        <v>71866.13</v>
      </c>
      <c r="G719" s="413">
        <v>0.0</v>
      </c>
      <c r="H719" s="349" t="s">
        <v>5226</v>
      </c>
      <c r="I719" s="866" t="str">
        <f t="shared" si="11"/>
        <v>NOT PAID</v>
      </c>
      <c r="J719" s="402"/>
      <c r="K719" s="402"/>
      <c r="L719" s="402"/>
      <c r="M719" s="402"/>
      <c r="N719" s="402"/>
      <c r="O719" s="402"/>
      <c r="P719" s="402"/>
      <c r="Q719" s="402"/>
      <c r="R719" s="402"/>
      <c r="S719" s="402"/>
      <c r="T719" s="402"/>
      <c r="U719" s="402"/>
      <c r="V719" s="402"/>
      <c r="W719" s="402"/>
      <c r="X719" s="402"/>
      <c r="Y719" s="402"/>
      <c r="Z719" s="402"/>
    </row>
    <row r="720" ht="14.25" customHeight="1">
      <c r="A720" s="697">
        <v>45516.0</v>
      </c>
      <c r="B720" s="863" t="s">
        <v>5227</v>
      </c>
      <c r="C720" s="863" t="s">
        <v>5228</v>
      </c>
      <c r="D720" s="867" t="s">
        <v>54</v>
      </c>
      <c r="E720" s="689" t="s">
        <v>4895</v>
      </c>
      <c r="F720" s="865">
        <v>22129.54</v>
      </c>
      <c r="G720" s="413">
        <v>0.0</v>
      </c>
      <c r="H720" s="349" t="s">
        <v>5229</v>
      </c>
      <c r="I720" s="866" t="str">
        <f t="shared" si="11"/>
        <v>NOT PAID</v>
      </c>
      <c r="J720" s="402"/>
      <c r="K720" s="402"/>
      <c r="L720" s="402"/>
      <c r="M720" s="402"/>
      <c r="N720" s="402"/>
      <c r="O720" s="402"/>
      <c r="P720" s="402"/>
      <c r="Q720" s="402"/>
      <c r="R720" s="402"/>
      <c r="S720" s="402"/>
      <c r="T720" s="402"/>
      <c r="U720" s="402"/>
      <c r="V720" s="402"/>
      <c r="W720" s="402"/>
      <c r="X720" s="402"/>
      <c r="Y720" s="402"/>
      <c r="Z720" s="402"/>
    </row>
    <row r="721" ht="14.25" customHeight="1">
      <c r="A721" s="697">
        <v>45516.0</v>
      </c>
      <c r="B721" s="863" t="s">
        <v>4547</v>
      </c>
      <c r="C721" s="863" t="s">
        <v>5230</v>
      </c>
      <c r="D721" s="867" t="s">
        <v>59</v>
      </c>
      <c r="E721" s="689" t="s">
        <v>4890</v>
      </c>
      <c r="F721" s="865">
        <v>496834.61</v>
      </c>
      <c r="G721" s="413">
        <v>0.0</v>
      </c>
      <c r="H721" s="349" t="s">
        <v>5231</v>
      </c>
      <c r="I721" s="866" t="str">
        <f t="shared" si="11"/>
        <v>NOT PAID</v>
      </c>
      <c r="J721" s="402"/>
      <c r="K721" s="402"/>
      <c r="L721" s="402"/>
      <c r="M721" s="402"/>
      <c r="N721" s="402"/>
      <c r="O721" s="402"/>
      <c r="P721" s="402"/>
      <c r="Q721" s="402"/>
      <c r="R721" s="402"/>
      <c r="S721" s="402"/>
      <c r="T721" s="402"/>
      <c r="U721" s="402"/>
      <c r="V721" s="402"/>
      <c r="W721" s="402"/>
      <c r="X721" s="402"/>
      <c r="Y721" s="402"/>
      <c r="Z721" s="402"/>
    </row>
    <row r="722" ht="14.25" customHeight="1">
      <c r="A722" s="697">
        <v>45516.0</v>
      </c>
      <c r="B722" s="863" t="s">
        <v>4969</v>
      </c>
      <c r="C722" s="863" t="s">
        <v>5232</v>
      </c>
      <c r="D722" s="867" t="s">
        <v>59</v>
      </c>
      <c r="E722" s="689" t="s">
        <v>5002</v>
      </c>
      <c r="F722" s="865">
        <v>33974.99</v>
      </c>
      <c r="G722" s="413">
        <v>20000.0</v>
      </c>
      <c r="H722" s="349" t="s">
        <v>5233</v>
      </c>
      <c r="I722" s="866" t="str">
        <f t="shared" si="11"/>
        <v>PARTIALLY PAID</v>
      </c>
      <c r="J722" s="402"/>
      <c r="K722" s="402"/>
      <c r="L722" s="402"/>
      <c r="M722" s="402"/>
      <c r="N722" s="402"/>
      <c r="O722" s="402"/>
      <c r="P722" s="402"/>
      <c r="Q722" s="402"/>
      <c r="R722" s="402"/>
      <c r="S722" s="402"/>
      <c r="T722" s="402"/>
      <c r="U722" s="402"/>
      <c r="V722" s="402"/>
      <c r="W722" s="402"/>
      <c r="X722" s="402"/>
      <c r="Y722" s="402"/>
      <c r="Z722" s="402"/>
    </row>
    <row r="723" ht="14.25" customHeight="1">
      <c r="A723" s="697">
        <v>45516.0</v>
      </c>
      <c r="B723" s="863" t="s">
        <v>4783</v>
      </c>
      <c r="C723" s="863" t="s">
        <v>4844</v>
      </c>
      <c r="D723" s="867" t="s">
        <v>54</v>
      </c>
      <c r="E723" s="689" t="s">
        <v>5002</v>
      </c>
      <c r="F723" s="865">
        <v>172364.6</v>
      </c>
      <c r="G723" s="413">
        <v>0.0</v>
      </c>
      <c r="H723" s="349" t="s">
        <v>5234</v>
      </c>
      <c r="I723" s="866" t="str">
        <f t="shared" si="11"/>
        <v>NOT PAID</v>
      </c>
      <c r="J723" s="402"/>
      <c r="K723" s="402"/>
      <c r="L723" s="402"/>
      <c r="M723" s="402"/>
      <c r="N723" s="402"/>
      <c r="O723" s="402"/>
      <c r="P723" s="402"/>
      <c r="Q723" s="402"/>
      <c r="R723" s="402"/>
      <c r="S723" s="402"/>
      <c r="T723" s="402"/>
      <c r="U723" s="402"/>
      <c r="V723" s="402"/>
      <c r="W723" s="402"/>
      <c r="X723" s="402"/>
      <c r="Y723" s="402"/>
      <c r="Z723" s="402"/>
    </row>
    <row r="724" ht="14.25" customHeight="1">
      <c r="A724" s="697">
        <v>45516.0</v>
      </c>
      <c r="B724" s="863" t="s">
        <v>4795</v>
      </c>
      <c r="C724" s="863" t="s">
        <v>4852</v>
      </c>
      <c r="D724" s="867" t="s">
        <v>54</v>
      </c>
      <c r="E724" s="689" t="s">
        <v>5002</v>
      </c>
      <c r="F724" s="865">
        <v>46034.9</v>
      </c>
      <c r="G724" s="413">
        <v>0.0</v>
      </c>
      <c r="H724" s="349" t="s">
        <v>5235</v>
      </c>
      <c r="I724" s="866" t="str">
        <f t="shared" si="11"/>
        <v>NOT PAID</v>
      </c>
      <c r="J724" s="402"/>
      <c r="K724" s="402"/>
      <c r="L724" s="402"/>
      <c r="M724" s="402"/>
      <c r="N724" s="402"/>
      <c r="O724" s="402"/>
      <c r="P724" s="402"/>
      <c r="Q724" s="402"/>
      <c r="R724" s="402"/>
      <c r="S724" s="402"/>
      <c r="T724" s="402"/>
      <c r="U724" s="402"/>
      <c r="V724" s="402"/>
      <c r="W724" s="402"/>
      <c r="X724" s="402"/>
      <c r="Y724" s="402"/>
      <c r="Z724" s="402"/>
    </row>
    <row r="725" ht="14.25" customHeight="1">
      <c r="A725" s="697">
        <v>45516.0</v>
      </c>
      <c r="B725" s="863" t="s">
        <v>5070</v>
      </c>
      <c r="C725" s="863" t="s">
        <v>4859</v>
      </c>
      <c r="D725" s="867" t="s">
        <v>75</v>
      </c>
      <c r="E725" s="689" t="s">
        <v>4895</v>
      </c>
      <c r="F725" s="865">
        <v>1737025.0</v>
      </c>
      <c r="G725" s="413">
        <v>0.0</v>
      </c>
      <c r="H725" s="349" t="s">
        <v>5236</v>
      </c>
      <c r="I725" s="866" t="str">
        <f t="shared" si="11"/>
        <v>NOT PAID</v>
      </c>
      <c r="J725" s="402"/>
      <c r="K725" s="402"/>
      <c r="L725" s="402"/>
      <c r="M725" s="402"/>
      <c r="N725" s="402"/>
      <c r="O725" s="402"/>
      <c r="P725" s="402"/>
      <c r="Q725" s="402"/>
      <c r="R725" s="402"/>
      <c r="S725" s="402"/>
      <c r="T725" s="402"/>
      <c r="U725" s="402"/>
      <c r="V725" s="402"/>
      <c r="W725" s="402"/>
      <c r="X725" s="402"/>
      <c r="Y725" s="402"/>
      <c r="Z725" s="402"/>
    </row>
    <row r="726" ht="14.25" customHeight="1">
      <c r="A726" s="697">
        <v>45516.0</v>
      </c>
      <c r="B726" s="863" t="s">
        <v>5075</v>
      </c>
      <c r="C726" s="863" t="s">
        <v>5237</v>
      </c>
      <c r="D726" s="867" t="s">
        <v>75</v>
      </c>
      <c r="E726" s="689" t="s">
        <v>5238</v>
      </c>
      <c r="F726" s="865">
        <v>63765.0</v>
      </c>
      <c r="G726" s="413">
        <v>0.0</v>
      </c>
      <c r="H726" s="349" t="s">
        <v>5239</v>
      </c>
      <c r="I726" s="866" t="str">
        <f t="shared" si="11"/>
        <v>NOT PAID</v>
      </c>
      <c r="J726" s="402"/>
      <c r="K726" s="402"/>
      <c r="L726" s="402"/>
      <c r="M726" s="402"/>
      <c r="N726" s="402"/>
      <c r="O726" s="402"/>
      <c r="P726" s="402"/>
      <c r="Q726" s="402"/>
      <c r="R726" s="402"/>
      <c r="S726" s="402"/>
      <c r="T726" s="402"/>
      <c r="U726" s="402"/>
      <c r="V726" s="402"/>
      <c r="W726" s="402"/>
      <c r="X726" s="402"/>
      <c r="Y726" s="402"/>
      <c r="Z726" s="402"/>
    </row>
    <row r="727" ht="14.25" customHeight="1">
      <c r="A727" s="697">
        <v>45516.0</v>
      </c>
      <c r="B727" s="863" t="s">
        <v>5166</v>
      </c>
      <c r="C727" s="863" t="s">
        <v>5167</v>
      </c>
      <c r="D727" s="867" t="s">
        <v>75</v>
      </c>
      <c r="E727" s="689" t="s">
        <v>5238</v>
      </c>
      <c r="F727" s="865">
        <v>39300.0</v>
      </c>
      <c r="G727" s="413">
        <v>0.0</v>
      </c>
      <c r="H727" s="349" t="s">
        <v>5240</v>
      </c>
      <c r="I727" s="866" t="str">
        <f t="shared" si="11"/>
        <v>NOT PAID</v>
      </c>
      <c r="J727" s="402"/>
      <c r="K727" s="402"/>
      <c r="L727" s="402"/>
      <c r="M727" s="402"/>
      <c r="N727" s="402"/>
      <c r="O727" s="402"/>
      <c r="P727" s="402"/>
      <c r="Q727" s="402"/>
      <c r="R727" s="402"/>
      <c r="S727" s="402"/>
      <c r="T727" s="402"/>
      <c r="U727" s="402"/>
      <c r="V727" s="402"/>
      <c r="W727" s="402"/>
      <c r="X727" s="402"/>
      <c r="Y727" s="402"/>
      <c r="Z727" s="402"/>
    </row>
    <row r="728" ht="14.25" customHeight="1">
      <c r="A728" s="697">
        <v>45516.0</v>
      </c>
      <c r="B728" s="863" t="s">
        <v>5202</v>
      </c>
      <c r="C728" s="863" t="s">
        <v>5241</v>
      </c>
      <c r="D728" s="867" t="s">
        <v>75</v>
      </c>
      <c r="E728" s="689" t="s">
        <v>5002</v>
      </c>
      <c r="F728" s="865">
        <v>120750.0</v>
      </c>
      <c r="G728" s="413">
        <v>0.0</v>
      </c>
      <c r="H728" s="349" t="s">
        <v>710</v>
      </c>
      <c r="I728" s="866" t="str">
        <f t="shared" si="11"/>
        <v>NOT PAID</v>
      </c>
      <c r="J728" s="402"/>
      <c r="K728" s="402"/>
      <c r="L728" s="402"/>
      <c r="M728" s="402"/>
      <c r="N728" s="402"/>
      <c r="O728" s="402"/>
      <c r="P728" s="402"/>
      <c r="Q728" s="402"/>
      <c r="R728" s="402"/>
      <c r="S728" s="402"/>
      <c r="T728" s="402"/>
      <c r="U728" s="402"/>
      <c r="V728" s="402"/>
      <c r="W728" s="402"/>
      <c r="X728" s="402"/>
      <c r="Y728" s="402"/>
      <c r="Z728" s="402"/>
    </row>
    <row r="729" ht="14.25" customHeight="1">
      <c r="A729" s="697">
        <v>45516.0</v>
      </c>
      <c r="B729" s="863" t="s">
        <v>5242</v>
      </c>
      <c r="C729" s="863" t="s">
        <v>5186</v>
      </c>
      <c r="D729" s="867" t="s">
        <v>75</v>
      </c>
      <c r="E729" s="689" t="s">
        <v>4895</v>
      </c>
      <c r="F729" s="865">
        <v>34500.0</v>
      </c>
      <c r="G729" s="413">
        <v>34500.0</v>
      </c>
      <c r="H729" s="349" t="s">
        <v>267</v>
      </c>
      <c r="I729" s="866" t="str">
        <f t="shared" si="11"/>
        <v>FULLY PAID</v>
      </c>
      <c r="J729" s="402"/>
      <c r="K729" s="402"/>
      <c r="L729" s="402"/>
      <c r="M729" s="402"/>
      <c r="N729" s="402"/>
      <c r="O729" s="402"/>
      <c r="P729" s="402"/>
      <c r="Q729" s="402"/>
      <c r="R729" s="402"/>
      <c r="S729" s="402"/>
      <c r="T729" s="402"/>
      <c r="U729" s="402"/>
      <c r="V729" s="402"/>
      <c r="W729" s="402"/>
      <c r="X729" s="402"/>
      <c r="Y729" s="402"/>
      <c r="Z729" s="402"/>
    </row>
    <row r="730" ht="14.25" customHeight="1">
      <c r="A730" s="697">
        <v>45516.0</v>
      </c>
      <c r="B730" s="863" t="s">
        <v>5243</v>
      </c>
      <c r="C730" s="863" t="s">
        <v>5244</v>
      </c>
      <c r="D730" s="867" t="s">
        <v>54</v>
      </c>
      <c r="E730" s="689" t="s">
        <v>4895</v>
      </c>
      <c r="F730" s="865">
        <v>452661.0</v>
      </c>
      <c r="G730" s="413">
        <v>452661.0</v>
      </c>
      <c r="H730" s="349" t="s">
        <v>2111</v>
      </c>
      <c r="I730" s="866" t="str">
        <f t="shared" si="11"/>
        <v>FULLY PAID</v>
      </c>
      <c r="J730" s="402"/>
      <c r="K730" s="402"/>
      <c r="L730" s="402"/>
      <c r="M730" s="402"/>
      <c r="N730" s="402"/>
      <c r="O730" s="402"/>
      <c r="P730" s="402"/>
      <c r="Q730" s="402"/>
      <c r="R730" s="402"/>
      <c r="S730" s="402"/>
      <c r="T730" s="402"/>
      <c r="U730" s="402"/>
      <c r="V730" s="402"/>
      <c r="W730" s="402"/>
      <c r="X730" s="402"/>
      <c r="Y730" s="402"/>
      <c r="Z730" s="402"/>
    </row>
    <row r="731" ht="14.25" customHeight="1">
      <c r="A731" s="697"/>
      <c r="B731" s="863"/>
      <c r="C731" s="863"/>
      <c r="D731" s="867"/>
      <c r="E731" s="868"/>
      <c r="F731" s="865"/>
      <c r="G731" s="403"/>
      <c r="H731" s="402"/>
      <c r="I731" s="866" t="str">
        <f t="shared" si="11"/>
        <v>FULLY PAID</v>
      </c>
      <c r="J731" s="402"/>
      <c r="K731" s="402"/>
      <c r="L731" s="402"/>
      <c r="M731" s="402"/>
      <c r="N731" s="402"/>
      <c r="O731" s="402"/>
      <c r="P731" s="402"/>
      <c r="Q731" s="402"/>
      <c r="R731" s="402"/>
      <c r="S731" s="402"/>
      <c r="T731" s="402"/>
      <c r="U731" s="402"/>
      <c r="V731" s="402"/>
      <c r="W731" s="402"/>
      <c r="X731" s="402"/>
      <c r="Y731" s="402"/>
      <c r="Z731" s="402"/>
    </row>
    <row r="732" ht="14.25" customHeight="1">
      <c r="A732" s="697"/>
      <c r="B732" s="863"/>
      <c r="C732" s="863"/>
      <c r="D732" s="867"/>
      <c r="E732" s="868"/>
      <c r="F732" s="865"/>
      <c r="G732" s="403"/>
      <c r="H732" s="402"/>
      <c r="I732" s="866" t="str">
        <f t="shared" si="11"/>
        <v>FULLY PAID</v>
      </c>
      <c r="J732" s="402"/>
      <c r="K732" s="402"/>
      <c r="L732" s="402"/>
      <c r="M732" s="402"/>
      <c r="N732" s="402"/>
      <c r="O732" s="402"/>
      <c r="P732" s="402"/>
      <c r="Q732" s="402"/>
      <c r="R732" s="402"/>
      <c r="S732" s="402"/>
      <c r="T732" s="402"/>
      <c r="U732" s="402"/>
      <c r="V732" s="402"/>
      <c r="W732" s="402"/>
      <c r="X732" s="402"/>
      <c r="Y732" s="402"/>
      <c r="Z732" s="402"/>
    </row>
    <row r="733" ht="14.25" customHeight="1">
      <c r="A733" s="896" t="s">
        <v>2130</v>
      </c>
      <c r="B733" s="897" t="s">
        <v>39</v>
      </c>
      <c r="C733" s="896" t="s">
        <v>48</v>
      </c>
      <c r="D733" s="896" t="s">
        <v>49</v>
      </c>
      <c r="E733" s="898" t="s">
        <v>50</v>
      </c>
      <c r="F733" s="899" t="s">
        <v>2</v>
      </c>
      <c r="G733" s="896" t="s">
        <v>44</v>
      </c>
      <c r="H733" s="896" t="s">
        <v>45</v>
      </c>
      <c r="I733" s="866" t="str">
        <f t="shared" si="11"/>
        <v>FULLY PAID</v>
      </c>
      <c r="J733" s="402"/>
      <c r="K733" s="402"/>
      <c r="L733" s="402"/>
      <c r="M733" s="402"/>
      <c r="N733" s="402"/>
      <c r="O733" s="402"/>
      <c r="P733" s="402"/>
      <c r="Q733" s="402"/>
      <c r="R733" s="402"/>
      <c r="S733" s="402"/>
      <c r="T733" s="402"/>
      <c r="U733" s="402"/>
      <c r="V733" s="402"/>
      <c r="W733" s="402"/>
      <c r="X733" s="402"/>
      <c r="Y733" s="402"/>
      <c r="Z733" s="402"/>
    </row>
    <row r="734" ht="14.25" customHeight="1">
      <c r="A734" s="697">
        <v>45517.0</v>
      </c>
      <c r="B734" s="863" t="s">
        <v>5127</v>
      </c>
      <c r="C734" s="863" t="s">
        <v>5170</v>
      </c>
      <c r="D734" s="867" t="s">
        <v>54</v>
      </c>
      <c r="E734" s="689" t="s">
        <v>5245</v>
      </c>
      <c r="F734" s="865">
        <v>134201.04</v>
      </c>
      <c r="G734" s="413">
        <v>100000.0</v>
      </c>
      <c r="H734" s="349" t="s">
        <v>5246</v>
      </c>
      <c r="I734" s="866" t="str">
        <f t="shared" si="11"/>
        <v>PARTIALLY PAID</v>
      </c>
      <c r="J734" s="402"/>
      <c r="K734" s="402"/>
      <c r="L734" s="402"/>
      <c r="M734" s="402"/>
      <c r="N734" s="402"/>
      <c r="O734" s="402"/>
      <c r="P734" s="402"/>
      <c r="Q734" s="402"/>
      <c r="R734" s="402"/>
      <c r="S734" s="402"/>
      <c r="T734" s="402"/>
      <c r="U734" s="402"/>
      <c r="V734" s="402"/>
      <c r="W734" s="402"/>
      <c r="X734" s="402"/>
      <c r="Y734" s="402"/>
      <c r="Z734" s="402"/>
    </row>
    <row r="735" ht="14.25" customHeight="1">
      <c r="A735" s="697">
        <v>45517.0</v>
      </c>
      <c r="B735" s="863" t="s">
        <v>5130</v>
      </c>
      <c r="C735" s="863" t="s">
        <v>5247</v>
      </c>
      <c r="D735" s="867" t="s">
        <v>54</v>
      </c>
      <c r="E735" s="689" t="s">
        <v>5248</v>
      </c>
      <c r="F735" s="865">
        <v>3227.69</v>
      </c>
      <c r="G735" s="403"/>
      <c r="H735" s="349" t="s">
        <v>710</v>
      </c>
      <c r="I735" s="866" t="str">
        <f t="shared" si="11"/>
        <v>NOT PAID</v>
      </c>
      <c r="J735" s="402"/>
      <c r="K735" s="402"/>
      <c r="L735" s="402"/>
      <c r="M735" s="402"/>
      <c r="N735" s="402"/>
      <c r="O735" s="402"/>
      <c r="P735" s="402"/>
      <c r="Q735" s="402"/>
      <c r="R735" s="402"/>
      <c r="S735" s="402"/>
      <c r="T735" s="402"/>
      <c r="U735" s="402"/>
      <c r="V735" s="402"/>
      <c r="W735" s="402"/>
      <c r="X735" s="402"/>
      <c r="Y735" s="402"/>
      <c r="Z735" s="402"/>
    </row>
    <row r="736" ht="14.25" customHeight="1">
      <c r="A736" s="697">
        <v>45517.0</v>
      </c>
      <c r="B736" s="863" t="s">
        <v>5212</v>
      </c>
      <c r="C736" s="863" t="s">
        <v>5213</v>
      </c>
      <c r="D736" s="867" t="s">
        <v>54</v>
      </c>
      <c r="E736" s="689" t="s">
        <v>5249</v>
      </c>
      <c r="F736" s="865">
        <v>5147.95</v>
      </c>
      <c r="G736" s="403"/>
      <c r="H736" s="349" t="s">
        <v>5250</v>
      </c>
      <c r="I736" s="866" t="str">
        <f t="shared" si="11"/>
        <v>NOT PAID</v>
      </c>
      <c r="J736" s="402"/>
      <c r="K736" s="402"/>
      <c r="L736" s="402"/>
      <c r="M736" s="402"/>
      <c r="N736" s="402"/>
      <c r="O736" s="402"/>
      <c r="P736" s="402"/>
      <c r="Q736" s="402"/>
      <c r="R736" s="402"/>
      <c r="S736" s="402"/>
      <c r="T736" s="402"/>
      <c r="U736" s="402"/>
      <c r="V736" s="402"/>
      <c r="W736" s="402"/>
      <c r="X736" s="402"/>
      <c r="Y736" s="402"/>
      <c r="Z736" s="402"/>
    </row>
    <row r="737" ht="14.25" customHeight="1">
      <c r="A737" s="697">
        <v>45517.0</v>
      </c>
      <c r="B737" s="863" t="s">
        <v>4939</v>
      </c>
      <c r="C737" s="863" t="s">
        <v>5251</v>
      </c>
      <c r="D737" s="867" t="s">
        <v>54</v>
      </c>
      <c r="E737" s="689" t="s">
        <v>4887</v>
      </c>
      <c r="F737" s="865">
        <v>1345.99</v>
      </c>
      <c r="G737" s="403"/>
      <c r="H737" s="349" t="s">
        <v>5252</v>
      </c>
      <c r="I737" s="866" t="str">
        <f t="shared" si="11"/>
        <v>NOT PAID</v>
      </c>
      <c r="J737" s="402"/>
      <c r="K737" s="402"/>
      <c r="L737" s="402"/>
      <c r="M737" s="402"/>
      <c r="N737" s="402"/>
      <c r="O737" s="402"/>
      <c r="P737" s="402"/>
      <c r="Q737" s="402"/>
      <c r="R737" s="402"/>
      <c r="S737" s="402"/>
      <c r="T737" s="402"/>
      <c r="U737" s="402"/>
      <c r="V737" s="402"/>
      <c r="W737" s="402"/>
      <c r="X737" s="402"/>
      <c r="Y737" s="402"/>
      <c r="Z737" s="402"/>
    </row>
    <row r="738" ht="14.25" customHeight="1">
      <c r="A738" s="697">
        <v>45517.0</v>
      </c>
      <c r="B738" s="863" t="s">
        <v>5253</v>
      </c>
      <c r="C738" s="863" t="s">
        <v>5254</v>
      </c>
      <c r="D738" s="867" t="s">
        <v>54</v>
      </c>
      <c r="E738" s="689" t="s">
        <v>4890</v>
      </c>
      <c r="F738" s="865">
        <v>13864.17</v>
      </c>
      <c r="G738" s="403"/>
      <c r="H738" s="349" t="s">
        <v>5252</v>
      </c>
      <c r="I738" s="866" t="str">
        <f t="shared" si="11"/>
        <v>NOT PAID</v>
      </c>
      <c r="J738" s="402"/>
      <c r="K738" s="402"/>
      <c r="L738" s="402"/>
      <c r="M738" s="402"/>
      <c r="N738" s="402"/>
      <c r="O738" s="402"/>
      <c r="P738" s="402"/>
      <c r="Q738" s="402"/>
      <c r="R738" s="402"/>
      <c r="S738" s="402"/>
      <c r="T738" s="402"/>
      <c r="U738" s="402"/>
      <c r="V738" s="402"/>
      <c r="W738" s="402"/>
      <c r="X738" s="402"/>
      <c r="Y738" s="402"/>
      <c r="Z738" s="402"/>
    </row>
    <row r="739" ht="14.25" customHeight="1">
      <c r="A739" s="697">
        <v>45517.0</v>
      </c>
      <c r="B739" s="863" t="s">
        <v>5051</v>
      </c>
      <c r="C739" s="863" t="s">
        <v>5052</v>
      </c>
      <c r="D739" s="867" t="s">
        <v>54</v>
      </c>
      <c r="E739" s="689" t="s">
        <v>5245</v>
      </c>
      <c r="F739" s="865">
        <v>30966.87</v>
      </c>
      <c r="G739" s="413">
        <v>31091.0</v>
      </c>
      <c r="H739" s="349" t="s">
        <v>710</v>
      </c>
      <c r="I739" s="866" t="str">
        <f t="shared" si="11"/>
        <v>FULLY PAID</v>
      </c>
      <c r="J739" s="402"/>
      <c r="K739" s="402"/>
      <c r="L739" s="402"/>
      <c r="M739" s="402"/>
      <c r="N739" s="402"/>
      <c r="O739" s="402"/>
      <c r="P739" s="402"/>
      <c r="Q739" s="402"/>
      <c r="R739" s="402"/>
      <c r="S739" s="402"/>
      <c r="T739" s="402"/>
      <c r="U739" s="402"/>
      <c r="V739" s="402"/>
      <c r="W739" s="402"/>
      <c r="X739" s="402"/>
      <c r="Y739" s="402"/>
      <c r="Z739" s="402"/>
    </row>
    <row r="740" ht="14.25" customHeight="1">
      <c r="A740" s="697">
        <v>45517.0</v>
      </c>
      <c r="B740" s="863" t="s">
        <v>4898</v>
      </c>
      <c r="C740" s="863" t="s">
        <v>4899</v>
      </c>
      <c r="D740" s="867" t="s">
        <v>54</v>
      </c>
      <c r="E740" s="689" t="s">
        <v>4892</v>
      </c>
      <c r="F740" s="865">
        <v>996.49</v>
      </c>
      <c r="G740" s="403"/>
      <c r="H740" s="349" t="s">
        <v>5252</v>
      </c>
      <c r="I740" s="866" t="str">
        <f t="shared" si="11"/>
        <v>NOT PAID</v>
      </c>
      <c r="J740" s="402"/>
      <c r="K740" s="402"/>
      <c r="L740" s="402"/>
      <c r="M740" s="402"/>
      <c r="N740" s="402"/>
      <c r="O740" s="402"/>
      <c r="P740" s="402"/>
      <c r="Q740" s="402"/>
      <c r="R740" s="402"/>
      <c r="S740" s="402"/>
      <c r="T740" s="402"/>
      <c r="U740" s="402"/>
      <c r="V740" s="402"/>
      <c r="W740" s="402"/>
      <c r="X740" s="402"/>
      <c r="Y740" s="402"/>
      <c r="Z740" s="402"/>
    </row>
    <row r="741" ht="14.25" customHeight="1">
      <c r="A741" s="697">
        <v>45517.0</v>
      </c>
      <c r="B741" s="863" t="s">
        <v>4864</v>
      </c>
      <c r="C741" s="863" t="s">
        <v>4865</v>
      </c>
      <c r="D741" s="867" t="s">
        <v>54</v>
      </c>
      <c r="E741" s="689" t="s">
        <v>5248</v>
      </c>
      <c r="F741" s="865">
        <v>7072.53</v>
      </c>
      <c r="G741" s="403"/>
      <c r="H741" s="349" t="s">
        <v>5252</v>
      </c>
      <c r="I741" s="866" t="str">
        <f t="shared" si="11"/>
        <v>NOT PAID</v>
      </c>
      <c r="J741" s="402"/>
      <c r="K741" s="402"/>
      <c r="L741" s="402"/>
      <c r="M741" s="402"/>
      <c r="N741" s="402"/>
      <c r="O741" s="402"/>
      <c r="P741" s="402"/>
      <c r="Q741" s="402"/>
      <c r="R741" s="402"/>
      <c r="S741" s="402"/>
      <c r="T741" s="402"/>
      <c r="U741" s="402"/>
      <c r="V741" s="402"/>
      <c r="W741" s="402"/>
      <c r="X741" s="402"/>
      <c r="Y741" s="402"/>
      <c r="Z741" s="402"/>
    </row>
    <row r="742" ht="14.25" customHeight="1">
      <c r="A742" s="697">
        <v>45517.0</v>
      </c>
      <c r="B742" s="863" t="s">
        <v>4933</v>
      </c>
      <c r="C742" s="863" t="s">
        <v>4848</v>
      </c>
      <c r="D742" s="867" t="s">
        <v>59</v>
      </c>
      <c r="E742" s="689" t="s">
        <v>4887</v>
      </c>
      <c r="F742" s="865">
        <v>304498.44</v>
      </c>
      <c r="G742" s="413">
        <v>0.0</v>
      </c>
      <c r="H742" s="349" t="s">
        <v>5255</v>
      </c>
      <c r="I742" s="866" t="str">
        <f t="shared" si="11"/>
        <v>NOT PAID</v>
      </c>
      <c r="J742" s="402"/>
      <c r="K742" s="402"/>
      <c r="L742" s="402"/>
      <c r="M742" s="402"/>
      <c r="N742" s="402"/>
      <c r="O742" s="402"/>
      <c r="P742" s="402"/>
      <c r="Q742" s="402"/>
      <c r="R742" s="402"/>
      <c r="S742" s="402"/>
      <c r="T742" s="402"/>
      <c r="U742" s="402"/>
      <c r="V742" s="402"/>
      <c r="W742" s="402"/>
      <c r="X742" s="402"/>
      <c r="Y742" s="402"/>
      <c r="Z742" s="402"/>
    </row>
    <row r="743" ht="14.25" customHeight="1">
      <c r="A743" s="697">
        <v>45517.0</v>
      </c>
      <c r="B743" s="863" t="s">
        <v>5097</v>
      </c>
      <c r="C743" s="863" t="s">
        <v>5237</v>
      </c>
      <c r="D743" s="867" t="s">
        <v>54</v>
      </c>
      <c r="E743" s="689" t="s">
        <v>4890</v>
      </c>
      <c r="F743" s="865">
        <v>36916.85</v>
      </c>
      <c r="G743" s="403"/>
      <c r="H743" s="349" t="s">
        <v>5256</v>
      </c>
      <c r="I743" s="866" t="str">
        <f t="shared" si="11"/>
        <v>NOT PAID</v>
      </c>
      <c r="J743" s="402"/>
      <c r="K743" s="402"/>
      <c r="L743" s="402"/>
      <c r="M743" s="402"/>
      <c r="N743" s="402"/>
      <c r="O743" s="402"/>
      <c r="P743" s="402"/>
      <c r="Q743" s="402"/>
      <c r="R743" s="402"/>
      <c r="S743" s="402"/>
      <c r="T743" s="402"/>
      <c r="U743" s="402"/>
      <c r="V743" s="402"/>
      <c r="W743" s="402"/>
      <c r="X743" s="402"/>
      <c r="Y743" s="402"/>
      <c r="Z743" s="402"/>
    </row>
    <row r="744" ht="14.25" customHeight="1">
      <c r="A744" s="697">
        <v>45517.0</v>
      </c>
      <c r="B744" s="863" t="s">
        <v>5257</v>
      </c>
      <c r="C744" s="863" t="s">
        <v>5048</v>
      </c>
      <c r="D744" s="867" t="s">
        <v>54</v>
      </c>
      <c r="E744" s="689" t="s">
        <v>5245</v>
      </c>
      <c r="F744" s="865">
        <v>45564.27</v>
      </c>
      <c r="G744" s="403"/>
      <c r="H744" s="349" t="s">
        <v>5252</v>
      </c>
      <c r="I744" s="866" t="str">
        <f t="shared" si="11"/>
        <v>NOT PAID</v>
      </c>
      <c r="J744" s="402"/>
      <c r="K744" s="402"/>
      <c r="L744" s="402"/>
      <c r="M744" s="402"/>
      <c r="N744" s="402"/>
      <c r="O744" s="402"/>
      <c r="P744" s="402"/>
      <c r="Q744" s="402"/>
      <c r="R744" s="402"/>
      <c r="S744" s="402"/>
      <c r="T744" s="402"/>
      <c r="U744" s="402"/>
      <c r="V744" s="402"/>
      <c r="W744" s="402"/>
      <c r="X744" s="402"/>
      <c r="Y744" s="402"/>
      <c r="Z744" s="402"/>
    </row>
    <row r="745" ht="14.25" customHeight="1">
      <c r="A745" s="697">
        <v>45517.0</v>
      </c>
      <c r="B745" s="863" t="s">
        <v>4813</v>
      </c>
      <c r="C745" s="863" t="s">
        <v>5258</v>
      </c>
      <c r="D745" s="867" t="s">
        <v>467</v>
      </c>
      <c r="E745" s="689" t="s">
        <v>4892</v>
      </c>
      <c r="F745" s="865">
        <v>1548.23</v>
      </c>
      <c r="G745" s="413">
        <v>6288.0</v>
      </c>
      <c r="H745" s="349" t="s">
        <v>5252</v>
      </c>
      <c r="I745" s="866" t="str">
        <f t="shared" si="11"/>
        <v>FULLY PAID</v>
      </c>
      <c r="J745" s="402"/>
      <c r="K745" s="402"/>
      <c r="L745" s="402"/>
      <c r="M745" s="402"/>
      <c r="N745" s="402"/>
      <c r="O745" s="402"/>
      <c r="P745" s="402"/>
      <c r="Q745" s="402"/>
      <c r="R745" s="402"/>
      <c r="S745" s="402"/>
      <c r="T745" s="402"/>
      <c r="U745" s="402"/>
      <c r="V745" s="402"/>
      <c r="W745" s="402"/>
      <c r="X745" s="402"/>
      <c r="Y745" s="402"/>
      <c r="Z745" s="402"/>
    </row>
    <row r="746" ht="14.25" customHeight="1">
      <c r="A746" s="697">
        <v>45517.0</v>
      </c>
      <c r="B746" s="863" t="s">
        <v>4767</v>
      </c>
      <c r="C746" s="863" t="s">
        <v>4861</v>
      </c>
      <c r="D746" s="867" t="s">
        <v>59</v>
      </c>
      <c r="E746" s="689" t="s">
        <v>5248</v>
      </c>
      <c r="F746" s="865">
        <v>96043.94</v>
      </c>
      <c r="G746" s="403"/>
      <c r="H746" s="349" t="s">
        <v>5250</v>
      </c>
      <c r="I746" s="866" t="str">
        <f t="shared" si="11"/>
        <v>NOT PAID</v>
      </c>
      <c r="J746" s="402"/>
      <c r="K746" s="402"/>
      <c r="L746" s="402"/>
      <c r="M746" s="402"/>
      <c r="N746" s="402"/>
      <c r="O746" s="402"/>
      <c r="P746" s="402"/>
      <c r="Q746" s="402"/>
      <c r="R746" s="402"/>
      <c r="S746" s="402"/>
      <c r="T746" s="402"/>
      <c r="U746" s="402"/>
      <c r="V746" s="402"/>
      <c r="W746" s="402"/>
      <c r="X746" s="402"/>
      <c r="Y746" s="402"/>
      <c r="Z746" s="402"/>
    </row>
    <row r="747" ht="14.25" customHeight="1">
      <c r="A747" s="697">
        <v>45517.0</v>
      </c>
      <c r="B747" s="863" t="s">
        <v>4770</v>
      </c>
      <c r="C747" s="863" t="s">
        <v>2529</v>
      </c>
      <c r="D747" s="867" t="s">
        <v>263</v>
      </c>
      <c r="E747" s="689" t="s">
        <v>5249</v>
      </c>
      <c r="F747" s="865">
        <v>57130.13</v>
      </c>
      <c r="G747" s="403"/>
      <c r="H747" s="349" t="s">
        <v>5250</v>
      </c>
      <c r="I747" s="866" t="str">
        <f t="shared" si="11"/>
        <v>NOT PAID</v>
      </c>
      <c r="J747" s="402"/>
      <c r="K747" s="402"/>
      <c r="L747" s="402"/>
      <c r="M747" s="402"/>
      <c r="N747" s="402"/>
      <c r="O747" s="402"/>
      <c r="P747" s="402"/>
      <c r="Q747" s="402"/>
      <c r="R747" s="402"/>
      <c r="S747" s="402"/>
      <c r="T747" s="402"/>
      <c r="U747" s="402"/>
      <c r="V747" s="402"/>
      <c r="W747" s="402"/>
      <c r="X747" s="402"/>
      <c r="Y747" s="402"/>
      <c r="Z747" s="402"/>
    </row>
    <row r="748" ht="14.25" customHeight="1">
      <c r="A748" s="697">
        <v>45517.0</v>
      </c>
      <c r="B748" s="863" t="s">
        <v>4773</v>
      </c>
      <c r="C748" s="863" t="s">
        <v>4906</v>
      </c>
      <c r="D748" s="867" t="s">
        <v>54</v>
      </c>
      <c r="E748" s="689" t="s">
        <v>4887</v>
      </c>
      <c r="F748" s="865">
        <v>933.27</v>
      </c>
      <c r="G748" s="403"/>
      <c r="H748" s="349" t="s">
        <v>5252</v>
      </c>
      <c r="I748" s="866" t="str">
        <f t="shared" si="11"/>
        <v>NOT PAID</v>
      </c>
      <c r="J748" s="402"/>
      <c r="K748" s="402"/>
      <c r="L748" s="402"/>
      <c r="M748" s="402"/>
      <c r="N748" s="402"/>
      <c r="O748" s="402"/>
      <c r="P748" s="402"/>
      <c r="Q748" s="402"/>
      <c r="R748" s="402"/>
      <c r="S748" s="402"/>
      <c r="T748" s="402"/>
      <c r="U748" s="402"/>
      <c r="V748" s="402"/>
      <c r="W748" s="402"/>
      <c r="X748" s="402"/>
      <c r="Y748" s="402"/>
      <c r="Z748" s="402"/>
    </row>
    <row r="749" ht="14.25" customHeight="1">
      <c r="A749" s="697">
        <v>45517.0</v>
      </c>
      <c r="B749" s="863" t="s">
        <v>4969</v>
      </c>
      <c r="C749" s="863" t="s">
        <v>4970</v>
      </c>
      <c r="D749" s="867" t="s">
        <v>59</v>
      </c>
      <c r="E749" s="689" t="s">
        <v>4890</v>
      </c>
      <c r="F749" s="865">
        <v>13974.99</v>
      </c>
      <c r="G749" s="403"/>
      <c r="H749" s="349" t="s">
        <v>5252</v>
      </c>
      <c r="I749" s="866" t="str">
        <f t="shared" si="11"/>
        <v>NOT PAID</v>
      </c>
      <c r="J749" s="402"/>
      <c r="K749" s="402"/>
      <c r="L749" s="402"/>
      <c r="M749" s="402"/>
      <c r="N749" s="402"/>
      <c r="O749" s="402"/>
      <c r="P749" s="402"/>
      <c r="Q749" s="402"/>
      <c r="R749" s="402"/>
      <c r="S749" s="402"/>
      <c r="T749" s="402"/>
      <c r="U749" s="402"/>
      <c r="V749" s="402"/>
      <c r="W749" s="402"/>
      <c r="X749" s="402"/>
      <c r="Y749" s="402"/>
      <c r="Z749" s="402"/>
    </row>
    <row r="750" ht="14.25" customHeight="1">
      <c r="A750" s="697">
        <v>45517.0</v>
      </c>
      <c r="B750" s="863" t="s">
        <v>5042</v>
      </c>
      <c r="C750" s="863" t="s">
        <v>5259</v>
      </c>
      <c r="D750" s="867" t="s">
        <v>54</v>
      </c>
      <c r="E750" s="689" t="s">
        <v>5245</v>
      </c>
      <c r="F750" s="865">
        <v>27813.4</v>
      </c>
      <c r="G750" s="403"/>
      <c r="H750" s="349" t="s">
        <v>5260</v>
      </c>
      <c r="I750" s="866" t="str">
        <f t="shared" si="11"/>
        <v>NOT PAID</v>
      </c>
      <c r="J750" s="402"/>
      <c r="K750" s="402"/>
      <c r="L750" s="402"/>
      <c r="M750" s="402"/>
      <c r="N750" s="402"/>
      <c r="O750" s="402"/>
      <c r="P750" s="402"/>
      <c r="Q750" s="402"/>
      <c r="R750" s="402"/>
      <c r="S750" s="402"/>
      <c r="T750" s="402"/>
      <c r="U750" s="402"/>
      <c r="V750" s="402"/>
      <c r="W750" s="402"/>
      <c r="X750" s="402"/>
      <c r="Y750" s="402"/>
      <c r="Z750" s="402"/>
    </row>
    <row r="751" ht="14.25" customHeight="1">
      <c r="A751" s="697">
        <v>45517.0</v>
      </c>
      <c r="B751" s="863" t="s">
        <v>4779</v>
      </c>
      <c r="C751" s="863" t="s">
        <v>4843</v>
      </c>
      <c r="D751" s="867" t="s">
        <v>54</v>
      </c>
      <c r="E751" s="689" t="s">
        <v>4892</v>
      </c>
      <c r="F751" s="865">
        <v>2682.6</v>
      </c>
      <c r="G751" s="403"/>
      <c r="H751" s="349" t="s">
        <v>5260</v>
      </c>
      <c r="I751" s="866" t="str">
        <f t="shared" si="11"/>
        <v>NOT PAID</v>
      </c>
      <c r="J751" s="402"/>
      <c r="K751" s="402"/>
      <c r="L751" s="402"/>
      <c r="M751" s="402"/>
      <c r="N751" s="402"/>
      <c r="O751" s="402"/>
      <c r="P751" s="402"/>
      <c r="Q751" s="402"/>
      <c r="R751" s="402"/>
      <c r="S751" s="402"/>
      <c r="T751" s="402"/>
      <c r="U751" s="402"/>
      <c r="V751" s="402"/>
      <c r="W751" s="402"/>
      <c r="X751" s="402"/>
      <c r="Y751" s="402"/>
      <c r="Z751" s="402"/>
    </row>
    <row r="752" ht="14.25" customHeight="1">
      <c r="A752" s="697">
        <v>45517.0</v>
      </c>
      <c r="B752" s="863" t="s">
        <v>4807</v>
      </c>
      <c r="C752" s="863" t="s">
        <v>4917</v>
      </c>
      <c r="D752" s="867" t="s">
        <v>346</v>
      </c>
      <c r="E752" s="689" t="s">
        <v>5248</v>
      </c>
      <c r="F752" s="865">
        <v>3091.76</v>
      </c>
      <c r="G752" s="403"/>
      <c r="H752" s="349" t="s">
        <v>5256</v>
      </c>
      <c r="I752" s="866" t="str">
        <f t="shared" si="11"/>
        <v>NOT PAID</v>
      </c>
      <c r="J752" s="402"/>
      <c r="K752" s="402"/>
      <c r="L752" s="402"/>
      <c r="M752" s="402"/>
      <c r="N752" s="402"/>
      <c r="O752" s="402"/>
      <c r="P752" s="402"/>
      <c r="Q752" s="402"/>
      <c r="R752" s="402"/>
      <c r="S752" s="402"/>
      <c r="T752" s="402"/>
      <c r="U752" s="402"/>
      <c r="V752" s="402"/>
      <c r="W752" s="402"/>
      <c r="X752" s="402"/>
      <c r="Y752" s="402"/>
      <c r="Z752" s="402"/>
    </row>
    <row r="753" ht="14.25" customHeight="1">
      <c r="A753" s="697">
        <v>45517.0</v>
      </c>
      <c r="B753" s="863" t="s">
        <v>5033</v>
      </c>
      <c r="C753" s="863" t="s">
        <v>5034</v>
      </c>
      <c r="D753" s="867" t="s">
        <v>54</v>
      </c>
      <c r="E753" s="689" t="s">
        <v>5249</v>
      </c>
      <c r="F753" s="865">
        <v>52822.89</v>
      </c>
      <c r="G753" s="403"/>
      <c r="H753" s="349" t="s">
        <v>5261</v>
      </c>
      <c r="I753" s="866" t="str">
        <f t="shared" si="11"/>
        <v>NOT PAID</v>
      </c>
      <c r="J753" s="402"/>
      <c r="K753" s="402"/>
      <c r="L753" s="402"/>
      <c r="M753" s="402"/>
      <c r="N753" s="402"/>
      <c r="O753" s="402"/>
      <c r="P753" s="402"/>
      <c r="Q753" s="402"/>
      <c r="R753" s="402"/>
      <c r="S753" s="402"/>
      <c r="T753" s="402"/>
      <c r="U753" s="402"/>
      <c r="V753" s="402"/>
      <c r="W753" s="402"/>
      <c r="X753" s="402"/>
      <c r="Y753" s="402"/>
      <c r="Z753" s="402"/>
    </row>
    <row r="754" ht="14.25" customHeight="1">
      <c r="A754" s="697">
        <v>45517.0</v>
      </c>
      <c r="B754" s="863" t="s">
        <v>5143</v>
      </c>
      <c r="C754" s="863" t="s">
        <v>5262</v>
      </c>
      <c r="D754" s="867" t="s">
        <v>54</v>
      </c>
      <c r="E754" s="689" t="s">
        <v>4887</v>
      </c>
      <c r="F754" s="865">
        <v>4342.37</v>
      </c>
      <c r="G754" s="403"/>
      <c r="H754" s="349" t="s">
        <v>5256</v>
      </c>
      <c r="I754" s="866" t="str">
        <f t="shared" si="11"/>
        <v>NOT PAID</v>
      </c>
      <c r="J754" s="402"/>
      <c r="K754" s="402"/>
      <c r="L754" s="402"/>
      <c r="M754" s="402"/>
      <c r="N754" s="402"/>
      <c r="O754" s="402"/>
      <c r="P754" s="402"/>
      <c r="Q754" s="402"/>
      <c r="R754" s="402"/>
      <c r="S754" s="402"/>
      <c r="T754" s="402"/>
      <c r="U754" s="402"/>
      <c r="V754" s="402"/>
      <c r="W754" s="402"/>
      <c r="X754" s="402"/>
      <c r="Y754" s="402"/>
      <c r="Z754" s="402"/>
    </row>
    <row r="755" ht="14.25" customHeight="1">
      <c r="A755" s="697">
        <v>45517.0</v>
      </c>
      <c r="B755" s="863" t="s">
        <v>5035</v>
      </c>
      <c r="C755" s="863" t="s">
        <v>5086</v>
      </c>
      <c r="D755" s="867" t="s">
        <v>54</v>
      </c>
      <c r="E755" s="689" t="s">
        <v>4890</v>
      </c>
      <c r="F755" s="865">
        <v>19.81</v>
      </c>
      <c r="G755" s="403"/>
      <c r="H755" s="349" t="s">
        <v>5260</v>
      </c>
      <c r="I755" s="866" t="str">
        <f t="shared" si="11"/>
        <v>NOT PAID</v>
      </c>
      <c r="J755" s="402"/>
      <c r="K755" s="402"/>
      <c r="L755" s="402"/>
      <c r="M755" s="402"/>
      <c r="N755" s="402"/>
      <c r="O755" s="402"/>
      <c r="P755" s="402"/>
      <c r="Q755" s="402"/>
      <c r="R755" s="402"/>
      <c r="S755" s="402"/>
      <c r="T755" s="402"/>
      <c r="U755" s="402"/>
      <c r="V755" s="402"/>
      <c r="W755" s="402"/>
      <c r="X755" s="402"/>
      <c r="Y755" s="402"/>
      <c r="Z755" s="402"/>
    </row>
    <row r="756" ht="14.25" customHeight="1">
      <c r="A756" s="697">
        <v>45517.0</v>
      </c>
      <c r="B756" s="863" t="s">
        <v>4791</v>
      </c>
      <c r="C756" s="863" t="s">
        <v>4912</v>
      </c>
      <c r="D756" s="867" t="s">
        <v>54</v>
      </c>
      <c r="E756" s="689" t="s">
        <v>5245</v>
      </c>
      <c r="F756" s="865">
        <v>10421.67</v>
      </c>
      <c r="G756" s="403"/>
      <c r="H756" s="349" t="s">
        <v>5256</v>
      </c>
      <c r="I756" s="866" t="str">
        <f t="shared" si="11"/>
        <v>NOT PAID</v>
      </c>
      <c r="J756" s="402"/>
      <c r="K756" s="402"/>
      <c r="L756" s="402"/>
      <c r="M756" s="402"/>
      <c r="N756" s="402"/>
      <c r="O756" s="402"/>
      <c r="P756" s="402"/>
      <c r="Q756" s="402"/>
      <c r="R756" s="402"/>
      <c r="S756" s="402"/>
      <c r="T756" s="402"/>
      <c r="U756" s="402"/>
      <c r="V756" s="402"/>
      <c r="W756" s="402"/>
      <c r="X756" s="402"/>
      <c r="Y756" s="402"/>
      <c r="Z756" s="402"/>
    </row>
    <row r="757" ht="14.25" customHeight="1">
      <c r="A757" s="697">
        <v>45517.0</v>
      </c>
      <c r="B757" s="863" t="s">
        <v>4811</v>
      </c>
      <c r="C757" s="863" t="s">
        <v>4974</v>
      </c>
      <c r="D757" s="867" t="s">
        <v>54</v>
      </c>
      <c r="E757" s="689" t="s">
        <v>4892</v>
      </c>
      <c r="F757" s="865">
        <v>8085.55</v>
      </c>
      <c r="G757" s="403"/>
      <c r="H757" s="349" t="s">
        <v>5263</v>
      </c>
      <c r="I757" s="866" t="str">
        <f t="shared" si="11"/>
        <v>NOT PAID</v>
      </c>
      <c r="J757" s="402"/>
      <c r="K757" s="402"/>
      <c r="L757" s="402"/>
      <c r="M757" s="402"/>
      <c r="N757" s="402"/>
      <c r="O757" s="402"/>
      <c r="P757" s="402"/>
      <c r="Q757" s="402"/>
      <c r="R757" s="402"/>
      <c r="S757" s="402"/>
      <c r="T757" s="402"/>
      <c r="U757" s="402"/>
      <c r="V757" s="402"/>
      <c r="W757" s="402"/>
      <c r="X757" s="402"/>
      <c r="Y757" s="402"/>
      <c r="Z757" s="402"/>
    </row>
    <row r="758" ht="14.25" customHeight="1">
      <c r="A758" s="697">
        <v>45517.0</v>
      </c>
      <c r="B758" s="863" t="s">
        <v>4793</v>
      </c>
      <c r="C758" s="863" t="s">
        <v>4891</v>
      </c>
      <c r="D758" s="867" t="s">
        <v>54</v>
      </c>
      <c r="E758" s="689" t="s">
        <v>5248</v>
      </c>
      <c r="F758" s="865">
        <v>16926.39</v>
      </c>
      <c r="G758" s="403"/>
      <c r="H758" s="349" t="s">
        <v>4968</v>
      </c>
      <c r="I758" s="866" t="str">
        <f t="shared" si="11"/>
        <v>NOT PAID</v>
      </c>
      <c r="J758" s="402"/>
      <c r="K758" s="402"/>
      <c r="L758" s="402"/>
      <c r="M758" s="402"/>
      <c r="N758" s="402"/>
      <c r="O758" s="402"/>
      <c r="P758" s="402"/>
      <c r="Q758" s="402"/>
      <c r="R758" s="402"/>
      <c r="S758" s="402"/>
      <c r="T758" s="402"/>
      <c r="U758" s="402"/>
      <c r="V758" s="402"/>
      <c r="W758" s="402"/>
      <c r="X758" s="402"/>
      <c r="Y758" s="402"/>
      <c r="Z758" s="402"/>
    </row>
    <row r="759" ht="14.25" customHeight="1">
      <c r="A759" s="697">
        <v>45517.0</v>
      </c>
      <c r="B759" s="863" t="s">
        <v>5264</v>
      </c>
      <c r="C759" s="863" t="s">
        <v>5265</v>
      </c>
      <c r="D759" s="867" t="s">
        <v>346</v>
      </c>
      <c r="E759" s="689" t="s">
        <v>5249</v>
      </c>
      <c r="F759" s="865">
        <v>88.0</v>
      </c>
      <c r="G759" s="413">
        <v>16308.0</v>
      </c>
      <c r="H759" s="349" t="s">
        <v>267</v>
      </c>
      <c r="I759" s="866" t="str">
        <f t="shared" si="11"/>
        <v>FULLY PAID</v>
      </c>
      <c r="J759" s="402"/>
      <c r="K759" s="402"/>
      <c r="L759" s="402"/>
      <c r="M759" s="402"/>
      <c r="N759" s="402"/>
      <c r="O759" s="402"/>
      <c r="P759" s="402"/>
      <c r="Q759" s="402"/>
      <c r="R759" s="402"/>
      <c r="S759" s="402"/>
      <c r="T759" s="402"/>
      <c r="U759" s="402"/>
      <c r="V759" s="402"/>
      <c r="W759" s="402"/>
      <c r="X759" s="402"/>
      <c r="Y759" s="402"/>
      <c r="Z759" s="402"/>
    </row>
    <row r="760" ht="14.25" customHeight="1">
      <c r="A760" s="697">
        <v>45517.0</v>
      </c>
      <c r="B760" s="863" t="s">
        <v>4815</v>
      </c>
      <c r="C760" s="863" t="s">
        <v>4859</v>
      </c>
      <c r="D760" s="867" t="s">
        <v>54</v>
      </c>
      <c r="E760" s="689" t="s">
        <v>4887</v>
      </c>
      <c r="F760" s="865">
        <v>31659.45</v>
      </c>
      <c r="G760" s="403"/>
      <c r="H760" s="349" t="s">
        <v>5263</v>
      </c>
      <c r="I760" s="866" t="str">
        <f t="shared" si="11"/>
        <v>NOT PAID</v>
      </c>
      <c r="J760" s="402"/>
      <c r="K760" s="402"/>
      <c r="L760" s="402"/>
      <c r="M760" s="402"/>
      <c r="N760" s="402"/>
      <c r="O760" s="402"/>
      <c r="P760" s="402"/>
      <c r="Q760" s="402"/>
      <c r="R760" s="402"/>
      <c r="S760" s="402"/>
      <c r="T760" s="402"/>
      <c r="U760" s="402"/>
      <c r="V760" s="402"/>
      <c r="W760" s="402"/>
      <c r="X760" s="402"/>
      <c r="Y760" s="402"/>
      <c r="Z760" s="402"/>
    </row>
    <row r="761" ht="14.25" customHeight="1">
      <c r="A761" s="697">
        <v>45517.0</v>
      </c>
      <c r="B761" s="863" t="s">
        <v>4990</v>
      </c>
      <c r="C761" s="863" t="s">
        <v>5266</v>
      </c>
      <c r="D761" s="867" t="s">
        <v>54</v>
      </c>
      <c r="E761" s="689" t="s">
        <v>4890</v>
      </c>
      <c r="F761" s="865">
        <v>27982.13</v>
      </c>
      <c r="G761" s="403"/>
      <c r="H761" s="349" t="s">
        <v>5267</v>
      </c>
      <c r="I761" s="866" t="str">
        <f t="shared" si="11"/>
        <v>NOT PAID</v>
      </c>
      <c r="J761" s="402"/>
      <c r="K761" s="402"/>
      <c r="L761" s="402"/>
      <c r="M761" s="402"/>
      <c r="N761" s="402"/>
      <c r="O761" s="402"/>
      <c r="P761" s="402"/>
      <c r="Q761" s="402"/>
      <c r="R761" s="402"/>
      <c r="S761" s="402"/>
      <c r="T761" s="402"/>
      <c r="U761" s="402"/>
      <c r="V761" s="402"/>
      <c r="W761" s="402"/>
      <c r="X761" s="402"/>
      <c r="Y761" s="402"/>
      <c r="Z761" s="402"/>
    </row>
    <row r="762" ht="14.25" customHeight="1">
      <c r="A762" s="697">
        <v>45517.0</v>
      </c>
      <c r="B762" s="863" t="s">
        <v>4983</v>
      </c>
      <c r="C762" s="863" t="s">
        <v>4860</v>
      </c>
      <c r="D762" s="867" t="s">
        <v>54</v>
      </c>
      <c r="E762" s="689" t="s">
        <v>5245</v>
      </c>
      <c r="F762" s="865">
        <v>10444.99</v>
      </c>
      <c r="G762" s="403"/>
      <c r="H762" s="349" t="s">
        <v>5260</v>
      </c>
      <c r="I762" s="866" t="str">
        <f t="shared" si="11"/>
        <v>NOT PAID</v>
      </c>
      <c r="J762" s="402"/>
      <c r="K762" s="402"/>
      <c r="L762" s="402"/>
      <c r="M762" s="402"/>
      <c r="N762" s="402"/>
      <c r="O762" s="402"/>
      <c r="P762" s="402"/>
      <c r="Q762" s="402"/>
      <c r="R762" s="402"/>
      <c r="S762" s="402"/>
      <c r="T762" s="402"/>
      <c r="U762" s="402"/>
      <c r="V762" s="402"/>
      <c r="W762" s="402"/>
      <c r="X762" s="402"/>
      <c r="Y762" s="402"/>
      <c r="Z762" s="402"/>
    </row>
    <row r="763" ht="14.25" customHeight="1">
      <c r="A763" s="697">
        <v>45517.0</v>
      </c>
      <c r="B763" s="863" t="s">
        <v>5268</v>
      </c>
      <c r="C763" s="863" t="s">
        <v>4991</v>
      </c>
      <c r="D763" s="867" t="s">
        <v>75</v>
      </c>
      <c r="E763" s="689" t="s">
        <v>4892</v>
      </c>
      <c r="F763" s="865">
        <v>287500.0</v>
      </c>
      <c r="G763" s="403"/>
      <c r="H763" s="349" t="s">
        <v>5267</v>
      </c>
      <c r="I763" s="866" t="str">
        <f t="shared" si="11"/>
        <v>NOT PAID</v>
      </c>
      <c r="J763" s="402"/>
      <c r="K763" s="402"/>
      <c r="L763" s="402"/>
      <c r="M763" s="402"/>
      <c r="N763" s="402"/>
      <c r="O763" s="402"/>
      <c r="P763" s="402"/>
      <c r="Q763" s="402"/>
      <c r="R763" s="402"/>
      <c r="S763" s="402"/>
      <c r="T763" s="402"/>
      <c r="U763" s="402"/>
      <c r="V763" s="402"/>
      <c r="W763" s="402"/>
      <c r="X763" s="402"/>
      <c r="Y763" s="402"/>
      <c r="Z763" s="402"/>
    </row>
    <row r="764" ht="14.25" customHeight="1">
      <c r="A764" s="697">
        <v>45517.0</v>
      </c>
      <c r="B764" s="863" t="s">
        <v>5227</v>
      </c>
      <c r="C764" s="863" t="s">
        <v>5114</v>
      </c>
      <c r="D764" s="867" t="s">
        <v>54</v>
      </c>
      <c r="E764" s="689" t="s">
        <v>5248</v>
      </c>
      <c r="F764" s="865">
        <v>23236.02</v>
      </c>
      <c r="G764" s="403"/>
      <c r="H764" s="349" t="s">
        <v>267</v>
      </c>
      <c r="I764" s="866" t="str">
        <f t="shared" si="11"/>
        <v>NOT PAID</v>
      </c>
      <c r="J764" s="402"/>
      <c r="K764" s="402"/>
      <c r="L764" s="402"/>
      <c r="M764" s="402"/>
      <c r="N764" s="402"/>
      <c r="O764" s="402"/>
      <c r="P764" s="402"/>
      <c r="Q764" s="402"/>
      <c r="R764" s="402"/>
      <c r="S764" s="402"/>
      <c r="T764" s="402"/>
      <c r="U764" s="402"/>
      <c r="V764" s="402"/>
      <c r="W764" s="402"/>
      <c r="X764" s="402"/>
      <c r="Y764" s="402"/>
      <c r="Z764" s="402"/>
    </row>
    <row r="765" ht="14.25" customHeight="1">
      <c r="A765" s="697">
        <v>45517.0</v>
      </c>
      <c r="B765" s="863" t="s">
        <v>4795</v>
      </c>
      <c r="C765" s="863" t="s">
        <v>5012</v>
      </c>
      <c r="D765" s="867" t="s">
        <v>54</v>
      </c>
      <c r="E765" s="689" t="s">
        <v>5249</v>
      </c>
      <c r="F765" s="865">
        <v>46034.9</v>
      </c>
      <c r="G765" s="403"/>
      <c r="H765" s="349" t="s">
        <v>5269</v>
      </c>
      <c r="I765" s="866" t="str">
        <f t="shared" si="11"/>
        <v>NOT PAID</v>
      </c>
      <c r="J765" s="402"/>
      <c r="K765" s="402"/>
      <c r="L765" s="402"/>
      <c r="M765" s="402"/>
      <c r="N765" s="402"/>
      <c r="O765" s="402"/>
      <c r="P765" s="402"/>
      <c r="Q765" s="402"/>
      <c r="R765" s="402"/>
      <c r="S765" s="402"/>
      <c r="T765" s="402"/>
      <c r="U765" s="402"/>
      <c r="V765" s="402"/>
      <c r="W765" s="402"/>
      <c r="X765" s="402"/>
      <c r="Y765" s="402"/>
      <c r="Z765" s="402"/>
    </row>
    <row r="766" ht="14.25" customHeight="1">
      <c r="A766" s="697">
        <v>45517.0</v>
      </c>
      <c r="B766" s="863" t="s">
        <v>5070</v>
      </c>
      <c r="C766" s="863" t="s">
        <v>4859</v>
      </c>
      <c r="D766" s="867" t="s">
        <v>75</v>
      </c>
      <c r="E766" s="689" t="s">
        <v>4887</v>
      </c>
      <c r="F766" s="865">
        <v>1737025.0</v>
      </c>
      <c r="G766" s="403"/>
      <c r="H766" s="349" t="s">
        <v>5263</v>
      </c>
      <c r="I766" s="866" t="str">
        <f t="shared" si="11"/>
        <v>NOT PAID</v>
      </c>
      <c r="J766" s="402"/>
      <c r="K766" s="402"/>
      <c r="L766" s="402"/>
      <c r="M766" s="402"/>
      <c r="N766" s="402"/>
      <c r="O766" s="402"/>
      <c r="P766" s="402"/>
      <c r="Q766" s="402"/>
      <c r="R766" s="402"/>
      <c r="S766" s="402"/>
      <c r="T766" s="402"/>
      <c r="U766" s="402"/>
      <c r="V766" s="402"/>
      <c r="W766" s="402"/>
      <c r="X766" s="402"/>
      <c r="Y766" s="402"/>
      <c r="Z766" s="402"/>
    </row>
    <row r="767" ht="14.25" customHeight="1">
      <c r="A767" s="697">
        <v>45517.0</v>
      </c>
      <c r="B767" s="863" t="s">
        <v>5075</v>
      </c>
      <c r="C767" s="863" t="s">
        <v>5076</v>
      </c>
      <c r="D767" s="867" t="s">
        <v>75</v>
      </c>
      <c r="E767" s="689" t="s">
        <v>4890</v>
      </c>
      <c r="F767" s="865">
        <v>56265.0</v>
      </c>
      <c r="G767" s="403"/>
      <c r="H767" s="349" t="s">
        <v>5270</v>
      </c>
      <c r="I767" s="866" t="str">
        <f t="shared" si="11"/>
        <v>NOT PAID</v>
      </c>
      <c r="J767" s="402"/>
      <c r="K767" s="402"/>
      <c r="L767" s="402"/>
      <c r="M767" s="402"/>
      <c r="N767" s="402"/>
      <c r="O767" s="402"/>
      <c r="P767" s="402"/>
      <c r="Q767" s="402"/>
      <c r="R767" s="402"/>
      <c r="S767" s="402"/>
      <c r="T767" s="402"/>
      <c r="U767" s="402"/>
      <c r="V767" s="402"/>
      <c r="W767" s="402"/>
      <c r="X767" s="402"/>
      <c r="Y767" s="402"/>
      <c r="Z767" s="402"/>
    </row>
    <row r="768" ht="14.25" customHeight="1">
      <c r="A768" s="697">
        <v>45517.0</v>
      </c>
      <c r="B768" s="863" t="s">
        <v>5166</v>
      </c>
      <c r="C768" s="863" t="s">
        <v>5167</v>
      </c>
      <c r="D768" s="867" t="s">
        <v>75</v>
      </c>
      <c r="E768" s="689" t="s">
        <v>4887</v>
      </c>
      <c r="F768" s="865">
        <v>39300.0</v>
      </c>
      <c r="G768" s="403"/>
      <c r="H768" s="349" t="s">
        <v>5271</v>
      </c>
      <c r="I768" s="866" t="str">
        <f t="shared" si="11"/>
        <v>NOT PAID</v>
      </c>
      <c r="J768" s="402"/>
      <c r="K768" s="402"/>
      <c r="L768" s="402"/>
      <c r="M768" s="402"/>
      <c r="N768" s="402"/>
      <c r="O768" s="402"/>
      <c r="P768" s="402"/>
      <c r="Q768" s="402"/>
      <c r="R768" s="402"/>
      <c r="S768" s="402"/>
      <c r="T768" s="402"/>
      <c r="U768" s="402"/>
      <c r="V768" s="402"/>
      <c r="W768" s="402"/>
      <c r="X768" s="402"/>
      <c r="Y768" s="402"/>
      <c r="Z768" s="402"/>
    </row>
    <row r="769" ht="14.25" customHeight="1">
      <c r="A769" s="697">
        <v>45517.0</v>
      </c>
      <c r="B769" s="863" t="s">
        <v>5242</v>
      </c>
      <c r="C769" s="863" t="s">
        <v>5272</v>
      </c>
      <c r="D769" s="867" t="s">
        <v>75</v>
      </c>
      <c r="E769" s="689" t="s">
        <v>4887</v>
      </c>
      <c r="F769" s="865">
        <v>1725.0</v>
      </c>
      <c r="G769" s="413">
        <v>1750.0</v>
      </c>
      <c r="H769" s="349" t="s">
        <v>267</v>
      </c>
      <c r="I769" s="866" t="str">
        <f t="shared" si="11"/>
        <v>FULLY PAID</v>
      </c>
      <c r="J769" s="402"/>
      <c r="K769" s="402"/>
      <c r="L769" s="402"/>
      <c r="M769" s="402"/>
      <c r="N769" s="402"/>
      <c r="O769" s="402"/>
      <c r="P769" s="402"/>
      <c r="Q769" s="402"/>
      <c r="R769" s="402"/>
      <c r="S769" s="402"/>
      <c r="T769" s="402"/>
      <c r="U769" s="402"/>
      <c r="V769" s="402"/>
      <c r="W769" s="402"/>
      <c r="X769" s="402"/>
      <c r="Y769" s="402"/>
      <c r="Z769" s="402"/>
    </row>
    <row r="770" ht="14.25" customHeight="1">
      <c r="A770" s="697">
        <v>45517.0</v>
      </c>
      <c r="B770" s="863" t="s">
        <v>5223</v>
      </c>
      <c r="C770" s="863" t="s">
        <v>5273</v>
      </c>
      <c r="D770" s="867" t="s">
        <v>75</v>
      </c>
      <c r="E770" s="689" t="s">
        <v>4887</v>
      </c>
      <c r="F770" s="865">
        <v>70400.0</v>
      </c>
      <c r="G770" s="403"/>
      <c r="H770" s="349" t="s">
        <v>3584</v>
      </c>
      <c r="I770" s="866" t="str">
        <f t="shared" si="11"/>
        <v>NOT PAID</v>
      </c>
      <c r="J770" s="402"/>
      <c r="K770" s="402"/>
      <c r="L770" s="402"/>
      <c r="M770" s="402"/>
      <c r="N770" s="402"/>
      <c r="O770" s="402"/>
      <c r="P770" s="402"/>
      <c r="Q770" s="402"/>
      <c r="R770" s="402"/>
      <c r="S770" s="402"/>
      <c r="T770" s="402"/>
      <c r="U770" s="402"/>
      <c r="V770" s="402"/>
      <c r="W770" s="402"/>
      <c r="X770" s="402"/>
      <c r="Y770" s="402"/>
      <c r="Z770" s="402"/>
    </row>
    <row r="771" ht="14.25" customHeight="1">
      <c r="A771" s="697">
        <v>45517.0</v>
      </c>
      <c r="B771" s="863" t="s">
        <v>4824</v>
      </c>
      <c r="C771" s="863" t="s">
        <v>5274</v>
      </c>
      <c r="D771" s="867" t="s">
        <v>54</v>
      </c>
      <c r="E771" s="689" t="s">
        <v>5249</v>
      </c>
      <c r="F771" s="865">
        <v>140217.5</v>
      </c>
      <c r="G771" s="403"/>
      <c r="H771" s="349" t="s">
        <v>5275</v>
      </c>
      <c r="I771" s="866" t="str">
        <f t="shared" si="11"/>
        <v>NOT PAID</v>
      </c>
      <c r="J771" s="402"/>
      <c r="K771" s="402"/>
      <c r="L771" s="402"/>
      <c r="M771" s="402"/>
      <c r="N771" s="402"/>
      <c r="O771" s="402"/>
      <c r="P771" s="402"/>
      <c r="Q771" s="402"/>
      <c r="R771" s="402"/>
      <c r="S771" s="402"/>
      <c r="T771" s="402"/>
      <c r="U771" s="402"/>
      <c r="V771" s="402"/>
      <c r="W771" s="402"/>
      <c r="X771" s="402"/>
      <c r="Y771" s="402"/>
      <c r="Z771" s="402"/>
    </row>
    <row r="772" ht="14.25" customHeight="1">
      <c r="A772" s="697">
        <v>45517.0</v>
      </c>
      <c r="B772" s="863" t="s">
        <v>5276</v>
      </c>
      <c r="C772" s="863" t="s">
        <v>5277</v>
      </c>
      <c r="D772" s="867" t="s">
        <v>54</v>
      </c>
      <c r="E772" s="689" t="s">
        <v>4892</v>
      </c>
      <c r="F772" s="865">
        <v>360388.84</v>
      </c>
      <c r="G772" s="403"/>
      <c r="H772" s="349" t="s">
        <v>5278</v>
      </c>
      <c r="I772" s="866" t="str">
        <f t="shared" si="11"/>
        <v>NOT PAID</v>
      </c>
      <c r="J772" s="402"/>
      <c r="K772" s="402"/>
      <c r="L772" s="402"/>
      <c r="M772" s="402"/>
      <c r="N772" s="402"/>
      <c r="O772" s="402"/>
      <c r="P772" s="402"/>
      <c r="Q772" s="402"/>
      <c r="R772" s="402"/>
      <c r="S772" s="402"/>
      <c r="T772" s="402"/>
      <c r="U772" s="402"/>
      <c r="V772" s="402"/>
      <c r="W772" s="402"/>
      <c r="X772" s="402"/>
      <c r="Y772" s="402"/>
      <c r="Z772" s="402"/>
    </row>
    <row r="773" ht="14.25" customHeight="1">
      <c r="A773" s="697" t="s">
        <v>5279</v>
      </c>
      <c r="B773" s="863" t="s">
        <v>5280</v>
      </c>
      <c r="C773" s="863" t="s">
        <v>5123</v>
      </c>
      <c r="D773" s="867" t="s">
        <v>75</v>
      </c>
      <c r="E773" s="689" t="s">
        <v>5249</v>
      </c>
      <c r="F773" s="865">
        <v>302435.23</v>
      </c>
      <c r="G773" s="403"/>
      <c r="H773" s="349" t="s">
        <v>5281</v>
      </c>
      <c r="I773" s="866" t="str">
        <f t="shared" si="11"/>
        <v>NOT PAID</v>
      </c>
      <c r="J773" s="402"/>
      <c r="K773" s="402"/>
      <c r="L773" s="402"/>
      <c r="M773" s="402"/>
      <c r="N773" s="402"/>
      <c r="O773" s="402"/>
      <c r="P773" s="402"/>
      <c r="Q773" s="402"/>
      <c r="R773" s="402"/>
      <c r="S773" s="402"/>
      <c r="T773" s="402"/>
      <c r="U773" s="402"/>
      <c r="V773" s="402"/>
      <c r="W773" s="402"/>
      <c r="X773" s="402"/>
      <c r="Y773" s="402"/>
      <c r="Z773" s="402"/>
    </row>
    <row r="774" ht="14.25" customHeight="1">
      <c r="A774" s="697"/>
      <c r="B774" s="863"/>
      <c r="C774" s="911" t="s">
        <v>797</v>
      </c>
      <c r="D774" s="867"/>
      <c r="E774" s="868"/>
      <c r="F774" s="865"/>
      <c r="G774" s="403"/>
      <c r="H774" s="402"/>
      <c r="I774" s="866" t="str">
        <f t="shared" si="11"/>
        <v>FULLY PAID</v>
      </c>
      <c r="J774" s="402"/>
      <c r="K774" s="402"/>
      <c r="L774" s="402"/>
      <c r="M774" s="402"/>
      <c r="N774" s="402"/>
      <c r="O774" s="402"/>
      <c r="P774" s="402"/>
      <c r="Q774" s="402"/>
      <c r="R774" s="402"/>
      <c r="S774" s="402"/>
      <c r="T774" s="402"/>
      <c r="U774" s="402"/>
      <c r="V774" s="402"/>
      <c r="W774" s="402"/>
      <c r="X774" s="402"/>
      <c r="Y774" s="402"/>
      <c r="Z774" s="402"/>
    </row>
    <row r="775" ht="14.25" customHeight="1">
      <c r="A775" s="697">
        <v>45517.0</v>
      </c>
      <c r="B775" s="962" t="s">
        <v>4833</v>
      </c>
      <c r="C775" s="965" t="s">
        <v>4910</v>
      </c>
      <c r="D775" s="966" t="s">
        <v>54</v>
      </c>
      <c r="E775" s="689" t="s">
        <v>4890</v>
      </c>
      <c r="F775" s="957">
        <v>132317.91</v>
      </c>
      <c r="G775" s="403"/>
      <c r="H775" s="349" t="s">
        <v>5282</v>
      </c>
      <c r="I775" s="866" t="str">
        <f t="shared" si="11"/>
        <v>NOT PAID</v>
      </c>
      <c r="J775" s="402"/>
      <c r="K775" s="402"/>
      <c r="L775" s="402"/>
      <c r="M775" s="402"/>
      <c r="N775" s="402"/>
      <c r="O775" s="402"/>
      <c r="P775" s="402"/>
      <c r="Q775" s="402"/>
      <c r="R775" s="402"/>
      <c r="S775" s="402"/>
      <c r="T775" s="402"/>
      <c r="U775" s="402"/>
      <c r="V775" s="402"/>
      <c r="W775" s="402"/>
      <c r="X775" s="402"/>
      <c r="Y775" s="402"/>
      <c r="Z775" s="402"/>
    </row>
    <row r="776" ht="14.25" customHeight="1">
      <c r="A776" s="697">
        <v>45517.0</v>
      </c>
      <c r="B776" s="958" t="s">
        <v>4547</v>
      </c>
      <c r="C776" s="956" t="s">
        <v>4836</v>
      </c>
      <c r="D776" s="956" t="s">
        <v>59</v>
      </c>
      <c r="E776" s="689" t="s">
        <v>4890</v>
      </c>
      <c r="F776" s="957">
        <v>630049.67</v>
      </c>
      <c r="G776" s="403"/>
      <c r="H776" s="349" t="s">
        <v>5283</v>
      </c>
      <c r="I776" s="866" t="str">
        <f t="shared" si="11"/>
        <v>NOT PAID</v>
      </c>
      <c r="J776" s="402"/>
      <c r="K776" s="402"/>
      <c r="L776" s="402"/>
      <c r="M776" s="402"/>
      <c r="N776" s="402"/>
      <c r="O776" s="402"/>
      <c r="P776" s="402"/>
      <c r="Q776" s="402"/>
      <c r="R776" s="402"/>
      <c r="S776" s="402"/>
      <c r="T776" s="402"/>
      <c r="U776" s="402"/>
      <c r="V776" s="402"/>
      <c r="W776" s="402"/>
      <c r="X776" s="402"/>
      <c r="Y776" s="402"/>
      <c r="Z776" s="402"/>
    </row>
    <row r="777" ht="14.25" customHeight="1">
      <c r="A777" s="697">
        <v>45517.0</v>
      </c>
      <c r="B777" s="958" t="s">
        <v>4919</v>
      </c>
      <c r="C777" s="956" t="s">
        <v>4945</v>
      </c>
      <c r="D777" s="956" t="s">
        <v>75</v>
      </c>
      <c r="E777" s="689" t="s">
        <v>4890</v>
      </c>
      <c r="F777" s="957">
        <v>306751.35</v>
      </c>
      <c r="G777" s="403"/>
      <c r="H777" s="349" t="s">
        <v>5284</v>
      </c>
      <c r="I777" s="866" t="str">
        <f t="shared" si="11"/>
        <v>NOT PAID</v>
      </c>
      <c r="J777" s="402"/>
      <c r="K777" s="402"/>
      <c r="L777" s="402"/>
      <c r="M777" s="402"/>
      <c r="N777" s="402"/>
      <c r="O777" s="402"/>
      <c r="P777" s="402"/>
      <c r="Q777" s="402"/>
      <c r="R777" s="402"/>
      <c r="S777" s="402"/>
      <c r="T777" s="402"/>
      <c r="U777" s="402"/>
      <c r="V777" s="402"/>
      <c r="W777" s="402"/>
      <c r="X777" s="402"/>
      <c r="Y777" s="402"/>
      <c r="Z777" s="402"/>
    </row>
    <row r="778" ht="14.25" customHeight="1">
      <c r="A778" s="697">
        <v>45517.0</v>
      </c>
      <c r="B778" s="967" t="s">
        <v>4783</v>
      </c>
      <c r="C778" s="956" t="s">
        <v>4945</v>
      </c>
      <c r="D778" s="966" t="s">
        <v>54</v>
      </c>
      <c r="E778" s="689" t="s">
        <v>4890</v>
      </c>
      <c r="F778" s="766">
        <v>854884.6</v>
      </c>
      <c r="G778" s="403"/>
      <c r="H778" s="349" t="s">
        <v>5284</v>
      </c>
      <c r="I778" s="866" t="str">
        <f t="shared" si="11"/>
        <v>NOT PAID</v>
      </c>
      <c r="J778" s="402"/>
      <c r="K778" s="402"/>
      <c r="L778" s="402"/>
      <c r="M778" s="402"/>
      <c r="N778" s="402"/>
      <c r="O778" s="402"/>
      <c r="P778" s="402"/>
      <c r="Q778" s="402"/>
      <c r="R778" s="402"/>
      <c r="S778" s="402"/>
      <c r="T778" s="402"/>
      <c r="U778" s="402"/>
      <c r="V778" s="402"/>
      <c r="W778" s="402"/>
      <c r="X778" s="402"/>
      <c r="Y778" s="402"/>
      <c r="Z778" s="402"/>
    </row>
    <row r="779" ht="14.25" customHeight="1">
      <c r="A779" s="697">
        <v>45517.0</v>
      </c>
      <c r="B779" s="962" t="s">
        <v>4816</v>
      </c>
      <c r="C779" s="965" t="s">
        <v>5015</v>
      </c>
      <c r="D779" s="966" t="s">
        <v>54</v>
      </c>
      <c r="E779" s="689" t="s">
        <v>4890</v>
      </c>
      <c r="F779" s="933">
        <v>40702.31</v>
      </c>
      <c r="G779" s="413">
        <v>34500.0</v>
      </c>
      <c r="H779" s="349" t="s">
        <v>5285</v>
      </c>
      <c r="I779" s="866" t="str">
        <f t="shared" si="11"/>
        <v>PARTIALLY PAID</v>
      </c>
      <c r="J779" s="402"/>
      <c r="K779" s="402"/>
      <c r="L779" s="402"/>
      <c r="M779" s="402"/>
      <c r="N779" s="402"/>
      <c r="O779" s="402"/>
      <c r="P779" s="402"/>
      <c r="Q779" s="402"/>
      <c r="R779" s="402"/>
      <c r="S779" s="402"/>
      <c r="T779" s="402"/>
      <c r="U779" s="402"/>
      <c r="V779" s="402"/>
      <c r="W779" s="402"/>
      <c r="X779" s="402"/>
      <c r="Y779" s="402"/>
      <c r="Z779" s="402"/>
    </row>
    <row r="780" ht="14.25" customHeight="1">
      <c r="A780" s="697">
        <v>45517.0</v>
      </c>
      <c r="B780" s="955" t="s">
        <v>4828</v>
      </c>
      <c r="C780" s="407" t="s">
        <v>4829</v>
      </c>
      <c r="D780" s="956" t="s">
        <v>59</v>
      </c>
      <c r="E780" s="689" t="s">
        <v>273</v>
      </c>
      <c r="F780" s="942">
        <v>500000.0</v>
      </c>
      <c r="G780" s="403"/>
      <c r="H780" s="402"/>
      <c r="I780" s="866" t="str">
        <f t="shared" si="11"/>
        <v>NOT PAID</v>
      </c>
      <c r="J780" s="402"/>
      <c r="K780" s="402"/>
      <c r="L780" s="402"/>
      <c r="M780" s="402"/>
      <c r="N780" s="402"/>
      <c r="O780" s="402"/>
      <c r="P780" s="402"/>
      <c r="Q780" s="402"/>
      <c r="R780" s="402"/>
      <c r="S780" s="402"/>
      <c r="T780" s="402"/>
      <c r="U780" s="402"/>
      <c r="V780" s="402"/>
      <c r="W780" s="402"/>
      <c r="X780" s="402"/>
      <c r="Y780" s="402"/>
      <c r="Z780" s="402"/>
    </row>
    <row r="781" ht="14.25" customHeight="1">
      <c r="A781" s="697"/>
      <c r="B781" s="863"/>
      <c r="C781" s="863"/>
      <c r="D781" s="867"/>
      <c r="E781" s="868"/>
      <c r="F781" s="865"/>
      <c r="G781" s="403"/>
      <c r="H781" s="402"/>
      <c r="I781" s="866" t="str">
        <f t="shared" si="11"/>
        <v>FULLY PAID</v>
      </c>
      <c r="J781" s="402"/>
      <c r="K781" s="402"/>
      <c r="L781" s="402"/>
      <c r="M781" s="402"/>
      <c r="N781" s="402"/>
      <c r="O781" s="402"/>
      <c r="P781" s="402"/>
      <c r="Q781" s="402"/>
      <c r="R781" s="402"/>
      <c r="S781" s="402"/>
      <c r="T781" s="402"/>
      <c r="U781" s="402"/>
      <c r="V781" s="402"/>
      <c r="W781" s="402"/>
      <c r="X781" s="402"/>
      <c r="Y781" s="402"/>
      <c r="Z781" s="402"/>
    </row>
    <row r="782" ht="14.25" customHeight="1">
      <c r="A782" s="697"/>
      <c r="B782" s="863"/>
      <c r="C782" s="863"/>
      <c r="D782" s="867"/>
      <c r="E782" s="868"/>
      <c r="F782" s="865"/>
      <c r="G782" s="403"/>
      <c r="H782" s="402"/>
      <c r="I782" s="402"/>
      <c r="J782" s="402"/>
      <c r="K782" s="402"/>
      <c r="L782" s="402"/>
      <c r="M782" s="402"/>
      <c r="N782" s="402"/>
      <c r="O782" s="402"/>
      <c r="P782" s="402"/>
      <c r="Q782" s="402"/>
      <c r="R782" s="402"/>
      <c r="S782" s="402"/>
      <c r="T782" s="402"/>
      <c r="U782" s="402"/>
      <c r="V782" s="402"/>
      <c r="W782" s="402"/>
      <c r="X782" s="402"/>
      <c r="Y782" s="402"/>
      <c r="Z782" s="402"/>
    </row>
    <row r="783" ht="14.25" customHeight="1">
      <c r="A783" s="896" t="s">
        <v>2130</v>
      </c>
      <c r="B783" s="897" t="s">
        <v>39</v>
      </c>
      <c r="C783" s="896" t="s">
        <v>48</v>
      </c>
      <c r="D783" s="896" t="s">
        <v>49</v>
      </c>
      <c r="E783" s="898" t="s">
        <v>50</v>
      </c>
      <c r="F783" s="899" t="s">
        <v>2</v>
      </c>
      <c r="G783" s="896" t="s">
        <v>44</v>
      </c>
      <c r="H783" s="896" t="s">
        <v>45</v>
      </c>
      <c r="I783" s="866" t="str">
        <f t="shared" ref="I783:I966" si="12">IF(G783&gt;=F783,"FULLY PAID",IF(G783=0,"NOT PAID","PARTIALLY PAID"))</f>
        <v>FULLY PAID</v>
      </c>
      <c r="J783" s="402"/>
      <c r="K783" s="402"/>
      <c r="L783" s="402"/>
      <c r="M783" s="402"/>
      <c r="N783" s="402"/>
      <c r="O783" s="402"/>
      <c r="P783" s="402"/>
      <c r="Q783" s="402"/>
      <c r="R783" s="402"/>
      <c r="S783" s="402"/>
      <c r="T783" s="402"/>
      <c r="U783" s="402"/>
      <c r="V783" s="402"/>
      <c r="W783" s="402"/>
      <c r="X783" s="402"/>
      <c r="Y783" s="402"/>
      <c r="Z783" s="402"/>
    </row>
    <row r="784" ht="14.25" customHeight="1">
      <c r="A784" s="697">
        <v>45518.0</v>
      </c>
      <c r="B784" s="878" t="s">
        <v>5127</v>
      </c>
      <c r="C784" s="878" t="s">
        <v>5170</v>
      </c>
      <c r="D784" s="883" t="s">
        <v>54</v>
      </c>
      <c r="E784" s="689" t="s">
        <v>4887</v>
      </c>
      <c r="F784" s="881">
        <v>279606.81</v>
      </c>
      <c r="G784" s="403"/>
      <c r="H784" s="349" t="s">
        <v>5286</v>
      </c>
      <c r="I784" s="866" t="str">
        <f t="shared" si="12"/>
        <v>NOT PAID</v>
      </c>
      <c r="J784" s="402"/>
      <c r="K784" s="402"/>
      <c r="L784" s="402"/>
      <c r="M784" s="402"/>
      <c r="N784" s="402"/>
      <c r="O784" s="402"/>
      <c r="P784" s="402"/>
      <c r="Q784" s="402"/>
      <c r="R784" s="402"/>
      <c r="S784" s="402"/>
      <c r="T784" s="402"/>
      <c r="U784" s="402"/>
      <c r="V784" s="402"/>
      <c r="W784" s="402"/>
      <c r="X784" s="402"/>
      <c r="Y784" s="402"/>
      <c r="Z784" s="402"/>
    </row>
    <row r="785" ht="14.25" customHeight="1">
      <c r="A785" s="697">
        <v>45518.0</v>
      </c>
      <c r="B785" s="878" t="s">
        <v>5130</v>
      </c>
      <c r="C785" s="878" t="s">
        <v>5171</v>
      </c>
      <c r="D785" s="883" t="s">
        <v>54</v>
      </c>
      <c r="E785" s="689" t="s">
        <v>4887</v>
      </c>
      <c r="F785" s="881">
        <v>3227.69</v>
      </c>
      <c r="G785" s="403"/>
      <c r="H785" s="349" t="s">
        <v>267</v>
      </c>
      <c r="I785" s="866" t="str">
        <f t="shared" si="12"/>
        <v>NOT PAID</v>
      </c>
      <c r="J785" s="402"/>
      <c r="K785" s="402"/>
      <c r="L785" s="402"/>
      <c r="M785" s="402"/>
      <c r="N785" s="402"/>
      <c r="O785" s="402"/>
      <c r="P785" s="402"/>
      <c r="Q785" s="402"/>
      <c r="R785" s="402"/>
      <c r="S785" s="402"/>
      <c r="T785" s="402"/>
      <c r="U785" s="402"/>
      <c r="V785" s="402"/>
      <c r="W785" s="402"/>
      <c r="X785" s="402"/>
      <c r="Y785" s="402"/>
      <c r="Z785" s="402"/>
    </row>
    <row r="786" ht="14.25" customHeight="1">
      <c r="A786" s="697">
        <v>45518.0</v>
      </c>
      <c r="B786" s="878" t="s">
        <v>4939</v>
      </c>
      <c r="C786" s="878" t="s">
        <v>4932</v>
      </c>
      <c r="D786" s="883" t="s">
        <v>54</v>
      </c>
      <c r="E786" s="689" t="s">
        <v>4887</v>
      </c>
      <c r="F786" s="881">
        <v>1413.29</v>
      </c>
      <c r="G786" s="403"/>
      <c r="H786" s="349" t="s">
        <v>5287</v>
      </c>
      <c r="I786" s="866" t="str">
        <f t="shared" si="12"/>
        <v>NOT PAID</v>
      </c>
      <c r="J786" s="402"/>
      <c r="K786" s="402"/>
      <c r="L786" s="402"/>
      <c r="M786" s="402"/>
      <c r="N786" s="402"/>
      <c r="O786" s="402"/>
      <c r="P786" s="402"/>
      <c r="Q786" s="402"/>
      <c r="R786" s="402"/>
      <c r="S786" s="402"/>
      <c r="T786" s="402"/>
      <c r="U786" s="402"/>
      <c r="V786" s="402"/>
      <c r="W786" s="402"/>
      <c r="X786" s="402"/>
      <c r="Y786" s="402"/>
      <c r="Z786" s="402"/>
    </row>
    <row r="787" ht="14.25" customHeight="1">
      <c r="A787" s="697">
        <v>45518.0</v>
      </c>
      <c r="B787" s="878" t="s">
        <v>5227</v>
      </c>
      <c r="C787" s="878" t="s">
        <v>5114</v>
      </c>
      <c r="D787" s="883" t="s">
        <v>54</v>
      </c>
      <c r="E787" s="689" t="s">
        <v>5248</v>
      </c>
      <c r="F787" s="881">
        <v>236.02</v>
      </c>
      <c r="G787" s="403"/>
      <c r="H787" s="349" t="s">
        <v>267</v>
      </c>
      <c r="I787" s="866" t="str">
        <f t="shared" si="12"/>
        <v>NOT PAID</v>
      </c>
      <c r="J787" s="402"/>
      <c r="K787" s="402"/>
      <c r="L787" s="402"/>
      <c r="M787" s="402"/>
      <c r="N787" s="402"/>
      <c r="O787" s="402"/>
      <c r="P787" s="402"/>
      <c r="Q787" s="402"/>
      <c r="R787" s="402"/>
      <c r="S787" s="402"/>
      <c r="T787" s="402"/>
      <c r="U787" s="402"/>
      <c r="V787" s="402"/>
      <c r="W787" s="402"/>
      <c r="X787" s="402"/>
      <c r="Y787" s="402"/>
      <c r="Z787" s="402"/>
    </row>
    <row r="788" ht="14.25" customHeight="1">
      <c r="A788" s="697">
        <v>45518.0</v>
      </c>
      <c r="B788" s="878" t="s">
        <v>5198</v>
      </c>
      <c r="C788" s="878" t="s">
        <v>5199</v>
      </c>
      <c r="D788" s="883" t="s">
        <v>54</v>
      </c>
      <c r="E788" s="689" t="s">
        <v>5248</v>
      </c>
      <c r="F788" s="881">
        <v>35966.87</v>
      </c>
      <c r="G788" s="403"/>
      <c r="H788" s="349" t="s">
        <v>5288</v>
      </c>
      <c r="I788" s="866" t="str">
        <f t="shared" si="12"/>
        <v>NOT PAID</v>
      </c>
      <c r="J788" s="402"/>
      <c r="K788" s="402"/>
      <c r="L788" s="402"/>
      <c r="M788" s="402"/>
      <c r="N788" s="402"/>
      <c r="O788" s="402"/>
      <c r="P788" s="402"/>
      <c r="Q788" s="402"/>
      <c r="R788" s="402"/>
      <c r="S788" s="402"/>
      <c r="T788" s="402"/>
      <c r="U788" s="402"/>
      <c r="V788" s="402"/>
      <c r="W788" s="402"/>
      <c r="X788" s="402"/>
      <c r="Y788" s="402"/>
      <c r="Z788" s="402"/>
    </row>
    <row r="789" ht="14.25" customHeight="1">
      <c r="A789" s="697">
        <v>45518.0</v>
      </c>
      <c r="B789" s="878" t="s">
        <v>4898</v>
      </c>
      <c r="C789" s="878" t="s">
        <v>4899</v>
      </c>
      <c r="D789" s="883" t="s">
        <v>54</v>
      </c>
      <c r="E789" s="883" t="s">
        <v>4892</v>
      </c>
      <c r="F789" s="881">
        <v>996.49</v>
      </c>
      <c r="G789" s="403"/>
      <c r="H789" s="349" t="s">
        <v>5289</v>
      </c>
      <c r="I789" s="866" t="str">
        <f t="shared" si="12"/>
        <v>NOT PAID</v>
      </c>
      <c r="J789" s="402"/>
      <c r="K789" s="402"/>
      <c r="L789" s="402"/>
      <c r="M789" s="402"/>
      <c r="N789" s="402"/>
      <c r="O789" s="402"/>
      <c r="P789" s="402"/>
      <c r="Q789" s="402"/>
      <c r="R789" s="402"/>
      <c r="S789" s="402"/>
      <c r="T789" s="402"/>
      <c r="U789" s="402"/>
      <c r="V789" s="402"/>
      <c r="W789" s="402"/>
      <c r="X789" s="402"/>
      <c r="Y789" s="402"/>
      <c r="Z789" s="402"/>
    </row>
    <row r="790" ht="14.25" customHeight="1">
      <c r="A790" s="697">
        <v>45518.0</v>
      </c>
      <c r="B790" s="878" t="s">
        <v>4864</v>
      </c>
      <c r="C790" s="878" t="s">
        <v>4865</v>
      </c>
      <c r="D790" s="883" t="s">
        <v>54</v>
      </c>
      <c r="E790" s="883" t="s">
        <v>4887</v>
      </c>
      <c r="F790" s="881">
        <v>7072.53</v>
      </c>
      <c r="G790" s="403"/>
      <c r="H790" s="349" t="s">
        <v>5290</v>
      </c>
      <c r="I790" s="866" t="str">
        <f t="shared" si="12"/>
        <v>NOT PAID</v>
      </c>
      <c r="J790" s="402"/>
      <c r="K790" s="402"/>
      <c r="L790" s="402"/>
      <c r="M790" s="402"/>
      <c r="N790" s="402"/>
      <c r="O790" s="402"/>
      <c r="P790" s="402"/>
      <c r="Q790" s="402"/>
      <c r="R790" s="402"/>
      <c r="S790" s="402"/>
      <c r="T790" s="402"/>
      <c r="U790" s="402"/>
      <c r="V790" s="402"/>
      <c r="W790" s="402"/>
      <c r="X790" s="402"/>
      <c r="Y790" s="402"/>
      <c r="Z790" s="402"/>
    </row>
    <row r="791" ht="14.25" customHeight="1">
      <c r="A791" s="697">
        <v>45518.0</v>
      </c>
      <c r="B791" s="878" t="s">
        <v>4933</v>
      </c>
      <c r="C791" s="878" t="s">
        <v>4848</v>
      </c>
      <c r="D791" s="883" t="s">
        <v>59</v>
      </c>
      <c r="E791" s="883" t="s">
        <v>4887</v>
      </c>
      <c r="F791" s="881">
        <v>434100.0</v>
      </c>
      <c r="G791" s="413">
        <v>434100.0</v>
      </c>
      <c r="H791" s="349" t="s">
        <v>267</v>
      </c>
      <c r="I791" s="866" t="str">
        <f t="shared" si="12"/>
        <v>FULLY PAID</v>
      </c>
      <c r="J791" s="402"/>
      <c r="K791" s="402"/>
      <c r="L791" s="402"/>
      <c r="M791" s="402"/>
      <c r="N791" s="402"/>
      <c r="O791" s="402"/>
      <c r="P791" s="402"/>
      <c r="Q791" s="402"/>
      <c r="R791" s="402"/>
      <c r="S791" s="402"/>
      <c r="T791" s="402"/>
      <c r="U791" s="402"/>
      <c r="V791" s="402"/>
      <c r="W791" s="402"/>
      <c r="X791" s="402"/>
      <c r="Y791" s="402"/>
      <c r="Z791" s="402"/>
    </row>
    <row r="792" ht="14.25" customHeight="1">
      <c r="A792" s="697">
        <v>45518.0</v>
      </c>
      <c r="B792" s="878" t="s">
        <v>5097</v>
      </c>
      <c r="C792" s="878" t="s">
        <v>5076</v>
      </c>
      <c r="D792" s="883" t="s">
        <v>54</v>
      </c>
      <c r="E792" s="883" t="s">
        <v>5248</v>
      </c>
      <c r="F792" s="881">
        <v>37916.85</v>
      </c>
      <c r="G792" s="403"/>
      <c r="H792" s="349" t="s">
        <v>5291</v>
      </c>
      <c r="I792" s="866" t="str">
        <f t="shared" si="12"/>
        <v>NOT PAID</v>
      </c>
      <c r="J792" s="402"/>
      <c r="K792" s="402"/>
      <c r="L792" s="402"/>
      <c r="M792" s="402"/>
      <c r="N792" s="402"/>
      <c r="O792" s="402"/>
      <c r="P792" s="402"/>
      <c r="Q792" s="402"/>
      <c r="R792" s="402"/>
      <c r="S792" s="402"/>
      <c r="T792" s="402"/>
      <c r="U792" s="402"/>
      <c r="V792" s="402"/>
      <c r="W792" s="402"/>
      <c r="X792" s="402"/>
      <c r="Y792" s="402"/>
      <c r="Z792" s="402"/>
    </row>
    <row r="793" ht="14.25" customHeight="1">
      <c r="A793" s="697">
        <v>45518.0</v>
      </c>
      <c r="B793" s="878" t="s">
        <v>4969</v>
      </c>
      <c r="C793" s="878" t="s">
        <v>4970</v>
      </c>
      <c r="D793" s="883" t="s">
        <v>59</v>
      </c>
      <c r="E793" s="883" t="s">
        <v>4887</v>
      </c>
      <c r="F793" s="881">
        <v>13974.99</v>
      </c>
      <c r="G793" s="403"/>
      <c r="H793" s="349" t="s">
        <v>5292</v>
      </c>
      <c r="I793" s="866" t="str">
        <f t="shared" si="12"/>
        <v>NOT PAID</v>
      </c>
      <c r="J793" s="402"/>
      <c r="K793" s="402"/>
      <c r="L793" s="402"/>
      <c r="M793" s="402"/>
      <c r="N793" s="402"/>
      <c r="O793" s="402"/>
      <c r="P793" s="402"/>
      <c r="Q793" s="402"/>
      <c r="R793" s="402"/>
      <c r="S793" s="402"/>
      <c r="T793" s="402"/>
      <c r="U793" s="402"/>
      <c r="V793" s="402"/>
      <c r="W793" s="402"/>
      <c r="X793" s="402"/>
      <c r="Y793" s="402"/>
      <c r="Z793" s="402"/>
    </row>
    <row r="794" ht="14.25" customHeight="1">
      <c r="A794" s="697">
        <v>45518.0</v>
      </c>
      <c r="B794" s="878" t="s">
        <v>4781</v>
      </c>
      <c r="C794" s="878" t="s">
        <v>4915</v>
      </c>
      <c r="D794" s="883" t="s">
        <v>54</v>
      </c>
      <c r="E794" s="883" t="s">
        <v>4890</v>
      </c>
      <c r="F794" s="881">
        <v>92289.58</v>
      </c>
      <c r="G794" s="403"/>
      <c r="H794" s="349" t="s">
        <v>5293</v>
      </c>
      <c r="I794" s="866" t="str">
        <f t="shared" si="12"/>
        <v>NOT PAID</v>
      </c>
      <c r="J794" s="402"/>
      <c r="K794" s="402"/>
      <c r="L794" s="402"/>
      <c r="M794" s="402"/>
      <c r="N794" s="402"/>
      <c r="O794" s="402"/>
      <c r="P794" s="402"/>
      <c r="Q794" s="402"/>
      <c r="R794" s="402"/>
      <c r="S794" s="402"/>
      <c r="T794" s="402"/>
      <c r="U794" s="402"/>
      <c r="V794" s="402"/>
      <c r="W794" s="402"/>
      <c r="X794" s="402"/>
      <c r="Y794" s="402"/>
      <c r="Z794" s="402"/>
    </row>
    <row r="795" ht="14.25" customHeight="1">
      <c r="A795" s="697">
        <v>45518.0</v>
      </c>
      <c r="B795" s="878" t="s">
        <v>5033</v>
      </c>
      <c r="C795" s="878" t="s">
        <v>5034</v>
      </c>
      <c r="D795" s="883" t="s">
        <v>54</v>
      </c>
      <c r="E795" s="883" t="s">
        <v>4890</v>
      </c>
      <c r="F795" s="881">
        <v>52822.89</v>
      </c>
      <c r="G795" s="403"/>
      <c r="H795" s="349" t="s">
        <v>5294</v>
      </c>
      <c r="I795" s="866" t="str">
        <f t="shared" si="12"/>
        <v>NOT PAID</v>
      </c>
      <c r="J795" s="402"/>
      <c r="K795" s="402"/>
      <c r="L795" s="402"/>
      <c r="M795" s="402"/>
      <c r="N795" s="402"/>
      <c r="O795" s="402"/>
      <c r="P795" s="402"/>
      <c r="Q795" s="402"/>
      <c r="R795" s="402"/>
      <c r="S795" s="402"/>
      <c r="T795" s="402"/>
      <c r="U795" s="402"/>
      <c r="V795" s="402"/>
      <c r="W795" s="402"/>
      <c r="X795" s="402"/>
      <c r="Y795" s="402"/>
      <c r="Z795" s="402"/>
    </row>
    <row r="796" ht="14.25" customHeight="1">
      <c r="A796" s="697">
        <v>45518.0</v>
      </c>
      <c r="B796" s="878" t="s">
        <v>4833</v>
      </c>
      <c r="C796" s="878" t="s">
        <v>4910</v>
      </c>
      <c r="D796" s="883" t="s">
        <v>54</v>
      </c>
      <c r="E796" s="883" t="s">
        <v>4887</v>
      </c>
      <c r="F796" s="881">
        <v>123000.0</v>
      </c>
      <c r="G796" s="403"/>
      <c r="H796" s="349" t="s">
        <v>5295</v>
      </c>
      <c r="I796" s="866" t="str">
        <f t="shared" si="12"/>
        <v>NOT PAID</v>
      </c>
      <c r="J796" s="402"/>
      <c r="K796" s="402"/>
      <c r="L796" s="402"/>
      <c r="M796" s="402"/>
      <c r="N796" s="402"/>
      <c r="O796" s="402"/>
      <c r="P796" s="402"/>
      <c r="Q796" s="402"/>
      <c r="R796" s="402"/>
      <c r="S796" s="402"/>
      <c r="T796" s="402"/>
      <c r="U796" s="402"/>
      <c r="V796" s="402"/>
      <c r="W796" s="402"/>
      <c r="X796" s="402"/>
      <c r="Y796" s="402"/>
      <c r="Z796" s="402"/>
    </row>
    <row r="797" ht="14.25" customHeight="1">
      <c r="A797" s="697">
        <v>45518.0</v>
      </c>
      <c r="B797" s="878" t="s">
        <v>4791</v>
      </c>
      <c r="C797" s="878" t="s">
        <v>4912</v>
      </c>
      <c r="D797" s="883" t="s">
        <v>54</v>
      </c>
      <c r="E797" s="883" t="s">
        <v>4890</v>
      </c>
      <c r="F797" s="881">
        <v>11421.67</v>
      </c>
      <c r="G797" s="403"/>
      <c r="H797" s="349" t="s">
        <v>5296</v>
      </c>
      <c r="I797" s="866" t="str">
        <f t="shared" si="12"/>
        <v>NOT PAID</v>
      </c>
      <c r="J797" s="402"/>
      <c r="K797" s="402"/>
      <c r="L797" s="402"/>
      <c r="M797" s="402"/>
      <c r="N797" s="402"/>
      <c r="O797" s="402"/>
      <c r="P797" s="402"/>
      <c r="Q797" s="402"/>
      <c r="R797" s="402"/>
      <c r="S797" s="402"/>
      <c r="T797" s="402"/>
      <c r="U797" s="402"/>
      <c r="V797" s="402"/>
      <c r="W797" s="402"/>
      <c r="X797" s="402"/>
      <c r="Y797" s="402"/>
      <c r="Z797" s="402"/>
    </row>
    <row r="798" ht="14.25" customHeight="1">
      <c r="A798" s="697">
        <v>45518.0</v>
      </c>
      <c r="B798" s="878" t="s">
        <v>4811</v>
      </c>
      <c r="C798" s="878" t="s">
        <v>4859</v>
      </c>
      <c r="D798" s="883" t="s">
        <v>54</v>
      </c>
      <c r="E798" s="883" t="s">
        <v>4887</v>
      </c>
      <c r="F798" s="881">
        <v>8085.55</v>
      </c>
      <c r="G798" s="403"/>
      <c r="H798" s="349" t="s">
        <v>5291</v>
      </c>
      <c r="I798" s="866" t="str">
        <f t="shared" si="12"/>
        <v>NOT PAID</v>
      </c>
      <c r="J798" s="402"/>
      <c r="K798" s="402"/>
      <c r="L798" s="402"/>
      <c r="M798" s="402"/>
      <c r="N798" s="402"/>
      <c r="O798" s="402"/>
      <c r="P798" s="402"/>
      <c r="Q798" s="402"/>
      <c r="R798" s="402"/>
      <c r="S798" s="402"/>
      <c r="T798" s="402"/>
      <c r="U798" s="402"/>
      <c r="V798" s="402"/>
      <c r="W798" s="402"/>
      <c r="X798" s="402"/>
      <c r="Y798" s="402"/>
      <c r="Z798" s="402"/>
    </row>
    <row r="799" ht="14.25" customHeight="1">
      <c r="A799" s="697">
        <v>45518.0</v>
      </c>
      <c r="B799" s="878" t="s">
        <v>4793</v>
      </c>
      <c r="C799" s="878" t="s">
        <v>4891</v>
      </c>
      <c r="D799" s="883" t="s">
        <v>54</v>
      </c>
      <c r="E799" s="689" t="s">
        <v>4892</v>
      </c>
      <c r="F799" s="881">
        <v>16926.39</v>
      </c>
      <c r="G799" s="403"/>
      <c r="H799" s="349" t="s">
        <v>5291</v>
      </c>
      <c r="I799" s="866" t="str">
        <f t="shared" si="12"/>
        <v>NOT PAID</v>
      </c>
      <c r="J799" s="402"/>
      <c r="K799" s="402"/>
      <c r="L799" s="402"/>
      <c r="M799" s="402"/>
      <c r="N799" s="402"/>
      <c r="O799" s="402"/>
      <c r="P799" s="402"/>
      <c r="Q799" s="402"/>
      <c r="R799" s="402"/>
      <c r="S799" s="402"/>
      <c r="T799" s="402"/>
      <c r="U799" s="402"/>
      <c r="V799" s="402"/>
      <c r="W799" s="402"/>
      <c r="X799" s="402"/>
      <c r="Y799" s="402"/>
      <c r="Z799" s="402"/>
    </row>
    <row r="800" ht="14.25" customHeight="1">
      <c r="A800" s="697">
        <v>45518.0</v>
      </c>
      <c r="B800" s="878" t="s">
        <v>5297</v>
      </c>
      <c r="C800" s="878" t="s">
        <v>5298</v>
      </c>
      <c r="D800" s="883" t="s">
        <v>54</v>
      </c>
      <c r="E800" s="689" t="s">
        <v>5245</v>
      </c>
      <c r="F800" s="881">
        <v>39238.63</v>
      </c>
      <c r="G800" s="403"/>
      <c r="H800" s="349" t="s">
        <v>5299</v>
      </c>
      <c r="I800" s="866" t="str">
        <f t="shared" si="12"/>
        <v>NOT PAID</v>
      </c>
      <c r="J800" s="402"/>
      <c r="K800" s="402"/>
      <c r="L800" s="402"/>
      <c r="M800" s="402"/>
      <c r="N800" s="402"/>
      <c r="O800" s="402"/>
      <c r="P800" s="402"/>
      <c r="Q800" s="402"/>
      <c r="R800" s="402"/>
      <c r="S800" s="402"/>
      <c r="T800" s="402"/>
      <c r="U800" s="402"/>
      <c r="V800" s="402"/>
      <c r="W800" s="402"/>
      <c r="X800" s="402"/>
      <c r="Y800" s="402"/>
      <c r="Z800" s="402"/>
    </row>
    <row r="801" ht="14.25" customHeight="1">
      <c r="A801" s="697">
        <v>45518.0</v>
      </c>
      <c r="B801" s="878" t="s">
        <v>4815</v>
      </c>
      <c r="C801" s="878" t="s">
        <v>4859</v>
      </c>
      <c r="D801" s="883" t="s">
        <v>54</v>
      </c>
      <c r="E801" s="883" t="s">
        <v>4887</v>
      </c>
      <c r="F801" s="881">
        <v>31659.45</v>
      </c>
      <c r="G801" s="403"/>
      <c r="H801" s="349" t="s">
        <v>5290</v>
      </c>
      <c r="I801" s="866" t="str">
        <f t="shared" si="12"/>
        <v>NOT PAID</v>
      </c>
      <c r="J801" s="402"/>
      <c r="K801" s="402"/>
      <c r="L801" s="402"/>
      <c r="M801" s="402"/>
      <c r="N801" s="402"/>
      <c r="O801" s="402"/>
      <c r="P801" s="402"/>
      <c r="Q801" s="402"/>
      <c r="R801" s="402"/>
      <c r="S801" s="402"/>
      <c r="T801" s="402"/>
      <c r="U801" s="402"/>
      <c r="V801" s="402"/>
      <c r="W801" s="402"/>
      <c r="X801" s="402"/>
      <c r="Y801" s="402"/>
      <c r="Z801" s="402"/>
    </row>
    <row r="802" ht="14.25" customHeight="1">
      <c r="A802" s="697">
        <v>45518.0</v>
      </c>
      <c r="B802" s="878" t="s">
        <v>4990</v>
      </c>
      <c r="C802" s="878" t="s">
        <v>4991</v>
      </c>
      <c r="D802" s="883" t="s">
        <v>54</v>
      </c>
      <c r="E802" s="883" t="s">
        <v>4887</v>
      </c>
      <c r="F802" s="881">
        <v>28982.13</v>
      </c>
      <c r="G802" s="413">
        <v>37180.0</v>
      </c>
      <c r="H802" s="349" t="s">
        <v>267</v>
      </c>
      <c r="I802" s="866" t="str">
        <f t="shared" si="12"/>
        <v>FULLY PAID</v>
      </c>
      <c r="J802" s="402"/>
      <c r="K802" s="402"/>
      <c r="L802" s="402"/>
      <c r="M802" s="402"/>
      <c r="N802" s="402"/>
      <c r="O802" s="402"/>
      <c r="P802" s="402"/>
      <c r="Q802" s="402"/>
      <c r="R802" s="402"/>
      <c r="S802" s="402"/>
      <c r="T802" s="402"/>
      <c r="U802" s="402"/>
      <c r="V802" s="402"/>
      <c r="W802" s="402"/>
      <c r="X802" s="402"/>
      <c r="Y802" s="402"/>
      <c r="Z802" s="402"/>
    </row>
    <row r="803" ht="14.25" customHeight="1">
      <c r="A803" s="697">
        <v>45518.0</v>
      </c>
      <c r="B803" s="878" t="s">
        <v>5257</v>
      </c>
      <c r="C803" s="878" t="s">
        <v>5048</v>
      </c>
      <c r="D803" s="883" t="s">
        <v>54</v>
      </c>
      <c r="E803" s="883" t="s">
        <v>5248</v>
      </c>
      <c r="F803" s="881">
        <v>45564.27</v>
      </c>
      <c r="G803" s="403"/>
      <c r="H803" s="349" t="s">
        <v>5290</v>
      </c>
      <c r="I803" s="866" t="str">
        <f t="shared" si="12"/>
        <v>NOT PAID</v>
      </c>
      <c r="J803" s="402"/>
      <c r="K803" s="402"/>
      <c r="L803" s="402"/>
      <c r="M803" s="402"/>
      <c r="N803" s="402"/>
      <c r="O803" s="402"/>
      <c r="P803" s="402"/>
      <c r="Q803" s="402"/>
      <c r="R803" s="402"/>
      <c r="S803" s="402"/>
      <c r="T803" s="402"/>
      <c r="U803" s="402"/>
      <c r="V803" s="402"/>
      <c r="W803" s="402"/>
      <c r="X803" s="402"/>
      <c r="Y803" s="402"/>
      <c r="Z803" s="402"/>
    </row>
    <row r="804" ht="14.25" customHeight="1">
      <c r="A804" s="697">
        <v>45518.0</v>
      </c>
      <c r="B804" s="878" t="s">
        <v>4795</v>
      </c>
      <c r="C804" s="878" t="s">
        <v>5012</v>
      </c>
      <c r="D804" s="883" t="s">
        <v>54</v>
      </c>
      <c r="E804" s="883" t="s">
        <v>4887</v>
      </c>
      <c r="F804" s="881">
        <v>46034.9</v>
      </c>
      <c r="G804" s="403"/>
      <c r="H804" s="349" t="s">
        <v>5299</v>
      </c>
      <c r="I804" s="866" t="str">
        <f t="shared" si="12"/>
        <v>NOT PAID</v>
      </c>
      <c r="J804" s="402"/>
      <c r="K804" s="402"/>
      <c r="L804" s="402"/>
      <c r="M804" s="402"/>
      <c r="N804" s="402"/>
      <c r="O804" s="402"/>
      <c r="P804" s="402"/>
      <c r="Q804" s="402"/>
      <c r="R804" s="402"/>
      <c r="S804" s="402"/>
      <c r="T804" s="402"/>
      <c r="U804" s="402"/>
      <c r="V804" s="402"/>
      <c r="W804" s="402"/>
      <c r="X804" s="402"/>
      <c r="Y804" s="402"/>
      <c r="Z804" s="402"/>
    </row>
    <row r="805" ht="14.25" customHeight="1">
      <c r="A805" s="697">
        <v>45518.0</v>
      </c>
      <c r="B805" s="878" t="s">
        <v>5075</v>
      </c>
      <c r="C805" s="878" t="s">
        <v>5076</v>
      </c>
      <c r="D805" s="883" t="s">
        <v>75</v>
      </c>
      <c r="E805" s="883" t="s">
        <v>5248</v>
      </c>
      <c r="F805" s="881">
        <v>59078.25</v>
      </c>
      <c r="G805" s="403"/>
      <c r="H805" s="349" t="s">
        <v>2263</v>
      </c>
      <c r="I805" s="866" t="str">
        <f t="shared" si="12"/>
        <v>NOT PAID</v>
      </c>
      <c r="J805" s="402"/>
      <c r="K805" s="402"/>
      <c r="L805" s="402"/>
      <c r="M805" s="402"/>
      <c r="N805" s="402"/>
      <c r="O805" s="402"/>
      <c r="P805" s="402"/>
      <c r="Q805" s="402"/>
      <c r="R805" s="402"/>
      <c r="S805" s="402"/>
      <c r="T805" s="402"/>
      <c r="U805" s="402"/>
      <c r="V805" s="402"/>
      <c r="W805" s="402"/>
      <c r="X805" s="402"/>
      <c r="Y805" s="402"/>
      <c r="Z805" s="402"/>
    </row>
    <row r="806" ht="14.25" customHeight="1">
      <c r="A806" s="697">
        <v>45518.0</v>
      </c>
      <c r="B806" s="878" t="s">
        <v>5166</v>
      </c>
      <c r="C806" s="878" t="s">
        <v>5167</v>
      </c>
      <c r="D806" s="883" t="s">
        <v>75</v>
      </c>
      <c r="E806" s="883" t="s">
        <v>5248</v>
      </c>
      <c r="F806" s="881">
        <v>29300.0</v>
      </c>
      <c r="G806" s="403"/>
      <c r="H806" s="349" t="s">
        <v>5300</v>
      </c>
      <c r="I806" s="866" t="str">
        <f t="shared" si="12"/>
        <v>NOT PAID</v>
      </c>
      <c r="J806" s="402"/>
      <c r="K806" s="402"/>
      <c r="L806" s="402"/>
      <c r="M806" s="402"/>
      <c r="N806" s="402"/>
      <c r="O806" s="402"/>
      <c r="P806" s="402"/>
      <c r="Q806" s="402"/>
      <c r="R806" s="402"/>
      <c r="S806" s="402"/>
      <c r="T806" s="402"/>
      <c r="U806" s="402"/>
      <c r="V806" s="402"/>
      <c r="W806" s="402"/>
      <c r="X806" s="402"/>
      <c r="Y806" s="402"/>
      <c r="Z806" s="402"/>
    </row>
    <row r="807" ht="14.25" customHeight="1">
      <c r="A807" s="697">
        <v>45518.0</v>
      </c>
      <c r="B807" s="883" t="s">
        <v>4547</v>
      </c>
      <c r="C807" s="883" t="s">
        <v>4548</v>
      </c>
      <c r="D807" s="790" t="s">
        <v>59</v>
      </c>
      <c r="E807" s="689" t="s">
        <v>4890</v>
      </c>
      <c r="F807" s="881">
        <v>617498.61</v>
      </c>
      <c r="G807" s="413">
        <v>120665.0</v>
      </c>
      <c r="H807" s="349" t="s">
        <v>5301</v>
      </c>
      <c r="I807" s="866" t="str">
        <f t="shared" si="12"/>
        <v>PARTIALLY PAID</v>
      </c>
      <c r="J807" s="402"/>
      <c r="K807" s="402"/>
      <c r="L807" s="402"/>
      <c r="M807" s="402"/>
      <c r="N807" s="402"/>
      <c r="O807" s="402"/>
      <c r="P807" s="402"/>
      <c r="Q807" s="402"/>
      <c r="R807" s="402"/>
      <c r="S807" s="402"/>
      <c r="T807" s="402"/>
      <c r="U807" s="402"/>
      <c r="V807" s="402"/>
      <c r="W807" s="402"/>
      <c r="X807" s="402"/>
      <c r="Y807" s="402"/>
      <c r="Z807" s="402"/>
    </row>
    <row r="808" ht="14.25" customHeight="1">
      <c r="A808" s="697"/>
      <c r="B808" s="863"/>
      <c r="C808" s="911" t="s">
        <v>797</v>
      </c>
      <c r="D808" s="867"/>
      <c r="E808" s="868"/>
      <c r="F808" s="865"/>
      <c r="G808" s="403"/>
      <c r="H808" s="402"/>
      <c r="I808" s="866" t="str">
        <f t="shared" si="12"/>
        <v>FULLY PAID</v>
      </c>
      <c r="J808" s="402"/>
      <c r="K808" s="402"/>
      <c r="L808" s="402"/>
      <c r="M808" s="402"/>
      <c r="N808" s="402"/>
      <c r="O808" s="402"/>
      <c r="P808" s="402"/>
      <c r="Q808" s="402"/>
      <c r="R808" s="402"/>
      <c r="S808" s="402"/>
      <c r="T808" s="402"/>
      <c r="U808" s="402"/>
      <c r="V808" s="402"/>
      <c r="W808" s="402"/>
      <c r="X808" s="402"/>
      <c r="Y808" s="402"/>
      <c r="Z808" s="402"/>
    </row>
    <row r="809" ht="14.25" customHeight="1">
      <c r="A809" s="697">
        <v>45518.0</v>
      </c>
      <c r="B809" s="962" t="s">
        <v>5070</v>
      </c>
      <c r="C809" s="965" t="s">
        <v>4859</v>
      </c>
      <c r="D809" s="956" t="s">
        <v>75</v>
      </c>
      <c r="E809" s="689" t="s">
        <v>4890</v>
      </c>
      <c r="F809" s="933">
        <v>1737025.0</v>
      </c>
      <c r="G809" s="413">
        <v>0.0</v>
      </c>
      <c r="H809" s="349" t="s">
        <v>5302</v>
      </c>
      <c r="I809" s="866" t="str">
        <f t="shared" si="12"/>
        <v>NOT PAID</v>
      </c>
      <c r="J809" s="402"/>
      <c r="K809" s="402"/>
      <c r="L809" s="402"/>
      <c r="M809" s="402"/>
      <c r="N809" s="402"/>
      <c r="O809" s="402"/>
      <c r="P809" s="402"/>
      <c r="Q809" s="402"/>
      <c r="R809" s="402"/>
      <c r="S809" s="402"/>
      <c r="T809" s="402"/>
      <c r="U809" s="402"/>
      <c r="V809" s="402"/>
      <c r="W809" s="402"/>
      <c r="X809" s="402"/>
      <c r="Y809" s="402"/>
      <c r="Z809" s="402"/>
    </row>
    <row r="810" ht="14.25" customHeight="1">
      <c r="A810" s="697">
        <v>45518.0</v>
      </c>
      <c r="B810" s="958" t="s">
        <v>4919</v>
      </c>
      <c r="C810" s="956" t="s">
        <v>4945</v>
      </c>
      <c r="D810" s="956" t="s">
        <v>75</v>
      </c>
      <c r="E810" s="689" t="s">
        <v>4890</v>
      </c>
      <c r="F810" s="957">
        <v>306751.35</v>
      </c>
      <c r="G810" s="403"/>
      <c r="H810" s="349" t="s">
        <v>4884</v>
      </c>
      <c r="I810" s="866" t="str">
        <f t="shared" si="12"/>
        <v>NOT PAID</v>
      </c>
      <c r="J810" s="402"/>
      <c r="K810" s="402"/>
      <c r="L810" s="402"/>
      <c r="M810" s="402"/>
      <c r="N810" s="402"/>
      <c r="O810" s="402"/>
      <c r="P810" s="402"/>
      <c r="Q810" s="402"/>
      <c r="R810" s="402"/>
      <c r="S810" s="402"/>
      <c r="T810" s="402"/>
      <c r="U810" s="402"/>
      <c r="V810" s="402"/>
      <c r="W810" s="402"/>
      <c r="X810" s="402"/>
      <c r="Y810" s="402"/>
      <c r="Z810" s="402"/>
    </row>
    <row r="811" ht="14.25" customHeight="1">
      <c r="A811" s="697">
        <v>45518.0</v>
      </c>
      <c r="B811" s="962" t="s">
        <v>4816</v>
      </c>
      <c r="C811" s="965" t="s">
        <v>5015</v>
      </c>
      <c r="D811" s="966" t="s">
        <v>54</v>
      </c>
      <c r="E811" s="689" t="s">
        <v>4890</v>
      </c>
      <c r="F811" s="933">
        <v>6203.0</v>
      </c>
      <c r="G811" s="403"/>
      <c r="H811" s="349" t="s">
        <v>5290</v>
      </c>
      <c r="I811" s="866" t="str">
        <f t="shared" si="12"/>
        <v>NOT PAID</v>
      </c>
      <c r="J811" s="402"/>
      <c r="K811" s="402"/>
      <c r="L811" s="402"/>
      <c r="M811" s="402"/>
      <c r="N811" s="402"/>
      <c r="O811" s="402"/>
      <c r="P811" s="402"/>
      <c r="Q811" s="402"/>
      <c r="R811" s="402"/>
      <c r="S811" s="402"/>
      <c r="T811" s="402"/>
      <c r="U811" s="402"/>
      <c r="V811" s="402"/>
      <c r="W811" s="402"/>
      <c r="X811" s="402"/>
      <c r="Y811" s="402"/>
      <c r="Z811" s="402"/>
    </row>
    <row r="812" ht="14.25" customHeight="1">
      <c r="A812" s="697">
        <v>45518.0</v>
      </c>
      <c r="B812" s="962" t="s">
        <v>4767</v>
      </c>
      <c r="C812" s="965" t="s">
        <v>4861</v>
      </c>
      <c r="D812" s="966" t="s">
        <v>59</v>
      </c>
      <c r="E812" s="689" t="s">
        <v>4890</v>
      </c>
      <c r="F812" s="766">
        <v>147000.0</v>
      </c>
      <c r="G812" s="403"/>
      <c r="H812" s="349" t="s">
        <v>5290</v>
      </c>
      <c r="I812" s="866" t="str">
        <f t="shared" si="12"/>
        <v>NOT PAID</v>
      </c>
      <c r="J812" s="402"/>
      <c r="K812" s="402"/>
      <c r="L812" s="402"/>
      <c r="M812" s="402"/>
      <c r="N812" s="402"/>
      <c r="O812" s="402"/>
      <c r="P812" s="402"/>
      <c r="Q812" s="402"/>
      <c r="R812" s="402"/>
      <c r="S812" s="402"/>
      <c r="T812" s="402"/>
      <c r="U812" s="402"/>
      <c r="V812" s="402"/>
      <c r="W812" s="402"/>
      <c r="X812" s="402"/>
      <c r="Y812" s="402"/>
      <c r="Z812" s="402"/>
    </row>
    <row r="813" ht="14.25" customHeight="1">
      <c r="A813" s="697">
        <v>45518.0</v>
      </c>
      <c r="B813" s="955" t="s">
        <v>4828</v>
      </c>
      <c r="C813" s="407" t="s">
        <v>4829</v>
      </c>
      <c r="D813" s="956" t="s">
        <v>59</v>
      </c>
      <c r="E813" s="689" t="s">
        <v>273</v>
      </c>
      <c r="F813" s="942">
        <v>500000.0</v>
      </c>
      <c r="G813" s="403"/>
      <c r="H813" s="349" t="s">
        <v>5303</v>
      </c>
      <c r="I813" s="866" t="str">
        <f t="shared" si="12"/>
        <v>NOT PAID</v>
      </c>
      <c r="J813" s="402"/>
      <c r="K813" s="402"/>
      <c r="L813" s="402"/>
      <c r="M813" s="402"/>
      <c r="N813" s="402"/>
      <c r="O813" s="402"/>
      <c r="P813" s="402"/>
      <c r="Q813" s="402"/>
      <c r="R813" s="402"/>
      <c r="S813" s="402"/>
      <c r="T813" s="402"/>
      <c r="U813" s="402"/>
      <c r="V813" s="402"/>
      <c r="W813" s="402"/>
      <c r="X813" s="402"/>
      <c r="Y813" s="402"/>
      <c r="Z813" s="402"/>
    </row>
    <row r="814" ht="14.25" customHeight="1">
      <c r="A814" s="697"/>
      <c r="B814" s="863"/>
      <c r="C814" s="863"/>
      <c r="D814" s="867"/>
      <c r="E814" s="868"/>
      <c r="F814" s="865"/>
      <c r="G814" s="403"/>
      <c r="H814" s="402"/>
      <c r="I814" s="866" t="str">
        <f t="shared" si="12"/>
        <v>FULLY PAID</v>
      </c>
      <c r="J814" s="402"/>
      <c r="K814" s="402"/>
      <c r="L814" s="402"/>
      <c r="M814" s="402"/>
      <c r="N814" s="402"/>
      <c r="O814" s="402"/>
      <c r="P814" s="402"/>
      <c r="Q814" s="402"/>
      <c r="R814" s="402"/>
      <c r="S814" s="402"/>
      <c r="T814" s="402"/>
      <c r="U814" s="402"/>
      <c r="V814" s="402"/>
      <c r="W814" s="402"/>
      <c r="X814" s="402"/>
      <c r="Y814" s="402"/>
      <c r="Z814" s="402"/>
    </row>
    <row r="815" ht="14.25" customHeight="1">
      <c r="A815" s="697"/>
      <c r="B815" s="863"/>
      <c r="C815" s="863"/>
      <c r="D815" s="867"/>
      <c r="E815" s="868"/>
      <c r="F815" s="865"/>
      <c r="G815" s="403"/>
      <c r="H815" s="402"/>
      <c r="I815" s="866" t="str">
        <f t="shared" si="12"/>
        <v>FULLY PAID</v>
      </c>
      <c r="J815" s="402"/>
      <c r="K815" s="402"/>
      <c r="L815" s="402"/>
      <c r="M815" s="402"/>
      <c r="N815" s="402"/>
      <c r="O815" s="402"/>
      <c r="P815" s="402"/>
      <c r="Q815" s="402"/>
      <c r="R815" s="402"/>
      <c r="S815" s="402"/>
      <c r="T815" s="402"/>
      <c r="U815" s="402"/>
      <c r="V815" s="402"/>
      <c r="W815" s="402"/>
      <c r="X815" s="402"/>
      <c r="Y815" s="402"/>
      <c r="Z815" s="402"/>
    </row>
    <row r="816" ht="14.25" customHeight="1">
      <c r="A816" s="896" t="s">
        <v>2130</v>
      </c>
      <c r="B816" s="968" t="s">
        <v>39</v>
      </c>
      <c r="C816" s="969" t="s">
        <v>48</v>
      </c>
      <c r="D816" s="969" t="s">
        <v>49</v>
      </c>
      <c r="E816" s="970" t="s">
        <v>50</v>
      </c>
      <c r="F816" s="971" t="s">
        <v>2</v>
      </c>
      <c r="G816" s="896" t="s">
        <v>44</v>
      </c>
      <c r="H816" s="896" t="s">
        <v>45</v>
      </c>
      <c r="I816" s="866" t="str">
        <f t="shared" si="12"/>
        <v>FULLY PAID</v>
      </c>
      <c r="J816" s="402"/>
      <c r="K816" s="402"/>
      <c r="L816" s="402"/>
      <c r="M816" s="402"/>
      <c r="N816" s="402"/>
      <c r="O816" s="402"/>
      <c r="P816" s="402"/>
      <c r="Q816" s="402"/>
      <c r="R816" s="402"/>
      <c r="S816" s="402"/>
      <c r="T816" s="402"/>
      <c r="U816" s="402"/>
      <c r="V816" s="402"/>
      <c r="W816" s="402"/>
      <c r="X816" s="402"/>
      <c r="Y816" s="402"/>
      <c r="Z816" s="402"/>
    </row>
    <row r="817" ht="14.25" customHeight="1">
      <c r="A817" s="697">
        <v>45519.0</v>
      </c>
      <c r="B817" s="878" t="s">
        <v>5127</v>
      </c>
      <c r="C817" s="878" t="s">
        <v>5170</v>
      </c>
      <c r="D817" s="883" t="s">
        <v>54</v>
      </c>
      <c r="E817" s="880" t="s">
        <v>4887</v>
      </c>
      <c r="F817" s="881">
        <v>279606.81</v>
      </c>
      <c r="G817" s="403"/>
      <c r="H817" s="349" t="s">
        <v>5062</v>
      </c>
      <c r="I817" s="866" t="str">
        <f t="shared" si="12"/>
        <v>NOT PAID</v>
      </c>
      <c r="J817" s="402"/>
      <c r="K817" s="402"/>
      <c r="L817" s="402"/>
      <c r="M817" s="402"/>
      <c r="N817" s="402"/>
      <c r="O817" s="402"/>
      <c r="P817" s="402"/>
      <c r="Q817" s="402"/>
      <c r="R817" s="402"/>
      <c r="S817" s="402"/>
      <c r="T817" s="402"/>
      <c r="U817" s="402"/>
      <c r="V817" s="402"/>
      <c r="W817" s="402"/>
      <c r="X817" s="402"/>
      <c r="Y817" s="402"/>
      <c r="Z817" s="402"/>
    </row>
    <row r="818" ht="14.25" customHeight="1">
      <c r="A818" s="697">
        <v>45519.0</v>
      </c>
      <c r="B818" s="878" t="s">
        <v>4939</v>
      </c>
      <c r="C818" s="878" t="s">
        <v>4932</v>
      </c>
      <c r="D818" s="883" t="s">
        <v>54</v>
      </c>
      <c r="E818" s="880" t="s">
        <v>4887</v>
      </c>
      <c r="F818" s="881">
        <v>1413.29</v>
      </c>
      <c r="G818" s="403"/>
      <c r="H818" s="349" t="s">
        <v>5304</v>
      </c>
      <c r="I818" s="866" t="str">
        <f t="shared" si="12"/>
        <v>NOT PAID</v>
      </c>
      <c r="J818" s="402"/>
      <c r="K818" s="402"/>
      <c r="L818" s="402"/>
      <c r="M818" s="402"/>
      <c r="N818" s="402"/>
      <c r="O818" s="402"/>
      <c r="P818" s="402"/>
      <c r="Q818" s="402"/>
      <c r="R818" s="402"/>
      <c r="S818" s="402"/>
      <c r="T818" s="402"/>
      <c r="U818" s="402"/>
      <c r="V818" s="402"/>
      <c r="W818" s="402"/>
      <c r="X818" s="402"/>
      <c r="Y818" s="402"/>
      <c r="Z818" s="402"/>
    </row>
    <row r="819" ht="14.25" customHeight="1">
      <c r="A819" s="697">
        <v>45519.0</v>
      </c>
      <c r="B819" s="878" t="s">
        <v>5227</v>
      </c>
      <c r="C819" s="878" t="s">
        <v>5114</v>
      </c>
      <c r="D819" s="883" t="s">
        <v>54</v>
      </c>
      <c r="E819" s="880" t="s">
        <v>5248</v>
      </c>
      <c r="F819" s="881">
        <v>236.02</v>
      </c>
      <c r="G819" s="403"/>
      <c r="H819" s="349" t="s">
        <v>267</v>
      </c>
      <c r="I819" s="866" t="str">
        <f t="shared" si="12"/>
        <v>NOT PAID</v>
      </c>
      <c r="J819" s="402"/>
      <c r="K819" s="402"/>
      <c r="L819" s="402"/>
      <c r="M819" s="402"/>
      <c r="N819" s="402"/>
      <c r="O819" s="402"/>
      <c r="P819" s="402"/>
      <c r="Q819" s="402"/>
      <c r="R819" s="402"/>
      <c r="S819" s="402"/>
      <c r="T819" s="402"/>
      <c r="U819" s="402"/>
      <c r="V819" s="402"/>
      <c r="W819" s="402"/>
      <c r="X819" s="402"/>
      <c r="Y819" s="402"/>
      <c r="Z819" s="402"/>
    </row>
    <row r="820" ht="14.25" customHeight="1">
      <c r="A820" s="697">
        <v>45519.0</v>
      </c>
      <c r="B820" s="878" t="s">
        <v>5198</v>
      </c>
      <c r="C820" s="878" t="s">
        <v>5199</v>
      </c>
      <c r="D820" s="883" t="s">
        <v>54</v>
      </c>
      <c r="E820" s="880" t="s">
        <v>5248</v>
      </c>
      <c r="F820" s="881">
        <v>35966.87</v>
      </c>
      <c r="G820" s="403"/>
      <c r="H820" s="349" t="s">
        <v>5288</v>
      </c>
      <c r="I820" s="866" t="str">
        <f t="shared" si="12"/>
        <v>NOT PAID</v>
      </c>
      <c r="J820" s="402"/>
      <c r="K820" s="402"/>
      <c r="L820" s="402"/>
      <c r="M820" s="402"/>
      <c r="N820" s="402"/>
      <c r="O820" s="402"/>
      <c r="P820" s="402"/>
      <c r="Q820" s="402"/>
      <c r="R820" s="402"/>
      <c r="S820" s="402"/>
      <c r="T820" s="402"/>
      <c r="U820" s="402"/>
      <c r="V820" s="402"/>
      <c r="W820" s="402"/>
      <c r="X820" s="402"/>
      <c r="Y820" s="402"/>
      <c r="Z820" s="402"/>
    </row>
    <row r="821" ht="14.25" customHeight="1">
      <c r="A821" s="697">
        <v>45519.0</v>
      </c>
      <c r="B821" s="878" t="s">
        <v>4898</v>
      </c>
      <c r="C821" s="878" t="s">
        <v>4899</v>
      </c>
      <c r="D821" s="883" t="s">
        <v>54</v>
      </c>
      <c r="E821" s="883" t="s">
        <v>4892</v>
      </c>
      <c r="F821" s="881">
        <v>996.49</v>
      </c>
      <c r="G821" s="403"/>
      <c r="H821" s="349" t="s">
        <v>5305</v>
      </c>
      <c r="I821" s="866" t="str">
        <f t="shared" si="12"/>
        <v>NOT PAID</v>
      </c>
      <c r="J821" s="402"/>
      <c r="K821" s="402"/>
      <c r="L821" s="402"/>
      <c r="M821" s="402"/>
      <c r="N821" s="402"/>
      <c r="O821" s="402"/>
      <c r="P821" s="402"/>
      <c r="Q821" s="402"/>
      <c r="R821" s="402"/>
      <c r="S821" s="402"/>
      <c r="T821" s="402"/>
      <c r="U821" s="402"/>
      <c r="V821" s="402"/>
      <c r="W821" s="402"/>
      <c r="X821" s="402"/>
      <c r="Y821" s="402"/>
      <c r="Z821" s="402"/>
    </row>
    <row r="822" ht="14.25" customHeight="1">
      <c r="A822" s="697">
        <v>45519.0</v>
      </c>
      <c r="B822" s="878" t="s">
        <v>4864</v>
      </c>
      <c r="C822" s="878" t="s">
        <v>4865</v>
      </c>
      <c r="D822" s="883" t="s">
        <v>54</v>
      </c>
      <c r="E822" s="883" t="s">
        <v>4887</v>
      </c>
      <c r="F822" s="881">
        <v>7072.53</v>
      </c>
      <c r="G822" s="403"/>
      <c r="H822" s="349" t="s">
        <v>5177</v>
      </c>
      <c r="I822" s="866" t="str">
        <f t="shared" si="12"/>
        <v>NOT PAID</v>
      </c>
      <c r="J822" s="402"/>
      <c r="K822" s="402"/>
      <c r="L822" s="402"/>
      <c r="M822" s="402"/>
      <c r="N822" s="402"/>
      <c r="O822" s="402"/>
      <c r="P822" s="402"/>
      <c r="Q822" s="402"/>
      <c r="R822" s="402"/>
      <c r="S822" s="402"/>
      <c r="T822" s="402"/>
      <c r="U822" s="402"/>
      <c r="V822" s="402"/>
      <c r="W822" s="402"/>
      <c r="X822" s="402"/>
      <c r="Y822" s="402"/>
      <c r="Z822" s="402"/>
    </row>
    <row r="823" ht="14.25" customHeight="1">
      <c r="A823" s="697">
        <v>45519.0</v>
      </c>
      <c r="B823" s="878" t="s">
        <v>5097</v>
      </c>
      <c r="C823" s="878" t="s">
        <v>5076</v>
      </c>
      <c r="D823" s="883" t="s">
        <v>54</v>
      </c>
      <c r="E823" s="883" t="s">
        <v>5248</v>
      </c>
      <c r="F823" s="881">
        <v>37916.85</v>
      </c>
      <c r="G823" s="403"/>
      <c r="H823" s="349" t="s">
        <v>1144</v>
      </c>
      <c r="I823" s="866" t="str">
        <f t="shared" si="12"/>
        <v>NOT PAID</v>
      </c>
      <c r="J823" s="402"/>
      <c r="K823" s="402"/>
      <c r="L823" s="402"/>
      <c r="M823" s="402"/>
      <c r="N823" s="402"/>
      <c r="O823" s="402"/>
      <c r="P823" s="402"/>
      <c r="Q823" s="402"/>
      <c r="R823" s="402"/>
      <c r="S823" s="402"/>
      <c r="T823" s="402"/>
      <c r="U823" s="402"/>
      <c r="V823" s="402"/>
      <c r="W823" s="402"/>
      <c r="X823" s="402"/>
      <c r="Y823" s="402"/>
      <c r="Z823" s="402"/>
    </row>
    <row r="824" ht="14.25" customHeight="1">
      <c r="A824" s="697">
        <v>45519.0</v>
      </c>
      <c r="B824" s="878" t="s">
        <v>4969</v>
      </c>
      <c r="C824" s="878" t="s">
        <v>4970</v>
      </c>
      <c r="D824" s="883" t="s">
        <v>59</v>
      </c>
      <c r="E824" s="883" t="s">
        <v>4887</v>
      </c>
      <c r="F824" s="881">
        <v>13974.99</v>
      </c>
      <c r="G824" s="403"/>
      <c r="H824" s="349" t="s">
        <v>5233</v>
      </c>
      <c r="I824" s="866" t="str">
        <f t="shared" si="12"/>
        <v>NOT PAID</v>
      </c>
      <c r="J824" s="402"/>
      <c r="K824" s="402"/>
      <c r="L824" s="402"/>
      <c r="M824" s="402"/>
      <c r="N824" s="402"/>
      <c r="O824" s="402"/>
      <c r="P824" s="402"/>
      <c r="Q824" s="402"/>
      <c r="R824" s="402"/>
      <c r="S824" s="402"/>
      <c r="T824" s="402"/>
      <c r="U824" s="402"/>
      <c r="V824" s="402"/>
      <c r="W824" s="402"/>
      <c r="X824" s="402"/>
      <c r="Y824" s="402"/>
      <c r="Z824" s="402"/>
    </row>
    <row r="825" ht="14.25" customHeight="1">
      <c r="A825" s="697">
        <v>45519.0</v>
      </c>
      <c r="B825" s="878" t="s">
        <v>5306</v>
      </c>
      <c r="C825" s="878" t="s">
        <v>5307</v>
      </c>
      <c r="D825" s="883" t="s">
        <v>75</v>
      </c>
      <c r="E825" s="883" t="s">
        <v>4890</v>
      </c>
      <c r="F825" s="972">
        <v>227711.11</v>
      </c>
      <c r="G825" s="413">
        <v>440000.0</v>
      </c>
      <c r="H825" s="349" t="s">
        <v>710</v>
      </c>
      <c r="I825" s="866" t="str">
        <f t="shared" si="12"/>
        <v>FULLY PAID</v>
      </c>
      <c r="J825" s="402"/>
      <c r="K825" s="402"/>
      <c r="L825" s="402"/>
      <c r="M825" s="402"/>
      <c r="N825" s="402"/>
      <c r="O825" s="402"/>
      <c r="P825" s="402"/>
      <c r="Q825" s="402"/>
      <c r="R825" s="402"/>
      <c r="S825" s="402"/>
      <c r="T825" s="402"/>
      <c r="U825" s="402"/>
      <c r="V825" s="402"/>
      <c r="W825" s="402"/>
      <c r="X825" s="402"/>
      <c r="Y825" s="402"/>
      <c r="Z825" s="402"/>
    </row>
    <row r="826" ht="14.25" customHeight="1">
      <c r="A826" s="697">
        <v>45519.0</v>
      </c>
      <c r="B826" s="878" t="s">
        <v>5033</v>
      </c>
      <c r="C826" s="878" t="s">
        <v>5034</v>
      </c>
      <c r="D826" s="883" t="s">
        <v>54</v>
      </c>
      <c r="E826" s="883" t="s">
        <v>4890</v>
      </c>
      <c r="F826" s="881">
        <v>52822.89</v>
      </c>
      <c r="G826" s="413">
        <v>61000.0</v>
      </c>
      <c r="H826" s="349" t="s">
        <v>710</v>
      </c>
      <c r="I826" s="866" t="str">
        <f t="shared" si="12"/>
        <v>FULLY PAID</v>
      </c>
      <c r="J826" s="402"/>
      <c r="K826" s="402"/>
      <c r="L826" s="402"/>
      <c r="M826" s="402"/>
      <c r="N826" s="402"/>
      <c r="O826" s="402"/>
      <c r="P826" s="402"/>
      <c r="Q826" s="402"/>
      <c r="R826" s="402"/>
      <c r="S826" s="402"/>
      <c r="T826" s="402"/>
      <c r="U826" s="402"/>
      <c r="V826" s="402"/>
      <c r="W826" s="402"/>
      <c r="X826" s="402"/>
      <c r="Y826" s="402"/>
      <c r="Z826" s="402"/>
    </row>
    <row r="827" ht="14.25" customHeight="1">
      <c r="A827" s="697">
        <v>45519.0</v>
      </c>
      <c r="B827" s="878" t="s">
        <v>4833</v>
      </c>
      <c r="C827" s="878" t="s">
        <v>4910</v>
      </c>
      <c r="D827" s="883" t="s">
        <v>54</v>
      </c>
      <c r="E827" s="883" t="s">
        <v>4890</v>
      </c>
      <c r="F827" s="881">
        <v>247311.0</v>
      </c>
      <c r="G827" s="403"/>
      <c r="H827" s="349" t="s">
        <v>5304</v>
      </c>
      <c r="I827" s="866" t="str">
        <f t="shared" si="12"/>
        <v>NOT PAID</v>
      </c>
      <c r="J827" s="402"/>
      <c r="K827" s="402"/>
      <c r="L827" s="402"/>
      <c r="M827" s="402"/>
      <c r="N827" s="402"/>
      <c r="O827" s="402"/>
      <c r="P827" s="402"/>
      <c r="Q827" s="402"/>
      <c r="R827" s="402"/>
      <c r="S827" s="402"/>
      <c r="T827" s="402"/>
      <c r="U827" s="402"/>
      <c r="V827" s="402"/>
      <c r="W827" s="402"/>
      <c r="X827" s="402"/>
      <c r="Y827" s="402"/>
      <c r="Z827" s="402"/>
    </row>
    <row r="828" ht="14.25" customHeight="1">
      <c r="A828" s="697">
        <v>45519.0</v>
      </c>
      <c r="B828" s="878" t="s">
        <v>4791</v>
      </c>
      <c r="C828" s="878" t="s">
        <v>4912</v>
      </c>
      <c r="D828" s="883" t="s">
        <v>54</v>
      </c>
      <c r="E828" s="883" t="s">
        <v>4890</v>
      </c>
      <c r="F828" s="881">
        <v>11421.67</v>
      </c>
      <c r="G828" s="413">
        <v>2430.0</v>
      </c>
      <c r="H828" s="349" t="s">
        <v>5062</v>
      </c>
      <c r="I828" s="866" t="str">
        <f t="shared" si="12"/>
        <v>PARTIALLY PAID</v>
      </c>
      <c r="J828" s="402"/>
      <c r="K828" s="402"/>
      <c r="L828" s="402"/>
      <c r="M828" s="402"/>
      <c r="N828" s="402"/>
      <c r="O828" s="402"/>
      <c r="P828" s="402"/>
      <c r="Q828" s="402"/>
      <c r="R828" s="402"/>
      <c r="S828" s="402"/>
      <c r="T828" s="402"/>
      <c r="U828" s="402"/>
      <c r="V828" s="402"/>
      <c r="W828" s="402"/>
      <c r="X828" s="402"/>
      <c r="Y828" s="402"/>
      <c r="Z828" s="402"/>
    </row>
    <row r="829" ht="14.25" customHeight="1">
      <c r="A829" s="697">
        <v>45519.0</v>
      </c>
      <c r="B829" s="878" t="s">
        <v>4811</v>
      </c>
      <c r="C829" s="878" t="s">
        <v>4859</v>
      </c>
      <c r="D829" s="883" t="s">
        <v>54</v>
      </c>
      <c r="E829" s="883" t="s">
        <v>4887</v>
      </c>
      <c r="F829" s="881">
        <v>8085.55</v>
      </c>
      <c r="G829" s="403"/>
      <c r="H829" s="349" t="s">
        <v>5263</v>
      </c>
      <c r="I829" s="866" t="str">
        <f t="shared" si="12"/>
        <v>NOT PAID</v>
      </c>
      <c r="J829" s="402"/>
      <c r="K829" s="402"/>
      <c r="L829" s="402"/>
      <c r="M829" s="402"/>
      <c r="N829" s="402"/>
      <c r="O829" s="402"/>
      <c r="P829" s="402"/>
      <c r="Q829" s="402"/>
      <c r="R829" s="402"/>
      <c r="S829" s="402"/>
      <c r="T829" s="402"/>
      <c r="U829" s="402"/>
      <c r="V829" s="402"/>
      <c r="W829" s="402"/>
      <c r="X829" s="402"/>
      <c r="Y829" s="402"/>
      <c r="Z829" s="402"/>
    </row>
    <row r="830" ht="14.25" customHeight="1">
      <c r="A830" s="697">
        <v>45519.0</v>
      </c>
      <c r="B830" s="878" t="s">
        <v>4793</v>
      </c>
      <c r="C830" s="878" t="s">
        <v>4891</v>
      </c>
      <c r="D830" s="883" t="s">
        <v>54</v>
      </c>
      <c r="E830" s="880" t="s">
        <v>4892</v>
      </c>
      <c r="F830" s="881">
        <v>16926.39</v>
      </c>
      <c r="G830" s="403"/>
      <c r="H830" s="349" t="s">
        <v>4968</v>
      </c>
      <c r="I830" s="866" t="str">
        <f t="shared" si="12"/>
        <v>NOT PAID</v>
      </c>
      <c r="J830" s="402"/>
      <c r="K830" s="402"/>
      <c r="L830" s="402"/>
      <c r="M830" s="402"/>
      <c r="N830" s="402"/>
      <c r="O830" s="402"/>
      <c r="P830" s="402"/>
      <c r="Q830" s="402"/>
      <c r="R830" s="402"/>
      <c r="S830" s="402"/>
      <c r="T830" s="402"/>
      <c r="U830" s="402"/>
      <c r="V830" s="402"/>
      <c r="W830" s="402"/>
      <c r="X830" s="402"/>
      <c r="Y830" s="402"/>
      <c r="Z830" s="402"/>
    </row>
    <row r="831" ht="14.25" customHeight="1">
      <c r="A831" s="697">
        <v>45519.0</v>
      </c>
      <c r="B831" s="878" t="s">
        <v>5297</v>
      </c>
      <c r="C831" s="878" t="s">
        <v>5298</v>
      </c>
      <c r="D831" s="883" t="s">
        <v>54</v>
      </c>
      <c r="E831" s="880" t="s">
        <v>5245</v>
      </c>
      <c r="F831" s="881">
        <v>39238.63</v>
      </c>
      <c r="G831" s="403"/>
      <c r="H831" s="349" t="s">
        <v>4968</v>
      </c>
      <c r="I831" s="866" t="str">
        <f t="shared" si="12"/>
        <v>NOT PAID</v>
      </c>
      <c r="J831" s="402"/>
      <c r="K831" s="402"/>
      <c r="L831" s="402"/>
      <c r="M831" s="402"/>
      <c r="N831" s="402"/>
      <c r="O831" s="402"/>
      <c r="P831" s="402"/>
      <c r="Q831" s="402"/>
      <c r="R831" s="402"/>
      <c r="S831" s="402"/>
      <c r="T831" s="402"/>
      <c r="U831" s="402"/>
      <c r="V831" s="402"/>
      <c r="W831" s="402"/>
      <c r="X831" s="402"/>
      <c r="Y831" s="402"/>
      <c r="Z831" s="402"/>
    </row>
    <row r="832" ht="14.25" customHeight="1">
      <c r="A832" s="697">
        <v>45519.0</v>
      </c>
      <c r="B832" s="878" t="s">
        <v>4815</v>
      </c>
      <c r="C832" s="878" t="s">
        <v>4859</v>
      </c>
      <c r="D832" s="883" t="s">
        <v>54</v>
      </c>
      <c r="E832" s="883" t="s">
        <v>4887</v>
      </c>
      <c r="F832" s="881">
        <v>58000.0</v>
      </c>
      <c r="G832" s="403"/>
      <c r="H832" s="349" t="s">
        <v>5263</v>
      </c>
      <c r="I832" s="866" t="str">
        <f t="shared" si="12"/>
        <v>NOT PAID</v>
      </c>
      <c r="J832" s="402"/>
      <c r="K832" s="402"/>
      <c r="L832" s="402"/>
      <c r="M832" s="402"/>
      <c r="N832" s="402"/>
      <c r="O832" s="402"/>
      <c r="P832" s="402"/>
      <c r="Q832" s="402"/>
      <c r="R832" s="402"/>
      <c r="S832" s="402"/>
      <c r="T832" s="402"/>
      <c r="U832" s="402"/>
      <c r="V832" s="402"/>
      <c r="W832" s="402"/>
      <c r="X832" s="402"/>
      <c r="Y832" s="402"/>
      <c r="Z832" s="402"/>
    </row>
    <row r="833" ht="14.25" customHeight="1">
      <c r="A833" s="697">
        <v>45519.0</v>
      </c>
      <c r="B833" s="878" t="s">
        <v>5257</v>
      </c>
      <c r="C833" s="878" t="s">
        <v>5048</v>
      </c>
      <c r="D833" s="883" t="s">
        <v>54</v>
      </c>
      <c r="E833" s="883" t="s">
        <v>5248</v>
      </c>
      <c r="F833" s="881">
        <v>45564.27</v>
      </c>
      <c r="G833" s="413">
        <v>38000.0</v>
      </c>
      <c r="H833" s="349" t="s">
        <v>4968</v>
      </c>
      <c r="I833" s="866" t="str">
        <f t="shared" si="12"/>
        <v>PARTIALLY PAID</v>
      </c>
      <c r="J833" s="402"/>
      <c r="K833" s="402"/>
      <c r="L833" s="402"/>
      <c r="M833" s="402"/>
      <c r="N833" s="402"/>
      <c r="O833" s="402"/>
      <c r="P833" s="402"/>
      <c r="Q833" s="402"/>
      <c r="R833" s="402"/>
      <c r="S833" s="402"/>
      <c r="T833" s="402"/>
      <c r="U833" s="402"/>
      <c r="V833" s="402"/>
      <c r="W833" s="402"/>
      <c r="X833" s="402"/>
      <c r="Y833" s="402"/>
      <c r="Z833" s="402"/>
    </row>
    <row r="834" ht="14.25" customHeight="1">
      <c r="A834" s="697">
        <v>45519.0</v>
      </c>
      <c r="B834" s="878" t="s">
        <v>4795</v>
      </c>
      <c r="C834" s="878" t="s">
        <v>5012</v>
      </c>
      <c r="D834" s="883" t="s">
        <v>54</v>
      </c>
      <c r="E834" s="883" t="s">
        <v>4887</v>
      </c>
      <c r="F834" s="881">
        <v>46034.9</v>
      </c>
      <c r="G834" s="403"/>
      <c r="H834" s="349" t="s">
        <v>4968</v>
      </c>
      <c r="I834" s="866" t="str">
        <f t="shared" si="12"/>
        <v>NOT PAID</v>
      </c>
      <c r="J834" s="402"/>
      <c r="K834" s="402"/>
      <c r="L834" s="402"/>
      <c r="M834" s="402"/>
      <c r="N834" s="402"/>
      <c r="O834" s="402"/>
      <c r="P834" s="402"/>
      <c r="Q834" s="402"/>
      <c r="R834" s="402"/>
      <c r="S834" s="402"/>
      <c r="T834" s="402"/>
      <c r="U834" s="402"/>
      <c r="V834" s="402"/>
      <c r="W834" s="402"/>
      <c r="X834" s="402"/>
      <c r="Y834" s="402"/>
      <c r="Z834" s="402"/>
    </row>
    <row r="835" ht="14.25" customHeight="1">
      <c r="A835" s="697">
        <v>45519.0</v>
      </c>
      <c r="B835" s="878" t="s">
        <v>5075</v>
      </c>
      <c r="C835" s="878" t="s">
        <v>5076</v>
      </c>
      <c r="D835" s="883" t="s">
        <v>75</v>
      </c>
      <c r="E835" s="883" t="s">
        <v>5248</v>
      </c>
      <c r="F835" s="881">
        <v>59078.25</v>
      </c>
      <c r="G835" s="403"/>
      <c r="H835" s="349" t="s">
        <v>952</v>
      </c>
      <c r="I835" s="866" t="str">
        <f t="shared" si="12"/>
        <v>NOT PAID</v>
      </c>
      <c r="J835" s="402"/>
      <c r="K835" s="402"/>
      <c r="L835" s="402"/>
      <c r="M835" s="402"/>
      <c r="N835" s="402"/>
      <c r="O835" s="402"/>
      <c r="P835" s="402"/>
      <c r="Q835" s="402"/>
      <c r="R835" s="402"/>
      <c r="S835" s="402"/>
      <c r="T835" s="402"/>
      <c r="U835" s="402"/>
      <c r="V835" s="402"/>
      <c r="W835" s="402"/>
      <c r="X835" s="402"/>
      <c r="Y835" s="402"/>
      <c r="Z835" s="402"/>
    </row>
    <row r="836" ht="14.25" customHeight="1">
      <c r="A836" s="697">
        <v>45519.0</v>
      </c>
      <c r="B836" s="878" t="s">
        <v>5166</v>
      </c>
      <c r="C836" s="878" t="s">
        <v>5167</v>
      </c>
      <c r="D836" s="883" t="s">
        <v>75</v>
      </c>
      <c r="E836" s="883" t="s">
        <v>5248</v>
      </c>
      <c r="F836" s="881">
        <v>29300.0</v>
      </c>
      <c r="G836" s="403"/>
      <c r="H836" s="349" t="s">
        <v>5271</v>
      </c>
      <c r="I836" s="866" t="str">
        <f t="shared" si="12"/>
        <v>NOT PAID</v>
      </c>
      <c r="J836" s="402"/>
      <c r="K836" s="402"/>
      <c r="L836" s="402"/>
      <c r="M836" s="402"/>
      <c r="N836" s="402"/>
      <c r="O836" s="402"/>
      <c r="P836" s="402"/>
      <c r="Q836" s="402"/>
      <c r="R836" s="402"/>
      <c r="S836" s="402"/>
      <c r="T836" s="402"/>
      <c r="U836" s="402"/>
      <c r="V836" s="402"/>
      <c r="W836" s="402"/>
      <c r="X836" s="402"/>
      <c r="Y836" s="402"/>
      <c r="Z836" s="402"/>
    </row>
    <row r="837" ht="14.25" customHeight="1">
      <c r="A837" s="697">
        <v>45519.0</v>
      </c>
      <c r="B837" s="883" t="s">
        <v>5308</v>
      </c>
      <c r="C837" s="883" t="s">
        <v>5309</v>
      </c>
      <c r="D837" s="883" t="s">
        <v>54</v>
      </c>
      <c r="E837" s="880" t="s">
        <v>4887</v>
      </c>
      <c r="F837" s="881">
        <v>61264.86</v>
      </c>
      <c r="G837" s="413"/>
      <c r="H837" s="349" t="s">
        <v>5304</v>
      </c>
      <c r="I837" s="866" t="str">
        <f t="shared" si="12"/>
        <v>NOT PAID</v>
      </c>
      <c r="J837" s="402"/>
      <c r="K837" s="402"/>
      <c r="L837" s="402"/>
      <c r="M837" s="402"/>
      <c r="N837" s="402"/>
      <c r="O837" s="402"/>
      <c r="P837" s="402"/>
      <c r="Q837" s="402"/>
      <c r="R837" s="402"/>
      <c r="S837" s="402"/>
      <c r="T837" s="402"/>
      <c r="U837" s="402"/>
      <c r="V837" s="402"/>
      <c r="W837" s="402"/>
      <c r="X837" s="402"/>
      <c r="Y837" s="402"/>
      <c r="Z837" s="402"/>
    </row>
    <row r="838" ht="14.25" customHeight="1">
      <c r="A838" s="697"/>
      <c r="B838" s="883"/>
      <c r="C838" s="883"/>
      <c r="D838" s="631"/>
      <c r="E838" s="880"/>
      <c r="F838" s="881"/>
      <c r="G838" s="413"/>
      <c r="H838" s="349"/>
      <c r="I838" s="866" t="str">
        <f t="shared" si="12"/>
        <v>FULLY PAID</v>
      </c>
      <c r="J838" s="402"/>
      <c r="K838" s="402"/>
      <c r="L838" s="402"/>
      <c r="M838" s="402"/>
      <c r="N838" s="402"/>
      <c r="O838" s="402"/>
      <c r="P838" s="402"/>
      <c r="Q838" s="402"/>
      <c r="R838" s="402"/>
      <c r="S838" s="402"/>
      <c r="T838" s="402"/>
      <c r="U838" s="402"/>
      <c r="V838" s="402"/>
      <c r="W838" s="402"/>
      <c r="X838" s="402"/>
      <c r="Y838" s="402"/>
      <c r="Z838" s="402"/>
    </row>
    <row r="839" ht="14.25" customHeight="1">
      <c r="A839" s="697"/>
      <c r="B839" s="878"/>
      <c r="C839" s="973" t="s">
        <v>797</v>
      </c>
      <c r="D839" s="883"/>
      <c r="E839" s="974"/>
      <c r="F839" s="881"/>
      <c r="G839" s="403"/>
      <c r="H839" s="402"/>
      <c r="I839" s="866" t="str">
        <f t="shared" si="12"/>
        <v>FULLY PAID</v>
      </c>
      <c r="J839" s="402"/>
      <c r="K839" s="402"/>
      <c r="L839" s="402"/>
      <c r="M839" s="402"/>
      <c r="N839" s="402"/>
      <c r="O839" s="402"/>
      <c r="P839" s="402"/>
      <c r="Q839" s="402"/>
      <c r="R839" s="402"/>
      <c r="S839" s="402"/>
      <c r="T839" s="402"/>
      <c r="U839" s="402"/>
      <c r="V839" s="402"/>
      <c r="W839" s="402"/>
      <c r="X839" s="402"/>
      <c r="Y839" s="402"/>
      <c r="Z839" s="402"/>
    </row>
    <row r="840" ht="14.25" customHeight="1">
      <c r="A840" s="697">
        <v>45519.0</v>
      </c>
      <c r="B840" s="962" t="s">
        <v>5070</v>
      </c>
      <c r="C840" s="965" t="s">
        <v>4859</v>
      </c>
      <c r="D840" s="956" t="s">
        <v>75</v>
      </c>
      <c r="E840" s="956" t="s">
        <v>578</v>
      </c>
      <c r="F840" s="933">
        <v>1737025.0</v>
      </c>
      <c r="G840" s="403"/>
      <c r="H840" s="349" t="s">
        <v>5263</v>
      </c>
      <c r="I840" s="866" t="str">
        <f t="shared" si="12"/>
        <v>NOT PAID</v>
      </c>
      <c r="J840" s="402"/>
      <c r="K840" s="402"/>
      <c r="L840" s="402"/>
      <c r="M840" s="402"/>
      <c r="N840" s="402"/>
      <c r="O840" s="402"/>
      <c r="P840" s="402"/>
      <c r="Q840" s="402"/>
      <c r="R840" s="402"/>
      <c r="S840" s="402"/>
      <c r="T840" s="402"/>
      <c r="U840" s="402"/>
      <c r="V840" s="402"/>
      <c r="W840" s="402"/>
      <c r="X840" s="402"/>
      <c r="Y840" s="402"/>
      <c r="Z840" s="402"/>
    </row>
    <row r="841" ht="14.25" customHeight="1">
      <c r="A841" s="697">
        <v>45519.0</v>
      </c>
      <c r="B841" s="958" t="s">
        <v>4919</v>
      </c>
      <c r="C841" s="956" t="s">
        <v>4945</v>
      </c>
      <c r="D841" s="956" t="s">
        <v>75</v>
      </c>
      <c r="E841" s="956" t="s">
        <v>578</v>
      </c>
      <c r="F841" s="872">
        <v>306751.35</v>
      </c>
      <c r="G841" s="403"/>
      <c r="H841" s="349" t="s">
        <v>5263</v>
      </c>
      <c r="I841" s="866" t="str">
        <f t="shared" si="12"/>
        <v>NOT PAID</v>
      </c>
      <c r="J841" s="402"/>
      <c r="K841" s="402"/>
      <c r="L841" s="402"/>
      <c r="M841" s="402"/>
      <c r="N841" s="402"/>
      <c r="O841" s="402"/>
      <c r="P841" s="402"/>
      <c r="Q841" s="402"/>
      <c r="R841" s="402"/>
      <c r="S841" s="402"/>
      <c r="T841" s="402"/>
      <c r="U841" s="402"/>
      <c r="V841" s="402"/>
      <c r="W841" s="402"/>
      <c r="X841" s="402"/>
      <c r="Y841" s="402"/>
      <c r="Z841" s="402"/>
    </row>
    <row r="842" ht="14.25" customHeight="1">
      <c r="A842" s="697">
        <v>45519.0</v>
      </c>
      <c r="B842" s="967" t="s">
        <v>4783</v>
      </c>
      <c r="C842" s="956" t="s">
        <v>4945</v>
      </c>
      <c r="D842" s="956" t="s">
        <v>54</v>
      </c>
      <c r="E842" s="956" t="s">
        <v>578</v>
      </c>
      <c r="F842" s="766">
        <v>854884.6</v>
      </c>
      <c r="G842" s="403"/>
      <c r="H842" s="349" t="s">
        <v>5263</v>
      </c>
      <c r="I842" s="866" t="str">
        <f t="shared" si="12"/>
        <v>NOT PAID</v>
      </c>
      <c r="J842" s="402"/>
      <c r="K842" s="402"/>
      <c r="L842" s="402"/>
      <c r="M842" s="402"/>
      <c r="N842" s="402"/>
      <c r="O842" s="402"/>
      <c r="P842" s="402"/>
      <c r="Q842" s="402"/>
      <c r="R842" s="402"/>
      <c r="S842" s="402"/>
      <c r="T842" s="402"/>
      <c r="U842" s="402"/>
      <c r="V842" s="402"/>
      <c r="W842" s="402"/>
      <c r="X842" s="402"/>
      <c r="Y842" s="402"/>
      <c r="Z842" s="402"/>
    </row>
    <row r="843" ht="14.25" customHeight="1">
      <c r="A843" s="697">
        <v>45519.0</v>
      </c>
      <c r="B843" s="962" t="s">
        <v>4816</v>
      </c>
      <c r="C843" s="965" t="s">
        <v>5015</v>
      </c>
      <c r="D843" s="966" t="s">
        <v>54</v>
      </c>
      <c r="E843" s="975" t="s">
        <v>578</v>
      </c>
      <c r="F843" s="933">
        <v>6203.0</v>
      </c>
      <c r="G843" s="403"/>
      <c r="H843" s="349" t="s">
        <v>5310</v>
      </c>
      <c r="I843" s="866" t="str">
        <f t="shared" si="12"/>
        <v>NOT PAID</v>
      </c>
      <c r="J843" s="402"/>
      <c r="K843" s="402"/>
      <c r="L843" s="402"/>
      <c r="M843" s="402"/>
      <c r="N843" s="402"/>
      <c r="O843" s="402"/>
      <c r="P843" s="402"/>
      <c r="Q843" s="402"/>
      <c r="R843" s="402"/>
      <c r="S843" s="402"/>
      <c r="T843" s="402"/>
      <c r="U843" s="402"/>
      <c r="V843" s="402"/>
      <c r="W843" s="402"/>
      <c r="X843" s="402"/>
      <c r="Y843" s="402"/>
      <c r="Z843" s="402"/>
    </row>
    <row r="844" ht="14.25" customHeight="1">
      <c r="A844" s="697">
        <v>45519.0</v>
      </c>
      <c r="B844" s="962" t="s">
        <v>4767</v>
      </c>
      <c r="C844" s="965" t="s">
        <v>4861</v>
      </c>
      <c r="D844" s="966" t="s">
        <v>59</v>
      </c>
      <c r="E844" s="975" t="s">
        <v>578</v>
      </c>
      <c r="F844" s="766">
        <v>147000.0</v>
      </c>
      <c r="G844" s="403"/>
      <c r="H844" s="349" t="s">
        <v>4968</v>
      </c>
      <c r="I844" s="866" t="str">
        <f t="shared" si="12"/>
        <v>NOT PAID</v>
      </c>
      <c r="J844" s="402"/>
      <c r="K844" s="402"/>
      <c r="L844" s="402"/>
      <c r="M844" s="402"/>
      <c r="N844" s="402"/>
      <c r="O844" s="402"/>
      <c r="P844" s="402"/>
      <c r="Q844" s="402"/>
      <c r="R844" s="402"/>
      <c r="S844" s="402"/>
      <c r="T844" s="402"/>
      <c r="U844" s="402"/>
      <c r="V844" s="402"/>
      <c r="W844" s="402"/>
      <c r="X844" s="402"/>
      <c r="Y844" s="402"/>
      <c r="Z844" s="402"/>
    </row>
    <row r="845" ht="14.25" customHeight="1">
      <c r="A845" s="697">
        <v>45519.0</v>
      </c>
      <c r="B845" s="962" t="s">
        <v>4547</v>
      </c>
      <c r="C845" s="965" t="s">
        <v>4548</v>
      </c>
      <c r="D845" s="966" t="s">
        <v>59</v>
      </c>
      <c r="E845" s="975" t="s">
        <v>273</v>
      </c>
      <c r="F845" s="933">
        <v>617498.61</v>
      </c>
      <c r="G845" s="403"/>
      <c r="H845" s="349" t="s">
        <v>5301</v>
      </c>
      <c r="I845" s="866" t="str">
        <f t="shared" si="12"/>
        <v>NOT PAID</v>
      </c>
      <c r="J845" s="402"/>
      <c r="K845" s="402"/>
      <c r="L845" s="402"/>
      <c r="M845" s="402"/>
      <c r="N845" s="402"/>
      <c r="O845" s="402"/>
      <c r="P845" s="402"/>
      <c r="Q845" s="402"/>
      <c r="R845" s="402"/>
      <c r="S845" s="402"/>
      <c r="T845" s="402"/>
      <c r="U845" s="402"/>
      <c r="V845" s="402"/>
      <c r="W845" s="402"/>
      <c r="X845" s="402"/>
      <c r="Y845" s="402"/>
      <c r="Z845" s="402"/>
    </row>
    <row r="846" ht="14.25" customHeight="1">
      <c r="A846" s="697"/>
      <c r="B846" s="863"/>
      <c r="C846" s="863"/>
      <c r="D846" s="867"/>
      <c r="E846" s="868"/>
      <c r="F846" s="865"/>
      <c r="G846" s="403"/>
      <c r="H846" s="402"/>
      <c r="I846" s="866" t="str">
        <f t="shared" si="12"/>
        <v>FULLY PAID</v>
      </c>
      <c r="J846" s="402"/>
      <c r="K846" s="402"/>
      <c r="L846" s="402"/>
      <c r="M846" s="402"/>
      <c r="N846" s="402"/>
      <c r="O846" s="402"/>
      <c r="P846" s="402"/>
      <c r="Q846" s="402"/>
      <c r="R846" s="402"/>
      <c r="S846" s="402"/>
      <c r="T846" s="402"/>
      <c r="U846" s="402"/>
      <c r="V846" s="402"/>
      <c r="W846" s="402"/>
      <c r="X846" s="402"/>
      <c r="Y846" s="402"/>
      <c r="Z846" s="402"/>
    </row>
    <row r="847" ht="14.25" customHeight="1">
      <c r="A847" s="697"/>
      <c r="B847" s="863"/>
      <c r="C847" s="863"/>
      <c r="D847" s="867"/>
      <c r="E847" s="868"/>
      <c r="F847" s="865"/>
      <c r="G847" s="403"/>
      <c r="H847" s="402"/>
      <c r="I847" s="866" t="str">
        <f t="shared" si="12"/>
        <v>FULLY PAID</v>
      </c>
      <c r="J847" s="402"/>
      <c r="K847" s="402"/>
      <c r="L847" s="402"/>
      <c r="M847" s="402"/>
      <c r="N847" s="402"/>
      <c r="O847" s="402"/>
      <c r="P847" s="402"/>
      <c r="Q847" s="402"/>
      <c r="R847" s="402"/>
      <c r="S847" s="402"/>
      <c r="T847" s="402"/>
      <c r="U847" s="402"/>
      <c r="V847" s="402"/>
      <c r="W847" s="402"/>
      <c r="X847" s="402"/>
      <c r="Y847" s="402"/>
      <c r="Z847" s="402"/>
    </row>
    <row r="848" ht="14.25" customHeight="1">
      <c r="A848" s="584" t="s">
        <v>2130</v>
      </c>
      <c r="B848" s="877" t="s">
        <v>39</v>
      </c>
      <c r="C848" s="584" t="s">
        <v>48</v>
      </c>
      <c r="D848" s="584" t="s">
        <v>49</v>
      </c>
      <c r="E848" s="862" t="s">
        <v>50</v>
      </c>
      <c r="F848" s="585" t="s">
        <v>2</v>
      </c>
      <c r="G848" s="584" t="s">
        <v>44</v>
      </c>
      <c r="H848" s="584" t="s">
        <v>45</v>
      </c>
      <c r="I848" s="866" t="str">
        <f t="shared" si="12"/>
        <v>FULLY PAID</v>
      </c>
      <c r="J848" s="402"/>
      <c r="K848" s="402"/>
      <c r="L848" s="402"/>
      <c r="M848" s="402"/>
      <c r="N848" s="402"/>
      <c r="O848" s="402"/>
      <c r="P848" s="402"/>
      <c r="Q848" s="402"/>
      <c r="R848" s="402"/>
      <c r="S848" s="402"/>
      <c r="T848" s="402"/>
      <c r="U848" s="402"/>
      <c r="V848" s="402"/>
      <c r="W848" s="402"/>
      <c r="X848" s="402"/>
      <c r="Y848" s="402"/>
      <c r="Z848" s="402"/>
    </row>
    <row r="849" ht="14.25" customHeight="1">
      <c r="A849" s="406">
        <v>45520.0</v>
      </c>
      <c r="B849" s="607" t="s">
        <v>4779</v>
      </c>
      <c r="C849" s="607" t="s">
        <v>4907</v>
      </c>
      <c r="D849" s="607" t="s">
        <v>54</v>
      </c>
      <c r="E849" s="607" t="s">
        <v>4887</v>
      </c>
      <c r="F849" s="756">
        <v>104664.6</v>
      </c>
      <c r="G849" s="403"/>
      <c r="H849" s="349" t="s">
        <v>5311</v>
      </c>
      <c r="I849" s="866" t="str">
        <f t="shared" si="12"/>
        <v>NOT PAID</v>
      </c>
      <c r="J849" s="402"/>
      <c r="K849" s="402"/>
      <c r="L849" s="402"/>
      <c r="M849" s="402"/>
      <c r="N849" s="402"/>
      <c r="O849" s="402"/>
      <c r="P849" s="402"/>
      <c r="Q849" s="402"/>
      <c r="R849" s="402"/>
      <c r="S849" s="402"/>
      <c r="T849" s="402"/>
      <c r="U849" s="402"/>
      <c r="V849" s="402"/>
      <c r="W849" s="402"/>
      <c r="X849" s="402"/>
      <c r="Y849" s="402"/>
      <c r="Z849" s="402"/>
    </row>
    <row r="850" ht="14.25" customHeight="1">
      <c r="A850" s="406">
        <v>45520.0</v>
      </c>
      <c r="B850" s="607" t="s">
        <v>5312</v>
      </c>
      <c r="C850" s="607" t="s">
        <v>5030</v>
      </c>
      <c r="D850" s="607" t="s">
        <v>54</v>
      </c>
      <c r="E850" s="607" t="s">
        <v>5248</v>
      </c>
      <c r="F850" s="756">
        <v>48756.15</v>
      </c>
      <c r="G850" s="403"/>
      <c r="H850" s="349" t="s">
        <v>5313</v>
      </c>
      <c r="I850" s="866" t="str">
        <f t="shared" si="12"/>
        <v>NOT PAID</v>
      </c>
      <c r="J850" s="402"/>
      <c r="K850" s="402"/>
      <c r="L850" s="402"/>
      <c r="M850" s="402"/>
      <c r="N850" s="402"/>
      <c r="O850" s="402"/>
      <c r="P850" s="402"/>
      <c r="Q850" s="402"/>
      <c r="R850" s="402"/>
      <c r="S850" s="402"/>
      <c r="T850" s="402"/>
      <c r="U850" s="402"/>
      <c r="V850" s="402"/>
      <c r="W850" s="402"/>
      <c r="X850" s="402"/>
      <c r="Y850" s="402"/>
      <c r="Z850" s="402"/>
    </row>
    <row r="851" ht="14.25" customHeight="1">
      <c r="A851" s="406">
        <v>45520.0</v>
      </c>
      <c r="B851" s="607" t="s">
        <v>5314</v>
      </c>
      <c r="C851" s="607" t="s">
        <v>5030</v>
      </c>
      <c r="D851" s="607" t="s">
        <v>346</v>
      </c>
      <c r="E851" s="607" t="s">
        <v>5248</v>
      </c>
      <c r="F851" s="756">
        <v>12959.72</v>
      </c>
      <c r="G851" s="403"/>
      <c r="H851" s="349" t="s">
        <v>5315</v>
      </c>
      <c r="I851" s="866" t="str">
        <f t="shared" si="12"/>
        <v>NOT PAID</v>
      </c>
      <c r="J851" s="402"/>
      <c r="K851" s="402"/>
      <c r="L851" s="402"/>
      <c r="M851" s="402"/>
      <c r="N851" s="402"/>
      <c r="O851" s="402"/>
      <c r="P851" s="402"/>
      <c r="Q851" s="402"/>
      <c r="R851" s="402"/>
      <c r="S851" s="402"/>
      <c r="T851" s="402"/>
      <c r="U851" s="402"/>
      <c r="V851" s="402"/>
      <c r="W851" s="402"/>
      <c r="X851" s="402"/>
      <c r="Y851" s="402"/>
      <c r="Z851" s="402"/>
    </row>
    <row r="852" ht="14.25" customHeight="1">
      <c r="A852" s="406">
        <v>45520.0</v>
      </c>
      <c r="B852" s="607" t="s">
        <v>5316</v>
      </c>
      <c r="C852" s="607" t="s">
        <v>4975</v>
      </c>
      <c r="D852" s="607" t="s">
        <v>75</v>
      </c>
      <c r="E852" s="607" t="s">
        <v>5248</v>
      </c>
      <c r="F852" s="756">
        <v>57500.0</v>
      </c>
      <c r="G852" s="403"/>
      <c r="H852" s="349" t="s">
        <v>5317</v>
      </c>
      <c r="I852" s="866" t="str">
        <f t="shared" si="12"/>
        <v>NOT PAID</v>
      </c>
      <c r="J852" s="402"/>
      <c r="K852" s="402"/>
      <c r="L852" s="402"/>
      <c r="M852" s="402"/>
      <c r="N852" s="402"/>
      <c r="O852" s="402"/>
      <c r="P852" s="402"/>
      <c r="Q852" s="402"/>
      <c r="R852" s="402"/>
      <c r="S852" s="402"/>
      <c r="T852" s="402"/>
      <c r="U852" s="402"/>
      <c r="V852" s="402"/>
      <c r="W852" s="402"/>
      <c r="X852" s="402"/>
      <c r="Y852" s="402"/>
      <c r="Z852" s="402"/>
    </row>
    <row r="853" ht="14.25" customHeight="1">
      <c r="A853" s="406">
        <v>45520.0</v>
      </c>
      <c r="B853" s="607" t="s">
        <v>5318</v>
      </c>
      <c r="C853" s="607" t="s">
        <v>5319</v>
      </c>
      <c r="D853" s="607" t="s">
        <v>75</v>
      </c>
      <c r="E853" s="68" t="s">
        <v>578</v>
      </c>
      <c r="F853" s="756">
        <v>345000.0</v>
      </c>
      <c r="G853" s="403"/>
      <c r="H853" s="349" t="s">
        <v>5320</v>
      </c>
      <c r="I853" s="866" t="str">
        <f t="shared" si="12"/>
        <v>NOT PAID</v>
      </c>
      <c r="J853" s="402"/>
      <c r="K853" s="402"/>
      <c r="L853" s="402"/>
      <c r="M853" s="402"/>
      <c r="N853" s="402"/>
      <c r="O853" s="402"/>
      <c r="P853" s="402"/>
      <c r="Q853" s="402"/>
      <c r="R853" s="402"/>
      <c r="S853" s="402"/>
      <c r="T853" s="402"/>
      <c r="U853" s="402"/>
      <c r="V853" s="402"/>
      <c r="W853" s="402"/>
      <c r="X853" s="402"/>
      <c r="Y853" s="402"/>
      <c r="Z853" s="402"/>
    </row>
    <row r="854" ht="14.25" customHeight="1">
      <c r="A854" s="406">
        <v>45520.0</v>
      </c>
      <c r="B854" s="607" t="s">
        <v>5308</v>
      </c>
      <c r="C854" s="607" t="s">
        <v>5309</v>
      </c>
      <c r="D854" s="607" t="s">
        <v>54</v>
      </c>
      <c r="E854" s="689" t="s">
        <v>4887</v>
      </c>
      <c r="F854" s="756">
        <v>61264.86</v>
      </c>
      <c r="G854" s="413">
        <v>64448.0</v>
      </c>
      <c r="H854" s="349" t="s">
        <v>267</v>
      </c>
      <c r="I854" s="866" t="str">
        <f t="shared" si="12"/>
        <v>FULLY PAID</v>
      </c>
      <c r="J854" s="402"/>
      <c r="K854" s="402"/>
      <c r="L854" s="402"/>
      <c r="M854" s="402"/>
      <c r="N854" s="402"/>
      <c r="O854" s="402"/>
      <c r="P854" s="402"/>
      <c r="Q854" s="402"/>
      <c r="R854" s="402"/>
      <c r="S854" s="402"/>
      <c r="T854" s="402"/>
      <c r="U854" s="402"/>
      <c r="V854" s="402"/>
      <c r="W854" s="402"/>
      <c r="X854" s="402"/>
      <c r="Y854" s="402"/>
      <c r="Z854" s="402"/>
    </row>
    <row r="855" ht="14.25" customHeight="1">
      <c r="A855" s="406">
        <v>45520.0</v>
      </c>
      <c r="B855" s="764" t="s">
        <v>5127</v>
      </c>
      <c r="C855" s="764" t="s">
        <v>5170</v>
      </c>
      <c r="D855" s="607" t="s">
        <v>54</v>
      </c>
      <c r="E855" s="607" t="s">
        <v>4887</v>
      </c>
      <c r="F855" s="756">
        <v>34201.04</v>
      </c>
      <c r="G855" s="403"/>
      <c r="H855" s="349" t="s">
        <v>5321</v>
      </c>
      <c r="I855" s="866" t="str">
        <f t="shared" si="12"/>
        <v>NOT PAID</v>
      </c>
      <c r="J855" s="402"/>
      <c r="K855" s="402"/>
      <c r="L855" s="402"/>
      <c r="M855" s="402"/>
      <c r="N855" s="402"/>
      <c r="O855" s="402"/>
      <c r="P855" s="402"/>
      <c r="Q855" s="402"/>
      <c r="R855" s="402"/>
      <c r="S855" s="402"/>
      <c r="T855" s="402"/>
      <c r="U855" s="402"/>
      <c r="V855" s="402"/>
      <c r="W855" s="402"/>
      <c r="X855" s="402"/>
      <c r="Y855" s="402"/>
      <c r="Z855" s="402"/>
    </row>
    <row r="856" ht="14.25" customHeight="1">
      <c r="A856" s="406">
        <v>45520.0</v>
      </c>
      <c r="B856" s="901" t="s">
        <v>4942</v>
      </c>
      <c r="C856" s="545" t="s">
        <v>4943</v>
      </c>
      <c r="D856" s="906" t="s">
        <v>75</v>
      </c>
      <c r="E856" s="903" t="s">
        <v>4895</v>
      </c>
      <c r="F856" s="756">
        <v>1413.29</v>
      </c>
      <c r="G856" s="413">
        <v>1800.0</v>
      </c>
      <c r="H856" s="349" t="s">
        <v>267</v>
      </c>
      <c r="I856" s="866" t="str">
        <f t="shared" si="12"/>
        <v>FULLY PAID</v>
      </c>
      <c r="J856" s="402"/>
      <c r="K856" s="402"/>
      <c r="L856" s="402"/>
      <c r="M856" s="402"/>
      <c r="N856" s="402"/>
      <c r="O856" s="402"/>
      <c r="P856" s="402"/>
      <c r="Q856" s="402"/>
      <c r="R856" s="402"/>
      <c r="S856" s="402"/>
      <c r="T856" s="402"/>
      <c r="U856" s="402"/>
      <c r="V856" s="402"/>
      <c r="W856" s="402"/>
      <c r="X856" s="402"/>
      <c r="Y856" s="402"/>
      <c r="Z856" s="402"/>
    </row>
    <row r="857" ht="14.25" customHeight="1">
      <c r="A857" s="406">
        <v>45520.0</v>
      </c>
      <c r="B857" s="764" t="s">
        <v>4545</v>
      </c>
      <c r="C857" s="764" t="s">
        <v>4946</v>
      </c>
      <c r="D857" s="607" t="s">
        <v>59</v>
      </c>
      <c r="E857" s="607" t="s">
        <v>578</v>
      </c>
      <c r="F857" s="756">
        <v>848233.89</v>
      </c>
      <c r="G857" s="403"/>
      <c r="H857" s="349" t="s">
        <v>5322</v>
      </c>
      <c r="I857" s="866" t="str">
        <f t="shared" si="12"/>
        <v>NOT PAID</v>
      </c>
      <c r="J857" s="402"/>
      <c r="K857" s="402"/>
      <c r="L857" s="402"/>
      <c r="M857" s="402"/>
      <c r="N857" s="402"/>
      <c r="O857" s="402"/>
      <c r="P857" s="402"/>
      <c r="Q857" s="402"/>
      <c r="R857" s="402"/>
      <c r="S857" s="402"/>
      <c r="T857" s="402"/>
      <c r="U857" s="402"/>
      <c r="V857" s="402"/>
      <c r="W857" s="402"/>
      <c r="X857" s="402"/>
      <c r="Y857" s="402"/>
      <c r="Z857" s="402"/>
    </row>
    <row r="858" ht="14.25" customHeight="1">
      <c r="A858" s="406">
        <v>45520.0</v>
      </c>
      <c r="B858" s="764" t="s">
        <v>5227</v>
      </c>
      <c r="C858" s="764" t="s">
        <v>5114</v>
      </c>
      <c r="D858" s="607" t="s">
        <v>54</v>
      </c>
      <c r="E858" s="607" t="s">
        <v>5248</v>
      </c>
      <c r="F858" s="756">
        <v>236.02</v>
      </c>
      <c r="G858" s="403"/>
      <c r="H858" s="349" t="s">
        <v>267</v>
      </c>
      <c r="I858" s="866" t="str">
        <f t="shared" si="12"/>
        <v>NOT PAID</v>
      </c>
      <c r="J858" s="402"/>
      <c r="K858" s="402"/>
      <c r="L858" s="402"/>
      <c r="M858" s="402"/>
      <c r="N858" s="402"/>
      <c r="O858" s="402"/>
      <c r="P858" s="402"/>
      <c r="Q858" s="402"/>
      <c r="R858" s="402"/>
      <c r="S858" s="402"/>
      <c r="T858" s="402"/>
      <c r="U858" s="402"/>
      <c r="V858" s="402"/>
      <c r="W858" s="402"/>
      <c r="X858" s="402"/>
      <c r="Y858" s="402"/>
      <c r="Z858" s="402"/>
    </row>
    <row r="859" ht="14.25" customHeight="1">
      <c r="A859" s="406">
        <v>45520.0</v>
      </c>
      <c r="B859" s="764" t="s">
        <v>5198</v>
      </c>
      <c r="C859" s="764" t="s">
        <v>5199</v>
      </c>
      <c r="D859" s="607" t="s">
        <v>54</v>
      </c>
      <c r="E859" s="607" t="s">
        <v>578</v>
      </c>
      <c r="F859" s="756">
        <v>35966.87</v>
      </c>
      <c r="G859" s="403"/>
      <c r="H859" s="349" t="s">
        <v>5323</v>
      </c>
      <c r="I859" s="866" t="str">
        <f t="shared" si="12"/>
        <v>NOT PAID</v>
      </c>
      <c r="J859" s="402"/>
      <c r="K859" s="402"/>
      <c r="L859" s="402"/>
      <c r="M859" s="402"/>
      <c r="N859" s="402"/>
      <c r="O859" s="402"/>
      <c r="P859" s="402"/>
      <c r="Q859" s="402"/>
      <c r="R859" s="402"/>
      <c r="S859" s="402"/>
      <c r="T859" s="402"/>
      <c r="U859" s="402"/>
      <c r="V859" s="402"/>
      <c r="W859" s="402"/>
      <c r="X859" s="402"/>
      <c r="Y859" s="402"/>
      <c r="Z859" s="402"/>
    </row>
    <row r="860" ht="14.25" customHeight="1">
      <c r="A860" s="406">
        <v>45520.0</v>
      </c>
      <c r="B860" s="863" t="s">
        <v>4770</v>
      </c>
      <c r="C860" s="863" t="s">
        <v>2529</v>
      </c>
      <c r="D860" s="867" t="s">
        <v>263</v>
      </c>
      <c r="E860" s="689" t="s">
        <v>5249</v>
      </c>
      <c r="F860" s="756">
        <v>7426.16</v>
      </c>
      <c r="G860" s="413">
        <v>15000.0</v>
      </c>
      <c r="H860" s="349" t="s">
        <v>710</v>
      </c>
      <c r="I860" s="866" t="str">
        <f t="shared" si="12"/>
        <v>FULLY PAID</v>
      </c>
      <c r="J860" s="402"/>
      <c r="K860" s="402"/>
      <c r="L860" s="402"/>
      <c r="M860" s="402"/>
      <c r="N860" s="402"/>
      <c r="O860" s="402"/>
      <c r="P860" s="402"/>
      <c r="Q860" s="402"/>
      <c r="R860" s="402"/>
      <c r="S860" s="402"/>
      <c r="T860" s="402"/>
      <c r="U860" s="402"/>
      <c r="V860" s="402"/>
      <c r="W860" s="402"/>
      <c r="X860" s="402"/>
      <c r="Y860" s="402"/>
      <c r="Z860" s="402"/>
    </row>
    <row r="861" ht="14.25" customHeight="1">
      <c r="A861" s="406">
        <v>45520.0</v>
      </c>
      <c r="B861" s="764" t="s">
        <v>4900</v>
      </c>
      <c r="C861" s="764" t="s">
        <v>4901</v>
      </c>
      <c r="D861" s="607" t="s">
        <v>54</v>
      </c>
      <c r="E861" s="607" t="s">
        <v>4887</v>
      </c>
      <c r="F861" s="756">
        <v>8355.89</v>
      </c>
      <c r="G861" s="403"/>
      <c r="H861" s="349" t="s">
        <v>5324</v>
      </c>
      <c r="I861" s="866" t="str">
        <f t="shared" si="12"/>
        <v>NOT PAID</v>
      </c>
      <c r="J861" s="402"/>
      <c r="K861" s="402"/>
      <c r="L861" s="402"/>
      <c r="M861" s="402"/>
      <c r="N861" s="402"/>
      <c r="O861" s="402"/>
      <c r="P861" s="402"/>
      <c r="Q861" s="402"/>
      <c r="R861" s="402"/>
      <c r="S861" s="402"/>
      <c r="T861" s="402"/>
      <c r="U861" s="402"/>
      <c r="V861" s="402"/>
      <c r="W861" s="402"/>
      <c r="X861" s="402"/>
      <c r="Y861" s="402"/>
      <c r="Z861" s="402"/>
    </row>
    <row r="862" ht="14.25" customHeight="1">
      <c r="A862" s="406">
        <v>45520.0</v>
      </c>
      <c r="B862" s="764" t="s">
        <v>5325</v>
      </c>
      <c r="C862" s="764" t="s">
        <v>5265</v>
      </c>
      <c r="D862" s="607" t="s">
        <v>54</v>
      </c>
      <c r="E862" s="607" t="s">
        <v>5248</v>
      </c>
      <c r="F862" s="756">
        <v>39812.69</v>
      </c>
      <c r="G862" s="413">
        <v>46600.0</v>
      </c>
      <c r="H862" s="349" t="s">
        <v>5326</v>
      </c>
      <c r="I862" s="866" t="str">
        <f t="shared" si="12"/>
        <v>FULLY PAID</v>
      </c>
      <c r="J862" s="402"/>
      <c r="K862" s="402"/>
      <c r="L862" s="402"/>
      <c r="M862" s="402"/>
      <c r="N862" s="402"/>
      <c r="O862" s="402"/>
      <c r="P862" s="402"/>
      <c r="Q862" s="402"/>
      <c r="R862" s="402"/>
      <c r="S862" s="402"/>
      <c r="T862" s="402"/>
      <c r="U862" s="402"/>
      <c r="V862" s="402"/>
      <c r="W862" s="402"/>
      <c r="X862" s="402"/>
      <c r="Y862" s="402"/>
      <c r="Z862" s="402"/>
    </row>
    <row r="863" ht="14.25" customHeight="1">
      <c r="A863" s="406">
        <v>45520.0</v>
      </c>
      <c r="B863" s="764" t="s">
        <v>5257</v>
      </c>
      <c r="C863" s="764" t="s">
        <v>5048</v>
      </c>
      <c r="D863" s="607" t="s">
        <v>54</v>
      </c>
      <c r="E863" s="607" t="s">
        <v>578</v>
      </c>
      <c r="F863" s="756">
        <v>38000.0</v>
      </c>
      <c r="G863" s="403"/>
      <c r="H863" s="349" t="s">
        <v>267</v>
      </c>
      <c r="I863" s="866" t="str">
        <f t="shared" si="12"/>
        <v>NOT PAID</v>
      </c>
      <c r="J863" s="402"/>
      <c r="K863" s="402"/>
      <c r="L863" s="402"/>
      <c r="M863" s="402"/>
      <c r="N863" s="402"/>
      <c r="O863" s="402"/>
      <c r="P863" s="402"/>
      <c r="Q863" s="402"/>
      <c r="R863" s="402"/>
      <c r="S863" s="402"/>
      <c r="T863" s="402"/>
      <c r="U863" s="402"/>
      <c r="V863" s="402"/>
      <c r="W863" s="402"/>
      <c r="X863" s="402"/>
      <c r="Y863" s="402"/>
      <c r="Z863" s="402"/>
    </row>
    <row r="864" ht="14.25" customHeight="1">
      <c r="A864" s="406">
        <v>45520.0</v>
      </c>
      <c r="B864" s="764" t="s">
        <v>4969</v>
      </c>
      <c r="C864" s="764" t="s">
        <v>4970</v>
      </c>
      <c r="D864" s="607" t="s">
        <v>59</v>
      </c>
      <c r="E864" s="607" t="s">
        <v>578</v>
      </c>
      <c r="F864" s="756">
        <v>13974.99</v>
      </c>
      <c r="G864" s="413">
        <v>22315.0</v>
      </c>
      <c r="H864" s="349" t="s">
        <v>267</v>
      </c>
      <c r="I864" s="866" t="str">
        <f t="shared" si="12"/>
        <v>FULLY PAID</v>
      </c>
      <c r="J864" s="402"/>
      <c r="K864" s="402"/>
      <c r="L864" s="402"/>
      <c r="M864" s="402"/>
      <c r="N864" s="402"/>
      <c r="O864" s="402"/>
      <c r="P864" s="402"/>
      <c r="Q864" s="402"/>
      <c r="R864" s="402"/>
      <c r="S864" s="402"/>
      <c r="T864" s="402"/>
      <c r="U864" s="402"/>
      <c r="V864" s="402"/>
      <c r="W864" s="402"/>
      <c r="X864" s="402"/>
      <c r="Y864" s="402"/>
      <c r="Z864" s="402"/>
    </row>
    <row r="865" ht="14.25" customHeight="1">
      <c r="A865" s="406">
        <v>45520.0</v>
      </c>
      <c r="B865" s="764" t="s">
        <v>4779</v>
      </c>
      <c r="C865" s="764" t="s">
        <v>4907</v>
      </c>
      <c r="D865" s="607" t="s">
        <v>54</v>
      </c>
      <c r="E865" s="607" t="s">
        <v>4887</v>
      </c>
      <c r="F865" s="756">
        <v>104664.6</v>
      </c>
      <c r="G865" s="403"/>
      <c r="H865" s="349" t="s">
        <v>5311</v>
      </c>
      <c r="I865" s="866" t="str">
        <f t="shared" si="12"/>
        <v>NOT PAID</v>
      </c>
      <c r="J865" s="402"/>
      <c r="K865" s="402"/>
      <c r="L865" s="402"/>
      <c r="M865" s="402"/>
      <c r="N865" s="402"/>
      <c r="O865" s="402"/>
      <c r="P865" s="402"/>
      <c r="Q865" s="402"/>
      <c r="R865" s="402"/>
      <c r="S865" s="402"/>
      <c r="T865" s="402"/>
      <c r="U865" s="402"/>
      <c r="V865" s="402"/>
      <c r="W865" s="402"/>
      <c r="X865" s="402"/>
      <c r="Y865" s="402"/>
      <c r="Z865" s="402"/>
    </row>
    <row r="866" ht="14.25" customHeight="1">
      <c r="A866" s="406">
        <v>45520.0</v>
      </c>
      <c r="B866" s="764" t="s">
        <v>4977</v>
      </c>
      <c r="C866" s="764" t="s">
        <v>4978</v>
      </c>
      <c r="D866" s="607" t="s">
        <v>54</v>
      </c>
      <c r="E866" s="607" t="s">
        <v>4887</v>
      </c>
      <c r="F866" s="756">
        <v>892.65</v>
      </c>
      <c r="G866" s="403"/>
      <c r="H866" s="349" t="s">
        <v>5327</v>
      </c>
      <c r="I866" s="866" t="str">
        <f t="shared" si="12"/>
        <v>NOT PAID</v>
      </c>
      <c r="J866" s="402"/>
      <c r="K866" s="402"/>
      <c r="L866" s="402"/>
      <c r="M866" s="402"/>
      <c r="N866" s="402"/>
      <c r="O866" s="402"/>
      <c r="P866" s="402"/>
      <c r="Q866" s="402"/>
      <c r="R866" s="402"/>
      <c r="S866" s="402"/>
      <c r="T866" s="402"/>
      <c r="U866" s="402"/>
      <c r="V866" s="402"/>
      <c r="W866" s="402"/>
      <c r="X866" s="402"/>
      <c r="Y866" s="402"/>
      <c r="Z866" s="402"/>
    </row>
    <row r="867" ht="14.25" customHeight="1">
      <c r="A867" s="406">
        <v>45520.0</v>
      </c>
      <c r="B867" s="764" t="s">
        <v>4791</v>
      </c>
      <c r="C867" s="764" t="s">
        <v>4912</v>
      </c>
      <c r="D867" s="607" t="s">
        <v>54</v>
      </c>
      <c r="E867" s="607" t="s">
        <v>578</v>
      </c>
      <c r="F867" s="756">
        <v>8991.67</v>
      </c>
      <c r="G867" s="403"/>
      <c r="H867" s="349" t="s">
        <v>5328</v>
      </c>
      <c r="I867" s="866" t="str">
        <f t="shared" si="12"/>
        <v>NOT PAID</v>
      </c>
      <c r="J867" s="402"/>
      <c r="K867" s="402"/>
      <c r="L867" s="402"/>
      <c r="M867" s="402"/>
      <c r="N867" s="402"/>
      <c r="O867" s="402"/>
      <c r="P867" s="402"/>
      <c r="Q867" s="402"/>
      <c r="R867" s="402"/>
      <c r="S867" s="402"/>
      <c r="T867" s="402"/>
      <c r="U867" s="402"/>
      <c r="V867" s="402"/>
      <c r="W867" s="402"/>
      <c r="X867" s="402"/>
      <c r="Y867" s="402"/>
      <c r="Z867" s="402"/>
    </row>
    <row r="868" ht="14.25" customHeight="1">
      <c r="A868" s="406">
        <v>45520.0</v>
      </c>
      <c r="B868" s="764" t="s">
        <v>4811</v>
      </c>
      <c r="C868" s="764" t="s">
        <v>4859</v>
      </c>
      <c r="D868" s="607" t="s">
        <v>54</v>
      </c>
      <c r="E868" s="607" t="s">
        <v>4887</v>
      </c>
      <c r="F868" s="756">
        <v>8085.55</v>
      </c>
      <c r="G868" s="403"/>
      <c r="H868" s="349" t="s">
        <v>5329</v>
      </c>
      <c r="I868" s="866" t="str">
        <f t="shared" si="12"/>
        <v>NOT PAID</v>
      </c>
      <c r="J868" s="402"/>
      <c r="K868" s="402"/>
      <c r="L868" s="402"/>
      <c r="M868" s="402"/>
      <c r="N868" s="402"/>
      <c r="O868" s="402"/>
      <c r="P868" s="402"/>
      <c r="Q868" s="402"/>
      <c r="R868" s="402"/>
      <c r="S868" s="402"/>
      <c r="T868" s="402"/>
      <c r="U868" s="402"/>
      <c r="V868" s="402"/>
      <c r="W868" s="402"/>
      <c r="X868" s="402"/>
      <c r="Y868" s="402"/>
      <c r="Z868" s="402"/>
    </row>
    <row r="869" ht="14.25" customHeight="1">
      <c r="A869" s="406">
        <v>45520.0</v>
      </c>
      <c r="B869" s="764" t="s">
        <v>4793</v>
      </c>
      <c r="C869" s="764" t="s">
        <v>4891</v>
      </c>
      <c r="D869" s="607" t="s">
        <v>54</v>
      </c>
      <c r="E869" s="607" t="s">
        <v>5330</v>
      </c>
      <c r="F869" s="756">
        <v>16926.39</v>
      </c>
      <c r="G869" s="403"/>
      <c r="H869" s="349" t="s">
        <v>5321</v>
      </c>
      <c r="I869" s="866" t="str">
        <f t="shared" si="12"/>
        <v>NOT PAID</v>
      </c>
      <c r="J869" s="402"/>
      <c r="K869" s="402"/>
      <c r="L869" s="402"/>
      <c r="M869" s="402"/>
      <c r="N869" s="402"/>
      <c r="O869" s="402"/>
      <c r="P869" s="402"/>
      <c r="Q869" s="402"/>
      <c r="R869" s="402"/>
      <c r="S869" s="402"/>
      <c r="T869" s="402"/>
      <c r="U869" s="402"/>
      <c r="V869" s="402"/>
      <c r="W869" s="402"/>
      <c r="X869" s="402"/>
      <c r="Y869" s="402"/>
      <c r="Z869" s="402"/>
    </row>
    <row r="870" ht="14.25" customHeight="1">
      <c r="A870" s="406">
        <v>45520.0</v>
      </c>
      <c r="B870" s="764" t="s">
        <v>4815</v>
      </c>
      <c r="C870" s="764" t="s">
        <v>4859</v>
      </c>
      <c r="D870" s="607" t="s">
        <v>54</v>
      </c>
      <c r="E870" s="607" t="s">
        <v>4887</v>
      </c>
      <c r="F870" s="756">
        <v>31659.45</v>
      </c>
      <c r="G870" s="403"/>
      <c r="H870" s="349" t="s">
        <v>5329</v>
      </c>
      <c r="I870" s="866" t="str">
        <f t="shared" si="12"/>
        <v>NOT PAID</v>
      </c>
      <c r="J870" s="402"/>
      <c r="K870" s="402"/>
      <c r="L870" s="402"/>
      <c r="M870" s="402"/>
      <c r="N870" s="402"/>
      <c r="O870" s="402"/>
      <c r="P870" s="402"/>
      <c r="Q870" s="402"/>
      <c r="R870" s="402"/>
      <c r="S870" s="402"/>
      <c r="T870" s="402"/>
      <c r="U870" s="402"/>
      <c r="V870" s="402"/>
      <c r="W870" s="402"/>
      <c r="X870" s="402"/>
      <c r="Y870" s="402"/>
      <c r="Z870" s="402"/>
    </row>
    <row r="871" ht="14.25" customHeight="1">
      <c r="A871" s="406">
        <v>45520.0</v>
      </c>
      <c r="B871" s="764" t="s">
        <v>4983</v>
      </c>
      <c r="C871" s="764" t="s">
        <v>4860</v>
      </c>
      <c r="D871" s="607" t="s">
        <v>54</v>
      </c>
      <c r="E871" s="607" t="s">
        <v>5248</v>
      </c>
      <c r="F871" s="756">
        <v>10444.99</v>
      </c>
      <c r="G871" s="403"/>
      <c r="H871" s="349" t="s">
        <v>5323</v>
      </c>
      <c r="I871" s="866" t="str">
        <f t="shared" si="12"/>
        <v>NOT PAID</v>
      </c>
      <c r="J871" s="402"/>
      <c r="K871" s="402"/>
      <c r="L871" s="402"/>
      <c r="M871" s="402"/>
      <c r="N871" s="402"/>
      <c r="O871" s="402"/>
      <c r="P871" s="402"/>
      <c r="Q871" s="402"/>
      <c r="R871" s="402"/>
      <c r="S871" s="402"/>
      <c r="T871" s="402"/>
      <c r="U871" s="402"/>
      <c r="V871" s="402"/>
      <c r="W871" s="402"/>
      <c r="X871" s="402"/>
      <c r="Y871" s="402"/>
      <c r="Z871" s="402"/>
    </row>
    <row r="872" ht="14.25" customHeight="1">
      <c r="A872" s="406">
        <v>45520.0</v>
      </c>
      <c r="B872" s="764" t="s">
        <v>4830</v>
      </c>
      <c r="C872" s="764" t="s">
        <v>4927</v>
      </c>
      <c r="D872" s="607" t="s">
        <v>54</v>
      </c>
      <c r="E872" s="607" t="s">
        <v>578</v>
      </c>
      <c r="F872" s="756">
        <v>214172.83</v>
      </c>
      <c r="G872" s="403"/>
      <c r="H872" s="349" t="s">
        <v>5331</v>
      </c>
      <c r="I872" s="866" t="str">
        <f t="shared" si="12"/>
        <v>NOT PAID</v>
      </c>
      <c r="J872" s="402"/>
      <c r="K872" s="402"/>
      <c r="L872" s="402"/>
      <c r="M872" s="402"/>
      <c r="N872" s="402"/>
      <c r="O872" s="402"/>
      <c r="P872" s="402"/>
      <c r="Q872" s="402"/>
      <c r="R872" s="402"/>
      <c r="S872" s="402"/>
      <c r="T872" s="402"/>
      <c r="U872" s="402"/>
      <c r="V872" s="402"/>
      <c r="W872" s="402"/>
      <c r="X872" s="402"/>
      <c r="Y872" s="402"/>
      <c r="Z872" s="402"/>
    </row>
    <row r="873" ht="14.25" customHeight="1">
      <c r="A873" s="406">
        <v>45520.0</v>
      </c>
      <c r="B873" s="764" t="s">
        <v>4795</v>
      </c>
      <c r="C873" s="764" t="s">
        <v>5012</v>
      </c>
      <c r="D873" s="607" t="s">
        <v>54</v>
      </c>
      <c r="E873" s="607" t="s">
        <v>4887</v>
      </c>
      <c r="F873" s="756">
        <v>48336.65</v>
      </c>
      <c r="G873" s="403"/>
      <c r="H873" s="349" t="s">
        <v>5332</v>
      </c>
      <c r="I873" s="866" t="str">
        <f t="shared" si="12"/>
        <v>NOT PAID</v>
      </c>
      <c r="J873" s="402"/>
      <c r="K873" s="402"/>
      <c r="L873" s="402"/>
      <c r="M873" s="402"/>
      <c r="N873" s="402"/>
      <c r="O873" s="402"/>
      <c r="P873" s="402"/>
      <c r="Q873" s="402"/>
      <c r="R873" s="402"/>
      <c r="S873" s="402"/>
      <c r="T873" s="402"/>
      <c r="U873" s="402"/>
      <c r="V873" s="402"/>
      <c r="W873" s="402"/>
      <c r="X873" s="402"/>
      <c r="Y873" s="402"/>
      <c r="Z873" s="402"/>
    </row>
    <row r="874" ht="14.25" customHeight="1">
      <c r="A874" s="406">
        <v>45520.0</v>
      </c>
      <c r="B874" s="764" t="s">
        <v>5297</v>
      </c>
      <c r="C874" s="764" t="s">
        <v>5298</v>
      </c>
      <c r="D874" s="607" t="s">
        <v>54</v>
      </c>
      <c r="E874" s="689" t="s">
        <v>5245</v>
      </c>
      <c r="F874" s="756">
        <v>41200.56</v>
      </c>
      <c r="G874" s="413">
        <v>58100.0</v>
      </c>
      <c r="H874" s="349" t="s">
        <v>5333</v>
      </c>
      <c r="I874" s="866" t="str">
        <f t="shared" si="12"/>
        <v>FULLY PAID</v>
      </c>
      <c r="J874" s="402"/>
      <c r="K874" s="402"/>
      <c r="L874" s="402"/>
      <c r="M874" s="402"/>
      <c r="N874" s="402"/>
      <c r="O874" s="402"/>
      <c r="P874" s="402"/>
      <c r="Q874" s="402"/>
      <c r="R874" s="402"/>
      <c r="S874" s="402"/>
      <c r="T874" s="402"/>
      <c r="U874" s="402"/>
      <c r="V874" s="402"/>
      <c r="W874" s="402"/>
      <c r="X874" s="402"/>
      <c r="Y874" s="402"/>
      <c r="Z874" s="402"/>
    </row>
    <row r="875" ht="14.25" customHeight="1">
      <c r="A875" s="406">
        <v>45520.0</v>
      </c>
      <c r="B875" s="764" t="s">
        <v>5075</v>
      </c>
      <c r="C875" s="764" t="s">
        <v>5076</v>
      </c>
      <c r="D875" s="607" t="s">
        <v>75</v>
      </c>
      <c r="E875" s="607" t="s">
        <v>5248</v>
      </c>
      <c r="F875" s="756">
        <v>59078.25</v>
      </c>
      <c r="G875" s="403"/>
      <c r="H875" s="349" t="s">
        <v>5334</v>
      </c>
      <c r="I875" s="866" t="str">
        <f t="shared" si="12"/>
        <v>NOT PAID</v>
      </c>
      <c r="J875" s="402"/>
      <c r="K875" s="402"/>
      <c r="L875" s="402"/>
      <c r="M875" s="402"/>
      <c r="N875" s="402"/>
      <c r="O875" s="402"/>
      <c r="P875" s="402"/>
      <c r="Q875" s="402"/>
      <c r="R875" s="402"/>
      <c r="S875" s="402"/>
      <c r="T875" s="402"/>
      <c r="U875" s="402"/>
      <c r="V875" s="402"/>
      <c r="W875" s="402"/>
      <c r="X875" s="402"/>
      <c r="Y875" s="402"/>
      <c r="Z875" s="402"/>
    </row>
    <row r="876" ht="14.25" customHeight="1">
      <c r="A876" s="406">
        <v>45520.0</v>
      </c>
      <c r="B876" s="764" t="s">
        <v>5166</v>
      </c>
      <c r="C876" s="764" t="s">
        <v>5167</v>
      </c>
      <c r="D876" s="607" t="s">
        <v>75</v>
      </c>
      <c r="E876" s="607" t="s">
        <v>5248</v>
      </c>
      <c r="F876" s="756">
        <v>29300.0</v>
      </c>
      <c r="G876" s="413">
        <v>6300.0</v>
      </c>
      <c r="H876" s="349" t="s">
        <v>267</v>
      </c>
      <c r="I876" s="866" t="str">
        <f t="shared" si="12"/>
        <v>PARTIALLY PAID</v>
      </c>
      <c r="J876" s="402"/>
      <c r="K876" s="402"/>
      <c r="L876" s="402"/>
      <c r="M876" s="402"/>
      <c r="N876" s="402"/>
      <c r="O876" s="402"/>
      <c r="P876" s="402"/>
      <c r="Q876" s="402"/>
      <c r="R876" s="402"/>
      <c r="S876" s="402"/>
      <c r="T876" s="402"/>
      <c r="U876" s="402"/>
      <c r="V876" s="402"/>
      <c r="W876" s="402"/>
      <c r="X876" s="402"/>
      <c r="Y876" s="402"/>
      <c r="Z876" s="402"/>
    </row>
    <row r="877" ht="14.25" customHeight="1">
      <c r="A877" s="406">
        <v>45520.0</v>
      </c>
      <c r="B877" s="764" t="s">
        <v>5221</v>
      </c>
      <c r="C877" s="764" t="s">
        <v>5222</v>
      </c>
      <c r="D877" s="607" t="s">
        <v>75</v>
      </c>
      <c r="E877" s="607" t="s">
        <v>578</v>
      </c>
      <c r="F877" s="756">
        <v>579075.0</v>
      </c>
      <c r="G877" s="403"/>
      <c r="H877" s="349" t="s">
        <v>5335</v>
      </c>
      <c r="I877" s="866" t="str">
        <f t="shared" si="12"/>
        <v>NOT PAID</v>
      </c>
      <c r="J877" s="402"/>
      <c r="K877" s="402"/>
      <c r="L877" s="402"/>
      <c r="M877" s="402"/>
      <c r="N877" s="402"/>
      <c r="O877" s="402"/>
      <c r="P877" s="402"/>
      <c r="Q877" s="402"/>
      <c r="R877" s="402"/>
      <c r="S877" s="402"/>
      <c r="T877" s="402"/>
      <c r="U877" s="402"/>
      <c r="V877" s="402"/>
      <c r="W877" s="402"/>
      <c r="X877" s="402"/>
      <c r="Y877" s="402"/>
      <c r="Z877" s="402"/>
    </row>
    <row r="878" ht="14.25" customHeight="1">
      <c r="A878" s="406"/>
      <c r="B878" s="764"/>
      <c r="C878" s="424" t="s">
        <v>797</v>
      </c>
      <c r="D878" s="607"/>
      <c r="E878" s="868"/>
      <c r="F878" s="756"/>
      <c r="G878" s="403"/>
      <c r="H878" s="402"/>
      <c r="I878" s="866" t="str">
        <f t="shared" si="12"/>
        <v>FULLY PAID</v>
      </c>
      <c r="J878" s="402"/>
      <c r="K878" s="402"/>
      <c r="L878" s="402"/>
      <c r="M878" s="402"/>
      <c r="N878" s="402"/>
      <c r="O878" s="402"/>
      <c r="P878" s="402"/>
      <c r="Q878" s="402"/>
      <c r="R878" s="402"/>
      <c r="S878" s="402"/>
      <c r="T878" s="402"/>
      <c r="U878" s="402"/>
      <c r="V878" s="402"/>
      <c r="W878" s="402"/>
      <c r="X878" s="402"/>
      <c r="Y878" s="402"/>
      <c r="Z878" s="402"/>
    </row>
    <row r="879" ht="14.25" customHeight="1">
      <c r="A879" s="406">
        <v>45520.0</v>
      </c>
      <c r="B879" s="976" t="s">
        <v>4833</v>
      </c>
      <c r="C879" s="509" t="s">
        <v>4910</v>
      </c>
      <c r="D879" s="977" t="s">
        <v>54</v>
      </c>
      <c r="E879" s="607" t="s">
        <v>578</v>
      </c>
      <c r="F879" s="812">
        <v>247311.0</v>
      </c>
      <c r="G879" s="403"/>
      <c r="H879" s="349" t="s">
        <v>5336</v>
      </c>
      <c r="I879" s="866" t="str">
        <f t="shared" si="12"/>
        <v>NOT PAID</v>
      </c>
      <c r="J879" s="402"/>
      <c r="K879" s="402"/>
      <c r="L879" s="402"/>
      <c r="M879" s="402"/>
      <c r="N879" s="402"/>
      <c r="O879" s="402"/>
      <c r="P879" s="402"/>
      <c r="Q879" s="402"/>
      <c r="R879" s="402"/>
      <c r="S879" s="402"/>
      <c r="T879" s="402"/>
      <c r="U879" s="402"/>
      <c r="V879" s="402"/>
      <c r="W879" s="402"/>
      <c r="X879" s="402"/>
      <c r="Y879" s="402"/>
      <c r="Z879" s="402"/>
    </row>
    <row r="880" ht="14.25" customHeight="1">
      <c r="A880" s="406">
        <v>45520.0</v>
      </c>
      <c r="B880" s="976" t="s">
        <v>5070</v>
      </c>
      <c r="C880" s="509" t="s">
        <v>4859</v>
      </c>
      <c r="D880" s="407" t="s">
        <v>75</v>
      </c>
      <c r="E880" s="689" t="s">
        <v>578</v>
      </c>
      <c r="F880" s="812">
        <v>1737025.0</v>
      </c>
      <c r="G880" s="403"/>
      <c r="H880" s="349" t="s">
        <v>5337</v>
      </c>
      <c r="I880" s="866" t="str">
        <f t="shared" si="12"/>
        <v>NOT PAID</v>
      </c>
      <c r="J880" s="402"/>
      <c r="K880" s="402"/>
      <c r="L880" s="402"/>
      <c r="M880" s="402"/>
      <c r="N880" s="402"/>
      <c r="O880" s="402"/>
      <c r="P880" s="402"/>
      <c r="Q880" s="402"/>
      <c r="R880" s="402"/>
      <c r="S880" s="402"/>
      <c r="T880" s="402"/>
      <c r="U880" s="402"/>
      <c r="V880" s="402"/>
      <c r="W880" s="402"/>
      <c r="X880" s="402"/>
      <c r="Y880" s="402"/>
      <c r="Z880" s="402"/>
    </row>
    <row r="881" ht="14.25" customHeight="1">
      <c r="A881" s="406">
        <v>45520.0</v>
      </c>
      <c r="B881" s="955" t="s">
        <v>4919</v>
      </c>
      <c r="C881" s="407" t="s">
        <v>4945</v>
      </c>
      <c r="D881" s="407" t="s">
        <v>75</v>
      </c>
      <c r="E881" s="689" t="s">
        <v>578</v>
      </c>
      <c r="F881" s="978">
        <v>306751.35</v>
      </c>
      <c r="G881" s="403"/>
      <c r="H881" s="349" t="s">
        <v>5338</v>
      </c>
      <c r="I881" s="866" t="str">
        <f t="shared" si="12"/>
        <v>NOT PAID</v>
      </c>
      <c r="J881" s="402"/>
      <c r="K881" s="402"/>
      <c r="L881" s="402"/>
      <c r="M881" s="402"/>
      <c r="N881" s="402"/>
      <c r="O881" s="402"/>
      <c r="P881" s="402"/>
      <c r="Q881" s="402"/>
      <c r="R881" s="402"/>
      <c r="S881" s="402"/>
      <c r="T881" s="402"/>
      <c r="U881" s="402"/>
      <c r="V881" s="402"/>
      <c r="W881" s="402"/>
      <c r="X881" s="402"/>
      <c r="Y881" s="402"/>
      <c r="Z881" s="402"/>
    </row>
    <row r="882" ht="14.25" customHeight="1">
      <c r="A882" s="406">
        <v>45520.0</v>
      </c>
      <c r="B882" s="976" t="s">
        <v>4816</v>
      </c>
      <c r="C882" s="509" t="s">
        <v>5015</v>
      </c>
      <c r="D882" s="977" t="s">
        <v>54</v>
      </c>
      <c r="E882" s="689" t="s">
        <v>578</v>
      </c>
      <c r="F882" s="812">
        <v>6203.0</v>
      </c>
      <c r="G882" s="403"/>
      <c r="H882" s="349" t="s">
        <v>5339</v>
      </c>
      <c r="I882" s="866" t="str">
        <f t="shared" si="12"/>
        <v>NOT PAID</v>
      </c>
      <c r="J882" s="402"/>
      <c r="K882" s="402"/>
      <c r="L882" s="402"/>
      <c r="M882" s="402"/>
      <c r="N882" s="402"/>
      <c r="O882" s="402"/>
      <c r="P882" s="402"/>
      <c r="Q882" s="402"/>
      <c r="R882" s="402"/>
      <c r="S882" s="402"/>
      <c r="T882" s="402"/>
      <c r="U882" s="402"/>
      <c r="V882" s="402"/>
      <c r="W882" s="402"/>
      <c r="X882" s="402"/>
      <c r="Y882" s="402"/>
      <c r="Z882" s="402"/>
    </row>
    <row r="883" ht="14.25" customHeight="1">
      <c r="A883" s="406">
        <v>45520.0</v>
      </c>
      <c r="B883" s="976" t="s">
        <v>4767</v>
      </c>
      <c r="C883" s="509" t="s">
        <v>4861</v>
      </c>
      <c r="D883" s="977" t="s">
        <v>59</v>
      </c>
      <c r="E883" s="689" t="s">
        <v>578</v>
      </c>
      <c r="F883" s="979">
        <v>147000.0</v>
      </c>
      <c r="G883" s="403"/>
      <c r="H883" s="349" t="s">
        <v>5340</v>
      </c>
      <c r="I883" s="866" t="str">
        <f t="shared" si="12"/>
        <v>NOT PAID</v>
      </c>
      <c r="J883" s="402"/>
      <c r="K883" s="402"/>
      <c r="L883" s="402"/>
      <c r="M883" s="402"/>
      <c r="N883" s="402"/>
      <c r="O883" s="402"/>
      <c r="P883" s="402"/>
      <c r="Q883" s="402"/>
      <c r="R883" s="402"/>
      <c r="S883" s="402"/>
      <c r="T883" s="402"/>
      <c r="U883" s="402"/>
      <c r="V883" s="402"/>
      <c r="W883" s="402"/>
      <c r="X883" s="402"/>
      <c r="Y883" s="402"/>
      <c r="Z883" s="402"/>
    </row>
    <row r="884" ht="14.25" customHeight="1">
      <c r="A884" s="406">
        <v>45520.0</v>
      </c>
      <c r="B884" s="976" t="s">
        <v>4547</v>
      </c>
      <c r="C884" s="509" t="s">
        <v>4548</v>
      </c>
      <c r="D884" s="607" t="s">
        <v>59</v>
      </c>
      <c r="E884" s="68" t="s">
        <v>273</v>
      </c>
      <c r="F884" s="756">
        <v>617498.61</v>
      </c>
      <c r="G884" s="413">
        <v>100000.0</v>
      </c>
      <c r="H884" s="349" t="s">
        <v>5341</v>
      </c>
      <c r="I884" s="866" t="str">
        <f t="shared" si="12"/>
        <v>PARTIALLY PAID</v>
      </c>
      <c r="J884" s="402"/>
      <c r="K884" s="402"/>
      <c r="L884" s="402"/>
      <c r="M884" s="402"/>
      <c r="N884" s="402"/>
      <c r="O884" s="402"/>
      <c r="P884" s="402"/>
      <c r="Q884" s="402"/>
      <c r="R884" s="402"/>
      <c r="S884" s="402"/>
      <c r="T884" s="402"/>
      <c r="U884" s="402"/>
      <c r="V884" s="402"/>
      <c r="W884" s="402"/>
      <c r="X884" s="402"/>
      <c r="Y884" s="402"/>
      <c r="Z884" s="402"/>
    </row>
    <row r="885" ht="14.25" customHeight="1">
      <c r="A885" s="697"/>
      <c r="B885" s="863"/>
      <c r="C885" s="863"/>
      <c r="D885" s="867"/>
      <c r="E885" s="868"/>
      <c r="F885" s="865"/>
      <c r="G885" s="403"/>
      <c r="H885" s="402"/>
      <c r="I885" s="866" t="str">
        <f t="shared" si="12"/>
        <v>FULLY PAID</v>
      </c>
      <c r="J885" s="402"/>
      <c r="K885" s="402"/>
      <c r="L885" s="402"/>
      <c r="M885" s="402"/>
      <c r="N885" s="402"/>
      <c r="O885" s="402"/>
      <c r="P885" s="402"/>
      <c r="Q885" s="402"/>
      <c r="R885" s="402"/>
      <c r="S885" s="402"/>
      <c r="T885" s="402"/>
      <c r="U885" s="402"/>
      <c r="V885" s="402"/>
      <c r="W885" s="402"/>
      <c r="X885" s="402"/>
      <c r="Y885" s="402"/>
      <c r="Z885" s="402"/>
    </row>
    <row r="886" ht="14.25" customHeight="1">
      <c r="A886" s="697"/>
      <c r="B886" s="863"/>
      <c r="C886" s="863"/>
      <c r="D886" s="867"/>
      <c r="E886" s="868"/>
      <c r="F886" s="865"/>
      <c r="G886" s="403"/>
      <c r="H886" s="402"/>
      <c r="I886" s="866" t="str">
        <f t="shared" si="12"/>
        <v>FULLY PAID</v>
      </c>
      <c r="J886" s="402"/>
      <c r="K886" s="402"/>
      <c r="L886" s="402"/>
      <c r="M886" s="402"/>
      <c r="N886" s="402"/>
      <c r="O886" s="402"/>
      <c r="P886" s="402"/>
      <c r="Q886" s="402"/>
      <c r="R886" s="402"/>
      <c r="S886" s="402"/>
      <c r="T886" s="402"/>
      <c r="U886" s="402"/>
      <c r="V886" s="402"/>
      <c r="W886" s="402"/>
      <c r="X886" s="402"/>
      <c r="Y886" s="402"/>
      <c r="Z886" s="402"/>
    </row>
    <row r="887" ht="14.25" customHeight="1">
      <c r="A887" s="697"/>
      <c r="B887" s="863"/>
      <c r="C887" s="863"/>
      <c r="D887" s="867"/>
      <c r="E887" s="868"/>
      <c r="F887" s="865"/>
      <c r="G887" s="403"/>
      <c r="H887" s="402"/>
      <c r="I887" s="866" t="str">
        <f t="shared" si="12"/>
        <v>FULLY PAID</v>
      </c>
      <c r="J887" s="402"/>
      <c r="K887" s="402"/>
      <c r="L887" s="402"/>
      <c r="M887" s="402"/>
      <c r="N887" s="402"/>
      <c r="O887" s="402"/>
      <c r="P887" s="402"/>
      <c r="Q887" s="402"/>
      <c r="R887" s="402"/>
      <c r="S887" s="402"/>
      <c r="T887" s="402"/>
      <c r="U887" s="402"/>
      <c r="V887" s="402"/>
      <c r="W887" s="402"/>
      <c r="X887" s="402"/>
      <c r="Y887" s="402"/>
      <c r="Z887" s="402"/>
    </row>
    <row r="888" ht="14.25" customHeight="1">
      <c r="A888" s="584" t="s">
        <v>2130</v>
      </c>
      <c r="B888" s="877" t="s">
        <v>39</v>
      </c>
      <c r="C888" s="584" t="s">
        <v>48</v>
      </c>
      <c r="D888" s="584" t="s">
        <v>49</v>
      </c>
      <c r="E888" s="862" t="s">
        <v>50</v>
      </c>
      <c r="F888" s="585" t="s">
        <v>2</v>
      </c>
      <c r="G888" s="584" t="s">
        <v>44</v>
      </c>
      <c r="H888" s="584" t="s">
        <v>45</v>
      </c>
      <c r="I888" s="866" t="str">
        <f t="shared" si="12"/>
        <v>FULLY PAID</v>
      </c>
      <c r="J888" s="402"/>
      <c r="K888" s="402"/>
      <c r="L888" s="402"/>
      <c r="M888" s="402"/>
      <c r="N888" s="402"/>
      <c r="O888" s="402"/>
      <c r="P888" s="402"/>
      <c r="Q888" s="402"/>
      <c r="R888" s="402"/>
      <c r="S888" s="402"/>
      <c r="T888" s="402"/>
      <c r="U888" s="402"/>
      <c r="V888" s="402"/>
      <c r="W888" s="402"/>
      <c r="X888" s="402"/>
      <c r="Y888" s="402"/>
      <c r="Z888" s="402"/>
    </row>
    <row r="889" ht="14.25" customHeight="1">
      <c r="A889" s="697">
        <v>45521.0</v>
      </c>
      <c r="B889" s="883" t="s">
        <v>5342</v>
      </c>
      <c r="C889" s="883" t="s">
        <v>5343</v>
      </c>
      <c r="D889" s="883" t="s">
        <v>54</v>
      </c>
      <c r="E889" s="607" t="s">
        <v>5248</v>
      </c>
      <c r="F889" s="881">
        <v>70950.81</v>
      </c>
      <c r="G889" s="403"/>
      <c r="H889" s="402"/>
      <c r="I889" s="866" t="str">
        <f t="shared" si="12"/>
        <v>NOT PAID</v>
      </c>
      <c r="J889" s="402"/>
      <c r="K889" s="402"/>
      <c r="L889" s="402"/>
      <c r="M889" s="402"/>
      <c r="N889" s="402"/>
      <c r="O889" s="402"/>
      <c r="P889" s="402"/>
      <c r="Q889" s="402"/>
      <c r="R889" s="402"/>
      <c r="S889" s="402"/>
      <c r="T889" s="402"/>
      <c r="U889" s="402"/>
      <c r="V889" s="402"/>
      <c r="W889" s="402"/>
      <c r="X889" s="402"/>
      <c r="Y889" s="402"/>
      <c r="Z889" s="402"/>
    </row>
    <row r="890" ht="14.25" customHeight="1">
      <c r="A890" s="697">
        <v>45521.0</v>
      </c>
      <c r="B890" s="883" t="s">
        <v>5344</v>
      </c>
      <c r="C890" s="883" t="s">
        <v>5345</v>
      </c>
      <c r="D890" s="883" t="s">
        <v>75</v>
      </c>
      <c r="E890" s="883" t="s">
        <v>4895</v>
      </c>
      <c r="F890" s="881">
        <v>115000.0</v>
      </c>
      <c r="G890" s="413">
        <v>115000.0</v>
      </c>
      <c r="H890" s="349" t="s">
        <v>267</v>
      </c>
      <c r="I890" s="866" t="str">
        <f t="shared" si="12"/>
        <v>FULLY PAID</v>
      </c>
      <c r="J890" s="402"/>
      <c r="K890" s="402"/>
      <c r="L890" s="402"/>
      <c r="M890" s="402"/>
      <c r="N890" s="402"/>
      <c r="O890" s="402"/>
      <c r="P890" s="402"/>
      <c r="Q890" s="402"/>
      <c r="R890" s="402"/>
      <c r="S890" s="402"/>
      <c r="T890" s="402"/>
      <c r="U890" s="402"/>
      <c r="V890" s="402"/>
      <c r="W890" s="402"/>
      <c r="X890" s="402"/>
      <c r="Y890" s="402"/>
      <c r="Z890" s="402"/>
    </row>
    <row r="891" ht="14.25" customHeight="1">
      <c r="A891" s="697">
        <v>45521.0</v>
      </c>
      <c r="B891" s="607" t="s">
        <v>5312</v>
      </c>
      <c r="C891" s="607" t="s">
        <v>5030</v>
      </c>
      <c r="D891" s="607" t="s">
        <v>54</v>
      </c>
      <c r="E891" s="607" t="s">
        <v>5248</v>
      </c>
      <c r="F891" s="756">
        <v>16756.15</v>
      </c>
      <c r="G891" s="403"/>
      <c r="H891" s="402"/>
      <c r="I891" s="866" t="str">
        <f t="shared" si="12"/>
        <v>NOT PAID</v>
      </c>
      <c r="J891" s="402"/>
      <c r="K891" s="402"/>
      <c r="L891" s="402"/>
      <c r="M891" s="402"/>
      <c r="N891" s="402"/>
      <c r="O891" s="402"/>
      <c r="P891" s="402"/>
      <c r="Q891" s="402"/>
      <c r="R891" s="402"/>
      <c r="S891" s="402"/>
      <c r="T891" s="402"/>
      <c r="U891" s="402"/>
      <c r="V891" s="402"/>
      <c r="W891" s="402"/>
      <c r="X891" s="402"/>
      <c r="Y891" s="402"/>
      <c r="Z891" s="402"/>
    </row>
    <row r="892" ht="14.25" customHeight="1">
      <c r="A892" s="697">
        <v>45521.0</v>
      </c>
      <c r="B892" s="607" t="s">
        <v>5314</v>
      </c>
      <c r="C892" s="607" t="s">
        <v>5030</v>
      </c>
      <c r="D892" s="607" t="s">
        <v>346</v>
      </c>
      <c r="E892" s="607" t="s">
        <v>5248</v>
      </c>
      <c r="F892" s="756">
        <v>12959.72</v>
      </c>
      <c r="G892" s="403"/>
      <c r="H892" s="402"/>
      <c r="I892" s="866" t="str">
        <f t="shared" si="12"/>
        <v>NOT PAID</v>
      </c>
      <c r="J892" s="402"/>
      <c r="K892" s="402"/>
      <c r="L892" s="402"/>
      <c r="M892" s="402"/>
      <c r="N892" s="402"/>
      <c r="O892" s="402"/>
      <c r="P892" s="402"/>
      <c r="Q892" s="402"/>
      <c r="R892" s="402"/>
      <c r="S892" s="402"/>
      <c r="T892" s="402"/>
      <c r="U892" s="402"/>
      <c r="V892" s="402"/>
      <c r="W892" s="402"/>
      <c r="X892" s="402"/>
      <c r="Y892" s="402"/>
      <c r="Z892" s="402"/>
    </row>
    <row r="893" ht="14.25" customHeight="1">
      <c r="A893" s="697">
        <v>45521.0</v>
      </c>
      <c r="B893" s="607" t="s">
        <v>5316</v>
      </c>
      <c r="C893" s="607" t="s">
        <v>4975</v>
      </c>
      <c r="D893" s="607" t="s">
        <v>75</v>
      </c>
      <c r="E893" s="607" t="s">
        <v>5248</v>
      </c>
      <c r="F893" s="756">
        <v>57500.0</v>
      </c>
      <c r="G893" s="403"/>
      <c r="H893" s="402"/>
      <c r="I893" s="866" t="str">
        <f t="shared" si="12"/>
        <v>NOT PAID</v>
      </c>
      <c r="J893" s="402"/>
      <c r="K893" s="402"/>
      <c r="L893" s="402"/>
      <c r="M893" s="402"/>
      <c r="N893" s="402"/>
      <c r="O893" s="402"/>
      <c r="P893" s="402"/>
      <c r="Q893" s="402"/>
      <c r="R893" s="402"/>
      <c r="S893" s="402"/>
      <c r="T893" s="402"/>
      <c r="U893" s="402"/>
      <c r="V893" s="402"/>
      <c r="W893" s="402"/>
      <c r="X893" s="402"/>
      <c r="Y893" s="402"/>
      <c r="Z893" s="402"/>
    </row>
    <row r="894" ht="14.25" customHeight="1">
      <c r="A894" s="697">
        <v>45521.0</v>
      </c>
      <c r="B894" s="607" t="s">
        <v>5318</v>
      </c>
      <c r="C894" s="607" t="s">
        <v>5319</v>
      </c>
      <c r="D894" s="607" t="s">
        <v>75</v>
      </c>
      <c r="E894" s="68" t="s">
        <v>578</v>
      </c>
      <c r="F894" s="756">
        <v>345000.0</v>
      </c>
      <c r="G894" s="403"/>
      <c r="H894" s="402"/>
      <c r="I894" s="866" t="str">
        <f t="shared" si="12"/>
        <v>NOT PAID</v>
      </c>
      <c r="J894" s="402"/>
      <c r="K894" s="402"/>
      <c r="L894" s="402"/>
      <c r="M894" s="402"/>
      <c r="N894" s="402"/>
      <c r="O894" s="402"/>
      <c r="P894" s="402"/>
      <c r="Q894" s="402"/>
      <c r="R894" s="402"/>
      <c r="S894" s="402"/>
      <c r="T894" s="402"/>
      <c r="U894" s="402"/>
      <c r="V894" s="402"/>
      <c r="W894" s="402"/>
      <c r="X894" s="402"/>
      <c r="Y894" s="402"/>
      <c r="Z894" s="402"/>
    </row>
    <row r="895" ht="14.25" customHeight="1">
      <c r="A895" s="697">
        <v>45521.0</v>
      </c>
      <c r="B895" s="764" t="s">
        <v>5127</v>
      </c>
      <c r="C895" s="764" t="s">
        <v>5170</v>
      </c>
      <c r="D895" s="607" t="s">
        <v>54</v>
      </c>
      <c r="E895" s="607" t="s">
        <v>4887</v>
      </c>
      <c r="F895" s="756">
        <v>34201.04</v>
      </c>
      <c r="G895" s="403"/>
      <c r="H895" s="402"/>
      <c r="I895" s="866" t="str">
        <f t="shared" si="12"/>
        <v>NOT PAID</v>
      </c>
      <c r="J895" s="402"/>
      <c r="K895" s="402"/>
      <c r="L895" s="402"/>
      <c r="M895" s="402"/>
      <c r="N895" s="402"/>
      <c r="O895" s="402"/>
      <c r="P895" s="402"/>
      <c r="Q895" s="402"/>
      <c r="R895" s="402"/>
      <c r="S895" s="402"/>
      <c r="T895" s="402"/>
      <c r="U895" s="402"/>
      <c r="V895" s="402"/>
      <c r="W895" s="402"/>
      <c r="X895" s="402"/>
      <c r="Y895" s="402"/>
      <c r="Z895" s="402"/>
    </row>
    <row r="896" ht="14.25" customHeight="1">
      <c r="A896" s="697">
        <v>45521.0</v>
      </c>
      <c r="B896" s="901" t="s">
        <v>4942</v>
      </c>
      <c r="C896" s="545" t="s">
        <v>4943</v>
      </c>
      <c r="D896" s="906" t="s">
        <v>75</v>
      </c>
      <c r="E896" s="903" t="s">
        <v>4895</v>
      </c>
      <c r="F896" s="756">
        <v>2000.0</v>
      </c>
      <c r="G896" s="413">
        <v>250.0</v>
      </c>
      <c r="H896" s="402"/>
      <c r="I896" s="866" t="str">
        <f t="shared" si="12"/>
        <v>PARTIALLY PAID</v>
      </c>
      <c r="J896" s="402"/>
      <c r="K896" s="402"/>
      <c r="L896" s="402"/>
      <c r="M896" s="402"/>
      <c r="N896" s="402"/>
      <c r="O896" s="402"/>
      <c r="P896" s="402"/>
      <c r="Q896" s="402"/>
      <c r="R896" s="402"/>
      <c r="S896" s="402"/>
      <c r="T896" s="402"/>
      <c r="U896" s="402"/>
      <c r="V896" s="402"/>
      <c r="W896" s="402"/>
      <c r="X896" s="402"/>
      <c r="Y896" s="402"/>
      <c r="Z896" s="402"/>
    </row>
    <row r="897" ht="14.25" customHeight="1">
      <c r="A897" s="697">
        <v>45521.0</v>
      </c>
      <c r="B897" s="764" t="s">
        <v>5198</v>
      </c>
      <c r="C897" s="764" t="s">
        <v>5199</v>
      </c>
      <c r="D897" s="607" t="s">
        <v>54</v>
      </c>
      <c r="E897" s="607" t="s">
        <v>578</v>
      </c>
      <c r="F897" s="756">
        <v>35966.87</v>
      </c>
      <c r="G897" s="403"/>
      <c r="H897" s="402"/>
      <c r="I897" s="866" t="str">
        <f t="shared" si="12"/>
        <v>NOT PAID</v>
      </c>
      <c r="J897" s="402"/>
      <c r="K897" s="402"/>
      <c r="L897" s="402"/>
      <c r="M897" s="402"/>
      <c r="N897" s="402"/>
      <c r="O897" s="402"/>
      <c r="P897" s="402"/>
      <c r="Q897" s="402"/>
      <c r="R897" s="402"/>
      <c r="S897" s="402"/>
      <c r="T897" s="402"/>
      <c r="U897" s="402"/>
      <c r="V897" s="402"/>
      <c r="W897" s="402"/>
      <c r="X897" s="402"/>
      <c r="Y897" s="402"/>
      <c r="Z897" s="402"/>
    </row>
    <row r="898" ht="14.25" customHeight="1">
      <c r="A898" s="697">
        <v>45521.0</v>
      </c>
      <c r="B898" s="863" t="s">
        <v>4770</v>
      </c>
      <c r="C898" s="863" t="s">
        <v>2529</v>
      </c>
      <c r="D898" s="867" t="s">
        <v>263</v>
      </c>
      <c r="E898" s="689" t="s">
        <v>5249</v>
      </c>
      <c r="F898" s="756">
        <v>10000.0</v>
      </c>
      <c r="G898" s="413"/>
      <c r="H898" s="402"/>
      <c r="I898" s="866" t="str">
        <f t="shared" si="12"/>
        <v>NOT PAID</v>
      </c>
      <c r="J898" s="402"/>
      <c r="K898" s="402"/>
      <c r="L898" s="402"/>
      <c r="M898" s="402"/>
      <c r="N898" s="402"/>
      <c r="O898" s="402"/>
      <c r="P898" s="402"/>
      <c r="Q898" s="402"/>
      <c r="R898" s="402"/>
      <c r="S898" s="402"/>
      <c r="T898" s="402"/>
      <c r="U898" s="402"/>
      <c r="V898" s="402"/>
      <c r="W898" s="402"/>
      <c r="X898" s="402"/>
      <c r="Y898" s="402"/>
      <c r="Z898" s="402"/>
    </row>
    <row r="899" ht="14.25" customHeight="1">
      <c r="A899" s="697">
        <v>45521.0</v>
      </c>
      <c r="B899" s="764" t="s">
        <v>4900</v>
      </c>
      <c r="C899" s="764" t="s">
        <v>4901</v>
      </c>
      <c r="D899" s="607" t="s">
        <v>54</v>
      </c>
      <c r="E899" s="607" t="s">
        <v>4887</v>
      </c>
      <c r="F899" s="756">
        <v>8355.89</v>
      </c>
      <c r="G899" s="403"/>
      <c r="H899" s="402"/>
      <c r="I899" s="866" t="str">
        <f t="shared" si="12"/>
        <v>NOT PAID</v>
      </c>
      <c r="J899" s="402"/>
      <c r="K899" s="402"/>
      <c r="L899" s="402"/>
      <c r="M899" s="402"/>
      <c r="N899" s="402"/>
      <c r="O899" s="402"/>
      <c r="P899" s="402"/>
      <c r="Q899" s="402"/>
      <c r="R899" s="402"/>
      <c r="S899" s="402"/>
      <c r="T899" s="402"/>
      <c r="U899" s="402"/>
      <c r="V899" s="402"/>
      <c r="W899" s="402"/>
      <c r="X899" s="402"/>
      <c r="Y899" s="402"/>
      <c r="Z899" s="402"/>
    </row>
    <row r="900" ht="14.25" customHeight="1">
      <c r="A900" s="697">
        <v>45521.0</v>
      </c>
      <c r="B900" s="764" t="s">
        <v>5257</v>
      </c>
      <c r="C900" s="764" t="s">
        <v>5048</v>
      </c>
      <c r="D900" s="607" t="s">
        <v>54</v>
      </c>
      <c r="E900" s="607" t="s">
        <v>578</v>
      </c>
      <c r="F900" s="980">
        <v>9834.48</v>
      </c>
      <c r="G900" s="403"/>
      <c r="H900" s="402"/>
      <c r="I900" s="866" t="str">
        <f t="shared" si="12"/>
        <v>NOT PAID</v>
      </c>
      <c r="J900" s="402"/>
      <c r="K900" s="402"/>
      <c r="L900" s="402"/>
      <c r="M900" s="402"/>
      <c r="N900" s="402"/>
      <c r="O900" s="402"/>
      <c r="P900" s="402"/>
      <c r="Q900" s="402"/>
      <c r="R900" s="402"/>
      <c r="S900" s="402"/>
      <c r="T900" s="402"/>
      <c r="U900" s="402"/>
      <c r="V900" s="402"/>
      <c r="W900" s="402"/>
      <c r="X900" s="402"/>
      <c r="Y900" s="402"/>
      <c r="Z900" s="402"/>
    </row>
    <row r="901" ht="14.25" customHeight="1">
      <c r="A901" s="697">
        <v>45521.0</v>
      </c>
      <c r="B901" s="764" t="s">
        <v>4977</v>
      </c>
      <c r="C901" s="764" t="s">
        <v>4978</v>
      </c>
      <c r="D901" s="607" t="s">
        <v>54</v>
      </c>
      <c r="E901" s="607" t="s">
        <v>4887</v>
      </c>
      <c r="F901" s="756">
        <v>892.65</v>
      </c>
      <c r="G901" s="403"/>
      <c r="H901" s="402"/>
      <c r="I901" s="866" t="str">
        <f t="shared" si="12"/>
        <v>NOT PAID</v>
      </c>
      <c r="J901" s="402"/>
      <c r="K901" s="402"/>
      <c r="L901" s="402"/>
      <c r="M901" s="402"/>
      <c r="N901" s="402"/>
      <c r="O901" s="402"/>
      <c r="P901" s="402"/>
      <c r="Q901" s="402"/>
      <c r="R901" s="402"/>
      <c r="S901" s="402"/>
      <c r="T901" s="402"/>
      <c r="U901" s="402"/>
      <c r="V901" s="402"/>
      <c r="W901" s="402"/>
      <c r="X901" s="402"/>
      <c r="Y901" s="402"/>
      <c r="Z901" s="402"/>
    </row>
    <row r="902" ht="14.25" customHeight="1">
      <c r="A902" s="697">
        <v>45521.0</v>
      </c>
      <c r="B902" s="764" t="s">
        <v>4791</v>
      </c>
      <c r="C902" s="764" t="s">
        <v>4912</v>
      </c>
      <c r="D902" s="607" t="s">
        <v>54</v>
      </c>
      <c r="E902" s="607" t="s">
        <v>578</v>
      </c>
      <c r="F902" s="756">
        <v>8991.67</v>
      </c>
      <c r="G902" s="403"/>
      <c r="H902" s="402"/>
      <c r="I902" s="866" t="str">
        <f t="shared" si="12"/>
        <v>NOT PAID</v>
      </c>
      <c r="J902" s="402"/>
      <c r="K902" s="402"/>
      <c r="L902" s="402"/>
      <c r="M902" s="402"/>
      <c r="N902" s="402"/>
      <c r="O902" s="402"/>
      <c r="P902" s="402"/>
      <c r="Q902" s="402"/>
      <c r="R902" s="402"/>
      <c r="S902" s="402"/>
      <c r="T902" s="402"/>
      <c r="U902" s="402"/>
      <c r="V902" s="402"/>
      <c r="W902" s="402"/>
      <c r="X902" s="402"/>
      <c r="Y902" s="402"/>
      <c r="Z902" s="402"/>
    </row>
    <row r="903" ht="14.25" customHeight="1">
      <c r="A903" s="697">
        <v>45521.0</v>
      </c>
      <c r="B903" s="764" t="s">
        <v>4811</v>
      </c>
      <c r="C903" s="764" t="s">
        <v>4859</v>
      </c>
      <c r="D903" s="607" t="s">
        <v>54</v>
      </c>
      <c r="E903" s="607" t="s">
        <v>4887</v>
      </c>
      <c r="F903" s="756">
        <v>8085.55</v>
      </c>
      <c r="G903" s="403"/>
      <c r="H903" s="402"/>
      <c r="I903" s="866" t="str">
        <f t="shared" si="12"/>
        <v>NOT PAID</v>
      </c>
      <c r="J903" s="402"/>
      <c r="K903" s="402"/>
      <c r="L903" s="402"/>
      <c r="M903" s="402"/>
      <c r="N903" s="402"/>
      <c r="O903" s="402"/>
      <c r="P903" s="402"/>
      <c r="Q903" s="402"/>
      <c r="R903" s="402"/>
      <c r="S903" s="402"/>
      <c r="T903" s="402"/>
      <c r="U903" s="402"/>
      <c r="V903" s="402"/>
      <c r="W903" s="402"/>
      <c r="X903" s="402"/>
      <c r="Y903" s="402"/>
      <c r="Z903" s="402"/>
    </row>
    <row r="904" ht="14.25" customHeight="1">
      <c r="A904" s="697">
        <v>45521.0</v>
      </c>
      <c r="B904" s="764" t="s">
        <v>4793</v>
      </c>
      <c r="C904" s="764" t="s">
        <v>4891</v>
      </c>
      <c r="D904" s="607" t="s">
        <v>54</v>
      </c>
      <c r="E904" s="607" t="s">
        <v>5330</v>
      </c>
      <c r="F904" s="756">
        <v>16926.39</v>
      </c>
      <c r="G904" s="403"/>
      <c r="H904" s="402"/>
      <c r="I904" s="866" t="str">
        <f t="shared" si="12"/>
        <v>NOT PAID</v>
      </c>
      <c r="J904" s="402"/>
      <c r="K904" s="402"/>
      <c r="L904" s="402"/>
      <c r="M904" s="402"/>
      <c r="N904" s="402"/>
      <c r="O904" s="402"/>
      <c r="P904" s="402"/>
      <c r="Q904" s="402"/>
      <c r="R904" s="402"/>
      <c r="S904" s="402"/>
      <c r="T904" s="402"/>
      <c r="U904" s="402"/>
      <c r="V904" s="402"/>
      <c r="W904" s="402"/>
      <c r="X904" s="402"/>
      <c r="Y904" s="402"/>
      <c r="Z904" s="402"/>
    </row>
    <row r="905" ht="14.25" customHeight="1">
      <c r="A905" s="697">
        <v>45521.0</v>
      </c>
      <c r="B905" s="764" t="s">
        <v>4815</v>
      </c>
      <c r="C905" s="764" t="s">
        <v>4859</v>
      </c>
      <c r="D905" s="607" t="s">
        <v>54</v>
      </c>
      <c r="E905" s="607" t="s">
        <v>4887</v>
      </c>
      <c r="F905" s="756">
        <v>31659.45</v>
      </c>
      <c r="G905" s="403"/>
      <c r="H905" s="402"/>
      <c r="I905" s="866" t="str">
        <f t="shared" si="12"/>
        <v>NOT PAID</v>
      </c>
      <c r="J905" s="402"/>
      <c r="K905" s="402"/>
      <c r="L905" s="402"/>
      <c r="M905" s="402"/>
      <c r="N905" s="402"/>
      <c r="O905" s="402"/>
      <c r="P905" s="402"/>
      <c r="Q905" s="402"/>
      <c r="R905" s="402"/>
      <c r="S905" s="402"/>
      <c r="T905" s="402"/>
      <c r="U905" s="402"/>
      <c r="V905" s="402"/>
      <c r="W905" s="402"/>
      <c r="X905" s="402"/>
      <c r="Y905" s="402"/>
      <c r="Z905" s="402"/>
    </row>
    <row r="906" ht="14.25" customHeight="1">
      <c r="A906" s="697">
        <v>45521.0</v>
      </c>
      <c r="B906" s="764" t="s">
        <v>4983</v>
      </c>
      <c r="C906" s="764" t="s">
        <v>4860</v>
      </c>
      <c r="D906" s="607" t="s">
        <v>54</v>
      </c>
      <c r="E906" s="607" t="s">
        <v>5248</v>
      </c>
      <c r="F906" s="756">
        <v>10444.99</v>
      </c>
      <c r="G906" s="403"/>
      <c r="H906" s="402"/>
      <c r="I906" s="866" t="str">
        <f t="shared" si="12"/>
        <v>NOT PAID</v>
      </c>
      <c r="J906" s="402"/>
      <c r="K906" s="402"/>
      <c r="L906" s="402"/>
      <c r="M906" s="402"/>
      <c r="N906" s="402"/>
      <c r="O906" s="402"/>
      <c r="P906" s="402"/>
      <c r="Q906" s="402"/>
      <c r="R906" s="402"/>
      <c r="S906" s="402"/>
      <c r="T906" s="402"/>
      <c r="U906" s="402"/>
      <c r="V906" s="402"/>
      <c r="W906" s="402"/>
      <c r="X906" s="402"/>
      <c r="Y906" s="402"/>
      <c r="Z906" s="402"/>
    </row>
    <row r="907" ht="14.25" customHeight="1">
      <c r="A907" s="697">
        <v>45521.0</v>
      </c>
      <c r="B907" s="764" t="s">
        <v>4830</v>
      </c>
      <c r="C907" s="764" t="s">
        <v>4927</v>
      </c>
      <c r="D907" s="607" t="s">
        <v>54</v>
      </c>
      <c r="E907" s="607" t="s">
        <v>578</v>
      </c>
      <c r="F907" s="756">
        <v>214172.83</v>
      </c>
      <c r="G907" s="403"/>
      <c r="H907" s="402"/>
      <c r="I907" s="866" t="str">
        <f t="shared" si="12"/>
        <v>NOT PAID</v>
      </c>
      <c r="J907" s="402"/>
      <c r="K907" s="402"/>
      <c r="L907" s="402"/>
      <c r="M907" s="402"/>
      <c r="N907" s="402"/>
      <c r="O907" s="402"/>
      <c r="P907" s="402"/>
      <c r="Q907" s="402"/>
      <c r="R907" s="402"/>
      <c r="S907" s="402"/>
      <c r="T907" s="402"/>
      <c r="U907" s="402"/>
      <c r="V907" s="402"/>
      <c r="W907" s="402"/>
      <c r="X907" s="402"/>
      <c r="Y907" s="402"/>
      <c r="Z907" s="402"/>
    </row>
    <row r="908" ht="14.25" customHeight="1">
      <c r="A908" s="697">
        <v>45521.0</v>
      </c>
      <c r="B908" s="764" t="s">
        <v>4795</v>
      </c>
      <c r="C908" s="764" t="s">
        <v>5012</v>
      </c>
      <c r="D908" s="607" t="s">
        <v>54</v>
      </c>
      <c r="E908" s="607" t="s">
        <v>4887</v>
      </c>
      <c r="F908" s="756">
        <v>48336.65</v>
      </c>
      <c r="G908" s="403"/>
      <c r="H908" s="402"/>
      <c r="I908" s="866" t="str">
        <f t="shared" si="12"/>
        <v>NOT PAID</v>
      </c>
      <c r="J908" s="402"/>
      <c r="K908" s="402"/>
      <c r="L908" s="402"/>
      <c r="M908" s="402"/>
      <c r="N908" s="402"/>
      <c r="O908" s="402"/>
      <c r="P908" s="402"/>
      <c r="Q908" s="402"/>
      <c r="R908" s="402"/>
      <c r="S908" s="402"/>
      <c r="T908" s="402"/>
      <c r="U908" s="402"/>
      <c r="V908" s="402"/>
      <c r="W908" s="402"/>
      <c r="X908" s="402"/>
      <c r="Y908" s="402"/>
      <c r="Z908" s="402"/>
    </row>
    <row r="909" ht="14.25" customHeight="1">
      <c r="A909" s="697">
        <v>45521.0</v>
      </c>
      <c r="B909" s="764" t="s">
        <v>5075</v>
      </c>
      <c r="C909" s="764" t="s">
        <v>5076</v>
      </c>
      <c r="D909" s="607" t="s">
        <v>75</v>
      </c>
      <c r="E909" s="607" t="s">
        <v>5248</v>
      </c>
      <c r="F909" s="756">
        <v>59078.25</v>
      </c>
      <c r="G909" s="403"/>
      <c r="H909" s="402"/>
      <c r="I909" s="866" t="str">
        <f t="shared" si="12"/>
        <v>NOT PAID</v>
      </c>
      <c r="J909" s="402"/>
      <c r="K909" s="402"/>
      <c r="L909" s="402"/>
      <c r="M909" s="402"/>
      <c r="N909" s="402"/>
      <c r="O909" s="402"/>
      <c r="P909" s="402"/>
      <c r="Q909" s="402"/>
      <c r="R909" s="402"/>
      <c r="S909" s="402"/>
      <c r="T909" s="402"/>
      <c r="U909" s="402"/>
      <c r="V909" s="402"/>
      <c r="W909" s="402"/>
      <c r="X909" s="402"/>
      <c r="Y909" s="402"/>
      <c r="Z909" s="402"/>
    </row>
    <row r="910" ht="14.25" customHeight="1">
      <c r="A910" s="697">
        <v>45521.0</v>
      </c>
      <c r="B910" s="764" t="s">
        <v>5166</v>
      </c>
      <c r="C910" s="764" t="s">
        <v>5167</v>
      </c>
      <c r="D910" s="607" t="s">
        <v>75</v>
      </c>
      <c r="E910" s="607" t="s">
        <v>5248</v>
      </c>
      <c r="F910" s="756">
        <v>23000.0</v>
      </c>
      <c r="G910" s="413"/>
      <c r="H910" s="402"/>
      <c r="I910" s="866" t="str">
        <f t="shared" si="12"/>
        <v>NOT PAID</v>
      </c>
      <c r="J910" s="402"/>
      <c r="K910" s="402"/>
      <c r="L910" s="402"/>
      <c r="M910" s="402"/>
      <c r="N910" s="402"/>
      <c r="O910" s="402"/>
      <c r="P910" s="402"/>
      <c r="Q910" s="402"/>
      <c r="R910" s="402"/>
      <c r="S910" s="402"/>
      <c r="T910" s="402"/>
      <c r="U910" s="402"/>
      <c r="V910" s="402"/>
      <c r="W910" s="402"/>
      <c r="X910" s="402"/>
      <c r="Y910" s="402"/>
      <c r="Z910" s="402"/>
    </row>
    <row r="911" ht="14.25" customHeight="1">
      <c r="A911" s="697">
        <v>45521.0</v>
      </c>
      <c r="B911" s="764" t="s">
        <v>5221</v>
      </c>
      <c r="C911" s="764" t="s">
        <v>5222</v>
      </c>
      <c r="D911" s="607" t="s">
        <v>75</v>
      </c>
      <c r="E911" s="607" t="s">
        <v>578</v>
      </c>
      <c r="F911" s="756">
        <v>579075.0</v>
      </c>
      <c r="G911" s="403"/>
      <c r="H911" s="402"/>
      <c r="I911" s="866" t="str">
        <f t="shared" si="12"/>
        <v>NOT PAID</v>
      </c>
      <c r="J911" s="402"/>
      <c r="K911" s="402"/>
      <c r="L911" s="402"/>
      <c r="M911" s="402"/>
      <c r="N911" s="402"/>
      <c r="O911" s="402"/>
      <c r="P911" s="402"/>
      <c r="Q911" s="402"/>
      <c r="R911" s="402"/>
      <c r="S911" s="402"/>
      <c r="T911" s="402"/>
      <c r="U911" s="402"/>
      <c r="V911" s="402"/>
      <c r="W911" s="402"/>
      <c r="X911" s="402"/>
      <c r="Y911" s="402"/>
      <c r="Z911" s="402"/>
    </row>
    <row r="912" ht="14.25" customHeight="1">
      <c r="A912" s="697"/>
      <c r="B912" s="863"/>
      <c r="C912" s="863"/>
      <c r="D912" s="867"/>
      <c r="E912" s="868"/>
      <c r="F912" s="865"/>
      <c r="G912" s="403"/>
      <c r="H912" s="402"/>
      <c r="I912" s="866" t="str">
        <f t="shared" si="12"/>
        <v>FULLY PAID</v>
      </c>
      <c r="J912" s="402"/>
      <c r="K912" s="402"/>
      <c r="L912" s="402"/>
      <c r="M912" s="402"/>
      <c r="N912" s="402"/>
      <c r="O912" s="402"/>
      <c r="P912" s="402"/>
      <c r="Q912" s="402"/>
      <c r="R912" s="402"/>
      <c r="S912" s="402"/>
      <c r="T912" s="402"/>
      <c r="U912" s="402"/>
      <c r="V912" s="402"/>
      <c r="W912" s="402"/>
      <c r="X912" s="402"/>
      <c r="Y912" s="402"/>
      <c r="Z912" s="402"/>
    </row>
    <row r="913" ht="14.25" customHeight="1">
      <c r="A913" s="697"/>
      <c r="B913" s="764"/>
      <c r="C913" s="424" t="s">
        <v>797</v>
      </c>
      <c r="D913" s="607"/>
      <c r="E913" s="868"/>
      <c r="F913" s="756"/>
      <c r="G913" s="403"/>
      <c r="H913" s="402"/>
      <c r="I913" s="866" t="str">
        <f t="shared" si="12"/>
        <v>FULLY PAID</v>
      </c>
      <c r="J913" s="402"/>
      <c r="K913" s="402"/>
      <c r="L913" s="402"/>
      <c r="M913" s="402"/>
      <c r="N913" s="402"/>
      <c r="O913" s="402"/>
      <c r="P913" s="402"/>
      <c r="Q913" s="402"/>
      <c r="R913" s="402"/>
      <c r="S913" s="402"/>
      <c r="T913" s="402"/>
      <c r="U913" s="402"/>
      <c r="V913" s="402"/>
      <c r="W913" s="402"/>
      <c r="X913" s="402"/>
      <c r="Y913" s="402"/>
      <c r="Z913" s="402"/>
    </row>
    <row r="914" ht="14.25" customHeight="1">
      <c r="A914" s="697">
        <v>45521.0</v>
      </c>
      <c r="B914" s="976" t="s">
        <v>4833</v>
      </c>
      <c r="C914" s="509" t="s">
        <v>4910</v>
      </c>
      <c r="D914" s="977" t="s">
        <v>54</v>
      </c>
      <c r="E914" s="607" t="s">
        <v>578</v>
      </c>
      <c r="F914" s="812">
        <v>247311.0</v>
      </c>
      <c r="G914" s="403"/>
      <c r="H914" s="402"/>
      <c r="I914" s="866" t="str">
        <f t="shared" si="12"/>
        <v>NOT PAID</v>
      </c>
      <c r="J914" s="402"/>
      <c r="K914" s="402"/>
      <c r="L914" s="402"/>
      <c r="M914" s="402"/>
      <c r="N914" s="402"/>
      <c r="O914" s="402"/>
      <c r="P914" s="402"/>
      <c r="Q914" s="402"/>
      <c r="R914" s="402"/>
      <c r="S914" s="402"/>
      <c r="T914" s="402"/>
      <c r="U914" s="402"/>
      <c r="V914" s="402"/>
      <c r="W914" s="402"/>
      <c r="X914" s="402"/>
      <c r="Y914" s="402"/>
      <c r="Z914" s="402"/>
    </row>
    <row r="915" ht="14.25" customHeight="1">
      <c r="A915" s="697">
        <v>45521.0</v>
      </c>
      <c r="B915" s="976" t="s">
        <v>5070</v>
      </c>
      <c r="C915" s="509" t="s">
        <v>4859</v>
      </c>
      <c r="D915" s="407" t="s">
        <v>75</v>
      </c>
      <c r="E915" s="689" t="s">
        <v>578</v>
      </c>
      <c r="F915" s="812">
        <v>1737025.0</v>
      </c>
      <c r="G915" s="403"/>
      <c r="H915" s="402"/>
      <c r="I915" s="866" t="str">
        <f t="shared" si="12"/>
        <v>NOT PAID</v>
      </c>
      <c r="J915" s="402"/>
      <c r="K915" s="402"/>
      <c r="L915" s="402"/>
      <c r="M915" s="402"/>
      <c r="N915" s="402"/>
      <c r="O915" s="402"/>
      <c r="P915" s="402"/>
      <c r="Q915" s="402"/>
      <c r="R915" s="402"/>
      <c r="S915" s="402"/>
      <c r="T915" s="402"/>
      <c r="U915" s="402"/>
      <c r="V915" s="402"/>
      <c r="W915" s="402"/>
      <c r="X915" s="402"/>
      <c r="Y915" s="402"/>
      <c r="Z915" s="402"/>
    </row>
    <row r="916" ht="14.25" customHeight="1">
      <c r="A916" s="697">
        <v>45521.0</v>
      </c>
      <c r="B916" s="955" t="s">
        <v>4919</v>
      </c>
      <c r="C916" s="407" t="s">
        <v>4945</v>
      </c>
      <c r="D916" s="407" t="s">
        <v>75</v>
      </c>
      <c r="E916" s="689" t="s">
        <v>578</v>
      </c>
      <c r="F916" s="978">
        <v>306751.35</v>
      </c>
      <c r="G916" s="403"/>
      <c r="H916" s="402"/>
      <c r="I916" s="866" t="str">
        <f t="shared" si="12"/>
        <v>NOT PAID</v>
      </c>
      <c r="J916" s="402"/>
      <c r="K916" s="402"/>
      <c r="L916" s="402"/>
      <c r="M916" s="402"/>
      <c r="N916" s="402"/>
      <c r="O916" s="402"/>
      <c r="P916" s="402"/>
      <c r="Q916" s="402"/>
      <c r="R916" s="402"/>
      <c r="S916" s="402"/>
      <c r="T916" s="402"/>
      <c r="U916" s="402"/>
      <c r="V916" s="402"/>
      <c r="W916" s="402"/>
      <c r="X916" s="402"/>
      <c r="Y916" s="402"/>
      <c r="Z916" s="402"/>
    </row>
    <row r="917" ht="14.25" customHeight="1">
      <c r="A917" s="697">
        <v>45521.0</v>
      </c>
      <c r="B917" s="976" t="s">
        <v>4816</v>
      </c>
      <c r="C917" s="509" t="s">
        <v>5015</v>
      </c>
      <c r="D917" s="977" t="s">
        <v>54</v>
      </c>
      <c r="E917" s="689" t="s">
        <v>578</v>
      </c>
      <c r="F917" s="812">
        <v>6203.0</v>
      </c>
      <c r="G917" s="403"/>
      <c r="H917" s="402"/>
      <c r="I917" s="866" t="str">
        <f t="shared" si="12"/>
        <v>NOT PAID</v>
      </c>
      <c r="J917" s="402"/>
      <c r="K917" s="402"/>
      <c r="L917" s="402"/>
      <c r="M917" s="402"/>
      <c r="N917" s="402"/>
      <c r="O917" s="402"/>
      <c r="P917" s="402"/>
      <c r="Q917" s="402"/>
      <c r="R917" s="402"/>
      <c r="S917" s="402"/>
      <c r="T917" s="402"/>
      <c r="U917" s="402"/>
      <c r="V917" s="402"/>
      <c r="W917" s="402"/>
      <c r="X917" s="402"/>
      <c r="Y917" s="402"/>
      <c r="Z917" s="402"/>
    </row>
    <row r="918" ht="14.25" customHeight="1">
      <c r="A918" s="697">
        <v>45521.0</v>
      </c>
      <c r="B918" s="976" t="s">
        <v>4767</v>
      </c>
      <c r="C918" s="509" t="s">
        <v>4861</v>
      </c>
      <c r="D918" s="977" t="s">
        <v>59</v>
      </c>
      <c r="E918" s="689" t="s">
        <v>578</v>
      </c>
      <c r="F918" s="979">
        <v>147000.0</v>
      </c>
      <c r="G918" s="403"/>
      <c r="H918" s="402"/>
      <c r="I918" s="866" t="str">
        <f t="shared" si="12"/>
        <v>NOT PAID</v>
      </c>
      <c r="J918" s="402"/>
      <c r="K918" s="402"/>
      <c r="L918" s="402"/>
      <c r="M918" s="402"/>
      <c r="N918" s="402"/>
      <c r="O918" s="402"/>
      <c r="P918" s="402"/>
      <c r="Q918" s="402"/>
      <c r="R918" s="402"/>
      <c r="S918" s="402"/>
      <c r="T918" s="402"/>
      <c r="U918" s="402"/>
      <c r="V918" s="402"/>
      <c r="W918" s="402"/>
      <c r="X918" s="402"/>
      <c r="Y918" s="402"/>
      <c r="Z918" s="402"/>
    </row>
    <row r="919" ht="14.25" customHeight="1">
      <c r="A919" s="697">
        <v>45521.0</v>
      </c>
      <c r="B919" s="976" t="s">
        <v>4547</v>
      </c>
      <c r="C919" s="509" t="s">
        <v>4548</v>
      </c>
      <c r="D919" s="607" t="s">
        <v>59</v>
      </c>
      <c r="E919" s="68" t="s">
        <v>273</v>
      </c>
      <c r="F919" s="756">
        <v>617498.61</v>
      </c>
      <c r="G919" s="403"/>
      <c r="H919" s="402"/>
      <c r="I919" s="866" t="str">
        <f t="shared" si="12"/>
        <v>NOT PAID</v>
      </c>
      <c r="J919" s="402"/>
      <c r="K919" s="402"/>
      <c r="L919" s="402"/>
      <c r="M919" s="402"/>
      <c r="N919" s="402"/>
      <c r="O919" s="402"/>
      <c r="P919" s="402"/>
      <c r="Q919" s="402"/>
      <c r="R919" s="402"/>
      <c r="S919" s="402"/>
      <c r="T919" s="402"/>
      <c r="U919" s="402"/>
      <c r="V919" s="402"/>
      <c r="W919" s="402"/>
      <c r="X919" s="402"/>
      <c r="Y919" s="402"/>
      <c r="Z919" s="402"/>
    </row>
    <row r="920" ht="14.25" customHeight="1">
      <c r="A920" s="697"/>
      <c r="B920" s="863"/>
      <c r="C920" s="863"/>
      <c r="D920" s="867"/>
      <c r="E920" s="868"/>
      <c r="F920" s="865"/>
      <c r="G920" s="403"/>
      <c r="H920" s="402"/>
      <c r="I920" s="866" t="str">
        <f t="shared" si="12"/>
        <v>FULLY PAID</v>
      </c>
      <c r="J920" s="402"/>
      <c r="K920" s="402"/>
      <c r="L920" s="402"/>
      <c r="M920" s="402"/>
      <c r="N920" s="402"/>
      <c r="O920" s="402"/>
      <c r="P920" s="402"/>
      <c r="Q920" s="402"/>
      <c r="R920" s="402"/>
      <c r="S920" s="402"/>
      <c r="T920" s="402"/>
      <c r="U920" s="402"/>
      <c r="V920" s="402"/>
      <c r="W920" s="402"/>
      <c r="X920" s="402"/>
      <c r="Y920" s="402"/>
      <c r="Z920" s="402"/>
    </row>
    <row r="921" ht="14.25" customHeight="1">
      <c r="A921" s="697"/>
      <c r="B921" s="863"/>
      <c r="C921" s="863"/>
      <c r="D921" s="867"/>
      <c r="E921" s="868"/>
      <c r="F921" s="865"/>
      <c r="G921" s="403"/>
      <c r="H921" s="402"/>
      <c r="I921" s="866" t="str">
        <f t="shared" si="12"/>
        <v>FULLY PAID</v>
      </c>
      <c r="J921" s="402"/>
      <c r="K921" s="402"/>
      <c r="L921" s="402"/>
      <c r="M921" s="402"/>
      <c r="N921" s="402"/>
      <c r="O921" s="402"/>
      <c r="P921" s="402"/>
      <c r="Q921" s="402"/>
      <c r="R921" s="402"/>
      <c r="S921" s="402"/>
      <c r="T921" s="402"/>
      <c r="U921" s="402"/>
      <c r="V921" s="402"/>
      <c r="W921" s="402"/>
      <c r="X921" s="402"/>
      <c r="Y921" s="402"/>
      <c r="Z921" s="402"/>
    </row>
    <row r="922" ht="14.25" customHeight="1">
      <c r="A922" s="584" t="s">
        <v>2130</v>
      </c>
      <c r="B922" s="877" t="s">
        <v>39</v>
      </c>
      <c r="C922" s="584" t="s">
        <v>48</v>
      </c>
      <c r="D922" s="584" t="s">
        <v>49</v>
      </c>
      <c r="E922" s="862" t="s">
        <v>50</v>
      </c>
      <c r="F922" s="585" t="s">
        <v>2</v>
      </c>
      <c r="G922" s="584" t="s">
        <v>44</v>
      </c>
      <c r="H922" s="584" t="s">
        <v>45</v>
      </c>
      <c r="I922" s="866" t="str">
        <f t="shared" si="12"/>
        <v>FULLY PAID</v>
      </c>
      <c r="J922" s="402"/>
      <c r="K922" s="402"/>
      <c r="L922" s="402"/>
      <c r="M922" s="402"/>
      <c r="N922" s="402"/>
      <c r="O922" s="402"/>
      <c r="P922" s="402"/>
      <c r="Q922" s="402"/>
      <c r="R922" s="402"/>
      <c r="S922" s="402"/>
      <c r="T922" s="402"/>
      <c r="U922" s="402"/>
      <c r="V922" s="402"/>
      <c r="W922" s="402"/>
      <c r="X922" s="402"/>
      <c r="Y922" s="402"/>
      <c r="Z922" s="402"/>
    </row>
    <row r="923" ht="14.25" customHeight="1">
      <c r="A923" s="697">
        <v>45523.0</v>
      </c>
      <c r="B923" s="878" t="s">
        <v>5346</v>
      </c>
      <c r="C923" s="878" t="s">
        <v>5347</v>
      </c>
      <c r="D923" s="883" t="s">
        <v>54</v>
      </c>
      <c r="E923" s="689" t="s">
        <v>4950</v>
      </c>
      <c r="F923" s="881">
        <v>57500.0</v>
      </c>
      <c r="G923" s="413">
        <v>57500.0</v>
      </c>
      <c r="H923" s="349" t="s">
        <v>267</v>
      </c>
      <c r="I923" s="866" t="str">
        <f t="shared" si="12"/>
        <v>FULLY PAID</v>
      </c>
      <c r="J923" s="402"/>
      <c r="K923" s="402"/>
      <c r="L923" s="402"/>
      <c r="M923" s="402"/>
      <c r="N923" s="402"/>
      <c r="O923" s="402"/>
      <c r="P923" s="402"/>
      <c r="Q923" s="402"/>
      <c r="R923" s="402"/>
      <c r="S923" s="402"/>
      <c r="T923" s="402"/>
      <c r="U923" s="402"/>
      <c r="V923" s="402"/>
      <c r="W923" s="402"/>
      <c r="X923" s="402"/>
      <c r="Y923" s="402"/>
      <c r="Z923" s="402"/>
    </row>
    <row r="924" ht="14.25" customHeight="1">
      <c r="A924" s="697">
        <v>45523.0</v>
      </c>
      <c r="B924" s="878" t="s">
        <v>4800</v>
      </c>
      <c r="C924" s="878" t="s">
        <v>758</v>
      </c>
      <c r="D924" s="883" t="s">
        <v>59</v>
      </c>
      <c r="E924" s="689" t="s">
        <v>4950</v>
      </c>
      <c r="F924" s="881">
        <v>71780.27</v>
      </c>
      <c r="G924" s="403"/>
      <c r="H924" s="349" t="s">
        <v>5348</v>
      </c>
      <c r="I924" s="866" t="str">
        <f t="shared" si="12"/>
        <v>NOT PAID</v>
      </c>
      <c r="J924" s="402"/>
      <c r="K924" s="402"/>
      <c r="L924" s="402"/>
      <c r="M924" s="402"/>
      <c r="N924" s="402"/>
      <c r="O924" s="402"/>
      <c r="P924" s="402"/>
      <c r="Q924" s="402"/>
      <c r="R924" s="402"/>
      <c r="S924" s="402"/>
      <c r="T924" s="402"/>
      <c r="U924" s="402"/>
      <c r="V924" s="402"/>
      <c r="W924" s="402"/>
      <c r="X924" s="402"/>
      <c r="Y924" s="402"/>
      <c r="Z924" s="402"/>
    </row>
    <row r="925" ht="14.25" customHeight="1">
      <c r="A925" s="697">
        <v>45523.0</v>
      </c>
      <c r="B925" s="878" t="s">
        <v>5198</v>
      </c>
      <c r="C925" s="878" t="s">
        <v>5199</v>
      </c>
      <c r="D925" s="883" t="s">
        <v>54</v>
      </c>
      <c r="E925" s="689" t="s">
        <v>4950</v>
      </c>
      <c r="F925" s="881">
        <v>37765.21</v>
      </c>
      <c r="G925" s="413">
        <v>6300.0</v>
      </c>
      <c r="H925" s="413" t="s">
        <v>267</v>
      </c>
      <c r="I925" s="866" t="str">
        <f t="shared" si="12"/>
        <v>PARTIALLY PAID</v>
      </c>
      <c r="J925" s="402"/>
      <c r="K925" s="402"/>
      <c r="L925" s="402"/>
      <c r="M925" s="402"/>
      <c r="N925" s="402"/>
      <c r="O925" s="402"/>
      <c r="P925" s="402"/>
      <c r="Q925" s="402"/>
      <c r="R925" s="402"/>
      <c r="S925" s="402"/>
      <c r="T925" s="402"/>
      <c r="U925" s="402"/>
      <c r="V925" s="402"/>
      <c r="W925" s="402"/>
      <c r="X925" s="402"/>
      <c r="Y925" s="402"/>
      <c r="Z925" s="402"/>
    </row>
    <row r="926" ht="14.25" customHeight="1">
      <c r="A926" s="697">
        <v>45523.0</v>
      </c>
      <c r="B926" s="878" t="s">
        <v>4898</v>
      </c>
      <c r="C926" s="878" t="s">
        <v>4899</v>
      </c>
      <c r="D926" s="883" t="s">
        <v>54</v>
      </c>
      <c r="E926" s="689" t="s">
        <v>600</v>
      </c>
      <c r="F926" s="881">
        <v>15379.31</v>
      </c>
      <c r="G926" s="413">
        <v>28666.0</v>
      </c>
      <c r="H926" s="349" t="s">
        <v>267</v>
      </c>
      <c r="I926" s="866" t="str">
        <f t="shared" si="12"/>
        <v>FULLY PAID</v>
      </c>
      <c r="J926" s="402"/>
      <c r="K926" s="402"/>
      <c r="L926" s="402"/>
      <c r="M926" s="402"/>
      <c r="N926" s="402"/>
      <c r="O926" s="402"/>
      <c r="P926" s="402"/>
      <c r="Q926" s="402"/>
      <c r="R926" s="402"/>
      <c r="S926" s="402"/>
      <c r="T926" s="402"/>
      <c r="U926" s="402"/>
      <c r="V926" s="402"/>
      <c r="W926" s="402"/>
      <c r="X926" s="402"/>
      <c r="Y926" s="402"/>
      <c r="Z926" s="402"/>
    </row>
    <row r="927" ht="14.25" customHeight="1">
      <c r="A927" s="697">
        <v>45523.0</v>
      </c>
      <c r="B927" s="878" t="s">
        <v>4864</v>
      </c>
      <c r="C927" s="878" t="s">
        <v>4865</v>
      </c>
      <c r="D927" s="883" t="s">
        <v>54</v>
      </c>
      <c r="E927" s="689" t="s">
        <v>4950</v>
      </c>
      <c r="F927" s="881">
        <v>7426.16</v>
      </c>
      <c r="G927" s="403"/>
      <c r="H927" s="349" t="s">
        <v>5177</v>
      </c>
      <c r="I927" s="866" t="str">
        <f t="shared" si="12"/>
        <v>NOT PAID</v>
      </c>
      <c r="J927" s="402"/>
      <c r="K927" s="402"/>
      <c r="L927" s="402"/>
      <c r="M927" s="402"/>
      <c r="N927" s="402"/>
      <c r="O927" s="402"/>
      <c r="P927" s="402"/>
      <c r="Q927" s="402"/>
      <c r="R927" s="402"/>
      <c r="S927" s="402"/>
      <c r="T927" s="402"/>
      <c r="U927" s="402"/>
      <c r="V927" s="402"/>
      <c r="W927" s="402"/>
      <c r="X927" s="402"/>
      <c r="Y927" s="402"/>
      <c r="Z927" s="402"/>
    </row>
    <row r="928" ht="14.25" customHeight="1">
      <c r="A928" s="697">
        <v>45523.0</v>
      </c>
      <c r="B928" s="878" t="s">
        <v>4900</v>
      </c>
      <c r="C928" s="878" t="s">
        <v>4901</v>
      </c>
      <c r="D928" s="883" t="s">
        <v>54</v>
      </c>
      <c r="E928" s="689" t="s">
        <v>578</v>
      </c>
      <c r="F928" s="881">
        <v>8355.89</v>
      </c>
      <c r="G928" s="403"/>
      <c r="H928" s="349" t="s">
        <v>5349</v>
      </c>
      <c r="I928" s="866" t="str">
        <f t="shared" si="12"/>
        <v>NOT PAID</v>
      </c>
      <c r="J928" s="402"/>
      <c r="K928" s="402"/>
      <c r="L928" s="402"/>
      <c r="M928" s="402"/>
      <c r="N928" s="402"/>
      <c r="O928" s="402"/>
      <c r="P928" s="402"/>
      <c r="Q928" s="402"/>
      <c r="R928" s="402"/>
      <c r="S928" s="402"/>
      <c r="T928" s="402"/>
      <c r="U928" s="402"/>
      <c r="V928" s="402"/>
      <c r="W928" s="402"/>
      <c r="X928" s="402"/>
      <c r="Y928" s="402"/>
      <c r="Z928" s="402"/>
    </row>
    <row r="929" ht="14.25" customHeight="1">
      <c r="A929" s="697">
        <v>45523.0</v>
      </c>
      <c r="B929" s="878" t="s">
        <v>5097</v>
      </c>
      <c r="C929" s="878" t="s">
        <v>5076</v>
      </c>
      <c r="D929" s="883" t="s">
        <v>54</v>
      </c>
      <c r="E929" s="689" t="s">
        <v>5248</v>
      </c>
      <c r="F929" s="881">
        <v>39812.69</v>
      </c>
      <c r="G929" s="403"/>
      <c r="H929" s="349" t="s">
        <v>5350</v>
      </c>
      <c r="I929" s="866" t="str">
        <f t="shared" si="12"/>
        <v>NOT PAID</v>
      </c>
      <c r="J929" s="402"/>
      <c r="K929" s="402"/>
      <c r="L929" s="402"/>
      <c r="M929" s="402"/>
      <c r="N929" s="402"/>
      <c r="O929" s="402"/>
      <c r="P929" s="402"/>
      <c r="Q929" s="402"/>
      <c r="R929" s="402"/>
      <c r="S929" s="402"/>
      <c r="T929" s="402"/>
      <c r="U929" s="402"/>
      <c r="V929" s="402"/>
      <c r="W929" s="402"/>
      <c r="X929" s="402"/>
      <c r="Y929" s="402"/>
      <c r="Z929" s="402"/>
    </row>
    <row r="930" ht="14.25" customHeight="1">
      <c r="A930" s="697">
        <v>45523.0</v>
      </c>
      <c r="B930" s="878" t="s">
        <v>5257</v>
      </c>
      <c r="C930" s="878" t="s">
        <v>5048</v>
      </c>
      <c r="D930" s="883" t="s">
        <v>54</v>
      </c>
      <c r="E930" s="689" t="s">
        <v>4895</v>
      </c>
      <c r="F930" s="881">
        <v>9842.48</v>
      </c>
      <c r="G930" s="403"/>
      <c r="H930" s="349" t="s">
        <v>5351</v>
      </c>
      <c r="I930" s="866" t="str">
        <f t="shared" si="12"/>
        <v>NOT PAID</v>
      </c>
      <c r="J930" s="402"/>
      <c r="K930" s="402"/>
      <c r="L930" s="402"/>
      <c r="M930" s="402"/>
      <c r="N930" s="402"/>
      <c r="O930" s="402"/>
      <c r="P930" s="402"/>
      <c r="Q930" s="402"/>
      <c r="R930" s="402"/>
      <c r="S930" s="402"/>
      <c r="T930" s="402"/>
      <c r="U930" s="402"/>
      <c r="V930" s="402"/>
      <c r="W930" s="402"/>
      <c r="X930" s="402"/>
      <c r="Y930" s="402"/>
      <c r="Z930" s="402"/>
    </row>
    <row r="931" ht="14.25" customHeight="1">
      <c r="A931" s="697">
        <v>45523.0</v>
      </c>
      <c r="B931" s="878" t="s">
        <v>4885</v>
      </c>
      <c r="C931" s="878" t="s">
        <v>4886</v>
      </c>
      <c r="D931" s="883" t="s">
        <v>54</v>
      </c>
      <c r="E931" s="689" t="s">
        <v>4950</v>
      </c>
      <c r="F931" s="881">
        <v>1625.64</v>
      </c>
      <c r="G931" s="403"/>
      <c r="H931" s="349" t="s">
        <v>5352</v>
      </c>
      <c r="I931" s="866" t="str">
        <f t="shared" si="12"/>
        <v>NOT PAID</v>
      </c>
      <c r="J931" s="402"/>
      <c r="K931" s="402"/>
      <c r="L931" s="402"/>
      <c r="M931" s="402"/>
      <c r="N931" s="402"/>
      <c r="O931" s="402"/>
      <c r="P931" s="402"/>
      <c r="Q931" s="402"/>
      <c r="R931" s="402"/>
      <c r="S931" s="402"/>
      <c r="T931" s="402"/>
      <c r="U931" s="402"/>
      <c r="V931" s="402"/>
      <c r="W931" s="402"/>
      <c r="X931" s="402"/>
      <c r="Y931" s="402"/>
      <c r="Z931" s="402"/>
    </row>
    <row r="932" ht="14.25" customHeight="1">
      <c r="A932" s="697">
        <v>45523.0</v>
      </c>
      <c r="B932" s="878" t="s">
        <v>4770</v>
      </c>
      <c r="C932" s="878" t="s">
        <v>2529</v>
      </c>
      <c r="D932" s="883" t="s">
        <v>263</v>
      </c>
      <c r="E932" s="689" t="s">
        <v>578</v>
      </c>
      <c r="F932" s="881">
        <v>34486.64</v>
      </c>
      <c r="G932" s="403"/>
      <c r="H932" s="349" t="s">
        <v>5353</v>
      </c>
      <c r="I932" s="866" t="str">
        <f t="shared" si="12"/>
        <v>NOT PAID</v>
      </c>
      <c r="J932" s="402"/>
      <c r="K932" s="402"/>
      <c r="L932" s="402"/>
      <c r="M932" s="402"/>
      <c r="N932" s="402"/>
      <c r="O932" s="402"/>
      <c r="P932" s="402"/>
      <c r="Q932" s="402"/>
      <c r="R932" s="402"/>
      <c r="S932" s="402"/>
      <c r="T932" s="402"/>
      <c r="U932" s="402"/>
      <c r="V932" s="402"/>
      <c r="W932" s="402"/>
      <c r="X932" s="402"/>
      <c r="Y932" s="402"/>
      <c r="Z932" s="402"/>
    </row>
    <row r="933" ht="14.25" customHeight="1">
      <c r="A933" s="697">
        <v>45523.0</v>
      </c>
      <c r="B933" s="878" t="s">
        <v>4773</v>
      </c>
      <c r="C933" s="878" t="s">
        <v>4906</v>
      </c>
      <c r="D933" s="883" t="s">
        <v>54</v>
      </c>
      <c r="E933" s="689" t="s">
        <v>4950</v>
      </c>
      <c r="F933" s="881">
        <v>979.93</v>
      </c>
      <c r="G933" s="403"/>
      <c r="H933" s="349" t="s">
        <v>5354</v>
      </c>
      <c r="I933" s="866" t="str">
        <f t="shared" si="12"/>
        <v>NOT PAID</v>
      </c>
      <c r="J933" s="402"/>
      <c r="K933" s="402"/>
      <c r="L933" s="402"/>
      <c r="M933" s="402"/>
      <c r="N933" s="402"/>
      <c r="O933" s="402"/>
      <c r="P933" s="402"/>
      <c r="Q933" s="402"/>
      <c r="R933" s="402"/>
      <c r="S933" s="402"/>
      <c r="T933" s="402"/>
      <c r="U933" s="402"/>
      <c r="V933" s="402"/>
      <c r="W933" s="402"/>
      <c r="X933" s="402"/>
      <c r="Y933" s="402"/>
      <c r="Z933" s="402"/>
    </row>
    <row r="934" ht="14.25" customHeight="1">
      <c r="A934" s="697">
        <v>45523.0</v>
      </c>
      <c r="B934" s="878" t="s">
        <v>4779</v>
      </c>
      <c r="C934" s="878" t="s">
        <v>4907</v>
      </c>
      <c r="D934" s="883" t="s">
        <v>54</v>
      </c>
      <c r="E934" s="689" t="s">
        <v>4895</v>
      </c>
      <c r="F934" s="881">
        <v>2797.83</v>
      </c>
      <c r="G934" s="403"/>
      <c r="H934" s="349" t="s">
        <v>5355</v>
      </c>
      <c r="I934" s="866" t="str">
        <f t="shared" si="12"/>
        <v>NOT PAID</v>
      </c>
      <c r="J934" s="402"/>
      <c r="K934" s="402"/>
      <c r="L934" s="402"/>
      <c r="M934" s="402"/>
      <c r="N934" s="402"/>
      <c r="O934" s="402"/>
      <c r="P934" s="402"/>
      <c r="Q934" s="402"/>
      <c r="R934" s="402"/>
      <c r="S934" s="402"/>
      <c r="T934" s="402"/>
      <c r="U934" s="402"/>
      <c r="V934" s="402"/>
      <c r="W934" s="402"/>
      <c r="X934" s="402"/>
      <c r="Y934" s="402"/>
      <c r="Z934" s="402"/>
    </row>
    <row r="935" ht="14.25" customHeight="1">
      <c r="A935" s="697">
        <v>45523.0</v>
      </c>
      <c r="B935" s="878" t="s">
        <v>4805</v>
      </c>
      <c r="C935" s="878" t="s">
        <v>4908</v>
      </c>
      <c r="D935" s="883" t="s">
        <v>54</v>
      </c>
      <c r="E935" s="689" t="s">
        <v>4895</v>
      </c>
      <c r="F935" s="881">
        <v>52230.55</v>
      </c>
      <c r="G935" s="403"/>
      <c r="H935" s="517" t="s">
        <v>5356</v>
      </c>
      <c r="I935" s="866" t="str">
        <f t="shared" si="12"/>
        <v>NOT PAID</v>
      </c>
      <c r="J935" s="402"/>
      <c r="K935" s="402"/>
      <c r="L935" s="402"/>
      <c r="M935" s="402"/>
      <c r="N935" s="402"/>
      <c r="O935" s="402"/>
      <c r="P935" s="402"/>
      <c r="Q935" s="402"/>
      <c r="R935" s="402"/>
      <c r="S935" s="402"/>
      <c r="T935" s="402"/>
      <c r="U935" s="402"/>
      <c r="V935" s="402"/>
      <c r="W935" s="402"/>
      <c r="X935" s="402"/>
      <c r="Y935" s="402"/>
      <c r="Z935" s="402"/>
    </row>
    <row r="936" ht="14.25" customHeight="1">
      <c r="A936" s="697">
        <v>45523.0</v>
      </c>
      <c r="B936" s="878" t="s">
        <v>4977</v>
      </c>
      <c r="C936" s="878" t="s">
        <v>4978</v>
      </c>
      <c r="D936" s="883" t="s">
        <v>54</v>
      </c>
      <c r="E936" s="689" t="s">
        <v>4950</v>
      </c>
      <c r="F936" s="881">
        <v>892.65</v>
      </c>
      <c r="G936" s="403"/>
      <c r="H936" s="517" t="s">
        <v>5357</v>
      </c>
      <c r="I936" s="866" t="str">
        <f t="shared" si="12"/>
        <v>NOT PAID</v>
      </c>
      <c r="J936" s="402"/>
      <c r="K936" s="402"/>
      <c r="L936" s="402"/>
      <c r="M936" s="402"/>
      <c r="N936" s="402"/>
      <c r="O936" s="402"/>
      <c r="P936" s="402"/>
      <c r="Q936" s="402"/>
      <c r="R936" s="402"/>
      <c r="S936" s="402"/>
      <c r="T936" s="402"/>
      <c r="U936" s="402"/>
      <c r="V936" s="402"/>
      <c r="W936" s="402"/>
      <c r="X936" s="402"/>
      <c r="Y936" s="402"/>
      <c r="Z936" s="402"/>
    </row>
    <row r="937" ht="14.25" customHeight="1">
      <c r="A937" s="697">
        <v>45523.0</v>
      </c>
      <c r="B937" s="878" t="s">
        <v>4807</v>
      </c>
      <c r="C937" s="878" t="s">
        <v>4978</v>
      </c>
      <c r="D937" s="883" t="s">
        <v>346</v>
      </c>
      <c r="E937" s="689" t="s">
        <v>4950</v>
      </c>
      <c r="F937" s="881">
        <v>3101.89</v>
      </c>
      <c r="G937" s="413">
        <v>2000.0</v>
      </c>
      <c r="H937" s="349" t="s">
        <v>267</v>
      </c>
      <c r="I937" s="866" t="str">
        <f t="shared" si="12"/>
        <v>PARTIALLY PAID</v>
      </c>
      <c r="J937" s="402"/>
      <c r="K937" s="402"/>
      <c r="L937" s="402"/>
      <c r="M937" s="402"/>
      <c r="N937" s="402"/>
      <c r="O937" s="402"/>
      <c r="P937" s="402"/>
      <c r="Q937" s="402"/>
      <c r="R937" s="402"/>
      <c r="S937" s="402"/>
      <c r="T937" s="402"/>
      <c r="U937" s="402"/>
      <c r="V937" s="402"/>
      <c r="W937" s="402"/>
      <c r="X937" s="402"/>
      <c r="Y937" s="402"/>
      <c r="Z937" s="402"/>
    </row>
    <row r="938" ht="14.25" customHeight="1">
      <c r="A938" s="697">
        <v>45523.0</v>
      </c>
      <c r="B938" s="878" t="s">
        <v>5312</v>
      </c>
      <c r="C938" s="878" t="s">
        <v>5030</v>
      </c>
      <c r="D938" s="883" t="s">
        <v>54</v>
      </c>
      <c r="E938" s="689" t="s">
        <v>5248</v>
      </c>
      <c r="F938" s="881">
        <v>15493.96</v>
      </c>
      <c r="G938" s="403"/>
      <c r="H938" s="349" t="s">
        <v>5358</v>
      </c>
      <c r="I938" s="866" t="str">
        <f t="shared" si="12"/>
        <v>NOT PAID</v>
      </c>
      <c r="J938" s="402"/>
      <c r="K938" s="402"/>
      <c r="L938" s="402"/>
      <c r="M938" s="402"/>
      <c r="N938" s="402"/>
      <c r="O938" s="402"/>
      <c r="P938" s="402"/>
      <c r="Q938" s="402"/>
      <c r="R938" s="402"/>
      <c r="S938" s="402"/>
      <c r="T938" s="402"/>
      <c r="U938" s="402"/>
      <c r="V938" s="402"/>
      <c r="W938" s="402"/>
      <c r="X938" s="402"/>
      <c r="Y938" s="402"/>
      <c r="Z938" s="402"/>
    </row>
    <row r="939" ht="14.25" customHeight="1">
      <c r="A939" s="697">
        <v>45523.0</v>
      </c>
      <c r="B939" s="878" t="s">
        <v>5342</v>
      </c>
      <c r="C939" s="878" t="s">
        <v>5343</v>
      </c>
      <c r="D939" s="883" t="s">
        <v>54</v>
      </c>
      <c r="E939" s="689" t="s">
        <v>4950</v>
      </c>
      <c r="F939" s="881">
        <v>74498.35</v>
      </c>
      <c r="G939" s="403"/>
      <c r="H939" s="517" t="s">
        <v>5359</v>
      </c>
      <c r="I939" s="866" t="str">
        <f t="shared" si="12"/>
        <v>NOT PAID</v>
      </c>
      <c r="J939" s="402"/>
      <c r="K939" s="402"/>
      <c r="L939" s="402"/>
      <c r="M939" s="402"/>
      <c r="N939" s="402"/>
      <c r="O939" s="402"/>
      <c r="P939" s="402"/>
      <c r="Q939" s="402"/>
      <c r="R939" s="402"/>
      <c r="S939" s="402"/>
      <c r="T939" s="402"/>
      <c r="U939" s="402"/>
      <c r="V939" s="402"/>
      <c r="W939" s="402"/>
      <c r="X939" s="402"/>
      <c r="Y939" s="402"/>
      <c r="Z939" s="402"/>
    </row>
    <row r="940" ht="14.25" customHeight="1">
      <c r="A940" s="697">
        <v>45523.0</v>
      </c>
      <c r="B940" s="878" t="s">
        <v>4833</v>
      </c>
      <c r="C940" s="878" t="s">
        <v>4910</v>
      </c>
      <c r="D940" s="883" t="s">
        <v>54</v>
      </c>
      <c r="E940" s="689" t="s">
        <v>578</v>
      </c>
      <c r="F940" s="881">
        <v>247500.0</v>
      </c>
      <c r="G940" s="413">
        <v>247500.0</v>
      </c>
      <c r="H940" s="349" t="s">
        <v>267</v>
      </c>
      <c r="I940" s="866" t="str">
        <f t="shared" si="12"/>
        <v>FULLY PAID</v>
      </c>
      <c r="J940" s="402"/>
      <c r="K940" s="402"/>
      <c r="L940" s="402"/>
      <c r="M940" s="402"/>
      <c r="N940" s="402"/>
      <c r="O940" s="402"/>
      <c r="P940" s="402"/>
      <c r="Q940" s="402"/>
      <c r="R940" s="402"/>
      <c r="S940" s="402"/>
      <c r="T940" s="402"/>
      <c r="U940" s="402"/>
      <c r="V940" s="402"/>
      <c r="W940" s="402"/>
      <c r="X940" s="402"/>
      <c r="Y940" s="402"/>
      <c r="Z940" s="402"/>
    </row>
    <row r="941" ht="14.25" customHeight="1">
      <c r="A941" s="697">
        <v>45523.0</v>
      </c>
      <c r="B941" s="878" t="s">
        <v>4791</v>
      </c>
      <c r="C941" s="878" t="s">
        <v>4912</v>
      </c>
      <c r="D941" s="883" t="s">
        <v>54</v>
      </c>
      <c r="E941" s="689" t="s">
        <v>4895</v>
      </c>
      <c r="F941" s="881">
        <v>9441.25</v>
      </c>
      <c r="G941" s="403"/>
      <c r="H941" s="349" t="s">
        <v>5360</v>
      </c>
      <c r="I941" s="866" t="str">
        <f t="shared" si="12"/>
        <v>NOT PAID</v>
      </c>
      <c r="J941" s="402"/>
      <c r="K941" s="402"/>
      <c r="L941" s="402"/>
      <c r="M941" s="402"/>
      <c r="N941" s="402"/>
      <c r="O941" s="402"/>
      <c r="P941" s="402"/>
      <c r="Q941" s="402"/>
      <c r="R941" s="402"/>
      <c r="S941" s="402"/>
      <c r="T941" s="402"/>
      <c r="U941" s="402"/>
      <c r="V941" s="402"/>
      <c r="W941" s="402"/>
      <c r="X941" s="402"/>
      <c r="Y941" s="402"/>
      <c r="Z941" s="402"/>
    </row>
    <row r="942" ht="14.25" customHeight="1">
      <c r="A942" s="697">
        <v>45523.0</v>
      </c>
      <c r="B942" s="878" t="s">
        <v>5361</v>
      </c>
      <c r="C942" s="878" t="s">
        <v>5362</v>
      </c>
      <c r="D942" s="883" t="s">
        <v>54</v>
      </c>
      <c r="E942" s="689" t="s">
        <v>578</v>
      </c>
      <c r="F942" s="881">
        <v>17772.71</v>
      </c>
      <c r="G942" s="413">
        <v>18368.0</v>
      </c>
      <c r="H942" s="413" t="s">
        <v>267</v>
      </c>
      <c r="I942" s="866" t="str">
        <f t="shared" si="12"/>
        <v>FULLY PAID</v>
      </c>
      <c r="J942" s="402"/>
      <c r="K942" s="402"/>
      <c r="L942" s="402"/>
      <c r="M942" s="402"/>
      <c r="N942" s="402"/>
      <c r="O942" s="402"/>
      <c r="P942" s="402"/>
      <c r="Q942" s="402"/>
      <c r="R942" s="402"/>
      <c r="S942" s="402"/>
      <c r="T942" s="402"/>
      <c r="U942" s="402"/>
      <c r="V942" s="402"/>
      <c r="W942" s="402"/>
      <c r="X942" s="402"/>
      <c r="Y942" s="402"/>
      <c r="Z942" s="402"/>
    </row>
    <row r="943" ht="14.25" customHeight="1">
      <c r="A943" s="697">
        <v>45523.0</v>
      </c>
      <c r="B943" s="878" t="s">
        <v>4983</v>
      </c>
      <c r="C943" s="878" t="s">
        <v>4860</v>
      </c>
      <c r="D943" s="883" t="s">
        <v>54</v>
      </c>
      <c r="E943" s="689" t="s">
        <v>5248</v>
      </c>
      <c r="F943" s="881">
        <v>10444.99</v>
      </c>
      <c r="G943" s="403"/>
      <c r="H943" s="402"/>
      <c r="I943" s="866" t="str">
        <f t="shared" si="12"/>
        <v>NOT PAID</v>
      </c>
      <c r="J943" s="402"/>
      <c r="K943" s="402"/>
      <c r="L943" s="402"/>
      <c r="M943" s="402"/>
      <c r="N943" s="402"/>
      <c r="O943" s="402"/>
      <c r="P943" s="402"/>
      <c r="Q943" s="402"/>
      <c r="R943" s="402"/>
      <c r="S943" s="402"/>
      <c r="T943" s="402"/>
      <c r="U943" s="402"/>
      <c r="V943" s="402"/>
      <c r="W943" s="402"/>
      <c r="X943" s="402"/>
      <c r="Y943" s="402"/>
      <c r="Z943" s="402"/>
    </row>
    <row r="944" ht="14.25" customHeight="1">
      <c r="A944" s="697">
        <v>45523.0</v>
      </c>
      <c r="B944" s="878" t="s">
        <v>5363</v>
      </c>
      <c r="C944" s="878" t="s">
        <v>5222</v>
      </c>
      <c r="D944" s="883" t="s">
        <v>54</v>
      </c>
      <c r="E944" s="689" t="s">
        <v>4895</v>
      </c>
      <c r="F944" s="881">
        <v>214083.0</v>
      </c>
      <c r="G944" s="403"/>
      <c r="H944" s="349" t="s">
        <v>5364</v>
      </c>
      <c r="I944" s="866" t="str">
        <f t="shared" si="12"/>
        <v>NOT PAID</v>
      </c>
      <c r="J944" s="402"/>
      <c r="K944" s="402"/>
      <c r="L944" s="402"/>
      <c r="M944" s="402"/>
      <c r="N944" s="402"/>
      <c r="O944" s="402"/>
      <c r="P944" s="402"/>
      <c r="Q944" s="402"/>
      <c r="R944" s="402"/>
      <c r="S944" s="402"/>
      <c r="T944" s="402"/>
      <c r="U944" s="402"/>
      <c r="V944" s="402"/>
      <c r="W944" s="402"/>
      <c r="X944" s="402"/>
      <c r="Y944" s="402"/>
      <c r="Z944" s="402"/>
    </row>
    <row r="945" ht="14.25" customHeight="1">
      <c r="A945" s="697">
        <v>45523.0</v>
      </c>
      <c r="B945" s="878" t="s">
        <v>5365</v>
      </c>
      <c r="C945" s="878" t="s">
        <v>4909</v>
      </c>
      <c r="D945" s="883" t="s">
        <v>75</v>
      </c>
      <c r="E945" s="689" t="s">
        <v>5248</v>
      </c>
      <c r="F945" s="881">
        <v>115000.0</v>
      </c>
      <c r="G945" s="413">
        <v>115000.0</v>
      </c>
      <c r="H945" s="349" t="s">
        <v>267</v>
      </c>
      <c r="I945" s="866" t="str">
        <f t="shared" si="12"/>
        <v>FULLY PAID</v>
      </c>
      <c r="J945" s="402"/>
      <c r="K945" s="402"/>
      <c r="L945" s="402"/>
      <c r="M945" s="402"/>
      <c r="N945" s="402"/>
      <c r="O945" s="402"/>
      <c r="P945" s="402"/>
      <c r="Q945" s="402"/>
      <c r="R945" s="402"/>
      <c r="S945" s="402"/>
      <c r="T945" s="402"/>
      <c r="U945" s="402"/>
      <c r="V945" s="402"/>
      <c r="W945" s="402"/>
      <c r="X945" s="402"/>
      <c r="Y945" s="402"/>
      <c r="Z945" s="402"/>
    </row>
    <row r="946" ht="14.25" customHeight="1">
      <c r="A946" s="697">
        <v>45523.0</v>
      </c>
      <c r="B946" s="878" t="s">
        <v>5366</v>
      </c>
      <c r="C946" s="878" t="s">
        <v>5367</v>
      </c>
      <c r="D946" s="883" t="s">
        <v>75</v>
      </c>
      <c r="E946" s="689" t="s">
        <v>5248</v>
      </c>
      <c r="F946" s="881">
        <v>115000.0</v>
      </c>
      <c r="G946" s="403"/>
      <c r="H946" s="349" t="s">
        <v>5368</v>
      </c>
      <c r="I946" s="866" t="str">
        <f t="shared" si="12"/>
        <v>NOT PAID</v>
      </c>
      <c r="J946" s="402"/>
      <c r="K946" s="402"/>
      <c r="L946" s="402"/>
      <c r="M946" s="402"/>
      <c r="N946" s="402"/>
      <c r="O946" s="402"/>
      <c r="P946" s="402"/>
      <c r="Q946" s="402"/>
      <c r="R946" s="402"/>
      <c r="S946" s="402"/>
      <c r="T946" s="402"/>
      <c r="U946" s="402"/>
      <c r="V946" s="402"/>
      <c r="W946" s="402"/>
      <c r="X946" s="402"/>
      <c r="Y946" s="402"/>
      <c r="Z946" s="402"/>
    </row>
    <row r="947" ht="14.25" customHeight="1">
      <c r="A947" s="697">
        <v>45523.0</v>
      </c>
      <c r="B947" s="878" t="s">
        <v>4830</v>
      </c>
      <c r="C947" s="878" t="s">
        <v>4927</v>
      </c>
      <c r="D947" s="883" t="s">
        <v>54</v>
      </c>
      <c r="E947" s="870" t="s">
        <v>578</v>
      </c>
      <c r="F947" s="881">
        <v>224881.47</v>
      </c>
      <c r="G947" s="403"/>
      <c r="H947" s="349" t="s">
        <v>5369</v>
      </c>
      <c r="I947" s="866" t="str">
        <f t="shared" si="12"/>
        <v>NOT PAID</v>
      </c>
      <c r="J947" s="402"/>
      <c r="K947" s="402"/>
      <c r="L947" s="402"/>
      <c r="M947" s="402"/>
      <c r="N947" s="402"/>
      <c r="O947" s="402"/>
      <c r="P947" s="402"/>
      <c r="Q947" s="402"/>
      <c r="R947" s="402"/>
      <c r="S947" s="402"/>
      <c r="T947" s="402"/>
      <c r="U947" s="402"/>
      <c r="V947" s="402"/>
      <c r="W947" s="402"/>
      <c r="X947" s="402"/>
      <c r="Y947" s="402"/>
      <c r="Z947" s="402"/>
    </row>
    <row r="948" ht="14.25" customHeight="1">
      <c r="A948" s="697">
        <v>45523.0</v>
      </c>
      <c r="B948" s="878" t="s">
        <v>4979</v>
      </c>
      <c r="C948" s="878" t="s">
        <v>4980</v>
      </c>
      <c r="D948" s="883" t="s">
        <v>54</v>
      </c>
      <c r="E948" s="689" t="s">
        <v>5248</v>
      </c>
      <c r="F948" s="881">
        <v>13607.71</v>
      </c>
      <c r="G948" s="413">
        <v>20000.0</v>
      </c>
      <c r="H948" s="349" t="s">
        <v>267</v>
      </c>
      <c r="I948" s="866" t="str">
        <f t="shared" si="12"/>
        <v>FULLY PAID</v>
      </c>
      <c r="J948" s="402"/>
      <c r="K948" s="402"/>
      <c r="L948" s="402"/>
      <c r="M948" s="402"/>
      <c r="N948" s="402"/>
      <c r="O948" s="402"/>
      <c r="P948" s="402"/>
      <c r="Q948" s="402"/>
      <c r="R948" s="402"/>
      <c r="S948" s="402"/>
      <c r="T948" s="402"/>
      <c r="U948" s="402"/>
      <c r="V948" s="402"/>
      <c r="W948" s="402"/>
      <c r="X948" s="402"/>
      <c r="Y948" s="402"/>
      <c r="Z948" s="402"/>
    </row>
    <row r="949" ht="14.25" customHeight="1">
      <c r="A949" s="697">
        <v>45523.0</v>
      </c>
      <c r="B949" s="878" t="s">
        <v>4811</v>
      </c>
      <c r="C949" s="878" t="s">
        <v>4859</v>
      </c>
      <c r="D949" s="883" t="s">
        <v>54</v>
      </c>
      <c r="E949" s="689" t="s">
        <v>4895</v>
      </c>
      <c r="F949" s="881">
        <v>153855.55</v>
      </c>
      <c r="G949" s="403"/>
      <c r="H949" s="349" t="s">
        <v>5169</v>
      </c>
      <c r="I949" s="866" t="str">
        <f t="shared" si="12"/>
        <v>NOT PAID</v>
      </c>
      <c r="J949" s="402"/>
      <c r="K949" s="402"/>
      <c r="L949" s="402"/>
      <c r="M949" s="402"/>
      <c r="N949" s="402"/>
      <c r="O949" s="402"/>
      <c r="P949" s="402"/>
      <c r="Q949" s="402"/>
      <c r="R949" s="402"/>
      <c r="S949" s="402"/>
      <c r="T949" s="402"/>
      <c r="U949" s="402"/>
      <c r="V949" s="402"/>
      <c r="W949" s="402"/>
      <c r="X949" s="402"/>
      <c r="Y949" s="402"/>
      <c r="Z949" s="402"/>
    </row>
    <row r="950" ht="14.25" customHeight="1">
      <c r="A950" s="697">
        <v>45523.0</v>
      </c>
      <c r="B950" s="878" t="s">
        <v>4795</v>
      </c>
      <c r="C950" s="878" t="s">
        <v>5012</v>
      </c>
      <c r="D950" s="883" t="s">
        <v>54</v>
      </c>
      <c r="E950" s="689" t="s">
        <v>4950</v>
      </c>
      <c r="F950" s="881">
        <v>48336.65</v>
      </c>
      <c r="G950" s="413">
        <v>48337.0</v>
      </c>
      <c r="H950" s="349" t="s">
        <v>267</v>
      </c>
      <c r="I950" s="866" t="str">
        <f t="shared" si="12"/>
        <v>FULLY PAID</v>
      </c>
      <c r="J950" s="402"/>
      <c r="K950" s="402"/>
      <c r="L950" s="402"/>
      <c r="M950" s="402"/>
      <c r="N950" s="402"/>
      <c r="O950" s="402"/>
      <c r="P950" s="402"/>
      <c r="Q950" s="402"/>
      <c r="R950" s="402"/>
      <c r="S950" s="402"/>
      <c r="T950" s="402"/>
      <c r="U950" s="402"/>
      <c r="V950" s="402"/>
      <c r="W950" s="402"/>
      <c r="X950" s="402"/>
      <c r="Y950" s="402"/>
      <c r="Z950" s="402"/>
    </row>
    <row r="951" ht="14.25" customHeight="1">
      <c r="A951" s="697">
        <v>45523.0</v>
      </c>
      <c r="B951" s="878" t="s">
        <v>4815</v>
      </c>
      <c r="C951" s="878" t="s">
        <v>4859</v>
      </c>
      <c r="D951" s="883" t="s">
        <v>54</v>
      </c>
      <c r="E951" s="689" t="s">
        <v>4895</v>
      </c>
      <c r="F951" s="881">
        <v>182338.42</v>
      </c>
      <c r="G951" s="403"/>
      <c r="H951" s="349" t="s">
        <v>5169</v>
      </c>
      <c r="I951" s="866" t="str">
        <f t="shared" si="12"/>
        <v>NOT PAID</v>
      </c>
      <c r="J951" s="402"/>
      <c r="K951" s="402"/>
      <c r="L951" s="402"/>
      <c r="M951" s="402"/>
      <c r="N951" s="402"/>
      <c r="O951" s="402"/>
      <c r="P951" s="402"/>
      <c r="Q951" s="402"/>
      <c r="R951" s="402"/>
      <c r="S951" s="402"/>
      <c r="T951" s="402"/>
      <c r="U951" s="402"/>
      <c r="V951" s="402"/>
      <c r="W951" s="402"/>
      <c r="X951" s="402"/>
      <c r="Y951" s="402"/>
      <c r="Z951" s="402"/>
    </row>
    <row r="952" ht="14.25" customHeight="1">
      <c r="A952" s="697">
        <v>45523.0</v>
      </c>
      <c r="B952" s="878" t="s">
        <v>5075</v>
      </c>
      <c r="C952" s="878" t="s">
        <v>5076</v>
      </c>
      <c r="D952" s="883" t="s">
        <v>75</v>
      </c>
      <c r="E952" s="607" t="s">
        <v>5248</v>
      </c>
      <c r="F952" s="881">
        <v>57078.25</v>
      </c>
      <c r="G952" s="403"/>
      <c r="H952" s="349" t="s">
        <v>5368</v>
      </c>
      <c r="I952" s="866" t="str">
        <f t="shared" si="12"/>
        <v>NOT PAID</v>
      </c>
      <c r="J952" s="402"/>
      <c r="K952" s="402"/>
      <c r="L952" s="402"/>
      <c r="M952" s="402"/>
      <c r="N952" s="402"/>
      <c r="O952" s="402"/>
      <c r="P952" s="402"/>
      <c r="Q952" s="402"/>
      <c r="R952" s="402"/>
      <c r="S952" s="402"/>
      <c r="T952" s="402"/>
      <c r="U952" s="402"/>
      <c r="V952" s="402"/>
      <c r="W952" s="402"/>
      <c r="X952" s="402"/>
      <c r="Y952" s="402"/>
      <c r="Z952" s="402"/>
    </row>
    <row r="953" ht="14.25" customHeight="1">
      <c r="A953" s="697">
        <v>45523.0</v>
      </c>
      <c r="B953" s="878" t="s">
        <v>5166</v>
      </c>
      <c r="C953" s="878" t="s">
        <v>5167</v>
      </c>
      <c r="D953" s="883" t="s">
        <v>75</v>
      </c>
      <c r="E953" s="607" t="s">
        <v>5248</v>
      </c>
      <c r="F953" s="881">
        <v>24465.0</v>
      </c>
      <c r="G953" s="413">
        <v>19800.0</v>
      </c>
      <c r="H953" s="349" t="s">
        <v>267</v>
      </c>
      <c r="I953" s="866" t="str">
        <f t="shared" si="12"/>
        <v>PARTIALLY PAID</v>
      </c>
      <c r="J953" s="402"/>
      <c r="K953" s="402"/>
      <c r="L953" s="402"/>
      <c r="M953" s="402"/>
      <c r="N953" s="402"/>
      <c r="O953" s="402"/>
      <c r="P953" s="402"/>
      <c r="Q953" s="402"/>
      <c r="R953" s="402"/>
      <c r="S953" s="402"/>
      <c r="T953" s="402"/>
      <c r="U953" s="402"/>
      <c r="V953" s="402"/>
      <c r="W953" s="402"/>
      <c r="X953" s="402"/>
      <c r="Y953" s="402"/>
      <c r="Z953" s="402"/>
    </row>
    <row r="954" ht="14.25" customHeight="1">
      <c r="A954" s="697">
        <v>45523.0</v>
      </c>
      <c r="B954" s="878" t="s">
        <v>5221</v>
      </c>
      <c r="C954" s="878" t="s">
        <v>5222</v>
      </c>
      <c r="D954" s="883" t="s">
        <v>75</v>
      </c>
      <c r="E954" s="689" t="s">
        <v>4895</v>
      </c>
      <c r="F954" s="881">
        <v>579075.0</v>
      </c>
      <c r="G954" s="403"/>
      <c r="H954" s="349" t="s">
        <v>5370</v>
      </c>
      <c r="I954" s="866" t="str">
        <f t="shared" si="12"/>
        <v>NOT PAID</v>
      </c>
      <c r="J954" s="402"/>
      <c r="K954" s="402"/>
      <c r="L954" s="402"/>
      <c r="M954" s="402"/>
      <c r="N954" s="402"/>
      <c r="O954" s="402"/>
      <c r="P954" s="402"/>
      <c r="Q954" s="402"/>
      <c r="R954" s="402"/>
      <c r="S954" s="402"/>
      <c r="T954" s="402"/>
      <c r="U954" s="402"/>
      <c r="V954" s="402"/>
      <c r="W954" s="402"/>
      <c r="X954" s="402"/>
      <c r="Y954" s="402"/>
      <c r="Z954" s="402"/>
    </row>
    <row r="955" ht="14.25" customHeight="1">
      <c r="A955" s="697">
        <v>45523.0</v>
      </c>
      <c r="B955" s="878" t="s">
        <v>5316</v>
      </c>
      <c r="C955" s="878" t="s">
        <v>4975</v>
      </c>
      <c r="D955" s="883" t="s">
        <v>75</v>
      </c>
      <c r="E955" s="689" t="s">
        <v>4895</v>
      </c>
      <c r="F955" s="881">
        <v>60375.0</v>
      </c>
      <c r="G955" s="403"/>
      <c r="H955" s="349" t="s">
        <v>5371</v>
      </c>
      <c r="I955" s="866" t="str">
        <f t="shared" si="12"/>
        <v>NOT PAID</v>
      </c>
      <c r="J955" s="402"/>
      <c r="K955" s="402"/>
      <c r="L955" s="402"/>
      <c r="M955" s="402"/>
      <c r="N955" s="402"/>
      <c r="O955" s="402"/>
      <c r="P955" s="402"/>
      <c r="Q955" s="402"/>
      <c r="R955" s="402"/>
      <c r="S955" s="402"/>
      <c r="T955" s="402"/>
      <c r="U955" s="402"/>
      <c r="V955" s="402"/>
      <c r="W955" s="402"/>
      <c r="X955" s="402"/>
      <c r="Y955" s="402"/>
      <c r="Z955" s="402"/>
    </row>
    <row r="956" ht="14.25" customHeight="1">
      <c r="A956" s="697">
        <v>45523.0</v>
      </c>
      <c r="B956" s="878" t="s">
        <v>5318</v>
      </c>
      <c r="C956" s="878" t="s">
        <v>5319</v>
      </c>
      <c r="D956" s="883" t="s">
        <v>75</v>
      </c>
      <c r="E956" s="689" t="s">
        <v>5372</v>
      </c>
      <c r="F956" s="881">
        <v>362250.0</v>
      </c>
      <c r="G956" s="413">
        <v>362250.0</v>
      </c>
      <c r="H956" s="349" t="s">
        <v>267</v>
      </c>
      <c r="I956" s="866" t="str">
        <f t="shared" si="12"/>
        <v>FULLY PAID</v>
      </c>
      <c r="J956" s="402"/>
      <c r="K956" s="402"/>
      <c r="L956" s="402"/>
      <c r="M956" s="402"/>
      <c r="N956" s="402"/>
      <c r="O956" s="402"/>
      <c r="P956" s="402"/>
      <c r="Q956" s="402"/>
      <c r="R956" s="402"/>
      <c r="S956" s="402"/>
      <c r="T956" s="402"/>
      <c r="U956" s="402"/>
      <c r="V956" s="402"/>
      <c r="W956" s="402"/>
      <c r="X956" s="402"/>
      <c r="Y956" s="402"/>
      <c r="Z956" s="402"/>
    </row>
    <row r="957" ht="14.25" customHeight="1">
      <c r="A957" s="697"/>
      <c r="B957" s="863"/>
      <c r="C957" s="863"/>
      <c r="D957" s="867"/>
      <c r="E957" s="868"/>
      <c r="F957" s="865"/>
      <c r="G957" s="403"/>
      <c r="H957" s="402"/>
      <c r="I957" s="866" t="str">
        <f t="shared" si="12"/>
        <v>FULLY PAID</v>
      </c>
      <c r="J957" s="402"/>
      <c r="K957" s="402"/>
      <c r="L957" s="402"/>
      <c r="M957" s="402"/>
      <c r="N957" s="402"/>
      <c r="O957" s="402"/>
      <c r="P957" s="402"/>
      <c r="Q957" s="402"/>
      <c r="R957" s="402"/>
      <c r="S957" s="402"/>
      <c r="T957" s="402"/>
      <c r="U957" s="402"/>
      <c r="V957" s="402"/>
      <c r="W957" s="402"/>
      <c r="X957" s="402"/>
      <c r="Y957" s="402"/>
      <c r="Z957" s="402"/>
    </row>
    <row r="958" ht="14.25" customHeight="1">
      <c r="A958" s="697"/>
      <c r="B958" s="878"/>
      <c r="C958" s="424" t="s">
        <v>797</v>
      </c>
      <c r="D958" s="883"/>
      <c r="E958" s="974"/>
      <c r="F958" s="881"/>
      <c r="G958" s="403"/>
      <c r="H958" s="402"/>
      <c r="I958" s="866" t="str">
        <f t="shared" si="12"/>
        <v>FULLY PAID</v>
      </c>
      <c r="J958" s="402"/>
      <c r="K958" s="402"/>
      <c r="L958" s="402"/>
      <c r="M958" s="402"/>
      <c r="N958" s="402"/>
      <c r="O958" s="402"/>
      <c r="P958" s="402"/>
      <c r="Q958" s="402"/>
      <c r="R958" s="402"/>
      <c r="S958" s="402"/>
      <c r="T958" s="402"/>
      <c r="U958" s="402"/>
      <c r="V958" s="402"/>
      <c r="W958" s="402"/>
      <c r="X958" s="402"/>
      <c r="Y958" s="402"/>
      <c r="Z958" s="402"/>
    </row>
    <row r="959" ht="14.25" customHeight="1">
      <c r="A959" s="697">
        <v>45523.0</v>
      </c>
      <c r="B959" s="962" t="s">
        <v>5070</v>
      </c>
      <c r="C959" s="965" t="s">
        <v>4859</v>
      </c>
      <c r="D959" s="956" t="s">
        <v>75</v>
      </c>
      <c r="E959" s="870" t="s">
        <v>578</v>
      </c>
      <c r="F959" s="933">
        <v>1737025.0</v>
      </c>
      <c r="G959" s="403"/>
      <c r="H959" s="349" t="s">
        <v>5373</v>
      </c>
      <c r="I959" s="866" t="str">
        <f t="shared" si="12"/>
        <v>NOT PAID</v>
      </c>
      <c r="J959" s="402"/>
      <c r="K959" s="402"/>
      <c r="L959" s="402"/>
      <c r="M959" s="402"/>
      <c r="N959" s="402"/>
      <c r="O959" s="402"/>
      <c r="P959" s="402"/>
      <c r="Q959" s="402"/>
      <c r="R959" s="402"/>
      <c r="S959" s="402"/>
      <c r="T959" s="402"/>
      <c r="U959" s="402"/>
      <c r="V959" s="402"/>
      <c r="W959" s="402"/>
      <c r="X959" s="402"/>
      <c r="Y959" s="402"/>
      <c r="Z959" s="402"/>
    </row>
    <row r="960" ht="14.25" customHeight="1">
      <c r="A960" s="697">
        <v>45523.0</v>
      </c>
      <c r="B960" s="962" t="s">
        <v>4816</v>
      </c>
      <c r="C960" s="965" t="s">
        <v>5015</v>
      </c>
      <c r="D960" s="966" t="s">
        <v>54</v>
      </c>
      <c r="E960" s="981" t="s">
        <v>578</v>
      </c>
      <c r="F960" s="933">
        <v>6203.0</v>
      </c>
      <c r="G960" s="403"/>
      <c r="H960" s="349" t="s">
        <v>5374</v>
      </c>
      <c r="I960" s="866" t="str">
        <f t="shared" si="12"/>
        <v>NOT PAID</v>
      </c>
      <c r="J960" s="402"/>
      <c r="K960" s="402"/>
      <c r="L960" s="402"/>
      <c r="M960" s="402"/>
      <c r="N960" s="402"/>
      <c r="O960" s="402"/>
      <c r="P960" s="402"/>
      <c r="Q960" s="402"/>
      <c r="R960" s="402"/>
      <c r="S960" s="402"/>
      <c r="T960" s="402"/>
      <c r="U960" s="402"/>
      <c r="V960" s="402"/>
      <c r="W960" s="402"/>
      <c r="X960" s="402"/>
      <c r="Y960" s="402"/>
      <c r="Z960" s="402"/>
    </row>
    <row r="961" ht="14.25" customHeight="1">
      <c r="A961" s="697">
        <v>45523.0</v>
      </c>
      <c r="B961" s="962" t="s">
        <v>4767</v>
      </c>
      <c r="C961" s="965" t="s">
        <v>4861</v>
      </c>
      <c r="D961" s="966" t="s">
        <v>59</v>
      </c>
      <c r="E961" s="975" t="s">
        <v>578</v>
      </c>
      <c r="F961" s="766">
        <v>147000.0</v>
      </c>
      <c r="G961" s="403"/>
      <c r="H961" s="349" t="s">
        <v>5375</v>
      </c>
      <c r="I961" s="866" t="str">
        <f t="shared" si="12"/>
        <v>NOT PAID</v>
      </c>
      <c r="J961" s="402"/>
      <c r="K961" s="402"/>
      <c r="L961" s="402"/>
      <c r="M961" s="402"/>
      <c r="N961" s="402"/>
      <c r="O961" s="402"/>
      <c r="P961" s="402"/>
      <c r="Q961" s="402"/>
      <c r="R961" s="402"/>
      <c r="S961" s="402"/>
      <c r="T961" s="402"/>
      <c r="U961" s="402"/>
      <c r="V961" s="402"/>
      <c r="W961" s="402"/>
      <c r="X961" s="402"/>
      <c r="Y961" s="402"/>
      <c r="Z961" s="402"/>
    </row>
    <row r="962" ht="14.25" customHeight="1">
      <c r="A962" s="697">
        <v>45523.0</v>
      </c>
      <c r="B962" s="958" t="s">
        <v>4781</v>
      </c>
      <c r="C962" s="956" t="s">
        <v>4827</v>
      </c>
      <c r="D962" s="966" t="s">
        <v>54</v>
      </c>
      <c r="E962" s="975" t="s">
        <v>578</v>
      </c>
      <c r="F962" s="872">
        <v>227711.11</v>
      </c>
      <c r="G962" s="403"/>
      <c r="H962" s="349" t="s">
        <v>5376</v>
      </c>
      <c r="I962" s="866" t="str">
        <f t="shared" si="12"/>
        <v>NOT PAID</v>
      </c>
      <c r="J962" s="402"/>
      <c r="K962" s="402"/>
      <c r="L962" s="402"/>
      <c r="M962" s="402"/>
      <c r="N962" s="402"/>
      <c r="O962" s="402"/>
      <c r="P962" s="402"/>
      <c r="Q962" s="402"/>
      <c r="R962" s="402"/>
      <c r="S962" s="402"/>
      <c r="T962" s="402"/>
      <c r="U962" s="402"/>
      <c r="V962" s="402"/>
      <c r="W962" s="402"/>
      <c r="X962" s="402"/>
      <c r="Y962" s="402"/>
      <c r="Z962" s="402"/>
    </row>
    <row r="963" ht="14.25" customHeight="1">
      <c r="A963" s="697">
        <v>45523.0</v>
      </c>
      <c r="B963" s="958" t="s">
        <v>4919</v>
      </c>
      <c r="C963" s="956" t="s">
        <v>4945</v>
      </c>
      <c r="D963" s="966" t="s">
        <v>75</v>
      </c>
      <c r="E963" s="975" t="s">
        <v>578</v>
      </c>
      <c r="F963" s="766">
        <v>316158.74</v>
      </c>
      <c r="G963" s="403"/>
      <c r="H963" s="349" t="s">
        <v>5377</v>
      </c>
      <c r="I963" s="866" t="str">
        <f t="shared" si="12"/>
        <v>NOT PAID</v>
      </c>
      <c r="J963" s="402"/>
      <c r="K963" s="402"/>
      <c r="L963" s="402"/>
      <c r="M963" s="402"/>
      <c r="N963" s="402"/>
      <c r="O963" s="402"/>
      <c r="P963" s="402"/>
      <c r="Q963" s="402"/>
      <c r="R963" s="402"/>
      <c r="S963" s="402"/>
      <c r="T963" s="402"/>
      <c r="U963" s="402"/>
      <c r="V963" s="402"/>
      <c r="W963" s="402"/>
      <c r="X963" s="402"/>
      <c r="Y963" s="402"/>
      <c r="Z963" s="402"/>
    </row>
    <row r="964" ht="14.25" customHeight="1">
      <c r="A964" s="697"/>
      <c r="B964" s="878"/>
      <c r="C964" s="878"/>
      <c r="D964" s="883"/>
      <c r="E964" s="974"/>
      <c r="F964" s="881"/>
      <c r="G964" s="403"/>
      <c r="H964" s="402"/>
      <c r="I964" s="866" t="str">
        <f t="shared" si="12"/>
        <v>FULLY PAID</v>
      </c>
      <c r="J964" s="402"/>
      <c r="K964" s="402"/>
      <c r="L964" s="402"/>
      <c r="M964" s="402"/>
      <c r="N964" s="402"/>
      <c r="O964" s="402"/>
      <c r="P964" s="402"/>
      <c r="Q964" s="402"/>
      <c r="R964" s="402"/>
      <c r="S964" s="402"/>
      <c r="T964" s="402"/>
      <c r="U964" s="402"/>
      <c r="V964" s="402"/>
      <c r="W964" s="402"/>
      <c r="X964" s="402"/>
      <c r="Y964" s="402"/>
      <c r="Z964" s="402"/>
    </row>
    <row r="965" ht="14.25" customHeight="1">
      <c r="A965" s="697"/>
      <c r="B965" s="863"/>
      <c r="C965" s="863"/>
      <c r="D965" s="867"/>
      <c r="E965" s="868"/>
      <c r="F965" s="865"/>
      <c r="G965" s="403"/>
      <c r="H965" s="402"/>
      <c r="I965" s="866" t="str">
        <f t="shared" si="12"/>
        <v>FULLY PAID</v>
      </c>
      <c r="J965" s="402"/>
      <c r="K965" s="402"/>
      <c r="L965" s="402"/>
      <c r="M965" s="402"/>
      <c r="N965" s="402"/>
      <c r="O965" s="402"/>
      <c r="P965" s="402"/>
      <c r="Q965" s="402"/>
      <c r="R965" s="402"/>
      <c r="S965" s="402"/>
      <c r="T965" s="402"/>
      <c r="U965" s="402"/>
      <c r="V965" s="402"/>
      <c r="W965" s="402"/>
      <c r="X965" s="402"/>
      <c r="Y965" s="402"/>
      <c r="Z965" s="402"/>
    </row>
    <row r="966" ht="14.25" customHeight="1">
      <c r="A966" s="584" t="s">
        <v>2130</v>
      </c>
      <c r="B966" s="877" t="s">
        <v>39</v>
      </c>
      <c r="C966" s="584" t="s">
        <v>48</v>
      </c>
      <c r="D966" s="584" t="s">
        <v>49</v>
      </c>
      <c r="E966" s="862" t="s">
        <v>50</v>
      </c>
      <c r="F966" s="585" t="s">
        <v>2</v>
      </c>
      <c r="G966" s="584" t="s">
        <v>44</v>
      </c>
      <c r="H966" s="584" t="s">
        <v>45</v>
      </c>
      <c r="I966" s="866" t="str">
        <f t="shared" si="12"/>
        <v>FULLY PAID</v>
      </c>
      <c r="J966" s="402"/>
      <c r="K966" s="402"/>
      <c r="L966" s="402"/>
      <c r="M966" s="402"/>
      <c r="N966" s="402"/>
      <c r="O966" s="402"/>
      <c r="P966" s="402"/>
      <c r="Q966" s="402"/>
      <c r="R966" s="402"/>
      <c r="S966" s="402"/>
      <c r="T966" s="402"/>
      <c r="U966" s="402"/>
      <c r="V966" s="402"/>
      <c r="W966" s="402"/>
      <c r="X966" s="402"/>
      <c r="Y966" s="402"/>
      <c r="Z966" s="402"/>
    </row>
    <row r="967" ht="14.25" customHeight="1">
      <c r="A967" s="697">
        <v>45524.0</v>
      </c>
      <c r="B967" s="863" t="s">
        <v>5130</v>
      </c>
      <c r="C967" s="863" t="s">
        <v>5131</v>
      </c>
      <c r="D967" s="867" t="s">
        <v>54</v>
      </c>
      <c r="E967" s="689" t="s">
        <v>4950</v>
      </c>
      <c r="F967" s="865">
        <v>3227.69</v>
      </c>
      <c r="G967" s="403"/>
      <c r="H967" s="349" t="s">
        <v>710</v>
      </c>
      <c r="I967" s="402"/>
      <c r="J967" s="402"/>
      <c r="K967" s="402"/>
      <c r="L967" s="402"/>
      <c r="M967" s="402"/>
      <c r="N967" s="402"/>
      <c r="O967" s="402"/>
      <c r="P967" s="402"/>
      <c r="Q967" s="402"/>
      <c r="R967" s="402"/>
      <c r="S967" s="402"/>
      <c r="T967" s="402"/>
      <c r="U967" s="402"/>
      <c r="V967" s="402"/>
      <c r="W967" s="402"/>
      <c r="X967" s="402"/>
      <c r="Y967" s="402"/>
      <c r="Z967" s="402"/>
    </row>
    <row r="968" ht="14.25" customHeight="1">
      <c r="A968" s="697">
        <v>45524.0</v>
      </c>
      <c r="B968" s="863" t="s">
        <v>5212</v>
      </c>
      <c r="C968" s="863" t="s">
        <v>5378</v>
      </c>
      <c r="D968" s="867" t="s">
        <v>54</v>
      </c>
      <c r="E968" s="689" t="s">
        <v>4950</v>
      </c>
      <c r="F968" s="865">
        <v>16774.75</v>
      </c>
      <c r="G968" s="403"/>
      <c r="H968" s="349" t="s">
        <v>5379</v>
      </c>
      <c r="I968" s="402"/>
      <c r="J968" s="402"/>
      <c r="K968" s="402"/>
      <c r="L968" s="402"/>
      <c r="M968" s="402"/>
      <c r="N968" s="402"/>
      <c r="O968" s="402"/>
      <c r="P968" s="402"/>
      <c r="Q968" s="402"/>
      <c r="R968" s="402"/>
      <c r="S968" s="402"/>
      <c r="T968" s="402"/>
      <c r="U968" s="402"/>
      <c r="V968" s="402"/>
      <c r="W968" s="402"/>
      <c r="X968" s="402"/>
      <c r="Y968" s="402"/>
      <c r="Z968" s="402"/>
    </row>
    <row r="969" ht="14.25" customHeight="1">
      <c r="A969" s="697">
        <v>45524.0</v>
      </c>
      <c r="B969" s="863" t="s">
        <v>4800</v>
      </c>
      <c r="C969" s="863" t="s">
        <v>4801</v>
      </c>
      <c r="D969" s="867" t="s">
        <v>59</v>
      </c>
      <c r="E969" s="689" t="s">
        <v>4950</v>
      </c>
      <c r="F969" s="865">
        <v>71780.27</v>
      </c>
      <c r="G969" s="413">
        <v>110000.0</v>
      </c>
      <c r="H969" s="349" t="s">
        <v>710</v>
      </c>
      <c r="I969" s="402"/>
      <c r="J969" s="402"/>
      <c r="K969" s="402"/>
      <c r="L969" s="402"/>
      <c r="M969" s="402"/>
      <c r="N969" s="402"/>
      <c r="O969" s="402"/>
      <c r="P969" s="402"/>
      <c r="Q969" s="402"/>
      <c r="R969" s="402"/>
      <c r="S969" s="402"/>
      <c r="T969" s="402"/>
      <c r="U969" s="402"/>
      <c r="V969" s="402"/>
      <c r="W969" s="402"/>
      <c r="X969" s="402"/>
      <c r="Y969" s="402"/>
      <c r="Z969" s="402"/>
    </row>
    <row r="970" ht="14.25" customHeight="1">
      <c r="A970" s="697">
        <v>45524.0</v>
      </c>
      <c r="B970" s="863" t="s">
        <v>5227</v>
      </c>
      <c r="C970" s="863" t="s">
        <v>5158</v>
      </c>
      <c r="D970" s="867" t="s">
        <v>54</v>
      </c>
      <c r="E970" s="689" t="s">
        <v>600</v>
      </c>
      <c r="F970" s="865">
        <v>247.82</v>
      </c>
      <c r="G970" s="403"/>
      <c r="H970" s="349" t="s">
        <v>5351</v>
      </c>
      <c r="I970" s="402"/>
      <c r="J970" s="402"/>
      <c r="K970" s="402"/>
      <c r="L970" s="402"/>
      <c r="M970" s="402"/>
      <c r="N970" s="402"/>
      <c r="O970" s="402"/>
      <c r="P970" s="402"/>
      <c r="Q970" s="402"/>
      <c r="R970" s="402"/>
      <c r="S970" s="402"/>
      <c r="T970" s="402"/>
      <c r="U970" s="402"/>
      <c r="V970" s="402"/>
      <c r="W970" s="402"/>
      <c r="X970" s="402"/>
      <c r="Y970" s="402"/>
      <c r="Z970" s="402"/>
    </row>
    <row r="971" ht="14.25" customHeight="1">
      <c r="A971" s="697">
        <v>45524.0</v>
      </c>
      <c r="B971" s="863" t="s">
        <v>5198</v>
      </c>
      <c r="C971" s="863" t="s">
        <v>5380</v>
      </c>
      <c r="D971" s="867" t="s">
        <v>54</v>
      </c>
      <c r="E971" s="689" t="s">
        <v>4950</v>
      </c>
      <c r="F971" s="865">
        <v>1465.21</v>
      </c>
      <c r="G971" s="403"/>
      <c r="H971" s="349" t="s">
        <v>5381</v>
      </c>
      <c r="I971" s="402"/>
      <c r="J971" s="402"/>
      <c r="K971" s="402"/>
      <c r="L971" s="402"/>
      <c r="M971" s="402"/>
      <c r="N971" s="402"/>
      <c r="O971" s="402"/>
      <c r="P971" s="402"/>
      <c r="Q971" s="402"/>
      <c r="R971" s="402"/>
      <c r="S971" s="402"/>
      <c r="T971" s="402"/>
      <c r="U971" s="402"/>
      <c r="V971" s="402"/>
      <c r="W971" s="402"/>
      <c r="X971" s="402"/>
      <c r="Y971" s="402"/>
      <c r="Z971" s="402"/>
    </row>
    <row r="972" ht="14.25" customHeight="1">
      <c r="A972" s="697">
        <v>45524.0</v>
      </c>
      <c r="B972" s="863" t="s">
        <v>4864</v>
      </c>
      <c r="C972" s="863" t="s">
        <v>4952</v>
      </c>
      <c r="D972" s="867" t="s">
        <v>54</v>
      </c>
      <c r="E972" s="689" t="s">
        <v>578</v>
      </c>
      <c r="F972" s="865">
        <v>7426.16</v>
      </c>
      <c r="G972" s="403"/>
      <c r="H972" s="349" t="s">
        <v>5177</v>
      </c>
      <c r="I972" s="402"/>
      <c r="J972" s="402"/>
      <c r="K972" s="402"/>
      <c r="L972" s="402"/>
      <c r="M972" s="402"/>
      <c r="N972" s="402"/>
      <c r="O972" s="402"/>
      <c r="P972" s="402"/>
      <c r="Q972" s="402"/>
      <c r="R972" s="402"/>
      <c r="S972" s="402"/>
      <c r="T972" s="402"/>
      <c r="U972" s="402"/>
      <c r="V972" s="402"/>
      <c r="W972" s="402"/>
      <c r="X972" s="402"/>
      <c r="Y972" s="402"/>
      <c r="Z972" s="402"/>
    </row>
    <row r="973" ht="14.25" customHeight="1">
      <c r="A973" s="697">
        <v>45524.0</v>
      </c>
      <c r="B973" s="863" t="s">
        <v>4900</v>
      </c>
      <c r="C973" s="863" t="s">
        <v>5133</v>
      </c>
      <c r="D973" s="867" t="s">
        <v>54</v>
      </c>
      <c r="E973" s="689" t="s">
        <v>5248</v>
      </c>
      <c r="F973" s="865">
        <v>8355.89</v>
      </c>
      <c r="G973" s="403"/>
      <c r="H973" s="349" t="s">
        <v>5382</v>
      </c>
      <c r="I973" s="402"/>
      <c r="J973" s="402"/>
      <c r="K973" s="402"/>
      <c r="L973" s="402"/>
      <c r="M973" s="402"/>
      <c r="N973" s="402"/>
      <c r="O973" s="402"/>
      <c r="P973" s="402"/>
      <c r="Q973" s="402"/>
      <c r="R973" s="402"/>
      <c r="S973" s="402"/>
      <c r="T973" s="402"/>
      <c r="U973" s="402"/>
      <c r="V973" s="402"/>
      <c r="W973" s="402"/>
      <c r="X973" s="402"/>
      <c r="Y973" s="402"/>
      <c r="Z973" s="402"/>
    </row>
    <row r="974" ht="14.25" customHeight="1">
      <c r="A974" s="697">
        <v>45524.0</v>
      </c>
      <c r="B974" s="863" t="s">
        <v>5042</v>
      </c>
      <c r="C974" s="863" t="s">
        <v>5043</v>
      </c>
      <c r="D974" s="867" t="s">
        <v>54</v>
      </c>
      <c r="E974" s="689" t="s">
        <v>4895</v>
      </c>
      <c r="F974" s="865">
        <v>39812.69</v>
      </c>
      <c r="G974" s="413">
        <v>54017.0</v>
      </c>
      <c r="H974" s="349" t="s">
        <v>710</v>
      </c>
      <c r="I974" s="402"/>
      <c r="J974" s="402"/>
      <c r="K974" s="402"/>
      <c r="L974" s="402"/>
      <c r="M974" s="402"/>
      <c r="N974" s="402"/>
      <c r="O974" s="402"/>
      <c r="P974" s="402"/>
      <c r="Q974" s="402"/>
      <c r="R974" s="402"/>
      <c r="S974" s="402"/>
      <c r="T974" s="402"/>
      <c r="U974" s="402"/>
      <c r="V974" s="402"/>
      <c r="W974" s="402"/>
      <c r="X974" s="402"/>
      <c r="Y974" s="402"/>
      <c r="Z974" s="402"/>
    </row>
    <row r="975" ht="14.25" customHeight="1">
      <c r="A975" s="697">
        <v>45524.0</v>
      </c>
      <c r="B975" s="863" t="s">
        <v>5257</v>
      </c>
      <c r="C975" s="863" t="s">
        <v>5383</v>
      </c>
      <c r="D975" s="867" t="s">
        <v>54</v>
      </c>
      <c r="E975" s="689" t="s">
        <v>4950</v>
      </c>
      <c r="F975" s="865">
        <v>9842.48</v>
      </c>
      <c r="G975" s="403"/>
      <c r="H975" s="349" t="s">
        <v>5351</v>
      </c>
      <c r="I975" s="402"/>
      <c r="J975" s="402"/>
      <c r="K975" s="402"/>
      <c r="L975" s="402"/>
      <c r="M975" s="402"/>
      <c r="N975" s="402"/>
      <c r="O975" s="402"/>
      <c r="P975" s="402"/>
      <c r="Q975" s="402"/>
      <c r="R975" s="402"/>
      <c r="S975" s="402"/>
      <c r="T975" s="402"/>
      <c r="U975" s="402"/>
      <c r="V975" s="402"/>
      <c r="W975" s="402"/>
      <c r="X975" s="402"/>
      <c r="Y975" s="402"/>
      <c r="Z975" s="402"/>
    </row>
    <row r="976" ht="14.25" customHeight="1">
      <c r="A976" s="697">
        <v>45524.0</v>
      </c>
      <c r="B976" s="863" t="s">
        <v>5097</v>
      </c>
      <c r="C976" s="863" t="s">
        <v>5076</v>
      </c>
      <c r="D976" s="867" t="s">
        <v>54</v>
      </c>
      <c r="E976" s="689" t="s">
        <v>578</v>
      </c>
      <c r="F976" s="865">
        <v>1625.64</v>
      </c>
      <c r="G976" s="413">
        <v>2000.0</v>
      </c>
      <c r="H976" s="349" t="s">
        <v>5352</v>
      </c>
      <c r="I976" s="402"/>
      <c r="J976" s="402"/>
      <c r="K976" s="402"/>
      <c r="L976" s="402"/>
      <c r="M976" s="402"/>
      <c r="N976" s="402"/>
      <c r="O976" s="402"/>
      <c r="P976" s="402"/>
      <c r="Q976" s="402"/>
      <c r="R976" s="402"/>
      <c r="S976" s="402"/>
      <c r="T976" s="402"/>
      <c r="U976" s="402"/>
      <c r="V976" s="402"/>
      <c r="W976" s="402"/>
      <c r="X976" s="402"/>
      <c r="Y976" s="402"/>
      <c r="Z976" s="402"/>
    </row>
    <row r="977" ht="14.25" customHeight="1">
      <c r="A977" s="697">
        <v>45524.0</v>
      </c>
      <c r="B977" s="863" t="s">
        <v>4767</v>
      </c>
      <c r="C977" s="863" t="s">
        <v>4768</v>
      </c>
      <c r="D977" s="867" t="s">
        <v>59</v>
      </c>
      <c r="E977" s="689" t="s">
        <v>4950</v>
      </c>
      <c r="F977" s="865">
        <v>100846.14</v>
      </c>
      <c r="G977" s="403"/>
      <c r="H977" s="349" t="s">
        <v>5382</v>
      </c>
      <c r="I977" s="402"/>
      <c r="J977" s="402"/>
      <c r="K977" s="402"/>
      <c r="L977" s="402"/>
      <c r="M977" s="402"/>
      <c r="N977" s="402"/>
      <c r="O977" s="402"/>
      <c r="P977" s="402"/>
      <c r="Q977" s="402"/>
      <c r="R977" s="402"/>
      <c r="S977" s="402"/>
      <c r="T977" s="402"/>
      <c r="U977" s="402"/>
      <c r="V977" s="402"/>
      <c r="W977" s="402"/>
      <c r="X977" s="402"/>
      <c r="Y977" s="402"/>
      <c r="Z977" s="402"/>
    </row>
    <row r="978" ht="14.25" customHeight="1">
      <c r="A978" s="697">
        <v>45524.0</v>
      </c>
      <c r="B978" s="863" t="s">
        <v>4770</v>
      </c>
      <c r="C978" s="863" t="s">
        <v>4771</v>
      </c>
      <c r="D978" s="867" t="s">
        <v>263</v>
      </c>
      <c r="E978" s="689" t="s">
        <v>4895</v>
      </c>
      <c r="F978" s="865">
        <v>25486.64</v>
      </c>
      <c r="G978" s="403"/>
      <c r="H978" s="349" t="s">
        <v>5384</v>
      </c>
      <c r="I978" s="402"/>
      <c r="J978" s="402"/>
      <c r="K978" s="402"/>
      <c r="L978" s="402"/>
      <c r="M978" s="402"/>
      <c r="N978" s="402"/>
      <c r="O978" s="402"/>
      <c r="P978" s="402"/>
      <c r="Q978" s="402"/>
      <c r="R978" s="402"/>
      <c r="S978" s="402"/>
      <c r="T978" s="402"/>
      <c r="U978" s="402"/>
      <c r="V978" s="402"/>
      <c r="W978" s="402"/>
      <c r="X978" s="402"/>
      <c r="Y978" s="402"/>
      <c r="Z978" s="402"/>
    </row>
    <row r="979" ht="14.25" customHeight="1">
      <c r="A979" s="697">
        <v>45524.0</v>
      </c>
      <c r="B979" s="863" t="s">
        <v>4773</v>
      </c>
      <c r="C979" s="863" t="s">
        <v>4774</v>
      </c>
      <c r="D979" s="867" t="s">
        <v>54</v>
      </c>
      <c r="E979" s="689" t="s">
        <v>4895</v>
      </c>
      <c r="F979" s="865">
        <v>979.93</v>
      </c>
      <c r="G979" s="403"/>
      <c r="H979" s="349" t="s">
        <v>5384</v>
      </c>
      <c r="I979" s="402"/>
      <c r="J979" s="402"/>
      <c r="K979" s="402"/>
      <c r="L979" s="402"/>
      <c r="M979" s="402"/>
      <c r="N979" s="402"/>
      <c r="O979" s="402"/>
      <c r="P979" s="402"/>
      <c r="Q979" s="402"/>
      <c r="R979" s="402"/>
      <c r="S979" s="402"/>
      <c r="T979" s="402"/>
      <c r="U979" s="402"/>
      <c r="V979" s="402"/>
      <c r="W979" s="402"/>
      <c r="X979" s="402"/>
      <c r="Y979" s="402"/>
      <c r="Z979" s="402"/>
    </row>
    <row r="980" ht="14.25" customHeight="1">
      <c r="A980" s="697">
        <v>45524.0</v>
      </c>
      <c r="B980" s="863" t="s">
        <v>5103</v>
      </c>
      <c r="C980" s="863" t="s">
        <v>5139</v>
      </c>
      <c r="D980" s="867" t="s">
        <v>54</v>
      </c>
      <c r="E980" s="689" t="s">
        <v>4950</v>
      </c>
      <c r="F980" s="865">
        <v>30148.54</v>
      </c>
      <c r="G980" s="403"/>
      <c r="H980" s="349" t="s">
        <v>5351</v>
      </c>
      <c r="I980" s="402"/>
      <c r="J980" s="402"/>
      <c r="K980" s="402"/>
      <c r="L980" s="402"/>
      <c r="M980" s="402"/>
      <c r="N980" s="402"/>
      <c r="O980" s="402"/>
      <c r="P980" s="402"/>
      <c r="Q980" s="402"/>
      <c r="R980" s="402"/>
      <c r="S980" s="402"/>
      <c r="T980" s="402"/>
      <c r="U980" s="402"/>
      <c r="V980" s="402"/>
      <c r="W980" s="402"/>
      <c r="X980" s="402"/>
      <c r="Y980" s="402"/>
      <c r="Z980" s="402"/>
    </row>
    <row r="981" ht="14.25" customHeight="1">
      <c r="A981" s="697">
        <v>45524.0</v>
      </c>
      <c r="B981" s="863" t="s">
        <v>4779</v>
      </c>
      <c r="C981" s="863" t="s">
        <v>4780</v>
      </c>
      <c r="D981" s="867" t="s">
        <v>54</v>
      </c>
      <c r="E981" s="689" t="s">
        <v>4950</v>
      </c>
      <c r="F981" s="865">
        <v>2797.83</v>
      </c>
      <c r="G981" s="403"/>
      <c r="H981" s="349" t="s">
        <v>5352</v>
      </c>
      <c r="I981" s="402"/>
      <c r="J981" s="402"/>
      <c r="K981" s="402"/>
      <c r="L981" s="402"/>
      <c r="M981" s="402"/>
      <c r="N981" s="402"/>
      <c r="O981" s="402"/>
      <c r="P981" s="402"/>
      <c r="Q981" s="402"/>
      <c r="R981" s="402"/>
      <c r="S981" s="402"/>
      <c r="T981" s="402"/>
      <c r="U981" s="402"/>
      <c r="V981" s="402"/>
      <c r="W981" s="402"/>
      <c r="X981" s="402"/>
      <c r="Y981" s="402"/>
      <c r="Z981" s="402"/>
    </row>
    <row r="982" ht="14.25" customHeight="1">
      <c r="A982" s="697">
        <v>45524.0</v>
      </c>
      <c r="B982" s="863" t="s">
        <v>4977</v>
      </c>
      <c r="C982" s="863" t="s">
        <v>4808</v>
      </c>
      <c r="D982" s="867" t="s">
        <v>54</v>
      </c>
      <c r="E982" s="689" t="s">
        <v>5248</v>
      </c>
      <c r="F982" s="865">
        <v>892.65</v>
      </c>
      <c r="G982" s="403"/>
      <c r="H982" s="349" t="s">
        <v>5352</v>
      </c>
      <c r="I982" s="402"/>
      <c r="J982" s="402"/>
      <c r="K982" s="402"/>
      <c r="L982" s="402"/>
      <c r="M982" s="402"/>
      <c r="N982" s="402"/>
      <c r="O982" s="402"/>
      <c r="P982" s="402"/>
      <c r="Q982" s="402"/>
      <c r="R982" s="402"/>
      <c r="S982" s="402"/>
      <c r="T982" s="402"/>
      <c r="U982" s="402"/>
      <c r="V982" s="402"/>
      <c r="W982" s="402"/>
      <c r="X982" s="402"/>
      <c r="Y982" s="402"/>
      <c r="Z982" s="402"/>
    </row>
    <row r="983" ht="14.25" customHeight="1">
      <c r="A983" s="697">
        <v>45524.0</v>
      </c>
      <c r="B983" s="863" t="s">
        <v>4807</v>
      </c>
      <c r="C983" s="863" t="s">
        <v>4808</v>
      </c>
      <c r="D983" s="867" t="s">
        <v>346</v>
      </c>
      <c r="E983" s="689" t="s">
        <v>4950</v>
      </c>
      <c r="F983" s="865">
        <v>1101.89</v>
      </c>
      <c r="G983" s="403"/>
      <c r="H983" s="349" t="s">
        <v>5352</v>
      </c>
      <c r="I983" s="402"/>
      <c r="J983" s="402"/>
      <c r="K983" s="402"/>
      <c r="L983" s="402"/>
      <c r="M983" s="402"/>
      <c r="N983" s="402"/>
      <c r="O983" s="402"/>
      <c r="P983" s="402"/>
      <c r="Q983" s="402"/>
      <c r="R983" s="402"/>
      <c r="S983" s="402"/>
      <c r="T983" s="402"/>
      <c r="U983" s="402"/>
      <c r="V983" s="402"/>
      <c r="W983" s="402"/>
      <c r="X983" s="402"/>
      <c r="Y983" s="402"/>
      <c r="Z983" s="402"/>
    </row>
    <row r="984" ht="14.25" customHeight="1">
      <c r="A984" s="697">
        <v>45524.0</v>
      </c>
      <c r="B984" s="863" t="s">
        <v>5312</v>
      </c>
      <c r="C984" s="863" t="s">
        <v>5385</v>
      </c>
      <c r="D984" s="867" t="s">
        <v>54</v>
      </c>
      <c r="E984" s="689" t="s">
        <v>578</v>
      </c>
      <c r="F984" s="865">
        <v>15493.96</v>
      </c>
      <c r="G984" s="403"/>
      <c r="H984" s="349" t="s">
        <v>3462</v>
      </c>
      <c r="I984" s="402"/>
      <c r="J984" s="402"/>
      <c r="K984" s="402"/>
      <c r="L984" s="402"/>
      <c r="M984" s="402"/>
      <c r="N984" s="402"/>
      <c r="O984" s="402"/>
      <c r="P984" s="402"/>
      <c r="Q984" s="402"/>
      <c r="R984" s="402"/>
      <c r="S984" s="402"/>
      <c r="T984" s="402"/>
      <c r="U984" s="402"/>
      <c r="V984" s="402"/>
      <c r="W984" s="402"/>
      <c r="X984" s="402"/>
      <c r="Y984" s="402"/>
      <c r="Z984" s="402"/>
    </row>
    <row r="985" ht="14.25" customHeight="1">
      <c r="A985" s="697">
        <v>45524.0</v>
      </c>
      <c r="B985" s="863" t="s">
        <v>5342</v>
      </c>
      <c r="C985" s="863" t="s">
        <v>5386</v>
      </c>
      <c r="D985" s="867" t="s">
        <v>54</v>
      </c>
      <c r="E985" s="689" t="s">
        <v>4895</v>
      </c>
      <c r="F985" s="865">
        <v>78498.35</v>
      </c>
      <c r="G985" s="413">
        <v>0.0</v>
      </c>
      <c r="H985" s="349" t="s">
        <v>5387</v>
      </c>
      <c r="I985" s="402"/>
      <c r="J985" s="402"/>
      <c r="K985" s="402"/>
      <c r="L985" s="402"/>
      <c r="M985" s="402"/>
      <c r="N985" s="402"/>
      <c r="O985" s="402"/>
      <c r="P985" s="402"/>
      <c r="Q985" s="402"/>
      <c r="R985" s="402"/>
      <c r="S985" s="402"/>
      <c r="T985" s="402"/>
      <c r="U985" s="402"/>
      <c r="V985" s="402"/>
      <c r="W985" s="402"/>
      <c r="X985" s="402"/>
      <c r="Y985" s="402"/>
      <c r="Z985" s="402"/>
    </row>
    <row r="986" ht="14.25" customHeight="1">
      <c r="A986" s="697">
        <v>45524.0</v>
      </c>
      <c r="B986" s="863" t="s">
        <v>5035</v>
      </c>
      <c r="C986" s="863" t="s">
        <v>5146</v>
      </c>
      <c r="D986" s="867" t="s">
        <v>54</v>
      </c>
      <c r="E986" s="689" t="s">
        <v>578</v>
      </c>
      <c r="F986" s="865">
        <v>20.8</v>
      </c>
      <c r="G986" s="403"/>
      <c r="H986" s="349" t="s">
        <v>952</v>
      </c>
      <c r="I986" s="402"/>
      <c r="J986" s="402"/>
      <c r="K986" s="402"/>
      <c r="L986" s="402"/>
      <c r="M986" s="402"/>
      <c r="N986" s="402"/>
      <c r="O986" s="402"/>
      <c r="P986" s="402"/>
      <c r="Q986" s="402"/>
      <c r="R986" s="402"/>
      <c r="S986" s="402"/>
      <c r="T986" s="402"/>
      <c r="U986" s="402"/>
      <c r="V986" s="402"/>
      <c r="W986" s="402"/>
      <c r="X986" s="402"/>
      <c r="Y986" s="402"/>
      <c r="Z986" s="402"/>
    </row>
    <row r="987" ht="14.25" customHeight="1">
      <c r="A987" s="697">
        <v>45524.0</v>
      </c>
      <c r="B987" s="863" t="s">
        <v>4791</v>
      </c>
      <c r="C987" s="863" t="s">
        <v>4792</v>
      </c>
      <c r="D987" s="867" t="s">
        <v>54</v>
      </c>
      <c r="E987" s="689" t="s">
        <v>5248</v>
      </c>
      <c r="F987" s="865">
        <v>9441.25</v>
      </c>
      <c r="G987" s="413">
        <v>4000.0</v>
      </c>
      <c r="H987" s="349" t="s">
        <v>710</v>
      </c>
      <c r="I987" s="402"/>
      <c r="J987" s="402"/>
      <c r="K987" s="402"/>
      <c r="L987" s="402"/>
      <c r="M987" s="402"/>
      <c r="N987" s="402"/>
      <c r="O987" s="402"/>
      <c r="P987" s="402"/>
      <c r="Q987" s="402"/>
      <c r="R987" s="402"/>
      <c r="S987" s="402"/>
      <c r="T987" s="402"/>
      <c r="U987" s="402"/>
      <c r="V987" s="402"/>
      <c r="W987" s="402"/>
      <c r="X987" s="402"/>
      <c r="Y987" s="402"/>
      <c r="Z987" s="402"/>
    </row>
    <row r="988" ht="14.25" customHeight="1">
      <c r="A988" s="697">
        <v>45524.0</v>
      </c>
      <c r="B988" s="863" t="s">
        <v>4793</v>
      </c>
      <c r="C988" s="863" t="s">
        <v>4794</v>
      </c>
      <c r="D988" s="867" t="s">
        <v>54</v>
      </c>
      <c r="E988" s="689" t="s">
        <v>4895</v>
      </c>
      <c r="F988" s="865">
        <v>12772.71</v>
      </c>
      <c r="G988" s="413">
        <v>0.0</v>
      </c>
      <c r="H988" s="349" t="s">
        <v>5352</v>
      </c>
      <c r="I988" s="402"/>
      <c r="J988" s="402"/>
      <c r="K988" s="402"/>
      <c r="L988" s="402"/>
      <c r="M988" s="402"/>
      <c r="N988" s="402"/>
      <c r="O988" s="402"/>
      <c r="P988" s="402"/>
      <c r="Q988" s="402"/>
      <c r="R988" s="402"/>
      <c r="S988" s="402"/>
      <c r="T988" s="402"/>
      <c r="U988" s="402"/>
      <c r="V988" s="402"/>
      <c r="W988" s="402"/>
      <c r="X988" s="402"/>
      <c r="Y988" s="402"/>
      <c r="Z988" s="402"/>
    </row>
    <row r="989" ht="14.25" customHeight="1">
      <c r="A989" s="697">
        <v>45524.0</v>
      </c>
      <c r="B989" s="863" t="s">
        <v>5388</v>
      </c>
      <c r="C989" s="863" t="s">
        <v>5389</v>
      </c>
      <c r="D989" s="867" t="s">
        <v>54</v>
      </c>
      <c r="E989" s="689" t="s">
        <v>5248</v>
      </c>
      <c r="F989" s="865">
        <v>92416.2</v>
      </c>
      <c r="G989" s="413">
        <v>0.0</v>
      </c>
      <c r="H989" s="349" t="s">
        <v>5382</v>
      </c>
      <c r="I989" s="402"/>
      <c r="J989" s="402"/>
      <c r="K989" s="402"/>
      <c r="L989" s="402"/>
      <c r="M989" s="402"/>
      <c r="N989" s="402"/>
      <c r="O989" s="402"/>
      <c r="P989" s="402"/>
      <c r="Q989" s="402"/>
      <c r="R989" s="402"/>
      <c r="S989" s="402"/>
      <c r="T989" s="402"/>
      <c r="U989" s="402"/>
      <c r="V989" s="402"/>
      <c r="W989" s="402"/>
      <c r="X989" s="402"/>
      <c r="Y989" s="402"/>
      <c r="Z989" s="402"/>
    </row>
    <row r="990" ht="14.25" customHeight="1">
      <c r="A990" s="697">
        <v>45524.0</v>
      </c>
      <c r="B990" s="863" t="s">
        <v>4816</v>
      </c>
      <c r="C990" s="863" t="s">
        <v>4817</v>
      </c>
      <c r="D990" s="867" t="s">
        <v>54</v>
      </c>
      <c r="E990" s="689" t="s">
        <v>5248</v>
      </c>
      <c r="F990" s="865">
        <v>6512.43</v>
      </c>
      <c r="G990" s="413">
        <v>0.0</v>
      </c>
      <c r="H990" s="349" t="s">
        <v>5390</v>
      </c>
      <c r="I990" s="402"/>
      <c r="J990" s="402"/>
      <c r="K990" s="402"/>
      <c r="L990" s="402"/>
      <c r="M990" s="402"/>
      <c r="N990" s="402"/>
      <c r="O990" s="402"/>
      <c r="P990" s="402"/>
      <c r="Q990" s="402"/>
      <c r="R990" s="402"/>
      <c r="S990" s="402"/>
      <c r="T990" s="402"/>
      <c r="U990" s="402"/>
      <c r="V990" s="402"/>
      <c r="W990" s="402"/>
      <c r="X990" s="402"/>
      <c r="Y990" s="402"/>
      <c r="Z990" s="402"/>
    </row>
    <row r="991" ht="14.25" customHeight="1">
      <c r="A991" s="697">
        <v>45524.0</v>
      </c>
      <c r="B991" s="863" t="s">
        <v>5391</v>
      </c>
      <c r="C991" s="863" t="s">
        <v>5392</v>
      </c>
      <c r="D991" s="867" t="s">
        <v>54</v>
      </c>
      <c r="E991" s="870" t="s">
        <v>578</v>
      </c>
      <c r="F991" s="865">
        <v>38377.0</v>
      </c>
      <c r="G991" s="413">
        <v>0.0</v>
      </c>
      <c r="H991" s="517" t="s">
        <v>5393</v>
      </c>
      <c r="I991" s="402"/>
      <c r="J991" s="402"/>
      <c r="K991" s="402"/>
      <c r="L991" s="402"/>
      <c r="M991" s="402"/>
      <c r="N991" s="402"/>
      <c r="O991" s="402"/>
      <c r="P991" s="402"/>
      <c r="Q991" s="402"/>
      <c r="R991" s="402"/>
      <c r="S991" s="402"/>
      <c r="T991" s="402"/>
      <c r="U991" s="402"/>
      <c r="V991" s="402"/>
      <c r="W991" s="402"/>
      <c r="X991" s="402"/>
      <c r="Y991" s="402"/>
      <c r="Z991" s="402"/>
    </row>
    <row r="992" ht="14.25" customHeight="1">
      <c r="A992" s="697">
        <v>45524.0</v>
      </c>
      <c r="B992" s="863" t="s">
        <v>4942</v>
      </c>
      <c r="C992" s="863" t="s">
        <v>4943</v>
      </c>
      <c r="D992" s="867" t="s">
        <v>54</v>
      </c>
      <c r="E992" s="689" t="s">
        <v>5248</v>
      </c>
      <c r="F992" s="865">
        <v>10967.24</v>
      </c>
      <c r="G992" s="413">
        <v>10750.0</v>
      </c>
      <c r="H992" s="349" t="s">
        <v>5394</v>
      </c>
      <c r="I992" s="402"/>
      <c r="J992" s="402"/>
      <c r="K992" s="402"/>
      <c r="L992" s="402"/>
      <c r="M992" s="402"/>
      <c r="N992" s="402"/>
      <c r="O992" s="402"/>
      <c r="P992" s="402"/>
      <c r="Q992" s="402"/>
      <c r="R992" s="402"/>
      <c r="S992" s="402"/>
      <c r="T992" s="402"/>
      <c r="U992" s="402"/>
      <c r="V992" s="402"/>
      <c r="W992" s="402"/>
      <c r="X992" s="402"/>
      <c r="Y992" s="402"/>
      <c r="Z992" s="402"/>
    </row>
    <row r="993" ht="14.25" customHeight="1">
      <c r="A993" s="697">
        <v>45524.0</v>
      </c>
      <c r="B993" s="863" t="s">
        <v>5243</v>
      </c>
      <c r="C993" s="863" t="s">
        <v>5395</v>
      </c>
      <c r="D993" s="867" t="s">
        <v>54</v>
      </c>
      <c r="E993" s="689" t="s">
        <v>4895</v>
      </c>
      <c r="F993" s="865">
        <v>23764.7</v>
      </c>
      <c r="G993" s="413">
        <v>0.0</v>
      </c>
      <c r="H993" s="349" t="s">
        <v>5396</v>
      </c>
      <c r="I993" s="402"/>
      <c r="J993" s="402"/>
      <c r="K993" s="402"/>
      <c r="L993" s="402"/>
      <c r="M993" s="402"/>
      <c r="N993" s="402"/>
      <c r="O993" s="402"/>
      <c r="P993" s="402"/>
      <c r="Q993" s="402"/>
      <c r="R993" s="402"/>
      <c r="S993" s="402"/>
      <c r="T993" s="402"/>
      <c r="U993" s="402"/>
      <c r="V993" s="402"/>
      <c r="W993" s="402"/>
      <c r="X993" s="402"/>
      <c r="Y993" s="402"/>
      <c r="Z993" s="402"/>
    </row>
    <row r="994" ht="14.25" customHeight="1">
      <c r="A994" s="697">
        <v>45524.0</v>
      </c>
      <c r="B994" s="863" t="s">
        <v>5397</v>
      </c>
      <c r="C994" s="863" t="s">
        <v>5398</v>
      </c>
      <c r="D994" s="867" t="s">
        <v>75</v>
      </c>
      <c r="E994" s="689" t="s">
        <v>4950</v>
      </c>
      <c r="F994" s="865">
        <v>230000.0</v>
      </c>
      <c r="G994" s="413">
        <v>0.0</v>
      </c>
      <c r="H994" s="517" t="s">
        <v>5399</v>
      </c>
      <c r="I994" s="402"/>
      <c r="J994" s="402"/>
      <c r="K994" s="402"/>
      <c r="L994" s="402"/>
      <c r="M994" s="402"/>
      <c r="N994" s="402"/>
      <c r="O994" s="402"/>
      <c r="P994" s="402"/>
      <c r="Q994" s="402"/>
      <c r="R994" s="402"/>
      <c r="S994" s="402"/>
      <c r="T994" s="402"/>
      <c r="U994" s="402"/>
      <c r="V994" s="402"/>
      <c r="W994" s="402"/>
      <c r="X994" s="402"/>
      <c r="Y994" s="402"/>
      <c r="Z994" s="402"/>
    </row>
    <row r="995" ht="14.25" customHeight="1">
      <c r="A995" s="697">
        <v>45524.0</v>
      </c>
      <c r="B995" s="863" t="s">
        <v>4805</v>
      </c>
      <c r="C995" s="863" t="s">
        <v>4806</v>
      </c>
      <c r="D995" s="867" t="s">
        <v>54</v>
      </c>
      <c r="E995" s="689" t="s">
        <v>4950</v>
      </c>
      <c r="F995" s="865">
        <v>52230.55</v>
      </c>
      <c r="G995" s="413">
        <v>0.0</v>
      </c>
      <c r="H995" s="517" t="s">
        <v>5400</v>
      </c>
      <c r="I995" s="402"/>
      <c r="J995" s="402"/>
      <c r="K995" s="402"/>
      <c r="L995" s="402"/>
      <c r="M995" s="402"/>
      <c r="N995" s="402"/>
      <c r="O995" s="402"/>
      <c r="P995" s="402"/>
      <c r="Q995" s="402"/>
      <c r="R995" s="402"/>
      <c r="S995" s="402"/>
      <c r="T995" s="402"/>
      <c r="U995" s="402"/>
      <c r="V995" s="402"/>
      <c r="W995" s="402"/>
      <c r="X995" s="402"/>
      <c r="Y995" s="402"/>
      <c r="Z995" s="402"/>
    </row>
    <row r="996" ht="14.25" customHeight="1">
      <c r="A996" s="697">
        <v>45524.0</v>
      </c>
      <c r="B996" s="863" t="s">
        <v>5314</v>
      </c>
      <c r="C996" s="863" t="s">
        <v>5385</v>
      </c>
      <c r="D996" s="867" t="s">
        <v>346</v>
      </c>
      <c r="E996" s="689" t="s">
        <v>4950</v>
      </c>
      <c r="F996" s="865">
        <v>13607.71</v>
      </c>
      <c r="G996" s="413">
        <v>0.0</v>
      </c>
      <c r="H996" s="349" t="s">
        <v>5401</v>
      </c>
      <c r="I996" s="402"/>
      <c r="J996" s="402"/>
      <c r="K996" s="402"/>
      <c r="L996" s="402"/>
      <c r="M996" s="402"/>
      <c r="N996" s="402"/>
      <c r="O996" s="402"/>
      <c r="P996" s="402"/>
      <c r="Q996" s="402"/>
      <c r="R996" s="402"/>
      <c r="S996" s="402"/>
      <c r="T996" s="402"/>
      <c r="U996" s="402"/>
      <c r="V996" s="402"/>
      <c r="W996" s="402"/>
      <c r="X996" s="402"/>
      <c r="Y996" s="402"/>
      <c r="Z996" s="402"/>
    </row>
    <row r="997" ht="14.25" customHeight="1">
      <c r="A997" s="697">
        <v>45524.0</v>
      </c>
      <c r="B997" s="863" t="s">
        <v>4811</v>
      </c>
      <c r="C997" s="863" t="s">
        <v>4812</v>
      </c>
      <c r="D997" s="867" t="s">
        <v>54</v>
      </c>
      <c r="E997" s="689" t="s">
        <v>600</v>
      </c>
      <c r="F997" s="865">
        <v>161548.33</v>
      </c>
      <c r="G997" s="413">
        <v>0.0</v>
      </c>
      <c r="H997" s="349" t="s">
        <v>5402</v>
      </c>
      <c r="I997" s="402"/>
      <c r="J997" s="402"/>
      <c r="K997" s="402"/>
      <c r="L997" s="402"/>
      <c r="M997" s="402"/>
      <c r="N997" s="402"/>
      <c r="O997" s="402"/>
      <c r="P997" s="402"/>
      <c r="Q997" s="402"/>
      <c r="R997" s="402"/>
      <c r="S997" s="402"/>
      <c r="T997" s="402"/>
      <c r="U997" s="402"/>
      <c r="V997" s="402"/>
      <c r="W997" s="402"/>
      <c r="X997" s="402"/>
      <c r="Y997" s="402"/>
      <c r="Z997" s="402"/>
    </row>
    <row r="998" ht="14.25" customHeight="1">
      <c r="A998" s="697">
        <v>45524.0</v>
      </c>
      <c r="B998" s="863" t="s">
        <v>4815</v>
      </c>
      <c r="C998" s="863" t="s">
        <v>4812</v>
      </c>
      <c r="D998" s="867" t="s">
        <v>54</v>
      </c>
      <c r="E998" s="689" t="s">
        <v>4950</v>
      </c>
      <c r="F998" s="865">
        <v>182338.42</v>
      </c>
      <c r="G998" s="413">
        <v>0.0</v>
      </c>
      <c r="H998" s="349" t="s">
        <v>267</v>
      </c>
      <c r="I998" s="402"/>
      <c r="J998" s="402"/>
      <c r="K998" s="402"/>
      <c r="L998" s="402"/>
      <c r="M998" s="402"/>
      <c r="N998" s="402"/>
      <c r="O998" s="402"/>
      <c r="P998" s="402"/>
      <c r="Q998" s="402"/>
      <c r="R998" s="402"/>
      <c r="S998" s="402"/>
      <c r="T998" s="402"/>
      <c r="U998" s="402"/>
      <c r="V998" s="402"/>
      <c r="W998" s="402"/>
      <c r="X998" s="402"/>
      <c r="Y998" s="402"/>
      <c r="Z998" s="402"/>
    </row>
    <row r="999" ht="14.25" customHeight="1">
      <c r="A999" s="697">
        <v>45524.0</v>
      </c>
      <c r="B999" s="863" t="s">
        <v>5070</v>
      </c>
      <c r="C999" s="863" t="s">
        <v>4812</v>
      </c>
      <c r="D999" s="867" t="s">
        <v>75</v>
      </c>
      <c r="E999" s="689" t="s">
        <v>578</v>
      </c>
      <c r="F999" s="865">
        <v>1823876.25</v>
      </c>
      <c r="G999" s="413">
        <v>0.0</v>
      </c>
      <c r="H999" s="349" t="s">
        <v>5403</v>
      </c>
      <c r="I999" s="402"/>
      <c r="J999" s="402"/>
      <c r="K999" s="402"/>
      <c r="L999" s="402"/>
      <c r="M999" s="402"/>
      <c r="N999" s="402"/>
      <c r="O999" s="402"/>
      <c r="P999" s="402"/>
      <c r="Q999" s="402"/>
      <c r="R999" s="402"/>
      <c r="S999" s="402"/>
      <c r="T999" s="402"/>
      <c r="U999" s="402"/>
      <c r="V999" s="402"/>
      <c r="W999" s="402"/>
      <c r="X999" s="402"/>
      <c r="Y999" s="402"/>
      <c r="Z999" s="402"/>
    </row>
    <row r="1000" ht="14.25" customHeight="1">
      <c r="A1000" s="697">
        <v>45524.0</v>
      </c>
      <c r="B1000" s="863" t="s">
        <v>5075</v>
      </c>
      <c r="C1000" s="863" t="s">
        <v>5157</v>
      </c>
      <c r="D1000" s="867" t="s">
        <v>75</v>
      </c>
      <c r="E1000" s="689" t="s">
        <v>5248</v>
      </c>
      <c r="F1000" s="865">
        <v>42078.25</v>
      </c>
      <c r="G1000" s="413">
        <v>0.0</v>
      </c>
      <c r="H1000" s="349" t="s">
        <v>5404</v>
      </c>
      <c r="I1000" s="402"/>
      <c r="J1000" s="402"/>
      <c r="K1000" s="402"/>
      <c r="L1000" s="402"/>
      <c r="M1000" s="402"/>
      <c r="N1000" s="402"/>
      <c r="O1000" s="402"/>
      <c r="P1000" s="402"/>
      <c r="Q1000" s="402"/>
      <c r="R1000" s="402"/>
      <c r="S1000" s="402"/>
      <c r="T1000" s="402"/>
      <c r="U1000" s="402"/>
      <c r="V1000" s="402"/>
      <c r="W1000" s="402"/>
      <c r="X1000" s="402"/>
      <c r="Y1000" s="402"/>
      <c r="Z1000" s="402"/>
    </row>
    <row r="1001" ht="14.25" customHeight="1">
      <c r="A1001" s="697">
        <v>45524.0</v>
      </c>
      <c r="B1001" s="863" t="s">
        <v>5166</v>
      </c>
      <c r="C1001" s="863" t="s">
        <v>5405</v>
      </c>
      <c r="D1001" s="867" t="s">
        <v>75</v>
      </c>
      <c r="E1001" s="689" t="s">
        <v>4895</v>
      </c>
      <c r="F1001" s="865">
        <v>4665.0</v>
      </c>
      <c r="G1001" s="413">
        <v>4665.0</v>
      </c>
      <c r="H1001" s="349" t="s">
        <v>5406</v>
      </c>
      <c r="I1001" s="402"/>
      <c r="J1001" s="402"/>
      <c r="K1001" s="402"/>
      <c r="L1001" s="402"/>
      <c r="M1001" s="402"/>
      <c r="N1001" s="402"/>
      <c r="O1001" s="402"/>
      <c r="P1001" s="402"/>
      <c r="Q1001" s="402"/>
      <c r="R1001" s="402"/>
      <c r="S1001" s="402"/>
      <c r="T1001" s="402"/>
      <c r="U1001" s="402"/>
      <c r="V1001" s="402"/>
      <c r="W1001" s="402"/>
      <c r="X1001" s="402"/>
      <c r="Y1001" s="402"/>
      <c r="Z1001" s="402"/>
    </row>
    <row r="1002" ht="14.25" customHeight="1">
      <c r="A1002" s="697">
        <v>45524.0</v>
      </c>
      <c r="B1002" s="863" t="s">
        <v>5221</v>
      </c>
      <c r="C1002" s="863" t="s">
        <v>5407</v>
      </c>
      <c r="D1002" s="867" t="s">
        <v>75</v>
      </c>
      <c r="E1002" s="689" t="s">
        <v>4950</v>
      </c>
      <c r="F1002" s="865">
        <v>579075.0</v>
      </c>
      <c r="G1002" s="413">
        <v>0.0</v>
      </c>
      <c r="H1002" s="349" t="s">
        <v>5408</v>
      </c>
      <c r="I1002" s="402"/>
      <c r="J1002" s="402"/>
      <c r="K1002" s="402"/>
      <c r="L1002" s="402"/>
      <c r="M1002" s="402"/>
      <c r="N1002" s="402"/>
      <c r="O1002" s="402"/>
      <c r="P1002" s="402"/>
      <c r="Q1002" s="402"/>
      <c r="R1002" s="402"/>
      <c r="S1002" s="402"/>
      <c r="T1002" s="402"/>
      <c r="U1002" s="402"/>
      <c r="V1002" s="402"/>
      <c r="W1002" s="402"/>
      <c r="X1002" s="402"/>
      <c r="Y1002" s="402"/>
      <c r="Z1002" s="402"/>
    </row>
    <row r="1003" ht="14.25" customHeight="1">
      <c r="A1003" s="697">
        <v>45524.0</v>
      </c>
      <c r="B1003" s="863" t="s">
        <v>5316</v>
      </c>
      <c r="C1003" s="863" t="s">
        <v>4804</v>
      </c>
      <c r="D1003" s="867" t="s">
        <v>75</v>
      </c>
      <c r="E1003" s="689" t="s">
        <v>578</v>
      </c>
      <c r="F1003" s="865">
        <v>60375.0</v>
      </c>
      <c r="G1003" s="413">
        <v>7000.0</v>
      </c>
      <c r="H1003" s="490" t="s">
        <v>267</v>
      </c>
      <c r="I1003" s="402"/>
      <c r="J1003" s="402"/>
      <c r="K1003" s="402"/>
      <c r="L1003" s="402"/>
      <c r="M1003" s="402"/>
      <c r="N1003" s="402"/>
      <c r="O1003" s="402"/>
      <c r="P1003" s="402"/>
      <c r="Q1003" s="402"/>
      <c r="R1003" s="402"/>
      <c r="S1003" s="402"/>
      <c r="T1003" s="402"/>
      <c r="U1003" s="402"/>
      <c r="V1003" s="402"/>
      <c r="W1003" s="402"/>
      <c r="X1003" s="402"/>
      <c r="Y1003" s="402"/>
      <c r="Z1003" s="402"/>
    </row>
    <row r="1004" ht="14.25" customHeight="1">
      <c r="A1004" s="697">
        <v>45524.0</v>
      </c>
      <c r="B1004" s="863" t="s">
        <v>5363</v>
      </c>
      <c r="C1004" s="863" t="s">
        <v>5407</v>
      </c>
      <c r="D1004" s="867" t="s">
        <v>54</v>
      </c>
      <c r="E1004" s="689" t="s">
        <v>4950</v>
      </c>
      <c r="F1004" s="865">
        <v>214083.0</v>
      </c>
      <c r="G1004" s="413">
        <v>0.0</v>
      </c>
      <c r="H1004" s="349" t="s">
        <v>5409</v>
      </c>
      <c r="I1004" s="402"/>
      <c r="J1004" s="402"/>
      <c r="K1004" s="402"/>
      <c r="L1004" s="402"/>
      <c r="M1004" s="402"/>
      <c r="N1004" s="402"/>
      <c r="O1004" s="402"/>
      <c r="P1004" s="402"/>
      <c r="Q1004" s="402"/>
      <c r="R1004" s="402"/>
      <c r="S1004" s="402"/>
      <c r="T1004" s="402"/>
      <c r="U1004" s="402"/>
      <c r="V1004" s="402"/>
      <c r="W1004" s="402"/>
      <c r="X1004" s="402"/>
      <c r="Y1004" s="402"/>
      <c r="Z1004" s="402"/>
    </row>
    <row r="1005" ht="14.25" customHeight="1">
      <c r="A1005" s="697">
        <v>45524.0</v>
      </c>
      <c r="B1005" s="863" t="s">
        <v>5366</v>
      </c>
      <c r="C1005" s="863" t="s">
        <v>5410</v>
      </c>
      <c r="D1005" s="867" t="s">
        <v>75</v>
      </c>
      <c r="E1005" s="689" t="s">
        <v>4950</v>
      </c>
      <c r="F1005" s="865">
        <v>115000.0</v>
      </c>
      <c r="G1005" s="413"/>
      <c r="H1005" s="349" t="s">
        <v>3584</v>
      </c>
      <c r="I1005" s="402"/>
      <c r="J1005" s="402"/>
      <c r="K1005" s="402"/>
      <c r="L1005" s="402"/>
      <c r="M1005" s="402"/>
      <c r="N1005" s="402"/>
      <c r="O1005" s="402"/>
      <c r="P1005" s="402"/>
      <c r="Q1005" s="402"/>
      <c r="R1005" s="402"/>
      <c r="S1005" s="402"/>
      <c r="T1005" s="402"/>
      <c r="U1005" s="402"/>
      <c r="V1005" s="402"/>
      <c r="W1005" s="402"/>
      <c r="X1005" s="402"/>
      <c r="Y1005" s="402"/>
      <c r="Z1005" s="402"/>
    </row>
    <row r="1006" ht="14.25" customHeight="1">
      <c r="A1006" s="697"/>
      <c r="B1006" s="863"/>
      <c r="C1006" s="863"/>
      <c r="D1006" s="867"/>
      <c r="E1006" s="689"/>
      <c r="F1006" s="865"/>
      <c r="G1006" s="403"/>
      <c r="H1006" s="402"/>
      <c r="I1006" s="402"/>
      <c r="J1006" s="402"/>
      <c r="K1006" s="402"/>
      <c r="L1006" s="402"/>
      <c r="M1006" s="402"/>
      <c r="N1006" s="402"/>
      <c r="O1006" s="402"/>
      <c r="P1006" s="402"/>
      <c r="Q1006" s="402"/>
      <c r="R1006" s="402"/>
      <c r="S1006" s="402"/>
      <c r="T1006" s="402"/>
      <c r="U1006" s="402"/>
      <c r="V1006" s="402"/>
      <c r="W1006" s="402"/>
      <c r="X1006" s="402"/>
      <c r="Y1006" s="402"/>
      <c r="Z1006" s="402"/>
    </row>
    <row r="1007" ht="14.25" customHeight="1">
      <c r="A1007" s="697"/>
      <c r="B1007" s="863"/>
      <c r="C1007" s="863"/>
      <c r="D1007" s="867"/>
      <c r="E1007" s="689"/>
      <c r="F1007" s="865"/>
      <c r="G1007" s="403"/>
      <c r="H1007" s="402"/>
      <c r="I1007" s="402"/>
      <c r="J1007" s="402"/>
      <c r="K1007" s="402"/>
      <c r="L1007" s="402"/>
      <c r="M1007" s="402"/>
      <c r="N1007" s="402"/>
      <c r="O1007" s="402"/>
      <c r="P1007" s="402"/>
      <c r="Q1007" s="402"/>
      <c r="R1007" s="402"/>
      <c r="S1007" s="402"/>
      <c r="T1007" s="402"/>
      <c r="U1007" s="402"/>
      <c r="V1007" s="402"/>
      <c r="W1007" s="402"/>
      <c r="X1007" s="402"/>
      <c r="Y1007" s="402"/>
      <c r="Z1007" s="402"/>
    </row>
    <row r="1008" ht="14.25" customHeight="1">
      <c r="A1008" s="697">
        <v>45524.0</v>
      </c>
      <c r="B1008" s="982" t="s">
        <v>4547</v>
      </c>
      <c r="C1008" s="982" t="s">
        <v>4548</v>
      </c>
      <c r="D1008" s="936" t="s">
        <v>59</v>
      </c>
      <c r="E1008" s="943" t="s">
        <v>273</v>
      </c>
      <c r="F1008" s="939">
        <v>617498.61</v>
      </c>
      <c r="G1008" s="983"/>
      <c r="H1008" s="943"/>
      <c r="I1008" s="402"/>
      <c r="J1008" s="402"/>
      <c r="K1008" s="402"/>
      <c r="L1008" s="402"/>
      <c r="M1008" s="402"/>
      <c r="N1008" s="402"/>
      <c r="O1008" s="402"/>
      <c r="P1008" s="402"/>
      <c r="Q1008" s="402"/>
      <c r="R1008" s="402"/>
      <c r="S1008" s="402"/>
      <c r="T1008" s="402"/>
      <c r="U1008" s="402"/>
      <c r="V1008" s="402"/>
      <c r="W1008" s="402"/>
      <c r="X1008" s="402"/>
      <c r="Y1008" s="402"/>
      <c r="Z1008" s="402"/>
    </row>
    <row r="1009" ht="14.25" customHeight="1">
      <c r="A1009" s="697">
        <v>45524.0</v>
      </c>
      <c r="B1009" s="982" t="s">
        <v>4816</v>
      </c>
      <c r="C1009" s="982" t="s">
        <v>5015</v>
      </c>
      <c r="D1009" s="943" t="s">
        <v>54</v>
      </c>
      <c r="E1009" s="943" t="s">
        <v>578</v>
      </c>
      <c r="F1009" s="939">
        <v>6203.0</v>
      </c>
      <c r="G1009" s="983"/>
      <c r="H1009" s="943" t="s">
        <v>5411</v>
      </c>
      <c r="I1009" s="402"/>
      <c r="J1009" s="402"/>
      <c r="K1009" s="402"/>
      <c r="L1009" s="402"/>
      <c r="M1009" s="402"/>
      <c r="N1009" s="402"/>
      <c r="O1009" s="402"/>
      <c r="P1009" s="402"/>
      <c r="Q1009" s="402"/>
      <c r="R1009" s="402"/>
      <c r="S1009" s="402"/>
      <c r="T1009" s="402"/>
      <c r="U1009" s="402"/>
      <c r="V1009" s="402"/>
      <c r="W1009" s="402"/>
      <c r="X1009" s="402"/>
      <c r="Y1009" s="402"/>
      <c r="Z1009" s="402"/>
    </row>
    <row r="1010" ht="14.25" customHeight="1">
      <c r="A1010" s="697">
        <v>45524.0</v>
      </c>
      <c r="B1010" s="982" t="s">
        <v>4767</v>
      </c>
      <c r="C1010" s="982" t="s">
        <v>4861</v>
      </c>
      <c r="D1010" s="943" t="s">
        <v>59</v>
      </c>
      <c r="E1010" s="943" t="s">
        <v>578</v>
      </c>
      <c r="F1010" s="942">
        <v>147000.0</v>
      </c>
      <c r="G1010" s="983"/>
      <c r="H1010" s="943" t="s">
        <v>5412</v>
      </c>
      <c r="I1010" s="402"/>
      <c r="J1010" s="402"/>
      <c r="K1010" s="402"/>
      <c r="L1010" s="402"/>
      <c r="M1010" s="402"/>
      <c r="N1010" s="402"/>
      <c r="O1010" s="402"/>
      <c r="P1010" s="402"/>
      <c r="Q1010" s="402"/>
      <c r="R1010" s="402"/>
      <c r="S1010" s="402"/>
      <c r="T1010" s="402"/>
      <c r="U1010" s="402"/>
      <c r="V1010" s="402"/>
      <c r="W1010" s="402"/>
      <c r="X1010" s="402"/>
      <c r="Y1010" s="402"/>
      <c r="Z1010" s="402"/>
    </row>
    <row r="1011" ht="14.25" customHeight="1">
      <c r="A1011" s="697">
        <v>45524.0</v>
      </c>
      <c r="B1011" s="455" t="s">
        <v>4828</v>
      </c>
      <c r="C1011" s="455" t="s">
        <v>5413</v>
      </c>
      <c r="D1011" s="943" t="s">
        <v>54</v>
      </c>
      <c r="E1011" s="943" t="s">
        <v>578</v>
      </c>
      <c r="F1011" s="938">
        <v>227711.11</v>
      </c>
      <c r="G1011" s="983">
        <v>256367.0</v>
      </c>
      <c r="H1011" s="943" t="s">
        <v>650</v>
      </c>
      <c r="I1011" s="402"/>
      <c r="J1011" s="402"/>
      <c r="K1011" s="402"/>
      <c r="L1011" s="402"/>
      <c r="M1011" s="402"/>
      <c r="N1011" s="402"/>
      <c r="O1011" s="402"/>
      <c r="P1011" s="402"/>
      <c r="Q1011" s="402"/>
      <c r="R1011" s="402"/>
      <c r="S1011" s="402"/>
      <c r="T1011" s="402"/>
      <c r="U1011" s="402"/>
      <c r="V1011" s="402"/>
      <c r="W1011" s="402"/>
      <c r="X1011" s="402"/>
      <c r="Y1011" s="402"/>
      <c r="Z1011" s="402"/>
    </row>
    <row r="1012" ht="14.25" customHeight="1">
      <c r="A1012" s="697">
        <v>45524.0</v>
      </c>
      <c r="B1012" s="936" t="s">
        <v>4919</v>
      </c>
      <c r="C1012" s="936" t="s">
        <v>4945</v>
      </c>
      <c r="D1012" s="943" t="s">
        <v>75</v>
      </c>
      <c r="E1012" s="943" t="s">
        <v>578</v>
      </c>
      <c r="F1012" s="942">
        <v>316158.74</v>
      </c>
      <c r="G1012" s="983">
        <v>316159.0</v>
      </c>
      <c r="H1012" s="943" t="s">
        <v>5414</v>
      </c>
      <c r="I1012" s="402"/>
      <c r="J1012" s="402"/>
      <c r="K1012" s="402"/>
      <c r="L1012" s="402"/>
      <c r="M1012" s="402"/>
      <c r="N1012" s="402"/>
      <c r="O1012" s="402"/>
      <c r="P1012" s="402"/>
      <c r="Q1012" s="402"/>
      <c r="R1012" s="402"/>
      <c r="S1012" s="402"/>
      <c r="T1012" s="402"/>
      <c r="U1012" s="402"/>
      <c r="V1012" s="402"/>
      <c r="W1012" s="402"/>
      <c r="X1012" s="402"/>
      <c r="Y1012" s="402"/>
      <c r="Z1012" s="402"/>
    </row>
    <row r="1013" ht="14.25" customHeight="1">
      <c r="A1013" s="697"/>
      <c r="B1013" s="863"/>
      <c r="C1013" s="863"/>
      <c r="D1013" s="867"/>
      <c r="E1013" s="689"/>
      <c r="F1013" s="865"/>
      <c r="G1013" s="403"/>
      <c r="H1013" s="402"/>
      <c r="I1013" s="402"/>
      <c r="J1013" s="402"/>
      <c r="K1013" s="402"/>
      <c r="L1013" s="402"/>
      <c r="M1013" s="402"/>
      <c r="N1013" s="402"/>
      <c r="O1013" s="402"/>
      <c r="P1013" s="402"/>
      <c r="Q1013" s="402"/>
      <c r="R1013" s="402"/>
      <c r="S1013" s="402"/>
      <c r="T1013" s="402"/>
      <c r="U1013" s="402"/>
      <c r="V1013" s="402"/>
      <c r="W1013" s="402"/>
      <c r="X1013" s="402"/>
      <c r="Y1013" s="402"/>
      <c r="Z1013" s="402"/>
    </row>
    <row r="1014" ht="14.25" customHeight="1">
      <c r="A1014" s="697"/>
      <c r="B1014" s="863"/>
      <c r="C1014" s="863"/>
      <c r="D1014" s="867"/>
      <c r="E1014" s="689"/>
      <c r="F1014" s="865"/>
      <c r="G1014" s="403"/>
      <c r="H1014" s="402"/>
      <c r="I1014" s="402"/>
      <c r="J1014" s="402"/>
      <c r="K1014" s="402"/>
      <c r="L1014" s="402"/>
      <c r="M1014" s="402"/>
      <c r="N1014" s="402"/>
      <c r="O1014" s="402"/>
      <c r="P1014" s="402"/>
      <c r="Q1014" s="402"/>
      <c r="R1014" s="402"/>
      <c r="S1014" s="402"/>
      <c r="T1014" s="402"/>
      <c r="U1014" s="402"/>
      <c r="V1014" s="402"/>
      <c r="W1014" s="402"/>
      <c r="X1014" s="402"/>
      <c r="Y1014" s="402"/>
      <c r="Z1014" s="402"/>
    </row>
    <row r="1015" ht="14.25" customHeight="1">
      <c r="A1015" s="584" t="s">
        <v>2130</v>
      </c>
      <c r="B1015" s="877" t="s">
        <v>39</v>
      </c>
      <c r="C1015" s="584" t="s">
        <v>48</v>
      </c>
      <c r="D1015" s="584" t="s">
        <v>49</v>
      </c>
      <c r="E1015" s="862" t="s">
        <v>50</v>
      </c>
      <c r="F1015" s="585" t="s">
        <v>2</v>
      </c>
      <c r="G1015" s="584" t="s">
        <v>44</v>
      </c>
      <c r="H1015" s="584" t="s">
        <v>45</v>
      </c>
      <c r="I1015" s="866" t="str">
        <f>IF(G1015&gt;=F1015,"FULLY PAID",IF(G1015=0,"NOT PAID","PARTIALLY PAID"))</f>
        <v>FULLY PAID</v>
      </c>
      <c r="J1015" s="402"/>
      <c r="K1015" s="402"/>
      <c r="L1015" s="402"/>
      <c r="M1015" s="402"/>
      <c r="N1015" s="402"/>
      <c r="O1015" s="402"/>
      <c r="P1015" s="402"/>
      <c r="Q1015" s="402"/>
      <c r="R1015" s="402"/>
      <c r="S1015" s="402"/>
      <c r="T1015" s="402"/>
      <c r="U1015" s="402"/>
      <c r="V1015" s="402"/>
      <c r="W1015" s="402"/>
      <c r="X1015" s="402"/>
      <c r="Y1015" s="402"/>
      <c r="Z1015" s="402"/>
    </row>
    <row r="1016" ht="14.25" customHeight="1">
      <c r="A1016" s="697">
        <v>45525.0</v>
      </c>
      <c r="B1016" s="863" t="s">
        <v>4864</v>
      </c>
      <c r="C1016" s="863" t="s">
        <v>4865</v>
      </c>
      <c r="D1016" s="867" t="s">
        <v>54</v>
      </c>
      <c r="E1016" s="689" t="s">
        <v>4887</v>
      </c>
      <c r="F1016" s="865">
        <v>7426.16</v>
      </c>
      <c r="G1016" s="984">
        <v>9653.0</v>
      </c>
      <c r="H1016" s="349" t="s">
        <v>267</v>
      </c>
      <c r="I1016" s="402"/>
      <c r="J1016" s="402"/>
      <c r="K1016" s="402"/>
      <c r="L1016" s="402"/>
      <c r="M1016" s="402"/>
      <c r="N1016" s="402"/>
      <c r="O1016" s="402"/>
      <c r="P1016" s="402"/>
      <c r="Q1016" s="402"/>
      <c r="R1016" s="402"/>
      <c r="S1016" s="402"/>
      <c r="T1016" s="402"/>
      <c r="U1016" s="402"/>
      <c r="V1016" s="402"/>
      <c r="W1016" s="402"/>
      <c r="X1016" s="402"/>
      <c r="Y1016" s="402"/>
      <c r="Z1016" s="402"/>
    </row>
    <row r="1017" ht="14.25" customHeight="1">
      <c r="A1017" s="697">
        <v>45525.0</v>
      </c>
      <c r="B1017" s="863" t="s">
        <v>4900</v>
      </c>
      <c r="C1017" s="863" t="s">
        <v>4901</v>
      </c>
      <c r="D1017" s="867" t="s">
        <v>54</v>
      </c>
      <c r="E1017" s="893" t="s">
        <v>578</v>
      </c>
      <c r="F1017" s="865">
        <v>8355.89</v>
      </c>
      <c r="G1017" s="413">
        <v>0.0</v>
      </c>
      <c r="H1017" s="349" t="s">
        <v>5415</v>
      </c>
      <c r="I1017" s="402"/>
      <c r="J1017" s="402"/>
      <c r="K1017" s="402"/>
      <c r="L1017" s="402"/>
      <c r="M1017" s="402"/>
      <c r="N1017" s="402"/>
      <c r="O1017" s="402"/>
      <c r="P1017" s="402"/>
      <c r="Q1017" s="402"/>
      <c r="R1017" s="402"/>
      <c r="S1017" s="402"/>
      <c r="T1017" s="402"/>
      <c r="U1017" s="402"/>
      <c r="V1017" s="402"/>
      <c r="W1017" s="402"/>
      <c r="X1017" s="402"/>
      <c r="Y1017" s="402"/>
      <c r="Z1017" s="402"/>
    </row>
    <row r="1018" ht="14.25" customHeight="1">
      <c r="A1018" s="697">
        <v>45525.0</v>
      </c>
      <c r="B1018" s="863" t="s">
        <v>5130</v>
      </c>
      <c r="C1018" s="863" t="s">
        <v>5171</v>
      </c>
      <c r="D1018" s="867" t="s">
        <v>54</v>
      </c>
      <c r="E1018" s="689" t="s">
        <v>4887</v>
      </c>
      <c r="F1018" s="865">
        <v>13200.0</v>
      </c>
      <c r="G1018" s="984">
        <v>13545.0</v>
      </c>
      <c r="H1018" s="349" t="s">
        <v>56</v>
      </c>
      <c r="I1018" s="402"/>
      <c r="J1018" s="402"/>
      <c r="K1018" s="402"/>
      <c r="L1018" s="402"/>
      <c r="M1018" s="402"/>
      <c r="N1018" s="402"/>
      <c r="O1018" s="402"/>
      <c r="P1018" s="402"/>
      <c r="Q1018" s="402"/>
      <c r="R1018" s="402"/>
      <c r="S1018" s="402"/>
      <c r="T1018" s="402"/>
      <c r="U1018" s="402"/>
      <c r="V1018" s="402"/>
      <c r="W1018" s="402"/>
      <c r="X1018" s="402"/>
      <c r="Y1018" s="402"/>
      <c r="Z1018" s="402"/>
    </row>
    <row r="1019" ht="14.25" customHeight="1">
      <c r="A1019" s="697">
        <v>45525.0</v>
      </c>
      <c r="B1019" s="863" t="s">
        <v>5097</v>
      </c>
      <c r="C1019" s="863" t="s">
        <v>5076</v>
      </c>
      <c r="D1019" s="867" t="s">
        <v>54</v>
      </c>
      <c r="E1019" s="689" t="s">
        <v>5372</v>
      </c>
      <c r="F1019" s="865">
        <v>37812.69</v>
      </c>
      <c r="G1019" s="984">
        <v>2100.0</v>
      </c>
      <c r="H1019" s="349" t="s">
        <v>267</v>
      </c>
      <c r="I1019" s="402"/>
      <c r="J1019" s="402"/>
      <c r="K1019" s="402"/>
      <c r="L1019" s="402"/>
      <c r="M1019" s="402"/>
      <c r="N1019" s="402"/>
      <c r="O1019" s="402"/>
      <c r="P1019" s="402"/>
      <c r="Q1019" s="402"/>
      <c r="R1019" s="402"/>
      <c r="S1019" s="402"/>
      <c r="T1019" s="402"/>
      <c r="U1019" s="402"/>
      <c r="V1019" s="402"/>
      <c r="W1019" s="402"/>
      <c r="X1019" s="402"/>
      <c r="Y1019" s="402"/>
      <c r="Z1019" s="402"/>
    </row>
    <row r="1020" ht="14.25" customHeight="1">
      <c r="A1020" s="697">
        <v>45525.0</v>
      </c>
      <c r="B1020" s="863" t="s">
        <v>5257</v>
      </c>
      <c r="C1020" s="863" t="s">
        <v>5416</v>
      </c>
      <c r="D1020" s="867" t="s">
        <v>54</v>
      </c>
      <c r="E1020" s="689" t="s">
        <v>5372</v>
      </c>
      <c r="F1020" s="865">
        <v>9842.48</v>
      </c>
      <c r="G1020" s="413">
        <v>0.0</v>
      </c>
      <c r="H1020" s="349" t="s">
        <v>5417</v>
      </c>
      <c r="I1020" s="402"/>
      <c r="J1020" s="402"/>
      <c r="K1020" s="402"/>
      <c r="L1020" s="402"/>
      <c r="M1020" s="402"/>
      <c r="N1020" s="402"/>
      <c r="O1020" s="402"/>
      <c r="P1020" s="402"/>
      <c r="Q1020" s="402"/>
      <c r="R1020" s="402"/>
      <c r="S1020" s="402"/>
      <c r="T1020" s="402"/>
      <c r="U1020" s="402"/>
      <c r="V1020" s="402"/>
      <c r="W1020" s="402"/>
      <c r="X1020" s="402"/>
      <c r="Y1020" s="402"/>
      <c r="Z1020" s="402"/>
    </row>
    <row r="1021" ht="14.25" customHeight="1">
      <c r="A1021" s="697">
        <v>45525.0</v>
      </c>
      <c r="B1021" s="863" t="s">
        <v>4885</v>
      </c>
      <c r="C1021" s="863" t="s">
        <v>5418</v>
      </c>
      <c r="D1021" s="867" t="s">
        <v>54</v>
      </c>
      <c r="E1021" s="689" t="s">
        <v>5372</v>
      </c>
      <c r="F1021" s="865">
        <v>1625.64</v>
      </c>
      <c r="G1021" s="413">
        <v>0.0</v>
      </c>
      <c r="H1021" s="349" t="s">
        <v>5419</v>
      </c>
      <c r="I1021" s="402"/>
      <c r="J1021" s="402"/>
      <c r="K1021" s="402"/>
      <c r="L1021" s="402"/>
      <c r="M1021" s="402"/>
      <c r="N1021" s="402"/>
      <c r="O1021" s="402"/>
      <c r="P1021" s="402"/>
      <c r="Q1021" s="402"/>
      <c r="R1021" s="402"/>
      <c r="S1021" s="402"/>
      <c r="T1021" s="402"/>
      <c r="U1021" s="402"/>
      <c r="V1021" s="402"/>
      <c r="W1021" s="402"/>
      <c r="X1021" s="402"/>
      <c r="Y1021" s="402"/>
      <c r="Z1021" s="402"/>
    </row>
    <row r="1022" ht="14.25" customHeight="1">
      <c r="A1022" s="697">
        <v>45525.0</v>
      </c>
      <c r="B1022" s="863" t="s">
        <v>4767</v>
      </c>
      <c r="C1022" s="863" t="s">
        <v>4837</v>
      </c>
      <c r="D1022" s="867" t="s">
        <v>59</v>
      </c>
      <c r="E1022" s="689" t="s">
        <v>578</v>
      </c>
      <c r="F1022" s="942">
        <v>147000.0</v>
      </c>
      <c r="G1022" s="413">
        <v>0.0</v>
      </c>
      <c r="H1022" s="349" t="s">
        <v>5420</v>
      </c>
      <c r="I1022" s="402"/>
      <c r="J1022" s="402"/>
      <c r="K1022" s="402"/>
      <c r="L1022" s="402"/>
      <c r="M1022" s="402"/>
      <c r="N1022" s="402"/>
      <c r="O1022" s="402"/>
      <c r="P1022" s="402"/>
      <c r="Q1022" s="402"/>
      <c r="R1022" s="402"/>
      <c r="S1022" s="402"/>
      <c r="T1022" s="402"/>
      <c r="U1022" s="402"/>
      <c r="V1022" s="402"/>
      <c r="W1022" s="402"/>
      <c r="X1022" s="402"/>
      <c r="Y1022" s="402"/>
      <c r="Z1022" s="402"/>
    </row>
    <row r="1023" ht="14.25" customHeight="1">
      <c r="A1023" s="697">
        <v>45525.0</v>
      </c>
      <c r="B1023" s="863" t="s">
        <v>4996</v>
      </c>
      <c r="C1023" s="863" t="s">
        <v>4997</v>
      </c>
      <c r="D1023" s="867" t="s">
        <v>54</v>
      </c>
      <c r="E1023" s="689" t="s">
        <v>578</v>
      </c>
      <c r="F1023" s="865">
        <v>36509.0</v>
      </c>
      <c r="G1023" s="413">
        <v>0.0</v>
      </c>
      <c r="H1023" s="349" t="s">
        <v>267</v>
      </c>
      <c r="I1023" s="402"/>
      <c r="J1023" s="402"/>
      <c r="K1023" s="402"/>
      <c r="L1023" s="402"/>
      <c r="M1023" s="402"/>
      <c r="N1023" s="402"/>
      <c r="O1023" s="402"/>
      <c r="P1023" s="402"/>
      <c r="Q1023" s="402"/>
      <c r="R1023" s="402"/>
      <c r="S1023" s="402"/>
      <c r="T1023" s="402"/>
      <c r="U1023" s="402"/>
      <c r="V1023" s="402"/>
      <c r="W1023" s="402"/>
      <c r="X1023" s="402"/>
      <c r="Y1023" s="402"/>
      <c r="Z1023" s="402"/>
    </row>
    <row r="1024" ht="14.25" customHeight="1">
      <c r="A1024" s="697">
        <v>45525.0</v>
      </c>
      <c r="B1024" s="863" t="s">
        <v>5421</v>
      </c>
      <c r="C1024" s="863" t="s">
        <v>5422</v>
      </c>
      <c r="D1024" s="867" t="s">
        <v>5423</v>
      </c>
      <c r="E1024" s="689" t="s">
        <v>5372</v>
      </c>
      <c r="F1024" s="865">
        <v>14000.0</v>
      </c>
      <c r="G1024" s="413">
        <v>0.0</v>
      </c>
      <c r="H1024" s="349" t="s">
        <v>5424</v>
      </c>
      <c r="I1024" s="402"/>
      <c r="J1024" s="402"/>
      <c r="K1024" s="402"/>
      <c r="L1024" s="402"/>
      <c r="M1024" s="402"/>
      <c r="N1024" s="402"/>
      <c r="O1024" s="402"/>
      <c r="P1024" s="402"/>
      <c r="Q1024" s="402"/>
      <c r="R1024" s="402"/>
      <c r="S1024" s="402"/>
      <c r="T1024" s="402"/>
      <c r="U1024" s="402"/>
      <c r="V1024" s="402"/>
      <c r="W1024" s="402"/>
      <c r="X1024" s="402"/>
      <c r="Y1024" s="402"/>
      <c r="Z1024" s="402"/>
    </row>
    <row r="1025" ht="14.25" customHeight="1">
      <c r="A1025" s="697">
        <v>45525.0</v>
      </c>
      <c r="B1025" s="863" t="s">
        <v>4996</v>
      </c>
      <c r="C1025" s="863" t="s">
        <v>5425</v>
      </c>
      <c r="D1025" s="867" t="s">
        <v>1030</v>
      </c>
      <c r="E1025" s="689" t="s">
        <v>578</v>
      </c>
      <c r="F1025" s="865">
        <v>35600.0</v>
      </c>
      <c r="G1025" s="984">
        <v>36509.0</v>
      </c>
      <c r="H1025" s="349" t="s">
        <v>267</v>
      </c>
      <c r="I1025" s="402"/>
      <c r="J1025" s="402"/>
      <c r="K1025" s="402"/>
      <c r="L1025" s="402"/>
      <c r="M1025" s="402"/>
      <c r="N1025" s="402"/>
      <c r="O1025" s="402"/>
      <c r="P1025" s="402"/>
      <c r="Q1025" s="402"/>
      <c r="R1025" s="402"/>
      <c r="S1025" s="402"/>
      <c r="T1025" s="402"/>
      <c r="U1025" s="402"/>
      <c r="V1025" s="402"/>
      <c r="W1025" s="402"/>
      <c r="X1025" s="402"/>
      <c r="Y1025" s="402"/>
      <c r="Z1025" s="402"/>
    </row>
    <row r="1026" ht="14.25" customHeight="1">
      <c r="A1026" s="697">
        <v>45525.0</v>
      </c>
      <c r="B1026" s="863" t="s">
        <v>4773</v>
      </c>
      <c r="C1026" s="863" t="s">
        <v>4839</v>
      </c>
      <c r="D1026" s="867" t="s">
        <v>54</v>
      </c>
      <c r="E1026" s="689" t="s">
        <v>4887</v>
      </c>
      <c r="F1026" s="865">
        <v>979.93</v>
      </c>
      <c r="G1026" s="413">
        <v>0.0</v>
      </c>
      <c r="H1026" s="517" t="s">
        <v>5426</v>
      </c>
      <c r="I1026" s="402"/>
      <c r="J1026" s="402"/>
      <c r="K1026" s="402"/>
      <c r="L1026" s="402"/>
      <c r="M1026" s="402"/>
      <c r="N1026" s="402"/>
      <c r="O1026" s="402"/>
      <c r="P1026" s="402"/>
      <c r="Q1026" s="402"/>
      <c r="R1026" s="402"/>
      <c r="S1026" s="402"/>
      <c r="T1026" s="402"/>
      <c r="U1026" s="402"/>
      <c r="V1026" s="402"/>
      <c r="W1026" s="402"/>
      <c r="X1026" s="402"/>
      <c r="Y1026" s="402"/>
      <c r="Z1026" s="402"/>
    </row>
    <row r="1027" ht="14.25" customHeight="1">
      <c r="A1027" s="697">
        <v>45525.0</v>
      </c>
      <c r="B1027" s="863" t="s">
        <v>4779</v>
      </c>
      <c r="C1027" s="863" t="s">
        <v>4907</v>
      </c>
      <c r="D1027" s="867" t="s">
        <v>54</v>
      </c>
      <c r="E1027" s="689" t="s">
        <v>4887</v>
      </c>
      <c r="F1027" s="865">
        <v>2797.83</v>
      </c>
      <c r="G1027" s="413">
        <v>0.0</v>
      </c>
      <c r="H1027" s="349" t="s">
        <v>5427</v>
      </c>
      <c r="I1027" s="402"/>
      <c r="J1027" s="402"/>
      <c r="K1027" s="402"/>
      <c r="L1027" s="402"/>
      <c r="M1027" s="402"/>
      <c r="N1027" s="402"/>
      <c r="O1027" s="402"/>
      <c r="P1027" s="402"/>
      <c r="Q1027" s="402"/>
      <c r="R1027" s="402"/>
      <c r="S1027" s="402"/>
      <c r="T1027" s="402"/>
      <c r="U1027" s="402"/>
      <c r="V1027" s="402"/>
      <c r="W1027" s="402"/>
      <c r="X1027" s="402"/>
      <c r="Y1027" s="402"/>
      <c r="Z1027" s="402"/>
    </row>
    <row r="1028" ht="14.25" customHeight="1">
      <c r="A1028" s="697">
        <v>45525.0</v>
      </c>
      <c r="B1028" s="863" t="s">
        <v>4805</v>
      </c>
      <c r="C1028" s="863" t="s">
        <v>4854</v>
      </c>
      <c r="D1028" s="867" t="s">
        <v>54</v>
      </c>
      <c r="E1028" s="689" t="s">
        <v>4887</v>
      </c>
      <c r="F1028" s="865">
        <v>44342.08</v>
      </c>
      <c r="G1028" s="984">
        <v>20000.0</v>
      </c>
      <c r="H1028" s="349" t="s">
        <v>267</v>
      </c>
      <c r="I1028" s="402"/>
      <c r="J1028" s="402"/>
      <c r="K1028" s="402"/>
      <c r="L1028" s="402"/>
      <c r="M1028" s="402"/>
      <c r="N1028" s="402"/>
      <c r="O1028" s="402"/>
      <c r="P1028" s="402"/>
      <c r="Q1028" s="402"/>
      <c r="R1028" s="402"/>
      <c r="S1028" s="402"/>
      <c r="T1028" s="402"/>
      <c r="U1028" s="402"/>
      <c r="V1028" s="402"/>
      <c r="W1028" s="402"/>
      <c r="X1028" s="402"/>
      <c r="Y1028" s="402"/>
      <c r="Z1028" s="402"/>
    </row>
    <row r="1029" ht="14.25" customHeight="1">
      <c r="A1029" s="697">
        <v>45525.0</v>
      </c>
      <c r="B1029" s="863" t="s">
        <v>4977</v>
      </c>
      <c r="C1029" s="863" t="s">
        <v>4978</v>
      </c>
      <c r="D1029" s="867" t="s">
        <v>54</v>
      </c>
      <c r="E1029" s="689" t="s">
        <v>4887</v>
      </c>
      <c r="F1029" s="865">
        <v>892.65</v>
      </c>
      <c r="G1029" s="413">
        <v>0.0</v>
      </c>
      <c r="H1029" s="349">
        <v>0.0</v>
      </c>
      <c r="I1029" s="402"/>
      <c r="J1029" s="402"/>
      <c r="K1029" s="402"/>
      <c r="L1029" s="402"/>
      <c r="M1029" s="402"/>
      <c r="N1029" s="402"/>
      <c r="O1029" s="402"/>
      <c r="P1029" s="402"/>
      <c r="Q1029" s="402"/>
      <c r="R1029" s="402"/>
      <c r="S1029" s="402"/>
      <c r="T1029" s="402"/>
      <c r="U1029" s="402"/>
      <c r="V1029" s="402"/>
      <c r="W1029" s="402"/>
      <c r="X1029" s="402"/>
      <c r="Y1029" s="402"/>
      <c r="Z1029" s="402"/>
    </row>
    <row r="1030" ht="14.25" customHeight="1">
      <c r="A1030" s="697">
        <v>45525.0</v>
      </c>
      <c r="B1030" s="863" t="s">
        <v>4807</v>
      </c>
      <c r="C1030" s="863" t="s">
        <v>4978</v>
      </c>
      <c r="D1030" s="867" t="s">
        <v>346</v>
      </c>
      <c r="E1030" s="689" t="s">
        <v>5000</v>
      </c>
      <c r="F1030" s="865">
        <v>1156.98</v>
      </c>
      <c r="G1030" s="413">
        <v>0.0</v>
      </c>
      <c r="H1030" s="349">
        <v>0.0</v>
      </c>
      <c r="I1030" s="402"/>
      <c r="J1030" s="402"/>
      <c r="K1030" s="402"/>
      <c r="L1030" s="402"/>
      <c r="M1030" s="402"/>
      <c r="N1030" s="402"/>
      <c r="O1030" s="402"/>
      <c r="P1030" s="402"/>
      <c r="Q1030" s="402"/>
      <c r="R1030" s="402"/>
      <c r="S1030" s="402"/>
      <c r="T1030" s="402"/>
      <c r="U1030" s="402"/>
      <c r="V1030" s="402"/>
      <c r="W1030" s="402"/>
      <c r="X1030" s="402"/>
      <c r="Y1030" s="402"/>
      <c r="Z1030" s="402"/>
    </row>
    <row r="1031" ht="14.25" customHeight="1">
      <c r="A1031" s="697">
        <v>45525.0</v>
      </c>
      <c r="B1031" s="863" t="s">
        <v>5312</v>
      </c>
      <c r="C1031" s="863" t="s">
        <v>5030</v>
      </c>
      <c r="D1031" s="867" t="s">
        <v>54</v>
      </c>
      <c r="E1031" s="689" t="s">
        <v>4887</v>
      </c>
      <c r="F1031" s="865">
        <v>15493.96</v>
      </c>
      <c r="G1031" s="984">
        <v>15000.0</v>
      </c>
      <c r="H1031" s="349" t="s">
        <v>267</v>
      </c>
      <c r="I1031" s="402"/>
      <c r="J1031" s="402"/>
      <c r="K1031" s="402"/>
      <c r="L1031" s="402"/>
      <c r="M1031" s="402"/>
      <c r="N1031" s="402"/>
      <c r="O1031" s="402"/>
      <c r="P1031" s="402"/>
      <c r="Q1031" s="402"/>
      <c r="R1031" s="402"/>
      <c r="S1031" s="402"/>
      <c r="T1031" s="402"/>
      <c r="U1031" s="402"/>
      <c r="V1031" s="402"/>
      <c r="W1031" s="402"/>
      <c r="X1031" s="402"/>
      <c r="Y1031" s="402"/>
      <c r="Z1031" s="402"/>
    </row>
    <row r="1032" ht="14.25" customHeight="1">
      <c r="A1032" s="697">
        <v>45525.0</v>
      </c>
      <c r="B1032" s="863" t="s">
        <v>4809</v>
      </c>
      <c r="C1032" s="863" t="s">
        <v>4855</v>
      </c>
      <c r="D1032" s="867" t="s">
        <v>54</v>
      </c>
      <c r="E1032" s="689" t="s">
        <v>5428</v>
      </c>
      <c r="F1032" s="865">
        <v>46329.07</v>
      </c>
      <c r="G1032" s="413">
        <v>0.0</v>
      </c>
      <c r="H1032" s="349" t="s">
        <v>5429</v>
      </c>
      <c r="I1032" s="402"/>
      <c r="J1032" s="402"/>
      <c r="K1032" s="402"/>
      <c r="L1032" s="402"/>
      <c r="M1032" s="402"/>
      <c r="N1032" s="402"/>
      <c r="O1032" s="402"/>
      <c r="P1032" s="402"/>
      <c r="Q1032" s="402"/>
      <c r="R1032" s="402"/>
      <c r="S1032" s="402"/>
      <c r="T1032" s="402"/>
      <c r="U1032" s="402"/>
      <c r="V1032" s="402"/>
      <c r="W1032" s="402"/>
      <c r="X1032" s="402"/>
      <c r="Y1032" s="402"/>
      <c r="Z1032" s="402"/>
    </row>
    <row r="1033" ht="14.25" customHeight="1">
      <c r="A1033" s="697">
        <v>45525.0</v>
      </c>
      <c r="B1033" s="863" t="s">
        <v>4791</v>
      </c>
      <c r="C1033" s="863" t="s">
        <v>4912</v>
      </c>
      <c r="D1033" s="867" t="s">
        <v>54</v>
      </c>
      <c r="E1033" s="689" t="s">
        <v>4887</v>
      </c>
      <c r="F1033" s="865">
        <v>5441.25</v>
      </c>
      <c r="G1033" s="413">
        <v>0.0</v>
      </c>
      <c r="H1033" s="402"/>
      <c r="I1033" s="402"/>
      <c r="J1033" s="402"/>
      <c r="K1033" s="402"/>
      <c r="L1033" s="402"/>
      <c r="M1033" s="402"/>
      <c r="N1033" s="402"/>
      <c r="O1033" s="402"/>
      <c r="P1033" s="402"/>
      <c r="Q1033" s="402"/>
      <c r="R1033" s="402"/>
      <c r="S1033" s="402"/>
      <c r="T1033" s="402"/>
      <c r="U1033" s="402"/>
      <c r="V1033" s="402"/>
      <c r="W1033" s="402"/>
      <c r="X1033" s="402"/>
      <c r="Y1033" s="402"/>
      <c r="Z1033" s="402"/>
    </row>
    <row r="1034" ht="14.25" customHeight="1">
      <c r="A1034" s="697">
        <v>45525.0</v>
      </c>
      <c r="B1034" s="863" t="s">
        <v>4896</v>
      </c>
      <c r="C1034" s="863" t="s">
        <v>4897</v>
      </c>
      <c r="D1034" s="867" t="s">
        <v>54</v>
      </c>
      <c r="E1034" s="689" t="s">
        <v>5000</v>
      </c>
      <c r="F1034" s="865">
        <v>15777.33</v>
      </c>
      <c r="G1034" s="984">
        <v>27600.0</v>
      </c>
      <c r="H1034" s="349" t="s">
        <v>267</v>
      </c>
      <c r="I1034" s="402"/>
      <c r="J1034" s="402"/>
      <c r="K1034" s="402"/>
      <c r="L1034" s="402"/>
      <c r="M1034" s="402"/>
      <c r="N1034" s="402"/>
      <c r="O1034" s="402"/>
      <c r="P1034" s="402"/>
      <c r="Q1034" s="402"/>
      <c r="R1034" s="402"/>
      <c r="S1034" s="402"/>
      <c r="T1034" s="402"/>
      <c r="U1034" s="402"/>
      <c r="V1034" s="402"/>
      <c r="W1034" s="402"/>
      <c r="X1034" s="402"/>
      <c r="Y1034" s="402"/>
      <c r="Z1034" s="402"/>
    </row>
    <row r="1035" ht="14.25" customHeight="1">
      <c r="A1035" s="697">
        <v>45525.0</v>
      </c>
      <c r="B1035" s="863" t="s">
        <v>4793</v>
      </c>
      <c r="C1035" s="863" t="s">
        <v>4851</v>
      </c>
      <c r="D1035" s="867" t="s">
        <v>54</v>
      </c>
      <c r="E1035" s="689" t="s">
        <v>578</v>
      </c>
      <c r="F1035" s="865">
        <v>12772.71</v>
      </c>
      <c r="G1035" s="413">
        <v>0.0</v>
      </c>
      <c r="H1035" s="349" t="s">
        <v>5420</v>
      </c>
      <c r="I1035" s="402"/>
      <c r="J1035" s="402"/>
      <c r="K1035" s="402"/>
      <c r="L1035" s="402"/>
      <c r="M1035" s="402"/>
      <c r="N1035" s="402"/>
      <c r="O1035" s="402"/>
      <c r="P1035" s="402"/>
      <c r="Q1035" s="402"/>
      <c r="R1035" s="402"/>
      <c r="S1035" s="402"/>
      <c r="T1035" s="402"/>
      <c r="U1035" s="402"/>
      <c r="V1035" s="402"/>
      <c r="W1035" s="402"/>
      <c r="X1035" s="402"/>
      <c r="Y1035" s="402"/>
      <c r="Z1035" s="402"/>
    </row>
    <row r="1036" ht="14.25" customHeight="1">
      <c r="A1036" s="697">
        <v>45525.0</v>
      </c>
      <c r="B1036" s="863" t="s">
        <v>4816</v>
      </c>
      <c r="C1036" s="863" t="s">
        <v>4858</v>
      </c>
      <c r="D1036" s="867" t="s">
        <v>54</v>
      </c>
      <c r="E1036" s="689" t="s">
        <v>4887</v>
      </c>
      <c r="F1036" s="865">
        <v>6512.43</v>
      </c>
      <c r="G1036" s="413">
        <v>0.0</v>
      </c>
      <c r="H1036" s="943" t="s">
        <v>5412</v>
      </c>
      <c r="I1036" s="402"/>
      <c r="J1036" s="402"/>
      <c r="K1036" s="402"/>
      <c r="L1036" s="402"/>
      <c r="M1036" s="402"/>
      <c r="N1036" s="402"/>
      <c r="O1036" s="402"/>
      <c r="P1036" s="402"/>
      <c r="Q1036" s="402"/>
      <c r="R1036" s="402"/>
      <c r="S1036" s="402"/>
      <c r="T1036" s="402"/>
      <c r="U1036" s="402"/>
      <c r="V1036" s="402"/>
      <c r="W1036" s="402"/>
      <c r="X1036" s="402"/>
      <c r="Y1036" s="402"/>
      <c r="Z1036" s="402"/>
    </row>
    <row r="1037" ht="14.25" customHeight="1">
      <c r="A1037" s="697">
        <v>45525.0</v>
      </c>
      <c r="B1037" s="863" t="s">
        <v>5430</v>
      </c>
      <c r="C1037" s="863" t="s">
        <v>5431</v>
      </c>
      <c r="D1037" s="867" t="s">
        <v>346</v>
      </c>
      <c r="E1037" s="689" t="s">
        <v>5428</v>
      </c>
      <c r="F1037" s="865">
        <v>10260.0</v>
      </c>
      <c r="G1037" s="413">
        <v>0.0</v>
      </c>
      <c r="H1037" s="349" t="s">
        <v>267</v>
      </c>
      <c r="I1037" s="402"/>
      <c r="J1037" s="402"/>
      <c r="K1037" s="402"/>
      <c r="L1037" s="402"/>
      <c r="M1037" s="402"/>
      <c r="N1037" s="402"/>
      <c r="O1037" s="402"/>
      <c r="P1037" s="402"/>
      <c r="Q1037" s="402"/>
      <c r="R1037" s="402"/>
      <c r="S1037" s="402"/>
      <c r="T1037" s="402"/>
      <c r="U1037" s="402"/>
      <c r="V1037" s="402"/>
      <c r="W1037" s="402"/>
      <c r="X1037" s="402"/>
      <c r="Y1037" s="402"/>
      <c r="Z1037" s="402"/>
    </row>
    <row r="1038" ht="14.25" customHeight="1">
      <c r="A1038" s="697">
        <v>45525.0</v>
      </c>
      <c r="B1038" s="863" t="s">
        <v>4983</v>
      </c>
      <c r="C1038" s="863" t="s">
        <v>4860</v>
      </c>
      <c r="D1038" s="867" t="s">
        <v>54</v>
      </c>
      <c r="E1038" s="689" t="s">
        <v>5428</v>
      </c>
      <c r="F1038" s="865">
        <v>10967.24</v>
      </c>
      <c r="G1038" s="413">
        <v>0.0</v>
      </c>
      <c r="H1038" s="349" t="s">
        <v>3671</v>
      </c>
      <c r="I1038" s="402"/>
      <c r="J1038" s="402"/>
      <c r="K1038" s="402"/>
      <c r="L1038" s="402"/>
      <c r="M1038" s="402"/>
      <c r="N1038" s="402"/>
      <c r="O1038" s="402"/>
      <c r="P1038" s="402"/>
      <c r="Q1038" s="402"/>
      <c r="R1038" s="402"/>
      <c r="S1038" s="402"/>
      <c r="T1038" s="402"/>
      <c r="U1038" s="402"/>
      <c r="V1038" s="402"/>
      <c r="W1038" s="402"/>
      <c r="X1038" s="402"/>
      <c r="Y1038" s="402"/>
      <c r="Z1038" s="402"/>
    </row>
    <row r="1039" ht="14.25" customHeight="1">
      <c r="A1039" s="697">
        <v>45525.0</v>
      </c>
      <c r="B1039" s="863" t="s">
        <v>4783</v>
      </c>
      <c r="C1039" s="863" t="s">
        <v>4844</v>
      </c>
      <c r="D1039" s="867" t="s">
        <v>54</v>
      </c>
      <c r="E1039" s="689" t="s">
        <v>578</v>
      </c>
      <c r="F1039" s="865">
        <v>992000.0</v>
      </c>
      <c r="G1039" s="413">
        <v>0.0</v>
      </c>
      <c r="H1039" s="349" t="s">
        <v>5432</v>
      </c>
      <c r="I1039" s="402"/>
      <c r="J1039" s="402"/>
      <c r="K1039" s="402"/>
      <c r="L1039" s="402"/>
      <c r="M1039" s="402"/>
      <c r="N1039" s="402"/>
      <c r="O1039" s="402"/>
      <c r="P1039" s="402"/>
      <c r="Q1039" s="402"/>
      <c r="R1039" s="402"/>
      <c r="S1039" s="402"/>
      <c r="T1039" s="402"/>
      <c r="U1039" s="402"/>
      <c r="V1039" s="402"/>
      <c r="W1039" s="402"/>
      <c r="X1039" s="402"/>
      <c r="Y1039" s="402"/>
      <c r="Z1039" s="402"/>
    </row>
    <row r="1040" ht="14.25" customHeight="1">
      <c r="A1040" s="697">
        <v>45525.0</v>
      </c>
      <c r="B1040" s="863" t="s">
        <v>5314</v>
      </c>
      <c r="C1040" s="863" t="s">
        <v>5433</v>
      </c>
      <c r="D1040" s="867" t="s">
        <v>346</v>
      </c>
      <c r="E1040" s="689" t="s">
        <v>4887</v>
      </c>
      <c r="F1040" s="865">
        <v>13607.71</v>
      </c>
      <c r="G1040" s="413">
        <v>0.0</v>
      </c>
      <c r="H1040" s="349" t="s">
        <v>267</v>
      </c>
      <c r="I1040" s="402"/>
      <c r="J1040" s="402"/>
      <c r="K1040" s="402"/>
      <c r="L1040" s="402"/>
      <c r="M1040" s="402"/>
      <c r="N1040" s="402"/>
      <c r="O1040" s="402"/>
      <c r="P1040" s="402"/>
      <c r="Q1040" s="402"/>
      <c r="R1040" s="402"/>
      <c r="S1040" s="402"/>
      <c r="T1040" s="402"/>
      <c r="U1040" s="402"/>
      <c r="V1040" s="402"/>
      <c r="W1040" s="402"/>
      <c r="X1040" s="402"/>
      <c r="Y1040" s="402"/>
      <c r="Z1040" s="402"/>
    </row>
    <row r="1041" ht="14.25" customHeight="1">
      <c r="A1041" s="697">
        <v>45525.0</v>
      </c>
      <c r="B1041" s="863" t="s">
        <v>4815</v>
      </c>
      <c r="C1041" s="863" t="s">
        <v>4974</v>
      </c>
      <c r="D1041" s="867" t="s">
        <v>54</v>
      </c>
      <c r="E1041" s="689" t="s">
        <v>5000</v>
      </c>
      <c r="F1041" s="865">
        <v>182338.42</v>
      </c>
      <c r="G1041" s="413">
        <v>0.0</v>
      </c>
      <c r="H1041" s="349" t="s">
        <v>5434</v>
      </c>
      <c r="I1041" s="402"/>
      <c r="J1041" s="402"/>
      <c r="K1041" s="402"/>
      <c r="L1041" s="402"/>
      <c r="M1041" s="402"/>
      <c r="N1041" s="402"/>
      <c r="O1041" s="402"/>
      <c r="P1041" s="402"/>
      <c r="Q1041" s="402"/>
      <c r="R1041" s="402"/>
      <c r="S1041" s="402"/>
      <c r="T1041" s="402"/>
      <c r="U1041" s="402"/>
      <c r="V1041" s="402"/>
      <c r="W1041" s="402"/>
      <c r="X1041" s="402"/>
      <c r="Y1041" s="402"/>
      <c r="Z1041" s="402"/>
    </row>
    <row r="1042" ht="14.25" customHeight="1">
      <c r="A1042" s="697">
        <v>45525.0</v>
      </c>
      <c r="B1042" s="863" t="s">
        <v>5391</v>
      </c>
      <c r="C1042" s="863" t="s">
        <v>5431</v>
      </c>
      <c r="D1042" s="867" t="s">
        <v>54</v>
      </c>
      <c r="E1042" s="689" t="s">
        <v>578</v>
      </c>
      <c r="F1042" s="865">
        <v>38377.0</v>
      </c>
      <c r="G1042" s="413">
        <v>0.0</v>
      </c>
      <c r="H1042" s="349" t="s">
        <v>3671</v>
      </c>
      <c r="I1042" s="402"/>
      <c r="J1042" s="402"/>
      <c r="K1042" s="402"/>
      <c r="L1042" s="402"/>
      <c r="M1042" s="402"/>
      <c r="N1042" s="402"/>
      <c r="O1042" s="402"/>
      <c r="P1042" s="402"/>
      <c r="Q1042" s="402"/>
      <c r="R1042" s="402"/>
      <c r="S1042" s="402"/>
      <c r="T1042" s="402"/>
      <c r="U1042" s="402"/>
      <c r="V1042" s="402"/>
      <c r="W1042" s="402"/>
      <c r="X1042" s="402"/>
      <c r="Y1042" s="402"/>
      <c r="Z1042" s="402"/>
    </row>
    <row r="1043" ht="14.25" customHeight="1">
      <c r="A1043" s="697">
        <v>45525.0</v>
      </c>
      <c r="B1043" s="863" t="s">
        <v>5070</v>
      </c>
      <c r="C1043" s="863" t="s">
        <v>4859</v>
      </c>
      <c r="D1043" s="867" t="s">
        <v>75</v>
      </c>
      <c r="E1043" s="689" t="s">
        <v>5000</v>
      </c>
      <c r="F1043" s="865">
        <v>1915070.06</v>
      </c>
      <c r="G1043" s="413">
        <v>0.0</v>
      </c>
      <c r="H1043" s="349" t="s">
        <v>5435</v>
      </c>
      <c r="I1043" s="402"/>
      <c r="J1043" s="402"/>
      <c r="K1043" s="402"/>
      <c r="L1043" s="402"/>
      <c r="M1043" s="402"/>
      <c r="N1043" s="402"/>
      <c r="O1043" s="402"/>
      <c r="P1043" s="402"/>
      <c r="Q1043" s="402"/>
      <c r="R1043" s="402"/>
      <c r="S1043" s="402"/>
      <c r="T1043" s="402"/>
      <c r="U1043" s="402"/>
      <c r="V1043" s="402"/>
      <c r="W1043" s="402"/>
      <c r="X1043" s="402"/>
      <c r="Y1043" s="402"/>
      <c r="Z1043" s="402"/>
    </row>
    <row r="1044" ht="14.25" customHeight="1">
      <c r="A1044" s="697">
        <v>45525.0</v>
      </c>
      <c r="B1044" s="863" t="s">
        <v>5075</v>
      </c>
      <c r="C1044" s="863" t="s">
        <v>5076</v>
      </c>
      <c r="D1044" s="867" t="s">
        <v>75</v>
      </c>
      <c r="E1044" s="689" t="s">
        <v>5428</v>
      </c>
      <c r="F1044" s="865">
        <v>44182.16</v>
      </c>
      <c r="G1044" s="413">
        <v>0.0</v>
      </c>
      <c r="H1044" s="349" t="s">
        <v>5436</v>
      </c>
      <c r="I1044" s="402"/>
      <c r="J1044" s="402"/>
      <c r="K1044" s="402"/>
      <c r="L1044" s="402"/>
      <c r="M1044" s="402"/>
      <c r="N1044" s="402"/>
      <c r="O1044" s="402"/>
      <c r="P1044" s="402"/>
      <c r="Q1044" s="402"/>
      <c r="R1044" s="402"/>
      <c r="S1044" s="402"/>
      <c r="T1044" s="402"/>
      <c r="U1044" s="402"/>
      <c r="V1044" s="402"/>
      <c r="W1044" s="402"/>
      <c r="X1044" s="402"/>
      <c r="Y1044" s="402"/>
      <c r="Z1044" s="402"/>
    </row>
    <row r="1045" ht="14.25" customHeight="1">
      <c r="A1045" s="697">
        <v>45525.0</v>
      </c>
      <c r="B1045" s="863" t="s">
        <v>5221</v>
      </c>
      <c r="C1045" s="863" t="s">
        <v>5437</v>
      </c>
      <c r="D1045" s="867" t="s">
        <v>75</v>
      </c>
      <c r="E1045" s="689" t="s">
        <v>5000</v>
      </c>
      <c r="F1045" s="865">
        <v>608028.75</v>
      </c>
      <c r="G1045" s="413">
        <v>0.0</v>
      </c>
      <c r="H1045" s="349" t="s">
        <v>5438</v>
      </c>
      <c r="I1045" s="402"/>
      <c r="J1045" s="402"/>
      <c r="K1045" s="402"/>
      <c r="L1045" s="402"/>
      <c r="M1045" s="402"/>
      <c r="N1045" s="402"/>
      <c r="O1045" s="402"/>
      <c r="P1045" s="402"/>
      <c r="Q1045" s="402"/>
      <c r="R1045" s="402"/>
      <c r="S1045" s="402"/>
      <c r="T1045" s="402"/>
      <c r="U1045" s="402"/>
      <c r="V1045" s="402"/>
      <c r="W1045" s="402"/>
      <c r="X1045" s="402"/>
      <c r="Y1045" s="402"/>
      <c r="Z1045" s="402"/>
    </row>
    <row r="1046" ht="14.25" customHeight="1">
      <c r="A1046" s="697">
        <v>45525.0</v>
      </c>
      <c r="B1046" s="863" t="s">
        <v>5316</v>
      </c>
      <c r="C1046" s="863" t="s">
        <v>4853</v>
      </c>
      <c r="D1046" s="867" t="s">
        <v>75</v>
      </c>
      <c r="E1046" s="689" t="s">
        <v>4887</v>
      </c>
      <c r="F1046" s="865">
        <v>53375.0</v>
      </c>
      <c r="G1046" s="413">
        <v>0.0</v>
      </c>
      <c r="H1046" s="349" t="s">
        <v>5439</v>
      </c>
      <c r="I1046" s="402"/>
      <c r="J1046" s="402"/>
      <c r="K1046" s="402"/>
      <c r="L1046" s="402"/>
      <c r="M1046" s="402"/>
      <c r="N1046" s="402"/>
      <c r="O1046" s="402"/>
      <c r="P1046" s="402"/>
      <c r="Q1046" s="402"/>
      <c r="R1046" s="402"/>
      <c r="S1046" s="402"/>
      <c r="T1046" s="402"/>
      <c r="U1046" s="402"/>
      <c r="V1046" s="402"/>
      <c r="W1046" s="402"/>
      <c r="X1046" s="402"/>
      <c r="Y1046" s="402"/>
      <c r="Z1046" s="402"/>
    </row>
    <row r="1047" ht="14.25" customHeight="1">
      <c r="A1047" s="697">
        <v>45525.0</v>
      </c>
      <c r="B1047" s="863" t="s">
        <v>5388</v>
      </c>
      <c r="C1047" s="863" t="s">
        <v>4941</v>
      </c>
      <c r="D1047" s="867" t="s">
        <v>1030</v>
      </c>
      <c r="E1047" s="689" t="s">
        <v>4887</v>
      </c>
      <c r="F1047" s="865">
        <v>104964.0</v>
      </c>
      <c r="G1047" s="984">
        <v>104964.0</v>
      </c>
      <c r="H1047" s="349" t="s">
        <v>267</v>
      </c>
      <c r="I1047" s="402"/>
      <c r="J1047" s="402"/>
      <c r="K1047" s="402"/>
      <c r="L1047" s="402"/>
      <c r="M1047" s="402"/>
      <c r="N1047" s="402"/>
      <c r="O1047" s="402"/>
      <c r="P1047" s="402"/>
      <c r="Q1047" s="402"/>
      <c r="R1047" s="402"/>
      <c r="S1047" s="402"/>
      <c r="T1047" s="402"/>
      <c r="U1047" s="402"/>
      <c r="V1047" s="402"/>
      <c r="W1047" s="402"/>
      <c r="X1047" s="402"/>
      <c r="Y1047" s="402"/>
      <c r="Z1047" s="402"/>
    </row>
    <row r="1048" ht="14.25" customHeight="1">
      <c r="A1048" s="697">
        <v>45525.0</v>
      </c>
      <c r="B1048" s="863" t="s">
        <v>5363</v>
      </c>
      <c r="C1048" s="863" t="s">
        <v>5222</v>
      </c>
      <c r="D1048" s="867" t="s">
        <v>54</v>
      </c>
      <c r="E1048" s="689" t="s">
        <v>5000</v>
      </c>
      <c r="F1048" s="865">
        <v>224787.15</v>
      </c>
      <c r="G1048" s="413">
        <v>0.0</v>
      </c>
      <c r="H1048" s="349" t="s">
        <v>5438</v>
      </c>
      <c r="I1048" s="402"/>
      <c r="J1048" s="402"/>
      <c r="K1048" s="402"/>
      <c r="L1048" s="402"/>
      <c r="M1048" s="402"/>
      <c r="N1048" s="402"/>
      <c r="O1048" s="402"/>
      <c r="P1048" s="402"/>
      <c r="Q1048" s="402"/>
      <c r="R1048" s="402"/>
      <c r="S1048" s="402"/>
      <c r="T1048" s="402"/>
      <c r="U1048" s="402"/>
      <c r="V1048" s="402"/>
      <c r="W1048" s="402"/>
      <c r="X1048" s="402"/>
      <c r="Y1048" s="402"/>
      <c r="Z1048" s="402"/>
    </row>
    <row r="1049" ht="14.25" customHeight="1">
      <c r="A1049" s="697">
        <v>45525.0</v>
      </c>
      <c r="B1049" s="863" t="s">
        <v>5198</v>
      </c>
      <c r="C1049" s="863" t="s">
        <v>5199</v>
      </c>
      <c r="D1049" s="867" t="s">
        <v>54</v>
      </c>
      <c r="E1049" s="689" t="s">
        <v>4887</v>
      </c>
      <c r="F1049" s="865">
        <v>1465.0</v>
      </c>
      <c r="G1049" s="984">
        <v>1456.0</v>
      </c>
      <c r="H1049" s="349" t="s">
        <v>267</v>
      </c>
      <c r="I1049" s="402"/>
      <c r="J1049" s="402"/>
      <c r="K1049" s="402"/>
      <c r="L1049" s="402"/>
      <c r="M1049" s="402"/>
      <c r="N1049" s="402"/>
      <c r="O1049" s="402"/>
      <c r="P1049" s="402"/>
      <c r="Q1049" s="402"/>
      <c r="R1049" s="402"/>
      <c r="S1049" s="402"/>
      <c r="T1049" s="402"/>
      <c r="U1049" s="402"/>
      <c r="V1049" s="402"/>
      <c r="W1049" s="402"/>
      <c r="X1049" s="402"/>
      <c r="Y1049" s="402"/>
      <c r="Z1049" s="402"/>
    </row>
    <row r="1050" ht="14.25" customHeight="1">
      <c r="A1050" s="697">
        <v>45525.0</v>
      </c>
      <c r="B1050" s="863" t="s">
        <v>5397</v>
      </c>
      <c r="C1050" s="863" t="s">
        <v>5205</v>
      </c>
      <c r="D1050" s="867" t="s">
        <v>75</v>
      </c>
      <c r="E1050" s="689" t="s">
        <v>4887</v>
      </c>
      <c r="F1050" s="865">
        <v>230000.0</v>
      </c>
      <c r="G1050" s="413">
        <v>0.0</v>
      </c>
      <c r="H1050" s="349" t="s">
        <v>5440</v>
      </c>
      <c r="I1050" s="402"/>
      <c r="J1050" s="402"/>
      <c r="K1050" s="402"/>
      <c r="L1050" s="402"/>
      <c r="M1050" s="402"/>
      <c r="N1050" s="402"/>
      <c r="O1050" s="402"/>
      <c r="P1050" s="402"/>
      <c r="Q1050" s="402"/>
      <c r="R1050" s="402"/>
      <c r="S1050" s="402"/>
      <c r="T1050" s="402"/>
      <c r="U1050" s="402"/>
      <c r="V1050" s="402"/>
      <c r="W1050" s="402"/>
      <c r="X1050" s="402"/>
      <c r="Y1050" s="402"/>
      <c r="Z1050" s="402"/>
    </row>
    <row r="1051" ht="14.25" customHeight="1">
      <c r="A1051" s="697">
        <v>45525.0</v>
      </c>
      <c r="B1051" s="863" t="s">
        <v>4547</v>
      </c>
      <c r="C1051" s="863" t="s">
        <v>4548</v>
      </c>
      <c r="D1051" s="867" t="s">
        <v>59</v>
      </c>
      <c r="E1051" s="689" t="s">
        <v>273</v>
      </c>
      <c r="F1051" s="865">
        <v>617498.61</v>
      </c>
      <c r="G1051" s="413">
        <v>0.0</v>
      </c>
      <c r="H1051" s="349" t="s">
        <v>3706</v>
      </c>
      <c r="I1051" s="402"/>
      <c r="J1051" s="402"/>
      <c r="K1051" s="402"/>
      <c r="L1051" s="402"/>
      <c r="M1051" s="402"/>
      <c r="N1051" s="402"/>
      <c r="O1051" s="402"/>
      <c r="P1051" s="402"/>
      <c r="Q1051" s="402"/>
      <c r="R1051" s="402"/>
      <c r="S1051" s="402"/>
      <c r="T1051" s="402"/>
      <c r="U1051" s="402"/>
      <c r="V1051" s="402"/>
      <c r="W1051" s="402"/>
      <c r="X1051" s="402"/>
      <c r="Y1051" s="402"/>
      <c r="Z1051" s="402"/>
    </row>
    <row r="1052" ht="14.25" customHeight="1">
      <c r="A1052" s="697">
        <v>45525.0</v>
      </c>
      <c r="B1052" s="863" t="s">
        <v>4781</v>
      </c>
      <c r="C1052" s="863" t="s">
        <v>4827</v>
      </c>
      <c r="D1052" s="867" t="s">
        <v>1030</v>
      </c>
      <c r="E1052" s="689" t="s">
        <v>578</v>
      </c>
      <c r="F1052" s="865">
        <v>227711.11</v>
      </c>
      <c r="G1052" s="413">
        <v>0.0</v>
      </c>
      <c r="H1052" s="349" t="s">
        <v>5441</v>
      </c>
      <c r="I1052" s="402"/>
      <c r="J1052" s="402"/>
      <c r="K1052" s="402"/>
      <c r="L1052" s="402"/>
      <c r="M1052" s="402"/>
      <c r="N1052" s="402"/>
      <c r="O1052" s="402"/>
      <c r="P1052" s="402"/>
      <c r="Q1052" s="402"/>
      <c r="R1052" s="402"/>
      <c r="S1052" s="402"/>
      <c r="T1052" s="402"/>
      <c r="U1052" s="402"/>
      <c r="V1052" s="402"/>
      <c r="W1052" s="402"/>
      <c r="X1052" s="402"/>
      <c r="Y1052" s="402"/>
      <c r="Z1052" s="402"/>
    </row>
    <row r="1053" ht="14.25" customHeight="1">
      <c r="A1053" s="697">
        <v>45525.0</v>
      </c>
      <c r="B1053" s="863" t="s">
        <v>5442</v>
      </c>
      <c r="C1053" s="863" t="s">
        <v>5443</v>
      </c>
      <c r="D1053" s="867" t="s">
        <v>54</v>
      </c>
      <c r="E1053" s="689" t="s">
        <v>578</v>
      </c>
      <c r="F1053" s="413">
        <v>27600.0</v>
      </c>
      <c r="G1053" s="413">
        <v>0.0</v>
      </c>
      <c r="H1053" s="349" t="s">
        <v>932</v>
      </c>
      <c r="I1053" s="402"/>
      <c r="J1053" s="402"/>
      <c r="K1053" s="402"/>
      <c r="L1053" s="402"/>
      <c r="M1053" s="402"/>
      <c r="N1053" s="402"/>
      <c r="O1053" s="402"/>
      <c r="P1053" s="402"/>
      <c r="Q1053" s="402"/>
      <c r="R1053" s="402"/>
      <c r="S1053" s="402"/>
      <c r="T1053" s="402"/>
      <c r="U1053" s="402"/>
      <c r="V1053" s="402"/>
      <c r="W1053" s="402"/>
      <c r="X1053" s="402"/>
      <c r="Y1053" s="402"/>
      <c r="Z1053" s="402"/>
    </row>
    <row r="1054" ht="14.25" customHeight="1">
      <c r="A1054" s="697"/>
      <c r="B1054" s="863"/>
      <c r="C1054" s="863"/>
      <c r="D1054" s="867"/>
      <c r="E1054" s="868"/>
      <c r="F1054" s="865"/>
      <c r="G1054" s="403"/>
      <c r="H1054" s="402"/>
      <c r="I1054" s="402"/>
      <c r="J1054" s="402"/>
      <c r="K1054" s="402"/>
      <c r="L1054" s="402"/>
      <c r="M1054" s="402"/>
      <c r="N1054" s="402"/>
      <c r="O1054" s="402"/>
      <c r="P1054" s="402"/>
      <c r="Q1054" s="402"/>
      <c r="R1054" s="402"/>
      <c r="S1054" s="402"/>
      <c r="T1054" s="402"/>
      <c r="U1054" s="402"/>
      <c r="V1054" s="402"/>
      <c r="W1054" s="402"/>
      <c r="X1054" s="402"/>
      <c r="Y1054" s="402"/>
      <c r="Z1054" s="402"/>
    </row>
    <row r="1055" ht="14.25" customHeight="1">
      <c r="A1055" s="584" t="s">
        <v>2130</v>
      </c>
      <c r="B1055" s="877" t="s">
        <v>39</v>
      </c>
      <c r="C1055" s="584" t="s">
        <v>48</v>
      </c>
      <c r="D1055" s="584" t="s">
        <v>49</v>
      </c>
      <c r="E1055" s="862" t="s">
        <v>50</v>
      </c>
      <c r="F1055" s="585" t="s">
        <v>2</v>
      </c>
      <c r="G1055" s="584" t="s">
        <v>44</v>
      </c>
      <c r="H1055" s="584" t="s">
        <v>45</v>
      </c>
      <c r="I1055" s="866" t="str">
        <f>IF(G1055&gt;=F1055,"FULLY PAID",IF(G1055=0,"NOT PAID","PARTIALLY PAID"))</f>
        <v>FULLY PAID</v>
      </c>
      <c r="J1055" s="402"/>
      <c r="K1055" s="402"/>
      <c r="L1055" s="402"/>
      <c r="M1055" s="402"/>
      <c r="N1055" s="402"/>
      <c r="O1055" s="402"/>
      <c r="P1055" s="402"/>
      <c r="Q1055" s="402"/>
      <c r="R1055" s="402"/>
      <c r="S1055" s="402"/>
      <c r="T1055" s="402"/>
      <c r="U1055" s="402"/>
      <c r="V1055" s="402"/>
      <c r="W1055" s="402"/>
      <c r="X1055" s="402"/>
      <c r="Y1055" s="402"/>
      <c r="Z1055" s="402"/>
    </row>
    <row r="1056" ht="14.25" customHeight="1">
      <c r="A1056" s="697">
        <v>45526.0</v>
      </c>
      <c r="B1056" s="863" t="s">
        <v>5227</v>
      </c>
      <c r="C1056" s="863" t="s">
        <v>5114</v>
      </c>
      <c r="D1056" s="867" t="s">
        <v>54</v>
      </c>
      <c r="E1056" s="689" t="s">
        <v>4887</v>
      </c>
      <c r="F1056" s="865">
        <v>247.82</v>
      </c>
      <c r="G1056" s="985">
        <v>500.0</v>
      </c>
      <c r="H1056" s="349" t="s">
        <v>5444</v>
      </c>
      <c r="I1056" s="402"/>
      <c r="J1056" s="402"/>
      <c r="K1056" s="402"/>
      <c r="L1056" s="402"/>
      <c r="M1056" s="402"/>
      <c r="N1056" s="402"/>
      <c r="O1056" s="402"/>
      <c r="P1056" s="402"/>
      <c r="Q1056" s="402"/>
      <c r="R1056" s="402"/>
      <c r="S1056" s="402"/>
      <c r="T1056" s="402"/>
      <c r="U1056" s="402"/>
      <c r="V1056" s="402"/>
      <c r="W1056" s="402"/>
      <c r="X1056" s="402"/>
      <c r="Y1056" s="402"/>
      <c r="Z1056" s="402"/>
    </row>
    <row r="1057" ht="14.25" customHeight="1">
      <c r="A1057" s="697">
        <v>45526.0</v>
      </c>
      <c r="B1057" s="863" t="s">
        <v>5198</v>
      </c>
      <c r="C1057" s="863" t="s">
        <v>5199</v>
      </c>
      <c r="D1057" s="867" t="s">
        <v>54</v>
      </c>
      <c r="E1057" s="893" t="s">
        <v>578</v>
      </c>
      <c r="F1057" s="865">
        <v>9.21</v>
      </c>
      <c r="G1057" s="985">
        <v>10.0</v>
      </c>
      <c r="H1057" s="349" t="s">
        <v>5445</v>
      </c>
      <c r="I1057" s="402"/>
      <c r="J1057" s="402"/>
      <c r="K1057" s="402"/>
      <c r="L1057" s="402"/>
      <c r="M1057" s="402"/>
      <c r="N1057" s="402"/>
      <c r="O1057" s="402"/>
      <c r="P1057" s="402"/>
      <c r="Q1057" s="402"/>
      <c r="R1057" s="402"/>
      <c r="S1057" s="402"/>
      <c r="T1057" s="402"/>
      <c r="U1057" s="402"/>
      <c r="V1057" s="402"/>
      <c r="W1057" s="402"/>
      <c r="X1057" s="402"/>
      <c r="Y1057" s="402"/>
      <c r="Z1057" s="402"/>
    </row>
    <row r="1058" ht="14.25" customHeight="1">
      <c r="A1058" s="697">
        <v>45526.0</v>
      </c>
      <c r="B1058" s="863" t="s">
        <v>5446</v>
      </c>
      <c r="C1058" s="863" t="s">
        <v>5447</v>
      </c>
      <c r="D1058" s="867" t="s">
        <v>54</v>
      </c>
      <c r="E1058" s="689" t="s">
        <v>5372</v>
      </c>
      <c r="F1058" s="865">
        <v>41318.0</v>
      </c>
      <c r="G1058" s="985">
        <v>45511.0</v>
      </c>
      <c r="H1058" s="349" t="s">
        <v>4876</v>
      </c>
      <c r="I1058" s="402"/>
      <c r="J1058" s="402"/>
      <c r="K1058" s="402"/>
      <c r="L1058" s="402"/>
      <c r="M1058" s="402"/>
      <c r="N1058" s="402"/>
      <c r="O1058" s="402"/>
      <c r="P1058" s="402"/>
      <c r="Q1058" s="402"/>
      <c r="R1058" s="402"/>
      <c r="S1058" s="402"/>
      <c r="T1058" s="402"/>
      <c r="U1058" s="402"/>
      <c r="V1058" s="402"/>
      <c r="W1058" s="402"/>
      <c r="X1058" s="402"/>
      <c r="Y1058" s="402"/>
      <c r="Z1058" s="402"/>
    </row>
    <row r="1059" ht="14.25" customHeight="1">
      <c r="A1059" s="697">
        <v>45526.0</v>
      </c>
      <c r="B1059" s="863" t="s">
        <v>4900</v>
      </c>
      <c r="C1059" s="863" t="s">
        <v>4901</v>
      </c>
      <c r="D1059" s="867" t="s">
        <v>54</v>
      </c>
      <c r="E1059" s="689" t="s">
        <v>5372</v>
      </c>
      <c r="F1059" s="865">
        <v>8773.68</v>
      </c>
      <c r="G1059" s="986"/>
      <c r="H1059" s="349" t="s">
        <v>5448</v>
      </c>
      <c r="I1059" s="987"/>
      <c r="J1059" s="402"/>
      <c r="K1059" s="402"/>
      <c r="L1059" s="402"/>
      <c r="M1059" s="402"/>
      <c r="N1059" s="402"/>
      <c r="O1059" s="402"/>
      <c r="P1059" s="402"/>
      <c r="Q1059" s="402"/>
      <c r="R1059" s="402"/>
      <c r="S1059" s="402"/>
      <c r="T1059" s="402"/>
      <c r="U1059" s="402"/>
      <c r="V1059" s="402"/>
      <c r="W1059" s="402"/>
      <c r="X1059" s="402"/>
      <c r="Y1059" s="402"/>
      <c r="Z1059" s="402"/>
    </row>
    <row r="1060" ht="14.25" customHeight="1">
      <c r="A1060" s="697">
        <v>45526.0</v>
      </c>
      <c r="B1060" s="863" t="s">
        <v>5097</v>
      </c>
      <c r="C1060" s="863" t="s">
        <v>5076</v>
      </c>
      <c r="D1060" s="867" t="s">
        <v>54</v>
      </c>
      <c r="E1060" s="689" t="s">
        <v>5428</v>
      </c>
      <c r="F1060" s="865">
        <v>37603.32</v>
      </c>
      <c r="G1060" s="403"/>
      <c r="H1060" s="349" t="s">
        <v>5449</v>
      </c>
      <c r="I1060" s="987"/>
      <c r="J1060" s="402"/>
      <c r="K1060" s="402"/>
      <c r="L1060" s="402"/>
      <c r="M1060" s="402"/>
      <c r="N1060" s="402"/>
      <c r="O1060" s="402"/>
      <c r="P1060" s="402"/>
      <c r="Q1060" s="402"/>
      <c r="R1060" s="402"/>
      <c r="S1060" s="402"/>
      <c r="T1060" s="402"/>
      <c r="U1060" s="402"/>
      <c r="V1060" s="402"/>
      <c r="W1060" s="402"/>
      <c r="X1060" s="402"/>
      <c r="Y1060" s="402"/>
      <c r="Z1060" s="402"/>
    </row>
    <row r="1061" ht="14.25" customHeight="1">
      <c r="A1061" s="697">
        <v>45526.0</v>
      </c>
      <c r="B1061" s="863" t="s">
        <v>5257</v>
      </c>
      <c r="C1061" s="863" t="s">
        <v>5048</v>
      </c>
      <c r="D1061" s="867" t="s">
        <v>54</v>
      </c>
      <c r="E1061" s="689" t="s">
        <v>5372</v>
      </c>
      <c r="F1061" s="865">
        <v>11384.6</v>
      </c>
      <c r="G1061" s="413">
        <v>14386.0</v>
      </c>
      <c r="H1061" s="349" t="s">
        <v>5450</v>
      </c>
      <c r="I1061" s="988"/>
      <c r="J1061" s="402"/>
      <c r="K1061" s="402"/>
      <c r="L1061" s="402"/>
      <c r="M1061" s="402"/>
      <c r="N1061" s="402"/>
      <c r="O1061" s="402"/>
      <c r="P1061" s="402"/>
      <c r="Q1061" s="402"/>
      <c r="R1061" s="402"/>
      <c r="S1061" s="402"/>
      <c r="T1061" s="402"/>
      <c r="U1061" s="402"/>
      <c r="V1061" s="402"/>
      <c r="W1061" s="402"/>
      <c r="X1061" s="402"/>
      <c r="Y1061" s="402"/>
      <c r="Z1061" s="402"/>
    </row>
    <row r="1062" ht="14.25" customHeight="1">
      <c r="A1062" s="697">
        <v>45526.0</v>
      </c>
      <c r="B1062" s="863" t="s">
        <v>4885</v>
      </c>
      <c r="C1062" s="863" t="s">
        <v>4886</v>
      </c>
      <c r="D1062" s="867" t="s">
        <v>54</v>
      </c>
      <c r="E1062" s="689" t="s">
        <v>578</v>
      </c>
      <c r="F1062" s="865">
        <v>1625.64</v>
      </c>
      <c r="G1062" s="403"/>
      <c r="H1062" s="349" t="s">
        <v>5451</v>
      </c>
      <c r="I1062" s="988"/>
      <c r="J1062" s="402"/>
      <c r="K1062" s="402"/>
      <c r="L1062" s="402"/>
      <c r="M1062" s="402"/>
      <c r="N1062" s="402"/>
      <c r="O1062" s="402"/>
      <c r="P1062" s="402"/>
      <c r="Q1062" s="402"/>
      <c r="R1062" s="402"/>
      <c r="S1062" s="402"/>
      <c r="T1062" s="402"/>
      <c r="U1062" s="402"/>
      <c r="V1062" s="402"/>
      <c r="W1062" s="402"/>
      <c r="X1062" s="402"/>
      <c r="Y1062" s="402"/>
      <c r="Z1062" s="402"/>
    </row>
    <row r="1063" ht="14.25" customHeight="1">
      <c r="A1063" s="697">
        <v>45526.0</v>
      </c>
      <c r="B1063" s="863" t="s">
        <v>4767</v>
      </c>
      <c r="C1063" s="863" t="s">
        <v>4861</v>
      </c>
      <c r="D1063" s="867" t="s">
        <v>59</v>
      </c>
      <c r="E1063" s="689" t="s">
        <v>578</v>
      </c>
      <c r="F1063" s="865">
        <v>100846.14</v>
      </c>
      <c r="G1063" s="413">
        <v>176000.0</v>
      </c>
      <c r="H1063" s="349" t="s">
        <v>267</v>
      </c>
      <c r="I1063" s="988"/>
      <c r="J1063" s="402"/>
      <c r="K1063" s="402"/>
      <c r="L1063" s="402"/>
      <c r="M1063" s="402"/>
      <c r="N1063" s="402"/>
      <c r="O1063" s="402"/>
      <c r="P1063" s="402"/>
      <c r="Q1063" s="402"/>
      <c r="R1063" s="402"/>
      <c r="S1063" s="402"/>
      <c r="T1063" s="402"/>
      <c r="U1063" s="402"/>
      <c r="V1063" s="402"/>
      <c r="W1063" s="402"/>
      <c r="X1063" s="402"/>
      <c r="Y1063" s="402"/>
      <c r="Z1063" s="402"/>
    </row>
    <row r="1064" ht="14.25" customHeight="1">
      <c r="A1064" s="697">
        <v>45526.0</v>
      </c>
      <c r="B1064" s="863" t="s">
        <v>4659</v>
      </c>
      <c r="C1064" s="863" t="s">
        <v>5452</v>
      </c>
      <c r="D1064" s="867" t="s">
        <v>263</v>
      </c>
      <c r="E1064" s="689" t="s">
        <v>578</v>
      </c>
      <c r="F1064" s="865">
        <v>25486.64</v>
      </c>
      <c r="G1064" s="413">
        <v>34000.0</v>
      </c>
      <c r="H1064" s="349" t="s">
        <v>267</v>
      </c>
      <c r="I1064" s="988"/>
      <c r="J1064" s="402"/>
      <c r="K1064" s="402"/>
      <c r="L1064" s="402"/>
      <c r="M1064" s="402"/>
      <c r="N1064" s="402"/>
      <c r="O1064" s="402"/>
      <c r="P1064" s="402"/>
      <c r="Q1064" s="402"/>
      <c r="R1064" s="402"/>
      <c r="S1064" s="402"/>
      <c r="T1064" s="402"/>
      <c r="U1064" s="402"/>
      <c r="V1064" s="402"/>
      <c r="W1064" s="402"/>
      <c r="X1064" s="402"/>
      <c r="Y1064" s="402"/>
      <c r="Z1064" s="402"/>
    </row>
    <row r="1065" ht="14.25" customHeight="1">
      <c r="A1065" s="697">
        <v>45526.0</v>
      </c>
      <c r="B1065" s="863" t="s">
        <v>4773</v>
      </c>
      <c r="C1065" s="863" t="s">
        <v>4906</v>
      </c>
      <c r="D1065" s="867" t="s">
        <v>54</v>
      </c>
      <c r="E1065" s="689" t="s">
        <v>4887</v>
      </c>
      <c r="F1065" s="865">
        <v>979.93</v>
      </c>
      <c r="G1065" s="403"/>
      <c r="H1065" s="349" t="s">
        <v>5453</v>
      </c>
      <c r="I1065" s="988"/>
      <c r="J1065" s="402"/>
      <c r="K1065" s="402"/>
      <c r="L1065" s="402"/>
      <c r="M1065" s="402"/>
      <c r="N1065" s="402"/>
      <c r="O1065" s="402"/>
      <c r="P1065" s="402"/>
      <c r="Q1065" s="402"/>
      <c r="R1065" s="402"/>
      <c r="S1065" s="402"/>
      <c r="T1065" s="402"/>
      <c r="U1065" s="402"/>
      <c r="V1065" s="402"/>
      <c r="W1065" s="402"/>
      <c r="X1065" s="402"/>
      <c r="Y1065" s="402"/>
      <c r="Z1065" s="402"/>
    </row>
    <row r="1066" ht="14.25" customHeight="1">
      <c r="A1066" s="697">
        <v>45526.0</v>
      </c>
      <c r="B1066" s="863" t="s">
        <v>4775</v>
      </c>
      <c r="C1066" s="863" t="s">
        <v>4922</v>
      </c>
      <c r="D1066" s="867" t="s">
        <v>59</v>
      </c>
      <c r="E1066" s="689" t="s">
        <v>5372</v>
      </c>
      <c r="F1066" s="865">
        <v>132616.06</v>
      </c>
      <c r="G1066" s="413">
        <v>195700.0</v>
      </c>
      <c r="H1066" s="349" t="s">
        <v>5454</v>
      </c>
      <c r="I1066" s="988"/>
      <c r="J1066" s="402"/>
      <c r="K1066" s="402"/>
      <c r="L1066" s="402"/>
      <c r="M1066" s="402"/>
      <c r="N1066" s="402"/>
      <c r="O1066" s="402"/>
      <c r="P1066" s="402"/>
      <c r="Q1066" s="402"/>
      <c r="R1066" s="402"/>
      <c r="S1066" s="402"/>
      <c r="T1066" s="402"/>
      <c r="U1066" s="402"/>
      <c r="V1066" s="402"/>
      <c r="W1066" s="402"/>
      <c r="X1066" s="402"/>
      <c r="Y1066" s="402"/>
      <c r="Z1066" s="402"/>
    </row>
    <row r="1067" ht="14.25" customHeight="1">
      <c r="A1067" s="697">
        <v>45526.0</v>
      </c>
      <c r="B1067" s="863" t="s">
        <v>4779</v>
      </c>
      <c r="C1067" s="863" t="s">
        <v>4907</v>
      </c>
      <c r="D1067" s="867" t="s">
        <v>54</v>
      </c>
      <c r="E1067" s="689" t="s">
        <v>5000</v>
      </c>
      <c r="F1067" s="865">
        <v>2797.83</v>
      </c>
      <c r="G1067" s="403"/>
      <c r="H1067" s="349" t="s">
        <v>5453</v>
      </c>
      <c r="I1067" s="988"/>
      <c r="J1067" s="402"/>
      <c r="K1067" s="402"/>
      <c r="L1067" s="402"/>
      <c r="M1067" s="402"/>
      <c r="N1067" s="402"/>
      <c r="O1067" s="402"/>
      <c r="P1067" s="402"/>
      <c r="Q1067" s="402"/>
      <c r="R1067" s="402"/>
      <c r="S1067" s="402"/>
      <c r="T1067" s="402"/>
      <c r="U1067" s="402"/>
      <c r="V1067" s="402"/>
      <c r="W1067" s="402"/>
      <c r="X1067" s="402"/>
      <c r="Y1067" s="402"/>
      <c r="Z1067" s="402"/>
    </row>
    <row r="1068" ht="14.25" customHeight="1">
      <c r="A1068" s="697">
        <v>45526.0</v>
      </c>
      <c r="B1068" s="863" t="s">
        <v>4781</v>
      </c>
      <c r="C1068" s="863" t="s">
        <v>4915</v>
      </c>
      <c r="D1068" s="867" t="s">
        <v>54</v>
      </c>
      <c r="E1068" s="689" t="s">
        <v>5428</v>
      </c>
      <c r="F1068" s="865">
        <v>96904.06</v>
      </c>
      <c r="G1068" s="403"/>
      <c r="H1068" s="349" t="s">
        <v>5455</v>
      </c>
      <c r="I1068" s="988"/>
      <c r="J1068" s="402"/>
      <c r="K1068" s="402"/>
      <c r="L1068" s="402"/>
      <c r="M1068" s="402"/>
      <c r="N1068" s="402"/>
      <c r="O1068" s="402"/>
      <c r="P1068" s="402"/>
      <c r="Q1068" s="402"/>
      <c r="R1068" s="402"/>
      <c r="S1068" s="402"/>
      <c r="T1068" s="402"/>
      <c r="U1068" s="402"/>
      <c r="V1068" s="402"/>
      <c r="W1068" s="402"/>
      <c r="X1068" s="402"/>
      <c r="Y1068" s="402"/>
      <c r="Z1068" s="402"/>
    </row>
    <row r="1069" ht="14.25" customHeight="1">
      <c r="A1069" s="697">
        <v>45526.0</v>
      </c>
      <c r="B1069" s="863" t="s">
        <v>4805</v>
      </c>
      <c r="C1069" s="863" t="s">
        <v>4908</v>
      </c>
      <c r="D1069" s="867" t="s">
        <v>54</v>
      </c>
      <c r="E1069" s="689" t="s">
        <v>5000</v>
      </c>
      <c r="F1069" s="865">
        <v>4342.08</v>
      </c>
      <c r="G1069" s="413">
        <v>0.0</v>
      </c>
      <c r="H1069" s="349" t="s">
        <v>5456</v>
      </c>
      <c r="I1069" s="413"/>
      <c r="J1069" s="402"/>
      <c r="K1069" s="402"/>
      <c r="L1069" s="402"/>
      <c r="M1069" s="402"/>
      <c r="N1069" s="402"/>
      <c r="O1069" s="402"/>
      <c r="P1069" s="402"/>
      <c r="Q1069" s="402"/>
      <c r="R1069" s="402"/>
      <c r="S1069" s="402"/>
      <c r="T1069" s="402"/>
      <c r="U1069" s="402"/>
      <c r="V1069" s="402"/>
      <c r="W1069" s="402"/>
      <c r="X1069" s="402"/>
      <c r="Y1069" s="402"/>
      <c r="Z1069" s="402"/>
    </row>
    <row r="1070" ht="14.25" customHeight="1">
      <c r="A1070" s="697">
        <v>45526.0</v>
      </c>
      <c r="B1070" s="863" t="s">
        <v>4977</v>
      </c>
      <c r="C1070" s="863" t="s">
        <v>4978</v>
      </c>
      <c r="D1070" s="867" t="s">
        <v>54</v>
      </c>
      <c r="E1070" s="689" t="s">
        <v>4887</v>
      </c>
      <c r="F1070" s="865">
        <v>892.65</v>
      </c>
      <c r="G1070" s="403"/>
      <c r="H1070" s="402"/>
      <c r="I1070" s="402"/>
      <c r="J1070" s="402"/>
      <c r="K1070" s="402"/>
      <c r="L1070" s="402"/>
      <c r="M1070" s="402"/>
      <c r="N1070" s="402"/>
      <c r="O1070" s="402"/>
      <c r="P1070" s="402"/>
      <c r="Q1070" s="402"/>
      <c r="R1070" s="402"/>
      <c r="S1070" s="402"/>
      <c r="T1070" s="402"/>
      <c r="U1070" s="402"/>
      <c r="V1070" s="402"/>
      <c r="W1070" s="402"/>
      <c r="X1070" s="402"/>
      <c r="Y1070" s="402"/>
      <c r="Z1070" s="402"/>
    </row>
    <row r="1071" ht="14.25" customHeight="1">
      <c r="A1071" s="697">
        <v>45526.0</v>
      </c>
      <c r="B1071" s="863" t="s">
        <v>4807</v>
      </c>
      <c r="C1071" s="863" t="s">
        <v>4978</v>
      </c>
      <c r="D1071" s="867" t="s">
        <v>346</v>
      </c>
      <c r="E1071" s="689" t="s">
        <v>5000</v>
      </c>
      <c r="F1071" s="865">
        <v>1156.98</v>
      </c>
      <c r="G1071" s="403"/>
      <c r="H1071" s="349" t="s">
        <v>5457</v>
      </c>
      <c r="I1071" s="402"/>
      <c r="J1071" s="402"/>
      <c r="K1071" s="402"/>
      <c r="L1071" s="402"/>
      <c r="M1071" s="402"/>
      <c r="N1071" s="402"/>
      <c r="O1071" s="402"/>
      <c r="P1071" s="402"/>
      <c r="Q1071" s="402"/>
      <c r="R1071" s="402"/>
      <c r="S1071" s="402"/>
      <c r="T1071" s="402"/>
      <c r="U1071" s="402"/>
      <c r="V1071" s="402"/>
      <c r="W1071" s="402"/>
      <c r="X1071" s="402"/>
      <c r="Y1071" s="402"/>
      <c r="Z1071" s="402"/>
    </row>
    <row r="1072" ht="14.25" customHeight="1">
      <c r="A1072" s="697">
        <v>45526.0</v>
      </c>
      <c r="B1072" s="863" t="s">
        <v>5312</v>
      </c>
      <c r="C1072" s="863" t="s">
        <v>5030</v>
      </c>
      <c r="D1072" s="867" t="s">
        <v>54</v>
      </c>
      <c r="E1072" s="689" t="s">
        <v>578</v>
      </c>
      <c r="F1072" s="865">
        <v>493.96</v>
      </c>
      <c r="G1072" s="403"/>
      <c r="H1072" s="349" t="s">
        <v>5458</v>
      </c>
      <c r="I1072" s="402"/>
      <c r="J1072" s="402"/>
      <c r="K1072" s="402"/>
      <c r="L1072" s="402"/>
      <c r="M1072" s="402"/>
      <c r="N1072" s="402"/>
      <c r="O1072" s="402"/>
      <c r="P1072" s="402"/>
      <c r="Q1072" s="402"/>
      <c r="R1072" s="402"/>
      <c r="S1072" s="402"/>
      <c r="T1072" s="402"/>
      <c r="U1072" s="402"/>
      <c r="V1072" s="402"/>
      <c r="W1072" s="402"/>
      <c r="X1072" s="402"/>
      <c r="Y1072" s="402"/>
      <c r="Z1072" s="402"/>
    </row>
    <row r="1073" ht="14.25" customHeight="1">
      <c r="A1073" s="697">
        <v>45526.0</v>
      </c>
      <c r="B1073" s="863" t="s">
        <v>4785</v>
      </c>
      <c r="C1073" s="863" t="s">
        <v>5459</v>
      </c>
      <c r="D1073" s="867" t="s">
        <v>54</v>
      </c>
      <c r="E1073" s="689" t="s">
        <v>5000</v>
      </c>
      <c r="F1073" s="865">
        <v>44960.03</v>
      </c>
      <c r="G1073" s="413">
        <v>0.0</v>
      </c>
      <c r="H1073" s="349" t="s">
        <v>5460</v>
      </c>
      <c r="I1073" s="402"/>
      <c r="J1073" s="402"/>
      <c r="K1073" s="402"/>
      <c r="L1073" s="402"/>
      <c r="M1073" s="402"/>
      <c r="N1073" s="402"/>
      <c r="O1073" s="402"/>
      <c r="P1073" s="402"/>
      <c r="Q1073" s="402"/>
      <c r="R1073" s="402"/>
      <c r="S1073" s="402"/>
      <c r="T1073" s="402"/>
      <c r="U1073" s="402"/>
      <c r="V1073" s="402"/>
      <c r="W1073" s="402"/>
      <c r="X1073" s="402"/>
      <c r="Y1073" s="402"/>
      <c r="Z1073" s="402"/>
    </row>
    <row r="1074" ht="14.25" customHeight="1">
      <c r="A1074" s="697">
        <v>45526.0</v>
      </c>
      <c r="B1074" s="863" t="s">
        <v>5461</v>
      </c>
      <c r="C1074" s="863" t="s">
        <v>5462</v>
      </c>
      <c r="D1074" s="867" t="s">
        <v>54</v>
      </c>
      <c r="E1074" s="689" t="s">
        <v>5000</v>
      </c>
      <c r="F1074" s="865">
        <v>15615.0</v>
      </c>
      <c r="G1074" s="413">
        <v>0.0</v>
      </c>
      <c r="H1074" s="349" t="s">
        <v>5463</v>
      </c>
      <c r="I1074" s="402"/>
      <c r="J1074" s="402"/>
      <c r="K1074" s="402"/>
      <c r="L1074" s="402"/>
      <c r="M1074" s="402"/>
      <c r="N1074" s="402"/>
      <c r="O1074" s="402"/>
      <c r="P1074" s="402"/>
      <c r="Q1074" s="402"/>
      <c r="R1074" s="402"/>
      <c r="S1074" s="402"/>
      <c r="T1074" s="402"/>
      <c r="U1074" s="402"/>
      <c r="V1074" s="402"/>
      <c r="W1074" s="402"/>
      <c r="X1074" s="402"/>
      <c r="Y1074" s="402"/>
      <c r="Z1074" s="402"/>
    </row>
    <row r="1075" ht="14.25" customHeight="1">
      <c r="A1075" s="697">
        <v>45526.0</v>
      </c>
      <c r="B1075" s="863" t="s">
        <v>4791</v>
      </c>
      <c r="C1075" s="863" t="s">
        <v>4912</v>
      </c>
      <c r="D1075" s="867" t="s">
        <v>54</v>
      </c>
      <c r="E1075" s="689" t="s">
        <v>5428</v>
      </c>
      <c r="F1075" s="865">
        <v>5441.25</v>
      </c>
      <c r="G1075" s="403"/>
      <c r="H1075" s="349" t="s">
        <v>5464</v>
      </c>
      <c r="I1075" s="402"/>
      <c r="J1075" s="402"/>
      <c r="K1075" s="402"/>
      <c r="L1075" s="402"/>
      <c r="M1075" s="402"/>
      <c r="N1075" s="402"/>
      <c r="O1075" s="402"/>
      <c r="P1075" s="402"/>
      <c r="Q1075" s="402"/>
      <c r="R1075" s="402"/>
      <c r="S1075" s="402"/>
      <c r="T1075" s="402"/>
      <c r="U1075" s="402"/>
      <c r="V1075" s="402"/>
      <c r="W1075" s="402"/>
      <c r="X1075" s="402"/>
      <c r="Y1075" s="402"/>
      <c r="Z1075" s="402"/>
    </row>
    <row r="1076" ht="14.25" customHeight="1">
      <c r="A1076" s="697">
        <v>45526.0</v>
      </c>
      <c r="B1076" s="863" t="s">
        <v>5397</v>
      </c>
      <c r="C1076" s="863" t="s">
        <v>5205</v>
      </c>
      <c r="D1076" s="867" t="s">
        <v>54</v>
      </c>
      <c r="E1076" s="689" t="s">
        <v>578</v>
      </c>
      <c r="F1076" s="865">
        <v>15777.33</v>
      </c>
      <c r="G1076" s="413">
        <v>20000.0</v>
      </c>
      <c r="H1076" s="349" t="s">
        <v>267</v>
      </c>
      <c r="I1076" s="402"/>
      <c r="J1076" s="402"/>
      <c r="K1076" s="402"/>
      <c r="L1076" s="402"/>
      <c r="M1076" s="402"/>
      <c r="N1076" s="402"/>
      <c r="O1076" s="402"/>
      <c r="P1076" s="402"/>
      <c r="Q1076" s="402"/>
      <c r="R1076" s="402"/>
      <c r="S1076" s="402"/>
      <c r="T1076" s="402"/>
      <c r="U1076" s="402"/>
      <c r="V1076" s="402"/>
      <c r="W1076" s="402"/>
      <c r="X1076" s="402"/>
      <c r="Y1076" s="402"/>
      <c r="Z1076" s="402"/>
    </row>
    <row r="1077" ht="14.25" customHeight="1">
      <c r="A1077" s="697">
        <v>45526.0</v>
      </c>
      <c r="B1077" s="863" t="s">
        <v>4793</v>
      </c>
      <c r="C1077" s="863" t="s">
        <v>4891</v>
      </c>
      <c r="D1077" s="867" t="s">
        <v>54</v>
      </c>
      <c r="E1077" s="689" t="s">
        <v>4887</v>
      </c>
      <c r="F1077" s="865">
        <v>12772.71</v>
      </c>
      <c r="G1077" s="403"/>
      <c r="H1077" s="349" t="s">
        <v>5465</v>
      </c>
      <c r="I1077" s="402"/>
      <c r="J1077" s="402"/>
      <c r="K1077" s="402"/>
      <c r="L1077" s="402"/>
      <c r="M1077" s="402"/>
      <c r="N1077" s="402"/>
      <c r="O1077" s="402"/>
      <c r="P1077" s="402"/>
      <c r="Q1077" s="402"/>
      <c r="R1077" s="402"/>
      <c r="S1077" s="402"/>
      <c r="T1077" s="402"/>
      <c r="U1077" s="402"/>
      <c r="V1077" s="402"/>
      <c r="W1077" s="402"/>
      <c r="X1077" s="402"/>
      <c r="Y1077" s="402"/>
      <c r="Z1077" s="402"/>
    </row>
    <row r="1078" ht="14.25" customHeight="1">
      <c r="A1078" s="697">
        <v>45526.0</v>
      </c>
      <c r="B1078" s="863" t="s">
        <v>4816</v>
      </c>
      <c r="C1078" s="863" t="s">
        <v>5015</v>
      </c>
      <c r="D1078" s="867" t="s">
        <v>54</v>
      </c>
      <c r="E1078" s="689" t="s">
        <v>5000</v>
      </c>
      <c r="F1078" s="865">
        <v>6512.43</v>
      </c>
      <c r="G1078" s="403"/>
      <c r="H1078" s="349" t="s">
        <v>5466</v>
      </c>
      <c r="I1078" s="402"/>
      <c r="J1078" s="402"/>
      <c r="K1078" s="402"/>
      <c r="L1078" s="402"/>
      <c r="M1078" s="402"/>
      <c r="N1078" s="402"/>
      <c r="O1078" s="402"/>
      <c r="P1078" s="402"/>
      <c r="Q1078" s="402"/>
      <c r="R1078" s="402"/>
      <c r="S1078" s="402"/>
      <c r="T1078" s="402"/>
      <c r="U1078" s="402"/>
      <c r="V1078" s="402"/>
      <c r="W1078" s="402"/>
      <c r="X1078" s="402"/>
      <c r="Y1078" s="402"/>
      <c r="Z1078" s="402"/>
    </row>
    <row r="1079" ht="14.25" customHeight="1">
      <c r="A1079" s="697">
        <v>45526.0</v>
      </c>
      <c r="B1079" s="863" t="s">
        <v>4783</v>
      </c>
      <c r="C1079" s="863" t="s">
        <v>4920</v>
      </c>
      <c r="D1079" s="867" t="s">
        <v>54</v>
      </c>
      <c r="E1079" s="689" t="s">
        <v>578</v>
      </c>
      <c r="F1079" s="865">
        <v>180982.83</v>
      </c>
      <c r="G1079" s="403"/>
      <c r="H1079" s="349" t="s">
        <v>5467</v>
      </c>
      <c r="I1079" s="402"/>
      <c r="J1079" s="402"/>
      <c r="K1079" s="402"/>
      <c r="L1079" s="402"/>
      <c r="M1079" s="402"/>
      <c r="N1079" s="402"/>
      <c r="O1079" s="402"/>
      <c r="P1079" s="402"/>
      <c r="Q1079" s="402"/>
      <c r="R1079" s="402"/>
      <c r="S1079" s="402"/>
      <c r="T1079" s="402"/>
      <c r="U1079" s="402"/>
      <c r="V1079" s="402"/>
      <c r="W1079" s="402"/>
      <c r="X1079" s="402"/>
      <c r="Y1079" s="402"/>
      <c r="Z1079" s="402"/>
    </row>
    <row r="1080" ht="14.25" customHeight="1">
      <c r="A1080" s="697">
        <v>45526.0</v>
      </c>
      <c r="B1080" s="863" t="s">
        <v>5314</v>
      </c>
      <c r="C1080" s="863" t="s">
        <v>5030</v>
      </c>
      <c r="D1080" s="867" t="s">
        <v>346</v>
      </c>
      <c r="E1080" s="689" t="s">
        <v>5428</v>
      </c>
      <c r="F1080" s="865">
        <v>13607.71</v>
      </c>
      <c r="G1080" s="413">
        <v>10000.0</v>
      </c>
      <c r="H1080" s="349" t="s">
        <v>5468</v>
      </c>
      <c r="I1080" s="402"/>
      <c r="J1080" s="402"/>
      <c r="K1080" s="402"/>
      <c r="L1080" s="402"/>
      <c r="M1080" s="402"/>
      <c r="N1080" s="402"/>
      <c r="O1080" s="402"/>
      <c r="P1080" s="402"/>
      <c r="Q1080" s="402"/>
      <c r="R1080" s="402"/>
      <c r="S1080" s="402"/>
      <c r="T1080" s="402"/>
      <c r="U1080" s="402"/>
      <c r="V1080" s="402"/>
      <c r="W1080" s="402"/>
      <c r="X1080" s="402"/>
      <c r="Y1080" s="402"/>
      <c r="Z1080" s="402"/>
    </row>
    <row r="1081" ht="14.25" customHeight="1">
      <c r="A1081" s="697">
        <v>45526.0</v>
      </c>
      <c r="B1081" s="863" t="s">
        <v>4809</v>
      </c>
      <c r="C1081" s="863" t="s">
        <v>4909</v>
      </c>
      <c r="D1081" s="867" t="s">
        <v>54</v>
      </c>
      <c r="E1081" s="689" t="s">
        <v>5000</v>
      </c>
      <c r="F1081" s="865">
        <v>46329.07</v>
      </c>
      <c r="G1081" s="413">
        <v>52080.0</v>
      </c>
      <c r="H1081" s="349" t="s">
        <v>4876</v>
      </c>
      <c r="I1081" s="402"/>
      <c r="J1081" s="402"/>
      <c r="K1081" s="402"/>
      <c r="L1081" s="402"/>
      <c r="M1081" s="402"/>
      <c r="N1081" s="402"/>
      <c r="O1081" s="402"/>
      <c r="P1081" s="402"/>
      <c r="Q1081" s="402"/>
      <c r="R1081" s="402"/>
      <c r="S1081" s="402"/>
      <c r="T1081" s="402"/>
      <c r="U1081" s="402"/>
      <c r="V1081" s="402"/>
      <c r="W1081" s="402"/>
      <c r="X1081" s="402"/>
      <c r="Y1081" s="402"/>
      <c r="Z1081" s="402"/>
    </row>
    <row r="1082" ht="14.25" customHeight="1">
      <c r="A1082" s="697">
        <v>45526.0</v>
      </c>
      <c r="B1082" s="863" t="s">
        <v>4815</v>
      </c>
      <c r="C1082" s="863" t="s">
        <v>4859</v>
      </c>
      <c r="D1082" s="867" t="s">
        <v>54</v>
      </c>
      <c r="E1082" s="689" t="s">
        <v>4887</v>
      </c>
      <c r="F1082" s="865">
        <v>182338.42</v>
      </c>
      <c r="G1082" s="403"/>
      <c r="H1082" s="349" t="s">
        <v>5469</v>
      </c>
      <c r="I1082" s="402"/>
      <c r="J1082" s="402"/>
      <c r="K1082" s="402"/>
      <c r="L1082" s="402"/>
      <c r="M1082" s="402"/>
      <c r="N1082" s="402"/>
      <c r="O1082" s="402"/>
      <c r="P1082" s="402"/>
      <c r="Q1082" s="402"/>
      <c r="R1082" s="402"/>
      <c r="S1082" s="402"/>
      <c r="T1082" s="402"/>
      <c r="U1082" s="402"/>
      <c r="V1082" s="402"/>
      <c r="W1082" s="402"/>
      <c r="X1082" s="402"/>
      <c r="Y1082" s="402"/>
      <c r="Z1082" s="402"/>
    </row>
    <row r="1083" ht="14.25" customHeight="1">
      <c r="A1083" s="697">
        <v>45526.0</v>
      </c>
      <c r="B1083" s="863" t="s">
        <v>5070</v>
      </c>
      <c r="C1083" s="863" t="s">
        <v>4859</v>
      </c>
      <c r="D1083" s="867" t="s">
        <v>75</v>
      </c>
      <c r="E1083" s="689" t="s">
        <v>4887</v>
      </c>
      <c r="F1083" s="865">
        <v>1915070.06</v>
      </c>
      <c r="G1083" s="403"/>
      <c r="H1083" s="349" t="s">
        <v>5469</v>
      </c>
      <c r="I1083" s="402"/>
      <c r="J1083" s="402"/>
      <c r="K1083" s="402"/>
      <c r="L1083" s="402"/>
      <c r="M1083" s="402"/>
      <c r="N1083" s="402"/>
      <c r="O1083" s="402"/>
      <c r="P1083" s="402"/>
      <c r="Q1083" s="402"/>
      <c r="R1083" s="402"/>
      <c r="S1083" s="402"/>
      <c r="T1083" s="402"/>
      <c r="U1083" s="402"/>
      <c r="V1083" s="402"/>
      <c r="W1083" s="402"/>
      <c r="X1083" s="402"/>
      <c r="Y1083" s="402"/>
      <c r="Z1083" s="402"/>
    </row>
    <row r="1084" ht="14.25" customHeight="1">
      <c r="A1084" s="697">
        <v>45526.0</v>
      </c>
      <c r="B1084" s="863" t="s">
        <v>5075</v>
      </c>
      <c r="C1084" s="863" t="s">
        <v>5076</v>
      </c>
      <c r="D1084" s="867" t="s">
        <v>75</v>
      </c>
      <c r="E1084" s="689" t="s">
        <v>5428</v>
      </c>
      <c r="F1084" s="865">
        <v>44182.16</v>
      </c>
      <c r="G1084" s="403"/>
      <c r="H1084" s="349" t="s">
        <v>5470</v>
      </c>
      <c r="I1084" s="402"/>
      <c r="J1084" s="402"/>
      <c r="K1084" s="402"/>
      <c r="L1084" s="402"/>
      <c r="M1084" s="402"/>
      <c r="N1084" s="402"/>
      <c r="O1084" s="402"/>
      <c r="P1084" s="402"/>
      <c r="Q1084" s="402"/>
      <c r="R1084" s="402"/>
      <c r="S1084" s="402"/>
      <c r="T1084" s="402"/>
      <c r="U1084" s="402"/>
      <c r="V1084" s="402"/>
      <c r="W1084" s="402"/>
      <c r="X1084" s="402"/>
      <c r="Y1084" s="402"/>
      <c r="Z1084" s="402"/>
    </row>
    <row r="1085" ht="14.25" customHeight="1">
      <c r="A1085" s="697">
        <v>45526.0</v>
      </c>
      <c r="B1085" s="863" t="s">
        <v>5221</v>
      </c>
      <c r="C1085" s="863" t="s">
        <v>5222</v>
      </c>
      <c r="D1085" s="867" t="s">
        <v>75</v>
      </c>
      <c r="E1085" s="689" t="s">
        <v>4887</v>
      </c>
      <c r="F1085" s="865">
        <v>609028.75</v>
      </c>
      <c r="G1085" s="413">
        <v>50000.0</v>
      </c>
      <c r="H1085" s="349" t="s">
        <v>5471</v>
      </c>
      <c r="I1085" s="402"/>
      <c r="J1085" s="402"/>
      <c r="K1085" s="402"/>
      <c r="L1085" s="402"/>
      <c r="M1085" s="402"/>
      <c r="N1085" s="402"/>
      <c r="O1085" s="402"/>
      <c r="P1085" s="402"/>
      <c r="Q1085" s="402"/>
      <c r="R1085" s="402"/>
      <c r="S1085" s="402"/>
      <c r="T1085" s="402"/>
      <c r="U1085" s="402"/>
      <c r="V1085" s="402"/>
      <c r="W1085" s="402"/>
      <c r="X1085" s="402"/>
      <c r="Y1085" s="402"/>
      <c r="Z1085" s="402"/>
    </row>
    <row r="1086" ht="14.25" customHeight="1">
      <c r="A1086" s="697">
        <v>45526.0</v>
      </c>
      <c r="B1086" s="863" t="s">
        <v>5316</v>
      </c>
      <c r="C1086" s="863" t="s">
        <v>4975</v>
      </c>
      <c r="D1086" s="867" t="s">
        <v>75</v>
      </c>
      <c r="E1086" s="689" t="s">
        <v>4887</v>
      </c>
      <c r="F1086" s="865">
        <v>54375.0</v>
      </c>
      <c r="G1086" s="403"/>
      <c r="H1086" s="349" t="s">
        <v>5472</v>
      </c>
      <c r="I1086" s="402"/>
      <c r="J1086" s="402"/>
      <c r="K1086" s="402"/>
      <c r="L1086" s="402"/>
      <c r="M1086" s="402"/>
      <c r="N1086" s="402"/>
      <c r="O1086" s="402"/>
      <c r="P1086" s="402"/>
      <c r="Q1086" s="402"/>
      <c r="R1086" s="402"/>
      <c r="S1086" s="402"/>
      <c r="T1086" s="402"/>
      <c r="U1086" s="402"/>
      <c r="V1086" s="402"/>
      <c r="W1086" s="402"/>
      <c r="X1086" s="402"/>
      <c r="Y1086" s="402"/>
      <c r="Z1086" s="402"/>
    </row>
    <row r="1087" ht="14.25" customHeight="1">
      <c r="A1087" s="697">
        <v>45526.0</v>
      </c>
      <c r="B1087" s="863" t="s">
        <v>5363</v>
      </c>
      <c r="C1087" s="863" t="s">
        <v>5222</v>
      </c>
      <c r="D1087" s="867" t="s">
        <v>54</v>
      </c>
      <c r="E1087" s="689" t="s">
        <v>4887</v>
      </c>
      <c r="F1087" s="865">
        <v>225787.15</v>
      </c>
      <c r="G1087" s="403"/>
      <c r="H1087" s="349" t="s">
        <v>5473</v>
      </c>
      <c r="I1087" s="402"/>
      <c r="J1087" s="402"/>
      <c r="K1087" s="402"/>
      <c r="L1087" s="402"/>
      <c r="M1087" s="402"/>
      <c r="N1087" s="402"/>
      <c r="O1087" s="402"/>
      <c r="P1087" s="402"/>
      <c r="Q1087" s="402"/>
      <c r="R1087" s="402"/>
      <c r="S1087" s="402"/>
      <c r="T1087" s="402"/>
      <c r="U1087" s="402"/>
      <c r="V1087" s="402"/>
      <c r="W1087" s="402"/>
      <c r="X1087" s="402"/>
      <c r="Y1087" s="402"/>
      <c r="Z1087" s="402"/>
    </row>
    <row r="1088" ht="14.25" customHeight="1">
      <c r="A1088" s="697">
        <v>45526.0</v>
      </c>
      <c r="B1088" s="863"/>
      <c r="C1088" s="863" t="s">
        <v>5205</v>
      </c>
      <c r="D1088" s="867" t="s">
        <v>75</v>
      </c>
      <c r="E1088" s="689" t="s">
        <v>4887</v>
      </c>
      <c r="F1088" s="865">
        <v>220500.0</v>
      </c>
      <c r="G1088" s="413">
        <v>0.0</v>
      </c>
      <c r="H1088" s="349" t="s">
        <v>5474</v>
      </c>
      <c r="I1088" s="402"/>
      <c r="J1088" s="402"/>
      <c r="K1088" s="402"/>
      <c r="L1088" s="402"/>
      <c r="M1088" s="402"/>
      <c r="N1088" s="402"/>
      <c r="O1088" s="402"/>
      <c r="P1088" s="402"/>
      <c r="Q1088" s="402"/>
      <c r="R1088" s="402"/>
      <c r="S1088" s="402"/>
      <c r="T1088" s="402"/>
      <c r="U1088" s="402"/>
      <c r="V1088" s="402"/>
      <c r="W1088" s="402"/>
      <c r="X1088" s="402"/>
      <c r="Y1088" s="402"/>
      <c r="Z1088" s="402"/>
    </row>
    <row r="1089" ht="14.25" customHeight="1">
      <c r="A1089" s="697">
        <v>45526.0</v>
      </c>
      <c r="B1089" s="863" t="s">
        <v>5212</v>
      </c>
      <c r="C1089" s="863" t="s">
        <v>5475</v>
      </c>
      <c r="D1089" s="867" t="s">
        <v>54</v>
      </c>
      <c r="E1089" s="689" t="s">
        <v>578</v>
      </c>
      <c r="F1089" s="865">
        <v>21179.04</v>
      </c>
      <c r="G1089" s="403"/>
      <c r="H1089" s="349" t="s">
        <v>5476</v>
      </c>
      <c r="I1089" s="402"/>
      <c r="J1089" s="402"/>
      <c r="K1089" s="402"/>
      <c r="L1089" s="402"/>
      <c r="M1089" s="402"/>
      <c r="N1089" s="402"/>
      <c r="O1089" s="402"/>
      <c r="P1089" s="402"/>
      <c r="Q1089" s="402"/>
      <c r="R1089" s="402"/>
      <c r="S1089" s="402"/>
      <c r="T1089" s="402"/>
      <c r="U1089" s="402"/>
      <c r="V1089" s="402"/>
      <c r="W1089" s="402"/>
      <c r="X1089" s="402"/>
      <c r="Y1089" s="402"/>
      <c r="Z1089" s="402"/>
    </row>
    <row r="1090" ht="14.25" customHeight="1">
      <c r="A1090" s="697">
        <v>45526.0</v>
      </c>
      <c r="B1090" s="982" t="s">
        <v>4547</v>
      </c>
      <c r="C1090" s="982" t="s">
        <v>4548</v>
      </c>
      <c r="D1090" s="936" t="s">
        <v>59</v>
      </c>
      <c r="E1090" s="943" t="s">
        <v>273</v>
      </c>
      <c r="F1090" s="939">
        <v>617498.61</v>
      </c>
      <c r="G1090" s="403"/>
      <c r="H1090" s="349" t="s">
        <v>5477</v>
      </c>
      <c r="I1090" s="402"/>
      <c r="J1090" s="402"/>
      <c r="K1090" s="402"/>
      <c r="L1090" s="402"/>
      <c r="M1090" s="402"/>
      <c r="N1090" s="402"/>
      <c r="O1090" s="402"/>
      <c r="P1090" s="402"/>
      <c r="Q1090" s="402"/>
      <c r="R1090" s="402"/>
      <c r="S1090" s="402"/>
      <c r="T1090" s="402"/>
      <c r="U1090" s="402"/>
      <c r="V1090" s="402"/>
      <c r="W1090" s="402"/>
      <c r="X1090" s="402"/>
      <c r="Y1090" s="402"/>
      <c r="Z1090" s="402"/>
    </row>
    <row r="1091" ht="14.25" customHeight="1">
      <c r="A1091" s="697">
        <v>45526.0</v>
      </c>
      <c r="B1091" s="982" t="s">
        <v>5070</v>
      </c>
      <c r="C1091" s="936" t="s">
        <v>4827</v>
      </c>
      <c r="D1091" s="936" t="s">
        <v>75</v>
      </c>
      <c r="E1091" s="943" t="s">
        <v>273</v>
      </c>
      <c r="F1091" s="939">
        <v>1737025.0</v>
      </c>
      <c r="G1091" s="403"/>
      <c r="H1091" s="349" t="s">
        <v>5478</v>
      </c>
      <c r="I1091" s="402"/>
      <c r="J1091" s="402"/>
      <c r="K1091" s="402"/>
      <c r="L1091" s="402"/>
      <c r="M1091" s="402"/>
      <c r="N1091" s="402"/>
      <c r="O1091" s="402"/>
      <c r="P1091" s="402"/>
      <c r="Q1091" s="402"/>
      <c r="R1091" s="402"/>
      <c r="S1091" s="402"/>
      <c r="T1091" s="402"/>
      <c r="U1091" s="402"/>
      <c r="V1091" s="402"/>
      <c r="W1091" s="402"/>
      <c r="X1091" s="402"/>
      <c r="Y1091" s="402"/>
      <c r="Z1091" s="402"/>
    </row>
    <row r="1092" ht="14.25" customHeight="1">
      <c r="A1092" s="697"/>
      <c r="B1092" s="863"/>
      <c r="C1092" s="863"/>
      <c r="D1092" s="867"/>
      <c r="E1092" s="868"/>
      <c r="F1092" s="865"/>
      <c r="G1092" s="403"/>
      <c r="H1092" s="402"/>
      <c r="I1092" s="402"/>
      <c r="J1092" s="402"/>
      <c r="K1092" s="402"/>
      <c r="L1092" s="402"/>
      <c r="M1092" s="402"/>
      <c r="N1092" s="402"/>
      <c r="O1092" s="402"/>
      <c r="P1092" s="402"/>
      <c r="Q1092" s="402"/>
      <c r="R1092" s="402"/>
      <c r="S1092" s="402"/>
      <c r="T1092" s="402"/>
      <c r="U1092" s="402"/>
      <c r="V1092" s="402"/>
      <c r="W1092" s="402"/>
      <c r="X1092" s="402"/>
      <c r="Y1092" s="402"/>
      <c r="Z1092" s="402"/>
    </row>
    <row r="1093" ht="14.25" customHeight="1">
      <c r="A1093" s="697"/>
      <c r="B1093" s="863"/>
      <c r="C1093" s="863"/>
      <c r="D1093" s="867"/>
      <c r="E1093" s="868"/>
      <c r="F1093" s="865"/>
      <c r="G1093" s="403"/>
      <c r="H1093" s="402"/>
      <c r="I1093" s="402"/>
      <c r="J1093" s="402"/>
      <c r="K1093" s="402"/>
      <c r="L1093" s="402"/>
      <c r="M1093" s="402"/>
      <c r="N1093" s="402"/>
      <c r="O1093" s="402"/>
      <c r="P1093" s="402"/>
      <c r="Q1093" s="402"/>
      <c r="R1093" s="402"/>
      <c r="S1093" s="402"/>
      <c r="T1093" s="402"/>
      <c r="U1093" s="402"/>
      <c r="V1093" s="402"/>
      <c r="W1093" s="402"/>
      <c r="X1093" s="402"/>
      <c r="Y1093" s="402"/>
      <c r="Z1093" s="402"/>
    </row>
    <row r="1094" ht="14.25" customHeight="1">
      <c r="A1094" s="584" t="s">
        <v>2130</v>
      </c>
      <c r="B1094" s="877" t="s">
        <v>39</v>
      </c>
      <c r="C1094" s="584" t="s">
        <v>48</v>
      </c>
      <c r="D1094" s="584" t="s">
        <v>49</v>
      </c>
      <c r="E1094" s="862" t="s">
        <v>50</v>
      </c>
      <c r="F1094" s="585" t="s">
        <v>2</v>
      </c>
      <c r="G1094" s="584" t="s">
        <v>44</v>
      </c>
      <c r="H1094" s="584" t="s">
        <v>45</v>
      </c>
      <c r="I1094" s="866" t="str">
        <f>IF(G1094&gt;=F1094,"FULLY PAID",IF(G1094=0,"NOT PAID","PARTIALLY PAID"))</f>
        <v>FULLY PAID</v>
      </c>
      <c r="J1094" s="402"/>
      <c r="K1094" s="402"/>
      <c r="L1094" s="402"/>
      <c r="M1094" s="402"/>
      <c r="N1094" s="402"/>
      <c r="O1094" s="402"/>
      <c r="P1094" s="402"/>
      <c r="Q1094" s="402"/>
      <c r="R1094" s="402"/>
      <c r="S1094" s="402"/>
      <c r="T1094" s="402"/>
      <c r="U1094" s="402"/>
      <c r="V1094" s="402"/>
      <c r="W1094" s="402"/>
      <c r="X1094" s="402"/>
      <c r="Y1094" s="402"/>
      <c r="Z1094" s="402"/>
    </row>
    <row r="1095" ht="14.25" customHeight="1">
      <c r="A1095" s="697">
        <v>45527.0</v>
      </c>
      <c r="B1095" s="863" t="s">
        <v>4864</v>
      </c>
      <c r="C1095" s="863" t="s">
        <v>4865</v>
      </c>
      <c r="D1095" s="867" t="s">
        <v>54</v>
      </c>
      <c r="E1095" s="689" t="s">
        <v>5428</v>
      </c>
      <c r="F1095" s="865">
        <v>22797.47</v>
      </c>
      <c r="G1095" s="403"/>
      <c r="H1095" s="349" t="s">
        <v>5479</v>
      </c>
      <c r="I1095" s="402"/>
      <c r="J1095" s="402"/>
      <c r="K1095" s="402"/>
      <c r="L1095" s="402"/>
      <c r="M1095" s="402"/>
      <c r="N1095" s="402"/>
      <c r="O1095" s="402"/>
      <c r="P1095" s="402"/>
      <c r="Q1095" s="402"/>
      <c r="R1095" s="402"/>
      <c r="S1095" s="402"/>
      <c r="T1095" s="402"/>
      <c r="U1095" s="402"/>
      <c r="V1095" s="402"/>
      <c r="W1095" s="402"/>
      <c r="X1095" s="402"/>
      <c r="Y1095" s="402"/>
      <c r="Z1095" s="402"/>
    </row>
    <row r="1096" ht="14.25" customHeight="1">
      <c r="A1096" s="697">
        <v>45527.0</v>
      </c>
      <c r="B1096" s="863" t="s">
        <v>4900</v>
      </c>
      <c r="C1096" s="863" t="s">
        <v>5055</v>
      </c>
      <c r="D1096" s="867" t="s">
        <v>54</v>
      </c>
      <c r="E1096" s="689" t="s">
        <v>4950</v>
      </c>
      <c r="F1096" s="865">
        <v>8773.68</v>
      </c>
      <c r="G1096" s="403"/>
      <c r="H1096" s="349" t="s">
        <v>5480</v>
      </c>
      <c r="I1096" s="402"/>
      <c r="J1096" s="402"/>
      <c r="K1096" s="402"/>
      <c r="L1096" s="402"/>
      <c r="M1096" s="402"/>
      <c r="N1096" s="402"/>
      <c r="O1096" s="402"/>
      <c r="P1096" s="402"/>
      <c r="Q1096" s="402"/>
      <c r="R1096" s="402"/>
      <c r="S1096" s="402"/>
      <c r="T1096" s="402"/>
      <c r="U1096" s="402"/>
      <c r="V1096" s="402"/>
      <c r="W1096" s="402"/>
      <c r="X1096" s="402"/>
      <c r="Y1096" s="402"/>
      <c r="Z1096" s="402"/>
    </row>
    <row r="1097" ht="14.25" customHeight="1">
      <c r="A1097" s="697">
        <v>45527.0</v>
      </c>
      <c r="B1097" s="863" t="s">
        <v>5097</v>
      </c>
      <c r="C1097" s="863" t="s">
        <v>5076</v>
      </c>
      <c r="D1097" s="867" t="s">
        <v>54</v>
      </c>
      <c r="E1097" s="689" t="s">
        <v>5428</v>
      </c>
      <c r="F1097" s="865">
        <v>37603.32</v>
      </c>
      <c r="G1097" s="403"/>
      <c r="H1097" s="349" t="s">
        <v>5481</v>
      </c>
      <c r="I1097" s="402"/>
      <c r="J1097" s="402"/>
      <c r="K1097" s="402"/>
      <c r="L1097" s="402"/>
      <c r="M1097" s="402"/>
      <c r="N1097" s="402"/>
      <c r="O1097" s="402"/>
      <c r="P1097" s="402"/>
      <c r="Q1097" s="402"/>
      <c r="R1097" s="402"/>
      <c r="S1097" s="402"/>
      <c r="T1097" s="402"/>
      <c r="U1097" s="402"/>
      <c r="V1097" s="402"/>
      <c r="W1097" s="402"/>
      <c r="X1097" s="402"/>
      <c r="Y1097" s="402"/>
      <c r="Z1097" s="402"/>
    </row>
    <row r="1098" ht="14.25" customHeight="1">
      <c r="A1098" s="989">
        <v>45527.0</v>
      </c>
      <c r="B1098" s="990" t="s">
        <v>4885</v>
      </c>
      <c r="C1098" s="990" t="s">
        <v>5418</v>
      </c>
      <c r="D1098" s="991" t="s">
        <v>54</v>
      </c>
      <c r="E1098" s="992" t="s">
        <v>4950</v>
      </c>
      <c r="F1098" s="993">
        <v>1625.64</v>
      </c>
      <c r="G1098" s="994">
        <v>14800.0</v>
      </c>
      <c r="H1098" s="995" t="s">
        <v>5482</v>
      </c>
      <c r="I1098" s="996"/>
      <c r="J1098" s="996"/>
      <c r="K1098" s="996"/>
      <c r="L1098" s="996"/>
      <c r="M1098" s="996"/>
      <c r="N1098" s="996"/>
      <c r="O1098" s="996"/>
      <c r="P1098" s="996"/>
      <c r="Q1098" s="996"/>
      <c r="R1098" s="996"/>
      <c r="S1098" s="996"/>
      <c r="T1098" s="996"/>
      <c r="U1098" s="996"/>
      <c r="V1098" s="996"/>
      <c r="W1098" s="996"/>
      <c r="X1098" s="996"/>
      <c r="Y1098" s="996"/>
      <c r="Z1098" s="996"/>
    </row>
    <row r="1099" ht="14.25" customHeight="1">
      <c r="A1099" s="697">
        <v>45527.0</v>
      </c>
      <c r="B1099" s="863" t="s">
        <v>4767</v>
      </c>
      <c r="C1099" s="863" t="s">
        <v>4861</v>
      </c>
      <c r="D1099" s="867" t="s">
        <v>59</v>
      </c>
      <c r="E1099" s="689" t="s">
        <v>5000</v>
      </c>
      <c r="F1099" s="865">
        <v>105888.45</v>
      </c>
      <c r="G1099" s="413"/>
      <c r="H1099" s="349" t="s">
        <v>5483</v>
      </c>
      <c r="I1099" s="402"/>
      <c r="J1099" s="402"/>
      <c r="K1099" s="402"/>
      <c r="L1099" s="402"/>
      <c r="M1099" s="402"/>
      <c r="N1099" s="402"/>
      <c r="O1099" s="402"/>
      <c r="P1099" s="402"/>
      <c r="Q1099" s="402"/>
      <c r="R1099" s="402"/>
      <c r="S1099" s="402"/>
      <c r="T1099" s="402"/>
      <c r="U1099" s="402"/>
      <c r="V1099" s="402"/>
      <c r="W1099" s="402"/>
      <c r="X1099" s="402"/>
      <c r="Y1099" s="402"/>
      <c r="Z1099" s="402"/>
    </row>
    <row r="1100" ht="14.25" customHeight="1">
      <c r="A1100" s="697">
        <v>45527.0</v>
      </c>
      <c r="B1100" s="863" t="s">
        <v>4770</v>
      </c>
      <c r="C1100" s="863" t="s">
        <v>5484</v>
      </c>
      <c r="D1100" s="867" t="s">
        <v>263</v>
      </c>
      <c r="E1100" s="689" t="s">
        <v>5428</v>
      </c>
      <c r="F1100" s="865">
        <v>25486.64</v>
      </c>
      <c r="G1100" s="403"/>
      <c r="H1100" s="349" t="s">
        <v>5482</v>
      </c>
      <c r="I1100" s="402"/>
      <c r="J1100" s="402"/>
      <c r="K1100" s="402"/>
      <c r="L1100" s="402"/>
      <c r="M1100" s="402"/>
      <c r="N1100" s="402"/>
      <c r="O1100" s="402"/>
      <c r="P1100" s="402"/>
      <c r="Q1100" s="402"/>
      <c r="R1100" s="402"/>
      <c r="S1100" s="402"/>
      <c r="T1100" s="402"/>
      <c r="U1100" s="402"/>
      <c r="V1100" s="402"/>
      <c r="W1100" s="402"/>
      <c r="X1100" s="402"/>
      <c r="Y1100" s="402"/>
      <c r="Z1100" s="402"/>
    </row>
    <row r="1101" ht="14.25" customHeight="1">
      <c r="A1101" s="697">
        <v>45527.0</v>
      </c>
      <c r="B1101" s="863" t="s">
        <v>4773</v>
      </c>
      <c r="C1101" s="863" t="s">
        <v>4906</v>
      </c>
      <c r="D1101" s="867" t="s">
        <v>54</v>
      </c>
      <c r="E1101" s="689" t="s">
        <v>5428</v>
      </c>
      <c r="F1101" s="865">
        <v>979.93</v>
      </c>
      <c r="G1101" s="403"/>
      <c r="H1101" s="349" t="s">
        <v>5482</v>
      </c>
      <c r="I1101" s="402"/>
      <c r="J1101" s="402"/>
      <c r="K1101" s="402"/>
      <c r="L1101" s="402"/>
      <c r="M1101" s="402"/>
      <c r="N1101" s="402"/>
      <c r="O1101" s="402"/>
      <c r="P1101" s="402"/>
      <c r="Q1101" s="402"/>
      <c r="R1101" s="402"/>
      <c r="S1101" s="402"/>
      <c r="T1101" s="402"/>
      <c r="U1101" s="402"/>
      <c r="V1101" s="402"/>
      <c r="W1101" s="402"/>
      <c r="X1101" s="402"/>
      <c r="Y1101" s="402"/>
      <c r="Z1101" s="402"/>
    </row>
    <row r="1102" ht="14.25" customHeight="1">
      <c r="A1102" s="697">
        <v>45527.0</v>
      </c>
      <c r="B1102" s="863" t="s">
        <v>4779</v>
      </c>
      <c r="C1102" s="863" t="s">
        <v>4907</v>
      </c>
      <c r="D1102" s="867" t="s">
        <v>54</v>
      </c>
      <c r="E1102" s="689" t="s">
        <v>5000</v>
      </c>
      <c r="F1102" s="865">
        <v>2797.83</v>
      </c>
      <c r="G1102" s="403"/>
      <c r="H1102" s="349" t="s">
        <v>5482</v>
      </c>
      <c r="I1102" s="402"/>
      <c r="J1102" s="402"/>
      <c r="K1102" s="402"/>
      <c r="L1102" s="402"/>
      <c r="M1102" s="402"/>
      <c r="N1102" s="402"/>
      <c r="O1102" s="402"/>
      <c r="P1102" s="402"/>
      <c r="Q1102" s="402"/>
      <c r="R1102" s="402"/>
      <c r="S1102" s="402"/>
      <c r="T1102" s="402"/>
      <c r="U1102" s="402"/>
      <c r="V1102" s="402"/>
      <c r="W1102" s="402"/>
      <c r="X1102" s="402"/>
      <c r="Y1102" s="402"/>
      <c r="Z1102" s="402"/>
    </row>
    <row r="1103" ht="14.25" customHeight="1">
      <c r="A1103" s="697">
        <v>45527.0</v>
      </c>
      <c r="B1103" s="863" t="s">
        <v>4781</v>
      </c>
      <c r="C1103" s="863" t="s">
        <v>5485</v>
      </c>
      <c r="D1103" s="867" t="s">
        <v>54</v>
      </c>
      <c r="E1103" s="689" t="s">
        <v>4950</v>
      </c>
      <c r="F1103" s="865">
        <v>227711.11</v>
      </c>
      <c r="G1103" s="403"/>
      <c r="H1103" s="349" t="s">
        <v>5169</v>
      </c>
      <c r="I1103" s="402"/>
      <c r="J1103" s="402"/>
      <c r="K1103" s="402"/>
      <c r="L1103" s="402"/>
      <c r="M1103" s="402"/>
      <c r="N1103" s="402"/>
      <c r="O1103" s="402"/>
      <c r="P1103" s="402"/>
      <c r="Q1103" s="402"/>
      <c r="R1103" s="402"/>
      <c r="S1103" s="402"/>
      <c r="T1103" s="402"/>
      <c r="U1103" s="402"/>
      <c r="V1103" s="402"/>
      <c r="W1103" s="402"/>
      <c r="X1103" s="402"/>
      <c r="Y1103" s="402"/>
      <c r="Z1103" s="402"/>
    </row>
    <row r="1104" ht="14.25" customHeight="1">
      <c r="A1104" s="697">
        <v>45527.0</v>
      </c>
      <c r="B1104" s="863" t="s">
        <v>4977</v>
      </c>
      <c r="C1104" s="863" t="s">
        <v>4978</v>
      </c>
      <c r="D1104" s="867" t="s">
        <v>54</v>
      </c>
      <c r="E1104" s="689" t="s">
        <v>5000</v>
      </c>
      <c r="F1104" s="865">
        <v>892.65</v>
      </c>
      <c r="G1104" s="403"/>
      <c r="H1104" s="349" t="s">
        <v>5483</v>
      </c>
      <c r="I1104" s="402"/>
      <c r="J1104" s="402"/>
      <c r="K1104" s="402"/>
      <c r="L1104" s="402"/>
      <c r="M1104" s="402"/>
      <c r="N1104" s="402"/>
      <c r="O1104" s="402"/>
      <c r="P1104" s="402"/>
      <c r="Q1104" s="402"/>
      <c r="R1104" s="402"/>
      <c r="S1104" s="402"/>
      <c r="T1104" s="402"/>
      <c r="U1104" s="402"/>
      <c r="V1104" s="402"/>
      <c r="W1104" s="402"/>
      <c r="X1104" s="402"/>
      <c r="Y1104" s="402"/>
      <c r="Z1104" s="402"/>
    </row>
    <row r="1105" ht="14.25" customHeight="1">
      <c r="A1105" s="697">
        <v>45527.0</v>
      </c>
      <c r="B1105" s="863" t="s">
        <v>4807</v>
      </c>
      <c r="C1105" s="863" t="s">
        <v>4978</v>
      </c>
      <c r="D1105" s="867" t="s">
        <v>346</v>
      </c>
      <c r="E1105" s="689" t="s">
        <v>5000</v>
      </c>
      <c r="F1105" s="865">
        <v>1156.98</v>
      </c>
      <c r="G1105" s="403"/>
      <c r="H1105" s="349" t="s">
        <v>5482</v>
      </c>
      <c r="I1105" s="402"/>
      <c r="J1105" s="402"/>
      <c r="K1105" s="402"/>
      <c r="L1105" s="402"/>
      <c r="M1105" s="402"/>
      <c r="N1105" s="402"/>
      <c r="O1105" s="402"/>
      <c r="P1105" s="402"/>
      <c r="Q1105" s="402"/>
      <c r="R1105" s="402"/>
      <c r="S1105" s="402"/>
      <c r="T1105" s="402"/>
      <c r="U1105" s="402"/>
      <c r="V1105" s="402"/>
      <c r="W1105" s="402"/>
      <c r="X1105" s="402"/>
      <c r="Y1105" s="402"/>
      <c r="Z1105" s="402"/>
    </row>
    <row r="1106" ht="14.25" customHeight="1">
      <c r="A1106" s="697">
        <v>45527.0</v>
      </c>
      <c r="B1106" s="863" t="s">
        <v>5312</v>
      </c>
      <c r="C1106" s="863" t="s">
        <v>5433</v>
      </c>
      <c r="D1106" s="867" t="s">
        <v>54</v>
      </c>
      <c r="E1106" s="689" t="s">
        <v>5428</v>
      </c>
      <c r="F1106" s="865">
        <v>493.96</v>
      </c>
      <c r="G1106" s="413"/>
      <c r="H1106" s="349" t="s">
        <v>267</v>
      </c>
      <c r="I1106" s="402"/>
      <c r="J1106" s="402"/>
      <c r="K1106" s="402"/>
      <c r="L1106" s="402"/>
      <c r="M1106" s="402"/>
      <c r="N1106" s="402"/>
      <c r="O1106" s="402"/>
      <c r="P1106" s="402"/>
      <c r="Q1106" s="402"/>
      <c r="R1106" s="402"/>
      <c r="S1106" s="402"/>
      <c r="T1106" s="402"/>
      <c r="U1106" s="402"/>
      <c r="V1106" s="402"/>
      <c r="W1106" s="402"/>
      <c r="X1106" s="402"/>
      <c r="Y1106" s="402"/>
      <c r="Z1106" s="402"/>
    </row>
    <row r="1107" ht="14.25" customHeight="1">
      <c r="A1107" s="697">
        <v>45527.0</v>
      </c>
      <c r="B1107" s="863" t="s">
        <v>5314</v>
      </c>
      <c r="C1107" s="863" t="s">
        <v>5433</v>
      </c>
      <c r="D1107" s="867" t="s">
        <v>346</v>
      </c>
      <c r="E1107" s="689" t="s">
        <v>5428</v>
      </c>
      <c r="F1107" s="865">
        <v>3607.71</v>
      </c>
      <c r="G1107" s="413"/>
      <c r="H1107" s="349" t="s">
        <v>267</v>
      </c>
      <c r="I1107" s="402"/>
      <c r="J1107" s="402"/>
      <c r="K1107" s="402"/>
      <c r="L1107" s="402"/>
      <c r="M1107" s="402"/>
      <c r="N1107" s="402"/>
      <c r="O1107" s="402"/>
      <c r="P1107" s="402"/>
      <c r="Q1107" s="402"/>
      <c r="R1107" s="402"/>
      <c r="S1107" s="402"/>
      <c r="T1107" s="402"/>
      <c r="U1107" s="402"/>
      <c r="V1107" s="402"/>
      <c r="W1107" s="402"/>
      <c r="X1107" s="402"/>
      <c r="Y1107" s="402"/>
      <c r="Z1107" s="402"/>
    </row>
    <row r="1108" ht="14.25" customHeight="1">
      <c r="A1108" s="697">
        <v>45527.0</v>
      </c>
      <c r="B1108" s="863" t="s">
        <v>4791</v>
      </c>
      <c r="C1108" s="863" t="s">
        <v>4850</v>
      </c>
      <c r="D1108" s="867" t="s">
        <v>54</v>
      </c>
      <c r="E1108" s="689" t="s">
        <v>5000</v>
      </c>
      <c r="F1108" s="865">
        <v>5441.25</v>
      </c>
      <c r="G1108" s="413">
        <v>5500.0</v>
      </c>
      <c r="H1108" s="349" t="s">
        <v>5482</v>
      </c>
      <c r="I1108" s="402"/>
      <c r="J1108" s="402"/>
      <c r="K1108" s="402"/>
      <c r="L1108" s="402"/>
      <c r="M1108" s="402"/>
      <c r="N1108" s="402"/>
      <c r="O1108" s="402"/>
      <c r="P1108" s="402"/>
      <c r="Q1108" s="402"/>
      <c r="R1108" s="402"/>
      <c r="S1108" s="402"/>
      <c r="T1108" s="402"/>
      <c r="U1108" s="402"/>
      <c r="V1108" s="402"/>
      <c r="W1108" s="402"/>
      <c r="X1108" s="402"/>
      <c r="Y1108" s="402"/>
      <c r="Z1108" s="402"/>
    </row>
    <row r="1109" ht="14.25" customHeight="1">
      <c r="A1109" s="697">
        <v>45527.0</v>
      </c>
      <c r="B1109" s="863" t="s">
        <v>4811</v>
      </c>
      <c r="C1109" s="863" t="s">
        <v>4859</v>
      </c>
      <c r="D1109" s="867" t="s">
        <v>54</v>
      </c>
      <c r="E1109" s="689" t="s">
        <v>5000</v>
      </c>
      <c r="F1109" s="865">
        <v>15777.33</v>
      </c>
      <c r="G1109" s="403"/>
      <c r="H1109" s="349" t="s">
        <v>5486</v>
      </c>
      <c r="I1109" s="402"/>
      <c r="J1109" s="402"/>
      <c r="K1109" s="402"/>
      <c r="L1109" s="402"/>
      <c r="M1109" s="402"/>
      <c r="N1109" s="402"/>
      <c r="O1109" s="402"/>
      <c r="P1109" s="402"/>
      <c r="Q1109" s="402"/>
      <c r="R1109" s="402"/>
      <c r="S1109" s="402"/>
      <c r="T1109" s="402"/>
      <c r="U1109" s="402"/>
      <c r="V1109" s="402"/>
      <c r="W1109" s="402"/>
      <c r="X1109" s="402"/>
      <c r="Y1109" s="402"/>
      <c r="Z1109" s="402"/>
    </row>
    <row r="1110" ht="14.25" customHeight="1">
      <c r="A1110" s="697">
        <v>45527.0</v>
      </c>
      <c r="B1110" s="863" t="s">
        <v>4866</v>
      </c>
      <c r="C1110" s="863" t="s">
        <v>4867</v>
      </c>
      <c r="D1110" s="867" t="s">
        <v>54</v>
      </c>
      <c r="E1110" s="689" t="s">
        <v>4950</v>
      </c>
      <c r="F1110" s="865">
        <v>18390.23</v>
      </c>
      <c r="G1110" s="413">
        <v>22490.0</v>
      </c>
      <c r="H1110" s="349" t="s">
        <v>5487</v>
      </c>
      <c r="I1110" s="402"/>
      <c r="J1110" s="402"/>
      <c r="K1110" s="402"/>
      <c r="L1110" s="402"/>
      <c r="M1110" s="402"/>
      <c r="N1110" s="402"/>
      <c r="O1110" s="402"/>
      <c r="P1110" s="402"/>
      <c r="Q1110" s="402"/>
      <c r="R1110" s="402"/>
      <c r="S1110" s="402"/>
      <c r="T1110" s="402"/>
      <c r="U1110" s="402"/>
      <c r="V1110" s="402"/>
      <c r="W1110" s="402"/>
      <c r="X1110" s="402"/>
      <c r="Y1110" s="402"/>
      <c r="Z1110" s="402"/>
    </row>
    <row r="1111" ht="14.25" customHeight="1">
      <c r="A1111" s="697">
        <v>45527.0</v>
      </c>
      <c r="B1111" s="863" t="s">
        <v>4793</v>
      </c>
      <c r="C1111" s="863" t="s">
        <v>4851</v>
      </c>
      <c r="D1111" s="867" t="s">
        <v>54</v>
      </c>
      <c r="E1111" s="689" t="s">
        <v>4950</v>
      </c>
      <c r="F1111" s="865">
        <v>12772.71</v>
      </c>
      <c r="G1111" s="403"/>
      <c r="H1111" s="349" t="s">
        <v>5352</v>
      </c>
      <c r="I1111" s="402"/>
      <c r="J1111" s="402"/>
      <c r="K1111" s="402"/>
      <c r="L1111" s="402"/>
      <c r="M1111" s="402"/>
      <c r="N1111" s="402"/>
      <c r="O1111" s="402"/>
      <c r="P1111" s="402"/>
      <c r="Q1111" s="402"/>
      <c r="R1111" s="402"/>
      <c r="S1111" s="402"/>
      <c r="T1111" s="402"/>
      <c r="U1111" s="402"/>
      <c r="V1111" s="402"/>
      <c r="W1111" s="402"/>
      <c r="X1111" s="402"/>
      <c r="Y1111" s="402"/>
      <c r="Z1111" s="402"/>
    </row>
    <row r="1112" ht="14.25" customHeight="1">
      <c r="A1112" s="697">
        <v>45527.0</v>
      </c>
      <c r="B1112" s="863" t="s">
        <v>4816</v>
      </c>
      <c r="C1112" s="863" t="s">
        <v>5015</v>
      </c>
      <c r="D1112" s="867" t="s">
        <v>54</v>
      </c>
      <c r="E1112" s="689" t="s">
        <v>4950</v>
      </c>
      <c r="F1112" s="865">
        <v>6512.43</v>
      </c>
      <c r="G1112" s="403"/>
      <c r="H1112" s="943" t="s">
        <v>5412</v>
      </c>
      <c r="I1112" s="402"/>
      <c r="J1112" s="402"/>
      <c r="K1112" s="402"/>
      <c r="L1112" s="402"/>
      <c r="M1112" s="402"/>
      <c r="N1112" s="402"/>
      <c r="O1112" s="402"/>
      <c r="P1112" s="402"/>
      <c r="Q1112" s="402"/>
      <c r="R1112" s="402"/>
      <c r="S1112" s="402"/>
      <c r="T1112" s="402"/>
      <c r="U1112" s="402"/>
      <c r="V1112" s="402"/>
      <c r="W1112" s="402"/>
      <c r="X1112" s="402"/>
      <c r="Y1112" s="402"/>
      <c r="Z1112" s="402"/>
    </row>
    <row r="1113" ht="14.25" customHeight="1">
      <c r="A1113" s="697">
        <v>45527.0</v>
      </c>
      <c r="B1113" s="863" t="s">
        <v>5488</v>
      </c>
      <c r="C1113" s="863" t="s">
        <v>4860</v>
      </c>
      <c r="D1113" s="867" t="s">
        <v>75</v>
      </c>
      <c r="E1113" s="689" t="s">
        <v>5428</v>
      </c>
      <c r="F1113" s="865">
        <v>161000.0</v>
      </c>
      <c r="G1113" s="403"/>
      <c r="H1113" s="349" t="s">
        <v>5489</v>
      </c>
      <c r="I1113" s="402"/>
      <c r="J1113" s="402"/>
      <c r="K1113" s="402"/>
      <c r="L1113" s="402"/>
      <c r="M1113" s="402"/>
      <c r="N1113" s="402"/>
      <c r="O1113" s="402"/>
      <c r="P1113" s="402"/>
      <c r="Q1113" s="402"/>
      <c r="R1113" s="402"/>
      <c r="S1113" s="402"/>
      <c r="T1113" s="402"/>
      <c r="U1113" s="402"/>
      <c r="V1113" s="402"/>
      <c r="W1113" s="402"/>
      <c r="X1113" s="402"/>
      <c r="Y1113" s="402"/>
      <c r="Z1113" s="402"/>
    </row>
    <row r="1114" ht="14.25" customHeight="1">
      <c r="A1114" s="697">
        <v>45527.0</v>
      </c>
      <c r="B1114" s="863" t="s">
        <v>4547</v>
      </c>
      <c r="C1114" s="863" t="s">
        <v>4548</v>
      </c>
      <c r="D1114" s="867" t="s">
        <v>59</v>
      </c>
      <c r="E1114" s="689" t="s">
        <v>4950</v>
      </c>
      <c r="F1114" s="865">
        <v>558908.45</v>
      </c>
      <c r="G1114" s="403"/>
      <c r="H1114" s="349" t="s">
        <v>5477</v>
      </c>
      <c r="I1114" s="402"/>
      <c r="J1114" s="402"/>
      <c r="K1114" s="402"/>
      <c r="L1114" s="402"/>
      <c r="M1114" s="402"/>
      <c r="N1114" s="402"/>
      <c r="O1114" s="402"/>
      <c r="P1114" s="402"/>
      <c r="Q1114" s="402"/>
      <c r="R1114" s="402"/>
      <c r="S1114" s="402"/>
      <c r="T1114" s="402"/>
      <c r="U1114" s="402"/>
      <c r="V1114" s="402"/>
      <c r="W1114" s="402"/>
      <c r="X1114" s="402"/>
      <c r="Y1114" s="402"/>
      <c r="Z1114" s="402"/>
    </row>
    <row r="1115" ht="14.25" customHeight="1">
      <c r="A1115" s="697">
        <v>45527.0</v>
      </c>
      <c r="B1115" s="863" t="s">
        <v>4783</v>
      </c>
      <c r="C1115" s="863" t="s">
        <v>4920</v>
      </c>
      <c r="D1115" s="867" t="s">
        <v>54</v>
      </c>
      <c r="E1115" s="689" t="s">
        <v>5428</v>
      </c>
      <c r="F1115" s="865">
        <v>194031.98</v>
      </c>
      <c r="G1115" s="413">
        <v>285033.0</v>
      </c>
      <c r="H1115" s="349" t="s">
        <v>5467</v>
      </c>
      <c r="I1115" s="402"/>
      <c r="J1115" s="402"/>
      <c r="K1115" s="402"/>
      <c r="L1115" s="402"/>
      <c r="M1115" s="402"/>
      <c r="N1115" s="402"/>
      <c r="O1115" s="402"/>
      <c r="P1115" s="402"/>
      <c r="Q1115" s="402"/>
      <c r="R1115" s="402"/>
      <c r="S1115" s="402"/>
      <c r="T1115" s="402"/>
      <c r="U1115" s="402"/>
      <c r="V1115" s="402"/>
      <c r="W1115" s="402"/>
      <c r="X1115" s="402"/>
      <c r="Y1115" s="402"/>
      <c r="Z1115" s="402"/>
    </row>
    <row r="1116" ht="14.25" customHeight="1">
      <c r="A1116" s="697">
        <v>45527.0</v>
      </c>
      <c r="B1116" s="863" t="s">
        <v>4809</v>
      </c>
      <c r="C1116" s="863" t="s">
        <v>4909</v>
      </c>
      <c r="D1116" s="867" t="s">
        <v>54</v>
      </c>
      <c r="E1116" s="689" t="s">
        <v>5428</v>
      </c>
      <c r="F1116" s="865">
        <v>565.52</v>
      </c>
      <c r="G1116" s="403"/>
      <c r="H1116" s="349" t="s">
        <v>5490</v>
      </c>
      <c r="I1116" s="402"/>
      <c r="J1116" s="402"/>
      <c r="K1116" s="402"/>
      <c r="L1116" s="402"/>
      <c r="M1116" s="402"/>
      <c r="N1116" s="402"/>
      <c r="O1116" s="402"/>
      <c r="P1116" s="402"/>
      <c r="Q1116" s="402"/>
      <c r="R1116" s="402"/>
      <c r="S1116" s="402"/>
      <c r="T1116" s="402"/>
      <c r="U1116" s="402"/>
      <c r="V1116" s="402"/>
      <c r="W1116" s="402"/>
      <c r="X1116" s="402"/>
      <c r="Y1116" s="402"/>
      <c r="Z1116" s="402"/>
    </row>
    <row r="1117" ht="14.25" customHeight="1">
      <c r="A1117" s="697">
        <v>45527.0</v>
      </c>
      <c r="B1117" s="863" t="s">
        <v>4862</v>
      </c>
      <c r="C1117" s="863" t="s">
        <v>4863</v>
      </c>
      <c r="D1117" s="867" t="s">
        <v>54</v>
      </c>
      <c r="E1117" s="689" t="s">
        <v>5000</v>
      </c>
      <c r="F1117" s="865">
        <v>24960.03</v>
      </c>
      <c r="G1117" s="413">
        <v>26705.0</v>
      </c>
      <c r="H1117" s="349" t="s">
        <v>5460</v>
      </c>
      <c r="I1117" s="402"/>
      <c r="J1117" s="402"/>
      <c r="K1117" s="402"/>
      <c r="L1117" s="402"/>
      <c r="M1117" s="402"/>
      <c r="N1117" s="402"/>
      <c r="O1117" s="402"/>
      <c r="P1117" s="402"/>
      <c r="Q1117" s="402"/>
      <c r="R1117" s="402"/>
      <c r="S1117" s="402"/>
      <c r="T1117" s="402"/>
      <c r="U1117" s="402"/>
      <c r="V1117" s="402"/>
      <c r="W1117" s="402"/>
      <c r="X1117" s="402"/>
      <c r="Y1117" s="402"/>
      <c r="Z1117" s="402"/>
    </row>
    <row r="1118" ht="14.25" customHeight="1">
      <c r="A1118" s="697">
        <v>45527.0</v>
      </c>
      <c r="B1118" s="863" t="s">
        <v>4815</v>
      </c>
      <c r="C1118" s="863" t="s">
        <v>4974</v>
      </c>
      <c r="D1118" s="867" t="s">
        <v>54</v>
      </c>
      <c r="E1118" s="689" t="s">
        <v>4950</v>
      </c>
      <c r="F1118" s="865">
        <v>182338.42</v>
      </c>
      <c r="G1118" s="403"/>
      <c r="H1118" s="349" t="s">
        <v>5486</v>
      </c>
      <c r="I1118" s="402"/>
      <c r="J1118" s="402"/>
      <c r="K1118" s="402"/>
      <c r="L1118" s="402"/>
      <c r="M1118" s="402"/>
      <c r="N1118" s="402"/>
      <c r="O1118" s="402"/>
      <c r="P1118" s="402"/>
      <c r="Q1118" s="402"/>
      <c r="R1118" s="402"/>
      <c r="S1118" s="402"/>
      <c r="T1118" s="402"/>
      <c r="U1118" s="402"/>
      <c r="V1118" s="402"/>
      <c r="W1118" s="402"/>
      <c r="X1118" s="402"/>
      <c r="Y1118" s="402"/>
      <c r="Z1118" s="402"/>
    </row>
    <row r="1119" ht="14.25" customHeight="1">
      <c r="A1119" s="697">
        <v>45527.0</v>
      </c>
      <c r="B1119" s="863" t="s">
        <v>5070</v>
      </c>
      <c r="C1119" s="863" t="s">
        <v>4974</v>
      </c>
      <c r="D1119" s="867" t="s">
        <v>75</v>
      </c>
      <c r="E1119" s="689" t="s">
        <v>5000</v>
      </c>
      <c r="F1119" s="865">
        <v>1915070.06</v>
      </c>
      <c r="G1119" s="403"/>
      <c r="H1119" s="349" t="s">
        <v>5486</v>
      </c>
      <c r="I1119" s="402"/>
      <c r="J1119" s="402"/>
      <c r="K1119" s="402"/>
      <c r="L1119" s="402"/>
      <c r="M1119" s="402"/>
      <c r="N1119" s="402"/>
      <c r="O1119" s="402"/>
      <c r="P1119" s="402"/>
      <c r="Q1119" s="402"/>
      <c r="R1119" s="402"/>
      <c r="S1119" s="402"/>
      <c r="T1119" s="402"/>
      <c r="U1119" s="402"/>
      <c r="V1119" s="402"/>
      <c r="W1119" s="402"/>
      <c r="X1119" s="402"/>
      <c r="Y1119" s="402"/>
      <c r="Z1119" s="402"/>
    </row>
    <row r="1120" ht="14.25" customHeight="1">
      <c r="A1120" s="697">
        <v>45527.0</v>
      </c>
      <c r="B1120" s="863" t="s">
        <v>5075</v>
      </c>
      <c r="C1120" s="863" t="s">
        <v>5237</v>
      </c>
      <c r="D1120" s="867" t="s">
        <v>75</v>
      </c>
      <c r="E1120" s="689" t="s">
        <v>5428</v>
      </c>
      <c r="F1120" s="865">
        <v>44182.16</v>
      </c>
      <c r="G1120" s="403"/>
      <c r="H1120" s="349" t="s">
        <v>5491</v>
      </c>
      <c r="I1120" s="402"/>
      <c r="J1120" s="402"/>
      <c r="K1120" s="402"/>
      <c r="L1120" s="402"/>
      <c r="M1120" s="402"/>
      <c r="N1120" s="402"/>
      <c r="O1120" s="402"/>
      <c r="P1120" s="402"/>
      <c r="Q1120" s="402"/>
      <c r="R1120" s="402"/>
      <c r="S1120" s="402"/>
      <c r="T1120" s="402"/>
      <c r="U1120" s="402"/>
      <c r="V1120" s="402"/>
      <c r="W1120" s="402"/>
      <c r="X1120" s="402"/>
      <c r="Y1120" s="402"/>
      <c r="Z1120" s="402"/>
    </row>
    <row r="1121" ht="14.25" customHeight="1">
      <c r="A1121" s="697">
        <v>45527.0</v>
      </c>
      <c r="B1121" s="863" t="s">
        <v>5221</v>
      </c>
      <c r="C1121" s="863" t="s">
        <v>5437</v>
      </c>
      <c r="D1121" s="867" t="s">
        <v>75</v>
      </c>
      <c r="E1121" s="689" t="s">
        <v>4950</v>
      </c>
      <c r="F1121" s="865">
        <v>559028.75</v>
      </c>
      <c r="G1121" s="403"/>
      <c r="H1121" s="349" t="s">
        <v>5486</v>
      </c>
      <c r="I1121" s="402"/>
      <c r="J1121" s="402"/>
      <c r="K1121" s="402"/>
      <c r="L1121" s="402"/>
      <c r="M1121" s="402"/>
      <c r="N1121" s="402"/>
      <c r="O1121" s="402"/>
      <c r="P1121" s="402"/>
      <c r="Q1121" s="402"/>
      <c r="R1121" s="402"/>
      <c r="S1121" s="402"/>
      <c r="T1121" s="402"/>
      <c r="U1121" s="402"/>
      <c r="V1121" s="402"/>
      <c r="W1121" s="402"/>
      <c r="X1121" s="402"/>
      <c r="Y1121" s="402"/>
      <c r="Z1121" s="402"/>
    </row>
    <row r="1122" ht="14.25" customHeight="1">
      <c r="A1122" s="697">
        <v>45527.0</v>
      </c>
      <c r="B1122" s="863" t="s">
        <v>5316</v>
      </c>
      <c r="C1122" s="863" t="s">
        <v>4975</v>
      </c>
      <c r="D1122" s="867" t="s">
        <v>75</v>
      </c>
      <c r="E1122" s="689" t="s">
        <v>5000</v>
      </c>
      <c r="F1122" s="865">
        <v>54375.0</v>
      </c>
      <c r="G1122" s="403"/>
      <c r="H1122" s="349" t="s">
        <v>5486</v>
      </c>
      <c r="I1122" s="402"/>
      <c r="J1122" s="402"/>
      <c r="K1122" s="402"/>
      <c r="L1122" s="402"/>
      <c r="M1122" s="402"/>
      <c r="N1122" s="402"/>
      <c r="O1122" s="402"/>
      <c r="P1122" s="402"/>
      <c r="Q1122" s="402"/>
      <c r="R1122" s="402"/>
      <c r="S1122" s="402"/>
      <c r="T1122" s="402"/>
      <c r="U1122" s="402"/>
      <c r="V1122" s="402"/>
      <c r="W1122" s="402"/>
      <c r="X1122" s="402"/>
      <c r="Y1122" s="402"/>
      <c r="Z1122" s="402"/>
    </row>
    <row r="1123" ht="14.25" customHeight="1">
      <c r="A1123" s="697">
        <v>45527.0</v>
      </c>
      <c r="B1123" s="863" t="s">
        <v>5363</v>
      </c>
      <c r="C1123" s="863" t="s">
        <v>5222</v>
      </c>
      <c r="D1123" s="867" t="s">
        <v>54</v>
      </c>
      <c r="E1123" s="689" t="s">
        <v>5000</v>
      </c>
      <c r="F1123" s="865">
        <v>225787.15</v>
      </c>
      <c r="G1123" s="403"/>
      <c r="H1123" s="349" t="s">
        <v>5486</v>
      </c>
      <c r="I1123" s="402"/>
      <c r="J1123" s="402"/>
      <c r="K1123" s="402"/>
      <c r="L1123" s="402"/>
      <c r="M1123" s="402"/>
      <c r="N1123" s="402"/>
      <c r="O1123" s="402"/>
      <c r="P1123" s="402"/>
      <c r="Q1123" s="402"/>
      <c r="R1123" s="402"/>
      <c r="S1123" s="402"/>
      <c r="T1123" s="402"/>
      <c r="U1123" s="402"/>
      <c r="V1123" s="402"/>
      <c r="W1123" s="402"/>
      <c r="X1123" s="402"/>
      <c r="Y1123" s="402"/>
      <c r="Z1123" s="402"/>
    </row>
    <row r="1124" ht="14.25" customHeight="1">
      <c r="A1124" s="697">
        <v>45527.0</v>
      </c>
      <c r="B1124" s="863" t="s">
        <v>5366</v>
      </c>
      <c r="C1124" s="863" t="s">
        <v>5367</v>
      </c>
      <c r="D1124" s="867" t="s">
        <v>75</v>
      </c>
      <c r="E1124" s="689" t="s">
        <v>5000</v>
      </c>
      <c r="F1124" s="865">
        <v>130500.0</v>
      </c>
      <c r="G1124" s="403"/>
      <c r="H1124" s="349" t="s">
        <v>5492</v>
      </c>
      <c r="I1124" s="402"/>
      <c r="J1124" s="402"/>
      <c r="K1124" s="402"/>
      <c r="L1124" s="402"/>
      <c r="M1124" s="402"/>
      <c r="N1124" s="402"/>
      <c r="O1124" s="402"/>
      <c r="P1124" s="402"/>
      <c r="Q1124" s="402"/>
      <c r="R1124" s="402"/>
      <c r="S1124" s="402"/>
      <c r="T1124" s="402"/>
      <c r="U1124" s="402"/>
      <c r="V1124" s="402"/>
      <c r="W1124" s="402"/>
      <c r="X1124" s="402"/>
      <c r="Y1124" s="402"/>
      <c r="Z1124" s="402"/>
    </row>
    <row r="1125" ht="14.25" customHeight="1">
      <c r="A1125" s="697">
        <v>45527.0</v>
      </c>
      <c r="B1125" s="863" t="s">
        <v>5397</v>
      </c>
      <c r="C1125" s="863" t="s">
        <v>5205</v>
      </c>
      <c r="D1125" s="867" t="s">
        <v>75</v>
      </c>
      <c r="E1125" s="689" t="s">
        <v>4950</v>
      </c>
      <c r="F1125" s="865">
        <v>201500.0</v>
      </c>
      <c r="G1125" s="403"/>
      <c r="H1125" s="402"/>
      <c r="I1125" s="402"/>
      <c r="J1125" s="402"/>
      <c r="K1125" s="402"/>
      <c r="L1125" s="402"/>
      <c r="M1125" s="402"/>
      <c r="N1125" s="402"/>
      <c r="O1125" s="402"/>
      <c r="P1125" s="402"/>
      <c r="Q1125" s="402"/>
      <c r="R1125" s="402"/>
      <c r="S1125" s="402"/>
      <c r="T1125" s="402"/>
      <c r="U1125" s="402"/>
      <c r="V1125" s="402"/>
      <c r="W1125" s="402"/>
      <c r="X1125" s="402"/>
      <c r="Y1125" s="402"/>
      <c r="Z1125" s="402"/>
    </row>
    <row r="1126" ht="14.25" customHeight="1">
      <c r="A1126" s="697"/>
      <c r="B1126" s="863"/>
      <c r="C1126" s="863"/>
      <c r="D1126" s="867"/>
      <c r="E1126" s="868"/>
      <c r="F1126" s="865"/>
      <c r="G1126" s="403"/>
      <c r="H1126" s="402"/>
      <c r="I1126" s="402"/>
      <c r="J1126" s="402"/>
      <c r="K1126" s="402"/>
      <c r="L1126" s="402"/>
      <c r="M1126" s="402"/>
      <c r="N1126" s="402"/>
      <c r="O1126" s="402"/>
      <c r="P1126" s="402"/>
      <c r="Q1126" s="402"/>
      <c r="R1126" s="402"/>
      <c r="S1126" s="402"/>
      <c r="T1126" s="402"/>
      <c r="U1126" s="402"/>
      <c r="V1126" s="402"/>
      <c r="W1126" s="402"/>
      <c r="X1126" s="402"/>
      <c r="Y1126" s="402"/>
      <c r="Z1126" s="402"/>
    </row>
    <row r="1127" ht="14.25" customHeight="1">
      <c r="A1127" s="697"/>
      <c r="B1127" s="863"/>
      <c r="C1127" s="863"/>
      <c r="D1127" s="867"/>
      <c r="E1127" s="868"/>
      <c r="F1127" s="865"/>
      <c r="G1127" s="403"/>
      <c r="H1127" s="402"/>
      <c r="I1127" s="402"/>
      <c r="J1127" s="402"/>
      <c r="K1127" s="402"/>
      <c r="L1127" s="402"/>
      <c r="M1127" s="402"/>
      <c r="N1127" s="402"/>
      <c r="O1127" s="402"/>
      <c r="P1127" s="402"/>
      <c r="Q1127" s="402"/>
      <c r="R1127" s="402"/>
      <c r="S1127" s="402"/>
      <c r="T1127" s="402"/>
      <c r="U1127" s="402"/>
      <c r="V1127" s="402"/>
      <c r="W1127" s="402"/>
      <c r="X1127" s="402"/>
      <c r="Y1127" s="402"/>
      <c r="Z1127" s="402"/>
    </row>
    <row r="1128" ht="14.25" customHeight="1">
      <c r="A1128" s="697"/>
      <c r="B1128" s="863"/>
      <c r="C1128" s="863"/>
      <c r="D1128" s="867"/>
      <c r="E1128" s="868"/>
      <c r="F1128" s="865"/>
      <c r="G1128" s="403"/>
      <c r="H1128" s="402"/>
      <c r="I1128" s="402"/>
      <c r="J1128" s="402"/>
      <c r="K1128" s="402"/>
      <c r="L1128" s="402"/>
      <c r="M1128" s="402"/>
      <c r="N1128" s="402"/>
      <c r="O1128" s="402"/>
      <c r="P1128" s="402"/>
      <c r="Q1128" s="402"/>
      <c r="R1128" s="402"/>
      <c r="S1128" s="402"/>
      <c r="T1128" s="402"/>
      <c r="U1128" s="402"/>
      <c r="V1128" s="402"/>
      <c r="W1128" s="402"/>
      <c r="X1128" s="402"/>
      <c r="Y1128" s="402"/>
      <c r="Z1128" s="402"/>
    </row>
    <row r="1129" ht="14.25" customHeight="1">
      <c r="A1129" s="896" t="s">
        <v>2130</v>
      </c>
      <c r="B1129" s="997" t="s">
        <v>39</v>
      </c>
      <c r="C1129" s="997" t="s">
        <v>48</v>
      </c>
      <c r="D1129" s="998" t="s">
        <v>49</v>
      </c>
      <c r="E1129" s="862" t="s">
        <v>50</v>
      </c>
      <c r="F1129" s="999" t="s">
        <v>2</v>
      </c>
      <c r="G1129" s="584" t="s">
        <v>44</v>
      </c>
      <c r="H1129" s="584" t="s">
        <v>45</v>
      </c>
      <c r="I1129" s="584" t="s">
        <v>8</v>
      </c>
      <c r="J1129" s="584"/>
      <c r="K1129" s="584"/>
      <c r="L1129" s="584"/>
      <c r="M1129" s="584"/>
      <c r="N1129" s="584"/>
      <c r="O1129" s="584"/>
      <c r="P1129" s="584"/>
      <c r="Q1129" s="584"/>
      <c r="R1129" s="584"/>
      <c r="S1129" s="584"/>
      <c r="T1129" s="584"/>
      <c r="U1129" s="584"/>
      <c r="V1129" s="584"/>
      <c r="W1129" s="584"/>
      <c r="X1129" s="584"/>
      <c r="Y1129" s="584"/>
      <c r="Z1129" s="584"/>
    </row>
    <row r="1130" ht="14.25" customHeight="1">
      <c r="A1130" s="697">
        <v>45528.0</v>
      </c>
      <c r="B1130" s="863" t="s">
        <v>4893</v>
      </c>
      <c r="C1130" s="863" t="s">
        <v>5493</v>
      </c>
      <c r="D1130" s="867" t="s">
        <v>54</v>
      </c>
      <c r="E1130" s="689" t="s">
        <v>4950</v>
      </c>
      <c r="F1130" s="865">
        <v>52385.56</v>
      </c>
      <c r="G1130" s="403"/>
      <c r="H1130" s="402"/>
      <c r="I1130" s="402"/>
      <c r="J1130" s="402"/>
      <c r="K1130" s="402"/>
      <c r="L1130" s="402"/>
      <c r="M1130" s="402"/>
      <c r="N1130" s="402"/>
      <c r="O1130" s="402"/>
      <c r="P1130" s="402"/>
      <c r="Q1130" s="402"/>
      <c r="R1130" s="402"/>
      <c r="S1130" s="402"/>
      <c r="T1130" s="402"/>
      <c r="U1130" s="402"/>
      <c r="V1130" s="402"/>
      <c r="W1130" s="402"/>
      <c r="X1130" s="402"/>
      <c r="Y1130" s="402"/>
      <c r="Z1130" s="402"/>
    </row>
    <row r="1131" ht="14.25" customHeight="1">
      <c r="A1131" s="697">
        <v>45528.0</v>
      </c>
      <c r="B1131" s="863" t="s">
        <v>4871</v>
      </c>
      <c r="C1131" s="863" t="s">
        <v>4872</v>
      </c>
      <c r="D1131" s="867" t="s">
        <v>54</v>
      </c>
      <c r="E1131" s="689" t="s">
        <v>4950</v>
      </c>
      <c r="F1131" s="865">
        <v>19650.0</v>
      </c>
      <c r="G1131" s="403"/>
      <c r="H1131" s="402"/>
      <c r="I1131" s="402"/>
      <c r="J1131" s="402"/>
      <c r="K1131" s="402"/>
      <c r="L1131" s="402"/>
      <c r="M1131" s="402"/>
      <c r="N1131" s="402"/>
      <c r="O1131" s="402"/>
      <c r="P1131" s="402"/>
      <c r="Q1131" s="402"/>
      <c r="R1131" s="402"/>
      <c r="S1131" s="402"/>
      <c r="T1131" s="402"/>
      <c r="U1131" s="402"/>
      <c r="V1131" s="402"/>
      <c r="W1131" s="402"/>
      <c r="X1131" s="402"/>
      <c r="Y1131" s="402"/>
      <c r="Z1131" s="402"/>
    </row>
    <row r="1132" ht="14.25" customHeight="1">
      <c r="A1132" s="697">
        <v>45528.0</v>
      </c>
      <c r="B1132" s="863" t="s">
        <v>4781</v>
      </c>
      <c r="C1132" s="863" t="s">
        <v>4915</v>
      </c>
      <c r="D1132" s="867" t="s">
        <v>54</v>
      </c>
      <c r="E1132" s="689" t="s">
        <v>4950</v>
      </c>
      <c r="F1132" s="865">
        <v>212483.06</v>
      </c>
      <c r="G1132" s="403"/>
      <c r="H1132" s="402"/>
      <c r="I1132" s="402"/>
      <c r="J1132" s="402"/>
      <c r="K1132" s="402"/>
      <c r="L1132" s="402"/>
      <c r="M1132" s="402"/>
      <c r="N1132" s="402"/>
      <c r="O1132" s="402"/>
      <c r="P1132" s="402"/>
      <c r="Q1132" s="402"/>
      <c r="R1132" s="402"/>
      <c r="S1132" s="402"/>
      <c r="T1132" s="402"/>
      <c r="U1132" s="402"/>
      <c r="V1132" s="402"/>
      <c r="W1132" s="402"/>
      <c r="X1132" s="402"/>
      <c r="Y1132" s="402"/>
      <c r="Z1132" s="402"/>
    </row>
    <row r="1133" ht="14.25" customHeight="1">
      <c r="A1133" s="697">
        <v>45528.0</v>
      </c>
      <c r="B1133" s="863" t="s">
        <v>5494</v>
      </c>
      <c r="C1133" s="863" t="s">
        <v>5462</v>
      </c>
      <c r="D1133" s="867" t="s">
        <v>54</v>
      </c>
      <c r="E1133" s="689" t="s">
        <v>4950</v>
      </c>
      <c r="F1133" s="865">
        <v>26577.0</v>
      </c>
      <c r="G1133" s="403"/>
      <c r="H1133" s="402"/>
      <c r="I1133" s="402"/>
      <c r="J1133" s="402"/>
      <c r="K1133" s="402"/>
      <c r="L1133" s="402"/>
      <c r="M1133" s="402"/>
      <c r="N1133" s="402"/>
      <c r="O1133" s="402"/>
      <c r="P1133" s="402"/>
      <c r="Q1133" s="402"/>
      <c r="R1133" s="402"/>
      <c r="S1133" s="402"/>
      <c r="T1133" s="402"/>
      <c r="U1133" s="402"/>
      <c r="V1133" s="402"/>
      <c r="W1133" s="402"/>
      <c r="X1133" s="402"/>
      <c r="Y1133" s="402"/>
      <c r="Z1133" s="402"/>
    </row>
    <row r="1134" ht="14.25" customHeight="1">
      <c r="A1134" s="697">
        <v>45528.0</v>
      </c>
      <c r="B1134" s="863" t="s">
        <v>4815</v>
      </c>
      <c r="C1134" s="863" t="s">
        <v>4974</v>
      </c>
      <c r="D1134" s="867" t="s">
        <v>54</v>
      </c>
      <c r="E1134" s="689" t="s">
        <v>4950</v>
      </c>
      <c r="F1134" s="865">
        <v>182338.42</v>
      </c>
      <c r="G1134" s="403"/>
      <c r="H1134" s="402"/>
      <c r="I1134" s="402"/>
      <c r="J1134" s="402"/>
      <c r="K1134" s="402"/>
      <c r="L1134" s="402"/>
      <c r="M1134" s="402"/>
      <c r="N1134" s="402"/>
      <c r="O1134" s="402"/>
      <c r="P1134" s="402"/>
      <c r="Q1134" s="402"/>
      <c r="R1134" s="402"/>
      <c r="S1134" s="402"/>
      <c r="T1134" s="402"/>
      <c r="U1134" s="402"/>
      <c r="V1134" s="402"/>
      <c r="W1134" s="402"/>
      <c r="X1134" s="402"/>
      <c r="Y1134" s="402"/>
      <c r="Z1134" s="402"/>
    </row>
    <row r="1135" ht="14.25" customHeight="1">
      <c r="A1135" s="697">
        <v>45528.0</v>
      </c>
      <c r="B1135" s="863" t="s">
        <v>5070</v>
      </c>
      <c r="C1135" s="863" t="s">
        <v>4974</v>
      </c>
      <c r="D1135" s="867" t="s">
        <v>75</v>
      </c>
      <c r="E1135" s="689" t="s">
        <v>5000</v>
      </c>
      <c r="F1135" s="865">
        <v>1915070.06</v>
      </c>
      <c r="G1135" s="403"/>
      <c r="H1135" s="402"/>
      <c r="I1135" s="402"/>
      <c r="J1135" s="402"/>
      <c r="K1135" s="402"/>
      <c r="L1135" s="402"/>
      <c r="M1135" s="402"/>
      <c r="N1135" s="402"/>
      <c r="O1135" s="402"/>
      <c r="P1135" s="402"/>
      <c r="Q1135" s="402"/>
      <c r="R1135" s="402"/>
      <c r="S1135" s="402"/>
      <c r="T1135" s="402"/>
      <c r="U1135" s="402"/>
      <c r="V1135" s="402"/>
      <c r="W1135" s="402"/>
      <c r="X1135" s="402"/>
      <c r="Y1135" s="402"/>
      <c r="Z1135" s="402"/>
    </row>
    <row r="1136" ht="14.25" customHeight="1">
      <c r="A1136" s="697">
        <v>45528.0</v>
      </c>
      <c r="B1136" s="863" t="s">
        <v>5075</v>
      </c>
      <c r="C1136" s="863" t="s">
        <v>5237</v>
      </c>
      <c r="D1136" s="867" t="s">
        <v>75</v>
      </c>
      <c r="E1136" s="689" t="s">
        <v>5428</v>
      </c>
      <c r="F1136" s="865">
        <v>44182.16</v>
      </c>
      <c r="G1136" s="413">
        <v>2000.0</v>
      </c>
      <c r="H1136" s="349" t="s">
        <v>5495</v>
      </c>
      <c r="I1136" s="402"/>
      <c r="J1136" s="402"/>
      <c r="K1136" s="402"/>
      <c r="L1136" s="402"/>
      <c r="M1136" s="402"/>
      <c r="N1136" s="402"/>
      <c r="O1136" s="402"/>
      <c r="P1136" s="402"/>
      <c r="Q1136" s="402"/>
      <c r="R1136" s="402"/>
      <c r="S1136" s="402"/>
      <c r="T1136" s="402"/>
      <c r="U1136" s="402"/>
      <c r="V1136" s="402"/>
      <c r="W1136" s="402"/>
      <c r="X1136" s="402"/>
      <c r="Y1136" s="402"/>
      <c r="Z1136" s="402"/>
    </row>
    <row r="1137" ht="14.25" customHeight="1">
      <c r="A1137" s="697">
        <v>45528.0</v>
      </c>
      <c r="B1137" s="863" t="s">
        <v>5221</v>
      </c>
      <c r="C1137" s="863" t="s">
        <v>5437</v>
      </c>
      <c r="D1137" s="867" t="s">
        <v>75</v>
      </c>
      <c r="E1137" s="689" t="s">
        <v>4950</v>
      </c>
      <c r="F1137" s="865">
        <v>559028.75</v>
      </c>
      <c r="G1137" s="403"/>
      <c r="H1137" s="402"/>
      <c r="I1137" s="402"/>
      <c r="J1137" s="402"/>
      <c r="K1137" s="402"/>
      <c r="L1137" s="402"/>
      <c r="M1137" s="402"/>
      <c r="N1137" s="402"/>
      <c r="O1137" s="402"/>
      <c r="P1137" s="402"/>
      <c r="Q1137" s="402"/>
      <c r="R1137" s="402"/>
      <c r="S1137" s="402"/>
      <c r="T1137" s="402"/>
      <c r="U1137" s="402"/>
      <c r="V1137" s="402"/>
      <c r="W1137" s="402"/>
      <c r="X1137" s="402"/>
      <c r="Y1137" s="402"/>
      <c r="Z1137" s="402"/>
    </row>
    <row r="1138" ht="14.25" customHeight="1">
      <c r="A1138" s="697">
        <v>45528.0</v>
      </c>
      <c r="B1138" s="863" t="s">
        <v>5316</v>
      </c>
      <c r="C1138" s="863" t="s">
        <v>4975</v>
      </c>
      <c r="D1138" s="867" t="s">
        <v>75</v>
      </c>
      <c r="E1138" s="689" t="s">
        <v>5000</v>
      </c>
      <c r="F1138" s="865">
        <v>54375.0</v>
      </c>
      <c r="G1138" s="403"/>
      <c r="H1138" s="402"/>
      <c r="I1138" s="402"/>
      <c r="J1138" s="402"/>
      <c r="K1138" s="402"/>
      <c r="L1138" s="402"/>
      <c r="M1138" s="402"/>
      <c r="N1138" s="402"/>
      <c r="O1138" s="402"/>
      <c r="P1138" s="402"/>
      <c r="Q1138" s="402"/>
      <c r="R1138" s="402"/>
      <c r="S1138" s="402"/>
      <c r="T1138" s="402"/>
      <c r="U1138" s="402"/>
      <c r="V1138" s="402"/>
      <c r="W1138" s="402"/>
      <c r="X1138" s="402"/>
      <c r="Y1138" s="402"/>
      <c r="Z1138" s="402"/>
    </row>
    <row r="1139" ht="14.25" customHeight="1">
      <c r="A1139" s="697">
        <v>45528.0</v>
      </c>
      <c r="B1139" s="863" t="s">
        <v>5363</v>
      </c>
      <c r="C1139" s="863" t="s">
        <v>5222</v>
      </c>
      <c r="D1139" s="867" t="s">
        <v>54</v>
      </c>
      <c r="E1139" s="689" t="s">
        <v>5000</v>
      </c>
      <c r="F1139" s="865">
        <v>225787.15</v>
      </c>
      <c r="G1139" s="403"/>
      <c r="H1139" s="402"/>
      <c r="I1139" s="402"/>
      <c r="J1139" s="402"/>
      <c r="K1139" s="402"/>
      <c r="L1139" s="402"/>
      <c r="M1139" s="402"/>
      <c r="N1139" s="402"/>
      <c r="O1139" s="402"/>
      <c r="P1139" s="402"/>
      <c r="Q1139" s="402"/>
      <c r="R1139" s="402"/>
      <c r="S1139" s="402"/>
      <c r="T1139" s="402"/>
      <c r="U1139" s="402"/>
      <c r="V1139" s="402"/>
      <c r="W1139" s="402"/>
      <c r="X1139" s="402"/>
      <c r="Y1139" s="402"/>
      <c r="Z1139" s="402"/>
    </row>
    <row r="1140" ht="14.25" customHeight="1">
      <c r="A1140" s="697">
        <v>45528.0</v>
      </c>
      <c r="B1140" s="863" t="s">
        <v>5366</v>
      </c>
      <c r="C1140" s="863" t="s">
        <v>5367</v>
      </c>
      <c r="D1140" s="867" t="s">
        <v>75</v>
      </c>
      <c r="E1140" s="689" t="s">
        <v>5000</v>
      </c>
      <c r="F1140" s="865">
        <v>130500.0</v>
      </c>
      <c r="G1140" s="403"/>
      <c r="H1140" s="402"/>
      <c r="I1140" s="402"/>
      <c r="J1140" s="402"/>
      <c r="K1140" s="402"/>
      <c r="L1140" s="402"/>
      <c r="M1140" s="402"/>
      <c r="N1140" s="402"/>
      <c r="O1140" s="402"/>
      <c r="P1140" s="402"/>
      <c r="Q1140" s="402"/>
      <c r="R1140" s="402"/>
      <c r="S1140" s="402"/>
      <c r="T1140" s="402"/>
      <c r="U1140" s="402"/>
      <c r="V1140" s="402"/>
      <c r="W1140" s="402"/>
      <c r="X1140" s="402"/>
      <c r="Y1140" s="402"/>
      <c r="Z1140" s="402"/>
    </row>
    <row r="1141" ht="14.25" customHeight="1">
      <c r="A1141" s="697">
        <v>45528.0</v>
      </c>
      <c r="B1141" s="863" t="s">
        <v>5397</v>
      </c>
      <c r="C1141" s="863" t="s">
        <v>5205</v>
      </c>
      <c r="D1141" s="867" t="s">
        <v>75</v>
      </c>
      <c r="E1141" s="689" t="s">
        <v>4950</v>
      </c>
      <c r="F1141" s="865">
        <v>201500.0</v>
      </c>
      <c r="G1141" s="403"/>
      <c r="H1141" s="402"/>
      <c r="I1141" s="402"/>
      <c r="J1141" s="402"/>
      <c r="K1141" s="402"/>
      <c r="L1141" s="402"/>
      <c r="M1141" s="402"/>
      <c r="N1141" s="402"/>
      <c r="O1141" s="402"/>
      <c r="P1141" s="402"/>
      <c r="Q1141" s="402"/>
      <c r="R1141" s="402"/>
      <c r="S1141" s="402"/>
      <c r="T1141" s="402"/>
      <c r="U1141" s="402"/>
      <c r="V1141" s="402"/>
      <c r="W1141" s="402"/>
      <c r="X1141" s="402"/>
      <c r="Y1141" s="402"/>
      <c r="Z1141" s="402"/>
    </row>
    <row r="1142" ht="14.25" customHeight="1">
      <c r="A1142" s="697">
        <v>45528.0</v>
      </c>
      <c r="B1142" s="863" t="s">
        <v>4767</v>
      </c>
      <c r="C1142" s="863" t="s">
        <v>4861</v>
      </c>
      <c r="D1142" s="867" t="s">
        <v>59</v>
      </c>
      <c r="E1142" s="689" t="s">
        <v>5000</v>
      </c>
      <c r="F1142" s="865">
        <v>105888.45</v>
      </c>
      <c r="G1142" s="403"/>
      <c r="I1142" s="402"/>
      <c r="J1142" s="402"/>
      <c r="K1142" s="402"/>
      <c r="L1142" s="402"/>
      <c r="M1142" s="402"/>
      <c r="N1142" s="402"/>
      <c r="O1142" s="402"/>
      <c r="P1142" s="402"/>
      <c r="Q1142" s="402"/>
      <c r="R1142" s="402"/>
      <c r="S1142" s="402"/>
      <c r="T1142" s="402"/>
      <c r="U1142" s="402"/>
      <c r="V1142" s="402"/>
      <c r="W1142" s="402"/>
      <c r="X1142" s="402"/>
      <c r="Y1142" s="402"/>
      <c r="Z1142" s="402"/>
    </row>
    <row r="1143" ht="14.25" customHeight="1">
      <c r="A1143" s="697">
        <v>45528.0</v>
      </c>
      <c r="B1143" s="863" t="s">
        <v>4770</v>
      </c>
      <c r="C1143" s="863" t="s">
        <v>5484</v>
      </c>
      <c r="D1143" s="867" t="s">
        <v>263</v>
      </c>
      <c r="E1143" s="689" t="s">
        <v>5428</v>
      </c>
      <c r="F1143" s="865">
        <v>25486.64</v>
      </c>
      <c r="G1143" s="403"/>
      <c r="H1143" s="402"/>
      <c r="I1143" s="402"/>
      <c r="J1143" s="402"/>
      <c r="K1143" s="402"/>
      <c r="L1143" s="402"/>
      <c r="M1143" s="402"/>
      <c r="N1143" s="402"/>
      <c r="O1143" s="402"/>
      <c r="P1143" s="402"/>
      <c r="Q1143" s="402"/>
      <c r="R1143" s="402"/>
      <c r="S1143" s="402"/>
      <c r="T1143" s="402"/>
      <c r="U1143" s="402"/>
      <c r="V1143" s="402"/>
      <c r="W1143" s="402"/>
      <c r="X1143" s="402"/>
      <c r="Y1143" s="402"/>
      <c r="Z1143" s="402"/>
    </row>
    <row r="1144" ht="14.25" customHeight="1">
      <c r="A1144" s="697">
        <v>45528.0</v>
      </c>
      <c r="B1144" s="863" t="s">
        <v>4773</v>
      </c>
      <c r="C1144" s="863" t="s">
        <v>4906</v>
      </c>
      <c r="D1144" s="867" t="s">
        <v>54</v>
      </c>
      <c r="E1144" s="689" t="s">
        <v>5428</v>
      </c>
      <c r="F1144" s="865">
        <v>979.93</v>
      </c>
      <c r="G1144" s="403"/>
      <c r="H1144" s="402"/>
      <c r="I1144" s="402"/>
      <c r="J1144" s="402"/>
      <c r="K1144" s="402"/>
      <c r="L1144" s="402"/>
      <c r="M1144" s="402"/>
      <c r="N1144" s="402"/>
      <c r="O1144" s="402"/>
      <c r="P1144" s="402"/>
      <c r="Q1144" s="402"/>
      <c r="R1144" s="402"/>
      <c r="S1144" s="402"/>
      <c r="T1144" s="402"/>
      <c r="U1144" s="402"/>
      <c r="V1144" s="402"/>
      <c r="W1144" s="402"/>
      <c r="X1144" s="402"/>
      <c r="Y1144" s="402"/>
      <c r="Z1144" s="402"/>
    </row>
    <row r="1145" ht="14.25" customHeight="1">
      <c r="A1145" s="697">
        <v>45528.0</v>
      </c>
      <c r="B1145" s="863" t="s">
        <v>4779</v>
      </c>
      <c r="C1145" s="863" t="s">
        <v>4907</v>
      </c>
      <c r="D1145" s="867" t="s">
        <v>54</v>
      </c>
      <c r="E1145" s="689" t="s">
        <v>5000</v>
      </c>
      <c r="F1145" s="865">
        <v>2797.83</v>
      </c>
      <c r="G1145" s="403"/>
      <c r="H1145" s="402"/>
      <c r="I1145" s="402"/>
      <c r="J1145" s="402"/>
      <c r="K1145" s="402"/>
      <c r="L1145" s="402"/>
      <c r="M1145" s="402"/>
      <c r="N1145" s="402"/>
      <c r="O1145" s="402"/>
      <c r="P1145" s="402"/>
      <c r="Q1145" s="402"/>
      <c r="R1145" s="402"/>
      <c r="S1145" s="402"/>
      <c r="T1145" s="402"/>
      <c r="U1145" s="402"/>
      <c r="V1145" s="402"/>
      <c r="W1145" s="402"/>
      <c r="X1145" s="402"/>
      <c r="Y1145" s="402"/>
      <c r="Z1145" s="402"/>
    </row>
    <row r="1146" ht="14.25" customHeight="1">
      <c r="A1146" s="697">
        <v>45528.0</v>
      </c>
      <c r="B1146" s="863" t="s">
        <v>4781</v>
      </c>
      <c r="C1146" s="863" t="s">
        <v>5485</v>
      </c>
      <c r="D1146" s="867" t="s">
        <v>54</v>
      </c>
      <c r="E1146" s="689" t="s">
        <v>4950</v>
      </c>
      <c r="F1146" s="865">
        <v>227711.11</v>
      </c>
      <c r="G1146" s="403"/>
      <c r="H1146" s="402"/>
      <c r="I1146" s="402"/>
      <c r="J1146" s="402"/>
      <c r="K1146" s="402"/>
      <c r="L1146" s="402"/>
      <c r="M1146" s="402"/>
      <c r="N1146" s="402"/>
      <c r="O1146" s="402"/>
      <c r="P1146" s="402"/>
      <c r="Q1146" s="402"/>
      <c r="R1146" s="402"/>
      <c r="S1146" s="402"/>
      <c r="T1146" s="402"/>
      <c r="U1146" s="402"/>
      <c r="V1146" s="402"/>
      <c r="W1146" s="402"/>
      <c r="X1146" s="402"/>
      <c r="Y1146" s="402"/>
      <c r="Z1146" s="402"/>
    </row>
    <row r="1147" ht="14.25" customHeight="1">
      <c r="A1147" s="697">
        <v>45528.0</v>
      </c>
      <c r="B1147" s="863" t="s">
        <v>4977</v>
      </c>
      <c r="C1147" s="863" t="s">
        <v>4978</v>
      </c>
      <c r="D1147" s="867" t="s">
        <v>54</v>
      </c>
      <c r="E1147" s="689" t="s">
        <v>5000</v>
      </c>
      <c r="F1147" s="865">
        <v>892.65</v>
      </c>
      <c r="G1147" s="403"/>
      <c r="H1147" s="402"/>
      <c r="I1147" s="402"/>
      <c r="J1147" s="402"/>
      <c r="K1147" s="402"/>
      <c r="L1147" s="402"/>
      <c r="M1147" s="402"/>
      <c r="N1147" s="402"/>
      <c r="O1147" s="402"/>
      <c r="P1147" s="402"/>
      <c r="Q1147" s="402"/>
      <c r="R1147" s="402"/>
      <c r="S1147" s="402"/>
      <c r="T1147" s="402"/>
      <c r="U1147" s="402"/>
      <c r="V1147" s="402"/>
      <c r="W1147" s="402"/>
      <c r="X1147" s="402"/>
      <c r="Y1147" s="402"/>
      <c r="Z1147" s="402"/>
    </row>
    <row r="1148" ht="14.25" customHeight="1">
      <c r="A1148" s="697">
        <v>45528.0</v>
      </c>
      <c r="B1148" s="863" t="s">
        <v>4807</v>
      </c>
      <c r="C1148" s="863" t="s">
        <v>4978</v>
      </c>
      <c r="D1148" s="867" t="s">
        <v>346</v>
      </c>
      <c r="E1148" s="689" t="s">
        <v>5000</v>
      </c>
      <c r="F1148" s="865">
        <v>1156.98</v>
      </c>
      <c r="G1148" s="403"/>
      <c r="H1148" s="402"/>
      <c r="I1148" s="402"/>
      <c r="J1148" s="402"/>
      <c r="K1148" s="402"/>
      <c r="L1148" s="402"/>
      <c r="M1148" s="402"/>
      <c r="N1148" s="402"/>
      <c r="O1148" s="402"/>
      <c r="P1148" s="402"/>
      <c r="Q1148" s="402"/>
      <c r="R1148" s="402"/>
      <c r="S1148" s="402"/>
      <c r="T1148" s="402"/>
      <c r="U1148" s="402"/>
      <c r="V1148" s="402"/>
      <c r="W1148" s="402"/>
      <c r="X1148" s="402"/>
      <c r="Y1148" s="402"/>
      <c r="Z1148" s="402"/>
    </row>
    <row r="1149" ht="14.25" customHeight="1">
      <c r="A1149" s="697">
        <v>45528.0</v>
      </c>
      <c r="B1149" s="863" t="s">
        <v>5312</v>
      </c>
      <c r="C1149" s="863" t="s">
        <v>5433</v>
      </c>
      <c r="D1149" s="867" t="s">
        <v>54</v>
      </c>
      <c r="E1149" s="689" t="s">
        <v>5428</v>
      </c>
      <c r="F1149" s="865">
        <v>493.96</v>
      </c>
      <c r="G1149" s="403"/>
      <c r="H1149" s="402"/>
      <c r="I1149" s="402"/>
      <c r="J1149" s="402"/>
      <c r="K1149" s="402"/>
      <c r="L1149" s="402"/>
      <c r="M1149" s="402"/>
      <c r="N1149" s="402"/>
      <c r="O1149" s="402"/>
      <c r="P1149" s="402"/>
      <c r="Q1149" s="402"/>
      <c r="R1149" s="402"/>
      <c r="S1149" s="402"/>
      <c r="T1149" s="402"/>
      <c r="U1149" s="402"/>
      <c r="V1149" s="402"/>
      <c r="W1149" s="402"/>
      <c r="X1149" s="402"/>
      <c r="Y1149" s="402"/>
      <c r="Z1149" s="402"/>
    </row>
    <row r="1150" ht="14.25" customHeight="1">
      <c r="A1150" s="697">
        <v>45528.0</v>
      </c>
      <c r="B1150" s="863" t="s">
        <v>5314</v>
      </c>
      <c r="C1150" s="863" t="s">
        <v>5433</v>
      </c>
      <c r="D1150" s="867" t="s">
        <v>346</v>
      </c>
      <c r="E1150" s="689" t="s">
        <v>5428</v>
      </c>
      <c r="F1150" s="865">
        <v>3607.71</v>
      </c>
      <c r="G1150" s="403"/>
      <c r="H1150" s="402"/>
      <c r="I1150" s="402"/>
      <c r="J1150" s="402"/>
      <c r="K1150" s="402"/>
      <c r="L1150" s="402"/>
      <c r="M1150" s="402"/>
      <c r="N1150" s="402"/>
      <c r="O1150" s="402"/>
      <c r="P1150" s="402"/>
      <c r="Q1150" s="402"/>
      <c r="R1150" s="402"/>
      <c r="S1150" s="402"/>
      <c r="T1150" s="402"/>
      <c r="U1150" s="402"/>
      <c r="V1150" s="402"/>
      <c r="W1150" s="402"/>
      <c r="X1150" s="402"/>
      <c r="Y1150" s="402"/>
      <c r="Z1150" s="402"/>
    </row>
    <row r="1151" ht="14.25" customHeight="1">
      <c r="A1151" s="697">
        <v>45528.0</v>
      </c>
      <c r="B1151" s="863" t="s">
        <v>4864</v>
      </c>
      <c r="C1151" s="863" t="s">
        <v>4865</v>
      </c>
      <c r="D1151" s="867" t="s">
        <v>54</v>
      </c>
      <c r="E1151" s="689" t="s">
        <v>5428</v>
      </c>
      <c r="F1151" s="865">
        <v>22797.47</v>
      </c>
      <c r="G1151" s="403"/>
      <c r="H1151" s="402"/>
      <c r="I1151" s="402"/>
      <c r="J1151" s="402"/>
      <c r="K1151" s="402"/>
      <c r="L1151" s="402"/>
      <c r="M1151" s="402"/>
      <c r="N1151" s="402"/>
      <c r="O1151" s="402"/>
      <c r="P1151" s="402"/>
      <c r="Q1151" s="402"/>
      <c r="R1151" s="402"/>
      <c r="S1151" s="402"/>
      <c r="T1151" s="402"/>
      <c r="U1151" s="402"/>
      <c r="V1151" s="402"/>
      <c r="W1151" s="402"/>
      <c r="X1151" s="402"/>
      <c r="Y1151" s="402"/>
      <c r="Z1151" s="402"/>
    </row>
    <row r="1152" ht="14.25" customHeight="1">
      <c r="A1152" s="697">
        <v>45528.0</v>
      </c>
      <c r="B1152" s="863" t="s">
        <v>4900</v>
      </c>
      <c r="C1152" s="863" t="s">
        <v>5055</v>
      </c>
      <c r="D1152" s="867" t="s">
        <v>54</v>
      </c>
      <c r="E1152" s="689" t="s">
        <v>4950</v>
      </c>
      <c r="F1152" s="865">
        <v>8773.68</v>
      </c>
      <c r="G1152" s="413">
        <v>9500.0</v>
      </c>
      <c r="H1152" s="349" t="s">
        <v>149</v>
      </c>
      <c r="I1152" s="402"/>
      <c r="J1152" s="402"/>
      <c r="K1152" s="402"/>
      <c r="L1152" s="402"/>
      <c r="M1152" s="402"/>
      <c r="N1152" s="402"/>
      <c r="O1152" s="402"/>
      <c r="P1152" s="402"/>
      <c r="Q1152" s="402"/>
      <c r="R1152" s="402"/>
      <c r="S1152" s="402"/>
      <c r="T1152" s="402"/>
      <c r="U1152" s="402"/>
      <c r="V1152" s="402"/>
      <c r="W1152" s="402"/>
      <c r="X1152" s="402"/>
      <c r="Y1152" s="402"/>
      <c r="Z1152" s="402"/>
    </row>
    <row r="1153" ht="14.25" customHeight="1">
      <c r="A1153" s="697">
        <v>45528.0</v>
      </c>
      <c r="B1153" s="863" t="s">
        <v>5097</v>
      </c>
      <c r="C1153" s="863" t="s">
        <v>5076</v>
      </c>
      <c r="D1153" s="867" t="s">
        <v>54</v>
      </c>
      <c r="E1153" s="689" t="s">
        <v>5428</v>
      </c>
      <c r="F1153" s="865">
        <v>37603.32</v>
      </c>
      <c r="G1153" s="403"/>
      <c r="H1153" s="402"/>
      <c r="I1153" s="402"/>
      <c r="J1153" s="402"/>
      <c r="K1153" s="402"/>
      <c r="L1153" s="402"/>
      <c r="M1153" s="402"/>
      <c r="N1153" s="402"/>
      <c r="O1153" s="402"/>
      <c r="P1153" s="402"/>
      <c r="Q1153" s="402"/>
      <c r="R1153" s="402"/>
      <c r="S1153" s="402"/>
      <c r="T1153" s="402"/>
      <c r="U1153" s="402"/>
      <c r="V1153" s="402"/>
      <c r="W1153" s="402"/>
      <c r="X1153" s="402"/>
      <c r="Y1153" s="402"/>
      <c r="Z1153" s="402"/>
    </row>
    <row r="1154" ht="14.25" customHeight="1">
      <c r="A1154" s="697"/>
      <c r="B1154" s="863"/>
      <c r="C1154" s="863"/>
      <c r="D1154" s="867"/>
      <c r="E1154" s="868"/>
      <c r="F1154" s="865"/>
      <c r="G1154" s="403">
        <f>SUM(G1131:G1153)</f>
        <v>11500</v>
      </c>
      <c r="H1154" s="402"/>
      <c r="I1154" s="402"/>
      <c r="J1154" s="402"/>
      <c r="K1154" s="402"/>
      <c r="L1154" s="402"/>
      <c r="M1154" s="402"/>
      <c r="N1154" s="402"/>
      <c r="O1154" s="402"/>
      <c r="P1154" s="402"/>
      <c r="Q1154" s="402"/>
      <c r="R1154" s="402"/>
      <c r="S1154" s="402"/>
      <c r="T1154" s="402"/>
      <c r="U1154" s="402"/>
      <c r="V1154" s="402"/>
      <c r="W1154" s="402"/>
      <c r="X1154" s="402"/>
      <c r="Y1154" s="402"/>
      <c r="Z1154" s="402"/>
    </row>
    <row r="1155" ht="14.25" customHeight="1">
      <c r="A1155" s="697"/>
      <c r="B1155" s="863"/>
      <c r="C1155" s="863"/>
      <c r="D1155" s="867"/>
      <c r="E1155" s="868"/>
      <c r="F1155" s="865"/>
      <c r="G1155" s="403"/>
      <c r="H1155" s="402"/>
      <c r="I1155" s="402"/>
      <c r="J1155" s="402"/>
      <c r="K1155" s="402"/>
      <c r="L1155" s="402"/>
      <c r="M1155" s="402"/>
      <c r="N1155" s="402"/>
      <c r="O1155" s="402"/>
      <c r="P1155" s="402"/>
      <c r="Q1155" s="402"/>
      <c r="R1155" s="402"/>
      <c r="S1155" s="402"/>
      <c r="T1155" s="402"/>
      <c r="U1155" s="402"/>
      <c r="V1155" s="402"/>
      <c r="W1155" s="402"/>
      <c r="X1155" s="402"/>
      <c r="Y1155" s="402"/>
      <c r="Z1155" s="402"/>
    </row>
    <row r="1156" ht="14.25" customHeight="1">
      <c r="A1156" s="697"/>
      <c r="B1156" s="863"/>
      <c r="C1156" s="863"/>
      <c r="D1156" s="867"/>
      <c r="E1156" s="868"/>
      <c r="F1156" s="865">
        <f>SUM(F1130:F1155)</f>
        <v>4062066.89</v>
      </c>
      <c r="G1156" s="403"/>
      <c r="H1156" s="402"/>
      <c r="I1156" s="402"/>
      <c r="J1156" s="402"/>
      <c r="K1156" s="402"/>
      <c r="L1156" s="402"/>
      <c r="M1156" s="402"/>
      <c r="N1156" s="402"/>
      <c r="O1156" s="402"/>
      <c r="P1156" s="402"/>
      <c r="Q1156" s="402"/>
      <c r="R1156" s="402"/>
      <c r="S1156" s="402"/>
      <c r="T1156" s="402"/>
      <c r="U1156" s="402"/>
      <c r="V1156" s="402"/>
      <c r="W1156" s="402"/>
      <c r="X1156" s="402"/>
      <c r="Y1156" s="402"/>
      <c r="Z1156" s="402"/>
    </row>
    <row r="1157" ht="14.25" customHeight="1">
      <c r="A1157" s="697"/>
      <c r="B1157" s="863"/>
      <c r="C1157" s="863"/>
      <c r="D1157" s="867"/>
      <c r="E1157" s="868"/>
      <c r="F1157" s="865"/>
      <c r="G1157" s="403"/>
      <c r="H1157" s="402"/>
      <c r="I1157" s="402"/>
      <c r="J1157" s="402"/>
      <c r="K1157" s="402"/>
      <c r="L1157" s="402"/>
      <c r="M1157" s="402"/>
      <c r="N1157" s="402"/>
      <c r="O1157" s="402"/>
      <c r="P1157" s="402"/>
      <c r="Q1157" s="402"/>
      <c r="R1157" s="402"/>
      <c r="S1157" s="402"/>
      <c r="T1157" s="402"/>
      <c r="U1157" s="402"/>
      <c r="V1157" s="402"/>
      <c r="W1157" s="402"/>
      <c r="X1157" s="402"/>
      <c r="Y1157" s="402"/>
      <c r="Z1157" s="402"/>
    </row>
    <row r="1158" ht="14.25" customHeight="1">
      <c r="A1158" s="896" t="s">
        <v>2130</v>
      </c>
      <c r="B1158" s="997" t="s">
        <v>39</v>
      </c>
      <c r="C1158" s="997" t="s">
        <v>48</v>
      </c>
      <c r="D1158" s="998" t="s">
        <v>49</v>
      </c>
      <c r="E1158" s="862" t="s">
        <v>50</v>
      </c>
      <c r="F1158" s="999" t="s">
        <v>2</v>
      </c>
      <c r="G1158" s="584" t="s">
        <v>44</v>
      </c>
      <c r="H1158" s="584" t="s">
        <v>45</v>
      </c>
      <c r="I1158" s="402"/>
      <c r="J1158" s="402"/>
      <c r="K1158" s="402"/>
      <c r="L1158" s="402"/>
      <c r="M1158" s="402"/>
      <c r="N1158" s="402"/>
      <c r="O1158" s="402"/>
      <c r="P1158" s="402"/>
      <c r="Q1158" s="402"/>
      <c r="R1158" s="402"/>
      <c r="S1158" s="402"/>
      <c r="T1158" s="402"/>
      <c r="U1158" s="402"/>
      <c r="V1158" s="402"/>
      <c r="W1158" s="402"/>
      <c r="X1158" s="402"/>
      <c r="Y1158" s="402"/>
      <c r="Z1158" s="402"/>
    </row>
    <row r="1159" ht="14.25" customHeight="1">
      <c r="A1159" s="697">
        <v>45530.0</v>
      </c>
      <c r="B1159" s="815" t="s">
        <v>5127</v>
      </c>
      <c r="C1159" s="816" t="s">
        <v>5211</v>
      </c>
      <c r="D1159" s="597" t="s">
        <v>54</v>
      </c>
      <c r="E1159" s="689" t="s">
        <v>4895</v>
      </c>
      <c r="F1159" s="1000">
        <v>34201.04</v>
      </c>
      <c r="G1159" s="403"/>
      <c r="H1159" s="349" t="s">
        <v>5129</v>
      </c>
      <c r="I1159" s="402"/>
      <c r="J1159" s="402"/>
      <c r="K1159" s="402"/>
      <c r="L1159" s="402"/>
      <c r="M1159" s="402"/>
      <c r="N1159" s="402"/>
      <c r="O1159" s="402"/>
      <c r="P1159" s="402"/>
      <c r="Q1159" s="402"/>
      <c r="R1159" s="402"/>
      <c r="S1159" s="402"/>
      <c r="T1159" s="402"/>
      <c r="U1159" s="402"/>
      <c r="V1159" s="402"/>
      <c r="W1159" s="402"/>
      <c r="X1159" s="402"/>
      <c r="Y1159" s="402"/>
      <c r="Z1159" s="402"/>
    </row>
    <row r="1160" ht="14.25" customHeight="1">
      <c r="A1160" s="697">
        <v>45531.0</v>
      </c>
      <c r="B1160" s="815" t="s">
        <v>4893</v>
      </c>
      <c r="C1160" s="816" t="s">
        <v>4894</v>
      </c>
      <c r="D1160" s="597" t="s">
        <v>54</v>
      </c>
      <c r="E1160" s="689" t="s">
        <v>4895</v>
      </c>
      <c r="F1160" s="1000">
        <v>55004.84</v>
      </c>
      <c r="G1160" s="403"/>
      <c r="H1160" s="349" t="s">
        <v>5496</v>
      </c>
      <c r="I1160" s="402"/>
      <c r="J1160" s="402"/>
      <c r="K1160" s="402"/>
      <c r="L1160" s="402"/>
      <c r="M1160" s="402"/>
      <c r="N1160" s="402"/>
      <c r="O1160" s="402"/>
      <c r="P1160" s="402"/>
      <c r="Q1160" s="402"/>
      <c r="R1160" s="402"/>
      <c r="S1160" s="402"/>
      <c r="T1160" s="402"/>
      <c r="U1160" s="402"/>
      <c r="V1160" s="402"/>
      <c r="W1160" s="402"/>
      <c r="X1160" s="402"/>
      <c r="Y1160" s="402"/>
      <c r="Z1160" s="402"/>
    </row>
    <row r="1161" ht="14.25" customHeight="1">
      <c r="A1161" s="697">
        <v>45532.0</v>
      </c>
      <c r="B1161" s="815" t="s">
        <v>5212</v>
      </c>
      <c r="C1161" s="816" t="s">
        <v>5213</v>
      </c>
      <c r="D1161" s="597" t="s">
        <v>54</v>
      </c>
      <c r="E1161" s="689" t="s">
        <v>5497</v>
      </c>
      <c r="F1161" s="1000">
        <v>22237.99</v>
      </c>
      <c r="G1161" s="403"/>
      <c r="H1161" s="349" t="s">
        <v>5496</v>
      </c>
      <c r="I1161" s="402"/>
      <c r="J1161" s="402"/>
      <c r="K1161" s="402"/>
      <c r="L1161" s="402"/>
      <c r="M1161" s="402"/>
      <c r="N1161" s="402"/>
      <c r="O1161" s="402"/>
      <c r="P1161" s="402"/>
      <c r="Q1161" s="402"/>
      <c r="R1161" s="402"/>
      <c r="S1161" s="402"/>
      <c r="T1161" s="402"/>
      <c r="U1161" s="402"/>
      <c r="V1161" s="402"/>
      <c r="W1161" s="402"/>
      <c r="X1161" s="402"/>
      <c r="Y1161" s="402"/>
      <c r="Z1161" s="402"/>
    </row>
    <row r="1162" ht="14.25" customHeight="1">
      <c r="A1162" s="697">
        <v>45533.0</v>
      </c>
      <c r="B1162" s="815" t="s">
        <v>4545</v>
      </c>
      <c r="C1162" s="816" t="s">
        <v>5498</v>
      </c>
      <c r="D1162" s="597" t="s">
        <v>59</v>
      </c>
      <c r="E1162" s="689" t="s">
        <v>5497</v>
      </c>
      <c r="F1162" s="1000">
        <v>230000.0</v>
      </c>
      <c r="G1162" s="403"/>
      <c r="H1162" s="349" t="s">
        <v>5499</v>
      </c>
      <c r="I1162" s="402"/>
      <c r="J1162" s="402"/>
      <c r="K1162" s="402"/>
      <c r="L1162" s="402"/>
      <c r="M1162" s="402"/>
      <c r="N1162" s="402"/>
      <c r="O1162" s="402"/>
      <c r="P1162" s="402"/>
      <c r="Q1162" s="402"/>
      <c r="R1162" s="402"/>
      <c r="S1162" s="402"/>
      <c r="T1162" s="402"/>
      <c r="U1162" s="402"/>
      <c r="V1162" s="402"/>
      <c r="W1162" s="402"/>
      <c r="X1162" s="402"/>
      <c r="Y1162" s="402"/>
      <c r="Z1162" s="402"/>
    </row>
    <row r="1163" ht="14.25" customHeight="1">
      <c r="A1163" s="697">
        <v>45534.0</v>
      </c>
      <c r="B1163" s="815" t="s">
        <v>4898</v>
      </c>
      <c r="C1163" s="816" t="s">
        <v>5500</v>
      </c>
      <c r="D1163" s="597" t="s">
        <v>54</v>
      </c>
      <c r="E1163" s="689" t="s">
        <v>4895</v>
      </c>
      <c r="F1163" s="1000">
        <v>5762.96</v>
      </c>
      <c r="G1163" s="403"/>
      <c r="H1163" s="349" t="s">
        <v>4841</v>
      </c>
      <c r="I1163" s="402"/>
      <c r="J1163" s="402"/>
      <c r="K1163" s="402"/>
      <c r="L1163" s="402"/>
      <c r="M1163" s="402"/>
      <c r="N1163" s="402"/>
      <c r="O1163" s="402"/>
      <c r="P1163" s="402"/>
      <c r="Q1163" s="402"/>
      <c r="R1163" s="402"/>
      <c r="S1163" s="402"/>
      <c r="T1163" s="402"/>
      <c r="U1163" s="402"/>
      <c r="V1163" s="402"/>
      <c r="W1163" s="402"/>
      <c r="X1163" s="402"/>
      <c r="Y1163" s="402"/>
      <c r="Z1163" s="402"/>
    </row>
    <row r="1164" ht="14.25" customHeight="1">
      <c r="A1164" s="697">
        <v>45535.0</v>
      </c>
      <c r="B1164" s="815" t="s">
        <v>4864</v>
      </c>
      <c r="C1164" s="816" t="s">
        <v>5053</v>
      </c>
      <c r="D1164" s="597" t="s">
        <v>54</v>
      </c>
      <c r="E1164" s="689" t="s">
        <v>5497</v>
      </c>
      <c r="F1164" s="1000">
        <v>7797.47</v>
      </c>
      <c r="G1164" s="403"/>
      <c r="H1164" s="349" t="s">
        <v>5501</v>
      </c>
      <c r="I1164" s="402"/>
      <c r="J1164" s="402"/>
      <c r="K1164" s="402"/>
      <c r="L1164" s="402"/>
      <c r="M1164" s="402"/>
      <c r="N1164" s="402"/>
      <c r="O1164" s="402"/>
      <c r="P1164" s="402"/>
      <c r="Q1164" s="402"/>
      <c r="R1164" s="402"/>
      <c r="S1164" s="402"/>
      <c r="T1164" s="402"/>
      <c r="U1164" s="402"/>
      <c r="V1164" s="402"/>
      <c r="W1164" s="402"/>
      <c r="X1164" s="402"/>
      <c r="Y1164" s="402"/>
      <c r="Z1164" s="402"/>
    </row>
    <row r="1165" ht="14.25" customHeight="1">
      <c r="A1165" s="697">
        <v>45536.0</v>
      </c>
      <c r="B1165" s="815" t="s">
        <v>4888</v>
      </c>
      <c r="C1165" s="816" t="s">
        <v>4889</v>
      </c>
      <c r="D1165" s="597" t="s">
        <v>54</v>
      </c>
      <c r="E1165" s="689" t="s">
        <v>4895</v>
      </c>
      <c r="F1165" s="1000">
        <v>8773.68</v>
      </c>
      <c r="G1165" s="413">
        <v>10000.0</v>
      </c>
      <c r="H1165" s="349" t="s">
        <v>710</v>
      </c>
      <c r="I1165" s="402"/>
      <c r="J1165" s="402"/>
      <c r="K1165" s="402"/>
      <c r="L1165" s="402"/>
      <c r="M1165" s="402"/>
      <c r="N1165" s="402"/>
      <c r="O1165" s="402"/>
      <c r="P1165" s="402"/>
      <c r="Q1165" s="402"/>
      <c r="R1165" s="402"/>
      <c r="S1165" s="402"/>
      <c r="T1165" s="402"/>
      <c r="U1165" s="402"/>
      <c r="V1165" s="402"/>
      <c r="W1165" s="402"/>
      <c r="X1165" s="402"/>
      <c r="Y1165" s="402"/>
      <c r="Z1165" s="402"/>
    </row>
    <row r="1166" ht="14.25" customHeight="1">
      <c r="A1166" s="697">
        <v>45537.0</v>
      </c>
      <c r="B1166" s="815" t="s">
        <v>4933</v>
      </c>
      <c r="C1166" s="816" t="s">
        <v>4848</v>
      </c>
      <c r="D1166" s="597" t="s">
        <v>59</v>
      </c>
      <c r="E1166" s="65" t="s">
        <v>5497</v>
      </c>
      <c r="F1166" s="1000">
        <v>282623.44</v>
      </c>
      <c r="G1166" s="403"/>
      <c r="H1166" s="349" t="s">
        <v>5496</v>
      </c>
      <c r="I1166" s="402"/>
      <c r="J1166" s="402"/>
      <c r="K1166" s="402"/>
      <c r="L1166" s="402"/>
      <c r="M1166" s="402"/>
      <c r="N1166" s="402"/>
      <c r="O1166" s="402"/>
      <c r="P1166" s="402"/>
      <c r="Q1166" s="402"/>
      <c r="R1166" s="402"/>
      <c r="S1166" s="402"/>
      <c r="T1166" s="402"/>
      <c r="U1166" s="402"/>
      <c r="V1166" s="402"/>
      <c r="W1166" s="402"/>
      <c r="X1166" s="402"/>
      <c r="Y1166" s="402"/>
      <c r="Z1166" s="402"/>
    </row>
    <row r="1167" ht="14.25" customHeight="1">
      <c r="A1167" s="697">
        <v>45538.0</v>
      </c>
      <c r="B1167" s="815" t="s">
        <v>5097</v>
      </c>
      <c r="C1167" s="816" t="s">
        <v>5237</v>
      </c>
      <c r="D1167" s="597" t="s">
        <v>54</v>
      </c>
      <c r="E1167" s="689" t="s">
        <v>4895</v>
      </c>
      <c r="F1167" s="1000">
        <v>37603.32</v>
      </c>
      <c r="G1167" s="403"/>
      <c r="H1167" s="349" t="s">
        <v>5502</v>
      </c>
      <c r="I1167" s="402"/>
      <c r="J1167" s="402"/>
      <c r="K1167" s="402"/>
      <c r="L1167" s="402"/>
      <c r="M1167" s="402"/>
      <c r="N1167" s="402"/>
      <c r="O1167" s="402"/>
      <c r="P1167" s="402"/>
      <c r="Q1167" s="402"/>
      <c r="R1167" s="402"/>
      <c r="S1167" s="402"/>
      <c r="T1167" s="402"/>
      <c r="U1167" s="402"/>
      <c r="V1167" s="402"/>
      <c r="W1167" s="402"/>
      <c r="X1167" s="402"/>
      <c r="Y1167" s="402"/>
      <c r="Z1167" s="402"/>
    </row>
    <row r="1168" ht="14.25" customHeight="1">
      <c r="A1168" s="697">
        <v>45539.0</v>
      </c>
      <c r="B1168" s="815" t="s">
        <v>4885</v>
      </c>
      <c r="C1168" s="816" t="s">
        <v>5503</v>
      </c>
      <c r="D1168" s="597" t="s">
        <v>54</v>
      </c>
      <c r="E1168" s="689" t="s">
        <v>4895</v>
      </c>
      <c r="F1168" s="1000">
        <v>1622.92</v>
      </c>
      <c r="G1168" s="403"/>
      <c r="H1168" s="349" t="s">
        <v>5496</v>
      </c>
      <c r="I1168" s="402"/>
      <c r="J1168" s="402"/>
      <c r="K1168" s="402"/>
      <c r="L1168" s="402"/>
      <c r="M1168" s="402"/>
      <c r="N1168" s="402"/>
      <c r="O1168" s="402"/>
      <c r="P1168" s="402"/>
      <c r="Q1168" s="402"/>
      <c r="R1168" s="402"/>
      <c r="S1168" s="402"/>
      <c r="T1168" s="402"/>
      <c r="U1168" s="402"/>
      <c r="V1168" s="402"/>
      <c r="W1168" s="402"/>
      <c r="X1168" s="402"/>
      <c r="Y1168" s="402"/>
      <c r="Z1168" s="402"/>
    </row>
    <row r="1169" ht="14.25" customHeight="1">
      <c r="A1169" s="697">
        <v>45540.0</v>
      </c>
      <c r="B1169" s="815" t="s">
        <v>4934</v>
      </c>
      <c r="C1169" s="816" t="s">
        <v>5504</v>
      </c>
      <c r="D1169" s="597" t="s">
        <v>54</v>
      </c>
      <c r="E1169" s="689" t="s">
        <v>4895</v>
      </c>
      <c r="F1169" s="1000">
        <v>13600.0</v>
      </c>
      <c r="G1169" s="413">
        <v>17600.0</v>
      </c>
      <c r="H1169" s="349" t="s">
        <v>710</v>
      </c>
      <c r="I1169" s="402"/>
      <c r="J1169" s="402"/>
      <c r="K1169" s="402"/>
      <c r="L1169" s="402"/>
      <c r="M1169" s="402"/>
      <c r="N1169" s="402"/>
      <c r="O1169" s="402"/>
      <c r="P1169" s="402"/>
      <c r="Q1169" s="402"/>
      <c r="R1169" s="402"/>
      <c r="S1169" s="402"/>
      <c r="T1169" s="402"/>
      <c r="U1169" s="402"/>
      <c r="V1169" s="402"/>
      <c r="W1169" s="402"/>
      <c r="X1169" s="402"/>
      <c r="Y1169" s="402"/>
      <c r="Z1169" s="402"/>
    </row>
    <row r="1170" ht="14.25" customHeight="1">
      <c r="A1170" s="697">
        <v>45541.0</v>
      </c>
      <c r="B1170" s="815" t="s">
        <v>4770</v>
      </c>
      <c r="C1170" s="816" t="s">
        <v>5484</v>
      </c>
      <c r="D1170" s="597" t="s">
        <v>263</v>
      </c>
      <c r="E1170" s="689" t="s">
        <v>5497</v>
      </c>
      <c r="F1170" s="1000">
        <v>12760.97</v>
      </c>
      <c r="G1170" s="403"/>
      <c r="H1170" s="349" t="s">
        <v>5496</v>
      </c>
      <c r="I1170" s="402"/>
      <c r="J1170" s="402"/>
      <c r="K1170" s="402"/>
      <c r="L1170" s="402"/>
      <c r="M1170" s="402"/>
      <c r="N1170" s="402"/>
      <c r="O1170" s="402"/>
      <c r="P1170" s="402"/>
      <c r="Q1170" s="402"/>
      <c r="R1170" s="402"/>
      <c r="S1170" s="402"/>
      <c r="T1170" s="402"/>
      <c r="U1170" s="402"/>
      <c r="V1170" s="402"/>
      <c r="W1170" s="402"/>
      <c r="X1170" s="402"/>
      <c r="Y1170" s="402"/>
      <c r="Z1170" s="402"/>
    </row>
    <row r="1171" ht="14.25" customHeight="1">
      <c r="A1171" s="697">
        <v>45542.0</v>
      </c>
      <c r="B1171" s="815" t="s">
        <v>4773</v>
      </c>
      <c r="C1171" s="816" t="s">
        <v>4839</v>
      </c>
      <c r="D1171" s="597" t="s">
        <v>54</v>
      </c>
      <c r="E1171" s="689" t="s">
        <v>4895</v>
      </c>
      <c r="F1171" s="1000">
        <v>1028.93</v>
      </c>
      <c r="G1171" s="403"/>
      <c r="H1171" s="349" t="s">
        <v>5496</v>
      </c>
      <c r="I1171" s="402"/>
      <c r="J1171" s="402"/>
      <c r="K1171" s="402"/>
      <c r="L1171" s="402"/>
      <c r="M1171" s="402"/>
      <c r="N1171" s="402"/>
      <c r="O1171" s="402"/>
      <c r="P1171" s="402"/>
      <c r="Q1171" s="402"/>
      <c r="R1171" s="402"/>
      <c r="S1171" s="402"/>
      <c r="T1171" s="402"/>
      <c r="U1171" s="402"/>
      <c r="V1171" s="402"/>
      <c r="W1171" s="402"/>
      <c r="X1171" s="402"/>
      <c r="Y1171" s="402"/>
      <c r="Z1171" s="402"/>
    </row>
    <row r="1172" ht="14.25" customHeight="1">
      <c r="A1172" s="697">
        <v>45543.0</v>
      </c>
      <c r="B1172" s="815" t="s">
        <v>5103</v>
      </c>
      <c r="C1172" s="816" t="s">
        <v>5104</v>
      </c>
      <c r="D1172" s="597" t="s">
        <v>54</v>
      </c>
      <c r="E1172" s="689" t="s">
        <v>5497</v>
      </c>
      <c r="F1172" s="1000">
        <v>31655.97</v>
      </c>
      <c r="G1172" s="403"/>
      <c r="H1172" s="349" t="s">
        <v>5496</v>
      </c>
      <c r="I1172" s="402"/>
      <c r="J1172" s="402"/>
      <c r="K1172" s="402"/>
      <c r="L1172" s="402"/>
      <c r="M1172" s="402"/>
      <c r="N1172" s="402"/>
      <c r="O1172" s="402"/>
      <c r="P1172" s="402"/>
      <c r="Q1172" s="402"/>
      <c r="R1172" s="402"/>
      <c r="S1172" s="402"/>
      <c r="T1172" s="402"/>
      <c r="U1172" s="402"/>
      <c r="V1172" s="402"/>
      <c r="W1172" s="402"/>
      <c r="X1172" s="402"/>
      <c r="Y1172" s="402"/>
      <c r="Z1172" s="402"/>
    </row>
    <row r="1173" ht="14.25" customHeight="1">
      <c r="A1173" s="697">
        <v>45544.0</v>
      </c>
      <c r="B1173" s="815" t="s">
        <v>4871</v>
      </c>
      <c r="C1173" s="816" t="s">
        <v>5505</v>
      </c>
      <c r="D1173" s="597" t="s">
        <v>54</v>
      </c>
      <c r="E1173" s="689" t="s">
        <v>4895</v>
      </c>
      <c r="F1173" s="1000">
        <v>20632.5</v>
      </c>
      <c r="G1173" s="413">
        <v>0.0</v>
      </c>
      <c r="H1173" s="349" t="s">
        <v>267</v>
      </c>
      <c r="I1173" s="402"/>
      <c r="J1173" s="402"/>
      <c r="K1173" s="402"/>
      <c r="L1173" s="402"/>
      <c r="M1173" s="402"/>
      <c r="N1173" s="402"/>
      <c r="O1173" s="402"/>
      <c r="P1173" s="402"/>
      <c r="Q1173" s="402"/>
      <c r="R1173" s="402"/>
      <c r="S1173" s="402"/>
      <c r="T1173" s="402"/>
      <c r="U1173" s="402"/>
      <c r="V1173" s="402"/>
      <c r="W1173" s="402"/>
      <c r="X1173" s="402"/>
      <c r="Y1173" s="402"/>
      <c r="Z1173" s="402"/>
    </row>
    <row r="1174" ht="14.25" customHeight="1">
      <c r="A1174" s="697">
        <v>45545.0</v>
      </c>
      <c r="B1174" s="815" t="s">
        <v>4779</v>
      </c>
      <c r="C1174" s="816" t="s">
        <v>4843</v>
      </c>
      <c r="D1174" s="597" t="s">
        <v>54</v>
      </c>
      <c r="E1174" s="65" t="s">
        <v>5497</v>
      </c>
      <c r="F1174" s="1000">
        <v>2937.72</v>
      </c>
      <c r="G1174" s="403"/>
      <c r="H1174" s="349" t="s">
        <v>5482</v>
      </c>
      <c r="I1174" s="402"/>
      <c r="J1174" s="402"/>
      <c r="K1174" s="402"/>
      <c r="L1174" s="402"/>
      <c r="M1174" s="402"/>
      <c r="N1174" s="402"/>
      <c r="O1174" s="402"/>
      <c r="P1174" s="402"/>
      <c r="Q1174" s="402"/>
      <c r="R1174" s="402"/>
      <c r="S1174" s="402"/>
      <c r="T1174" s="402"/>
      <c r="U1174" s="402"/>
      <c r="V1174" s="402"/>
      <c r="W1174" s="402"/>
      <c r="X1174" s="402"/>
      <c r="Y1174" s="402"/>
      <c r="Z1174" s="402"/>
    </row>
    <row r="1175" ht="14.25" customHeight="1">
      <c r="A1175" s="697">
        <v>45546.0</v>
      </c>
      <c r="B1175" s="815" t="s">
        <v>4977</v>
      </c>
      <c r="C1175" s="816" t="s">
        <v>4917</v>
      </c>
      <c r="D1175" s="597" t="s">
        <v>54</v>
      </c>
      <c r="E1175" s="689" t="s">
        <v>4895</v>
      </c>
      <c r="F1175" s="1000">
        <v>892.65</v>
      </c>
      <c r="G1175" s="403"/>
      <c r="H1175" s="349" t="s">
        <v>5482</v>
      </c>
      <c r="I1175" s="402"/>
      <c r="J1175" s="402"/>
      <c r="K1175" s="402"/>
      <c r="L1175" s="402"/>
      <c r="M1175" s="402"/>
      <c r="N1175" s="402"/>
      <c r="O1175" s="402"/>
      <c r="P1175" s="402"/>
      <c r="Q1175" s="402"/>
      <c r="R1175" s="402"/>
      <c r="S1175" s="402"/>
      <c r="T1175" s="402"/>
      <c r="U1175" s="402"/>
      <c r="V1175" s="402"/>
      <c r="W1175" s="402"/>
      <c r="X1175" s="402"/>
      <c r="Y1175" s="402"/>
      <c r="Z1175" s="402"/>
    </row>
    <row r="1176" ht="14.25" customHeight="1">
      <c r="A1176" s="697">
        <v>45547.0</v>
      </c>
      <c r="B1176" s="815" t="s">
        <v>4807</v>
      </c>
      <c r="C1176" s="816" t="s">
        <v>4917</v>
      </c>
      <c r="D1176" s="597" t="s">
        <v>346</v>
      </c>
      <c r="E1176" s="689" t="s">
        <v>4895</v>
      </c>
      <c r="F1176" s="1000">
        <v>1156.98</v>
      </c>
      <c r="G1176" s="403"/>
      <c r="H1176" s="349" t="s">
        <v>267</v>
      </c>
      <c r="I1176" s="402"/>
      <c r="J1176" s="402"/>
      <c r="K1176" s="402"/>
      <c r="L1176" s="402"/>
      <c r="M1176" s="402"/>
      <c r="N1176" s="402"/>
      <c r="O1176" s="402"/>
      <c r="P1176" s="402"/>
      <c r="Q1176" s="402"/>
      <c r="R1176" s="402"/>
      <c r="S1176" s="402"/>
      <c r="T1176" s="402"/>
      <c r="U1176" s="402"/>
      <c r="V1176" s="402"/>
      <c r="W1176" s="402"/>
      <c r="X1176" s="402"/>
      <c r="Y1176" s="402"/>
      <c r="Z1176" s="402"/>
    </row>
    <row r="1177" ht="14.25" customHeight="1">
      <c r="A1177" s="697">
        <v>45548.0</v>
      </c>
      <c r="B1177" s="815" t="s">
        <v>4785</v>
      </c>
      <c r="C1177" s="816" t="s">
        <v>4845</v>
      </c>
      <c r="D1177" s="597" t="s">
        <v>54</v>
      </c>
      <c r="E1177" s="689" t="s">
        <v>5497</v>
      </c>
      <c r="F1177" s="1000">
        <v>10458.03</v>
      </c>
      <c r="G1177" s="403"/>
      <c r="H1177" s="349" t="s">
        <v>267</v>
      </c>
      <c r="I1177" s="402"/>
      <c r="J1177" s="402"/>
      <c r="K1177" s="402"/>
      <c r="L1177" s="402"/>
      <c r="M1177" s="402"/>
      <c r="N1177" s="402"/>
      <c r="O1177" s="402"/>
      <c r="P1177" s="402"/>
      <c r="Q1177" s="402"/>
      <c r="R1177" s="402"/>
      <c r="S1177" s="402"/>
      <c r="T1177" s="402"/>
      <c r="U1177" s="402"/>
      <c r="V1177" s="402"/>
      <c r="W1177" s="402"/>
      <c r="X1177" s="402"/>
      <c r="Y1177" s="402"/>
      <c r="Z1177" s="402"/>
    </row>
    <row r="1178" ht="14.25" customHeight="1">
      <c r="A1178" s="697">
        <v>45549.0</v>
      </c>
      <c r="B1178" s="815" t="s">
        <v>4787</v>
      </c>
      <c r="C1178" s="816" t="s">
        <v>4846</v>
      </c>
      <c r="D1178" s="597" t="s">
        <v>54</v>
      </c>
      <c r="E1178" s="689" t="s">
        <v>4895</v>
      </c>
      <c r="F1178" s="1000">
        <v>31457.43</v>
      </c>
      <c r="G1178" s="413">
        <v>37623.0</v>
      </c>
      <c r="H1178" s="349" t="s">
        <v>710</v>
      </c>
      <c r="I1178" s="402"/>
      <c r="J1178" s="402"/>
      <c r="K1178" s="402"/>
      <c r="L1178" s="402"/>
      <c r="M1178" s="402"/>
      <c r="N1178" s="402"/>
      <c r="O1178" s="402"/>
      <c r="P1178" s="402"/>
      <c r="Q1178" s="402"/>
      <c r="R1178" s="402"/>
      <c r="S1178" s="402"/>
      <c r="T1178" s="402"/>
      <c r="U1178" s="402"/>
      <c r="V1178" s="402"/>
      <c r="W1178" s="402"/>
      <c r="X1178" s="402"/>
      <c r="Y1178" s="402"/>
      <c r="Z1178" s="402"/>
    </row>
    <row r="1179" ht="14.25" customHeight="1">
      <c r="A1179" s="697">
        <v>45550.0</v>
      </c>
      <c r="B1179" s="815" t="s">
        <v>4979</v>
      </c>
      <c r="C1179" s="816" t="s">
        <v>4980</v>
      </c>
      <c r="D1179" s="597" t="s">
        <v>54</v>
      </c>
      <c r="E1179" s="689" t="s">
        <v>5248</v>
      </c>
      <c r="F1179" s="1000">
        <v>15777.33</v>
      </c>
      <c r="G1179" s="413">
        <v>20000.0</v>
      </c>
      <c r="H1179" s="349" t="s">
        <v>710</v>
      </c>
      <c r="I1179" s="402"/>
      <c r="J1179" s="402"/>
      <c r="K1179" s="402"/>
      <c r="L1179" s="402"/>
      <c r="M1179" s="402"/>
      <c r="N1179" s="402"/>
      <c r="O1179" s="402"/>
      <c r="P1179" s="402"/>
      <c r="Q1179" s="402"/>
      <c r="R1179" s="402"/>
      <c r="S1179" s="402"/>
      <c r="T1179" s="402"/>
      <c r="U1179" s="402"/>
      <c r="V1179" s="402"/>
      <c r="W1179" s="402"/>
      <c r="X1179" s="402"/>
      <c r="Y1179" s="402"/>
      <c r="Z1179" s="402"/>
    </row>
    <row r="1180" ht="14.25" customHeight="1">
      <c r="A1180" s="697">
        <v>45551.0</v>
      </c>
      <c r="B1180" s="815" t="s">
        <v>4816</v>
      </c>
      <c r="C1180" s="816" t="s">
        <v>4858</v>
      </c>
      <c r="D1180" s="597" t="s">
        <v>54</v>
      </c>
      <c r="E1180" s="689" t="s">
        <v>5497</v>
      </c>
      <c r="F1180" s="1000">
        <v>6838.05</v>
      </c>
      <c r="G1180" s="403"/>
      <c r="H1180" s="349" t="s">
        <v>5506</v>
      </c>
      <c r="I1180" s="402"/>
      <c r="J1180" s="402"/>
      <c r="K1180" s="402"/>
      <c r="L1180" s="402"/>
      <c r="M1180" s="402"/>
      <c r="N1180" s="402"/>
      <c r="O1180" s="402"/>
      <c r="P1180" s="402"/>
      <c r="Q1180" s="402"/>
      <c r="R1180" s="402"/>
      <c r="S1180" s="402"/>
      <c r="T1180" s="402"/>
      <c r="U1180" s="402"/>
      <c r="V1180" s="402"/>
      <c r="W1180" s="402"/>
      <c r="X1180" s="402"/>
      <c r="Y1180" s="402"/>
      <c r="Z1180" s="402"/>
    </row>
    <row r="1181" ht="14.25" customHeight="1">
      <c r="A1181" s="697">
        <v>45552.0</v>
      </c>
      <c r="B1181" s="815" t="s">
        <v>5507</v>
      </c>
      <c r="C1181" s="816" t="s">
        <v>5508</v>
      </c>
      <c r="D1181" s="597" t="s">
        <v>75</v>
      </c>
      <c r="E1181" s="689" t="s">
        <v>4895</v>
      </c>
      <c r="F1181" s="1000">
        <v>172500.0</v>
      </c>
      <c r="G1181" s="413">
        <v>172500.0</v>
      </c>
      <c r="H1181" s="349" t="s">
        <v>710</v>
      </c>
      <c r="I1181" s="402"/>
      <c r="J1181" s="402"/>
      <c r="K1181" s="402"/>
      <c r="L1181" s="402"/>
      <c r="M1181" s="402"/>
      <c r="N1181" s="402"/>
      <c r="O1181" s="402"/>
      <c r="P1181" s="402"/>
      <c r="Q1181" s="402"/>
      <c r="R1181" s="402"/>
      <c r="S1181" s="402"/>
      <c r="T1181" s="402"/>
      <c r="U1181" s="402"/>
      <c r="V1181" s="402"/>
      <c r="W1181" s="402"/>
      <c r="X1181" s="402"/>
      <c r="Y1181" s="402"/>
      <c r="Z1181" s="402"/>
    </row>
    <row r="1182" ht="14.25" customHeight="1">
      <c r="A1182" s="697">
        <v>45530.0</v>
      </c>
      <c r="B1182" s="815" t="s">
        <v>5509</v>
      </c>
      <c r="C1182" s="816" t="s">
        <v>5251</v>
      </c>
      <c r="D1182" s="597" t="s">
        <v>75</v>
      </c>
      <c r="E1182" s="65" t="s">
        <v>4895</v>
      </c>
      <c r="F1182" s="1000">
        <v>46000.0</v>
      </c>
      <c r="G1182" s="413">
        <v>39500.0</v>
      </c>
      <c r="H1182" s="349" t="s">
        <v>5510</v>
      </c>
      <c r="I1182" s="402"/>
      <c r="J1182" s="402"/>
      <c r="K1182" s="402"/>
      <c r="L1182" s="402"/>
      <c r="M1182" s="402"/>
      <c r="N1182" s="402"/>
      <c r="O1182" s="402"/>
      <c r="P1182" s="402"/>
      <c r="Q1182" s="402"/>
      <c r="R1182" s="402"/>
      <c r="S1182" s="402"/>
      <c r="T1182" s="402"/>
      <c r="U1182" s="402"/>
      <c r="V1182" s="402"/>
      <c r="W1182" s="402"/>
      <c r="X1182" s="402"/>
      <c r="Y1182" s="402"/>
      <c r="Z1182" s="402"/>
    </row>
    <row r="1183" ht="14.25" customHeight="1">
      <c r="A1183" s="697">
        <v>45530.0</v>
      </c>
      <c r="B1183" s="815" t="s">
        <v>4830</v>
      </c>
      <c r="C1183" s="816" t="s">
        <v>4927</v>
      </c>
      <c r="D1183" s="597" t="s">
        <v>54</v>
      </c>
      <c r="E1183" s="689" t="s">
        <v>4895</v>
      </c>
      <c r="F1183" s="1000">
        <v>236125.54</v>
      </c>
      <c r="G1183" s="403"/>
      <c r="H1183" s="349" t="s">
        <v>5486</v>
      </c>
      <c r="I1183" s="402"/>
      <c r="J1183" s="402"/>
      <c r="K1183" s="402"/>
      <c r="L1183" s="402"/>
      <c r="M1183" s="402"/>
      <c r="N1183" s="402"/>
      <c r="O1183" s="402"/>
      <c r="P1183" s="402"/>
      <c r="Q1183" s="402"/>
      <c r="R1183" s="402"/>
      <c r="S1183" s="402"/>
      <c r="T1183" s="402"/>
      <c r="U1183" s="402"/>
      <c r="V1183" s="402"/>
      <c r="W1183" s="402"/>
      <c r="X1183" s="402"/>
      <c r="Y1183" s="402"/>
      <c r="Z1183" s="402"/>
    </row>
    <row r="1184" ht="14.25" customHeight="1">
      <c r="A1184" s="697">
        <v>45530.0</v>
      </c>
      <c r="B1184" s="815" t="s">
        <v>4809</v>
      </c>
      <c r="C1184" s="816" t="s">
        <v>4855</v>
      </c>
      <c r="D1184" s="597" t="s">
        <v>54</v>
      </c>
      <c r="E1184" s="689" t="s">
        <v>4895</v>
      </c>
      <c r="F1184" s="1000">
        <v>853.11</v>
      </c>
      <c r="G1184" s="403"/>
      <c r="H1184" s="349" t="s">
        <v>267</v>
      </c>
      <c r="I1184" s="402"/>
      <c r="J1184" s="402"/>
      <c r="K1184" s="402"/>
      <c r="L1184" s="402"/>
      <c r="M1184" s="402"/>
      <c r="N1184" s="402"/>
      <c r="O1184" s="402"/>
      <c r="P1184" s="402"/>
      <c r="Q1184" s="402"/>
      <c r="R1184" s="402"/>
      <c r="S1184" s="402"/>
      <c r="T1184" s="402"/>
      <c r="U1184" s="402"/>
      <c r="V1184" s="402"/>
      <c r="W1184" s="402"/>
      <c r="X1184" s="402"/>
      <c r="Y1184" s="402"/>
      <c r="Z1184" s="402"/>
    </row>
    <row r="1185" ht="14.25" customHeight="1">
      <c r="A1185" s="697">
        <v>45530.0</v>
      </c>
      <c r="B1185" s="815" t="s">
        <v>4793</v>
      </c>
      <c r="C1185" s="816" t="s">
        <v>4891</v>
      </c>
      <c r="D1185" s="597" t="s">
        <v>54</v>
      </c>
      <c r="E1185" s="689" t="s">
        <v>5497</v>
      </c>
      <c r="F1185" s="1000">
        <v>41672.35</v>
      </c>
      <c r="G1185" s="403"/>
      <c r="H1185" s="349" t="s">
        <v>3402</v>
      </c>
      <c r="I1185" s="402"/>
      <c r="J1185" s="402"/>
      <c r="K1185" s="402"/>
      <c r="L1185" s="402"/>
      <c r="M1185" s="402"/>
      <c r="N1185" s="402"/>
      <c r="O1185" s="402"/>
      <c r="P1185" s="402"/>
      <c r="Q1185" s="402"/>
      <c r="R1185" s="402"/>
      <c r="S1185" s="402"/>
      <c r="T1185" s="402"/>
      <c r="U1185" s="402"/>
      <c r="V1185" s="402"/>
      <c r="W1185" s="402"/>
      <c r="X1185" s="402"/>
      <c r="Y1185" s="402"/>
      <c r="Z1185" s="402"/>
    </row>
    <row r="1186" ht="14.25" customHeight="1">
      <c r="A1186" s="697">
        <v>45530.0</v>
      </c>
      <c r="B1186" s="815" t="s">
        <v>4815</v>
      </c>
      <c r="C1186" s="816" t="s">
        <v>4859</v>
      </c>
      <c r="D1186" s="597" t="s">
        <v>54</v>
      </c>
      <c r="E1186" s="689" t="s">
        <v>5497</v>
      </c>
      <c r="F1186" s="1000">
        <v>191455.34</v>
      </c>
      <c r="G1186" s="403"/>
      <c r="H1186" s="349" t="s">
        <v>5482</v>
      </c>
      <c r="I1186" s="402"/>
      <c r="J1186" s="402"/>
      <c r="K1186" s="402"/>
      <c r="L1186" s="402"/>
      <c r="M1186" s="402"/>
      <c r="N1186" s="402"/>
      <c r="O1186" s="402"/>
      <c r="P1186" s="402"/>
      <c r="Q1186" s="402"/>
      <c r="R1186" s="402"/>
      <c r="S1186" s="402"/>
      <c r="T1186" s="402"/>
      <c r="U1186" s="402"/>
      <c r="V1186" s="402"/>
      <c r="W1186" s="402"/>
      <c r="X1186" s="402"/>
      <c r="Y1186" s="402"/>
      <c r="Z1186" s="402"/>
    </row>
    <row r="1187" ht="14.25" customHeight="1">
      <c r="A1187" s="697">
        <v>45530.0</v>
      </c>
      <c r="B1187" s="815" t="s">
        <v>5075</v>
      </c>
      <c r="C1187" s="816" t="s">
        <v>5237</v>
      </c>
      <c r="D1187" s="597" t="s">
        <v>75</v>
      </c>
      <c r="E1187" s="689" t="s">
        <v>4895</v>
      </c>
      <c r="F1187" s="1000">
        <v>42182.16</v>
      </c>
      <c r="G1187" s="403"/>
      <c r="H1187" s="349" t="s">
        <v>5482</v>
      </c>
      <c r="I1187" s="402"/>
      <c r="J1187" s="402"/>
      <c r="K1187" s="402"/>
      <c r="L1187" s="402"/>
      <c r="M1187" s="402"/>
      <c r="N1187" s="402"/>
      <c r="O1187" s="402"/>
      <c r="P1187" s="402"/>
      <c r="Q1187" s="402"/>
      <c r="R1187" s="402"/>
      <c r="S1187" s="402"/>
      <c r="T1187" s="402"/>
      <c r="U1187" s="402"/>
      <c r="V1187" s="402"/>
      <c r="W1187" s="402"/>
      <c r="X1187" s="402"/>
      <c r="Y1187" s="402"/>
      <c r="Z1187" s="402"/>
    </row>
    <row r="1188" ht="14.25" customHeight="1">
      <c r="A1188" s="697">
        <v>45530.0</v>
      </c>
      <c r="B1188" s="815" t="s">
        <v>5221</v>
      </c>
      <c r="C1188" s="816" t="s">
        <v>5437</v>
      </c>
      <c r="D1188" s="597" t="s">
        <v>75</v>
      </c>
      <c r="E1188" s="689" t="s">
        <v>5497</v>
      </c>
      <c r="F1188" s="1000">
        <v>559028.75</v>
      </c>
      <c r="G1188" s="403"/>
      <c r="H1188" s="349" t="s">
        <v>5482</v>
      </c>
      <c r="I1188" s="402"/>
      <c r="J1188" s="402"/>
      <c r="K1188" s="402"/>
      <c r="L1188" s="402"/>
      <c r="M1188" s="402"/>
      <c r="N1188" s="402"/>
      <c r="O1188" s="402"/>
      <c r="P1188" s="402"/>
      <c r="Q1188" s="402"/>
      <c r="R1188" s="402"/>
      <c r="S1188" s="402"/>
      <c r="T1188" s="402"/>
      <c r="U1188" s="402"/>
      <c r="V1188" s="402"/>
      <c r="W1188" s="402"/>
      <c r="X1188" s="402"/>
      <c r="Y1188" s="402"/>
      <c r="Z1188" s="402"/>
    </row>
    <row r="1189" ht="14.25" customHeight="1">
      <c r="A1189" s="697">
        <v>45530.0</v>
      </c>
      <c r="B1189" s="815" t="s">
        <v>5316</v>
      </c>
      <c r="C1189" s="816" t="s">
        <v>4975</v>
      </c>
      <c r="D1189" s="597" t="s">
        <v>75</v>
      </c>
      <c r="E1189" s="689" t="s">
        <v>4895</v>
      </c>
      <c r="F1189" s="1000">
        <v>57093.75</v>
      </c>
      <c r="G1189" s="403"/>
      <c r="H1189" s="349" t="s">
        <v>5482</v>
      </c>
      <c r="I1189" s="402"/>
      <c r="J1189" s="402"/>
      <c r="K1189" s="402"/>
      <c r="L1189" s="402"/>
      <c r="M1189" s="402"/>
      <c r="N1189" s="402"/>
      <c r="O1189" s="402"/>
      <c r="P1189" s="402"/>
      <c r="Q1189" s="402"/>
      <c r="R1189" s="402"/>
      <c r="S1189" s="402"/>
      <c r="T1189" s="402"/>
      <c r="U1189" s="402"/>
      <c r="V1189" s="402"/>
      <c r="W1189" s="402"/>
      <c r="X1189" s="402"/>
      <c r="Y1189" s="402"/>
      <c r="Z1189" s="402"/>
    </row>
    <row r="1190" ht="14.25" customHeight="1">
      <c r="A1190" s="697">
        <v>45530.0</v>
      </c>
      <c r="B1190" s="815" t="s">
        <v>5363</v>
      </c>
      <c r="C1190" s="816" t="s">
        <v>5222</v>
      </c>
      <c r="D1190" s="597" t="s">
        <v>54</v>
      </c>
      <c r="E1190" s="65" t="s">
        <v>4895</v>
      </c>
      <c r="F1190" s="1000">
        <v>225787.15</v>
      </c>
      <c r="G1190" s="413">
        <v>0.0</v>
      </c>
      <c r="H1190" s="349" t="s">
        <v>5496</v>
      </c>
      <c r="I1190" s="402"/>
      <c r="J1190" s="402"/>
      <c r="K1190" s="402"/>
      <c r="L1190" s="402"/>
      <c r="M1190" s="402"/>
      <c r="N1190" s="402"/>
      <c r="O1190" s="402"/>
      <c r="P1190" s="402"/>
      <c r="Q1190" s="402"/>
      <c r="R1190" s="402"/>
      <c r="S1190" s="402"/>
      <c r="T1190" s="402"/>
      <c r="U1190" s="402"/>
      <c r="V1190" s="402"/>
      <c r="W1190" s="402"/>
      <c r="X1190" s="402"/>
      <c r="Y1190" s="402"/>
      <c r="Z1190" s="402"/>
    </row>
    <row r="1191" ht="14.25" customHeight="1">
      <c r="A1191" s="697">
        <v>45530.0</v>
      </c>
      <c r="B1191" s="815" t="s">
        <v>5366</v>
      </c>
      <c r="C1191" s="816" t="s">
        <v>5367</v>
      </c>
      <c r="D1191" s="597" t="s">
        <v>75</v>
      </c>
      <c r="E1191" s="689" t="s">
        <v>5497</v>
      </c>
      <c r="F1191" s="1000">
        <v>131850.0</v>
      </c>
      <c r="G1191" s="403"/>
      <c r="H1191" s="349" t="s">
        <v>5496</v>
      </c>
      <c r="I1191" s="402"/>
      <c r="J1191" s="402"/>
      <c r="K1191" s="402"/>
      <c r="L1191" s="402"/>
      <c r="M1191" s="402"/>
      <c r="N1191" s="402"/>
      <c r="O1191" s="402"/>
      <c r="P1191" s="402"/>
      <c r="Q1191" s="402"/>
      <c r="R1191" s="402"/>
      <c r="S1191" s="402"/>
      <c r="T1191" s="402"/>
      <c r="U1191" s="402"/>
      <c r="V1191" s="402"/>
      <c r="W1191" s="402"/>
      <c r="X1191" s="402"/>
      <c r="Y1191" s="402"/>
      <c r="Z1191" s="402"/>
    </row>
    <row r="1192" ht="14.25" customHeight="1">
      <c r="A1192" s="697">
        <v>45530.0</v>
      </c>
      <c r="B1192" s="815" t="s">
        <v>5397</v>
      </c>
      <c r="C1192" s="816" t="s">
        <v>5205</v>
      </c>
      <c r="D1192" s="597" t="s">
        <v>75</v>
      </c>
      <c r="E1192" s="689" t="s">
        <v>4895</v>
      </c>
      <c r="F1192" s="1000">
        <v>181500.0</v>
      </c>
      <c r="G1192" s="413">
        <v>20000.0</v>
      </c>
      <c r="H1192" s="349" t="s">
        <v>5496</v>
      </c>
      <c r="I1192" s="402"/>
      <c r="J1192" s="402"/>
      <c r="K1192" s="402"/>
      <c r="L1192" s="402"/>
      <c r="M1192" s="402"/>
      <c r="N1192" s="402"/>
      <c r="O1192" s="402"/>
      <c r="P1192" s="402"/>
      <c r="Q1192" s="402"/>
      <c r="R1192" s="402"/>
      <c r="S1192" s="402"/>
      <c r="T1192" s="402"/>
      <c r="U1192" s="402"/>
      <c r="V1192" s="402"/>
      <c r="W1192" s="402"/>
      <c r="X1192" s="402"/>
      <c r="Y1192" s="402"/>
      <c r="Z1192" s="402"/>
    </row>
    <row r="1193" ht="14.25" customHeight="1">
      <c r="A1193" s="697">
        <v>45530.0</v>
      </c>
      <c r="B1193" s="815" t="s">
        <v>5488</v>
      </c>
      <c r="C1193" s="816" t="s">
        <v>4860</v>
      </c>
      <c r="D1193" s="597" t="s">
        <v>75</v>
      </c>
      <c r="E1193" s="689" t="s">
        <v>5497</v>
      </c>
      <c r="F1193" s="1000">
        <v>169050.0</v>
      </c>
      <c r="G1193" s="403"/>
      <c r="H1193" s="349" t="s">
        <v>5511</v>
      </c>
      <c r="I1193" s="402"/>
      <c r="J1193" s="402"/>
      <c r="K1193" s="402"/>
      <c r="L1193" s="402"/>
      <c r="M1193" s="402"/>
      <c r="N1193" s="402"/>
      <c r="O1193" s="402"/>
      <c r="P1193" s="402"/>
      <c r="Q1193" s="402"/>
      <c r="R1193" s="402"/>
      <c r="S1193" s="402"/>
      <c r="T1193" s="402"/>
      <c r="U1193" s="402"/>
      <c r="V1193" s="402"/>
      <c r="W1193" s="402"/>
      <c r="X1193" s="402"/>
      <c r="Y1193" s="402"/>
      <c r="Z1193" s="402"/>
    </row>
    <row r="1194" ht="14.25" customHeight="1">
      <c r="A1194" s="697">
        <v>45530.0</v>
      </c>
      <c r="B1194" s="815" t="s">
        <v>5512</v>
      </c>
      <c r="C1194" s="816" t="s">
        <v>5459</v>
      </c>
      <c r="D1194" s="597" t="s">
        <v>75</v>
      </c>
      <c r="E1194" s="689" t="s">
        <v>4895</v>
      </c>
      <c r="F1194" s="1000">
        <v>172500.0</v>
      </c>
      <c r="G1194" s="403"/>
      <c r="H1194" s="349" t="s">
        <v>2229</v>
      </c>
      <c r="I1194" s="402"/>
      <c r="J1194" s="402"/>
      <c r="K1194" s="402"/>
      <c r="L1194" s="402"/>
      <c r="M1194" s="402"/>
      <c r="N1194" s="402"/>
      <c r="O1194" s="402"/>
      <c r="P1194" s="402"/>
      <c r="Q1194" s="402"/>
      <c r="R1194" s="402"/>
      <c r="S1194" s="402"/>
      <c r="T1194" s="402"/>
      <c r="U1194" s="402"/>
      <c r="V1194" s="402"/>
      <c r="W1194" s="402"/>
      <c r="X1194" s="402"/>
      <c r="Y1194" s="402"/>
      <c r="Z1194" s="402"/>
    </row>
    <row r="1195" ht="14.25" customHeight="1">
      <c r="A1195" s="697">
        <v>45530.0</v>
      </c>
      <c r="B1195" s="815" t="s">
        <v>5513</v>
      </c>
      <c r="C1195" s="816" t="s">
        <v>4929</v>
      </c>
      <c r="D1195" s="597" t="s">
        <v>75</v>
      </c>
      <c r="E1195" s="65" t="s">
        <v>4895</v>
      </c>
      <c r="F1195" s="1000">
        <v>69000.0</v>
      </c>
      <c r="G1195" s="413">
        <v>69000.0</v>
      </c>
      <c r="H1195" s="349" t="s">
        <v>710</v>
      </c>
      <c r="I1195" s="402"/>
      <c r="J1195" s="402"/>
      <c r="K1195" s="402"/>
      <c r="L1195" s="402"/>
      <c r="M1195" s="402"/>
      <c r="N1195" s="402"/>
      <c r="O1195" s="402"/>
      <c r="P1195" s="402"/>
      <c r="Q1195" s="402"/>
      <c r="R1195" s="402"/>
      <c r="S1195" s="402"/>
      <c r="T1195" s="402"/>
      <c r="U1195" s="402"/>
      <c r="V1195" s="402"/>
      <c r="W1195" s="402"/>
      <c r="X1195" s="402"/>
      <c r="Y1195" s="402"/>
      <c r="Z1195" s="402"/>
    </row>
    <row r="1196" ht="14.25" customHeight="1">
      <c r="A1196" s="697"/>
      <c r="B1196" s="863"/>
      <c r="C1196" s="863"/>
      <c r="D1196" s="867"/>
      <c r="E1196" s="868"/>
      <c r="F1196" s="865"/>
      <c r="G1196" s="403"/>
      <c r="H1196" s="402"/>
      <c r="I1196" s="402"/>
      <c r="J1196" s="402"/>
      <c r="K1196" s="402"/>
      <c r="L1196" s="402"/>
      <c r="M1196" s="402"/>
      <c r="N1196" s="402"/>
      <c r="O1196" s="402"/>
      <c r="P1196" s="402"/>
      <c r="Q1196" s="402"/>
      <c r="R1196" s="402"/>
      <c r="S1196" s="402"/>
      <c r="T1196" s="402"/>
      <c r="U1196" s="402"/>
      <c r="V1196" s="402"/>
      <c r="W1196" s="402"/>
      <c r="X1196" s="402"/>
      <c r="Y1196" s="402"/>
      <c r="Z1196" s="402"/>
    </row>
    <row r="1197" ht="14.25" customHeight="1">
      <c r="A1197" s="697"/>
      <c r="B1197" s="863"/>
      <c r="C1197" s="863"/>
      <c r="D1197" s="867"/>
      <c r="E1197" s="868"/>
      <c r="F1197" s="865"/>
      <c r="G1197" s="403"/>
      <c r="H1197" s="402"/>
      <c r="I1197" s="402"/>
      <c r="J1197" s="402"/>
      <c r="K1197" s="402"/>
      <c r="L1197" s="402"/>
      <c r="M1197" s="402"/>
      <c r="N1197" s="402"/>
      <c r="O1197" s="402"/>
      <c r="P1197" s="402"/>
      <c r="Q1197" s="402"/>
      <c r="R1197" s="402"/>
      <c r="S1197" s="402"/>
      <c r="T1197" s="402"/>
      <c r="U1197" s="402"/>
      <c r="V1197" s="402"/>
      <c r="W1197" s="402"/>
      <c r="X1197" s="402"/>
      <c r="Y1197" s="402"/>
      <c r="Z1197" s="402"/>
    </row>
    <row r="1198" ht="14.25" customHeight="1">
      <c r="A1198" s="1001">
        <v>45530.0</v>
      </c>
      <c r="B1198" s="1002" t="s">
        <v>4547</v>
      </c>
      <c r="C1198" s="1003" t="s">
        <v>4548</v>
      </c>
      <c r="D1198" s="1004" t="s">
        <v>59</v>
      </c>
      <c r="E1198" s="1005" t="s">
        <v>273</v>
      </c>
      <c r="F1198" s="1006">
        <v>617498.61</v>
      </c>
      <c r="G1198" s="571"/>
      <c r="H1198" s="349" t="s">
        <v>5477</v>
      </c>
      <c r="I1198" s="402"/>
      <c r="J1198" s="402"/>
      <c r="K1198" s="402"/>
      <c r="L1198" s="402"/>
      <c r="M1198" s="402"/>
      <c r="N1198" s="402"/>
      <c r="O1198" s="402"/>
      <c r="P1198" s="402"/>
      <c r="Q1198" s="402"/>
      <c r="R1198" s="402"/>
      <c r="S1198" s="402"/>
      <c r="T1198" s="402"/>
      <c r="U1198" s="402"/>
      <c r="V1198" s="402"/>
      <c r="W1198" s="402"/>
      <c r="X1198" s="402"/>
      <c r="Y1198" s="402"/>
      <c r="Z1198" s="402"/>
    </row>
    <row r="1199" ht="14.25" customHeight="1">
      <c r="A1199" s="1001">
        <v>45530.0</v>
      </c>
      <c r="B1199" s="1007" t="s">
        <v>5070</v>
      </c>
      <c r="C1199" s="1008" t="s">
        <v>4859</v>
      </c>
      <c r="D1199" s="642" t="s">
        <v>75</v>
      </c>
      <c r="E1199" s="1009" t="s">
        <v>75</v>
      </c>
      <c r="F1199" s="1010">
        <v>1737025.0</v>
      </c>
      <c r="G1199" s="403"/>
      <c r="H1199" s="349" t="s">
        <v>5514</v>
      </c>
      <c r="I1199" s="402"/>
      <c r="J1199" s="402"/>
      <c r="K1199" s="402"/>
      <c r="L1199" s="402"/>
      <c r="M1199" s="402"/>
      <c r="N1199" s="402"/>
      <c r="O1199" s="402"/>
      <c r="P1199" s="402"/>
      <c r="Q1199" s="402"/>
      <c r="R1199" s="402"/>
      <c r="S1199" s="402"/>
      <c r="T1199" s="402"/>
      <c r="U1199" s="402"/>
      <c r="V1199" s="402"/>
      <c r="W1199" s="402"/>
      <c r="X1199" s="402"/>
      <c r="Y1199" s="402"/>
      <c r="Z1199" s="402"/>
    </row>
    <row r="1200" ht="14.25" customHeight="1">
      <c r="A1200" s="896"/>
      <c r="B1200" s="1011"/>
      <c r="C1200" s="997"/>
      <c r="D1200" s="998"/>
      <c r="E1200" s="862"/>
      <c r="F1200" s="999"/>
      <c r="G1200" s="584"/>
      <c r="H1200" s="584"/>
      <c r="I1200" s="402"/>
      <c r="J1200" s="402"/>
      <c r="K1200" s="402"/>
      <c r="L1200" s="402"/>
      <c r="M1200" s="402"/>
      <c r="N1200" s="402"/>
      <c r="O1200" s="402"/>
      <c r="P1200" s="402"/>
      <c r="Q1200" s="402"/>
      <c r="R1200" s="402"/>
      <c r="S1200" s="402"/>
      <c r="T1200" s="402"/>
      <c r="U1200" s="402"/>
      <c r="V1200" s="402"/>
      <c r="W1200" s="402"/>
      <c r="X1200" s="402"/>
      <c r="Y1200" s="402"/>
      <c r="Z1200" s="402"/>
    </row>
    <row r="1201" ht="14.25" customHeight="1">
      <c r="A1201" s="896" t="s">
        <v>2130</v>
      </c>
      <c r="B1201" s="997" t="s">
        <v>39</v>
      </c>
      <c r="C1201" s="997" t="s">
        <v>48</v>
      </c>
      <c r="D1201" s="998" t="s">
        <v>49</v>
      </c>
      <c r="E1201" s="862" t="s">
        <v>50</v>
      </c>
      <c r="F1201" s="999" t="s">
        <v>2</v>
      </c>
      <c r="G1201" s="584" t="s">
        <v>44</v>
      </c>
      <c r="H1201" s="584" t="s">
        <v>45</v>
      </c>
      <c r="I1201" s="402"/>
      <c r="J1201" s="402"/>
      <c r="K1201" s="402"/>
      <c r="L1201" s="402"/>
      <c r="M1201" s="402"/>
      <c r="N1201" s="402"/>
      <c r="O1201" s="402"/>
      <c r="P1201" s="402"/>
      <c r="Q1201" s="402"/>
      <c r="R1201" s="402"/>
      <c r="S1201" s="402"/>
      <c r="T1201" s="402"/>
      <c r="U1201" s="402"/>
      <c r="V1201" s="402"/>
      <c r="W1201" s="402"/>
      <c r="X1201" s="402"/>
      <c r="Y1201" s="402"/>
      <c r="Z1201" s="402"/>
    </row>
    <row r="1202" ht="14.25" customHeight="1">
      <c r="A1202" s="697">
        <v>45531.0</v>
      </c>
      <c r="B1202" s="512" t="s">
        <v>5515</v>
      </c>
      <c r="C1202" s="512" t="s">
        <v>4910</v>
      </c>
      <c r="D1202" s="867" t="s">
        <v>413</v>
      </c>
      <c r="E1202" s="689" t="s">
        <v>4913</v>
      </c>
      <c r="F1202" s="1012">
        <v>1100000.0</v>
      </c>
      <c r="G1202" s="403"/>
      <c r="H1202" s="349" t="s">
        <v>5516</v>
      </c>
      <c r="I1202" s="402"/>
      <c r="J1202" s="402"/>
      <c r="K1202" s="402"/>
      <c r="L1202" s="402"/>
      <c r="M1202" s="402"/>
      <c r="N1202" s="402"/>
      <c r="O1202" s="402"/>
      <c r="P1202" s="402"/>
      <c r="Q1202" s="402"/>
      <c r="R1202" s="402"/>
      <c r="S1202" s="402"/>
      <c r="T1202" s="402"/>
      <c r="U1202" s="402"/>
      <c r="V1202" s="402"/>
      <c r="W1202" s="402"/>
      <c r="X1202" s="402"/>
      <c r="Y1202" s="402"/>
      <c r="Z1202" s="402"/>
    </row>
    <row r="1203" ht="14.25" customHeight="1">
      <c r="A1203" s="697">
        <v>45531.0</v>
      </c>
      <c r="B1203" s="513" t="s">
        <v>5517</v>
      </c>
      <c r="C1203" s="513" t="s">
        <v>4941</v>
      </c>
      <c r="D1203" s="867" t="s">
        <v>413</v>
      </c>
      <c r="E1203" s="689" t="s">
        <v>5037</v>
      </c>
      <c r="F1203" s="1013">
        <v>345000.0</v>
      </c>
      <c r="G1203" s="413">
        <v>345000.0</v>
      </c>
      <c r="H1203" s="349" t="s">
        <v>710</v>
      </c>
      <c r="I1203" s="402"/>
      <c r="J1203" s="402"/>
      <c r="K1203" s="402"/>
      <c r="L1203" s="402"/>
      <c r="M1203" s="402"/>
      <c r="N1203" s="402"/>
      <c r="O1203" s="402"/>
      <c r="P1203" s="402"/>
      <c r="Q1203" s="402"/>
      <c r="R1203" s="402"/>
      <c r="S1203" s="402"/>
      <c r="T1203" s="402"/>
      <c r="U1203" s="402"/>
      <c r="V1203" s="402"/>
      <c r="W1203" s="402"/>
      <c r="X1203" s="402"/>
      <c r="Y1203" s="402"/>
      <c r="Z1203" s="402"/>
    </row>
    <row r="1204" ht="14.25" customHeight="1">
      <c r="A1204" s="697">
        <v>45531.0</v>
      </c>
      <c r="B1204" s="513" t="s">
        <v>5518</v>
      </c>
      <c r="C1204" s="513" t="s">
        <v>4908</v>
      </c>
      <c r="D1204" s="816" t="s">
        <v>413</v>
      </c>
      <c r="E1204" s="689" t="s">
        <v>4913</v>
      </c>
      <c r="F1204" s="1013">
        <v>287500.0</v>
      </c>
      <c r="G1204" s="413">
        <v>287500.0</v>
      </c>
      <c r="H1204" s="349" t="s">
        <v>710</v>
      </c>
      <c r="I1204" s="402"/>
      <c r="J1204" s="402"/>
      <c r="K1204" s="402"/>
      <c r="L1204" s="402"/>
      <c r="M1204" s="402"/>
      <c r="N1204" s="402"/>
      <c r="O1204" s="402"/>
      <c r="P1204" s="402"/>
      <c r="Q1204" s="402"/>
      <c r="R1204" s="402"/>
      <c r="S1204" s="402"/>
      <c r="T1204" s="402"/>
      <c r="U1204" s="402"/>
      <c r="V1204" s="402"/>
      <c r="W1204" s="402"/>
      <c r="X1204" s="402"/>
      <c r="Y1204" s="402"/>
      <c r="Z1204" s="402"/>
    </row>
    <row r="1205" ht="14.25" customHeight="1">
      <c r="A1205" s="697">
        <v>45531.0</v>
      </c>
      <c r="B1205" s="512" t="s">
        <v>5130</v>
      </c>
      <c r="C1205" s="512" t="s">
        <v>5171</v>
      </c>
      <c r="D1205" s="816" t="s">
        <v>1030</v>
      </c>
      <c r="E1205" s="689" t="s">
        <v>5037</v>
      </c>
      <c r="F1205" s="1012">
        <v>3227.69</v>
      </c>
      <c r="G1205" s="403"/>
      <c r="H1205" s="349" t="s">
        <v>5519</v>
      </c>
      <c r="I1205" s="402"/>
      <c r="J1205" s="402"/>
      <c r="K1205" s="402"/>
      <c r="L1205" s="402"/>
      <c r="M1205" s="402"/>
      <c r="N1205" s="402"/>
      <c r="O1205" s="402"/>
      <c r="P1205" s="402"/>
      <c r="Q1205" s="402"/>
      <c r="R1205" s="402"/>
      <c r="S1205" s="402"/>
      <c r="T1205" s="402"/>
      <c r="U1205" s="402"/>
      <c r="V1205" s="402"/>
      <c r="W1205" s="402"/>
      <c r="X1205" s="402"/>
      <c r="Y1205" s="402"/>
      <c r="Z1205" s="402"/>
    </row>
    <row r="1206" ht="14.25" customHeight="1">
      <c r="A1206" s="697">
        <v>45531.0</v>
      </c>
      <c r="B1206" s="513" t="s">
        <v>4956</v>
      </c>
      <c r="C1206" s="513" t="s">
        <v>4976</v>
      </c>
      <c r="D1206" s="816" t="s">
        <v>1030</v>
      </c>
      <c r="E1206" s="689" t="s">
        <v>4913</v>
      </c>
      <c r="F1206" s="1013">
        <v>58813.54</v>
      </c>
      <c r="G1206" s="403"/>
      <c r="H1206" s="349" t="s">
        <v>5516</v>
      </c>
      <c r="I1206" s="402"/>
      <c r="J1206" s="402"/>
      <c r="K1206" s="402"/>
      <c r="L1206" s="402"/>
      <c r="M1206" s="402"/>
      <c r="N1206" s="402"/>
      <c r="O1206" s="402"/>
      <c r="P1206" s="402"/>
      <c r="Q1206" s="402"/>
      <c r="R1206" s="402"/>
      <c r="S1206" s="402"/>
      <c r="T1206" s="402"/>
      <c r="U1206" s="402"/>
      <c r="V1206" s="402"/>
      <c r="W1206" s="402"/>
      <c r="X1206" s="402"/>
      <c r="Y1206" s="402"/>
      <c r="Z1206" s="402"/>
    </row>
    <row r="1207" ht="14.25" customHeight="1">
      <c r="A1207" s="697">
        <v>45531.0</v>
      </c>
      <c r="B1207" s="513" t="s">
        <v>4958</v>
      </c>
      <c r="C1207" s="513" t="s">
        <v>5007</v>
      </c>
      <c r="D1207" s="816" t="s">
        <v>1030</v>
      </c>
      <c r="E1207" s="689" t="s">
        <v>5037</v>
      </c>
      <c r="F1207" s="1013">
        <v>11753.12</v>
      </c>
      <c r="G1207" s="403"/>
      <c r="H1207" s="349" t="s">
        <v>5516</v>
      </c>
      <c r="I1207" s="402"/>
      <c r="J1207" s="402"/>
      <c r="K1207" s="402"/>
      <c r="L1207" s="402"/>
      <c r="M1207" s="402"/>
      <c r="N1207" s="402"/>
      <c r="O1207" s="402"/>
      <c r="P1207" s="402"/>
      <c r="Q1207" s="402"/>
      <c r="R1207" s="402"/>
      <c r="S1207" s="402"/>
      <c r="T1207" s="402"/>
      <c r="U1207" s="402"/>
      <c r="V1207" s="402"/>
      <c r="W1207" s="402"/>
      <c r="X1207" s="402"/>
      <c r="Y1207" s="402"/>
      <c r="Z1207" s="402"/>
    </row>
    <row r="1208" ht="14.25" customHeight="1">
      <c r="A1208" s="697">
        <v>45531.0</v>
      </c>
      <c r="B1208" s="512" t="s">
        <v>5520</v>
      </c>
      <c r="C1208" s="512" t="s">
        <v>5521</v>
      </c>
      <c r="D1208" s="816" t="s">
        <v>1368</v>
      </c>
      <c r="E1208" s="689" t="s">
        <v>4913</v>
      </c>
      <c r="F1208" s="1012">
        <v>50000.0</v>
      </c>
      <c r="G1208" s="403"/>
      <c r="H1208" s="349" t="s">
        <v>5522</v>
      </c>
      <c r="I1208" s="402"/>
      <c r="J1208" s="402"/>
      <c r="K1208" s="402"/>
      <c r="L1208" s="402"/>
      <c r="M1208" s="402"/>
      <c r="N1208" s="402"/>
      <c r="O1208" s="402"/>
      <c r="P1208" s="402"/>
      <c r="Q1208" s="402"/>
      <c r="R1208" s="402"/>
      <c r="S1208" s="402"/>
      <c r="T1208" s="402"/>
      <c r="U1208" s="402"/>
      <c r="V1208" s="402"/>
      <c r="W1208" s="402"/>
      <c r="X1208" s="402"/>
      <c r="Y1208" s="402"/>
      <c r="Z1208" s="402"/>
    </row>
    <row r="1209" ht="14.25" customHeight="1">
      <c r="A1209" s="697">
        <v>45531.0</v>
      </c>
      <c r="B1209" s="513" t="s">
        <v>4960</v>
      </c>
      <c r="C1209" s="513" t="s">
        <v>5009</v>
      </c>
      <c r="D1209" s="816" t="s">
        <v>1368</v>
      </c>
      <c r="E1209" s="689" t="s">
        <v>4913</v>
      </c>
      <c r="F1209" s="1013">
        <v>72344.0</v>
      </c>
      <c r="G1209" s="413">
        <v>78841.0</v>
      </c>
      <c r="H1209" s="349" t="s">
        <v>1238</v>
      </c>
      <c r="I1209" s="402"/>
      <c r="J1209" s="402"/>
      <c r="K1209" s="402"/>
      <c r="L1209" s="402"/>
      <c r="M1209" s="402"/>
      <c r="N1209" s="402"/>
      <c r="O1209" s="402"/>
      <c r="P1209" s="402"/>
      <c r="Q1209" s="402"/>
      <c r="R1209" s="402"/>
      <c r="S1209" s="402"/>
      <c r="T1209" s="402"/>
      <c r="U1209" s="402"/>
      <c r="V1209" s="402"/>
      <c r="W1209" s="402"/>
      <c r="X1209" s="402"/>
      <c r="Y1209" s="402"/>
      <c r="Z1209" s="402"/>
    </row>
    <row r="1210" ht="14.25" customHeight="1">
      <c r="A1210" s="697">
        <v>45531.0</v>
      </c>
      <c r="B1210" s="815" t="s">
        <v>5127</v>
      </c>
      <c r="C1210" s="816" t="s">
        <v>5211</v>
      </c>
      <c r="D1210" s="597" t="s">
        <v>54</v>
      </c>
      <c r="E1210" s="689" t="s">
        <v>4895</v>
      </c>
      <c r="F1210" s="1014">
        <v>34201.04</v>
      </c>
      <c r="G1210" s="403"/>
      <c r="H1210" s="349" t="s">
        <v>5523</v>
      </c>
      <c r="I1210" s="402"/>
      <c r="J1210" s="402"/>
      <c r="K1210" s="402"/>
      <c r="L1210" s="402"/>
      <c r="M1210" s="402"/>
      <c r="N1210" s="402"/>
      <c r="O1210" s="402"/>
      <c r="P1210" s="402"/>
      <c r="Q1210" s="402"/>
      <c r="R1210" s="402"/>
      <c r="S1210" s="402"/>
      <c r="T1210" s="402"/>
      <c r="U1210" s="402"/>
      <c r="V1210" s="402"/>
      <c r="W1210" s="402"/>
      <c r="X1210" s="402"/>
      <c r="Y1210" s="402"/>
      <c r="Z1210" s="402"/>
    </row>
    <row r="1211" ht="14.25" customHeight="1">
      <c r="A1211" s="697">
        <v>45531.0</v>
      </c>
      <c r="B1211" s="815" t="s">
        <v>4893</v>
      </c>
      <c r="C1211" s="816" t="s">
        <v>4894</v>
      </c>
      <c r="D1211" s="597" t="s">
        <v>54</v>
      </c>
      <c r="E1211" s="689" t="s">
        <v>4895</v>
      </c>
      <c r="F1211" s="1014">
        <v>55004.84</v>
      </c>
      <c r="G1211" s="403"/>
      <c r="H1211" s="349" t="s">
        <v>5516</v>
      </c>
      <c r="I1211" s="402"/>
      <c r="J1211" s="402"/>
      <c r="K1211" s="402"/>
      <c r="L1211" s="402"/>
      <c r="M1211" s="402"/>
      <c r="N1211" s="402"/>
      <c r="O1211" s="402"/>
      <c r="P1211" s="402"/>
      <c r="Q1211" s="402"/>
      <c r="R1211" s="402"/>
      <c r="S1211" s="402"/>
      <c r="T1211" s="402"/>
      <c r="U1211" s="402"/>
      <c r="V1211" s="402"/>
      <c r="W1211" s="402"/>
      <c r="X1211" s="402"/>
      <c r="Y1211" s="402"/>
      <c r="Z1211" s="402"/>
    </row>
    <row r="1212" ht="14.25" customHeight="1">
      <c r="A1212" s="697">
        <v>45531.0</v>
      </c>
      <c r="B1212" s="815" t="s">
        <v>5212</v>
      </c>
      <c r="C1212" s="816" t="s">
        <v>5213</v>
      </c>
      <c r="D1212" s="597" t="s">
        <v>54</v>
      </c>
      <c r="E1212" s="689" t="s">
        <v>5497</v>
      </c>
      <c r="F1212" s="1014">
        <v>22237.99</v>
      </c>
      <c r="G1212" s="403"/>
      <c r="H1212" s="349" t="s">
        <v>5524</v>
      </c>
      <c r="I1212" s="402"/>
      <c r="J1212" s="402"/>
      <c r="K1212" s="402"/>
      <c r="L1212" s="402"/>
      <c r="M1212" s="402"/>
      <c r="N1212" s="402"/>
      <c r="O1212" s="402"/>
      <c r="P1212" s="402"/>
      <c r="Q1212" s="402"/>
      <c r="R1212" s="402"/>
      <c r="S1212" s="402"/>
      <c r="T1212" s="402"/>
      <c r="U1212" s="402"/>
      <c r="V1212" s="402"/>
      <c r="W1212" s="402"/>
      <c r="X1212" s="402"/>
      <c r="Y1212" s="402"/>
      <c r="Z1212" s="402"/>
    </row>
    <row r="1213" ht="14.25" customHeight="1">
      <c r="A1213" s="697">
        <v>45531.0</v>
      </c>
      <c r="B1213" s="815" t="s">
        <v>4815</v>
      </c>
      <c r="C1213" s="816" t="s">
        <v>4859</v>
      </c>
      <c r="D1213" s="597" t="s">
        <v>54</v>
      </c>
      <c r="E1213" s="689" t="s">
        <v>5497</v>
      </c>
      <c r="F1213" s="1014">
        <v>191455.34</v>
      </c>
      <c r="G1213" s="403"/>
      <c r="H1213" s="349" t="s">
        <v>5525</v>
      </c>
      <c r="I1213" s="402"/>
      <c r="J1213" s="402"/>
      <c r="K1213" s="402"/>
      <c r="L1213" s="402"/>
      <c r="M1213" s="402"/>
      <c r="N1213" s="402"/>
      <c r="O1213" s="402"/>
      <c r="P1213" s="402"/>
      <c r="Q1213" s="402"/>
      <c r="R1213" s="402"/>
      <c r="S1213" s="402"/>
      <c r="T1213" s="402"/>
      <c r="U1213" s="402"/>
      <c r="V1213" s="402"/>
      <c r="W1213" s="402"/>
      <c r="X1213" s="402"/>
      <c r="Y1213" s="402"/>
      <c r="Z1213" s="402"/>
    </row>
    <row r="1214" ht="14.25" customHeight="1">
      <c r="A1214" s="697">
        <v>45531.0</v>
      </c>
      <c r="B1214" s="815" t="s">
        <v>5075</v>
      </c>
      <c r="C1214" s="816" t="s">
        <v>5237</v>
      </c>
      <c r="D1214" s="597" t="s">
        <v>75</v>
      </c>
      <c r="E1214" s="689" t="s">
        <v>4895</v>
      </c>
      <c r="F1214" s="1014">
        <v>42182.16</v>
      </c>
      <c r="G1214" s="413">
        <v>10087.0</v>
      </c>
      <c r="H1214" s="349" t="s">
        <v>5526</v>
      </c>
      <c r="I1214" s="402"/>
      <c r="J1214" s="402"/>
      <c r="K1214" s="402"/>
      <c r="L1214" s="402"/>
      <c r="M1214" s="402"/>
      <c r="N1214" s="402"/>
      <c r="O1214" s="402"/>
      <c r="P1214" s="402"/>
      <c r="Q1214" s="402"/>
      <c r="R1214" s="402"/>
      <c r="S1214" s="402"/>
      <c r="T1214" s="402"/>
      <c r="U1214" s="402"/>
      <c r="V1214" s="402"/>
      <c r="W1214" s="402"/>
      <c r="X1214" s="402"/>
      <c r="Y1214" s="402"/>
      <c r="Z1214" s="402"/>
    </row>
    <row r="1215" ht="14.25" customHeight="1">
      <c r="A1215" s="697">
        <v>45531.0</v>
      </c>
      <c r="B1215" s="815" t="s">
        <v>5221</v>
      </c>
      <c r="C1215" s="816" t="s">
        <v>5437</v>
      </c>
      <c r="D1215" s="597" t="s">
        <v>75</v>
      </c>
      <c r="E1215" s="689" t="s">
        <v>5497</v>
      </c>
      <c r="F1215" s="1014">
        <v>559028.75</v>
      </c>
      <c r="G1215" s="413">
        <v>15000.0</v>
      </c>
      <c r="H1215" s="349" t="s">
        <v>5527</v>
      </c>
      <c r="I1215" s="402"/>
      <c r="J1215" s="402"/>
      <c r="K1215" s="402"/>
      <c r="L1215" s="402"/>
      <c r="M1215" s="402"/>
      <c r="N1215" s="402"/>
      <c r="O1215" s="402"/>
      <c r="P1215" s="402"/>
      <c r="Q1215" s="402"/>
      <c r="R1215" s="402"/>
      <c r="S1215" s="402"/>
      <c r="T1215" s="402"/>
      <c r="U1215" s="402"/>
      <c r="V1215" s="402"/>
      <c r="W1215" s="402"/>
      <c r="X1215" s="402"/>
      <c r="Y1215" s="402"/>
      <c r="Z1215" s="402"/>
    </row>
    <row r="1216" ht="14.25" customHeight="1">
      <c r="A1216" s="697">
        <v>45531.0</v>
      </c>
      <c r="B1216" s="815" t="s">
        <v>5316</v>
      </c>
      <c r="C1216" s="816" t="s">
        <v>4975</v>
      </c>
      <c r="D1216" s="597" t="s">
        <v>75</v>
      </c>
      <c r="E1216" s="689" t="s">
        <v>4895</v>
      </c>
      <c r="F1216" s="1014">
        <v>57093.75</v>
      </c>
      <c r="G1216" s="413">
        <v>5000.0</v>
      </c>
      <c r="H1216" s="349" t="s">
        <v>5528</v>
      </c>
      <c r="I1216" s="402"/>
      <c r="J1216" s="402"/>
      <c r="K1216" s="402"/>
      <c r="L1216" s="402"/>
      <c r="M1216" s="402"/>
      <c r="N1216" s="402"/>
      <c r="O1216" s="402"/>
      <c r="P1216" s="402"/>
      <c r="Q1216" s="402"/>
      <c r="R1216" s="402"/>
      <c r="S1216" s="402"/>
      <c r="T1216" s="402"/>
      <c r="U1216" s="402"/>
      <c r="V1216" s="402"/>
      <c r="W1216" s="402"/>
      <c r="X1216" s="402"/>
      <c r="Y1216" s="402"/>
      <c r="Z1216" s="402"/>
    </row>
    <row r="1217" ht="14.25" customHeight="1">
      <c r="A1217" s="810">
        <v>45531.0</v>
      </c>
      <c r="B1217" s="815" t="s">
        <v>5363</v>
      </c>
      <c r="C1217" s="816" t="s">
        <v>5222</v>
      </c>
      <c r="D1217" s="597" t="s">
        <v>54</v>
      </c>
      <c r="E1217" s="65" t="s">
        <v>4895</v>
      </c>
      <c r="F1217" s="1014">
        <v>225787.15</v>
      </c>
      <c r="G1217" s="413"/>
      <c r="H1217" s="349" t="s">
        <v>5529</v>
      </c>
      <c r="I1217" s="402"/>
      <c r="J1217" s="402"/>
      <c r="K1217" s="402"/>
      <c r="L1217" s="402"/>
      <c r="M1217" s="402"/>
      <c r="N1217" s="402"/>
      <c r="O1217" s="402"/>
      <c r="P1217" s="402"/>
      <c r="Q1217" s="402"/>
      <c r="R1217" s="402"/>
      <c r="S1217" s="402"/>
      <c r="T1217" s="402"/>
      <c r="U1217" s="402"/>
      <c r="V1217" s="402"/>
      <c r="W1217" s="402"/>
      <c r="X1217" s="402"/>
      <c r="Y1217" s="402"/>
      <c r="Z1217" s="402"/>
    </row>
    <row r="1218" ht="14.25" customHeight="1">
      <c r="A1218" s="697">
        <v>45531.0</v>
      </c>
      <c r="B1218" s="815" t="s">
        <v>5366</v>
      </c>
      <c r="C1218" s="816" t="s">
        <v>5367</v>
      </c>
      <c r="D1218" s="597" t="s">
        <v>75</v>
      </c>
      <c r="E1218" s="689" t="s">
        <v>4895</v>
      </c>
      <c r="F1218" s="1014">
        <v>131850.0</v>
      </c>
      <c r="G1218" s="403"/>
      <c r="H1218" s="349" t="s">
        <v>5530</v>
      </c>
      <c r="I1218" s="402"/>
      <c r="J1218" s="402"/>
      <c r="K1218" s="402"/>
      <c r="L1218" s="402"/>
      <c r="M1218" s="402"/>
      <c r="N1218" s="402"/>
      <c r="O1218" s="402"/>
      <c r="P1218" s="402"/>
      <c r="Q1218" s="402"/>
      <c r="R1218" s="402"/>
      <c r="S1218" s="402"/>
      <c r="T1218" s="402"/>
      <c r="U1218" s="402"/>
      <c r="V1218" s="402"/>
      <c r="W1218" s="402"/>
      <c r="X1218" s="402"/>
      <c r="Y1218" s="402"/>
      <c r="Z1218" s="402"/>
    </row>
    <row r="1219" ht="14.25" customHeight="1">
      <c r="A1219" s="697">
        <v>45531.0</v>
      </c>
      <c r="B1219" s="815" t="s">
        <v>5397</v>
      </c>
      <c r="C1219" s="816" t="s">
        <v>5205</v>
      </c>
      <c r="D1219" s="597" t="s">
        <v>75</v>
      </c>
      <c r="E1219" s="689" t="s">
        <v>4895</v>
      </c>
      <c r="F1219" s="1014">
        <v>181500.0</v>
      </c>
      <c r="G1219" s="413"/>
      <c r="H1219" s="349" t="s">
        <v>5516</v>
      </c>
      <c r="I1219" s="402"/>
      <c r="J1219" s="402"/>
      <c r="K1219" s="402"/>
      <c r="L1219" s="402"/>
      <c r="M1219" s="402"/>
      <c r="N1219" s="402"/>
      <c r="O1219" s="402"/>
      <c r="P1219" s="402"/>
      <c r="Q1219" s="402"/>
      <c r="R1219" s="402"/>
      <c r="S1219" s="402"/>
      <c r="T1219" s="402"/>
      <c r="U1219" s="402"/>
      <c r="V1219" s="402"/>
      <c r="W1219" s="402"/>
      <c r="X1219" s="402"/>
      <c r="Y1219" s="402"/>
      <c r="Z1219" s="402"/>
    </row>
    <row r="1220" ht="14.25" customHeight="1">
      <c r="A1220" s="697">
        <v>45531.0</v>
      </c>
      <c r="B1220" s="815" t="s">
        <v>5488</v>
      </c>
      <c r="C1220" s="816" t="s">
        <v>4860</v>
      </c>
      <c r="D1220" s="597" t="s">
        <v>75</v>
      </c>
      <c r="E1220" s="689" t="s">
        <v>5497</v>
      </c>
      <c r="F1220" s="1014">
        <v>169050.0</v>
      </c>
      <c r="G1220" s="403"/>
      <c r="H1220" s="349" t="s">
        <v>5531</v>
      </c>
      <c r="I1220" s="402"/>
      <c r="J1220" s="402"/>
      <c r="K1220" s="402"/>
      <c r="L1220" s="402"/>
      <c r="M1220" s="402"/>
      <c r="N1220" s="402"/>
      <c r="O1220" s="402"/>
      <c r="P1220" s="402"/>
      <c r="Q1220" s="402"/>
      <c r="R1220" s="402"/>
      <c r="S1220" s="402"/>
      <c r="T1220" s="402"/>
      <c r="U1220" s="402"/>
      <c r="V1220" s="402"/>
      <c r="W1220" s="402"/>
      <c r="X1220" s="402"/>
      <c r="Y1220" s="402"/>
      <c r="Z1220" s="402"/>
    </row>
    <row r="1221" ht="14.25" customHeight="1">
      <c r="A1221" s="697">
        <v>45531.0</v>
      </c>
      <c r="B1221" s="815" t="s">
        <v>5512</v>
      </c>
      <c r="C1221" s="816" t="s">
        <v>5459</v>
      </c>
      <c r="D1221" s="597" t="s">
        <v>75</v>
      </c>
      <c r="E1221" s="689" t="s">
        <v>4895</v>
      </c>
      <c r="F1221" s="1014">
        <v>172500.0</v>
      </c>
      <c r="G1221" s="403"/>
      <c r="H1221" s="349" t="s">
        <v>5516</v>
      </c>
      <c r="I1221" s="402"/>
      <c r="J1221" s="402"/>
      <c r="K1221" s="402"/>
      <c r="L1221" s="402"/>
      <c r="M1221" s="402"/>
      <c r="N1221" s="402"/>
      <c r="O1221" s="402"/>
      <c r="P1221" s="402"/>
      <c r="Q1221" s="402"/>
      <c r="R1221" s="402"/>
      <c r="S1221" s="402"/>
      <c r="T1221" s="402"/>
      <c r="U1221" s="402"/>
      <c r="V1221" s="402"/>
      <c r="W1221" s="402"/>
      <c r="X1221" s="402"/>
      <c r="Y1221" s="402"/>
      <c r="Z1221" s="402"/>
    </row>
    <row r="1222" ht="14.25" customHeight="1">
      <c r="A1222" s="697">
        <v>45531.0</v>
      </c>
      <c r="B1222" s="65" t="s">
        <v>5532</v>
      </c>
      <c r="C1222" s="816" t="s">
        <v>4848</v>
      </c>
      <c r="D1222" s="597" t="s">
        <v>59</v>
      </c>
      <c r="E1222" s="65" t="s">
        <v>5497</v>
      </c>
      <c r="F1222" s="1014">
        <v>282623.44</v>
      </c>
      <c r="G1222" s="413">
        <v>97226.0</v>
      </c>
      <c r="H1222" s="349" t="s">
        <v>267</v>
      </c>
      <c r="I1222" s="402"/>
      <c r="J1222" s="402"/>
      <c r="K1222" s="402"/>
      <c r="L1222" s="402"/>
      <c r="M1222" s="402"/>
      <c r="N1222" s="402"/>
      <c r="O1222" s="402"/>
      <c r="P1222" s="402"/>
      <c r="Q1222" s="402"/>
      <c r="R1222" s="402"/>
      <c r="S1222" s="402"/>
      <c r="T1222" s="402"/>
      <c r="U1222" s="402"/>
      <c r="V1222" s="402"/>
      <c r="W1222" s="402"/>
      <c r="X1222" s="402"/>
      <c r="Y1222" s="402"/>
      <c r="Z1222" s="402"/>
    </row>
    <row r="1223" ht="14.25" customHeight="1">
      <c r="A1223" s="697">
        <v>45531.0</v>
      </c>
      <c r="B1223" s="1015" t="s">
        <v>4547</v>
      </c>
      <c r="C1223" s="1015" t="s">
        <v>4548</v>
      </c>
      <c r="D1223" s="623" t="s">
        <v>59</v>
      </c>
      <c r="E1223" s="1016" t="s">
        <v>273</v>
      </c>
      <c r="F1223" s="651">
        <v>617498.61</v>
      </c>
      <c r="G1223" s="1017"/>
      <c r="H1223" s="349" t="s">
        <v>5533</v>
      </c>
      <c r="I1223" s="402"/>
      <c r="J1223" s="402"/>
      <c r="K1223" s="402"/>
      <c r="L1223" s="402"/>
      <c r="M1223" s="402"/>
      <c r="N1223" s="402"/>
      <c r="O1223" s="402"/>
      <c r="P1223" s="402"/>
      <c r="Q1223" s="402"/>
      <c r="R1223" s="402"/>
      <c r="S1223" s="402"/>
      <c r="T1223" s="402"/>
      <c r="U1223" s="402"/>
      <c r="V1223" s="402"/>
      <c r="W1223" s="402"/>
      <c r="X1223" s="402"/>
      <c r="Y1223" s="402"/>
      <c r="Z1223" s="402"/>
    </row>
    <row r="1224" ht="14.25" customHeight="1">
      <c r="A1224" s="697">
        <v>45531.0</v>
      </c>
      <c r="B1224" s="1015" t="s">
        <v>5070</v>
      </c>
      <c r="C1224" s="1015" t="s">
        <v>4859</v>
      </c>
      <c r="D1224" s="623" t="s">
        <v>75</v>
      </c>
      <c r="E1224" s="1016" t="s">
        <v>578</v>
      </c>
      <c r="F1224" s="651">
        <v>1737025.0</v>
      </c>
      <c r="G1224" s="1017"/>
      <c r="H1224" s="349" t="s">
        <v>5525</v>
      </c>
      <c r="I1224" s="402"/>
      <c r="J1224" s="402"/>
      <c r="K1224" s="402"/>
      <c r="L1224" s="402"/>
      <c r="M1224" s="402"/>
      <c r="N1224" s="402"/>
      <c r="O1224" s="402"/>
      <c r="P1224" s="402"/>
      <c r="Q1224" s="402"/>
      <c r="R1224" s="402"/>
      <c r="S1224" s="402"/>
      <c r="T1224" s="402"/>
      <c r="U1224" s="402"/>
      <c r="V1224" s="402"/>
      <c r="W1224" s="402"/>
      <c r="X1224" s="402"/>
      <c r="Y1224" s="402"/>
      <c r="Z1224" s="402"/>
    </row>
    <row r="1225" ht="14.25" customHeight="1">
      <c r="A1225" s="1001">
        <v>45531.0</v>
      </c>
      <c r="B1225" s="1008" t="s">
        <v>4545</v>
      </c>
      <c r="C1225" s="1008" t="s">
        <v>4546</v>
      </c>
      <c r="D1225" s="642" t="s">
        <v>59</v>
      </c>
      <c r="E1225" s="1009" t="s">
        <v>273</v>
      </c>
      <c r="F1225" s="1010">
        <v>1118762.58</v>
      </c>
      <c r="G1225" s="403"/>
      <c r="H1225" s="349" t="s">
        <v>5534</v>
      </c>
      <c r="I1225" s="402"/>
      <c r="J1225" s="402"/>
      <c r="K1225" s="402"/>
      <c r="L1225" s="402"/>
      <c r="M1225" s="402"/>
      <c r="N1225" s="402"/>
      <c r="O1225" s="402"/>
      <c r="P1225" s="402"/>
      <c r="Q1225" s="402"/>
      <c r="R1225" s="402"/>
      <c r="S1225" s="402"/>
      <c r="T1225" s="402"/>
      <c r="U1225" s="402"/>
      <c r="V1225" s="402"/>
      <c r="W1225" s="402"/>
      <c r="X1225" s="402"/>
      <c r="Y1225" s="402"/>
      <c r="Z1225" s="402"/>
    </row>
    <row r="1226" ht="14.25" customHeight="1">
      <c r="A1226" s="697"/>
      <c r="B1226" s="863"/>
      <c r="C1226" s="863"/>
      <c r="D1226" s="867"/>
      <c r="E1226" s="868"/>
      <c r="F1226" s="865"/>
      <c r="G1226" s="403"/>
      <c r="H1226" s="402"/>
      <c r="I1226" s="402"/>
      <c r="J1226" s="402"/>
      <c r="K1226" s="402"/>
      <c r="L1226" s="402"/>
      <c r="M1226" s="402"/>
      <c r="N1226" s="402"/>
      <c r="O1226" s="402"/>
      <c r="P1226" s="402"/>
      <c r="Q1226" s="402"/>
      <c r="R1226" s="402"/>
      <c r="S1226" s="402"/>
      <c r="T1226" s="402"/>
      <c r="U1226" s="402"/>
      <c r="V1226" s="402"/>
      <c r="W1226" s="402"/>
      <c r="X1226" s="402"/>
      <c r="Y1226" s="402"/>
      <c r="Z1226" s="402"/>
    </row>
    <row r="1227" ht="14.25" customHeight="1">
      <c r="A1227" s="697"/>
      <c r="B1227" s="863"/>
      <c r="C1227" s="863"/>
      <c r="D1227" s="867"/>
      <c r="E1227" s="868"/>
      <c r="F1227" s="865"/>
      <c r="G1227" s="403"/>
      <c r="H1227" s="402"/>
      <c r="I1227" s="402"/>
      <c r="J1227" s="402"/>
      <c r="K1227" s="402"/>
      <c r="L1227" s="402"/>
      <c r="M1227" s="402"/>
      <c r="N1227" s="402"/>
      <c r="O1227" s="402"/>
      <c r="P1227" s="402"/>
      <c r="Q1227" s="402"/>
      <c r="R1227" s="402"/>
      <c r="S1227" s="402"/>
      <c r="T1227" s="402"/>
      <c r="U1227" s="402"/>
      <c r="V1227" s="402"/>
      <c r="W1227" s="402"/>
      <c r="X1227" s="402"/>
      <c r="Y1227" s="402"/>
      <c r="Z1227" s="402"/>
    </row>
    <row r="1228" ht="14.25" customHeight="1">
      <c r="A1228" s="697">
        <v>45532.0</v>
      </c>
      <c r="B1228" s="512" t="s">
        <v>5535</v>
      </c>
      <c r="C1228" s="512" t="s">
        <v>5536</v>
      </c>
      <c r="D1228" s="512" t="s">
        <v>54</v>
      </c>
      <c r="E1228" s="689" t="s">
        <v>5037</v>
      </c>
      <c r="F1228" s="1012">
        <v>38323.0</v>
      </c>
      <c r="G1228" s="403"/>
      <c r="H1228" s="349" t="s">
        <v>2389</v>
      </c>
      <c r="I1228" s="402"/>
      <c r="J1228" s="402"/>
      <c r="K1228" s="402"/>
      <c r="L1228" s="402"/>
      <c r="M1228" s="402"/>
      <c r="N1228" s="402"/>
      <c r="O1228" s="402"/>
      <c r="P1228" s="402"/>
      <c r="Q1228" s="402"/>
      <c r="R1228" s="402"/>
      <c r="S1228" s="402"/>
      <c r="T1228" s="402"/>
      <c r="U1228" s="402"/>
      <c r="V1228" s="402"/>
      <c r="W1228" s="402"/>
      <c r="X1228" s="402"/>
      <c r="Y1228" s="402"/>
      <c r="Z1228" s="402"/>
    </row>
    <row r="1229" ht="14.25" customHeight="1">
      <c r="A1229" s="697">
        <v>45532.0</v>
      </c>
      <c r="B1229" s="513" t="s">
        <v>4981</v>
      </c>
      <c r="C1229" s="513" t="s">
        <v>4982</v>
      </c>
      <c r="D1229" s="513" t="s">
        <v>54</v>
      </c>
      <c r="E1229" s="689" t="s">
        <v>4913</v>
      </c>
      <c r="F1229" s="1013">
        <v>121150.0</v>
      </c>
      <c r="G1229" s="413">
        <v>121150.0</v>
      </c>
      <c r="H1229" s="349" t="s">
        <v>5537</v>
      </c>
      <c r="I1229" s="402"/>
      <c r="J1229" s="402"/>
      <c r="K1229" s="402"/>
      <c r="L1229" s="402"/>
      <c r="M1229" s="402"/>
      <c r="N1229" s="402"/>
      <c r="O1229" s="402"/>
      <c r="P1229" s="402"/>
      <c r="Q1229" s="402"/>
      <c r="R1229" s="402"/>
      <c r="S1229" s="402"/>
      <c r="T1229" s="402"/>
      <c r="U1229" s="402"/>
      <c r="V1229" s="402"/>
      <c r="W1229" s="402"/>
      <c r="X1229" s="402"/>
      <c r="Y1229" s="402"/>
      <c r="Z1229" s="402"/>
    </row>
    <row r="1230" ht="14.25" customHeight="1">
      <c r="A1230" s="697">
        <v>45532.0</v>
      </c>
      <c r="B1230" s="513" t="s">
        <v>4983</v>
      </c>
      <c r="C1230" s="513" t="s">
        <v>4860</v>
      </c>
      <c r="D1230" s="513" t="s">
        <v>54</v>
      </c>
      <c r="E1230" s="689" t="s">
        <v>5037</v>
      </c>
      <c r="F1230" s="1013">
        <v>51790.24</v>
      </c>
      <c r="G1230" s="403"/>
      <c r="H1230" s="349" t="s">
        <v>2389</v>
      </c>
      <c r="I1230" s="402"/>
      <c r="J1230" s="402"/>
      <c r="K1230" s="402"/>
      <c r="L1230" s="402"/>
      <c r="M1230" s="402"/>
      <c r="N1230" s="402"/>
      <c r="O1230" s="402"/>
      <c r="P1230" s="402"/>
      <c r="Q1230" s="402"/>
      <c r="R1230" s="402"/>
      <c r="S1230" s="402"/>
      <c r="T1230" s="402"/>
      <c r="U1230" s="402"/>
      <c r="V1230" s="402"/>
      <c r="W1230" s="402"/>
      <c r="X1230" s="402"/>
      <c r="Y1230" s="402"/>
      <c r="Z1230" s="402"/>
    </row>
    <row r="1231" ht="14.25" customHeight="1">
      <c r="A1231" s="697">
        <v>45532.0</v>
      </c>
      <c r="B1231" s="512" t="s">
        <v>5515</v>
      </c>
      <c r="C1231" s="512" t="s">
        <v>4910</v>
      </c>
      <c r="D1231" s="867" t="s">
        <v>413</v>
      </c>
      <c r="E1231" s="689" t="s">
        <v>4913</v>
      </c>
      <c r="F1231" s="1012">
        <v>1100000.0</v>
      </c>
      <c r="G1231" s="403"/>
      <c r="H1231" s="349" t="s">
        <v>2389</v>
      </c>
      <c r="I1231" s="402"/>
      <c r="J1231" s="402"/>
      <c r="K1231" s="402"/>
      <c r="L1231" s="402"/>
      <c r="M1231" s="402"/>
      <c r="N1231" s="402"/>
      <c r="O1231" s="402"/>
      <c r="P1231" s="402"/>
      <c r="Q1231" s="402"/>
      <c r="R1231" s="402"/>
      <c r="S1231" s="402"/>
      <c r="T1231" s="402"/>
      <c r="U1231" s="402"/>
      <c r="V1231" s="402"/>
      <c r="W1231" s="402"/>
      <c r="X1231" s="402"/>
      <c r="Y1231" s="402"/>
      <c r="Z1231" s="402"/>
    </row>
    <row r="1232" ht="14.25" customHeight="1">
      <c r="A1232" s="697">
        <v>45532.0</v>
      </c>
      <c r="B1232" s="513" t="s">
        <v>4956</v>
      </c>
      <c r="C1232" s="513" t="s">
        <v>4976</v>
      </c>
      <c r="D1232" s="816" t="s">
        <v>1030</v>
      </c>
      <c r="E1232" s="689" t="s">
        <v>4913</v>
      </c>
      <c r="F1232" s="1013">
        <v>58813.54</v>
      </c>
      <c r="G1232" s="413">
        <v>82000.0</v>
      </c>
      <c r="H1232" s="349" t="s">
        <v>5538</v>
      </c>
      <c r="I1232" s="402"/>
      <c r="J1232" s="402"/>
      <c r="K1232" s="402"/>
      <c r="L1232" s="402"/>
      <c r="M1232" s="402"/>
      <c r="N1232" s="402"/>
      <c r="O1232" s="402"/>
      <c r="P1232" s="402"/>
      <c r="Q1232" s="402"/>
      <c r="R1232" s="402"/>
      <c r="S1232" s="402"/>
      <c r="T1232" s="402"/>
      <c r="U1232" s="402"/>
      <c r="V1232" s="402"/>
      <c r="W1232" s="402"/>
      <c r="X1232" s="402"/>
      <c r="Y1232" s="402"/>
      <c r="Z1232" s="402"/>
    </row>
    <row r="1233" ht="14.25" customHeight="1">
      <c r="A1233" s="697">
        <v>45532.0</v>
      </c>
      <c r="B1233" s="513" t="s">
        <v>4958</v>
      </c>
      <c r="C1233" s="513" t="s">
        <v>5007</v>
      </c>
      <c r="D1233" s="816" t="s">
        <v>1030</v>
      </c>
      <c r="E1233" s="689" t="s">
        <v>5037</v>
      </c>
      <c r="F1233" s="1013">
        <v>11753.12</v>
      </c>
      <c r="G1233" s="403"/>
      <c r="H1233" s="402"/>
      <c r="I1233" s="402"/>
      <c r="J1233" s="402"/>
      <c r="K1233" s="402"/>
      <c r="L1233" s="402"/>
      <c r="M1233" s="402"/>
      <c r="N1233" s="402"/>
      <c r="O1233" s="402"/>
      <c r="P1233" s="402"/>
      <c r="Q1233" s="402"/>
      <c r="R1233" s="402"/>
      <c r="S1233" s="402"/>
      <c r="T1233" s="402"/>
      <c r="U1233" s="402"/>
      <c r="V1233" s="402"/>
      <c r="W1233" s="402"/>
      <c r="X1233" s="402"/>
      <c r="Y1233" s="402"/>
      <c r="Z1233" s="402"/>
    </row>
    <row r="1234" ht="14.25" customHeight="1">
      <c r="A1234" s="697">
        <v>45532.0</v>
      </c>
      <c r="B1234" s="815" t="s">
        <v>5127</v>
      </c>
      <c r="C1234" s="816" t="s">
        <v>5211</v>
      </c>
      <c r="D1234" s="597" t="s">
        <v>54</v>
      </c>
      <c r="E1234" s="689" t="s">
        <v>4895</v>
      </c>
      <c r="F1234" s="1014">
        <v>34201.04</v>
      </c>
      <c r="G1234" s="403"/>
      <c r="H1234" s="402"/>
      <c r="I1234" s="402"/>
      <c r="J1234" s="402"/>
      <c r="K1234" s="402"/>
      <c r="L1234" s="402"/>
      <c r="M1234" s="402"/>
      <c r="N1234" s="402"/>
      <c r="O1234" s="402"/>
      <c r="P1234" s="402"/>
      <c r="Q1234" s="402"/>
      <c r="R1234" s="402"/>
      <c r="S1234" s="402"/>
      <c r="T1234" s="402"/>
      <c r="U1234" s="402"/>
      <c r="V1234" s="402"/>
      <c r="W1234" s="402"/>
      <c r="X1234" s="402"/>
      <c r="Y1234" s="402"/>
      <c r="Z1234" s="402"/>
    </row>
    <row r="1235" ht="14.25" customHeight="1">
      <c r="A1235" s="697">
        <v>45532.0</v>
      </c>
      <c r="B1235" s="815" t="s">
        <v>4893</v>
      </c>
      <c r="C1235" s="816" t="s">
        <v>4894</v>
      </c>
      <c r="D1235" s="597" t="s">
        <v>54</v>
      </c>
      <c r="E1235" s="689" t="s">
        <v>4895</v>
      </c>
      <c r="F1235" s="1014">
        <v>55004.84</v>
      </c>
      <c r="G1235" s="403"/>
      <c r="H1235" s="349" t="s">
        <v>5539</v>
      </c>
      <c r="I1235" s="402"/>
      <c r="J1235" s="402"/>
      <c r="K1235" s="402"/>
      <c r="L1235" s="402"/>
      <c r="M1235" s="402"/>
      <c r="N1235" s="402"/>
      <c r="O1235" s="402"/>
      <c r="P1235" s="402"/>
      <c r="Q1235" s="402"/>
      <c r="R1235" s="402"/>
      <c r="S1235" s="402"/>
      <c r="T1235" s="402"/>
      <c r="U1235" s="402"/>
      <c r="V1235" s="402"/>
      <c r="W1235" s="402"/>
      <c r="X1235" s="402"/>
      <c r="Y1235" s="402"/>
      <c r="Z1235" s="402"/>
    </row>
    <row r="1236" ht="14.25" customHeight="1">
      <c r="A1236" s="697">
        <v>45532.0</v>
      </c>
      <c r="B1236" s="815" t="s">
        <v>5212</v>
      </c>
      <c r="C1236" s="816" t="s">
        <v>5213</v>
      </c>
      <c r="D1236" s="597" t="s">
        <v>54</v>
      </c>
      <c r="E1236" s="689" t="s">
        <v>5497</v>
      </c>
      <c r="F1236" s="1014">
        <v>22237.99</v>
      </c>
      <c r="G1236" s="403"/>
      <c r="H1236" s="349" t="s">
        <v>5540</v>
      </c>
      <c r="I1236" s="402"/>
      <c r="J1236" s="402"/>
      <c r="K1236" s="402"/>
      <c r="L1236" s="402"/>
      <c r="M1236" s="402"/>
      <c r="N1236" s="402"/>
      <c r="O1236" s="402"/>
      <c r="P1236" s="402"/>
      <c r="Q1236" s="402"/>
      <c r="R1236" s="402"/>
      <c r="S1236" s="402"/>
      <c r="T1236" s="402"/>
      <c r="U1236" s="402"/>
      <c r="V1236" s="402"/>
      <c r="W1236" s="402"/>
      <c r="X1236" s="402"/>
      <c r="Y1236" s="402"/>
      <c r="Z1236" s="402"/>
    </row>
    <row r="1237" ht="14.25" customHeight="1">
      <c r="A1237" s="697">
        <v>45532.0</v>
      </c>
      <c r="B1237" s="815" t="s">
        <v>4815</v>
      </c>
      <c r="C1237" s="816" t="s">
        <v>4859</v>
      </c>
      <c r="D1237" s="597" t="s">
        <v>54</v>
      </c>
      <c r="E1237" s="689" t="s">
        <v>5497</v>
      </c>
      <c r="F1237" s="1014">
        <v>191455.34</v>
      </c>
      <c r="G1237" s="403"/>
      <c r="H1237" s="402"/>
      <c r="I1237" s="402"/>
      <c r="J1237" s="402"/>
      <c r="K1237" s="402"/>
      <c r="L1237" s="402"/>
      <c r="M1237" s="402"/>
      <c r="N1237" s="402"/>
      <c r="O1237" s="402"/>
      <c r="P1237" s="402"/>
      <c r="Q1237" s="402"/>
      <c r="R1237" s="402"/>
      <c r="S1237" s="402"/>
      <c r="T1237" s="402"/>
      <c r="U1237" s="402"/>
      <c r="V1237" s="402"/>
      <c r="W1237" s="402"/>
      <c r="X1237" s="402"/>
      <c r="Y1237" s="402"/>
      <c r="Z1237" s="402"/>
    </row>
    <row r="1238" ht="14.25" customHeight="1">
      <c r="A1238" s="697">
        <v>45532.0</v>
      </c>
      <c r="B1238" s="815" t="s">
        <v>5363</v>
      </c>
      <c r="C1238" s="816" t="s">
        <v>5222</v>
      </c>
      <c r="D1238" s="597" t="s">
        <v>54</v>
      </c>
      <c r="E1238" s="65" t="s">
        <v>4895</v>
      </c>
      <c r="F1238" s="1014">
        <v>225787.15</v>
      </c>
      <c r="G1238" s="403"/>
      <c r="H1238" s="402"/>
      <c r="I1238" s="402"/>
      <c r="J1238" s="402"/>
      <c r="K1238" s="402"/>
      <c r="L1238" s="402"/>
      <c r="M1238" s="402"/>
      <c r="N1238" s="402"/>
      <c r="O1238" s="402"/>
      <c r="P1238" s="402"/>
      <c r="Q1238" s="402"/>
      <c r="R1238" s="402"/>
      <c r="S1238" s="402"/>
      <c r="T1238" s="402"/>
      <c r="U1238" s="402"/>
      <c r="V1238" s="402"/>
      <c r="W1238" s="402"/>
      <c r="X1238" s="402"/>
      <c r="Y1238" s="402"/>
      <c r="Z1238" s="402"/>
    </row>
    <row r="1239" ht="14.25" customHeight="1">
      <c r="A1239" s="697">
        <v>45532.0</v>
      </c>
      <c r="B1239" s="815" t="s">
        <v>5366</v>
      </c>
      <c r="C1239" s="816" t="s">
        <v>5367</v>
      </c>
      <c r="D1239" s="597" t="s">
        <v>75</v>
      </c>
      <c r="E1239" s="689" t="s">
        <v>4895</v>
      </c>
      <c r="F1239" s="1014">
        <v>131850.0</v>
      </c>
      <c r="G1239" s="403"/>
      <c r="H1239" s="402"/>
      <c r="I1239" s="402"/>
      <c r="J1239" s="402"/>
      <c r="K1239" s="402"/>
      <c r="L1239" s="402"/>
      <c r="M1239" s="402"/>
      <c r="N1239" s="402"/>
      <c r="O1239" s="402"/>
      <c r="P1239" s="402"/>
      <c r="Q1239" s="402"/>
      <c r="R1239" s="402"/>
      <c r="S1239" s="402"/>
      <c r="T1239" s="402"/>
      <c r="U1239" s="402"/>
      <c r="V1239" s="402"/>
      <c r="W1239" s="402"/>
      <c r="X1239" s="402"/>
      <c r="Y1239" s="402"/>
      <c r="Z1239" s="402"/>
    </row>
    <row r="1240" ht="14.25" customHeight="1">
      <c r="A1240" s="697">
        <v>45532.0</v>
      </c>
      <c r="B1240" s="815" t="s">
        <v>5397</v>
      </c>
      <c r="C1240" s="816" t="s">
        <v>5205</v>
      </c>
      <c r="D1240" s="597" t="s">
        <v>75</v>
      </c>
      <c r="E1240" s="689" t="s">
        <v>4895</v>
      </c>
      <c r="F1240" s="1014">
        <v>181500.0</v>
      </c>
      <c r="G1240" s="413">
        <v>20000.0</v>
      </c>
      <c r="H1240" s="349" t="s">
        <v>5541</v>
      </c>
      <c r="I1240" s="402"/>
      <c r="J1240" s="402"/>
      <c r="K1240" s="402"/>
      <c r="L1240" s="402"/>
      <c r="M1240" s="402"/>
      <c r="N1240" s="402"/>
      <c r="O1240" s="402"/>
      <c r="P1240" s="402"/>
      <c r="Q1240" s="402"/>
      <c r="R1240" s="402"/>
      <c r="S1240" s="402"/>
      <c r="T1240" s="402"/>
      <c r="U1240" s="402"/>
      <c r="V1240" s="402"/>
      <c r="W1240" s="402"/>
      <c r="X1240" s="402"/>
      <c r="Y1240" s="402"/>
      <c r="Z1240" s="402"/>
    </row>
    <row r="1241" ht="14.25" customHeight="1">
      <c r="A1241" s="697">
        <v>45532.0</v>
      </c>
      <c r="B1241" s="815" t="s">
        <v>5488</v>
      </c>
      <c r="C1241" s="816" t="s">
        <v>4860</v>
      </c>
      <c r="D1241" s="597" t="s">
        <v>75</v>
      </c>
      <c r="E1241" s="689" t="s">
        <v>5497</v>
      </c>
      <c r="F1241" s="1014">
        <v>169050.0</v>
      </c>
      <c r="G1241" s="403"/>
      <c r="H1241" s="349" t="s">
        <v>5542</v>
      </c>
      <c r="I1241" s="402"/>
      <c r="J1241" s="402"/>
      <c r="K1241" s="402"/>
      <c r="L1241" s="402"/>
      <c r="M1241" s="402"/>
      <c r="N1241" s="402"/>
      <c r="O1241" s="402"/>
      <c r="P1241" s="402"/>
      <c r="Q1241" s="402"/>
      <c r="R1241" s="402"/>
      <c r="S1241" s="402"/>
      <c r="T1241" s="402"/>
      <c r="U1241" s="402"/>
      <c r="V1241" s="402"/>
      <c r="W1241" s="402"/>
      <c r="X1241" s="402"/>
      <c r="Y1241" s="402"/>
      <c r="Z1241" s="402"/>
    </row>
    <row r="1242" ht="14.25" customHeight="1">
      <c r="A1242" s="697">
        <v>45532.0</v>
      </c>
      <c r="B1242" s="815" t="s">
        <v>5512</v>
      </c>
      <c r="C1242" s="816" t="s">
        <v>5459</v>
      </c>
      <c r="D1242" s="597" t="s">
        <v>75</v>
      </c>
      <c r="E1242" s="689" t="s">
        <v>4895</v>
      </c>
      <c r="F1242" s="1014">
        <v>172500.0</v>
      </c>
      <c r="G1242" s="403"/>
      <c r="H1242" s="349" t="s">
        <v>5543</v>
      </c>
      <c r="I1242" s="402"/>
      <c r="J1242" s="402"/>
      <c r="K1242" s="402"/>
      <c r="L1242" s="402"/>
      <c r="M1242" s="402"/>
      <c r="N1242" s="402"/>
      <c r="O1242" s="402"/>
      <c r="P1242" s="402"/>
      <c r="Q1242" s="402"/>
      <c r="R1242" s="402"/>
      <c r="S1242" s="402"/>
      <c r="T1242" s="402"/>
      <c r="U1242" s="402"/>
      <c r="V1242" s="402"/>
      <c r="W1242" s="402"/>
      <c r="X1242" s="402"/>
      <c r="Y1242" s="402"/>
      <c r="Z1242" s="402"/>
    </row>
    <row r="1243" ht="14.25" customHeight="1">
      <c r="A1243" s="697">
        <v>45532.0</v>
      </c>
      <c r="B1243" s="863" t="s">
        <v>5070</v>
      </c>
      <c r="C1243" s="1018" t="s">
        <v>4859</v>
      </c>
      <c r="D1243" s="642" t="s">
        <v>75</v>
      </c>
      <c r="E1243" s="689" t="s">
        <v>4895</v>
      </c>
      <c r="F1243" s="1019">
        <v>1737025.0</v>
      </c>
      <c r="G1243" s="403"/>
      <c r="H1243" s="349" t="s">
        <v>5544</v>
      </c>
      <c r="I1243" s="402"/>
      <c r="J1243" s="402"/>
      <c r="K1243" s="402"/>
      <c r="L1243" s="402"/>
      <c r="M1243" s="402"/>
      <c r="N1243" s="402"/>
      <c r="O1243" s="402"/>
      <c r="P1243" s="402"/>
      <c r="Q1243" s="402"/>
      <c r="R1243" s="402"/>
      <c r="S1243" s="402"/>
      <c r="T1243" s="402"/>
      <c r="U1243" s="402"/>
      <c r="V1243" s="402"/>
      <c r="W1243" s="402"/>
      <c r="X1243" s="402"/>
      <c r="Y1243" s="402"/>
      <c r="Z1243" s="402"/>
    </row>
    <row r="1244" ht="14.25" customHeight="1">
      <c r="A1244" s="697">
        <v>45532.0</v>
      </c>
      <c r="B1244" s="815" t="s">
        <v>5075</v>
      </c>
      <c r="C1244" s="816" t="s">
        <v>5237</v>
      </c>
      <c r="D1244" s="597" t="s">
        <v>75</v>
      </c>
      <c r="E1244" s="689" t="s">
        <v>5037</v>
      </c>
      <c r="F1244" s="1014">
        <v>36000.0</v>
      </c>
      <c r="G1244" s="413">
        <v>36000.0</v>
      </c>
      <c r="H1244" s="349" t="s">
        <v>5545</v>
      </c>
      <c r="I1244" s="402"/>
      <c r="J1244" s="402"/>
      <c r="K1244" s="402"/>
      <c r="L1244" s="402"/>
      <c r="M1244" s="402"/>
      <c r="N1244" s="402"/>
      <c r="O1244" s="402"/>
      <c r="P1244" s="402"/>
      <c r="Q1244" s="402"/>
      <c r="R1244" s="402"/>
      <c r="S1244" s="402"/>
      <c r="T1244" s="402"/>
      <c r="U1244" s="402"/>
      <c r="V1244" s="402"/>
      <c r="W1244" s="402"/>
      <c r="X1244" s="402"/>
      <c r="Y1244" s="402"/>
      <c r="Z1244" s="402"/>
    </row>
    <row r="1245" ht="14.25" customHeight="1">
      <c r="A1245" s="697">
        <v>45532.0</v>
      </c>
      <c r="B1245" s="1015" t="s">
        <v>5546</v>
      </c>
      <c r="C1245" s="1015" t="s">
        <v>5547</v>
      </c>
      <c r="D1245" s="623" t="s">
        <v>1030</v>
      </c>
      <c r="E1245" s="1009" t="s">
        <v>4890</v>
      </c>
      <c r="F1245" s="1020">
        <v>113360.0</v>
      </c>
      <c r="G1245" s="413">
        <v>113360.0</v>
      </c>
      <c r="H1245" s="349" t="s">
        <v>5548</v>
      </c>
      <c r="I1245" s="402"/>
      <c r="J1245" s="402"/>
      <c r="K1245" s="402"/>
      <c r="L1245" s="402"/>
      <c r="M1245" s="402"/>
      <c r="N1245" s="402"/>
      <c r="O1245" s="402"/>
      <c r="P1245" s="402"/>
      <c r="Q1245" s="402"/>
      <c r="R1245" s="402"/>
      <c r="S1245" s="402"/>
      <c r="T1245" s="402"/>
      <c r="U1245" s="402"/>
      <c r="V1245" s="402"/>
      <c r="W1245" s="402"/>
      <c r="X1245" s="402"/>
      <c r="Y1245" s="402"/>
      <c r="Z1245" s="402"/>
    </row>
    <row r="1246" ht="14.25" customHeight="1">
      <c r="A1246" s="697">
        <v>45532.0</v>
      </c>
      <c r="B1246" s="863" t="s">
        <v>4878</v>
      </c>
      <c r="C1246" s="863" t="s">
        <v>5549</v>
      </c>
      <c r="D1246" s="867" t="s">
        <v>1030</v>
      </c>
      <c r="E1246" s="689" t="s">
        <v>4895</v>
      </c>
      <c r="F1246" s="865">
        <v>6121.0</v>
      </c>
      <c r="G1246" s="413">
        <v>6121.0</v>
      </c>
      <c r="H1246" s="349" t="s">
        <v>5550</v>
      </c>
      <c r="I1246" s="402"/>
      <c r="J1246" s="402"/>
      <c r="K1246" s="402"/>
      <c r="L1246" s="402"/>
      <c r="M1246" s="402"/>
      <c r="N1246" s="402"/>
      <c r="O1246" s="402"/>
      <c r="P1246" s="402"/>
      <c r="Q1246" s="402"/>
      <c r="R1246" s="402"/>
      <c r="S1246" s="402"/>
      <c r="T1246" s="402"/>
      <c r="U1246" s="402"/>
      <c r="V1246" s="402"/>
      <c r="W1246" s="402"/>
      <c r="X1246" s="402"/>
      <c r="Y1246" s="402"/>
      <c r="Z1246" s="402"/>
    </row>
    <row r="1247" ht="14.25" customHeight="1">
      <c r="A1247" s="697"/>
      <c r="B1247" s="863"/>
      <c r="C1247" s="863"/>
      <c r="D1247" s="867"/>
      <c r="E1247" s="868"/>
      <c r="F1247" s="865"/>
      <c r="G1247" s="403"/>
      <c r="H1247" s="402"/>
      <c r="I1247" s="402"/>
      <c r="J1247" s="402"/>
      <c r="K1247" s="402"/>
      <c r="L1247" s="402"/>
      <c r="M1247" s="402"/>
      <c r="N1247" s="402"/>
      <c r="O1247" s="402"/>
      <c r="P1247" s="402"/>
      <c r="Q1247" s="402"/>
      <c r="R1247" s="402"/>
      <c r="S1247" s="402"/>
      <c r="T1247" s="402"/>
      <c r="U1247" s="402"/>
      <c r="V1247" s="402"/>
      <c r="W1247" s="402"/>
      <c r="X1247" s="402"/>
      <c r="Y1247" s="402"/>
      <c r="Z1247" s="402"/>
    </row>
    <row r="1248" ht="14.25" customHeight="1">
      <c r="A1248" s="697"/>
      <c r="B1248" s="863"/>
      <c r="C1248" s="863"/>
      <c r="D1248" s="867"/>
      <c r="E1248" s="868"/>
      <c r="F1248" s="865"/>
      <c r="G1248" s="403"/>
      <c r="H1248" s="402"/>
      <c r="I1248" s="402"/>
      <c r="J1248" s="402"/>
      <c r="K1248" s="402"/>
      <c r="L1248" s="402"/>
      <c r="M1248" s="402"/>
      <c r="N1248" s="402"/>
      <c r="O1248" s="402"/>
      <c r="P1248" s="402"/>
      <c r="Q1248" s="402"/>
      <c r="R1248" s="402"/>
      <c r="S1248" s="402"/>
      <c r="T1248" s="402"/>
      <c r="U1248" s="402"/>
      <c r="V1248" s="402"/>
      <c r="W1248" s="402"/>
      <c r="X1248" s="402"/>
      <c r="Y1248" s="402"/>
      <c r="Z1248" s="402"/>
    </row>
    <row r="1249" ht="14.25" customHeight="1">
      <c r="A1249" s="697"/>
      <c r="B1249" s="863"/>
      <c r="C1249" s="863"/>
      <c r="D1249" s="867"/>
      <c r="E1249" s="868"/>
      <c r="F1249" s="865"/>
      <c r="G1249" s="403"/>
      <c r="H1249" s="402"/>
      <c r="I1249" s="402"/>
      <c r="J1249" s="402"/>
      <c r="K1249" s="402"/>
      <c r="L1249" s="402"/>
      <c r="M1249" s="402"/>
      <c r="N1249" s="402"/>
      <c r="O1249" s="402"/>
      <c r="P1249" s="402"/>
      <c r="Q1249" s="402"/>
      <c r="R1249" s="402"/>
      <c r="S1249" s="402"/>
      <c r="T1249" s="402"/>
      <c r="U1249" s="402"/>
      <c r="V1249" s="402"/>
      <c r="W1249" s="402"/>
      <c r="X1249" s="402"/>
      <c r="Y1249" s="402"/>
      <c r="Z1249" s="402"/>
    </row>
    <row r="1250" ht="14.25" customHeight="1">
      <c r="A1250" s="896" t="s">
        <v>2130</v>
      </c>
      <c r="B1250" s="997" t="s">
        <v>39</v>
      </c>
      <c r="C1250" s="997" t="s">
        <v>48</v>
      </c>
      <c r="D1250" s="998" t="s">
        <v>49</v>
      </c>
      <c r="E1250" s="862" t="s">
        <v>50</v>
      </c>
      <c r="F1250" s="999" t="s">
        <v>2</v>
      </c>
      <c r="G1250" s="584" t="s">
        <v>44</v>
      </c>
      <c r="H1250" s="584" t="s">
        <v>45</v>
      </c>
      <c r="I1250" s="402"/>
      <c r="J1250" s="402"/>
      <c r="K1250" s="402"/>
      <c r="L1250" s="402"/>
      <c r="M1250" s="402"/>
      <c r="N1250" s="402"/>
      <c r="O1250" s="402"/>
      <c r="P1250" s="402"/>
      <c r="Q1250" s="402"/>
      <c r="R1250" s="402"/>
      <c r="S1250" s="402"/>
      <c r="T1250" s="402"/>
      <c r="U1250" s="402"/>
      <c r="V1250" s="402"/>
      <c r="W1250" s="402"/>
      <c r="X1250" s="402"/>
      <c r="Y1250" s="402"/>
      <c r="Z1250" s="402"/>
    </row>
    <row r="1251" ht="14.25" customHeight="1">
      <c r="A1251" s="697">
        <v>45533.0</v>
      </c>
      <c r="B1251" s="512" t="s">
        <v>4939</v>
      </c>
      <c r="C1251" s="512" t="s">
        <v>4932</v>
      </c>
      <c r="D1251" s="512" t="s">
        <v>54</v>
      </c>
      <c r="E1251" s="689" t="s">
        <v>4913</v>
      </c>
      <c r="F1251" s="1012">
        <v>22166.0</v>
      </c>
      <c r="G1251" s="403"/>
      <c r="H1251" s="349" t="s">
        <v>5551</v>
      </c>
      <c r="I1251" s="402"/>
      <c r="J1251" s="402"/>
      <c r="K1251" s="402"/>
      <c r="L1251" s="402"/>
      <c r="M1251" s="402"/>
      <c r="N1251" s="402"/>
      <c r="O1251" s="402"/>
      <c r="P1251" s="402"/>
      <c r="Q1251" s="402"/>
      <c r="R1251" s="402"/>
      <c r="S1251" s="402"/>
      <c r="T1251" s="402"/>
      <c r="U1251" s="402"/>
      <c r="V1251" s="402"/>
      <c r="W1251" s="402"/>
      <c r="X1251" s="402"/>
      <c r="Y1251" s="402"/>
      <c r="Z1251" s="402"/>
    </row>
    <row r="1252" ht="14.25" customHeight="1">
      <c r="A1252" s="697">
        <v>45533.0</v>
      </c>
      <c r="B1252" s="513" t="s">
        <v>4783</v>
      </c>
      <c r="C1252" s="513" t="s">
        <v>4920</v>
      </c>
      <c r="D1252" s="513" t="s">
        <v>54</v>
      </c>
      <c r="E1252" s="689" t="s">
        <v>5552</v>
      </c>
      <c r="F1252" s="1013">
        <v>96838.98</v>
      </c>
      <c r="G1252" s="403"/>
      <c r="H1252" s="349" t="s">
        <v>3584</v>
      </c>
      <c r="I1252" s="402"/>
      <c r="J1252" s="402"/>
      <c r="K1252" s="402"/>
      <c r="L1252" s="402"/>
      <c r="M1252" s="402"/>
      <c r="N1252" s="402"/>
      <c r="O1252" s="402"/>
      <c r="P1252" s="402"/>
      <c r="Q1252" s="402"/>
      <c r="R1252" s="402"/>
      <c r="S1252" s="402"/>
      <c r="T1252" s="402"/>
      <c r="U1252" s="402"/>
      <c r="V1252" s="402"/>
      <c r="W1252" s="402"/>
      <c r="X1252" s="402"/>
      <c r="Y1252" s="402"/>
      <c r="Z1252" s="402"/>
    </row>
    <row r="1253" ht="14.25" customHeight="1">
      <c r="A1253" s="810">
        <v>45533.0</v>
      </c>
      <c r="B1253" s="512" t="s">
        <v>5553</v>
      </c>
      <c r="C1253" s="512" t="s">
        <v>5165</v>
      </c>
      <c r="D1253" s="513" t="s">
        <v>54</v>
      </c>
      <c r="E1253" s="689" t="s">
        <v>4913</v>
      </c>
      <c r="F1253" s="1012">
        <v>330000.0</v>
      </c>
      <c r="G1253" s="413">
        <v>330000.0</v>
      </c>
      <c r="H1253" s="349" t="s">
        <v>1462</v>
      </c>
      <c r="I1253" s="402"/>
      <c r="J1253" s="402"/>
      <c r="K1253" s="402"/>
      <c r="L1253" s="402"/>
      <c r="M1253" s="402"/>
      <c r="N1253" s="402"/>
      <c r="O1253" s="402"/>
      <c r="P1253" s="402"/>
      <c r="Q1253" s="402"/>
      <c r="R1253" s="402"/>
      <c r="S1253" s="402"/>
      <c r="T1253" s="402"/>
      <c r="U1253" s="402"/>
      <c r="V1253" s="402"/>
      <c r="W1253" s="402"/>
      <c r="X1253" s="402"/>
      <c r="Y1253" s="402"/>
      <c r="Z1253" s="402"/>
    </row>
    <row r="1254" ht="14.25" customHeight="1">
      <c r="A1254" s="810">
        <v>45533.0</v>
      </c>
      <c r="B1254" s="513" t="s">
        <v>5554</v>
      </c>
      <c r="C1254" s="513" t="s">
        <v>5555</v>
      </c>
      <c r="D1254" s="513" t="s">
        <v>54</v>
      </c>
      <c r="E1254" s="689" t="s">
        <v>5037</v>
      </c>
      <c r="F1254" s="1013">
        <v>115000.0</v>
      </c>
      <c r="G1254" s="413">
        <v>115000.0</v>
      </c>
      <c r="H1254" s="349" t="s">
        <v>1462</v>
      </c>
      <c r="I1254" s="402"/>
      <c r="J1254" s="402"/>
      <c r="K1254" s="402"/>
      <c r="L1254" s="402"/>
      <c r="M1254" s="402"/>
      <c r="N1254" s="402"/>
      <c r="O1254" s="402"/>
      <c r="P1254" s="402"/>
      <c r="Q1254" s="402"/>
      <c r="R1254" s="402"/>
      <c r="S1254" s="402"/>
      <c r="T1254" s="402"/>
      <c r="U1254" s="402"/>
      <c r="V1254" s="402"/>
      <c r="W1254" s="402"/>
      <c r="X1254" s="402"/>
      <c r="Y1254" s="402"/>
      <c r="Z1254" s="402"/>
    </row>
    <row r="1255" ht="14.25" customHeight="1">
      <c r="A1255" s="810">
        <v>45533.0</v>
      </c>
      <c r="B1255" s="512" t="s">
        <v>5535</v>
      </c>
      <c r="C1255" s="512" t="s">
        <v>5536</v>
      </c>
      <c r="D1255" s="512" t="s">
        <v>54</v>
      </c>
      <c r="E1255" s="689" t="s">
        <v>5037</v>
      </c>
      <c r="F1255" s="1012">
        <v>38323.0</v>
      </c>
      <c r="G1255" s="403"/>
      <c r="H1255" s="349" t="s">
        <v>5556</v>
      </c>
      <c r="I1255" s="402"/>
      <c r="J1255" s="402"/>
      <c r="K1255" s="402"/>
      <c r="L1255" s="402"/>
      <c r="M1255" s="402"/>
      <c r="N1255" s="402"/>
      <c r="O1255" s="402"/>
      <c r="P1255" s="402"/>
      <c r="Q1255" s="402"/>
      <c r="R1255" s="402"/>
      <c r="S1255" s="402"/>
      <c r="T1255" s="402"/>
      <c r="U1255" s="402"/>
      <c r="V1255" s="402"/>
      <c r="W1255" s="402"/>
      <c r="X1255" s="402"/>
      <c r="Y1255" s="402"/>
      <c r="Z1255" s="402"/>
    </row>
    <row r="1256" ht="14.25" customHeight="1">
      <c r="A1256" s="810">
        <v>45533.0</v>
      </c>
      <c r="B1256" s="513" t="s">
        <v>4983</v>
      </c>
      <c r="C1256" s="513" t="s">
        <v>4860</v>
      </c>
      <c r="D1256" s="513" t="s">
        <v>54</v>
      </c>
      <c r="E1256" s="689" t="s">
        <v>5037</v>
      </c>
      <c r="F1256" s="1013">
        <v>51790.24</v>
      </c>
      <c r="G1256" s="403"/>
      <c r="H1256" s="349" t="s">
        <v>5557</v>
      </c>
      <c r="I1256" s="402"/>
      <c r="J1256" s="402"/>
      <c r="K1256" s="402"/>
      <c r="L1256" s="402"/>
      <c r="M1256" s="402"/>
      <c r="N1256" s="402"/>
      <c r="O1256" s="402"/>
      <c r="P1256" s="402"/>
      <c r="Q1256" s="402"/>
      <c r="R1256" s="402"/>
      <c r="S1256" s="402"/>
      <c r="T1256" s="402"/>
      <c r="U1256" s="402"/>
      <c r="V1256" s="402"/>
      <c r="W1256" s="402"/>
      <c r="X1256" s="402"/>
      <c r="Y1256" s="402"/>
      <c r="Z1256" s="402"/>
    </row>
    <row r="1257" ht="14.25" customHeight="1">
      <c r="A1257" s="810">
        <v>45533.0</v>
      </c>
      <c r="B1257" s="512" t="s">
        <v>5515</v>
      </c>
      <c r="C1257" s="512" t="s">
        <v>4910</v>
      </c>
      <c r="D1257" s="867" t="s">
        <v>413</v>
      </c>
      <c r="E1257" s="689" t="s">
        <v>4913</v>
      </c>
      <c r="F1257" s="1012">
        <v>1100000.0</v>
      </c>
      <c r="G1257" s="413">
        <v>200000.0</v>
      </c>
      <c r="H1257" s="349" t="s">
        <v>5558</v>
      </c>
      <c r="I1257" s="402"/>
      <c r="J1257" s="402"/>
      <c r="K1257" s="402"/>
      <c r="L1257" s="402"/>
      <c r="M1257" s="402"/>
      <c r="N1257" s="402"/>
      <c r="O1257" s="402"/>
      <c r="P1257" s="402"/>
      <c r="Q1257" s="402"/>
      <c r="R1257" s="402"/>
      <c r="S1257" s="402"/>
      <c r="T1257" s="402"/>
      <c r="U1257" s="402"/>
      <c r="V1257" s="402"/>
      <c r="W1257" s="402"/>
      <c r="X1257" s="402"/>
      <c r="Y1257" s="402"/>
      <c r="Z1257" s="402"/>
    </row>
    <row r="1258" ht="14.25" customHeight="1">
      <c r="A1258" s="810">
        <v>45533.0</v>
      </c>
      <c r="B1258" s="513" t="s">
        <v>5221</v>
      </c>
      <c r="C1258" s="513" t="s">
        <v>5222</v>
      </c>
      <c r="D1258" s="816" t="s">
        <v>75</v>
      </c>
      <c r="E1258" s="689" t="s">
        <v>5037</v>
      </c>
      <c r="F1258" s="1013">
        <v>11753.12</v>
      </c>
      <c r="G1258" s="413">
        <v>15000.0</v>
      </c>
      <c r="H1258" s="349" t="s">
        <v>5559</v>
      </c>
      <c r="I1258" s="402"/>
      <c r="J1258" s="402"/>
      <c r="K1258" s="402"/>
      <c r="L1258" s="402"/>
      <c r="M1258" s="402"/>
      <c r="N1258" s="402"/>
      <c r="O1258" s="402"/>
      <c r="P1258" s="402"/>
      <c r="Q1258" s="402"/>
      <c r="R1258" s="402"/>
      <c r="S1258" s="402"/>
      <c r="T1258" s="402"/>
      <c r="U1258" s="402"/>
      <c r="V1258" s="402"/>
      <c r="W1258" s="402"/>
      <c r="X1258" s="402"/>
      <c r="Y1258" s="402"/>
      <c r="Z1258" s="402"/>
    </row>
    <row r="1259" ht="14.25" customHeight="1">
      <c r="A1259" s="810">
        <v>45533.0</v>
      </c>
      <c r="B1259" s="815" t="s">
        <v>5127</v>
      </c>
      <c r="C1259" s="816" t="s">
        <v>5211</v>
      </c>
      <c r="D1259" s="597" t="s">
        <v>54</v>
      </c>
      <c r="E1259" s="689" t="s">
        <v>5552</v>
      </c>
      <c r="F1259" s="1014">
        <v>34201.04</v>
      </c>
      <c r="G1259" s="403"/>
      <c r="H1259" s="349" t="s">
        <v>5560</v>
      </c>
      <c r="I1259" s="402"/>
      <c r="J1259" s="402"/>
      <c r="K1259" s="402"/>
      <c r="L1259" s="402"/>
      <c r="M1259" s="402"/>
      <c r="N1259" s="402"/>
      <c r="O1259" s="402"/>
      <c r="P1259" s="402"/>
      <c r="Q1259" s="402"/>
      <c r="R1259" s="402"/>
      <c r="S1259" s="402"/>
      <c r="T1259" s="402"/>
      <c r="U1259" s="402"/>
      <c r="V1259" s="402"/>
      <c r="W1259" s="402"/>
      <c r="X1259" s="402"/>
      <c r="Y1259" s="402"/>
      <c r="Z1259" s="402"/>
    </row>
    <row r="1260" ht="14.25" customHeight="1">
      <c r="A1260" s="810">
        <v>45533.0</v>
      </c>
      <c r="B1260" s="815" t="s">
        <v>4893</v>
      </c>
      <c r="C1260" s="816" t="s">
        <v>4894</v>
      </c>
      <c r="D1260" s="597" t="s">
        <v>54</v>
      </c>
      <c r="E1260" s="689" t="s">
        <v>4895</v>
      </c>
      <c r="F1260" s="1014">
        <v>55004.84</v>
      </c>
      <c r="G1260" s="403"/>
      <c r="H1260" s="349" t="s">
        <v>5561</v>
      </c>
      <c r="I1260" s="402"/>
      <c r="J1260" s="402"/>
      <c r="K1260" s="402"/>
      <c r="L1260" s="402"/>
      <c r="M1260" s="402"/>
      <c r="N1260" s="402"/>
      <c r="O1260" s="402"/>
      <c r="P1260" s="402"/>
      <c r="Q1260" s="402"/>
      <c r="R1260" s="402"/>
      <c r="S1260" s="402"/>
      <c r="T1260" s="402"/>
      <c r="U1260" s="402"/>
      <c r="V1260" s="402"/>
      <c r="W1260" s="402"/>
      <c r="X1260" s="402"/>
      <c r="Y1260" s="402"/>
      <c r="Z1260" s="402"/>
    </row>
    <row r="1261" ht="14.25" customHeight="1">
      <c r="A1261" s="810">
        <v>45533.0</v>
      </c>
      <c r="B1261" s="815" t="s">
        <v>5212</v>
      </c>
      <c r="C1261" s="816" t="s">
        <v>5213</v>
      </c>
      <c r="D1261" s="597" t="s">
        <v>54</v>
      </c>
      <c r="E1261" s="689" t="s">
        <v>5497</v>
      </c>
      <c r="F1261" s="1014">
        <v>22237.99</v>
      </c>
      <c r="G1261" s="403"/>
      <c r="H1261" s="349" t="s">
        <v>5562</v>
      </c>
      <c r="I1261" s="402"/>
      <c r="J1261" s="402"/>
      <c r="K1261" s="402"/>
      <c r="L1261" s="402"/>
      <c r="M1261" s="402"/>
      <c r="N1261" s="402"/>
      <c r="O1261" s="402"/>
      <c r="P1261" s="402"/>
      <c r="Q1261" s="402"/>
      <c r="R1261" s="402"/>
      <c r="S1261" s="402"/>
      <c r="T1261" s="402"/>
      <c r="U1261" s="402"/>
      <c r="V1261" s="402"/>
      <c r="W1261" s="402"/>
      <c r="X1261" s="402"/>
      <c r="Y1261" s="402"/>
      <c r="Z1261" s="402"/>
    </row>
    <row r="1262" ht="14.25" customHeight="1">
      <c r="A1262" s="810">
        <v>45533.0</v>
      </c>
      <c r="B1262" s="815" t="s">
        <v>4815</v>
      </c>
      <c r="C1262" s="816" t="s">
        <v>4859</v>
      </c>
      <c r="D1262" s="597" t="s">
        <v>54</v>
      </c>
      <c r="E1262" s="689" t="s">
        <v>5497</v>
      </c>
      <c r="F1262" s="1014">
        <v>191455.34</v>
      </c>
      <c r="G1262" s="403"/>
      <c r="H1262" s="349" t="s">
        <v>5563</v>
      </c>
      <c r="I1262" s="402"/>
      <c r="J1262" s="402"/>
      <c r="K1262" s="402"/>
      <c r="L1262" s="402"/>
      <c r="M1262" s="402"/>
      <c r="N1262" s="402"/>
      <c r="O1262" s="402"/>
      <c r="P1262" s="402"/>
      <c r="Q1262" s="402"/>
      <c r="R1262" s="402"/>
      <c r="S1262" s="402"/>
      <c r="T1262" s="402"/>
      <c r="U1262" s="402"/>
      <c r="V1262" s="402"/>
      <c r="W1262" s="402"/>
      <c r="X1262" s="402"/>
      <c r="Y1262" s="402"/>
      <c r="Z1262" s="402"/>
    </row>
    <row r="1263" ht="14.25" customHeight="1">
      <c r="A1263" s="810">
        <v>45533.0</v>
      </c>
      <c r="B1263" s="815" t="s">
        <v>5363</v>
      </c>
      <c r="C1263" s="816" t="s">
        <v>5222</v>
      </c>
      <c r="D1263" s="597" t="s">
        <v>54</v>
      </c>
      <c r="E1263" s="65" t="s">
        <v>4895</v>
      </c>
      <c r="F1263" s="1014">
        <v>225787.15</v>
      </c>
      <c r="G1263" s="403"/>
      <c r="H1263" s="349" t="s">
        <v>5564</v>
      </c>
      <c r="I1263" s="402"/>
      <c r="J1263" s="402"/>
      <c r="K1263" s="402"/>
      <c r="L1263" s="402"/>
      <c r="M1263" s="402"/>
      <c r="N1263" s="402"/>
      <c r="O1263" s="402"/>
      <c r="P1263" s="402"/>
      <c r="Q1263" s="402"/>
      <c r="R1263" s="402"/>
      <c r="S1263" s="402"/>
      <c r="T1263" s="402"/>
      <c r="U1263" s="402"/>
      <c r="V1263" s="402"/>
      <c r="W1263" s="402"/>
      <c r="X1263" s="402"/>
      <c r="Y1263" s="402"/>
      <c r="Z1263" s="402"/>
    </row>
    <row r="1264" ht="14.25" customHeight="1">
      <c r="A1264" s="810">
        <v>45533.0</v>
      </c>
      <c r="B1264" s="815" t="s">
        <v>5366</v>
      </c>
      <c r="C1264" s="816" t="s">
        <v>5367</v>
      </c>
      <c r="D1264" s="597" t="s">
        <v>75</v>
      </c>
      <c r="E1264" s="689" t="s">
        <v>4895</v>
      </c>
      <c r="F1264" s="1014">
        <v>131850.0</v>
      </c>
      <c r="G1264" s="403"/>
      <c r="H1264" s="349" t="s">
        <v>5565</v>
      </c>
      <c r="I1264" s="402"/>
      <c r="J1264" s="402"/>
      <c r="K1264" s="402"/>
      <c r="L1264" s="402"/>
      <c r="M1264" s="402"/>
      <c r="N1264" s="402"/>
      <c r="O1264" s="402"/>
      <c r="P1264" s="402"/>
      <c r="Q1264" s="402"/>
      <c r="R1264" s="402"/>
      <c r="S1264" s="402"/>
      <c r="T1264" s="402"/>
      <c r="U1264" s="402"/>
      <c r="V1264" s="402"/>
      <c r="W1264" s="402"/>
      <c r="X1264" s="402"/>
      <c r="Y1264" s="402"/>
      <c r="Z1264" s="402"/>
    </row>
    <row r="1265" ht="14.25" customHeight="1">
      <c r="A1265" s="810">
        <v>45533.0</v>
      </c>
      <c r="B1265" s="815" t="s">
        <v>5397</v>
      </c>
      <c r="C1265" s="816" t="s">
        <v>5205</v>
      </c>
      <c r="D1265" s="597" t="s">
        <v>75</v>
      </c>
      <c r="E1265" s="689" t="s">
        <v>4895</v>
      </c>
      <c r="F1265" s="1014">
        <v>121500.0</v>
      </c>
      <c r="G1265" s="403"/>
      <c r="H1265" s="349" t="s">
        <v>5566</v>
      </c>
      <c r="I1265" s="402"/>
      <c r="J1265" s="402"/>
      <c r="K1265" s="402"/>
      <c r="L1265" s="402"/>
      <c r="M1265" s="402"/>
      <c r="N1265" s="402"/>
      <c r="O1265" s="402"/>
      <c r="P1265" s="402"/>
      <c r="Q1265" s="402"/>
      <c r="R1265" s="402"/>
      <c r="S1265" s="402"/>
      <c r="T1265" s="402"/>
      <c r="U1265" s="402"/>
      <c r="V1265" s="402"/>
      <c r="W1265" s="402"/>
      <c r="X1265" s="402"/>
      <c r="Y1265" s="402"/>
      <c r="Z1265" s="402"/>
    </row>
    <row r="1266" ht="14.25" customHeight="1">
      <c r="A1266" s="810">
        <v>45533.0</v>
      </c>
      <c r="B1266" s="815" t="s">
        <v>5488</v>
      </c>
      <c r="C1266" s="816" t="s">
        <v>4860</v>
      </c>
      <c r="D1266" s="597" t="s">
        <v>75</v>
      </c>
      <c r="E1266" s="689" t="s">
        <v>5497</v>
      </c>
      <c r="F1266" s="1014">
        <v>169050.0</v>
      </c>
      <c r="G1266" s="403"/>
      <c r="H1266" s="349" t="s">
        <v>5567</v>
      </c>
      <c r="I1266" s="402"/>
      <c r="J1266" s="402"/>
      <c r="K1266" s="402"/>
      <c r="L1266" s="402"/>
      <c r="M1266" s="402"/>
      <c r="N1266" s="402"/>
      <c r="O1266" s="402"/>
      <c r="P1266" s="402"/>
      <c r="Q1266" s="402"/>
      <c r="R1266" s="402"/>
      <c r="S1266" s="402"/>
      <c r="T1266" s="402"/>
      <c r="U1266" s="402"/>
      <c r="V1266" s="402"/>
      <c r="W1266" s="402"/>
      <c r="X1266" s="402"/>
      <c r="Y1266" s="402"/>
      <c r="Z1266" s="402"/>
    </row>
    <row r="1267" ht="14.25" customHeight="1">
      <c r="A1267" s="810">
        <v>45533.0</v>
      </c>
      <c r="B1267" s="815" t="s">
        <v>5512</v>
      </c>
      <c r="C1267" s="816" t="s">
        <v>5459</v>
      </c>
      <c r="D1267" s="597" t="s">
        <v>75</v>
      </c>
      <c r="E1267" s="689" t="s">
        <v>4895</v>
      </c>
      <c r="F1267" s="1014">
        <v>172500.0</v>
      </c>
      <c r="G1267" s="403"/>
      <c r="H1267" s="349" t="s">
        <v>5567</v>
      </c>
      <c r="I1267" s="402"/>
      <c r="J1267" s="402"/>
      <c r="K1267" s="402"/>
      <c r="L1267" s="402"/>
      <c r="M1267" s="402"/>
      <c r="N1267" s="402"/>
      <c r="O1267" s="402"/>
      <c r="P1267" s="402"/>
      <c r="Q1267" s="402"/>
      <c r="R1267" s="402"/>
      <c r="S1267" s="402"/>
      <c r="T1267" s="402"/>
      <c r="U1267" s="402"/>
      <c r="V1267" s="402"/>
      <c r="W1267" s="402"/>
      <c r="X1267" s="402"/>
      <c r="Y1267" s="402"/>
      <c r="Z1267" s="402"/>
    </row>
    <row r="1268" ht="14.25" customHeight="1">
      <c r="A1268" s="810">
        <v>45533.0</v>
      </c>
      <c r="B1268" s="1008" t="s">
        <v>5070</v>
      </c>
      <c r="C1268" s="1008" t="s">
        <v>4859</v>
      </c>
      <c r="D1268" s="642" t="s">
        <v>75</v>
      </c>
      <c r="E1268" s="1009" t="s">
        <v>4895</v>
      </c>
      <c r="F1268" s="1019">
        <v>1737025.0</v>
      </c>
      <c r="G1268" s="403"/>
      <c r="H1268" s="349" t="s">
        <v>5563</v>
      </c>
      <c r="I1268" s="402"/>
      <c r="J1268" s="402"/>
      <c r="K1268" s="402"/>
      <c r="L1268" s="402"/>
      <c r="M1268" s="402"/>
      <c r="N1268" s="402"/>
      <c r="O1268" s="402"/>
      <c r="P1268" s="402"/>
      <c r="Q1268" s="402"/>
      <c r="R1268" s="402"/>
      <c r="S1268" s="402"/>
      <c r="T1268" s="402"/>
      <c r="U1268" s="402"/>
      <c r="V1268" s="402"/>
      <c r="W1268" s="402"/>
      <c r="X1268" s="402"/>
      <c r="Y1268" s="402"/>
      <c r="Z1268" s="402"/>
    </row>
    <row r="1269" ht="14.25" customHeight="1">
      <c r="A1269" s="697">
        <v>45533.0</v>
      </c>
      <c r="B1269" s="863" t="s">
        <v>4545</v>
      </c>
      <c r="C1269" s="863" t="s">
        <v>4546</v>
      </c>
      <c r="D1269" s="867" t="s">
        <v>59</v>
      </c>
      <c r="E1269" s="689" t="s">
        <v>273</v>
      </c>
      <c r="F1269" s="865">
        <v>1977503.36</v>
      </c>
      <c r="G1269" s="403"/>
      <c r="H1269" s="349" t="s">
        <v>5568</v>
      </c>
      <c r="I1269" s="402"/>
      <c r="J1269" s="402"/>
      <c r="K1269" s="402"/>
      <c r="L1269" s="402"/>
      <c r="M1269" s="402"/>
      <c r="N1269" s="402"/>
      <c r="O1269" s="402"/>
      <c r="P1269" s="402"/>
      <c r="Q1269" s="402"/>
      <c r="R1269" s="402"/>
      <c r="S1269" s="402"/>
      <c r="T1269" s="402"/>
      <c r="U1269" s="402"/>
      <c r="V1269" s="402"/>
      <c r="W1269" s="402"/>
      <c r="X1269" s="402"/>
      <c r="Y1269" s="402"/>
      <c r="Z1269" s="402"/>
    </row>
    <row r="1270" ht="14.25" customHeight="1">
      <c r="A1270" s="697">
        <v>45533.0</v>
      </c>
      <c r="B1270" s="863" t="s">
        <v>4547</v>
      </c>
      <c r="C1270" s="863" t="s">
        <v>4548</v>
      </c>
      <c r="D1270" s="867" t="s">
        <v>59</v>
      </c>
      <c r="E1270" s="689" t="s">
        <v>273</v>
      </c>
      <c r="F1270" s="865">
        <v>617498.61</v>
      </c>
      <c r="G1270" s="403"/>
      <c r="H1270" s="349" t="s">
        <v>5569</v>
      </c>
      <c r="I1270" s="402"/>
      <c r="J1270" s="402"/>
      <c r="K1270" s="402"/>
      <c r="L1270" s="402"/>
      <c r="M1270" s="402"/>
      <c r="N1270" s="402"/>
      <c r="O1270" s="402"/>
      <c r="P1270" s="402"/>
      <c r="Q1270" s="402"/>
      <c r="R1270" s="402"/>
      <c r="S1270" s="402"/>
      <c r="T1270" s="402"/>
      <c r="U1270" s="402"/>
      <c r="V1270" s="402"/>
      <c r="W1270" s="402"/>
      <c r="X1270" s="402"/>
      <c r="Y1270" s="402"/>
      <c r="Z1270" s="402"/>
    </row>
    <row r="1271" ht="14.25" customHeight="1">
      <c r="A1271" s="697"/>
      <c r="B1271" s="863"/>
      <c r="C1271" s="863"/>
      <c r="D1271" s="867"/>
      <c r="E1271" s="868"/>
      <c r="F1271" s="865"/>
      <c r="G1271" s="403"/>
      <c r="H1271" s="402"/>
      <c r="I1271" s="402"/>
      <c r="J1271" s="402"/>
      <c r="K1271" s="402"/>
      <c r="L1271" s="402"/>
      <c r="M1271" s="402"/>
      <c r="N1271" s="402"/>
      <c r="O1271" s="402"/>
      <c r="P1271" s="402"/>
      <c r="Q1271" s="402"/>
      <c r="R1271" s="402"/>
      <c r="S1271" s="402"/>
      <c r="T1271" s="402"/>
      <c r="U1271" s="402"/>
      <c r="V1271" s="402"/>
      <c r="W1271" s="402"/>
      <c r="X1271" s="402"/>
      <c r="Y1271" s="402"/>
      <c r="Z1271" s="402"/>
    </row>
    <row r="1272" ht="14.25" customHeight="1">
      <c r="A1272" s="697"/>
      <c r="B1272" s="863"/>
      <c r="C1272" s="863"/>
      <c r="D1272" s="867"/>
      <c r="E1272" s="868"/>
      <c r="F1272" s="865"/>
      <c r="G1272" s="403"/>
      <c r="H1272" s="402"/>
      <c r="I1272" s="402"/>
      <c r="J1272" s="402"/>
      <c r="K1272" s="402"/>
      <c r="L1272" s="402"/>
      <c r="M1272" s="402"/>
      <c r="N1272" s="402"/>
      <c r="O1272" s="402"/>
      <c r="P1272" s="402"/>
      <c r="Q1272" s="402"/>
      <c r="R1272" s="402"/>
      <c r="S1272" s="402"/>
      <c r="T1272" s="402"/>
      <c r="U1272" s="402"/>
      <c r="V1272" s="402"/>
      <c r="W1272" s="402"/>
      <c r="X1272" s="402"/>
      <c r="Y1272" s="402"/>
      <c r="Z1272" s="402"/>
    </row>
    <row r="1273" ht="14.25" customHeight="1">
      <c r="A1273" s="697"/>
      <c r="B1273" s="863"/>
      <c r="C1273" s="863"/>
      <c r="D1273" s="867"/>
      <c r="E1273" s="868"/>
      <c r="F1273" s="865"/>
      <c r="G1273" s="403"/>
      <c r="H1273" s="402"/>
      <c r="I1273" s="402"/>
      <c r="J1273" s="402"/>
      <c r="K1273" s="402"/>
      <c r="L1273" s="402"/>
      <c r="M1273" s="402"/>
      <c r="N1273" s="402"/>
      <c r="O1273" s="402"/>
      <c r="P1273" s="402"/>
      <c r="Q1273" s="402"/>
      <c r="R1273" s="402"/>
      <c r="S1273" s="402"/>
      <c r="T1273" s="402"/>
      <c r="U1273" s="402"/>
      <c r="V1273" s="402"/>
      <c r="W1273" s="402"/>
      <c r="X1273" s="402"/>
      <c r="Y1273" s="402"/>
      <c r="Z1273" s="402"/>
    </row>
    <row r="1274" ht="14.25" customHeight="1">
      <c r="A1274" s="697">
        <v>45534.0</v>
      </c>
      <c r="B1274" s="1018" t="s">
        <v>5570</v>
      </c>
      <c r="C1274" s="1018" t="s">
        <v>4861</v>
      </c>
      <c r="D1274" s="1021" t="s">
        <v>666</v>
      </c>
      <c r="E1274" s="412" t="s">
        <v>4913</v>
      </c>
      <c r="F1274" s="1022">
        <v>230000.0</v>
      </c>
      <c r="G1274" s="413">
        <v>230000.0</v>
      </c>
      <c r="H1274" s="349" t="s">
        <v>1462</v>
      </c>
      <c r="I1274" s="402"/>
      <c r="J1274" s="402"/>
      <c r="K1274" s="402"/>
      <c r="L1274" s="402"/>
      <c r="M1274" s="402"/>
      <c r="N1274" s="402"/>
      <c r="O1274" s="402"/>
      <c r="P1274" s="402"/>
      <c r="Q1274" s="402"/>
      <c r="R1274" s="402"/>
      <c r="S1274" s="402"/>
      <c r="T1274" s="402"/>
      <c r="U1274" s="402"/>
      <c r="V1274" s="402"/>
      <c r="W1274" s="402"/>
      <c r="X1274" s="402"/>
      <c r="Y1274" s="402"/>
      <c r="Z1274" s="402"/>
    </row>
    <row r="1275" ht="14.25" customHeight="1">
      <c r="A1275" s="810">
        <v>45534.0</v>
      </c>
      <c r="B1275" s="1018" t="s">
        <v>5051</v>
      </c>
      <c r="C1275" s="1018" t="s">
        <v>5052</v>
      </c>
      <c r="D1275" s="1021" t="s">
        <v>54</v>
      </c>
      <c r="E1275" s="412" t="s">
        <v>5037</v>
      </c>
      <c r="F1275" s="1022">
        <v>17892.0</v>
      </c>
      <c r="G1275" s="403"/>
      <c r="H1275" s="349" t="s">
        <v>5571</v>
      </c>
      <c r="I1275" s="402"/>
      <c r="J1275" s="402"/>
      <c r="K1275" s="402"/>
      <c r="L1275" s="402"/>
      <c r="M1275" s="402"/>
      <c r="N1275" s="402"/>
      <c r="O1275" s="402"/>
      <c r="P1275" s="402"/>
      <c r="Q1275" s="402"/>
      <c r="R1275" s="402"/>
      <c r="S1275" s="402"/>
      <c r="T1275" s="402"/>
      <c r="U1275" s="402"/>
      <c r="V1275" s="402"/>
      <c r="W1275" s="402"/>
      <c r="X1275" s="402"/>
      <c r="Y1275" s="402"/>
      <c r="Z1275" s="402"/>
    </row>
    <row r="1276" ht="14.25" customHeight="1">
      <c r="A1276" s="810">
        <v>45534.0</v>
      </c>
      <c r="B1276" s="1018" t="s">
        <v>4900</v>
      </c>
      <c r="C1276" s="1018" t="s">
        <v>4901</v>
      </c>
      <c r="D1276" s="1021" t="s">
        <v>54</v>
      </c>
      <c r="E1276" s="412" t="s">
        <v>5037</v>
      </c>
      <c r="F1276" s="1023">
        <v>26741.36</v>
      </c>
      <c r="G1276" s="403"/>
      <c r="H1276" s="349" t="s">
        <v>5572</v>
      </c>
      <c r="I1276" s="402"/>
      <c r="J1276" s="402"/>
      <c r="K1276" s="402"/>
      <c r="L1276" s="402"/>
      <c r="M1276" s="402"/>
      <c r="N1276" s="402"/>
      <c r="O1276" s="402"/>
      <c r="P1276" s="402"/>
      <c r="Q1276" s="402"/>
      <c r="R1276" s="402"/>
      <c r="S1276" s="402"/>
      <c r="T1276" s="402"/>
      <c r="U1276" s="402"/>
      <c r="V1276" s="402"/>
      <c r="W1276" s="402"/>
      <c r="X1276" s="402"/>
      <c r="Y1276" s="402"/>
      <c r="Z1276" s="402"/>
    </row>
    <row r="1277" ht="14.25" customHeight="1">
      <c r="A1277" s="810">
        <v>45534.0</v>
      </c>
      <c r="B1277" s="1018" t="s">
        <v>4988</v>
      </c>
      <c r="C1277" s="1018" t="s">
        <v>4989</v>
      </c>
      <c r="D1277" s="1021" t="s">
        <v>54</v>
      </c>
      <c r="E1277" s="412" t="s">
        <v>5037</v>
      </c>
      <c r="F1277" s="1023">
        <v>72229.24</v>
      </c>
      <c r="G1277" s="413">
        <v>80000.0</v>
      </c>
      <c r="H1277" s="349" t="s">
        <v>1462</v>
      </c>
      <c r="I1277" s="402"/>
      <c r="J1277" s="402"/>
      <c r="K1277" s="402"/>
      <c r="L1277" s="402"/>
      <c r="M1277" s="402"/>
      <c r="N1277" s="402"/>
      <c r="O1277" s="402"/>
      <c r="P1277" s="402"/>
      <c r="Q1277" s="402"/>
      <c r="R1277" s="402"/>
      <c r="S1277" s="402"/>
      <c r="T1277" s="402"/>
      <c r="U1277" s="402"/>
      <c r="V1277" s="402"/>
      <c r="W1277" s="402"/>
      <c r="X1277" s="402"/>
      <c r="Y1277" s="402"/>
      <c r="Z1277" s="402"/>
    </row>
    <row r="1278" ht="14.25" customHeight="1">
      <c r="A1278" s="810">
        <v>45534.0</v>
      </c>
      <c r="B1278" s="1018" t="s">
        <v>4773</v>
      </c>
      <c r="C1278" s="1018" t="s">
        <v>4906</v>
      </c>
      <c r="D1278" s="1021" t="s">
        <v>54</v>
      </c>
      <c r="E1278" s="412" t="s">
        <v>4913</v>
      </c>
      <c r="F1278" s="1023">
        <v>12781.93</v>
      </c>
      <c r="G1278" s="403"/>
      <c r="H1278" s="349" t="s">
        <v>5573</v>
      </c>
      <c r="I1278" s="402"/>
      <c r="J1278" s="402"/>
      <c r="K1278" s="402"/>
      <c r="L1278" s="402"/>
      <c r="M1278" s="402"/>
      <c r="N1278" s="402"/>
      <c r="O1278" s="402"/>
      <c r="P1278" s="402"/>
      <c r="Q1278" s="402"/>
      <c r="R1278" s="402"/>
      <c r="S1278" s="402"/>
      <c r="T1278" s="402"/>
      <c r="U1278" s="402"/>
      <c r="V1278" s="402"/>
      <c r="W1278" s="402"/>
      <c r="X1278" s="402"/>
      <c r="Y1278" s="402"/>
      <c r="Z1278" s="402"/>
    </row>
    <row r="1279" ht="14.25" customHeight="1">
      <c r="A1279" s="810">
        <v>45534.0</v>
      </c>
      <c r="B1279" s="1018" t="s">
        <v>4990</v>
      </c>
      <c r="C1279" s="1018" t="s">
        <v>4991</v>
      </c>
      <c r="D1279" s="1021" t="s">
        <v>54</v>
      </c>
      <c r="E1279" s="412" t="s">
        <v>4913</v>
      </c>
      <c r="F1279" s="1022">
        <v>59584.24</v>
      </c>
      <c r="G1279" s="403"/>
      <c r="H1279" s="349" t="s">
        <v>5574</v>
      </c>
      <c r="I1279" s="402"/>
      <c r="J1279" s="402"/>
      <c r="K1279" s="402"/>
      <c r="L1279" s="402"/>
      <c r="M1279" s="402"/>
      <c r="N1279" s="402"/>
      <c r="O1279" s="402"/>
      <c r="P1279" s="402"/>
      <c r="Q1279" s="402"/>
      <c r="R1279" s="402"/>
      <c r="S1279" s="402"/>
      <c r="T1279" s="402"/>
      <c r="U1279" s="402"/>
      <c r="V1279" s="402"/>
      <c r="W1279" s="402"/>
      <c r="X1279" s="402"/>
      <c r="Y1279" s="402"/>
      <c r="Z1279" s="402"/>
    </row>
    <row r="1280" ht="14.25" customHeight="1">
      <c r="A1280" s="810">
        <v>45534.0</v>
      </c>
      <c r="B1280" s="588" t="s">
        <v>5535</v>
      </c>
      <c r="C1280" s="588" t="s">
        <v>5536</v>
      </c>
      <c r="D1280" s="588" t="s">
        <v>54</v>
      </c>
      <c r="E1280" s="412" t="s">
        <v>5037</v>
      </c>
      <c r="F1280" s="1024">
        <v>38323.0</v>
      </c>
      <c r="G1280" s="403"/>
      <c r="H1280" s="349" t="s">
        <v>5575</v>
      </c>
      <c r="I1280" s="402"/>
      <c r="J1280" s="402"/>
      <c r="K1280" s="402"/>
      <c r="L1280" s="402"/>
      <c r="M1280" s="402"/>
      <c r="N1280" s="402"/>
      <c r="O1280" s="402"/>
      <c r="P1280" s="402"/>
      <c r="Q1280" s="402"/>
      <c r="R1280" s="402"/>
      <c r="S1280" s="402"/>
      <c r="T1280" s="402"/>
      <c r="U1280" s="402"/>
      <c r="V1280" s="402"/>
      <c r="W1280" s="402"/>
      <c r="X1280" s="402"/>
      <c r="Y1280" s="402"/>
      <c r="Z1280" s="402"/>
    </row>
    <row r="1281" ht="14.25" customHeight="1">
      <c r="A1281" s="810">
        <v>45534.0</v>
      </c>
      <c r="B1281" s="591" t="s">
        <v>4783</v>
      </c>
      <c r="C1281" s="591" t="s">
        <v>4920</v>
      </c>
      <c r="D1281" s="591" t="s">
        <v>54</v>
      </c>
      <c r="E1281" s="412" t="s">
        <v>5037</v>
      </c>
      <c r="F1281" s="1025">
        <v>51790.24</v>
      </c>
      <c r="G1281" s="413">
        <v>98000.0</v>
      </c>
      <c r="H1281" s="349" t="s">
        <v>5576</v>
      </c>
      <c r="I1281" s="402"/>
      <c r="J1281" s="402"/>
      <c r="K1281" s="402"/>
      <c r="L1281" s="402"/>
      <c r="M1281" s="402"/>
      <c r="N1281" s="402"/>
      <c r="O1281" s="402"/>
      <c r="P1281" s="402"/>
      <c r="Q1281" s="402"/>
      <c r="R1281" s="402"/>
      <c r="S1281" s="402"/>
      <c r="T1281" s="402"/>
      <c r="U1281" s="402"/>
      <c r="V1281" s="402"/>
      <c r="W1281" s="402"/>
      <c r="X1281" s="402"/>
      <c r="Y1281" s="402"/>
      <c r="Z1281" s="402"/>
    </row>
    <row r="1282" ht="14.25" customHeight="1">
      <c r="A1282" s="810">
        <v>45534.0</v>
      </c>
      <c r="B1282" s="588" t="s">
        <v>5515</v>
      </c>
      <c r="C1282" s="588" t="s">
        <v>4910</v>
      </c>
      <c r="D1282" s="1021" t="s">
        <v>413</v>
      </c>
      <c r="E1282" s="412" t="s">
        <v>4913</v>
      </c>
      <c r="F1282" s="1024">
        <v>400000.0</v>
      </c>
      <c r="G1282" s="413"/>
      <c r="H1282" s="349" t="s">
        <v>5577</v>
      </c>
      <c r="I1282" s="402"/>
      <c r="J1282" s="402"/>
      <c r="K1282" s="402"/>
      <c r="L1282" s="402"/>
      <c r="M1282" s="402"/>
      <c r="N1282" s="402"/>
      <c r="O1282" s="402"/>
      <c r="P1282" s="402"/>
      <c r="Q1282" s="402"/>
      <c r="R1282" s="402"/>
      <c r="S1282" s="402"/>
      <c r="T1282" s="402"/>
      <c r="U1282" s="402"/>
      <c r="V1282" s="402"/>
      <c r="W1282" s="402"/>
      <c r="X1282" s="402"/>
      <c r="Y1282" s="402"/>
      <c r="Z1282" s="402"/>
    </row>
    <row r="1283" ht="14.25" customHeight="1">
      <c r="A1283" s="810">
        <v>45534.0</v>
      </c>
      <c r="B1283" s="591" t="s">
        <v>5221</v>
      </c>
      <c r="C1283" s="591" t="s">
        <v>5222</v>
      </c>
      <c r="D1283" s="1026" t="s">
        <v>75</v>
      </c>
      <c r="E1283" s="412" t="s">
        <v>4913</v>
      </c>
      <c r="F1283" s="1025">
        <v>100000.0</v>
      </c>
      <c r="G1283" s="413"/>
      <c r="H1283" s="349" t="s">
        <v>5578</v>
      </c>
      <c r="I1283" s="402"/>
      <c r="J1283" s="402"/>
      <c r="K1283" s="402"/>
      <c r="L1283" s="402"/>
      <c r="M1283" s="402"/>
      <c r="N1283" s="402"/>
      <c r="O1283" s="402"/>
      <c r="P1283" s="402"/>
      <c r="Q1283" s="402"/>
      <c r="R1283" s="402"/>
      <c r="S1283" s="402"/>
      <c r="T1283" s="402"/>
      <c r="U1283" s="402"/>
      <c r="V1283" s="402"/>
      <c r="W1283" s="402"/>
      <c r="X1283" s="402"/>
      <c r="Y1283" s="402"/>
      <c r="Z1283" s="402"/>
    </row>
    <row r="1284" ht="14.25" customHeight="1">
      <c r="A1284" s="810">
        <v>45534.0</v>
      </c>
      <c r="B1284" s="1027" t="s">
        <v>4893</v>
      </c>
      <c r="C1284" s="1026" t="s">
        <v>4894</v>
      </c>
      <c r="D1284" s="593" t="s">
        <v>54</v>
      </c>
      <c r="E1284" s="412" t="s">
        <v>4895</v>
      </c>
      <c r="F1284" s="1028">
        <v>55004.84</v>
      </c>
      <c r="G1284" s="403"/>
      <c r="H1284" s="349" t="s">
        <v>5579</v>
      </c>
      <c r="I1284" s="402"/>
      <c r="J1284" s="402"/>
      <c r="K1284" s="402"/>
      <c r="L1284" s="402"/>
      <c r="M1284" s="402"/>
      <c r="N1284" s="402"/>
      <c r="O1284" s="402"/>
      <c r="P1284" s="402"/>
      <c r="Q1284" s="402"/>
      <c r="R1284" s="402"/>
      <c r="S1284" s="402"/>
      <c r="T1284" s="402"/>
      <c r="U1284" s="402"/>
      <c r="V1284" s="402"/>
      <c r="W1284" s="402"/>
      <c r="X1284" s="402"/>
      <c r="Y1284" s="402"/>
      <c r="Z1284" s="402"/>
    </row>
    <row r="1285" ht="14.25" customHeight="1">
      <c r="A1285" s="810">
        <v>45534.0</v>
      </c>
      <c r="B1285" s="1027" t="s">
        <v>5212</v>
      </c>
      <c r="C1285" s="1026" t="s">
        <v>5213</v>
      </c>
      <c r="D1285" s="593" t="s">
        <v>54</v>
      </c>
      <c r="E1285" s="412" t="s">
        <v>5497</v>
      </c>
      <c r="F1285" s="1028">
        <v>22237.99</v>
      </c>
      <c r="G1285" s="413">
        <v>30000.0</v>
      </c>
      <c r="H1285" s="349" t="s">
        <v>5580</v>
      </c>
      <c r="I1285" s="402"/>
      <c r="J1285" s="402"/>
      <c r="K1285" s="402"/>
      <c r="L1285" s="402"/>
      <c r="M1285" s="402"/>
      <c r="N1285" s="402"/>
      <c r="O1285" s="402"/>
      <c r="P1285" s="402"/>
      <c r="Q1285" s="402"/>
      <c r="R1285" s="402"/>
      <c r="S1285" s="402"/>
      <c r="T1285" s="402"/>
      <c r="U1285" s="402"/>
      <c r="V1285" s="402"/>
      <c r="W1285" s="402"/>
      <c r="X1285" s="402"/>
      <c r="Y1285" s="402"/>
      <c r="Z1285" s="402"/>
    </row>
    <row r="1286" ht="14.25" customHeight="1">
      <c r="A1286" s="810">
        <v>45534.0</v>
      </c>
      <c r="B1286" s="1027" t="s">
        <v>4815</v>
      </c>
      <c r="C1286" s="1026" t="s">
        <v>4859</v>
      </c>
      <c r="D1286" s="593" t="s">
        <v>54</v>
      </c>
      <c r="E1286" s="412" t="s">
        <v>5497</v>
      </c>
      <c r="F1286" s="1028">
        <v>191455.34</v>
      </c>
      <c r="G1286" s="403"/>
      <c r="H1286" s="349" t="s">
        <v>5581</v>
      </c>
      <c r="I1286" s="402"/>
      <c r="J1286" s="402"/>
      <c r="K1286" s="402"/>
      <c r="L1286" s="402"/>
      <c r="M1286" s="402"/>
      <c r="N1286" s="402"/>
      <c r="O1286" s="402"/>
      <c r="P1286" s="402"/>
      <c r="Q1286" s="402"/>
      <c r="R1286" s="402"/>
      <c r="S1286" s="402"/>
      <c r="T1286" s="402"/>
      <c r="U1286" s="402"/>
      <c r="V1286" s="402"/>
      <c r="W1286" s="402"/>
      <c r="X1286" s="402"/>
      <c r="Y1286" s="402"/>
      <c r="Z1286" s="402"/>
    </row>
    <row r="1287" ht="14.25" customHeight="1">
      <c r="A1287" s="810">
        <v>45534.0</v>
      </c>
      <c r="B1287" s="1027" t="s">
        <v>5363</v>
      </c>
      <c r="C1287" s="1026" t="s">
        <v>5222</v>
      </c>
      <c r="D1287" s="593" t="s">
        <v>54</v>
      </c>
      <c r="E1287" s="341" t="s">
        <v>4895</v>
      </c>
      <c r="F1287" s="1028">
        <v>225787.15</v>
      </c>
      <c r="G1287" s="403"/>
      <c r="H1287" s="349" t="s">
        <v>5582</v>
      </c>
      <c r="I1287" s="402"/>
      <c r="J1287" s="402"/>
      <c r="K1287" s="402"/>
      <c r="L1287" s="402"/>
      <c r="M1287" s="402"/>
      <c r="N1287" s="402"/>
      <c r="O1287" s="402"/>
      <c r="P1287" s="402"/>
      <c r="Q1287" s="402"/>
      <c r="R1287" s="402"/>
      <c r="S1287" s="402"/>
      <c r="T1287" s="402"/>
      <c r="U1287" s="402"/>
      <c r="V1287" s="402"/>
      <c r="W1287" s="402"/>
      <c r="X1287" s="402"/>
      <c r="Y1287" s="402"/>
      <c r="Z1287" s="402"/>
    </row>
    <row r="1288" ht="14.25" customHeight="1">
      <c r="A1288" s="810">
        <v>45534.0</v>
      </c>
      <c r="B1288" s="1027" t="s">
        <v>5366</v>
      </c>
      <c r="C1288" s="1026" t="s">
        <v>5367</v>
      </c>
      <c r="D1288" s="593" t="s">
        <v>75</v>
      </c>
      <c r="E1288" s="412" t="s">
        <v>4895</v>
      </c>
      <c r="F1288" s="1028">
        <v>147000.0</v>
      </c>
      <c r="G1288" s="413">
        <v>0.0</v>
      </c>
      <c r="H1288" s="349" t="s">
        <v>2198</v>
      </c>
      <c r="I1288" s="402"/>
      <c r="J1288" s="402"/>
      <c r="K1288" s="402"/>
      <c r="L1288" s="402"/>
      <c r="M1288" s="402"/>
      <c r="N1288" s="402"/>
      <c r="O1288" s="402"/>
      <c r="P1288" s="402"/>
      <c r="Q1288" s="402"/>
      <c r="R1288" s="402"/>
      <c r="S1288" s="402"/>
      <c r="T1288" s="402"/>
      <c r="U1288" s="402"/>
      <c r="V1288" s="402"/>
      <c r="W1288" s="402"/>
      <c r="X1288" s="402"/>
      <c r="Y1288" s="402"/>
      <c r="Z1288" s="402"/>
    </row>
    <row r="1289" ht="14.25" customHeight="1">
      <c r="A1289" s="810">
        <v>45534.0</v>
      </c>
      <c r="B1289" s="1027" t="s">
        <v>5397</v>
      </c>
      <c r="C1289" s="1026" t="s">
        <v>5205</v>
      </c>
      <c r="D1289" s="593" t="s">
        <v>75</v>
      </c>
      <c r="E1289" s="412" t="s">
        <v>4895</v>
      </c>
      <c r="F1289" s="1028">
        <v>121500.0</v>
      </c>
      <c r="G1289" s="413">
        <v>0.0</v>
      </c>
      <c r="H1289" s="349" t="s">
        <v>5583</v>
      </c>
      <c r="I1289" s="402"/>
      <c r="J1289" s="402"/>
      <c r="K1289" s="402"/>
      <c r="L1289" s="402"/>
      <c r="M1289" s="402"/>
      <c r="N1289" s="402"/>
      <c r="O1289" s="402"/>
      <c r="P1289" s="402"/>
      <c r="Q1289" s="402"/>
      <c r="R1289" s="402"/>
      <c r="S1289" s="402"/>
      <c r="T1289" s="402"/>
      <c r="U1289" s="402"/>
      <c r="V1289" s="402"/>
      <c r="W1289" s="402"/>
      <c r="X1289" s="402"/>
      <c r="Y1289" s="402"/>
      <c r="Z1289" s="402"/>
    </row>
    <row r="1290" ht="14.25" customHeight="1">
      <c r="A1290" s="810">
        <v>45534.0</v>
      </c>
      <c r="B1290" s="1027" t="s">
        <v>5488</v>
      </c>
      <c r="C1290" s="1026" t="s">
        <v>4860</v>
      </c>
      <c r="D1290" s="593" t="s">
        <v>75</v>
      </c>
      <c r="E1290" s="412" t="s">
        <v>5497</v>
      </c>
      <c r="F1290" s="1028">
        <v>169050.0</v>
      </c>
      <c r="G1290" s="403"/>
      <c r="H1290" s="349" t="s">
        <v>5576</v>
      </c>
      <c r="I1290" s="402"/>
      <c r="J1290" s="402"/>
      <c r="K1290" s="402"/>
      <c r="L1290" s="402"/>
      <c r="M1290" s="402"/>
      <c r="N1290" s="402"/>
      <c r="O1290" s="402"/>
      <c r="P1290" s="402"/>
      <c r="Q1290" s="402"/>
      <c r="R1290" s="402"/>
      <c r="S1290" s="402"/>
      <c r="T1290" s="402"/>
      <c r="U1290" s="402"/>
      <c r="V1290" s="402"/>
      <c r="W1290" s="402"/>
      <c r="X1290" s="402"/>
      <c r="Y1290" s="402"/>
      <c r="Z1290" s="402"/>
    </row>
    <row r="1291" ht="14.25" customHeight="1">
      <c r="A1291" s="810">
        <v>45534.0</v>
      </c>
      <c r="B1291" s="1027" t="s">
        <v>5512</v>
      </c>
      <c r="C1291" s="1026" t="s">
        <v>5459</v>
      </c>
      <c r="D1291" s="593" t="s">
        <v>75</v>
      </c>
      <c r="E1291" s="412" t="s">
        <v>4895</v>
      </c>
      <c r="F1291" s="1028">
        <v>172500.0</v>
      </c>
      <c r="G1291" s="403"/>
      <c r="H1291" s="349" t="s">
        <v>5581</v>
      </c>
      <c r="I1291" s="402"/>
      <c r="J1291" s="402"/>
      <c r="K1291" s="402"/>
      <c r="L1291" s="402"/>
      <c r="M1291" s="402"/>
      <c r="N1291" s="402"/>
      <c r="O1291" s="402"/>
      <c r="P1291" s="402"/>
      <c r="Q1291" s="402"/>
      <c r="R1291" s="402"/>
      <c r="S1291" s="402"/>
      <c r="T1291" s="402"/>
      <c r="U1291" s="402"/>
      <c r="V1291" s="402"/>
      <c r="W1291" s="402"/>
      <c r="X1291" s="402"/>
      <c r="Y1291" s="402"/>
      <c r="Z1291" s="402"/>
    </row>
    <row r="1292" ht="14.25" customHeight="1">
      <c r="A1292" s="810">
        <v>45534.0</v>
      </c>
      <c r="B1292" s="1018" t="s">
        <v>5070</v>
      </c>
      <c r="C1292" s="1018" t="s">
        <v>4859</v>
      </c>
      <c r="D1292" s="1021" t="s">
        <v>75</v>
      </c>
      <c r="E1292" s="412" t="s">
        <v>4895</v>
      </c>
      <c r="F1292" s="1022">
        <v>1600000.0</v>
      </c>
      <c r="G1292" s="403"/>
      <c r="H1292" s="349" t="s">
        <v>5581</v>
      </c>
      <c r="I1292" s="402"/>
      <c r="J1292" s="402"/>
      <c r="K1292" s="402"/>
      <c r="L1292" s="402"/>
      <c r="M1292" s="402"/>
      <c r="N1292" s="402"/>
      <c r="O1292" s="402"/>
      <c r="P1292" s="402"/>
      <c r="Q1292" s="402"/>
      <c r="R1292" s="402"/>
      <c r="S1292" s="402"/>
      <c r="T1292" s="402"/>
      <c r="U1292" s="402"/>
      <c r="V1292" s="402"/>
      <c r="W1292" s="402"/>
      <c r="X1292" s="402"/>
      <c r="Y1292" s="402"/>
      <c r="Z1292" s="402"/>
    </row>
    <row r="1293" ht="14.25" customHeight="1">
      <c r="A1293" s="810">
        <v>45534.0</v>
      </c>
      <c r="B1293" s="1018" t="s">
        <v>4545</v>
      </c>
      <c r="C1293" s="1018" t="s">
        <v>4546</v>
      </c>
      <c r="D1293" s="1021" t="s">
        <v>59</v>
      </c>
      <c r="E1293" s="412" t="s">
        <v>5584</v>
      </c>
      <c r="F1293" s="1022">
        <v>500000.0</v>
      </c>
      <c r="G1293" s="403"/>
      <c r="H1293" s="349" t="s">
        <v>5585</v>
      </c>
      <c r="I1293" s="402"/>
      <c r="J1293" s="402"/>
      <c r="K1293" s="402"/>
      <c r="L1293" s="402"/>
      <c r="M1293" s="402"/>
      <c r="N1293" s="402"/>
      <c r="O1293" s="402"/>
      <c r="P1293" s="402"/>
      <c r="Q1293" s="402"/>
      <c r="R1293" s="402"/>
      <c r="S1293" s="402"/>
      <c r="T1293" s="402"/>
      <c r="U1293" s="402"/>
      <c r="V1293" s="402"/>
      <c r="W1293" s="402"/>
      <c r="X1293" s="402"/>
      <c r="Y1293" s="402"/>
      <c r="Z1293" s="402"/>
    </row>
    <row r="1294" ht="14.25" customHeight="1">
      <c r="A1294" s="810">
        <v>45534.0</v>
      </c>
      <c r="B1294" s="1018" t="s">
        <v>4547</v>
      </c>
      <c r="C1294" s="341" t="s">
        <v>5586</v>
      </c>
      <c r="D1294" s="1021" t="s">
        <v>59</v>
      </c>
      <c r="E1294" s="412" t="s">
        <v>5584</v>
      </c>
      <c r="F1294" s="1022">
        <v>123000.0</v>
      </c>
      <c r="G1294" s="403"/>
      <c r="H1294" s="349" t="s">
        <v>5585</v>
      </c>
      <c r="I1294" s="402"/>
      <c r="J1294" s="402"/>
      <c r="K1294" s="402"/>
      <c r="L1294" s="402"/>
      <c r="M1294" s="402"/>
      <c r="N1294" s="402"/>
      <c r="O1294" s="402"/>
      <c r="P1294" s="402"/>
      <c r="Q1294" s="402"/>
      <c r="R1294" s="402"/>
      <c r="S1294" s="402"/>
      <c r="T1294" s="402"/>
      <c r="U1294" s="402"/>
      <c r="V1294" s="402"/>
      <c r="W1294" s="402"/>
      <c r="X1294" s="402"/>
      <c r="Y1294" s="402"/>
      <c r="Z1294" s="402"/>
    </row>
    <row r="1295" ht="14.25" customHeight="1">
      <c r="A1295" s="810">
        <v>45534.0</v>
      </c>
      <c r="B1295" s="1029" t="s">
        <v>4789</v>
      </c>
      <c r="C1295" s="1018" t="s">
        <v>4923</v>
      </c>
      <c r="D1295" s="1021" t="s">
        <v>59</v>
      </c>
      <c r="E1295" s="412" t="s">
        <v>5037</v>
      </c>
      <c r="F1295" s="1030">
        <v>227471.89</v>
      </c>
      <c r="G1295" s="413">
        <v>50000.0</v>
      </c>
      <c r="H1295" s="349" t="s">
        <v>5587</v>
      </c>
      <c r="I1295" s="402"/>
      <c r="J1295" s="402"/>
      <c r="K1295" s="402"/>
      <c r="L1295" s="402"/>
      <c r="M1295" s="402"/>
      <c r="N1295" s="402"/>
      <c r="O1295" s="402"/>
      <c r="P1295" s="402"/>
      <c r="Q1295" s="402"/>
      <c r="R1295" s="402"/>
      <c r="S1295" s="402"/>
      <c r="T1295" s="402"/>
      <c r="U1295" s="402"/>
      <c r="V1295" s="402"/>
      <c r="W1295" s="402"/>
      <c r="X1295" s="402"/>
      <c r="Y1295" s="402"/>
      <c r="Z1295" s="402"/>
    </row>
    <row r="1296" ht="14.25" customHeight="1">
      <c r="A1296" s="697"/>
      <c r="B1296" s="902"/>
      <c r="C1296" s="863"/>
      <c r="D1296" s="906"/>
      <c r="E1296" s="912"/>
      <c r="F1296" s="873"/>
      <c r="G1296" s="403"/>
      <c r="H1296" s="402"/>
      <c r="I1296" s="402"/>
      <c r="J1296" s="402"/>
      <c r="K1296" s="402"/>
      <c r="L1296" s="402"/>
      <c r="M1296" s="402"/>
      <c r="N1296" s="402"/>
      <c r="O1296" s="402"/>
      <c r="P1296" s="402"/>
      <c r="Q1296" s="402"/>
      <c r="R1296" s="402"/>
      <c r="S1296" s="402"/>
      <c r="T1296" s="402"/>
      <c r="U1296" s="402"/>
      <c r="V1296" s="402"/>
      <c r="W1296" s="402"/>
      <c r="X1296" s="402"/>
      <c r="Y1296" s="402"/>
      <c r="Z1296" s="402"/>
    </row>
    <row r="1297" ht="14.25" customHeight="1">
      <c r="A1297" s="810">
        <v>45534.0</v>
      </c>
      <c r="B1297" s="831" t="s">
        <v>4545</v>
      </c>
      <c r="C1297" s="832" t="s">
        <v>4546</v>
      </c>
      <c r="D1297" s="468" t="s">
        <v>59</v>
      </c>
      <c r="E1297" s="835" t="s">
        <v>273</v>
      </c>
      <c r="F1297" s="834">
        <v>1977503.36</v>
      </c>
      <c r="G1297" s="571"/>
      <c r="H1297" s="402"/>
      <c r="I1297" s="402"/>
      <c r="J1297" s="402"/>
      <c r="K1297" s="402"/>
      <c r="L1297" s="402"/>
      <c r="M1297" s="402"/>
      <c r="N1297" s="402"/>
      <c r="O1297" s="402"/>
      <c r="P1297" s="402"/>
      <c r="Q1297" s="402"/>
      <c r="R1297" s="402"/>
      <c r="S1297" s="402"/>
      <c r="T1297" s="402"/>
      <c r="U1297" s="402"/>
      <c r="V1297" s="402"/>
      <c r="W1297" s="402"/>
      <c r="X1297" s="402"/>
      <c r="Y1297" s="402"/>
      <c r="Z1297" s="402"/>
    </row>
    <row r="1298" ht="14.25" customHeight="1">
      <c r="A1298" s="810">
        <v>45534.0</v>
      </c>
      <c r="B1298" s="350" t="s">
        <v>4547</v>
      </c>
      <c r="C1298" s="351" t="s">
        <v>4548</v>
      </c>
      <c r="D1298" s="352" t="s">
        <v>59</v>
      </c>
      <c r="E1298" s="353" t="s">
        <v>273</v>
      </c>
      <c r="F1298" s="354">
        <v>617498.61</v>
      </c>
      <c r="G1298" s="355"/>
      <c r="H1298" s="402"/>
      <c r="I1298" s="402"/>
      <c r="J1298" s="402"/>
      <c r="K1298" s="402"/>
      <c r="L1298" s="402"/>
      <c r="M1298" s="402"/>
      <c r="N1298" s="402"/>
      <c r="O1298" s="402"/>
      <c r="P1298" s="402"/>
      <c r="Q1298" s="402"/>
      <c r="R1298" s="402"/>
      <c r="S1298" s="402"/>
      <c r="T1298" s="402"/>
      <c r="U1298" s="402"/>
      <c r="V1298" s="402"/>
      <c r="W1298" s="402"/>
      <c r="X1298" s="402"/>
      <c r="Y1298" s="402"/>
      <c r="Z1298" s="402"/>
    </row>
    <row r="1299" ht="14.25" customHeight="1">
      <c r="A1299" s="697"/>
      <c r="B1299" s="863"/>
      <c r="C1299" s="863"/>
      <c r="D1299" s="867"/>
      <c r="E1299" s="868"/>
      <c r="F1299" s="865"/>
      <c r="G1299" s="403"/>
      <c r="H1299" s="402"/>
      <c r="I1299" s="402"/>
      <c r="J1299" s="402"/>
      <c r="K1299" s="402"/>
      <c r="L1299" s="402"/>
      <c r="M1299" s="402"/>
      <c r="N1299" s="402"/>
      <c r="O1299" s="402"/>
      <c r="P1299" s="402"/>
      <c r="Q1299" s="402"/>
      <c r="R1299" s="402"/>
      <c r="S1299" s="402"/>
      <c r="T1299" s="402"/>
      <c r="U1299" s="402"/>
      <c r="V1299" s="402"/>
      <c r="W1299" s="402"/>
      <c r="X1299" s="402"/>
      <c r="Y1299" s="402"/>
      <c r="Z1299" s="402"/>
    </row>
    <row r="1300" ht="14.25" customHeight="1">
      <c r="A1300" s="697">
        <v>45535.0</v>
      </c>
      <c r="B1300" s="588" t="s">
        <v>5127</v>
      </c>
      <c r="C1300" s="588" t="s">
        <v>5170</v>
      </c>
      <c r="D1300" s="588" t="s">
        <v>54</v>
      </c>
      <c r="E1300" s="412" t="s">
        <v>5584</v>
      </c>
      <c r="F1300" s="1024">
        <v>94220.0</v>
      </c>
      <c r="G1300" s="403"/>
      <c r="H1300" s="402"/>
      <c r="I1300" s="402"/>
      <c r="J1300" s="402"/>
      <c r="K1300" s="402"/>
      <c r="L1300" s="402"/>
      <c r="M1300" s="402"/>
      <c r="N1300" s="402"/>
      <c r="O1300" s="402"/>
      <c r="P1300" s="402"/>
      <c r="Q1300" s="402"/>
      <c r="R1300" s="402"/>
      <c r="S1300" s="402"/>
      <c r="T1300" s="402"/>
      <c r="U1300" s="402"/>
      <c r="V1300" s="402"/>
      <c r="W1300" s="402"/>
      <c r="X1300" s="402"/>
      <c r="Y1300" s="402"/>
      <c r="Z1300" s="402"/>
    </row>
    <row r="1301" ht="14.25" customHeight="1">
      <c r="A1301" s="810">
        <v>45535.0</v>
      </c>
      <c r="B1301" s="591" t="s">
        <v>5061</v>
      </c>
      <c r="C1301" s="591" t="s">
        <v>4842</v>
      </c>
      <c r="D1301" s="591" t="s">
        <v>54</v>
      </c>
      <c r="E1301" s="412" t="s">
        <v>4913</v>
      </c>
      <c r="F1301" s="1025">
        <v>12191.0</v>
      </c>
      <c r="G1301" s="403"/>
      <c r="H1301" s="402"/>
      <c r="I1301" s="402"/>
      <c r="J1301" s="402"/>
      <c r="K1301" s="402"/>
      <c r="L1301" s="402"/>
      <c r="M1301" s="402"/>
      <c r="N1301" s="402"/>
      <c r="O1301" s="402"/>
      <c r="P1301" s="402"/>
      <c r="Q1301" s="402"/>
      <c r="R1301" s="402"/>
      <c r="S1301" s="402"/>
      <c r="T1301" s="402"/>
      <c r="U1301" s="402"/>
      <c r="V1301" s="402"/>
      <c r="W1301" s="402"/>
      <c r="X1301" s="402"/>
      <c r="Y1301" s="402"/>
      <c r="Z1301" s="402"/>
    </row>
    <row r="1302" ht="14.25" customHeight="1">
      <c r="A1302" s="810">
        <v>45535.0</v>
      </c>
      <c r="B1302" s="591" t="s">
        <v>5588</v>
      </c>
      <c r="C1302" s="591" t="s">
        <v>4925</v>
      </c>
      <c r="D1302" s="591" t="s">
        <v>54</v>
      </c>
      <c r="E1302" s="412" t="s">
        <v>5037</v>
      </c>
      <c r="F1302" s="1025">
        <v>67581.0</v>
      </c>
      <c r="G1302" s="413">
        <v>0.0</v>
      </c>
      <c r="H1302" s="349" t="s">
        <v>5589</v>
      </c>
      <c r="I1302" s="402"/>
      <c r="J1302" s="402"/>
      <c r="K1302" s="402"/>
      <c r="L1302" s="402"/>
      <c r="M1302" s="402"/>
      <c r="N1302" s="402"/>
      <c r="O1302" s="402"/>
      <c r="P1302" s="402"/>
      <c r="Q1302" s="402"/>
      <c r="R1302" s="402"/>
      <c r="S1302" s="402"/>
      <c r="T1302" s="402"/>
      <c r="U1302" s="402"/>
      <c r="V1302" s="402"/>
      <c r="W1302" s="402"/>
      <c r="X1302" s="402"/>
      <c r="Y1302" s="402"/>
      <c r="Z1302" s="402"/>
    </row>
    <row r="1303" ht="14.25" customHeight="1">
      <c r="A1303" s="810">
        <v>45535.0</v>
      </c>
      <c r="B1303" s="1018" t="s">
        <v>5590</v>
      </c>
      <c r="C1303" s="1018" t="s">
        <v>4842</v>
      </c>
      <c r="D1303" s="1021" t="s">
        <v>2538</v>
      </c>
      <c r="E1303" s="412" t="s">
        <v>4913</v>
      </c>
      <c r="F1303" s="1022">
        <v>6000.0</v>
      </c>
      <c r="G1303" s="403"/>
      <c r="H1303" s="402"/>
      <c r="I1303" s="402"/>
      <c r="J1303" s="402"/>
      <c r="K1303" s="402"/>
      <c r="L1303" s="402"/>
      <c r="M1303" s="402"/>
      <c r="N1303" s="402"/>
      <c r="O1303" s="402"/>
      <c r="P1303" s="402"/>
      <c r="Q1303" s="402"/>
      <c r="R1303" s="402"/>
      <c r="S1303" s="402"/>
      <c r="T1303" s="402"/>
      <c r="U1303" s="402"/>
      <c r="V1303" s="402"/>
      <c r="W1303" s="402"/>
      <c r="X1303" s="402"/>
      <c r="Y1303" s="402"/>
      <c r="Z1303" s="402"/>
    </row>
    <row r="1304" ht="14.25" customHeight="1">
      <c r="A1304" s="810">
        <v>45535.0</v>
      </c>
      <c r="B1304" s="1027" t="s">
        <v>5363</v>
      </c>
      <c r="C1304" s="1026" t="s">
        <v>5222</v>
      </c>
      <c r="D1304" s="593" t="s">
        <v>54</v>
      </c>
      <c r="E1304" s="341" t="s">
        <v>4895</v>
      </c>
      <c r="F1304" s="1028">
        <v>100000.0</v>
      </c>
      <c r="G1304" s="403"/>
      <c r="H1304" s="349"/>
      <c r="I1304" s="402"/>
      <c r="J1304" s="402"/>
      <c r="K1304" s="402"/>
      <c r="L1304" s="402"/>
      <c r="M1304" s="402"/>
      <c r="N1304" s="402"/>
      <c r="O1304" s="402"/>
      <c r="P1304" s="402"/>
      <c r="Q1304" s="402"/>
      <c r="R1304" s="402"/>
      <c r="S1304" s="402"/>
      <c r="T1304" s="402"/>
      <c r="U1304" s="402"/>
      <c r="V1304" s="402"/>
      <c r="W1304" s="402"/>
      <c r="X1304" s="402"/>
      <c r="Y1304" s="402"/>
      <c r="Z1304" s="402"/>
    </row>
    <row r="1305" ht="14.25" customHeight="1">
      <c r="A1305" s="810">
        <v>45535.0</v>
      </c>
      <c r="B1305" s="1018" t="s">
        <v>5051</v>
      </c>
      <c r="C1305" s="1018" t="s">
        <v>5052</v>
      </c>
      <c r="D1305" s="1021" t="s">
        <v>54</v>
      </c>
      <c r="E1305" s="412" t="s">
        <v>5037</v>
      </c>
      <c r="F1305" s="1022">
        <v>17892.0</v>
      </c>
      <c r="G1305" s="403"/>
      <c r="H1305" s="402"/>
      <c r="I1305" s="402"/>
      <c r="J1305" s="402"/>
      <c r="K1305" s="402"/>
      <c r="L1305" s="402"/>
      <c r="M1305" s="402"/>
      <c r="N1305" s="402"/>
      <c r="O1305" s="402"/>
      <c r="P1305" s="402"/>
      <c r="Q1305" s="402"/>
      <c r="R1305" s="402"/>
      <c r="S1305" s="402"/>
      <c r="T1305" s="402"/>
      <c r="U1305" s="402"/>
      <c r="V1305" s="402"/>
      <c r="W1305" s="402"/>
      <c r="X1305" s="402"/>
      <c r="Y1305" s="402"/>
      <c r="Z1305" s="402"/>
    </row>
    <row r="1306" ht="14.25" customHeight="1">
      <c r="A1306" s="810">
        <v>45535.0</v>
      </c>
      <c r="B1306" s="863"/>
      <c r="C1306" s="863"/>
      <c r="D1306" s="867"/>
      <c r="E1306" s="868"/>
      <c r="F1306" s="865"/>
      <c r="G1306" s="403"/>
      <c r="H1306" s="402"/>
      <c r="I1306" s="402"/>
      <c r="J1306" s="402"/>
      <c r="K1306" s="402"/>
      <c r="L1306" s="402"/>
      <c r="M1306" s="402"/>
      <c r="N1306" s="402"/>
      <c r="O1306" s="402"/>
      <c r="P1306" s="402"/>
      <c r="Q1306" s="402"/>
      <c r="R1306" s="402"/>
      <c r="S1306" s="402"/>
      <c r="T1306" s="402"/>
      <c r="U1306" s="402"/>
      <c r="V1306" s="402"/>
      <c r="W1306" s="402"/>
      <c r="X1306" s="402"/>
      <c r="Y1306" s="402"/>
      <c r="Z1306" s="402"/>
    </row>
    <row r="1307" ht="14.25" customHeight="1">
      <c r="A1307" s="810">
        <v>45535.0</v>
      </c>
      <c r="B1307" s="863"/>
      <c r="C1307" s="863"/>
      <c r="D1307" s="867"/>
      <c r="E1307" s="868"/>
      <c r="F1307" s="865"/>
      <c r="G1307" s="403"/>
      <c r="H1307" s="402"/>
      <c r="I1307" s="402"/>
      <c r="J1307" s="402"/>
      <c r="K1307" s="402"/>
      <c r="L1307" s="402"/>
      <c r="M1307" s="402"/>
      <c r="N1307" s="402"/>
      <c r="O1307" s="402"/>
      <c r="P1307" s="402"/>
      <c r="Q1307" s="402"/>
      <c r="R1307" s="402"/>
      <c r="S1307" s="402"/>
      <c r="T1307" s="402"/>
      <c r="U1307" s="402"/>
      <c r="V1307" s="402"/>
      <c r="W1307" s="402"/>
      <c r="X1307" s="402"/>
      <c r="Y1307" s="402"/>
      <c r="Z1307" s="402"/>
    </row>
    <row r="1308" ht="14.25" customHeight="1">
      <c r="A1308" s="810">
        <v>45535.0</v>
      </c>
      <c r="B1308" s="863"/>
      <c r="C1308" s="863"/>
      <c r="D1308" s="867"/>
      <c r="E1308" s="868"/>
      <c r="F1308" s="865"/>
      <c r="G1308" s="403"/>
      <c r="H1308" s="402"/>
      <c r="I1308" s="402"/>
      <c r="J1308" s="402"/>
      <c r="K1308" s="402"/>
      <c r="L1308" s="402"/>
      <c r="M1308" s="402"/>
      <c r="N1308" s="402"/>
      <c r="O1308" s="402"/>
      <c r="P1308" s="402"/>
      <c r="Q1308" s="402"/>
      <c r="R1308" s="402"/>
      <c r="S1308" s="402"/>
      <c r="T1308" s="402"/>
      <c r="U1308" s="402"/>
      <c r="V1308" s="402"/>
      <c r="W1308" s="402"/>
      <c r="X1308" s="402"/>
      <c r="Y1308" s="402"/>
      <c r="Z1308" s="402"/>
    </row>
    <row r="1309" ht="14.25" customHeight="1">
      <c r="A1309" s="810">
        <v>45535.0</v>
      </c>
      <c r="B1309" s="863"/>
      <c r="C1309" s="863"/>
      <c r="D1309" s="867"/>
      <c r="E1309" s="868"/>
      <c r="F1309" s="865"/>
      <c r="G1309" s="403"/>
      <c r="H1309" s="402"/>
      <c r="I1309" s="402"/>
      <c r="J1309" s="402"/>
      <c r="K1309" s="402"/>
      <c r="L1309" s="402"/>
      <c r="M1309" s="402"/>
      <c r="N1309" s="402"/>
      <c r="O1309" s="402"/>
      <c r="P1309" s="402"/>
      <c r="Q1309" s="402"/>
      <c r="R1309" s="402"/>
      <c r="S1309" s="402"/>
      <c r="T1309" s="402"/>
      <c r="U1309" s="402"/>
      <c r="V1309" s="402"/>
      <c r="W1309" s="402"/>
      <c r="X1309" s="402"/>
      <c r="Y1309" s="402"/>
      <c r="Z1309" s="402"/>
    </row>
    <row r="1310" ht="14.25" customHeight="1">
      <c r="A1310" s="697"/>
      <c r="B1310" s="863"/>
      <c r="C1310" s="863"/>
      <c r="D1310" s="867"/>
      <c r="E1310" s="868"/>
      <c r="F1310" s="865"/>
      <c r="G1310" s="403"/>
      <c r="H1310" s="402"/>
      <c r="I1310" s="402"/>
      <c r="J1310" s="402"/>
      <c r="K1310" s="402"/>
      <c r="L1310" s="402"/>
      <c r="M1310" s="402"/>
      <c r="N1310" s="402"/>
      <c r="O1310" s="402"/>
      <c r="P1310" s="402"/>
      <c r="Q1310" s="402"/>
      <c r="R1310" s="402"/>
      <c r="S1310" s="402"/>
      <c r="T1310" s="402"/>
      <c r="U1310" s="402"/>
      <c r="V1310" s="402"/>
      <c r="W1310" s="402"/>
      <c r="X1310" s="402"/>
      <c r="Y1310" s="402"/>
      <c r="Z1310" s="402"/>
    </row>
    <row r="1311" ht="14.25" customHeight="1">
      <c r="A1311" s="697"/>
      <c r="B1311" s="863"/>
      <c r="C1311" s="863"/>
      <c r="D1311" s="867"/>
      <c r="E1311" s="868"/>
      <c r="F1311" s="865"/>
      <c r="G1311" s="403"/>
      <c r="H1311" s="402"/>
      <c r="I1311" s="402"/>
      <c r="J1311" s="402"/>
      <c r="K1311" s="402"/>
      <c r="L1311" s="402"/>
      <c r="M1311" s="402"/>
      <c r="N1311" s="402"/>
      <c r="O1311" s="402"/>
      <c r="P1311" s="402"/>
      <c r="Q1311" s="402"/>
      <c r="R1311" s="402"/>
      <c r="S1311" s="402"/>
      <c r="T1311" s="402"/>
      <c r="U1311" s="402"/>
      <c r="V1311" s="402"/>
      <c r="W1311" s="402"/>
      <c r="X1311" s="402"/>
      <c r="Y1311" s="402"/>
      <c r="Z1311" s="402"/>
    </row>
    <row r="1312" ht="14.25" customHeight="1">
      <c r="A1312" s="697"/>
      <c r="B1312" s="863"/>
      <c r="C1312" s="863"/>
      <c r="D1312" s="867"/>
      <c r="E1312" s="868"/>
      <c r="F1312" s="865"/>
      <c r="G1312" s="403"/>
      <c r="H1312" s="402"/>
      <c r="I1312" s="402"/>
      <c r="J1312" s="402"/>
      <c r="K1312" s="402"/>
      <c r="L1312" s="402"/>
      <c r="M1312" s="402"/>
      <c r="N1312" s="402"/>
      <c r="O1312" s="402"/>
      <c r="P1312" s="402"/>
      <c r="Q1312" s="402"/>
      <c r="R1312" s="402"/>
      <c r="S1312" s="402"/>
      <c r="T1312" s="402"/>
      <c r="U1312" s="402"/>
      <c r="V1312" s="402"/>
      <c r="W1312" s="402"/>
      <c r="X1312" s="402"/>
      <c r="Y1312" s="402"/>
      <c r="Z1312" s="402"/>
    </row>
    <row r="1313" ht="14.25" customHeight="1">
      <c r="A1313" s="896" t="s">
        <v>2130</v>
      </c>
      <c r="B1313" s="997" t="s">
        <v>39</v>
      </c>
      <c r="C1313" s="997" t="s">
        <v>48</v>
      </c>
      <c r="D1313" s="998" t="s">
        <v>49</v>
      </c>
      <c r="E1313" s="862" t="s">
        <v>50</v>
      </c>
      <c r="F1313" s="999" t="s">
        <v>2</v>
      </c>
      <c r="G1313" s="584" t="s">
        <v>44</v>
      </c>
      <c r="H1313" s="584" t="s">
        <v>45</v>
      </c>
      <c r="I1313" s="402"/>
      <c r="J1313" s="402"/>
      <c r="K1313" s="402"/>
      <c r="L1313" s="402"/>
      <c r="M1313" s="402"/>
      <c r="N1313" s="402"/>
      <c r="O1313" s="402"/>
      <c r="P1313" s="402"/>
      <c r="Q1313" s="402"/>
      <c r="R1313" s="402"/>
      <c r="S1313" s="402"/>
      <c r="T1313" s="402"/>
      <c r="U1313" s="402"/>
      <c r="V1313" s="402"/>
      <c r="W1313" s="402"/>
      <c r="X1313" s="402"/>
      <c r="Y1313" s="402"/>
      <c r="Z1313" s="402"/>
    </row>
    <row r="1314" ht="14.25" customHeight="1">
      <c r="A1314" s="406">
        <v>45537.0</v>
      </c>
      <c r="B1314" s="815" t="s">
        <v>5591</v>
      </c>
      <c r="C1314" s="816" t="s">
        <v>4997</v>
      </c>
      <c r="D1314" s="867" t="s">
        <v>413</v>
      </c>
      <c r="E1314" s="689" t="s">
        <v>4895</v>
      </c>
      <c r="F1314" s="1000">
        <v>230000.0</v>
      </c>
      <c r="G1314" s="413">
        <v>30000.0</v>
      </c>
      <c r="H1314" s="517" t="s">
        <v>5592</v>
      </c>
      <c r="I1314" s="402"/>
      <c r="J1314" s="402"/>
      <c r="K1314" s="402"/>
      <c r="L1314" s="402"/>
      <c r="M1314" s="402"/>
      <c r="N1314" s="402"/>
      <c r="O1314" s="402"/>
      <c r="P1314" s="402"/>
      <c r="Q1314" s="402"/>
      <c r="R1314" s="402"/>
      <c r="S1314" s="402"/>
      <c r="T1314" s="402"/>
      <c r="U1314" s="402"/>
      <c r="V1314" s="402"/>
      <c r="W1314" s="402"/>
      <c r="X1314" s="402"/>
      <c r="Y1314" s="402"/>
      <c r="Z1314" s="402"/>
    </row>
    <row r="1315" ht="14.25" customHeight="1">
      <c r="A1315" s="406">
        <v>45537.0</v>
      </c>
      <c r="B1315" s="815" t="s">
        <v>5593</v>
      </c>
      <c r="C1315" s="816" t="s">
        <v>5462</v>
      </c>
      <c r="D1315" s="867" t="s">
        <v>413</v>
      </c>
      <c r="E1315" s="689" t="s">
        <v>4895</v>
      </c>
      <c r="F1315" s="1000">
        <v>69000.0</v>
      </c>
      <c r="G1315" s="413">
        <v>69000.0</v>
      </c>
      <c r="H1315" s="349" t="s">
        <v>5594</v>
      </c>
      <c r="I1315" s="402"/>
      <c r="J1315" s="402"/>
      <c r="K1315" s="402"/>
      <c r="L1315" s="402"/>
      <c r="M1315" s="402"/>
      <c r="N1315" s="402"/>
      <c r="O1315" s="402"/>
      <c r="P1315" s="402"/>
      <c r="Q1315" s="402"/>
      <c r="R1315" s="402"/>
      <c r="S1315" s="402"/>
      <c r="T1315" s="402"/>
      <c r="U1315" s="402"/>
      <c r="V1315" s="402"/>
      <c r="W1315" s="402"/>
      <c r="X1315" s="402"/>
      <c r="Y1315" s="402"/>
      <c r="Z1315" s="402"/>
    </row>
    <row r="1316" ht="14.25" customHeight="1">
      <c r="A1316" s="406">
        <v>45537.0</v>
      </c>
      <c r="B1316" s="815" t="s">
        <v>5595</v>
      </c>
      <c r="C1316" s="816" t="s">
        <v>5596</v>
      </c>
      <c r="D1316" s="867" t="s">
        <v>413</v>
      </c>
      <c r="E1316" s="689" t="s">
        <v>4895</v>
      </c>
      <c r="F1316" s="1000">
        <v>195500.0</v>
      </c>
      <c r="G1316" s="403"/>
      <c r="H1316" s="349" t="s">
        <v>5597</v>
      </c>
      <c r="I1316" s="402"/>
      <c r="J1316" s="402"/>
      <c r="K1316" s="402"/>
      <c r="L1316" s="402"/>
      <c r="M1316" s="402"/>
      <c r="N1316" s="402"/>
      <c r="O1316" s="402"/>
      <c r="P1316" s="402"/>
      <c r="Q1316" s="402"/>
      <c r="R1316" s="402"/>
      <c r="S1316" s="402"/>
      <c r="T1316" s="402"/>
      <c r="U1316" s="402"/>
      <c r="V1316" s="402"/>
      <c r="W1316" s="402"/>
      <c r="X1316" s="402"/>
      <c r="Y1316" s="402"/>
      <c r="Z1316" s="402"/>
    </row>
    <row r="1317" ht="14.25" customHeight="1">
      <c r="A1317" s="406">
        <v>45537.0</v>
      </c>
      <c r="B1317" s="815" t="s">
        <v>5221</v>
      </c>
      <c r="C1317" s="816" t="s">
        <v>5222</v>
      </c>
      <c r="D1317" s="867" t="s">
        <v>413</v>
      </c>
      <c r="E1317" s="689" t="s">
        <v>4895</v>
      </c>
      <c r="F1317" s="1000">
        <v>504480.19</v>
      </c>
      <c r="G1317" s="403"/>
      <c r="H1317" s="349" t="s">
        <v>5598</v>
      </c>
      <c r="I1317" s="402"/>
      <c r="J1317" s="402"/>
      <c r="K1317" s="402"/>
      <c r="L1317" s="402"/>
      <c r="M1317" s="402"/>
      <c r="N1317" s="402"/>
      <c r="O1317" s="402"/>
      <c r="P1317" s="402"/>
      <c r="Q1317" s="402"/>
      <c r="R1317" s="402"/>
      <c r="S1317" s="402"/>
      <c r="T1317" s="402"/>
      <c r="U1317" s="402"/>
      <c r="V1317" s="402"/>
      <c r="W1317" s="402"/>
      <c r="X1317" s="402"/>
      <c r="Y1317" s="402"/>
      <c r="Z1317" s="402"/>
    </row>
    <row r="1318" ht="14.25" customHeight="1">
      <c r="A1318" s="406">
        <v>45537.0</v>
      </c>
      <c r="B1318" s="815" t="s">
        <v>5316</v>
      </c>
      <c r="C1318" s="816" t="s">
        <v>4975</v>
      </c>
      <c r="D1318" s="867" t="s">
        <v>413</v>
      </c>
      <c r="E1318" s="689" t="s">
        <v>4950</v>
      </c>
      <c r="F1318" s="1000">
        <v>54698.44</v>
      </c>
      <c r="G1318" s="403"/>
      <c r="H1318" s="349" t="s">
        <v>5599</v>
      </c>
      <c r="I1318" s="402"/>
      <c r="J1318" s="402"/>
      <c r="K1318" s="402"/>
      <c r="L1318" s="402"/>
      <c r="M1318" s="402"/>
      <c r="N1318" s="402"/>
      <c r="O1318" s="402"/>
      <c r="P1318" s="402"/>
      <c r="Q1318" s="402"/>
      <c r="R1318" s="402"/>
      <c r="S1318" s="402"/>
      <c r="T1318" s="402"/>
      <c r="U1318" s="402"/>
      <c r="V1318" s="402"/>
      <c r="W1318" s="402"/>
      <c r="X1318" s="402"/>
      <c r="Y1318" s="402"/>
      <c r="Z1318" s="402"/>
    </row>
    <row r="1319" ht="14.25" customHeight="1">
      <c r="A1319" s="406">
        <v>45537.0</v>
      </c>
      <c r="B1319" s="815" t="s">
        <v>5397</v>
      </c>
      <c r="C1319" s="816" t="s">
        <v>5600</v>
      </c>
      <c r="D1319" s="867" t="s">
        <v>413</v>
      </c>
      <c r="E1319" s="689" t="s">
        <v>4895</v>
      </c>
      <c r="F1319" s="1000">
        <v>107575.0</v>
      </c>
      <c r="G1319" s="413">
        <v>20000.0</v>
      </c>
      <c r="H1319" s="349" t="s">
        <v>3994</v>
      </c>
      <c r="I1319" s="402"/>
      <c r="J1319" s="402"/>
      <c r="K1319" s="402"/>
      <c r="L1319" s="402"/>
      <c r="M1319" s="402"/>
      <c r="N1319" s="402"/>
      <c r="O1319" s="402"/>
      <c r="P1319" s="402"/>
      <c r="Q1319" s="402"/>
      <c r="R1319" s="402"/>
      <c r="S1319" s="402"/>
      <c r="T1319" s="402"/>
      <c r="U1319" s="402"/>
      <c r="V1319" s="402"/>
      <c r="W1319" s="402"/>
      <c r="X1319" s="402"/>
      <c r="Y1319" s="402"/>
      <c r="Z1319" s="402"/>
    </row>
    <row r="1320" ht="14.25" customHeight="1">
      <c r="A1320" s="406">
        <v>45537.0</v>
      </c>
      <c r="B1320" s="815" t="s">
        <v>5488</v>
      </c>
      <c r="C1320" s="816" t="s">
        <v>4860</v>
      </c>
      <c r="D1320" s="867" t="s">
        <v>413</v>
      </c>
      <c r="E1320" s="689" t="s">
        <v>5428</v>
      </c>
      <c r="F1320" s="1000">
        <v>178552.5</v>
      </c>
      <c r="G1320" s="403"/>
      <c r="H1320" s="349" t="s">
        <v>4057</v>
      </c>
      <c r="I1320" s="402"/>
      <c r="J1320" s="402"/>
      <c r="K1320" s="402"/>
      <c r="L1320" s="402"/>
      <c r="M1320" s="402"/>
      <c r="N1320" s="402"/>
      <c r="O1320" s="402"/>
      <c r="P1320" s="402"/>
      <c r="Q1320" s="402"/>
      <c r="R1320" s="402"/>
      <c r="S1320" s="402"/>
      <c r="T1320" s="402"/>
      <c r="U1320" s="402"/>
      <c r="V1320" s="402"/>
      <c r="W1320" s="402"/>
      <c r="X1320" s="402"/>
      <c r="Y1320" s="402"/>
      <c r="Z1320" s="402"/>
    </row>
    <row r="1321" ht="14.25" customHeight="1">
      <c r="A1321" s="406">
        <v>45537.0</v>
      </c>
      <c r="B1321" s="815" t="s">
        <v>5512</v>
      </c>
      <c r="C1321" s="816" t="s">
        <v>5459</v>
      </c>
      <c r="D1321" s="867" t="s">
        <v>413</v>
      </c>
      <c r="E1321" s="689" t="s">
        <v>4895</v>
      </c>
      <c r="F1321" s="1000">
        <v>182125.0</v>
      </c>
      <c r="G1321" s="403"/>
      <c r="H1321" s="349" t="s">
        <v>5601</v>
      </c>
      <c r="I1321" s="402"/>
      <c r="J1321" s="402"/>
      <c r="K1321" s="402"/>
      <c r="L1321" s="402"/>
      <c r="M1321" s="402"/>
      <c r="N1321" s="402"/>
      <c r="O1321" s="402"/>
      <c r="P1321" s="402"/>
      <c r="Q1321" s="402"/>
      <c r="R1321" s="402"/>
      <c r="S1321" s="402"/>
      <c r="T1321" s="402"/>
      <c r="U1321" s="402"/>
      <c r="V1321" s="402"/>
      <c r="W1321" s="402"/>
      <c r="X1321" s="402"/>
      <c r="Y1321" s="402"/>
      <c r="Z1321" s="402"/>
    </row>
    <row r="1322" ht="14.25" customHeight="1">
      <c r="A1322" s="406">
        <v>45537.0</v>
      </c>
      <c r="B1322" s="815" t="s">
        <v>5515</v>
      </c>
      <c r="C1322" s="816" t="s">
        <v>5602</v>
      </c>
      <c r="D1322" s="867" t="s">
        <v>413</v>
      </c>
      <c r="E1322" s="689" t="s">
        <v>4950</v>
      </c>
      <c r="F1322" s="1000">
        <v>956000.0</v>
      </c>
      <c r="G1322" s="403"/>
      <c r="H1322" s="349" t="s">
        <v>5601</v>
      </c>
      <c r="I1322" s="402"/>
      <c r="J1322" s="402"/>
      <c r="K1322" s="402"/>
      <c r="L1322" s="402"/>
      <c r="M1322" s="402"/>
      <c r="N1322" s="402"/>
      <c r="O1322" s="402"/>
      <c r="P1322" s="402"/>
      <c r="Q1322" s="402"/>
      <c r="R1322" s="402"/>
      <c r="S1322" s="402"/>
      <c r="T1322" s="402"/>
      <c r="U1322" s="402"/>
      <c r="V1322" s="402"/>
      <c r="W1322" s="402"/>
      <c r="X1322" s="402"/>
      <c r="Y1322" s="402"/>
      <c r="Z1322" s="402"/>
    </row>
    <row r="1323" ht="14.25" customHeight="1">
      <c r="A1323" s="406">
        <v>45537.0</v>
      </c>
      <c r="B1323" s="815" t="s">
        <v>4893</v>
      </c>
      <c r="C1323" s="816" t="s">
        <v>5603</v>
      </c>
      <c r="D1323" s="867" t="s">
        <v>1030</v>
      </c>
      <c r="E1323" s="689" t="s">
        <v>4950</v>
      </c>
      <c r="F1323" s="1000">
        <v>57755.08</v>
      </c>
      <c r="G1323" s="403"/>
      <c r="H1323" s="349" t="s">
        <v>5604</v>
      </c>
      <c r="I1323" s="402"/>
      <c r="J1323" s="402"/>
      <c r="K1323" s="402"/>
      <c r="L1323" s="402"/>
      <c r="M1323" s="402"/>
      <c r="N1323" s="402"/>
      <c r="O1323" s="402"/>
      <c r="P1323" s="402"/>
      <c r="Q1323" s="402"/>
      <c r="R1323" s="402"/>
      <c r="S1323" s="402"/>
      <c r="T1323" s="402"/>
      <c r="U1323" s="402"/>
      <c r="V1323" s="402"/>
      <c r="W1323" s="402"/>
      <c r="X1323" s="402"/>
      <c r="Y1323" s="402"/>
      <c r="Z1323" s="402"/>
    </row>
    <row r="1324" ht="14.25" customHeight="1">
      <c r="A1324" s="406">
        <v>45537.0</v>
      </c>
      <c r="B1324" s="815" t="s">
        <v>5130</v>
      </c>
      <c r="C1324" s="816" t="s">
        <v>5247</v>
      </c>
      <c r="D1324" s="867" t="s">
        <v>1030</v>
      </c>
      <c r="E1324" s="689" t="s">
        <v>5605</v>
      </c>
      <c r="F1324" s="1000">
        <v>3389.07</v>
      </c>
      <c r="G1324" s="403"/>
      <c r="H1324" s="349" t="s">
        <v>5606</v>
      </c>
      <c r="I1324" s="402"/>
      <c r="J1324" s="402"/>
      <c r="K1324" s="402"/>
      <c r="L1324" s="402"/>
      <c r="M1324" s="402"/>
      <c r="N1324" s="402"/>
      <c r="O1324" s="402"/>
      <c r="P1324" s="402"/>
      <c r="Q1324" s="402"/>
      <c r="R1324" s="402"/>
      <c r="S1324" s="402"/>
      <c r="T1324" s="402"/>
      <c r="U1324" s="402"/>
      <c r="V1324" s="402"/>
      <c r="W1324" s="402"/>
      <c r="X1324" s="402"/>
      <c r="Y1324" s="402"/>
      <c r="Z1324" s="402"/>
    </row>
    <row r="1325" ht="14.25" customHeight="1">
      <c r="A1325" s="406">
        <v>45537.0</v>
      </c>
      <c r="B1325" s="815" t="s">
        <v>4939</v>
      </c>
      <c r="C1325" s="816" t="s">
        <v>4932</v>
      </c>
      <c r="D1325" s="867" t="s">
        <v>1030</v>
      </c>
      <c r="E1325" s="689" t="s">
        <v>4895</v>
      </c>
      <c r="F1325" s="1000">
        <v>17790.85</v>
      </c>
      <c r="G1325" s="403"/>
      <c r="H1325" s="349" t="s">
        <v>4057</v>
      </c>
      <c r="I1325" s="402"/>
      <c r="J1325" s="402"/>
      <c r="K1325" s="402"/>
      <c r="L1325" s="402"/>
      <c r="M1325" s="402"/>
      <c r="N1325" s="402"/>
      <c r="O1325" s="402"/>
      <c r="P1325" s="402"/>
      <c r="Q1325" s="402"/>
      <c r="R1325" s="402"/>
      <c r="S1325" s="402"/>
      <c r="T1325" s="402"/>
      <c r="U1325" s="402"/>
      <c r="V1325" s="402"/>
      <c r="W1325" s="402"/>
      <c r="X1325" s="402"/>
      <c r="Y1325" s="402"/>
      <c r="Z1325" s="402"/>
    </row>
    <row r="1326" ht="14.25" customHeight="1">
      <c r="A1326" s="406">
        <v>45537.0</v>
      </c>
      <c r="B1326" s="815" t="s">
        <v>4898</v>
      </c>
      <c r="C1326" s="816" t="s">
        <v>5500</v>
      </c>
      <c r="D1326" s="867" t="s">
        <v>1030</v>
      </c>
      <c r="E1326" s="689" t="s">
        <v>4950</v>
      </c>
      <c r="F1326" s="1000">
        <v>5762.96</v>
      </c>
      <c r="G1326" s="403"/>
      <c r="H1326" s="349" t="s">
        <v>3957</v>
      </c>
      <c r="I1326" s="402"/>
      <c r="J1326" s="402"/>
      <c r="K1326" s="402"/>
      <c r="L1326" s="402"/>
      <c r="M1326" s="402"/>
      <c r="N1326" s="402"/>
      <c r="O1326" s="402"/>
      <c r="P1326" s="402"/>
      <c r="Q1326" s="402"/>
      <c r="R1326" s="402"/>
      <c r="S1326" s="402"/>
      <c r="T1326" s="402"/>
      <c r="U1326" s="402"/>
      <c r="V1326" s="402"/>
      <c r="W1326" s="402"/>
      <c r="X1326" s="402"/>
      <c r="Y1326" s="402"/>
      <c r="Z1326" s="402"/>
    </row>
    <row r="1327" ht="14.25" customHeight="1">
      <c r="A1327" s="406">
        <v>45537.0</v>
      </c>
      <c r="B1327" s="815" t="s">
        <v>4864</v>
      </c>
      <c r="C1327" s="816" t="s">
        <v>4865</v>
      </c>
      <c r="D1327" s="867" t="s">
        <v>1030</v>
      </c>
      <c r="E1327" s="689" t="s">
        <v>4895</v>
      </c>
      <c r="F1327" s="1000">
        <v>8187.34</v>
      </c>
      <c r="G1327" s="403"/>
      <c r="H1327" s="349" t="s">
        <v>4057</v>
      </c>
      <c r="I1327" s="402"/>
      <c r="J1327" s="402"/>
      <c r="K1327" s="402"/>
      <c r="L1327" s="402"/>
      <c r="M1327" s="402"/>
      <c r="N1327" s="402"/>
      <c r="O1327" s="402"/>
      <c r="P1327" s="402"/>
      <c r="Q1327" s="402"/>
      <c r="R1327" s="402"/>
      <c r="S1327" s="402"/>
      <c r="T1327" s="402"/>
      <c r="U1327" s="402"/>
      <c r="V1327" s="402"/>
      <c r="W1327" s="402"/>
      <c r="X1327" s="402"/>
      <c r="Y1327" s="402"/>
      <c r="Z1327" s="402"/>
    </row>
    <row r="1328" ht="14.25" customHeight="1">
      <c r="A1328" s="406">
        <v>45537.0</v>
      </c>
      <c r="B1328" s="815" t="s">
        <v>4885</v>
      </c>
      <c r="C1328" s="816" t="s">
        <v>5418</v>
      </c>
      <c r="D1328" s="867" t="s">
        <v>1030</v>
      </c>
      <c r="E1328" s="689" t="s">
        <v>4950</v>
      </c>
      <c r="F1328" s="1000">
        <v>1704.07</v>
      </c>
      <c r="G1328" s="403"/>
      <c r="H1328" s="349" t="s">
        <v>5607</v>
      </c>
      <c r="I1328" s="402"/>
      <c r="J1328" s="402"/>
      <c r="K1328" s="402"/>
      <c r="L1328" s="402"/>
      <c r="M1328" s="402"/>
      <c r="N1328" s="402"/>
      <c r="O1328" s="402"/>
      <c r="P1328" s="402"/>
      <c r="Q1328" s="402"/>
      <c r="R1328" s="402"/>
      <c r="S1328" s="402"/>
      <c r="T1328" s="402"/>
      <c r="U1328" s="402"/>
      <c r="V1328" s="402"/>
      <c r="W1328" s="402"/>
      <c r="X1328" s="402"/>
      <c r="Y1328" s="402"/>
      <c r="Z1328" s="402"/>
    </row>
    <row r="1329" ht="14.25" customHeight="1">
      <c r="A1329" s="406">
        <v>45537.0</v>
      </c>
      <c r="B1329" s="815" t="s">
        <v>4956</v>
      </c>
      <c r="C1329" s="816" t="s">
        <v>4976</v>
      </c>
      <c r="D1329" s="867" t="s">
        <v>1030</v>
      </c>
      <c r="E1329" s="689" t="s">
        <v>4895</v>
      </c>
      <c r="F1329" s="1000">
        <v>15754.22</v>
      </c>
      <c r="G1329" s="403"/>
      <c r="H1329" s="349" t="s">
        <v>5597</v>
      </c>
      <c r="I1329" s="402"/>
      <c r="J1329" s="402"/>
      <c r="K1329" s="402"/>
      <c r="L1329" s="402"/>
      <c r="M1329" s="402"/>
      <c r="N1329" s="402"/>
      <c r="O1329" s="402"/>
      <c r="P1329" s="402"/>
      <c r="Q1329" s="402"/>
      <c r="R1329" s="402"/>
      <c r="S1329" s="402"/>
      <c r="T1329" s="402"/>
      <c r="U1329" s="402"/>
      <c r="V1329" s="402"/>
      <c r="W1329" s="402"/>
      <c r="X1329" s="402"/>
      <c r="Y1329" s="402"/>
      <c r="Z1329" s="402"/>
    </row>
    <row r="1330" ht="14.25" customHeight="1">
      <c r="A1330" s="406">
        <v>45537.0</v>
      </c>
      <c r="B1330" s="815" t="s">
        <v>4773</v>
      </c>
      <c r="C1330" s="816" t="s">
        <v>4906</v>
      </c>
      <c r="D1330" s="867" t="s">
        <v>1030</v>
      </c>
      <c r="E1330" s="689" t="s">
        <v>4895</v>
      </c>
      <c r="F1330" s="1000">
        <v>1080.38</v>
      </c>
      <c r="G1330" s="403"/>
      <c r="H1330" s="349" t="s">
        <v>5598</v>
      </c>
      <c r="I1330" s="402"/>
      <c r="J1330" s="402"/>
      <c r="K1330" s="402"/>
      <c r="L1330" s="402"/>
      <c r="M1330" s="402"/>
      <c r="N1330" s="402"/>
      <c r="O1330" s="402"/>
      <c r="P1330" s="402"/>
      <c r="Q1330" s="402"/>
      <c r="R1330" s="402"/>
      <c r="S1330" s="402"/>
      <c r="T1330" s="402"/>
      <c r="U1330" s="402"/>
      <c r="V1330" s="402"/>
      <c r="W1330" s="402"/>
      <c r="X1330" s="402"/>
      <c r="Y1330" s="402"/>
      <c r="Z1330" s="402"/>
    </row>
    <row r="1331" ht="14.25" customHeight="1">
      <c r="A1331" s="406">
        <v>45537.0</v>
      </c>
      <c r="B1331" s="815" t="s">
        <v>5103</v>
      </c>
      <c r="C1331" s="816" t="s">
        <v>5608</v>
      </c>
      <c r="D1331" s="867" t="s">
        <v>1030</v>
      </c>
      <c r="E1331" s="689" t="s">
        <v>5428</v>
      </c>
      <c r="F1331" s="1000">
        <v>30148.54</v>
      </c>
      <c r="G1331" s="403"/>
      <c r="H1331" s="349" t="s">
        <v>5599</v>
      </c>
      <c r="I1331" s="402"/>
      <c r="J1331" s="402"/>
      <c r="K1331" s="402"/>
      <c r="L1331" s="402"/>
      <c r="M1331" s="402"/>
      <c r="N1331" s="402"/>
      <c r="O1331" s="402"/>
      <c r="P1331" s="402"/>
      <c r="Q1331" s="402"/>
      <c r="R1331" s="402"/>
      <c r="S1331" s="402"/>
      <c r="T1331" s="402"/>
      <c r="U1331" s="402"/>
      <c r="V1331" s="402"/>
      <c r="W1331" s="402"/>
      <c r="X1331" s="402"/>
      <c r="Y1331" s="402"/>
      <c r="Z1331" s="402"/>
    </row>
    <row r="1332" ht="14.25" customHeight="1">
      <c r="A1332" s="406">
        <v>45537.0</v>
      </c>
      <c r="B1332" s="815" t="s">
        <v>4779</v>
      </c>
      <c r="C1332" s="816" t="s">
        <v>4907</v>
      </c>
      <c r="D1332" s="867" t="s">
        <v>1030</v>
      </c>
      <c r="E1332" s="689" t="s">
        <v>4895</v>
      </c>
      <c r="F1332" s="1000">
        <v>3084.61</v>
      </c>
      <c r="G1332" s="403"/>
      <c r="H1332" s="349" t="s">
        <v>3994</v>
      </c>
      <c r="I1332" s="402"/>
      <c r="J1332" s="402"/>
      <c r="K1332" s="402"/>
      <c r="L1332" s="402"/>
      <c r="M1332" s="402"/>
      <c r="N1332" s="402"/>
      <c r="O1332" s="402"/>
      <c r="P1332" s="402"/>
      <c r="Q1332" s="402"/>
      <c r="R1332" s="402"/>
      <c r="S1332" s="402"/>
      <c r="T1332" s="402"/>
      <c r="U1332" s="402"/>
      <c r="V1332" s="402"/>
      <c r="W1332" s="402"/>
      <c r="X1332" s="402"/>
      <c r="Y1332" s="402"/>
      <c r="Z1332" s="402"/>
    </row>
    <row r="1333" ht="14.25" customHeight="1">
      <c r="A1333" s="406">
        <v>45537.0</v>
      </c>
      <c r="B1333" s="815" t="s">
        <v>5179</v>
      </c>
      <c r="C1333" s="816" t="s">
        <v>5180</v>
      </c>
      <c r="D1333" s="867" t="s">
        <v>1030</v>
      </c>
      <c r="E1333" s="689" t="s">
        <v>4950</v>
      </c>
      <c r="F1333" s="1000">
        <v>2796.0</v>
      </c>
      <c r="G1333" s="403"/>
      <c r="H1333" s="349" t="s">
        <v>4092</v>
      </c>
      <c r="I1333" s="402"/>
      <c r="J1333" s="402"/>
      <c r="K1333" s="402"/>
      <c r="L1333" s="402"/>
      <c r="M1333" s="402"/>
      <c r="N1333" s="402"/>
      <c r="O1333" s="402"/>
      <c r="P1333" s="402"/>
      <c r="Q1333" s="402"/>
      <c r="R1333" s="402"/>
      <c r="S1333" s="402"/>
      <c r="T1333" s="402"/>
      <c r="U1333" s="402"/>
      <c r="V1333" s="402"/>
      <c r="W1333" s="402"/>
      <c r="X1333" s="402"/>
      <c r="Y1333" s="402"/>
      <c r="Z1333" s="402"/>
    </row>
    <row r="1334" ht="14.25" customHeight="1">
      <c r="A1334" s="406">
        <v>45537.0</v>
      </c>
      <c r="B1334" s="815" t="s">
        <v>4977</v>
      </c>
      <c r="C1334" s="816" t="s">
        <v>4978</v>
      </c>
      <c r="D1334" s="867" t="s">
        <v>1030</v>
      </c>
      <c r="E1334" s="689" t="s">
        <v>4950</v>
      </c>
      <c r="F1334" s="1000">
        <v>892.65</v>
      </c>
      <c r="G1334" s="403"/>
      <c r="H1334" s="349" t="s">
        <v>4091</v>
      </c>
      <c r="I1334" s="402"/>
      <c r="J1334" s="402"/>
      <c r="K1334" s="402"/>
      <c r="L1334" s="402"/>
      <c r="M1334" s="402"/>
      <c r="N1334" s="402"/>
      <c r="O1334" s="402"/>
      <c r="P1334" s="402"/>
      <c r="Q1334" s="402"/>
      <c r="R1334" s="402"/>
      <c r="S1334" s="402"/>
      <c r="T1334" s="402"/>
      <c r="U1334" s="402"/>
      <c r="V1334" s="402"/>
      <c r="W1334" s="402"/>
      <c r="X1334" s="402"/>
      <c r="Y1334" s="402"/>
      <c r="Z1334" s="402"/>
    </row>
    <row r="1335" ht="14.25" customHeight="1">
      <c r="A1335" s="406">
        <v>45537.0</v>
      </c>
      <c r="B1335" s="815" t="s">
        <v>4785</v>
      </c>
      <c r="C1335" s="816" t="s">
        <v>4845</v>
      </c>
      <c r="D1335" s="867" t="s">
        <v>1030</v>
      </c>
      <c r="E1335" s="689" t="s">
        <v>4895</v>
      </c>
      <c r="F1335" s="1000">
        <v>12030.93</v>
      </c>
      <c r="G1335" s="403"/>
      <c r="H1335" s="349" t="s">
        <v>4092</v>
      </c>
      <c r="I1335" s="402"/>
      <c r="J1335" s="402"/>
      <c r="K1335" s="402"/>
      <c r="L1335" s="402"/>
      <c r="M1335" s="402"/>
      <c r="N1335" s="402"/>
      <c r="O1335" s="402"/>
      <c r="P1335" s="402"/>
      <c r="Q1335" s="402"/>
      <c r="R1335" s="402"/>
      <c r="S1335" s="402"/>
      <c r="T1335" s="402"/>
      <c r="U1335" s="402"/>
      <c r="V1335" s="402"/>
      <c r="W1335" s="402"/>
      <c r="X1335" s="402"/>
      <c r="Y1335" s="402"/>
      <c r="Z1335" s="402"/>
    </row>
    <row r="1336" ht="14.25" customHeight="1">
      <c r="A1336" s="406">
        <v>45537.0</v>
      </c>
      <c r="B1336" s="815" t="s">
        <v>5033</v>
      </c>
      <c r="C1336" s="816" t="s">
        <v>5034</v>
      </c>
      <c r="D1336" s="867" t="s">
        <v>1030</v>
      </c>
      <c r="E1336" s="417" t="s">
        <v>4895</v>
      </c>
      <c r="F1336" s="1000">
        <v>28445.89</v>
      </c>
      <c r="G1336" s="403"/>
      <c r="H1336" s="349" t="s">
        <v>4093</v>
      </c>
      <c r="I1336" s="402"/>
      <c r="J1336" s="402"/>
      <c r="K1336" s="402"/>
      <c r="L1336" s="402"/>
      <c r="M1336" s="402"/>
      <c r="N1336" s="402"/>
      <c r="O1336" s="402"/>
      <c r="P1336" s="402"/>
      <c r="Q1336" s="402"/>
      <c r="R1336" s="402"/>
      <c r="S1336" s="402"/>
      <c r="T1336" s="402"/>
      <c r="U1336" s="402"/>
      <c r="V1336" s="402"/>
      <c r="W1336" s="402"/>
      <c r="X1336" s="402"/>
      <c r="Y1336" s="402"/>
      <c r="Z1336" s="402"/>
    </row>
    <row r="1337" ht="14.25" customHeight="1">
      <c r="A1337" s="406">
        <v>45537.0</v>
      </c>
      <c r="B1337" s="815" t="s">
        <v>5035</v>
      </c>
      <c r="C1337" s="816" t="s">
        <v>5036</v>
      </c>
      <c r="D1337" s="867" t="s">
        <v>1030</v>
      </c>
      <c r="E1337" s="417" t="s">
        <v>4950</v>
      </c>
      <c r="F1337" s="1000">
        <v>75593.1</v>
      </c>
      <c r="G1337" s="403"/>
      <c r="H1337" s="349" t="s">
        <v>4093</v>
      </c>
      <c r="I1337" s="402"/>
      <c r="J1337" s="402"/>
      <c r="K1337" s="402"/>
      <c r="L1337" s="402"/>
      <c r="M1337" s="402"/>
      <c r="N1337" s="402"/>
      <c r="O1337" s="402"/>
      <c r="P1337" s="402"/>
      <c r="Q1337" s="402"/>
      <c r="R1337" s="402"/>
      <c r="S1337" s="402"/>
      <c r="T1337" s="402"/>
      <c r="U1337" s="402"/>
      <c r="V1337" s="402"/>
      <c r="W1337" s="402"/>
      <c r="X1337" s="402"/>
      <c r="Y1337" s="402"/>
      <c r="Z1337" s="402"/>
    </row>
    <row r="1338" ht="14.25" customHeight="1">
      <c r="A1338" s="406">
        <v>45537.0</v>
      </c>
      <c r="B1338" s="815" t="s">
        <v>4811</v>
      </c>
      <c r="C1338" s="816" t="s">
        <v>4859</v>
      </c>
      <c r="D1338" s="867" t="s">
        <v>1030</v>
      </c>
      <c r="E1338" s="417" t="s">
        <v>4895</v>
      </c>
      <c r="F1338" s="1000">
        <v>16566.2</v>
      </c>
      <c r="G1338" s="403"/>
      <c r="H1338" s="349" t="s">
        <v>4092</v>
      </c>
      <c r="I1338" s="402"/>
      <c r="J1338" s="402"/>
      <c r="K1338" s="402"/>
      <c r="L1338" s="402"/>
      <c r="M1338" s="402"/>
      <c r="N1338" s="402"/>
      <c r="O1338" s="402"/>
      <c r="P1338" s="402"/>
      <c r="Q1338" s="402"/>
      <c r="R1338" s="402"/>
      <c r="S1338" s="402"/>
      <c r="T1338" s="402"/>
      <c r="U1338" s="402"/>
      <c r="V1338" s="402"/>
      <c r="W1338" s="402"/>
      <c r="X1338" s="402"/>
      <c r="Y1338" s="402"/>
      <c r="Z1338" s="402"/>
    </row>
    <row r="1339" ht="14.25" customHeight="1">
      <c r="A1339" s="406">
        <v>45537.0</v>
      </c>
      <c r="B1339" s="815" t="s">
        <v>4816</v>
      </c>
      <c r="C1339" s="816" t="s">
        <v>4858</v>
      </c>
      <c r="D1339" s="867" t="s">
        <v>1030</v>
      </c>
      <c r="E1339" s="417" t="s">
        <v>4895</v>
      </c>
      <c r="F1339" s="1000">
        <v>7179.95</v>
      </c>
      <c r="G1339" s="403"/>
      <c r="H1339" s="349" t="s">
        <v>4091</v>
      </c>
      <c r="I1339" s="402"/>
      <c r="J1339" s="402"/>
      <c r="K1339" s="402"/>
      <c r="L1339" s="402"/>
      <c r="M1339" s="402"/>
      <c r="N1339" s="402"/>
      <c r="O1339" s="402"/>
      <c r="P1339" s="402"/>
      <c r="Q1339" s="402"/>
      <c r="R1339" s="402"/>
      <c r="S1339" s="402"/>
      <c r="T1339" s="402"/>
      <c r="U1339" s="402"/>
      <c r="V1339" s="402"/>
      <c r="W1339" s="402"/>
      <c r="X1339" s="402"/>
      <c r="Y1339" s="402"/>
      <c r="Z1339" s="402"/>
    </row>
    <row r="1340" ht="14.25" customHeight="1">
      <c r="A1340" s="406">
        <v>45537.0</v>
      </c>
      <c r="B1340" s="815" t="s">
        <v>5243</v>
      </c>
      <c r="C1340" s="816" t="s">
        <v>4901</v>
      </c>
      <c r="D1340" s="867" t="s">
        <v>1030</v>
      </c>
      <c r="E1340" s="417" t="s">
        <v>4950</v>
      </c>
      <c r="F1340" s="1000">
        <v>26741.36</v>
      </c>
      <c r="G1340" s="403"/>
      <c r="H1340" s="349" t="s">
        <v>4092</v>
      </c>
      <c r="I1340" s="402"/>
      <c r="J1340" s="402"/>
      <c r="K1340" s="402"/>
      <c r="L1340" s="402"/>
      <c r="M1340" s="402"/>
      <c r="N1340" s="402"/>
      <c r="O1340" s="402"/>
      <c r="P1340" s="402"/>
      <c r="Q1340" s="402"/>
      <c r="R1340" s="402"/>
      <c r="S1340" s="402"/>
      <c r="T1340" s="402"/>
      <c r="U1340" s="402"/>
      <c r="V1340" s="402"/>
      <c r="W1340" s="402"/>
      <c r="X1340" s="402"/>
      <c r="Y1340" s="402"/>
      <c r="Z1340" s="402"/>
    </row>
    <row r="1341" ht="14.25" customHeight="1">
      <c r="A1341" s="406">
        <v>45537.0</v>
      </c>
      <c r="B1341" s="815" t="s">
        <v>5609</v>
      </c>
      <c r="C1341" s="816" t="s">
        <v>5485</v>
      </c>
      <c r="D1341" s="867" t="s">
        <v>1030</v>
      </c>
      <c r="E1341" s="419" t="s">
        <v>5428</v>
      </c>
      <c r="F1341" s="1000">
        <v>244762.57</v>
      </c>
      <c r="G1341" s="403"/>
      <c r="H1341" s="349" t="s">
        <v>4093</v>
      </c>
      <c r="I1341" s="402"/>
      <c r="J1341" s="402"/>
      <c r="K1341" s="402"/>
      <c r="L1341" s="402"/>
      <c r="M1341" s="402"/>
      <c r="N1341" s="402"/>
      <c r="O1341" s="402"/>
      <c r="P1341" s="402"/>
      <c r="Q1341" s="402"/>
      <c r="R1341" s="402"/>
      <c r="S1341" s="402"/>
      <c r="T1341" s="402"/>
      <c r="U1341" s="402"/>
      <c r="V1341" s="402"/>
      <c r="W1341" s="402"/>
      <c r="X1341" s="402"/>
      <c r="Y1341" s="402"/>
      <c r="Z1341" s="402"/>
    </row>
    <row r="1342" ht="14.25" customHeight="1">
      <c r="A1342" s="406">
        <v>45537.0</v>
      </c>
      <c r="B1342" s="815" t="s">
        <v>4830</v>
      </c>
      <c r="C1342" s="816" t="s">
        <v>4909</v>
      </c>
      <c r="D1342" s="867" t="s">
        <v>1030</v>
      </c>
      <c r="E1342" s="417" t="s">
        <v>5428</v>
      </c>
      <c r="F1342" s="1000">
        <v>895.77</v>
      </c>
      <c r="G1342" s="403"/>
      <c r="H1342" s="349" t="s">
        <v>4093</v>
      </c>
      <c r="I1342" s="402"/>
      <c r="J1342" s="402"/>
      <c r="K1342" s="402"/>
      <c r="L1342" s="402"/>
      <c r="M1342" s="402"/>
      <c r="N1342" s="402"/>
      <c r="O1342" s="402"/>
      <c r="P1342" s="402"/>
      <c r="Q1342" s="402"/>
      <c r="R1342" s="402"/>
      <c r="S1342" s="402"/>
      <c r="T1342" s="402"/>
      <c r="U1342" s="402"/>
      <c r="V1342" s="402"/>
      <c r="W1342" s="402"/>
      <c r="X1342" s="402"/>
      <c r="Y1342" s="402"/>
      <c r="Z1342" s="402"/>
    </row>
    <row r="1343" ht="14.25" customHeight="1">
      <c r="A1343" s="406">
        <v>45537.0</v>
      </c>
      <c r="B1343" s="815" t="s">
        <v>4900</v>
      </c>
      <c r="C1343" s="816" t="s">
        <v>4851</v>
      </c>
      <c r="D1343" s="867" t="s">
        <v>1030</v>
      </c>
      <c r="E1343" s="417" t="s">
        <v>4895</v>
      </c>
      <c r="F1343" s="1000">
        <v>43755.97</v>
      </c>
      <c r="G1343" s="403"/>
      <c r="H1343" s="349" t="s">
        <v>4092</v>
      </c>
      <c r="I1343" s="402"/>
      <c r="J1343" s="402"/>
      <c r="K1343" s="402"/>
      <c r="L1343" s="402"/>
      <c r="M1343" s="402"/>
      <c r="N1343" s="402"/>
      <c r="O1343" s="402"/>
      <c r="P1343" s="402"/>
      <c r="Q1343" s="402"/>
      <c r="R1343" s="402"/>
      <c r="S1343" s="402"/>
      <c r="T1343" s="402"/>
      <c r="U1343" s="402"/>
      <c r="V1343" s="402"/>
      <c r="W1343" s="402"/>
      <c r="X1343" s="402"/>
      <c r="Y1343" s="402"/>
      <c r="Z1343" s="402"/>
    </row>
    <row r="1344" ht="14.25" customHeight="1">
      <c r="A1344" s="406">
        <v>45537.0</v>
      </c>
      <c r="B1344" s="815" t="s">
        <v>4781</v>
      </c>
      <c r="C1344" s="816" t="s">
        <v>4974</v>
      </c>
      <c r="D1344" s="867" t="s">
        <v>1030</v>
      </c>
      <c r="E1344" s="417" t="s">
        <v>4950</v>
      </c>
      <c r="F1344" s="1000">
        <v>211528.11</v>
      </c>
      <c r="G1344" s="403"/>
      <c r="H1344" s="349" t="s">
        <v>4092</v>
      </c>
      <c r="I1344" s="402"/>
      <c r="J1344" s="402"/>
      <c r="K1344" s="402"/>
      <c r="L1344" s="402"/>
      <c r="M1344" s="402"/>
      <c r="N1344" s="402"/>
      <c r="O1344" s="402"/>
      <c r="P1344" s="402"/>
      <c r="Q1344" s="402"/>
      <c r="R1344" s="402"/>
      <c r="S1344" s="402"/>
      <c r="T1344" s="402"/>
      <c r="U1344" s="402"/>
      <c r="V1344" s="402"/>
      <c r="W1344" s="402"/>
      <c r="X1344" s="402"/>
      <c r="Y1344" s="402"/>
      <c r="Z1344" s="402"/>
    </row>
    <row r="1345" ht="14.25" customHeight="1">
      <c r="A1345" s="406">
        <v>45537.0</v>
      </c>
      <c r="B1345" s="815" t="s">
        <v>4809</v>
      </c>
      <c r="C1345" s="816" t="s">
        <v>4991</v>
      </c>
      <c r="D1345" s="867" t="s">
        <v>1030</v>
      </c>
      <c r="E1345" s="417" t="s">
        <v>4950</v>
      </c>
      <c r="F1345" s="1000">
        <v>62563.45</v>
      </c>
      <c r="G1345" s="403"/>
      <c r="H1345" s="349" t="s">
        <v>3706</v>
      </c>
      <c r="I1345" s="402"/>
      <c r="J1345" s="402"/>
      <c r="K1345" s="402"/>
      <c r="L1345" s="402"/>
      <c r="M1345" s="402"/>
      <c r="N1345" s="402"/>
      <c r="O1345" s="402"/>
      <c r="P1345" s="402"/>
      <c r="Q1345" s="402"/>
      <c r="R1345" s="402"/>
      <c r="S1345" s="402"/>
      <c r="T1345" s="402"/>
      <c r="U1345" s="402"/>
      <c r="V1345" s="402"/>
      <c r="W1345" s="402"/>
      <c r="X1345" s="402"/>
      <c r="Y1345" s="402"/>
      <c r="Z1345" s="402"/>
    </row>
    <row r="1346" ht="14.25" customHeight="1">
      <c r="A1346" s="406">
        <v>45537.0</v>
      </c>
      <c r="B1346" s="815" t="s">
        <v>4793</v>
      </c>
      <c r="C1346" s="816" t="s">
        <v>5536</v>
      </c>
      <c r="D1346" s="867" t="s">
        <v>1030</v>
      </c>
      <c r="E1346" s="419" t="s">
        <v>5428</v>
      </c>
      <c r="F1346" s="1000">
        <v>41239.15</v>
      </c>
      <c r="G1346" s="413">
        <v>30000.0</v>
      </c>
      <c r="H1346" s="349" t="s">
        <v>5610</v>
      </c>
      <c r="I1346" s="402"/>
      <c r="J1346" s="402"/>
      <c r="K1346" s="402"/>
      <c r="L1346" s="402"/>
      <c r="M1346" s="402"/>
      <c r="N1346" s="402"/>
      <c r="O1346" s="402"/>
      <c r="P1346" s="402"/>
      <c r="Q1346" s="402"/>
      <c r="R1346" s="402"/>
      <c r="S1346" s="402"/>
      <c r="T1346" s="402"/>
      <c r="U1346" s="402"/>
      <c r="V1346" s="402"/>
      <c r="W1346" s="402"/>
      <c r="X1346" s="402"/>
      <c r="Y1346" s="402"/>
      <c r="Z1346" s="402"/>
    </row>
    <row r="1347" ht="14.25" customHeight="1">
      <c r="A1347" s="406">
        <v>45537.0</v>
      </c>
      <c r="B1347" s="815" t="s">
        <v>4983</v>
      </c>
      <c r="C1347" s="816" t="s">
        <v>5220</v>
      </c>
      <c r="D1347" s="867" t="s">
        <v>1030</v>
      </c>
      <c r="E1347" s="419" t="s">
        <v>5428</v>
      </c>
      <c r="F1347" s="1000">
        <v>55379.75</v>
      </c>
      <c r="G1347" s="403"/>
      <c r="H1347" s="349" t="s">
        <v>5597</v>
      </c>
      <c r="I1347" s="402"/>
      <c r="J1347" s="402"/>
      <c r="K1347" s="402"/>
      <c r="L1347" s="402"/>
      <c r="M1347" s="402"/>
      <c r="N1347" s="402"/>
      <c r="O1347" s="402"/>
      <c r="P1347" s="402"/>
      <c r="Q1347" s="402"/>
      <c r="R1347" s="402"/>
      <c r="S1347" s="402"/>
      <c r="T1347" s="402"/>
      <c r="U1347" s="402"/>
      <c r="V1347" s="402"/>
      <c r="W1347" s="402"/>
      <c r="X1347" s="402"/>
      <c r="Y1347" s="402"/>
      <c r="Z1347" s="402"/>
    </row>
    <row r="1348" ht="14.25" customHeight="1">
      <c r="A1348" s="406">
        <v>45537.0</v>
      </c>
      <c r="B1348" s="815" t="s">
        <v>5363</v>
      </c>
      <c r="C1348" s="816" t="s">
        <v>5437</v>
      </c>
      <c r="D1348" s="867" t="s">
        <v>1030</v>
      </c>
      <c r="E1348" s="417" t="s">
        <v>4950</v>
      </c>
      <c r="F1348" s="1000">
        <v>237076.51</v>
      </c>
      <c r="G1348" s="403"/>
      <c r="H1348" s="349" t="s">
        <v>5598</v>
      </c>
      <c r="I1348" s="402"/>
      <c r="J1348" s="402"/>
      <c r="K1348" s="402"/>
      <c r="L1348" s="402"/>
      <c r="M1348" s="402"/>
      <c r="N1348" s="402"/>
      <c r="O1348" s="402"/>
      <c r="P1348" s="402"/>
      <c r="Q1348" s="402"/>
      <c r="R1348" s="402"/>
      <c r="S1348" s="402"/>
      <c r="T1348" s="402"/>
      <c r="U1348" s="402"/>
      <c r="V1348" s="402"/>
      <c r="W1348" s="402"/>
      <c r="X1348" s="402"/>
      <c r="Y1348" s="402"/>
      <c r="Z1348" s="402"/>
    </row>
    <row r="1349" ht="14.25" customHeight="1">
      <c r="A1349" s="406">
        <v>45537.0</v>
      </c>
      <c r="B1349" s="815" t="s">
        <v>5061</v>
      </c>
      <c r="C1349" s="816" t="s">
        <v>4842</v>
      </c>
      <c r="D1349" s="867" t="s">
        <v>1030</v>
      </c>
      <c r="E1349" s="417" t="s">
        <v>4895</v>
      </c>
      <c r="F1349" s="1000">
        <v>12800.55</v>
      </c>
      <c r="G1349" s="413">
        <v>18191.0</v>
      </c>
      <c r="H1349" s="349" t="s">
        <v>5611</v>
      </c>
      <c r="I1349" s="402"/>
      <c r="J1349" s="402"/>
      <c r="K1349" s="402"/>
      <c r="L1349" s="402"/>
      <c r="M1349" s="402"/>
      <c r="N1349" s="402"/>
      <c r="O1349" s="402"/>
      <c r="P1349" s="402"/>
      <c r="Q1349" s="402"/>
      <c r="R1349" s="402"/>
      <c r="S1349" s="402"/>
      <c r="T1349" s="402"/>
      <c r="U1349" s="402"/>
      <c r="V1349" s="402"/>
      <c r="W1349" s="402"/>
      <c r="X1349" s="402"/>
      <c r="Y1349" s="402"/>
      <c r="Z1349" s="402"/>
    </row>
    <row r="1350" ht="14.25" customHeight="1">
      <c r="A1350" s="406">
        <v>45537.0</v>
      </c>
      <c r="B1350" s="815" t="s">
        <v>5588</v>
      </c>
      <c r="C1350" s="816" t="s">
        <v>4925</v>
      </c>
      <c r="D1350" s="867" t="s">
        <v>1030</v>
      </c>
      <c r="E1350" s="419" t="s">
        <v>5428</v>
      </c>
      <c r="F1350" s="1000">
        <v>39460.05</v>
      </c>
      <c r="G1350" s="403"/>
      <c r="H1350" s="349" t="s">
        <v>3994</v>
      </c>
      <c r="I1350" s="402"/>
      <c r="J1350" s="402"/>
      <c r="K1350" s="402"/>
      <c r="L1350" s="402"/>
      <c r="M1350" s="402"/>
      <c r="N1350" s="402"/>
      <c r="O1350" s="402"/>
      <c r="P1350" s="402"/>
      <c r="Q1350" s="402"/>
      <c r="R1350" s="402"/>
      <c r="S1350" s="402"/>
      <c r="T1350" s="402"/>
      <c r="U1350" s="402"/>
      <c r="V1350" s="402"/>
      <c r="W1350" s="402"/>
      <c r="X1350" s="402"/>
      <c r="Y1350" s="402"/>
      <c r="Z1350" s="402"/>
    </row>
    <row r="1351" ht="14.25" customHeight="1">
      <c r="A1351" s="406">
        <v>45537.0</v>
      </c>
      <c r="B1351" s="815" t="s">
        <v>5612</v>
      </c>
      <c r="C1351" s="816" t="s">
        <v>5613</v>
      </c>
      <c r="D1351" s="867" t="s">
        <v>1030</v>
      </c>
      <c r="E1351" s="407" t="s">
        <v>4950</v>
      </c>
      <c r="F1351" s="1000">
        <v>11560.0</v>
      </c>
      <c r="G1351" s="403"/>
      <c r="H1351" s="349" t="s">
        <v>5614</v>
      </c>
      <c r="I1351" s="402"/>
      <c r="J1351" s="402"/>
      <c r="K1351" s="402"/>
      <c r="L1351" s="402"/>
      <c r="M1351" s="402"/>
      <c r="N1351" s="402"/>
      <c r="O1351" s="402"/>
      <c r="P1351" s="402"/>
      <c r="Q1351" s="402"/>
      <c r="R1351" s="402"/>
      <c r="S1351" s="402"/>
      <c r="T1351" s="402"/>
      <c r="U1351" s="402"/>
      <c r="V1351" s="402"/>
      <c r="W1351" s="402"/>
      <c r="X1351" s="402"/>
      <c r="Y1351" s="402"/>
      <c r="Z1351" s="402"/>
    </row>
    <row r="1352" ht="14.25" customHeight="1">
      <c r="A1352" s="697"/>
      <c r="B1352" s="815" t="s">
        <v>5127</v>
      </c>
      <c r="C1352" s="863" t="s">
        <v>5615</v>
      </c>
      <c r="D1352" s="867" t="s">
        <v>1030</v>
      </c>
      <c r="E1352" s="419" t="s">
        <v>5616</v>
      </c>
      <c r="F1352" s="865">
        <v>95000.0</v>
      </c>
      <c r="G1352" s="413">
        <v>95000.0</v>
      </c>
      <c r="H1352" s="349" t="s">
        <v>710</v>
      </c>
      <c r="I1352" s="402"/>
      <c r="J1352" s="402"/>
      <c r="K1352" s="402"/>
      <c r="L1352" s="402"/>
      <c r="M1352" s="402"/>
      <c r="N1352" s="402"/>
      <c r="O1352" s="402"/>
      <c r="P1352" s="402"/>
      <c r="Q1352" s="402"/>
      <c r="R1352" s="402"/>
      <c r="S1352" s="402"/>
      <c r="T1352" s="402"/>
      <c r="U1352" s="402"/>
      <c r="V1352" s="402"/>
      <c r="W1352" s="402"/>
      <c r="X1352" s="402"/>
      <c r="Y1352" s="402"/>
      <c r="Z1352" s="402"/>
    </row>
    <row r="1353" ht="14.25" customHeight="1">
      <c r="A1353" s="697">
        <v>45537.0</v>
      </c>
      <c r="B1353" s="863" t="s">
        <v>5029</v>
      </c>
      <c r="C1353" s="863"/>
      <c r="D1353" s="867" t="s">
        <v>1030</v>
      </c>
      <c r="E1353" s="419" t="s">
        <v>5428</v>
      </c>
      <c r="F1353" s="865">
        <v>115000.0</v>
      </c>
      <c r="G1353" s="413">
        <v>115000.0</v>
      </c>
      <c r="H1353" s="349" t="s">
        <v>772</v>
      </c>
      <c r="I1353" s="402"/>
      <c r="J1353" s="402"/>
      <c r="K1353" s="402"/>
      <c r="L1353" s="402"/>
      <c r="M1353" s="402"/>
      <c r="N1353" s="402"/>
      <c r="O1353" s="402"/>
      <c r="P1353" s="402"/>
      <c r="Q1353" s="402"/>
      <c r="R1353" s="402"/>
      <c r="S1353" s="402"/>
      <c r="T1353" s="402"/>
      <c r="U1353" s="402"/>
      <c r="V1353" s="402"/>
      <c r="W1353" s="402"/>
      <c r="X1353" s="402"/>
      <c r="Y1353" s="402"/>
      <c r="Z1353" s="402"/>
    </row>
    <row r="1354" ht="14.25" customHeight="1">
      <c r="A1354" s="697"/>
      <c r="B1354" s="863"/>
      <c r="C1354" s="863"/>
      <c r="D1354" s="867"/>
      <c r="E1354" s="417"/>
      <c r="F1354" s="865"/>
      <c r="G1354" s="403"/>
      <c r="H1354" s="402"/>
      <c r="I1354" s="402"/>
      <c r="J1354" s="402"/>
      <c r="K1354" s="402"/>
      <c r="L1354" s="402"/>
      <c r="M1354" s="402"/>
      <c r="N1354" s="402"/>
      <c r="O1354" s="402"/>
      <c r="P1354" s="402"/>
      <c r="Q1354" s="402"/>
      <c r="R1354" s="402"/>
      <c r="S1354" s="402"/>
      <c r="T1354" s="402"/>
      <c r="U1354" s="402"/>
      <c r="V1354" s="402"/>
      <c r="W1354" s="402"/>
      <c r="X1354" s="402"/>
      <c r="Y1354" s="402"/>
      <c r="Z1354" s="402"/>
    </row>
    <row r="1355" ht="14.25" customHeight="1">
      <c r="A1355" s="697"/>
      <c r="B1355" s="863"/>
      <c r="C1355" s="863"/>
      <c r="D1355" s="867"/>
      <c r="E1355" s="417"/>
      <c r="F1355" s="865"/>
      <c r="G1355" s="403"/>
      <c r="H1355" s="402"/>
      <c r="I1355" s="402"/>
      <c r="J1355" s="402"/>
      <c r="K1355" s="402"/>
      <c r="L1355" s="402"/>
      <c r="M1355" s="402"/>
      <c r="N1355" s="402"/>
      <c r="O1355" s="402"/>
      <c r="P1355" s="402"/>
      <c r="Q1355" s="402"/>
      <c r="R1355" s="402"/>
      <c r="S1355" s="402"/>
      <c r="T1355" s="402"/>
      <c r="U1355" s="402"/>
      <c r="V1355" s="402"/>
      <c r="W1355" s="402"/>
      <c r="X1355" s="402"/>
      <c r="Y1355" s="402"/>
      <c r="Z1355" s="402"/>
    </row>
    <row r="1356" ht="14.25" customHeight="1">
      <c r="A1356" s="697"/>
      <c r="B1356" s="863"/>
      <c r="C1356" s="863"/>
      <c r="D1356" s="867"/>
      <c r="E1356" s="417"/>
      <c r="F1356" s="865"/>
      <c r="G1356" s="403"/>
      <c r="H1356" s="402"/>
      <c r="I1356" s="402"/>
      <c r="J1356" s="402"/>
      <c r="K1356" s="402"/>
      <c r="L1356" s="402"/>
      <c r="M1356" s="402"/>
      <c r="N1356" s="402"/>
      <c r="O1356" s="402"/>
      <c r="P1356" s="402"/>
      <c r="Q1356" s="402"/>
      <c r="R1356" s="402"/>
      <c r="S1356" s="402"/>
      <c r="T1356" s="402"/>
      <c r="U1356" s="402"/>
      <c r="V1356" s="402"/>
      <c r="W1356" s="402"/>
      <c r="X1356" s="402"/>
      <c r="Y1356" s="402"/>
      <c r="Z1356" s="402"/>
    </row>
    <row r="1357" ht="14.25" customHeight="1">
      <c r="A1357" s="697"/>
      <c r="B1357" s="863"/>
      <c r="C1357" s="863"/>
      <c r="D1357" s="867"/>
      <c r="E1357" s="417"/>
      <c r="F1357" s="865"/>
      <c r="G1357" s="403"/>
      <c r="H1357" s="402"/>
      <c r="I1357" s="402"/>
      <c r="J1357" s="402"/>
      <c r="K1357" s="402"/>
      <c r="L1357" s="402"/>
      <c r="M1357" s="402"/>
      <c r="N1357" s="402"/>
      <c r="O1357" s="402"/>
      <c r="P1357" s="402"/>
      <c r="Q1357" s="402"/>
      <c r="R1357" s="402"/>
      <c r="S1357" s="402"/>
      <c r="T1357" s="402"/>
      <c r="U1357" s="402"/>
      <c r="V1357" s="402"/>
      <c r="W1357" s="402"/>
      <c r="X1357" s="402"/>
      <c r="Y1357" s="402"/>
      <c r="Z1357" s="402"/>
    </row>
    <row r="1358" ht="14.25" customHeight="1">
      <c r="A1358" s="697"/>
      <c r="B1358" s="863"/>
      <c r="C1358" s="863"/>
      <c r="D1358" s="867"/>
      <c r="E1358" s="417"/>
      <c r="F1358" s="865"/>
      <c r="G1358" s="403"/>
      <c r="H1358" s="402"/>
      <c r="I1358" s="402"/>
      <c r="J1358" s="402"/>
      <c r="K1358" s="402"/>
      <c r="L1358" s="402"/>
      <c r="M1358" s="402"/>
      <c r="N1358" s="402"/>
      <c r="O1358" s="402"/>
      <c r="P1358" s="402"/>
      <c r="Q1358" s="402"/>
      <c r="R1358" s="402"/>
      <c r="S1358" s="402"/>
      <c r="T1358" s="402"/>
      <c r="U1358" s="402"/>
      <c r="V1358" s="402"/>
      <c r="W1358" s="402"/>
      <c r="X1358" s="402"/>
      <c r="Y1358" s="402"/>
      <c r="Z1358" s="402"/>
    </row>
    <row r="1359" ht="14.25" customHeight="1">
      <c r="A1359" s="697"/>
      <c r="B1359" s="863"/>
      <c r="C1359" s="863"/>
      <c r="D1359" s="867"/>
      <c r="E1359" s="868"/>
      <c r="F1359" s="865"/>
      <c r="G1359" s="403"/>
      <c r="H1359" s="402"/>
      <c r="I1359" s="402"/>
      <c r="J1359" s="402"/>
      <c r="K1359" s="402"/>
      <c r="L1359" s="402"/>
      <c r="M1359" s="402"/>
      <c r="N1359" s="402"/>
      <c r="O1359" s="402"/>
      <c r="P1359" s="402"/>
      <c r="Q1359" s="402"/>
      <c r="R1359" s="402"/>
      <c r="S1359" s="402"/>
      <c r="T1359" s="402"/>
      <c r="U1359" s="402"/>
      <c r="V1359" s="402"/>
      <c r="W1359" s="402"/>
      <c r="X1359" s="402"/>
      <c r="Y1359" s="402"/>
      <c r="Z1359" s="402"/>
    </row>
    <row r="1360" ht="14.25" customHeight="1">
      <c r="A1360" s="697"/>
      <c r="B1360" s="863"/>
      <c r="C1360" s="863"/>
      <c r="D1360" s="867"/>
      <c r="E1360" s="868"/>
      <c r="F1360" s="865"/>
      <c r="G1360" s="403"/>
      <c r="H1360" s="402"/>
      <c r="I1360" s="402"/>
      <c r="J1360" s="402"/>
      <c r="K1360" s="402"/>
      <c r="L1360" s="402"/>
      <c r="M1360" s="402"/>
      <c r="N1360" s="402"/>
      <c r="O1360" s="402"/>
      <c r="P1360" s="402"/>
      <c r="Q1360" s="402"/>
      <c r="R1360" s="402"/>
      <c r="S1360" s="402"/>
      <c r="T1360" s="402"/>
      <c r="U1360" s="402"/>
      <c r="V1360" s="402"/>
      <c r="W1360" s="402"/>
      <c r="X1360" s="402"/>
      <c r="Y1360" s="402"/>
      <c r="Z1360" s="402"/>
    </row>
    <row r="1361" ht="14.25" customHeight="1">
      <c r="A1361" s="697"/>
      <c r="B1361" s="863"/>
      <c r="C1361" s="863"/>
      <c r="D1361" s="867"/>
      <c r="E1361" s="868"/>
      <c r="F1361" s="865"/>
      <c r="G1361" s="403"/>
      <c r="H1361" s="402"/>
      <c r="I1361" s="402"/>
      <c r="J1361" s="402"/>
      <c r="K1361" s="402"/>
      <c r="L1361" s="402"/>
      <c r="M1361" s="402"/>
      <c r="N1361" s="402"/>
      <c r="O1361" s="402"/>
      <c r="P1361" s="402"/>
      <c r="Q1361" s="402"/>
      <c r="R1361" s="402"/>
      <c r="S1361" s="402"/>
      <c r="T1361" s="402"/>
      <c r="U1361" s="402"/>
      <c r="V1361" s="402"/>
      <c r="W1361" s="402"/>
      <c r="X1361" s="402"/>
      <c r="Y1361" s="402"/>
      <c r="Z1361" s="402"/>
    </row>
    <row r="1362" ht="14.25" customHeight="1">
      <c r="A1362" s="697"/>
      <c r="B1362" s="863"/>
      <c r="C1362" s="863"/>
      <c r="D1362" s="867"/>
      <c r="E1362" s="868"/>
      <c r="F1362" s="865"/>
      <c r="G1362" s="403"/>
      <c r="H1362" s="402"/>
      <c r="I1362" s="402"/>
      <c r="J1362" s="402"/>
      <c r="K1362" s="402"/>
      <c r="L1362" s="402"/>
      <c r="M1362" s="402"/>
      <c r="N1362" s="402"/>
      <c r="O1362" s="402"/>
      <c r="P1362" s="402"/>
      <c r="Q1362" s="402"/>
      <c r="R1362" s="402"/>
      <c r="S1362" s="402"/>
      <c r="T1362" s="402"/>
      <c r="U1362" s="402"/>
      <c r="V1362" s="402"/>
      <c r="W1362" s="402"/>
      <c r="X1362" s="402"/>
      <c r="Y1362" s="402"/>
      <c r="Z1362" s="402"/>
    </row>
    <row r="1363" ht="14.25" customHeight="1">
      <c r="A1363" s="697"/>
      <c r="B1363" s="863"/>
      <c r="C1363" s="863"/>
      <c r="D1363" s="867"/>
      <c r="E1363" s="868"/>
      <c r="F1363" s="865"/>
      <c r="G1363" s="403"/>
      <c r="H1363" s="402"/>
      <c r="I1363" s="402"/>
      <c r="J1363" s="402"/>
      <c r="K1363" s="402"/>
      <c r="L1363" s="402"/>
      <c r="M1363" s="402"/>
      <c r="N1363" s="402"/>
      <c r="O1363" s="402"/>
      <c r="P1363" s="402"/>
      <c r="Q1363" s="402"/>
      <c r="R1363" s="402"/>
      <c r="S1363" s="402"/>
      <c r="T1363" s="402"/>
      <c r="U1363" s="402"/>
      <c r="V1363" s="402"/>
      <c r="W1363" s="402"/>
      <c r="X1363" s="402"/>
      <c r="Y1363" s="402"/>
      <c r="Z1363" s="402"/>
    </row>
    <row r="1364" ht="14.25" customHeight="1">
      <c r="A1364" s="697"/>
      <c r="B1364" s="863"/>
      <c r="C1364" s="863"/>
      <c r="D1364" s="867"/>
      <c r="E1364" s="868"/>
      <c r="F1364" s="865"/>
      <c r="G1364" s="403"/>
      <c r="H1364" s="402"/>
      <c r="I1364" s="402"/>
      <c r="J1364" s="402"/>
      <c r="K1364" s="402"/>
      <c r="L1364" s="402"/>
      <c r="M1364" s="402"/>
      <c r="N1364" s="402"/>
      <c r="O1364" s="402"/>
      <c r="P1364" s="402"/>
      <c r="Q1364" s="402"/>
      <c r="R1364" s="402"/>
      <c r="S1364" s="402"/>
      <c r="T1364" s="402"/>
      <c r="U1364" s="402"/>
      <c r="V1364" s="402"/>
      <c r="W1364" s="402"/>
      <c r="X1364" s="402"/>
      <c r="Y1364" s="402"/>
      <c r="Z1364" s="402"/>
    </row>
    <row r="1365" ht="14.25" customHeight="1">
      <c r="A1365" s="697"/>
      <c r="B1365" s="863"/>
      <c r="C1365" s="863"/>
      <c r="D1365" s="867"/>
      <c r="E1365" s="868"/>
      <c r="F1365" s="865"/>
      <c r="G1365" s="403"/>
      <c r="H1365" s="402"/>
      <c r="I1365" s="402"/>
      <c r="J1365" s="402"/>
      <c r="K1365" s="402"/>
      <c r="L1365" s="402"/>
      <c r="M1365" s="402"/>
      <c r="N1365" s="402"/>
      <c r="O1365" s="402"/>
      <c r="P1365" s="402"/>
      <c r="Q1365" s="402"/>
      <c r="R1365" s="402"/>
      <c r="S1365" s="402"/>
      <c r="T1365" s="402"/>
      <c r="U1365" s="402"/>
      <c r="V1365" s="402"/>
      <c r="W1365" s="402"/>
      <c r="X1365" s="402"/>
      <c r="Y1365" s="402"/>
      <c r="Z1365" s="402"/>
    </row>
    <row r="1366" ht="14.25" customHeight="1">
      <c r="A1366" s="697"/>
      <c r="B1366" s="863"/>
      <c r="C1366" s="863"/>
      <c r="D1366" s="867"/>
      <c r="E1366" s="868"/>
      <c r="F1366" s="865"/>
      <c r="G1366" s="403"/>
      <c r="H1366" s="402"/>
      <c r="I1366" s="402"/>
      <c r="J1366" s="402"/>
      <c r="K1366" s="402"/>
      <c r="L1366" s="402"/>
      <c r="M1366" s="402"/>
      <c r="N1366" s="402"/>
      <c r="O1366" s="402"/>
      <c r="P1366" s="402"/>
      <c r="Q1366" s="402"/>
      <c r="R1366" s="402"/>
      <c r="S1366" s="402"/>
      <c r="T1366" s="402"/>
      <c r="U1366" s="402"/>
      <c r="V1366" s="402"/>
      <c r="W1366" s="402"/>
      <c r="X1366" s="402"/>
      <c r="Y1366" s="402"/>
      <c r="Z1366" s="402"/>
    </row>
    <row r="1367" ht="14.25" customHeight="1">
      <c r="A1367" s="697"/>
      <c r="B1367" s="863"/>
      <c r="C1367" s="863"/>
      <c r="D1367" s="867"/>
      <c r="E1367" s="868"/>
      <c r="F1367" s="865"/>
      <c r="G1367" s="403"/>
      <c r="H1367" s="402"/>
      <c r="I1367" s="402"/>
      <c r="J1367" s="402"/>
      <c r="K1367" s="402"/>
      <c r="L1367" s="402"/>
      <c r="M1367" s="402"/>
      <c r="N1367" s="402"/>
      <c r="O1367" s="402"/>
      <c r="P1367" s="402"/>
      <c r="Q1367" s="402"/>
      <c r="R1367" s="402"/>
      <c r="S1367" s="402"/>
      <c r="T1367" s="402"/>
      <c r="U1367" s="402"/>
      <c r="V1367" s="402"/>
      <c r="W1367" s="402"/>
      <c r="X1367" s="402"/>
      <c r="Y1367" s="402"/>
      <c r="Z1367" s="402"/>
    </row>
    <row r="1368" ht="14.25" customHeight="1">
      <c r="A1368" s="697"/>
      <c r="B1368" s="863"/>
      <c r="C1368" s="863"/>
      <c r="D1368" s="867"/>
      <c r="E1368" s="868"/>
      <c r="F1368" s="865"/>
      <c r="G1368" s="403"/>
      <c r="H1368" s="402"/>
      <c r="I1368" s="402"/>
      <c r="J1368" s="402"/>
      <c r="K1368" s="402"/>
      <c r="L1368" s="402"/>
      <c r="M1368" s="402"/>
      <c r="N1368" s="402"/>
      <c r="O1368" s="402"/>
      <c r="P1368" s="402"/>
      <c r="Q1368" s="402"/>
      <c r="R1368" s="402"/>
      <c r="S1368" s="402"/>
      <c r="T1368" s="402"/>
      <c r="U1368" s="402"/>
      <c r="V1368" s="402"/>
      <c r="W1368" s="402"/>
      <c r="X1368" s="402"/>
      <c r="Y1368" s="402"/>
      <c r="Z1368" s="402"/>
    </row>
    <row r="1369" ht="14.25" customHeight="1">
      <c r="A1369" s="697"/>
      <c r="B1369" s="863"/>
      <c r="C1369" s="863"/>
      <c r="D1369" s="867"/>
      <c r="E1369" s="868"/>
      <c r="F1369" s="865"/>
      <c r="G1369" s="403"/>
      <c r="H1369" s="402"/>
      <c r="I1369" s="402"/>
      <c r="J1369" s="402"/>
      <c r="K1369" s="402"/>
      <c r="L1369" s="402"/>
      <c r="M1369" s="402"/>
      <c r="N1369" s="402"/>
      <c r="O1369" s="402"/>
      <c r="P1369" s="402"/>
      <c r="Q1369" s="402"/>
      <c r="R1369" s="402"/>
      <c r="S1369" s="402"/>
      <c r="T1369" s="402"/>
      <c r="U1369" s="402"/>
      <c r="V1369" s="402"/>
      <c r="W1369" s="402"/>
      <c r="X1369" s="402"/>
      <c r="Y1369" s="402"/>
      <c r="Z1369" s="402"/>
    </row>
    <row r="1370" ht="14.25" customHeight="1">
      <c r="A1370" s="697"/>
      <c r="B1370" s="863"/>
      <c r="C1370" s="863"/>
      <c r="D1370" s="867"/>
      <c r="E1370" s="868"/>
      <c r="F1370" s="865"/>
      <c r="G1370" s="403"/>
      <c r="H1370" s="402"/>
      <c r="I1370" s="402"/>
      <c r="J1370" s="402"/>
      <c r="K1370" s="402"/>
      <c r="L1370" s="402"/>
      <c r="M1370" s="402"/>
      <c r="N1370" s="402"/>
      <c r="O1370" s="402"/>
      <c r="P1370" s="402"/>
      <c r="Q1370" s="402"/>
      <c r="R1370" s="402"/>
      <c r="S1370" s="402"/>
      <c r="T1370" s="402"/>
      <c r="U1370" s="402"/>
      <c r="V1370" s="402"/>
      <c r="W1370" s="402"/>
      <c r="X1370" s="402"/>
      <c r="Y1370" s="402"/>
      <c r="Z1370" s="402"/>
    </row>
    <row r="1371" ht="14.25" customHeight="1">
      <c r="A1371" s="697"/>
      <c r="B1371" s="863"/>
      <c r="C1371" s="863"/>
      <c r="D1371" s="867"/>
      <c r="E1371" s="868"/>
      <c r="F1371" s="865"/>
      <c r="G1371" s="403"/>
      <c r="H1371" s="402"/>
      <c r="I1371" s="402"/>
      <c r="J1371" s="402"/>
      <c r="K1371" s="402"/>
      <c r="L1371" s="402"/>
      <c r="M1371" s="402"/>
      <c r="N1371" s="402"/>
      <c r="O1371" s="402"/>
      <c r="P1371" s="402"/>
      <c r="Q1371" s="402"/>
      <c r="R1371" s="402"/>
      <c r="S1371" s="402"/>
      <c r="T1371" s="402"/>
      <c r="U1371" s="402"/>
      <c r="V1371" s="402"/>
      <c r="W1371" s="402"/>
      <c r="X1371" s="402"/>
      <c r="Y1371" s="402"/>
      <c r="Z1371" s="402"/>
    </row>
    <row r="1372" ht="14.25" customHeight="1">
      <c r="A1372" s="697"/>
      <c r="B1372" s="863"/>
      <c r="C1372" s="863"/>
      <c r="D1372" s="867"/>
      <c r="E1372" s="868"/>
      <c r="F1372" s="865"/>
      <c r="G1372" s="403"/>
      <c r="H1372" s="402"/>
      <c r="I1372" s="402"/>
      <c r="J1372" s="402"/>
      <c r="K1372" s="402"/>
      <c r="L1372" s="402"/>
      <c r="M1372" s="402"/>
      <c r="N1372" s="402"/>
      <c r="O1372" s="402"/>
      <c r="P1372" s="402"/>
      <c r="Q1372" s="402"/>
      <c r="R1372" s="402"/>
      <c r="S1372" s="402"/>
      <c r="T1372" s="402"/>
      <c r="U1372" s="402"/>
      <c r="V1372" s="402"/>
      <c r="W1372" s="402"/>
      <c r="X1372" s="402"/>
      <c r="Y1372" s="402"/>
      <c r="Z1372" s="402"/>
    </row>
    <row r="1373" ht="14.25" customHeight="1">
      <c r="A1373" s="697"/>
      <c r="B1373" s="863"/>
      <c r="C1373" s="863"/>
      <c r="D1373" s="867"/>
      <c r="E1373" s="868"/>
      <c r="F1373" s="865"/>
      <c r="G1373" s="403"/>
      <c r="H1373" s="402"/>
      <c r="I1373" s="402"/>
      <c r="J1373" s="402"/>
      <c r="K1373" s="402"/>
      <c r="L1373" s="402"/>
      <c r="M1373" s="402"/>
      <c r="N1373" s="402"/>
      <c r="O1373" s="402"/>
      <c r="P1373" s="402"/>
      <c r="Q1373" s="402"/>
      <c r="R1373" s="402"/>
      <c r="S1373" s="402"/>
      <c r="T1373" s="402"/>
      <c r="U1373" s="402"/>
      <c r="V1373" s="402"/>
      <c r="W1373" s="402"/>
      <c r="X1373" s="402"/>
      <c r="Y1373" s="402"/>
      <c r="Z1373" s="402"/>
    </row>
    <row r="1374" ht="14.25" customHeight="1">
      <c r="A1374" s="697"/>
      <c r="B1374" s="863"/>
      <c r="C1374" s="863"/>
      <c r="D1374" s="867"/>
      <c r="E1374" s="868"/>
      <c r="F1374" s="865"/>
      <c r="G1374" s="403"/>
      <c r="H1374" s="402"/>
      <c r="I1374" s="402"/>
      <c r="J1374" s="402"/>
      <c r="K1374" s="402"/>
      <c r="L1374" s="402"/>
      <c r="M1374" s="402"/>
      <c r="N1374" s="402"/>
      <c r="O1374" s="402"/>
      <c r="P1374" s="402"/>
      <c r="Q1374" s="402"/>
      <c r="R1374" s="402"/>
      <c r="S1374" s="402"/>
      <c r="T1374" s="402"/>
      <c r="U1374" s="402"/>
      <c r="V1374" s="402"/>
      <c r="W1374" s="402"/>
      <c r="X1374" s="402"/>
      <c r="Y1374" s="402"/>
      <c r="Z1374" s="402"/>
    </row>
    <row r="1375" ht="14.25" customHeight="1">
      <c r="A1375" s="697"/>
      <c r="B1375" s="863"/>
      <c r="C1375" s="863"/>
      <c r="D1375" s="867"/>
      <c r="E1375" s="868"/>
      <c r="F1375" s="865"/>
      <c r="G1375" s="403"/>
      <c r="H1375" s="402"/>
      <c r="I1375" s="402"/>
      <c r="J1375" s="402"/>
      <c r="K1375" s="402"/>
      <c r="L1375" s="402"/>
      <c r="M1375" s="402"/>
      <c r="N1375" s="402"/>
      <c r="O1375" s="402"/>
      <c r="P1375" s="402"/>
      <c r="Q1375" s="402"/>
      <c r="R1375" s="402"/>
      <c r="S1375" s="402"/>
      <c r="T1375" s="402"/>
      <c r="U1375" s="402"/>
      <c r="V1375" s="402"/>
      <c r="W1375" s="402"/>
      <c r="X1375" s="402"/>
      <c r="Y1375" s="402"/>
      <c r="Z1375" s="402"/>
    </row>
    <row r="1376" ht="14.25" customHeight="1">
      <c r="A1376" s="697"/>
      <c r="B1376" s="863"/>
      <c r="C1376" s="863"/>
      <c r="D1376" s="867"/>
      <c r="E1376" s="868"/>
      <c r="F1376" s="865"/>
      <c r="G1376" s="403"/>
      <c r="H1376" s="402"/>
      <c r="I1376" s="402"/>
      <c r="J1376" s="402"/>
      <c r="K1376" s="402"/>
      <c r="L1376" s="402"/>
      <c r="M1376" s="402"/>
      <c r="N1376" s="402"/>
      <c r="O1376" s="402"/>
      <c r="P1376" s="402"/>
      <c r="Q1376" s="402"/>
      <c r="R1376" s="402"/>
      <c r="S1376" s="402"/>
      <c r="T1376" s="402"/>
      <c r="U1376" s="402"/>
      <c r="V1376" s="402"/>
      <c r="W1376" s="402"/>
      <c r="X1376" s="402"/>
      <c r="Y1376" s="402"/>
      <c r="Z1376" s="402"/>
    </row>
    <row r="1377" ht="14.25" customHeight="1">
      <c r="A1377" s="697"/>
      <c r="B1377" s="863"/>
      <c r="C1377" s="863"/>
      <c r="D1377" s="867"/>
      <c r="E1377" s="868"/>
      <c r="F1377" s="865"/>
      <c r="G1377" s="403"/>
      <c r="H1377" s="402"/>
      <c r="I1377" s="402"/>
      <c r="J1377" s="402"/>
      <c r="K1377" s="402"/>
      <c r="L1377" s="402"/>
      <c r="M1377" s="402"/>
      <c r="N1377" s="402"/>
      <c r="O1377" s="402"/>
      <c r="P1377" s="402"/>
      <c r="Q1377" s="402"/>
      <c r="R1377" s="402"/>
      <c r="S1377" s="402"/>
      <c r="T1377" s="402"/>
      <c r="U1377" s="402"/>
      <c r="V1377" s="402"/>
      <c r="W1377" s="402"/>
      <c r="X1377" s="402"/>
      <c r="Y1377" s="402"/>
      <c r="Z1377" s="402"/>
    </row>
    <row r="1378" ht="14.25" customHeight="1">
      <c r="A1378" s="697"/>
      <c r="B1378" s="863"/>
      <c r="C1378" s="863"/>
      <c r="D1378" s="867"/>
      <c r="E1378" s="868"/>
      <c r="F1378" s="865"/>
      <c r="G1378" s="403"/>
      <c r="H1378" s="402"/>
      <c r="I1378" s="402"/>
      <c r="J1378" s="402"/>
      <c r="K1378" s="402"/>
      <c r="L1378" s="402"/>
      <c r="M1378" s="402"/>
      <c r="N1378" s="402"/>
      <c r="O1378" s="402"/>
      <c r="P1378" s="402"/>
      <c r="Q1378" s="402"/>
      <c r="R1378" s="402"/>
      <c r="S1378" s="402"/>
      <c r="T1378" s="402"/>
      <c r="U1378" s="402"/>
      <c r="V1378" s="402"/>
      <c r="W1378" s="402"/>
      <c r="X1378" s="402"/>
      <c r="Y1378" s="402"/>
      <c r="Z1378" s="402"/>
    </row>
    <row r="1379" ht="14.25" customHeight="1">
      <c r="A1379" s="697"/>
      <c r="B1379" s="863"/>
      <c r="C1379" s="863"/>
      <c r="D1379" s="867"/>
      <c r="E1379" s="868"/>
      <c r="F1379" s="865"/>
      <c r="G1379" s="403"/>
      <c r="H1379" s="402"/>
      <c r="I1379" s="402"/>
      <c r="J1379" s="402"/>
      <c r="K1379" s="402"/>
      <c r="L1379" s="402"/>
      <c r="M1379" s="402"/>
      <c r="N1379" s="402"/>
      <c r="O1379" s="402"/>
      <c r="P1379" s="402"/>
      <c r="Q1379" s="402"/>
      <c r="R1379" s="402"/>
      <c r="S1379" s="402"/>
      <c r="T1379" s="402"/>
      <c r="U1379" s="402"/>
      <c r="V1379" s="402"/>
      <c r="W1379" s="402"/>
      <c r="X1379" s="402"/>
      <c r="Y1379" s="402"/>
      <c r="Z1379" s="402"/>
    </row>
    <row r="1380" ht="14.25" customHeight="1">
      <c r="A1380" s="697"/>
      <c r="B1380" s="863"/>
      <c r="C1380" s="863"/>
      <c r="D1380" s="867"/>
      <c r="E1380" s="868"/>
      <c r="F1380" s="865"/>
      <c r="G1380" s="403"/>
      <c r="H1380" s="402"/>
      <c r="I1380" s="402"/>
      <c r="J1380" s="402"/>
      <c r="K1380" s="402"/>
      <c r="L1380" s="402"/>
      <c r="M1380" s="402"/>
      <c r="N1380" s="402"/>
      <c r="O1380" s="402"/>
      <c r="P1380" s="402"/>
      <c r="Q1380" s="402"/>
      <c r="R1380" s="402"/>
      <c r="S1380" s="402"/>
      <c r="T1380" s="402"/>
      <c r="U1380" s="402"/>
      <c r="V1380" s="402"/>
      <c r="W1380" s="402"/>
      <c r="X1380" s="402"/>
      <c r="Y1380" s="402"/>
      <c r="Z1380" s="402"/>
    </row>
    <row r="1381" ht="14.25" customHeight="1">
      <c r="A1381" s="697"/>
      <c r="B1381" s="863"/>
      <c r="C1381" s="863"/>
      <c r="D1381" s="867"/>
      <c r="E1381" s="868"/>
      <c r="F1381" s="865"/>
      <c r="G1381" s="403"/>
      <c r="H1381" s="402"/>
      <c r="I1381" s="402"/>
      <c r="J1381" s="402"/>
      <c r="K1381" s="402"/>
      <c r="L1381" s="402"/>
      <c r="M1381" s="402"/>
      <c r="N1381" s="402"/>
      <c r="O1381" s="402"/>
      <c r="P1381" s="402"/>
      <c r="Q1381" s="402"/>
      <c r="R1381" s="402"/>
      <c r="S1381" s="402"/>
      <c r="T1381" s="402"/>
      <c r="U1381" s="402"/>
      <c r="V1381" s="402"/>
      <c r="W1381" s="402"/>
      <c r="X1381" s="402"/>
      <c r="Y1381" s="402"/>
      <c r="Z1381" s="402"/>
    </row>
    <row r="1382" ht="14.25" customHeight="1">
      <c r="A1382" s="697"/>
      <c r="B1382" s="863"/>
      <c r="C1382" s="863"/>
      <c r="D1382" s="867"/>
      <c r="E1382" s="868"/>
      <c r="F1382" s="865"/>
      <c r="G1382" s="403"/>
      <c r="H1382" s="402"/>
      <c r="I1382" s="402"/>
      <c r="J1382" s="402"/>
      <c r="K1382" s="402"/>
      <c r="L1382" s="402"/>
      <c r="M1382" s="402"/>
      <c r="N1382" s="402"/>
      <c r="O1382" s="402"/>
      <c r="P1382" s="402"/>
      <c r="Q1382" s="402"/>
      <c r="R1382" s="402"/>
      <c r="S1382" s="402"/>
      <c r="T1382" s="402"/>
      <c r="U1382" s="402"/>
      <c r="V1382" s="402"/>
      <c r="W1382" s="402"/>
      <c r="X1382" s="402"/>
      <c r="Y1382" s="402"/>
      <c r="Z1382" s="402"/>
    </row>
    <row r="1383" ht="14.25" customHeight="1">
      <c r="A1383" s="697"/>
      <c r="B1383" s="863"/>
      <c r="C1383" s="863"/>
      <c r="D1383" s="867"/>
      <c r="E1383" s="868"/>
      <c r="F1383" s="865"/>
      <c r="G1383" s="403"/>
      <c r="H1383" s="402"/>
      <c r="I1383" s="402"/>
      <c r="J1383" s="402"/>
      <c r="K1383" s="402"/>
      <c r="L1383" s="402"/>
      <c r="M1383" s="402"/>
      <c r="N1383" s="402"/>
      <c r="O1383" s="402"/>
      <c r="P1383" s="402"/>
      <c r="Q1383" s="402"/>
      <c r="R1383" s="402"/>
      <c r="S1383" s="402"/>
      <c r="T1383" s="402"/>
      <c r="U1383" s="402"/>
      <c r="V1383" s="402"/>
      <c r="W1383" s="402"/>
      <c r="X1383" s="402"/>
      <c r="Y1383" s="402"/>
      <c r="Z1383" s="402"/>
    </row>
    <row r="1384" ht="14.25" customHeight="1">
      <c r="A1384" s="697"/>
      <c r="B1384" s="863"/>
      <c r="C1384" s="863"/>
      <c r="D1384" s="867"/>
      <c r="E1384" s="868"/>
      <c r="F1384" s="865"/>
      <c r="G1384" s="403"/>
      <c r="H1384" s="402"/>
      <c r="I1384" s="402"/>
      <c r="J1384" s="402"/>
      <c r="K1384" s="402"/>
      <c r="L1384" s="402"/>
      <c r="M1384" s="402"/>
      <c r="N1384" s="402"/>
      <c r="O1384" s="402"/>
      <c r="P1384" s="402"/>
      <c r="Q1384" s="402"/>
      <c r="R1384" s="402"/>
      <c r="S1384" s="402"/>
      <c r="T1384" s="402"/>
      <c r="U1384" s="402"/>
      <c r="V1384" s="402"/>
      <c r="W1384" s="402"/>
      <c r="X1384" s="402"/>
      <c r="Y1384" s="402"/>
      <c r="Z1384" s="402"/>
    </row>
    <row r="1385" ht="14.25" customHeight="1">
      <c r="A1385" s="697"/>
      <c r="B1385" s="863"/>
      <c r="C1385" s="863"/>
      <c r="D1385" s="867"/>
      <c r="E1385" s="868"/>
      <c r="F1385" s="865"/>
      <c r="G1385" s="403"/>
      <c r="H1385" s="402"/>
      <c r="I1385" s="402"/>
      <c r="J1385" s="402"/>
      <c r="K1385" s="402"/>
      <c r="L1385" s="402"/>
      <c r="M1385" s="402"/>
      <c r="N1385" s="402"/>
      <c r="O1385" s="402"/>
      <c r="P1385" s="402"/>
      <c r="Q1385" s="402"/>
      <c r="R1385" s="402"/>
      <c r="S1385" s="402"/>
      <c r="T1385" s="402"/>
      <c r="U1385" s="402"/>
      <c r="V1385" s="402"/>
      <c r="W1385" s="402"/>
      <c r="X1385" s="402"/>
      <c r="Y1385" s="402"/>
      <c r="Z1385" s="402"/>
    </row>
    <row r="1386" ht="14.25" customHeight="1">
      <c r="A1386" s="697"/>
      <c r="B1386" s="863"/>
      <c r="C1386" s="863"/>
      <c r="D1386" s="867"/>
      <c r="E1386" s="868"/>
      <c r="F1386" s="865"/>
      <c r="G1386" s="403"/>
      <c r="H1386" s="402"/>
      <c r="I1386" s="402"/>
      <c r="J1386" s="402"/>
      <c r="K1386" s="402"/>
      <c r="L1386" s="402"/>
      <c r="M1386" s="402"/>
      <c r="N1386" s="402"/>
      <c r="O1386" s="402"/>
      <c r="P1386" s="402"/>
      <c r="Q1386" s="402"/>
      <c r="R1386" s="402"/>
      <c r="S1386" s="402"/>
      <c r="T1386" s="402"/>
      <c r="U1386" s="402"/>
      <c r="V1386" s="402"/>
      <c r="W1386" s="402"/>
      <c r="X1386" s="402"/>
      <c r="Y1386" s="402"/>
      <c r="Z1386" s="402"/>
    </row>
    <row r="1387" ht="14.25" customHeight="1">
      <c r="A1387" s="697"/>
      <c r="B1387" s="863"/>
      <c r="C1387" s="863"/>
      <c r="D1387" s="867"/>
      <c r="E1387" s="868"/>
      <c r="F1387" s="865"/>
      <c r="G1387" s="403"/>
      <c r="H1387" s="402"/>
      <c r="I1387" s="402"/>
      <c r="J1387" s="402"/>
      <c r="K1387" s="402"/>
      <c r="L1387" s="402"/>
      <c r="M1387" s="402"/>
      <c r="N1387" s="402"/>
      <c r="O1387" s="402"/>
      <c r="P1387" s="402"/>
      <c r="Q1387" s="402"/>
      <c r="R1387" s="402"/>
      <c r="S1387" s="402"/>
      <c r="T1387" s="402"/>
      <c r="U1387" s="402"/>
      <c r="V1387" s="402"/>
      <c r="W1387" s="402"/>
      <c r="X1387" s="402"/>
      <c r="Y1387" s="402"/>
      <c r="Z1387" s="402"/>
    </row>
  </sheetData>
  <hyperlinks>
    <hyperlink r:id="rId1" ref="H935"/>
    <hyperlink r:id="rId2" ref="H936"/>
    <hyperlink r:id="rId3" ref="H939"/>
    <hyperlink r:id="rId4" ref="H991"/>
    <hyperlink r:id="rId5" ref="H994"/>
    <hyperlink r:id="rId6" ref="H995"/>
    <hyperlink r:id="rId7" ref="H1026"/>
    <hyperlink r:id="rId8" ref="H1314"/>
  </hyperlinks>
  <printOptions/>
  <pageMargins bottom="0.75" footer="0.0" header="0.0" left="0.7" right="0.7" top="0.75"/>
  <pageSetup orientation="landscape"/>
  <drawing r:id="rId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14"/>
    <col customWidth="1" min="2" max="2" width="23.57"/>
    <col customWidth="1" min="3" max="3" width="43.29"/>
    <col customWidth="1" min="4" max="4" width="21.43"/>
    <col customWidth="1" min="5" max="5" width="17.57"/>
    <col customWidth="1" min="6" max="6" width="15.71"/>
    <col customWidth="1" min="7" max="7" width="13.71"/>
    <col customWidth="1" min="8" max="8" width="64.71"/>
    <col customWidth="1" min="9" max="9" width="15.43"/>
    <col customWidth="1" min="10" max="26" width="8.71"/>
  </cols>
  <sheetData>
    <row r="1" ht="14.25" customHeight="1">
      <c r="A1" s="424" t="s">
        <v>5617</v>
      </c>
      <c r="B1" s="584" t="s">
        <v>39</v>
      </c>
      <c r="C1" s="584" t="s">
        <v>48</v>
      </c>
      <c r="D1" s="1031" t="s">
        <v>49</v>
      </c>
      <c r="E1" s="586" t="s">
        <v>50</v>
      </c>
      <c r="F1" s="586" t="s">
        <v>2</v>
      </c>
      <c r="G1" s="586" t="s">
        <v>44</v>
      </c>
      <c r="H1" s="584" t="s">
        <v>45</v>
      </c>
      <c r="I1" s="584"/>
      <c r="J1" s="584"/>
      <c r="K1" s="584"/>
      <c r="L1" s="584"/>
      <c r="M1" s="584"/>
      <c r="N1" s="584"/>
      <c r="O1" s="584"/>
      <c r="P1" s="584"/>
      <c r="Q1" s="584"/>
      <c r="R1" s="584"/>
      <c r="S1" s="584"/>
      <c r="T1" s="584"/>
      <c r="U1" s="584"/>
      <c r="V1" s="584"/>
      <c r="W1" s="584"/>
      <c r="X1" s="584"/>
      <c r="Y1" s="584"/>
      <c r="Z1" s="584"/>
    </row>
    <row r="2" ht="14.25" customHeight="1">
      <c r="A2" s="406">
        <v>45495.0</v>
      </c>
      <c r="B2" s="349" t="s">
        <v>5618</v>
      </c>
      <c r="C2" s="349" t="s">
        <v>5619</v>
      </c>
      <c r="D2" s="1032" t="s">
        <v>54</v>
      </c>
      <c r="E2" s="413" t="s">
        <v>5620</v>
      </c>
      <c r="F2" s="413">
        <v>84879.37</v>
      </c>
      <c r="G2" s="413">
        <v>0.0</v>
      </c>
      <c r="H2" s="349" t="s">
        <v>56</v>
      </c>
      <c r="I2" s="736" t="str">
        <f t="shared" ref="I2:I32" si="1">IF(G2&gt;=F2,"FULLY PAID",IF(G2=0,"NOT PAID","PARTIALLY PAID"))</f>
        <v>NOT PAID</v>
      </c>
      <c r="J2" s="402"/>
      <c r="K2" s="402"/>
      <c r="L2" s="402"/>
      <c r="M2" s="402"/>
      <c r="N2" s="402"/>
      <c r="O2" s="402"/>
      <c r="P2" s="402"/>
      <c r="Q2" s="402"/>
      <c r="R2" s="402"/>
      <c r="S2" s="402"/>
      <c r="T2" s="402"/>
      <c r="U2" s="402"/>
      <c r="V2" s="402"/>
      <c r="W2" s="402"/>
      <c r="X2" s="402"/>
      <c r="Y2" s="402"/>
      <c r="Z2" s="402"/>
    </row>
    <row r="3" ht="14.25" customHeight="1">
      <c r="A3" s="406">
        <v>45495.0</v>
      </c>
      <c r="B3" s="349" t="s">
        <v>5621</v>
      </c>
      <c r="C3" s="349" t="s">
        <v>5622</v>
      </c>
      <c r="D3" s="1032" t="s">
        <v>54</v>
      </c>
      <c r="E3" s="413" t="s">
        <v>5623</v>
      </c>
      <c r="F3" s="413">
        <v>11174.97</v>
      </c>
      <c r="G3" s="413">
        <v>0.0</v>
      </c>
      <c r="H3" s="349" t="s">
        <v>56</v>
      </c>
      <c r="I3" s="736" t="str">
        <f t="shared" si="1"/>
        <v>NOT PAID</v>
      </c>
      <c r="J3" s="402"/>
      <c r="K3" s="402"/>
      <c r="L3" s="402"/>
      <c r="M3" s="402"/>
      <c r="N3" s="402"/>
      <c r="O3" s="402"/>
      <c r="P3" s="402"/>
      <c r="Q3" s="402"/>
      <c r="R3" s="402"/>
      <c r="S3" s="402"/>
      <c r="T3" s="402"/>
      <c r="U3" s="402"/>
      <c r="V3" s="402"/>
      <c r="W3" s="402"/>
      <c r="X3" s="402"/>
      <c r="Y3" s="402"/>
      <c r="Z3" s="402"/>
    </row>
    <row r="4" ht="14.25" customHeight="1">
      <c r="A4" s="406">
        <v>45495.0</v>
      </c>
      <c r="B4" s="349" t="s">
        <v>5624</v>
      </c>
      <c r="C4" s="1033" t="s">
        <v>5625</v>
      </c>
      <c r="D4" s="1032" t="s">
        <v>54</v>
      </c>
      <c r="E4" s="413" t="s">
        <v>5623</v>
      </c>
      <c r="F4" s="413">
        <v>83329.75</v>
      </c>
      <c r="G4" s="413">
        <v>0.0</v>
      </c>
      <c r="H4" s="349" t="s">
        <v>56</v>
      </c>
      <c r="I4" s="736" t="str">
        <f t="shared" si="1"/>
        <v>NOT PAID</v>
      </c>
      <c r="J4" s="402"/>
      <c r="K4" s="402"/>
      <c r="L4" s="402"/>
      <c r="M4" s="402"/>
      <c r="N4" s="402"/>
      <c r="O4" s="402"/>
      <c r="P4" s="402"/>
      <c r="Q4" s="402"/>
      <c r="R4" s="402"/>
      <c r="S4" s="402"/>
      <c r="T4" s="402"/>
      <c r="U4" s="402"/>
      <c r="V4" s="402"/>
      <c r="W4" s="402"/>
      <c r="X4" s="402"/>
      <c r="Y4" s="402"/>
      <c r="Z4" s="402"/>
    </row>
    <row r="5" ht="14.25" customHeight="1">
      <c r="A5" s="406">
        <v>45495.0</v>
      </c>
      <c r="B5" s="349" t="s">
        <v>5626</v>
      </c>
      <c r="C5" s="349" t="s">
        <v>5627</v>
      </c>
      <c r="D5" s="1032" t="s">
        <v>54</v>
      </c>
      <c r="E5" s="413" t="s">
        <v>5623</v>
      </c>
      <c r="F5" s="413">
        <v>75942.83</v>
      </c>
      <c r="G5" s="413">
        <v>0.0</v>
      </c>
      <c r="H5" s="349" t="s">
        <v>5175</v>
      </c>
      <c r="I5" s="736" t="str">
        <f t="shared" si="1"/>
        <v>NOT PAID</v>
      </c>
      <c r="J5" s="402"/>
      <c r="K5" s="402"/>
      <c r="L5" s="402"/>
      <c r="M5" s="402"/>
      <c r="N5" s="402"/>
      <c r="O5" s="402"/>
      <c r="P5" s="402"/>
      <c r="Q5" s="402"/>
      <c r="R5" s="402"/>
      <c r="S5" s="402"/>
      <c r="T5" s="402"/>
      <c r="U5" s="402"/>
      <c r="V5" s="402"/>
      <c r="W5" s="402"/>
      <c r="X5" s="402"/>
      <c r="Y5" s="402"/>
      <c r="Z5" s="402"/>
    </row>
    <row r="6" ht="14.25" customHeight="1">
      <c r="A6" s="406">
        <v>45495.0</v>
      </c>
      <c r="B6" s="349" t="s">
        <v>5628</v>
      </c>
      <c r="C6" s="349" t="s">
        <v>5629</v>
      </c>
      <c r="D6" s="1032" t="s">
        <v>54</v>
      </c>
      <c r="E6" s="413" t="s">
        <v>5630</v>
      </c>
      <c r="F6" s="413">
        <v>53381.75</v>
      </c>
      <c r="G6" s="413">
        <v>0.0</v>
      </c>
      <c r="H6" s="349" t="s">
        <v>5631</v>
      </c>
      <c r="I6" s="736" t="str">
        <f t="shared" si="1"/>
        <v>NOT PAID</v>
      </c>
      <c r="J6" s="402"/>
      <c r="K6" s="402"/>
      <c r="L6" s="402"/>
      <c r="M6" s="402"/>
      <c r="N6" s="402"/>
      <c r="O6" s="402"/>
      <c r="P6" s="402"/>
      <c r="Q6" s="402"/>
      <c r="R6" s="402"/>
      <c r="S6" s="402"/>
      <c r="T6" s="402"/>
      <c r="U6" s="402"/>
      <c r="V6" s="402"/>
      <c r="W6" s="402"/>
      <c r="X6" s="402"/>
      <c r="Y6" s="402"/>
      <c r="Z6" s="402"/>
    </row>
    <row r="7" ht="14.25" customHeight="1">
      <c r="A7" s="406">
        <v>45495.0</v>
      </c>
      <c r="B7" s="349" t="s">
        <v>5632</v>
      </c>
      <c r="C7" s="349" t="s">
        <v>5633</v>
      </c>
      <c r="D7" s="1032" t="s">
        <v>346</v>
      </c>
      <c r="E7" s="413" t="s">
        <v>5623</v>
      </c>
      <c r="F7" s="413">
        <v>4318.89</v>
      </c>
      <c r="G7" s="413">
        <v>0.0</v>
      </c>
      <c r="H7" s="349" t="s">
        <v>56</v>
      </c>
      <c r="I7" s="736" t="str">
        <f t="shared" si="1"/>
        <v>NOT PAID</v>
      </c>
      <c r="J7" s="402"/>
      <c r="K7" s="402"/>
      <c r="L7" s="402"/>
      <c r="M7" s="402"/>
      <c r="N7" s="402"/>
      <c r="O7" s="402"/>
      <c r="P7" s="402"/>
      <c r="Q7" s="402"/>
      <c r="R7" s="402"/>
      <c r="S7" s="402"/>
      <c r="T7" s="402"/>
      <c r="U7" s="402"/>
      <c r="V7" s="402"/>
      <c r="W7" s="402"/>
      <c r="X7" s="402"/>
      <c r="Y7" s="402"/>
      <c r="Z7" s="402"/>
    </row>
    <row r="8" ht="14.25" customHeight="1">
      <c r="A8" s="406">
        <v>45495.0</v>
      </c>
      <c r="B8" s="349" t="s">
        <v>5634</v>
      </c>
      <c r="C8" s="349" t="s">
        <v>5635</v>
      </c>
      <c r="D8" s="1032" t="s">
        <v>54</v>
      </c>
      <c r="E8" s="413" t="s">
        <v>5623</v>
      </c>
      <c r="F8" s="413">
        <v>54399.8</v>
      </c>
      <c r="G8" s="413">
        <v>0.0</v>
      </c>
      <c r="H8" s="349" t="s">
        <v>56</v>
      </c>
      <c r="I8" s="736" t="str">
        <f t="shared" si="1"/>
        <v>NOT PAID</v>
      </c>
      <c r="J8" s="402"/>
      <c r="K8" s="402"/>
      <c r="L8" s="402"/>
      <c r="M8" s="402"/>
      <c r="N8" s="402"/>
      <c r="O8" s="402"/>
      <c r="P8" s="402"/>
      <c r="Q8" s="402"/>
      <c r="R8" s="402"/>
      <c r="S8" s="402"/>
      <c r="T8" s="402"/>
      <c r="U8" s="402"/>
      <c r="V8" s="402"/>
      <c r="W8" s="402"/>
      <c r="X8" s="402"/>
      <c r="Y8" s="402"/>
      <c r="Z8" s="402"/>
    </row>
    <row r="9" ht="14.25" customHeight="1">
      <c r="A9" s="406">
        <v>45495.0</v>
      </c>
      <c r="B9" s="349" t="s">
        <v>5636</v>
      </c>
      <c r="C9" s="349" t="s">
        <v>5637</v>
      </c>
      <c r="D9" s="1032" t="s">
        <v>346</v>
      </c>
      <c r="E9" s="413" t="s">
        <v>267</v>
      </c>
      <c r="F9" s="413">
        <v>26440.55</v>
      </c>
      <c r="G9" s="413">
        <v>0.0</v>
      </c>
      <c r="H9" s="349" t="s">
        <v>5638</v>
      </c>
      <c r="I9" s="736" t="str">
        <f t="shared" si="1"/>
        <v>NOT PAID</v>
      </c>
      <c r="J9" s="402"/>
      <c r="K9" s="402"/>
      <c r="L9" s="402"/>
      <c r="M9" s="402"/>
      <c r="N9" s="402"/>
      <c r="O9" s="402"/>
      <c r="P9" s="402"/>
      <c r="Q9" s="402"/>
      <c r="R9" s="402"/>
      <c r="S9" s="402"/>
      <c r="T9" s="402"/>
      <c r="U9" s="402"/>
      <c r="V9" s="402"/>
      <c r="W9" s="402"/>
      <c r="X9" s="402"/>
      <c r="Y9" s="402"/>
      <c r="Z9" s="402"/>
    </row>
    <row r="10" ht="14.25" customHeight="1">
      <c r="A10" s="406">
        <v>45495.0</v>
      </c>
      <c r="B10" s="349" t="s">
        <v>5639</v>
      </c>
      <c r="C10" s="349" t="s">
        <v>5627</v>
      </c>
      <c r="D10" s="1032" t="s">
        <v>346</v>
      </c>
      <c r="E10" s="413" t="s">
        <v>5623</v>
      </c>
      <c r="F10" s="413">
        <v>12153.35</v>
      </c>
      <c r="G10" s="413">
        <v>0.0</v>
      </c>
      <c r="H10" s="349" t="s">
        <v>5175</v>
      </c>
      <c r="I10" s="736" t="str">
        <f t="shared" si="1"/>
        <v>NOT PAID</v>
      </c>
      <c r="J10" s="402"/>
      <c r="K10" s="402"/>
      <c r="L10" s="402"/>
      <c r="M10" s="402"/>
      <c r="N10" s="402"/>
      <c r="O10" s="402"/>
      <c r="P10" s="402"/>
      <c r="Q10" s="402"/>
      <c r="R10" s="402"/>
      <c r="S10" s="402"/>
      <c r="T10" s="402"/>
      <c r="U10" s="402"/>
      <c r="V10" s="402"/>
      <c r="W10" s="402"/>
      <c r="X10" s="402"/>
      <c r="Y10" s="402"/>
      <c r="Z10" s="402"/>
    </row>
    <row r="11" ht="14.25" customHeight="1">
      <c r="A11" s="406">
        <v>45495.0</v>
      </c>
      <c r="B11" s="349" t="s">
        <v>5640</v>
      </c>
      <c r="C11" s="349" t="s">
        <v>5641</v>
      </c>
      <c r="D11" s="1032" t="s">
        <v>67</v>
      </c>
      <c r="E11" s="403"/>
      <c r="F11" s="413">
        <v>1000000.0</v>
      </c>
      <c r="G11" s="413">
        <v>1000000.0</v>
      </c>
      <c r="H11" s="349" t="s">
        <v>56</v>
      </c>
      <c r="I11" s="736" t="str">
        <f t="shared" si="1"/>
        <v>FULLY PAID</v>
      </c>
      <c r="J11" s="402"/>
      <c r="K11" s="402"/>
      <c r="L11" s="402"/>
      <c r="M11" s="402"/>
      <c r="N11" s="402"/>
      <c r="O11" s="402"/>
      <c r="P11" s="402"/>
      <c r="Q11" s="402"/>
      <c r="R11" s="402"/>
      <c r="S11" s="402"/>
      <c r="T11" s="402"/>
      <c r="U11" s="402"/>
      <c r="V11" s="402"/>
      <c r="W11" s="402"/>
      <c r="X11" s="402"/>
      <c r="Y11" s="402"/>
      <c r="Z11" s="402"/>
    </row>
    <row r="12" ht="14.25" customHeight="1">
      <c r="A12" s="406">
        <v>45495.0</v>
      </c>
      <c r="B12" s="349" t="s">
        <v>5642</v>
      </c>
      <c r="C12" s="349" t="s">
        <v>5643</v>
      </c>
      <c r="D12" s="1032" t="s">
        <v>54</v>
      </c>
      <c r="E12" s="403"/>
      <c r="F12" s="413">
        <v>19111.0</v>
      </c>
      <c r="G12" s="413">
        <v>0.0</v>
      </c>
      <c r="H12" s="349" t="s">
        <v>5644</v>
      </c>
      <c r="I12" s="736" t="str">
        <f t="shared" si="1"/>
        <v>NOT PAID</v>
      </c>
      <c r="J12" s="402"/>
      <c r="K12" s="402"/>
      <c r="L12" s="402"/>
      <c r="M12" s="402"/>
      <c r="N12" s="402"/>
      <c r="O12" s="402"/>
      <c r="P12" s="402"/>
      <c r="Q12" s="402"/>
      <c r="R12" s="402"/>
      <c r="S12" s="402"/>
      <c r="T12" s="402"/>
      <c r="U12" s="402"/>
      <c r="V12" s="402"/>
      <c r="W12" s="402"/>
      <c r="X12" s="402"/>
      <c r="Y12" s="402"/>
      <c r="Z12" s="402"/>
    </row>
    <row r="13" ht="14.25" customHeight="1">
      <c r="A13" s="406">
        <v>45495.0</v>
      </c>
      <c r="B13" s="349" t="s">
        <v>5645</v>
      </c>
      <c r="C13" s="1033" t="s">
        <v>5646</v>
      </c>
      <c r="D13" s="1032" t="s">
        <v>54</v>
      </c>
      <c r="E13" s="413" t="s">
        <v>5623</v>
      </c>
      <c r="F13" s="413">
        <v>34525.04</v>
      </c>
      <c r="G13" s="413">
        <v>0.0</v>
      </c>
      <c r="H13" s="349" t="s">
        <v>56</v>
      </c>
      <c r="I13" s="736" t="str">
        <f t="shared" si="1"/>
        <v>NOT PAID</v>
      </c>
      <c r="J13" s="402"/>
      <c r="K13" s="402"/>
      <c r="L13" s="402"/>
      <c r="M13" s="402"/>
      <c r="N13" s="402"/>
      <c r="O13" s="402"/>
      <c r="P13" s="402"/>
      <c r="Q13" s="402"/>
      <c r="R13" s="402"/>
      <c r="S13" s="402"/>
      <c r="T13" s="402"/>
      <c r="U13" s="402"/>
      <c r="V13" s="402"/>
      <c r="W13" s="402"/>
      <c r="X13" s="402"/>
      <c r="Y13" s="402"/>
      <c r="Z13" s="402"/>
    </row>
    <row r="14" ht="14.25" customHeight="1">
      <c r="A14" s="406">
        <v>45495.0</v>
      </c>
      <c r="B14" s="349" t="s">
        <v>5647</v>
      </c>
      <c r="C14" s="349" t="s">
        <v>5648</v>
      </c>
      <c r="D14" s="1032" t="s">
        <v>54</v>
      </c>
      <c r="E14" s="403"/>
      <c r="F14" s="413">
        <v>24563.37</v>
      </c>
      <c r="G14" s="413">
        <v>0.0</v>
      </c>
      <c r="H14" s="349" t="s">
        <v>5644</v>
      </c>
      <c r="I14" s="736" t="str">
        <f t="shared" si="1"/>
        <v>NOT PAID</v>
      </c>
      <c r="J14" s="402"/>
      <c r="K14" s="402"/>
      <c r="L14" s="402"/>
      <c r="M14" s="402"/>
      <c r="N14" s="402"/>
      <c r="O14" s="402"/>
      <c r="P14" s="402"/>
      <c r="Q14" s="402"/>
      <c r="R14" s="402"/>
      <c r="S14" s="402"/>
      <c r="T14" s="402"/>
      <c r="U14" s="402"/>
      <c r="V14" s="402"/>
      <c r="W14" s="402"/>
      <c r="X14" s="402"/>
      <c r="Y14" s="402"/>
      <c r="Z14" s="402"/>
    </row>
    <row r="15" ht="14.25" customHeight="1">
      <c r="A15" s="406">
        <v>45495.0</v>
      </c>
      <c r="B15" s="349" t="s">
        <v>5649</v>
      </c>
      <c r="C15" s="349" t="s">
        <v>5650</v>
      </c>
      <c r="D15" s="1032" t="s">
        <v>54</v>
      </c>
      <c r="E15" s="413" t="s">
        <v>5623</v>
      </c>
      <c r="F15" s="413">
        <v>58619.15</v>
      </c>
      <c r="G15" s="413">
        <v>0.0</v>
      </c>
      <c r="H15" s="349" t="s">
        <v>56</v>
      </c>
      <c r="I15" s="736" t="str">
        <f t="shared" si="1"/>
        <v>NOT PAID</v>
      </c>
      <c r="J15" s="402"/>
      <c r="K15" s="402"/>
      <c r="L15" s="402"/>
      <c r="M15" s="402"/>
      <c r="N15" s="402"/>
      <c r="O15" s="402"/>
      <c r="P15" s="402"/>
      <c r="Q15" s="402"/>
      <c r="R15" s="402"/>
      <c r="S15" s="402"/>
      <c r="T15" s="402"/>
      <c r="U15" s="402"/>
      <c r="V15" s="402"/>
      <c r="W15" s="402"/>
      <c r="X15" s="402"/>
      <c r="Y15" s="402"/>
      <c r="Z15" s="402"/>
    </row>
    <row r="16" ht="14.25" customHeight="1">
      <c r="A16" s="406">
        <v>45495.0</v>
      </c>
      <c r="B16" s="349" t="s">
        <v>5651</v>
      </c>
      <c r="C16" s="349" t="s">
        <v>5652</v>
      </c>
      <c r="D16" s="1032" t="s">
        <v>54</v>
      </c>
      <c r="E16" s="403"/>
      <c r="F16" s="413">
        <v>43110.0</v>
      </c>
      <c r="G16" s="413">
        <v>0.0</v>
      </c>
      <c r="H16" s="349" t="s">
        <v>5653</v>
      </c>
      <c r="I16" s="736" t="str">
        <f t="shared" si="1"/>
        <v>NOT PAID</v>
      </c>
      <c r="J16" s="402"/>
      <c r="K16" s="402"/>
      <c r="L16" s="402"/>
      <c r="M16" s="402"/>
      <c r="N16" s="402"/>
      <c r="O16" s="402"/>
      <c r="P16" s="402"/>
      <c r="Q16" s="402"/>
      <c r="R16" s="402"/>
      <c r="S16" s="402"/>
      <c r="T16" s="402"/>
      <c r="U16" s="402"/>
      <c r="V16" s="402"/>
      <c r="W16" s="402"/>
      <c r="X16" s="402"/>
      <c r="Y16" s="402"/>
      <c r="Z16" s="402"/>
    </row>
    <row r="17" ht="14.25" customHeight="1">
      <c r="A17" s="406">
        <v>45495.0</v>
      </c>
      <c r="B17" s="349" t="s">
        <v>5654</v>
      </c>
      <c r="C17" s="1033" t="s">
        <v>5655</v>
      </c>
      <c r="D17" s="1032" t="s">
        <v>54</v>
      </c>
      <c r="E17" s="403"/>
      <c r="F17" s="413">
        <v>5294.9</v>
      </c>
      <c r="G17" s="413">
        <v>21000.0</v>
      </c>
      <c r="H17" s="349" t="s">
        <v>56</v>
      </c>
      <c r="I17" s="736" t="str">
        <f t="shared" si="1"/>
        <v>FULLY PAID</v>
      </c>
      <c r="J17" s="402"/>
      <c r="K17" s="402"/>
      <c r="L17" s="402"/>
      <c r="M17" s="402"/>
      <c r="N17" s="402"/>
      <c r="O17" s="402"/>
      <c r="P17" s="402"/>
      <c r="Q17" s="402"/>
      <c r="R17" s="402"/>
      <c r="S17" s="402"/>
      <c r="T17" s="402"/>
      <c r="U17" s="402"/>
      <c r="V17" s="402"/>
      <c r="W17" s="402"/>
      <c r="X17" s="402"/>
      <c r="Y17" s="402"/>
      <c r="Z17" s="402"/>
    </row>
    <row r="18" ht="14.25" customHeight="1">
      <c r="A18" s="406">
        <v>45495.0</v>
      </c>
      <c r="B18" s="349" t="s">
        <v>5656</v>
      </c>
      <c r="C18" s="349" t="s">
        <v>5657</v>
      </c>
      <c r="D18" s="1032" t="s">
        <v>54</v>
      </c>
      <c r="E18" s="413" t="s">
        <v>5623</v>
      </c>
      <c r="F18" s="413">
        <v>49107.01</v>
      </c>
      <c r="G18" s="413">
        <v>0.0</v>
      </c>
      <c r="H18" s="349" t="s">
        <v>56</v>
      </c>
      <c r="I18" s="736" t="str">
        <f t="shared" si="1"/>
        <v>NOT PAID</v>
      </c>
      <c r="J18" s="402"/>
      <c r="K18" s="402"/>
      <c r="L18" s="402"/>
      <c r="M18" s="402"/>
      <c r="N18" s="402"/>
      <c r="O18" s="402"/>
      <c r="P18" s="402"/>
      <c r="Q18" s="402"/>
      <c r="R18" s="402"/>
      <c r="S18" s="402"/>
      <c r="T18" s="402"/>
      <c r="U18" s="402"/>
      <c r="V18" s="402"/>
      <c r="W18" s="402"/>
      <c r="X18" s="402"/>
      <c r="Y18" s="402"/>
      <c r="Z18" s="402"/>
    </row>
    <row r="19" ht="14.25" customHeight="1">
      <c r="A19" s="406">
        <v>45495.0</v>
      </c>
      <c r="B19" s="349" t="s">
        <v>5658</v>
      </c>
      <c r="C19" s="349" t="s">
        <v>5659</v>
      </c>
      <c r="D19" s="1032" t="s">
        <v>54</v>
      </c>
      <c r="E19" s="413" t="s">
        <v>5660</v>
      </c>
      <c r="F19" s="413">
        <v>99627.16</v>
      </c>
      <c r="G19" s="413">
        <v>0.0</v>
      </c>
      <c r="H19" s="349" t="s">
        <v>5661</v>
      </c>
      <c r="I19" s="736" t="str">
        <f t="shared" si="1"/>
        <v>NOT PAID</v>
      </c>
      <c r="J19" s="402"/>
      <c r="K19" s="402"/>
      <c r="L19" s="402"/>
      <c r="M19" s="402"/>
      <c r="N19" s="402"/>
      <c r="O19" s="402"/>
      <c r="P19" s="402"/>
      <c r="Q19" s="402"/>
      <c r="R19" s="402"/>
      <c r="S19" s="402"/>
      <c r="T19" s="402"/>
      <c r="U19" s="402"/>
      <c r="V19" s="402"/>
      <c r="W19" s="402"/>
      <c r="X19" s="402"/>
      <c r="Y19" s="402"/>
      <c r="Z19" s="402"/>
    </row>
    <row r="20" ht="14.25" customHeight="1">
      <c r="A20" s="406">
        <v>45495.0</v>
      </c>
      <c r="B20" s="349" t="s">
        <v>5662</v>
      </c>
      <c r="C20" s="349" t="s">
        <v>5663</v>
      </c>
      <c r="D20" s="1032" t="s">
        <v>54</v>
      </c>
      <c r="E20" s="403"/>
      <c r="F20" s="413">
        <v>39600.0</v>
      </c>
      <c r="G20" s="413">
        <v>0.0</v>
      </c>
      <c r="H20" s="349" t="s">
        <v>5661</v>
      </c>
      <c r="I20" s="736" t="str">
        <f t="shared" si="1"/>
        <v>NOT PAID</v>
      </c>
      <c r="J20" s="402"/>
      <c r="K20" s="402"/>
      <c r="L20" s="402"/>
      <c r="M20" s="402"/>
      <c r="N20" s="402"/>
      <c r="O20" s="402"/>
      <c r="P20" s="402"/>
      <c r="Q20" s="402"/>
      <c r="R20" s="402"/>
      <c r="S20" s="402"/>
      <c r="T20" s="402"/>
      <c r="U20" s="402"/>
      <c r="V20" s="402"/>
      <c r="W20" s="402"/>
      <c r="X20" s="402"/>
      <c r="Y20" s="402"/>
      <c r="Z20" s="402"/>
    </row>
    <row r="21" ht="14.25" customHeight="1">
      <c r="A21" s="406">
        <v>45495.0</v>
      </c>
      <c r="B21" s="349" t="s">
        <v>5664</v>
      </c>
      <c r="C21" s="349" t="s">
        <v>5665</v>
      </c>
      <c r="D21" s="1032" t="s">
        <v>75</v>
      </c>
      <c r="E21" s="413" t="s">
        <v>5660</v>
      </c>
      <c r="F21" s="413">
        <v>230000.0</v>
      </c>
      <c r="G21" s="413">
        <v>0.0</v>
      </c>
      <c r="H21" s="349" t="s">
        <v>5666</v>
      </c>
      <c r="I21" s="736" t="str">
        <f t="shared" si="1"/>
        <v>NOT PAID</v>
      </c>
      <c r="J21" s="402"/>
      <c r="K21" s="402"/>
      <c r="L21" s="402"/>
      <c r="M21" s="402"/>
      <c r="N21" s="402"/>
      <c r="O21" s="402"/>
      <c r="P21" s="402"/>
      <c r="Q21" s="402"/>
      <c r="R21" s="402"/>
      <c r="S21" s="402"/>
      <c r="T21" s="402"/>
      <c r="U21" s="402"/>
      <c r="V21" s="402"/>
      <c r="W21" s="402"/>
      <c r="X21" s="402"/>
      <c r="Y21" s="402"/>
      <c r="Z21" s="402"/>
    </row>
    <row r="22" ht="14.25" customHeight="1">
      <c r="A22" s="406">
        <v>45495.0</v>
      </c>
      <c r="B22" s="349" t="s">
        <v>5667</v>
      </c>
      <c r="C22" s="349" t="s">
        <v>5668</v>
      </c>
      <c r="D22" s="1032" t="s">
        <v>346</v>
      </c>
      <c r="E22" s="403"/>
      <c r="F22" s="413">
        <v>9552.0</v>
      </c>
      <c r="G22" s="413">
        <v>0.0</v>
      </c>
      <c r="H22" s="349" t="s">
        <v>5669</v>
      </c>
      <c r="I22" s="736" t="str">
        <f t="shared" si="1"/>
        <v>NOT PAID</v>
      </c>
      <c r="J22" s="402"/>
      <c r="K22" s="402"/>
      <c r="L22" s="402"/>
      <c r="M22" s="402"/>
      <c r="N22" s="402"/>
      <c r="O22" s="402"/>
      <c r="P22" s="402"/>
      <c r="Q22" s="402"/>
      <c r="R22" s="402"/>
      <c r="S22" s="402"/>
      <c r="T22" s="402"/>
      <c r="U22" s="402"/>
      <c r="V22" s="402"/>
      <c r="W22" s="402"/>
      <c r="X22" s="402"/>
      <c r="Y22" s="402"/>
      <c r="Z22" s="402"/>
    </row>
    <row r="23" ht="14.25" customHeight="1">
      <c r="A23" s="406">
        <v>45495.0</v>
      </c>
      <c r="B23" s="349" t="s">
        <v>5670</v>
      </c>
      <c r="C23" s="349" t="s">
        <v>5671</v>
      </c>
      <c r="D23" s="1032" t="s">
        <v>54</v>
      </c>
      <c r="E23" s="403"/>
      <c r="F23" s="413">
        <v>600000.0</v>
      </c>
      <c r="G23" s="413">
        <v>690000.0</v>
      </c>
      <c r="H23" s="349" t="s">
        <v>149</v>
      </c>
      <c r="I23" s="736" t="str">
        <f t="shared" si="1"/>
        <v>FULLY PAID</v>
      </c>
      <c r="J23" s="402"/>
      <c r="K23" s="402"/>
      <c r="L23" s="402"/>
      <c r="M23" s="402"/>
      <c r="N23" s="402"/>
      <c r="O23" s="402"/>
      <c r="P23" s="402"/>
      <c r="Q23" s="402"/>
      <c r="R23" s="402"/>
      <c r="S23" s="402"/>
      <c r="T23" s="402"/>
      <c r="U23" s="402"/>
      <c r="V23" s="402"/>
      <c r="W23" s="402"/>
      <c r="X23" s="402"/>
      <c r="Y23" s="402"/>
      <c r="Z23" s="402"/>
    </row>
    <row r="24" ht="14.25" customHeight="1">
      <c r="A24" s="406">
        <v>45495.0</v>
      </c>
      <c r="B24" s="349" t="s">
        <v>5672</v>
      </c>
      <c r="C24" s="349" t="s">
        <v>5673</v>
      </c>
      <c r="D24" s="1032" t="s">
        <v>666</v>
      </c>
      <c r="E24" s="403"/>
      <c r="F24" s="413">
        <v>7500000.0</v>
      </c>
      <c r="G24" s="413">
        <v>7500000.0</v>
      </c>
      <c r="H24" s="349" t="s">
        <v>149</v>
      </c>
      <c r="I24" s="736" t="str">
        <f t="shared" si="1"/>
        <v>FULLY PAID</v>
      </c>
      <c r="J24" s="402"/>
      <c r="K24" s="402"/>
      <c r="L24" s="402"/>
      <c r="M24" s="402"/>
      <c r="N24" s="402"/>
      <c r="O24" s="402"/>
      <c r="P24" s="402"/>
      <c r="Q24" s="402"/>
      <c r="R24" s="402"/>
      <c r="S24" s="402"/>
      <c r="T24" s="402"/>
      <c r="U24" s="402"/>
      <c r="V24" s="402"/>
      <c r="W24" s="402"/>
      <c r="X24" s="402"/>
      <c r="Y24" s="402"/>
      <c r="Z24" s="402"/>
    </row>
    <row r="25" ht="14.25" customHeight="1">
      <c r="A25" s="402"/>
      <c r="B25" s="2"/>
      <c r="C25" s="2"/>
      <c r="D25" s="1034"/>
      <c r="E25" s="403"/>
      <c r="F25" s="403"/>
      <c r="G25" s="403"/>
      <c r="H25" s="402"/>
      <c r="I25" s="736" t="str">
        <f t="shared" si="1"/>
        <v>FULLY PAID</v>
      </c>
      <c r="J25" s="402"/>
      <c r="K25" s="402"/>
      <c r="L25" s="402"/>
      <c r="M25" s="402"/>
      <c r="N25" s="402"/>
      <c r="O25" s="402"/>
      <c r="P25" s="402"/>
      <c r="Q25" s="402"/>
      <c r="R25" s="402"/>
      <c r="S25" s="402"/>
      <c r="T25" s="402"/>
      <c r="U25" s="402"/>
      <c r="V25" s="402"/>
      <c r="W25" s="402"/>
      <c r="X25" s="402"/>
      <c r="Y25" s="402"/>
      <c r="Z25" s="402"/>
    </row>
    <row r="26" ht="14.25" customHeight="1">
      <c r="A26" s="406">
        <v>45495.0</v>
      </c>
      <c r="B26" s="1035" t="s">
        <v>5674</v>
      </c>
      <c r="C26" s="602" t="s">
        <v>5637</v>
      </c>
      <c r="D26" s="1032" t="s">
        <v>893</v>
      </c>
      <c r="E26" s="413" t="s">
        <v>894</v>
      </c>
      <c r="F26" s="413">
        <v>450000.0</v>
      </c>
      <c r="G26" s="413">
        <v>450000.0</v>
      </c>
      <c r="H26" s="349" t="s">
        <v>8</v>
      </c>
      <c r="I26" s="736" t="str">
        <f t="shared" si="1"/>
        <v>FULLY PAID</v>
      </c>
      <c r="J26" s="402"/>
      <c r="K26" s="402"/>
      <c r="L26" s="402"/>
      <c r="M26" s="402"/>
      <c r="N26" s="402"/>
      <c r="O26" s="402"/>
      <c r="P26" s="402"/>
      <c r="Q26" s="402"/>
      <c r="R26" s="402"/>
      <c r="S26" s="402"/>
      <c r="T26" s="402"/>
      <c r="U26" s="402"/>
      <c r="V26" s="402"/>
      <c r="W26" s="402"/>
      <c r="X26" s="402"/>
      <c r="Y26" s="402"/>
      <c r="Z26" s="402"/>
    </row>
    <row r="27" ht="14.25" customHeight="1">
      <c r="A27" s="406">
        <v>45495.0</v>
      </c>
      <c r="B27" s="455" t="s">
        <v>5626</v>
      </c>
      <c r="C27" s="455" t="s">
        <v>5675</v>
      </c>
      <c r="D27" s="599" t="s">
        <v>54</v>
      </c>
      <c r="E27" s="769" t="s">
        <v>4114</v>
      </c>
      <c r="F27" s="768">
        <v>65205.0</v>
      </c>
      <c r="G27" s="769">
        <v>0.0</v>
      </c>
      <c r="H27" s="349" t="s">
        <v>5175</v>
      </c>
      <c r="I27" s="736" t="str">
        <f t="shared" si="1"/>
        <v>NOT PAID</v>
      </c>
      <c r="J27" s="402"/>
      <c r="K27" s="402"/>
      <c r="L27" s="402"/>
      <c r="M27" s="402"/>
      <c r="N27" s="402"/>
      <c r="O27" s="402"/>
      <c r="P27" s="402"/>
      <c r="Q27" s="402"/>
      <c r="R27" s="402"/>
      <c r="S27" s="402"/>
      <c r="T27" s="402"/>
      <c r="U27" s="402"/>
      <c r="V27" s="402"/>
      <c r="W27" s="402"/>
      <c r="X27" s="402"/>
      <c r="Y27" s="402"/>
      <c r="Z27" s="402"/>
    </row>
    <row r="28" ht="14.25" customHeight="1">
      <c r="A28" s="406">
        <v>45495.0</v>
      </c>
      <c r="B28" s="455" t="s">
        <v>5676</v>
      </c>
      <c r="C28" s="455" t="s">
        <v>5677</v>
      </c>
      <c r="D28" s="599" t="s">
        <v>54</v>
      </c>
      <c r="E28" s="769" t="s">
        <v>4114</v>
      </c>
      <c r="F28" s="768">
        <v>52500.0</v>
      </c>
      <c r="G28" s="769">
        <v>0.0</v>
      </c>
      <c r="H28" s="349" t="s">
        <v>5678</v>
      </c>
      <c r="I28" s="736" t="str">
        <f t="shared" si="1"/>
        <v>NOT PAID</v>
      </c>
      <c r="J28" s="402"/>
      <c r="K28" s="402"/>
      <c r="L28" s="402"/>
      <c r="M28" s="402"/>
      <c r="N28" s="402"/>
      <c r="O28" s="402"/>
      <c r="P28" s="402"/>
      <c r="Q28" s="402"/>
      <c r="R28" s="402"/>
      <c r="S28" s="402"/>
      <c r="T28" s="402"/>
      <c r="U28" s="402"/>
      <c r="V28" s="402"/>
      <c r="W28" s="402"/>
      <c r="X28" s="402"/>
      <c r="Y28" s="402"/>
      <c r="Z28" s="402"/>
    </row>
    <row r="29" ht="14.25" customHeight="1">
      <c r="A29" s="406">
        <v>45495.0</v>
      </c>
      <c r="B29" s="599" t="s">
        <v>5679</v>
      </c>
      <c r="C29" s="599" t="s">
        <v>5680</v>
      </c>
      <c r="D29" s="599" t="s">
        <v>54</v>
      </c>
      <c r="E29" s="769" t="s">
        <v>4114</v>
      </c>
      <c r="F29" s="768">
        <v>50000.0</v>
      </c>
      <c r="G29" s="769">
        <v>0.0</v>
      </c>
      <c r="H29" s="349" t="s">
        <v>5681</v>
      </c>
      <c r="I29" s="736" t="str">
        <f t="shared" si="1"/>
        <v>NOT PAID</v>
      </c>
      <c r="J29" s="402"/>
      <c r="K29" s="402"/>
      <c r="L29" s="402"/>
      <c r="M29" s="402"/>
      <c r="N29" s="402"/>
      <c r="O29" s="402"/>
      <c r="P29" s="402"/>
      <c r="Q29" s="402"/>
      <c r="R29" s="402"/>
      <c r="S29" s="402"/>
      <c r="T29" s="402"/>
      <c r="U29" s="402"/>
      <c r="V29" s="402"/>
      <c r="W29" s="402"/>
      <c r="X29" s="402"/>
      <c r="Y29" s="402"/>
      <c r="Z29" s="402"/>
    </row>
    <row r="30" ht="14.25" customHeight="1">
      <c r="A30" s="406">
        <v>45495.0</v>
      </c>
      <c r="B30" s="599" t="s">
        <v>5682</v>
      </c>
      <c r="C30" s="599" t="s">
        <v>5683</v>
      </c>
      <c r="D30" s="599" t="s">
        <v>54</v>
      </c>
      <c r="E30" s="769" t="s">
        <v>2165</v>
      </c>
      <c r="F30" s="768">
        <v>100000.0</v>
      </c>
      <c r="G30" s="769">
        <v>0.0</v>
      </c>
      <c r="H30" s="349" t="s">
        <v>5684</v>
      </c>
      <c r="I30" s="736" t="str">
        <f t="shared" si="1"/>
        <v>NOT PAID</v>
      </c>
      <c r="J30" s="402"/>
      <c r="K30" s="402"/>
      <c r="L30" s="402"/>
      <c r="M30" s="402"/>
      <c r="N30" s="402"/>
      <c r="O30" s="402"/>
      <c r="P30" s="402"/>
      <c r="Q30" s="402"/>
      <c r="R30" s="402"/>
      <c r="S30" s="402"/>
      <c r="T30" s="402"/>
      <c r="U30" s="402"/>
      <c r="V30" s="402"/>
      <c r="W30" s="402"/>
      <c r="X30" s="402"/>
      <c r="Y30" s="402"/>
      <c r="Z30" s="402"/>
    </row>
    <row r="31" ht="14.25" customHeight="1">
      <c r="A31" s="406">
        <v>45495.0</v>
      </c>
      <c r="B31" s="569" t="s">
        <v>5685</v>
      </c>
      <c r="C31" s="569" t="s">
        <v>5686</v>
      </c>
      <c r="D31" s="599" t="s">
        <v>54</v>
      </c>
      <c r="E31" s="1036" t="s">
        <v>2165</v>
      </c>
      <c r="F31" s="770">
        <v>100000.0</v>
      </c>
      <c r="G31" s="1036">
        <v>0.0</v>
      </c>
      <c r="H31" s="349" t="s">
        <v>5684</v>
      </c>
      <c r="I31" s="736" t="str">
        <f t="shared" si="1"/>
        <v>NOT PAID</v>
      </c>
      <c r="J31" s="402"/>
      <c r="K31" s="402"/>
      <c r="L31" s="402"/>
      <c r="M31" s="402"/>
      <c r="N31" s="402"/>
      <c r="O31" s="402"/>
      <c r="P31" s="402"/>
      <c r="Q31" s="402"/>
      <c r="R31" s="402"/>
      <c r="S31" s="402"/>
      <c r="T31" s="402"/>
      <c r="U31" s="402"/>
      <c r="V31" s="402"/>
      <c r="W31" s="402"/>
      <c r="X31" s="402"/>
      <c r="Y31" s="402"/>
      <c r="Z31" s="402"/>
    </row>
    <row r="32" ht="21.75" customHeight="1">
      <c r="A32" s="406">
        <v>45495.0</v>
      </c>
      <c r="B32" s="436" t="s">
        <v>5687</v>
      </c>
      <c r="C32" s="436" t="s">
        <v>5688</v>
      </c>
      <c r="D32" s="599" t="s">
        <v>54</v>
      </c>
      <c r="E32" s="413" t="s">
        <v>4114</v>
      </c>
      <c r="F32" s="413">
        <v>100000.0</v>
      </c>
      <c r="G32" s="413">
        <v>0.0</v>
      </c>
      <c r="H32" s="349" t="s">
        <v>5689</v>
      </c>
      <c r="I32" s="736" t="str">
        <f t="shared" si="1"/>
        <v>NOT PAID</v>
      </c>
      <c r="J32" s="402"/>
      <c r="K32" s="402"/>
      <c r="L32" s="402"/>
      <c r="M32" s="402"/>
      <c r="N32" s="402"/>
      <c r="O32" s="402"/>
      <c r="P32" s="402"/>
      <c r="Q32" s="402"/>
      <c r="R32" s="402"/>
      <c r="S32" s="402"/>
      <c r="T32" s="402"/>
      <c r="U32" s="402"/>
      <c r="V32" s="402"/>
      <c r="W32" s="402"/>
      <c r="X32" s="402"/>
      <c r="Y32" s="402"/>
      <c r="Z32" s="402"/>
    </row>
    <row r="33" ht="18.0" customHeight="1">
      <c r="A33" s="406">
        <v>45495.0</v>
      </c>
      <c r="B33" s="436" t="s">
        <v>5690</v>
      </c>
      <c r="C33" s="436" t="s">
        <v>5691</v>
      </c>
      <c r="D33" s="668" t="s">
        <v>54</v>
      </c>
      <c r="E33" s="1036" t="s">
        <v>2165</v>
      </c>
      <c r="F33" s="679">
        <v>250000.0</v>
      </c>
      <c r="G33" s="413">
        <v>0.0</v>
      </c>
      <c r="H33" s="349" t="s">
        <v>772</v>
      </c>
      <c r="I33" s="1037" t="s">
        <v>772</v>
      </c>
      <c r="J33" s="402"/>
      <c r="K33" s="402"/>
      <c r="L33" s="402"/>
      <c r="M33" s="402"/>
      <c r="N33" s="402"/>
      <c r="O33" s="402"/>
      <c r="P33" s="402"/>
      <c r="Q33" s="402"/>
      <c r="R33" s="402"/>
      <c r="S33" s="402"/>
      <c r="T33" s="402"/>
      <c r="U33" s="402"/>
      <c r="V33" s="402"/>
      <c r="W33" s="402"/>
      <c r="X33" s="402"/>
      <c r="Y33" s="402"/>
      <c r="Z33" s="402"/>
    </row>
    <row r="34" ht="14.25" customHeight="1">
      <c r="A34" s="402"/>
      <c r="B34" s="402"/>
      <c r="C34" s="402"/>
      <c r="D34" s="1034"/>
      <c r="E34" s="403"/>
      <c r="F34" s="403"/>
      <c r="G34" s="586">
        <f>SUM(G2:G33)</f>
        <v>9661000</v>
      </c>
      <c r="H34" s="402"/>
      <c r="I34" s="736" t="str">
        <f t="shared" ref="I34:I73" si="2">IF(G34&gt;=F34,"FULLY PAID",IF(G34=0,"NOT PAID","PARTIALLY PAID"))</f>
        <v>FULLY PAID</v>
      </c>
      <c r="J34" s="402"/>
      <c r="K34" s="402"/>
      <c r="L34" s="402"/>
      <c r="M34" s="402"/>
      <c r="N34" s="402"/>
      <c r="O34" s="402"/>
      <c r="P34" s="402"/>
      <c r="Q34" s="402"/>
      <c r="R34" s="402"/>
      <c r="S34" s="402"/>
      <c r="T34" s="402"/>
      <c r="U34" s="402"/>
      <c r="V34" s="402"/>
      <c r="W34" s="402"/>
      <c r="X34" s="402"/>
      <c r="Y34" s="402"/>
      <c r="Z34" s="402"/>
    </row>
    <row r="35" ht="14.25" customHeight="1">
      <c r="A35" s="402"/>
      <c r="B35" s="402"/>
      <c r="C35" s="402"/>
      <c r="D35" s="1034"/>
      <c r="E35" s="403"/>
      <c r="F35" s="403"/>
      <c r="G35" s="586">
        <f>G36-G34</f>
        <v>865593</v>
      </c>
      <c r="H35" s="402"/>
      <c r="I35" s="736" t="str">
        <f t="shared" si="2"/>
        <v>FULLY PAID</v>
      </c>
      <c r="J35" s="402"/>
      <c r="K35" s="402"/>
      <c r="L35" s="402"/>
      <c r="M35" s="402"/>
      <c r="N35" s="402"/>
      <c r="O35" s="402"/>
      <c r="P35" s="402"/>
      <c r="Q35" s="402"/>
      <c r="R35" s="402"/>
      <c r="S35" s="402"/>
      <c r="T35" s="402"/>
      <c r="U35" s="402"/>
      <c r="V35" s="402"/>
      <c r="W35" s="402"/>
      <c r="X35" s="402"/>
      <c r="Y35" s="402"/>
      <c r="Z35" s="402"/>
    </row>
    <row r="36" ht="14.25" customHeight="1">
      <c r="A36" s="402"/>
      <c r="B36" s="402"/>
      <c r="C36" s="402"/>
      <c r="D36" s="1034"/>
      <c r="E36" s="403"/>
      <c r="F36" s="403"/>
      <c r="G36" s="787">
        <v>1.0526593E7</v>
      </c>
      <c r="H36" s="402"/>
      <c r="I36" s="736" t="str">
        <f t="shared" si="2"/>
        <v>FULLY PAID</v>
      </c>
      <c r="J36" s="402"/>
      <c r="K36" s="402"/>
      <c r="L36" s="402"/>
      <c r="M36" s="402"/>
      <c r="N36" s="402"/>
      <c r="O36" s="402"/>
      <c r="P36" s="402"/>
      <c r="Q36" s="402"/>
      <c r="R36" s="402"/>
      <c r="S36" s="402"/>
      <c r="T36" s="402"/>
      <c r="U36" s="402"/>
      <c r="V36" s="402"/>
      <c r="W36" s="402"/>
      <c r="X36" s="402"/>
      <c r="Y36" s="402"/>
      <c r="Z36" s="402"/>
    </row>
    <row r="37" ht="14.25" customHeight="1">
      <c r="A37" s="402"/>
      <c r="B37" s="402"/>
      <c r="C37" s="402"/>
      <c r="D37" s="349"/>
      <c r="E37" s="403"/>
      <c r="F37" s="403"/>
      <c r="G37" s="403"/>
      <c r="H37" s="402"/>
      <c r="I37" s="736" t="str">
        <f t="shared" si="2"/>
        <v>FULLY PAID</v>
      </c>
      <c r="J37" s="402"/>
      <c r="K37" s="402"/>
      <c r="L37" s="402"/>
      <c r="M37" s="402"/>
      <c r="N37" s="402"/>
      <c r="O37" s="402"/>
      <c r="P37" s="402"/>
      <c r="Q37" s="402"/>
      <c r="R37" s="402"/>
      <c r="S37" s="402"/>
      <c r="T37" s="402"/>
      <c r="U37" s="402"/>
      <c r="V37" s="402"/>
      <c r="W37" s="402"/>
      <c r="X37" s="402"/>
      <c r="Y37" s="402"/>
      <c r="Z37" s="402"/>
    </row>
    <row r="38" ht="14.25" customHeight="1">
      <c r="A38" s="406">
        <v>45496.0</v>
      </c>
      <c r="B38" s="349" t="s">
        <v>5692</v>
      </c>
      <c r="C38" s="349" t="s">
        <v>5693</v>
      </c>
      <c r="D38" s="349" t="s">
        <v>54</v>
      </c>
      <c r="E38" s="413" t="s">
        <v>5694</v>
      </c>
      <c r="F38" s="413">
        <v>14332.46</v>
      </c>
      <c r="G38" s="413">
        <v>0.0</v>
      </c>
      <c r="H38" s="349" t="s">
        <v>267</v>
      </c>
      <c r="I38" s="736" t="str">
        <f t="shared" si="2"/>
        <v>NOT PAID</v>
      </c>
      <c r="J38" s="402"/>
      <c r="K38" s="402"/>
      <c r="L38" s="402"/>
      <c r="M38" s="402"/>
      <c r="N38" s="402"/>
      <c r="O38" s="402"/>
      <c r="P38" s="402"/>
      <c r="Q38" s="402"/>
      <c r="R38" s="402"/>
      <c r="S38" s="402"/>
      <c r="T38" s="402"/>
      <c r="U38" s="402"/>
      <c r="V38" s="402"/>
      <c r="W38" s="402"/>
      <c r="X38" s="402"/>
      <c r="Y38" s="402"/>
      <c r="Z38" s="402"/>
    </row>
    <row r="39" ht="14.25" customHeight="1">
      <c r="A39" s="406">
        <v>45496.0</v>
      </c>
      <c r="B39" s="349" t="s">
        <v>5695</v>
      </c>
      <c r="C39" s="349" t="s">
        <v>5696</v>
      </c>
      <c r="D39" s="349" t="s">
        <v>54</v>
      </c>
      <c r="E39" s="413" t="s">
        <v>5694</v>
      </c>
      <c r="F39" s="413">
        <v>43001.1</v>
      </c>
      <c r="G39" s="413">
        <v>0.0</v>
      </c>
      <c r="H39" s="349" t="s">
        <v>267</v>
      </c>
      <c r="I39" s="736" t="str">
        <f t="shared" si="2"/>
        <v>NOT PAID</v>
      </c>
      <c r="J39" s="402"/>
      <c r="K39" s="402"/>
      <c r="L39" s="402"/>
      <c r="M39" s="402"/>
      <c r="N39" s="402"/>
      <c r="O39" s="402"/>
      <c r="P39" s="402"/>
      <c r="Q39" s="402"/>
      <c r="R39" s="402"/>
      <c r="S39" s="402"/>
      <c r="T39" s="402"/>
      <c r="U39" s="402"/>
      <c r="V39" s="402"/>
      <c r="W39" s="402"/>
      <c r="X39" s="402"/>
      <c r="Y39" s="402"/>
      <c r="Z39" s="402"/>
    </row>
    <row r="40" ht="14.25" customHeight="1">
      <c r="A40" s="406">
        <v>45496.0</v>
      </c>
      <c r="B40" s="349" t="s">
        <v>5697</v>
      </c>
      <c r="C40" s="349" t="s">
        <v>5698</v>
      </c>
      <c r="D40" s="349" t="s">
        <v>54</v>
      </c>
      <c r="E40" s="413" t="s">
        <v>5699</v>
      </c>
      <c r="F40" s="413">
        <v>27008.48</v>
      </c>
      <c r="G40" s="413">
        <v>0.0</v>
      </c>
      <c r="H40" s="349" t="s">
        <v>267</v>
      </c>
      <c r="I40" s="736" t="str">
        <f t="shared" si="2"/>
        <v>NOT PAID</v>
      </c>
      <c r="J40" s="402"/>
      <c r="K40" s="402"/>
      <c r="L40" s="402"/>
      <c r="M40" s="402"/>
      <c r="N40" s="402"/>
      <c r="O40" s="402"/>
      <c r="P40" s="402"/>
      <c r="Q40" s="402"/>
      <c r="R40" s="402"/>
      <c r="S40" s="402"/>
      <c r="T40" s="402"/>
      <c r="U40" s="402"/>
      <c r="V40" s="402"/>
      <c r="W40" s="402"/>
      <c r="X40" s="402"/>
      <c r="Y40" s="402"/>
      <c r="Z40" s="402"/>
    </row>
    <row r="41" ht="14.25" customHeight="1">
      <c r="A41" s="406">
        <v>45496.0</v>
      </c>
      <c r="B41" s="349" t="s">
        <v>5700</v>
      </c>
      <c r="C41" s="349" t="s">
        <v>5701</v>
      </c>
      <c r="D41" s="349" t="s">
        <v>54</v>
      </c>
      <c r="E41" s="413" t="s">
        <v>5623</v>
      </c>
      <c r="F41" s="413">
        <v>71022.92</v>
      </c>
      <c r="G41" s="413">
        <v>0.0</v>
      </c>
      <c r="H41" s="349" t="s">
        <v>267</v>
      </c>
      <c r="I41" s="736" t="str">
        <f t="shared" si="2"/>
        <v>NOT PAID</v>
      </c>
      <c r="J41" s="402"/>
      <c r="K41" s="402"/>
      <c r="L41" s="402"/>
      <c r="M41" s="402"/>
      <c r="N41" s="402"/>
      <c r="O41" s="402"/>
      <c r="P41" s="402"/>
      <c r="Q41" s="402"/>
      <c r="R41" s="402"/>
      <c r="S41" s="402"/>
      <c r="T41" s="402"/>
      <c r="U41" s="402"/>
      <c r="V41" s="402"/>
      <c r="W41" s="402"/>
      <c r="X41" s="402"/>
      <c r="Y41" s="402"/>
      <c r="Z41" s="402"/>
    </row>
    <row r="42" ht="14.25" customHeight="1">
      <c r="A42" s="406">
        <v>45496.0</v>
      </c>
      <c r="B42" s="349" t="s">
        <v>5702</v>
      </c>
      <c r="C42" s="349" t="s">
        <v>5703</v>
      </c>
      <c r="D42" s="349" t="s">
        <v>54</v>
      </c>
      <c r="E42" s="413" t="s">
        <v>5694</v>
      </c>
      <c r="F42" s="413">
        <v>35260.67</v>
      </c>
      <c r="G42" s="413">
        <v>0.0</v>
      </c>
      <c r="H42" s="349" t="s">
        <v>61</v>
      </c>
      <c r="I42" s="736" t="str">
        <f t="shared" si="2"/>
        <v>NOT PAID</v>
      </c>
      <c r="J42" s="402"/>
      <c r="K42" s="402"/>
      <c r="L42" s="402"/>
      <c r="M42" s="402"/>
      <c r="N42" s="402"/>
      <c r="O42" s="402"/>
      <c r="P42" s="402"/>
      <c r="Q42" s="402"/>
      <c r="R42" s="402"/>
      <c r="S42" s="402"/>
      <c r="T42" s="402"/>
      <c r="U42" s="402"/>
      <c r="V42" s="402"/>
      <c r="W42" s="402"/>
      <c r="X42" s="402"/>
      <c r="Y42" s="402"/>
      <c r="Z42" s="402"/>
    </row>
    <row r="43" ht="14.25" customHeight="1">
      <c r="A43" s="406">
        <v>45496.0</v>
      </c>
      <c r="B43" s="349" t="s">
        <v>5704</v>
      </c>
      <c r="C43" s="349" t="s">
        <v>5705</v>
      </c>
      <c r="D43" s="349" t="s">
        <v>54</v>
      </c>
      <c r="E43" s="413" t="s">
        <v>5623</v>
      </c>
      <c r="F43" s="413">
        <v>18024.0</v>
      </c>
      <c r="G43" s="413">
        <v>0.0</v>
      </c>
      <c r="H43" s="349" t="s">
        <v>5706</v>
      </c>
      <c r="I43" s="736" t="str">
        <f t="shared" si="2"/>
        <v>NOT PAID</v>
      </c>
      <c r="J43" s="402"/>
      <c r="K43" s="402"/>
      <c r="L43" s="402"/>
      <c r="M43" s="402"/>
      <c r="N43" s="402"/>
      <c r="O43" s="402"/>
      <c r="P43" s="402"/>
      <c r="Q43" s="402"/>
      <c r="R43" s="402"/>
      <c r="S43" s="402"/>
      <c r="T43" s="402"/>
      <c r="U43" s="402"/>
      <c r="V43" s="402"/>
      <c r="W43" s="402"/>
      <c r="X43" s="402"/>
      <c r="Y43" s="402"/>
      <c r="Z43" s="402"/>
    </row>
    <row r="44" ht="14.25" customHeight="1">
      <c r="A44" s="406">
        <v>45496.0</v>
      </c>
      <c r="B44" s="349" t="s">
        <v>5707</v>
      </c>
      <c r="C44" s="349" t="s">
        <v>5708</v>
      </c>
      <c r="D44" s="349" t="s">
        <v>54</v>
      </c>
      <c r="E44" s="413" t="s">
        <v>5620</v>
      </c>
      <c r="F44" s="413">
        <v>445840.57</v>
      </c>
      <c r="G44" s="413">
        <v>446700.0</v>
      </c>
      <c r="H44" s="349" t="s">
        <v>149</v>
      </c>
      <c r="I44" s="736" t="str">
        <f t="shared" si="2"/>
        <v>FULLY PAID</v>
      </c>
      <c r="J44" s="402"/>
      <c r="K44" s="402"/>
      <c r="L44" s="402"/>
      <c r="M44" s="402"/>
      <c r="N44" s="402"/>
      <c r="O44" s="402"/>
      <c r="P44" s="402"/>
      <c r="Q44" s="402"/>
      <c r="R44" s="402"/>
      <c r="S44" s="402"/>
      <c r="T44" s="402"/>
      <c r="U44" s="402"/>
      <c r="V44" s="402"/>
      <c r="W44" s="402"/>
      <c r="X44" s="402"/>
      <c r="Y44" s="402"/>
      <c r="Z44" s="402"/>
    </row>
    <row r="45" ht="14.25" customHeight="1">
      <c r="A45" s="406">
        <v>45496.0</v>
      </c>
      <c r="B45" s="349" t="s">
        <v>5709</v>
      </c>
      <c r="C45" s="349" t="s">
        <v>5710</v>
      </c>
      <c r="D45" s="349" t="s">
        <v>54</v>
      </c>
      <c r="E45" s="413" t="s">
        <v>5694</v>
      </c>
      <c r="F45" s="413">
        <v>18040.57</v>
      </c>
      <c r="G45" s="413">
        <v>0.0</v>
      </c>
      <c r="H45" s="349" t="s">
        <v>5711</v>
      </c>
      <c r="I45" s="736" t="str">
        <f t="shared" si="2"/>
        <v>NOT PAID</v>
      </c>
      <c r="J45" s="402"/>
      <c r="K45" s="402"/>
      <c r="L45" s="402"/>
      <c r="M45" s="402"/>
      <c r="N45" s="402"/>
      <c r="O45" s="402"/>
      <c r="P45" s="402"/>
      <c r="Q45" s="402"/>
      <c r="R45" s="402"/>
      <c r="S45" s="402"/>
      <c r="T45" s="402"/>
      <c r="U45" s="402"/>
      <c r="V45" s="402"/>
      <c r="W45" s="402"/>
      <c r="X45" s="402"/>
      <c r="Y45" s="402"/>
      <c r="Z45" s="402"/>
    </row>
    <row r="46" ht="14.25" customHeight="1">
      <c r="A46" s="406">
        <v>45496.0</v>
      </c>
      <c r="B46" s="349" t="s">
        <v>5712</v>
      </c>
      <c r="C46" s="349" t="s">
        <v>5713</v>
      </c>
      <c r="D46" s="349" t="s">
        <v>54</v>
      </c>
      <c r="E46" s="413" t="s">
        <v>5620</v>
      </c>
      <c r="F46" s="413">
        <v>41747.0</v>
      </c>
      <c r="G46" s="413">
        <v>0.0</v>
      </c>
      <c r="H46" s="349" t="s">
        <v>267</v>
      </c>
      <c r="I46" s="736" t="str">
        <f t="shared" si="2"/>
        <v>NOT PAID</v>
      </c>
      <c r="J46" s="402"/>
      <c r="K46" s="402"/>
      <c r="L46" s="402"/>
      <c r="M46" s="402"/>
      <c r="N46" s="402"/>
      <c r="O46" s="402"/>
      <c r="P46" s="402"/>
      <c r="Q46" s="402"/>
      <c r="R46" s="402"/>
      <c r="S46" s="402"/>
      <c r="T46" s="402"/>
      <c r="U46" s="402"/>
      <c r="V46" s="402"/>
      <c r="W46" s="402"/>
      <c r="X46" s="402"/>
      <c r="Y46" s="402"/>
      <c r="Z46" s="402"/>
    </row>
    <row r="47" ht="14.25" customHeight="1">
      <c r="A47" s="406">
        <v>45496.0</v>
      </c>
      <c r="B47" s="349" t="s">
        <v>5714</v>
      </c>
      <c r="C47" s="349" t="s">
        <v>5715</v>
      </c>
      <c r="D47" s="349" t="s">
        <v>54</v>
      </c>
      <c r="E47" s="413" t="s">
        <v>5694</v>
      </c>
      <c r="F47" s="413">
        <v>107837.6</v>
      </c>
      <c r="G47" s="413">
        <v>101700.0</v>
      </c>
      <c r="H47" s="349" t="s">
        <v>267</v>
      </c>
      <c r="I47" s="736" t="str">
        <f t="shared" si="2"/>
        <v>PARTIALLY PAID</v>
      </c>
      <c r="J47" s="402"/>
      <c r="K47" s="402"/>
      <c r="L47" s="402"/>
      <c r="M47" s="402"/>
      <c r="N47" s="402"/>
      <c r="O47" s="402"/>
      <c r="P47" s="402"/>
      <c r="Q47" s="402"/>
      <c r="R47" s="402"/>
      <c r="S47" s="402"/>
      <c r="T47" s="402"/>
      <c r="U47" s="402"/>
      <c r="V47" s="402"/>
      <c r="W47" s="402"/>
      <c r="X47" s="402"/>
      <c r="Y47" s="402"/>
      <c r="Z47" s="402"/>
    </row>
    <row r="48" ht="14.25" customHeight="1">
      <c r="A48" s="406">
        <v>45496.0</v>
      </c>
      <c r="B48" s="349" t="s">
        <v>5716</v>
      </c>
      <c r="C48" s="349" t="s">
        <v>5717</v>
      </c>
      <c r="D48" s="349" t="s">
        <v>54</v>
      </c>
      <c r="E48" s="413" t="s">
        <v>5620</v>
      </c>
      <c r="F48" s="413">
        <v>10742.5</v>
      </c>
      <c r="G48" s="413">
        <v>0.0</v>
      </c>
      <c r="H48" s="349" t="s">
        <v>5718</v>
      </c>
      <c r="I48" s="736" t="str">
        <f t="shared" si="2"/>
        <v>NOT PAID</v>
      </c>
      <c r="J48" s="402"/>
      <c r="K48" s="402"/>
      <c r="L48" s="402"/>
      <c r="M48" s="402"/>
      <c r="N48" s="402"/>
      <c r="O48" s="402"/>
      <c r="P48" s="402"/>
      <c r="Q48" s="402"/>
      <c r="R48" s="402"/>
      <c r="S48" s="402"/>
      <c r="T48" s="402"/>
      <c r="U48" s="402"/>
      <c r="V48" s="402"/>
      <c r="W48" s="402"/>
      <c r="X48" s="402"/>
      <c r="Y48" s="402"/>
      <c r="Z48" s="402"/>
    </row>
    <row r="49" ht="14.25" customHeight="1">
      <c r="A49" s="406">
        <v>45496.0</v>
      </c>
      <c r="B49" s="349" t="s">
        <v>5618</v>
      </c>
      <c r="C49" s="349" t="s">
        <v>5619</v>
      </c>
      <c r="D49" s="349" t="s">
        <v>54</v>
      </c>
      <c r="E49" s="413" t="s">
        <v>5620</v>
      </c>
      <c r="F49" s="413">
        <v>84879.37</v>
      </c>
      <c r="G49" s="413">
        <v>0.0</v>
      </c>
      <c r="H49" s="349" t="s">
        <v>267</v>
      </c>
      <c r="I49" s="736" t="str">
        <f t="shared" si="2"/>
        <v>NOT PAID</v>
      </c>
      <c r="J49" s="402"/>
      <c r="K49" s="402"/>
      <c r="L49" s="402"/>
      <c r="M49" s="402"/>
      <c r="N49" s="402"/>
      <c r="O49" s="402"/>
      <c r="P49" s="402"/>
      <c r="Q49" s="402"/>
      <c r="R49" s="402"/>
      <c r="S49" s="402"/>
      <c r="T49" s="402"/>
      <c r="U49" s="402"/>
      <c r="V49" s="402"/>
      <c r="W49" s="402"/>
      <c r="X49" s="402"/>
      <c r="Y49" s="402"/>
      <c r="Z49" s="402"/>
    </row>
    <row r="50" ht="14.25" customHeight="1">
      <c r="A50" s="406">
        <v>45496.0</v>
      </c>
      <c r="B50" s="349" t="s">
        <v>5621</v>
      </c>
      <c r="C50" s="349" t="s">
        <v>5622</v>
      </c>
      <c r="D50" s="349" t="s">
        <v>54</v>
      </c>
      <c r="E50" s="413" t="s">
        <v>5623</v>
      </c>
      <c r="F50" s="413">
        <v>11174.97</v>
      </c>
      <c r="G50" s="413">
        <v>0.0</v>
      </c>
      <c r="H50" s="349" t="s">
        <v>267</v>
      </c>
      <c r="I50" s="736" t="str">
        <f t="shared" si="2"/>
        <v>NOT PAID</v>
      </c>
      <c r="J50" s="402"/>
      <c r="K50" s="402"/>
      <c r="L50" s="402"/>
      <c r="M50" s="402"/>
      <c r="N50" s="402"/>
      <c r="O50" s="402"/>
      <c r="P50" s="402"/>
      <c r="Q50" s="402"/>
      <c r="R50" s="402"/>
      <c r="S50" s="402"/>
      <c r="T50" s="402"/>
      <c r="U50" s="402"/>
      <c r="V50" s="402"/>
      <c r="W50" s="402"/>
      <c r="X50" s="402"/>
      <c r="Y50" s="402"/>
      <c r="Z50" s="402"/>
    </row>
    <row r="51" ht="14.25" customHeight="1">
      <c r="A51" s="406">
        <v>45496.0</v>
      </c>
      <c r="B51" s="349" t="s">
        <v>5624</v>
      </c>
      <c r="C51" s="349" t="s">
        <v>5625</v>
      </c>
      <c r="D51" s="349" t="s">
        <v>54</v>
      </c>
      <c r="E51" s="413" t="s">
        <v>5623</v>
      </c>
      <c r="F51" s="413">
        <v>83329.75</v>
      </c>
      <c r="G51" s="413">
        <v>0.0</v>
      </c>
      <c r="H51" s="349" t="s">
        <v>267</v>
      </c>
      <c r="I51" s="736" t="str">
        <f t="shared" si="2"/>
        <v>NOT PAID</v>
      </c>
      <c r="J51" s="402"/>
      <c r="K51" s="402"/>
      <c r="L51" s="402"/>
      <c r="M51" s="402"/>
      <c r="N51" s="402"/>
      <c r="O51" s="402"/>
      <c r="P51" s="402"/>
      <c r="Q51" s="402"/>
      <c r="R51" s="402"/>
      <c r="S51" s="402"/>
      <c r="T51" s="402"/>
      <c r="U51" s="402"/>
      <c r="V51" s="402"/>
      <c r="W51" s="402"/>
      <c r="X51" s="402"/>
      <c r="Y51" s="402"/>
      <c r="Z51" s="402"/>
    </row>
    <row r="52" ht="14.25" customHeight="1">
      <c r="A52" s="406">
        <v>45496.0</v>
      </c>
      <c r="B52" s="349" t="s">
        <v>5626</v>
      </c>
      <c r="C52" s="349" t="s">
        <v>5627</v>
      </c>
      <c r="D52" s="349" t="s">
        <v>54</v>
      </c>
      <c r="E52" s="413" t="s">
        <v>5623</v>
      </c>
      <c r="F52" s="413">
        <v>75942.83</v>
      </c>
      <c r="G52" s="413">
        <v>0.0</v>
      </c>
      <c r="H52" s="349" t="s">
        <v>5175</v>
      </c>
      <c r="I52" s="736" t="str">
        <f t="shared" si="2"/>
        <v>NOT PAID</v>
      </c>
      <c r="J52" s="402"/>
      <c r="K52" s="402"/>
      <c r="L52" s="402"/>
      <c r="M52" s="402"/>
      <c r="N52" s="402"/>
      <c r="O52" s="402"/>
      <c r="P52" s="402"/>
      <c r="Q52" s="402"/>
      <c r="R52" s="402"/>
      <c r="S52" s="402"/>
      <c r="T52" s="402"/>
      <c r="U52" s="402"/>
      <c r="V52" s="402"/>
      <c r="W52" s="402"/>
      <c r="X52" s="402"/>
      <c r="Y52" s="402"/>
      <c r="Z52" s="402"/>
    </row>
    <row r="53" ht="14.25" customHeight="1">
      <c r="A53" s="406">
        <v>45496.0</v>
      </c>
      <c r="B53" s="349" t="s">
        <v>5628</v>
      </c>
      <c r="C53" s="349" t="s">
        <v>5629</v>
      </c>
      <c r="D53" s="349" t="s">
        <v>54</v>
      </c>
      <c r="E53" s="413" t="s">
        <v>5620</v>
      </c>
      <c r="F53" s="413">
        <v>53381.75</v>
      </c>
      <c r="G53" s="413">
        <v>0.0</v>
      </c>
      <c r="H53" s="349" t="s">
        <v>5719</v>
      </c>
      <c r="I53" s="736" t="str">
        <f t="shared" si="2"/>
        <v>NOT PAID</v>
      </c>
      <c r="J53" s="402"/>
      <c r="K53" s="402"/>
      <c r="L53" s="402"/>
      <c r="M53" s="402"/>
      <c r="N53" s="402"/>
      <c r="O53" s="402"/>
      <c r="P53" s="402"/>
      <c r="Q53" s="402"/>
      <c r="R53" s="402"/>
      <c r="S53" s="402"/>
      <c r="T53" s="402"/>
      <c r="U53" s="402"/>
      <c r="V53" s="402"/>
      <c r="W53" s="402"/>
      <c r="X53" s="402"/>
      <c r="Y53" s="402"/>
      <c r="Z53" s="402"/>
    </row>
    <row r="54" ht="14.25" customHeight="1">
      <c r="A54" s="406">
        <v>45496.0</v>
      </c>
      <c r="B54" s="349" t="s">
        <v>5632</v>
      </c>
      <c r="C54" s="349" t="s">
        <v>5633</v>
      </c>
      <c r="D54" s="349" t="s">
        <v>467</v>
      </c>
      <c r="E54" s="413" t="s">
        <v>5623</v>
      </c>
      <c r="F54" s="413">
        <v>4318.89</v>
      </c>
      <c r="G54" s="413">
        <v>0.0</v>
      </c>
      <c r="H54" s="349" t="s">
        <v>267</v>
      </c>
      <c r="I54" s="736" t="str">
        <f t="shared" si="2"/>
        <v>NOT PAID</v>
      </c>
      <c r="J54" s="402"/>
      <c r="K54" s="402"/>
      <c r="L54" s="402"/>
      <c r="M54" s="402"/>
      <c r="N54" s="402"/>
      <c r="O54" s="402"/>
      <c r="P54" s="402"/>
      <c r="Q54" s="402"/>
      <c r="R54" s="402"/>
      <c r="S54" s="402"/>
      <c r="T54" s="402"/>
      <c r="U54" s="402"/>
      <c r="V54" s="402"/>
      <c r="W54" s="402"/>
      <c r="X54" s="402"/>
      <c r="Y54" s="402"/>
      <c r="Z54" s="402"/>
    </row>
    <row r="55" ht="14.25" customHeight="1">
      <c r="A55" s="406">
        <v>45496.0</v>
      </c>
      <c r="B55" s="349" t="s">
        <v>5634</v>
      </c>
      <c r="C55" s="349" t="s">
        <v>5635</v>
      </c>
      <c r="D55" s="349" t="s">
        <v>54</v>
      </c>
      <c r="E55" s="413" t="s">
        <v>5623</v>
      </c>
      <c r="F55" s="413">
        <v>54399.8</v>
      </c>
      <c r="G55" s="413">
        <v>0.0</v>
      </c>
      <c r="H55" s="349" t="s">
        <v>267</v>
      </c>
      <c r="I55" s="736" t="str">
        <f t="shared" si="2"/>
        <v>NOT PAID</v>
      </c>
      <c r="J55" s="402"/>
      <c r="K55" s="402"/>
      <c r="L55" s="402"/>
      <c r="M55" s="402"/>
      <c r="N55" s="402"/>
      <c r="O55" s="402"/>
      <c r="P55" s="402"/>
      <c r="Q55" s="402"/>
      <c r="R55" s="402"/>
      <c r="S55" s="402"/>
      <c r="T55" s="402"/>
      <c r="U55" s="402"/>
      <c r="V55" s="402"/>
      <c r="W55" s="402"/>
      <c r="X55" s="402"/>
      <c r="Y55" s="402"/>
      <c r="Z55" s="402"/>
    </row>
    <row r="56" ht="14.25" customHeight="1">
      <c r="A56" s="406">
        <v>45496.0</v>
      </c>
      <c r="B56" s="349" t="s">
        <v>5639</v>
      </c>
      <c r="C56" s="349" t="s">
        <v>5627</v>
      </c>
      <c r="D56" s="349" t="s">
        <v>467</v>
      </c>
      <c r="E56" s="413" t="s">
        <v>5623</v>
      </c>
      <c r="F56" s="413">
        <v>12153.35</v>
      </c>
      <c r="G56" s="413">
        <v>0.0</v>
      </c>
      <c r="H56" s="349" t="s">
        <v>5175</v>
      </c>
      <c r="I56" s="736" t="str">
        <f t="shared" si="2"/>
        <v>NOT PAID</v>
      </c>
      <c r="J56" s="402"/>
      <c r="K56" s="402"/>
      <c r="L56" s="402"/>
      <c r="M56" s="402"/>
      <c r="N56" s="402"/>
      <c r="O56" s="402"/>
      <c r="P56" s="402"/>
      <c r="Q56" s="402"/>
      <c r="R56" s="402"/>
      <c r="S56" s="402"/>
      <c r="T56" s="402"/>
      <c r="U56" s="402"/>
      <c r="V56" s="402"/>
      <c r="W56" s="402"/>
      <c r="X56" s="402"/>
      <c r="Y56" s="402"/>
      <c r="Z56" s="402"/>
    </row>
    <row r="57" ht="14.25" customHeight="1">
      <c r="A57" s="406">
        <v>45496.0</v>
      </c>
      <c r="B57" s="349" t="s">
        <v>5642</v>
      </c>
      <c r="C57" s="349" t="s">
        <v>5643</v>
      </c>
      <c r="D57" s="349" t="s">
        <v>54</v>
      </c>
      <c r="E57" s="413" t="s">
        <v>5620</v>
      </c>
      <c r="F57" s="413">
        <v>19111.0</v>
      </c>
      <c r="G57" s="413">
        <v>0.0</v>
      </c>
      <c r="H57" s="349" t="s">
        <v>267</v>
      </c>
      <c r="I57" s="736" t="str">
        <f t="shared" si="2"/>
        <v>NOT PAID</v>
      </c>
      <c r="J57" s="402"/>
      <c r="K57" s="402"/>
      <c r="L57" s="402"/>
      <c r="M57" s="402"/>
      <c r="N57" s="402"/>
      <c r="O57" s="402"/>
      <c r="P57" s="402"/>
      <c r="Q57" s="402"/>
      <c r="R57" s="402"/>
      <c r="S57" s="402"/>
      <c r="T57" s="402"/>
      <c r="U57" s="402"/>
      <c r="V57" s="402"/>
      <c r="W57" s="402"/>
      <c r="X57" s="402"/>
      <c r="Y57" s="402"/>
      <c r="Z57" s="402"/>
    </row>
    <row r="58" ht="14.25" customHeight="1">
      <c r="A58" s="406">
        <v>45496.0</v>
      </c>
      <c r="B58" s="349" t="s">
        <v>5645</v>
      </c>
      <c r="C58" s="349" t="s">
        <v>5646</v>
      </c>
      <c r="D58" s="349" t="s">
        <v>54</v>
      </c>
      <c r="E58" s="413" t="s">
        <v>5623</v>
      </c>
      <c r="F58" s="413">
        <v>34525.04</v>
      </c>
      <c r="G58" s="413">
        <v>0.0</v>
      </c>
      <c r="H58" s="349" t="s">
        <v>267</v>
      </c>
      <c r="I58" s="736" t="str">
        <f t="shared" si="2"/>
        <v>NOT PAID</v>
      </c>
      <c r="J58" s="402"/>
      <c r="K58" s="402"/>
      <c r="L58" s="402"/>
      <c r="M58" s="402"/>
      <c r="N58" s="402"/>
      <c r="O58" s="402"/>
      <c r="P58" s="402"/>
      <c r="Q58" s="402"/>
      <c r="R58" s="402"/>
      <c r="S58" s="402"/>
      <c r="T58" s="402"/>
      <c r="U58" s="402"/>
      <c r="V58" s="402"/>
      <c r="W58" s="402"/>
      <c r="X58" s="402"/>
      <c r="Y58" s="402"/>
      <c r="Z58" s="402"/>
    </row>
    <row r="59" ht="14.25" customHeight="1">
      <c r="A59" s="406">
        <v>45496.0</v>
      </c>
      <c r="B59" s="349" t="s">
        <v>5647</v>
      </c>
      <c r="C59" s="349" t="s">
        <v>5648</v>
      </c>
      <c r="D59" s="349" t="s">
        <v>54</v>
      </c>
      <c r="E59" s="413" t="s">
        <v>5694</v>
      </c>
      <c r="F59" s="413">
        <v>24563.37</v>
      </c>
      <c r="G59" s="413">
        <v>0.0</v>
      </c>
      <c r="H59" s="349" t="s">
        <v>5638</v>
      </c>
      <c r="I59" s="736" t="str">
        <f t="shared" si="2"/>
        <v>NOT PAID</v>
      </c>
      <c r="J59" s="402"/>
      <c r="K59" s="402"/>
      <c r="L59" s="402"/>
      <c r="M59" s="402"/>
      <c r="N59" s="402"/>
      <c r="O59" s="402"/>
      <c r="P59" s="402"/>
      <c r="Q59" s="402"/>
      <c r="R59" s="402"/>
      <c r="S59" s="402"/>
      <c r="T59" s="402"/>
      <c r="U59" s="402"/>
      <c r="V59" s="402"/>
      <c r="W59" s="402"/>
      <c r="X59" s="402"/>
      <c r="Y59" s="402"/>
      <c r="Z59" s="402"/>
    </row>
    <row r="60" ht="14.25" customHeight="1">
      <c r="A60" s="406">
        <v>45496.0</v>
      </c>
      <c r="B60" s="349" t="s">
        <v>5649</v>
      </c>
      <c r="C60" s="349" t="s">
        <v>5650</v>
      </c>
      <c r="D60" s="349" t="s">
        <v>54</v>
      </c>
      <c r="E60" s="413" t="s">
        <v>5623</v>
      </c>
      <c r="F60" s="413">
        <v>58619.15</v>
      </c>
      <c r="G60" s="413">
        <v>0.0</v>
      </c>
      <c r="H60" s="349" t="s">
        <v>267</v>
      </c>
      <c r="I60" s="736" t="str">
        <f t="shared" si="2"/>
        <v>NOT PAID</v>
      </c>
      <c r="J60" s="402"/>
      <c r="K60" s="402"/>
      <c r="L60" s="402"/>
      <c r="M60" s="402"/>
      <c r="N60" s="402"/>
      <c r="O60" s="402"/>
      <c r="P60" s="402"/>
      <c r="Q60" s="402"/>
      <c r="R60" s="402"/>
      <c r="S60" s="402"/>
      <c r="T60" s="402"/>
      <c r="U60" s="402"/>
      <c r="V60" s="402"/>
      <c r="W60" s="402"/>
      <c r="X60" s="402"/>
      <c r="Y60" s="402"/>
      <c r="Z60" s="402"/>
    </row>
    <row r="61" ht="14.25" customHeight="1">
      <c r="A61" s="406">
        <v>45496.0</v>
      </c>
      <c r="B61" s="349" t="s">
        <v>5656</v>
      </c>
      <c r="C61" s="349" t="s">
        <v>5657</v>
      </c>
      <c r="D61" s="349" t="s">
        <v>54</v>
      </c>
      <c r="E61" s="413" t="s">
        <v>5623</v>
      </c>
      <c r="F61" s="413">
        <v>49107.01</v>
      </c>
      <c r="G61" s="413">
        <v>0.0</v>
      </c>
      <c r="H61" s="349" t="s">
        <v>267</v>
      </c>
      <c r="I61" s="736" t="str">
        <f t="shared" si="2"/>
        <v>NOT PAID</v>
      </c>
      <c r="J61" s="402"/>
      <c r="K61" s="402"/>
      <c r="L61" s="402"/>
      <c r="M61" s="402"/>
      <c r="N61" s="402"/>
      <c r="O61" s="402"/>
      <c r="P61" s="402"/>
      <c r="Q61" s="402"/>
      <c r="R61" s="402"/>
      <c r="S61" s="402"/>
      <c r="T61" s="402"/>
      <c r="U61" s="402"/>
      <c r="V61" s="402"/>
      <c r="W61" s="402"/>
      <c r="X61" s="402"/>
      <c r="Y61" s="402"/>
      <c r="Z61" s="402"/>
    </row>
    <row r="62" ht="14.25" customHeight="1">
      <c r="A62" s="406">
        <v>45496.0</v>
      </c>
      <c r="B62" s="349" t="s">
        <v>5658</v>
      </c>
      <c r="C62" s="349" t="s">
        <v>5659</v>
      </c>
      <c r="D62" s="349" t="s">
        <v>54</v>
      </c>
      <c r="E62" s="413" t="s">
        <v>5620</v>
      </c>
      <c r="F62" s="413">
        <v>99627.16</v>
      </c>
      <c r="G62" s="413">
        <v>0.0</v>
      </c>
      <c r="H62" s="349" t="s">
        <v>5720</v>
      </c>
      <c r="I62" s="736" t="str">
        <f t="shared" si="2"/>
        <v>NOT PAID</v>
      </c>
      <c r="J62" s="402"/>
      <c r="K62" s="402"/>
      <c r="L62" s="402"/>
      <c r="M62" s="402"/>
      <c r="N62" s="402"/>
      <c r="O62" s="402"/>
      <c r="P62" s="402"/>
      <c r="Q62" s="402"/>
      <c r="R62" s="402"/>
      <c r="S62" s="402"/>
      <c r="T62" s="402"/>
      <c r="U62" s="402"/>
      <c r="V62" s="402"/>
      <c r="W62" s="402"/>
      <c r="X62" s="402"/>
      <c r="Y62" s="402"/>
      <c r="Z62" s="402"/>
    </row>
    <row r="63" ht="14.25" customHeight="1">
      <c r="A63" s="406">
        <v>45496.0</v>
      </c>
      <c r="B63" s="349" t="s">
        <v>5662</v>
      </c>
      <c r="C63" s="349" t="s">
        <v>5663</v>
      </c>
      <c r="D63" s="349" t="s">
        <v>54</v>
      </c>
      <c r="E63" s="413" t="s">
        <v>5694</v>
      </c>
      <c r="F63" s="413">
        <v>39600.0</v>
      </c>
      <c r="G63" s="413">
        <v>0.0</v>
      </c>
      <c r="H63" s="349" t="s">
        <v>5720</v>
      </c>
      <c r="I63" s="736" t="str">
        <f t="shared" si="2"/>
        <v>NOT PAID</v>
      </c>
      <c r="J63" s="402"/>
      <c r="K63" s="402"/>
      <c r="L63" s="402"/>
      <c r="M63" s="402"/>
      <c r="N63" s="402"/>
      <c r="O63" s="402"/>
      <c r="P63" s="402"/>
      <c r="Q63" s="402"/>
      <c r="R63" s="402"/>
      <c r="S63" s="402"/>
      <c r="T63" s="402"/>
      <c r="U63" s="402"/>
      <c r="V63" s="402"/>
      <c r="W63" s="402"/>
      <c r="X63" s="402"/>
      <c r="Y63" s="402"/>
      <c r="Z63" s="402"/>
    </row>
    <row r="64" ht="14.25" customHeight="1">
      <c r="A64" s="406">
        <v>45496.0</v>
      </c>
      <c r="B64" s="349" t="s">
        <v>5664</v>
      </c>
      <c r="C64" s="349" t="s">
        <v>5665</v>
      </c>
      <c r="D64" s="349" t="s">
        <v>54</v>
      </c>
      <c r="E64" s="413" t="s">
        <v>5620</v>
      </c>
      <c r="F64" s="413">
        <v>230000.0</v>
      </c>
      <c r="G64" s="413">
        <v>0.0</v>
      </c>
      <c r="H64" s="349" t="s">
        <v>267</v>
      </c>
      <c r="I64" s="736" t="str">
        <f t="shared" si="2"/>
        <v>NOT PAID</v>
      </c>
      <c r="J64" s="402"/>
      <c r="K64" s="402"/>
      <c r="L64" s="402"/>
      <c r="M64" s="402"/>
      <c r="N64" s="402"/>
      <c r="O64" s="402"/>
      <c r="P64" s="402"/>
      <c r="Q64" s="402"/>
      <c r="R64" s="402"/>
      <c r="S64" s="402"/>
      <c r="T64" s="402"/>
      <c r="U64" s="402"/>
      <c r="V64" s="402"/>
      <c r="W64" s="402"/>
      <c r="X64" s="402"/>
      <c r="Y64" s="402"/>
      <c r="Z64" s="402"/>
    </row>
    <row r="65" ht="14.25" customHeight="1">
      <c r="A65" s="406">
        <v>45496.0</v>
      </c>
      <c r="B65" s="349" t="s">
        <v>5667</v>
      </c>
      <c r="C65" s="349" t="s">
        <v>5668</v>
      </c>
      <c r="D65" s="349" t="s">
        <v>54</v>
      </c>
      <c r="E65" s="413" t="s">
        <v>5694</v>
      </c>
      <c r="F65" s="413">
        <v>9552.0</v>
      </c>
      <c r="G65" s="413">
        <v>0.0</v>
      </c>
      <c r="H65" s="349" t="s">
        <v>5669</v>
      </c>
      <c r="I65" s="736" t="str">
        <f t="shared" si="2"/>
        <v>NOT PAID</v>
      </c>
      <c r="J65" s="402"/>
      <c r="K65" s="402"/>
      <c r="L65" s="402"/>
      <c r="M65" s="402"/>
      <c r="N65" s="402"/>
      <c r="O65" s="402"/>
      <c r="P65" s="402"/>
      <c r="Q65" s="402"/>
      <c r="R65" s="402"/>
      <c r="S65" s="402"/>
      <c r="T65" s="402"/>
      <c r="U65" s="402"/>
      <c r="V65" s="402"/>
      <c r="W65" s="402"/>
      <c r="X65" s="402"/>
      <c r="Y65" s="402"/>
      <c r="Z65" s="402"/>
    </row>
    <row r="66" ht="14.25" customHeight="1">
      <c r="A66" s="406">
        <v>45496.0</v>
      </c>
      <c r="B66" s="349" t="s">
        <v>5721</v>
      </c>
      <c r="C66" s="349" t="s">
        <v>5722</v>
      </c>
      <c r="D66" s="349" t="s">
        <v>1210</v>
      </c>
      <c r="E66" s="413" t="s">
        <v>5623</v>
      </c>
      <c r="F66" s="413">
        <v>300000.0</v>
      </c>
      <c r="G66" s="25">
        <v>301875.0</v>
      </c>
      <c r="H66" s="349" t="s">
        <v>267</v>
      </c>
      <c r="I66" s="736" t="str">
        <f t="shared" si="2"/>
        <v>FULLY PAID</v>
      </c>
      <c r="J66" s="402"/>
      <c r="K66" s="402"/>
      <c r="L66" s="402"/>
      <c r="M66" s="402"/>
      <c r="N66" s="402"/>
      <c r="O66" s="402"/>
      <c r="P66" s="402"/>
      <c r="Q66" s="402"/>
      <c r="R66" s="402"/>
      <c r="S66" s="402"/>
      <c r="T66" s="402"/>
      <c r="U66" s="402"/>
      <c r="V66" s="402"/>
      <c r="W66" s="402"/>
      <c r="X66" s="402"/>
      <c r="Y66" s="402"/>
      <c r="Z66" s="402"/>
    </row>
    <row r="67" ht="14.25" customHeight="1">
      <c r="A67" s="406">
        <v>45496.0</v>
      </c>
      <c r="B67" s="349" t="s">
        <v>5723</v>
      </c>
      <c r="C67" s="349" t="s">
        <v>5724</v>
      </c>
      <c r="D67" s="349" t="s">
        <v>54</v>
      </c>
      <c r="E67" s="413" t="s">
        <v>5623</v>
      </c>
      <c r="F67" s="413">
        <v>130000.0</v>
      </c>
      <c r="G67" s="413">
        <v>127838.0</v>
      </c>
      <c r="H67" s="349" t="s">
        <v>267</v>
      </c>
      <c r="I67" s="736" t="str">
        <f t="shared" si="2"/>
        <v>PARTIALLY PAID</v>
      </c>
      <c r="J67" s="402"/>
      <c r="K67" s="402"/>
      <c r="L67" s="402"/>
      <c r="M67" s="402"/>
      <c r="N67" s="402"/>
      <c r="O67" s="402"/>
      <c r="P67" s="402"/>
      <c r="Q67" s="402"/>
      <c r="R67" s="402"/>
      <c r="S67" s="402"/>
      <c r="T67" s="402"/>
      <c r="U67" s="402"/>
      <c r="V67" s="402"/>
      <c r="W67" s="402"/>
      <c r="X67" s="402"/>
      <c r="Y67" s="402"/>
      <c r="Z67" s="402"/>
    </row>
    <row r="68" ht="14.25" customHeight="1">
      <c r="A68" s="406">
        <v>45496.0</v>
      </c>
      <c r="B68" s="349" t="s">
        <v>5725</v>
      </c>
      <c r="C68" s="349" t="s">
        <v>5641</v>
      </c>
      <c r="D68" s="1032" t="s">
        <v>67</v>
      </c>
      <c r="E68" s="403"/>
      <c r="F68" s="413">
        <v>1000000.0</v>
      </c>
      <c r="G68" s="413">
        <v>1000000.0</v>
      </c>
      <c r="H68" s="349" t="s">
        <v>267</v>
      </c>
      <c r="I68" s="736" t="str">
        <f t="shared" si="2"/>
        <v>FULLY PAID</v>
      </c>
      <c r="J68" s="402"/>
      <c r="K68" s="402"/>
      <c r="L68" s="402"/>
      <c r="M68" s="402"/>
      <c r="N68" s="402"/>
      <c r="O68" s="402"/>
      <c r="P68" s="402"/>
      <c r="Q68" s="402"/>
      <c r="R68" s="402"/>
      <c r="S68" s="402"/>
      <c r="T68" s="402"/>
      <c r="U68" s="402"/>
      <c r="V68" s="402"/>
      <c r="W68" s="402"/>
      <c r="X68" s="402"/>
      <c r="Y68" s="402"/>
      <c r="Z68" s="402"/>
    </row>
    <row r="69" ht="14.25" customHeight="1">
      <c r="A69" s="402"/>
      <c r="B69" s="424" t="s">
        <v>5726</v>
      </c>
      <c r="C69" s="402"/>
      <c r="D69" s="1034"/>
      <c r="E69" s="403"/>
      <c r="F69" s="403"/>
      <c r="G69" s="403"/>
      <c r="H69" s="402"/>
      <c r="I69" s="736" t="str">
        <f t="shared" si="2"/>
        <v>FULLY PAID</v>
      </c>
      <c r="J69" s="402"/>
      <c r="K69" s="402"/>
      <c r="L69" s="402"/>
      <c r="M69" s="402"/>
      <c r="N69" s="402"/>
      <c r="O69" s="402"/>
      <c r="P69" s="402"/>
      <c r="Q69" s="402"/>
      <c r="R69" s="402"/>
      <c r="S69" s="402"/>
      <c r="T69" s="402"/>
      <c r="U69" s="402"/>
      <c r="V69" s="402"/>
      <c r="W69" s="402"/>
      <c r="X69" s="402"/>
      <c r="Y69" s="402"/>
      <c r="Z69" s="402"/>
    </row>
    <row r="70" ht="18.0" customHeight="1">
      <c r="A70" s="406">
        <v>45496.0</v>
      </c>
      <c r="B70" s="436" t="s">
        <v>5727</v>
      </c>
      <c r="C70" s="436" t="s">
        <v>5728</v>
      </c>
      <c r="D70" s="668" t="s">
        <v>54</v>
      </c>
      <c r="E70" s="668" t="s">
        <v>4114</v>
      </c>
      <c r="F70" s="758">
        <v>70000.0</v>
      </c>
      <c r="G70" s="413">
        <v>0.0</v>
      </c>
      <c r="H70" s="349" t="s">
        <v>5729</v>
      </c>
      <c r="I70" s="736" t="str">
        <f t="shared" si="2"/>
        <v>NOT PAID</v>
      </c>
      <c r="J70" s="402"/>
      <c r="K70" s="402"/>
      <c r="L70" s="402"/>
      <c r="M70" s="402"/>
      <c r="N70" s="402"/>
      <c r="O70" s="402"/>
      <c r="P70" s="402"/>
      <c r="Q70" s="402"/>
      <c r="R70" s="402"/>
      <c r="S70" s="402"/>
      <c r="T70" s="402"/>
      <c r="U70" s="402"/>
      <c r="V70" s="402"/>
      <c r="W70" s="402"/>
      <c r="X70" s="402"/>
      <c r="Y70" s="402"/>
      <c r="Z70" s="402"/>
    </row>
    <row r="71" ht="19.5" customHeight="1">
      <c r="A71" s="406">
        <v>45496.0</v>
      </c>
      <c r="B71" s="436" t="s">
        <v>5687</v>
      </c>
      <c r="C71" s="436" t="s">
        <v>5688</v>
      </c>
      <c r="D71" s="668" t="s">
        <v>54</v>
      </c>
      <c r="E71" s="668" t="s">
        <v>4114</v>
      </c>
      <c r="F71" s="778">
        <v>284550.0</v>
      </c>
      <c r="G71" s="413">
        <v>0.0</v>
      </c>
      <c r="H71" s="349" t="s">
        <v>5689</v>
      </c>
      <c r="I71" s="736" t="str">
        <f t="shared" si="2"/>
        <v>NOT PAID</v>
      </c>
      <c r="J71" s="402"/>
      <c r="K71" s="402"/>
      <c r="L71" s="402"/>
      <c r="M71" s="402"/>
      <c r="N71" s="402"/>
      <c r="O71" s="402"/>
      <c r="P71" s="402"/>
      <c r="Q71" s="402"/>
      <c r="R71" s="402"/>
      <c r="S71" s="402"/>
      <c r="T71" s="402"/>
      <c r="U71" s="402"/>
      <c r="V71" s="402"/>
      <c r="W71" s="402"/>
      <c r="X71" s="402"/>
      <c r="Y71" s="402"/>
      <c r="Z71" s="402"/>
    </row>
    <row r="72" ht="18.0" customHeight="1">
      <c r="A72" s="406">
        <v>45496.0</v>
      </c>
      <c r="B72" s="436" t="s">
        <v>5679</v>
      </c>
      <c r="C72" s="436" t="s">
        <v>5730</v>
      </c>
      <c r="D72" s="668" t="s">
        <v>54</v>
      </c>
      <c r="E72" s="668" t="s">
        <v>4114</v>
      </c>
      <c r="F72" s="758">
        <v>25000.0</v>
      </c>
      <c r="G72" s="413">
        <v>0.0</v>
      </c>
      <c r="H72" s="349" t="s">
        <v>5731</v>
      </c>
      <c r="I72" s="736" t="str">
        <f t="shared" si="2"/>
        <v>NOT PAID</v>
      </c>
      <c r="J72" s="402"/>
      <c r="K72" s="402"/>
      <c r="L72" s="402"/>
      <c r="M72" s="402"/>
      <c r="N72" s="402"/>
      <c r="O72" s="402"/>
      <c r="P72" s="402"/>
      <c r="Q72" s="402"/>
      <c r="R72" s="402"/>
      <c r="S72" s="402"/>
      <c r="T72" s="402"/>
      <c r="U72" s="402"/>
      <c r="V72" s="402"/>
      <c r="W72" s="402"/>
      <c r="X72" s="402"/>
      <c r="Y72" s="402"/>
      <c r="Z72" s="402"/>
    </row>
    <row r="73" ht="14.25" customHeight="1">
      <c r="A73" s="406">
        <v>45496.0</v>
      </c>
      <c r="B73" s="755" t="s">
        <v>5685</v>
      </c>
      <c r="C73" s="755" t="s">
        <v>5686</v>
      </c>
      <c r="D73" s="668" t="s">
        <v>54</v>
      </c>
      <c r="E73" s="679" t="s">
        <v>2165</v>
      </c>
      <c r="F73" s="760">
        <v>200000.0</v>
      </c>
      <c r="G73" s="413">
        <v>0.0</v>
      </c>
      <c r="H73" s="349" t="s">
        <v>5732</v>
      </c>
      <c r="I73" s="736" t="str">
        <f t="shared" si="2"/>
        <v>NOT PAID</v>
      </c>
      <c r="J73" s="402"/>
      <c r="K73" s="402"/>
      <c r="L73" s="402"/>
      <c r="M73" s="402"/>
      <c r="N73" s="402"/>
      <c r="O73" s="402"/>
      <c r="P73" s="402"/>
      <c r="Q73" s="402"/>
      <c r="R73" s="402"/>
      <c r="S73" s="402"/>
      <c r="T73" s="402"/>
      <c r="U73" s="402"/>
      <c r="V73" s="402"/>
      <c r="W73" s="402"/>
      <c r="X73" s="402"/>
      <c r="Y73" s="402"/>
      <c r="Z73" s="402"/>
    </row>
    <row r="74" ht="14.25" customHeight="1">
      <c r="A74" s="406">
        <v>45496.0</v>
      </c>
      <c r="B74" s="436" t="s">
        <v>5690</v>
      </c>
      <c r="C74" s="436" t="s">
        <v>5691</v>
      </c>
      <c r="D74" s="668" t="s">
        <v>54</v>
      </c>
      <c r="E74" s="679" t="s">
        <v>2165</v>
      </c>
      <c r="F74" s="760">
        <v>250000.0</v>
      </c>
      <c r="G74" s="413">
        <v>261134.0</v>
      </c>
      <c r="H74" s="349" t="s">
        <v>267</v>
      </c>
      <c r="I74" s="736"/>
      <c r="J74" s="402"/>
      <c r="K74" s="402"/>
      <c r="L74" s="402"/>
      <c r="M74" s="402"/>
      <c r="N74" s="402"/>
      <c r="O74" s="402"/>
      <c r="P74" s="402"/>
      <c r="Q74" s="402"/>
      <c r="R74" s="402"/>
      <c r="S74" s="402"/>
      <c r="T74" s="402"/>
      <c r="U74" s="402"/>
      <c r="V74" s="402"/>
      <c r="W74" s="402"/>
      <c r="X74" s="402"/>
      <c r="Y74" s="402"/>
      <c r="Z74" s="402"/>
    </row>
    <row r="75" ht="14.25" customHeight="1">
      <c r="A75" s="406">
        <v>45496.0</v>
      </c>
      <c r="B75" s="402"/>
      <c r="C75" s="402"/>
      <c r="D75" s="1034"/>
      <c r="E75" s="403"/>
      <c r="F75" s="403"/>
      <c r="G75" s="403"/>
      <c r="H75" s="402"/>
      <c r="I75" s="736"/>
      <c r="J75" s="402"/>
      <c r="K75" s="402"/>
      <c r="L75" s="402"/>
      <c r="M75" s="402"/>
      <c r="N75" s="402"/>
      <c r="O75" s="402"/>
      <c r="P75" s="402"/>
      <c r="Q75" s="402"/>
      <c r="R75" s="402"/>
      <c r="S75" s="402"/>
      <c r="T75" s="402"/>
      <c r="U75" s="402"/>
      <c r="V75" s="402"/>
      <c r="W75" s="402"/>
      <c r="X75" s="402"/>
      <c r="Y75" s="402"/>
      <c r="Z75" s="402"/>
    </row>
    <row r="76" ht="14.25" customHeight="1">
      <c r="A76" s="402"/>
      <c r="B76" s="402"/>
      <c r="C76" s="402"/>
      <c r="D76" s="1034"/>
      <c r="E76" s="403"/>
      <c r="F76" s="403"/>
      <c r="G76" s="403"/>
      <c r="H76" s="402"/>
      <c r="I76" s="736"/>
      <c r="J76" s="402"/>
      <c r="K76" s="402"/>
      <c r="L76" s="402"/>
      <c r="M76" s="402"/>
      <c r="N76" s="402"/>
      <c r="O76" s="402"/>
      <c r="P76" s="402"/>
      <c r="Q76" s="402"/>
      <c r="R76" s="402"/>
      <c r="S76" s="402"/>
      <c r="T76" s="402"/>
      <c r="U76" s="402"/>
      <c r="V76" s="402"/>
      <c r="W76" s="402"/>
      <c r="X76" s="402"/>
      <c r="Y76" s="402"/>
      <c r="Z76" s="402"/>
    </row>
    <row r="77" ht="14.25" customHeight="1">
      <c r="A77" s="406">
        <v>45496.0</v>
      </c>
      <c r="B77" s="602" t="s">
        <v>5733</v>
      </c>
      <c r="C77" s="602" t="s">
        <v>5734</v>
      </c>
      <c r="D77" s="1032" t="s">
        <v>893</v>
      </c>
      <c r="E77" s="413" t="s">
        <v>2172</v>
      </c>
      <c r="F77" s="413">
        <v>280000.0</v>
      </c>
      <c r="G77" s="413">
        <v>0.0</v>
      </c>
      <c r="H77" s="402"/>
      <c r="I77" s="736" t="str">
        <f>IF(G77&gt;=F77,"FULLY PAID",IF(G77=0,"NOT PAID","PARTIALLY PAID"))</f>
        <v>NOT PAID</v>
      </c>
      <c r="J77" s="402"/>
      <c r="K77" s="402"/>
      <c r="L77" s="402"/>
      <c r="M77" s="402"/>
      <c r="N77" s="402"/>
      <c r="O77" s="402"/>
      <c r="P77" s="402"/>
      <c r="Q77" s="402"/>
      <c r="R77" s="402"/>
      <c r="S77" s="402"/>
      <c r="T77" s="402"/>
      <c r="U77" s="402"/>
      <c r="V77" s="402"/>
      <c r="W77" s="402"/>
      <c r="X77" s="402"/>
      <c r="Y77" s="402"/>
      <c r="Z77" s="402"/>
    </row>
    <row r="78" ht="14.25" customHeight="1">
      <c r="A78" s="402"/>
      <c r="B78" s="402"/>
      <c r="C78" s="402"/>
      <c r="D78" s="1034"/>
      <c r="E78" s="403"/>
      <c r="F78" s="403"/>
      <c r="G78" s="403"/>
      <c r="H78" s="402"/>
      <c r="I78" s="736"/>
      <c r="J78" s="402"/>
      <c r="K78" s="402"/>
      <c r="L78" s="402"/>
      <c r="M78" s="402"/>
      <c r="N78" s="402"/>
      <c r="O78" s="402"/>
      <c r="P78" s="402"/>
      <c r="Q78" s="402"/>
      <c r="R78" s="402"/>
      <c r="S78" s="402"/>
      <c r="T78" s="402"/>
      <c r="U78" s="402"/>
      <c r="V78" s="402"/>
      <c r="W78" s="402"/>
      <c r="X78" s="402"/>
      <c r="Y78" s="402"/>
      <c r="Z78" s="402"/>
    </row>
    <row r="79" ht="14.25" customHeight="1">
      <c r="A79" s="402"/>
      <c r="B79" s="402"/>
      <c r="C79" s="402"/>
      <c r="D79" s="1034"/>
      <c r="E79" s="403"/>
      <c r="F79" s="403"/>
      <c r="G79" s="403"/>
      <c r="H79" s="402"/>
      <c r="I79" s="736"/>
      <c r="J79" s="402"/>
      <c r="K79" s="402"/>
      <c r="L79" s="402"/>
      <c r="M79" s="402"/>
      <c r="N79" s="402"/>
      <c r="O79" s="402"/>
      <c r="P79" s="402"/>
      <c r="Q79" s="402"/>
      <c r="R79" s="402"/>
      <c r="S79" s="402"/>
      <c r="T79" s="402"/>
      <c r="U79" s="402"/>
      <c r="V79" s="402"/>
      <c r="W79" s="402"/>
      <c r="X79" s="402"/>
      <c r="Y79" s="402"/>
      <c r="Z79" s="402"/>
    </row>
    <row r="80" ht="14.25" customHeight="1">
      <c r="A80" s="406">
        <v>45497.0</v>
      </c>
      <c r="B80" s="349" t="s">
        <v>5735</v>
      </c>
      <c r="C80" s="349" t="s">
        <v>5736</v>
      </c>
      <c r="D80" s="1032" t="s">
        <v>54</v>
      </c>
      <c r="E80" s="413" t="s">
        <v>5737</v>
      </c>
      <c r="F80" s="413">
        <v>22144.05</v>
      </c>
      <c r="G80" s="413">
        <v>0.0</v>
      </c>
      <c r="H80" s="349" t="s">
        <v>5738</v>
      </c>
      <c r="I80" s="736" t="str">
        <f t="shared" ref="I80:I120" si="3">IF(G80&gt;=F80,"FULLY PAID",IF(G80=0,"NOT PAID","PARTIALLY PAID"))</f>
        <v>NOT PAID</v>
      </c>
      <c r="J80" s="402"/>
      <c r="K80" s="402"/>
      <c r="L80" s="402"/>
      <c r="M80" s="402"/>
      <c r="N80" s="402"/>
      <c r="O80" s="402"/>
      <c r="P80" s="402"/>
      <c r="Q80" s="402"/>
      <c r="R80" s="402"/>
      <c r="S80" s="402"/>
      <c r="T80" s="402"/>
      <c r="U80" s="402"/>
      <c r="V80" s="402"/>
      <c r="W80" s="402"/>
      <c r="X80" s="402"/>
      <c r="Y80" s="402"/>
      <c r="Z80" s="402"/>
    </row>
    <row r="81" ht="14.25" customHeight="1">
      <c r="A81" s="406">
        <v>45497.0</v>
      </c>
      <c r="B81" s="349" t="s">
        <v>5739</v>
      </c>
      <c r="C81" s="349" t="s">
        <v>5740</v>
      </c>
      <c r="D81" s="1032" t="s">
        <v>54</v>
      </c>
      <c r="E81" s="413" t="s">
        <v>5737</v>
      </c>
      <c r="F81" s="413">
        <v>26061.46</v>
      </c>
      <c r="G81" s="413">
        <v>0.0</v>
      </c>
      <c r="H81" s="349" t="s">
        <v>5741</v>
      </c>
      <c r="I81" s="736" t="str">
        <f t="shared" si="3"/>
        <v>NOT PAID</v>
      </c>
      <c r="J81" s="402"/>
      <c r="K81" s="402"/>
      <c r="L81" s="402"/>
      <c r="M81" s="402"/>
      <c r="N81" s="402"/>
      <c r="O81" s="402"/>
      <c r="P81" s="402"/>
      <c r="Q81" s="402"/>
      <c r="R81" s="402"/>
      <c r="S81" s="402"/>
      <c r="T81" s="402"/>
      <c r="U81" s="402"/>
      <c r="V81" s="402"/>
      <c r="W81" s="402"/>
      <c r="X81" s="402"/>
      <c r="Y81" s="402"/>
      <c r="Z81" s="402"/>
    </row>
    <row r="82" ht="14.25" customHeight="1">
      <c r="A82" s="406">
        <v>45497.0</v>
      </c>
      <c r="B82" s="349" t="s">
        <v>5742</v>
      </c>
      <c r="C82" s="349" t="s">
        <v>5743</v>
      </c>
      <c r="D82" s="1032" t="s">
        <v>54</v>
      </c>
      <c r="E82" s="413" t="s">
        <v>5744</v>
      </c>
      <c r="F82" s="413">
        <v>30889.3</v>
      </c>
      <c r="G82" s="413">
        <v>0.0</v>
      </c>
      <c r="H82" s="349" t="s">
        <v>5745</v>
      </c>
      <c r="I82" s="736" t="str">
        <f t="shared" si="3"/>
        <v>NOT PAID</v>
      </c>
      <c r="J82" s="402"/>
      <c r="K82" s="402"/>
      <c r="L82" s="402"/>
      <c r="M82" s="402"/>
      <c r="N82" s="402"/>
      <c r="O82" s="402"/>
      <c r="P82" s="402"/>
      <c r="Q82" s="402"/>
      <c r="R82" s="402"/>
      <c r="S82" s="402"/>
      <c r="T82" s="402"/>
      <c r="U82" s="402"/>
      <c r="V82" s="402"/>
      <c r="W82" s="402"/>
      <c r="X82" s="402"/>
      <c r="Y82" s="402"/>
      <c r="Z82" s="402"/>
    </row>
    <row r="83" ht="14.25" customHeight="1">
      <c r="A83" s="406">
        <v>45497.0</v>
      </c>
      <c r="B83" s="349" t="s">
        <v>5746</v>
      </c>
      <c r="C83" s="349" t="s">
        <v>5747</v>
      </c>
      <c r="D83" s="1032" t="s">
        <v>54</v>
      </c>
      <c r="E83" s="403"/>
      <c r="F83" s="413">
        <v>7967.0</v>
      </c>
      <c r="G83" s="413">
        <v>0.0</v>
      </c>
      <c r="H83" s="349" t="s">
        <v>5748</v>
      </c>
      <c r="I83" s="736" t="str">
        <f t="shared" si="3"/>
        <v>NOT PAID</v>
      </c>
      <c r="J83" s="402"/>
      <c r="K83" s="402"/>
      <c r="L83" s="402"/>
      <c r="M83" s="402"/>
      <c r="N83" s="402"/>
      <c r="O83" s="402"/>
      <c r="P83" s="402"/>
      <c r="Q83" s="402"/>
      <c r="R83" s="402"/>
      <c r="S83" s="402"/>
      <c r="T83" s="402"/>
      <c r="U83" s="402"/>
      <c r="V83" s="402"/>
      <c r="W83" s="402"/>
      <c r="X83" s="402"/>
      <c r="Y83" s="402"/>
      <c r="Z83" s="402"/>
    </row>
    <row r="84" ht="14.25" customHeight="1">
      <c r="A84" s="406">
        <v>45497.0</v>
      </c>
      <c r="B84" s="349" t="s">
        <v>5749</v>
      </c>
      <c r="C84" s="349" t="s">
        <v>5750</v>
      </c>
      <c r="D84" s="1032" t="s">
        <v>54</v>
      </c>
      <c r="E84" s="413" t="s">
        <v>5737</v>
      </c>
      <c r="F84" s="413">
        <v>6749.0</v>
      </c>
      <c r="G84" s="413">
        <v>0.0</v>
      </c>
      <c r="H84" s="349" t="s">
        <v>5751</v>
      </c>
      <c r="I84" s="736" t="str">
        <f t="shared" si="3"/>
        <v>NOT PAID</v>
      </c>
      <c r="J84" s="402"/>
      <c r="K84" s="402"/>
      <c r="L84" s="402"/>
      <c r="M84" s="402"/>
      <c r="N84" s="402"/>
      <c r="O84" s="402"/>
      <c r="P84" s="402"/>
      <c r="Q84" s="402"/>
      <c r="R84" s="402"/>
      <c r="S84" s="402"/>
      <c r="T84" s="402"/>
      <c r="U84" s="402"/>
      <c r="V84" s="402"/>
      <c r="W84" s="402"/>
      <c r="X84" s="402"/>
      <c r="Y84" s="402"/>
      <c r="Z84" s="402"/>
    </row>
    <row r="85" ht="14.25" customHeight="1">
      <c r="A85" s="406">
        <v>45497.0</v>
      </c>
      <c r="B85" s="349" t="s">
        <v>5692</v>
      </c>
      <c r="C85" s="349" t="s">
        <v>5693</v>
      </c>
      <c r="D85" s="1032" t="s">
        <v>54</v>
      </c>
      <c r="E85" s="413" t="s">
        <v>5737</v>
      </c>
      <c r="F85" s="413">
        <v>14332.46</v>
      </c>
      <c r="G85" s="413">
        <v>0.0</v>
      </c>
      <c r="H85" s="349" t="s">
        <v>5751</v>
      </c>
      <c r="I85" s="736" t="str">
        <f t="shared" si="3"/>
        <v>NOT PAID</v>
      </c>
      <c r="J85" s="402"/>
      <c r="K85" s="402"/>
      <c r="L85" s="402"/>
      <c r="M85" s="402"/>
      <c r="N85" s="402"/>
      <c r="O85" s="402"/>
      <c r="P85" s="402"/>
      <c r="Q85" s="402"/>
      <c r="R85" s="402"/>
      <c r="S85" s="402"/>
      <c r="T85" s="402"/>
      <c r="U85" s="402"/>
      <c r="V85" s="402"/>
      <c r="W85" s="402"/>
      <c r="X85" s="402"/>
      <c r="Y85" s="402"/>
      <c r="Z85" s="402"/>
    </row>
    <row r="86" ht="14.25" customHeight="1">
      <c r="A86" s="406">
        <v>45497.0</v>
      </c>
      <c r="B86" s="349" t="s">
        <v>5695</v>
      </c>
      <c r="C86" s="349" t="s">
        <v>5696</v>
      </c>
      <c r="D86" s="1032" t="s">
        <v>54</v>
      </c>
      <c r="E86" s="413" t="s">
        <v>5737</v>
      </c>
      <c r="F86" s="413">
        <v>43001.1</v>
      </c>
      <c r="G86" s="413">
        <v>0.0</v>
      </c>
      <c r="H86" s="349" t="s">
        <v>5751</v>
      </c>
      <c r="I86" s="736" t="str">
        <f t="shared" si="3"/>
        <v>NOT PAID</v>
      </c>
      <c r="J86" s="402"/>
      <c r="K86" s="402"/>
      <c r="L86" s="402"/>
      <c r="M86" s="402"/>
      <c r="N86" s="402"/>
      <c r="O86" s="402"/>
      <c r="P86" s="402"/>
      <c r="Q86" s="402"/>
      <c r="R86" s="402"/>
      <c r="S86" s="402"/>
      <c r="T86" s="402"/>
      <c r="U86" s="402"/>
      <c r="V86" s="402"/>
      <c r="W86" s="402"/>
      <c r="X86" s="402"/>
      <c r="Y86" s="402"/>
      <c r="Z86" s="402"/>
    </row>
    <row r="87" ht="14.25" customHeight="1">
      <c r="A87" s="406">
        <v>45497.0</v>
      </c>
      <c r="B87" s="349" t="s">
        <v>5697</v>
      </c>
      <c r="C87" s="349" t="s">
        <v>5698</v>
      </c>
      <c r="D87" s="1032" t="s">
        <v>54</v>
      </c>
      <c r="E87" s="413" t="s">
        <v>5744</v>
      </c>
      <c r="F87" s="413">
        <v>27008.48</v>
      </c>
      <c r="G87" s="413">
        <v>0.0</v>
      </c>
      <c r="H87" s="349" t="s">
        <v>149</v>
      </c>
      <c r="I87" s="736" t="str">
        <f t="shared" si="3"/>
        <v>NOT PAID</v>
      </c>
      <c r="J87" s="402"/>
      <c r="K87" s="402"/>
      <c r="L87" s="402"/>
      <c r="M87" s="402"/>
      <c r="N87" s="402"/>
      <c r="O87" s="402"/>
      <c r="P87" s="402"/>
      <c r="Q87" s="402"/>
      <c r="R87" s="402"/>
      <c r="S87" s="402"/>
      <c r="T87" s="402"/>
      <c r="U87" s="402"/>
      <c r="V87" s="402"/>
      <c r="W87" s="402"/>
      <c r="X87" s="402"/>
      <c r="Y87" s="402"/>
      <c r="Z87" s="402"/>
    </row>
    <row r="88" ht="14.25" customHeight="1">
      <c r="A88" s="406">
        <v>45497.0</v>
      </c>
      <c r="B88" s="349" t="s">
        <v>5700</v>
      </c>
      <c r="C88" s="349" t="s">
        <v>5701</v>
      </c>
      <c r="D88" s="1032" t="s">
        <v>54</v>
      </c>
      <c r="E88" s="413" t="s">
        <v>5744</v>
      </c>
      <c r="F88" s="413">
        <v>71022.92</v>
      </c>
      <c r="G88" s="413">
        <v>0.0</v>
      </c>
      <c r="H88" s="349" t="s">
        <v>56</v>
      </c>
      <c r="I88" s="736" t="str">
        <f t="shared" si="3"/>
        <v>NOT PAID</v>
      </c>
      <c r="J88" s="402"/>
      <c r="K88" s="402"/>
      <c r="L88" s="402"/>
      <c r="M88" s="402"/>
      <c r="N88" s="402"/>
      <c r="O88" s="402"/>
      <c r="P88" s="402"/>
      <c r="Q88" s="402"/>
      <c r="R88" s="402"/>
      <c r="S88" s="402"/>
      <c r="T88" s="402"/>
      <c r="U88" s="402"/>
      <c r="V88" s="402"/>
      <c r="W88" s="402"/>
      <c r="X88" s="402"/>
      <c r="Y88" s="402"/>
      <c r="Z88" s="402"/>
    </row>
    <row r="89" ht="14.25" customHeight="1">
      <c r="A89" s="406">
        <v>45497.0</v>
      </c>
      <c r="B89" s="349" t="s">
        <v>5702</v>
      </c>
      <c r="C89" s="349" t="s">
        <v>5703</v>
      </c>
      <c r="D89" s="1032" t="s">
        <v>54</v>
      </c>
      <c r="E89" s="413" t="s">
        <v>5737</v>
      </c>
      <c r="F89" s="413">
        <v>35260.67</v>
      </c>
      <c r="G89" s="413">
        <v>0.0</v>
      </c>
      <c r="H89" s="349" t="s">
        <v>5752</v>
      </c>
      <c r="I89" s="736" t="str">
        <f t="shared" si="3"/>
        <v>NOT PAID</v>
      </c>
      <c r="J89" s="402"/>
      <c r="K89" s="402"/>
      <c r="L89" s="402"/>
      <c r="M89" s="402"/>
      <c r="N89" s="402"/>
      <c r="O89" s="402"/>
      <c r="P89" s="402"/>
      <c r="Q89" s="402"/>
      <c r="R89" s="402"/>
      <c r="S89" s="402"/>
      <c r="T89" s="402"/>
      <c r="U89" s="402"/>
      <c r="V89" s="402"/>
      <c r="W89" s="402"/>
      <c r="X89" s="402"/>
      <c r="Y89" s="402"/>
      <c r="Z89" s="402"/>
    </row>
    <row r="90" ht="14.25" customHeight="1">
      <c r="A90" s="406">
        <v>45497.0</v>
      </c>
      <c r="B90" s="349" t="s">
        <v>5707</v>
      </c>
      <c r="C90" s="349" t="s">
        <v>5717</v>
      </c>
      <c r="D90" s="1032" t="s">
        <v>54</v>
      </c>
      <c r="E90" s="413" t="s">
        <v>5753</v>
      </c>
      <c r="F90" s="413">
        <v>10742.5</v>
      </c>
      <c r="G90" s="413">
        <v>0.0</v>
      </c>
      <c r="H90" s="349" t="s">
        <v>5754</v>
      </c>
      <c r="I90" s="736" t="str">
        <f t="shared" si="3"/>
        <v>NOT PAID</v>
      </c>
      <c r="J90" s="402"/>
      <c r="K90" s="402"/>
      <c r="L90" s="402"/>
      <c r="M90" s="402"/>
      <c r="N90" s="402"/>
      <c r="O90" s="402"/>
      <c r="P90" s="402"/>
      <c r="Q90" s="402"/>
      <c r="R90" s="402"/>
      <c r="S90" s="402"/>
      <c r="T90" s="402"/>
      <c r="U90" s="402"/>
      <c r="V90" s="402"/>
      <c r="W90" s="402"/>
      <c r="X90" s="402"/>
      <c r="Y90" s="402"/>
      <c r="Z90" s="402"/>
    </row>
    <row r="91" ht="14.25" customHeight="1">
      <c r="A91" s="406">
        <v>45497.0</v>
      </c>
      <c r="B91" s="349" t="s">
        <v>5716</v>
      </c>
      <c r="C91" s="349" t="s">
        <v>5619</v>
      </c>
      <c r="D91" s="1032" t="s">
        <v>54</v>
      </c>
      <c r="E91" s="413" t="s">
        <v>5753</v>
      </c>
      <c r="F91" s="413">
        <v>84879.37</v>
      </c>
      <c r="G91" s="413">
        <v>0.0</v>
      </c>
      <c r="H91" s="349" t="s">
        <v>56</v>
      </c>
      <c r="I91" s="736" t="str">
        <f t="shared" si="3"/>
        <v>NOT PAID</v>
      </c>
      <c r="J91" s="402"/>
      <c r="K91" s="402"/>
      <c r="L91" s="402"/>
      <c r="M91" s="402"/>
      <c r="N91" s="402"/>
      <c r="O91" s="402"/>
      <c r="P91" s="402"/>
      <c r="Q91" s="402"/>
      <c r="R91" s="402"/>
      <c r="S91" s="402"/>
      <c r="T91" s="402"/>
      <c r="U91" s="402"/>
      <c r="V91" s="402"/>
      <c r="W91" s="402"/>
      <c r="X91" s="402"/>
      <c r="Y91" s="402"/>
      <c r="Z91" s="402"/>
    </row>
    <row r="92" ht="14.25" customHeight="1">
      <c r="A92" s="406">
        <v>45497.0</v>
      </c>
      <c r="B92" s="349" t="s">
        <v>5618</v>
      </c>
      <c r="C92" s="349" t="s">
        <v>5622</v>
      </c>
      <c r="D92" s="1032" t="s">
        <v>54</v>
      </c>
      <c r="E92" s="413" t="s">
        <v>5753</v>
      </c>
      <c r="F92" s="413">
        <v>11174.97</v>
      </c>
      <c r="G92" s="413">
        <v>0.0</v>
      </c>
      <c r="H92" s="349" t="s">
        <v>56</v>
      </c>
      <c r="I92" s="736" t="str">
        <f t="shared" si="3"/>
        <v>NOT PAID</v>
      </c>
      <c r="J92" s="402"/>
      <c r="K92" s="402"/>
      <c r="L92" s="402"/>
      <c r="M92" s="402"/>
      <c r="N92" s="402"/>
      <c r="O92" s="402"/>
      <c r="P92" s="402"/>
      <c r="Q92" s="402"/>
      <c r="R92" s="402"/>
      <c r="S92" s="402"/>
      <c r="T92" s="402"/>
      <c r="U92" s="402"/>
      <c r="V92" s="402"/>
      <c r="W92" s="402"/>
      <c r="X92" s="402"/>
      <c r="Y92" s="402"/>
      <c r="Z92" s="402"/>
    </row>
    <row r="93" ht="14.25" customHeight="1">
      <c r="A93" s="406">
        <v>45497.0</v>
      </c>
      <c r="B93" s="349" t="s">
        <v>5626</v>
      </c>
      <c r="C93" s="349" t="s">
        <v>5629</v>
      </c>
      <c r="D93" s="1032" t="s">
        <v>54</v>
      </c>
      <c r="E93" s="413" t="s">
        <v>5753</v>
      </c>
      <c r="F93" s="413">
        <v>53381.75</v>
      </c>
      <c r="G93" s="413">
        <v>0.0</v>
      </c>
      <c r="H93" s="349" t="s">
        <v>2423</v>
      </c>
      <c r="I93" s="736" t="str">
        <f t="shared" si="3"/>
        <v>NOT PAID</v>
      </c>
      <c r="J93" s="402"/>
      <c r="K93" s="402"/>
      <c r="L93" s="402"/>
      <c r="M93" s="402"/>
      <c r="N93" s="402"/>
      <c r="O93" s="402"/>
      <c r="P93" s="402"/>
      <c r="Q93" s="402"/>
      <c r="R93" s="402"/>
      <c r="S93" s="402"/>
      <c r="T93" s="402"/>
      <c r="U93" s="402"/>
      <c r="V93" s="402"/>
      <c r="W93" s="402"/>
      <c r="X93" s="402"/>
      <c r="Y93" s="402"/>
      <c r="Z93" s="402"/>
    </row>
    <row r="94" ht="14.25" customHeight="1">
      <c r="A94" s="406">
        <v>45497.0</v>
      </c>
      <c r="B94" s="349" t="s">
        <v>5634</v>
      </c>
      <c r="C94" s="349" t="s">
        <v>5627</v>
      </c>
      <c r="D94" s="1032" t="s">
        <v>467</v>
      </c>
      <c r="E94" s="413" t="s">
        <v>5744</v>
      </c>
      <c r="F94" s="413">
        <v>12153.35</v>
      </c>
      <c r="G94" s="413">
        <v>0.0</v>
      </c>
      <c r="H94" s="349" t="s">
        <v>3500</v>
      </c>
      <c r="I94" s="736" t="str">
        <f t="shared" si="3"/>
        <v>NOT PAID</v>
      </c>
      <c r="J94" s="402"/>
      <c r="K94" s="402"/>
      <c r="L94" s="402"/>
      <c r="M94" s="402"/>
      <c r="N94" s="402"/>
      <c r="O94" s="402"/>
      <c r="P94" s="402"/>
      <c r="Q94" s="402"/>
      <c r="R94" s="402"/>
      <c r="S94" s="402"/>
      <c r="T94" s="402"/>
      <c r="U94" s="402"/>
      <c r="V94" s="402"/>
      <c r="W94" s="402"/>
      <c r="X94" s="402"/>
      <c r="Y94" s="402"/>
      <c r="Z94" s="402"/>
    </row>
    <row r="95" ht="14.25" customHeight="1">
      <c r="A95" s="406">
        <v>45497.0</v>
      </c>
      <c r="B95" s="349" t="s">
        <v>5642</v>
      </c>
      <c r="C95" s="349" t="s">
        <v>5646</v>
      </c>
      <c r="D95" s="1032" t="s">
        <v>54</v>
      </c>
      <c r="E95" s="413" t="s">
        <v>5753</v>
      </c>
      <c r="F95" s="413">
        <v>34525.04</v>
      </c>
      <c r="G95" s="413">
        <v>0.0</v>
      </c>
      <c r="H95" s="349" t="s">
        <v>56</v>
      </c>
      <c r="I95" s="736" t="str">
        <f t="shared" si="3"/>
        <v>NOT PAID</v>
      </c>
      <c r="J95" s="402"/>
      <c r="K95" s="402"/>
      <c r="L95" s="402"/>
      <c r="M95" s="402"/>
      <c r="N95" s="402"/>
      <c r="O95" s="402"/>
      <c r="P95" s="402"/>
      <c r="Q95" s="402"/>
      <c r="R95" s="402"/>
      <c r="S95" s="402"/>
      <c r="T95" s="402"/>
      <c r="U95" s="402"/>
      <c r="V95" s="402"/>
      <c r="W95" s="402"/>
      <c r="X95" s="402"/>
      <c r="Y95" s="402"/>
      <c r="Z95" s="402"/>
    </row>
    <row r="96" ht="14.25" customHeight="1">
      <c r="A96" s="406">
        <v>45497.0</v>
      </c>
      <c r="B96" s="349" t="s">
        <v>5645</v>
      </c>
      <c r="C96" s="349" t="s">
        <v>5648</v>
      </c>
      <c r="D96" s="1032" t="s">
        <v>54</v>
      </c>
      <c r="E96" s="413" t="s">
        <v>5744</v>
      </c>
      <c r="F96" s="413">
        <v>24563.37</v>
      </c>
      <c r="G96" s="413">
        <v>0.0</v>
      </c>
      <c r="H96" s="349" t="s">
        <v>61</v>
      </c>
      <c r="I96" s="736" t="str">
        <f t="shared" si="3"/>
        <v>NOT PAID</v>
      </c>
      <c r="J96" s="402"/>
      <c r="K96" s="402"/>
      <c r="L96" s="402"/>
      <c r="M96" s="402"/>
      <c r="N96" s="402"/>
      <c r="O96" s="402"/>
      <c r="P96" s="402"/>
      <c r="Q96" s="402"/>
      <c r="R96" s="402"/>
      <c r="S96" s="402"/>
      <c r="T96" s="402"/>
      <c r="U96" s="402"/>
      <c r="V96" s="402"/>
      <c r="W96" s="402"/>
      <c r="X96" s="402"/>
      <c r="Y96" s="402"/>
      <c r="Z96" s="402"/>
    </row>
    <row r="97" ht="14.25" customHeight="1">
      <c r="A97" s="406">
        <v>45497.0</v>
      </c>
      <c r="B97" s="349" t="s">
        <v>5647</v>
      </c>
      <c r="C97" s="349" t="s">
        <v>5650</v>
      </c>
      <c r="D97" s="1032" t="s">
        <v>54</v>
      </c>
      <c r="E97" s="413" t="s">
        <v>5623</v>
      </c>
      <c r="F97" s="413">
        <v>58619.15</v>
      </c>
      <c r="G97" s="413">
        <v>0.0</v>
      </c>
      <c r="H97" s="349" t="s">
        <v>56</v>
      </c>
      <c r="I97" s="736" t="str">
        <f t="shared" si="3"/>
        <v>NOT PAID</v>
      </c>
      <c r="J97" s="402"/>
      <c r="K97" s="402"/>
      <c r="L97" s="402"/>
      <c r="M97" s="402"/>
      <c r="N97" s="402"/>
      <c r="O97" s="402"/>
      <c r="P97" s="402"/>
      <c r="Q97" s="402"/>
      <c r="R97" s="402"/>
      <c r="S97" s="402"/>
      <c r="T97" s="402"/>
      <c r="U97" s="402"/>
      <c r="V97" s="402"/>
      <c r="W97" s="402"/>
      <c r="X97" s="402"/>
      <c r="Y97" s="402"/>
      <c r="Z97" s="402"/>
    </row>
    <row r="98" ht="14.25" customHeight="1">
      <c r="A98" s="406">
        <v>45497.0</v>
      </c>
      <c r="B98" s="349" t="s">
        <v>5656</v>
      </c>
      <c r="C98" s="349" t="s">
        <v>5659</v>
      </c>
      <c r="D98" s="1032" t="s">
        <v>54</v>
      </c>
      <c r="E98" s="413" t="s">
        <v>5623</v>
      </c>
      <c r="F98" s="413">
        <v>99627.16</v>
      </c>
      <c r="G98" s="413">
        <v>0.0</v>
      </c>
      <c r="H98" s="349" t="s">
        <v>61</v>
      </c>
      <c r="I98" s="736" t="str">
        <f t="shared" si="3"/>
        <v>NOT PAID</v>
      </c>
      <c r="J98" s="402"/>
      <c r="K98" s="402"/>
      <c r="L98" s="402"/>
      <c r="M98" s="402"/>
      <c r="N98" s="402"/>
      <c r="O98" s="402"/>
      <c r="P98" s="402"/>
      <c r="Q98" s="402"/>
      <c r="R98" s="402"/>
      <c r="S98" s="402"/>
      <c r="T98" s="402"/>
      <c r="U98" s="402"/>
      <c r="V98" s="402"/>
      <c r="W98" s="402"/>
      <c r="X98" s="402"/>
      <c r="Y98" s="402"/>
      <c r="Z98" s="402"/>
    </row>
    <row r="99" ht="14.25" customHeight="1">
      <c r="A99" s="406">
        <v>45497.0</v>
      </c>
      <c r="B99" s="349" t="s">
        <v>5658</v>
      </c>
      <c r="C99" s="349" t="s">
        <v>5663</v>
      </c>
      <c r="D99" s="1032" t="s">
        <v>54</v>
      </c>
      <c r="E99" s="403"/>
      <c r="F99" s="413">
        <v>39600.0</v>
      </c>
      <c r="G99" s="413">
        <v>0.0</v>
      </c>
      <c r="H99" s="349" t="s">
        <v>61</v>
      </c>
      <c r="I99" s="736" t="str">
        <f t="shared" si="3"/>
        <v>NOT PAID</v>
      </c>
      <c r="J99" s="402"/>
      <c r="K99" s="402"/>
      <c r="L99" s="402"/>
      <c r="M99" s="402"/>
      <c r="N99" s="402"/>
      <c r="O99" s="402"/>
      <c r="P99" s="402"/>
      <c r="Q99" s="402"/>
      <c r="R99" s="402"/>
      <c r="S99" s="402"/>
      <c r="T99" s="402"/>
      <c r="U99" s="402"/>
      <c r="V99" s="402"/>
      <c r="W99" s="402"/>
      <c r="X99" s="402"/>
      <c r="Y99" s="402"/>
      <c r="Z99" s="402"/>
    </row>
    <row r="100" ht="14.25" customHeight="1">
      <c r="A100" s="406">
        <v>45497.0</v>
      </c>
      <c r="B100" s="349" t="s">
        <v>5664</v>
      </c>
      <c r="C100" s="349" t="s">
        <v>5668</v>
      </c>
      <c r="D100" s="1032" t="s">
        <v>54</v>
      </c>
      <c r="E100" s="403"/>
      <c r="F100" s="413">
        <v>9552.0</v>
      </c>
      <c r="G100" s="413">
        <v>0.0</v>
      </c>
      <c r="H100" s="349" t="s">
        <v>5755</v>
      </c>
      <c r="I100" s="736" t="str">
        <f t="shared" si="3"/>
        <v>NOT PAID</v>
      </c>
      <c r="J100" s="402"/>
      <c r="K100" s="402"/>
      <c r="L100" s="402"/>
      <c r="M100" s="402"/>
      <c r="N100" s="402"/>
      <c r="O100" s="402"/>
      <c r="P100" s="402"/>
      <c r="Q100" s="402"/>
      <c r="R100" s="402"/>
      <c r="S100" s="402"/>
      <c r="T100" s="402"/>
      <c r="U100" s="402"/>
      <c r="V100" s="402"/>
      <c r="W100" s="402"/>
      <c r="X100" s="402"/>
      <c r="Y100" s="402"/>
      <c r="Z100" s="402"/>
    </row>
    <row r="101" ht="14.25" customHeight="1">
      <c r="A101" s="406">
        <v>45497.0</v>
      </c>
      <c r="B101" s="349" t="s">
        <v>5756</v>
      </c>
      <c r="C101" s="349" t="s">
        <v>5757</v>
      </c>
      <c r="D101" s="1032" t="s">
        <v>668</v>
      </c>
      <c r="E101" s="403"/>
      <c r="F101" s="413">
        <v>1000000.0</v>
      </c>
      <c r="G101" s="413">
        <v>1000000.0</v>
      </c>
      <c r="H101" s="349" t="s">
        <v>149</v>
      </c>
      <c r="I101" s="736" t="str">
        <f t="shared" si="3"/>
        <v>FULLY PAID</v>
      </c>
      <c r="J101" s="402"/>
      <c r="K101" s="402"/>
      <c r="L101" s="402"/>
      <c r="M101" s="402"/>
      <c r="N101" s="402"/>
      <c r="O101" s="402"/>
      <c r="P101" s="402"/>
      <c r="Q101" s="402"/>
      <c r="R101" s="402"/>
      <c r="S101" s="402"/>
      <c r="T101" s="402"/>
      <c r="U101" s="402"/>
      <c r="V101" s="402"/>
      <c r="W101" s="402"/>
      <c r="X101" s="402"/>
      <c r="Y101" s="402"/>
      <c r="Z101" s="402"/>
    </row>
    <row r="102" ht="14.25" customHeight="1">
      <c r="A102" s="406">
        <v>45497.0</v>
      </c>
      <c r="B102" s="349" t="s">
        <v>5658</v>
      </c>
      <c r="C102" s="349" t="s">
        <v>5758</v>
      </c>
      <c r="D102" s="1032" t="s">
        <v>5759</v>
      </c>
      <c r="E102" s="403"/>
      <c r="F102" s="413">
        <v>600000.0</v>
      </c>
      <c r="G102" s="413">
        <v>0.0</v>
      </c>
      <c r="H102" s="349" t="s">
        <v>5760</v>
      </c>
      <c r="I102" s="736" t="str">
        <f t="shared" si="3"/>
        <v>NOT PAID</v>
      </c>
      <c r="J102" s="402"/>
      <c r="K102" s="402"/>
      <c r="L102" s="402"/>
      <c r="M102" s="402"/>
      <c r="N102" s="402"/>
      <c r="O102" s="402"/>
      <c r="P102" s="402"/>
      <c r="Q102" s="402"/>
      <c r="R102" s="402"/>
      <c r="S102" s="402"/>
      <c r="T102" s="402"/>
      <c r="U102" s="402"/>
      <c r="V102" s="402"/>
      <c r="W102" s="402"/>
      <c r="X102" s="402"/>
      <c r="Y102" s="402"/>
      <c r="Z102" s="402"/>
    </row>
    <row r="103" ht="14.25" customHeight="1">
      <c r="A103" s="406">
        <v>45497.0</v>
      </c>
      <c r="B103" s="349" t="s">
        <v>5647</v>
      </c>
      <c r="C103" s="349" t="s">
        <v>5648</v>
      </c>
      <c r="D103" s="1032" t="s">
        <v>54</v>
      </c>
      <c r="E103" s="403"/>
      <c r="F103" s="413">
        <v>24563.37</v>
      </c>
      <c r="G103" s="413">
        <v>0.0</v>
      </c>
      <c r="H103" s="349" t="s">
        <v>5666</v>
      </c>
      <c r="I103" s="736" t="str">
        <f t="shared" si="3"/>
        <v>NOT PAID</v>
      </c>
      <c r="J103" s="402"/>
      <c r="K103" s="402"/>
      <c r="L103" s="402"/>
      <c r="M103" s="402"/>
      <c r="N103" s="402"/>
      <c r="O103" s="402"/>
      <c r="P103" s="402"/>
      <c r="Q103" s="402"/>
      <c r="R103" s="402"/>
      <c r="S103" s="402"/>
      <c r="T103" s="402"/>
      <c r="U103" s="402"/>
      <c r="V103" s="402"/>
      <c r="W103" s="402"/>
      <c r="X103" s="402"/>
      <c r="Y103" s="402"/>
      <c r="Z103" s="402"/>
    </row>
    <row r="104" ht="14.25" customHeight="1">
      <c r="A104" s="406">
        <v>45497.0</v>
      </c>
      <c r="B104" s="349" t="s">
        <v>5649</v>
      </c>
      <c r="C104" s="349" t="s">
        <v>5650</v>
      </c>
      <c r="D104" s="1032" t="s">
        <v>54</v>
      </c>
      <c r="E104" s="413" t="s">
        <v>5623</v>
      </c>
      <c r="F104" s="413">
        <v>61550.11</v>
      </c>
      <c r="G104" s="413">
        <v>125600.0</v>
      </c>
      <c r="H104" s="349" t="s">
        <v>149</v>
      </c>
      <c r="I104" s="736" t="str">
        <f t="shared" si="3"/>
        <v>FULLY PAID</v>
      </c>
      <c r="J104" s="402"/>
      <c r="K104" s="402"/>
      <c r="L104" s="402"/>
      <c r="M104" s="402"/>
      <c r="N104" s="402"/>
      <c r="O104" s="402"/>
      <c r="P104" s="402"/>
      <c r="Q104" s="402"/>
      <c r="R104" s="402"/>
      <c r="S104" s="402"/>
      <c r="T104" s="402"/>
      <c r="U104" s="402"/>
      <c r="V104" s="402"/>
      <c r="W104" s="402"/>
      <c r="X104" s="402"/>
      <c r="Y104" s="402"/>
      <c r="Z104" s="402"/>
    </row>
    <row r="105" ht="14.25" customHeight="1">
      <c r="A105" s="406">
        <v>45497.0</v>
      </c>
      <c r="B105" s="349" t="s">
        <v>5651</v>
      </c>
      <c r="C105" s="349" t="s">
        <v>5652</v>
      </c>
      <c r="D105" s="1032" t="s">
        <v>54</v>
      </c>
      <c r="E105" s="403"/>
      <c r="F105" s="413">
        <v>45265.5</v>
      </c>
      <c r="G105" s="413">
        <v>0.0</v>
      </c>
      <c r="H105" s="349" t="s">
        <v>5761</v>
      </c>
      <c r="I105" s="736" t="str">
        <f t="shared" si="3"/>
        <v>NOT PAID</v>
      </c>
      <c r="J105" s="402"/>
      <c r="K105" s="402"/>
      <c r="L105" s="402"/>
      <c r="M105" s="402"/>
      <c r="N105" s="402"/>
      <c r="O105" s="402"/>
      <c r="P105" s="402"/>
      <c r="Q105" s="402"/>
      <c r="R105" s="402"/>
      <c r="S105" s="402"/>
      <c r="T105" s="402"/>
      <c r="U105" s="402"/>
      <c r="V105" s="402"/>
      <c r="W105" s="402"/>
      <c r="X105" s="402"/>
      <c r="Y105" s="402"/>
      <c r="Z105" s="402"/>
    </row>
    <row r="106" ht="14.25" customHeight="1">
      <c r="A106" s="406">
        <v>45497.0</v>
      </c>
      <c r="B106" s="349" t="s">
        <v>5762</v>
      </c>
      <c r="C106" s="349" t="s">
        <v>5763</v>
      </c>
      <c r="D106" s="1032" t="s">
        <v>54</v>
      </c>
      <c r="E106" s="413" t="s">
        <v>5623</v>
      </c>
      <c r="F106" s="413">
        <v>118580.01</v>
      </c>
      <c r="G106" s="413">
        <v>0.0</v>
      </c>
      <c r="H106" s="349" t="s">
        <v>3500</v>
      </c>
      <c r="I106" s="736" t="str">
        <f t="shared" si="3"/>
        <v>NOT PAID</v>
      </c>
      <c r="J106" s="402"/>
      <c r="K106" s="402"/>
      <c r="L106" s="402"/>
      <c r="M106" s="402"/>
      <c r="N106" s="402"/>
      <c r="O106" s="402"/>
      <c r="P106" s="402"/>
      <c r="Q106" s="402"/>
      <c r="R106" s="402"/>
      <c r="S106" s="402"/>
      <c r="T106" s="402"/>
      <c r="U106" s="402"/>
      <c r="V106" s="402"/>
      <c r="W106" s="402"/>
      <c r="X106" s="402"/>
      <c r="Y106" s="402"/>
      <c r="Z106" s="402"/>
    </row>
    <row r="107" ht="14.25" customHeight="1">
      <c r="A107" s="406">
        <v>45497.0</v>
      </c>
      <c r="B107" s="349" t="s">
        <v>5654</v>
      </c>
      <c r="C107" s="349" t="s">
        <v>5655</v>
      </c>
      <c r="D107" s="1032" t="s">
        <v>54</v>
      </c>
      <c r="E107" s="403"/>
      <c r="F107" s="413">
        <v>9759.65</v>
      </c>
      <c r="G107" s="413">
        <v>0.0</v>
      </c>
      <c r="H107" s="349" t="s">
        <v>5666</v>
      </c>
      <c r="I107" s="736" t="str">
        <f t="shared" si="3"/>
        <v>NOT PAID</v>
      </c>
      <c r="J107" s="402"/>
      <c r="K107" s="402"/>
      <c r="L107" s="402"/>
      <c r="M107" s="402"/>
      <c r="N107" s="402"/>
      <c r="O107" s="402"/>
      <c r="P107" s="402"/>
      <c r="Q107" s="402"/>
      <c r="R107" s="402"/>
      <c r="S107" s="402"/>
      <c r="T107" s="402"/>
      <c r="U107" s="402"/>
      <c r="V107" s="402"/>
      <c r="W107" s="402"/>
      <c r="X107" s="402"/>
      <c r="Y107" s="402"/>
      <c r="Z107" s="402"/>
    </row>
    <row r="108" ht="14.25" customHeight="1">
      <c r="A108" s="406">
        <v>45497.0</v>
      </c>
      <c r="B108" s="349" t="s">
        <v>5656</v>
      </c>
      <c r="C108" s="349" t="s">
        <v>5657</v>
      </c>
      <c r="D108" s="1032" t="s">
        <v>54</v>
      </c>
      <c r="E108" s="413" t="s">
        <v>5623</v>
      </c>
      <c r="F108" s="413">
        <v>17280.01</v>
      </c>
      <c r="G108" s="413">
        <v>0.0</v>
      </c>
      <c r="H108" s="349" t="s">
        <v>5764</v>
      </c>
      <c r="I108" s="736" t="str">
        <f t="shared" si="3"/>
        <v>NOT PAID</v>
      </c>
      <c r="J108" s="402"/>
      <c r="K108" s="402"/>
      <c r="L108" s="402"/>
      <c r="M108" s="402"/>
      <c r="N108" s="402"/>
      <c r="O108" s="402"/>
      <c r="P108" s="402"/>
      <c r="Q108" s="402"/>
      <c r="R108" s="402"/>
      <c r="S108" s="402"/>
      <c r="T108" s="402"/>
      <c r="U108" s="402"/>
      <c r="V108" s="402"/>
      <c r="W108" s="402"/>
      <c r="X108" s="402"/>
      <c r="Y108" s="402"/>
      <c r="Z108" s="402"/>
    </row>
    <row r="109" ht="14.25" customHeight="1">
      <c r="A109" s="406">
        <v>45497.0</v>
      </c>
      <c r="B109" s="349" t="s">
        <v>5658</v>
      </c>
      <c r="C109" s="349" t="s">
        <v>5622</v>
      </c>
      <c r="D109" s="1032" t="s">
        <v>54</v>
      </c>
      <c r="E109" s="413" t="s">
        <v>5623</v>
      </c>
      <c r="F109" s="413">
        <v>112627.16</v>
      </c>
      <c r="G109" s="413">
        <v>0.0</v>
      </c>
      <c r="H109" s="349" t="s">
        <v>149</v>
      </c>
      <c r="I109" s="736" t="str">
        <f t="shared" si="3"/>
        <v>NOT PAID</v>
      </c>
      <c r="J109" s="402"/>
      <c r="K109" s="402"/>
      <c r="L109" s="402"/>
      <c r="M109" s="402"/>
      <c r="N109" s="402"/>
      <c r="O109" s="402"/>
      <c r="P109" s="402"/>
      <c r="Q109" s="402"/>
      <c r="R109" s="402"/>
      <c r="S109" s="402"/>
      <c r="T109" s="402"/>
      <c r="U109" s="402"/>
      <c r="V109" s="402"/>
      <c r="W109" s="402"/>
      <c r="X109" s="402"/>
      <c r="Y109" s="402"/>
      <c r="Z109" s="402"/>
    </row>
    <row r="110" ht="14.25" customHeight="1">
      <c r="A110" s="406">
        <v>45497.0</v>
      </c>
      <c r="B110" s="349" t="s">
        <v>5664</v>
      </c>
      <c r="C110" s="349" t="s">
        <v>5665</v>
      </c>
      <c r="D110" s="1032" t="s">
        <v>75</v>
      </c>
      <c r="E110" s="403"/>
      <c r="F110" s="413">
        <v>241500.0</v>
      </c>
      <c r="G110" s="413">
        <v>0.0</v>
      </c>
      <c r="H110" s="349" t="s">
        <v>5765</v>
      </c>
      <c r="I110" s="736" t="str">
        <f t="shared" si="3"/>
        <v>NOT PAID</v>
      </c>
      <c r="J110" s="402"/>
      <c r="K110" s="402"/>
      <c r="L110" s="402"/>
      <c r="M110" s="402"/>
      <c r="N110" s="402"/>
      <c r="O110" s="402"/>
      <c r="P110" s="402"/>
      <c r="Q110" s="402"/>
      <c r="R110" s="402"/>
      <c r="S110" s="402"/>
      <c r="T110" s="402"/>
      <c r="U110" s="402"/>
      <c r="V110" s="402"/>
      <c r="W110" s="402"/>
      <c r="X110" s="402"/>
      <c r="Y110" s="402"/>
      <c r="Z110" s="402"/>
    </row>
    <row r="111" ht="14.25" customHeight="1">
      <c r="A111" s="406">
        <v>45497.0</v>
      </c>
      <c r="B111" s="349" t="s">
        <v>5667</v>
      </c>
      <c r="C111" s="349" t="s">
        <v>5668</v>
      </c>
      <c r="D111" s="1032" t="s">
        <v>346</v>
      </c>
      <c r="E111" s="403"/>
      <c r="F111" s="413">
        <v>9552.0</v>
      </c>
      <c r="G111" s="413">
        <v>0.0</v>
      </c>
      <c r="H111" s="349" t="s">
        <v>5669</v>
      </c>
      <c r="I111" s="736" t="str">
        <f t="shared" si="3"/>
        <v>NOT PAID</v>
      </c>
      <c r="J111" s="402"/>
      <c r="K111" s="402"/>
      <c r="L111" s="402"/>
      <c r="M111" s="402"/>
      <c r="N111" s="402"/>
      <c r="O111" s="402"/>
      <c r="P111" s="402"/>
      <c r="Q111" s="402"/>
      <c r="R111" s="402"/>
      <c r="S111" s="402"/>
      <c r="T111" s="402"/>
      <c r="U111" s="402"/>
      <c r="V111" s="402"/>
      <c r="W111" s="402"/>
      <c r="X111" s="402"/>
      <c r="Y111" s="402"/>
      <c r="Z111" s="402"/>
    </row>
    <row r="112" ht="14.25" customHeight="1">
      <c r="A112" s="406">
        <v>45497.0</v>
      </c>
      <c r="B112" s="349" t="s">
        <v>5766</v>
      </c>
      <c r="C112" s="349" t="s">
        <v>5767</v>
      </c>
      <c r="D112" s="1032" t="s">
        <v>54</v>
      </c>
      <c r="E112" s="403"/>
      <c r="F112" s="413">
        <v>208711.39</v>
      </c>
      <c r="G112" s="413">
        <v>0.0</v>
      </c>
      <c r="H112" s="349" t="s">
        <v>5752</v>
      </c>
      <c r="I112" s="736" t="str">
        <f t="shared" si="3"/>
        <v>NOT PAID</v>
      </c>
      <c r="J112" s="402"/>
      <c r="K112" s="402"/>
      <c r="L112" s="402"/>
      <c r="M112" s="402"/>
      <c r="N112" s="402"/>
      <c r="O112" s="402"/>
      <c r="P112" s="402"/>
      <c r="Q112" s="402"/>
      <c r="R112" s="402"/>
      <c r="S112" s="402"/>
      <c r="T112" s="402"/>
      <c r="U112" s="402"/>
      <c r="V112" s="402"/>
      <c r="W112" s="402"/>
      <c r="X112" s="402"/>
      <c r="Y112" s="402"/>
      <c r="Z112" s="402"/>
    </row>
    <row r="113" ht="14.25" customHeight="1">
      <c r="A113" s="406">
        <v>45497.0</v>
      </c>
      <c r="B113" s="349" t="s">
        <v>5768</v>
      </c>
      <c r="C113" s="349" t="s">
        <v>5769</v>
      </c>
      <c r="D113" s="1032" t="s">
        <v>54</v>
      </c>
      <c r="E113" s="403"/>
      <c r="F113" s="413">
        <v>892461.32</v>
      </c>
      <c r="G113" s="413">
        <v>0.0</v>
      </c>
      <c r="H113" s="349" t="s">
        <v>5770</v>
      </c>
      <c r="I113" s="736" t="str">
        <f t="shared" si="3"/>
        <v>NOT PAID</v>
      </c>
      <c r="J113" s="402"/>
      <c r="K113" s="402"/>
      <c r="L113" s="402"/>
      <c r="M113" s="402"/>
      <c r="N113" s="402"/>
      <c r="O113" s="402"/>
      <c r="P113" s="402"/>
      <c r="Q113" s="402"/>
      <c r="R113" s="402"/>
      <c r="S113" s="402"/>
      <c r="T113" s="402"/>
      <c r="U113" s="402"/>
      <c r="V113" s="402"/>
      <c r="W113" s="402"/>
      <c r="X113" s="402"/>
      <c r="Y113" s="402"/>
      <c r="Z113" s="402"/>
    </row>
    <row r="114" ht="14.25" customHeight="1">
      <c r="A114" s="406">
        <v>45497.0</v>
      </c>
      <c r="B114" s="349" t="s">
        <v>5618</v>
      </c>
      <c r="C114" s="349" t="s">
        <v>5619</v>
      </c>
      <c r="D114" s="1032" t="s">
        <v>54</v>
      </c>
      <c r="E114" s="403"/>
      <c r="F114" s="413">
        <v>89123.34</v>
      </c>
      <c r="G114" s="413">
        <v>0.0</v>
      </c>
      <c r="H114" s="349" t="s">
        <v>952</v>
      </c>
      <c r="I114" s="736" t="str">
        <f t="shared" si="3"/>
        <v>NOT PAID</v>
      </c>
      <c r="J114" s="402"/>
      <c r="K114" s="402"/>
      <c r="L114" s="402"/>
      <c r="M114" s="402"/>
      <c r="N114" s="402"/>
      <c r="O114" s="402"/>
      <c r="P114" s="402"/>
      <c r="Q114" s="402"/>
      <c r="R114" s="402"/>
      <c r="S114" s="402"/>
      <c r="T114" s="402"/>
      <c r="U114" s="402"/>
      <c r="V114" s="402"/>
      <c r="W114" s="402"/>
      <c r="X114" s="402"/>
      <c r="Y114" s="402"/>
      <c r="Z114" s="402"/>
    </row>
    <row r="115" ht="14.25" customHeight="1">
      <c r="A115" s="406">
        <v>45497.0</v>
      </c>
      <c r="B115" s="349" t="s">
        <v>5624</v>
      </c>
      <c r="C115" s="349" t="s">
        <v>5625</v>
      </c>
      <c r="D115" s="1032" t="s">
        <v>54</v>
      </c>
      <c r="E115" s="413" t="s">
        <v>5623</v>
      </c>
      <c r="F115" s="413">
        <v>87496.24</v>
      </c>
      <c r="G115" s="413">
        <v>0.0</v>
      </c>
      <c r="H115" s="349" t="s">
        <v>149</v>
      </c>
      <c r="I115" s="736" t="str">
        <f t="shared" si="3"/>
        <v>NOT PAID</v>
      </c>
      <c r="J115" s="402"/>
      <c r="K115" s="402"/>
      <c r="L115" s="402"/>
      <c r="M115" s="402"/>
      <c r="N115" s="402"/>
      <c r="O115" s="402"/>
      <c r="P115" s="402"/>
      <c r="Q115" s="402"/>
      <c r="R115" s="402"/>
      <c r="S115" s="402"/>
      <c r="T115" s="402"/>
      <c r="U115" s="402"/>
      <c r="V115" s="402"/>
      <c r="W115" s="402"/>
      <c r="X115" s="402"/>
      <c r="Y115" s="402"/>
      <c r="Z115" s="402"/>
    </row>
    <row r="116" ht="14.25" customHeight="1">
      <c r="A116" s="406">
        <v>45497.0</v>
      </c>
      <c r="B116" s="349" t="s">
        <v>5626</v>
      </c>
      <c r="C116" s="349" t="s">
        <v>5627</v>
      </c>
      <c r="D116" s="1032" t="s">
        <v>54</v>
      </c>
      <c r="E116" s="413" t="s">
        <v>5623</v>
      </c>
      <c r="F116" s="413">
        <v>75942.83</v>
      </c>
      <c r="G116" s="413">
        <v>0.0</v>
      </c>
      <c r="H116" s="349" t="s">
        <v>3500</v>
      </c>
      <c r="I116" s="736" t="str">
        <f t="shared" si="3"/>
        <v>NOT PAID</v>
      </c>
      <c r="J116" s="402"/>
      <c r="K116" s="402"/>
      <c r="L116" s="402"/>
      <c r="M116" s="402"/>
      <c r="N116" s="402"/>
      <c r="O116" s="402"/>
      <c r="P116" s="402"/>
      <c r="Q116" s="402"/>
      <c r="R116" s="402"/>
      <c r="S116" s="402"/>
      <c r="T116" s="402"/>
      <c r="U116" s="402"/>
      <c r="V116" s="402"/>
      <c r="W116" s="402"/>
      <c r="X116" s="402"/>
      <c r="Y116" s="402"/>
      <c r="Z116" s="402"/>
    </row>
    <row r="117" ht="14.25" customHeight="1">
      <c r="A117" s="406">
        <v>45497.0</v>
      </c>
      <c r="B117" s="349" t="s">
        <v>5628</v>
      </c>
      <c r="C117" s="349" t="s">
        <v>5629</v>
      </c>
      <c r="D117" s="1032" t="s">
        <v>54</v>
      </c>
      <c r="E117" s="403"/>
      <c r="F117" s="413">
        <v>53381.75</v>
      </c>
      <c r="G117" s="413">
        <v>0.0</v>
      </c>
      <c r="H117" s="349" t="s">
        <v>5771</v>
      </c>
      <c r="I117" s="736" t="str">
        <f t="shared" si="3"/>
        <v>NOT PAID</v>
      </c>
      <c r="J117" s="402"/>
      <c r="K117" s="402"/>
      <c r="L117" s="402"/>
      <c r="M117" s="402"/>
      <c r="N117" s="402"/>
      <c r="O117" s="402"/>
      <c r="P117" s="402"/>
      <c r="Q117" s="402"/>
      <c r="R117" s="402"/>
      <c r="S117" s="402"/>
      <c r="T117" s="402"/>
      <c r="U117" s="402"/>
      <c r="V117" s="402"/>
      <c r="W117" s="402"/>
      <c r="X117" s="402"/>
      <c r="Y117" s="402"/>
      <c r="Z117" s="402"/>
    </row>
    <row r="118" ht="14.25" customHeight="1">
      <c r="A118" s="406">
        <v>45497.0</v>
      </c>
      <c r="B118" s="349" t="s">
        <v>5632</v>
      </c>
      <c r="C118" s="349" t="s">
        <v>5633</v>
      </c>
      <c r="D118" s="1032" t="s">
        <v>346</v>
      </c>
      <c r="E118" s="413" t="s">
        <v>5623</v>
      </c>
      <c r="F118" s="413">
        <v>4470.05</v>
      </c>
      <c r="G118" s="413">
        <v>4480.0</v>
      </c>
      <c r="H118" s="349" t="s">
        <v>149</v>
      </c>
      <c r="I118" s="736" t="str">
        <f t="shared" si="3"/>
        <v>FULLY PAID</v>
      </c>
      <c r="J118" s="402"/>
      <c r="K118" s="402"/>
      <c r="L118" s="402"/>
      <c r="M118" s="402"/>
      <c r="N118" s="402"/>
      <c r="O118" s="402"/>
      <c r="P118" s="402"/>
      <c r="Q118" s="402"/>
      <c r="R118" s="402"/>
      <c r="S118" s="402"/>
      <c r="T118" s="402"/>
      <c r="U118" s="402"/>
      <c r="V118" s="402"/>
      <c r="W118" s="402"/>
      <c r="X118" s="402"/>
      <c r="Y118" s="402"/>
      <c r="Z118" s="402"/>
    </row>
    <row r="119" ht="14.25" customHeight="1">
      <c r="A119" s="406">
        <v>45497.0</v>
      </c>
      <c r="B119" s="349" t="s">
        <v>5639</v>
      </c>
      <c r="C119" s="349" t="s">
        <v>5627</v>
      </c>
      <c r="D119" s="1032" t="s">
        <v>346</v>
      </c>
      <c r="E119" s="413" t="s">
        <v>5623</v>
      </c>
      <c r="F119" s="413">
        <v>12580.7</v>
      </c>
      <c r="G119" s="413">
        <v>0.0</v>
      </c>
      <c r="H119" s="349" t="s">
        <v>3500</v>
      </c>
      <c r="I119" s="736" t="str">
        <f t="shared" si="3"/>
        <v>NOT PAID</v>
      </c>
      <c r="J119" s="402"/>
      <c r="K119" s="402"/>
      <c r="L119" s="402"/>
      <c r="M119" s="402"/>
      <c r="N119" s="402"/>
      <c r="O119" s="402"/>
      <c r="P119" s="402"/>
      <c r="Q119" s="402"/>
      <c r="R119" s="402"/>
      <c r="S119" s="402"/>
      <c r="T119" s="402"/>
      <c r="U119" s="402"/>
      <c r="V119" s="402"/>
      <c r="W119" s="402"/>
      <c r="X119" s="402"/>
      <c r="Y119" s="402"/>
      <c r="Z119" s="402"/>
    </row>
    <row r="120" ht="14.25" customHeight="1">
      <c r="A120" s="406">
        <v>45497.0</v>
      </c>
      <c r="B120" s="349" t="s">
        <v>5772</v>
      </c>
      <c r="C120" s="349" t="s">
        <v>5773</v>
      </c>
      <c r="D120" s="1032" t="s">
        <v>481</v>
      </c>
      <c r="E120" s="403"/>
      <c r="F120" s="413">
        <v>359937.9</v>
      </c>
      <c r="G120" s="413">
        <v>0.0</v>
      </c>
      <c r="H120" s="349" t="s">
        <v>5774</v>
      </c>
      <c r="I120" s="736" t="str">
        <f t="shared" si="3"/>
        <v>NOT PAID</v>
      </c>
      <c r="J120" s="402"/>
      <c r="K120" s="402"/>
      <c r="L120" s="402"/>
      <c r="M120" s="402"/>
      <c r="N120" s="402"/>
      <c r="O120" s="402"/>
      <c r="P120" s="402"/>
      <c r="Q120" s="402"/>
      <c r="R120" s="402"/>
      <c r="S120" s="402"/>
      <c r="T120" s="402"/>
      <c r="U120" s="402"/>
      <c r="V120" s="402"/>
      <c r="W120" s="402"/>
      <c r="X120" s="402"/>
      <c r="Y120" s="402"/>
      <c r="Z120" s="402"/>
    </row>
    <row r="121" ht="14.25" customHeight="1">
      <c r="A121" s="402"/>
      <c r="B121" s="402"/>
      <c r="C121" s="424" t="s">
        <v>797</v>
      </c>
      <c r="D121" s="1034"/>
      <c r="E121" s="403"/>
      <c r="F121" s="403"/>
      <c r="G121" s="403"/>
      <c r="H121" s="402"/>
      <c r="I121" s="736"/>
      <c r="J121" s="402"/>
      <c r="K121" s="402"/>
      <c r="L121" s="402"/>
      <c r="M121" s="402"/>
      <c r="N121" s="402"/>
      <c r="O121" s="402"/>
      <c r="P121" s="402"/>
      <c r="Q121" s="402"/>
      <c r="R121" s="402"/>
      <c r="S121" s="402"/>
      <c r="T121" s="402"/>
      <c r="U121" s="402"/>
      <c r="V121" s="402"/>
      <c r="W121" s="402"/>
      <c r="X121" s="402"/>
      <c r="Y121" s="402"/>
      <c r="Z121" s="402"/>
    </row>
    <row r="122" ht="15.0" customHeight="1">
      <c r="A122" s="406">
        <v>45497.0</v>
      </c>
      <c r="B122" s="436" t="s">
        <v>5727</v>
      </c>
      <c r="C122" s="436" t="s">
        <v>5728</v>
      </c>
      <c r="D122" s="1032" t="s">
        <v>54</v>
      </c>
      <c r="E122" s="413" t="s">
        <v>4114</v>
      </c>
      <c r="F122" s="758">
        <v>70000.0</v>
      </c>
      <c r="G122" s="413">
        <v>0.0</v>
      </c>
      <c r="H122" s="349" t="s">
        <v>5775</v>
      </c>
      <c r="I122" s="736" t="str">
        <f t="shared" ref="I122:I124" si="4">IF(G122&gt;=F122,"FULLY PAID",IF(G122=0,"NOT PAID","PARTIALLY PAID"))</f>
        <v>NOT PAID</v>
      </c>
      <c r="J122" s="402"/>
      <c r="K122" s="402"/>
      <c r="L122" s="402"/>
      <c r="M122" s="402"/>
      <c r="N122" s="402"/>
      <c r="O122" s="402"/>
      <c r="P122" s="402"/>
      <c r="Q122" s="402"/>
      <c r="R122" s="402"/>
      <c r="S122" s="402"/>
      <c r="T122" s="402"/>
      <c r="U122" s="402"/>
      <c r="V122" s="402"/>
      <c r="W122" s="402"/>
      <c r="X122" s="402"/>
      <c r="Y122" s="402"/>
      <c r="Z122" s="402"/>
    </row>
    <row r="123" ht="18.0" customHeight="1">
      <c r="A123" s="406">
        <v>45497.0</v>
      </c>
      <c r="B123" s="436" t="s">
        <v>5687</v>
      </c>
      <c r="C123" s="436" t="s">
        <v>5688</v>
      </c>
      <c r="D123" s="1032" t="s">
        <v>54</v>
      </c>
      <c r="E123" s="413" t="s">
        <v>4114</v>
      </c>
      <c r="F123" s="758">
        <v>100000.0</v>
      </c>
      <c r="G123" s="413">
        <v>0.0</v>
      </c>
      <c r="H123" s="349" t="s">
        <v>5689</v>
      </c>
      <c r="I123" s="736" t="str">
        <f t="shared" si="4"/>
        <v>NOT PAID</v>
      </c>
      <c r="J123" s="402"/>
      <c r="K123" s="402"/>
      <c r="L123" s="402"/>
      <c r="M123" s="402"/>
      <c r="N123" s="402"/>
      <c r="O123" s="402"/>
      <c r="P123" s="402"/>
      <c r="Q123" s="402"/>
      <c r="R123" s="402"/>
      <c r="S123" s="402"/>
      <c r="T123" s="402"/>
      <c r="U123" s="402"/>
      <c r="V123" s="402"/>
      <c r="W123" s="402"/>
      <c r="X123" s="402"/>
      <c r="Y123" s="402"/>
      <c r="Z123" s="402"/>
    </row>
    <row r="124" ht="14.25" customHeight="1">
      <c r="A124" s="406">
        <v>45497.0</v>
      </c>
      <c r="B124" s="436" t="s">
        <v>5776</v>
      </c>
      <c r="C124" s="436" t="s">
        <v>5683</v>
      </c>
      <c r="D124" s="1032" t="s">
        <v>54</v>
      </c>
      <c r="E124" s="413" t="s">
        <v>2165</v>
      </c>
      <c r="F124" s="413">
        <v>150000.0</v>
      </c>
      <c r="G124" s="413">
        <v>0.0</v>
      </c>
      <c r="H124" s="349" t="s">
        <v>5684</v>
      </c>
      <c r="I124" s="736" t="str">
        <f t="shared" si="4"/>
        <v>NOT PAID</v>
      </c>
      <c r="J124" s="402"/>
      <c r="K124" s="402"/>
      <c r="L124" s="402"/>
      <c r="M124" s="402"/>
      <c r="N124" s="402"/>
      <c r="O124" s="402"/>
      <c r="P124" s="402"/>
      <c r="Q124" s="402"/>
      <c r="R124" s="402"/>
      <c r="S124" s="402"/>
      <c r="T124" s="402"/>
      <c r="U124" s="402"/>
      <c r="V124" s="402"/>
      <c r="W124" s="402"/>
      <c r="X124" s="402"/>
      <c r="Y124" s="402"/>
      <c r="Z124" s="402"/>
    </row>
    <row r="125" ht="14.25" customHeight="1">
      <c r="A125" s="406"/>
      <c r="B125" s="424" t="s">
        <v>5777</v>
      </c>
      <c r="C125" s="402"/>
      <c r="D125" s="1032"/>
      <c r="E125" s="403"/>
      <c r="F125" s="403"/>
      <c r="G125" s="586">
        <f>SUM(G80:G124)</f>
        <v>1130080</v>
      </c>
      <c r="H125" s="402"/>
      <c r="I125" s="736"/>
      <c r="J125" s="402"/>
      <c r="K125" s="402"/>
      <c r="L125" s="402"/>
      <c r="M125" s="402"/>
      <c r="N125" s="402"/>
      <c r="O125" s="402"/>
      <c r="P125" s="402"/>
      <c r="Q125" s="402"/>
      <c r="R125" s="402"/>
      <c r="S125" s="402"/>
      <c r="T125" s="402"/>
      <c r="U125" s="402"/>
      <c r="V125" s="402"/>
      <c r="W125" s="402"/>
      <c r="X125" s="402"/>
      <c r="Y125" s="402"/>
      <c r="Z125" s="402"/>
    </row>
    <row r="126" ht="14.25" customHeight="1">
      <c r="A126" s="406"/>
      <c r="B126" s="424" t="s">
        <v>5778</v>
      </c>
      <c r="C126" s="402"/>
      <c r="D126" s="1034"/>
      <c r="E126" s="403"/>
      <c r="F126" s="403"/>
      <c r="G126" s="586">
        <f>G127-G125</f>
        <v>389574</v>
      </c>
      <c r="H126" s="402"/>
      <c r="I126" s="736"/>
      <c r="J126" s="402"/>
      <c r="K126" s="402"/>
      <c r="L126" s="402"/>
      <c r="M126" s="402"/>
      <c r="N126" s="402"/>
      <c r="O126" s="402"/>
      <c r="P126" s="402"/>
      <c r="Q126" s="402"/>
      <c r="R126" s="402"/>
      <c r="S126" s="402"/>
      <c r="T126" s="402"/>
      <c r="U126" s="402"/>
      <c r="V126" s="402"/>
      <c r="W126" s="402"/>
      <c r="X126" s="402"/>
      <c r="Y126" s="402"/>
      <c r="Z126" s="402"/>
    </row>
    <row r="127" ht="14.25" customHeight="1">
      <c r="A127" s="406"/>
      <c r="B127" s="424" t="s">
        <v>5779</v>
      </c>
      <c r="C127" s="402"/>
      <c r="D127" s="1034"/>
      <c r="E127" s="403"/>
      <c r="F127" s="403"/>
      <c r="G127" s="787">
        <v>1519654.0</v>
      </c>
      <c r="H127" s="402"/>
      <c r="I127" s="736"/>
      <c r="J127" s="402"/>
      <c r="K127" s="402"/>
      <c r="L127" s="402"/>
      <c r="M127" s="402"/>
      <c r="N127" s="402"/>
      <c r="O127" s="402"/>
      <c r="P127" s="402"/>
      <c r="Q127" s="402"/>
      <c r="R127" s="402"/>
      <c r="S127" s="402"/>
      <c r="T127" s="402"/>
      <c r="U127" s="402"/>
      <c r="V127" s="402"/>
      <c r="W127" s="402"/>
      <c r="X127" s="402"/>
      <c r="Y127" s="402"/>
      <c r="Z127" s="402"/>
    </row>
    <row r="128" ht="14.25" customHeight="1">
      <c r="A128" s="402"/>
      <c r="B128" s="402"/>
      <c r="C128" s="402"/>
      <c r="D128" s="1034"/>
      <c r="E128" s="403"/>
      <c r="F128" s="403"/>
      <c r="G128" s="403"/>
      <c r="H128" s="402"/>
      <c r="I128" s="736"/>
      <c r="J128" s="402"/>
      <c r="K128" s="402"/>
      <c r="L128" s="402"/>
      <c r="M128" s="402"/>
      <c r="N128" s="402"/>
      <c r="O128" s="402"/>
      <c r="P128" s="402"/>
      <c r="Q128" s="402"/>
      <c r="R128" s="402"/>
      <c r="S128" s="402"/>
      <c r="T128" s="402"/>
      <c r="U128" s="402"/>
      <c r="V128" s="402"/>
      <c r="W128" s="402"/>
      <c r="X128" s="402"/>
      <c r="Y128" s="402"/>
      <c r="Z128" s="402"/>
    </row>
    <row r="129" ht="14.25" customHeight="1">
      <c r="A129" s="406">
        <v>45498.0</v>
      </c>
      <c r="B129" s="349" t="s">
        <v>5780</v>
      </c>
      <c r="C129" s="349" t="s">
        <v>5781</v>
      </c>
      <c r="D129" s="1032" t="s">
        <v>54</v>
      </c>
      <c r="E129" s="413" t="s">
        <v>5782</v>
      </c>
      <c r="F129" s="413">
        <v>23273.94</v>
      </c>
      <c r="G129" s="403"/>
      <c r="H129" s="349" t="s">
        <v>267</v>
      </c>
      <c r="I129" s="736" t="str">
        <f t="shared" ref="I129:I159" si="5">IF(G129&gt;=F129,"FULLY PAID",IF(G129=0,"NOT PAID","PARTIALLY PAID"))</f>
        <v>NOT PAID</v>
      </c>
      <c r="J129" s="402"/>
      <c r="K129" s="402"/>
      <c r="L129" s="402"/>
      <c r="M129" s="402"/>
      <c r="N129" s="402"/>
      <c r="O129" s="402"/>
      <c r="P129" s="402"/>
      <c r="Q129" s="402"/>
      <c r="R129" s="402"/>
      <c r="S129" s="402"/>
      <c r="T129" s="402"/>
      <c r="U129" s="402"/>
      <c r="V129" s="402"/>
      <c r="W129" s="402"/>
      <c r="X129" s="402"/>
      <c r="Y129" s="402"/>
      <c r="Z129" s="402"/>
    </row>
    <row r="130" ht="14.25" customHeight="1">
      <c r="A130" s="406">
        <v>45498.0</v>
      </c>
      <c r="B130" s="349" t="s">
        <v>5783</v>
      </c>
      <c r="C130" s="349" t="s">
        <v>5784</v>
      </c>
      <c r="D130" s="1032" t="s">
        <v>54</v>
      </c>
      <c r="E130" s="413" t="s">
        <v>5785</v>
      </c>
      <c r="F130" s="413">
        <v>15045.05</v>
      </c>
      <c r="G130" s="403"/>
      <c r="H130" s="349" t="s">
        <v>5786</v>
      </c>
      <c r="I130" s="736" t="str">
        <f t="shared" si="5"/>
        <v>NOT PAID</v>
      </c>
      <c r="J130" s="402"/>
      <c r="K130" s="402"/>
      <c r="L130" s="402"/>
      <c r="M130" s="402"/>
      <c r="N130" s="402"/>
      <c r="O130" s="402"/>
      <c r="P130" s="402"/>
      <c r="Q130" s="402"/>
      <c r="R130" s="402"/>
      <c r="S130" s="402"/>
      <c r="T130" s="402"/>
      <c r="U130" s="402"/>
      <c r="V130" s="402"/>
      <c r="W130" s="402"/>
      <c r="X130" s="402"/>
      <c r="Y130" s="402"/>
      <c r="Z130" s="402"/>
    </row>
    <row r="131" ht="14.25" customHeight="1">
      <c r="A131" s="406">
        <v>45498.0</v>
      </c>
      <c r="B131" s="349" t="s">
        <v>5787</v>
      </c>
      <c r="C131" s="349" t="s">
        <v>5788</v>
      </c>
      <c r="D131" s="1032" t="s">
        <v>54</v>
      </c>
      <c r="E131" s="413" t="s">
        <v>5789</v>
      </c>
      <c r="F131" s="413">
        <v>269200.16</v>
      </c>
      <c r="G131" s="403"/>
      <c r="H131" s="402"/>
      <c r="I131" s="736" t="str">
        <f t="shared" si="5"/>
        <v>NOT PAID</v>
      </c>
      <c r="J131" s="402"/>
      <c r="K131" s="402"/>
      <c r="L131" s="402"/>
      <c r="M131" s="402"/>
      <c r="N131" s="402"/>
      <c r="O131" s="402"/>
      <c r="P131" s="402"/>
      <c r="Q131" s="402"/>
      <c r="R131" s="402"/>
      <c r="S131" s="402"/>
      <c r="T131" s="402"/>
      <c r="U131" s="402"/>
      <c r="V131" s="402"/>
      <c r="W131" s="402"/>
      <c r="X131" s="402"/>
      <c r="Y131" s="402"/>
      <c r="Z131" s="402"/>
    </row>
    <row r="132" ht="14.25" customHeight="1">
      <c r="A132" s="406">
        <v>45498.0</v>
      </c>
      <c r="B132" s="349" t="s">
        <v>5790</v>
      </c>
      <c r="C132" s="349" t="s">
        <v>5788</v>
      </c>
      <c r="D132" s="1032" t="s">
        <v>346</v>
      </c>
      <c r="E132" s="413" t="s">
        <v>5791</v>
      </c>
      <c r="F132" s="413">
        <v>9180.0</v>
      </c>
      <c r="G132" s="403"/>
      <c r="H132" s="402"/>
      <c r="I132" s="736" t="str">
        <f t="shared" si="5"/>
        <v>NOT PAID</v>
      </c>
      <c r="J132" s="402"/>
      <c r="K132" s="402"/>
      <c r="L132" s="402"/>
      <c r="M132" s="402"/>
      <c r="N132" s="402"/>
      <c r="O132" s="402"/>
      <c r="P132" s="402"/>
      <c r="Q132" s="402"/>
      <c r="R132" s="402"/>
      <c r="S132" s="402"/>
      <c r="T132" s="402"/>
      <c r="U132" s="402"/>
      <c r="V132" s="402"/>
      <c r="W132" s="402"/>
      <c r="X132" s="402"/>
      <c r="Y132" s="402"/>
      <c r="Z132" s="402"/>
    </row>
    <row r="133" ht="14.25" customHeight="1">
      <c r="A133" s="406">
        <v>45498.0</v>
      </c>
      <c r="B133" s="349" t="s">
        <v>5792</v>
      </c>
      <c r="C133" s="349" t="s">
        <v>5793</v>
      </c>
      <c r="D133" s="1032" t="s">
        <v>54</v>
      </c>
      <c r="E133" s="413" t="s">
        <v>5785</v>
      </c>
      <c r="F133" s="413">
        <v>207315.73</v>
      </c>
      <c r="G133" s="403"/>
      <c r="H133" s="349" t="s">
        <v>5794</v>
      </c>
      <c r="I133" s="736" t="str">
        <f t="shared" si="5"/>
        <v>NOT PAID</v>
      </c>
      <c r="J133" s="402"/>
      <c r="K133" s="402"/>
      <c r="L133" s="402"/>
      <c r="M133" s="402"/>
      <c r="N133" s="402"/>
      <c r="O133" s="402"/>
      <c r="P133" s="402"/>
      <c r="Q133" s="402"/>
      <c r="R133" s="402"/>
      <c r="S133" s="402"/>
      <c r="T133" s="402"/>
      <c r="U133" s="402"/>
      <c r="V133" s="402"/>
      <c r="W133" s="402"/>
      <c r="X133" s="402"/>
      <c r="Y133" s="402"/>
      <c r="Z133" s="402"/>
    </row>
    <row r="134" ht="14.25" customHeight="1">
      <c r="A134" s="406">
        <v>45498.0</v>
      </c>
      <c r="B134" s="349" t="s">
        <v>5795</v>
      </c>
      <c r="C134" s="349" t="s">
        <v>5796</v>
      </c>
      <c r="D134" s="1032" t="s">
        <v>75</v>
      </c>
      <c r="E134" s="413" t="s">
        <v>5791</v>
      </c>
      <c r="F134" s="413">
        <v>44000.0</v>
      </c>
      <c r="G134" s="403"/>
      <c r="H134" s="402"/>
      <c r="I134" s="736" t="str">
        <f t="shared" si="5"/>
        <v>NOT PAID</v>
      </c>
      <c r="J134" s="402"/>
      <c r="K134" s="402"/>
      <c r="L134" s="402"/>
      <c r="M134" s="402"/>
      <c r="N134" s="402"/>
      <c r="O134" s="402"/>
      <c r="P134" s="402"/>
      <c r="Q134" s="402"/>
      <c r="R134" s="402"/>
      <c r="S134" s="402"/>
      <c r="T134" s="402"/>
      <c r="U134" s="402"/>
      <c r="V134" s="402"/>
      <c r="W134" s="402"/>
      <c r="X134" s="402"/>
      <c r="Y134" s="402"/>
      <c r="Z134" s="402"/>
    </row>
    <row r="135" ht="14.25" customHeight="1">
      <c r="A135" s="406">
        <v>45498.0</v>
      </c>
      <c r="B135" s="349" t="s">
        <v>5735</v>
      </c>
      <c r="C135" s="349" t="s">
        <v>5736</v>
      </c>
      <c r="D135" s="1032" t="s">
        <v>54</v>
      </c>
      <c r="E135" s="413" t="s">
        <v>5785</v>
      </c>
      <c r="F135" s="413">
        <v>22144.05</v>
      </c>
      <c r="G135" s="413">
        <v>29600.0</v>
      </c>
      <c r="H135" s="349" t="s">
        <v>267</v>
      </c>
      <c r="I135" s="736" t="str">
        <f t="shared" si="5"/>
        <v>FULLY PAID</v>
      </c>
      <c r="J135" s="402"/>
      <c r="K135" s="402"/>
      <c r="L135" s="402"/>
      <c r="M135" s="402"/>
      <c r="N135" s="402"/>
      <c r="O135" s="402"/>
      <c r="P135" s="402"/>
      <c r="Q135" s="402"/>
      <c r="R135" s="402"/>
      <c r="S135" s="402"/>
      <c r="T135" s="402"/>
      <c r="U135" s="402"/>
      <c r="V135" s="402"/>
      <c r="W135" s="402"/>
      <c r="X135" s="402"/>
      <c r="Y135" s="402"/>
      <c r="Z135" s="402"/>
    </row>
    <row r="136" ht="14.25" customHeight="1">
      <c r="A136" s="406">
        <v>45498.0</v>
      </c>
      <c r="B136" s="349" t="s">
        <v>5739</v>
      </c>
      <c r="C136" s="349" t="s">
        <v>5740</v>
      </c>
      <c r="D136" s="1032" t="s">
        <v>54</v>
      </c>
      <c r="E136" s="413" t="s">
        <v>5785</v>
      </c>
      <c r="F136" s="413">
        <v>26061.46</v>
      </c>
      <c r="G136" s="413">
        <v>22000.0</v>
      </c>
      <c r="H136" s="349" t="s">
        <v>267</v>
      </c>
      <c r="I136" s="736" t="str">
        <f t="shared" si="5"/>
        <v>PARTIALLY PAID</v>
      </c>
      <c r="J136" s="402"/>
      <c r="K136" s="402"/>
      <c r="L136" s="402"/>
      <c r="M136" s="402"/>
      <c r="N136" s="402"/>
      <c r="O136" s="402"/>
      <c r="P136" s="402"/>
      <c r="Q136" s="402"/>
      <c r="R136" s="402"/>
      <c r="S136" s="402"/>
      <c r="T136" s="402"/>
      <c r="U136" s="402"/>
      <c r="V136" s="402"/>
      <c r="W136" s="402"/>
      <c r="X136" s="402"/>
      <c r="Y136" s="402"/>
      <c r="Z136" s="402"/>
    </row>
    <row r="137" ht="14.25" customHeight="1">
      <c r="A137" s="406">
        <v>45498.0</v>
      </c>
      <c r="B137" s="349" t="s">
        <v>5742</v>
      </c>
      <c r="C137" s="349" t="s">
        <v>5743</v>
      </c>
      <c r="D137" s="1032" t="s">
        <v>54</v>
      </c>
      <c r="E137" s="413" t="s">
        <v>5782</v>
      </c>
      <c r="F137" s="413">
        <v>30889.3</v>
      </c>
      <c r="G137" s="403"/>
      <c r="H137" s="349" t="s">
        <v>5797</v>
      </c>
      <c r="I137" s="736" t="str">
        <f t="shared" si="5"/>
        <v>NOT PAID</v>
      </c>
      <c r="J137" s="402"/>
      <c r="K137" s="402"/>
      <c r="L137" s="402"/>
      <c r="M137" s="402"/>
      <c r="N137" s="402"/>
      <c r="O137" s="402"/>
      <c r="P137" s="402"/>
      <c r="Q137" s="402"/>
      <c r="R137" s="402"/>
      <c r="S137" s="402"/>
      <c r="T137" s="402"/>
      <c r="U137" s="402"/>
      <c r="V137" s="402"/>
      <c r="W137" s="402"/>
      <c r="X137" s="402"/>
      <c r="Y137" s="402"/>
      <c r="Z137" s="402"/>
    </row>
    <row r="138" ht="14.25" customHeight="1">
      <c r="A138" s="406">
        <v>45498.0</v>
      </c>
      <c r="B138" s="349" t="s">
        <v>5746</v>
      </c>
      <c r="C138" s="349" t="s">
        <v>5747</v>
      </c>
      <c r="D138" s="1032" t="s">
        <v>54</v>
      </c>
      <c r="E138" s="413" t="s">
        <v>5798</v>
      </c>
      <c r="F138" s="413">
        <v>7967.0</v>
      </c>
      <c r="G138" s="403"/>
      <c r="H138" s="402"/>
      <c r="I138" s="736" t="str">
        <f t="shared" si="5"/>
        <v>NOT PAID</v>
      </c>
      <c r="J138" s="402"/>
      <c r="K138" s="402"/>
      <c r="L138" s="402"/>
      <c r="M138" s="402"/>
      <c r="N138" s="402"/>
      <c r="O138" s="402"/>
      <c r="P138" s="402"/>
      <c r="Q138" s="402"/>
      <c r="R138" s="402"/>
      <c r="S138" s="402"/>
      <c r="T138" s="402"/>
      <c r="U138" s="402"/>
      <c r="V138" s="402"/>
      <c r="W138" s="402"/>
      <c r="X138" s="402"/>
      <c r="Y138" s="402"/>
      <c r="Z138" s="402"/>
    </row>
    <row r="139" ht="14.25" customHeight="1">
      <c r="A139" s="406">
        <v>45498.0</v>
      </c>
      <c r="B139" s="349" t="s">
        <v>5749</v>
      </c>
      <c r="C139" s="349" t="s">
        <v>5750</v>
      </c>
      <c r="D139" s="1032" t="s">
        <v>54</v>
      </c>
      <c r="E139" s="413" t="s">
        <v>5785</v>
      </c>
      <c r="F139" s="413">
        <v>6749.0</v>
      </c>
      <c r="G139" s="413">
        <v>2000.0</v>
      </c>
      <c r="H139" s="349" t="s">
        <v>5799</v>
      </c>
      <c r="I139" s="736" t="str">
        <f t="shared" si="5"/>
        <v>PARTIALLY PAID</v>
      </c>
      <c r="J139" s="402"/>
      <c r="K139" s="402"/>
      <c r="L139" s="402"/>
      <c r="M139" s="402"/>
      <c r="N139" s="402"/>
      <c r="O139" s="402"/>
      <c r="P139" s="402"/>
      <c r="Q139" s="402"/>
      <c r="R139" s="402"/>
      <c r="S139" s="402"/>
      <c r="T139" s="402"/>
      <c r="U139" s="402"/>
      <c r="V139" s="402"/>
      <c r="W139" s="402"/>
      <c r="X139" s="402"/>
      <c r="Y139" s="402"/>
      <c r="Z139" s="402"/>
    </row>
    <row r="140" ht="14.25" customHeight="1">
      <c r="A140" s="406">
        <v>45498.0</v>
      </c>
      <c r="B140" s="349" t="s">
        <v>5692</v>
      </c>
      <c r="C140" s="349" t="s">
        <v>5693</v>
      </c>
      <c r="D140" s="1032" t="s">
        <v>54</v>
      </c>
      <c r="E140" s="413" t="s">
        <v>5785</v>
      </c>
      <c r="F140" s="413">
        <v>14332.46</v>
      </c>
      <c r="G140" s="403"/>
      <c r="H140" s="349" t="s">
        <v>5800</v>
      </c>
      <c r="I140" s="736" t="str">
        <f t="shared" si="5"/>
        <v>NOT PAID</v>
      </c>
      <c r="J140" s="402"/>
      <c r="K140" s="402"/>
      <c r="L140" s="402"/>
      <c r="M140" s="402"/>
      <c r="N140" s="402"/>
      <c r="O140" s="402"/>
      <c r="P140" s="402"/>
      <c r="Q140" s="402"/>
      <c r="R140" s="402"/>
      <c r="S140" s="402"/>
      <c r="T140" s="402"/>
      <c r="U140" s="402"/>
      <c r="V140" s="402"/>
      <c r="W140" s="402"/>
      <c r="X140" s="402"/>
      <c r="Y140" s="402"/>
      <c r="Z140" s="402"/>
    </row>
    <row r="141" ht="14.25" customHeight="1">
      <c r="A141" s="406">
        <v>45498.0</v>
      </c>
      <c r="B141" s="349" t="s">
        <v>5695</v>
      </c>
      <c r="C141" s="349" t="s">
        <v>5696</v>
      </c>
      <c r="D141" s="1032" t="s">
        <v>54</v>
      </c>
      <c r="E141" s="413" t="s">
        <v>5785</v>
      </c>
      <c r="F141" s="413">
        <v>43001.1</v>
      </c>
      <c r="G141" s="403"/>
      <c r="H141" s="490" t="s">
        <v>5801</v>
      </c>
      <c r="I141" s="736" t="str">
        <f t="shared" si="5"/>
        <v>NOT PAID</v>
      </c>
      <c r="J141" s="402"/>
      <c r="K141" s="402"/>
      <c r="L141" s="402"/>
      <c r="M141" s="402"/>
      <c r="N141" s="402"/>
      <c r="O141" s="402"/>
      <c r="P141" s="402"/>
      <c r="Q141" s="402"/>
      <c r="R141" s="402"/>
      <c r="S141" s="402"/>
      <c r="T141" s="402"/>
      <c r="U141" s="402"/>
      <c r="V141" s="402"/>
      <c r="W141" s="402"/>
      <c r="X141" s="402"/>
      <c r="Y141" s="402"/>
      <c r="Z141" s="402"/>
    </row>
    <row r="142" ht="14.25" customHeight="1">
      <c r="A142" s="406">
        <v>45498.0</v>
      </c>
      <c r="B142" s="349" t="s">
        <v>5702</v>
      </c>
      <c r="C142" s="349" t="s">
        <v>5703</v>
      </c>
      <c r="D142" s="1032" t="s">
        <v>54</v>
      </c>
      <c r="E142" s="413" t="s">
        <v>5785</v>
      </c>
      <c r="F142" s="413">
        <v>35260.67</v>
      </c>
      <c r="G142" s="403"/>
      <c r="H142" s="349" t="s">
        <v>5802</v>
      </c>
      <c r="I142" s="736" t="str">
        <f t="shared" si="5"/>
        <v>NOT PAID</v>
      </c>
      <c r="J142" s="402"/>
      <c r="K142" s="402"/>
      <c r="L142" s="402"/>
      <c r="M142" s="402"/>
      <c r="N142" s="402"/>
      <c r="O142" s="402"/>
      <c r="P142" s="402"/>
      <c r="Q142" s="402"/>
      <c r="R142" s="402"/>
      <c r="S142" s="402"/>
      <c r="T142" s="402"/>
      <c r="U142" s="402"/>
      <c r="V142" s="402"/>
      <c r="W142" s="402"/>
      <c r="X142" s="402"/>
      <c r="Y142" s="402"/>
      <c r="Z142" s="402"/>
    </row>
    <row r="143" ht="14.25" customHeight="1">
      <c r="A143" s="406">
        <v>45498.0</v>
      </c>
      <c r="B143" s="349" t="s">
        <v>5803</v>
      </c>
      <c r="C143" s="349" t="s">
        <v>5717</v>
      </c>
      <c r="D143" s="1032" t="s">
        <v>54</v>
      </c>
      <c r="E143" s="413" t="s">
        <v>5789</v>
      </c>
      <c r="F143" s="413">
        <v>10742.5</v>
      </c>
      <c r="G143" s="403"/>
      <c r="H143" s="402"/>
      <c r="I143" s="736" t="str">
        <f t="shared" si="5"/>
        <v>NOT PAID</v>
      </c>
      <c r="J143" s="402"/>
      <c r="K143" s="402"/>
      <c r="L143" s="402"/>
      <c r="M143" s="402"/>
      <c r="N143" s="402"/>
      <c r="O143" s="402"/>
      <c r="P143" s="402"/>
      <c r="Q143" s="402"/>
      <c r="R143" s="402"/>
      <c r="S143" s="402"/>
      <c r="T143" s="402"/>
      <c r="U143" s="402"/>
      <c r="V143" s="402"/>
      <c r="W143" s="402"/>
      <c r="X143" s="402"/>
      <c r="Y143" s="402"/>
      <c r="Z143" s="402"/>
    </row>
    <row r="144" ht="14.25" customHeight="1">
      <c r="A144" s="406">
        <v>45498.0</v>
      </c>
      <c r="B144" s="349" t="s">
        <v>5618</v>
      </c>
      <c r="C144" s="349" t="s">
        <v>5619</v>
      </c>
      <c r="D144" s="1032" t="s">
        <v>54</v>
      </c>
      <c r="E144" s="413" t="s">
        <v>5789</v>
      </c>
      <c r="F144" s="413">
        <v>84879.37</v>
      </c>
      <c r="G144" s="403"/>
      <c r="H144" s="349" t="s">
        <v>5804</v>
      </c>
      <c r="I144" s="736" t="str">
        <f t="shared" si="5"/>
        <v>NOT PAID</v>
      </c>
      <c r="J144" s="402"/>
      <c r="K144" s="402"/>
      <c r="L144" s="402"/>
      <c r="M144" s="402"/>
      <c r="N144" s="402"/>
      <c r="O144" s="402"/>
      <c r="P144" s="402"/>
      <c r="Q144" s="402"/>
      <c r="R144" s="402"/>
      <c r="S144" s="402"/>
      <c r="T144" s="402"/>
      <c r="U144" s="402"/>
      <c r="V144" s="402"/>
      <c r="W144" s="402"/>
      <c r="X144" s="402"/>
      <c r="Y144" s="402"/>
      <c r="Z144" s="402"/>
    </row>
    <row r="145" ht="14.25" customHeight="1">
      <c r="A145" s="406">
        <v>45498.0</v>
      </c>
      <c r="B145" s="349" t="s">
        <v>5725</v>
      </c>
      <c r="C145" s="349" t="s">
        <v>5757</v>
      </c>
      <c r="D145" s="1032" t="s">
        <v>668</v>
      </c>
      <c r="E145" s="413" t="s">
        <v>5785</v>
      </c>
      <c r="F145" s="413">
        <v>3000000.0</v>
      </c>
      <c r="G145" s="413">
        <v>3000000.0</v>
      </c>
      <c r="H145" s="349" t="s">
        <v>149</v>
      </c>
      <c r="I145" s="736" t="str">
        <f t="shared" si="5"/>
        <v>FULLY PAID</v>
      </c>
      <c r="J145" s="402"/>
      <c r="K145" s="402"/>
      <c r="L145" s="402"/>
      <c r="M145" s="402"/>
      <c r="N145" s="402"/>
      <c r="O145" s="402"/>
      <c r="P145" s="402"/>
      <c r="Q145" s="402"/>
      <c r="R145" s="402"/>
      <c r="S145" s="402"/>
      <c r="T145" s="402"/>
      <c r="U145" s="402"/>
      <c r="V145" s="402"/>
      <c r="W145" s="402"/>
      <c r="X145" s="402"/>
      <c r="Y145" s="402"/>
      <c r="Z145" s="402"/>
    </row>
    <row r="146" ht="14.25" customHeight="1">
      <c r="A146" s="406">
        <v>45498.0</v>
      </c>
      <c r="B146" s="349" t="s">
        <v>5651</v>
      </c>
      <c r="C146" s="349" t="s">
        <v>5652</v>
      </c>
      <c r="D146" s="1032" t="s">
        <v>54</v>
      </c>
      <c r="E146" s="413" t="s">
        <v>5789</v>
      </c>
      <c r="F146" s="413">
        <v>45265.5</v>
      </c>
      <c r="G146" s="403"/>
      <c r="H146" s="402"/>
      <c r="I146" s="736" t="str">
        <f t="shared" si="5"/>
        <v>NOT PAID</v>
      </c>
      <c r="J146" s="402"/>
      <c r="K146" s="402"/>
      <c r="L146" s="402"/>
      <c r="M146" s="402"/>
      <c r="N146" s="402"/>
      <c r="O146" s="402"/>
      <c r="P146" s="402"/>
      <c r="Q146" s="402"/>
      <c r="R146" s="402"/>
      <c r="S146" s="402"/>
      <c r="T146" s="402"/>
      <c r="U146" s="402"/>
      <c r="V146" s="402"/>
      <c r="W146" s="402"/>
      <c r="X146" s="402"/>
      <c r="Y146" s="402"/>
      <c r="Z146" s="402"/>
    </row>
    <row r="147" ht="14.25" customHeight="1">
      <c r="A147" s="406">
        <v>45498.0</v>
      </c>
      <c r="B147" s="349" t="s">
        <v>5762</v>
      </c>
      <c r="C147" s="349" t="s">
        <v>5763</v>
      </c>
      <c r="D147" s="1032" t="s">
        <v>54</v>
      </c>
      <c r="E147" s="413" t="s">
        <v>5805</v>
      </c>
      <c r="F147" s="413">
        <v>118580.01</v>
      </c>
      <c r="G147" s="403"/>
      <c r="H147" s="349" t="s">
        <v>5806</v>
      </c>
      <c r="I147" s="736" t="str">
        <f t="shared" si="5"/>
        <v>NOT PAID</v>
      </c>
      <c r="J147" s="402"/>
      <c r="K147" s="402"/>
      <c r="L147" s="402"/>
      <c r="M147" s="402"/>
      <c r="N147" s="402"/>
      <c r="O147" s="402"/>
      <c r="P147" s="402"/>
      <c r="Q147" s="402"/>
      <c r="R147" s="402"/>
      <c r="S147" s="402"/>
      <c r="T147" s="402"/>
      <c r="U147" s="402"/>
      <c r="V147" s="402"/>
      <c r="W147" s="402"/>
      <c r="X147" s="402"/>
      <c r="Y147" s="402"/>
      <c r="Z147" s="402"/>
    </row>
    <row r="148" ht="14.25" customHeight="1">
      <c r="A148" s="406">
        <v>45498.0</v>
      </c>
      <c r="B148" s="349" t="s">
        <v>5654</v>
      </c>
      <c r="C148" s="349" t="s">
        <v>5655</v>
      </c>
      <c r="D148" s="1032" t="s">
        <v>54</v>
      </c>
      <c r="E148" s="413" t="s">
        <v>5789</v>
      </c>
      <c r="F148" s="413">
        <v>9759.65</v>
      </c>
      <c r="G148" s="403"/>
      <c r="H148" s="349" t="s">
        <v>5807</v>
      </c>
      <c r="I148" s="736" t="str">
        <f t="shared" si="5"/>
        <v>NOT PAID</v>
      </c>
      <c r="J148" s="402"/>
      <c r="K148" s="402"/>
      <c r="L148" s="402"/>
      <c r="M148" s="402"/>
      <c r="N148" s="402"/>
      <c r="O148" s="402"/>
      <c r="P148" s="402"/>
      <c r="Q148" s="402"/>
      <c r="R148" s="402"/>
      <c r="S148" s="402"/>
      <c r="T148" s="402"/>
      <c r="U148" s="402"/>
      <c r="V148" s="402"/>
      <c r="W148" s="402"/>
      <c r="X148" s="402"/>
      <c r="Y148" s="402"/>
      <c r="Z148" s="402"/>
    </row>
    <row r="149" ht="14.25" customHeight="1">
      <c r="A149" s="406">
        <v>45498.0</v>
      </c>
      <c r="B149" s="349" t="s">
        <v>5656</v>
      </c>
      <c r="C149" s="349" t="s">
        <v>5657</v>
      </c>
      <c r="D149" s="1032" t="s">
        <v>54</v>
      </c>
      <c r="E149" s="413" t="s">
        <v>5782</v>
      </c>
      <c r="F149" s="413">
        <v>17280.01</v>
      </c>
      <c r="G149" s="403"/>
      <c r="H149" s="349" t="s">
        <v>5808</v>
      </c>
      <c r="I149" s="736" t="str">
        <f t="shared" si="5"/>
        <v>NOT PAID</v>
      </c>
      <c r="J149" s="402"/>
      <c r="K149" s="402"/>
      <c r="L149" s="402"/>
      <c r="M149" s="402"/>
      <c r="N149" s="402"/>
      <c r="O149" s="402"/>
      <c r="P149" s="402"/>
      <c r="Q149" s="402"/>
      <c r="R149" s="402"/>
      <c r="S149" s="402"/>
      <c r="T149" s="402"/>
      <c r="U149" s="402"/>
      <c r="V149" s="402"/>
      <c r="W149" s="402"/>
      <c r="X149" s="402"/>
      <c r="Y149" s="402"/>
      <c r="Z149" s="402"/>
    </row>
    <row r="150" ht="14.25" customHeight="1">
      <c r="A150" s="406">
        <v>45498.0</v>
      </c>
      <c r="B150" s="349" t="s">
        <v>5658</v>
      </c>
      <c r="C150" s="349" t="s">
        <v>5622</v>
      </c>
      <c r="D150" s="1032" t="s">
        <v>54</v>
      </c>
      <c r="E150" s="413" t="s">
        <v>5809</v>
      </c>
      <c r="F150" s="413">
        <v>112627.16</v>
      </c>
      <c r="G150" s="403"/>
      <c r="H150" s="349" t="s">
        <v>267</v>
      </c>
      <c r="I150" s="736" t="str">
        <f t="shared" si="5"/>
        <v>NOT PAID</v>
      </c>
      <c r="J150" s="402"/>
      <c r="K150" s="402"/>
      <c r="L150" s="402"/>
      <c r="M150" s="402"/>
      <c r="N150" s="402"/>
      <c r="O150" s="402"/>
      <c r="P150" s="402"/>
      <c r="Q150" s="402"/>
      <c r="R150" s="402"/>
      <c r="S150" s="402"/>
      <c r="T150" s="402"/>
      <c r="U150" s="402"/>
      <c r="V150" s="402"/>
      <c r="W150" s="402"/>
      <c r="X150" s="402"/>
      <c r="Y150" s="402"/>
      <c r="Z150" s="402"/>
    </row>
    <row r="151" ht="14.25" customHeight="1">
      <c r="A151" s="406">
        <v>45498.0</v>
      </c>
      <c r="B151" s="349" t="s">
        <v>5664</v>
      </c>
      <c r="C151" s="349" t="s">
        <v>5665</v>
      </c>
      <c r="D151" s="1032" t="s">
        <v>75</v>
      </c>
      <c r="E151" s="413" t="s">
        <v>5789</v>
      </c>
      <c r="F151" s="413">
        <v>241500.0</v>
      </c>
      <c r="G151" s="403"/>
      <c r="H151" s="349" t="s">
        <v>267</v>
      </c>
      <c r="I151" s="736" t="str">
        <f t="shared" si="5"/>
        <v>NOT PAID</v>
      </c>
      <c r="J151" s="402"/>
      <c r="K151" s="402"/>
      <c r="L151" s="402"/>
      <c r="M151" s="402"/>
      <c r="N151" s="402"/>
      <c r="O151" s="402"/>
      <c r="P151" s="402"/>
      <c r="Q151" s="402"/>
      <c r="R151" s="402"/>
      <c r="S151" s="402"/>
      <c r="T151" s="402"/>
      <c r="U151" s="402"/>
      <c r="V151" s="402"/>
      <c r="W151" s="402"/>
      <c r="X151" s="402"/>
      <c r="Y151" s="402"/>
      <c r="Z151" s="402"/>
    </row>
    <row r="152" ht="14.25" customHeight="1">
      <c r="A152" s="406">
        <v>45498.0</v>
      </c>
      <c r="B152" s="349" t="s">
        <v>5667</v>
      </c>
      <c r="C152" s="349" t="s">
        <v>5668</v>
      </c>
      <c r="D152" s="1032" t="s">
        <v>346</v>
      </c>
      <c r="E152" s="413" t="s">
        <v>5785</v>
      </c>
      <c r="F152" s="413">
        <v>9552.0</v>
      </c>
      <c r="G152" s="403"/>
      <c r="H152" s="349" t="s">
        <v>5669</v>
      </c>
      <c r="I152" s="736" t="str">
        <f t="shared" si="5"/>
        <v>NOT PAID</v>
      </c>
      <c r="J152" s="402"/>
      <c r="K152" s="402"/>
      <c r="L152" s="402"/>
      <c r="M152" s="402"/>
      <c r="N152" s="402"/>
      <c r="O152" s="402"/>
      <c r="P152" s="402"/>
      <c r="Q152" s="402"/>
      <c r="R152" s="402"/>
      <c r="S152" s="402"/>
      <c r="T152" s="402"/>
      <c r="U152" s="402"/>
      <c r="V152" s="402"/>
      <c r="W152" s="402"/>
      <c r="X152" s="402"/>
      <c r="Y152" s="402"/>
      <c r="Z152" s="402"/>
    </row>
    <row r="153" ht="14.25" customHeight="1">
      <c r="A153" s="406">
        <v>45498.0</v>
      </c>
      <c r="B153" s="349" t="s">
        <v>5618</v>
      </c>
      <c r="C153" s="349" t="s">
        <v>5619</v>
      </c>
      <c r="D153" s="1032" t="s">
        <v>54</v>
      </c>
      <c r="E153" s="413" t="s">
        <v>5789</v>
      </c>
      <c r="F153" s="413">
        <v>89123.34</v>
      </c>
      <c r="G153" s="403"/>
      <c r="H153" s="349" t="s">
        <v>267</v>
      </c>
      <c r="I153" s="736" t="str">
        <f t="shared" si="5"/>
        <v>NOT PAID</v>
      </c>
      <c r="J153" s="402"/>
      <c r="K153" s="402"/>
      <c r="L153" s="402"/>
      <c r="M153" s="402"/>
      <c r="N153" s="402"/>
      <c r="O153" s="402"/>
      <c r="P153" s="402"/>
      <c r="Q153" s="402"/>
      <c r="R153" s="402"/>
      <c r="S153" s="402"/>
      <c r="T153" s="402"/>
      <c r="U153" s="402"/>
      <c r="V153" s="402"/>
      <c r="W153" s="402"/>
      <c r="X153" s="402"/>
      <c r="Y153" s="402"/>
      <c r="Z153" s="402"/>
    </row>
    <row r="154" ht="14.25" customHeight="1">
      <c r="A154" s="406">
        <v>45498.0</v>
      </c>
      <c r="B154" s="349" t="s">
        <v>5624</v>
      </c>
      <c r="C154" s="349" t="s">
        <v>5625</v>
      </c>
      <c r="D154" s="1032" t="s">
        <v>54</v>
      </c>
      <c r="E154" s="413" t="s">
        <v>5782</v>
      </c>
      <c r="F154" s="413">
        <v>87496.24</v>
      </c>
      <c r="G154" s="403"/>
      <c r="H154" s="349" t="s">
        <v>267</v>
      </c>
      <c r="I154" s="736" t="str">
        <f t="shared" si="5"/>
        <v>NOT PAID</v>
      </c>
      <c r="J154" s="402"/>
      <c r="K154" s="402"/>
      <c r="L154" s="402"/>
      <c r="M154" s="402"/>
      <c r="N154" s="402"/>
      <c r="O154" s="402"/>
      <c r="P154" s="402"/>
      <c r="Q154" s="402"/>
      <c r="R154" s="402"/>
      <c r="S154" s="402"/>
      <c r="T154" s="402"/>
      <c r="U154" s="402"/>
      <c r="V154" s="402"/>
      <c r="W154" s="402"/>
      <c r="X154" s="402"/>
      <c r="Y154" s="402"/>
      <c r="Z154" s="402"/>
    </row>
    <row r="155" ht="14.25" customHeight="1">
      <c r="A155" s="406">
        <v>45498.0</v>
      </c>
      <c r="B155" s="349" t="s">
        <v>5628</v>
      </c>
      <c r="C155" s="349" t="s">
        <v>5629</v>
      </c>
      <c r="D155" s="1032" t="s">
        <v>54</v>
      </c>
      <c r="E155" s="413" t="s">
        <v>5810</v>
      </c>
      <c r="F155" s="413">
        <v>53381.75</v>
      </c>
      <c r="G155" s="403"/>
      <c r="H155" s="349" t="s">
        <v>2184</v>
      </c>
      <c r="I155" s="736" t="str">
        <f t="shared" si="5"/>
        <v>NOT PAID</v>
      </c>
      <c r="J155" s="402"/>
      <c r="K155" s="402"/>
      <c r="L155" s="402"/>
      <c r="M155" s="402"/>
      <c r="N155" s="402"/>
      <c r="O155" s="402"/>
      <c r="P155" s="402"/>
      <c r="Q155" s="402"/>
      <c r="R155" s="402"/>
      <c r="S155" s="402"/>
      <c r="T155" s="402"/>
      <c r="U155" s="402"/>
      <c r="V155" s="402"/>
      <c r="W155" s="402"/>
      <c r="X155" s="402"/>
      <c r="Y155" s="402"/>
      <c r="Z155" s="402"/>
    </row>
    <row r="156" ht="14.25" customHeight="1">
      <c r="A156" s="406">
        <v>45498.0</v>
      </c>
      <c r="B156" s="349" t="s">
        <v>5811</v>
      </c>
      <c r="C156" s="349" t="s">
        <v>5812</v>
      </c>
      <c r="D156" s="1032" t="s">
        <v>54</v>
      </c>
      <c r="E156" s="413" t="s">
        <v>5789</v>
      </c>
      <c r="F156" s="413">
        <v>32250.0</v>
      </c>
      <c r="G156" s="403"/>
      <c r="H156" s="349" t="s">
        <v>267</v>
      </c>
      <c r="I156" s="736" t="str">
        <f t="shared" si="5"/>
        <v>NOT PAID</v>
      </c>
      <c r="J156" s="402"/>
      <c r="K156" s="402"/>
      <c r="L156" s="402"/>
      <c r="M156" s="402"/>
      <c r="N156" s="402"/>
      <c r="O156" s="402"/>
      <c r="P156" s="402"/>
      <c r="Q156" s="402"/>
      <c r="R156" s="402"/>
      <c r="S156" s="402"/>
      <c r="T156" s="402"/>
      <c r="U156" s="402"/>
      <c r="V156" s="402"/>
      <c r="W156" s="402"/>
      <c r="X156" s="402"/>
      <c r="Y156" s="402"/>
      <c r="Z156" s="402"/>
    </row>
    <row r="157" ht="14.25" customHeight="1">
      <c r="A157" s="406">
        <v>45498.0</v>
      </c>
      <c r="B157" s="1038" t="s">
        <v>5813</v>
      </c>
      <c r="C157" s="349" t="s">
        <v>5814</v>
      </c>
      <c r="D157" s="1032" t="s">
        <v>75</v>
      </c>
      <c r="E157" s="413" t="s">
        <v>5789</v>
      </c>
      <c r="F157" s="413">
        <v>57750.0</v>
      </c>
      <c r="G157" s="403"/>
      <c r="H157" s="349" t="s">
        <v>5815</v>
      </c>
      <c r="I157" s="736" t="str">
        <f t="shared" si="5"/>
        <v>NOT PAID</v>
      </c>
      <c r="J157" s="402"/>
      <c r="K157" s="402"/>
      <c r="L157" s="402"/>
      <c r="M157" s="402"/>
      <c r="N157" s="402"/>
      <c r="O157" s="402"/>
      <c r="P157" s="402"/>
      <c r="Q157" s="402"/>
      <c r="R157" s="402"/>
      <c r="S157" s="402"/>
      <c r="T157" s="402"/>
      <c r="U157" s="402"/>
      <c r="V157" s="402"/>
      <c r="W157" s="402"/>
      <c r="X157" s="402"/>
      <c r="Y157" s="402"/>
      <c r="Z157" s="402"/>
    </row>
    <row r="158" ht="14.25" customHeight="1">
      <c r="A158" s="406">
        <v>45498.0</v>
      </c>
      <c r="B158" s="349" t="s">
        <v>5645</v>
      </c>
      <c r="C158" s="349" t="s">
        <v>5646</v>
      </c>
      <c r="D158" s="1032" t="s">
        <v>54</v>
      </c>
      <c r="E158" s="413" t="s">
        <v>5782</v>
      </c>
      <c r="F158" s="413">
        <v>37270.0</v>
      </c>
      <c r="G158" s="403"/>
      <c r="H158" s="349" t="s">
        <v>267</v>
      </c>
      <c r="I158" s="736" t="str">
        <f t="shared" si="5"/>
        <v>NOT PAID</v>
      </c>
      <c r="J158" s="402"/>
      <c r="K158" s="402"/>
      <c r="L158" s="402"/>
      <c r="M158" s="402"/>
      <c r="N158" s="402"/>
      <c r="O158" s="402"/>
      <c r="P158" s="402"/>
      <c r="Q158" s="402"/>
      <c r="R158" s="402"/>
      <c r="S158" s="402"/>
      <c r="T158" s="402"/>
      <c r="U158" s="402"/>
      <c r="V158" s="402"/>
      <c r="W158" s="402"/>
      <c r="X158" s="402"/>
      <c r="Y158" s="402"/>
      <c r="Z158" s="402"/>
    </row>
    <row r="159" ht="14.25" customHeight="1">
      <c r="A159" s="406">
        <v>45498.0</v>
      </c>
      <c r="B159" s="349" t="s">
        <v>5816</v>
      </c>
      <c r="C159" s="424" t="s">
        <v>5817</v>
      </c>
      <c r="D159" s="1032" t="s">
        <v>54</v>
      </c>
      <c r="E159" s="403"/>
      <c r="F159" s="413">
        <v>4636.0</v>
      </c>
      <c r="G159" s="403"/>
      <c r="H159" s="402"/>
      <c r="I159" s="736" t="str">
        <f t="shared" si="5"/>
        <v>NOT PAID</v>
      </c>
      <c r="J159" s="402"/>
      <c r="K159" s="402"/>
      <c r="L159" s="402"/>
      <c r="M159" s="402"/>
      <c r="N159" s="402"/>
      <c r="O159" s="402"/>
      <c r="P159" s="402"/>
      <c r="Q159" s="402"/>
      <c r="R159" s="402"/>
      <c r="S159" s="402"/>
      <c r="T159" s="402"/>
      <c r="U159" s="402"/>
      <c r="V159" s="402"/>
      <c r="W159" s="402"/>
      <c r="X159" s="402"/>
      <c r="Y159" s="402"/>
      <c r="Z159" s="402"/>
    </row>
    <row r="160" ht="14.25" customHeight="1">
      <c r="A160" s="406"/>
      <c r="B160" s="402"/>
      <c r="C160" s="424"/>
      <c r="D160" s="1034"/>
      <c r="E160" s="403"/>
      <c r="F160" s="403"/>
      <c r="G160" s="403"/>
      <c r="H160" s="402"/>
      <c r="I160" s="736"/>
      <c r="J160" s="402"/>
      <c r="K160" s="402"/>
      <c r="L160" s="402"/>
      <c r="M160" s="402"/>
      <c r="N160" s="402"/>
      <c r="O160" s="402"/>
      <c r="P160" s="402"/>
      <c r="Q160" s="402"/>
      <c r="R160" s="402"/>
      <c r="S160" s="402"/>
      <c r="T160" s="402"/>
      <c r="U160" s="402"/>
      <c r="V160" s="402"/>
      <c r="W160" s="402"/>
      <c r="X160" s="402"/>
      <c r="Y160" s="402"/>
      <c r="Z160" s="402"/>
    </row>
    <row r="161" ht="14.25" customHeight="1">
      <c r="A161" s="406"/>
      <c r="B161" s="402"/>
      <c r="C161" s="424" t="s">
        <v>797</v>
      </c>
      <c r="D161" s="1034"/>
      <c r="E161" s="403"/>
      <c r="F161" s="403"/>
      <c r="G161" s="403"/>
      <c r="H161" s="402"/>
      <c r="I161" s="736"/>
      <c r="J161" s="402"/>
      <c r="K161" s="402"/>
      <c r="L161" s="402"/>
      <c r="M161" s="402"/>
      <c r="N161" s="402"/>
      <c r="O161" s="402"/>
      <c r="P161" s="402"/>
      <c r="Q161" s="402"/>
      <c r="R161" s="402"/>
      <c r="S161" s="402"/>
      <c r="T161" s="402"/>
      <c r="U161" s="402"/>
      <c r="V161" s="402"/>
      <c r="W161" s="402"/>
      <c r="X161" s="402"/>
      <c r="Y161" s="402"/>
      <c r="Z161" s="402"/>
    </row>
    <row r="162" ht="19.5" customHeight="1">
      <c r="A162" s="406">
        <v>45498.0</v>
      </c>
      <c r="B162" s="1039" t="s">
        <v>5679</v>
      </c>
      <c r="C162" s="436" t="s">
        <v>5730</v>
      </c>
      <c r="D162" s="778" t="s">
        <v>54</v>
      </c>
      <c r="E162" s="403"/>
      <c r="F162" s="413">
        <v>25000.0</v>
      </c>
      <c r="G162" s="403"/>
      <c r="H162" s="349" t="s">
        <v>5818</v>
      </c>
      <c r="I162" s="736" t="str">
        <f t="shared" ref="I162:I196" si="6">IF(G162&gt;=F162,"FULLY PAID",IF(G162=0,"NOT PAID","PARTIALLY PAID"))</f>
        <v>NOT PAID</v>
      </c>
      <c r="J162" s="402"/>
      <c r="K162" s="402"/>
      <c r="L162" s="402"/>
      <c r="M162" s="402"/>
      <c r="N162" s="402"/>
      <c r="O162" s="402"/>
      <c r="P162" s="402"/>
      <c r="Q162" s="402"/>
      <c r="R162" s="402"/>
      <c r="S162" s="402"/>
      <c r="T162" s="402"/>
      <c r="U162" s="402"/>
      <c r="V162" s="402"/>
      <c r="W162" s="402"/>
      <c r="X162" s="402"/>
      <c r="Y162" s="402"/>
      <c r="Z162" s="402"/>
    </row>
    <row r="163" ht="20.25" customHeight="1">
      <c r="A163" s="406">
        <v>45498.0</v>
      </c>
      <c r="B163" s="436" t="s">
        <v>5687</v>
      </c>
      <c r="C163" s="436" t="s">
        <v>5688</v>
      </c>
      <c r="D163" s="778" t="s">
        <v>54</v>
      </c>
      <c r="E163" s="403"/>
      <c r="F163" s="413">
        <v>50000.0</v>
      </c>
      <c r="G163" s="403"/>
      <c r="H163" s="349" t="s">
        <v>5819</v>
      </c>
      <c r="I163" s="736" t="str">
        <f t="shared" si="6"/>
        <v>NOT PAID</v>
      </c>
      <c r="J163" s="402"/>
      <c r="K163" s="402"/>
      <c r="L163" s="402"/>
      <c r="M163" s="402"/>
      <c r="N163" s="402"/>
      <c r="O163" s="402"/>
      <c r="P163" s="402"/>
      <c r="Q163" s="402"/>
      <c r="R163" s="402"/>
      <c r="S163" s="402"/>
      <c r="T163" s="402"/>
      <c r="U163" s="402"/>
      <c r="V163" s="402"/>
      <c r="W163" s="402"/>
      <c r="X163" s="402"/>
      <c r="Y163" s="402"/>
      <c r="Z163" s="402"/>
    </row>
    <row r="164" ht="20.25" customHeight="1">
      <c r="A164" s="406">
        <v>45498.0</v>
      </c>
      <c r="B164" s="436" t="s">
        <v>5676</v>
      </c>
      <c r="C164" s="436" t="s">
        <v>5820</v>
      </c>
      <c r="D164" s="778" t="s">
        <v>54</v>
      </c>
      <c r="E164" s="403"/>
      <c r="F164" s="413">
        <v>52500.0</v>
      </c>
      <c r="G164" s="403"/>
      <c r="H164" s="349" t="s">
        <v>5821</v>
      </c>
      <c r="I164" s="736" t="str">
        <f t="shared" si="6"/>
        <v>NOT PAID</v>
      </c>
      <c r="J164" s="402"/>
      <c r="K164" s="402"/>
      <c r="L164" s="402"/>
      <c r="M164" s="402"/>
      <c r="N164" s="402"/>
      <c r="O164" s="402"/>
      <c r="P164" s="402"/>
      <c r="Q164" s="402"/>
      <c r="R164" s="402"/>
      <c r="S164" s="402"/>
      <c r="T164" s="402"/>
      <c r="U164" s="402"/>
      <c r="V164" s="402"/>
      <c r="W164" s="402"/>
      <c r="X164" s="402"/>
      <c r="Y164" s="402"/>
      <c r="Z164" s="402"/>
    </row>
    <row r="165" ht="14.25" customHeight="1">
      <c r="A165" s="406">
        <v>45498.0</v>
      </c>
      <c r="B165" s="569" t="s">
        <v>5822</v>
      </c>
      <c r="C165" s="569" t="s">
        <v>5823</v>
      </c>
      <c r="D165" s="1040" t="s">
        <v>2010</v>
      </c>
      <c r="E165" s="413" t="s">
        <v>2165</v>
      </c>
      <c r="F165" s="770">
        <v>100000.0</v>
      </c>
      <c r="G165" s="413">
        <v>20000.0</v>
      </c>
      <c r="H165" s="349" t="s">
        <v>5824</v>
      </c>
      <c r="I165" s="736" t="str">
        <f t="shared" si="6"/>
        <v>PARTIALLY PAID</v>
      </c>
      <c r="J165" s="402"/>
      <c r="K165" s="402"/>
      <c r="L165" s="402"/>
      <c r="M165" s="402"/>
      <c r="N165" s="402"/>
      <c r="O165" s="402"/>
      <c r="P165" s="402"/>
      <c r="Q165" s="402"/>
      <c r="R165" s="402"/>
      <c r="S165" s="402"/>
      <c r="T165" s="402"/>
      <c r="U165" s="402"/>
      <c r="V165" s="402"/>
      <c r="W165" s="402"/>
      <c r="X165" s="402"/>
      <c r="Y165" s="402"/>
      <c r="Z165" s="402"/>
    </row>
    <row r="166" ht="14.25" customHeight="1">
      <c r="A166" s="406">
        <v>45498.0</v>
      </c>
      <c r="B166" s="599" t="s">
        <v>5682</v>
      </c>
      <c r="C166" s="599" t="s">
        <v>5683</v>
      </c>
      <c r="D166" s="599" t="s">
        <v>54</v>
      </c>
      <c r="E166" s="413" t="s">
        <v>2165</v>
      </c>
      <c r="F166" s="768">
        <v>150000.0</v>
      </c>
      <c r="G166" s="403"/>
      <c r="H166" s="349" t="s">
        <v>5684</v>
      </c>
      <c r="I166" s="736" t="str">
        <f t="shared" si="6"/>
        <v>NOT PAID</v>
      </c>
      <c r="J166" s="402"/>
      <c r="K166" s="402"/>
      <c r="L166" s="402"/>
      <c r="M166" s="402"/>
      <c r="N166" s="402"/>
      <c r="O166" s="402"/>
      <c r="P166" s="402"/>
      <c r="Q166" s="402"/>
      <c r="R166" s="402"/>
      <c r="S166" s="402"/>
      <c r="T166" s="402"/>
      <c r="U166" s="402"/>
      <c r="V166" s="402"/>
      <c r="W166" s="402"/>
      <c r="X166" s="402"/>
      <c r="Y166" s="402"/>
      <c r="Z166" s="402"/>
    </row>
    <row r="167" ht="14.25" customHeight="1">
      <c r="A167" s="406">
        <v>45498.0</v>
      </c>
      <c r="B167" s="569" t="s">
        <v>5685</v>
      </c>
      <c r="C167" s="569" t="s">
        <v>5686</v>
      </c>
      <c r="D167" s="599" t="s">
        <v>54</v>
      </c>
      <c r="E167" s="413" t="s">
        <v>2165</v>
      </c>
      <c r="F167" s="770">
        <v>100000.0</v>
      </c>
      <c r="G167" s="413">
        <v>25000.0</v>
      </c>
      <c r="H167" s="349" t="s">
        <v>5684</v>
      </c>
      <c r="I167" s="736" t="str">
        <f t="shared" si="6"/>
        <v>PARTIALLY PAID</v>
      </c>
      <c r="J167" s="402"/>
      <c r="K167" s="402"/>
      <c r="L167" s="402"/>
      <c r="M167" s="402"/>
      <c r="N167" s="402"/>
      <c r="O167" s="402"/>
      <c r="P167" s="402"/>
      <c r="Q167" s="402"/>
      <c r="R167" s="402"/>
      <c r="S167" s="402"/>
      <c r="T167" s="402"/>
      <c r="U167" s="402"/>
      <c r="V167" s="402"/>
      <c r="W167" s="402"/>
      <c r="X167" s="402"/>
      <c r="Y167" s="402"/>
      <c r="Z167" s="402"/>
    </row>
    <row r="168" ht="14.25" customHeight="1">
      <c r="A168" s="406"/>
      <c r="B168" s="402"/>
      <c r="C168" s="402"/>
      <c r="D168" s="1034"/>
      <c r="E168" s="403"/>
      <c r="F168" s="403"/>
      <c r="G168" s="403"/>
      <c r="H168" s="402"/>
      <c r="I168" s="736" t="str">
        <f t="shared" si="6"/>
        <v>FULLY PAID</v>
      </c>
      <c r="J168" s="402"/>
      <c r="K168" s="402"/>
      <c r="L168" s="402"/>
      <c r="M168" s="402"/>
      <c r="N168" s="402"/>
      <c r="O168" s="402"/>
      <c r="P168" s="402"/>
      <c r="Q168" s="402"/>
      <c r="R168" s="402"/>
      <c r="S168" s="402"/>
      <c r="T168" s="402"/>
      <c r="U168" s="402"/>
      <c r="V168" s="402"/>
      <c r="W168" s="402"/>
      <c r="X168" s="402"/>
      <c r="Y168" s="402"/>
      <c r="Z168" s="402"/>
    </row>
    <row r="169" ht="14.25" customHeight="1">
      <c r="A169" s="406"/>
      <c r="B169" s="402"/>
      <c r="C169" s="402"/>
      <c r="D169" s="1034"/>
      <c r="E169" s="403"/>
      <c r="F169" s="403"/>
      <c r="G169" s="403"/>
      <c r="H169" s="402"/>
      <c r="I169" s="736" t="str">
        <f t="shared" si="6"/>
        <v>FULLY PAID</v>
      </c>
      <c r="J169" s="402"/>
      <c r="K169" s="402"/>
      <c r="L169" s="402"/>
      <c r="M169" s="402"/>
      <c r="N169" s="402"/>
      <c r="O169" s="402"/>
      <c r="P169" s="402"/>
      <c r="Q169" s="402"/>
      <c r="R169" s="402"/>
      <c r="S169" s="402"/>
      <c r="T169" s="402"/>
      <c r="U169" s="402"/>
      <c r="V169" s="402"/>
      <c r="W169" s="402"/>
      <c r="X169" s="402"/>
      <c r="Y169" s="402"/>
      <c r="Z169" s="402"/>
    </row>
    <row r="170" ht="14.25" customHeight="1">
      <c r="A170" s="406">
        <v>45499.0</v>
      </c>
      <c r="B170" s="349" t="s">
        <v>5825</v>
      </c>
      <c r="C170" s="349" t="s">
        <v>5826</v>
      </c>
      <c r="D170" s="1032" t="s">
        <v>54</v>
      </c>
      <c r="E170" s="413" t="s">
        <v>5785</v>
      </c>
      <c r="F170" s="413">
        <v>38337.03</v>
      </c>
      <c r="G170" s="403"/>
      <c r="H170" s="349" t="s">
        <v>5794</v>
      </c>
      <c r="I170" s="736" t="str">
        <f t="shared" si="6"/>
        <v>NOT PAID</v>
      </c>
      <c r="J170" s="402"/>
      <c r="K170" s="402"/>
      <c r="L170" s="402"/>
      <c r="M170" s="402"/>
      <c r="N170" s="402"/>
      <c r="O170" s="402"/>
      <c r="P170" s="402"/>
      <c r="Q170" s="402"/>
      <c r="R170" s="402"/>
      <c r="S170" s="402"/>
      <c r="T170" s="402"/>
      <c r="U170" s="402"/>
      <c r="V170" s="402"/>
      <c r="W170" s="402"/>
      <c r="X170" s="402"/>
      <c r="Y170" s="402"/>
      <c r="Z170" s="402"/>
    </row>
    <row r="171" ht="14.25" customHeight="1">
      <c r="A171" s="406">
        <v>45499.0</v>
      </c>
      <c r="B171" s="349" t="s">
        <v>5733</v>
      </c>
      <c r="C171" s="349" t="s">
        <v>5734</v>
      </c>
      <c r="D171" s="1032" t="s">
        <v>54</v>
      </c>
      <c r="E171" s="413" t="s">
        <v>931</v>
      </c>
      <c r="F171" s="413">
        <v>255853.17</v>
      </c>
      <c r="G171" s="403"/>
      <c r="H171" s="402"/>
      <c r="I171" s="736" t="str">
        <f t="shared" si="6"/>
        <v>NOT PAID</v>
      </c>
      <c r="J171" s="402"/>
      <c r="K171" s="402"/>
      <c r="L171" s="402"/>
      <c r="M171" s="402"/>
      <c r="N171" s="402"/>
      <c r="O171" s="402"/>
      <c r="P171" s="402"/>
      <c r="Q171" s="402"/>
      <c r="R171" s="402"/>
      <c r="S171" s="402"/>
      <c r="T171" s="402"/>
      <c r="U171" s="402"/>
      <c r="V171" s="402"/>
      <c r="W171" s="402"/>
      <c r="X171" s="402"/>
      <c r="Y171" s="402"/>
      <c r="Z171" s="402"/>
    </row>
    <row r="172" ht="14.25" customHeight="1">
      <c r="A172" s="406">
        <v>45499.0</v>
      </c>
      <c r="B172" s="349" t="s">
        <v>5827</v>
      </c>
      <c r="C172" s="349" t="s">
        <v>5828</v>
      </c>
      <c r="D172" s="1032" t="s">
        <v>54</v>
      </c>
      <c r="E172" s="413" t="s">
        <v>5789</v>
      </c>
      <c r="F172" s="413">
        <v>19695.0</v>
      </c>
      <c r="G172" s="413">
        <v>25000.0</v>
      </c>
      <c r="H172" s="349" t="s">
        <v>267</v>
      </c>
      <c r="I172" s="736" t="str">
        <f t="shared" si="6"/>
        <v>FULLY PAID</v>
      </c>
      <c r="J172" s="402"/>
      <c r="K172" s="402"/>
      <c r="L172" s="402"/>
      <c r="M172" s="402"/>
      <c r="N172" s="402"/>
      <c r="O172" s="402"/>
      <c r="P172" s="402"/>
      <c r="Q172" s="402"/>
      <c r="R172" s="402"/>
      <c r="S172" s="402"/>
      <c r="T172" s="402"/>
      <c r="U172" s="402"/>
      <c r="V172" s="402"/>
      <c r="W172" s="402"/>
      <c r="X172" s="402"/>
      <c r="Y172" s="402"/>
      <c r="Z172" s="402"/>
    </row>
    <row r="173" ht="14.25" customHeight="1">
      <c r="A173" s="406">
        <v>45499.0</v>
      </c>
      <c r="B173" s="349" t="s">
        <v>5829</v>
      </c>
      <c r="C173" s="349" t="s">
        <v>5830</v>
      </c>
      <c r="D173" s="1032" t="s">
        <v>54</v>
      </c>
      <c r="E173" s="413" t="s">
        <v>5789</v>
      </c>
      <c r="F173" s="413">
        <v>32876.11</v>
      </c>
      <c r="G173" s="403"/>
      <c r="H173" s="402"/>
      <c r="I173" s="736" t="str">
        <f t="shared" si="6"/>
        <v>NOT PAID</v>
      </c>
      <c r="J173" s="402"/>
      <c r="K173" s="402"/>
      <c r="L173" s="402"/>
      <c r="M173" s="402"/>
      <c r="N173" s="402"/>
      <c r="O173" s="402"/>
      <c r="P173" s="402"/>
      <c r="Q173" s="402"/>
      <c r="R173" s="402"/>
      <c r="S173" s="402"/>
      <c r="T173" s="402"/>
      <c r="U173" s="402"/>
      <c r="V173" s="402"/>
      <c r="W173" s="402"/>
      <c r="X173" s="402"/>
      <c r="Y173" s="402"/>
      <c r="Z173" s="402"/>
    </row>
    <row r="174" ht="14.25" customHeight="1">
      <c r="A174" s="406">
        <v>45499.0</v>
      </c>
      <c r="B174" s="349" t="s">
        <v>5831</v>
      </c>
      <c r="C174" s="349" t="s">
        <v>5832</v>
      </c>
      <c r="D174" s="1032" t="s">
        <v>346</v>
      </c>
      <c r="E174" s="413" t="s">
        <v>5789</v>
      </c>
      <c r="F174" s="413">
        <v>12000.0</v>
      </c>
      <c r="G174" s="403"/>
      <c r="H174" s="349" t="s">
        <v>5833</v>
      </c>
      <c r="I174" s="736" t="str">
        <f t="shared" si="6"/>
        <v>NOT PAID</v>
      </c>
      <c r="J174" s="402"/>
      <c r="K174" s="402"/>
      <c r="L174" s="402"/>
      <c r="M174" s="402"/>
      <c r="N174" s="402"/>
      <c r="O174" s="402"/>
      <c r="P174" s="402"/>
      <c r="Q174" s="402"/>
      <c r="R174" s="402"/>
      <c r="S174" s="402"/>
      <c r="T174" s="402"/>
      <c r="U174" s="402"/>
      <c r="V174" s="402"/>
      <c r="W174" s="402"/>
      <c r="X174" s="402"/>
      <c r="Y174" s="402"/>
      <c r="Z174" s="402"/>
    </row>
    <row r="175" ht="14.25" customHeight="1">
      <c r="A175" s="406">
        <v>45499.0</v>
      </c>
      <c r="B175" s="349" t="s">
        <v>5834</v>
      </c>
      <c r="C175" s="349" t="s">
        <v>5835</v>
      </c>
      <c r="D175" s="1032" t="s">
        <v>54</v>
      </c>
      <c r="E175" s="413" t="s">
        <v>5782</v>
      </c>
      <c r="F175" s="413">
        <v>135197.39</v>
      </c>
      <c r="G175" s="403"/>
      <c r="H175" s="349" t="s">
        <v>267</v>
      </c>
      <c r="I175" s="736" t="str">
        <f t="shared" si="6"/>
        <v>NOT PAID</v>
      </c>
      <c r="J175" s="402"/>
      <c r="K175" s="402"/>
      <c r="L175" s="402"/>
      <c r="M175" s="402"/>
      <c r="N175" s="402"/>
      <c r="O175" s="402"/>
      <c r="P175" s="402"/>
      <c r="Q175" s="402"/>
      <c r="R175" s="402"/>
      <c r="S175" s="402"/>
      <c r="T175" s="402"/>
      <c r="U175" s="402"/>
      <c r="V175" s="402"/>
      <c r="W175" s="402"/>
      <c r="X175" s="402"/>
      <c r="Y175" s="402"/>
      <c r="Z175" s="402"/>
    </row>
    <row r="176" ht="14.25" customHeight="1">
      <c r="A176" s="406">
        <v>45499.0</v>
      </c>
      <c r="B176" s="349" t="s">
        <v>5836</v>
      </c>
      <c r="C176" s="349" t="s">
        <v>5837</v>
      </c>
      <c r="D176" s="1032" t="s">
        <v>54</v>
      </c>
      <c r="E176" s="413" t="s">
        <v>5782</v>
      </c>
      <c r="F176" s="413">
        <v>21559.78</v>
      </c>
      <c r="G176" s="403"/>
      <c r="H176" s="349" t="s">
        <v>267</v>
      </c>
      <c r="I176" s="736" t="str">
        <f t="shared" si="6"/>
        <v>NOT PAID</v>
      </c>
      <c r="J176" s="402"/>
      <c r="K176" s="402"/>
      <c r="L176" s="402"/>
      <c r="M176" s="402"/>
      <c r="N176" s="402"/>
      <c r="O176" s="402"/>
      <c r="P176" s="402"/>
      <c r="Q176" s="402"/>
      <c r="R176" s="402"/>
      <c r="S176" s="402"/>
      <c r="T176" s="402"/>
      <c r="U176" s="402"/>
      <c r="V176" s="402"/>
      <c r="W176" s="402"/>
      <c r="X176" s="402"/>
      <c r="Y176" s="402"/>
      <c r="Z176" s="402"/>
    </row>
    <row r="177" ht="14.25" customHeight="1">
      <c r="A177" s="406">
        <v>45499.0</v>
      </c>
      <c r="B177" s="349" t="s">
        <v>5838</v>
      </c>
      <c r="C177" s="349" t="s">
        <v>5839</v>
      </c>
      <c r="D177" s="1032" t="s">
        <v>54</v>
      </c>
      <c r="E177" s="413" t="s">
        <v>5789</v>
      </c>
      <c r="F177" s="413">
        <v>109786.53</v>
      </c>
      <c r="G177" s="413">
        <v>150800.0</v>
      </c>
      <c r="H177" s="349" t="s">
        <v>267</v>
      </c>
      <c r="I177" s="736" t="str">
        <f t="shared" si="6"/>
        <v>FULLY PAID</v>
      </c>
      <c r="J177" s="402"/>
      <c r="K177" s="402"/>
      <c r="L177" s="402"/>
      <c r="M177" s="402"/>
      <c r="N177" s="402"/>
      <c r="O177" s="402"/>
      <c r="P177" s="402"/>
      <c r="Q177" s="402"/>
      <c r="R177" s="402"/>
      <c r="S177" s="402"/>
      <c r="T177" s="402"/>
      <c r="U177" s="402"/>
      <c r="V177" s="402"/>
      <c r="W177" s="402"/>
      <c r="X177" s="402"/>
      <c r="Y177" s="402"/>
      <c r="Z177" s="402"/>
    </row>
    <row r="178" ht="14.25" customHeight="1">
      <c r="A178" s="406">
        <v>45499.0</v>
      </c>
      <c r="B178" s="349" t="s">
        <v>5840</v>
      </c>
      <c r="C178" s="349" t="s">
        <v>5841</v>
      </c>
      <c r="D178" s="1032" t="s">
        <v>54</v>
      </c>
      <c r="E178" s="413" t="s">
        <v>5789</v>
      </c>
      <c r="F178" s="413">
        <v>24341.19</v>
      </c>
      <c r="G178" s="413">
        <v>22667.0</v>
      </c>
      <c r="H178" s="349" t="s">
        <v>267</v>
      </c>
      <c r="I178" s="736" t="str">
        <f t="shared" si="6"/>
        <v>PARTIALLY PAID</v>
      </c>
      <c r="J178" s="402"/>
      <c r="K178" s="402"/>
      <c r="L178" s="402"/>
      <c r="M178" s="402"/>
      <c r="N178" s="402"/>
      <c r="O178" s="402"/>
      <c r="P178" s="402"/>
      <c r="Q178" s="402"/>
      <c r="R178" s="402"/>
      <c r="S178" s="402"/>
      <c r="T178" s="402"/>
      <c r="U178" s="402"/>
      <c r="V178" s="402"/>
      <c r="W178" s="402"/>
      <c r="X178" s="402"/>
      <c r="Y178" s="402"/>
      <c r="Z178" s="402"/>
    </row>
    <row r="179" ht="14.25" customHeight="1">
      <c r="A179" s="406">
        <v>45499.0</v>
      </c>
      <c r="B179" s="349" t="s">
        <v>5842</v>
      </c>
      <c r="C179" s="349" t="s">
        <v>5843</v>
      </c>
      <c r="D179" s="1032" t="s">
        <v>54</v>
      </c>
      <c r="E179" s="413" t="s">
        <v>5798</v>
      </c>
      <c r="F179" s="413">
        <v>16083.2</v>
      </c>
      <c r="G179" s="403"/>
      <c r="H179" s="402"/>
      <c r="I179" s="736" t="str">
        <f t="shared" si="6"/>
        <v>NOT PAID</v>
      </c>
      <c r="J179" s="402"/>
      <c r="K179" s="402"/>
      <c r="L179" s="402"/>
      <c r="M179" s="402"/>
      <c r="N179" s="402"/>
      <c r="O179" s="402"/>
      <c r="P179" s="402"/>
      <c r="Q179" s="402"/>
      <c r="R179" s="402"/>
      <c r="S179" s="402"/>
      <c r="T179" s="402"/>
      <c r="U179" s="402"/>
      <c r="V179" s="402"/>
      <c r="W179" s="402"/>
      <c r="X179" s="402"/>
      <c r="Y179" s="402"/>
      <c r="Z179" s="402"/>
    </row>
    <row r="180" ht="14.25" customHeight="1">
      <c r="A180" s="406">
        <v>45499.0</v>
      </c>
      <c r="B180" s="349" t="s">
        <v>5844</v>
      </c>
      <c r="C180" s="349" t="s">
        <v>5845</v>
      </c>
      <c r="D180" s="1032" t="s">
        <v>54</v>
      </c>
      <c r="E180" s="413" t="s">
        <v>5785</v>
      </c>
      <c r="F180" s="413">
        <v>135976.77</v>
      </c>
      <c r="G180" s="403"/>
      <c r="H180" s="349" t="s">
        <v>5846</v>
      </c>
      <c r="I180" s="736" t="str">
        <f t="shared" si="6"/>
        <v>NOT PAID</v>
      </c>
      <c r="J180" s="402"/>
      <c r="K180" s="402"/>
      <c r="L180" s="402"/>
      <c r="M180" s="402"/>
      <c r="N180" s="402"/>
      <c r="O180" s="402"/>
      <c r="P180" s="402"/>
      <c r="Q180" s="402"/>
      <c r="R180" s="402"/>
      <c r="S180" s="402"/>
      <c r="T180" s="402"/>
      <c r="U180" s="402"/>
      <c r="V180" s="402"/>
      <c r="W180" s="402"/>
      <c r="X180" s="402"/>
      <c r="Y180" s="402"/>
      <c r="Z180" s="402"/>
    </row>
    <row r="181" ht="14.25" customHeight="1">
      <c r="A181" s="406">
        <v>45499.0</v>
      </c>
      <c r="B181" s="349" t="s">
        <v>5847</v>
      </c>
      <c r="C181" s="349" t="s">
        <v>5848</v>
      </c>
      <c r="D181" s="1032" t="s">
        <v>54</v>
      </c>
      <c r="E181" s="413" t="s">
        <v>5789</v>
      </c>
      <c r="F181" s="413">
        <v>71911.56</v>
      </c>
      <c r="G181" s="413">
        <v>72011.0</v>
      </c>
      <c r="H181" s="349" t="s">
        <v>267</v>
      </c>
      <c r="I181" s="736" t="str">
        <f t="shared" si="6"/>
        <v>FULLY PAID</v>
      </c>
      <c r="J181" s="402"/>
      <c r="K181" s="402"/>
      <c r="L181" s="402"/>
      <c r="M181" s="402"/>
      <c r="N181" s="402"/>
      <c r="O181" s="402"/>
      <c r="P181" s="402"/>
      <c r="Q181" s="402"/>
      <c r="R181" s="402"/>
      <c r="S181" s="402"/>
      <c r="T181" s="402"/>
      <c r="U181" s="402"/>
      <c r="V181" s="402"/>
      <c r="W181" s="402"/>
      <c r="X181" s="402"/>
      <c r="Y181" s="402"/>
      <c r="Z181" s="402"/>
    </row>
    <row r="182" ht="14.25" customHeight="1">
      <c r="A182" s="406">
        <v>45499.0</v>
      </c>
      <c r="B182" s="349" t="s">
        <v>5849</v>
      </c>
      <c r="C182" s="349" t="s">
        <v>5850</v>
      </c>
      <c r="D182" s="1032" t="s">
        <v>75</v>
      </c>
      <c r="E182" s="413" t="s">
        <v>5851</v>
      </c>
      <c r="F182" s="413">
        <v>172500.0</v>
      </c>
      <c r="G182" s="403"/>
      <c r="H182" s="349" t="s">
        <v>5852</v>
      </c>
      <c r="I182" s="736" t="str">
        <f t="shared" si="6"/>
        <v>NOT PAID</v>
      </c>
      <c r="J182" s="402"/>
      <c r="K182" s="402"/>
      <c r="L182" s="402"/>
      <c r="M182" s="402"/>
      <c r="N182" s="402"/>
      <c r="O182" s="402"/>
      <c r="P182" s="402"/>
      <c r="Q182" s="402"/>
      <c r="R182" s="402"/>
      <c r="S182" s="402"/>
      <c r="T182" s="402"/>
      <c r="U182" s="402"/>
      <c r="V182" s="402"/>
      <c r="W182" s="402"/>
      <c r="X182" s="402"/>
      <c r="Y182" s="402"/>
      <c r="Z182" s="402"/>
    </row>
    <row r="183" ht="14.25" customHeight="1">
      <c r="A183" s="406">
        <v>45499.0</v>
      </c>
      <c r="B183" s="349" t="s">
        <v>5853</v>
      </c>
      <c r="C183" s="349" t="s">
        <v>5854</v>
      </c>
      <c r="D183" s="1032" t="s">
        <v>54</v>
      </c>
      <c r="E183" s="413" t="s">
        <v>5855</v>
      </c>
      <c r="F183" s="413">
        <v>300000.0</v>
      </c>
      <c r="G183" s="403"/>
      <c r="H183" s="402"/>
      <c r="I183" s="736" t="str">
        <f t="shared" si="6"/>
        <v>NOT PAID</v>
      </c>
      <c r="J183" s="402"/>
      <c r="K183" s="402"/>
      <c r="L183" s="402"/>
      <c r="M183" s="402"/>
      <c r="N183" s="402"/>
      <c r="O183" s="402"/>
      <c r="P183" s="402"/>
      <c r="Q183" s="402"/>
      <c r="R183" s="402"/>
      <c r="S183" s="402"/>
      <c r="T183" s="402"/>
      <c r="U183" s="402"/>
      <c r="V183" s="402"/>
      <c r="W183" s="402"/>
      <c r="X183" s="402"/>
      <c r="Y183" s="402"/>
      <c r="Z183" s="402"/>
    </row>
    <row r="184" ht="14.25" customHeight="1">
      <c r="A184" s="406">
        <v>45499.0</v>
      </c>
      <c r="B184" s="402"/>
      <c r="C184" s="349" t="s">
        <v>5757</v>
      </c>
      <c r="D184" s="1032" t="s">
        <v>668</v>
      </c>
      <c r="E184" s="403"/>
      <c r="F184" s="413">
        <v>1000000.0</v>
      </c>
      <c r="G184" s="403"/>
      <c r="H184" s="349" t="s">
        <v>267</v>
      </c>
      <c r="I184" s="736" t="str">
        <f t="shared" si="6"/>
        <v>NOT PAID</v>
      </c>
      <c r="J184" s="402"/>
      <c r="K184" s="402"/>
      <c r="L184" s="402"/>
      <c r="M184" s="402"/>
      <c r="N184" s="402"/>
      <c r="O184" s="402"/>
      <c r="P184" s="402"/>
      <c r="Q184" s="402"/>
      <c r="R184" s="402"/>
      <c r="S184" s="402"/>
      <c r="T184" s="402"/>
      <c r="U184" s="402"/>
      <c r="V184" s="402"/>
      <c r="W184" s="402"/>
      <c r="X184" s="402"/>
      <c r="Y184" s="402"/>
      <c r="Z184" s="402"/>
    </row>
    <row r="185" ht="14.25" customHeight="1">
      <c r="A185" s="406">
        <v>45499.0</v>
      </c>
      <c r="B185" s="402"/>
      <c r="C185" s="349" t="s">
        <v>5856</v>
      </c>
      <c r="D185" s="1032" t="s">
        <v>54</v>
      </c>
      <c r="E185" s="413" t="s">
        <v>5744</v>
      </c>
      <c r="F185" s="413">
        <v>188000.0</v>
      </c>
      <c r="G185" s="403"/>
      <c r="H185" s="402"/>
      <c r="I185" s="736" t="str">
        <f t="shared" si="6"/>
        <v>NOT PAID</v>
      </c>
      <c r="J185" s="402"/>
      <c r="K185" s="402"/>
      <c r="L185" s="402"/>
      <c r="M185" s="402"/>
      <c r="N185" s="402"/>
      <c r="O185" s="402"/>
      <c r="P185" s="402"/>
      <c r="Q185" s="402"/>
      <c r="R185" s="402"/>
      <c r="S185" s="402"/>
      <c r="T185" s="402"/>
      <c r="U185" s="402"/>
      <c r="V185" s="402"/>
      <c r="W185" s="402"/>
      <c r="X185" s="402"/>
      <c r="Y185" s="402"/>
      <c r="Z185" s="402"/>
    </row>
    <row r="186" ht="14.25" customHeight="1">
      <c r="A186" s="406">
        <v>45499.0</v>
      </c>
      <c r="B186" s="402"/>
      <c r="C186" s="349" t="s">
        <v>5857</v>
      </c>
      <c r="D186" s="1032" t="s">
        <v>54</v>
      </c>
      <c r="E186" s="413" t="s">
        <v>5858</v>
      </c>
      <c r="F186" s="413">
        <v>245000.0</v>
      </c>
      <c r="G186" s="403"/>
      <c r="H186" s="349" t="s">
        <v>5859</v>
      </c>
      <c r="I186" s="736" t="str">
        <f t="shared" si="6"/>
        <v>NOT PAID</v>
      </c>
      <c r="J186" s="402"/>
      <c r="K186" s="402"/>
      <c r="L186" s="402"/>
      <c r="M186" s="402"/>
      <c r="N186" s="402"/>
      <c r="O186" s="402"/>
      <c r="P186" s="402"/>
      <c r="Q186" s="402"/>
      <c r="R186" s="402"/>
      <c r="S186" s="402"/>
      <c r="T186" s="402"/>
      <c r="U186" s="402"/>
      <c r="V186" s="402"/>
      <c r="W186" s="402"/>
      <c r="X186" s="402"/>
      <c r="Y186" s="402"/>
      <c r="Z186" s="402"/>
    </row>
    <row r="187" ht="14.25" customHeight="1">
      <c r="A187" s="406">
        <v>45499.0</v>
      </c>
      <c r="B187" s="349" t="s">
        <v>5739</v>
      </c>
      <c r="C187" s="349" t="s">
        <v>5740</v>
      </c>
      <c r="D187" s="1032" t="s">
        <v>54</v>
      </c>
      <c r="E187" s="413" t="s">
        <v>5785</v>
      </c>
      <c r="F187" s="413">
        <v>26061.46</v>
      </c>
      <c r="G187" s="413">
        <v>22000.0</v>
      </c>
      <c r="H187" s="349" t="s">
        <v>5860</v>
      </c>
      <c r="I187" s="736" t="str">
        <f t="shared" si="6"/>
        <v>PARTIALLY PAID</v>
      </c>
      <c r="J187" s="402"/>
      <c r="K187" s="402"/>
      <c r="L187" s="402"/>
      <c r="M187" s="402"/>
      <c r="N187" s="402"/>
      <c r="O187" s="402"/>
      <c r="P187" s="402"/>
      <c r="Q187" s="402"/>
      <c r="R187" s="402"/>
      <c r="S187" s="402"/>
      <c r="T187" s="402"/>
      <c r="U187" s="402"/>
      <c r="V187" s="402"/>
      <c r="W187" s="402"/>
      <c r="X187" s="402"/>
      <c r="Y187" s="402"/>
      <c r="Z187" s="402"/>
    </row>
    <row r="188" ht="14.25" customHeight="1">
      <c r="A188" s="406">
        <v>45499.0</v>
      </c>
      <c r="B188" s="349" t="s">
        <v>5861</v>
      </c>
      <c r="C188" s="349" t="s">
        <v>5862</v>
      </c>
      <c r="D188" s="1032" t="s">
        <v>54</v>
      </c>
      <c r="E188" s="413" t="s">
        <v>5863</v>
      </c>
      <c r="F188" s="413">
        <v>300000.0</v>
      </c>
      <c r="G188" s="413">
        <v>300000.0</v>
      </c>
      <c r="H188" s="349" t="s">
        <v>149</v>
      </c>
      <c r="I188" s="736" t="str">
        <f t="shared" si="6"/>
        <v>FULLY PAID</v>
      </c>
      <c r="J188" s="402"/>
      <c r="K188" s="402"/>
      <c r="L188" s="402"/>
      <c r="M188" s="402"/>
      <c r="N188" s="402"/>
      <c r="O188" s="402"/>
      <c r="P188" s="402"/>
      <c r="Q188" s="402"/>
      <c r="R188" s="402"/>
      <c r="S188" s="402"/>
      <c r="T188" s="402"/>
      <c r="U188" s="402"/>
      <c r="V188" s="402"/>
      <c r="W188" s="402"/>
      <c r="X188" s="402"/>
      <c r="Y188" s="402"/>
      <c r="Z188" s="402"/>
    </row>
    <row r="189" ht="14.25" customHeight="1">
      <c r="A189" s="406">
        <v>45499.0</v>
      </c>
      <c r="B189" s="349" t="s">
        <v>5864</v>
      </c>
      <c r="C189" s="349" t="s">
        <v>5865</v>
      </c>
      <c r="D189" s="1032" t="s">
        <v>54</v>
      </c>
      <c r="E189" s="413" t="s">
        <v>5782</v>
      </c>
      <c r="F189" s="413">
        <v>37500.0</v>
      </c>
      <c r="G189" s="413">
        <v>37500.0</v>
      </c>
      <c r="H189" s="349" t="s">
        <v>149</v>
      </c>
      <c r="I189" s="736" t="str">
        <f t="shared" si="6"/>
        <v>FULLY PAID</v>
      </c>
      <c r="J189" s="402"/>
      <c r="K189" s="402"/>
      <c r="L189" s="402"/>
      <c r="M189" s="402"/>
      <c r="N189" s="402"/>
      <c r="O189" s="402"/>
      <c r="P189" s="402"/>
      <c r="Q189" s="402"/>
      <c r="R189" s="402"/>
      <c r="S189" s="402"/>
      <c r="T189" s="402"/>
      <c r="U189" s="402"/>
      <c r="V189" s="402"/>
      <c r="W189" s="402"/>
      <c r="X189" s="402"/>
      <c r="Y189" s="402"/>
      <c r="Z189" s="402"/>
    </row>
    <row r="190" ht="14.25" customHeight="1">
      <c r="A190" s="406">
        <v>45499.0</v>
      </c>
      <c r="B190" s="402"/>
      <c r="C190" s="349" t="s">
        <v>5866</v>
      </c>
      <c r="D190" s="1032" t="s">
        <v>54</v>
      </c>
      <c r="E190" s="413" t="s">
        <v>5858</v>
      </c>
      <c r="F190" s="413">
        <v>226221.0</v>
      </c>
      <c r="G190" s="403"/>
      <c r="H190" s="349" t="s">
        <v>267</v>
      </c>
      <c r="I190" s="736" t="str">
        <f t="shared" si="6"/>
        <v>NOT PAID</v>
      </c>
      <c r="J190" s="402"/>
      <c r="K190" s="402"/>
      <c r="L190" s="402"/>
      <c r="M190" s="402"/>
      <c r="N190" s="402"/>
      <c r="O190" s="402"/>
      <c r="P190" s="402"/>
      <c r="Q190" s="402"/>
      <c r="R190" s="402"/>
      <c r="S190" s="402"/>
      <c r="T190" s="402"/>
      <c r="U190" s="402"/>
      <c r="V190" s="402"/>
      <c r="W190" s="402"/>
      <c r="X190" s="402"/>
      <c r="Y190" s="402"/>
      <c r="Z190" s="402"/>
    </row>
    <row r="191" ht="14.25" customHeight="1">
      <c r="A191" s="406"/>
      <c r="B191" s="349" t="s">
        <v>5867</v>
      </c>
      <c r="C191" s="424" t="s">
        <v>5868</v>
      </c>
      <c r="D191" s="1032" t="s">
        <v>75</v>
      </c>
      <c r="E191" s="403"/>
      <c r="F191" s="413">
        <v>950000.0</v>
      </c>
      <c r="G191" s="403"/>
      <c r="H191" s="349" t="s">
        <v>267</v>
      </c>
      <c r="I191" s="736" t="str">
        <f t="shared" si="6"/>
        <v>NOT PAID</v>
      </c>
      <c r="J191" s="402"/>
      <c r="K191" s="402"/>
      <c r="L191" s="402"/>
      <c r="M191" s="402"/>
      <c r="N191" s="402"/>
      <c r="O191" s="402"/>
      <c r="P191" s="402"/>
      <c r="Q191" s="402"/>
      <c r="R191" s="402"/>
      <c r="S191" s="402"/>
      <c r="T191" s="402"/>
      <c r="U191" s="402"/>
      <c r="V191" s="402"/>
      <c r="W191" s="402"/>
      <c r="X191" s="402"/>
      <c r="Y191" s="402"/>
      <c r="Z191" s="402"/>
    </row>
    <row r="192" ht="14.25" customHeight="1">
      <c r="A192" s="406">
        <v>45499.0</v>
      </c>
      <c r="B192" s="402"/>
      <c r="C192" s="424" t="s">
        <v>797</v>
      </c>
      <c r="D192" s="1034"/>
      <c r="E192" s="403"/>
      <c r="F192" s="403"/>
      <c r="G192" s="403"/>
      <c r="H192" s="402"/>
      <c r="I192" s="736" t="str">
        <f t="shared" si="6"/>
        <v>FULLY PAID</v>
      </c>
      <c r="J192" s="402"/>
      <c r="K192" s="402"/>
      <c r="L192" s="402"/>
      <c r="M192" s="402"/>
      <c r="N192" s="402"/>
      <c r="O192" s="402"/>
      <c r="P192" s="402"/>
      <c r="Q192" s="402"/>
      <c r="R192" s="402"/>
      <c r="S192" s="402"/>
      <c r="T192" s="402"/>
      <c r="U192" s="402"/>
      <c r="V192" s="402"/>
      <c r="W192" s="402"/>
      <c r="X192" s="402"/>
      <c r="Y192" s="402"/>
      <c r="Z192" s="402"/>
    </row>
    <row r="193" ht="16.5" customHeight="1">
      <c r="A193" s="406">
        <v>45499.0</v>
      </c>
      <c r="B193" s="436" t="s">
        <v>5626</v>
      </c>
      <c r="C193" s="436" t="s">
        <v>5869</v>
      </c>
      <c r="D193" s="668" t="s">
        <v>54</v>
      </c>
      <c r="E193" s="668" t="s">
        <v>4114</v>
      </c>
      <c r="F193" s="758">
        <v>96100.0</v>
      </c>
      <c r="G193" s="403"/>
      <c r="H193" s="349" t="s">
        <v>5870</v>
      </c>
      <c r="I193" s="736" t="str">
        <f t="shared" si="6"/>
        <v>NOT PAID</v>
      </c>
      <c r="J193" s="402"/>
      <c r="K193" s="402"/>
      <c r="L193" s="402"/>
      <c r="M193" s="402"/>
      <c r="N193" s="402"/>
      <c r="O193" s="402"/>
      <c r="P193" s="402"/>
      <c r="Q193" s="402"/>
      <c r="R193" s="402"/>
      <c r="S193" s="402"/>
      <c r="T193" s="402"/>
      <c r="U193" s="402"/>
      <c r="V193" s="402"/>
      <c r="W193" s="402"/>
      <c r="X193" s="402"/>
      <c r="Y193" s="402"/>
      <c r="Z193" s="402"/>
    </row>
    <row r="194" ht="15.75" customHeight="1">
      <c r="A194" s="406">
        <v>45499.0</v>
      </c>
      <c r="B194" s="1039" t="s">
        <v>5679</v>
      </c>
      <c r="C194" s="436" t="s">
        <v>5730</v>
      </c>
      <c r="D194" s="668" t="s">
        <v>54</v>
      </c>
      <c r="E194" s="668" t="s">
        <v>4114</v>
      </c>
      <c r="F194" s="758">
        <v>25000.0</v>
      </c>
      <c r="G194" s="413">
        <v>25000.0</v>
      </c>
      <c r="H194" s="349" t="s">
        <v>5871</v>
      </c>
      <c r="I194" s="736" t="str">
        <f t="shared" si="6"/>
        <v>FULLY PAID</v>
      </c>
      <c r="J194" s="402"/>
      <c r="K194" s="402"/>
      <c r="L194" s="402"/>
      <c r="M194" s="402"/>
      <c r="N194" s="402"/>
      <c r="O194" s="402"/>
      <c r="P194" s="402"/>
      <c r="Q194" s="402"/>
      <c r="R194" s="402"/>
      <c r="S194" s="402"/>
      <c r="T194" s="402"/>
      <c r="U194" s="402"/>
      <c r="V194" s="402"/>
      <c r="W194" s="402"/>
      <c r="X194" s="402"/>
      <c r="Y194" s="402"/>
      <c r="Z194" s="402"/>
    </row>
    <row r="195" ht="20.25" customHeight="1">
      <c r="A195" s="406">
        <v>45499.0</v>
      </c>
      <c r="B195" s="436" t="s">
        <v>5687</v>
      </c>
      <c r="C195" s="436" t="s">
        <v>5688</v>
      </c>
      <c r="D195" s="668" t="s">
        <v>54</v>
      </c>
      <c r="E195" s="668" t="s">
        <v>4114</v>
      </c>
      <c r="F195" s="758">
        <v>100000.0</v>
      </c>
      <c r="G195" s="403"/>
      <c r="H195" s="349" t="s">
        <v>5689</v>
      </c>
      <c r="I195" s="736" t="str">
        <f t="shared" si="6"/>
        <v>NOT PAID</v>
      </c>
      <c r="J195" s="402"/>
      <c r="K195" s="402"/>
      <c r="L195" s="402"/>
      <c r="M195" s="402"/>
      <c r="N195" s="402"/>
      <c r="O195" s="402"/>
      <c r="P195" s="402"/>
      <c r="Q195" s="402"/>
      <c r="R195" s="402"/>
      <c r="S195" s="402"/>
      <c r="T195" s="402"/>
      <c r="U195" s="402"/>
      <c r="V195" s="402"/>
      <c r="W195" s="402"/>
      <c r="X195" s="402"/>
      <c r="Y195" s="402"/>
      <c r="Z195" s="402"/>
    </row>
    <row r="196" ht="16.5" customHeight="1">
      <c r="A196" s="406">
        <v>45499.0</v>
      </c>
      <c r="B196" s="436" t="s">
        <v>5872</v>
      </c>
      <c r="C196" s="436" t="s">
        <v>5873</v>
      </c>
      <c r="D196" s="668" t="s">
        <v>54</v>
      </c>
      <c r="E196" s="668" t="s">
        <v>4114</v>
      </c>
      <c r="F196" s="413">
        <v>15000.0</v>
      </c>
      <c r="G196" s="413">
        <v>15000.0</v>
      </c>
      <c r="H196" s="349" t="s">
        <v>267</v>
      </c>
      <c r="I196" s="736" t="str">
        <f t="shared" si="6"/>
        <v>FULLY PAID</v>
      </c>
      <c r="J196" s="402"/>
      <c r="K196" s="402"/>
      <c r="L196" s="402"/>
      <c r="M196" s="402"/>
      <c r="N196" s="402"/>
      <c r="O196" s="402"/>
      <c r="P196" s="402"/>
      <c r="Q196" s="402"/>
      <c r="R196" s="402"/>
      <c r="S196" s="402"/>
      <c r="T196" s="402"/>
      <c r="U196" s="402"/>
      <c r="V196" s="402"/>
      <c r="W196" s="402"/>
      <c r="X196" s="402"/>
      <c r="Y196" s="402"/>
      <c r="Z196" s="402"/>
    </row>
    <row r="197" ht="14.25" customHeight="1">
      <c r="A197" s="406"/>
      <c r="B197" s="402"/>
      <c r="C197" s="402"/>
      <c r="D197" s="1034"/>
      <c r="E197" s="403"/>
      <c r="F197" s="403"/>
      <c r="G197" s="403"/>
      <c r="H197" s="402"/>
      <c r="I197" s="736"/>
      <c r="J197" s="402"/>
      <c r="K197" s="402"/>
      <c r="L197" s="402"/>
      <c r="M197" s="402"/>
      <c r="N197" s="402"/>
      <c r="O197" s="402"/>
      <c r="P197" s="402"/>
      <c r="Q197" s="402"/>
      <c r="R197" s="402"/>
      <c r="S197" s="402"/>
      <c r="T197" s="402"/>
      <c r="U197" s="402"/>
      <c r="V197" s="402"/>
      <c r="W197" s="402"/>
      <c r="X197" s="402"/>
      <c r="Y197" s="402"/>
      <c r="Z197" s="402"/>
    </row>
    <row r="198" ht="14.25" customHeight="1">
      <c r="A198" s="402"/>
      <c r="B198" s="402"/>
      <c r="C198" s="402"/>
      <c r="D198" s="1034"/>
      <c r="E198" s="403"/>
      <c r="F198" s="403"/>
      <c r="G198" s="403"/>
      <c r="H198" s="402"/>
      <c r="I198" s="736"/>
      <c r="J198" s="402"/>
      <c r="K198" s="402"/>
      <c r="L198" s="402"/>
      <c r="M198" s="402"/>
      <c r="N198" s="402"/>
      <c r="O198" s="402"/>
      <c r="P198" s="402"/>
      <c r="Q198" s="402"/>
      <c r="R198" s="402"/>
      <c r="S198" s="402"/>
      <c r="T198" s="402"/>
      <c r="U198" s="402"/>
      <c r="V198" s="402"/>
      <c r="W198" s="402"/>
      <c r="X198" s="402"/>
      <c r="Y198" s="402"/>
      <c r="Z198" s="402"/>
    </row>
    <row r="199" ht="14.25" customHeight="1">
      <c r="A199" s="406">
        <v>45500.0</v>
      </c>
      <c r="B199" s="349" t="s">
        <v>5874</v>
      </c>
      <c r="C199" s="349" t="s">
        <v>5875</v>
      </c>
      <c r="D199" s="1032" t="s">
        <v>54</v>
      </c>
      <c r="E199" s="413" t="s">
        <v>5785</v>
      </c>
      <c r="F199" s="413" t="s">
        <v>0</v>
      </c>
      <c r="G199" s="403"/>
      <c r="H199" s="349" t="s">
        <v>5876</v>
      </c>
      <c r="I199" s="736" t="str">
        <f t="shared" ref="I199:I216" si="7">IF(G199&gt;=F199,"FULLY PAID",IF(G199=0,"NOT PAID","PARTIALLY PAID"))</f>
        <v>NOT PAID</v>
      </c>
      <c r="J199" s="402"/>
      <c r="K199" s="402"/>
      <c r="L199" s="402"/>
      <c r="M199" s="402"/>
      <c r="N199" s="402"/>
      <c r="O199" s="402"/>
      <c r="P199" s="402"/>
      <c r="Q199" s="402"/>
      <c r="R199" s="402"/>
      <c r="S199" s="402"/>
      <c r="T199" s="402"/>
      <c r="U199" s="402"/>
      <c r="V199" s="402"/>
      <c r="W199" s="402"/>
      <c r="X199" s="402"/>
      <c r="Y199" s="402"/>
      <c r="Z199" s="402"/>
    </row>
    <row r="200" ht="14.25" customHeight="1">
      <c r="A200" s="406">
        <v>45500.0</v>
      </c>
      <c r="B200" s="349" t="s">
        <v>5877</v>
      </c>
      <c r="C200" s="349" t="s">
        <v>5878</v>
      </c>
      <c r="D200" s="1032" t="s">
        <v>54</v>
      </c>
      <c r="E200" s="413" t="s">
        <v>5782</v>
      </c>
      <c r="F200" s="413">
        <v>11888.0</v>
      </c>
      <c r="G200" s="403"/>
      <c r="H200" s="349" t="s">
        <v>267</v>
      </c>
      <c r="I200" s="736" t="str">
        <f t="shared" si="7"/>
        <v>NOT PAID</v>
      </c>
      <c r="J200" s="402"/>
      <c r="K200" s="402"/>
      <c r="L200" s="402"/>
      <c r="M200" s="402"/>
      <c r="N200" s="402"/>
      <c r="O200" s="402"/>
      <c r="P200" s="402"/>
      <c r="Q200" s="402"/>
      <c r="R200" s="402"/>
      <c r="S200" s="402"/>
      <c r="T200" s="402"/>
      <c r="U200" s="402"/>
      <c r="V200" s="402"/>
      <c r="W200" s="402"/>
      <c r="X200" s="402"/>
      <c r="Y200" s="402"/>
      <c r="Z200" s="402"/>
    </row>
    <row r="201" ht="14.25" customHeight="1">
      <c r="A201" s="406">
        <v>45500.0</v>
      </c>
      <c r="B201" s="349" t="s">
        <v>5879</v>
      </c>
      <c r="C201" s="349" t="s">
        <v>5880</v>
      </c>
      <c r="D201" s="1032" t="s">
        <v>54</v>
      </c>
      <c r="E201" s="413" t="s">
        <v>5785</v>
      </c>
      <c r="F201" s="413">
        <v>8670.64</v>
      </c>
      <c r="G201" s="413">
        <v>21568.0</v>
      </c>
      <c r="H201" s="349" t="s">
        <v>267</v>
      </c>
      <c r="I201" s="736" t="str">
        <f t="shared" si="7"/>
        <v>FULLY PAID</v>
      </c>
      <c r="J201" s="402"/>
      <c r="K201" s="402"/>
      <c r="L201" s="402"/>
      <c r="M201" s="402"/>
      <c r="N201" s="402"/>
      <c r="O201" s="402"/>
      <c r="P201" s="402"/>
      <c r="Q201" s="402"/>
      <c r="R201" s="402"/>
      <c r="S201" s="402"/>
      <c r="T201" s="402"/>
      <c r="U201" s="402"/>
      <c r="V201" s="402"/>
      <c r="W201" s="402"/>
      <c r="X201" s="402"/>
      <c r="Y201" s="402"/>
      <c r="Z201" s="402"/>
    </row>
    <row r="202" ht="14.25" customHeight="1">
      <c r="A202" s="406">
        <v>45500.0</v>
      </c>
      <c r="B202" s="349" t="s">
        <v>5881</v>
      </c>
      <c r="C202" s="349" t="s">
        <v>5882</v>
      </c>
      <c r="D202" s="1032" t="s">
        <v>54</v>
      </c>
      <c r="E202" s="413" t="s">
        <v>5789</v>
      </c>
      <c r="F202" s="413">
        <v>35698.11</v>
      </c>
      <c r="G202" s="403"/>
      <c r="H202" s="349" t="s">
        <v>5883</v>
      </c>
      <c r="I202" s="736" t="str">
        <f t="shared" si="7"/>
        <v>NOT PAID</v>
      </c>
      <c r="J202" s="402"/>
      <c r="K202" s="402"/>
      <c r="L202" s="402"/>
      <c r="M202" s="402"/>
      <c r="N202" s="402"/>
      <c r="O202" s="402"/>
      <c r="P202" s="402"/>
      <c r="Q202" s="402"/>
      <c r="R202" s="402"/>
      <c r="S202" s="402"/>
      <c r="T202" s="402"/>
      <c r="U202" s="402"/>
      <c r="V202" s="402"/>
      <c r="W202" s="402"/>
      <c r="X202" s="402"/>
      <c r="Y202" s="402"/>
      <c r="Z202" s="402"/>
    </row>
    <row r="203" ht="14.25" customHeight="1">
      <c r="A203" s="406">
        <v>45500.0</v>
      </c>
      <c r="B203" s="349" t="s">
        <v>5884</v>
      </c>
      <c r="C203" s="349" t="s">
        <v>5885</v>
      </c>
      <c r="D203" s="1032" t="s">
        <v>54</v>
      </c>
      <c r="E203" s="413" t="s">
        <v>5782</v>
      </c>
      <c r="F203" s="413">
        <v>31980.36</v>
      </c>
      <c r="G203" s="403"/>
      <c r="H203" s="349" t="s">
        <v>267</v>
      </c>
      <c r="I203" s="736" t="str">
        <f t="shared" si="7"/>
        <v>NOT PAID</v>
      </c>
      <c r="J203" s="402"/>
      <c r="K203" s="402"/>
      <c r="L203" s="402"/>
      <c r="M203" s="402"/>
      <c r="N203" s="402"/>
      <c r="O203" s="402"/>
      <c r="P203" s="402"/>
      <c r="Q203" s="402"/>
      <c r="R203" s="402"/>
      <c r="S203" s="402"/>
      <c r="T203" s="402"/>
      <c r="U203" s="402"/>
      <c r="V203" s="402"/>
      <c r="W203" s="402"/>
      <c r="X203" s="402"/>
      <c r="Y203" s="402"/>
      <c r="Z203" s="402"/>
    </row>
    <row r="204" ht="14.25" customHeight="1">
      <c r="A204" s="406">
        <v>45500.0</v>
      </c>
      <c r="B204" s="349" t="s">
        <v>5886</v>
      </c>
      <c r="C204" s="349" t="s">
        <v>5887</v>
      </c>
      <c r="D204" s="1032" t="s">
        <v>54</v>
      </c>
      <c r="E204" s="413" t="s">
        <v>5782</v>
      </c>
      <c r="F204" s="413">
        <v>3659.33</v>
      </c>
      <c r="G204" s="403"/>
      <c r="H204" s="349" t="s">
        <v>267</v>
      </c>
      <c r="I204" s="736" t="str">
        <f t="shared" si="7"/>
        <v>NOT PAID</v>
      </c>
      <c r="J204" s="402"/>
      <c r="K204" s="402"/>
      <c r="L204" s="402"/>
      <c r="M204" s="402"/>
      <c r="N204" s="402"/>
      <c r="O204" s="402"/>
      <c r="P204" s="402"/>
      <c r="Q204" s="402"/>
      <c r="R204" s="402"/>
      <c r="S204" s="402"/>
      <c r="T204" s="402"/>
      <c r="U204" s="402"/>
      <c r="V204" s="402"/>
      <c r="W204" s="402"/>
      <c r="X204" s="402"/>
      <c r="Y204" s="402"/>
      <c r="Z204" s="402"/>
    </row>
    <row r="205" ht="14.25" customHeight="1">
      <c r="A205" s="406">
        <v>45500.0</v>
      </c>
      <c r="B205" s="349" t="s">
        <v>5888</v>
      </c>
      <c r="C205" s="349" t="s">
        <v>5889</v>
      </c>
      <c r="D205" s="1032" t="s">
        <v>54</v>
      </c>
      <c r="E205" s="413" t="s">
        <v>5789</v>
      </c>
      <c r="F205" s="413">
        <v>5000.0</v>
      </c>
      <c r="G205" s="413">
        <v>5000.0</v>
      </c>
      <c r="H205" s="349" t="s">
        <v>267</v>
      </c>
      <c r="I205" s="736" t="str">
        <f t="shared" si="7"/>
        <v>FULLY PAID</v>
      </c>
      <c r="J205" s="402"/>
      <c r="K205" s="402"/>
      <c r="L205" s="402"/>
      <c r="M205" s="402"/>
      <c r="N205" s="402"/>
      <c r="O205" s="402"/>
      <c r="P205" s="402"/>
      <c r="Q205" s="402"/>
      <c r="R205" s="402"/>
      <c r="S205" s="402"/>
      <c r="T205" s="402"/>
      <c r="U205" s="402"/>
      <c r="V205" s="402"/>
      <c r="W205" s="402"/>
      <c r="X205" s="402"/>
      <c r="Y205" s="402"/>
      <c r="Z205" s="402"/>
    </row>
    <row r="206" ht="14.25" customHeight="1">
      <c r="A206" s="406">
        <v>45500.0</v>
      </c>
      <c r="B206" s="349" t="s">
        <v>5890</v>
      </c>
      <c r="C206" s="349" t="s">
        <v>5837</v>
      </c>
      <c r="D206" s="1032" t="s">
        <v>346</v>
      </c>
      <c r="E206" s="413" t="s">
        <v>5785</v>
      </c>
      <c r="F206" s="413">
        <v>8855.96</v>
      </c>
      <c r="G206" s="403"/>
      <c r="H206" s="349" t="s">
        <v>5891</v>
      </c>
      <c r="I206" s="736" t="str">
        <f t="shared" si="7"/>
        <v>NOT PAID</v>
      </c>
      <c r="J206" s="402"/>
      <c r="K206" s="402"/>
      <c r="L206" s="402"/>
      <c r="M206" s="402"/>
      <c r="N206" s="402"/>
      <c r="O206" s="402"/>
      <c r="P206" s="402"/>
      <c r="Q206" s="402"/>
      <c r="R206" s="402"/>
      <c r="S206" s="402"/>
      <c r="T206" s="402"/>
      <c r="U206" s="402"/>
      <c r="V206" s="402"/>
      <c r="W206" s="402"/>
      <c r="X206" s="402"/>
      <c r="Y206" s="402"/>
      <c r="Z206" s="402"/>
    </row>
    <row r="207" ht="14.25" customHeight="1">
      <c r="A207" s="406">
        <v>45500.0</v>
      </c>
      <c r="B207" s="349" t="s">
        <v>5892</v>
      </c>
      <c r="C207" s="349" t="s">
        <v>5893</v>
      </c>
      <c r="D207" s="1032" t="s">
        <v>54</v>
      </c>
      <c r="E207" s="413" t="s">
        <v>5789</v>
      </c>
      <c r="F207" s="413">
        <v>9116.19</v>
      </c>
      <c r="G207" s="413">
        <v>21529.0</v>
      </c>
      <c r="H207" s="455" t="s">
        <v>267</v>
      </c>
      <c r="I207" s="736" t="str">
        <f t="shared" si="7"/>
        <v>FULLY PAID</v>
      </c>
      <c r="J207" s="402"/>
      <c r="K207" s="402"/>
      <c r="L207" s="402"/>
      <c r="M207" s="402"/>
      <c r="N207" s="402"/>
      <c r="O207" s="402"/>
      <c r="P207" s="402"/>
      <c r="Q207" s="402"/>
      <c r="R207" s="402"/>
      <c r="S207" s="402"/>
      <c r="T207" s="402"/>
      <c r="U207" s="402"/>
      <c r="V207" s="402"/>
      <c r="W207" s="402"/>
      <c r="X207" s="402"/>
      <c r="Y207" s="402"/>
      <c r="Z207" s="402"/>
    </row>
    <row r="208" ht="14.25" customHeight="1">
      <c r="A208" s="406">
        <v>45500.0</v>
      </c>
      <c r="B208" s="349" t="s">
        <v>5894</v>
      </c>
      <c r="C208" s="349" t="s">
        <v>5895</v>
      </c>
      <c r="D208" s="1032" t="s">
        <v>54</v>
      </c>
      <c r="E208" s="413" t="s">
        <v>5851</v>
      </c>
      <c r="F208" s="413">
        <v>45922.0</v>
      </c>
      <c r="G208" s="413">
        <v>0.0</v>
      </c>
      <c r="H208" s="349" t="s">
        <v>267</v>
      </c>
      <c r="I208" s="736" t="str">
        <f t="shared" si="7"/>
        <v>NOT PAID</v>
      </c>
      <c r="J208" s="402"/>
      <c r="K208" s="402"/>
      <c r="L208" s="402"/>
      <c r="M208" s="402"/>
      <c r="N208" s="402"/>
      <c r="O208" s="402"/>
      <c r="P208" s="402"/>
      <c r="Q208" s="402"/>
      <c r="R208" s="402"/>
      <c r="S208" s="402"/>
      <c r="T208" s="402"/>
      <c r="U208" s="402"/>
      <c r="V208" s="402"/>
      <c r="W208" s="402"/>
      <c r="X208" s="402"/>
      <c r="Y208" s="402"/>
      <c r="Z208" s="402"/>
    </row>
    <row r="209" ht="14.25" customHeight="1">
      <c r="A209" s="406">
        <v>45500.0</v>
      </c>
      <c r="B209" s="349" t="s">
        <v>5896</v>
      </c>
      <c r="C209" s="349" t="s">
        <v>5897</v>
      </c>
      <c r="D209" s="1032" t="s">
        <v>54</v>
      </c>
      <c r="E209" s="413" t="s">
        <v>5785</v>
      </c>
      <c r="F209" s="413">
        <v>39885.58</v>
      </c>
      <c r="G209" s="413">
        <v>36679.0</v>
      </c>
      <c r="H209" s="349" t="s">
        <v>267</v>
      </c>
      <c r="I209" s="736" t="str">
        <f t="shared" si="7"/>
        <v>PARTIALLY PAID</v>
      </c>
      <c r="J209" s="402"/>
      <c r="K209" s="402"/>
      <c r="L209" s="402"/>
      <c r="M209" s="402"/>
      <c r="N209" s="402"/>
      <c r="O209" s="402"/>
      <c r="P209" s="402"/>
      <c r="Q209" s="402"/>
      <c r="R209" s="402"/>
      <c r="S209" s="402"/>
      <c r="T209" s="402"/>
      <c r="U209" s="402"/>
      <c r="V209" s="402"/>
      <c r="W209" s="402"/>
      <c r="X209" s="402"/>
      <c r="Y209" s="402"/>
      <c r="Z209" s="402"/>
    </row>
    <row r="210" ht="14.25" customHeight="1">
      <c r="A210" s="406">
        <v>45500.0</v>
      </c>
      <c r="B210" s="349" t="s">
        <v>5898</v>
      </c>
      <c r="C210" s="349" t="s">
        <v>5899</v>
      </c>
      <c r="D210" s="1032" t="s">
        <v>75</v>
      </c>
      <c r="E210" s="413" t="s">
        <v>931</v>
      </c>
      <c r="F210" s="413">
        <v>187000.0</v>
      </c>
      <c r="G210" s="413">
        <v>187000.0</v>
      </c>
      <c r="H210" s="349" t="s">
        <v>267</v>
      </c>
      <c r="I210" s="736" t="str">
        <f t="shared" si="7"/>
        <v>FULLY PAID</v>
      </c>
      <c r="J210" s="402"/>
      <c r="K210" s="402"/>
      <c r="L210" s="402"/>
      <c r="M210" s="402"/>
      <c r="N210" s="402"/>
      <c r="O210" s="402"/>
      <c r="P210" s="402"/>
      <c r="Q210" s="402"/>
      <c r="R210" s="402"/>
      <c r="S210" s="402"/>
      <c r="T210" s="402"/>
      <c r="U210" s="402"/>
      <c r="V210" s="402"/>
      <c r="W210" s="402"/>
      <c r="X210" s="402"/>
      <c r="Y210" s="402"/>
      <c r="Z210" s="402"/>
    </row>
    <row r="211" ht="14.25" customHeight="1">
      <c r="A211" s="406">
        <v>45500.0</v>
      </c>
      <c r="B211" s="349" t="s">
        <v>5900</v>
      </c>
      <c r="C211" s="349" t="s">
        <v>5901</v>
      </c>
      <c r="D211" s="1032" t="s">
        <v>319</v>
      </c>
      <c r="E211" s="413" t="s">
        <v>5782</v>
      </c>
      <c r="F211" s="413">
        <v>31700.0</v>
      </c>
      <c r="G211" s="413">
        <v>31700.0</v>
      </c>
      <c r="H211" s="349" t="s">
        <v>267</v>
      </c>
      <c r="I211" s="736" t="str">
        <f t="shared" si="7"/>
        <v>FULLY PAID</v>
      </c>
      <c r="J211" s="402"/>
      <c r="K211" s="402"/>
      <c r="L211" s="402"/>
      <c r="M211" s="402"/>
      <c r="N211" s="402"/>
      <c r="O211" s="402"/>
      <c r="P211" s="402"/>
      <c r="Q211" s="402"/>
      <c r="R211" s="402"/>
      <c r="S211" s="402"/>
      <c r="T211" s="402"/>
      <c r="U211" s="402"/>
      <c r="V211" s="402"/>
      <c r="W211" s="402"/>
      <c r="X211" s="402"/>
      <c r="Y211" s="402"/>
      <c r="Z211" s="402"/>
    </row>
    <row r="212" ht="14.25" customHeight="1">
      <c r="A212" s="406">
        <v>45500.0</v>
      </c>
      <c r="B212" s="349" t="s">
        <v>5733</v>
      </c>
      <c r="C212" s="349" t="s">
        <v>5734</v>
      </c>
      <c r="D212" s="1032" t="s">
        <v>54</v>
      </c>
      <c r="E212" s="413" t="s">
        <v>931</v>
      </c>
      <c r="F212" s="413">
        <v>300000.0</v>
      </c>
      <c r="G212" s="403"/>
      <c r="H212" s="402"/>
      <c r="I212" s="736" t="str">
        <f t="shared" si="7"/>
        <v>NOT PAID</v>
      </c>
      <c r="J212" s="402"/>
      <c r="K212" s="402"/>
      <c r="L212" s="402"/>
      <c r="M212" s="402"/>
      <c r="N212" s="402"/>
      <c r="O212" s="402"/>
      <c r="P212" s="402"/>
      <c r="Q212" s="402"/>
      <c r="R212" s="402"/>
      <c r="S212" s="402"/>
      <c r="T212" s="402"/>
      <c r="U212" s="402"/>
      <c r="V212" s="402"/>
      <c r="W212" s="402"/>
      <c r="X212" s="402"/>
      <c r="Y212" s="402"/>
      <c r="Z212" s="402"/>
    </row>
    <row r="213" ht="14.25" customHeight="1">
      <c r="A213" s="406">
        <v>45500.0</v>
      </c>
      <c r="B213" s="402"/>
      <c r="C213" s="349" t="s">
        <v>5902</v>
      </c>
      <c r="D213" s="1032" t="s">
        <v>54</v>
      </c>
      <c r="E213" s="413" t="s">
        <v>5789</v>
      </c>
      <c r="F213" s="413">
        <v>100000.0</v>
      </c>
      <c r="G213" s="403"/>
      <c r="H213" s="349" t="s">
        <v>267</v>
      </c>
      <c r="I213" s="736" t="str">
        <f t="shared" si="7"/>
        <v>NOT PAID</v>
      </c>
      <c r="J213" s="402"/>
      <c r="K213" s="402"/>
      <c r="L213" s="402"/>
      <c r="M213" s="402"/>
      <c r="N213" s="402"/>
      <c r="O213" s="402"/>
      <c r="P213" s="402"/>
      <c r="Q213" s="402"/>
      <c r="R213" s="402"/>
      <c r="S213" s="402"/>
      <c r="T213" s="402"/>
      <c r="U213" s="402"/>
      <c r="V213" s="402"/>
      <c r="W213" s="402"/>
      <c r="X213" s="402"/>
      <c r="Y213" s="402"/>
      <c r="Z213" s="402"/>
    </row>
    <row r="214" ht="14.25" customHeight="1">
      <c r="A214" s="406">
        <v>45500.0</v>
      </c>
      <c r="B214" s="349" t="s">
        <v>5903</v>
      </c>
      <c r="C214" s="349" t="s">
        <v>5641</v>
      </c>
      <c r="D214" s="1032" t="s">
        <v>668</v>
      </c>
      <c r="E214" s="413" t="s">
        <v>5789</v>
      </c>
      <c r="F214" s="413">
        <v>2000000.0</v>
      </c>
      <c r="G214" s="413">
        <v>1000000.0</v>
      </c>
      <c r="H214" s="349" t="s">
        <v>5904</v>
      </c>
      <c r="I214" s="736" t="str">
        <f t="shared" si="7"/>
        <v>PARTIALLY PAID</v>
      </c>
      <c r="J214" s="402"/>
      <c r="K214" s="402"/>
      <c r="L214" s="402"/>
      <c r="M214" s="402"/>
      <c r="N214" s="402"/>
      <c r="O214" s="402"/>
      <c r="P214" s="402"/>
      <c r="Q214" s="402"/>
      <c r="R214" s="402"/>
      <c r="S214" s="402"/>
      <c r="T214" s="402"/>
      <c r="U214" s="402"/>
      <c r="V214" s="402"/>
      <c r="W214" s="402"/>
      <c r="X214" s="402"/>
      <c r="Y214" s="402"/>
      <c r="Z214" s="402"/>
    </row>
    <row r="215" ht="14.25" customHeight="1">
      <c r="A215" s="406">
        <v>45500.0</v>
      </c>
      <c r="B215" s="402"/>
      <c r="C215" s="349" t="s">
        <v>5905</v>
      </c>
      <c r="D215" s="1032" t="s">
        <v>54</v>
      </c>
      <c r="E215" s="413" t="s">
        <v>5789</v>
      </c>
      <c r="F215" s="413">
        <v>100000.0</v>
      </c>
      <c r="G215" s="403"/>
      <c r="H215" s="349" t="s">
        <v>5906</v>
      </c>
      <c r="I215" s="736" t="str">
        <f t="shared" si="7"/>
        <v>NOT PAID</v>
      </c>
      <c r="J215" s="402"/>
      <c r="K215" s="402"/>
      <c r="L215" s="402"/>
      <c r="M215" s="402"/>
      <c r="N215" s="402"/>
      <c r="O215" s="402"/>
      <c r="P215" s="402"/>
      <c r="Q215" s="402"/>
      <c r="R215" s="402"/>
      <c r="S215" s="402"/>
      <c r="T215" s="402"/>
      <c r="U215" s="402"/>
      <c r="V215" s="402"/>
      <c r="W215" s="402"/>
      <c r="X215" s="402"/>
      <c r="Y215" s="402"/>
      <c r="Z215" s="402"/>
    </row>
    <row r="216" ht="14.25" customHeight="1">
      <c r="A216" s="406"/>
      <c r="B216" s="349" t="s">
        <v>5853</v>
      </c>
      <c r="C216" s="349" t="s">
        <v>5854</v>
      </c>
      <c r="D216" s="1032" t="s">
        <v>54</v>
      </c>
      <c r="E216" s="413" t="s">
        <v>5789</v>
      </c>
      <c r="F216" s="413">
        <v>250000.0</v>
      </c>
      <c r="G216" s="403"/>
      <c r="H216" s="349" t="s">
        <v>5907</v>
      </c>
      <c r="I216" s="736" t="str">
        <f t="shared" si="7"/>
        <v>NOT PAID</v>
      </c>
      <c r="J216" s="402"/>
      <c r="K216" s="402"/>
      <c r="L216" s="402"/>
      <c r="M216" s="402"/>
      <c r="N216" s="402"/>
      <c r="O216" s="402"/>
      <c r="P216" s="402"/>
      <c r="Q216" s="402"/>
      <c r="R216" s="402"/>
      <c r="S216" s="402"/>
      <c r="T216" s="402"/>
      <c r="U216" s="402"/>
      <c r="V216" s="402"/>
      <c r="W216" s="402"/>
      <c r="X216" s="402"/>
      <c r="Y216" s="402"/>
      <c r="Z216" s="402"/>
    </row>
    <row r="217" ht="14.25" customHeight="1">
      <c r="A217" s="406"/>
      <c r="B217" s="402"/>
      <c r="C217" s="424"/>
      <c r="D217" s="1034"/>
      <c r="E217" s="403"/>
      <c r="F217" s="403"/>
      <c r="G217" s="403"/>
      <c r="H217" s="402"/>
      <c r="I217" s="736"/>
      <c r="J217" s="402"/>
      <c r="K217" s="402"/>
      <c r="L217" s="402"/>
      <c r="M217" s="402"/>
      <c r="N217" s="402"/>
      <c r="O217" s="402"/>
      <c r="P217" s="402"/>
      <c r="Q217" s="402"/>
      <c r="R217" s="402"/>
      <c r="S217" s="402"/>
      <c r="T217" s="402"/>
      <c r="U217" s="402"/>
      <c r="V217" s="402"/>
      <c r="W217" s="402"/>
      <c r="X217" s="402"/>
      <c r="Y217" s="402"/>
      <c r="Z217" s="402"/>
    </row>
    <row r="218" ht="17.25" customHeight="1">
      <c r="A218" s="406">
        <v>45500.0</v>
      </c>
      <c r="B218" s="436" t="s">
        <v>5626</v>
      </c>
      <c r="C218" s="436" t="s">
        <v>5869</v>
      </c>
      <c r="D218" s="778" t="s">
        <v>54</v>
      </c>
      <c r="E218" s="413" t="s">
        <v>4114</v>
      </c>
      <c r="F218" s="413">
        <v>177300.0</v>
      </c>
      <c r="G218" s="413">
        <v>7000.0</v>
      </c>
      <c r="H218" s="349" t="s">
        <v>5908</v>
      </c>
      <c r="I218" s="736" t="str">
        <f t="shared" ref="I218:I1013" si="8">IF(G218&gt;=F218,"FULLY PAID",IF(G218=0,"NOT PAID","PARTIALLY PAID"))</f>
        <v>PARTIALLY PAID</v>
      </c>
      <c r="J218" s="402"/>
      <c r="K218" s="402"/>
      <c r="L218" s="402"/>
      <c r="M218" s="402"/>
      <c r="N218" s="402"/>
      <c r="O218" s="402"/>
      <c r="P218" s="402"/>
      <c r="Q218" s="402"/>
      <c r="R218" s="402"/>
      <c r="S218" s="402"/>
      <c r="T218" s="402"/>
      <c r="U218" s="402"/>
      <c r="V218" s="402"/>
      <c r="W218" s="402"/>
      <c r="X218" s="402"/>
      <c r="Y218" s="402"/>
      <c r="Z218" s="402"/>
    </row>
    <row r="219" ht="19.5" customHeight="1">
      <c r="A219" s="406">
        <v>45500.0</v>
      </c>
      <c r="B219" s="436" t="s">
        <v>5727</v>
      </c>
      <c r="C219" s="436" t="s">
        <v>5728</v>
      </c>
      <c r="D219" s="778" t="s">
        <v>54</v>
      </c>
      <c r="E219" s="413" t="s">
        <v>4114</v>
      </c>
      <c r="F219" s="413">
        <v>70000.0</v>
      </c>
      <c r="G219" s="403"/>
      <c r="H219" s="349" t="s">
        <v>5909</v>
      </c>
      <c r="I219" s="736" t="str">
        <f t="shared" si="8"/>
        <v>NOT PAID</v>
      </c>
      <c r="J219" s="402"/>
      <c r="K219" s="402"/>
      <c r="L219" s="402"/>
      <c r="M219" s="402"/>
      <c r="N219" s="402"/>
      <c r="O219" s="402"/>
      <c r="P219" s="402"/>
      <c r="Q219" s="402"/>
      <c r="R219" s="402"/>
      <c r="S219" s="402"/>
      <c r="T219" s="402"/>
      <c r="U219" s="402"/>
      <c r="V219" s="402"/>
      <c r="W219" s="402"/>
      <c r="X219" s="402"/>
      <c r="Y219" s="402"/>
      <c r="Z219" s="402"/>
    </row>
    <row r="220" ht="21.0" customHeight="1">
      <c r="A220" s="406">
        <v>45500.0</v>
      </c>
      <c r="B220" s="436" t="s">
        <v>5872</v>
      </c>
      <c r="C220" s="436" t="s">
        <v>5873</v>
      </c>
      <c r="D220" s="778" t="s">
        <v>54</v>
      </c>
      <c r="E220" s="413" t="s">
        <v>4114</v>
      </c>
      <c r="F220" s="413">
        <v>15000.0</v>
      </c>
      <c r="G220" s="413">
        <v>33000.0</v>
      </c>
      <c r="H220" s="349" t="s">
        <v>5910</v>
      </c>
      <c r="I220" s="736" t="str">
        <f t="shared" si="8"/>
        <v>FULLY PAID</v>
      </c>
      <c r="J220" s="402"/>
      <c r="K220" s="402"/>
      <c r="L220" s="402"/>
      <c r="M220" s="402"/>
      <c r="N220" s="402"/>
      <c r="O220" s="402"/>
      <c r="P220" s="402"/>
      <c r="Q220" s="402"/>
      <c r="R220" s="402"/>
      <c r="S220" s="402"/>
      <c r="T220" s="402"/>
      <c r="U220" s="402"/>
      <c r="V220" s="402"/>
      <c r="W220" s="402"/>
      <c r="X220" s="402"/>
      <c r="Y220" s="402"/>
      <c r="Z220" s="402"/>
    </row>
    <row r="221" ht="14.25" customHeight="1">
      <c r="A221" s="406"/>
      <c r="B221" s="402"/>
      <c r="C221" s="402"/>
      <c r="D221" s="1034"/>
      <c r="E221" s="403"/>
      <c r="F221" s="403"/>
      <c r="G221" s="403"/>
      <c r="H221" s="402"/>
      <c r="I221" s="736" t="str">
        <f t="shared" si="8"/>
        <v>FULLY PAID</v>
      </c>
      <c r="J221" s="402"/>
      <c r="K221" s="402"/>
      <c r="L221" s="402"/>
      <c r="M221" s="402"/>
      <c r="N221" s="402"/>
      <c r="O221" s="402"/>
      <c r="P221" s="402"/>
      <c r="Q221" s="402"/>
      <c r="R221" s="402"/>
      <c r="S221" s="402"/>
      <c r="T221" s="402"/>
      <c r="U221" s="402"/>
      <c r="V221" s="402"/>
      <c r="W221" s="402"/>
      <c r="X221" s="402"/>
      <c r="Y221" s="402"/>
      <c r="Z221" s="402"/>
    </row>
    <row r="222" ht="14.25" customHeight="1">
      <c r="A222" s="406"/>
      <c r="B222" s="402"/>
      <c r="C222" s="402"/>
      <c r="D222" s="1034"/>
      <c r="E222" s="403"/>
      <c r="F222" s="403"/>
      <c r="G222" s="403"/>
      <c r="H222" s="402"/>
      <c r="I222" s="736" t="str">
        <f t="shared" si="8"/>
        <v>FULLY PAID</v>
      </c>
      <c r="J222" s="402"/>
      <c r="K222" s="402"/>
      <c r="L222" s="402"/>
      <c r="M222" s="402"/>
      <c r="N222" s="402"/>
      <c r="O222" s="402"/>
      <c r="P222" s="402"/>
      <c r="Q222" s="402"/>
      <c r="R222" s="402"/>
      <c r="S222" s="402"/>
      <c r="T222" s="402"/>
      <c r="U222" s="402"/>
      <c r="V222" s="402"/>
      <c r="W222" s="402"/>
      <c r="X222" s="402"/>
      <c r="Y222" s="402"/>
      <c r="Z222" s="402"/>
    </row>
    <row r="223" ht="14.25" customHeight="1">
      <c r="A223" s="402"/>
      <c r="B223" s="402"/>
      <c r="C223" s="402"/>
      <c r="D223" s="1034"/>
      <c r="E223" s="403"/>
      <c r="F223" s="403"/>
      <c r="G223" s="403"/>
      <c r="H223" s="402"/>
      <c r="I223" s="736" t="str">
        <f t="shared" si="8"/>
        <v>FULLY PAID</v>
      </c>
      <c r="J223" s="402"/>
      <c r="K223" s="402"/>
      <c r="L223" s="402"/>
      <c r="M223" s="402"/>
      <c r="N223" s="402"/>
      <c r="O223" s="402"/>
      <c r="P223" s="402"/>
      <c r="Q223" s="402"/>
      <c r="R223" s="402"/>
      <c r="S223" s="402"/>
      <c r="T223" s="402"/>
      <c r="U223" s="402"/>
      <c r="V223" s="402"/>
      <c r="W223" s="402"/>
      <c r="X223" s="402"/>
      <c r="Y223" s="402"/>
      <c r="Z223" s="402"/>
    </row>
    <row r="224" ht="14.25" customHeight="1">
      <c r="A224" s="406">
        <v>45502.0</v>
      </c>
      <c r="B224" s="349" t="s">
        <v>5911</v>
      </c>
      <c r="C224" s="349" t="s">
        <v>5912</v>
      </c>
      <c r="D224" s="1032" t="s">
        <v>54</v>
      </c>
      <c r="E224" s="413" t="s">
        <v>5782</v>
      </c>
      <c r="F224" s="413">
        <v>23173.72</v>
      </c>
      <c r="G224" s="403"/>
      <c r="H224" s="349" t="s">
        <v>267</v>
      </c>
      <c r="I224" s="736" t="str">
        <f t="shared" si="8"/>
        <v>NOT PAID</v>
      </c>
      <c r="J224" s="402"/>
      <c r="K224" s="402"/>
      <c r="L224" s="402"/>
      <c r="M224" s="402"/>
      <c r="N224" s="402"/>
      <c r="O224" s="402"/>
      <c r="P224" s="402"/>
      <c r="Q224" s="402"/>
      <c r="R224" s="402"/>
      <c r="S224" s="402"/>
      <c r="T224" s="402"/>
      <c r="U224" s="402"/>
      <c r="V224" s="402"/>
      <c r="W224" s="402"/>
      <c r="X224" s="402"/>
      <c r="Y224" s="402"/>
      <c r="Z224" s="402"/>
    </row>
    <row r="225" ht="14.25" customHeight="1">
      <c r="A225" s="406">
        <v>45502.0</v>
      </c>
      <c r="B225" s="349" t="s">
        <v>5913</v>
      </c>
      <c r="C225" s="349" t="s">
        <v>5914</v>
      </c>
      <c r="D225" s="1032" t="s">
        <v>54</v>
      </c>
      <c r="E225" s="413" t="s">
        <v>5789</v>
      </c>
      <c r="F225" s="413">
        <v>8340.0</v>
      </c>
      <c r="G225" s="403"/>
      <c r="H225" s="402"/>
      <c r="I225" s="736" t="str">
        <f t="shared" si="8"/>
        <v>NOT PAID</v>
      </c>
      <c r="J225" s="402"/>
      <c r="K225" s="402"/>
      <c r="L225" s="402"/>
      <c r="M225" s="402"/>
      <c r="N225" s="402"/>
      <c r="O225" s="402"/>
      <c r="P225" s="402"/>
      <c r="Q225" s="402"/>
      <c r="R225" s="402"/>
      <c r="S225" s="402"/>
      <c r="T225" s="402"/>
      <c r="U225" s="402"/>
      <c r="V225" s="402"/>
      <c r="W225" s="402"/>
      <c r="X225" s="402"/>
      <c r="Y225" s="402"/>
      <c r="Z225" s="402"/>
    </row>
    <row r="226" ht="14.25" customHeight="1">
      <c r="A226" s="406">
        <v>45502.0</v>
      </c>
      <c r="B226" s="349" t="s">
        <v>5915</v>
      </c>
      <c r="C226" s="349" t="s">
        <v>5916</v>
      </c>
      <c r="D226" s="1032" t="s">
        <v>54</v>
      </c>
      <c r="E226" s="413" t="s">
        <v>5782</v>
      </c>
      <c r="F226" s="413">
        <v>146500.0</v>
      </c>
      <c r="G226" s="413">
        <v>96974.0</v>
      </c>
      <c r="H226" s="349" t="s">
        <v>267</v>
      </c>
      <c r="I226" s="736" t="str">
        <f t="shared" si="8"/>
        <v>PARTIALLY PAID</v>
      </c>
      <c r="J226" s="402"/>
      <c r="K226" s="402"/>
      <c r="L226" s="402"/>
      <c r="M226" s="402"/>
      <c r="N226" s="402"/>
      <c r="O226" s="402"/>
      <c r="P226" s="402"/>
      <c r="Q226" s="402"/>
      <c r="R226" s="402"/>
      <c r="S226" s="402"/>
      <c r="T226" s="402"/>
      <c r="U226" s="402"/>
      <c r="V226" s="402"/>
      <c r="W226" s="402"/>
      <c r="X226" s="402"/>
      <c r="Y226" s="402"/>
      <c r="Z226" s="402"/>
    </row>
    <row r="227" ht="14.25" customHeight="1">
      <c r="A227" s="406">
        <v>45502.0</v>
      </c>
      <c r="B227" s="349" t="s">
        <v>5917</v>
      </c>
      <c r="C227" s="349" t="s">
        <v>5918</v>
      </c>
      <c r="D227" s="1032" t="s">
        <v>54</v>
      </c>
      <c r="E227" s="413" t="s">
        <v>5785</v>
      </c>
      <c r="F227" s="413">
        <v>29745.83</v>
      </c>
      <c r="G227" s="778">
        <v>23836.0</v>
      </c>
      <c r="H227" s="349" t="s">
        <v>2198</v>
      </c>
      <c r="I227" s="736" t="str">
        <f t="shared" si="8"/>
        <v>PARTIALLY PAID</v>
      </c>
      <c r="J227" s="402"/>
      <c r="K227" s="402"/>
      <c r="L227" s="402"/>
      <c r="M227" s="402"/>
      <c r="N227" s="402"/>
      <c r="O227" s="402"/>
      <c r="P227" s="402"/>
      <c r="Q227" s="402"/>
      <c r="R227" s="402"/>
      <c r="S227" s="402"/>
      <c r="T227" s="402"/>
      <c r="U227" s="402"/>
      <c r="V227" s="402"/>
      <c r="W227" s="402"/>
      <c r="X227" s="402"/>
      <c r="Y227" s="402"/>
      <c r="Z227" s="402"/>
    </row>
    <row r="228" ht="14.25" customHeight="1">
      <c r="A228" s="406">
        <v>45502.0</v>
      </c>
      <c r="B228" s="349" t="s">
        <v>5919</v>
      </c>
      <c r="C228" s="349" t="s">
        <v>5920</v>
      </c>
      <c r="D228" s="1032" t="s">
        <v>54</v>
      </c>
      <c r="E228" s="413" t="s">
        <v>5798</v>
      </c>
      <c r="F228" s="413">
        <v>34285.13</v>
      </c>
      <c r="G228" s="403"/>
      <c r="H228" s="402"/>
      <c r="I228" s="736" t="str">
        <f t="shared" si="8"/>
        <v>NOT PAID</v>
      </c>
      <c r="J228" s="402"/>
      <c r="K228" s="402"/>
      <c r="L228" s="402"/>
      <c r="M228" s="402"/>
      <c r="N228" s="402"/>
      <c r="O228" s="402"/>
      <c r="P228" s="402"/>
      <c r="Q228" s="402"/>
      <c r="R228" s="402"/>
      <c r="S228" s="402"/>
      <c r="T228" s="402"/>
      <c r="U228" s="402"/>
      <c r="V228" s="402"/>
      <c r="W228" s="402"/>
      <c r="X228" s="402"/>
      <c r="Y228" s="402"/>
      <c r="Z228" s="402"/>
    </row>
    <row r="229" ht="14.25" customHeight="1">
      <c r="A229" s="406">
        <v>45502.0</v>
      </c>
      <c r="B229" s="349" t="s">
        <v>5921</v>
      </c>
      <c r="C229" s="349" t="s">
        <v>5922</v>
      </c>
      <c r="D229" s="1032" t="s">
        <v>54</v>
      </c>
      <c r="E229" s="413" t="s">
        <v>5789</v>
      </c>
      <c r="F229" s="413">
        <v>39229.24</v>
      </c>
      <c r="G229" s="403"/>
      <c r="H229" s="349" t="s">
        <v>5923</v>
      </c>
      <c r="I229" s="736" t="str">
        <f t="shared" si="8"/>
        <v>NOT PAID</v>
      </c>
      <c r="J229" s="402"/>
      <c r="K229" s="402"/>
      <c r="L229" s="402"/>
      <c r="M229" s="402"/>
      <c r="N229" s="402"/>
      <c r="O229" s="402"/>
      <c r="P229" s="402"/>
      <c r="Q229" s="402"/>
      <c r="R229" s="402"/>
      <c r="S229" s="402"/>
      <c r="T229" s="402"/>
      <c r="U229" s="402"/>
      <c r="V229" s="402"/>
      <c r="W229" s="402"/>
      <c r="X229" s="402"/>
      <c r="Y229" s="402"/>
      <c r="Z229" s="402"/>
    </row>
    <row r="230" ht="14.25" customHeight="1">
      <c r="A230" s="406">
        <v>45502.0</v>
      </c>
      <c r="B230" s="349" t="s">
        <v>5924</v>
      </c>
      <c r="C230" s="349" t="s">
        <v>5925</v>
      </c>
      <c r="D230" s="1032" t="s">
        <v>59</v>
      </c>
      <c r="E230" s="413" t="s">
        <v>5810</v>
      </c>
      <c r="F230" s="413">
        <v>358556.0</v>
      </c>
      <c r="G230" s="413">
        <v>358556.0</v>
      </c>
      <c r="H230" s="349" t="s">
        <v>149</v>
      </c>
      <c r="I230" s="736" t="str">
        <f t="shared" si="8"/>
        <v>FULLY PAID</v>
      </c>
      <c r="J230" s="402"/>
      <c r="K230" s="402"/>
      <c r="L230" s="402"/>
      <c r="M230" s="402"/>
      <c r="N230" s="402"/>
      <c r="O230" s="402"/>
      <c r="P230" s="402"/>
      <c r="Q230" s="402"/>
      <c r="R230" s="402"/>
      <c r="S230" s="402"/>
      <c r="T230" s="402"/>
      <c r="U230" s="402"/>
      <c r="V230" s="402"/>
      <c r="W230" s="402"/>
      <c r="X230" s="402"/>
      <c r="Y230" s="402"/>
      <c r="Z230" s="402"/>
    </row>
    <row r="231" ht="14.25" customHeight="1">
      <c r="A231" s="406">
        <v>45502.0</v>
      </c>
      <c r="B231" s="349" t="s">
        <v>5926</v>
      </c>
      <c r="C231" s="349" t="s">
        <v>5927</v>
      </c>
      <c r="D231" s="1034"/>
      <c r="E231" s="413" t="s">
        <v>5928</v>
      </c>
      <c r="F231" s="413">
        <v>13156.0</v>
      </c>
      <c r="G231" s="403"/>
      <c r="H231" s="402"/>
      <c r="I231" s="736" t="str">
        <f t="shared" si="8"/>
        <v>NOT PAID</v>
      </c>
      <c r="J231" s="402"/>
      <c r="K231" s="402"/>
      <c r="L231" s="402"/>
      <c r="M231" s="402"/>
      <c r="N231" s="402"/>
      <c r="O231" s="402"/>
      <c r="P231" s="402"/>
      <c r="Q231" s="402"/>
      <c r="R231" s="402"/>
      <c r="S231" s="402"/>
      <c r="T231" s="402"/>
      <c r="U231" s="402"/>
      <c r="V231" s="402"/>
      <c r="W231" s="402"/>
      <c r="X231" s="402"/>
      <c r="Y231" s="402"/>
      <c r="Z231" s="402"/>
    </row>
    <row r="232" ht="14.25" customHeight="1">
      <c r="A232" s="406">
        <v>45502.0</v>
      </c>
      <c r="B232" s="349" t="s">
        <v>5929</v>
      </c>
      <c r="C232" s="349" t="s">
        <v>5930</v>
      </c>
      <c r="D232" s="1032" t="s">
        <v>54</v>
      </c>
      <c r="E232" s="413" t="s">
        <v>5789</v>
      </c>
      <c r="F232" s="413">
        <v>132250.24</v>
      </c>
      <c r="G232" s="403"/>
      <c r="H232" s="349" t="s">
        <v>5931</v>
      </c>
      <c r="I232" s="736" t="str">
        <f t="shared" si="8"/>
        <v>NOT PAID</v>
      </c>
      <c r="J232" s="402"/>
      <c r="K232" s="402"/>
      <c r="L232" s="402"/>
      <c r="M232" s="402"/>
      <c r="N232" s="402"/>
      <c r="O232" s="402"/>
      <c r="P232" s="402"/>
      <c r="Q232" s="402"/>
      <c r="R232" s="402"/>
      <c r="S232" s="402"/>
      <c r="T232" s="402"/>
      <c r="U232" s="402"/>
      <c r="V232" s="402"/>
      <c r="W232" s="402"/>
      <c r="X232" s="402"/>
      <c r="Y232" s="402"/>
      <c r="Z232" s="402"/>
    </row>
    <row r="233" ht="14.25" customHeight="1">
      <c r="A233" s="406">
        <v>45502.0</v>
      </c>
      <c r="B233" s="349" t="s">
        <v>5932</v>
      </c>
      <c r="C233" s="349" t="s">
        <v>5933</v>
      </c>
      <c r="D233" s="1032" t="s">
        <v>54</v>
      </c>
      <c r="E233" s="413" t="s">
        <v>5789</v>
      </c>
      <c r="F233" s="413">
        <v>20397.85</v>
      </c>
      <c r="G233" s="403"/>
      <c r="H233" s="349" t="s">
        <v>5923</v>
      </c>
      <c r="I233" s="736" t="str">
        <f t="shared" si="8"/>
        <v>NOT PAID</v>
      </c>
      <c r="J233" s="402"/>
      <c r="K233" s="402"/>
      <c r="L233" s="402"/>
      <c r="M233" s="402"/>
      <c r="N233" s="402"/>
      <c r="O233" s="402"/>
      <c r="P233" s="402"/>
      <c r="Q233" s="402"/>
      <c r="R233" s="402"/>
      <c r="S233" s="402"/>
      <c r="T233" s="402"/>
      <c r="U233" s="402"/>
      <c r="V233" s="402"/>
      <c r="W233" s="402"/>
      <c r="X233" s="402"/>
      <c r="Y233" s="402"/>
      <c r="Z233" s="402"/>
    </row>
    <row r="234" ht="14.25" customHeight="1">
      <c r="A234" s="406">
        <v>45502.0</v>
      </c>
      <c r="B234" s="349" t="s">
        <v>5934</v>
      </c>
      <c r="C234" s="349" t="s">
        <v>5882</v>
      </c>
      <c r="D234" s="1032" t="s">
        <v>75</v>
      </c>
      <c r="E234" s="413" t="s">
        <v>5855</v>
      </c>
      <c r="F234" s="413">
        <v>77000.0</v>
      </c>
      <c r="G234" s="413">
        <v>77000.0</v>
      </c>
      <c r="H234" s="349" t="s">
        <v>149</v>
      </c>
      <c r="I234" s="736" t="str">
        <f t="shared" si="8"/>
        <v>FULLY PAID</v>
      </c>
      <c r="J234" s="402"/>
      <c r="K234" s="402"/>
      <c r="L234" s="402"/>
      <c r="M234" s="402"/>
      <c r="N234" s="402"/>
      <c r="O234" s="402"/>
      <c r="P234" s="402"/>
      <c r="Q234" s="402"/>
      <c r="R234" s="402"/>
      <c r="S234" s="402"/>
      <c r="T234" s="402"/>
      <c r="U234" s="402"/>
      <c r="V234" s="402"/>
      <c r="W234" s="402"/>
      <c r="X234" s="402"/>
      <c r="Y234" s="402"/>
      <c r="Z234" s="402"/>
    </row>
    <row r="235" ht="14.25" customHeight="1">
      <c r="A235" s="406">
        <v>45502.0</v>
      </c>
      <c r="B235" s="349" t="s">
        <v>5935</v>
      </c>
      <c r="C235" s="349" t="s">
        <v>5936</v>
      </c>
      <c r="D235" s="1032" t="s">
        <v>54</v>
      </c>
      <c r="E235" s="1041" t="s">
        <v>5785</v>
      </c>
      <c r="F235" s="413">
        <v>5373.97</v>
      </c>
      <c r="G235" s="413">
        <v>22000.0</v>
      </c>
      <c r="H235" s="349" t="s">
        <v>267</v>
      </c>
      <c r="I235" s="736" t="str">
        <f t="shared" si="8"/>
        <v>FULLY PAID</v>
      </c>
      <c r="J235" s="402"/>
      <c r="K235" s="402"/>
      <c r="L235" s="402"/>
      <c r="M235" s="402"/>
      <c r="N235" s="402"/>
      <c r="O235" s="402"/>
      <c r="P235" s="402"/>
      <c r="Q235" s="402"/>
      <c r="R235" s="402"/>
      <c r="S235" s="402"/>
      <c r="T235" s="402"/>
      <c r="U235" s="402"/>
      <c r="V235" s="402"/>
      <c r="W235" s="402"/>
      <c r="X235" s="402"/>
      <c r="Y235" s="402"/>
      <c r="Z235" s="402"/>
    </row>
    <row r="236" ht="14.25" customHeight="1">
      <c r="A236" s="406">
        <v>45502.0</v>
      </c>
      <c r="B236" s="349" t="s">
        <v>5937</v>
      </c>
      <c r="C236" s="349" t="s">
        <v>5916</v>
      </c>
      <c r="D236" s="1032" t="s">
        <v>54</v>
      </c>
      <c r="E236" s="413" t="s">
        <v>5782</v>
      </c>
      <c r="F236" s="413">
        <v>96974.0</v>
      </c>
      <c r="G236" s="413">
        <v>96974.0</v>
      </c>
      <c r="H236" s="349" t="s">
        <v>267</v>
      </c>
      <c r="I236" s="736" t="str">
        <f t="shared" si="8"/>
        <v>FULLY PAID</v>
      </c>
      <c r="J236" s="402"/>
      <c r="K236" s="402"/>
      <c r="L236" s="402"/>
      <c r="M236" s="402"/>
      <c r="N236" s="402"/>
      <c r="O236" s="402"/>
      <c r="P236" s="402"/>
      <c r="Q236" s="402"/>
      <c r="R236" s="402"/>
      <c r="S236" s="402"/>
      <c r="T236" s="402"/>
      <c r="U236" s="402"/>
      <c r="V236" s="402"/>
      <c r="W236" s="402"/>
      <c r="X236" s="402"/>
      <c r="Y236" s="402"/>
      <c r="Z236" s="402"/>
    </row>
    <row r="237" ht="14.25" customHeight="1">
      <c r="A237" s="406">
        <v>45502.0</v>
      </c>
      <c r="B237" s="349" t="s">
        <v>5938</v>
      </c>
      <c r="C237" s="349" t="s">
        <v>5939</v>
      </c>
      <c r="D237" s="1032" t="s">
        <v>54</v>
      </c>
      <c r="E237" s="413" t="s">
        <v>5785</v>
      </c>
      <c r="F237" s="413">
        <v>46824.96</v>
      </c>
      <c r="G237" s="403"/>
      <c r="H237" s="349" t="s">
        <v>5940</v>
      </c>
      <c r="I237" s="736" t="str">
        <f t="shared" si="8"/>
        <v>NOT PAID</v>
      </c>
      <c r="J237" s="402"/>
      <c r="K237" s="402"/>
      <c r="L237" s="402"/>
      <c r="M237" s="402"/>
      <c r="N237" s="402"/>
      <c r="O237" s="402"/>
      <c r="P237" s="402"/>
      <c r="Q237" s="402"/>
      <c r="R237" s="402"/>
      <c r="S237" s="402"/>
      <c r="T237" s="402"/>
      <c r="U237" s="402"/>
      <c r="V237" s="402"/>
      <c r="W237" s="402"/>
      <c r="X237" s="402"/>
      <c r="Y237" s="402"/>
      <c r="Z237" s="402"/>
    </row>
    <row r="238" ht="14.25" customHeight="1">
      <c r="A238" s="406">
        <v>45502.0</v>
      </c>
      <c r="B238" s="349" t="s">
        <v>5941</v>
      </c>
      <c r="C238" s="349" t="s">
        <v>5942</v>
      </c>
      <c r="D238" s="1032" t="s">
        <v>54</v>
      </c>
      <c r="E238" s="413" t="s">
        <v>5782</v>
      </c>
      <c r="F238" s="413">
        <v>185723.38</v>
      </c>
      <c r="G238" s="413">
        <v>200000.0</v>
      </c>
      <c r="H238" s="349" t="s">
        <v>267</v>
      </c>
      <c r="I238" s="736" t="str">
        <f t="shared" si="8"/>
        <v>FULLY PAID</v>
      </c>
      <c r="J238" s="402"/>
      <c r="K238" s="402"/>
      <c r="L238" s="402"/>
      <c r="M238" s="402"/>
      <c r="N238" s="402"/>
      <c r="O238" s="402"/>
      <c r="P238" s="402"/>
      <c r="Q238" s="402"/>
      <c r="R238" s="402"/>
      <c r="S238" s="402"/>
      <c r="T238" s="402"/>
      <c r="U238" s="402"/>
      <c r="V238" s="402"/>
      <c r="W238" s="402"/>
      <c r="X238" s="402"/>
      <c r="Y238" s="402"/>
      <c r="Z238" s="402"/>
    </row>
    <row r="239" ht="14.25" customHeight="1">
      <c r="A239" s="406">
        <v>45502.0</v>
      </c>
      <c r="B239" s="349" t="s">
        <v>5903</v>
      </c>
      <c r="C239" s="349" t="s">
        <v>5641</v>
      </c>
      <c r="D239" s="1032" t="s">
        <v>67</v>
      </c>
      <c r="E239" s="413" t="s">
        <v>5789</v>
      </c>
      <c r="F239" s="413">
        <v>1000000.0</v>
      </c>
      <c r="G239" s="413">
        <v>1000000.0</v>
      </c>
      <c r="H239" s="349" t="s">
        <v>149</v>
      </c>
      <c r="I239" s="736" t="str">
        <f t="shared" si="8"/>
        <v>FULLY PAID</v>
      </c>
      <c r="J239" s="402"/>
      <c r="K239" s="402"/>
      <c r="L239" s="402"/>
      <c r="M239" s="402"/>
      <c r="N239" s="402"/>
      <c r="O239" s="402"/>
      <c r="P239" s="402"/>
      <c r="Q239" s="402"/>
      <c r="R239" s="402"/>
      <c r="S239" s="402"/>
      <c r="T239" s="402"/>
      <c r="U239" s="402"/>
      <c r="V239" s="402"/>
      <c r="W239" s="402"/>
      <c r="X239" s="402"/>
      <c r="Y239" s="402"/>
      <c r="Z239" s="402"/>
    </row>
    <row r="240" ht="14.25" customHeight="1">
      <c r="A240" s="406">
        <v>45502.0</v>
      </c>
      <c r="B240" s="349" t="s">
        <v>5943</v>
      </c>
      <c r="C240" s="349" t="s">
        <v>5944</v>
      </c>
      <c r="D240" s="1032" t="s">
        <v>54</v>
      </c>
      <c r="E240" s="413" t="s">
        <v>5785</v>
      </c>
      <c r="F240" s="413">
        <v>12796.05</v>
      </c>
      <c r="G240" s="403"/>
      <c r="H240" s="349" t="s">
        <v>5945</v>
      </c>
      <c r="I240" s="736" t="str">
        <f t="shared" si="8"/>
        <v>NOT PAID</v>
      </c>
      <c r="J240" s="402"/>
      <c r="K240" s="402"/>
      <c r="L240" s="402"/>
      <c r="M240" s="402"/>
      <c r="N240" s="402"/>
      <c r="O240" s="402"/>
      <c r="P240" s="402"/>
      <c r="Q240" s="402"/>
      <c r="R240" s="402"/>
      <c r="S240" s="402"/>
      <c r="T240" s="402"/>
      <c r="U240" s="402"/>
      <c r="V240" s="402"/>
      <c r="W240" s="402"/>
      <c r="X240" s="402"/>
      <c r="Y240" s="402"/>
      <c r="Z240" s="402"/>
    </row>
    <row r="241" ht="14.25" customHeight="1">
      <c r="A241" s="406">
        <v>45502.0</v>
      </c>
      <c r="B241" s="349" t="s">
        <v>5946</v>
      </c>
      <c r="C241" s="349" t="s">
        <v>5947</v>
      </c>
      <c r="D241" s="1032" t="s">
        <v>54</v>
      </c>
      <c r="E241" s="413" t="s">
        <v>5785</v>
      </c>
      <c r="F241" s="413">
        <v>28639.65</v>
      </c>
      <c r="G241" s="403"/>
      <c r="H241" s="349" t="s">
        <v>3682</v>
      </c>
      <c r="I241" s="736" t="str">
        <f t="shared" si="8"/>
        <v>NOT PAID</v>
      </c>
      <c r="J241" s="402"/>
      <c r="K241" s="402"/>
      <c r="L241" s="402"/>
      <c r="M241" s="402"/>
      <c r="N241" s="402"/>
      <c r="O241" s="402"/>
      <c r="P241" s="402"/>
      <c r="Q241" s="402"/>
      <c r="R241" s="402"/>
      <c r="S241" s="402"/>
      <c r="T241" s="402"/>
      <c r="U241" s="402"/>
      <c r="V241" s="402"/>
      <c r="W241" s="402"/>
      <c r="X241" s="402"/>
      <c r="Y241" s="402"/>
      <c r="Z241" s="402"/>
    </row>
    <row r="242" ht="14.25" customHeight="1">
      <c r="A242" s="406">
        <v>45502.0</v>
      </c>
      <c r="B242" s="349" t="s">
        <v>5948</v>
      </c>
      <c r="C242" s="349" t="s">
        <v>5949</v>
      </c>
      <c r="D242" s="1032" t="s">
        <v>54</v>
      </c>
      <c r="E242" s="413" t="s">
        <v>5782</v>
      </c>
      <c r="F242" s="413">
        <v>13844.36</v>
      </c>
      <c r="G242" s="403"/>
      <c r="H242" s="349" t="s">
        <v>267</v>
      </c>
      <c r="I242" s="736" t="str">
        <f t="shared" si="8"/>
        <v>NOT PAID</v>
      </c>
      <c r="J242" s="402"/>
      <c r="K242" s="402"/>
      <c r="L242" s="402"/>
      <c r="M242" s="402"/>
      <c r="N242" s="402"/>
      <c r="O242" s="402"/>
      <c r="P242" s="402"/>
      <c r="Q242" s="402"/>
      <c r="R242" s="402"/>
      <c r="S242" s="402"/>
      <c r="T242" s="402"/>
      <c r="U242" s="402"/>
      <c r="V242" s="402"/>
      <c r="W242" s="402"/>
      <c r="X242" s="402"/>
      <c r="Y242" s="402"/>
      <c r="Z242" s="402"/>
    </row>
    <row r="243" ht="14.25" customHeight="1">
      <c r="A243" s="406">
        <v>45502.0</v>
      </c>
      <c r="B243" s="349" t="s">
        <v>5950</v>
      </c>
      <c r="C243" s="349" t="s">
        <v>5951</v>
      </c>
      <c r="D243" s="1032" t="s">
        <v>54</v>
      </c>
      <c r="E243" s="413" t="s">
        <v>1168</v>
      </c>
      <c r="F243" s="413">
        <v>107248.0</v>
      </c>
      <c r="G243" s="413">
        <v>107248.0</v>
      </c>
      <c r="H243" s="349" t="s">
        <v>149</v>
      </c>
      <c r="I243" s="736" t="str">
        <f t="shared" si="8"/>
        <v>FULLY PAID</v>
      </c>
      <c r="J243" s="402"/>
      <c r="K243" s="402"/>
      <c r="L243" s="402"/>
      <c r="M243" s="402"/>
      <c r="N243" s="402"/>
      <c r="O243" s="402"/>
      <c r="P243" s="402"/>
      <c r="Q243" s="402"/>
      <c r="R243" s="402"/>
      <c r="S243" s="402"/>
      <c r="T243" s="402"/>
      <c r="U243" s="402"/>
      <c r="V243" s="402"/>
      <c r="W243" s="402"/>
      <c r="X243" s="402"/>
      <c r="Y243" s="402"/>
      <c r="Z243" s="402"/>
    </row>
    <row r="244" ht="14.25" customHeight="1">
      <c r="A244" s="406">
        <v>45502.0</v>
      </c>
      <c r="B244" s="349" t="s">
        <v>5952</v>
      </c>
      <c r="C244" s="349" t="s">
        <v>5953</v>
      </c>
      <c r="D244" s="1032" t="s">
        <v>54</v>
      </c>
      <c r="E244" s="413" t="s">
        <v>5851</v>
      </c>
      <c r="F244" s="413">
        <v>38427.0</v>
      </c>
      <c r="G244" s="413">
        <v>40350.0</v>
      </c>
      <c r="H244" s="349" t="s">
        <v>5954</v>
      </c>
      <c r="I244" s="736" t="str">
        <f t="shared" si="8"/>
        <v>FULLY PAID</v>
      </c>
      <c r="J244" s="402"/>
      <c r="K244" s="402"/>
      <c r="L244" s="402"/>
      <c r="M244" s="402"/>
      <c r="N244" s="402"/>
      <c r="O244" s="402"/>
      <c r="P244" s="402"/>
      <c r="Q244" s="402"/>
      <c r="R244" s="402"/>
      <c r="S244" s="402"/>
      <c r="T244" s="402"/>
      <c r="U244" s="402"/>
      <c r="V244" s="402"/>
      <c r="W244" s="402"/>
      <c r="X244" s="402"/>
      <c r="Y244" s="402"/>
      <c r="Z244" s="402"/>
    </row>
    <row r="245" ht="14.25" customHeight="1">
      <c r="A245" s="406">
        <v>45502.0</v>
      </c>
      <c r="B245" s="349" t="s">
        <v>5756</v>
      </c>
      <c r="C245" s="349" t="s">
        <v>5641</v>
      </c>
      <c r="D245" s="1032" t="s">
        <v>67</v>
      </c>
      <c r="E245" s="413" t="s">
        <v>5855</v>
      </c>
      <c r="F245" s="413">
        <v>1000000.0</v>
      </c>
      <c r="G245" s="413">
        <v>1000000.0</v>
      </c>
      <c r="H245" s="349" t="s">
        <v>149</v>
      </c>
      <c r="I245" s="736" t="str">
        <f t="shared" si="8"/>
        <v>FULLY PAID</v>
      </c>
      <c r="J245" s="402"/>
      <c r="K245" s="402"/>
      <c r="L245" s="402"/>
      <c r="M245" s="402"/>
      <c r="N245" s="402"/>
      <c r="O245" s="402"/>
      <c r="P245" s="402"/>
      <c r="Q245" s="402"/>
      <c r="R245" s="402"/>
      <c r="S245" s="402"/>
      <c r="T245" s="402"/>
      <c r="U245" s="402"/>
      <c r="V245" s="402"/>
      <c r="W245" s="402"/>
      <c r="X245" s="402"/>
      <c r="Y245" s="402"/>
      <c r="Z245" s="402"/>
    </row>
    <row r="246" ht="14.25" customHeight="1">
      <c r="A246" s="406">
        <v>45502.0</v>
      </c>
      <c r="B246" s="349" t="s">
        <v>5867</v>
      </c>
      <c r="C246" s="349" t="s">
        <v>5955</v>
      </c>
      <c r="D246" s="1032" t="s">
        <v>54</v>
      </c>
      <c r="E246" s="413" t="s">
        <v>1098</v>
      </c>
      <c r="F246" s="413">
        <v>2000000.0</v>
      </c>
      <c r="G246" s="413">
        <v>2200000.0</v>
      </c>
      <c r="H246" s="349" t="s">
        <v>149</v>
      </c>
      <c r="I246" s="736" t="str">
        <f t="shared" si="8"/>
        <v>FULLY PAID</v>
      </c>
      <c r="J246" s="402"/>
      <c r="K246" s="402"/>
      <c r="L246" s="402"/>
      <c r="M246" s="402"/>
      <c r="N246" s="402"/>
      <c r="O246" s="402"/>
      <c r="P246" s="402"/>
      <c r="Q246" s="402"/>
      <c r="R246" s="402"/>
      <c r="S246" s="402"/>
      <c r="T246" s="402"/>
      <c r="U246" s="402"/>
      <c r="V246" s="402"/>
      <c r="W246" s="402"/>
      <c r="X246" s="402"/>
      <c r="Y246" s="402"/>
      <c r="Z246" s="402"/>
    </row>
    <row r="247" ht="14.25" customHeight="1">
      <c r="A247" s="406">
        <v>45502.0</v>
      </c>
      <c r="B247" s="349" t="s">
        <v>5956</v>
      </c>
      <c r="C247" s="349" t="s">
        <v>5957</v>
      </c>
      <c r="D247" s="1032" t="s">
        <v>59</v>
      </c>
      <c r="E247" s="413" t="s">
        <v>5785</v>
      </c>
      <c r="F247" s="413">
        <v>269550.0</v>
      </c>
      <c r="G247" s="403"/>
      <c r="H247" s="349" t="s">
        <v>3294</v>
      </c>
      <c r="I247" s="736" t="str">
        <f t="shared" si="8"/>
        <v>NOT PAID</v>
      </c>
      <c r="J247" s="402"/>
      <c r="K247" s="402"/>
      <c r="L247" s="402"/>
      <c r="M247" s="402"/>
      <c r="N247" s="402"/>
      <c r="O247" s="402"/>
      <c r="P247" s="402"/>
      <c r="Q247" s="402"/>
      <c r="R247" s="402"/>
      <c r="S247" s="402"/>
      <c r="T247" s="402"/>
      <c r="U247" s="402"/>
      <c r="V247" s="402"/>
      <c r="W247" s="402"/>
      <c r="X247" s="402"/>
      <c r="Y247" s="402"/>
      <c r="Z247" s="402"/>
    </row>
    <row r="248" ht="14.25" customHeight="1">
      <c r="A248" s="406">
        <v>45502.0</v>
      </c>
      <c r="B248" s="349" t="s">
        <v>5958</v>
      </c>
      <c r="C248" s="349" t="s">
        <v>5959</v>
      </c>
      <c r="D248" s="1032" t="s">
        <v>54</v>
      </c>
      <c r="E248" s="413" t="s">
        <v>5809</v>
      </c>
      <c r="F248" s="413">
        <v>102000.0</v>
      </c>
      <c r="G248" s="403"/>
      <c r="H248" s="349" t="s">
        <v>267</v>
      </c>
      <c r="I248" s="736" t="str">
        <f t="shared" si="8"/>
        <v>NOT PAID</v>
      </c>
      <c r="J248" s="402"/>
      <c r="K248" s="402"/>
      <c r="L248" s="402"/>
      <c r="M248" s="402"/>
      <c r="N248" s="402"/>
      <c r="O248" s="402"/>
      <c r="P248" s="402"/>
      <c r="Q248" s="402"/>
      <c r="R248" s="402"/>
      <c r="S248" s="402"/>
      <c r="T248" s="402"/>
      <c r="U248" s="402"/>
      <c r="V248" s="402"/>
      <c r="W248" s="402"/>
      <c r="X248" s="402"/>
      <c r="Y248" s="402"/>
      <c r="Z248" s="402"/>
    </row>
    <row r="249" ht="14.25" customHeight="1">
      <c r="A249" s="406">
        <v>45502.0</v>
      </c>
      <c r="B249" s="349" t="s">
        <v>5960</v>
      </c>
      <c r="C249" s="349" t="s">
        <v>5961</v>
      </c>
      <c r="D249" s="1032" t="s">
        <v>54</v>
      </c>
      <c r="E249" s="413" t="s">
        <v>5809</v>
      </c>
      <c r="F249" s="413">
        <v>99810.0</v>
      </c>
      <c r="G249" s="413">
        <v>83410.0</v>
      </c>
      <c r="H249" s="349" t="s">
        <v>267</v>
      </c>
      <c r="I249" s="736" t="str">
        <f t="shared" si="8"/>
        <v>PARTIALLY PAID</v>
      </c>
      <c r="J249" s="402"/>
      <c r="K249" s="402"/>
      <c r="L249" s="402"/>
      <c r="M249" s="402"/>
      <c r="N249" s="402"/>
      <c r="O249" s="402"/>
      <c r="P249" s="402"/>
      <c r="Q249" s="402"/>
      <c r="R249" s="402"/>
      <c r="S249" s="402"/>
      <c r="T249" s="402"/>
      <c r="U249" s="402"/>
      <c r="V249" s="402"/>
      <c r="W249" s="402"/>
      <c r="X249" s="402"/>
      <c r="Y249" s="402"/>
      <c r="Z249" s="402"/>
    </row>
    <row r="250" ht="14.25" customHeight="1">
      <c r="A250" s="406">
        <v>45502.0</v>
      </c>
      <c r="B250" s="402"/>
      <c r="C250" s="349" t="s">
        <v>5866</v>
      </c>
      <c r="D250" s="1032" t="s">
        <v>54</v>
      </c>
      <c r="E250" s="413" t="s">
        <v>5789</v>
      </c>
      <c r="F250" s="413">
        <v>248125.0</v>
      </c>
      <c r="G250" s="403"/>
      <c r="H250" s="349" t="s">
        <v>5962</v>
      </c>
      <c r="I250" s="736" t="str">
        <f t="shared" si="8"/>
        <v>NOT PAID</v>
      </c>
      <c r="J250" s="402"/>
      <c r="K250" s="402"/>
      <c r="L250" s="402"/>
      <c r="M250" s="402"/>
      <c r="N250" s="402"/>
      <c r="O250" s="402"/>
      <c r="P250" s="402"/>
      <c r="Q250" s="402"/>
      <c r="R250" s="402"/>
      <c r="S250" s="402"/>
      <c r="T250" s="402"/>
      <c r="U250" s="402"/>
      <c r="V250" s="402"/>
      <c r="W250" s="402"/>
      <c r="X250" s="402"/>
      <c r="Y250" s="402"/>
      <c r="Z250" s="402"/>
    </row>
    <row r="251" ht="14.25" customHeight="1">
      <c r="A251" s="406">
        <v>45502.0</v>
      </c>
      <c r="B251" s="455" t="s">
        <v>5874</v>
      </c>
      <c r="C251" s="455" t="s">
        <v>5875</v>
      </c>
      <c r="D251" s="1032" t="s">
        <v>54</v>
      </c>
      <c r="E251" s="413" t="s">
        <v>5785</v>
      </c>
      <c r="F251" s="1042">
        <v>33835.71</v>
      </c>
      <c r="G251" s="403"/>
      <c r="H251" s="349" t="s">
        <v>5963</v>
      </c>
      <c r="I251" s="736" t="str">
        <f t="shared" si="8"/>
        <v>NOT PAID</v>
      </c>
      <c r="J251" s="402"/>
      <c r="K251" s="402"/>
      <c r="L251" s="402"/>
      <c r="M251" s="402"/>
      <c r="N251" s="402"/>
      <c r="O251" s="402"/>
      <c r="P251" s="402"/>
      <c r="Q251" s="402"/>
      <c r="R251" s="402"/>
      <c r="S251" s="402"/>
      <c r="T251" s="402"/>
      <c r="U251" s="402"/>
      <c r="V251" s="402"/>
      <c r="W251" s="402"/>
      <c r="X251" s="402"/>
      <c r="Y251" s="402"/>
      <c r="Z251" s="402"/>
    </row>
    <row r="252" ht="14.25" customHeight="1">
      <c r="A252" s="406">
        <v>45502.0</v>
      </c>
      <c r="B252" s="349" t="s">
        <v>5964</v>
      </c>
      <c r="C252" s="349" t="s">
        <v>5965</v>
      </c>
      <c r="D252" s="1032" t="s">
        <v>54</v>
      </c>
      <c r="E252" s="413" t="s">
        <v>5785</v>
      </c>
      <c r="F252" s="1043">
        <v>41716.0</v>
      </c>
      <c r="G252" s="413">
        <v>44023.0</v>
      </c>
      <c r="H252" s="349" t="s">
        <v>267</v>
      </c>
      <c r="I252" s="736" t="str">
        <f t="shared" si="8"/>
        <v>FULLY PAID</v>
      </c>
      <c r="J252" s="402"/>
      <c r="K252" s="402"/>
      <c r="L252" s="402"/>
      <c r="M252" s="402"/>
      <c r="N252" s="402"/>
      <c r="O252" s="402"/>
      <c r="P252" s="402"/>
      <c r="Q252" s="402"/>
      <c r="R252" s="402"/>
      <c r="S252" s="402"/>
      <c r="T252" s="402"/>
      <c r="U252" s="402"/>
      <c r="V252" s="402"/>
      <c r="W252" s="402"/>
      <c r="X252" s="402"/>
      <c r="Y252" s="402"/>
      <c r="Z252" s="402"/>
    </row>
    <row r="253" ht="14.25" customHeight="1">
      <c r="A253" s="406">
        <v>45502.0</v>
      </c>
      <c r="B253" s="349" t="s">
        <v>5966</v>
      </c>
      <c r="C253" s="349" t="s">
        <v>5967</v>
      </c>
      <c r="D253" s="1032" t="s">
        <v>54</v>
      </c>
      <c r="E253" s="413" t="s">
        <v>5968</v>
      </c>
      <c r="F253" s="413">
        <v>300000.0</v>
      </c>
      <c r="G253" s="403"/>
      <c r="H253" s="402"/>
      <c r="I253" s="736" t="str">
        <f t="shared" si="8"/>
        <v>NOT PAID</v>
      </c>
      <c r="J253" s="402"/>
      <c r="K253" s="402"/>
      <c r="L253" s="402"/>
      <c r="M253" s="402"/>
      <c r="N253" s="402"/>
      <c r="O253" s="402"/>
      <c r="P253" s="402"/>
      <c r="Q253" s="402"/>
      <c r="R253" s="402"/>
      <c r="S253" s="402"/>
      <c r="T253" s="402"/>
      <c r="U253" s="402"/>
      <c r="V253" s="402"/>
      <c r="W253" s="402"/>
      <c r="X253" s="402"/>
      <c r="Y253" s="402"/>
      <c r="Z253" s="402"/>
    </row>
    <row r="254" ht="14.25" customHeight="1">
      <c r="A254" s="406">
        <v>45502.0</v>
      </c>
      <c r="B254" s="349" t="s">
        <v>5969</v>
      </c>
      <c r="C254" s="349" t="s">
        <v>5970</v>
      </c>
      <c r="D254" s="1032" t="s">
        <v>54</v>
      </c>
      <c r="E254" s="413" t="s">
        <v>5785</v>
      </c>
      <c r="F254" s="413">
        <v>10000.0</v>
      </c>
      <c r="G254" s="413">
        <v>10000.0</v>
      </c>
      <c r="H254" s="349" t="s">
        <v>267</v>
      </c>
      <c r="I254" s="736" t="str">
        <f t="shared" si="8"/>
        <v>FULLY PAID</v>
      </c>
      <c r="J254" s="402"/>
      <c r="K254" s="402"/>
      <c r="L254" s="402"/>
      <c r="M254" s="402"/>
      <c r="N254" s="402"/>
      <c r="O254" s="402"/>
      <c r="P254" s="402"/>
      <c r="Q254" s="402"/>
      <c r="R254" s="402"/>
      <c r="S254" s="402"/>
      <c r="T254" s="402"/>
      <c r="U254" s="402"/>
      <c r="V254" s="402"/>
      <c r="W254" s="402"/>
      <c r="X254" s="402"/>
      <c r="Y254" s="402"/>
      <c r="Z254" s="402"/>
    </row>
    <row r="255" ht="14.25" customHeight="1">
      <c r="A255" s="406">
        <v>45502.0</v>
      </c>
      <c r="B255" s="349" t="s">
        <v>5971</v>
      </c>
      <c r="C255" s="349" t="s">
        <v>5972</v>
      </c>
      <c r="D255" s="1032" t="s">
        <v>54</v>
      </c>
      <c r="E255" s="413" t="s">
        <v>5785</v>
      </c>
      <c r="F255" s="413">
        <v>39360.0</v>
      </c>
      <c r="G255" s="413">
        <v>39360.0</v>
      </c>
      <c r="H255" s="349" t="s">
        <v>267</v>
      </c>
      <c r="I255" s="736" t="str">
        <f t="shared" si="8"/>
        <v>FULLY PAID</v>
      </c>
      <c r="J255" s="402"/>
      <c r="K255" s="402"/>
      <c r="L255" s="402"/>
      <c r="M255" s="402"/>
      <c r="N255" s="402"/>
      <c r="O255" s="402"/>
      <c r="P255" s="402"/>
      <c r="Q255" s="402"/>
      <c r="R255" s="402"/>
      <c r="S255" s="402"/>
      <c r="T255" s="402"/>
      <c r="U255" s="402"/>
      <c r="V255" s="402"/>
      <c r="W255" s="402"/>
      <c r="X255" s="402"/>
      <c r="Y255" s="402"/>
      <c r="Z255" s="402"/>
    </row>
    <row r="256" ht="14.25" customHeight="1">
      <c r="A256" s="406">
        <v>45502.0</v>
      </c>
      <c r="B256" s="349" t="s">
        <v>5825</v>
      </c>
      <c r="C256" s="349" t="s">
        <v>5826</v>
      </c>
      <c r="D256" s="1032" t="s">
        <v>54</v>
      </c>
      <c r="E256" s="1044" t="s">
        <v>2165</v>
      </c>
      <c r="F256" s="413">
        <v>129839.03</v>
      </c>
      <c r="G256" s="413">
        <v>10000.0</v>
      </c>
      <c r="H256" s="349" t="s">
        <v>5973</v>
      </c>
      <c r="I256" s="736" t="str">
        <f t="shared" si="8"/>
        <v>PARTIALLY PAID</v>
      </c>
      <c r="J256" s="402"/>
      <c r="K256" s="402"/>
      <c r="L256" s="402"/>
      <c r="M256" s="402"/>
      <c r="N256" s="402"/>
      <c r="O256" s="402"/>
      <c r="P256" s="402"/>
      <c r="Q256" s="402"/>
      <c r="R256" s="402"/>
      <c r="S256" s="402"/>
      <c r="T256" s="402"/>
      <c r="U256" s="402"/>
      <c r="V256" s="402"/>
      <c r="W256" s="402"/>
      <c r="X256" s="402"/>
      <c r="Y256" s="402"/>
      <c r="Z256" s="402"/>
    </row>
    <row r="257" ht="14.25" customHeight="1">
      <c r="A257" s="406">
        <v>45502.0</v>
      </c>
      <c r="B257" s="349" t="s">
        <v>5813</v>
      </c>
      <c r="C257" s="349" t="s">
        <v>5814</v>
      </c>
      <c r="D257" s="1032" t="s">
        <v>75</v>
      </c>
      <c r="E257" s="413" t="s">
        <v>5789</v>
      </c>
      <c r="F257" s="413">
        <v>61638.0</v>
      </c>
      <c r="G257" s="403"/>
      <c r="H257" s="349" t="s">
        <v>5974</v>
      </c>
      <c r="I257" s="736" t="str">
        <f t="shared" si="8"/>
        <v>NOT PAID</v>
      </c>
      <c r="J257" s="402"/>
      <c r="K257" s="402"/>
      <c r="L257" s="402"/>
      <c r="M257" s="402"/>
      <c r="N257" s="402"/>
      <c r="O257" s="402"/>
      <c r="P257" s="402"/>
      <c r="Q257" s="402"/>
      <c r="R257" s="402"/>
      <c r="S257" s="402"/>
      <c r="T257" s="402"/>
      <c r="U257" s="402"/>
      <c r="V257" s="402"/>
      <c r="W257" s="402"/>
      <c r="X257" s="402"/>
      <c r="Y257" s="402"/>
      <c r="Z257" s="402"/>
    </row>
    <row r="258" ht="14.25" customHeight="1">
      <c r="A258" s="406">
        <v>45502.0</v>
      </c>
      <c r="B258" s="349" t="s">
        <v>5975</v>
      </c>
      <c r="C258" s="349" t="s">
        <v>5976</v>
      </c>
      <c r="D258" s="1032" t="s">
        <v>54</v>
      </c>
      <c r="E258" s="1044" t="s">
        <v>4114</v>
      </c>
      <c r="F258" s="413">
        <v>34500.0</v>
      </c>
      <c r="G258" s="413">
        <v>34591.0</v>
      </c>
      <c r="H258" s="349" t="s">
        <v>5977</v>
      </c>
      <c r="I258" s="736" t="str">
        <f t="shared" si="8"/>
        <v>FULLY PAID</v>
      </c>
      <c r="J258" s="402"/>
      <c r="K258" s="402"/>
      <c r="L258" s="402"/>
      <c r="M258" s="402"/>
      <c r="N258" s="402"/>
      <c r="O258" s="402"/>
      <c r="P258" s="402"/>
      <c r="Q258" s="402"/>
      <c r="R258" s="402"/>
      <c r="S258" s="402"/>
      <c r="T258" s="402"/>
      <c r="U258" s="402"/>
      <c r="V258" s="402"/>
      <c r="W258" s="402"/>
      <c r="X258" s="402"/>
      <c r="Y258" s="402"/>
      <c r="Z258" s="402"/>
    </row>
    <row r="259" ht="14.25" customHeight="1">
      <c r="A259" s="402"/>
      <c r="B259" s="402"/>
      <c r="C259" s="424" t="s">
        <v>797</v>
      </c>
      <c r="D259" s="1034"/>
      <c r="E259" s="403"/>
      <c r="F259" s="403"/>
      <c r="G259" s="403"/>
      <c r="H259" s="402"/>
      <c r="I259" s="736" t="str">
        <f t="shared" si="8"/>
        <v>FULLY PAID</v>
      </c>
      <c r="J259" s="402"/>
      <c r="K259" s="402"/>
      <c r="L259" s="402"/>
      <c r="M259" s="402"/>
      <c r="N259" s="402"/>
      <c r="O259" s="402"/>
      <c r="P259" s="402"/>
      <c r="Q259" s="402"/>
      <c r="R259" s="402"/>
      <c r="S259" s="402"/>
      <c r="T259" s="402"/>
      <c r="U259" s="402"/>
      <c r="V259" s="402"/>
      <c r="W259" s="402"/>
      <c r="X259" s="402"/>
      <c r="Y259" s="402"/>
      <c r="Z259" s="402"/>
    </row>
    <row r="260" ht="14.25" customHeight="1">
      <c r="A260" s="697">
        <v>45502.0</v>
      </c>
      <c r="B260" s="1045" t="s">
        <v>5626</v>
      </c>
      <c r="C260" s="599" t="s">
        <v>5675</v>
      </c>
      <c r="D260" s="467" t="s">
        <v>54</v>
      </c>
      <c r="E260" s="1044" t="s">
        <v>4114</v>
      </c>
      <c r="F260" s="1046">
        <v>177300.0</v>
      </c>
      <c r="G260" s="769"/>
      <c r="H260" s="349" t="s">
        <v>5175</v>
      </c>
      <c r="I260" s="736" t="str">
        <f t="shared" si="8"/>
        <v>NOT PAID</v>
      </c>
      <c r="J260" s="402"/>
      <c r="K260" s="402"/>
      <c r="L260" s="402"/>
      <c r="M260" s="402"/>
      <c r="N260" s="402"/>
      <c r="O260" s="402"/>
      <c r="P260" s="402"/>
      <c r="Q260" s="402"/>
      <c r="R260" s="402"/>
      <c r="S260" s="402"/>
      <c r="T260" s="402"/>
      <c r="U260" s="402"/>
      <c r="V260" s="402"/>
      <c r="W260" s="402"/>
      <c r="X260" s="402"/>
      <c r="Y260" s="402"/>
      <c r="Z260" s="402"/>
    </row>
    <row r="261" ht="14.25" customHeight="1">
      <c r="A261" s="697">
        <v>45502.0</v>
      </c>
      <c r="B261" s="1045" t="s">
        <v>5727</v>
      </c>
      <c r="C261" s="599" t="s">
        <v>5728</v>
      </c>
      <c r="D261" s="467" t="s">
        <v>54</v>
      </c>
      <c r="E261" s="1044" t="s">
        <v>4114</v>
      </c>
      <c r="F261" s="1046">
        <v>70000.0</v>
      </c>
      <c r="G261" s="769"/>
      <c r="H261" s="349" t="s">
        <v>5775</v>
      </c>
      <c r="I261" s="736" t="str">
        <f t="shared" si="8"/>
        <v>NOT PAID</v>
      </c>
      <c r="J261" s="402"/>
      <c r="K261" s="402"/>
      <c r="L261" s="402"/>
      <c r="M261" s="402"/>
      <c r="N261" s="402"/>
      <c r="O261" s="402"/>
      <c r="P261" s="402"/>
      <c r="Q261" s="402"/>
      <c r="R261" s="402"/>
      <c r="S261" s="402"/>
      <c r="T261" s="402"/>
      <c r="U261" s="402"/>
      <c r="V261" s="402"/>
      <c r="W261" s="402"/>
      <c r="X261" s="402"/>
      <c r="Y261" s="402"/>
      <c r="Z261" s="402"/>
    </row>
    <row r="262" ht="14.25" customHeight="1">
      <c r="A262" s="697">
        <v>45502.0</v>
      </c>
      <c r="B262" s="467" t="s">
        <v>5687</v>
      </c>
      <c r="C262" s="599" t="s">
        <v>5978</v>
      </c>
      <c r="D262" s="467" t="s">
        <v>54</v>
      </c>
      <c r="E262" s="1044" t="s">
        <v>4114</v>
      </c>
      <c r="F262" s="1047">
        <v>100000.0</v>
      </c>
      <c r="G262" s="769"/>
      <c r="H262" s="349" t="s">
        <v>5689</v>
      </c>
      <c r="I262" s="736" t="str">
        <f t="shared" si="8"/>
        <v>NOT PAID</v>
      </c>
      <c r="J262" s="402"/>
      <c r="K262" s="402"/>
      <c r="L262" s="402"/>
      <c r="M262" s="402"/>
      <c r="N262" s="402"/>
      <c r="O262" s="402"/>
      <c r="P262" s="402"/>
      <c r="Q262" s="402"/>
      <c r="R262" s="402"/>
      <c r="S262" s="402"/>
      <c r="T262" s="402"/>
      <c r="U262" s="402"/>
      <c r="V262" s="402"/>
      <c r="W262" s="402"/>
      <c r="X262" s="402"/>
      <c r="Y262" s="402"/>
      <c r="Z262" s="402"/>
    </row>
    <row r="263" ht="14.25" customHeight="1">
      <c r="A263" s="697">
        <v>45502.0</v>
      </c>
      <c r="B263" s="467" t="s">
        <v>5844</v>
      </c>
      <c r="C263" s="599" t="s">
        <v>5979</v>
      </c>
      <c r="D263" s="467" t="s">
        <v>54</v>
      </c>
      <c r="E263" s="1044" t="s">
        <v>4114</v>
      </c>
      <c r="F263" s="1047">
        <v>238740.0</v>
      </c>
      <c r="G263" s="769">
        <v>163000.0</v>
      </c>
      <c r="H263" s="349" t="s">
        <v>5980</v>
      </c>
      <c r="I263" s="736" t="str">
        <f t="shared" si="8"/>
        <v>PARTIALLY PAID</v>
      </c>
      <c r="J263" s="402"/>
      <c r="K263" s="402"/>
      <c r="L263" s="402"/>
      <c r="M263" s="402"/>
      <c r="N263" s="402"/>
      <c r="O263" s="402"/>
      <c r="P263" s="402"/>
      <c r="Q263" s="402"/>
      <c r="R263" s="402"/>
      <c r="S263" s="402"/>
      <c r="T263" s="402"/>
      <c r="U263" s="402"/>
      <c r="V263" s="402"/>
      <c r="W263" s="402"/>
      <c r="X263" s="402"/>
      <c r="Y263" s="402"/>
      <c r="Z263" s="402"/>
    </row>
    <row r="264" ht="14.25" customHeight="1">
      <c r="A264" s="697">
        <v>45502.0</v>
      </c>
      <c r="B264" s="467" t="s">
        <v>5838</v>
      </c>
      <c r="C264" s="599" t="s">
        <v>5981</v>
      </c>
      <c r="D264" s="467" t="s">
        <v>54</v>
      </c>
      <c r="E264" s="1044" t="s">
        <v>4114</v>
      </c>
      <c r="F264" s="1047">
        <v>110000.0</v>
      </c>
      <c r="G264" s="769">
        <v>110000.0</v>
      </c>
      <c r="H264" s="349" t="s">
        <v>5980</v>
      </c>
      <c r="I264" s="736" t="str">
        <f t="shared" si="8"/>
        <v>FULLY PAID</v>
      </c>
      <c r="J264" s="402"/>
      <c r="K264" s="402"/>
      <c r="L264" s="402"/>
      <c r="M264" s="402"/>
      <c r="N264" s="402"/>
      <c r="O264" s="402"/>
      <c r="P264" s="402"/>
      <c r="Q264" s="402"/>
      <c r="R264" s="402"/>
      <c r="S264" s="402"/>
      <c r="T264" s="402"/>
      <c r="U264" s="402"/>
      <c r="V264" s="402"/>
      <c r="W264" s="402"/>
      <c r="X264" s="402"/>
      <c r="Y264" s="402"/>
      <c r="Z264" s="402"/>
    </row>
    <row r="265" ht="14.25" customHeight="1">
      <c r="A265" s="697">
        <v>45502.0</v>
      </c>
      <c r="B265" s="467" t="s">
        <v>5685</v>
      </c>
      <c r="C265" s="569" t="s">
        <v>5686</v>
      </c>
      <c r="D265" s="467" t="s">
        <v>54</v>
      </c>
      <c r="E265" s="1044" t="s">
        <v>2165</v>
      </c>
      <c r="F265" s="1047">
        <v>200000.0</v>
      </c>
      <c r="G265" s="769"/>
      <c r="H265" s="349" t="s">
        <v>5982</v>
      </c>
      <c r="I265" s="736" t="str">
        <f t="shared" si="8"/>
        <v>NOT PAID</v>
      </c>
      <c r="J265" s="402"/>
      <c r="K265" s="402"/>
      <c r="L265" s="402"/>
      <c r="M265" s="402"/>
      <c r="N265" s="402"/>
      <c r="O265" s="402"/>
      <c r="P265" s="402"/>
      <c r="Q265" s="402"/>
      <c r="R265" s="402"/>
      <c r="S265" s="402"/>
      <c r="T265" s="402"/>
      <c r="U265" s="402"/>
      <c r="V265" s="402"/>
      <c r="W265" s="402"/>
      <c r="X265" s="402"/>
      <c r="Y265" s="402"/>
      <c r="Z265" s="402"/>
    </row>
    <row r="266" ht="14.25" customHeight="1">
      <c r="A266" s="697">
        <v>45502.0</v>
      </c>
      <c r="B266" s="349" t="s">
        <v>5822</v>
      </c>
      <c r="C266" s="569" t="s">
        <v>5823</v>
      </c>
      <c r="D266" s="1032" t="s">
        <v>59</v>
      </c>
      <c r="E266" s="413" t="s">
        <v>2165</v>
      </c>
      <c r="F266" s="413">
        <v>100000.0</v>
      </c>
      <c r="G266" s="403"/>
      <c r="H266" s="349" t="s">
        <v>5983</v>
      </c>
      <c r="I266" s="736" t="str">
        <f t="shared" si="8"/>
        <v>NOT PAID</v>
      </c>
      <c r="J266" s="402"/>
      <c r="K266" s="402"/>
      <c r="L266" s="402"/>
      <c r="M266" s="402"/>
      <c r="N266" s="402"/>
      <c r="O266" s="402"/>
      <c r="P266" s="402"/>
      <c r="Q266" s="402"/>
      <c r="R266" s="402"/>
      <c r="S266" s="402"/>
      <c r="T266" s="402"/>
      <c r="U266" s="402"/>
      <c r="V266" s="402"/>
      <c r="W266" s="402"/>
      <c r="X266" s="402"/>
      <c r="Y266" s="402"/>
      <c r="Z266" s="402"/>
    </row>
    <row r="267" ht="14.25" customHeight="1">
      <c r="A267" s="697">
        <v>45502.0</v>
      </c>
      <c r="B267" s="349" t="s">
        <v>5984</v>
      </c>
      <c r="C267" s="569" t="s">
        <v>5985</v>
      </c>
      <c r="D267" s="1032" t="s">
        <v>54</v>
      </c>
      <c r="E267" s="413" t="s">
        <v>2165</v>
      </c>
      <c r="F267" s="413">
        <v>100000.0</v>
      </c>
      <c r="G267" s="403"/>
      <c r="H267" s="349" t="s">
        <v>5986</v>
      </c>
      <c r="I267" s="736" t="str">
        <f t="shared" si="8"/>
        <v>NOT PAID</v>
      </c>
      <c r="J267" s="402"/>
      <c r="K267" s="402"/>
      <c r="L267" s="402"/>
      <c r="M267" s="402"/>
      <c r="N267" s="402"/>
      <c r="O267" s="402"/>
      <c r="P267" s="402"/>
      <c r="Q267" s="402"/>
      <c r="R267" s="402"/>
      <c r="S267" s="402"/>
      <c r="T267" s="402"/>
      <c r="U267" s="402"/>
      <c r="V267" s="402"/>
      <c r="W267" s="402"/>
      <c r="X267" s="402"/>
      <c r="Y267" s="402"/>
      <c r="Z267" s="402"/>
    </row>
    <row r="268" ht="14.25" customHeight="1">
      <c r="A268" s="402"/>
      <c r="B268" s="402"/>
      <c r="C268" s="402"/>
      <c r="D268" s="1034"/>
      <c r="E268" s="403"/>
      <c r="F268" s="403"/>
      <c r="G268" s="403"/>
      <c r="H268" s="402"/>
      <c r="I268" s="736" t="str">
        <f t="shared" si="8"/>
        <v>FULLY PAID</v>
      </c>
      <c r="J268" s="402"/>
      <c r="K268" s="402"/>
      <c r="L268" s="402"/>
      <c r="M268" s="402"/>
      <c r="N268" s="402"/>
      <c r="O268" s="402"/>
      <c r="P268" s="402"/>
      <c r="Q268" s="402"/>
      <c r="R268" s="402"/>
      <c r="S268" s="402"/>
      <c r="T268" s="402"/>
      <c r="U268" s="402"/>
      <c r="V268" s="402"/>
      <c r="W268" s="402"/>
      <c r="X268" s="402"/>
      <c r="Y268" s="402"/>
      <c r="Z268" s="402"/>
    </row>
    <row r="269" ht="14.25" customHeight="1">
      <c r="A269" s="402"/>
      <c r="B269" s="402"/>
      <c r="C269" s="402"/>
      <c r="D269" s="1034"/>
      <c r="E269" s="403"/>
      <c r="F269" s="403"/>
      <c r="G269" s="403"/>
      <c r="H269" s="402"/>
      <c r="I269" s="736" t="str">
        <f t="shared" si="8"/>
        <v>FULLY PAID</v>
      </c>
      <c r="J269" s="402"/>
      <c r="K269" s="402"/>
      <c r="L269" s="402"/>
      <c r="M269" s="402"/>
      <c r="N269" s="402"/>
      <c r="O269" s="402"/>
      <c r="P269" s="402"/>
      <c r="Q269" s="402"/>
      <c r="R269" s="402"/>
      <c r="S269" s="402"/>
      <c r="T269" s="402"/>
      <c r="U269" s="402"/>
      <c r="V269" s="402"/>
      <c r="W269" s="402"/>
      <c r="X269" s="402"/>
      <c r="Y269" s="402"/>
      <c r="Z269" s="402"/>
    </row>
    <row r="270" ht="14.25" customHeight="1">
      <c r="A270" s="402"/>
      <c r="B270" s="402"/>
      <c r="C270" s="402"/>
      <c r="D270" s="1034"/>
      <c r="E270" s="403"/>
      <c r="F270" s="403"/>
      <c r="G270" s="403"/>
      <c r="H270" s="402"/>
      <c r="I270" s="736" t="str">
        <f t="shared" si="8"/>
        <v>FULLY PAID</v>
      </c>
      <c r="J270" s="402"/>
      <c r="K270" s="402"/>
      <c r="L270" s="402"/>
      <c r="M270" s="402"/>
      <c r="N270" s="402"/>
      <c r="O270" s="402"/>
      <c r="P270" s="402"/>
      <c r="Q270" s="402"/>
      <c r="R270" s="402"/>
      <c r="S270" s="402"/>
      <c r="T270" s="402"/>
      <c r="U270" s="402"/>
      <c r="V270" s="402"/>
      <c r="W270" s="402"/>
      <c r="X270" s="402"/>
      <c r="Y270" s="402"/>
      <c r="Z270" s="402"/>
    </row>
    <row r="271" ht="14.25" customHeight="1">
      <c r="A271" s="818">
        <v>45503.0</v>
      </c>
      <c r="B271" s="402"/>
      <c r="C271" s="349" t="s">
        <v>5987</v>
      </c>
      <c r="D271" s="1032" t="s">
        <v>54</v>
      </c>
      <c r="E271" s="413" t="s">
        <v>5855</v>
      </c>
      <c r="F271" s="413">
        <v>66352.0</v>
      </c>
      <c r="G271" s="413">
        <v>66352.0</v>
      </c>
      <c r="H271" s="349" t="s">
        <v>772</v>
      </c>
      <c r="I271" s="736" t="str">
        <f t="shared" si="8"/>
        <v>FULLY PAID</v>
      </c>
      <c r="J271" s="402"/>
      <c r="K271" s="402"/>
      <c r="L271" s="402"/>
      <c r="M271" s="402"/>
      <c r="N271" s="402"/>
      <c r="O271" s="402"/>
      <c r="P271" s="402"/>
      <c r="Q271" s="402"/>
      <c r="R271" s="402"/>
      <c r="S271" s="402"/>
      <c r="T271" s="402"/>
      <c r="U271" s="402"/>
      <c r="V271" s="402"/>
      <c r="W271" s="402"/>
      <c r="X271" s="402"/>
      <c r="Y271" s="402"/>
      <c r="Z271" s="402"/>
    </row>
    <row r="272" ht="14.25" customHeight="1">
      <c r="A272" s="818">
        <v>45503.0</v>
      </c>
      <c r="B272" s="349" t="s">
        <v>5988</v>
      </c>
      <c r="C272" s="349" t="s">
        <v>5989</v>
      </c>
      <c r="D272" s="1032" t="s">
        <v>54</v>
      </c>
      <c r="E272" s="413" t="s">
        <v>2165</v>
      </c>
      <c r="F272" s="413">
        <v>359693.88</v>
      </c>
      <c r="G272" s="413">
        <v>0.0</v>
      </c>
      <c r="H272" s="349" t="s">
        <v>5990</v>
      </c>
      <c r="I272" s="736" t="str">
        <f t="shared" si="8"/>
        <v>NOT PAID</v>
      </c>
      <c r="J272" s="402"/>
      <c r="K272" s="402"/>
      <c r="L272" s="402"/>
      <c r="M272" s="402"/>
      <c r="N272" s="402"/>
      <c r="O272" s="402"/>
      <c r="P272" s="402"/>
      <c r="Q272" s="402"/>
      <c r="R272" s="402"/>
      <c r="S272" s="402"/>
      <c r="T272" s="402"/>
      <c r="U272" s="402"/>
      <c r="V272" s="402"/>
      <c r="W272" s="402"/>
      <c r="X272" s="402"/>
      <c r="Y272" s="402"/>
      <c r="Z272" s="402"/>
    </row>
    <row r="273" ht="14.25" customHeight="1">
      <c r="A273" s="818">
        <v>45503.0</v>
      </c>
      <c r="B273" s="349" t="s">
        <v>5991</v>
      </c>
      <c r="C273" s="349" t="s">
        <v>5641</v>
      </c>
      <c r="D273" s="1032" t="s">
        <v>67</v>
      </c>
      <c r="E273" s="413" t="s">
        <v>5992</v>
      </c>
      <c r="F273" s="413">
        <v>1000000.0</v>
      </c>
      <c r="G273" s="403"/>
      <c r="H273" s="349" t="s">
        <v>772</v>
      </c>
      <c r="I273" s="736" t="str">
        <f t="shared" si="8"/>
        <v>NOT PAID</v>
      </c>
      <c r="J273" s="402"/>
      <c r="K273" s="402"/>
      <c r="L273" s="402"/>
      <c r="M273" s="402"/>
      <c r="N273" s="402"/>
      <c r="O273" s="402"/>
      <c r="P273" s="402"/>
      <c r="Q273" s="402"/>
      <c r="R273" s="402"/>
      <c r="S273" s="402"/>
      <c r="T273" s="402"/>
      <c r="U273" s="402"/>
      <c r="V273" s="402"/>
      <c r="W273" s="402"/>
      <c r="X273" s="402"/>
      <c r="Y273" s="402"/>
      <c r="Z273" s="402"/>
    </row>
    <row r="274" ht="14.25" customHeight="1">
      <c r="A274" s="818">
        <v>45503.0</v>
      </c>
      <c r="B274" s="349" t="s">
        <v>5993</v>
      </c>
      <c r="C274" s="349" t="s">
        <v>5994</v>
      </c>
      <c r="D274" s="1032" t="s">
        <v>346</v>
      </c>
      <c r="E274" s="413" t="s">
        <v>5995</v>
      </c>
      <c r="F274" s="413">
        <v>1370.42</v>
      </c>
      <c r="G274" s="403"/>
      <c r="H274" s="349" t="s">
        <v>772</v>
      </c>
      <c r="I274" s="736" t="str">
        <f t="shared" si="8"/>
        <v>NOT PAID</v>
      </c>
      <c r="J274" s="402"/>
      <c r="K274" s="402"/>
      <c r="L274" s="402"/>
      <c r="M274" s="402"/>
      <c r="N274" s="402"/>
      <c r="O274" s="402"/>
      <c r="P274" s="402"/>
      <c r="Q274" s="402"/>
      <c r="R274" s="402"/>
      <c r="S274" s="402"/>
      <c r="T274" s="402"/>
      <c r="U274" s="402"/>
      <c r="V274" s="402"/>
      <c r="W274" s="402"/>
      <c r="X274" s="402"/>
      <c r="Y274" s="402"/>
      <c r="Z274" s="402"/>
    </row>
    <row r="275" ht="14.25" customHeight="1">
      <c r="A275" s="818">
        <v>45503.0</v>
      </c>
      <c r="B275" s="349" t="s">
        <v>5996</v>
      </c>
      <c r="C275" s="349" t="s">
        <v>5916</v>
      </c>
      <c r="D275" s="1032" t="s">
        <v>54</v>
      </c>
      <c r="E275" s="413" t="s">
        <v>5782</v>
      </c>
      <c r="F275" s="413">
        <v>131459.04</v>
      </c>
      <c r="G275" s="403"/>
      <c r="H275" s="349" t="s">
        <v>772</v>
      </c>
      <c r="I275" s="736" t="str">
        <f t="shared" si="8"/>
        <v>NOT PAID</v>
      </c>
      <c r="J275" s="402"/>
      <c r="K275" s="402"/>
      <c r="L275" s="402"/>
      <c r="M275" s="402"/>
      <c r="N275" s="402"/>
      <c r="O275" s="402"/>
      <c r="P275" s="402"/>
      <c r="Q275" s="402"/>
      <c r="R275" s="402"/>
      <c r="S275" s="402"/>
      <c r="T275" s="402"/>
      <c r="U275" s="402"/>
      <c r="V275" s="402"/>
      <c r="W275" s="402"/>
      <c r="X275" s="402"/>
      <c r="Y275" s="402"/>
      <c r="Z275" s="402"/>
    </row>
    <row r="276" ht="14.25" customHeight="1">
      <c r="A276" s="818">
        <v>45503.0</v>
      </c>
      <c r="B276" s="349" t="s">
        <v>5997</v>
      </c>
      <c r="C276" s="349" t="s">
        <v>5998</v>
      </c>
      <c r="D276" s="1032" t="s">
        <v>54</v>
      </c>
      <c r="E276" s="413" t="s">
        <v>5810</v>
      </c>
      <c r="F276" s="413">
        <v>67914.34</v>
      </c>
      <c r="G276" s="413">
        <v>70000.0</v>
      </c>
      <c r="H276" s="349" t="s">
        <v>149</v>
      </c>
      <c r="I276" s="736" t="str">
        <f t="shared" si="8"/>
        <v>FULLY PAID</v>
      </c>
      <c r="J276" s="402"/>
      <c r="K276" s="402"/>
      <c r="L276" s="402"/>
      <c r="M276" s="402"/>
      <c r="N276" s="402"/>
      <c r="O276" s="402"/>
      <c r="P276" s="402"/>
      <c r="Q276" s="402"/>
      <c r="R276" s="402"/>
      <c r="S276" s="402"/>
      <c r="T276" s="402"/>
      <c r="U276" s="402"/>
      <c r="V276" s="402"/>
      <c r="W276" s="402"/>
      <c r="X276" s="402"/>
      <c r="Y276" s="402"/>
      <c r="Z276" s="402"/>
    </row>
    <row r="277" ht="14.25" customHeight="1">
      <c r="A277" s="818">
        <v>45503.0</v>
      </c>
      <c r="B277" s="349" t="s">
        <v>5999</v>
      </c>
      <c r="C277" s="349" t="s">
        <v>6000</v>
      </c>
      <c r="D277" s="1032" t="s">
        <v>54</v>
      </c>
      <c r="E277" s="413" t="s">
        <v>5789</v>
      </c>
      <c r="F277" s="413">
        <v>12722.21</v>
      </c>
      <c r="G277" s="403"/>
      <c r="H277" s="349" t="s">
        <v>6001</v>
      </c>
      <c r="I277" s="736" t="str">
        <f t="shared" si="8"/>
        <v>NOT PAID</v>
      </c>
      <c r="J277" s="402"/>
      <c r="K277" s="402"/>
      <c r="L277" s="402"/>
      <c r="M277" s="402"/>
      <c r="N277" s="402"/>
      <c r="O277" s="402"/>
      <c r="P277" s="402"/>
      <c r="Q277" s="402"/>
      <c r="R277" s="402"/>
      <c r="S277" s="402"/>
      <c r="T277" s="402"/>
      <c r="U277" s="402"/>
      <c r="V277" s="402"/>
      <c r="W277" s="402"/>
      <c r="X277" s="402"/>
      <c r="Y277" s="402"/>
      <c r="Z277" s="402"/>
    </row>
    <row r="278" ht="14.25" customHeight="1">
      <c r="A278" s="818">
        <v>45503.0</v>
      </c>
      <c r="B278" s="349" t="s">
        <v>6002</v>
      </c>
      <c r="C278" s="349" t="s">
        <v>6003</v>
      </c>
      <c r="D278" s="1032" t="s">
        <v>54</v>
      </c>
      <c r="E278" s="413" t="s">
        <v>5855</v>
      </c>
      <c r="F278" s="413">
        <v>54060.0</v>
      </c>
      <c r="G278" s="403"/>
      <c r="H278" s="349" t="s">
        <v>772</v>
      </c>
      <c r="I278" s="736" t="str">
        <f t="shared" si="8"/>
        <v>NOT PAID</v>
      </c>
      <c r="J278" s="402"/>
      <c r="K278" s="402"/>
      <c r="L278" s="402"/>
      <c r="M278" s="402"/>
      <c r="N278" s="402"/>
      <c r="O278" s="402"/>
      <c r="P278" s="402"/>
      <c r="Q278" s="402"/>
      <c r="R278" s="402"/>
      <c r="S278" s="402"/>
      <c r="T278" s="402"/>
      <c r="U278" s="402"/>
      <c r="V278" s="402"/>
      <c r="W278" s="402"/>
      <c r="X278" s="402"/>
      <c r="Y278" s="402"/>
      <c r="Z278" s="402"/>
    </row>
    <row r="279" ht="14.25" customHeight="1">
      <c r="A279" s="818">
        <v>45503.0</v>
      </c>
      <c r="B279" s="349" t="s">
        <v>6004</v>
      </c>
      <c r="C279" s="349" t="s">
        <v>6000</v>
      </c>
      <c r="D279" s="1032" t="s">
        <v>346</v>
      </c>
      <c r="E279" s="413" t="s">
        <v>5789</v>
      </c>
      <c r="F279" s="413">
        <v>10492.55</v>
      </c>
      <c r="G279" s="403"/>
      <c r="H279" s="349" t="s">
        <v>6005</v>
      </c>
      <c r="I279" s="736" t="str">
        <f t="shared" si="8"/>
        <v>NOT PAID</v>
      </c>
      <c r="J279" s="402"/>
      <c r="K279" s="402"/>
      <c r="L279" s="402"/>
      <c r="M279" s="402"/>
      <c r="N279" s="402"/>
      <c r="O279" s="402"/>
      <c r="P279" s="402"/>
      <c r="Q279" s="402"/>
      <c r="R279" s="402"/>
      <c r="S279" s="402"/>
      <c r="T279" s="402"/>
      <c r="U279" s="402"/>
      <c r="V279" s="402"/>
      <c r="W279" s="402"/>
      <c r="X279" s="402"/>
      <c r="Y279" s="402"/>
      <c r="Z279" s="402"/>
    </row>
    <row r="280" ht="14.25" customHeight="1">
      <c r="A280" s="818">
        <v>45503.0</v>
      </c>
      <c r="B280" s="349" t="s">
        <v>6006</v>
      </c>
      <c r="C280" s="349" t="s">
        <v>6007</v>
      </c>
      <c r="D280" s="1032" t="s">
        <v>54</v>
      </c>
      <c r="E280" s="413" t="s">
        <v>6008</v>
      </c>
      <c r="F280" s="413">
        <v>21044.0</v>
      </c>
      <c r="G280" s="403"/>
      <c r="H280" s="402"/>
      <c r="I280" s="736" t="str">
        <f t="shared" si="8"/>
        <v>NOT PAID</v>
      </c>
      <c r="J280" s="402"/>
      <c r="K280" s="402"/>
      <c r="L280" s="402"/>
      <c r="M280" s="402"/>
      <c r="N280" s="402"/>
      <c r="O280" s="402"/>
      <c r="P280" s="402"/>
      <c r="Q280" s="402"/>
      <c r="R280" s="402"/>
      <c r="S280" s="402"/>
      <c r="T280" s="402"/>
      <c r="U280" s="402"/>
      <c r="V280" s="402"/>
      <c r="W280" s="402"/>
      <c r="X280" s="402"/>
      <c r="Y280" s="402"/>
      <c r="Z280" s="402"/>
    </row>
    <row r="281" ht="14.25" customHeight="1">
      <c r="A281" s="818">
        <v>45503.0</v>
      </c>
      <c r="B281" s="349" t="s">
        <v>5941</v>
      </c>
      <c r="C281" s="349" t="s">
        <v>6009</v>
      </c>
      <c r="D281" s="1032" t="s">
        <v>54</v>
      </c>
      <c r="E281" s="413" t="s">
        <v>5782</v>
      </c>
      <c r="F281" s="413">
        <v>186000.0</v>
      </c>
      <c r="G281" s="403"/>
      <c r="H281" s="349" t="s">
        <v>267</v>
      </c>
      <c r="I281" s="736" t="str">
        <f t="shared" si="8"/>
        <v>NOT PAID</v>
      </c>
      <c r="J281" s="402"/>
      <c r="K281" s="402"/>
      <c r="L281" s="402"/>
      <c r="M281" s="402"/>
      <c r="N281" s="402"/>
      <c r="O281" s="402"/>
      <c r="P281" s="402"/>
      <c r="Q281" s="402"/>
      <c r="R281" s="402"/>
      <c r="S281" s="402"/>
      <c r="T281" s="402"/>
      <c r="U281" s="402"/>
      <c r="V281" s="402"/>
      <c r="W281" s="402"/>
      <c r="X281" s="402"/>
      <c r="Y281" s="402"/>
      <c r="Z281" s="402"/>
    </row>
    <row r="282" ht="14.25" customHeight="1">
      <c r="A282" s="818">
        <v>45503.0</v>
      </c>
      <c r="B282" s="349" t="s">
        <v>6010</v>
      </c>
      <c r="C282" s="349" t="s">
        <v>6011</v>
      </c>
      <c r="D282" s="1032" t="s">
        <v>54</v>
      </c>
      <c r="E282" s="413" t="s">
        <v>5782</v>
      </c>
      <c r="F282" s="413">
        <v>112000.0</v>
      </c>
      <c r="G282" s="403"/>
      <c r="H282" s="349" t="s">
        <v>267</v>
      </c>
      <c r="I282" s="736" t="str">
        <f t="shared" si="8"/>
        <v>NOT PAID</v>
      </c>
      <c r="J282" s="402"/>
      <c r="K282" s="402"/>
      <c r="L282" s="402"/>
      <c r="M282" s="402"/>
      <c r="N282" s="402"/>
      <c r="O282" s="402"/>
      <c r="P282" s="402"/>
      <c r="Q282" s="402"/>
      <c r="R282" s="402"/>
      <c r="S282" s="402"/>
      <c r="T282" s="402"/>
      <c r="U282" s="402"/>
      <c r="V282" s="402"/>
      <c r="W282" s="402"/>
      <c r="X282" s="402"/>
      <c r="Y282" s="402"/>
      <c r="Z282" s="402"/>
    </row>
    <row r="283" ht="14.25" customHeight="1">
      <c r="A283" s="818">
        <v>45503.0</v>
      </c>
      <c r="B283" s="349" t="s">
        <v>5929</v>
      </c>
      <c r="C283" s="349" t="s">
        <v>6012</v>
      </c>
      <c r="D283" s="1032" t="s">
        <v>54</v>
      </c>
      <c r="E283" s="413" t="s">
        <v>5789</v>
      </c>
      <c r="F283" s="413">
        <v>117000.0</v>
      </c>
      <c r="G283" s="403"/>
      <c r="H283" s="349" t="s">
        <v>6013</v>
      </c>
      <c r="I283" s="736" t="str">
        <f t="shared" si="8"/>
        <v>NOT PAID</v>
      </c>
      <c r="J283" s="402"/>
      <c r="K283" s="402"/>
      <c r="L283" s="402"/>
      <c r="M283" s="402"/>
      <c r="N283" s="402"/>
      <c r="O283" s="402"/>
      <c r="P283" s="402"/>
      <c r="Q283" s="402"/>
      <c r="R283" s="402"/>
      <c r="S283" s="402"/>
      <c r="T283" s="402"/>
      <c r="U283" s="402"/>
      <c r="V283" s="402"/>
      <c r="W283" s="402"/>
      <c r="X283" s="402"/>
      <c r="Y283" s="402"/>
      <c r="Z283" s="402"/>
    </row>
    <row r="284" ht="14.25" customHeight="1">
      <c r="A284" s="1048">
        <v>45503.0</v>
      </c>
      <c r="B284" s="349" t="s">
        <v>5853</v>
      </c>
      <c r="C284" s="349" t="s">
        <v>6014</v>
      </c>
      <c r="D284" s="1032" t="s">
        <v>54</v>
      </c>
      <c r="E284" s="413" t="s">
        <v>5789</v>
      </c>
      <c r="F284" s="413">
        <v>250000.0</v>
      </c>
      <c r="G284" s="403"/>
      <c r="H284" s="349" t="s">
        <v>4150</v>
      </c>
      <c r="I284" s="736" t="str">
        <f t="shared" si="8"/>
        <v>NOT PAID</v>
      </c>
      <c r="J284" s="402"/>
      <c r="K284" s="402"/>
      <c r="L284" s="402"/>
      <c r="M284" s="402"/>
      <c r="N284" s="402"/>
      <c r="O284" s="402"/>
      <c r="P284" s="402"/>
      <c r="Q284" s="402"/>
      <c r="R284" s="402"/>
      <c r="S284" s="402"/>
      <c r="T284" s="402"/>
      <c r="U284" s="402"/>
      <c r="V284" s="402"/>
      <c r="W284" s="402"/>
      <c r="X284" s="402"/>
      <c r="Y284" s="402"/>
      <c r="Z284" s="402"/>
    </row>
    <row r="285" ht="14.25" customHeight="1">
      <c r="A285" s="818">
        <v>45503.0</v>
      </c>
      <c r="B285" s="349" t="s">
        <v>6015</v>
      </c>
      <c r="C285" s="349" t="s">
        <v>6016</v>
      </c>
      <c r="D285" s="1032" t="s">
        <v>413</v>
      </c>
      <c r="E285" s="413" t="s">
        <v>55</v>
      </c>
      <c r="F285" s="413">
        <v>85000.0</v>
      </c>
      <c r="G285" s="403"/>
      <c r="H285" s="349" t="s">
        <v>56</v>
      </c>
      <c r="I285" s="736" t="str">
        <f t="shared" si="8"/>
        <v>NOT PAID</v>
      </c>
      <c r="J285" s="402"/>
      <c r="K285" s="402"/>
      <c r="L285" s="402"/>
      <c r="M285" s="402"/>
      <c r="N285" s="402"/>
      <c r="O285" s="402"/>
      <c r="P285" s="402"/>
      <c r="Q285" s="402"/>
      <c r="R285" s="402"/>
      <c r="S285" s="402"/>
      <c r="T285" s="402"/>
      <c r="U285" s="402"/>
      <c r="V285" s="402"/>
      <c r="W285" s="402"/>
      <c r="X285" s="402"/>
      <c r="Y285" s="402"/>
      <c r="Z285" s="402"/>
    </row>
    <row r="286" ht="14.25" customHeight="1">
      <c r="A286" s="818">
        <v>45503.0</v>
      </c>
      <c r="B286" s="349" t="s">
        <v>6017</v>
      </c>
      <c r="C286" s="349" t="s">
        <v>6018</v>
      </c>
      <c r="D286" s="1032" t="s">
        <v>54</v>
      </c>
      <c r="E286" s="413" t="s">
        <v>55</v>
      </c>
      <c r="F286" s="413">
        <v>47000.0</v>
      </c>
      <c r="G286" s="413">
        <v>47000.0</v>
      </c>
      <c r="H286" s="349" t="s">
        <v>267</v>
      </c>
      <c r="I286" s="736" t="str">
        <f t="shared" si="8"/>
        <v>FULLY PAID</v>
      </c>
      <c r="J286" s="402"/>
      <c r="K286" s="402"/>
      <c r="L286" s="402"/>
      <c r="M286" s="402"/>
      <c r="N286" s="402"/>
      <c r="O286" s="402"/>
      <c r="P286" s="402"/>
      <c r="Q286" s="402"/>
      <c r="R286" s="402"/>
      <c r="S286" s="402"/>
      <c r="T286" s="402"/>
      <c r="U286" s="402"/>
      <c r="V286" s="402"/>
      <c r="W286" s="402"/>
      <c r="X286" s="402"/>
      <c r="Y286" s="402"/>
      <c r="Z286" s="402"/>
    </row>
    <row r="287" ht="14.25" customHeight="1">
      <c r="A287" s="818">
        <v>45503.0</v>
      </c>
      <c r="B287" s="349" t="s">
        <v>5956</v>
      </c>
      <c r="C287" s="349" t="s">
        <v>5957</v>
      </c>
      <c r="D287" s="1032" t="s">
        <v>59</v>
      </c>
      <c r="E287" s="413" t="s">
        <v>5785</v>
      </c>
      <c r="F287" s="413">
        <v>269550.0</v>
      </c>
      <c r="G287" s="403"/>
      <c r="H287" s="349" t="s">
        <v>6019</v>
      </c>
      <c r="I287" s="736" t="str">
        <f t="shared" si="8"/>
        <v>NOT PAID</v>
      </c>
      <c r="J287" s="402"/>
      <c r="K287" s="402"/>
      <c r="L287" s="402"/>
      <c r="M287" s="402"/>
      <c r="N287" s="402"/>
      <c r="O287" s="402"/>
      <c r="P287" s="402"/>
      <c r="Q287" s="402"/>
      <c r="R287" s="402"/>
      <c r="S287" s="402"/>
      <c r="T287" s="402"/>
      <c r="U287" s="402"/>
      <c r="V287" s="402"/>
      <c r="W287" s="402"/>
      <c r="X287" s="402"/>
      <c r="Y287" s="402"/>
      <c r="Z287" s="402"/>
    </row>
    <row r="288" ht="18.75" customHeight="1">
      <c r="A288" s="818">
        <v>45503.0</v>
      </c>
      <c r="B288" s="1039" t="s">
        <v>5626</v>
      </c>
      <c r="C288" s="1039" t="s">
        <v>5869</v>
      </c>
      <c r="D288" s="1049" t="s">
        <v>54</v>
      </c>
      <c r="E288" s="1049" t="s">
        <v>4114</v>
      </c>
      <c r="F288" s="1050">
        <v>100000.0</v>
      </c>
      <c r="G288" s="403"/>
      <c r="H288" s="349" t="s">
        <v>5175</v>
      </c>
      <c r="I288" s="736" t="str">
        <f t="shared" si="8"/>
        <v>NOT PAID</v>
      </c>
      <c r="J288" s="402"/>
      <c r="K288" s="402"/>
      <c r="L288" s="402"/>
      <c r="M288" s="402"/>
      <c r="N288" s="402"/>
      <c r="O288" s="402"/>
      <c r="P288" s="402"/>
      <c r="Q288" s="402"/>
      <c r="R288" s="402"/>
      <c r="S288" s="402"/>
      <c r="T288" s="402"/>
      <c r="U288" s="402"/>
      <c r="V288" s="402"/>
      <c r="W288" s="402"/>
      <c r="X288" s="402"/>
      <c r="Y288" s="402"/>
      <c r="Z288" s="402"/>
    </row>
    <row r="289" ht="18.0" customHeight="1">
      <c r="A289" s="818">
        <v>45503.0</v>
      </c>
      <c r="B289" s="1039" t="s">
        <v>5727</v>
      </c>
      <c r="C289" s="1039" t="s">
        <v>5728</v>
      </c>
      <c r="D289" s="1049" t="s">
        <v>54</v>
      </c>
      <c r="E289" s="1049" t="s">
        <v>4114</v>
      </c>
      <c r="F289" s="1050">
        <v>70000.0</v>
      </c>
      <c r="G289" s="403"/>
      <c r="H289" s="349" t="s">
        <v>5775</v>
      </c>
      <c r="I289" s="736" t="str">
        <f t="shared" si="8"/>
        <v>NOT PAID</v>
      </c>
      <c r="J289" s="402"/>
      <c r="K289" s="402"/>
      <c r="L289" s="402"/>
      <c r="M289" s="402"/>
      <c r="N289" s="402"/>
      <c r="O289" s="402"/>
      <c r="P289" s="402"/>
      <c r="Q289" s="402"/>
      <c r="R289" s="402"/>
      <c r="S289" s="402"/>
      <c r="T289" s="402"/>
      <c r="U289" s="402"/>
      <c r="V289" s="402"/>
      <c r="W289" s="402"/>
      <c r="X289" s="402"/>
      <c r="Y289" s="402"/>
      <c r="Z289" s="402"/>
    </row>
    <row r="290" ht="21.0" customHeight="1">
      <c r="A290" s="818">
        <v>45503.0</v>
      </c>
      <c r="B290" s="1039" t="s">
        <v>5687</v>
      </c>
      <c r="C290" s="1039" t="s">
        <v>5688</v>
      </c>
      <c r="D290" s="1049" t="s">
        <v>54</v>
      </c>
      <c r="E290" s="1049" t="s">
        <v>4114</v>
      </c>
      <c r="F290" s="1050">
        <v>284550.0</v>
      </c>
      <c r="G290" s="403"/>
      <c r="H290" s="349" t="s">
        <v>5689</v>
      </c>
      <c r="I290" s="736" t="str">
        <f t="shared" si="8"/>
        <v>NOT PAID</v>
      </c>
      <c r="J290" s="402"/>
      <c r="K290" s="402"/>
      <c r="L290" s="402"/>
      <c r="M290" s="402"/>
      <c r="N290" s="402"/>
      <c r="O290" s="402"/>
      <c r="P290" s="402"/>
      <c r="Q290" s="402"/>
      <c r="R290" s="402"/>
      <c r="S290" s="402"/>
      <c r="T290" s="402"/>
      <c r="U290" s="402"/>
      <c r="V290" s="402"/>
      <c r="W290" s="402"/>
      <c r="X290" s="402"/>
      <c r="Y290" s="402"/>
      <c r="Z290" s="402"/>
    </row>
    <row r="291" ht="21.75" customHeight="1">
      <c r="A291" s="818">
        <v>45503.0</v>
      </c>
      <c r="B291" s="1039" t="s">
        <v>5838</v>
      </c>
      <c r="C291" s="1039" t="s">
        <v>6020</v>
      </c>
      <c r="D291" s="1049" t="s">
        <v>54</v>
      </c>
      <c r="E291" s="1049" t="s">
        <v>4114</v>
      </c>
      <c r="F291" s="1050">
        <v>141491.0</v>
      </c>
      <c r="G291" s="413">
        <v>141491.0</v>
      </c>
      <c r="H291" s="349" t="s">
        <v>5980</v>
      </c>
      <c r="I291" s="736" t="str">
        <f t="shared" si="8"/>
        <v>FULLY PAID</v>
      </c>
      <c r="J291" s="402"/>
      <c r="K291" s="402"/>
      <c r="L291" s="402"/>
      <c r="M291" s="402"/>
      <c r="N291" s="402"/>
      <c r="O291" s="402"/>
      <c r="P291" s="402"/>
      <c r="Q291" s="402"/>
      <c r="R291" s="402"/>
      <c r="S291" s="402"/>
      <c r="T291" s="402"/>
      <c r="U291" s="402"/>
      <c r="V291" s="402"/>
      <c r="W291" s="402"/>
      <c r="X291" s="402"/>
      <c r="Y291" s="402"/>
      <c r="Z291" s="402"/>
    </row>
    <row r="292" ht="23.25" customHeight="1">
      <c r="A292" s="818">
        <v>45503.0</v>
      </c>
      <c r="B292" s="1039" t="s">
        <v>6021</v>
      </c>
      <c r="C292" s="1039" t="s">
        <v>6022</v>
      </c>
      <c r="D292" s="1049" t="s">
        <v>54</v>
      </c>
      <c r="E292" s="1049" t="s">
        <v>4114</v>
      </c>
      <c r="F292" s="1050">
        <v>54000.0</v>
      </c>
      <c r="G292" s="403"/>
      <c r="H292" s="349" t="s">
        <v>5175</v>
      </c>
      <c r="I292" s="736" t="str">
        <f t="shared" si="8"/>
        <v>NOT PAID</v>
      </c>
      <c r="J292" s="402"/>
      <c r="K292" s="402"/>
      <c r="L292" s="402"/>
      <c r="M292" s="402"/>
      <c r="N292" s="402"/>
      <c r="O292" s="402"/>
      <c r="P292" s="402"/>
      <c r="Q292" s="402"/>
      <c r="R292" s="402"/>
      <c r="S292" s="402"/>
      <c r="T292" s="402"/>
      <c r="U292" s="402"/>
      <c r="V292" s="402"/>
      <c r="W292" s="402"/>
      <c r="X292" s="402"/>
      <c r="Y292" s="402"/>
      <c r="Z292" s="402"/>
    </row>
    <row r="293" ht="20.25" customHeight="1">
      <c r="A293" s="818">
        <v>45503.0</v>
      </c>
      <c r="B293" s="1039" t="s">
        <v>5872</v>
      </c>
      <c r="C293" s="1039" t="s">
        <v>5873</v>
      </c>
      <c r="D293" s="1049" t="s">
        <v>54</v>
      </c>
      <c r="E293" s="1049" t="s">
        <v>4114</v>
      </c>
      <c r="F293" s="1050">
        <v>16888.0</v>
      </c>
      <c r="G293" s="413">
        <v>16888.0</v>
      </c>
      <c r="H293" s="349" t="s">
        <v>5980</v>
      </c>
      <c r="I293" s="736" t="str">
        <f t="shared" si="8"/>
        <v>FULLY PAID</v>
      </c>
      <c r="J293" s="402"/>
      <c r="K293" s="402"/>
      <c r="L293" s="402"/>
      <c r="M293" s="402"/>
      <c r="N293" s="402"/>
      <c r="O293" s="402"/>
      <c r="P293" s="402"/>
      <c r="Q293" s="402"/>
      <c r="R293" s="402"/>
      <c r="S293" s="402"/>
      <c r="T293" s="402"/>
      <c r="U293" s="402"/>
      <c r="V293" s="402"/>
      <c r="W293" s="402"/>
      <c r="X293" s="402"/>
      <c r="Y293" s="402"/>
      <c r="Z293" s="402"/>
    </row>
    <row r="294" ht="22.5" customHeight="1">
      <c r="A294" s="818">
        <v>45503.0</v>
      </c>
      <c r="B294" s="1039" t="s">
        <v>5700</v>
      </c>
      <c r="C294" s="1039" t="s">
        <v>6023</v>
      </c>
      <c r="D294" s="1049" t="s">
        <v>54</v>
      </c>
      <c r="E294" s="1049" t="s">
        <v>4114</v>
      </c>
      <c r="F294" s="1050">
        <v>80000.0</v>
      </c>
      <c r="G294" s="413">
        <v>15000.0</v>
      </c>
      <c r="H294" s="349" t="s">
        <v>6024</v>
      </c>
      <c r="I294" s="736" t="str">
        <f t="shared" si="8"/>
        <v>PARTIALLY PAID</v>
      </c>
      <c r="J294" s="402"/>
      <c r="K294" s="402"/>
      <c r="L294" s="402"/>
      <c r="M294" s="402"/>
      <c r="N294" s="402"/>
      <c r="O294" s="402"/>
      <c r="P294" s="402"/>
      <c r="Q294" s="402"/>
      <c r="R294" s="402"/>
      <c r="S294" s="402"/>
      <c r="T294" s="402"/>
      <c r="U294" s="402"/>
      <c r="V294" s="402"/>
      <c r="W294" s="402"/>
      <c r="X294" s="402"/>
      <c r="Y294" s="402"/>
      <c r="Z294" s="402"/>
    </row>
    <row r="295" ht="14.25" customHeight="1">
      <c r="A295" s="818">
        <v>45503.0</v>
      </c>
      <c r="B295" s="569" t="s">
        <v>5685</v>
      </c>
      <c r="C295" s="569" t="s">
        <v>5686</v>
      </c>
      <c r="D295" s="599" t="s">
        <v>54</v>
      </c>
      <c r="E295" s="1036" t="s">
        <v>2165</v>
      </c>
      <c r="F295" s="770">
        <v>200000.0</v>
      </c>
      <c r="G295" s="1036"/>
      <c r="H295" s="349" t="s">
        <v>5684</v>
      </c>
      <c r="I295" s="736" t="str">
        <f t="shared" si="8"/>
        <v>NOT PAID</v>
      </c>
      <c r="J295" s="402"/>
      <c r="K295" s="402"/>
      <c r="L295" s="402"/>
      <c r="M295" s="402"/>
      <c r="N295" s="402"/>
      <c r="O295" s="402"/>
      <c r="P295" s="402"/>
      <c r="Q295" s="402"/>
      <c r="R295" s="402"/>
      <c r="S295" s="402"/>
      <c r="T295" s="402"/>
      <c r="U295" s="402"/>
      <c r="V295" s="402"/>
      <c r="W295" s="402"/>
      <c r="X295" s="402"/>
      <c r="Y295" s="402"/>
      <c r="Z295" s="402"/>
    </row>
    <row r="296" ht="14.25" customHeight="1">
      <c r="A296" s="818">
        <v>45503.0</v>
      </c>
      <c r="B296" s="569" t="s">
        <v>5984</v>
      </c>
      <c r="C296" s="569" t="s">
        <v>5985</v>
      </c>
      <c r="D296" s="599" t="s">
        <v>54</v>
      </c>
      <c r="E296" s="1036" t="s">
        <v>2165</v>
      </c>
      <c r="F296" s="770">
        <v>300000.0</v>
      </c>
      <c r="G296" s="1036">
        <v>100000.0</v>
      </c>
      <c r="H296" s="349" t="s">
        <v>6025</v>
      </c>
      <c r="I296" s="736" t="str">
        <f t="shared" si="8"/>
        <v>PARTIALLY PAID</v>
      </c>
      <c r="J296" s="402"/>
      <c r="K296" s="402"/>
      <c r="L296" s="402"/>
      <c r="M296" s="402"/>
      <c r="N296" s="402"/>
      <c r="O296" s="402"/>
      <c r="P296" s="402"/>
      <c r="Q296" s="402"/>
      <c r="R296" s="402"/>
      <c r="S296" s="402"/>
      <c r="T296" s="402"/>
      <c r="U296" s="402"/>
      <c r="V296" s="402"/>
      <c r="W296" s="402"/>
      <c r="X296" s="402"/>
      <c r="Y296" s="402"/>
      <c r="Z296" s="402"/>
    </row>
    <row r="297" ht="14.25" customHeight="1">
      <c r="A297" s="818">
        <v>45503.0</v>
      </c>
      <c r="B297" s="569" t="s">
        <v>6026</v>
      </c>
      <c r="C297" s="569" t="s">
        <v>6027</v>
      </c>
      <c r="D297" s="599" t="s">
        <v>59</v>
      </c>
      <c r="E297" s="1036" t="s">
        <v>2165</v>
      </c>
      <c r="F297" s="770">
        <v>300000.0</v>
      </c>
      <c r="G297" s="1036"/>
      <c r="H297" s="349" t="s">
        <v>6028</v>
      </c>
      <c r="I297" s="736" t="str">
        <f t="shared" si="8"/>
        <v>NOT PAID</v>
      </c>
      <c r="J297" s="402"/>
      <c r="K297" s="402"/>
      <c r="L297" s="402"/>
      <c r="M297" s="402"/>
      <c r="N297" s="402"/>
      <c r="O297" s="402"/>
      <c r="P297" s="402"/>
      <c r="Q297" s="402"/>
      <c r="R297" s="402"/>
      <c r="S297" s="402"/>
      <c r="T297" s="402"/>
      <c r="U297" s="402"/>
      <c r="V297" s="402"/>
      <c r="W297" s="402"/>
      <c r="X297" s="402"/>
      <c r="Y297" s="402"/>
      <c r="Z297" s="402"/>
    </row>
    <row r="298" ht="14.25" customHeight="1">
      <c r="A298" s="818">
        <v>45503.0</v>
      </c>
      <c r="B298" s="349" t="s">
        <v>6029</v>
      </c>
      <c r="C298" s="349" t="s">
        <v>6030</v>
      </c>
      <c r="D298" s="599" t="s">
        <v>54</v>
      </c>
      <c r="E298" s="413" t="s">
        <v>2165</v>
      </c>
      <c r="F298" s="413">
        <v>267000.0</v>
      </c>
      <c r="G298" s="403"/>
      <c r="H298" s="349" t="s">
        <v>932</v>
      </c>
      <c r="I298" s="736" t="str">
        <f t="shared" si="8"/>
        <v>NOT PAID</v>
      </c>
      <c r="J298" s="402"/>
      <c r="K298" s="402"/>
      <c r="L298" s="402"/>
      <c r="M298" s="402"/>
      <c r="N298" s="402"/>
      <c r="O298" s="402"/>
      <c r="P298" s="402"/>
      <c r="Q298" s="402"/>
      <c r="R298" s="402"/>
      <c r="S298" s="402"/>
      <c r="T298" s="402"/>
      <c r="U298" s="402"/>
      <c r="V298" s="402"/>
      <c r="W298" s="402"/>
      <c r="X298" s="402"/>
      <c r="Y298" s="402"/>
      <c r="Z298" s="402"/>
    </row>
    <row r="299" ht="14.25" customHeight="1">
      <c r="A299" s="818">
        <v>45503.0</v>
      </c>
      <c r="B299" s="349" t="s">
        <v>5844</v>
      </c>
      <c r="C299" s="349" t="s">
        <v>5845</v>
      </c>
      <c r="D299" s="1032" t="s">
        <v>54</v>
      </c>
      <c r="E299" s="413" t="s">
        <v>4114</v>
      </c>
      <c r="F299" s="413">
        <v>679864.0</v>
      </c>
      <c r="G299" s="403"/>
      <c r="H299" s="349" t="s">
        <v>3375</v>
      </c>
      <c r="I299" s="736" t="str">
        <f t="shared" si="8"/>
        <v>NOT PAID</v>
      </c>
      <c r="J299" s="402"/>
      <c r="K299" s="402"/>
      <c r="L299" s="402"/>
      <c r="M299" s="402"/>
      <c r="N299" s="402"/>
      <c r="O299" s="402"/>
      <c r="P299" s="402"/>
      <c r="Q299" s="402"/>
      <c r="R299" s="402"/>
      <c r="S299" s="402"/>
      <c r="T299" s="402"/>
      <c r="U299" s="402"/>
      <c r="V299" s="402"/>
      <c r="W299" s="402"/>
      <c r="X299" s="402"/>
      <c r="Y299" s="402"/>
      <c r="Z299" s="402"/>
    </row>
    <row r="300" ht="14.25" customHeight="1">
      <c r="A300" s="402"/>
      <c r="B300" s="402"/>
      <c r="C300" s="402"/>
      <c r="D300" s="1034"/>
      <c r="E300" s="403"/>
      <c r="F300" s="403"/>
      <c r="G300" s="403"/>
      <c r="H300" s="402"/>
      <c r="I300" s="736" t="str">
        <f t="shared" si="8"/>
        <v>FULLY PAID</v>
      </c>
      <c r="J300" s="402"/>
      <c r="K300" s="402"/>
      <c r="L300" s="402"/>
      <c r="M300" s="402"/>
      <c r="N300" s="402"/>
      <c r="O300" s="402"/>
      <c r="P300" s="402"/>
      <c r="Q300" s="402"/>
      <c r="R300" s="402"/>
      <c r="S300" s="402"/>
      <c r="T300" s="402"/>
      <c r="U300" s="402"/>
      <c r="V300" s="402"/>
      <c r="W300" s="402"/>
      <c r="X300" s="402"/>
      <c r="Y300" s="402"/>
      <c r="Z300" s="402"/>
    </row>
    <row r="301" ht="14.25" customHeight="1">
      <c r="A301" s="402"/>
      <c r="B301" s="402"/>
      <c r="C301" s="402"/>
      <c r="D301" s="1034"/>
      <c r="E301" s="403"/>
      <c r="F301" s="403"/>
      <c r="G301" s="403"/>
      <c r="H301" s="402"/>
      <c r="I301" s="736" t="str">
        <f t="shared" si="8"/>
        <v>FULLY PAID</v>
      </c>
      <c r="J301" s="402"/>
      <c r="K301" s="402"/>
      <c r="L301" s="402"/>
      <c r="M301" s="402"/>
      <c r="N301" s="402"/>
      <c r="O301" s="402"/>
      <c r="P301" s="402"/>
      <c r="Q301" s="402"/>
      <c r="R301" s="402"/>
      <c r="S301" s="402"/>
      <c r="T301" s="402"/>
      <c r="U301" s="402"/>
      <c r="V301" s="402"/>
      <c r="W301" s="402"/>
      <c r="X301" s="402"/>
      <c r="Y301" s="402"/>
      <c r="Z301" s="402"/>
    </row>
    <row r="302" ht="14.25" customHeight="1">
      <c r="A302" s="402"/>
      <c r="B302" s="402"/>
      <c r="C302" s="402"/>
      <c r="D302" s="1034"/>
      <c r="E302" s="403"/>
      <c r="F302" s="403"/>
      <c r="G302" s="403"/>
      <c r="H302" s="402"/>
      <c r="I302" s="736" t="str">
        <f t="shared" si="8"/>
        <v>FULLY PAID</v>
      </c>
      <c r="J302" s="402"/>
      <c r="K302" s="402"/>
      <c r="L302" s="402"/>
      <c r="M302" s="402"/>
      <c r="N302" s="402"/>
      <c r="O302" s="402"/>
      <c r="P302" s="402"/>
      <c r="Q302" s="402"/>
      <c r="R302" s="402"/>
      <c r="S302" s="402"/>
      <c r="T302" s="402"/>
      <c r="U302" s="402"/>
      <c r="V302" s="402"/>
      <c r="W302" s="402"/>
      <c r="X302" s="402"/>
      <c r="Y302" s="402"/>
      <c r="Z302" s="402"/>
    </row>
    <row r="303" ht="14.25" customHeight="1">
      <c r="A303" s="406">
        <v>45504.0</v>
      </c>
      <c r="B303" s="349" t="s">
        <v>5952</v>
      </c>
      <c r="C303" s="349" t="s">
        <v>5953</v>
      </c>
      <c r="D303" s="1032" t="s">
        <v>54</v>
      </c>
      <c r="E303" s="413" t="s">
        <v>5785</v>
      </c>
      <c r="F303" s="413">
        <v>38427.0</v>
      </c>
      <c r="G303" s="413">
        <v>40350.0</v>
      </c>
      <c r="H303" s="349" t="s">
        <v>149</v>
      </c>
      <c r="I303" s="736" t="str">
        <f t="shared" si="8"/>
        <v>FULLY PAID</v>
      </c>
      <c r="J303" s="402"/>
      <c r="K303" s="402"/>
      <c r="L303" s="402"/>
      <c r="M303" s="402"/>
      <c r="N303" s="402"/>
      <c r="O303" s="402"/>
      <c r="P303" s="402"/>
      <c r="Q303" s="402"/>
      <c r="R303" s="402"/>
      <c r="S303" s="402"/>
      <c r="T303" s="402"/>
      <c r="U303" s="402"/>
      <c r="V303" s="402"/>
      <c r="W303" s="402"/>
      <c r="X303" s="402"/>
      <c r="Y303" s="402"/>
      <c r="Z303" s="402"/>
    </row>
    <row r="304" ht="14.25" customHeight="1">
      <c r="A304" s="406">
        <v>45504.0</v>
      </c>
      <c r="B304" s="349" t="s">
        <v>5991</v>
      </c>
      <c r="C304" s="349" t="s">
        <v>5641</v>
      </c>
      <c r="D304" s="1032" t="s">
        <v>67</v>
      </c>
      <c r="E304" s="403"/>
      <c r="F304" s="413">
        <v>1000000.0</v>
      </c>
      <c r="G304" s="413">
        <v>1000000.0</v>
      </c>
      <c r="H304" s="349" t="s">
        <v>149</v>
      </c>
      <c r="I304" s="736" t="str">
        <f t="shared" si="8"/>
        <v>FULLY PAID</v>
      </c>
      <c r="J304" s="402"/>
      <c r="K304" s="402"/>
      <c r="L304" s="402"/>
      <c r="M304" s="402"/>
      <c r="N304" s="402"/>
      <c r="O304" s="402"/>
      <c r="P304" s="402"/>
      <c r="Q304" s="402"/>
      <c r="R304" s="402"/>
      <c r="S304" s="402"/>
      <c r="T304" s="402"/>
      <c r="U304" s="402"/>
      <c r="V304" s="402"/>
      <c r="W304" s="402"/>
      <c r="X304" s="402"/>
      <c r="Y304" s="402"/>
      <c r="Z304" s="402"/>
    </row>
    <row r="305" ht="14.25" customHeight="1">
      <c r="A305" s="406">
        <v>45504.0</v>
      </c>
      <c r="B305" s="349" t="s">
        <v>5997</v>
      </c>
      <c r="C305" s="349" t="s">
        <v>5998</v>
      </c>
      <c r="D305" s="1032" t="s">
        <v>54</v>
      </c>
      <c r="E305" s="413" t="s">
        <v>5620</v>
      </c>
      <c r="F305" s="413">
        <v>67914.34</v>
      </c>
      <c r="G305" s="403"/>
      <c r="H305" s="349" t="s">
        <v>149</v>
      </c>
      <c r="I305" s="736" t="str">
        <f t="shared" si="8"/>
        <v>NOT PAID</v>
      </c>
      <c r="J305" s="402"/>
      <c r="K305" s="402"/>
      <c r="L305" s="402"/>
      <c r="M305" s="402"/>
      <c r="N305" s="402"/>
      <c r="O305" s="402"/>
      <c r="P305" s="402"/>
      <c r="Q305" s="402"/>
      <c r="R305" s="402"/>
      <c r="S305" s="402"/>
      <c r="T305" s="402"/>
      <c r="U305" s="402"/>
      <c r="V305" s="402"/>
      <c r="W305" s="402"/>
      <c r="X305" s="402"/>
      <c r="Y305" s="402"/>
      <c r="Z305" s="402"/>
    </row>
    <row r="306" ht="14.25" customHeight="1">
      <c r="A306" s="406">
        <v>45504.0</v>
      </c>
      <c r="B306" s="349" t="s">
        <v>5999</v>
      </c>
      <c r="C306" s="349" t="s">
        <v>6000</v>
      </c>
      <c r="D306" s="1032" t="s">
        <v>54</v>
      </c>
      <c r="E306" s="413" t="s">
        <v>5620</v>
      </c>
      <c r="F306" s="413">
        <v>12722.21</v>
      </c>
      <c r="G306" s="403"/>
      <c r="H306" s="349" t="s">
        <v>6031</v>
      </c>
      <c r="I306" s="736" t="str">
        <f t="shared" si="8"/>
        <v>NOT PAID</v>
      </c>
      <c r="J306" s="402"/>
      <c r="K306" s="402"/>
      <c r="L306" s="402"/>
      <c r="M306" s="402"/>
      <c r="N306" s="402"/>
      <c r="O306" s="402"/>
      <c r="P306" s="402"/>
      <c r="Q306" s="402"/>
      <c r="R306" s="402"/>
      <c r="S306" s="402"/>
      <c r="T306" s="402"/>
      <c r="U306" s="402"/>
      <c r="V306" s="402"/>
      <c r="W306" s="402"/>
      <c r="X306" s="402"/>
      <c r="Y306" s="402"/>
      <c r="Z306" s="402"/>
    </row>
    <row r="307" ht="14.25" customHeight="1">
      <c r="A307" s="406">
        <v>45504.0</v>
      </c>
      <c r="B307" s="349" t="s">
        <v>6004</v>
      </c>
      <c r="C307" s="349" t="s">
        <v>6000</v>
      </c>
      <c r="D307" s="1032" t="s">
        <v>346</v>
      </c>
      <c r="E307" s="413" t="s">
        <v>5620</v>
      </c>
      <c r="F307" s="413">
        <v>10492.55</v>
      </c>
      <c r="G307" s="403"/>
      <c r="H307" s="349" t="s">
        <v>6031</v>
      </c>
      <c r="I307" s="736" t="str">
        <f t="shared" si="8"/>
        <v>NOT PAID</v>
      </c>
      <c r="J307" s="402"/>
      <c r="K307" s="402"/>
      <c r="L307" s="402"/>
      <c r="M307" s="402"/>
      <c r="N307" s="402"/>
      <c r="O307" s="402"/>
      <c r="P307" s="402"/>
      <c r="Q307" s="402"/>
      <c r="R307" s="402"/>
      <c r="S307" s="402"/>
      <c r="T307" s="402"/>
      <c r="U307" s="402"/>
      <c r="V307" s="402"/>
      <c r="W307" s="402"/>
      <c r="X307" s="402"/>
      <c r="Y307" s="402"/>
      <c r="Z307" s="402"/>
    </row>
    <row r="308" ht="14.25" customHeight="1">
      <c r="A308" s="406">
        <v>45504.0</v>
      </c>
      <c r="B308" s="349" t="s">
        <v>6006</v>
      </c>
      <c r="C308" s="349" t="s">
        <v>6007</v>
      </c>
      <c r="D308" s="1032" t="s">
        <v>54</v>
      </c>
      <c r="E308" s="413" t="s">
        <v>5620</v>
      </c>
      <c r="F308" s="413">
        <v>21044.0</v>
      </c>
      <c r="G308" s="403"/>
      <c r="H308" s="349" t="s">
        <v>6032</v>
      </c>
      <c r="I308" s="736" t="str">
        <f t="shared" si="8"/>
        <v>NOT PAID</v>
      </c>
      <c r="J308" s="402"/>
      <c r="K308" s="402"/>
      <c r="L308" s="402"/>
      <c r="M308" s="402"/>
      <c r="N308" s="402"/>
      <c r="O308" s="402"/>
      <c r="P308" s="402"/>
      <c r="Q308" s="402"/>
      <c r="R308" s="402"/>
      <c r="S308" s="402"/>
      <c r="T308" s="402"/>
      <c r="U308" s="402"/>
      <c r="V308" s="402"/>
      <c r="W308" s="402"/>
      <c r="X308" s="402"/>
      <c r="Y308" s="402"/>
      <c r="Z308" s="402"/>
    </row>
    <row r="309" ht="14.25" customHeight="1">
      <c r="A309" s="406">
        <v>45504.0</v>
      </c>
      <c r="B309" s="349" t="s">
        <v>5911</v>
      </c>
      <c r="C309" s="349" t="s">
        <v>5912</v>
      </c>
      <c r="D309" s="1032" t="s">
        <v>54</v>
      </c>
      <c r="E309" s="413" t="s">
        <v>5623</v>
      </c>
      <c r="F309" s="413">
        <v>24332.41</v>
      </c>
      <c r="G309" s="403"/>
      <c r="H309" s="349" t="s">
        <v>267</v>
      </c>
      <c r="I309" s="736" t="str">
        <f t="shared" si="8"/>
        <v>NOT PAID</v>
      </c>
      <c r="J309" s="402"/>
      <c r="K309" s="402"/>
      <c r="L309" s="402"/>
      <c r="M309" s="402"/>
      <c r="N309" s="402"/>
      <c r="O309" s="402"/>
      <c r="P309" s="402"/>
      <c r="Q309" s="402"/>
      <c r="R309" s="402"/>
      <c r="S309" s="402"/>
      <c r="T309" s="402"/>
      <c r="U309" s="402"/>
      <c r="V309" s="402"/>
      <c r="W309" s="402"/>
      <c r="X309" s="402"/>
      <c r="Y309" s="402"/>
      <c r="Z309" s="402"/>
    </row>
    <row r="310" ht="14.25" customHeight="1">
      <c r="A310" s="406">
        <v>45504.0</v>
      </c>
      <c r="B310" s="349" t="s">
        <v>5913</v>
      </c>
      <c r="C310" s="349" t="s">
        <v>5914</v>
      </c>
      <c r="D310" s="1032" t="s">
        <v>54</v>
      </c>
      <c r="E310" s="403"/>
      <c r="F310" s="413">
        <v>8757.0</v>
      </c>
      <c r="G310" s="403"/>
      <c r="H310" s="402"/>
      <c r="I310" s="736" t="str">
        <f t="shared" si="8"/>
        <v>NOT PAID</v>
      </c>
      <c r="J310" s="402"/>
      <c r="K310" s="402"/>
      <c r="L310" s="402"/>
      <c r="M310" s="402"/>
      <c r="N310" s="402"/>
      <c r="O310" s="402"/>
      <c r="P310" s="402"/>
      <c r="Q310" s="402"/>
      <c r="R310" s="402"/>
      <c r="S310" s="402"/>
      <c r="T310" s="402"/>
      <c r="U310" s="402"/>
      <c r="V310" s="402"/>
      <c r="W310" s="402"/>
      <c r="X310" s="402"/>
      <c r="Y310" s="402"/>
      <c r="Z310" s="402"/>
    </row>
    <row r="311" ht="14.25" customHeight="1">
      <c r="A311" s="406">
        <v>45504.0</v>
      </c>
      <c r="B311" s="349" t="s">
        <v>5921</v>
      </c>
      <c r="C311" s="349" t="s">
        <v>5922</v>
      </c>
      <c r="D311" s="1032" t="s">
        <v>54</v>
      </c>
      <c r="E311" s="403"/>
      <c r="F311" s="413">
        <v>39229.24</v>
      </c>
      <c r="G311" s="403"/>
      <c r="H311" s="402"/>
      <c r="I311" s="736" t="str">
        <f t="shared" si="8"/>
        <v>NOT PAID</v>
      </c>
      <c r="J311" s="402"/>
      <c r="K311" s="402"/>
      <c r="L311" s="402"/>
      <c r="M311" s="402"/>
      <c r="N311" s="402"/>
      <c r="O311" s="402"/>
      <c r="P311" s="402"/>
      <c r="Q311" s="402"/>
      <c r="R311" s="402"/>
      <c r="S311" s="402"/>
      <c r="T311" s="402"/>
      <c r="U311" s="402"/>
      <c r="V311" s="402"/>
      <c r="W311" s="402"/>
      <c r="X311" s="402"/>
      <c r="Y311" s="402"/>
      <c r="Z311" s="402"/>
    </row>
    <row r="312" ht="14.25" customHeight="1">
      <c r="A312" s="406">
        <v>45504.0</v>
      </c>
      <c r="B312" s="349" t="s">
        <v>5926</v>
      </c>
      <c r="C312" s="349" t="s">
        <v>5927</v>
      </c>
      <c r="D312" s="1032" t="s">
        <v>54</v>
      </c>
      <c r="E312" s="403"/>
      <c r="F312" s="413">
        <v>13156.0</v>
      </c>
      <c r="G312" s="403"/>
      <c r="H312" s="402"/>
      <c r="I312" s="736" t="str">
        <f t="shared" si="8"/>
        <v>NOT PAID</v>
      </c>
      <c r="J312" s="402"/>
      <c r="K312" s="402"/>
      <c r="L312" s="402"/>
      <c r="M312" s="402"/>
      <c r="N312" s="402"/>
      <c r="O312" s="402"/>
      <c r="P312" s="402"/>
      <c r="Q312" s="402"/>
      <c r="R312" s="402"/>
      <c r="S312" s="402"/>
      <c r="T312" s="402"/>
      <c r="U312" s="402"/>
      <c r="V312" s="402"/>
      <c r="W312" s="402"/>
      <c r="X312" s="402"/>
      <c r="Y312" s="402"/>
      <c r="Z312" s="402"/>
    </row>
    <row r="313" ht="14.25" customHeight="1">
      <c r="A313" s="406">
        <v>45504.0</v>
      </c>
      <c r="B313" s="349" t="s">
        <v>5929</v>
      </c>
      <c r="C313" s="349" t="s">
        <v>5930</v>
      </c>
      <c r="D313" s="1032" t="s">
        <v>54</v>
      </c>
      <c r="E313" s="403"/>
      <c r="F313" s="413">
        <v>132250.24</v>
      </c>
      <c r="G313" s="403"/>
      <c r="H313" s="402"/>
      <c r="I313" s="736" t="str">
        <f t="shared" si="8"/>
        <v>NOT PAID</v>
      </c>
      <c r="J313" s="402"/>
      <c r="K313" s="402"/>
      <c r="L313" s="402"/>
      <c r="M313" s="402"/>
      <c r="N313" s="402"/>
      <c r="O313" s="402"/>
      <c r="P313" s="402"/>
      <c r="Q313" s="402"/>
      <c r="R313" s="402"/>
      <c r="S313" s="402"/>
      <c r="T313" s="402"/>
      <c r="U313" s="402"/>
      <c r="V313" s="402"/>
      <c r="W313" s="402"/>
      <c r="X313" s="402"/>
      <c r="Y313" s="402"/>
      <c r="Z313" s="402"/>
    </row>
    <row r="314" ht="14.25" customHeight="1">
      <c r="A314" s="406">
        <v>45504.0</v>
      </c>
      <c r="B314" s="349" t="s">
        <v>5932</v>
      </c>
      <c r="C314" s="349" t="s">
        <v>5933</v>
      </c>
      <c r="D314" s="1032" t="s">
        <v>54</v>
      </c>
      <c r="E314" s="403"/>
      <c r="F314" s="413">
        <v>20397.85</v>
      </c>
      <c r="G314" s="413">
        <v>19267.0</v>
      </c>
      <c r="H314" s="349" t="s">
        <v>5495</v>
      </c>
      <c r="I314" s="736" t="str">
        <f t="shared" si="8"/>
        <v>PARTIALLY PAID</v>
      </c>
      <c r="J314" s="402"/>
      <c r="K314" s="402"/>
      <c r="L314" s="402"/>
      <c r="M314" s="402"/>
      <c r="N314" s="402"/>
      <c r="O314" s="402"/>
      <c r="P314" s="402"/>
      <c r="Q314" s="402"/>
      <c r="R314" s="402"/>
      <c r="S314" s="402"/>
      <c r="T314" s="402"/>
      <c r="U314" s="402"/>
      <c r="V314" s="402"/>
      <c r="W314" s="402"/>
      <c r="X314" s="402"/>
      <c r="Y314" s="402"/>
      <c r="Z314" s="402"/>
    </row>
    <row r="315" ht="14.25" customHeight="1">
      <c r="A315" s="406">
        <v>45504.0</v>
      </c>
      <c r="B315" s="349" t="s">
        <v>5915</v>
      </c>
      <c r="C315" s="349" t="s">
        <v>5916</v>
      </c>
      <c r="D315" s="1032" t="s">
        <v>54</v>
      </c>
      <c r="E315" s="413" t="s">
        <v>5623</v>
      </c>
      <c r="F315" s="413">
        <v>146500.0</v>
      </c>
      <c r="G315" s="403"/>
      <c r="H315" s="349" t="s">
        <v>267</v>
      </c>
      <c r="I315" s="736" t="str">
        <f t="shared" si="8"/>
        <v>NOT PAID</v>
      </c>
      <c r="J315" s="402"/>
      <c r="K315" s="402"/>
      <c r="L315" s="402"/>
      <c r="M315" s="402"/>
      <c r="N315" s="402"/>
      <c r="O315" s="402"/>
      <c r="P315" s="402"/>
      <c r="Q315" s="402"/>
      <c r="R315" s="402"/>
      <c r="S315" s="402"/>
      <c r="T315" s="402"/>
      <c r="U315" s="402"/>
      <c r="V315" s="402"/>
      <c r="W315" s="402"/>
      <c r="X315" s="402"/>
      <c r="Y315" s="402"/>
      <c r="Z315" s="402"/>
    </row>
    <row r="316" ht="14.25" customHeight="1">
      <c r="A316" s="406">
        <v>45504.0</v>
      </c>
      <c r="B316" s="1038" t="s">
        <v>5941</v>
      </c>
      <c r="C316" s="349" t="s">
        <v>6033</v>
      </c>
      <c r="D316" s="1032" t="s">
        <v>54</v>
      </c>
      <c r="E316" s="413" t="s">
        <v>5623</v>
      </c>
      <c r="F316" s="413">
        <v>195009.0</v>
      </c>
      <c r="G316" s="403"/>
      <c r="H316" s="349" t="s">
        <v>267</v>
      </c>
      <c r="I316" s="736" t="str">
        <f t="shared" si="8"/>
        <v>NOT PAID</v>
      </c>
      <c r="J316" s="402"/>
      <c r="K316" s="402"/>
      <c r="L316" s="402"/>
      <c r="M316" s="402"/>
      <c r="N316" s="402"/>
      <c r="O316" s="402"/>
      <c r="P316" s="402"/>
      <c r="Q316" s="402"/>
      <c r="R316" s="402"/>
      <c r="S316" s="402"/>
      <c r="T316" s="402"/>
      <c r="U316" s="402"/>
      <c r="V316" s="402"/>
      <c r="W316" s="402"/>
      <c r="X316" s="402"/>
      <c r="Y316" s="402"/>
      <c r="Z316" s="402"/>
    </row>
    <row r="317" ht="14.25" customHeight="1">
      <c r="A317" s="406">
        <v>45504.0</v>
      </c>
      <c r="B317" s="349" t="s">
        <v>5780</v>
      </c>
      <c r="C317" s="349" t="s">
        <v>5781</v>
      </c>
      <c r="D317" s="1032" t="s">
        <v>54</v>
      </c>
      <c r="E317" s="413" t="s">
        <v>5623</v>
      </c>
      <c r="F317" s="1051">
        <v>47071.0</v>
      </c>
      <c r="G317" s="413">
        <v>47071.0</v>
      </c>
      <c r="H317" s="349" t="s">
        <v>149</v>
      </c>
      <c r="I317" s="736" t="str">
        <f t="shared" si="8"/>
        <v>FULLY PAID</v>
      </c>
      <c r="J317" s="402"/>
      <c r="K317" s="402"/>
      <c r="L317" s="402"/>
      <c r="M317" s="402"/>
      <c r="N317" s="402"/>
      <c r="O317" s="402"/>
      <c r="P317" s="402"/>
      <c r="Q317" s="402"/>
      <c r="R317" s="402"/>
      <c r="S317" s="402"/>
      <c r="T317" s="402"/>
      <c r="U317" s="402"/>
      <c r="V317" s="402"/>
      <c r="W317" s="402"/>
      <c r="X317" s="402"/>
      <c r="Y317" s="402"/>
      <c r="Z317" s="402"/>
    </row>
    <row r="318" ht="14.25" customHeight="1">
      <c r="A318" s="406">
        <v>45504.0</v>
      </c>
      <c r="B318" s="349" t="s">
        <v>5838</v>
      </c>
      <c r="C318" s="349" t="s">
        <v>5839</v>
      </c>
      <c r="D318" s="1032" t="s">
        <v>54</v>
      </c>
      <c r="E318" s="403"/>
      <c r="F318" s="1051">
        <v>30000.0</v>
      </c>
      <c r="G318" s="413">
        <v>30000.0</v>
      </c>
      <c r="H318" s="349" t="s">
        <v>149</v>
      </c>
      <c r="I318" s="736" t="str">
        <f t="shared" si="8"/>
        <v>FULLY PAID</v>
      </c>
      <c r="J318" s="402"/>
      <c r="K318" s="402"/>
      <c r="L318" s="402"/>
      <c r="M318" s="402"/>
      <c r="N318" s="402"/>
      <c r="O318" s="402"/>
      <c r="P318" s="402"/>
      <c r="Q318" s="402"/>
      <c r="R318" s="402"/>
      <c r="S318" s="402"/>
      <c r="T318" s="402"/>
      <c r="U318" s="402"/>
      <c r="V318" s="402"/>
      <c r="W318" s="402"/>
      <c r="X318" s="402"/>
      <c r="Y318" s="402"/>
      <c r="Z318" s="402"/>
    </row>
    <row r="319" ht="14.25" customHeight="1">
      <c r="A319" s="406">
        <v>45504.0</v>
      </c>
      <c r="B319" s="349" t="s">
        <v>5787</v>
      </c>
      <c r="C319" s="349" t="s">
        <v>5866</v>
      </c>
      <c r="D319" s="1032" t="s">
        <v>54</v>
      </c>
      <c r="E319" s="403"/>
      <c r="F319" s="413">
        <v>284124.0</v>
      </c>
      <c r="G319" s="403"/>
      <c r="H319" s="402"/>
      <c r="I319" s="736" t="str">
        <f t="shared" si="8"/>
        <v>NOT PAID</v>
      </c>
      <c r="J319" s="402"/>
      <c r="K319" s="402"/>
      <c r="L319" s="402"/>
      <c r="M319" s="402"/>
      <c r="N319" s="402"/>
      <c r="O319" s="402"/>
      <c r="P319" s="402"/>
      <c r="Q319" s="402"/>
      <c r="R319" s="402"/>
      <c r="S319" s="402"/>
      <c r="T319" s="402"/>
      <c r="U319" s="402"/>
      <c r="V319" s="402"/>
      <c r="W319" s="402"/>
      <c r="X319" s="402"/>
      <c r="Y319" s="402"/>
      <c r="Z319" s="402"/>
    </row>
    <row r="320" ht="14.25" customHeight="1">
      <c r="A320" s="406">
        <v>45504.0</v>
      </c>
      <c r="B320" s="349" t="s">
        <v>5664</v>
      </c>
      <c r="C320" s="349" t="s">
        <v>5665</v>
      </c>
      <c r="D320" s="1032" t="s">
        <v>413</v>
      </c>
      <c r="E320" s="403"/>
      <c r="F320" s="413">
        <v>285412.0</v>
      </c>
      <c r="G320" s="403"/>
      <c r="H320" s="402"/>
      <c r="I320" s="736" t="str">
        <f t="shared" si="8"/>
        <v>NOT PAID</v>
      </c>
      <c r="J320" s="402"/>
      <c r="K320" s="402"/>
      <c r="L320" s="402"/>
      <c r="M320" s="402"/>
      <c r="N320" s="402"/>
      <c r="O320" s="402"/>
      <c r="P320" s="402"/>
      <c r="Q320" s="402"/>
      <c r="R320" s="402"/>
      <c r="S320" s="402"/>
      <c r="T320" s="402"/>
      <c r="U320" s="402"/>
      <c r="V320" s="402"/>
      <c r="W320" s="402"/>
      <c r="X320" s="402"/>
      <c r="Y320" s="402"/>
      <c r="Z320" s="402"/>
    </row>
    <row r="321" ht="14.25" customHeight="1">
      <c r="A321" s="406">
        <v>45504.0</v>
      </c>
      <c r="B321" s="349" t="s">
        <v>5849</v>
      </c>
      <c r="C321" s="349" t="s">
        <v>5850</v>
      </c>
      <c r="D321" s="1032" t="s">
        <v>413</v>
      </c>
      <c r="E321" s="403"/>
      <c r="F321" s="413">
        <v>181125.0</v>
      </c>
      <c r="G321" s="403"/>
      <c r="H321" s="402"/>
      <c r="I321" s="736" t="str">
        <f t="shared" si="8"/>
        <v>NOT PAID</v>
      </c>
      <c r="J321" s="402"/>
      <c r="K321" s="402"/>
      <c r="L321" s="402"/>
      <c r="M321" s="402"/>
      <c r="N321" s="402"/>
      <c r="O321" s="402"/>
      <c r="P321" s="402"/>
      <c r="Q321" s="402"/>
      <c r="R321" s="402"/>
      <c r="S321" s="402"/>
      <c r="T321" s="402"/>
      <c r="U321" s="402"/>
      <c r="V321" s="402"/>
      <c r="W321" s="402"/>
      <c r="X321" s="402"/>
      <c r="Y321" s="402"/>
      <c r="Z321" s="402"/>
    </row>
    <row r="322" ht="14.25" customHeight="1">
      <c r="A322" s="406">
        <v>45504.0</v>
      </c>
      <c r="B322" s="349" t="s">
        <v>6015</v>
      </c>
      <c r="C322" s="349" t="s">
        <v>6034</v>
      </c>
      <c r="D322" s="1032" t="s">
        <v>413</v>
      </c>
      <c r="E322" s="403"/>
      <c r="F322" s="413">
        <v>90562.5</v>
      </c>
      <c r="G322" s="403"/>
      <c r="H322" s="402"/>
      <c r="I322" s="736" t="str">
        <f t="shared" si="8"/>
        <v>NOT PAID</v>
      </c>
      <c r="J322" s="402"/>
      <c r="K322" s="402"/>
      <c r="L322" s="402"/>
      <c r="M322" s="402"/>
      <c r="N322" s="402"/>
      <c r="O322" s="402"/>
      <c r="P322" s="402"/>
      <c r="Q322" s="402"/>
      <c r="R322" s="402"/>
      <c r="S322" s="402"/>
      <c r="T322" s="402"/>
      <c r="U322" s="402"/>
      <c r="V322" s="402"/>
      <c r="W322" s="402"/>
      <c r="X322" s="402"/>
      <c r="Y322" s="402"/>
      <c r="Z322" s="402"/>
    </row>
    <row r="323" ht="14.25" customHeight="1">
      <c r="A323" s="406">
        <v>45504.0</v>
      </c>
      <c r="B323" s="349" t="s">
        <v>5813</v>
      </c>
      <c r="C323" s="349" t="s">
        <v>6035</v>
      </c>
      <c r="D323" s="1032" t="s">
        <v>413</v>
      </c>
      <c r="E323" s="403"/>
      <c r="F323" s="413">
        <v>60637.5</v>
      </c>
      <c r="G323" s="403"/>
      <c r="H323" s="402"/>
      <c r="I323" s="736" t="str">
        <f t="shared" si="8"/>
        <v>NOT PAID</v>
      </c>
      <c r="J323" s="402"/>
      <c r="K323" s="402"/>
      <c r="L323" s="402"/>
      <c r="M323" s="402"/>
      <c r="N323" s="402"/>
      <c r="O323" s="402"/>
      <c r="P323" s="402"/>
      <c r="Q323" s="402"/>
      <c r="R323" s="402"/>
      <c r="S323" s="402"/>
      <c r="T323" s="402"/>
      <c r="U323" s="402"/>
      <c r="V323" s="402"/>
      <c r="W323" s="402"/>
      <c r="X323" s="402"/>
      <c r="Y323" s="402"/>
      <c r="Z323" s="402"/>
    </row>
    <row r="324" ht="14.25" customHeight="1">
      <c r="A324" s="406">
        <v>45504.0</v>
      </c>
      <c r="B324" s="349" t="s">
        <v>5795</v>
      </c>
      <c r="C324" s="349" t="s">
        <v>5796</v>
      </c>
      <c r="D324" s="1032" t="s">
        <v>413</v>
      </c>
      <c r="E324" s="403"/>
      <c r="F324" s="413">
        <v>46200.0</v>
      </c>
      <c r="G324" s="403"/>
      <c r="H324" s="402"/>
      <c r="I324" s="736" t="str">
        <f t="shared" si="8"/>
        <v>NOT PAID</v>
      </c>
      <c r="J324" s="402"/>
      <c r="K324" s="402"/>
      <c r="L324" s="402"/>
      <c r="M324" s="402"/>
      <c r="N324" s="402"/>
      <c r="O324" s="402"/>
      <c r="P324" s="402"/>
      <c r="Q324" s="402"/>
      <c r="R324" s="402"/>
      <c r="S324" s="402"/>
      <c r="T324" s="402"/>
      <c r="U324" s="402"/>
      <c r="V324" s="402"/>
      <c r="W324" s="402"/>
      <c r="X324" s="402"/>
      <c r="Y324" s="402"/>
      <c r="Z324" s="402"/>
    </row>
    <row r="325" ht="14.25" customHeight="1">
      <c r="A325" s="818"/>
      <c r="B325" s="349"/>
      <c r="C325" s="349"/>
      <c r="D325" s="1032"/>
      <c r="E325" s="413"/>
      <c r="F325" s="413"/>
      <c r="G325" s="1036"/>
      <c r="H325" s="569"/>
      <c r="I325" s="736" t="str">
        <f t="shared" si="8"/>
        <v>FULLY PAID</v>
      </c>
      <c r="J325" s="402"/>
      <c r="K325" s="402"/>
      <c r="L325" s="402"/>
      <c r="M325" s="402"/>
      <c r="N325" s="402"/>
      <c r="O325" s="402"/>
      <c r="P325" s="402"/>
      <c r="Q325" s="402"/>
      <c r="R325" s="402"/>
      <c r="S325" s="402"/>
      <c r="T325" s="402"/>
      <c r="U325" s="402"/>
      <c r="V325" s="402"/>
      <c r="W325" s="402"/>
      <c r="X325" s="402"/>
      <c r="Y325" s="402"/>
      <c r="Z325" s="402"/>
    </row>
    <row r="326" ht="14.25" customHeight="1">
      <c r="A326" s="818"/>
      <c r="B326" s="349"/>
      <c r="C326" s="349"/>
      <c r="D326" s="1032"/>
      <c r="E326" s="413"/>
      <c r="F326" s="413"/>
      <c r="G326" s="1036"/>
      <c r="H326" s="569"/>
      <c r="I326" s="736" t="str">
        <f t="shared" si="8"/>
        <v>FULLY PAID</v>
      </c>
      <c r="J326" s="402"/>
      <c r="K326" s="402"/>
      <c r="L326" s="402"/>
      <c r="M326" s="402"/>
      <c r="N326" s="402"/>
      <c r="O326" s="402"/>
      <c r="P326" s="402"/>
      <c r="Q326" s="402"/>
      <c r="R326" s="402"/>
      <c r="S326" s="402"/>
      <c r="T326" s="402"/>
      <c r="U326" s="402"/>
      <c r="V326" s="402"/>
      <c r="W326" s="402"/>
      <c r="X326" s="402"/>
      <c r="Y326" s="402"/>
      <c r="Z326" s="402"/>
    </row>
    <row r="327" ht="14.25" customHeight="1">
      <c r="A327" s="818">
        <v>45504.0</v>
      </c>
      <c r="B327" s="349" t="s">
        <v>5956</v>
      </c>
      <c r="C327" s="349" t="s">
        <v>5957</v>
      </c>
      <c r="D327" s="1032" t="s">
        <v>59</v>
      </c>
      <c r="E327" s="413" t="s">
        <v>5785</v>
      </c>
      <c r="F327" s="413">
        <v>269550.0</v>
      </c>
      <c r="G327" s="1036"/>
      <c r="H327" s="569"/>
      <c r="I327" s="736" t="str">
        <f t="shared" si="8"/>
        <v>NOT PAID</v>
      </c>
      <c r="J327" s="402"/>
      <c r="K327" s="402"/>
      <c r="L327" s="402"/>
      <c r="M327" s="402"/>
      <c r="N327" s="402"/>
      <c r="O327" s="402"/>
      <c r="P327" s="402"/>
      <c r="Q327" s="402"/>
      <c r="R327" s="402"/>
      <c r="S327" s="402"/>
      <c r="T327" s="402"/>
      <c r="U327" s="402"/>
      <c r="V327" s="402"/>
      <c r="W327" s="402"/>
      <c r="X327" s="402"/>
      <c r="Y327" s="402"/>
      <c r="Z327" s="402"/>
    </row>
    <row r="328" ht="14.25" customHeight="1">
      <c r="A328" s="697">
        <v>45504.0</v>
      </c>
      <c r="B328" s="1045" t="s">
        <v>5685</v>
      </c>
      <c r="C328" s="1045" t="s">
        <v>5686</v>
      </c>
      <c r="D328" s="467" t="s">
        <v>54</v>
      </c>
      <c r="E328" s="1052" t="s">
        <v>2165</v>
      </c>
      <c r="F328" s="1046">
        <v>100000.0</v>
      </c>
      <c r="G328" s="1036">
        <v>0.0</v>
      </c>
      <c r="H328" s="569" t="s">
        <v>6036</v>
      </c>
      <c r="I328" s="736" t="str">
        <f t="shared" si="8"/>
        <v>NOT PAID</v>
      </c>
      <c r="J328" s="402"/>
      <c r="K328" s="402"/>
      <c r="L328" s="402"/>
      <c r="M328" s="402"/>
      <c r="N328" s="402"/>
      <c r="O328" s="402"/>
      <c r="P328" s="402"/>
      <c r="Q328" s="402"/>
      <c r="R328" s="402"/>
      <c r="S328" s="402"/>
      <c r="T328" s="402"/>
      <c r="U328" s="402"/>
      <c r="V328" s="402"/>
      <c r="W328" s="402"/>
      <c r="X328" s="402"/>
      <c r="Y328" s="402"/>
      <c r="Z328" s="402"/>
    </row>
    <row r="329" ht="14.25" customHeight="1">
      <c r="A329" s="697">
        <v>45504.0</v>
      </c>
      <c r="B329" s="1045" t="s">
        <v>5984</v>
      </c>
      <c r="C329" s="1045" t="s">
        <v>5985</v>
      </c>
      <c r="D329" s="467" t="s">
        <v>54</v>
      </c>
      <c r="E329" s="1052" t="s">
        <v>2165</v>
      </c>
      <c r="F329" s="1046">
        <v>100000.0</v>
      </c>
      <c r="G329" s="769">
        <v>100000.0</v>
      </c>
      <c r="H329" s="569" t="s">
        <v>710</v>
      </c>
      <c r="I329" s="736" t="str">
        <f t="shared" si="8"/>
        <v>FULLY PAID</v>
      </c>
      <c r="J329" s="402"/>
      <c r="K329" s="402"/>
      <c r="L329" s="402"/>
      <c r="M329" s="402"/>
      <c r="N329" s="402"/>
      <c r="O329" s="402"/>
      <c r="P329" s="402"/>
      <c r="Q329" s="402"/>
      <c r="R329" s="402"/>
      <c r="S329" s="402"/>
      <c r="T329" s="402"/>
      <c r="U329" s="402"/>
      <c r="V329" s="402"/>
      <c r="W329" s="402"/>
      <c r="X329" s="402"/>
      <c r="Y329" s="402"/>
      <c r="Z329" s="402"/>
    </row>
    <row r="330" ht="14.25" customHeight="1">
      <c r="A330" s="697">
        <v>45504.0</v>
      </c>
      <c r="B330" s="1045" t="s">
        <v>6026</v>
      </c>
      <c r="C330" s="1045" t="s">
        <v>6027</v>
      </c>
      <c r="D330" s="467" t="s">
        <v>59</v>
      </c>
      <c r="E330" s="1052" t="s">
        <v>2165</v>
      </c>
      <c r="F330" s="1046">
        <v>100000.0</v>
      </c>
      <c r="G330" s="769">
        <v>0.0</v>
      </c>
      <c r="H330" s="569" t="s">
        <v>6037</v>
      </c>
      <c r="I330" s="736" t="str">
        <f t="shared" si="8"/>
        <v>NOT PAID</v>
      </c>
      <c r="J330" s="402"/>
      <c r="K330" s="402"/>
      <c r="L330" s="402"/>
      <c r="M330" s="402"/>
      <c r="N330" s="402"/>
      <c r="O330" s="402"/>
      <c r="P330" s="402"/>
      <c r="Q330" s="402"/>
      <c r="R330" s="402"/>
      <c r="S330" s="402"/>
      <c r="T330" s="402"/>
      <c r="U330" s="402"/>
      <c r="V330" s="402"/>
      <c r="W330" s="402"/>
      <c r="X330" s="402"/>
      <c r="Y330" s="402"/>
      <c r="Z330" s="402"/>
    </row>
    <row r="331" ht="14.25" customHeight="1">
      <c r="A331" s="697">
        <v>45504.0</v>
      </c>
      <c r="B331" s="324" t="s">
        <v>5727</v>
      </c>
      <c r="C331" s="324" t="s">
        <v>5728</v>
      </c>
      <c r="D331" s="324" t="s">
        <v>54</v>
      </c>
      <c r="E331" s="1053" t="s">
        <v>4114</v>
      </c>
      <c r="F331" s="1054">
        <v>70000.0</v>
      </c>
      <c r="G331" s="769">
        <v>0.0</v>
      </c>
      <c r="H331" s="599" t="s">
        <v>6038</v>
      </c>
      <c r="I331" s="736" t="str">
        <f t="shared" si="8"/>
        <v>NOT PAID</v>
      </c>
      <c r="J331" s="402"/>
      <c r="K331" s="402"/>
      <c r="L331" s="402"/>
      <c r="M331" s="402"/>
      <c r="N331" s="402"/>
      <c r="O331" s="402"/>
      <c r="P331" s="402"/>
      <c r="Q331" s="402"/>
      <c r="R331" s="402"/>
      <c r="S331" s="402"/>
      <c r="T331" s="402"/>
      <c r="U331" s="402"/>
      <c r="V331" s="402"/>
      <c r="W331" s="402"/>
      <c r="X331" s="402"/>
      <c r="Y331" s="402"/>
      <c r="Z331" s="402"/>
    </row>
    <row r="332" ht="14.25" customHeight="1">
      <c r="A332" s="697">
        <v>45504.0</v>
      </c>
      <c r="B332" s="324" t="s">
        <v>5687</v>
      </c>
      <c r="C332" s="324" t="s">
        <v>5978</v>
      </c>
      <c r="D332" s="324" t="s">
        <v>54</v>
      </c>
      <c r="E332" s="1053" t="s">
        <v>4114</v>
      </c>
      <c r="F332" s="1054">
        <v>284550.0</v>
      </c>
      <c r="G332" s="769"/>
      <c r="H332" s="599" t="s">
        <v>5689</v>
      </c>
      <c r="I332" s="736" t="str">
        <f t="shared" si="8"/>
        <v>NOT PAID</v>
      </c>
      <c r="J332" s="402"/>
      <c r="K332" s="402"/>
      <c r="L332" s="402"/>
      <c r="M332" s="402"/>
      <c r="N332" s="402"/>
      <c r="O332" s="402"/>
      <c r="P332" s="402"/>
      <c r="Q332" s="402"/>
      <c r="R332" s="402"/>
      <c r="S332" s="402"/>
      <c r="T332" s="402"/>
      <c r="U332" s="402"/>
      <c r="V332" s="402"/>
      <c r="W332" s="402"/>
      <c r="X332" s="402"/>
      <c r="Y332" s="402"/>
      <c r="Z332" s="402"/>
    </row>
    <row r="333" ht="14.25" customHeight="1">
      <c r="A333" s="697">
        <v>45504.0</v>
      </c>
      <c r="B333" s="324" t="s">
        <v>5700</v>
      </c>
      <c r="C333" s="324" t="s">
        <v>6039</v>
      </c>
      <c r="D333" s="324" t="s">
        <v>54</v>
      </c>
      <c r="E333" s="1053" t="s">
        <v>4114</v>
      </c>
      <c r="F333" s="1054">
        <v>65000.0</v>
      </c>
      <c r="G333" s="769"/>
      <c r="H333" s="599" t="s">
        <v>6040</v>
      </c>
      <c r="I333" s="736" t="str">
        <f t="shared" si="8"/>
        <v>NOT PAID</v>
      </c>
      <c r="J333" s="402"/>
      <c r="K333" s="402"/>
      <c r="L333" s="402"/>
      <c r="M333" s="402"/>
      <c r="N333" s="402"/>
      <c r="O333" s="402"/>
      <c r="P333" s="402"/>
      <c r="Q333" s="402"/>
      <c r="R333" s="402"/>
      <c r="S333" s="402"/>
      <c r="T333" s="402"/>
      <c r="U333" s="402"/>
      <c r="V333" s="402"/>
      <c r="W333" s="402"/>
      <c r="X333" s="402"/>
      <c r="Y333" s="402"/>
      <c r="Z333" s="402"/>
    </row>
    <row r="334" ht="14.25" customHeight="1">
      <c r="A334" s="697">
        <v>45504.0</v>
      </c>
      <c r="B334" s="349" t="s">
        <v>5682</v>
      </c>
      <c r="C334" s="349" t="s">
        <v>6041</v>
      </c>
      <c r="D334" s="324" t="s">
        <v>54</v>
      </c>
      <c r="E334" s="1052" t="s">
        <v>2165</v>
      </c>
      <c r="F334" s="413">
        <v>1847868.86</v>
      </c>
      <c r="G334" s="413">
        <v>0.0</v>
      </c>
      <c r="H334" s="349" t="s">
        <v>6042</v>
      </c>
      <c r="I334" s="736" t="str">
        <f t="shared" si="8"/>
        <v>NOT PAID</v>
      </c>
      <c r="J334" s="402"/>
      <c r="K334" s="402"/>
      <c r="L334" s="402"/>
      <c r="M334" s="402"/>
      <c r="N334" s="402"/>
      <c r="O334" s="402"/>
      <c r="P334" s="402"/>
      <c r="Q334" s="402"/>
      <c r="R334" s="402"/>
      <c r="S334" s="402"/>
      <c r="T334" s="402"/>
      <c r="U334" s="402"/>
      <c r="V334" s="402"/>
      <c r="W334" s="402"/>
      <c r="X334" s="402"/>
      <c r="Y334" s="402"/>
      <c r="Z334" s="402"/>
    </row>
    <row r="335" ht="14.25" customHeight="1">
      <c r="A335" s="697">
        <v>45504.0</v>
      </c>
      <c r="B335" s="349" t="s">
        <v>5874</v>
      </c>
      <c r="C335" s="349" t="s">
        <v>5875</v>
      </c>
      <c r="D335" s="324" t="s">
        <v>54</v>
      </c>
      <c r="E335" s="413" t="s">
        <v>5785</v>
      </c>
      <c r="F335" s="50">
        <v>21200.0</v>
      </c>
      <c r="G335" s="403"/>
      <c r="H335" s="349" t="s">
        <v>6043</v>
      </c>
      <c r="I335" s="736" t="str">
        <f t="shared" si="8"/>
        <v>NOT PAID</v>
      </c>
      <c r="J335" s="402"/>
      <c r="K335" s="402"/>
      <c r="L335" s="402"/>
      <c r="M335" s="402"/>
      <c r="N335" s="402"/>
      <c r="O335" s="402"/>
      <c r="P335" s="402"/>
      <c r="Q335" s="402"/>
      <c r="R335" s="402"/>
      <c r="S335" s="402"/>
      <c r="T335" s="402"/>
      <c r="U335" s="402"/>
      <c r="V335" s="402"/>
      <c r="W335" s="402"/>
      <c r="X335" s="402"/>
      <c r="Y335" s="402"/>
      <c r="Z335" s="402"/>
    </row>
    <row r="336" ht="14.25" customHeight="1">
      <c r="A336" s="402"/>
      <c r="B336" s="402"/>
      <c r="C336" s="349"/>
      <c r="D336" s="1032"/>
      <c r="E336" s="403"/>
      <c r="F336" s="403"/>
      <c r="G336" s="403"/>
      <c r="H336" s="402"/>
      <c r="I336" s="736" t="str">
        <f t="shared" si="8"/>
        <v>FULLY PAID</v>
      </c>
      <c r="J336" s="402"/>
      <c r="K336" s="402"/>
      <c r="L336" s="402"/>
      <c r="M336" s="402"/>
      <c r="N336" s="402"/>
      <c r="O336" s="402"/>
      <c r="P336" s="402"/>
      <c r="Q336" s="402"/>
      <c r="R336" s="402"/>
      <c r="S336" s="402"/>
      <c r="T336" s="402"/>
      <c r="U336" s="402"/>
      <c r="V336" s="402"/>
      <c r="W336" s="402"/>
      <c r="X336" s="402"/>
      <c r="Y336" s="402"/>
      <c r="Z336" s="402"/>
    </row>
    <row r="337" ht="14.25" customHeight="1">
      <c r="A337" s="402"/>
      <c r="B337" s="402"/>
      <c r="C337" s="402"/>
      <c r="D337" s="1034"/>
      <c r="E337" s="403"/>
      <c r="F337" s="403"/>
      <c r="G337" s="403"/>
      <c r="H337" s="402"/>
      <c r="I337" s="736" t="str">
        <f t="shared" si="8"/>
        <v>FULLY PAID</v>
      </c>
      <c r="J337" s="402"/>
      <c r="K337" s="402"/>
      <c r="L337" s="402"/>
      <c r="M337" s="402"/>
      <c r="N337" s="402"/>
      <c r="O337" s="402"/>
      <c r="P337" s="402"/>
      <c r="Q337" s="402"/>
      <c r="R337" s="402"/>
      <c r="S337" s="402"/>
      <c r="T337" s="402"/>
      <c r="U337" s="402"/>
      <c r="V337" s="402"/>
      <c r="W337" s="402"/>
      <c r="X337" s="402"/>
      <c r="Y337" s="402"/>
      <c r="Z337" s="402"/>
    </row>
    <row r="338" ht="14.25" customHeight="1">
      <c r="A338" s="497">
        <v>45505.0</v>
      </c>
      <c r="B338" s="349" t="s">
        <v>6044</v>
      </c>
      <c r="C338" s="349" t="s">
        <v>6045</v>
      </c>
      <c r="D338" s="1032" t="s">
        <v>59</v>
      </c>
      <c r="E338" s="403"/>
      <c r="F338" s="413">
        <v>109571.43</v>
      </c>
      <c r="G338" s="403"/>
      <c r="H338" s="349" t="s">
        <v>1106</v>
      </c>
      <c r="I338" s="736" t="str">
        <f t="shared" si="8"/>
        <v>NOT PAID</v>
      </c>
      <c r="J338" s="402"/>
      <c r="K338" s="402"/>
      <c r="L338" s="402"/>
      <c r="M338" s="402"/>
      <c r="N338" s="402"/>
      <c r="O338" s="402"/>
      <c r="P338" s="402"/>
      <c r="Q338" s="402"/>
      <c r="R338" s="402"/>
      <c r="S338" s="402"/>
      <c r="T338" s="402"/>
      <c r="U338" s="402"/>
      <c r="V338" s="402"/>
      <c r="W338" s="402"/>
      <c r="X338" s="402"/>
      <c r="Y338" s="402"/>
      <c r="Z338" s="402"/>
    </row>
    <row r="339" ht="14.25" customHeight="1">
      <c r="A339" s="497">
        <v>45505.0</v>
      </c>
      <c r="B339" s="349" t="s">
        <v>5900</v>
      </c>
      <c r="C339" s="349" t="s">
        <v>5901</v>
      </c>
      <c r="D339" s="1032" t="s">
        <v>263</v>
      </c>
      <c r="E339" s="403"/>
      <c r="F339" s="413">
        <v>17804.93</v>
      </c>
      <c r="G339" s="403"/>
      <c r="H339" s="402"/>
      <c r="I339" s="736" t="str">
        <f t="shared" si="8"/>
        <v>NOT PAID</v>
      </c>
      <c r="J339" s="402"/>
      <c r="K339" s="402"/>
      <c r="L339" s="402"/>
      <c r="M339" s="402"/>
      <c r="N339" s="402"/>
      <c r="O339" s="402"/>
      <c r="P339" s="402"/>
      <c r="Q339" s="402"/>
      <c r="R339" s="402"/>
      <c r="S339" s="402"/>
      <c r="T339" s="402"/>
      <c r="U339" s="402"/>
      <c r="V339" s="402"/>
      <c r="W339" s="402"/>
      <c r="X339" s="402"/>
      <c r="Y339" s="402"/>
      <c r="Z339" s="402"/>
    </row>
    <row r="340" ht="14.25" customHeight="1">
      <c r="A340" s="497">
        <v>45505.0</v>
      </c>
      <c r="B340" s="349" t="s">
        <v>6046</v>
      </c>
      <c r="C340" s="349" t="s">
        <v>6047</v>
      </c>
      <c r="D340" s="1032" t="s">
        <v>54</v>
      </c>
      <c r="E340" s="403"/>
      <c r="F340" s="413">
        <v>66818.88</v>
      </c>
      <c r="G340" s="403"/>
      <c r="H340" s="349" t="s">
        <v>6048</v>
      </c>
      <c r="I340" s="736" t="str">
        <f t="shared" si="8"/>
        <v>NOT PAID</v>
      </c>
      <c r="J340" s="402"/>
      <c r="K340" s="402"/>
      <c r="L340" s="402"/>
      <c r="M340" s="402"/>
      <c r="N340" s="402"/>
      <c r="O340" s="402"/>
      <c r="P340" s="402"/>
      <c r="Q340" s="402"/>
      <c r="R340" s="402"/>
      <c r="S340" s="402"/>
      <c r="T340" s="402"/>
      <c r="U340" s="402"/>
      <c r="V340" s="402"/>
      <c r="W340" s="402"/>
      <c r="X340" s="402"/>
      <c r="Y340" s="402"/>
      <c r="Z340" s="402"/>
    </row>
    <row r="341" ht="14.25" customHeight="1">
      <c r="A341" s="497">
        <v>45505.0</v>
      </c>
      <c r="B341" s="349" t="s">
        <v>6049</v>
      </c>
      <c r="C341" s="349" t="s">
        <v>6050</v>
      </c>
      <c r="D341" s="1032" t="s">
        <v>54</v>
      </c>
      <c r="E341" s="403"/>
      <c r="F341" s="413">
        <v>8818.62</v>
      </c>
      <c r="G341" s="403"/>
      <c r="H341" s="402"/>
      <c r="I341" s="736" t="str">
        <f t="shared" si="8"/>
        <v>NOT PAID</v>
      </c>
      <c r="J341" s="402"/>
      <c r="K341" s="402"/>
      <c r="L341" s="402"/>
      <c r="M341" s="402"/>
      <c r="N341" s="402"/>
      <c r="O341" s="402"/>
      <c r="P341" s="402"/>
      <c r="Q341" s="402"/>
      <c r="R341" s="402"/>
      <c r="S341" s="402"/>
      <c r="T341" s="402"/>
      <c r="U341" s="402"/>
      <c r="V341" s="402"/>
      <c r="W341" s="402"/>
      <c r="X341" s="402"/>
      <c r="Y341" s="402"/>
      <c r="Z341" s="402"/>
    </row>
    <row r="342" ht="14.25" customHeight="1">
      <c r="A342" s="497">
        <v>45505.0</v>
      </c>
      <c r="B342" s="349" t="s">
        <v>5966</v>
      </c>
      <c r="C342" s="349" t="s">
        <v>5967</v>
      </c>
      <c r="D342" s="1032" t="s">
        <v>54</v>
      </c>
      <c r="E342" s="403"/>
      <c r="F342" s="413">
        <v>131823.9</v>
      </c>
      <c r="G342" s="403"/>
      <c r="H342" s="402"/>
      <c r="I342" s="736" t="str">
        <f t="shared" si="8"/>
        <v>NOT PAID</v>
      </c>
      <c r="J342" s="402"/>
      <c r="K342" s="402"/>
      <c r="L342" s="349" t="s">
        <v>0</v>
      </c>
      <c r="M342" s="402"/>
      <c r="N342" s="402"/>
      <c r="O342" s="402"/>
      <c r="P342" s="402"/>
      <c r="Q342" s="402"/>
      <c r="R342" s="402"/>
      <c r="S342" s="402"/>
      <c r="T342" s="402"/>
      <c r="U342" s="402"/>
      <c r="V342" s="402"/>
      <c r="W342" s="402"/>
      <c r="X342" s="402"/>
      <c r="Y342" s="402"/>
      <c r="Z342" s="402"/>
    </row>
    <row r="343" ht="14.25" customHeight="1">
      <c r="A343" s="497">
        <v>45505.0</v>
      </c>
      <c r="B343" s="349" t="s">
        <v>6051</v>
      </c>
      <c r="C343" s="349" t="s">
        <v>6052</v>
      </c>
      <c r="D343" s="1032" t="s">
        <v>54</v>
      </c>
      <c r="E343" s="403"/>
      <c r="F343" s="413">
        <v>50595.22</v>
      </c>
      <c r="G343" s="403"/>
      <c r="H343" s="402"/>
      <c r="I343" s="736" t="str">
        <f t="shared" si="8"/>
        <v>NOT PAID</v>
      </c>
      <c r="J343" s="402"/>
      <c r="K343" s="402"/>
      <c r="L343" s="402"/>
      <c r="M343" s="402"/>
      <c r="N343" s="402"/>
      <c r="O343" s="402"/>
      <c r="P343" s="402"/>
      <c r="Q343" s="402"/>
      <c r="R343" s="402"/>
      <c r="S343" s="402"/>
      <c r="T343" s="402"/>
      <c r="U343" s="402"/>
      <c r="V343" s="402"/>
      <c r="W343" s="402"/>
      <c r="X343" s="402"/>
      <c r="Y343" s="402"/>
      <c r="Z343" s="402"/>
    </row>
    <row r="344" ht="14.25" customHeight="1">
      <c r="A344" s="497">
        <v>45505.0</v>
      </c>
      <c r="B344" s="349" t="s">
        <v>6053</v>
      </c>
      <c r="C344" s="349" t="s">
        <v>6054</v>
      </c>
      <c r="D344" s="1032" t="s">
        <v>54</v>
      </c>
      <c r="E344" s="413" t="s">
        <v>5623</v>
      </c>
      <c r="F344" s="413">
        <v>33830.34</v>
      </c>
      <c r="G344" s="403"/>
      <c r="H344" s="349" t="s">
        <v>6055</v>
      </c>
      <c r="I344" s="736" t="str">
        <f t="shared" si="8"/>
        <v>NOT PAID</v>
      </c>
      <c r="J344" s="402"/>
      <c r="K344" s="402"/>
      <c r="L344" s="402"/>
      <c r="M344" s="402"/>
      <c r="N344" s="402"/>
      <c r="O344" s="402"/>
      <c r="P344" s="402"/>
      <c r="Q344" s="402"/>
      <c r="R344" s="402"/>
      <c r="S344" s="402"/>
      <c r="T344" s="402"/>
      <c r="U344" s="402"/>
      <c r="V344" s="402"/>
      <c r="W344" s="402"/>
      <c r="X344" s="402"/>
      <c r="Y344" s="402"/>
      <c r="Z344" s="402"/>
    </row>
    <row r="345" ht="14.25" customHeight="1">
      <c r="A345" s="497">
        <v>45505.0</v>
      </c>
      <c r="B345" s="349" t="s">
        <v>6056</v>
      </c>
      <c r="C345" s="349" t="s">
        <v>5967</v>
      </c>
      <c r="D345" s="1032" t="s">
        <v>346</v>
      </c>
      <c r="E345" s="403"/>
      <c r="F345" s="413">
        <v>42792.17</v>
      </c>
      <c r="G345" s="403"/>
      <c r="H345" s="402"/>
      <c r="I345" s="736" t="str">
        <f t="shared" si="8"/>
        <v>NOT PAID</v>
      </c>
      <c r="J345" s="402"/>
      <c r="K345" s="402"/>
      <c r="L345" s="402"/>
      <c r="M345" s="402"/>
      <c r="N345" s="402"/>
      <c r="O345" s="402"/>
      <c r="P345" s="402"/>
      <c r="Q345" s="402"/>
      <c r="R345" s="402"/>
      <c r="S345" s="402"/>
      <c r="T345" s="402"/>
      <c r="U345" s="402"/>
      <c r="V345" s="402"/>
      <c r="W345" s="402"/>
      <c r="X345" s="402"/>
      <c r="Y345" s="402"/>
      <c r="Z345" s="402"/>
    </row>
    <row r="346" ht="14.25" customHeight="1">
      <c r="A346" s="497">
        <v>45505.0</v>
      </c>
      <c r="B346" s="349" t="s">
        <v>6057</v>
      </c>
      <c r="C346" s="349" t="s">
        <v>6058</v>
      </c>
      <c r="D346" s="1032" t="s">
        <v>54</v>
      </c>
      <c r="E346" s="403"/>
      <c r="F346" s="413">
        <v>11662.34</v>
      </c>
      <c r="G346" s="403"/>
      <c r="H346" s="349" t="s">
        <v>6059</v>
      </c>
      <c r="I346" s="736" t="str">
        <f t="shared" si="8"/>
        <v>NOT PAID</v>
      </c>
      <c r="J346" s="402"/>
      <c r="K346" s="402"/>
      <c r="L346" s="402"/>
      <c r="M346" s="402"/>
      <c r="N346" s="402"/>
      <c r="O346" s="402"/>
      <c r="P346" s="402"/>
      <c r="Q346" s="402"/>
      <c r="R346" s="402"/>
      <c r="S346" s="402"/>
      <c r="T346" s="402"/>
      <c r="U346" s="402"/>
      <c r="V346" s="402"/>
      <c r="W346" s="402"/>
      <c r="X346" s="402"/>
      <c r="Y346" s="402"/>
      <c r="Z346" s="402"/>
    </row>
    <row r="347" ht="14.25" customHeight="1">
      <c r="A347" s="497">
        <v>45505.0</v>
      </c>
      <c r="B347" s="349" t="s">
        <v>6060</v>
      </c>
      <c r="C347" s="349" t="s">
        <v>6058</v>
      </c>
      <c r="D347" s="1032" t="s">
        <v>346</v>
      </c>
      <c r="E347" s="403"/>
      <c r="F347" s="413">
        <v>5999.66</v>
      </c>
      <c r="G347" s="403"/>
      <c r="H347" s="349" t="s">
        <v>6059</v>
      </c>
      <c r="I347" s="736" t="str">
        <f t="shared" si="8"/>
        <v>NOT PAID</v>
      </c>
      <c r="J347" s="402"/>
      <c r="K347" s="402"/>
      <c r="L347" s="402"/>
      <c r="M347" s="402"/>
      <c r="N347" s="402"/>
      <c r="O347" s="402"/>
      <c r="P347" s="402"/>
      <c r="Q347" s="402"/>
      <c r="R347" s="402"/>
      <c r="S347" s="402"/>
      <c r="T347" s="402"/>
      <c r="U347" s="402"/>
      <c r="V347" s="402"/>
      <c r="W347" s="402"/>
      <c r="X347" s="402"/>
      <c r="Y347" s="402"/>
      <c r="Z347" s="402"/>
    </row>
    <row r="348" ht="14.25" customHeight="1">
      <c r="A348" s="497">
        <v>45505.0</v>
      </c>
      <c r="B348" s="349" t="s">
        <v>6061</v>
      </c>
      <c r="C348" s="349" t="s">
        <v>6062</v>
      </c>
      <c r="D348" s="1032" t="s">
        <v>59</v>
      </c>
      <c r="E348" s="403"/>
      <c r="F348" s="413">
        <v>301126.8</v>
      </c>
      <c r="G348" s="403"/>
      <c r="H348" s="402"/>
      <c r="I348" s="736" t="str">
        <f t="shared" si="8"/>
        <v>NOT PAID</v>
      </c>
      <c r="J348" s="402"/>
      <c r="K348" s="402"/>
      <c r="L348" s="402"/>
      <c r="M348" s="402"/>
      <c r="N348" s="402"/>
      <c r="O348" s="402"/>
      <c r="P348" s="402"/>
      <c r="Q348" s="402"/>
      <c r="R348" s="402"/>
      <c r="S348" s="402"/>
      <c r="T348" s="402"/>
      <c r="U348" s="402"/>
      <c r="V348" s="402"/>
      <c r="W348" s="402"/>
      <c r="X348" s="402"/>
      <c r="Y348" s="402"/>
      <c r="Z348" s="402"/>
    </row>
    <row r="349" ht="14.25" customHeight="1">
      <c r="A349" s="497">
        <v>45505.0</v>
      </c>
      <c r="B349" s="349" t="s">
        <v>6063</v>
      </c>
      <c r="C349" s="349" t="s">
        <v>6064</v>
      </c>
      <c r="D349" s="1032" t="s">
        <v>75</v>
      </c>
      <c r="E349" s="403"/>
      <c r="F349" s="413">
        <v>460000.0</v>
      </c>
      <c r="G349" s="403"/>
      <c r="H349" s="349" t="s">
        <v>267</v>
      </c>
      <c r="I349" s="736" t="str">
        <f t="shared" si="8"/>
        <v>NOT PAID</v>
      </c>
      <c r="J349" s="402"/>
      <c r="K349" s="402"/>
      <c r="L349" s="402"/>
      <c r="M349" s="402"/>
      <c r="N349" s="402"/>
      <c r="O349" s="402"/>
      <c r="P349" s="402"/>
      <c r="Q349" s="402"/>
      <c r="R349" s="402"/>
      <c r="S349" s="402"/>
      <c r="T349" s="402"/>
      <c r="U349" s="402"/>
      <c r="V349" s="402"/>
      <c r="W349" s="402"/>
      <c r="X349" s="402"/>
      <c r="Y349" s="402"/>
      <c r="Z349" s="402"/>
    </row>
    <row r="350" ht="14.25" customHeight="1">
      <c r="A350" s="497">
        <v>45505.0</v>
      </c>
      <c r="B350" s="349" t="s">
        <v>6065</v>
      </c>
      <c r="C350" s="349" t="s">
        <v>6066</v>
      </c>
      <c r="D350" s="1032" t="s">
        <v>54</v>
      </c>
      <c r="E350" s="403"/>
      <c r="F350" s="413">
        <v>35783.0</v>
      </c>
      <c r="G350" s="403"/>
      <c r="H350" s="402"/>
      <c r="I350" s="736" t="str">
        <f t="shared" si="8"/>
        <v>NOT PAID</v>
      </c>
      <c r="J350" s="402"/>
      <c r="K350" s="402"/>
      <c r="L350" s="402"/>
      <c r="M350" s="402"/>
      <c r="N350" s="402"/>
      <c r="O350" s="402"/>
      <c r="P350" s="402"/>
      <c r="Q350" s="402"/>
      <c r="R350" s="402"/>
      <c r="S350" s="402"/>
      <c r="T350" s="402"/>
      <c r="U350" s="402"/>
      <c r="V350" s="402"/>
      <c r="W350" s="402"/>
      <c r="X350" s="402"/>
      <c r="Y350" s="402"/>
      <c r="Z350" s="402"/>
    </row>
    <row r="351" ht="14.25" customHeight="1">
      <c r="A351" s="497">
        <v>45505.0</v>
      </c>
      <c r="B351" s="349" t="s">
        <v>6067</v>
      </c>
      <c r="C351" s="443" t="s">
        <v>6068</v>
      </c>
      <c r="D351" s="1032" t="s">
        <v>54</v>
      </c>
      <c r="E351" s="403"/>
      <c r="F351" s="413">
        <v>40000.0</v>
      </c>
      <c r="G351" s="403"/>
      <c r="H351" s="402"/>
      <c r="I351" s="736" t="str">
        <f t="shared" si="8"/>
        <v>NOT PAID</v>
      </c>
      <c r="J351" s="402"/>
      <c r="K351" s="402"/>
      <c r="L351" s="402"/>
      <c r="M351" s="402"/>
      <c r="N351" s="402"/>
      <c r="O351" s="402"/>
      <c r="P351" s="402"/>
      <c r="Q351" s="402"/>
      <c r="R351" s="402"/>
      <c r="S351" s="402"/>
      <c r="T351" s="402"/>
      <c r="U351" s="402"/>
      <c r="V351" s="402"/>
      <c r="W351" s="402"/>
      <c r="X351" s="402"/>
      <c r="Y351" s="402"/>
      <c r="Z351" s="402"/>
    </row>
    <row r="352" ht="14.25" customHeight="1">
      <c r="A352" s="497">
        <v>45505.0</v>
      </c>
      <c r="B352" s="443" t="s">
        <v>6010</v>
      </c>
      <c r="C352" s="349" t="s">
        <v>6011</v>
      </c>
      <c r="D352" s="1032" t="s">
        <v>54</v>
      </c>
      <c r="E352" s="403"/>
      <c r="F352" s="413">
        <v>102000.0</v>
      </c>
      <c r="G352" s="403"/>
      <c r="H352" s="349" t="s">
        <v>267</v>
      </c>
      <c r="I352" s="736" t="str">
        <f t="shared" si="8"/>
        <v>NOT PAID</v>
      </c>
      <c r="J352" s="402"/>
      <c r="K352" s="402"/>
      <c r="L352" s="402"/>
      <c r="M352" s="402"/>
      <c r="N352" s="402"/>
      <c r="O352" s="402"/>
      <c r="P352" s="402"/>
      <c r="Q352" s="402"/>
      <c r="R352" s="402"/>
      <c r="S352" s="402"/>
      <c r="T352" s="402"/>
      <c r="U352" s="402"/>
      <c r="V352" s="402"/>
      <c r="W352" s="402"/>
      <c r="X352" s="402"/>
      <c r="Y352" s="402"/>
      <c r="Z352" s="402"/>
    </row>
    <row r="353" ht="14.25" customHeight="1">
      <c r="A353" s="497">
        <v>45505.0</v>
      </c>
      <c r="B353" s="349" t="s">
        <v>5956</v>
      </c>
      <c r="C353" s="349" t="s">
        <v>5957</v>
      </c>
      <c r="D353" s="1032" t="s">
        <v>59</v>
      </c>
      <c r="E353" s="413" t="s">
        <v>5785</v>
      </c>
      <c r="F353" s="413">
        <v>269550.0</v>
      </c>
      <c r="G353" s="403"/>
      <c r="H353" s="402"/>
      <c r="I353" s="736" t="str">
        <f t="shared" si="8"/>
        <v>NOT PAID</v>
      </c>
      <c r="J353" s="402"/>
      <c r="K353" s="402"/>
      <c r="L353" s="402"/>
      <c r="M353" s="402"/>
      <c r="N353" s="402"/>
      <c r="O353" s="402"/>
      <c r="P353" s="402"/>
      <c r="Q353" s="402"/>
      <c r="R353" s="402"/>
      <c r="S353" s="402"/>
      <c r="T353" s="402"/>
      <c r="U353" s="402"/>
      <c r="V353" s="402"/>
      <c r="W353" s="402"/>
      <c r="X353" s="402"/>
      <c r="Y353" s="402"/>
      <c r="Z353" s="402"/>
    </row>
    <row r="354" ht="14.25" customHeight="1">
      <c r="A354" s="497">
        <v>45505.0</v>
      </c>
      <c r="B354" s="349" t="s">
        <v>6069</v>
      </c>
      <c r="C354" s="349" t="s">
        <v>6070</v>
      </c>
      <c r="D354" s="1032" t="s">
        <v>54</v>
      </c>
      <c r="E354" s="403"/>
      <c r="F354" s="413">
        <v>41000.0</v>
      </c>
      <c r="G354" s="403"/>
      <c r="H354" s="402"/>
      <c r="I354" s="736" t="str">
        <f t="shared" si="8"/>
        <v>NOT PAID</v>
      </c>
      <c r="J354" s="402"/>
      <c r="K354" s="402"/>
      <c r="L354" s="402"/>
      <c r="M354" s="402"/>
      <c r="N354" s="402"/>
      <c r="O354" s="402"/>
      <c r="P354" s="402"/>
      <c r="Q354" s="402"/>
      <c r="R354" s="402"/>
      <c r="S354" s="402"/>
      <c r="T354" s="402"/>
      <c r="U354" s="402"/>
      <c r="V354" s="402"/>
      <c r="W354" s="402"/>
      <c r="X354" s="402"/>
      <c r="Y354" s="402"/>
      <c r="Z354" s="402"/>
    </row>
    <row r="355" ht="14.25" customHeight="1">
      <c r="A355" s="497">
        <v>45505.0</v>
      </c>
      <c r="B355" s="402"/>
      <c r="C355" s="349" t="s">
        <v>5758</v>
      </c>
      <c r="D355" s="1032" t="s">
        <v>54</v>
      </c>
      <c r="E355" s="403"/>
      <c r="F355" s="413">
        <v>286000.0</v>
      </c>
      <c r="G355" s="1">
        <v>286000.0</v>
      </c>
      <c r="H355" s="413" t="s">
        <v>267</v>
      </c>
      <c r="I355" s="736" t="str">
        <f t="shared" si="8"/>
        <v>FULLY PAID</v>
      </c>
      <c r="J355" s="402"/>
      <c r="K355" s="402"/>
      <c r="L355" s="402"/>
      <c r="M355" s="402"/>
      <c r="N355" s="402"/>
      <c r="O355" s="402"/>
      <c r="P355" s="402"/>
      <c r="Q355" s="402"/>
      <c r="R355" s="402"/>
      <c r="S355" s="402"/>
      <c r="T355" s="402"/>
      <c r="U355" s="402"/>
      <c r="V355" s="402"/>
      <c r="W355" s="402"/>
      <c r="X355" s="402"/>
      <c r="Y355" s="402"/>
      <c r="Z355" s="402"/>
    </row>
    <row r="356" ht="14.25" customHeight="1">
      <c r="A356" s="497">
        <v>45505.0</v>
      </c>
      <c r="B356" s="1" t="s">
        <v>6071</v>
      </c>
      <c r="C356" s="1" t="s">
        <v>6072</v>
      </c>
      <c r="D356" s="1032" t="s">
        <v>54</v>
      </c>
      <c r="E356" s="403"/>
      <c r="F356" s="413">
        <v>3000.0</v>
      </c>
      <c r="G356" s="403"/>
      <c r="H356" s="349" t="s">
        <v>6073</v>
      </c>
      <c r="I356" s="736" t="str">
        <f t="shared" si="8"/>
        <v>NOT PAID</v>
      </c>
      <c r="J356" s="402"/>
      <c r="K356" s="402"/>
      <c r="L356" s="402"/>
      <c r="M356" s="402"/>
      <c r="N356" s="402"/>
      <c r="O356" s="402"/>
      <c r="P356" s="402"/>
      <c r="Q356" s="402"/>
      <c r="R356" s="402"/>
      <c r="S356" s="402"/>
      <c r="T356" s="402"/>
      <c r="U356" s="402"/>
      <c r="V356" s="402"/>
      <c r="W356" s="402"/>
      <c r="X356" s="402"/>
      <c r="Y356" s="402"/>
      <c r="Z356" s="402"/>
    </row>
    <row r="357" ht="14.25" customHeight="1">
      <c r="A357" s="497">
        <v>45505.0</v>
      </c>
      <c r="B357" s="402"/>
      <c r="C357" s="349" t="s">
        <v>5757</v>
      </c>
      <c r="D357" s="1032" t="s">
        <v>668</v>
      </c>
      <c r="E357" s="403"/>
      <c r="F357" s="413">
        <v>1000000.0</v>
      </c>
      <c r="G357" s="413">
        <v>1000000.0</v>
      </c>
      <c r="H357" s="349" t="s">
        <v>267</v>
      </c>
      <c r="I357" s="736" t="str">
        <f t="shared" si="8"/>
        <v>FULLY PAID</v>
      </c>
      <c r="J357" s="402"/>
      <c r="K357" s="402"/>
      <c r="L357" s="402"/>
      <c r="M357" s="402"/>
      <c r="N357" s="402"/>
      <c r="O357" s="402"/>
      <c r="P357" s="402"/>
      <c r="Q357" s="402"/>
      <c r="R357" s="402"/>
      <c r="S357" s="402"/>
      <c r="T357" s="402"/>
      <c r="U357" s="402"/>
      <c r="V357" s="402"/>
      <c r="W357" s="402"/>
      <c r="X357" s="402"/>
      <c r="Y357" s="402"/>
      <c r="Z357" s="402"/>
    </row>
    <row r="358" ht="14.25" customHeight="1">
      <c r="A358" s="497">
        <v>45505.0</v>
      </c>
      <c r="B358" s="402"/>
      <c r="C358" s="349" t="s">
        <v>6074</v>
      </c>
      <c r="D358" s="1032" t="s">
        <v>54</v>
      </c>
      <c r="E358" s="403"/>
      <c r="F358" s="413">
        <v>103500.0</v>
      </c>
      <c r="G358" s="1">
        <v>103500.0</v>
      </c>
      <c r="H358" s="413" t="s">
        <v>267</v>
      </c>
      <c r="I358" s="736" t="str">
        <f t="shared" si="8"/>
        <v>FULLY PAID</v>
      </c>
      <c r="J358" s="402"/>
      <c r="K358" s="402"/>
      <c r="L358" s="402"/>
      <c r="M358" s="402"/>
      <c r="N358" s="402"/>
      <c r="O358" s="402"/>
      <c r="P358" s="402"/>
      <c r="Q358" s="402"/>
      <c r="R358" s="402"/>
      <c r="S358" s="402"/>
      <c r="T358" s="402"/>
      <c r="U358" s="402"/>
      <c r="V358" s="402"/>
      <c r="W358" s="402"/>
      <c r="X358" s="402"/>
      <c r="Y358" s="402"/>
      <c r="Z358" s="402"/>
    </row>
    <row r="359" ht="14.25" customHeight="1">
      <c r="A359" s="497">
        <v>45505.0</v>
      </c>
      <c r="B359" s="349" t="s">
        <v>6075</v>
      </c>
      <c r="C359" s="349" t="s">
        <v>6076</v>
      </c>
      <c r="D359" s="1032" t="s">
        <v>54</v>
      </c>
      <c r="E359" s="413" t="s">
        <v>5623</v>
      </c>
      <c r="F359" s="413">
        <v>51000.0</v>
      </c>
      <c r="G359" s="413">
        <v>51000.0</v>
      </c>
      <c r="H359" s="349" t="s">
        <v>267</v>
      </c>
      <c r="I359" s="736" t="str">
        <f t="shared" si="8"/>
        <v>FULLY PAID</v>
      </c>
      <c r="J359" s="402"/>
      <c r="K359" s="402"/>
      <c r="L359" s="402"/>
      <c r="M359" s="402"/>
      <c r="N359" s="402"/>
      <c r="O359" s="402"/>
      <c r="P359" s="402"/>
      <c r="Q359" s="402"/>
      <c r="R359" s="402"/>
      <c r="S359" s="402"/>
      <c r="T359" s="402"/>
      <c r="U359" s="402"/>
      <c r="V359" s="402"/>
      <c r="W359" s="402"/>
      <c r="X359" s="402"/>
      <c r="Y359" s="402"/>
      <c r="Z359" s="402"/>
    </row>
    <row r="360" ht="14.25" customHeight="1">
      <c r="A360" s="497">
        <v>45505.0</v>
      </c>
      <c r="B360" s="349" t="s">
        <v>6077</v>
      </c>
      <c r="C360" s="349" t="s">
        <v>6078</v>
      </c>
      <c r="D360" s="1032" t="s">
        <v>54</v>
      </c>
      <c r="E360" s="403"/>
      <c r="F360" s="413">
        <v>9290.0</v>
      </c>
      <c r="G360" s="413">
        <v>10300.0</v>
      </c>
      <c r="H360" s="413" t="s">
        <v>267</v>
      </c>
      <c r="I360" s="736" t="str">
        <f t="shared" si="8"/>
        <v>FULLY PAID</v>
      </c>
      <c r="J360" s="402"/>
      <c r="K360" s="402"/>
      <c r="L360" s="402"/>
      <c r="M360" s="402"/>
      <c r="N360" s="402"/>
      <c r="O360" s="402"/>
      <c r="P360" s="402"/>
      <c r="Q360" s="402"/>
      <c r="R360" s="402"/>
      <c r="S360" s="402"/>
      <c r="T360" s="402"/>
      <c r="U360" s="402"/>
      <c r="V360" s="402"/>
      <c r="W360" s="402"/>
      <c r="X360" s="402"/>
      <c r="Y360" s="402"/>
      <c r="Z360" s="402"/>
    </row>
    <row r="361" ht="14.25" customHeight="1">
      <c r="A361" s="497">
        <v>45505.0</v>
      </c>
      <c r="B361" s="349" t="s">
        <v>6002</v>
      </c>
      <c r="C361" s="349" t="s">
        <v>6079</v>
      </c>
      <c r="D361" s="1032" t="s">
        <v>54</v>
      </c>
      <c r="E361" s="403"/>
      <c r="F361" s="413">
        <v>54060.0</v>
      </c>
      <c r="G361" s="413">
        <v>54060.0</v>
      </c>
      <c r="H361" s="349" t="s">
        <v>267</v>
      </c>
      <c r="I361" s="736" t="str">
        <f t="shared" si="8"/>
        <v>FULLY PAID</v>
      </c>
      <c r="J361" s="402"/>
      <c r="K361" s="402"/>
      <c r="L361" s="402"/>
      <c r="M361" s="402"/>
      <c r="N361" s="402"/>
      <c r="O361" s="402"/>
      <c r="P361" s="402"/>
      <c r="Q361" s="402"/>
      <c r="R361" s="402"/>
      <c r="S361" s="402"/>
      <c r="T361" s="402"/>
      <c r="U361" s="402"/>
      <c r="V361" s="402"/>
      <c r="W361" s="402"/>
      <c r="X361" s="402"/>
      <c r="Y361" s="402"/>
      <c r="Z361" s="402"/>
    </row>
    <row r="362" ht="14.25" customHeight="1">
      <c r="A362" s="497">
        <v>45505.0</v>
      </c>
      <c r="B362" s="349" t="s">
        <v>6080</v>
      </c>
      <c r="C362" s="349" t="s">
        <v>6081</v>
      </c>
      <c r="D362" s="1032" t="s">
        <v>54</v>
      </c>
      <c r="E362" s="403"/>
      <c r="F362" s="413">
        <v>53680.26</v>
      </c>
      <c r="G362" s="413">
        <v>25681.0</v>
      </c>
      <c r="H362" s="349" t="s">
        <v>6082</v>
      </c>
      <c r="I362" s="736" t="str">
        <f t="shared" si="8"/>
        <v>PARTIALLY PAID</v>
      </c>
      <c r="J362" s="402"/>
      <c r="K362" s="402"/>
      <c r="L362" s="402"/>
      <c r="M362" s="402"/>
      <c r="N362" s="402"/>
      <c r="O362" s="402"/>
      <c r="P362" s="402"/>
      <c r="Q362" s="402"/>
      <c r="R362" s="402"/>
      <c r="S362" s="402"/>
      <c r="T362" s="402"/>
      <c r="U362" s="402"/>
      <c r="V362" s="402"/>
      <c r="W362" s="402"/>
      <c r="X362" s="402"/>
      <c r="Y362" s="402"/>
      <c r="Z362" s="402"/>
    </row>
    <row r="363" ht="14.25" customHeight="1">
      <c r="A363" s="497"/>
      <c r="B363" s="402"/>
      <c r="C363" s="424"/>
      <c r="D363" s="1034"/>
      <c r="E363" s="403"/>
      <c r="F363" s="403"/>
      <c r="G363" s="403"/>
      <c r="H363" s="402"/>
      <c r="I363" s="736" t="str">
        <f t="shared" si="8"/>
        <v>FULLY PAID</v>
      </c>
      <c r="J363" s="402"/>
      <c r="K363" s="402"/>
      <c r="L363" s="402"/>
      <c r="M363" s="402"/>
      <c r="N363" s="402"/>
      <c r="O363" s="402"/>
      <c r="P363" s="402"/>
      <c r="Q363" s="402"/>
      <c r="R363" s="402"/>
      <c r="S363" s="402"/>
      <c r="T363" s="402"/>
      <c r="U363" s="402"/>
      <c r="V363" s="402"/>
      <c r="W363" s="402"/>
      <c r="X363" s="402"/>
      <c r="Y363" s="402"/>
      <c r="Z363" s="402"/>
    </row>
    <row r="364" ht="14.25" customHeight="1">
      <c r="A364" s="497"/>
      <c r="B364" s="402"/>
      <c r="C364" s="424" t="s">
        <v>107</v>
      </c>
      <c r="D364" s="1034"/>
      <c r="E364" s="403"/>
      <c r="F364" s="403"/>
      <c r="G364" s="403"/>
      <c r="H364" s="402"/>
      <c r="I364" s="736" t="str">
        <f t="shared" si="8"/>
        <v>FULLY PAID</v>
      </c>
      <c r="J364" s="402"/>
      <c r="K364" s="402"/>
      <c r="L364" s="402"/>
      <c r="M364" s="402"/>
      <c r="N364" s="402"/>
      <c r="O364" s="402"/>
      <c r="P364" s="402"/>
      <c r="Q364" s="402"/>
      <c r="R364" s="402"/>
      <c r="S364" s="402"/>
      <c r="T364" s="402"/>
      <c r="U364" s="402"/>
      <c r="V364" s="402"/>
      <c r="W364" s="402"/>
      <c r="X364" s="402"/>
      <c r="Y364" s="402"/>
      <c r="Z364" s="402"/>
    </row>
    <row r="365" ht="14.25" customHeight="1">
      <c r="A365" s="660">
        <v>45505.0</v>
      </c>
      <c r="B365" s="1045" t="s">
        <v>5685</v>
      </c>
      <c r="C365" s="1045" t="s">
        <v>5686</v>
      </c>
      <c r="D365" s="467" t="s">
        <v>54</v>
      </c>
      <c r="E365" s="1052" t="s">
        <v>2165</v>
      </c>
      <c r="F365" s="1046">
        <v>600000.0</v>
      </c>
      <c r="G365" s="1036">
        <v>636200.0</v>
      </c>
      <c r="H365" s="349" t="s">
        <v>710</v>
      </c>
      <c r="I365" s="736" t="str">
        <f t="shared" si="8"/>
        <v>FULLY PAID</v>
      </c>
      <c r="J365" s="402"/>
      <c r="K365" s="402"/>
      <c r="L365" s="402"/>
      <c r="M365" s="402"/>
      <c r="N365" s="402"/>
      <c r="O365" s="402"/>
      <c r="P365" s="402"/>
      <c r="Q365" s="402"/>
      <c r="R365" s="402"/>
      <c r="S365" s="402"/>
      <c r="T365" s="402"/>
      <c r="U365" s="402"/>
      <c r="V365" s="402"/>
      <c r="W365" s="402"/>
      <c r="X365" s="402"/>
      <c r="Y365" s="402"/>
      <c r="Z365" s="402"/>
    </row>
    <row r="366" ht="14.25" customHeight="1">
      <c r="A366" s="660">
        <v>45505.0</v>
      </c>
      <c r="B366" s="1045" t="s">
        <v>5984</v>
      </c>
      <c r="C366" s="1045" t="s">
        <v>5985</v>
      </c>
      <c r="D366" s="467" t="s">
        <v>54</v>
      </c>
      <c r="E366" s="1052" t="s">
        <v>2165</v>
      </c>
      <c r="F366" s="1046">
        <v>300000.0</v>
      </c>
      <c r="G366" s="1036"/>
      <c r="H366" s="349" t="s">
        <v>6025</v>
      </c>
      <c r="I366" s="736" t="str">
        <f t="shared" si="8"/>
        <v>NOT PAID</v>
      </c>
      <c r="J366" s="402"/>
      <c r="K366" s="402"/>
      <c r="L366" s="402"/>
      <c r="M366" s="402"/>
      <c r="N366" s="402"/>
      <c r="O366" s="402"/>
      <c r="P366" s="402"/>
      <c r="Q366" s="402"/>
      <c r="R366" s="402"/>
      <c r="S366" s="402"/>
      <c r="T366" s="402"/>
      <c r="U366" s="402"/>
      <c r="V366" s="402"/>
      <c r="W366" s="402"/>
      <c r="X366" s="402"/>
      <c r="Y366" s="402"/>
      <c r="Z366" s="402"/>
    </row>
    <row r="367" ht="14.25" customHeight="1">
      <c r="A367" s="660">
        <v>45505.0</v>
      </c>
      <c r="B367" s="1045" t="s">
        <v>6026</v>
      </c>
      <c r="C367" s="1045" t="s">
        <v>6027</v>
      </c>
      <c r="D367" s="467" t="s">
        <v>59</v>
      </c>
      <c r="E367" s="1052" t="s">
        <v>2165</v>
      </c>
      <c r="F367" s="1046">
        <v>600000.0</v>
      </c>
      <c r="G367" s="1036"/>
      <c r="H367" s="349" t="s">
        <v>6083</v>
      </c>
      <c r="I367" s="736" t="str">
        <f t="shared" si="8"/>
        <v>NOT PAID</v>
      </c>
      <c r="J367" s="402"/>
      <c r="K367" s="402"/>
      <c r="L367" s="402"/>
      <c r="M367" s="402"/>
      <c r="N367" s="402"/>
      <c r="O367" s="402"/>
      <c r="P367" s="402"/>
      <c r="Q367" s="402"/>
      <c r="R367" s="402"/>
      <c r="S367" s="402"/>
      <c r="T367" s="402"/>
      <c r="U367" s="402"/>
      <c r="V367" s="402"/>
      <c r="W367" s="402"/>
      <c r="X367" s="402"/>
      <c r="Y367" s="402"/>
      <c r="Z367" s="402"/>
    </row>
    <row r="368" ht="14.25" customHeight="1">
      <c r="A368" s="660">
        <v>45505.0</v>
      </c>
      <c r="B368" s="467" t="s">
        <v>5727</v>
      </c>
      <c r="C368" s="467" t="s">
        <v>5728</v>
      </c>
      <c r="D368" s="467" t="s">
        <v>54</v>
      </c>
      <c r="E368" s="1044" t="s">
        <v>4114</v>
      </c>
      <c r="F368" s="1047">
        <v>70000.0</v>
      </c>
      <c r="G368" s="769"/>
      <c r="H368" s="349" t="s">
        <v>5775</v>
      </c>
      <c r="I368" s="736" t="str">
        <f t="shared" si="8"/>
        <v>NOT PAID</v>
      </c>
      <c r="J368" s="402"/>
      <c r="K368" s="402"/>
      <c r="L368" s="402"/>
      <c r="M368" s="402"/>
      <c r="N368" s="402"/>
      <c r="O368" s="402"/>
      <c r="P368" s="402"/>
      <c r="Q368" s="402"/>
      <c r="R368" s="402"/>
      <c r="S368" s="402"/>
      <c r="T368" s="402"/>
      <c r="U368" s="402"/>
      <c r="V368" s="402"/>
      <c r="W368" s="402"/>
      <c r="X368" s="402"/>
      <c r="Y368" s="402"/>
      <c r="Z368" s="402"/>
    </row>
    <row r="369" ht="14.25" customHeight="1">
      <c r="A369" s="660">
        <v>45505.0</v>
      </c>
      <c r="B369" s="467" t="s">
        <v>5687</v>
      </c>
      <c r="C369" s="467" t="s">
        <v>5978</v>
      </c>
      <c r="D369" s="467" t="s">
        <v>54</v>
      </c>
      <c r="E369" s="1044" t="s">
        <v>4114</v>
      </c>
      <c r="F369" s="1047">
        <v>284550.0</v>
      </c>
      <c r="G369" s="769">
        <v>187400.0</v>
      </c>
      <c r="H369" s="349" t="s">
        <v>6084</v>
      </c>
      <c r="I369" s="736" t="str">
        <f t="shared" si="8"/>
        <v>PARTIALLY PAID</v>
      </c>
      <c r="J369" s="402"/>
      <c r="K369" s="402"/>
      <c r="L369" s="402"/>
      <c r="M369" s="402"/>
      <c r="N369" s="402"/>
      <c r="O369" s="402"/>
      <c r="P369" s="402"/>
      <c r="Q369" s="402"/>
      <c r="R369" s="402"/>
      <c r="S369" s="402"/>
      <c r="T369" s="402"/>
      <c r="U369" s="402"/>
      <c r="V369" s="402"/>
      <c r="W369" s="402"/>
      <c r="X369" s="402"/>
      <c r="Y369" s="402"/>
      <c r="Z369" s="402"/>
    </row>
    <row r="370" ht="14.25" customHeight="1">
      <c r="A370" s="660">
        <v>45505.0</v>
      </c>
      <c r="B370" s="467" t="s">
        <v>5700</v>
      </c>
      <c r="C370" s="467" t="s">
        <v>6039</v>
      </c>
      <c r="D370" s="467" t="s">
        <v>54</v>
      </c>
      <c r="E370" s="1044" t="s">
        <v>4114</v>
      </c>
      <c r="F370" s="1047">
        <v>65000.0</v>
      </c>
      <c r="G370" s="769"/>
      <c r="H370" s="349" t="s">
        <v>6085</v>
      </c>
      <c r="I370" s="736" t="str">
        <f t="shared" si="8"/>
        <v>NOT PAID</v>
      </c>
      <c r="J370" s="402"/>
      <c r="K370" s="402"/>
      <c r="L370" s="402"/>
      <c r="M370" s="402"/>
      <c r="N370" s="402"/>
      <c r="O370" s="402"/>
      <c r="P370" s="402"/>
      <c r="Q370" s="402"/>
      <c r="R370" s="402"/>
      <c r="S370" s="402"/>
      <c r="T370" s="402"/>
      <c r="U370" s="402"/>
      <c r="V370" s="402"/>
      <c r="W370" s="402"/>
      <c r="X370" s="402"/>
      <c r="Y370" s="402"/>
      <c r="Z370" s="402"/>
    </row>
    <row r="371" ht="18.0" customHeight="1">
      <c r="A371" s="497">
        <v>45505.0</v>
      </c>
      <c r="B371" s="1039" t="s">
        <v>5679</v>
      </c>
      <c r="C371" s="436" t="s">
        <v>5730</v>
      </c>
      <c r="D371" s="467" t="s">
        <v>54</v>
      </c>
      <c r="E371" s="1044" t="s">
        <v>4114</v>
      </c>
      <c r="F371" s="413">
        <v>25000.0</v>
      </c>
      <c r="G371" s="403"/>
      <c r="H371" s="349" t="s">
        <v>6086</v>
      </c>
      <c r="I371" s="736" t="str">
        <f t="shared" si="8"/>
        <v>NOT PAID</v>
      </c>
      <c r="J371" s="402"/>
      <c r="K371" s="402"/>
      <c r="L371" s="402"/>
      <c r="M371" s="402"/>
      <c r="N371" s="402"/>
      <c r="O371" s="402"/>
      <c r="P371" s="402"/>
      <c r="Q371" s="402"/>
      <c r="R371" s="402"/>
      <c r="S371" s="402"/>
      <c r="T371" s="402"/>
      <c r="U371" s="402"/>
      <c r="V371" s="402"/>
      <c r="W371" s="402"/>
      <c r="X371" s="402"/>
      <c r="Y371" s="402"/>
      <c r="Z371" s="402"/>
    </row>
    <row r="372" ht="14.25" customHeight="1">
      <c r="A372" s="402"/>
      <c r="B372" s="402"/>
      <c r="C372" s="402"/>
      <c r="D372" s="1034"/>
      <c r="E372" s="403"/>
      <c r="F372" s="403"/>
      <c r="G372" s="403"/>
      <c r="H372" s="402"/>
      <c r="I372" s="736" t="str">
        <f t="shared" si="8"/>
        <v>FULLY PAID</v>
      </c>
      <c r="J372" s="402"/>
      <c r="K372" s="402"/>
      <c r="L372" s="402"/>
      <c r="M372" s="402"/>
      <c r="N372" s="402"/>
      <c r="O372" s="402"/>
      <c r="P372" s="402"/>
      <c r="Q372" s="402"/>
      <c r="R372" s="402"/>
      <c r="S372" s="402"/>
      <c r="T372" s="402"/>
      <c r="U372" s="402"/>
      <c r="V372" s="402"/>
      <c r="W372" s="402"/>
      <c r="X372" s="402"/>
      <c r="Y372" s="402"/>
      <c r="Z372" s="402"/>
    </row>
    <row r="373" ht="14.25" customHeight="1">
      <c r="A373" s="402"/>
      <c r="B373" s="402"/>
      <c r="C373" s="402"/>
      <c r="D373" s="1034"/>
      <c r="E373" s="403"/>
      <c r="F373" s="403"/>
      <c r="G373" s="403"/>
      <c r="H373" s="402"/>
      <c r="I373" s="736" t="str">
        <f t="shared" si="8"/>
        <v>FULLY PAID</v>
      </c>
      <c r="J373" s="402"/>
      <c r="K373" s="402"/>
      <c r="L373" s="402"/>
      <c r="M373" s="402"/>
      <c r="N373" s="402"/>
      <c r="O373" s="402"/>
      <c r="P373" s="402"/>
      <c r="Q373" s="402"/>
      <c r="R373" s="402"/>
      <c r="S373" s="402"/>
      <c r="T373" s="402"/>
      <c r="U373" s="402"/>
      <c r="V373" s="402"/>
      <c r="W373" s="402"/>
      <c r="X373" s="402"/>
      <c r="Y373" s="402"/>
      <c r="Z373" s="402"/>
    </row>
    <row r="374" ht="14.25" customHeight="1">
      <c r="A374" s="660">
        <v>45506.0</v>
      </c>
      <c r="B374" s="349" t="s">
        <v>6087</v>
      </c>
      <c r="C374" s="349" t="s">
        <v>6088</v>
      </c>
      <c r="D374" s="1032" t="s">
        <v>1030</v>
      </c>
      <c r="E374" s="413" t="s">
        <v>5623</v>
      </c>
      <c r="F374" s="413">
        <v>8000.0</v>
      </c>
      <c r="G374" s="403"/>
      <c r="H374" s="349" t="s">
        <v>6089</v>
      </c>
      <c r="I374" s="736" t="str">
        <f t="shared" si="8"/>
        <v>NOT PAID</v>
      </c>
      <c r="J374" s="402"/>
      <c r="K374" s="402"/>
      <c r="L374" s="402"/>
      <c r="M374" s="402"/>
      <c r="N374" s="402"/>
      <c r="O374" s="402"/>
      <c r="P374" s="402"/>
      <c r="Q374" s="402"/>
      <c r="R374" s="402"/>
      <c r="S374" s="402"/>
      <c r="T374" s="402"/>
      <c r="U374" s="402"/>
      <c r="V374" s="402"/>
      <c r="W374" s="402"/>
      <c r="X374" s="402"/>
      <c r="Y374" s="402"/>
      <c r="Z374" s="402"/>
    </row>
    <row r="375" ht="14.25" customHeight="1">
      <c r="A375" s="660">
        <v>45506.0</v>
      </c>
      <c r="B375" s="349" t="s">
        <v>6090</v>
      </c>
      <c r="C375" s="349" t="s">
        <v>6091</v>
      </c>
      <c r="D375" s="1032" t="s">
        <v>1030</v>
      </c>
      <c r="E375" s="413" t="s">
        <v>5623</v>
      </c>
      <c r="F375" s="413">
        <v>41000.0</v>
      </c>
      <c r="G375" s="403"/>
      <c r="H375" s="349" t="s">
        <v>6092</v>
      </c>
      <c r="I375" s="736" t="str">
        <f t="shared" si="8"/>
        <v>NOT PAID</v>
      </c>
      <c r="J375" s="402"/>
      <c r="K375" s="402"/>
      <c r="L375" s="402"/>
      <c r="M375" s="402"/>
      <c r="N375" s="402"/>
      <c r="O375" s="402"/>
      <c r="P375" s="402"/>
      <c r="Q375" s="402"/>
      <c r="R375" s="402"/>
      <c r="S375" s="402"/>
      <c r="T375" s="402"/>
      <c r="U375" s="402"/>
      <c r="V375" s="402"/>
      <c r="W375" s="402"/>
      <c r="X375" s="402"/>
      <c r="Y375" s="402"/>
      <c r="Z375" s="402"/>
    </row>
    <row r="376" ht="14.25" customHeight="1">
      <c r="A376" s="660">
        <v>45506.0</v>
      </c>
      <c r="B376" s="349" t="s">
        <v>5969</v>
      </c>
      <c r="C376" s="349" t="s">
        <v>5970</v>
      </c>
      <c r="D376" s="1032" t="s">
        <v>54</v>
      </c>
      <c r="E376" s="413" t="s">
        <v>5785</v>
      </c>
      <c r="F376" s="413">
        <v>68426.07</v>
      </c>
      <c r="G376" s="413">
        <v>40000.0</v>
      </c>
      <c r="H376" s="349" t="s">
        <v>6093</v>
      </c>
      <c r="I376" s="736" t="str">
        <f t="shared" si="8"/>
        <v>PARTIALLY PAID</v>
      </c>
      <c r="J376" s="402"/>
      <c r="K376" s="402"/>
      <c r="L376" s="402"/>
      <c r="M376" s="402"/>
      <c r="N376" s="402"/>
      <c r="O376" s="402"/>
      <c r="P376" s="402"/>
      <c r="Q376" s="402"/>
      <c r="R376" s="402"/>
      <c r="S376" s="402"/>
      <c r="T376" s="402"/>
      <c r="U376" s="402"/>
      <c r="V376" s="402"/>
      <c r="W376" s="402"/>
      <c r="X376" s="402"/>
      <c r="Y376" s="402"/>
      <c r="Z376" s="402"/>
    </row>
    <row r="377" ht="14.25" customHeight="1">
      <c r="A377" s="660">
        <v>45506.0</v>
      </c>
      <c r="B377" s="349" t="s">
        <v>6094</v>
      </c>
      <c r="C377" s="349" t="s">
        <v>6095</v>
      </c>
      <c r="D377" s="1032" t="s">
        <v>54</v>
      </c>
      <c r="E377" s="403"/>
      <c r="F377" s="413">
        <v>17335.87</v>
      </c>
      <c r="G377" s="403"/>
      <c r="H377" s="402"/>
      <c r="I377" s="736" t="str">
        <f t="shared" si="8"/>
        <v>NOT PAID</v>
      </c>
      <c r="J377" s="402"/>
      <c r="K377" s="402"/>
      <c r="L377" s="402"/>
      <c r="M377" s="402"/>
      <c r="N377" s="402"/>
      <c r="O377" s="402"/>
      <c r="P377" s="402"/>
      <c r="Q377" s="402"/>
      <c r="R377" s="402"/>
      <c r="S377" s="402"/>
      <c r="T377" s="402"/>
      <c r="U377" s="402"/>
      <c r="V377" s="402"/>
      <c r="W377" s="402"/>
      <c r="X377" s="402"/>
      <c r="Y377" s="402"/>
      <c r="Z377" s="402"/>
    </row>
    <row r="378" ht="14.25" customHeight="1">
      <c r="A378" s="660">
        <v>45506.0</v>
      </c>
      <c r="B378" s="349" t="s">
        <v>6096</v>
      </c>
      <c r="C378" s="349" t="s">
        <v>6035</v>
      </c>
      <c r="D378" s="1032" t="s">
        <v>54</v>
      </c>
      <c r="E378" s="413" t="s">
        <v>5623</v>
      </c>
      <c r="F378" s="413">
        <v>12316.97</v>
      </c>
      <c r="G378" s="403"/>
      <c r="H378" s="349" t="s">
        <v>6097</v>
      </c>
      <c r="I378" s="736" t="str">
        <f t="shared" si="8"/>
        <v>NOT PAID</v>
      </c>
      <c r="J378" s="402"/>
      <c r="K378" s="402"/>
      <c r="L378" s="402"/>
      <c r="M378" s="402"/>
      <c r="N378" s="402"/>
      <c r="O378" s="402"/>
      <c r="P378" s="402"/>
      <c r="Q378" s="402"/>
      <c r="R378" s="402"/>
      <c r="S378" s="402"/>
      <c r="T378" s="402"/>
      <c r="U378" s="402"/>
      <c r="V378" s="402"/>
      <c r="W378" s="402"/>
      <c r="X378" s="402"/>
      <c r="Y378" s="402"/>
      <c r="Z378" s="402"/>
    </row>
    <row r="379" ht="14.25" customHeight="1">
      <c r="A379" s="660">
        <v>45506.0</v>
      </c>
      <c r="B379" s="349" t="s">
        <v>6098</v>
      </c>
      <c r="C379" s="349" t="s">
        <v>6099</v>
      </c>
      <c r="D379" s="1032" t="s">
        <v>59</v>
      </c>
      <c r="E379" s="413" t="s">
        <v>5785</v>
      </c>
      <c r="F379" s="413">
        <v>179995.77</v>
      </c>
      <c r="G379" s="403"/>
      <c r="H379" s="349" t="s">
        <v>2389</v>
      </c>
      <c r="I379" s="736" t="str">
        <f t="shared" si="8"/>
        <v>NOT PAID</v>
      </c>
      <c r="J379" s="402"/>
      <c r="K379" s="402"/>
      <c r="L379" s="402"/>
      <c r="M379" s="402"/>
      <c r="N379" s="402"/>
      <c r="O379" s="402"/>
      <c r="P379" s="402"/>
      <c r="Q379" s="402"/>
      <c r="R379" s="402"/>
      <c r="S379" s="402"/>
      <c r="T379" s="402"/>
      <c r="U379" s="402"/>
      <c r="V379" s="402"/>
      <c r="W379" s="402"/>
      <c r="X379" s="402"/>
      <c r="Y379" s="402"/>
      <c r="Z379" s="402"/>
    </row>
    <row r="380" ht="14.25" customHeight="1">
      <c r="A380" s="660">
        <v>45506.0</v>
      </c>
      <c r="B380" s="349" t="s">
        <v>6100</v>
      </c>
      <c r="C380" s="349" t="s">
        <v>6101</v>
      </c>
      <c r="D380" s="1032" t="s">
        <v>54</v>
      </c>
      <c r="E380" s="403"/>
      <c r="F380" s="413">
        <v>23924.83</v>
      </c>
      <c r="G380" s="403"/>
      <c r="H380" s="349" t="s">
        <v>6102</v>
      </c>
      <c r="I380" s="736" t="str">
        <f t="shared" si="8"/>
        <v>NOT PAID</v>
      </c>
      <c r="J380" s="402"/>
      <c r="K380" s="402"/>
      <c r="L380" s="402"/>
      <c r="M380" s="402"/>
      <c r="N380" s="402"/>
      <c r="O380" s="402"/>
      <c r="P380" s="402"/>
      <c r="Q380" s="402"/>
      <c r="R380" s="402"/>
      <c r="S380" s="402"/>
      <c r="T380" s="402"/>
      <c r="U380" s="402"/>
      <c r="V380" s="402"/>
      <c r="W380" s="402"/>
      <c r="X380" s="402"/>
      <c r="Y380" s="402"/>
      <c r="Z380" s="402"/>
    </row>
    <row r="381" ht="14.25" customHeight="1">
      <c r="A381" s="660">
        <v>45506.0</v>
      </c>
      <c r="B381" s="349" t="s">
        <v>6103</v>
      </c>
      <c r="C381" s="349" t="s">
        <v>5641</v>
      </c>
      <c r="D381" s="1032" t="s">
        <v>67</v>
      </c>
      <c r="E381" s="413" t="s">
        <v>6104</v>
      </c>
      <c r="F381" s="413">
        <v>1000000.0</v>
      </c>
      <c r="G381" s="413">
        <v>1000000.0</v>
      </c>
      <c r="H381" s="349" t="s">
        <v>267</v>
      </c>
      <c r="I381" s="736" t="str">
        <f t="shared" si="8"/>
        <v>FULLY PAID</v>
      </c>
      <c r="J381" s="402"/>
      <c r="K381" s="402"/>
      <c r="L381" s="402"/>
      <c r="M381" s="402"/>
      <c r="N381" s="402"/>
      <c r="O381" s="402"/>
      <c r="P381" s="402"/>
      <c r="Q381" s="402"/>
      <c r="R381" s="402"/>
      <c r="S381" s="402"/>
      <c r="T381" s="402"/>
      <c r="U381" s="402"/>
      <c r="V381" s="402"/>
      <c r="W381" s="402"/>
      <c r="X381" s="402"/>
      <c r="Y381" s="402"/>
      <c r="Z381" s="402"/>
    </row>
    <row r="382" ht="14.25" customHeight="1">
      <c r="A382" s="660">
        <v>45506.0</v>
      </c>
      <c r="B382" s="349" t="s">
        <v>6105</v>
      </c>
      <c r="C382" s="349" t="s">
        <v>6106</v>
      </c>
      <c r="D382" s="1032" t="s">
        <v>54</v>
      </c>
      <c r="E382" s="403"/>
      <c r="F382" s="413">
        <v>139355.48</v>
      </c>
      <c r="G382" s="403"/>
      <c r="H382" s="402"/>
      <c r="I382" s="736" t="str">
        <f t="shared" si="8"/>
        <v>NOT PAID</v>
      </c>
      <c r="J382" s="402"/>
      <c r="K382" s="402"/>
      <c r="L382" s="402"/>
      <c r="M382" s="402"/>
      <c r="N382" s="402"/>
      <c r="O382" s="402"/>
      <c r="P382" s="402"/>
      <c r="Q382" s="402"/>
      <c r="R382" s="402"/>
      <c r="S382" s="402"/>
      <c r="T382" s="402"/>
      <c r="U382" s="402"/>
      <c r="V382" s="402"/>
      <c r="W382" s="402"/>
      <c r="X382" s="402"/>
      <c r="Y382" s="402"/>
      <c r="Z382" s="402"/>
    </row>
    <row r="383" ht="14.25" customHeight="1">
      <c r="A383" s="660">
        <v>45506.0</v>
      </c>
      <c r="B383" s="349" t="s">
        <v>6107</v>
      </c>
      <c r="C383" s="349" t="s">
        <v>6108</v>
      </c>
      <c r="D383" s="1032" t="s">
        <v>54</v>
      </c>
      <c r="E383" s="413" t="s">
        <v>5785</v>
      </c>
      <c r="F383" s="413">
        <v>33898.14</v>
      </c>
      <c r="G383" s="403"/>
      <c r="H383" s="349" t="s">
        <v>2389</v>
      </c>
      <c r="I383" s="736" t="str">
        <f t="shared" si="8"/>
        <v>NOT PAID</v>
      </c>
      <c r="J383" s="402"/>
      <c r="K383" s="402"/>
      <c r="L383" s="402"/>
      <c r="M383" s="402"/>
      <c r="N383" s="402"/>
      <c r="O383" s="402"/>
      <c r="P383" s="402"/>
      <c r="Q383" s="402"/>
      <c r="R383" s="402"/>
      <c r="S383" s="402"/>
      <c r="T383" s="402"/>
      <c r="U383" s="402"/>
      <c r="V383" s="402"/>
      <c r="W383" s="402"/>
      <c r="X383" s="402"/>
      <c r="Y383" s="402"/>
      <c r="Z383" s="402"/>
    </row>
    <row r="384" ht="14.25" customHeight="1">
      <c r="A384" s="660">
        <v>45506.0</v>
      </c>
      <c r="B384" s="349" t="s">
        <v>6109</v>
      </c>
      <c r="C384" s="349" t="s">
        <v>6110</v>
      </c>
      <c r="D384" s="1032" t="s">
        <v>75</v>
      </c>
      <c r="E384" s="413" t="s">
        <v>5785</v>
      </c>
      <c r="F384" s="413">
        <v>57500.0</v>
      </c>
      <c r="G384" s="403"/>
      <c r="H384" s="455" t="s">
        <v>6111</v>
      </c>
      <c r="I384" s="736" t="str">
        <f t="shared" si="8"/>
        <v>NOT PAID</v>
      </c>
      <c r="J384" s="402"/>
      <c r="K384" s="402"/>
      <c r="L384" s="402"/>
      <c r="M384" s="402"/>
      <c r="N384" s="402"/>
      <c r="O384" s="402"/>
      <c r="P384" s="402"/>
      <c r="Q384" s="402"/>
      <c r="R384" s="402"/>
      <c r="S384" s="402"/>
      <c r="T384" s="402"/>
      <c r="U384" s="402"/>
      <c r="V384" s="402"/>
      <c r="W384" s="402"/>
      <c r="X384" s="402"/>
      <c r="Y384" s="402"/>
      <c r="Z384" s="402"/>
    </row>
    <row r="385" ht="14.25" customHeight="1">
      <c r="A385" s="660">
        <v>45506.0</v>
      </c>
      <c r="B385" s="349" t="s">
        <v>6112</v>
      </c>
      <c r="C385" s="349" t="s">
        <v>6113</v>
      </c>
      <c r="D385" s="1032" t="s">
        <v>54</v>
      </c>
      <c r="E385" s="403"/>
      <c r="F385" s="413">
        <v>18633.0</v>
      </c>
      <c r="G385" s="403"/>
      <c r="H385" s="402"/>
      <c r="I385" s="736" t="str">
        <f t="shared" si="8"/>
        <v>NOT PAID</v>
      </c>
      <c r="J385" s="402"/>
      <c r="K385" s="402"/>
      <c r="L385" s="402"/>
      <c r="M385" s="402"/>
      <c r="N385" s="402"/>
      <c r="O385" s="402"/>
      <c r="P385" s="402"/>
      <c r="Q385" s="402"/>
      <c r="R385" s="402"/>
      <c r="S385" s="402"/>
      <c r="T385" s="402"/>
      <c r="U385" s="402"/>
      <c r="V385" s="402"/>
      <c r="W385" s="402"/>
      <c r="X385" s="402"/>
      <c r="Y385" s="402"/>
      <c r="Z385" s="402"/>
    </row>
    <row r="386" ht="14.25" customHeight="1">
      <c r="A386" s="660">
        <v>45506.0</v>
      </c>
      <c r="B386" s="349" t="s">
        <v>6114</v>
      </c>
      <c r="C386" s="349" t="s">
        <v>6115</v>
      </c>
      <c r="D386" s="1032" t="s">
        <v>75</v>
      </c>
      <c r="E386" s="403"/>
      <c r="F386" s="413">
        <v>77000.0</v>
      </c>
      <c r="G386" s="403"/>
      <c r="H386" s="402"/>
      <c r="I386" s="736" t="str">
        <f t="shared" si="8"/>
        <v>NOT PAID</v>
      </c>
      <c r="J386" s="402"/>
      <c r="K386" s="402"/>
      <c r="L386" s="402"/>
      <c r="M386" s="402"/>
      <c r="N386" s="402"/>
      <c r="O386" s="402"/>
      <c r="P386" s="402"/>
      <c r="Q386" s="402"/>
      <c r="R386" s="402"/>
      <c r="S386" s="402"/>
      <c r="T386" s="402"/>
      <c r="U386" s="402"/>
      <c r="V386" s="402"/>
      <c r="W386" s="402"/>
      <c r="X386" s="402"/>
      <c r="Y386" s="402"/>
      <c r="Z386" s="402"/>
    </row>
    <row r="387" ht="14.25" customHeight="1">
      <c r="A387" s="660">
        <v>45506.0</v>
      </c>
      <c r="B387" s="402"/>
      <c r="C387" s="349" t="s">
        <v>6116</v>
      </c>
      <c r="D387" s="1032" t="s">
        <v>75</v>
      </c>
      <c r="E387" s="413" t="s">
        <v>5785</v>
      </c>
      <c r="F387" s="413">
        <v>182000.0</v>
      </c>
      <c r="G387" s="413">
        <v>182000.0</v>
      </c>
      <c r="H387" s="349" t="s">
        <v>267</v>
      </c>
      <c r="I387" s="736" t="str">
        <f t="shared" si="8"/>
        <v>FULLY PAID</v>
      </c>
      <c r="J387" s="402"/>
      <c r="K387" s="402"/>
      <c r="L387" s="402"/>
      <c r="M387" s="402"/>
      <c r="N387" s="402"/>
      <c r="O387" s="402"/>
      <c r="P387" s="402"/>
      <c r="Q387" s="402"/>
      <c r="R387" s="402"/>
      <c r="S387" s="402"/>
      <c r="T387" s="402"/>
      <c r="U387" s="402"/>
      <c r="V387" s="402"/>
      <c r="W387" s="402"/>
      <c r="X387" s="402"/>
      <c r="Y387" s="402"/>
      <c r="Z387" s="402"/>
    </row>
    <row r="388" ht="14.25" customHeight="1">
      <c r="A388" s="660">
        <v>45506.0</v>
      </c>
      <c r="B388" s="349" t="s">
        <v>5956</v>
      </c>
      <c r="C388" s="349" t="s">
        <v>5957</v>
      </c>
      <c r="D388" s="1032" t="s">
        <v>59</v>
      </c>
      <c r="E388" s="403"/>
      <c r="F388" s="413">
        <v>269550.0</v>
      </c>
      <c r="G388" s="403"/>
      <c r="H388" s="349" t="s">
        <v>6117</v>
      </c>
      <c r="I388" s="736" t="str">
        <f t="shared" si="8"/>
        <v>NOT PAID</v>
      </c>
      <c r="J388" s="402"/>
      <c r="K388" s="402"/>
      <c r="L388" s="402"/>
      <c r="M388" s="402"/>
      <c r="N388" s="402"/>
      <c r="O388" s="402"/>
      <c r="P388" s="402"/>
      <c r="Q388" s="402"/>
      <c r="R388" s="402"/>
      <c r="S388" s="402"/>
      <c r="T388" s="402"/>
      <c r="U388" s="402"/>
      <c r="V388" s="402"/>
      <c r="W388" s="402"/>
      <c r="X388" s="402"/>
      <c r="Y388" s="402"/>
      <c r="Z388" s="402"/>
    </row>
    <row r="389" ht="14.25" customHeight="1">
      <c r="A389" s="660">
        <v>45506.0</v>
      </c>
      <c r="B389" s="349" t="s">
        <v>6118</v>
      </c>
      <c r="C389" s="349" t="s">
        <v>6119</v>
      </c>
      <c r="D389" s="1032" t="s">
        <v>54</v>
      </c>
      <c r="E389" s="403"/>
      <c r="F389" s="413">
        <v>16483.0</v>
      </c>
      <c r="G389" s="403"/>
      <c r="H389" s="402"/>
      <c r="I389" s="736" t="str">
        <f t="shared" si="8"/>
        <v>NOT PAID</v>
      </c>
      <c r="J389" s="402"/>
      <c r="K389" s="402"/>
      <c r="L389" s="402"/>
      <c r="M389" s="402"/>
      <c r="N389" s="402"/>
      <c r="O389" s="402"/>
      <c r="P389" s="402"/>
      <c r="Q389" s="402"/>
      <c r="R389" s="402"/>
      <c r="S389" s="402"/>
      <c r="T389" s="402"/>
      <c r="U389" s="402"/>
      <c r="V389" s="402"/>
      <c r="W389" s="402"/>
      <c r="X389" s="402"/>
      <c r="Y389" s="402"/>
      <c r="Z389" s="402"/>
    </row>
    <row r="390" ht="14.25" customHeight="1">
      <c r="A390" s="660">
        <v>45506.0</v>
      </c>
      <c r="B390" s="349" t="s">
        <v>6077</v>
      </c>
      <c r="C390" s="349" t="s">
        <v>6078</v>
      </c>
      <c r="D390" s="1032" t="s">
        <v>54</v>
      </c>
      <c r="E390" s="413" t="s">
        <v>5785</v>
      </c>
      <c r="F390" s="413">
        <v>76273.0</v>
      </c>
      <c r="G390" s="413">
        <v>50000.0</v>
      </c>
      <c r="H390" s="349" t="s">
        <v>6120</v>
      </c>
      <c r="I390" s="736" t="str">
        <f t="shared" si="8"/>
        <v>PARTIALLY PAID</v>
      </c>
      <c r="J390" s="402"/>
      <c r="K390" s="402"/>
      <c r="L390" s="402"/>
      <c r="M390" s="402"/>
      <c r="N390" s="402"/>
      <c r="O390" s="402"/>
      <c r="P390" s="402"/>
      <c r="Q390" s="402"/>
      <c r="R390" s="402"/>
      <c r="S390" s="402"/>
      <c r="T390" s="402"/>
      <c r="U390" s="402"/>
      <c r="V390" s="402"/>
      <c r="W390" s="402"/>
      <c r="X390" s="402"/>
      <c r="Y390" s="402"/>
      <c r="Z390" s="402"/>
    </row>
    <row r="391" ht="14.25" customHeight="1">
      <c r="A391" s="660">
        <v>45506.0</v>
      </c>
      <c r="B391" s="349" t="s">
        <v>6044</v>
      </c>
      <c r="C391" s="349" t="s">
        <v>6045</v>
      </c>
      <c r="D391" s="1032" t="s">
        <v>59</v>
      </c>
      <c r="E391" s="413" t="s">
        <v>5785</v>
      </c>
      <c r="F391" s="413">
        <v>109571.43</v>
      </c>
      <c r="G391" s="403"/>
      <c r="H391" s="349" t="s">
        <v>6121</v>
      </c>
      <c r="I391" s="736" t="str">
        <f t="shared" si="8"/>
        <v>NOT PAID</v>
      </c>
      <c r="J391" s="402"/>
      <c r="K391" s="402"/>
      <c r="L391" s="402"/>
      <c r="M391" s="402"/>
      <c r="N391" s="402"/>
      <c r="O391" s="402"/>
      <c r="P391" s="402"/>
      <c r="Q391" s="402"/>
      <c r="R391" s="402"/>
      <c r="S391" s="402"/>
      <c r="T391" s="402"/>
      <c r="U391" s="402"/>
      <c r="V391" s="402"/>
      <c r="W391" s="402"/>
      <c r="X391" s="402"/>
      <c r="Y391" s="402"/>
      <c r="Z391" s="402"/>
    </row>
    <row r="392" ht="14.25" customHeight="1">
      <c r="A392" s="660">
        <v>45506.0</v>
      </c>
      <c r="B392" s="349" t="s">
        <v>5900</v>
      </c>
      <c r="C392" s="349" t="s">
        <v>5901</v>
      </c>
      <c r="D392" s="1032" t="s">
        <v>263</v>
      </c>
      <c r="E392" s="403"/>
      <c r="F392" s="413">
        <v>17804.93</v>
      </c>
      <c r="G392" s="403"/>
      <c r="H392" s="402"/>
      <c r="I392" s="736" t="str">
        <f t="shared" si="8"/>
        <v>NOT PAID</v>
      </c>
      <c r="J392" s="402"/>
      <c r="K392" s="402"/>
      <c r="L392" s="402"/>
      <c r="M392" s="402"/>
      <c r="N392" s="402"/>
      <c r="O392" s="402"/>
      <c r="P392" s="402"/>
      <c r="Q392" s="402"/>
      <c r="R392" s="402"/>
      <c r="S392" s="402"/>
      <c r="T392" s="402"/>
      <c r="U392" s="402"/>
      <c r="V392" s="402"/>
      <c r="W392" s="402"/>
      <c r="X392" s="402"/>
      <c r="Y392" s="402"/>
      <c r="Z392" s="402"/>
    </row>
    <row r="393" ht="14.25" customHeight="1">
      <c r="A393" s="660">
        <v>45506.0</v>
      </c>
      <c r="B393" s="349" t="s">
        <v>6049</v>
      </c>
      <c r="C393" s="349" t="s">
        <v>6050</v>
      </c>
      <c r="D393" s="1032" t="s">
        <v>54</v>
      </c>
      <c r="E393" s="403"/>
      <c r="F393" s="413">
        <v>8818.62</v>
      </c>
      <c r="G393" s="403"/>
      <c r="H393" s="402"/>
      <c r="I393" s="736" t="str">
        <f t="shared" si="8"/>
        <v>NOT PAID</v>
      </c>
      <c r="J393" s="402"/>
      <c r="K393" s="402"/>
      <c r="L393" s="402"/>
      <c r="M393" s="402"/>
      <c r="N393" s="402"/>
      <c r="O393" s="402"/>
      <c r="P393" s="402"/>
      <c r="Q393" s="402"/>
      <c r="R393" s="402"/>
      <c r="S393" s="402"/>
      <c r="T393" s="402"/>
      <c r="U393" s="402"/>
      <c r="V393" s="402"/>
      <c r="W393" s="402"/>
      <c r="X393" s="402"/>
      <c r="Y393" s="402"/>
      <c r="Z393" s="402"/>
    </row>
    <row r="394" ht="14.25" customHeight="1">
      <c r="A394" s="660">
        <v>45506.0</v>
      </c>
      <c r="B394" s="349" t="s">
        <v>6053</v>
      </c>
      <c r="C394" s="349" t="s">
        <v>6054</v>
      </c>
      <c r="D394" s="1032" t="s">
        <v>54</v>
      </c>
      <c r="E394" s="413" t="s">
        <v>6122</v>
      </c>
      <c r="F394" s="413">
        <v>33830.34</v>
      </c>
      <c r="G394" s="403"/>
      <c r="H394" s="349" t="s">
        <v>6123</v>
      </c>
      <c r="I394" s="736" t="str">
        <f t="shared" si="8"/>
        <v>NOT PAID</v>
      </c>
      <c r="J394" s="402"/>
      <c r="K394" s="402"/>
      <c r="L394" s="402"/>
      <c r="M394" s="402"/>
      <c r="N394" s="402"/>
      <c r="O394" s="402"/>
      <c r="P394" s="402"/>
      <c r="Q394" s="402"/>
      <c r="R394" s="402"/>
      <c r="S394" s="402"/>
      <c r="T394" s="402"/>
      <c r="U394" s="402"/>
      <c r="V394" s="402"/>
      <c r="W394" s="402"/>
      <c r="X394" s="402"/>
      <c r="Y394" s="402"/>
      <c r="Z394" s="402"/>
    </row>
    <row r="395" ht="14.25" customHeight="1">
      <c r="A395" s="660">
        <v>45506.0</v>
      </c>
      <c r="B395" s="349" t="s">
        <v>6057</v>
      </c>
      <c r="C395" s="349" t="s">
        <v>6058</v>
      </c>
      <c r="D395" s="1032" t="s">
        <v>54</v>
      </c>
      <c r="E395" s="413" t="s">
        <v>6122</v>
      </c>
      <c r="F395" s="413">
        <v>11662.34</v>
      </c>
      <c r="G395" s="403"/>
      <c r="H395" s="349" t="s">
        <v>267</v>
      </c>
      <c r="I395" s="736" t="str">
        <f t="shared" si="8"/>
        <v>NOT PAID</v>
      </c>
      <c r="J395" s="402"/>
      <c r="K395" s="402"/>
      <c r="L395" s="402"/>
      <c r="M395" s="402"/>
      <c r="N395" s="402"/>
      <c r="O395" s="402"/>
      <c r="P395" s="402"/>
      <c r="Q395" s="402"/>
      <c r="R395" s="402"/>
      <c r="S395" s="402"/>
      <c r="T395" s="402"/>
      <c r="U395" s="402"/>
      <c r="V395" s="402"/>
      <c r="W395" s="402"/>
      <c r="X395" s="402"/>
      <c r="Y395" s="402"/>
      <c r="Z395" s="402"/>
    </row>
    <row r="396" ht="14.25" customHeight="1">
      <c r="A396" s="660">
        <v>45506.0</v>
      </c>
      <c r="B396" s="349" t="s">
        <v>6060</v>
      </c>
      <c r="C396" s="349" t="s">
        <v>6058</v>
      </c>
      <c r="D396" s="1032" t="s">
        <v>346</v>
      </c>
      <c r="E396" s="403"/>
      <c r="F396" s="413">
        <v>5999.66</v>
      </c>
      <c r="G396" s="403"/>
      <c r="H396" s="402"/>
      <c r="I396" s="736" t="str">
        <f t="shared" si="8"/>
        <v>NOT PAID</v>
      </c>
      <c r="J396" s="402"/>
      <c r="K396" s="402"/>
      <c r="L396" s="402"/>
      <c r="M396" s="402"/>
      <c r="N396" s="402"/>
      <c r="O396" s="402"/>
      <c r="P396" s="402"/>
      <c r="Q396" s="402"/>
      <c r="R396" s="402"/>
      <c r="S396" s="402"/>
      <c r="T396" s="402"/>
      <c r="U396" s="402"/>
      <c r="V396" s="402"/>
      <c r="W396" s="402"/>
      <c r="X396" s="402"/>
      <c r="Y396" s="402"/>
      <c r="Z396" s="402"/>
    </row>
    <row r="397" ht="14.25" customHeight="1">
      <c r="A397" s="660">
        <v>45506.0</v>
      </c>
      <c r="B397" s="349" t="s">
        <v>6063</v>
      </c>
      <c r="C397" s="349" t="s">
        <v>6064</v>
      </c>
      <c r="D397" s="1032" t="s">
        <v>75</v>
      </c>
      <c r="E397" s="403"/>
      <c r="F397" s="413">
        <v>460000.0</v>
      </c>
      <c r="G397" s="403"/>
      <c r="H397" s="349" t="s">
        <v>267</v>
      </c>
      <c r="I397" s="736" t="str">
        <f t="shared" si="8"/>
        <v>NOT PAID</v>
      </c>
      <c r="J397" s="402"/>
      <c r="K397" s="402"/>
      <c r="L397" s="402"/>
      <c r="M397" s="402"/>
      <c r="N397" s="402"/>
      <c r="O397" s="402"/>
      <c r="P397" s="402"/>
      <c r="Q397" s="402"/>
      <c r="R397" s="402"/>
      <c r="S397" s="402"/>
      <c r="T397" s="402"/>
      <c r="U397" s="402"/>
      <c r="V397" s="402"/>
      <c r="W397" s="402"/>
      <c r="X397" s="402"/>
      <c r="Y397" s="402"/>
      <c r="Z397" s="402"/>
    </row>
    <row r="398" ht="14.25" customHeight="1">
      <c r="A398" s="660">
        <v>45506.0</v>
      </c>
      <c r="B398" s="349" t="s">
        <v>6065</v>
      </c>
      <c r="C398" s="349" t="s">
        <v>6066</v>
      </c>
      <c r="D398" s="1032" t="s">
        <v>54</v>
      </c>
      <c r="E398" s="403"/>
      <c r="F398" s="413">
        <v>35783.0</v>
      </c>
      <c r="G398" s="403"/>
      <c r="H398" s="402"/>
      <c r="I398" s="736" t="str">
        <f t="shared" si="8"/>
        <v>NOT PAID</v>
      </c>
      <c r="J398" s="402"/>
      <c r="K398" s="402"/>
      <c r="L398" s="402"/>
      <c r="M398" s="402"/>
      <c r="N398" s="402"/>
      <c r="O398" s="402"/>
      <c r="P398" s="402"/>
      <c r="Q398" s="402"/>
      <c r="R398" s="402"/>
      <c r="S398" s="402"/>
      <c r="T398" s="402"/>
      <c r="U398" s="402"/>
      <c r="V398" s="402"/>
      <c r="W398" s="402"/>
      <c r="X398" s="402"/>
      <c r="Y398" s="402"/>
      <c r="Z398" s="402"/>
    </row>
    <row r="399" ht="14.25" customHeight="1">
      <c r="A399" s="660">
        <v>45506.0</v>
      </c>
      <c r="B399" s="349" t="s">
        <v>6067</v>
      </c>
      <c r="C399" s="349" t="s">
        <v>6068</v>
      </c>
      <c r="D399" s="1032" t="s">
        <v>54</v>
      </c>
      <c r="E399" s="413" t="s">
        <v>5623</v>
      </c>
      <c r="F399" s="413">
        <v>40000.0</v>
      </c>
      <c r="G399" s="403"/>
      <c r="H399" s="349" t="s">
        <v>6124</v>
      </c>
      <c r="I399" s="736" t="str">
        <f t="shared" si="8"/>
        <v>NOT PAID</v>
      </c>
      <c r="J399" s="402"/>
      <c r="K399" s="402"/>
      <c r="L399" s="402"/>
      <c r="M399" s="402"/>
      <c r="N399" s="402"/>
      <c r="O399" s="402"/>
      <c r="P399" s="402"/>
      <c r="Q399" s="402"/>
      <c r="R399" s="402"/>
      <c r="S399" s="402"/>
      <c r="T399" s="402"/>
      <c r="U399" s="402"/>
      <c r="V399" s="402"/>
      <c r="W399" s="402"/>
      <c r="X399" s="402"/>
      <c r="Y399" s="402"/>
      <c r="Z399" s="402"/>
    </row>
    <row r="400" ht="14.25" customHeight="1">
      <c r="A400" s="660">
        <v>45506.0</v>
      </c>
      <c r="B400" s="349" t="s">
        <v>6010</v>
      </c>
      <c r="C400" s="349" t="s">
        <v>6011</v>
      </c>
      <c r="D400" s="1032" t="s">
        <v>54</v>
      </c>
      <c r="E400" s="413" t="s">
        <v>5623</v>
      </c>
      <c r="F400" s="413">
        <v>102000.0</v>
      </c>
      <c r="G400" s="403"/>
      <c r="H400" s="349" t="s">
        <v>267</v>
      </c>
      <c r="I400" s="736" t="str">
        <f t="shared" si="8"/>
        <v>NOT PAID</v>
      </c>
      <c r="J400" s="402"/>
      <c r="K400" s="402"/>
      <c r="L400" s="402"/>
      <c r="M400" s="402"/>
      <c r="N400" s="402"/>
      <c r="O400" s="402"/>
      <c r="P400" s="402"/>
      <c r="Q400" s="402"/>
      <c r="R400" s="402"/>
      <c r="S400" s="402"/>
      <c r="T400" s="402"/>
      <c r="U400" s="402"/>
      <c r="V400" s="402"/>
      <c r="W400" s="402"/>
      <c r="X400" s="402"/>
      <c r="Y400" s="402"/>
      <c r="Z400" s="402"/>
    </row>
    <row r="401" ht="14.25" customHeight="1">
      <c r="A401" s="497">
        <v>45506.0</v>
      </c>
      <c r="B401" s="402"/>
      <c r="C401" s="349" t="s">
        <v>6125</v>
      </c>
      <c r="D401" s="1032" t="s">
        <v>67</v>
      </c>
      <c r="E401" s="403"/>
      <c r="F401" s="413">
        <v>687057.0</v>
      </c>
      <c r="G401" s="403"/>
      <c r="H401" s="402"/>
      <c r="I401" s="736" t="str">
        <f t="shared" si="8"/>
        <v>NOT PAID</v>
      </c>
      <c r="J401" s="402"/>
      <c r="K401" s="402"/>
      <c r="L401" s="402"/>
      <c r="M401" s="402"/>
      <c r="N401" s="402"/>
      <c r="O401" s="402"/>
      <c r="P401" s="402"/>
      <c r="Q401" s="402"/>
      <c r="R401" s="402"/>
      <c r="S401" s="402"/>
      <c r="T401" s="402"/>
      <c r="U401" s="402"/>
      <c r="V401" s="402"/>
      <c r="W401" s="402"/>
      <c r="X401" s="402"/>
      <c r="Y401" s="402"/>
      <c r="Z401" s="402"/>
    </row>
    <row r="402" ht="14.25" customHeight="1">
      <c r="A402" s="660">
        <v>45506.0</v>
      </c>
      <c r="B402" s="349" t="s">
        <v>6061</v>
      </c>
      <c r="C402" s="349" t="s">
        <v>6126</v>
      </c>
      <c r="D402" s="1032" t="s">
        <v>59</v>
      </c>
      <c r="E402" s="403"/>
      <c r="F402" s="413">
        <v>3011268.0</v>
      </c>
      <c r="G402" s="403"/>
      <c r="H402" s="402"/>
      <c r="I402" s="736" t="str">
        <f t="shared" si="8"/>
        <v>NOT PAID</v>
      </c>
      <c r="J402" s="402"/>
      <c r="K402" s="402"/>
      <c r="L402" s="402"/>
      <c r="M402" s="402"/>
      <c r="N402" s="402"/>
      <c r="O402" s="402"/>
      <c r="P402" s="402"/>
      <c r="Q402" s="402"/>
      <c r="R402" s="402"/>
      <c r="S402" s="402"/>
      <c r="T402" s="402"/>
      <c r="U402" s="402"/>
      <c r="V402" s="402"/>
      <c r="W402" s="402"/>
      <c r="X402" s="402"/>
      <c r="Y402" s="402"/>
      <c r="Z402" s="402"/>
    </row>
    <row r="403" ht="14.25" customHeight="1">
      <c r="A403" s="497">
        <v>45506.0</v>
      </c>
      <c r="B403" s="349" t="s">
        <v>6127</v>
      </c>
      <c r="C403" s="349" t="s">
        <v>6128</v>
      </c>
      <c r="D403" s="1034"/>
      <c r="E403" s="413" t="s">
        <v>2165</v>
      </c>
      <c r="F403" s="1051">
        <v>45333.0</v>
      </c>
      <c r="G403" s="413">
        <v>45333.0</v>
      </c>
      <c r="H403" s="349" t="s">
        <v>710</v>
      </c>
      <c r="I403" s="736" t="str">
        <f t="shared" si="8"/>
        <v>FULLY PAID</v>
      </c>
      <c r="J403" s="402"/>
      <c r="K403" s="402"/>
      <c r="L403" s="402"/>
      <c r="M403" s="402"/>
      <c r="N403" s="402"/>
      <c r="O403" s="402"/>
      <c r="P403" s="402"/>
      <c r="Q403" s="402"/>
      <c r="R403" s="402"/>
      <c r="S403" s="402"/>
      <c r="T403" s="402"/>
      <c r="U403" s="402"/>
      <c r="V403" s="402"/>
      <c r="W403" s="402"/>
      <c r="X403" s="402"/>
      <c r="Y403" s="402"/>
      <c r="Z403" s="402"/>
    </row>
    <row r="404" ht="14.25" customHeight="1">
      <c r="A404" s="497">
        <v>45506.0</v>
      </c>
      <c r="B404" s="349" t="s">
        <v>6071</v>
      </c>
      <c r="C404" s="349" t="s">
        <v>6129</v>
      </c>
      <c r="D404" s="1032" t="s">
        <v>54</v>
      </c>
      <c r="E404" s="413" t="s">
        <v>2165</v>
      </c>
      <c r="F404" s="413">
        <v>60000.0</v>
      </c>
      <c r="G404" s="413">
        <v>0.0</v>
      </c>
      <c r="H404" s="349" t="s">
        <v>6130</v>
      </c>
      <c r="I404" s="736" t="str">
        <f t="shared" si="8"/>
        <v>NOT PAID</v>
      </c>
      <c r="J404" s="402"/>
      <c r="K404" s="402"/>
      <c r="L404" s="402"/>
      <c r="M404" s="402"/>
      <c r="N404" s="402"/>
      <c r="O404" s="402"/>
      <c r="P404" s="402"/>
      <c r="Q404" s="402"/>
      <c r="R404" s="402"/>
      <c r="S404" s="402"/>
      <c r="T404" s="402"/>
      <c r="U404" s="402"/>
      <c r="V404" s="402"/>
      <c r="W404" s="402"/>
      <c r="X404" s="402"/>
      <c r="Y404" s="402"/>
      <c r="Z404" s="402"/>
    </row>
    <row r="405" ht="14.25" customHeight="1">
      <c r="A405" s="497">
        <v>45506.0</v>
      </c>
      <c r="B405" s="349" t="s">
        <v>5658</v>
      </c>
      <c r="C405" s="349" t="s">
        <v>6131</v>
      </c>
      <c r="D405" s="1032" t="s">
        <v>54</v>
      </c>
      <c r="E405" s="413" t="s">
        <v>2165</v>
      </c>
      <c r="F405" s="413">
        <v>70000.0</v>
      </c>
      <c r="G405" s="413">
        <v>0.0</v>
      </c>
      <c r="H405" s="349" t="s">
        <v>6132</v>
      </c>
      <c r="I405" s="736" t="str">
        <f t="shared" si="8"/>
        <v>NOT PAID</v>
      </c>
      <c r="J405" s="402"/>
      <c r="K405" s="402"/>
      <c r="L405" s="402"/>
      <c r="M405" s="402"/>
      <c r="N405" s="402"/>
      <c r="O405" s="402"/>
      <c r="P405" s="402"/>
      <c r="Q405" s="402"/>
      <c r="R405" s="402"/>
      <c r="S405" s="402"/>
      <c r="T405" s="402"/>
      <c r="U405" s="402"/>
      <c r="V405" s="402"/>
      <c r="W405" s="402"/>
      <c r="X405" s="402"/>
      <c r="Y405" s="402"/>
      <c r="Z405" s="402"/>
    </row>
    <row r="406" ht="14.25" customHeight="1">
      <c r="A406" s="497">
        <v>45506.0</v>
      </c>
      <c r="B406" s="349" t="s">
        <v>5685</v>
      </c>
      <c r="C406" s="349" t="s">
        <v>5686</v>
      </c>
      <c r="D406" s="1032" t="s">
        <v>54</v>
      </c>
      <c r="E406" s="413" t="s">
        <v>2165</v>
      </c>
      <c r="F406" s="413">
        <v>600000.0</v>
      </c>
      <c r="G406" s="413">
        <v>0.0</v>
      </c>
      <c r="H406" s="349" t="s">
        <v>6133</v>
      </c>
      <c r="I406" s="736" t="str">
        <f t="shared" si="8"/>
        <v>NOT PAID</v>
      </c>
      <c r="J406" s="402"/>
      <c r="K406" s="402"/>
      <c r="L406" s="402"/>
      <c r="M406" s="402"/>
      <c r="N406" s="402"/>
      <c r="O406" s="402"/>
      <c r="P406" s="402"/>
      <c r="Q406" s="402"/>
      <c r="R406" s="402"/>
      <c r="S406" s="402"/>
      <c r="T406" s="402"/>
      <c r="U406" s="402"/>
      <c r="V406" s="402"/>
      <c r="W406" s="402"/>
      <c r="X406" s="402"/>
      <c r="Y406" s="402"/>
      <c r="Z406" s="402"/>
    </row>
    <row r="407" ht="14.25" customHeight="1">
      <c r="A407" s="497">
        <v>45506.0</v>
      </c>
      <c r="B407" s="349" t="s">
        <v>5984</v>
      </c>
      <c r="C407" s="349" t="s">
        <v>5985</v>
      </c>
      <c r="D407" s="1032" t="s">
        <v>54</v>
      </c>
      <c r="E407" s="413" t="s">
        <v>2165</v>
      </c>
      <c r="F407" s="413">
        <v>300000.0</v>
      </c>
      <c r="G407" s="413">
        <v>0.0</v>
      </c>
      <c r="H407" s="349" t="s">
        <v>6134</v>
      </c>
      <c r="I407" s="736" t="str">
        <f t="shared" si="8"/>
        <v>NOT PAID</v>
      </c>
      <c r="J407" s="402"/>
      <c r="K407" s="402"/>
      <c r="L407" s="402"/>
      <c r="M407" s="402"/>
      <c r="N407" s="402"/>
      <c r="O407" s="402"/>
      <c r="P407" s="402"/>
      <c r="Q407" s="402"/>
      <c r="R407" s="402"/>
      <c r="S407" s="402"/>
      <c r="T407" s="402"/>
      <c r="U407" s="402"/>
      <c r="V407" s="402"/>
      <c r="W407" s="402"/>
      <c r="X407" s="402"/>
      <c r="Y407" s="402"/>
      <c r="Z407" s="402"/>
    </row>
    <row r="408" ht="14.25" customHeight="1">
      <c r="A408" s="497">
        <v>45506.0</v>
      </c>
      <c r="B408" s="349" t="s">
        <v>5628</v>
      </c>
      <c r="C408" s="349" t="s">
        <v>6135</v>
      </c>
      <c r="D408" s="1032" t="s">
        <v>54</v>
      </c>
      <c r="E408" s="413" t="s">
        <v>4114</v>
      </c>
      <c r="F408" s="413">
        <v>40261.0</v>
      </c>
      <c r="G408" s="403"/>
      <c r="H408" s="349" t="s">
        <v>6136</v>
      </c>
      <c r="I408" s="736" t="str">
        <f t="shared" si="8"/>
        <v>NOT PAID</v>
      </c>
      <c r="J408" s="402"/>
      <c r="K408" s="402"/>
      <c r="L408" s="402"/>
      <c r="M408" s="402"/>
      <c r="N408" s="402"/>
      <c r="O408" s="402"/>
      <c r="P408" s="402"/>
      <c r="Q408" s="402"/>
      <c r="R408" s="402"/>
      <c r="S408" s="402"/>
      <c r="T408" s="402"/>
      <c r="U408" s="402"/>
      <c r="V408" s="402"/>
      <c r="W408" s="402"/>
      <c r="X408" s="402"/>
      <c r="Y408" s="402"/>
      <c r="Z408" s="402"/>
    </row>
    <row r="409" ht="14.25" customHeight="1">
      <c r="A409" s="497">
        <v>45506.0</v>
      </c>
      <c r="B409" s="349" t="s">
        <v>5679</v>
      </c>
      <c r="C409" s="349" t="s">
        <v>6137</v>
      </c>
      <c r="D409" s="1032" t="s">
        <v>54</v>
      </c>
      <c r="E409" s="413" t="s">
        <v>4114</v>
      </c>
      <c r="F409" s="413">
        <v>25000.0</v>
      </c>
      <c r="G409" s="403"/>
      <c r="H409" s="349" t="s">
        <v>6138</v>
      </c>
      <c r="I409" s="736" t="str">
        <f t="shared" si="8"/>
        <v>NOT PAID</v>
      </c>
      <c r="J409" s="402"/>
      <c r="K409" s="402"/>
      <c r="L409" s="402"/>
      <c r="M409" s="402"/>
      <c r="N409" s="402"/>
      <c r="O409" s="402"/>
      <c r="P409" s="402"/>
      <c r="Q409" s="402"/>
      <c r="R409" s="402"/>
      <c r="S409" s="402"/>
      <c r="T409" s="402"/>
      <c r="U409" s="402"/>
      <c r="V409" s="402"/>
      <c r="W409" s="402"/>
      <c r="X409" s="402"/>
      <c r="Y409" s="402"/>
      <c r="Z409" s="402"/>
    </row>
    <row r="410" ht="14.25" customHeight="1">
      <c r="A410" s="497">
        <v>45506.0</v>
      </c>
      <c r="B410" s="349" t="s">
        <v>5727</v>
      </c>
      <c r="C410" s="349" t="s">
        <v>5728</v>
      </c>
      <c r="D410" s="1032" t="s">
        <v>54</v>
      </c>
      <c r="E410" s="413" t="s">
        <v>4114</v>
      </c>
      <c r="F410" s="413">
        <v>70000.0</v>
      </c>
      <c r="G410" s="403"/>
      <c r="H410" s="349" t="s">
        <v>6139</v>
      </c>
      <c r="I410" s="736" t="str">
        <f t="shared" si="8"/>
        <v>NOT PAID</v>
      </c>
      <c r="J410" s="402"/>
      <c r="K410" s="402"/>
      <c r="L410" s="402"/>
      <c r="M410" s="402"/>
      <c r="N410" s="402"/>
      <c r="O410" s="402"/>
      <c r="P410" s="402"/>
      <c r="Q410" s="402"/>
      <c r="R410" s="402"/>
      <c r="S410" s="402"/>
      <c r="T410" s="402"/>
      <c r="U410" s="402"/>
      <c r="V410" s="402"/>
      <c r="W410" s="402"/>
      <c r="X410" s="402"/>
      <c r="Y410" s="402"/>
      <c r="Z410" s="402"/>
    </row>
    <row r="411" ht="14.25" customHeight="1">
      <c r="A411" s="497">
        <v>45506.0</v>
      </c>
      <c r="B411" s="349" t="s">
        <v>5687</v>
      </c>
      <c r="C411" s="349" t="s">
        <v>5978</v>
      </c>
      <c r="D411" s="1032" t="s">
        <v>54</v>
      </c>
      <c r="E411" s="413" t="s">
        <v>4114</v>
      </c>
      <c r="F411" s="413">
        <v>96000.0</v>
      </c>
      <c r="G411" s="403"/>
      <c r="H411" s="349" t="s">
        <v>6140</v>
      </c>
      <c r="I411" s="736" t="str">
        <f t="shared" si="8"/>
        <v>NOT PAID</v>
      </c>
      <c r="J411" s="402"/>
      <c r="K411" s="402"/>
      <c r="L411" s="402"/>
      <c r="M411" s="402"/>
      <c r="N411" s="402"/>
      <c r="O411" s="402"/>
      <c r="P411" s="402"/>
      <c r="Q411" s="402"/>
      <c r="R411" s="402"/>
      <c r="S411" s="402"/>
      <c r="T411" s="402"/>
      <c r="U411" s="402"/>
      <c r="V411" s="402"/>
      <c r="W411" s="402"/>
      <c r="X411" s="402"/>
      <c r="Y411" s="402"/>
      <c r="Z411" s="402"/>
    </row>
    <row r="412" ht="14.25" customHeight="1">
      <c r="A412" s="497">
        <v>45506.0</v>
      </c>
      <c r="B412" s="349" t="s">
        <v>5700</v>
      </c>
      <c r="C412" s="349" t="s">
        <v>6039</v>
      </c>
      <c r="D412" s="1032" t="s">
        <v>54</v>
      </c>
      <c r="E412" s="413" t="s">
        <v>4114</v>
      </c>
      <c r="F412" s="413">
        <v>65000.0</v>
      </c>
      <c r="G412" s="403"/>
      <c r="H412" s="402"/>
      <c r="I412" s="736" t="str">
        <f t="shared" si="8"/>
        <v>NOT PAID</v>
      </c>
      <c r="J412" s="402"/>
      <c r="K412" s="402"/>
      <c r="L412" s="402"/>
      <c r="M412" s="402"/>
      <c r="N412" s="402"/>
      <c r="O412" s="402"/>
      <c r="P412" s="402"/>
      <c r="Q412" s="402"/>
      <c r="R412" s="402"/>
      <c r="S412" s="402"/>
      <c r="T412" s="402"/>
      <c r="U412" s="402"/>
      <c r="V412" s="402"/>
      <c r="W412" s="402"/>
      <c r="X412" s="402"/>
      <c r="Y412" s="402"/>
      <c r="Z412" s="402"/>
    </row>
    <row r="413" ht="14.25" customHeight="1">
      <c r="A413" s="497">
        <v>45506.0</v>
      </c>
      <c r="B413" s="1045" t="s">
        <v>6026</v>
      </c>
      <c r="C413" s="1045" t="s">
        <v>6027</v>
      </c>
      <c r="D413" s="467" t="s">
        <v>59</v>
      </c>
      <c r="E413" s="1052" t="s">
        <v>2165</v>
      </c>
      <c r="F413" s="1046">
        <v>313800.0</v>
      </c>
      <c r="G413" s="1036"/>
      <c r="H413" s="349" t="s">
        <v>6141</v>
      </c>
      <c r="I413" s="736" t="str">
        <f t="shared" si="8"/>
        <v>NOT PAID</v>
      </c>
      <c r="J413" s="402"/>
      <c r="K413" s="402"/>
      <c r="L413" s="402"/>
      <c r="M413" s="402"/>
      <c r="N413" s="402"/>
      <c r="O413" s="402"/>
      <c r="P413" s="402"/>
      <c r="Q413" s="402"/>
      <c r="R413" s="402"/>
      <c r="S413" s="402"/>
      <c r="T413" s="402"/>
      <c r="U413" s="402"/>
      <c r="V413" s="402"/>
      <c r="W413" s="402"/>
      <c r="X413" s="402"/>
      <c r="Y413" s="402"/>
      <c r="Z413" s="402"/>
    </row>
    <row r="414" ht="14.25" customHeight="1">
      <c r="A414" s="402"/>
      <c r="B414" s="402"/>
      <c r="C414" s="402"/>
      <c r="D414" s="1034"/>
      <c r="E414" s="403"/>
      <c r="F414" s="403"/>
      <c r="G414" s="403"/>
      <c r="H414" s="402"/>
      <c r="I414" s="736" t="str">
        <f t="shared" si="8"/>
        <v>FULLY PAID</v>
      </c>
      <c r="J414" s="402"/>
      <c r="K414" s="402"/>
      <c r="L414" s="402"/>
      <c r="M414" s="402"/>
      <c r="N414" s="402"/>
      <c r="O414" s="402"/>
      <c r="P414" s="402"/>
      <c r="Q414" s="402"/>
      <c r="R414" s="402"/>
      <c r="S414" s="402"/>
      <c r="T414" s="402"/>
      <c r="U414" s="402"/>
      <c r="V414" s="402"/>
      <c r="W414" s="402"/>
      <c r="X414" s="402"/>
      <c r="Y414" s="402"/>
      <c r="Z414" s="402"/>
    </row>
    <row r="415" ht="14.25" customHeight="1">
      <c r="A415" s="402"/>
      <c r="B415" s="402"/>
      <c r="C415" s="402"/>
      <c r="D415" s="1034"/>
      <c r="E415" s="403"/>
      <c r="F415" s="403"/>
      <c r="G415" s="403"/>
      <c r="H415" s="402"/>
      <c r="I415" s="736" t="str">
        <f t="shared" si="8"/>
        <v>FULLY PAID</v>
      </c>
      <c r="J415" s="402"/>
      <c r="K415" s="402"/>
      <c r="L415" s="402"/>
      <c r="M415" s="402"/>
      <c r="N415" s="402"/>
      <c r="O415" s="402"/>
      <c r="P415" s="402"/>
      <c r="Q415" s="402"/>
      <c r="R415" s="402"/>
      <c r="S415" s="402"/>
      <c r="T415" s="402"/>
      <c r="U415" s="402"/>
      <c r="V415" s="402"/>
      <c r="W415" s="402"/>
      <c r="X415" s="402"/>
      <c r="Y415" s="402"/>
      <c r="Z415" s="402"/>
    </row>
    <row r="416" ht="14.25" customHeight="1">
      <c r="A416" s="402"/>
      <c r="B416" s="402"/>
      <c r="C416" s="402"/>
      <c r="D416" s="1034"/>
      <c r="E416" s="403"/>
      <c r="F416" s="403"/>
      <c r="G416" s="403"/>
      <c r="H416" s="402"/>
      <c r="I416" s="736" t="str">
        <f t="shared" si="8"/>
        <v>FULLY PAID</v>
      </c>
      <c r="J416" s="402"/>
      <c r="K416" s="402"/>
      <c r="L416" s="402"/>
      <c r="M416" s="402"/>
      <c r="N416" s="402"/>
      <c r="O416" s="402"/>
      <c r="P416" s="402"/>
      <c r="Q416" s="402"/>
      <c r="R416" s="402"/>
      <c r="S416" s="402"/>
      <c r="T416" s="402"/>
      <c r="U416" s="402"/>
      <c r="V416" s="402"/>
      <c r="W416" s="402"/>
      <c r="X416" s="402"/>
      <c r="Y416" s="402"/>
      <c r="Z416" s="402"/>
    </row>
    <row r="417" ht="14.25" customHeight="1">
      <c r="A417" s="497">
        <v>45507.0</v>
      </c>
      <c r="B417" s="349" t="s">
        <v>6142</v>
      </c>
      <c r="C417" s="349" t="s">
        <v>6143</v>
      </c>
      <c r="D417" s="1032" t="s">
        <v>54</v>
      </c>
      <c r="E417" s="403"/>
      <c r="F417" s="413">
        <v>22827.0</v>
      </c>
      <c r="G417" s="413">
        <v>24303.0</v>
      </c>
      <c r="H417" s="349" t="s">
        <v>267</v>
      </c>
      <c r="I417" s="736" t="str">
        <f t="shared" si="8"/>
        <v>FULLY PAID</v>
      </c>
      <c r="J417" s="402"/>
      <c r="K417" s="402"/>
      <c r="L417" s="402"/>
      <c r="M417" s="402"/>
      <c r="N417" s="402"/>
      <c r="O417" s="402"/>
      <c r="P417" s="402"/>
      <c r="Q417" s="402"/>
      <c r="R417" s="402"/>
      <c r="S417" s="402"/>
      <c r="T417" s="402"/>
      <c r="U417" s="402"/>
      <c r="V417" s="402"/>
      <c r="W417" s="402"/>
      <c r="X417" s="402"/>
      <c r="Y417" s="402"/>
      <c r="Z417" s="402"/>
    </row>
    <row r="418" ht="14.25" customHeight="1">
      <c r="A418" s="497">
        <v>45507.0</v>
      </c>
      <c r="B418" s="349" t="s">
        <v>6144</v>
      </c>
      <c r="C418" s="349" t="s">
        <v>6145</v>
      </c>
      <c r="D418" s="1032" t="s">
        <v>54</v>
      </c>
      <c r="E418" s="403"/>
      <c r="F418" s="413">
        <v>32692.75</v>
      </c>
      <c r="G418" s="403"/>
      <c r="H418" s="455" t="s">
        <v>2389</v>
      </c>
      <c r="I418" s="736" t="str">
        <f t="shared" si="8"/>
        <v>NOT PAID</v>
      </c>
      <c r="J418" s="402"/>
      <c r="K418" s="402"/>
      <c r="L418" s="402"/>
      <c r="M418" s="402"/>
      <c r="N418" s="402"/>
      <c r="O418" s="402"/>
      <c r="P418" s="402"/>
      <c r="Q418" s="402"/>
      <c r="R418" s="402"/>
      <c r="S418" s="402"/>
      <c r="T418" s="402"/>
      <c r="U418" s="402"/>
      <c r="V418" s="402"/>
      <c r="W418" s="402"/>
      <c r="X418" s="402"/>
      <c r="Y418" s="402"/>
      <c r="Z418" s="402"/>
    </row>
    <row r="419" ht="14.25" customHeight="1">
      <c r="A419" s="497">
        <v>45507.0</v>
      </c>
      <c r="B419" s="349" t="s">
        <v>5872</v>
      </c>
      <c r="C419" s="349" t="s">
        <v>6146</v>
      </c>
      <c r="D419" s="1032" t="s">
        <v>54</v>
      </c>
      <c r="E419" s="403"/>
      <c r="F419" s="413">
        <v>33547.15</v>
      </c>
      <c r="G419" s="403"/>
      <c r="H419" s="1055" t="s">
        <v>6147</v>
      </c>
      <c r="I419" s="736" t="str">
        <f t="shared" si="8"/>
        <v>NOT PAID</v>
      </c>
      <c r="J419" s="402"/>
      <c r="K419" s="402"/>
      <c r="L419" s="402"/>
      <c r="M419" s="402"/>
      <c r="N419" s="402"/>
      <c r="O419" s="402"/>
      <c r="P419" s="402"/>
      <c r="Q419" s="402"/>
      <c r="R419" s="402"/>
      <c r="S419" s="402"/>
      <c r="T419" s="402"/>
      <c r="U419" s="402"/>
      <c r="V419" s="402"/>
      <c r="W419" s="402"/>
      <c r="X419" s="402"/>
      <c r="Y419" s="402"/>
      <c r="Z419" s="402"/>
    </row>
    <row r="420" ht="14.25" customHeight="1">
      <c r="A420" s="497">
        <v>45507.0</v>
      </c>
      <c r="B420" s="349" t="s">
        <v>6148</v>
      </c>
      <c r="C420" s="349" t="s">
        <v>6149</v>
      </c>
      <c r="D420" s="1032" t="s">
        <v>54</v>
      </c>
      <c r="E420" s="413" t="s">
        <v>5623</v>
      </c>
      <c r="F420" s="413">
        <v>43696.04</v>
      </c>
      <c r="G420" s="403"/>
      <c r="H420" s="349" t="s">
        <v>267</v>
      </c>
      <c r="I420" s="736" t="str">
        <f t="shared" si="8"/>
        <v>NOT PAID</v>
      </c>
      <c r="J420" s="402"/>
      <c r="K420" s="402"/>
      <c r="L420" s="402"/>
      <c r="M420" s="402"/>
      <c r="N420" s="402"/>
      <c r="O420" s="402"/>
      <c r="P420" s="402"/>
      <c r="Q420" s="402"/>
      <c r="R420" s="402"/>
      <c r="S420" s="402"/>
      <c r="T420" s="402"/>
      <c r="U420" s="402"/>
      <c r="V420" s="402"/>
      <c r="W420" s="402"/>
      <c r="X420" s="402"/>
      <c r="Y420" s="402"/>
      <c r="Z420" s="402"/>
    </row>
    <row r="421" ht="14.25" customHeight="1">
      <c r="A421" s="497">
        <v>45507.0</v>
      </c>
      <c r="B421" s="349" t="s">
        <v>6150</v>
      </c>
      <c r="C421" s="349" t="s">
        <v>6151</v>
      </c>
      <c r="D421" s="1032" t="s">
        <v>67</v>
      </c>
      <c r="E421" s="403"/>
      <c r="F421" s="413">
        <v>686647.0</v>
      </c>
      <c r="G421" s="413">
        <v>687057.0</v>
      </c>
      <c r="H421" s="402"/>
      <c r="I421" s="736" t="str">
        <f t="shared" si="8"/>
        <v>FULLY PAID</v>
      </c>
      <c r="J421" s="402"/>
      <c r="K421" s="402"/>
      <c r="L421" s="402"/>
      <c r="M421" s="402"/>
      <c r="N421" s="402"/>
      <c r="O421" s="402"/>
      <c r="P421" s="402"/>
      <c r="Q421" s="402"/>
      <c r="R421" s="402"/>
      <c r="S421" s="402"/>
      <c r="T421" s="402"/>
      <c r="U421" s="402"/>
      <c r="V421" s="402"/>
      <c r="W421" s="402"/>
      <c r="X421" s="402"/>
      <c r="Y421" s="402"/>
      <c r="Z421" s="402"/>
    </row>
    <row r="422" ht="14.25" customHeight="1">
      <c r="A422" s="497">
        <v>45507.0</v>
      </c>
      <c r="B422" s="349" t="s">
        <v>6152</v>
      </c>
      <c r="C422" s="349" t="s">
        <v>6153</v>
      </c>
      <c r="D422" s="1032" t="s">
        <v>54</v>
      </c>
      <c r="E422" s="403"/>
      <c r="F422" s="413">
        <v>34581.35</v>
      </c>
      <c r="G422" s="403"/>
      <c r="H422" s="455" t="s">
        <v>2389</v>
      </c>
      <c r="I422" s="736" t="str">
        <f t="shared" si="8"/>
        <v>NOT PAID</v>
      </c>
      <c r="J422" s="402"/>
      <c r="K422" s="402"/>
      <c r="L422" s="402"/>
      <c r="M422" s="402"/>
      <c r="N422" s="402"/>
      <c r="O422" s="402"/>
      <c r="P422" s="402"/>
      <c r="Q422" s="402"/>
      <c r="R422" s="402"/>
      <c r="S422" s="402"/>
      <c r="T422" s="402"/>
      <c r="U422" s="402"/>
      <c r="V422" s="402"/>
      <c r="W422" s="402"/>
      <c r="X422" s="402"/>
      <c r="Y422" s="402"/>
      <c r="Z422" s="402"/>
    </row>
    <row r="423" ht="14.25" customHeight="1">
      <c r="A423" s="497">
        <v>45507.0</v>
      </c>
      <c r="B423" s="349" t="s">
        <v>6154</v>
      </c>
      <c r="C423" s="349" t="s">
        <v>6155</v>
      </c>
      <c r="D423" s="1032" t="s">
        <v>54</v>
      </c>
      <c r="E423" s="403"/>
      <c r="F423" s="413">
        <v>18622.62</v>
      </c>
      <c r="G423" s="403"/>
      <c r="H423" s="402"/>
      <c r="I423" s="736" t="str">
        <f t="shared" si="8"/>
        <v>NOT PAID</v>
      </c>
      <c r="J423" s="402"/>
      <c r="K423" s="402"/>
      <c r="L423" s="402"/>
      <c r="M423" s="402"/>
      <c r="N423" s="402"/>
      <c r="O423" s="402"/>
      <c r="P423" s="402"/>
      <c r="Q423" s="402"/>
      <c r="R423" s="402"/>
      <c r="S423" s="402"/>
      <c r="T423" s="402"/>
      <c r="U423" s="402"/>
      <c r="V423" s="402"/>
      <c r="W423" s="402"/>
      <c r="X423" s="402"/>
      <c r="Y423" s="402"/>
      <c r="Z423" s="402"/>
    </row>
    <row r="424" ht="14.25" customHeight="1">
      <c r="A424" s="497">
        <v>45507.0</v>
      </c>
      <c r="B424" s="349" t="s">
        <v>6156</v>
      </c>
      <c r="C424" s="349" t="s">
        <v>5641</v>
      </c>
      <c r="D424" s="1032" t="s">
        <v>67</v>
      </c>
      <c r="E424" s="413" t="s">
        <v>6104</v>
      </c>
      <c r="F424" s="413">
        <v>1000000.0</v>
      </c>
      <c r="G424" s="413">
        <v>1000000.0</v>
      </c>
      <c r="H424" s="349" t="s">
        <v>267</v>
      </c>
      <c r="I424" s="736" t="str">
        <f t="shared" si="8"/>
        <v>FULLY PAID</v>
      </c>
      <c r="J424" s="402"/>
      <c r="K424" s="402"/>
      <c r="L424" s="402"/>
      <c r="M424" s="402"/>
      <c r="N424" s="402"/>
      <c r="O424" s="402"/>
      <c r="P424" s="402"/>
      <c r="Q424" s="402"/>
      <c r="R424" s="402"/>
      <c r="S424" s="402"/>
      <c r="T424" s="402"/>
      <c r="U424" s="402"/>
      <c r="V424" s="402"/>
      <c r="W424" s="402"/>
      <c r="X424" s="402"/>
      <c r="Y424" s="402"/>
      <c r="Z424" s="402"/>
    </row>
    <row r="425" ht="14.25" customHeight="1">
      <c r="A425" s="497">
        <v>45507.0</v>
      </c>
      <c r="B425" s="349" t="s">
        <v>6157</v>
      </c>
      <c r="C425" s="349" t="s">
        <v>6158</v>
      </c>
      <c r="D425" s="1032" t="s">
        <v>54</v>
      </c>
      <c r="E425" s="403"/>
      <c r="F425" s="413">
        <v>31167.0</v>
      </c>
      <c r="G425" s="403"/>
      <c r="H425" s="402"/>
      <c r="I425" s="736" t="str">
        <f t="shared" si="8"/>
        <v>NOT PAID</v>
      </c>
      <c r="J425" s="402"/>
      <c r="K425" s="402"/>
      <c r="L425" s="402"/>
      <c r="M425" s="402"/>
      <c r="N425" s="402"/>
      <c r="O425" s="402"/>
      <c r="P425" s="402"/>
      <c r="Q425" s="402"/>
      <c r="R425" s="402"/>
      <c r="S425" s="402"/>
      <c r="T425" s="402"/>
      <c r="U425" s="402"/>
      <c r="V425" s="402"/>
      <c r="W425" s="402"/>
      <c r="X425" s="402"/>
      <c r="Y425" s="402"/>
      <c r="Z425" s="402"/>
    </row>
    <row r="426" ht="14.25" customHeight="1">
      <c r="A426" s="497">
        <v>45507.0</v>
      </c>
      <c r="B426" s="349" t="s">
        <v>6159</v>
      </c>
      <c r="C426" s="349" t="s">
        <v>6158</v>
      </c>
      <c r="D426" s="1032" t="s">
        <v>346</v>
      </c>
      <c r="E426" s="403"/>
      <c r="F426" s="413">
        <v>6900.0</v>
      </c>
      <c r="G426" s="403"/>
      <c r="H426" s="402"/>
      <c r="I426" s="736" t="str">
        <f t="shared" si="8"/>
        <v>NOT PAID</v>
      </c>
      <c r="J426" s="402"/>
      <c r="K426" s="402"/>
      <c r="L426" s="402"/>
      <c r="M426" s="402"/>
      <c r="N426" s="402"/>
      <c r="O426" s="402"/>
      <c r="P426" s="402"/>
      <c r="Q426" s="402"/>
      <c r="R426" s="402"/>
      <c r="S426" s="402"/>
      <c r="T426" s="402"/>
      <c r="U426" s="402"/>
      <c r="V426" s="402"/>
      <c r="W426" s="402"/>
      <c r="X426" s="402"/>
      <c r="Y426" s="402"/>
      <c r="Z426" s="402"/>
    </row>
    <row r="427" ht="14.25" customHeight="1">
      <c r="A427" s="497">
        <v>45507.0</v>
      </c>
      <c r="B427" s="349" t="s">
        <v>6160</v>
      </c>
      <c r="C427" s="349" t="s">
        <v>6161</v>
      </c>
      <c r="D427" s="1032" t="s">
        <v>263</v>
      </c>
      <c r="E427" s="403"/>
      <c r="F427" s="413">
        <v>216620.0</v>
      </c>
      <c r="G427" s="403"/>
      <c r="H427" s="402"/>
      <c r="I427" s="736" t="str">
        <f t="shared" si="8"/>
        <v>NOT PAID</v>
      </c>
      <c r="J427" s="402"/>
      <c r="K427" s="402"/>
      <c r="L427" s="402"/>
      <c r="M427" s="402"/>
      <c r="N427" s="402"/>
      <c r="O427" s="402"/>
      <c r="P427" s="402"/>
      <c r="Q427" s="402"/>
      <c r="R427" s="402"/>
      <c r="S427" s="402"/>
      <c r="T427" s="402"/>
      <c r="U427" s="402"/>
      <c r="V427" s="402"/>
      <c r="W427" s="402"/>
      <c r="X427" s="402"/>
      <c r="Y427" s="402"/>
      <c r="Z427" s="402"/>
    </row>
    <row r="428" ht="14.25" customHeight="1">
      <c r="A428" s="497">
        <v>45507.0</v>
      </c>
      <c r="B428" s="349" t="s">
        <v>6118</v>
      </c>
      <c r="C428" s="349" t="s">
        <v>6119</v>
      </c>
      <c r="D428" s="1032" t="s">
        <v>54</v>
      </c>
      <c r="E428" s="403"/>
      <c r="F428" s="413">
        <v>16483.0</v>
      </c>
      <c r="G428" s="403"/>
      <c r="H428" s="402"/>
      <c r="I428" s="736" t="str">
        <f t="shared" si="8"/>
        <v>NOT PAID</v>
      </c>
      <c r="J428" s="402"/>
      <c r="K428" s="402"/>
      <c r="L428" s="402"/>
      <c r="M428" s="402"/>
      <c r="N428" s="402"/>
      <c r="O428" s="402"/>
      <c r="P428" s="402"/>
      <c r="Q428" s="402"/>
      <c r="R428" s="402"/>
      <c r="S428" s="402"/>
      <c r="T428" s="402"/>
      <c r="U428" s="402"/>
      <c r="V428" s="402"/>
      <c r="W428" s="402"/>
      <c r="X428" s="402"/>
      <c r="Y428" s="402"/>
      <c r="Z428" s="402"/>
    </row>
    <row r="429" ht="14.25" customHeight="1">
      <c r="A429" s="497">
        <v>45507.0</v>
      </c>
      <c r="B429" s="349" t="s">
        <v>6162</v>
      </c>
      <c r="C429" s="349" t="s">
        <v>6163</v>
      </c>
      <c r="D429" s="1032" t="s">
        <v>54</v>
      </c>
      <c r="E429" s="403"/>
      <c r="F429" s="413">
        <v>27099.9</v>
      </c>
      <c r="G429" s="403"/>
      <c r="H429" s="402"/>
      <c r="I429" s="736" t="str">
        <f t="shared" si="8"/>
        <v>NOT PAID</v>
      </c>
      <c r="J429" s="402"/>
      <c r="K429" s="402"/>
      <c r="L429" s="402"/>
      <c r="M429" s="402"/>
      <c r="N429" s="402"/>
      <c r="O429" s="402"/>
      <c r="P429" s="402"/>
      <c r="Q429" s="402"/>
      <c r="R429" s="402"/>
      <c r="S429" s="402"/>
      <c r="T429" s="402"/>
      <c r="U429" s="402"/>
      <c r="V429" s="402"/>
      <c r="W429" s="402"/>
      <c r="X429" s="402"/>
      <c r="Y429" s="402"/>
      <c r="Z429" s="402"/>
    </row>
    <row r="430" ht="14.25" customHeight="1">
      <c r="A430" s="497">
        <v>45507.0</v>
      </c>
      <c r="B430" s="349" t="s">
        <v>6164</v>
      </c>
      <c r="C430" s="349" t="s">
        <v>6007</v>
      </c>
      <c r="D430" s="1032" t="s">
        <v>346</v>
      </c>
      <c r="E430" s="403"/>
      <c r="F430" s="413">
        <v>7200.0</v>
      </c>
      <c r="G430" s="403"/>
      <c r="H430" s="402"/>
      <c r="I430" s="736" t="str">
        <f t="shared" si="8"/>
        <v>NOT PAID</v>
      </c>
      <c r="J430" s="402"/>
      <c r="K430" s="402"/>
      <c r="L430" s="402"/>
      <c r="M430" s="402"/>
      <c r="N430" s="402"/>
      <c r="O430" s="402"/>
      <c r="P430" s="402"/>
      <c r="Q430" s="402"/>
      <c r="R430" s="402"/>
      <c r="S430" s="402"/>
      <c r="T430" s="402"/>
      <c r="U430" s="402"/>
      <c r="V430" s="402"/>
      <c r="W430" s="402"/>
      <c r="X430" s="402"/>
      <c r="Y430" s="402"/>
      <c r="Z430" s="402"/>
    </row>
    <row r="431" ht="14.25" customHeight="1">
      <c r="A431" s="497">
        <v>45507.0</v>
      </c>
      <c r="B431" s="349" t="s">
        <v>6165</v>
      </c>
      <c r="C431" s="349" t="s">
        <v>6166</v>
      </c>
      <c r="D431" s="1032" t="s">
        <v>54</v>
      </c>
      <c r="E431" s="403"/>
      <c r="F431" s="413">
        <v>86659.95</v>
      </c>
      <c r="G431" s="403"/>
      <c r="H431" s="402"/>
      <c r="I431" s="736" t="str">
        <f t="shared" si="8"/>
        <v>NOT PAID</v>
      </c>
      <c r="J431" s="402"/>
      <c r="K431" s="402"/>
      <c r="L431" s="402"/>
      <c r="M431" s="402"/>
      <c r="N431" s="402"/>
      <c r="O431" s="402"/>
      <c r="P431" s="402"/>
      <c r="Q431" s="402"/>
      <c r="R431" s="402"/>
      <c r="S431" s="402"/>
      <c r="T431" s="402"/>
      <c r="U431" s="402"/>
      <c r="V431" s="402"/>
      <c r="W431" s="402"/>
      <c r="X431" s="402"/>
      <c r="Y431" s="402"/>
      <c r="Z431" s="402"/>
    </row>
    <row r="432" ht="14.25" customHeight="1">
      <c r="A432" s="497">
        <v>45507.0</v>
      </c>
      <c r="B432" s="349" t="s">
        <v>6167</v>
      </c>
      <c r="C432" s="349" t="s">
        <v>6168</v>
      </c>
      <c r="D432" s="1032" t="s">
        <v>75</v>
      </c>
      <c r="E432" s="403"/>
      <c r="F432" s="413">
        <v>632500.0</v>
      </c>
      <c r="G432" s="403"/>
      <c r="H432" s="402"/>
      <c r="I432" s="736" t="str">
        <f t="shared" si="8"/>
        <v>NOT PAID</v>
      </c>
      <c r="J432" s="402"/>
      <c r="K432" s="402"/>
      <c r="L432" s="402"/>
      <c r="M432" s="402"/>
      <c r="N432" s="402"/>
      <c r="O432" s="402"/>
      <c r="P432" s="402"/>
      <c r="Q432" s="402"/>
      <c r="R432" s="402"/>
      <c r="S432" s="402"/>
      <c r="T432" s="402"/>
      <c r="U432" s="402"/>
      <c r="V432" s="402"/>
      <c r="W432" s="402"/>
      <c r="X432" s="402"/>
      <c r="Y432" s="402"/>
      <c r="Z432" s="402"/>
    </row>
    <row r="433" ht="14.25" customHeight="1">
      <c r="A433" s="497">
        <v>45507.0</v>
      </c>
      <c r="B433" s="349" t="s">
        <v>6169</v>
      </c>
      <c r="C433" s="349" t="s">
        <v>6170</v>
      </c>
      <c r="D433" s="1032" t="s">
        <v>54</v>
      </c>
      <c r="E433" s="403"/>
      <c r="F433" s="413">
        <v>100000.0</v>
      </c>
      <c r="G433" s="403"/>
      <c r="H433" s="402"/>
      <c r="I433" s="736" t="str">
        <f t="shared" si="8"/>
        <v>NOT PAID</v>
      </c>
      <c r="J433" s="402"/>
      <c r="K433" s="402"/>
      <c r="L433" s="402"/>
      <c r="M433" s="402"/>
      <c r="N433" s="402"/>
      <c r="O433" s="402"/>
      <c r="P433" s="402"/>
      <c r="Q433" s="402"/>
      <c r="R433" s="402"/>
      <c r="S433" s="402"/>
      <c r="T433" s="402"/>
      <c r="U433" s="402"/>
      <c r="V433" s="402"/>
      <c r="W433" s="402"/>
      <c r="X433" s="402"/>
      <c r="Y433" s="402"/>
      <c r="Z433" s="402"/>
    </row>
    <row r="434" ht="14.25" customHeight="1">
      <c r="A434" s="497">
        <v>45507.0</v>
      </c>
      <c r="B434" s="349" t="s">
        <v>6171</v>
      </c>
      <c r="C434" s="349" t="s">
        <v>6172</v>
      </c>
      <c r="D434" s="1032" t="s">
        <v>54</v>
      </c>
      <c r="E434" s="403"/>
      <c r="F434" s="1051">
        <v>57120.0</v>
      </c>
      <c r="G434" s="403"/>
      <c r="H434" s="402"/>
      <c r="I434" s="736" t="str">
        <f t="shared" si="8"/>
        <v>NOT PAID</v>
      </c>
      <c r="J434" s="402"/>
      <c r="K434" s="402"/>
      <c r="L434" s="402"/>
      <c r="M434" s="402"/>
      <c r="N434" s="402"/>
      <c r="O434" s="402"/>
      <c r="P434" s="402"/>
      <c r="Q434" s="402"/>
      <c r="R434" s="402"/>
      <c r="S434" s="402"/>
      <c r="T434" s="402"/>
      <c r="U434" s="402"/>
      <c r="V434" s="402"/>
      <c r="W434" s="402"/>
      <c r="X434" s="402"/>
      <c r="Y434" s="402"/>
      <c r="Z434" s="402"/>
    </row>
    <row r="435" ht="14.25" customHeight="1">
      <c r="A435" s="497">
        <v>45507.0</v>
      </c>
      <c r="B435" s="349" t="s">
        <v>6173</v>
      </c>
      <c r="C435" s="349" t="s">
        <v>6174</v>
      </c>
      <c r="D435" s="1032" t="s">
        <v>54</v>
      </c>
      <c r="E435" s="403"/>
      <c r="F435" s="413">
        <v>121833.0</v>
      </c>
      <c r="G435" s="403"/>
      <c r="H435" s="402"/>
      <c r="I435" s="736" t="str">
        <f t="shared" si="8"/>
        <v>NOT PAID</v>
      </c>
      <c r="J435" s="402"/>
      <c r="K435" s="402"/>
      <c r="L435" s="402"/>
      <c r="M435" s="402"/>
      <c r="N435" s="402"/>
      <c r="O435" s="402"/>
      <c r="P435" s="402"/>
      <c r="Q435" s="402"/>
      <c r="R435" s="402"/>
      <c r="S435" s="402"/>
      <c r="T435" s="402"/>
      <c r="U435" s="402"/>
      <c r="V435" s="402"/>
      <c r="W435" s="402"/>
      <c r="X435" s="402"/>
      <c r="Y435" s="402"/>
      <c r="Z435" s="402"/>
    </row>
    <row r="436" ht="14.25" customHeight="1">
      <c r="A436" s="497">
        <v>45507.0</v>
      </c>
      <c r="B436" s="349" t="s">
        <v>6175</v>
      </c>
      <c r="C436" s="349" t="s">
        <v>6176</v>
      </c>
      <c r="D436" s="1032" t="s">
        <v>54</v>
      </c>
      <c r="E436" s="403"/>
      <c r="F436" s="1056">
        <v>10300.0</v>
      </c>
      <c r="G436" s="403"/>
      <c r="H436" s="402"/>
      <c r="I436" s="736" t="str">
        <f t="shared" si="8"/>
        <v>NOT PAID</v>
      </c>
      <c r="J436" s="402"/>
      <c r="K436" s="402"/>
      <c r="L436" s="402"/>
      <c r="M436" s="402"/>
      <c r="N436" s="402"/>
      <c r="O436" s="402"/>
      <c r="P436" s="402"/>
      <c r="Q436" s="402"/>
      <c r="R436" s="402"/>
      <c r="S436" s="402"/>
      <c r="T436" s="402"/>
      <c r="U436" s="402"/>
      <c r="V436" s="402"/>
      <c r="W436" s="402"/>
      <c r="X436" s="402"/>
      <c r="Y436" s="402"/>
      <c r="Z436" s="402"/>
    </row>
    <row r="437" ht="14.25" customHeight="1">
      <c r="A437" s="497">
        <v>45507.0</v>
      </c>
      <c r="B437" s="349" t="s">
        <v>6177</v>
      </c>
      <c r="C437" s="349" t="s">
        <v>6178</v>
      </c>
      <c r="D437" s="1032" t="s">
        <v>54</v>
      </c>
      <c r="E437" s="403"/>
      <c r="F437" s="413">
        <v>28667.0</v>
      </c>
      <c r="G437" s="403"/>
      <c r="H437" s="402"/>
      <c r="I437" s="736" t="str">
        <f t="shared" si="8"/>
        <v>NOT PAID</v>
      </c>
      <c r="J437" s="402"/>
      <c r="K437" s="402"/>
      <c r="L437" s="402"/>
      <c r="M437" s="402"/>
      <c r="N437" s="402"/>
      <c r="O437" s="402"/>
      <c r="P437" s="402"/>
      <c r="Q437" s="402"/>
      <c r="R437" s="402"/>
      <c r="S437" s="402"/>
      <c r="T437" s="402"/>
      <c r="U437" s="402"/>
      <c r="V437" s="402"/>
      <c r="W437" s="402"/>
      <c r="X437" s="402"/>
      <c r="Y437" s="402"/>
      <c r="Z437" s="402"/>
    </row>
    <row r="438" ht="14.25" customHeight="1">
      <c r="A438" s="497">
        <v>45507.0</v>
      </c>
      <c r="B438" s="349" t="s">
        <v>6179</v>
      </c>
      <c r="C438" s="349" t="s">
        <v>6178</v>
      </c>
      <c r="D438" s="678" t="s">
        <v>467</v>
      </c>
      <c r="E438" s="403"/>
      <c r="F438" s="413">
        <v>11349.0</v>
      </c>
      <c r="G438" s="413">
        <v>11349.0</v>
      </c>
      <c r="H438" s="349" t="s">
        <v>267</v>
      </c>
      <c r="I438" s="736" t="str">
        <f t="shared" si="8"/>
        <v>FULLY PAID</v>
      </c>
      <c r="J438" s="402"/>
      <c r="K438" s="402"/>
      <c r="L438" s="402"/>
      <c r="M438" s="402"/>
      <c r="N438" s="402"/>
      <c r="O438" s="402"/>
      <c r="P438" s="402"/>
      <c r="Q438" s="402"/>
      <c r="R438" s="402"/>
      <c r="S438" s="402"/>
      <c r="T438" s="402"/>
      <c r="U438" s="402"/>
      <c r="V438" s="402"/>
      <c r="W438" s="402"/>
      <c r="X438" s="402"/>
      <c r="Y438" s="402"/>
      <c r="Z438" s="402"/>
    </row>
    <row r="439" ht="14.25" customHeight="1">
      <c r="A439" s="402"/>
      <c r="B439" s="402"/>
      <c r="C439" s="424"/>
      <c r="D439" s="436"/>
      <c r="E439" s="403"/>
      <c r="F439" s="403"/>
      <c r="G439" s="403"/>
      <c r="H439" s="402"/>
      <c r="I439" s="736" t="str">
        <f t="shared" si="8"/>
        <v>FULLY PAID</v>
      </c>
      <c r="J439" s="402"/>
      <c r="K439" s="402"/>
      <c r="L439" s="402"/>
      <c r="M439" s="402"/>
      <c r="N439" s="402"/>
      <c r="O439" s="402"/>
      <c r="P439" s="402"/>
      <c r="Q439" s="402"/>
      <c r="R439" s="402"/>
      <c r="S439" s="402"/>
      <c r="T439" s="402"/>
      <c r="U439" s="402"/>
      <c r="V439" s="402"/>
      <c r="W439" s="402"/>
      <c r="X439" s="402"/>
      <c r="Y439" s="402"/>
      <c r="Z439" s="402"/>
    </row>
    <row r="440" ht="14.25" customHeight="1">
      <c r="A440" s="402"/>
      <c r="B440" s="402"/>
      <c r="C440" s="424" t="s">
        <v>797</v>
      </c>
      <c r="D440" s="436"/>
      <c r="E440" s="403"/>
      <c r="F440" s="403"/>
      <c r="G440" s="403"/>
      <c r="H440" s="402"/>
      <c r="I440" s="736" t="str">
        <f t="shared" si="8"/>
        <v>FULLY PAID</v>
      </c>
      <c r="J440" s="402"/>
      <c r="K440" s="402"/>
      <c r="L440" s="402"/>
      <c r="M440" s="402"/>
      <c r="N440" s="402"/>
      <c r="O440" s="402"/>
      <c r="P440" s="402"/>
      <c r="Q440" s="402"/>
      <c r="R440" s="402"/>
      <c r="S440" s="402"/>
      <c r="T440" s="402"/>
      <c r="U440" s="402"/>
      <c r="V440" s="402"/>
      <c r="W440" s="402"/>
      <c r="X440" s="402"/>
      <c r="Y440" s="402"/>
      <c r="Z440" s="402"/>
    </row>
    <row r="441" ht="14.25" customHeight="1">
      <c r="A441" s="406">
        <v>45507.0</v>
      </c>
      <c r="B441" s="755" t="s">
        <v>6071</v>
      </c>
      <c r="C441" s="755" t="s">
        <v>6129</v>
      </c>
      <c r="D441" s="668" t="s">
        <v>54</v>
      </c>
      <c r="E441" s="668" t="s">
        <v>2165</v>
      </c>
      <c r="F441" s="760">
        <v>60000.0</v>
      </c>
      <c r="G441" s="403"/>
      <c r="H441" s="349" t="s">
        <v>6180</v>
      </c>
      <c r="I441" s="736" t="str">
        <f t="shared" si="8"/>
        <v>NOT PAID</v>
      </c>
      <c r="J441" s="402"/>
      <c r="K441" s="402"/>
      <c r="L441" s="402"/>
      <c r="M441" s="402"/>
      <c r="N441" s="402"/>
      <c r="O441" s="402"/>
      <c r="P441" s="402"/>
      <c r="Q441" s="402"/>
      <c r="R441" s="402"/>
      <c r="S441" s="402"/>
      <c r="T441" s="402"/>
      <c r="U441" s="402"/>
      <c r="V441" s="402"/>
      <c r="W441" s="402"/>
      <c r="X441" s="402"/>
      <c r="Y441" s="402"/>
      <c r="Z441" s="402"/>
    </row>
    <row r="442" ht="14.25" customHeight="1">
      <c r="A442" s="406">
        <v>45507.0</v>
      </c>
      <c r="B442" s="755" t="s">
        <v>6181</v>
      </c>
      <c r="C442" s="755" t="s">
        <v>6131</v>
      </c>
      <c r="D442" s="668" t="s">
        <v>54</v>
      </c>
      <c r="E442" s="668" t="s">
        <v>2165</v>
      </c>
      <c r="F442" s="760">
        <v>70000.0</v>
      </c>
      <c r="G442" s="403"/>
      <c r="H442" s="349" t="s">
        <v>6182</v>
      </c>
      <c r="I442" s="736" t="str">
        <f t="shared" si="8"/>
        <v>NOT PAID</v>
      </c>
      <c r="J442" s="402"/>
      <c r="K442" s="402"/>
      <c r="L442" s="402"/>
      <c r="M442" s="402"/>
      <c r="N442" s="402"/>
      <c r="O442" s="402"/>
      <c r="P442" s="402"/>
      <c r="Q442" s="402"/>
      <c r="R442" s="402"/>
      <c r="S442" s="402"/>
      <c r="T442" s="402"/>
      <c r="U442" s="402"/>
      <c r="V442" s="402"/>
      <c r="W442" s="402"/>
      <c r="X442" s="402"/>
      <c r="Y442" s="402"/>
      <c r="Z442" s="402"/>
    </row>
    <row r="443" ht="14.25" customHeight="1">
      <c r="A443" s="406">
        <v>45507.0</v>
      </c>
      <c r="B443" s="755" t="s">
        <v>5984</v>
      </c>
      <c r="C443" s="755" t="s">
        <v>5985</v>
      </c>
      <c r="D443" s="668" t="s">
        <v>54</v>
      </c>
      <c r="E443" s="771" t="s">
        <v>2165</v>
      </c>
      <c r="F443" s="760">
        <v>300000.0</v>
      </c>
      <c r="G443" s="403"/>
      <c r="H443" s="349" t="s">
        <v>6183</v>
      </c>
      <c r="I443" s="736" t="str">
        <f t="shared" si="8"/>
        <v>NOT PAID</v>
      </c>
      <c r="J443" s="402"/>
      <c r="K443" s="402"/>
      <c r="L443" s="402"/>
      <c r="M443" s="402"/>
      <c r="N443" s="402"/>
      <c r="O443" s="402"/>
      <c r="P443" s="402"/>
      <c r="Q443" s="402"/>
      <c r="R443" s="402"/>
      <c r="S443" s="402"/>
      <c r="T443" s="402"/>
      <c r="U443" s="402"/>
      <c r="V443" s="402"/>
      <c r="W443" s="402"/>
      <c r="X443" s="402"/>
      <c r="Y443" s="402"/>
      <c r="Z443" s="402"/>
    </row>
    <row r="444" ht="18.75" customHeight="1">
      <c r="A444" s="406">
        <v>45507.0</v>
      </c>
      <c r="B444" s="436" t="s">
        <v>5628</v>
      </c>
      <c r="C444" s="436" t="s">
        <v>6184</v>
      </c>
      <c r="D444" s="668" t="s">
        <v>54</v>
      </c>
      <c r="E444" s="668" t="s">
        <v>4114</v>
      </c>
      <c r="F444" s="758">
        <v>40261.0</v>
      </c>
      <c r="G444" s="403"/>
      <c r="H444" s="402"/>
      <c r="I444" s="736" t="str">
        <f t="shared" si="8"/>
        <v>NOT PAID</v>
      </c>
      <c r="J444" s="402"/>
      <c r="K444" s="402"/>
      <c r="L444" s="402"/>
      <c r="M444" s="402"/>
      <c r="N444" s="402"/>
      <c r="O444" s="402"/>
      <c r="P444" s="402"/>
      <c r="Q444" s="402"/>
      <c r="R444" s="402"/>
      <c r="S444" s="402"/>
      <c r="T444" s="402"/>
      <c r="U444" s="402"/>
      <c r="V444" s="402"/>
      <c r="W444" s="402"/>
      <c r="X444" s="402"/>
      <c r="Y444" s="402"/>
      <c r="Z444" s="402"/>
    </row>
    <row r="445" ht="18.75" customHeight="1">
      <c r="A445" s="406">
        <v>45507.0</v>
      </c>
      <c r="B445" s="436" t="s">
        <v>6185</v>
      </c>
      <c r="C445" s="436" t="s">
        <v>6186</v>
      </c>
      <c r="D445" s="668" t="s">
        <v>54</v>
      </c>
      <c r="E445" s="668" t="s">
        <v>4114</v>
      </c>
      <c r="F445" s="778">
        <v>50000.0</v>
      </c>
      <c r="G445" s="403"/>
      <c r="H445" s="402"/>
      <c r="I445" s="736" t="str">
        <f t="shared" si="8"/>
        <v>NOT PAID</v>
      </c>
      <c r="J445" s="402"/>
      <c r="K445" s="402"/>
      <c r="L445" s="402"/>
      <c r="M445" s="402"/>
      <c r="N445" s="402"/>
      <c r="O445" s="402"/>
      <c r="P445" s="402"/>
      <c r="Q445" s="402"/>
      <c r="R445" s="402"/>
      <c r="S445" s="402"/>
      <c r="T445" s="402"/>
      <c r="U445" s="402"/>
      <c r="V445" s="402"/>
      <c r="W445" s="402"/>
      <c r="X445" s="402"/>
      <c r="Y445" s="402"/>
      <c r="Z445" s="402"/>
    </row>
    <row r="446" ht="18.0" customHeight="1">
      <c r="A446" s="406">
        <v>45507.0</v>
      </c>
      <c r="B446" s="436" t="s">
        <v>5679</v>
      </c>
      <c r="C446" s="436" t="s">
        <v>5730</v>
      </c>
      <c r="D446" s="668" t="s">
        <v>54</v>
      </c>
      <c r="E446" s="668" t="s">
        <v>4114</v>
      </c>
      <c r="F446" s="758">
        <v>25000.0</v>
      </c>
      <c r="G446" s="403"/>
      <c r="H446" s="402"/>
      <c r="I446" s="736" t="str">
        <f t="shared" si="8"/>
        <v>NOT PAID</v>
      </c>
      <c r="J446" s="402"/>
      <c r="K446" s="402"/>
      <c r="L446" s="402"/>
      <c r="M446" s="402"/>
      <c r="N446" s="402"/>
      <c r="O446" s="402"/>
      <c r="P446" s="402"/>
      <c r="Q446" s="402"/>
      <c r="R446" s="402"/>
      <c r="S446" s="402"/>
      <c r="T446" s="402"/>
      <c r="U446" s="402"/>
      <c r="V446" s="402"/>
      <c r="W446" s="402"/>
      <c r="X446" s="402"/>
      <c r="Y446" s="402"/>
      <c r="Z446" s="402"/>
    </row>
    <row r="447" ht="20.25" customHeight="1">
      <c r="A447" s="406">
        <v>45507.0</v>
      </c>
      <c r="B447" s="436" t="s">
        <v>5687</v>
      </c>
      <c r="C447" s="436" t="s">
        <v>5978</v>
      </c>
      <c r="D447" s="668" t="s">
        <v>54</v>
      </c>
      <c r="E447" s="668" t="s">
        <v>4114</v>
      </c>
      <c r="F447" s="758">
        <v>96000.0</v>
      </c>
      <c r="G447" s="403"/>
      <c r="H447" s="402"/>
      <c r="I447" s="736" t="str">
        <f t="shared" si="8"/>
        <v>NOT PAID</v>
      </c>
      <c r="J447" s="402"/>
      <c r="K447" s="402"/>
      <c r="L447" s="402"/>
      <c r="M447" s="402"/>
      <c r="N447" s="402"/>
      <c r="O447" s="402"/>
      <c r="P447" s="402"/>
      <c r="Q447" s="402"/>
      <c r="R447" s="402"/>
      <c r="S447" s="402"/>
      <c r="T447" s="402"/>
      <c r="U447" s="402"/>
      <c r="V447" s="402"/>
      <c r="W447" s="402"/>
      <c r="X447" s="402"/>
      <c r="Y447" s="402"/>
      <c r="Z447" s="402"/>
    </row>
    <row r="448" ht="18.75" customHeight="1">
      <c r="A448" s="406">
        <v>45507.0</v>
      </c>
      <c r="B448" s="436" t="s">
        <v>5700</v>
      </c>
      <c r="C448" s="436" t="s">
        <v>6039</v>
      </c>
      <c r="D448" s="668" t="s">
        <v>54</v>
      </c>
      <c r="E448" s="668" t="s">
        <v>4114</v>
      </c>
      <c r="F448" s="758">
        <v>65000.0</v>
      </c>
      <c r="G448" s="403"/>
      <c r="H448" s="402"/>
      <c r="I448" s="736" t="str">
        <f t="shared" si="8"/>
        <v>NOT PAID</v>
      </c>
      <c r="J448" s="402"/>
      <c r="K448" s="402"/>
      <c r="L448" s="402"/>
      <c r="M448" s="402"/>
      <c r="N448" s="402"/>
      <c r="O448" s="402"/>
      <c r="P448" s="402"/>
      <c r="Q448" s="402"/>
      <c r="R448" s="402"/>
      <c r="S448" s="402"/>
      <c r="T448" s="402"/>
      <c r="U448" s="402"/>
      <c r="V448" s="402"/>
      <c r="W448" s="402"/>
      <c r="X448" s="402"/>
      <c r="Y448" s="402"/>
      <c r="Z448" s="402"/>
    </row>
    <row r="449" ht="14.25" customHeight="1">
      <c r="A449" s="402"/>
      <c r="B449" s="402"/>
      <c r="C449" s="402"/>
      <c r="D449" s="1034"/>
      <c r="E449" s="403"/>
      <c r="F449" s="403"/>
      <c r="G449" s="403"/>
      <c r="H449" s="402"/>
      <c r="I449" s="736" t="str">
        <f t="shared" si="8"/>
        <v>FULLY PAID</v>
      </c>
      <c r="J449" s="402"/>
      <c r="K449" s="402"/>
      <c r="L449" s="402"/>
      <c r="M449" s="402"/>
      <c r="N449" s="402"/>
      <c r="O449" s="402"/>
      <c r="P449" s="402"/>
      <c r="Q449" s="402"/>
      <c r="R449" s="402"/>
      <c r="S449" s="402"/>
      <c r="T449" s="402"/>
      <c r="U449" s="402"/>
      <c r="V449" s="402"/>
      <c r="W449" s="402"/>
      <c r="X449" s="402"/>
      <c r="Y449" s="402"/>
      <c r="Z449" s="402"/>
    </row>
    <row r="450" ht="14.25" customHeight="1">
      <c r="A450" s="402"/>
      <c r="B450" s="402"/>
      <c r="C450" s="402"/>
      <c r="D450" s="1034"/>
      <c r="E450" s="403"/>
      <c r="F450" s="403"/>
      <c r="G450" s="403"/>
      <c r="H450" s="402"/>
      <c r="I450" s="736" t="str">
        <f t="shared" si="8"/>
        <v>FULLY PAID</v>
      </c>
      <c r="J450" s="402"/>
      <c r="K450" s="402"/>
      <c r="L450" s="402"/>
      <c r="M450" s="402"/>
      <c r="N450" s="402"/>
      <c r="O450" s="402"/>
      <c r="P450" s="402"/>
      <c r="Q450" s="402"/>
      <c r="R450" s="402"/>
      <c r="S450" s="402"/>
      <c r="T450" s="402"/>
      <c r="U450" s="402"/>
      <c r="V450" s="402"/>
      <c r="W450" s="402"/>
      <c r="X450" s="402"/>
      <c r="Y450" s="402"/>
      <c r="Z450" s="402"/>
    </row>
    <row r="451" ht="14.25" customHeight="1">
      <c r="A451" s="402"/>
      <c r="B451" s="402"/>
      <c r="C451" s="402"/>
      <c r="D451" s="1034"/>
      <c r="E451" s="403"/>
      <c r="F451" s="403"/>
      <c r="G451" s="403"/>
      <c r="H451" s="402"/>
      <c r="I451" s="736" t="str">
        <f t="shared" si="8"/>
        <v>FULLY PAID</v>
      </c>
      <c r="J451" s="402"/>
      <c r="K451" s="402"/>
      <c r="L451" s="402"/>
      <c r="M451" s="402"/>
      <c r="N451" s="402"/>
      <c r="O451" s="402"/>
      <c r="P451" s="402"/>
      <c r="Q451" s="402"/>
      <c r="R451" s="402"/>
      <c r="S451" s="402"/>
      <c r="T451" s="402"/>
      <c r="U451" s="402"/>
      <c r="V451" s="402"/>
      <c r="W451" s="402"/>
      <c r="X451" s="402"/>
      <c r="Y451" s="402"/>
      <c r="Z451" s="402"/>
    </row>
    <row r="452" ht="14.25" customHeight="1">
      <c r="A452" s="497">
        <v>45509.0</v>
      </c>
      <c r="B452" s="349" t="s">
        <v>6187</v>
      </c>
      <c r="C452" s="349" t="s">
        <v>6188</v>
      </c>
      <c r="D452" s="1032" t="s">
        <v>54</v>
      </c>
      <c r="E452" s="413" t="s">
        <v>5623</v>
      </c>
      <c r="F452" s="413">
        <v>18873.37</v>
      </c>
      <c r="G452" s="403"/>
      <c r="H452" s="349" t="s">
        <v>267</v>
      </c>
      <c r="I452" s="736" t="str">
        <f t="shared" si="8"/>
        <v>NOT PAID</v>
      </c>
      <c r="J452" s="402"/>
      <c r="K452" s="402"/>
      <c r="L452" s="402"/>
      <c r="M452" s="402"/>
      <c r="N452" s="402"/>
      <c r="O452" s="402"/>
      <c r="P452" s="402"/>
      <c r="Q452" s="402"/>
      <c r="R452" s="402"/>
      <c r="S452" s="402"/>
      <c r="T452" s="402"/>
      <c r="U452" s="402"/>
      <c r="V452" s="402"/>
      <c r="W452" s="402"/>
      <c r="X452" s="402"/>
      <c r="Y452" s="402"/>
      <c r="Z452" s="402"/>
    </row>
    <row r="453" ht="14.25" customHeight="1">
      <c r="A453" s="497">
        <v>45509.0</v>
      </c>
      <c r="B453" s="349" t="s">
        <v>6189</v>
      </c>
      <c r="C453" s="349" t="s">
        <v>5994</v>
      </c>
      <c r="D453" s="1032" t="s">
        <v>54</v>
      </c>
      <c r="E453" s="413" t="s">
        <v>5623</v>
      </c>
      <c r="F453" s="413">
        <v>26903.68</v>
      </c>
      <c r="G453" s="403"/>
      <c r="H453" s="349" t="s">
        <v>267</v>
      </c>
      <c r="I453" s="736" t="str">
        <f t="shared" si="8"/>
        <v>NOT PAID</v>
      </c>
      <c r="J453" s="402"/>
      <c r="K453" s="402"/>
      <c r="L453" s="402"/>
      <c r="M453" s="402"/>
      <c r="N453" s="402"/>
      <c r="O453" s="402"/>
      <c r="P453" s="402"/>
      <c r="Q453" s="402"/>
      <c r="R453" s="402"/>
      <c r="S453" s="402"/>
      <c r="T453" s="402"/>
      <c r="U453" s="402"/>
      <c r="V453" s="402"/>
      <c r="W453" s="402"/>
      <c r="X453" s="402"/>
      <c r="Y453" s="402"/>
      <c r="Z453" s="402"/>
    </row>
    <row r="454" ht="14.25" customHeight="1">
      <c r="A454" s="497">
        <v>45509.0</v>
      </c>
      <c r="B454" s="349" t="s">
        <v>6190</v>
      </c>
      <c r="C454" s="349" t="s">
        <v>6034</v>
      </c>
      <c r="D454" s="1032" t="s">
        <v>54</v>
      </c>
      <c r="E454" s="413" t="s">
        <v>5694</v>
      </c>
      <c r="F454" s="413">
        <v>31819.33</v>
      </c>
      <c r="G454" s="403"/>
      <c r="H454" s="455" t="s">
        <v>6191</v>
      </c>
      <c r="I454" s="736" t="str">
        <f t="shared" si="8"/>
        <v>NOT PAID</v>
      </c>
      <c r="J454" s="402"/>
      <c r="K454" s="402"/>
      <c r="L454" s="402"/>
      <c r="M454" s="402"/>
      <c r="N454" s="402"/>
      <c r="O454" s="402"/>
      <c r="P454" s="402"/>
      <c r="Q454" s="402"/>
      <c r="R454" s="402"/>
      <c r="S454" s="402"/>
      <c r="T454" s="402"/>
      <c r="U454" s="402"/>
      <c r="V454" s="402"/>
      <c r="W454" s="402"/>
      <c r="X454" s="402"/>
      <c r="Y454" s="402"/>
      <c r="Z454" s="402"/>
    </row>
    <row r="455" ht="14.25" customHeight="1">
      <c r="A455" s="497">
        <v>45509.0</v>
      </c>
      <c r="B455" s="349" t="s">
        <v>6192</v>
      </c>
      <c r="C455" s="349" t="s">
        <v>6193</v>
      </c>
      <c r="D455" s="1032" t="s">
        <v>54</v>
      </c>
      <c r="E455" s="413" t="s">
        <v>5694</v>
      </c>
      <c r="F455" s="413">
        <v>31180.9</v>
      </c>
      <c r="G455" s="403"/>
      <c r="H455" s="455" t="s">
        <v>6191</v>
      </c>
      <c r="I455" s="736" t="str">
        <f t="shared" si="8"/>
        <v>NOT PAID</v>
      </c>
      <c r="J455" s="402"/>
      <c r="K455" s="402"/>
      <c r="L455" s="402"/>
      <c r="M455" s="402"/>
      <c r="N455" s="402"/>
      <c r="O455" s="402"/>
      <c r="P455" s="402"/>
      <c r="Q455" s="402"/>
      <c r="R455" s="402"/>
      <c r="S455" s="402"/>
      <c r="T455" s="402"/>
      <c r="U455" s="402"/>
      <c r="V455" s="402"/>
      <c r="W455" s="402"/>
      <c r="X455" s="402"/>
      <c r="Y455" s="402"/>
      <c r="Z455" s="402"/>
    </row>
    <row r="456" ht="14.25" customHeight="1">
      <c r="A456" s="497">
        <v>45509.0</v>
      </c>
      <c r="B456" s="349" t="s">
        <v>6194</v>
      </c>
      <c r="C456" s="349" t="s">
        <v>6195</v>
      </c>
      <c r="D456" s="1032" t="s">
        <v>54</v>
      </c>
      <c r="E456" s="413" t="s">
        <v>5623</v>
      </c>
      <c r="F456" s="413">
        <v>31188.41</v>
      </c>
      <c r="G456" s="403"/>
      <c r="H456" s="349" t="s">
        <v>6196</v>
      </c>
      <c r="I456" s="736" t="str">
        <f t="shared" si="8"/>
        <v>NOT PAID</v>
      </c>
      <c r="J456" s="402"/>
      <c r="K456" s="402"/>
      <c r="L456" s="402"/>
      <c r="M456" s="402"/>
      <c r="N456" s="402"/>
      <c r="O456" s="402"/>
      <c r="P456" s="402"/>
      <c r="Q456" s="402"/>
      <c r="R456" s="402"/>
      <c r="S456" s="402"/>
      <c r="T456" s="402"/>
      <c r="U456" s="402"/>
      <c r="V456" s="402"/>
      <c r="W456" s="402"/>
      <c r="X456" s="402"/>
      <c r="Y456" s="402"/>
      <c r="Z456" s="402"/>
    </row>
    <row r="457" ht="14.25" customHeight="1">
      <c r="A457" s="497">
        <v>45509.0</v>
      </c>
      <c r="B457" s="349" t="s">
        <v>6197</v>
      </c>
      <c r="C457" s="349" t="s">
        <v>6198</v>
      </c>
      <c r="D457" s="1032" t="s">
        <v>54</v>
      </c>
      <c r="E457" s="403"/>
      <c r="F457" s="413">
        <v>14502.21</v>
      </c>
      <c r="G457" s="403"/>
      <c r="H457" s="349" t="s">
        <v>267</v>
      </c>
      <c r="I457" s="736" t="str">
        <f t="shared" si="8"/>
        <v>NOT PAID</v>
      </c>
      <c r="J457" s="402"/>
      <c r="K457" s="402"/>
      <c r="L457" s="402"/>
      <c r="M457" s="402"/>
      <c r="N457" s="402"/>
      <c r="O457" s="402"/>
      <c r="P457" s="402"/>
      <c r="Q457" s="402"/>
      <c r="R457" s="402"/>
      <c r="S457" s="402"/>
      <c r="T457" s="402"/>
      <c r="U457" s="402"/>
      <c r="V457" s="402"/>
      <c r="W457" s="402"/>
      <c r="X457" s="402"/>
      <c r="Y457" s="402"/>
      <c r="Z457" s="402"/>
    </row>
    <row r="458" ht="14.25" customHeight="1">
      <c r="A458" s="497">
        <v>45509.0</v>
      </c>
      <c r="B458" s="349" t="s">
        <v>6199</v>
      </c>
      <c r="C458" s="349" t="s">
        <v>6198</v>
      </c>
      <c r="D458" s="1032" t="s">
        <v>346</v>
      </c>
      <c r="E458" s="413" t="s">
        <v>5694</v>
      </c>
      <c r="F458" s="413">
        <v>6602.95</v>
      </c>
      <c r="G458" s="413">
        <v>0.0</v>
      </c>
      <c r="H458" s="349" t="s">
        <v>267</v>
      </c>
      <c r="I458" s="736" t="str">
        <f t="shared" si="8"/>
        <v>NOT PAID</v>
      </c>
      <c r="J458" s="402"/>
      <c r="K458" s="402"/>
      <c r="L458" s="402"/>
      <c r="M458" s="402"/>
      <c r="N458" s="402"/>
      <c r="O458" s="402"/>
      <c r="P458" s="402"/>
      <c r="Q458" s="402"/>
      <c r="R458" s="402"/>
      <c r="S458" s="402"/>
      <c r="T458" s="402"/>
      <c r="U458" s="402"/>
      <c r="V458" s="402"/>
      <c r="W458" s="402"/>
      <c r="X458" s="402"/>
      <c r="Y458" s="402"/>
      <c r="Z458" s="402"/>
    </row>
    <row r="459" ht="14.25" customHeight="1">
      <c r="A459" s="497">
        <v>45509.0</v>
      </c>
      <c r="B459" s="349" t="s">
        <v>6200</v>
      </c>
      <c r="C459" s="349" t="s">
        <v>6201</v>
      </c>
      <c r="D459" s="1032" t="s">
        <v>54</v>
      </c>
      <c r="E459" s="403"/>
      <c r="F459" s="413">
        <v>15334.0</v>
      </c>
      <c r="G459" s="403"/>
      <c r="H459" s="402"/>
      <c r="I459" s="736" t="str">
        <f t="shared" si="8"/>
        <v>NOT PAID</v>
      </c>
      <c r="J459" s="402"/>
      <c r="K459" s="402"/>
      <c r="L459" s="402"/>
      <c r="M459" s="402"/>
      <c r="N459" s="402"/>
      <c r="O459" s="402"/>
      <c r="P459" s="402"/>
      <c r="Q459" s="402"/>
      <c r="R459" s="402"/>
      <c r="S459" s="402"/>
      <c r="T459" s="402"/>
      <c r="U459" s="402"/>
      <c r="V459" s="402"/>
      <c r="W459" s="402"/>
      <c r="X459" s="402"/>
      <c r="Y459" s="402"/>
      <c r="Z459" s="402"/>
    </row>
    <row r="460" ht="14.25" customHeight="1">
      <c r="A460" s="497">
        <v>45509.0</v>
      </c>
      <c r="B460" s="349" t="s">
        <v>6202</v>
      </c>
      <c r="C460" s="349" t="s">
        <v>6203</v>
      </c>
      <c r="D460" s="1032" t="s">
        <v>54</v>
      </c>
      <c r="E460" s="403"/>
      <c r="F460" s="413">
        <v>79956.25</v>
      </c>
      <c r="G460" s="403"/>
      <c r="H460" s="402"/>
      <c r="I460" s="736" t="str">
        <f t="shared" si="8"/>
        <v>NOT PAID</v>
      </c>
      <c r="J460" s="402"/>
      <c r="K460" s="402"/>
      <c r="L460" s="402"/>
      <c r="M460" s="402"/>
      <c r="N460" s="402"/>
      <c r="O460" s="402"/>
      <c r="P460" s="402"/>
      <c r="Q460" s="402"/>
      <c r="R460" s="402"/>
      <c r="S460" s="402"/>
      <c r="T460" s="402"/>
      <c r="U460" s="402"/>
      <c r="V460" s="402"/>
      <c r="W460" s="402"/>
      <c r="X460" s="402"/>
      <c r="Y460" s="402"/>
      <c r="Z460" s="402"/>
    </row>
    <row r="461" ht="14.25" customHeight="1">
      <c r="A461" s="497">
        <v>45509.0</v>
      </c>
      <c r="B461" s="349" t="s">
        <v>6204</v>
      </c>
      <c r="C461" s="349" t="s">
        <v>6205</v>
      </c>
      <c r="D461" s="1032" t="s">
        <v>54</v>
      </c>
      <c r="E461" s="413" t="s">
        <v>5623</v>
      </c>
      <c r="F461" s="413">
        <v>22199.39</v>
      </c>
      <c r="G461" s="403"/>
      <c r="H461" s="349" t="s">
        <v>6206</v>
      </c>
      <c r="I461" s="736" t="str">
        <f t="shared" si="8"/>
        <v>NOT PAID</v>
      </c>
      <c r="J461" s="402"/>
      <c r="K461" s="402"/>
      <c r="L461" s="402"/>
      <c r="M461" s="402"/>
      <c r="N461" s="402"/>
      <c r="O461" s="402"/>
      <c r="P461" s="402"/>
      <c r="Q461" s="402"/>
      <c r="R461" s="402"/>
      <c r="S461" s="402"/>
      <c r="T461" s="402"/>
      <c r="U461" s="402"/>
      <c r="V461" s="402"/>
      <c r="W461" s="402"/>
      <c r="X461" s="402"/>
      <c r="Y461" s="402"/>
      <c r="Z461" s="402"/>
    </row>
    <row r="462" ht="14.25" customHeight="1">
      <c r="A462" s="497">
        <v>45509.0</v>
      </c>
      <c r="B462" s="349" t="s">
        <v>6207</v>
      </c>
      <c r="C462" s="349" t="s">
        <v>6208</v>
      </c>
      <c r="D462" s="1032" t="s">
        <v>54</v>
      </c>
      <c r="E462" s="403"/>
      <c r="F462" s="413">
        <v>35032.0</v>
      </c>
      <c r="G462" s="403"/>
      <c r="H462" s="402"/>
      <c r="I462" s="736" t="str">
        <f t="shared" si="8"/>
        <v>NOT PAID</v>
      </c>
      <c r="J462" s="402"/>
      <c r="K462" s="402"/>
      <c r="L462" s="402"/>
      <c r="M462" s="402"/>
      <c r="N462" s="402"/>
      <c r="O462" s="402"/>
      <c r="P462" s="402"/>
      <c r="Q462" s="402"/>
      <c r="R462" s="402"/>
      <c r="S462" s="402"/>
      <c r="T462" s="402"/>
      <c r="U462" s="402"/>
      <c r="V462" s="402"/>
      <c r="W462" s="402"/>
      <c r="X462" s="402"/>
      <c r="Y462" s="402"/>
      <c r="Z462" s="402"/>
    </row>
    <row r="463" ht="14.25" customHeight="1">
      <c r="A463" s="497">
        <v>45509.0</v>
      </c>
      <c r="B463" s="349" t="s">
        <v>6209</v>
      </c>
      <c r="C463" s="349" t="s">
        <v>6210</v>
      </c>
      <c r="D463" s="1032" t="s">
        <v>54</v>
      </c>
      <c r="E463" s="413" t="s">
        <v>5694</v>
      </c>
      <c r="F463" s="413">
        <v>21598.07</v>
      </c>
      <c r="G463" s="413">
        <v>25000.0</v>
      </c>
      <c r="H463" s="349" t="s">
        <v>267</v>
      </c>
      <c r="I463" s="736" t="str">
        <f t="shared" si="8"/>
        <v>FULLY PAID</v>
      </c>
      <c r="J463" s="402"/>
      <c r="K463" s="402"/>
      <c r="L463" s="402"/>
      <c r="M463" s="402"/>
      <c r="N463" s="402"/>
      <c r="O463" s="402"/>
      <c r="P463" s="402"/>
      <c r="Q463" s="402"/>
      <c r="R463" s="402"/>
      <c r="S463" s="402"/>
      <c r="T463" s="402"/>
      <c r="U463" s="402"/>
      <c r="V463" s="402"/>
      <c r="W463" s="402"/>
      <c r="X463" s="402"/>
      <c r="Y463" s="402"/>
      <c r="Z463" s="402"/>
    </row>
    <row r="464" ht="14.25" customHeight="1">
      <c r="A464" s="1057">
        <v>45509.0</v>
      </c>
      <c r="B464" s="1058" t="s">
        <v>6211</v>
      </c>
      <c r="C464" s="1058" t="s">
        <v>6212</v>
      </c>
      <c r="D464" s="1059" t="s">
        <v>54</v>
      </c>
      <c r="E464" s="1060"/>
      <c r="F464" s="1061">
        <v>56255.9</v>
      </c>
      <c r="G464" s="25">
        <v>56258.0</v>
      </c>
      <c r="H464" s="349" t="s">
        <v>267</v>
      </c>
      <c r="I464" s="736" t="str">
        <f t="shared" si="8"/>
        <v>FULLY PAID</v>
      </c>
      <c r="J464" s="1062"/>
      <c r="K464" s="1062"/>
      <c r="L464" s="1062"/>
      <c r="M464" s="1062"/>
      <c r="N464" s="1062"/>
      <c r="O464" s="1062"/>
      <c r="P464" s="1062"/>
      <c r="Q464" s="1062"/>
      <c r="R464" s="1062"/>
      <c r="S464" s="1062"/>
      <c r="T464" s="1062"/>
      <c r="U464" s="1062"/>
      <c r="V464" s="1062"/>
      <c r="W464" s="1062"/>
      <c r="X464" s="1062"/>
      <c r="Y464" s="1062"/>
      <c r="Z464" s="1062"/>
    </row>
    <row r="465" ht="14.25" customHeight="1">
      <c r="A465" s="497">
        <v>45509.0</v>
      </c>
      <c r="B465" s="349" t="s">
        <v>6213</v>
      </c>
      <c r="C465" s="349" t="s">
        <v>6214</v>
      </c>
      <c r="D465" s="1032" t="s">
        <v>54</v>
      </c>
      <c r="E465" s="413" t="s">
        <v>5623</v>
      </c>
      <c r="F465" s="413">
        <v>24380.04</v>
      </c>
      <c r="G465" s="403"/>
      <c r="H465" s="349" t="s">
        <v>267</v>
      </c>
      <c r="I465" s="736" t="str">
        <f t="shared" si="8"/>
        <v>NOT PAID</v>
      </c>
      <c r="J465" s="402"/>
      <c r="K465" s="402"/>
      <c r="L465" s="402"/>
      <c r="M465" s="402"/>
      <c r="N465" s="402"/>
      <c r="O465" s="402"/>
      <c r="P465" s="402"/>
      <c r="Q465" s="402"/>
      <c r="R465" s="402"/>
      <c r="S465" s="402"/>
      <c r="T465" s="402"/>
      <c r="U465" s="402"/>
      <c r="V465" s="402"/>
      <c r="W465" s="402"/>
      <c r="X465" s="402"/>
      <c r="Y465" s="402"/>
      <c r="Z465" s="402"/>
    </row>
    <row r="466" ht="14.25" customHeight="1">
      <c r="A466" s="497">
        <v>45509.0</v>
      </c>
      <c r="B466" s="349" t="s">
        <v>6067</v>
      </c>
      <c r="C466" s="349" t="s">
        <v>6068</v>
      </c>
      <c r="D466" s="1032" t="s">
        <v>54</v>
      </c>
      <c r="E466" s="413" t="s">
        <v>5623</v>
      </c>
      <c r="F466" s="413">
        <v>47191.96</v>
      </c>
      <c r="G466" s="403"/>
      <c r="H466" s="349" t="s">
        <v>6215</v>
      </c>
      <c r="I466" s="736" t="str">
        <f t="shared" si="8"/>
        <v>NOT PAID</v>
      </c>
      <c r="J466" s="402"/>
      <c r="K466" s="402"/>
      <c r="L466" s="402"/>
      <c r="M466" s="402"/>
      <c r="N466" s="402"/>
      <c r="O466" s="402"/>
      <c r="P466" s="402"/>
      <c r="Q466" s="402"/>
      <c r="R466" s="402"/>
      <c r="S466" s="402"/>
      <c r="T466" s="402"/>
      <c r="U466" s="402"/>
      <c r="V466" s="402"/>
      <c r="W466" s="402"/>
      <c r="X466" s="402"/>
      <c r="Y466" s="402"/>
      <c r="Z466" s="402"/>
    </row>
    <row r="467" ht="14.25" customHeight="1">
      <c r="A467" s="497">
        <v>45509.0</v>
      </c>
      <c r="B467" s="349" t="s">
        <v>6216</v>
      </c>
      <c r="C467" s="349" t="s">
        <v>6217</v>
      </c>
      <c r="D467" s="1032" t="s">
        <v>54</v>
      </c>
      <c r="E467" s="403"/>
      <c r="F467" s="413">
        <v>68361.26</v>
      </c>
      <c r="G467" s="413">
        <v>68453.0</v>
      </c>
      <c r="H467" s="349" t="s">
        <v>267</v>
      </c>
      <c r="I467" s="736" t="str">
        <f t="shared" si="8"/>
        <v>FULLY PAID</v>
      </c>
      <c r="J467" s="402"/>
      <c r="K467" s="402"/>
      <c r="L467" s="402"/>
      <c r="M467" s="402"/>
      <c r="N467" s="402"/>
      <c r="O467" s="402"/>
      <c r="P467" s="402"/>
      <c r="Q467" s="402"/>
      <c r="R467" s="402"/>
      <c r="S467" s="402"/>
      <c r="T467" s="402"/>
      <c r="U467" s="402"/>
      <c r="V467" s="402"/>
      <c r="W467" s="402"/>
      <c r="X467" s="402"/>
      <c r="Y467" s="402"/>
      <c r="Z467" s="402"/>
    </row>
    <row r="468" ht="14.25" customHeight="1">
      <c r="A468" s="497">
        <v>45509.0</v>
      </c>
      <c r="B468" s="349" t="s">
        <v>6218</v>
      </c>
      <c r="C468" s="349" t="s">
        <v>6219</v>
      </c>
      <c r="D468" s="1032" t="s">
        <v>54</v>
      </c>
      <c r="E468" s="403"/>
      <c r="F468" s="413">
        <v>55405.96</v>
      </c>
      <c r="G468" s="403"/>
      <c r="H468" s="349" t="s">
        <v>6220</v>
      </c>
      <c r="I468" s="736" t="str">
        <f t="shared" si="8"/>
        <v>NOT PAID</v>
      </c>
      <c r="J468" s="402"/>
      <c r="K468" s="402"/>
      <c r="L468" s="402"/>
      <c r="M468" s="402"/>
      <c r="N468" s="402"/>
      <c r="O468" s="402"/>
      <c r="P468" s="402"/>
      <c r="Q468" s="402"/>
      <c r="R468" s="402"/>
      <c r="S468" s="402"/>
      <c r="T468" s="402"/>
      <c r="U468" s="402"/>
      <c r="V468" s="402"/>
      <c r="W468" s="402"/>
      <c r="X468" s="402"/>
      <c r="Y468" s="402"/>
      <c r="Z468" s="402"/>
    </row>
    <row r="469" ht="14.25" customHeight="1">
      <c r="A469" s="497">
        <v>45509.0</v>
      </c>
      <c r="B469" s="349" t="s">
        <v>6221</v>
      </c>
      <c r="C469" s="349" t="s">
        <v>6222</v>
      </c>
      <c r="D469" s="1032" t="s">
        <v>54</v>
      </c>
      <c r="E469" s="403"/>
      <c r="F469" s="413">
        <v>33140.07</v>
      </c>
      <c r="G469" s="403"/>
      <c r="H469" s="402"/>
      <c r="I469" s="736" t="str">
        <f t="shared" si="8"/>
        <v>NOT PAID</v>
      </c>
      <c r="J469" s="402"/>
      <c r="K469" s="402"/>
      <c r="L469" s="402"/>
      <c r="M469" s="402"/>
      <c r="N469" s="402"/>
      <c r="O469" s="402"/>
      <c r="P469" s="402"/>
      <c r="Q469" s="402"/>
      <c r="R469" s="402"/>
      <c r="S469" s="402"/>
      <c r="T469" s="402"/>
      <c r="U469" s="402"/>
      <c r="V469" s="402"/>
      <c r="W469" s="402"/>
      <c r="X469" s="402"/>
      <c r="Y469" s="402"/>
      <c r="Z469" s="402"/>
    </row>
    <row r="470" ht="14.25" customHeight="1">
      <c r="A470" s="497">
        <v>45509.0</v>
      </c>
      <c r="B470" s="349" t="s">
        <v>6223</v>
      </c>
      <c r="C470" s="349" t="s">
        <v>6224</v>
      </c>
      <c r="D470" s="1032" t="s">
        <v>54</v>
      </c>
      <c r="E470" s="413" t="s">
        <v>5623</v>
      </c>
      <c r="F470" s="413">
        <v>0.0</v>
      </c>
      <c r="G470" s="403"/>
      <c r="H470" s="349" t="s">
        <v>6225</v>
      </c>
      <c r="I470" s="736" t="str">
        <f t="shared" si="8"/>
        <v>FULLY PAID</v>
      </c>
      <c r="J470" s="402"/>
      <c r="K470" s="402"/>
      <c r="L470" s="402"/>
      <c r="M470" s="402"/>
      <c r="N470" s="402"/>
      <c r="O470" s="402"/>
      <c r="P470" s="402"/>
      <c r="Q470" s="402"/>
      <c r="R470" s="402"/>
      <c r="S470" s="402"/>
      <c r="T470" s="402"/>
      <c r="U470" s="402"/>
      <c r="V470" s="402"/>
      <c r="W470" s="402"/>
      <c r="X470" s="402"/>
      <c r="Y470" s="402"/>
      <c r="Z470" s="402"/>
    </row>
    <row r="471" ht="14.25" customHeight="1">
      <c r="A471" s="497">
        <v>45509.0</v>
      </c>
      <c r="B471" s="349" t="s">
        <v>6127</v>
      </c>
      <c r="C471" s="349" t="s">
        <v>6128</v>
      </c>
      <c r="D471" s="1032" t="s">
        <v>54</v>
      </c>
      <c r="E471" s="403"/>
      <c r="F471" s="413">
        <v>45134.75</v>
      </c>
      <c r="G471" s="403"/>
      <c r="H471" s="402"/>
      <c r="I471" s="736" t="str">
        <f t="shared" si="8"/>
        <v>NOT PAID</v>
      </c>
      <c r="J471" s="402"/>
      <c r="K471" s="402"/>
      <c r="L471" s="402"/>
      <c r="M471" s="402"/>
      <c r="N471" s="402"/>
      <c r="O471" s="402"/>
      <c r="P471" s="402"/>
      <c r="Q471" s="402"/>
      <c r="R471" s="402"/>
      <c r="S471" s="402"/>
      <c r="T471" s="402"/>
      <c r="U471" s="402"/>
      <c r="V471" s="402"/>
      <c r="W471" s="402"/>
      <c r="X471" s="402"/>
      <c r="Y471" s="402"/>
      <c r="Z471" s="402"/>
    </row>
    <row r="472" ht="14.25" customHeight="1">
      <c r="A472" s="497">
        <v>45509.0</v>
      </c>
      <c r="B472" s="349" t="s">
        <v>6226</v>
      </c>
      <c r="C472" s="349" t="s">
        <v>6227</v>
      </c>
      <c r="D472" s="1032" t="s">
        <v>54</v>
      </c>
      <c r="E472" s="403"/>
      <c r="F472" s="413">
        <v>12218.0</v>
      </c>
      <c r="G472" s="403"/>
      <c r="H472" s="349" t="s">
        <v>6191</v>
      </c>
      <c r="I472" s="736" t="str">
        <f t="shared" si="8"/>
        <v>NOT PAID</v>
      </c>
      <c r="J472" s="402"/>
      <c r="K472" s="402"/>
      <c r="L472" s="402"/>
      <c r="M472" s="402"/>
      <c r="N472" s="402"/>
      <c r="O472" s="402"/>
      <c r="P472" s="402"/>
      <c r="Q472" s="402"/>
      <c r="R472" s="402"/>
      <c r="S472" s="402"/>
      <c r="T472" s="402"/>
      <c r="U472" s="402"/>
      <c r="V472" s="402"/>
      <c r="W472" s="402"/>
      <c r="X472" s="402"/>
      <c r="Y472" s="402"/>
      <c r="Z472" s="402"/>
    </row>
    <row r="473" ht="14.25" customHeight="1">
      <c r="A473" s="497">
        <v>45509.0</v>
      </c>
      <c r="B473" s="349" t="s">
        <v>6228</v>
      </c>
      <c r="C473" s="349" t="s">
        <v>6229</v>
      </c>
      <c r="D473" s="1032" t="s">
        <v>67</v>
      </c>
      <c r="E473" s="403"/>
      <c r="F473" s="413">
        <v>12350.0</v>
      </c>
      <c r="G473" s="403"/>
      <c r="H473" s="402"/>
      <c r="I473" s="736" t="str">
        <f t="shared" si="8"/>
        <v>NOT PAID</v>
      </c>
      <c r="J473" s="402"/>
      <c r="K473" s="402"/>
      <c r="L473" s="402"/>
      <c r="M473" s="402"/>
      <c r="N473" s="402"/>
      <c r="O473" s="402"/>
      <c r="P473" s="402"/>
      <c r="Q473" s="402"/>
      <c r="R473" s="402"/>
      <c r="S473" s="402"/>
      <c r="T473" s="402"/>
      <c r="U473" s="402"/>
      <c r="V473" s="402"/>
      <c r="W473" s="402"/>
      <c r="X473" s="402"/>
      <c r="Y473" s="402"/>
      <c r="Z473" s="402"/>
    </row>
    <row r="474" ht="14.25" customHeight="1">
      <c r="A474" s="497">
        <v>45509.0</v>
      </c>
      <c r="B474" s="349" t="s">
        <v>6230</v>
      </c>
      <c r="C474" s="349" t="s">
        <v>6231</v>
      </c>
      <c r="D474" s="1032" t="s">
        <v>54</v>
      </c>
      <c r="E474" s="413" t="s">
        <v>5694</v>
      </c>
      <c r="F474" s="413">
        <v>45560.0</v>
      </c>
      <c r="G474" s="403"/>
      <c r="H474" s="349" t="s">
        <v>6232</v>
      </c>
      <c r="I474" s="736" t="str">
        <f t="shared" si="8"/>
        <v>NOT PAID</v>
      </c>
      <c r="J474" s="402"/>
      <c r="K474" s="402"/>
      <c r="L474" s="402"/>
      <c r="M474" s="402"/>
      <c r="N474" s="402"/>
      <c r="O474" s="402"/>
      <c r="P474" s="402"/>
      <c r="Q474" s="402"/>
      <c r="R474" s="402"/>
      <c r="S474" s="402"/>
      <c r="T474" s="402"/>
      <c r="U474" s="402"/>
      <c r="V474" s="402"/>
      <c r="W474" s="402"/>
      <c r="X474" s="402"/>
      <c r="Y474" s="402"/>
      <c r="Z474" s="402"/>
    </row>
    <row r="475" ht="14.25" customHeight="1">
      <c r="A475" s="497">
        <v>45509.0</v>
      </c>
      <c r="B475" s="349" t="s">
        <v>6233</v>
      </c>
      <c r="C475" s="349" t="s">
        <v>6234</v>
      </c>
      <c r="D475" s="1032" t="s">
        <v>54</v>
      </c>
      <c r="E475" s="413" t="s">
        <v>5694</v>
      </c>
      <c r="F475" s="413">
        <v>17200.0</v>
      </c>
      <c r="G475" s="403"/>
      <c r="H475" s="349" t="s">
        <v>6191</v>
      </c>
      <c r="I475" s="736" t="str">
        <f t="shared" si="8"/>
        <v>NOT PAID</v>
      </c>
      <c r="J475" s="402"/>
      <c r="K475" s="402"/>
      <c r="L475" s="402"/>
      <c r="M475" s="402"/>
      <c r="N475" s="402"/>
      <c r="O475" s="402"/>
      <c r="P475" s="402"/>
      <c r="Q475" s="402"/>
      <c r="R475" s="402"/>
      <c r="S475" s="402"/>
      <c r="T475" s="402"/>
      <c r="U475" s="402"/>
      <c r="V475" s="402"/>
      <c r="W475" s="402"/>
      <c r="X475" s="402"/>
      <c r="Y475" s="402"/>
      <c r="Z475" s="402"/>
    </row>
    <row r="476" ht="14.25" customHeight="1">
      <c r="A476" s="497">
        <v>45509.0</v>
      </c>
      <c r="B476" s="349" t="s">
        <v>6235</v>
      </c>
      <c r="C476" s="349" t="s">
        <v>6236</v>
      </c>
      <c r="D476" s="1032" t="s">
        <v>75</v>
      </c>
      <c r="E476" s="403"/>
      <c r="F476" s="413">
        <v>166750.0</v>
      </c>
      <c r="G476" s="403"/>
      <c r="H476" s="402"/>
      <c r="I476" s="736" t="str">
        <f t="shared" si="8"/>
        <v>NOT PAID</v>
      </c>
      <c r="J476" s="402"/>
      <c r="K476" s="402"/>
      <c r="L476" s="402"/>
      <c r="M476" s="402"/>
      <c r="N476" s="402"/>
      <c r="O476" s="402"/>
      <c r="P476" s="402"/>
      <c r="Q476" s="402"/>
      <c r="R476" s="402"/>
      <c r="S476" s="402"/>
      <c r="T476" s="402"/>
      <c r="U476" s="402"/>
      <c r="V476" s="402"/>
      <c r="W476" s="402"/>
      <c r="X476" s="402"/>
      <c r="Y476" s="402"/>
      <c r="Z476" s="402"/>
    </row>
    <row r="477" ht="14.25" customHeight="1">
      <c r="A477" s="1057">
        <v>45509.0</v>
      </c>
      <c r="B477" s="1058" t="s">
        <v>5996</v>
      </c>
      <c r="C477" s="1058" t="s">
        <v>6237</v>
      </c>
      <c r="D477" s="1059" t="s">
        <v>54</v>
      </c>
      <c r="E477" s="1061" t="s">
        <v>6238</v>
      </c>
      <c r="F477" s="1061">
        <v>138575.0</v>
      </c>
      <c r="G477" s="25">
        <v>138575.0</v>
      </c>
      <c r="H477" s="349" t="s">
        <v>267</v>
      </c>
      <c r="I477" s="736" t="str">
        <f t="shared" si="8"/>
        <v>FULLY PAID</v>
      </c>
      <c r="J477" s="1062"/>
      <c r="K477" s="1062"/>
      <c r="L477" s="1062"/>
      <c r="M477" s="1062"/>
      <c r="N477" s="1062"/>
      <c r="O477" s="1062"/>
      <c r="P477" s="1062"/>
      <c r="Q477" s="1062"/>
      <c r="R477" s="1062"/>
      <c r="S477" s="1062"/>
      <c r="T477" s="1062"/>
      <c r="U477" s="1062"/>
      <c r="V477" s="1062"/>
      <c r="W477" s="1062"/>
      <c r="X477" s="1062"/>
      <c r="Y477" s="1062"/>
      <c r="Z477" s="1062"/>
    </row>
    <row r="478" ht="14.25" customHeight="1">
      <c r="A478" s="497">
        <v>45509.0</v>
      </c>
      <c r="B478" s="443" t="s">
        <v>5624</v>
      </c>
      <c r="C478" s="349" t="s">
        <v>6239</v>
      </c>
      <c r="D478" s="1032" t="s">
        <v>54</v>
      </c>
      <c r="E478" s="413" t="s">
        <v>6238</v>
      </c>
      <c r="F478" s="413">
        <v>82370.0</v>
      </c>
      <c r="G478" s="403"/>
      <c r="H478" s="349" t="s">
        <v>267</v>
      </c>
      <c r="I478" s="736" t="str">
        <f t="shared" si="8"/>
        <v>NOT PAID</v>
      </c>
      <c r="J478" s="402"/>
      <c r="K478" s="402"/>
      <c r="L478" s="402"/>
      <c r="M478" s="402"/>
      <c r="N478" s="402"/>
      <c r="O478" s="402"/>
      <c r="P478" s="402"/>
      <c r="Q478" s="402"/>
      <c r="R478" s="402"/>
      <c r="S478" s="402"/>
      <c r="T478" s="402"/>
      <c r="U478" s="402"/>
      <c r="V478" s="402"/>
      <c r="W478" s="402"/>
      <c r="X478" s="402"/>
      <c r="Y478" s="402"/>
      <c r="Z478" s="402"/>
    </row>
    <row r="479" ht="14.25" customHeight="1">
      <c r="A479" s="497">
        <v>45509.0</v>
      </c>
      <c r="B479" s="1038"/>
      <c r="C479" s="349" t="s">
        <v>5757</v>
      </c>
      <c r="D479" s="1032" t="s">
        <v>668</v>
      </c>
      <c r="E479" s="413" t="s">
        <v>6104</v>
      </c>
      <c r="F479" s="413">
        <v>1000000.0</v>
      </c>
      <c r="G479" s="413">
        <v>1000000.0</v>
      </c>
      <c r="H479" s="349" t="s">
        <v>267</v>
      </c>
      <c r="I479" s="736" t="str">
        <f t="shared" si="8"/>
        <v>FULLY PAID</v>
      </c>
      <c r="J479" s="402"/>
      <c r="K479" s="402"/>
      <c r="L479" s="402"/>
      <c r="M479" s="402"/>
      <c r="N479" s="402"/>
      <c r="O479" s="402"/>
      <c r="P479" s="402"/>
      <c r="Q479" s="402"/>
      <c r="R479" s="402"/>
      <c r="S479" s="402"/>
      <c r="T479" s="402"/>
      <c r="U479" s="402"/>
      <c r="V479" s="402"/>
      <c r="W479" s="402"/>
      <c r="X479" s="402"/>
      <c r="Y479" s="402"/>
      <c r="Z479" s="402"/>
    </row>
    <row r="480" ht="14.25" customHeight="1">
      <c r="A480" s="497">
        <v>45509.0</v>
      </c>
      <c r="B480" s="349" t="s">
        <v>5874</v>
      </c>
      <c r="C480" s="1" t="s">
        <v>5875</v>
      </c>
      <c r="D480" s="1032" t="s">
        <v>54</v>
      </c>
      <c r="E480" s="413" t="s">
        <v>5694</v>
      </c>
      <c r="F480" s="1051">
        <v>27261.0</v>
      </c>
      <c r="G480" s="413">
        <v>27261.0</v>
      </c>
      <c r="H480" s="349" t="s">
        <v>267</v>
      </c>
      <c r="I480" s="736" t="str">
        <f t="shared" si="8"/>
        <v>FULLY PAID</v>
      </c>
      <c r="J480" s="402"/>
      <c r="K480" s="402"/>
      <c r="L480" s="402"/>
      <c r="M480" s="402"/>
      <c r="N480" s="402"/>
      <c r="O480" s="402"/>
      <c r="P480" s="402"/>
      <c r="Q480" s="402"/>
      <c r="R480" s="402"/>
      <c r="S480" s="402"/>
      <c r="T480" s="402"/>
      <c r="U480" s="402"/>
      <c r="V480" s="402"/>
      <c r="W480" s="402"/>
      <c r="X480" s="402"/>
      <c r="Y480" s="402"/>
      <c r="Z480" s="402"/>
    </row>
    <row r="481" ht="14.25" customHeight="1">
      <c r="A481" s="497">
        <v>45509.0</v>
      </c>
      <c r="B481" s="349" t="s">
        <v>6061</v>
      </c>
      <c r="C481" s="349" t="s">
        <v>6126</v>
      </c>
      <c r="D481" s="1032" t="s">
        <v>6240</v>
      </c>
      <c r="E481" s="403"/>
      <c r="F481" s="413">
        <v>3011268.0</v>
      </c>
      <c r="G481" s="403"/>
      <c r="H481" s="349" t="s">
        <v>6241</v>
      </c>
      <c r="I481" s="736" t="str">
        <f t="shared" si="8"/>
        <v>NOT PAID</v>
      </c>
      <c r="J481" s="402"/>
      <c r="K481" s="402"/>
      <c r="L481" s="402"/>
      <c r="M481" s="402"/>
      <c r="N481" s="402"/>
      <c r="O481" s="402"/>
      <c r="P481" s="402"/>
      <c r="Q481" s="402"/>
      <c r="R481" s="402"/>
      <c r="S481" s="402"/>
      <c r="T481" s="402"/>
      <c r="U481" s="402"/>
      <c r="V481" s="402"/>
      <c r="W481" s="402"/>
      <c r="X481" s="402"/>
      <c r="Y481" s="402"/>
      <c r="Z481" s="402"/>
    </row>
    <row r="482" ht="14.25" customHeight="1">
      <c r="A482" s="497">
        <v>45509.0</v>
      </c>
      <c r="B482" s="349" t="s">
        <v>5795</v>
      </c>
      <c r="C482" s="349" t="s">
        <v>5796</v>
      </c>
      <c r="D482" s="1032" t="s">
        <v>75</v>
      </c>
      <c r="E482" s="403"/>
      <c r="F482" s="413">
        <v>49560.0</v>
      </c>
      <c r="G482" s="403"/>
      <c r="H482" s="402"/>
      <c r="I482" s="736" t="str">
        <f t="shared" si="8"/>
        <v>NOT PAID</v>
      </c>
      <c r="J482" s="402"/>
      <c r="K482" s="402"/>
      <c r="L482" s="402"/>
      <c r="M482" s="402"/>
      <c r="N482" s="402"/>
      <c r="O482" s="402"/>
      <c r="P482" s="402"/>
      <c r="Q482" s="402"/>
      <c r="R482" s="402"/>
      <c r="S482" s="402"/>
      <c r="T482" s="402"/>
      <c r="U482" s="402"/>
      <c r="V482" s="402"/>
      <c r="W482" s="402"/>
      <c r="X482" s="402"/>
      <c r="Y482" s="402"/>
      <c r="Z482" s="402"/>
    </row>
    <row r="483" ht="14.25" customHeight="1">
      <c r="A483" s="497">
        <v>45509.0</v>
      </c>
      <c r="B483" s="349" t="s">
        <v>6063</v>
      </c>
      <c r="C483" s="349" t="s">
        <v>6064</v>
      </c>
      <c r="D483" s="1032" t="s">
        <v>75</v>
      </c>
      <c r="E483" s="413" t="s">
        <v>6242</v>
      </c>
      <c r="F483" s="413">
        <v>483000.0</v>
      </c>
      <c r="G483" s="403"/>
      <c r="H483" s="349" t="s">
        <v>267</v>
      </c>
      <c r="I483" s="736" t="str">
        <f t="shared" si="8"/>
        <v>NOT PAID</v>
      </c>
      <c r="J483" s="402"/>
      <c r="K483" s="402"/>
      <c r="L483" s="402"/>
      <c r="M483" s="402"/>
      <c r="N483" s="402"/>
      <c r="O483" s="402"/>
      <c r="P483" s="402"/>
      <c r="Q483" s="402"/>
      <c r="R483" s="402"/>
      <c r="S483" s="402"/>
      <c r="T483" s="402"/>
      <c r="U483" s="402"/>
      <c r="V483" s="402"/>
      <c r="W483" s="402"/>
      <c r="X483" s="402"/>
      <c r="Y483" s="402"/>
      <c r="Z483" s="402"/>
    </row>
    <row r="484" ht="14.25" customHeight="1">
      <c r="A484" s="497">
        <v>45509.0</v>
      </c>
      <c r="B484" s="349" t="s">
        <v>6109</v>
      </c>
      <c r="C484" s="349" t="s">
        <v>6110</v>
      </c>
      <c r="D484" s="1032" t="s">
        <v>75</v>
      </c>
      <c r="E484" s="413" t="s">
        <v>5694</v>
      </c>
      <c r="F484" s="413">
        <v>60375.0</v>
      </c>
      <c r="G484" s="403"/>
      <c r="H484" s="455" t="s">
        <v>6191</v>
      </c>
      <c r="I484" s="736" t="str">
        <f t="shared" si="8"/>
        <v>NOT PAID</v>
      </c>
      <c r="J484" s="402"/>
      <c r="K484" s="402"/>
      <c r="L484" s="402"/>
      <c r="M484" s="402"/>
      <c r="N484" s="402"/>
      <c r="O484" s="402"/>
      <c r="P484" s="402"/>
      <c r="Q484" s="402"/>
      <c r="R484" s="402"/>
      <c r="S484" s="402"/>
      <c r="T484" s="402"/>
      <c r="U484" s="402"/>
      <c r="V484" s="402"/>
      <c r="W484" s="402"/>
      <c r="X484" s="402"/>
      <c r="Y484" s="402"/>
      <c r="Z484" s="402"/>
    </row>
    <row r="485" ht="12.75" customHeight="1">
      <c r="A485" s="497">
        <v>45509.0</v>
      </c>
      <c r="B485" s="349" t="s">
        <v>6114</v>
      </c>
      <c r="C485" s="349" t="s">
        <v>6115</v>
      </c>
      <c r="D485" s="1032" t="s">
        <v>75</v>
      </c>
      <c r="E485" s="403"/>
      <c r="F485" s="413">
        <v>80850.0</v>
      </c>
      <c r="G485" s="403"/>
      <c r="H485" s="402"/>
      <c r="I485" s="736" t="str">
        <f t="shared" si="8"/>
        <v>NOT PAID</v>
      </c>
      <c r="J485" s="402"/>
      <c r="K485" s="402"/>
      <c r="L485" s="402"/>
      <c r="M485" s="402"/>
      <c r="N485" s="402"/>
      <c r="O485" s="402"/>
      <c r="P485" s="402"/>
      <c r="Q485" s="402"/>
      <c r="R485" s="402"/>
      <c r="S485" s="402"/>
      <c r="T485" s="402"/>
      <c r="U485" s="402"/>
      <c r="V485" s="402"/>
      <c r="W485" s="402"/>
      <c r="X485" s="402"/>
      <c r="Y485" s="402"/>
      <c r="Z485" s="402"/>
    </row>
    <row r="486" ht="14.25" customHeight="1">
      <c r="A486" s="497">
        <v>45509.0</v>
      </c>
      <c r="B486" s="349" t="s">
        <v>6167</v>
      </c>
      <c r="C486" s="349" t="s">
        <v>6168</v>
      </c>
      <c r="D486" s="1032" t="s">
        <v>75</v>
      </c>
      <c r="E486" s="403"/>
      <c r="F486" s="413">
        <v>632500.0</v>
      </c>
      <c r="G486" s="403"/>
      <c r="H486" s="402"/>
      <c r="I486" s="736" t="str">
        <f t="shared" si="8"/>
        <v>NOT PAID</v>
      </c>
      <c r="J486" s="402"/>
      <c r="K486" s="402"/>
      <c r="L486" s="402"/>
      <c r="M486" s="402"/>
      <c r="N486" s="402"/>
      <c r="O486" s="402"/>
      <c r="P486" s="402"/>
      <c r="Q486" s="402"/>
      <c r="R486" s="402"/>
      <c r="S486" s="402"/>
      <c r="T486" s="402"/>
      <c r="U486" s="402"/>
      <c r="V486" s="402"/>
      <c r="W486" s="402"/>
      <c r="X486" s="402"/>
      <c r="Y486" s="402"/>
      <c r="Z486" s="402"/>
    </row>
    <row r="487" ht="14.25" customHeight="1">
      <c r="A487" s="497">
        <v>45509.0</v>
      </c>
      <c r="B487" s="349" t="s">
        <v>6243</v>
      </c>
      <c r="C487" s="349" t="s">
        <v>5665</v>
      </c>
      <c r="D487" s="1032" t="s">
        <v>54</v>
      </c>
      <c r="E487" s="403"/>
      <c r="F487" s="413">
        <v>0.0</v>
      </c>
      <c r="G487" s="403"/>
      <c r="H487" s="349" t="s">
        <v>6244</v>
      </c>
      <c r="I487" s="736" t="str">
        <f t="shared" si="8"/>
        <v>FULLY PAID</v>
      </c>
      <c r="J487" s="402"/>
      <c r="K487" s="402"/>
      <c r="L487" s="402"/>
      <c r="M487" s="402"/>
      <c r="N487" s="402"/>
      <c r="O487" s="402"/>
      <c r="P487" s="402"/>
      <c r="Q487" s="402"/>
      <c r="R487" s="402"/>
      <c r="S487" s="402"/>
      <c r="T487" s="402"/>
      <c r="U487" s="402"/>
      <c r="V487" s="402"/>
      <c r="W487" s="402"/>
      <c r="X487" s="402"/>
      <c r="Y487" s="402"/>
      <c r="Z487" s="402"/>
    </row>
    <row r="488" ht="14.25" customHeight="1">
      <c r="A488" s="497">
        <v>45509.0</v>
      </c>
      <c r="B488" s="349" t="s">
        <v>5664</v>
      </c>
      <c r="C488" s="349" t="s">
        <v>5665</v>
      </c>
      <c r="D488" s="1032" t="s">
        <v>75</v>
      </c>
      <c r="E488" s="403"/>
      <c r="F488" s="413">
        <v>0.0</v>
      </c>
      <c r="G488" s="403"/>
      <c r="H488" s="349" t="s">
        <v>6244</v>
      </c>
      <c r="I488" s="736" t="str">
        <f t="shared" si="8"/>
        <v>FULLY PAID</v>
      </c>
      <c r="J488" s="402"/>
      <c r="K488" s="402"/>
      <c r="L488" s="402"/>
      <c r="M488" s="402"/>
      <c r="N488" s="402"/>
      <c r="O488" s="402"/>
      <c r="P488" s="402"/>
      <c r="Q488" s="402"/>
      <c r="R488" s="402"/>
      <c r="S488" s="402"/>
      <c r="T488" s="402"/>
      <c r="U488" s="402"/>
      <c r="V488" s="402"/>
      <c r="W488" s="402"/>
      <c r="X488" s="402"/>
      <c r="Y488" s="402"/>
      <c r="Z488" s="402"/>
    </row>
    <row r="489" ht="14.25" customHeight="1">
      <c r="A489" s="1057">
        <v>45509.0</v>
      </c>
      <c r="B489" s="1058" t="s">
        <v>6245</v>
      </c>
      <c r="C489" s="1058" t="s">
        <v>6246</v>
      </c>
      <c r="D489" s="1059" t="s">
        <v>54</v>
      </c>
      <c r="E489" s="1060"/>
      <c r="F489" s="1061">
        <v>43360.37</v>
      </c>
      <c r="G489" s="1061">
        <v>10500.0</v>
      </c>
      <c r="H489" s="1058" t="s">
        <v>6247</v>
      </c>
      <c r="I489" s="736" t="str">
        <f t="shared" si="8"/>
        <v>PARTIALLY PAID</v>
      </c>
      <c r="J489" s="1062"/>
      <c r="K489" s="1062"/>
      <c r="L489" s="1062"/>
      <c r="M489" s="1062"/>
      <c r="N489" s="1062"/>
      <c r="O489" s="1062"/>
      <c r="P489" s="1062"/>
      <c r="Q489" s="1062"/>
      <c r="R489" s="1062"/>
      <c r="S489" s="1062"/>
      <c r="T489" s="1062"/>
      <c r="U489" s="1062"/>
      <c r="V489" s="1062"/>
      <c r="W489" s="1062"/>
      <c r="X489" s="1062"/>
      <c r="Y489" s="1062"/>
      <c r="Z489" s="1062"/>
    </row>
    <row r="490" ht="14.25" customHeight="1">
      <c r="A490" s="497">
        <v>45509.0</v>
      </c>
      <c r="B490" s="349" t="s">
        <v>5929</v>
      </c>
      <c r="C490" s="349" t="s">
        <v>5930</v>
      </c>
      <c r="D490" s="1032" t="s">
        <v>54</v>
      </c>
      <c r="E490" s="403"/>
      <c r="F490" s="413">
        <v>138862.75</v>
      </c>
      <c r="G490" s="403"/>
      <c r="H490" s="402"/>
      <c r="I490" s="736" t="str">
        <f t="shared" si="8"/>
        <v>NOT PAID</v>
      </c>
      <c r="J490" s="402"/>
      <c r="K490" s="402"/>
      <c r="L490" s="402"/>
      <c r="M490" s="402"/>
      <c r="N490" s="402"/>
      <c r="O490" s="402"/>
      <c r="P490" s="402"/>
      <c r="Q490" s="402"/>
      <c r="R490" s="402"/>
      <c r="S490" s="402"/>
      <c r="T490" s="402"/>
      <c r="U490" s="402"/>
      <c r="V490" s="402"/>
      <c r="W490" s="402"/>
      <c r="X490" s="402"/>
      <c r="Y490" s="402"/>
      <c r="Z490" s="402"/>
    </row>
    <row r="491" ht="14.25" customHeight="1">
      <c r="A491" s="497">
        <v>45509.0</v>
      </c>
      <c r="B491" s="349" t="s">
        <v>5792</v>
      </c>
      <c r="C491" s="1032" t="s">
        <v>5793</v>
      </c>
      <c r="D491" s="1032" t="s">
        <v>54</v>
      </c>
      <c r="E491" s="403"/>
      <c r="F491" s="413">
        <v>217681.52</v>
      </c>
      <c r="G491" s="403"/>
      <c r="H491" s="349" t="s">
        <v>6248</v>
      </c>
      <c r="I491" s="736" t="str">
        <f t="shared" si="8"/>
        <v>NOT PAID</v>
      </c>
      <c r="J491" s="402"/>
      <c r="K491" s="402"/>
      <c r="L491" s="402"/>
      <c r="M491" s="402"/>
      <c r="N491" s="402"/>
      <c r="O491" s="402"/>
      <c r="P491" s="402"/>
      <c r="Q491" s="402"/>
      <c r="R491" s="402"/>
      <c r="S491" s="402"/>
      <c r="T491" s="402"/>
      <c r="U491" s="402"/>
      <c r="V491" s="402"/>
      <c r="W491" s="402"/>
      <c r="X491" s="402"/>
      <c r="Y491" s="402"/>
      <c r="Z491" s="402"/>
    </row>
    <row r="492" ht="14.25" customHeight="1">
      <c r="A492" s="497">
        <v>45509.0</v>
      </c>
      <c r="B492" s="349" t="s">
        <v>6249</v>
      </c>
      <c r="C492" s="349" t="s">
        <v>6250</v>
      </c>
      <c r="D492" s="1032" t="s">
        <v>54</v>
      </c>
      <c r="E492" s="403"/>
      <c r="F492" s="413">
        <v>115462.67</v>
      </c>
      <c r="G492" s="403"/>
      <c r="H492" s="402"/>
      <c r="I492" s="736" t="str">
        <f t="shared" si="8"/>
        <v>NOT PAID</v>
      </c>
      <c r="J492" s="402"/>
      <c r="K492" s="402"/>
      <c r="L492" s="402"/>
      <c r="M492" s="402"/>
      <c r="N492" s="402"/>
      <c r="O492" s="402"/>
      <c r="P492" s="402"/>
      <c r="Q492" s="402"/>
      <c r="R492" s="402"/>
      <c r="S492" s="402"/>
      <c r="T492" s="402"/>
      <c r="U492" s="402"/>
      <c r="V492" s="402"/>
      <c r="W492" s="402"/>
      <c r="X492" s="402"/>
      <c r="Y492" s="402"/>
      <c r="Z492" s="402"/>
    </row>
    <row r="493" ht="14.25" customHeight="1">
      <c r="A493" s="1057">
        <v>45509.0</v>
      </c>
      <c r="B493" s="1058"/>
      <c r="C493" s="1058" t="s">
        <v>6251</v>
      </c>
      <c r="D493" s="1059" t="s">
        <v>54</v>
      </c>
      <c r="E493" s="1060"/>
      <c r="F493" s="1061">
        <v>342250.0</v>
      </c>
      <c r="G493" s="1061">
        <v>342250.0</v>
      </c>
      <c r="H493" s="1058" t="s">
        <v>772</v>
      </c>
      <c r="I493" s="736" t="str">
        <f t="shared" si="8"/>
        <v>FULLY PAID</v>
      </c>
      <c r="J493" s="1062"/>
      <c r="K493" s="1062"/>
      <c r="L493" s="1062"/>
      <c r="M493" s="1062"/>
      <c r="N493" s="1062"/>
      <c r="O493" s="1062"/>
      <c r="P493" s="1062"/>
      <c r="Q493" s="1062"/>
      <c r="R493" s="1062"/>
      <c r="S493" s="1062"/>
      <c r="T493" s="1062"/>
      <c r="U493" s="1062"/>
      <c r="V493" s="1062"/>
      <c r="W493" s="1062"/>
      <c r="X493" s="1062"/>
      <c r="Y493" s="1062"/>
      <c r="Z493" s="1062"/>
    </row>
    <row r="494" ht="14.25" customHeight="1">
      <c r="A494" s="497">
        <v>45509.0</v>
      </c>
      <c r="B494" s="402"/>
      <c r="C494" s="424" t="s">
        <v>797</v>
      </c>
      <c r="D494" s="1034"/>
      <c r="E494" s="403"/>
      <c r="F494" s="403"/>
      <c r="G494" s="403"/>
      <c r="H494" s="402"/>
      <c r="I494" s="736" t="str">
        <f t="shared" si="8"/>
        <v>FULLY PAID</v>
      </c>
      <c r="J494" s="402"/>
      <c r="K494" s="402"/>
      <c r="L494" s="402"/>
      <c r="M494" s="402"/>
      <c r="N494" s="402"/>
      <c r="O494" s="402"/>
      <c r="P494" s="402"/>
      <c r="Q494" s="402"/>
      <c r="R494" s="402"/>
      <c r="S494" s="402"/>
      <c r="T494" s="402"/>
      <c r="U494" s="402"/>
      <c r="V494" s="402"/>
      <c r="W494" s="402"/>
      <c r="X494" s="402"/>
      <c r="Y494" s="402"/>
      <c r="Z494" s="402"/>
    </row>
    <row r="495" ht="14.25" customHeight="1">
      <c r="A495" s="497">
        <v>45509.0</v>
      </c>
      <c r="B495" s="1063" t="s">
        <v>5727</v>
      </c>
      <c r="C495" s="436" t="s">
        <v>6252</v>
      </c>
      <c r="D495" s="668" t="s">
        <v>54</v>
      </c>
      <c r="E495" s="668" t="s">
        <v>4114</v>
      </c>
      <c r="F495" s="758">
        <v>70000.0</v>
      </c>
      <c r="G495" s="403"/>
      <c r="H495" s="402"/>
      <c r="I495" s="736" t="str">
        <f t="shared" si="8"/>
        <v>NOT PAID</v>
      </c>
      <c r="J495" s="402"/>
      <c r="K495" s="402"/>
      <c r="L495" s="402"/>
      <c r="M495" s="402"/>
      <c r="N495" s="402"/>
      <c r="O495" s="402"/>
      <c r="P495" s="402"/>
      <c r="Q495" s="402"/>
      <c r="R495" s="402"/>
      <c r="S495" s="402"/>
      <c r="T495" s="402"/>
      <c r="U495" s="402"/>
      <c r="V495" s="402"/>
      <c r="W495" s="402"/>
      <c r="X495" s="402"/>
      <c r="Y495" s="402"/>
      <c r="Z495" s="402"/>
    </row>
    <row r="496" ht="24.0" customHeight="1">
      <c r="A496" s="497">
        <v>45509.0</v>
      </c>
      <c r="B496" s="436" t="s">
        <v>5628</v>
      </c>
      <c r="C496" s="436" t="s">
        <v>6184</v>
      </c>
      <c r="D496" s="668" t="s">
        <v>54</v>
      </c>
      <c r="E496" s="668" t="s">
        <v>4114</v>
      </c>
      <c r="F496" s="758">
        <v>48000.0</v>
      </c>
      <c r="G496" s="403"/>
      <c r="H496" s="402"/>
      <c r="I496" s="736" t="str">
        <f t="shared" si="8"/>
        <v>NOT PAID</v>
      </c>
      <c r="J496" s="402"/>
      <c r="K496" s="402"/>
      <c r="L496" s="402"/>
      <c r="M496" s="402"/>
      <c r="N496" s="402"/>
      <c r="O496" s="402"/>
      <c r="P496" s="402"/>
      <c r="Q496" s="402"/>
      <c r="R496" s="402"/>
      <c r="S496" s="402"/>
      <c r="T496" s="402"/>
      <c r="U496" s="402"/>
      <c r="V496" s="402"/>
      <c r="W496" s="402"/>
      <c r="X496" s="402"/>
      <c r="Y496" s="402"/>
      <c r="Z496" s="402"/>
    </row>
    <row r="497" ht="21.75" customHeight="1">
      <c r="A497" s="497">
        <v>45509.0</v>
      </c>
      <c r="B497" s="436" t="s">
        <v>6185</v>
      </c>
      <c r="C497" s="436" t="s">
        <v>6186</v>
      </c>
      <c r="D497" s="668" t="s">
        <v>54</v>
      </c>
      <c r="E497" s="668" t="s">
        <v>4114</v>
      </c>
      <c r="F497" s="758">
        <v>53741.0</v>
      </c>
      <c r="G497" s="403"/>
      <c r="H497" s="402"/>
      <c r="I497" s="736" t="str">
        <f t="shared" si="8"/>
        <v>NOT PAID</v>
      </c>
      <c r="J497" s="402"/>
      <c r="K497" s="402"/>
      <c r="L497" s="402"/>
      <c r="M497" s="402"/>
      <c r="N497" s="402"/>
      <c r="O497" s="402"/>
      <c r="P497" s="402"/>
      <c r="Q497" s="402"/>
      <c r="R497" s="402"/>
      <c r="S497" s="402"/>
      <c r="T497" s="402"/>
      <c r="U497" s="402"/>
      <c r="V497" s="402"/>
      <c r="W497" s="402"/>
      <c r="X497" s="402"/>
      <c r="Y497" s="402"/>
      <c r="Z497" s="402"/>
    </row>
    <row r="498" ht="21.75" customHeight="1">
      <c r="A498" s="497">
        <v>45509.0</v>
      </c>
      <c r="B498" s="436" t="s">
        <v>5679</v>
      </c>
      <c r="C498" s="436" t="s">
        <v>5730</v>
      </c>
      <c r="D498" s="668" t="s">
        <v>54</v>
      </c>
      <c r="E498" s="668" t="s">
        <v>4114</v>
      </c>
      <c r="F498" s="758">
        <v>25000.0</v>
      </c>
      <c r="G498" s="403"/>
      <c r="H498" s="402"/>
      <c r="I498" s="736" t="str">
        <f t="shared" si="8"/>
        <v>NOT PAID</v>
      </c>
      <c r="J498" s="402"/>
      <c r="K498" s="402"/>
      <c r="L498" s="402"/>
      <c r="M498" s="402"/>
      <c r="N498" s="402"/>
      <c r="O498" s="402"/>
      <c r="P498" s="402"/>
      <c r="Q498" s="402"/>
      <c r="R498" s="402"/>
      <c r="S498" s="402"/>
      <c r="T498" s="402"/>
      <c r="U498" s="402"/>
      <c r="V498" s="402"/>
      <c r="W498" s="402"/>
      <c r="X498" s="402"/>
      <c r="Y498" s="402"/>
      <c r="Z498" s="402"/>
    </row>
    <row r="499" ht="14.25" customHeight="1">
      <c r="A499" s="497">
        <v>45509.0</v>
      </c>
      <c r="B499" s="436" t="s">
        <v>5687</v>
      </c>
      <c r="C499" s="436" t="s">
        <v>5978</v>
      </c>
      <c r="D499" s="668" t="s">
        <v>54</v>
      </c>
      <c r="E499" s="668" t="s">
        <v>4114</v>
      </c>
      <c r="F499" s="758">
        <v>263000.0</v>
      </c>
      <c r="G499" s="403"/>
      <c r="H499" s="402"/>
      <c r="I499" s="736" t="str">
        <f t="shared" si="8"/>
        <v>NOT PAID</v>
      </c>
      <c r="J499" s="402"/>
      <c r="K499" s="402"/>
      <c r="L499" s="402"/>
      <c r="M499" s="402"/>
      <c r="N499" s="402"/>
      <c r="O499" s="402"/>
      <c r="P499" s="402"/>
      <c r="Q499" s="402"/>
      <c r="R499" s="402"/>
      <c r="S499" s="402"/>
      <c r="T499" s="402"/>
      <c r="U499" s="402"/>
      <c r="V499" s="402"/>
      <c r="W499" s="402"/>
      <c r="X499" s="402"/>
      <c r="Y499" s="402"/>
      <c r="Z499" s="402"/>
    </row>
    <row r="500" ht="14.25" customHeight="1">
      <c r="A500" s="497">
        <v>45509.0</v>
      </c>
      <c r="B500" s="436" t="s">
        <v>5700</v>
      </c>
      <c r="C500" s="436" t="s">
        <v>6039</v>
      </c>
      <c r="D500" s="668" t="s">
        <v>54</v>
      </c>
      <c r="E500" s="668" t="s">
        <v>4114</v>
      </c>
      <c r="F500" s="758">
        <v>72480.27</v>
      </c>
      <c r="G500" s="403"/>
      <c r="H500" s="402"/>
      <c r="I500" s="736" t="str">
        <f t="shared" si="8"/>
        <v>NOT PAID</v>
      </c>
      <c r="J500" s="402"/>
      <c r="K500" s="402"/>
      <c r="L500" s="402"/>
      <c r="M500" s="402"/>
      <c r="N500" s="402"/>
      <c r="O500" s="402"/>
      <c r="P500" s="402"/>
      <c r="Q500" s="402"/>
      <c r="R500" s="402"/>
      <c r="S500" s="402"/>
      <c r="T500" s="402"/>
      <c r="U500" s="402"/>
      <c r="V500" s="402"/>
      <c r="W500" s="402"/>
      <c r="X500" s="402"/>
      <c r="Y500" s="402"/>
      <c r="Z500" s="402"/>
    </row>
    <row r="501" ht="14.25" customHeight="1">
      <c r="A501" s="497">
        <v>45509.0</v>
      </c>
      <c r="B501" s="755" t="s">
        <v>6253</v>
      </c>
      <c r="C501" s="755" t="s">
        <v>5686</v>
      </c>
      <c r="D501" s="668" t="s">
        <v>54</v>
      </c>
      <c r="E501" s="1064" t="s">
        <v>2165</v>
      </c>
      <c r="F501" s="758">
        <v>659067.0</v>
      </c>
      <c r="G501" s="403"/>
      <c r="H501" s="349" t="s">
        <v>6254</v>
      </c>
      <c r="I501" s="736" t="str">
        <f t="shared" si="8"/>
        <v>NOT PAID</v>
      </c>
      <c r="J501" s="402"/>
      <c r="K501" s="402"/>
      <c r="L501" s="402"/>
      <c r="M501" s="402"/>
      <c r="N501" s="402"/>
      <c r="O501" s="402"/>
      <c r="P501" s="402"/>
      <c r="Q501" s="402"/>
      <c r="R501" s="402"/>
      <c r="S501" s="402"/>
      <c r="T501" s="402"/>
      <c r="U501" s="402"/>
      <c r="V501" s="402"/>
      <c r="W501" s="402"/>
      <c r="X501" s="402"/>
      <c r="Y501" s="402"/>
      <c r="Z501" s="402"/>
    </row>
    <row r="502" ht="14.25" customHeight="1">
      <c r="A502" s="497">
        <v>45509.0</v>
      </c>
      <c r="B502" s="755" t="s">
        <v>6071</v>
      </c>
      <c r="C502" s="755" t="s">
        <v>6129</v>
      </c>
      <c r="D502" s="668" t="s">
        <v>54</v>
      </c>
      <c r="E502" s="1064" t="s">
        <v>2165</v>
      </c>
      <c r="F502" s="760">
        <v>60000.0</v>
      </c>
      <c r="G502" s="403"/>
      <c r="H502" s="349" t="s">
        <v>6255</v>
      </c>
      <c r="I502" s="736" t="str">
        <f t="shared" si="8"/>
        <v>NOT PAID</v>
      </c>
      <c r="J502" s="402"/>
      <c r="K502" s="402"/>
      <c r="L502" s="402"/>
      <c r="M502" s="402"/>
      <c r="N502" s="402"/>
      <c r="O502" s="402"/>
      <c r="P502" s="402"/>
      <c r="Q502" s="402"/>
      <c r="R502" s="402"/>
      <c r="S502" s="402"/>
      <c r="T502" s="402"/>
      <c r="U502" s="402"/>
      <c r="V502" s="402"/>
      <c r="W502" s="402"/>
      <c r="X502" s="402"/>
      <c r="Y502" s="402"/>
      <c r="Z502" s="402"/>
    </row>
    <row r="503" ht="14.25" customHeight="1">
      <c r="A503" s="497">
        <v>45509.0</v>
      </c>
      <c r="B503" s="755" t="s">
        <v>6181</v>
      </c>
      <c r="C503" s="755" t="s">
        <v>6131</v>
      </c>
      <c r="D503" s="668" t="s">
        <v>54</v>
      </c>
      <c r="E503" s="1064" t="s">
        <v>2165</v>
      </c>
      <c r="F503" s="760">
        <v>70000.0</v>
      </c>
      <c r="G503" s="403"/>
      <c r="H503" s="349" t="s">
        <v>6256</v>
      </c>
      <c r="I503" s="736" t="str">
        <f t="shared" si="8"/>
        <v>NOT PAID</v>
      </c>
      <c r="J503" s="402"/>
      <c r="K503" s="402"/>
      <c r="L503" s="402"/>
      <c r="M503" s="402"/>
      <c r="N503" s="402"/>
      <c r="O503" s="402"/>
      <c r="P503" s="402"/>
      <c r="Q503" s="402"/>
      <c r="R503" s="402"/>
      <c r="S503" s="402"/>
      <c r="T503" s="402"/>
      <c r="U503" s="402"/>
      <c r="V503" s="402"/>
      <c r="W503" s="402"/>
      <c r="X503" s="402"/>
      <c r="Y503" s="402"/>
      <c r="Z503" s="402"/>
    </row>
    <row r="504" ht="14.25" customHeight="1">
      <c r="A504" s="497">
        <v>45509.0</v>
      </c>
      <c r="B504" s="755" t="s">
        <v>5984</v>
      </c>
      <c r="C504" s="755" t="s">
        <v>5985</v>
      </c>
      <c r="D504" s="668" t="s">
        <v>54</v>
      </c>
      <c r="E504" s="1064" t="s">
        <v>2165</v>
      </c>
      <c r="F504" s="760">
        <v>320000.0</v>
      </c>
      <c r="G504" s="403"/>
      <c r="H504" s="349" t="s">
        <v>6257</v>
      </c>
      <c r="I504" s="736" t="str">
        <f t="shared" si="8"/>
        <v>NOT PAID</v>
      </c>
      <c r="J504" s="402"/>
      <c r="K504" s="402"/>
      <c r="L504" s="402"/>
      <c r="M504" s="402"/>
      <c r="N504" s="402"/>
      <c r="O504" s="402"/>
      <c r="P504" s="402"/>
      <c r="Q504" s="402"/>
      <c r="R504" s="402"/>
      <c r="S504" s="402"/>
      <c r="T504" s="402"/>
      <c r="U504" s="402"/>
      <c r="V504" s="402"/>
      <c r="W504" s="402"/>
      <c r="X504" s="402"/>
      <c r="Y504" s="402"/>
      <c r="Z504" s="402"/>
    </row>
    <row r="505" ht="14.25" customHeight="1">
      <c r="A505" s="497">
        <v>45509.0</v>
      </c>
      <c r="B505" s="402"/>
      <c r="C505" s="402"/>
      <c r="D505" s="1034"/>
      <c r="E505" s="403"/>
      <c r="F505" s="403"/>
      <c r="G505" s="403"/>
      <c r="H505" s="402"/>
      <c r="I505" s="736" t="str">
        <f t="shared" si="8"/>
        <v>FULLY PAID</v>
      </c>
      <c r="J505" s="402"/>
      <c r="K505" s="402"/>
      <c r="L505" s="402"/>
      <c r="M505" s="402"/>
      <c r="N505" s="402"/>
      <c r="O505" s="402"/>
      <c r="P505" s="402"/>
      <c r="Q505" s="402"/>
      <c r="R505" s="402"/>
      <c r="S505" s="402"/>
      <c r="T505" s="402"/>
      <c r="U505" s="402"/>
      <c r="V505" s="402"/>
      <c r="W505" s="402"/>
      <c r="X505" s="402"/>
      <c r="Y505" s="402"/>
      <c r="Z505" s="402"/>
    </row>
    <row r="506" ht="14.25" customHeight="1">
      <c r="A506" s="402"/>
      <c r="B506" s="402"/>
      <c r="C506" s="402"/>
      <c r="D506" s="1034"/>
      <c r="E506" s="403"/>
      <c r="F506" s="403"/>
      <c r="G506" s="403"/>
      <c r="H506" s="402"/>
      <c r="I506" s="736" t="str">
        <f t="shared" si="8"/>
        <v>FULLY PAID</v>
      </c>
      <c r="J506" s="402"/>
      <c r="K506" s="402"/>
      <c r="L506" s="402"/>
      <c r="M506" s="402"/>
      <c r="N506" s="402"/>
      <c r="O506" s="402"/>
      <c r="P506" s="402"/>
      <c r="Q506" s="402"/>
      <c r="R506" s="402"/>
      <c r="S506" s="402"/>
      <c r="T506" s="402"/>
      <c r="U506" s="402"/>
      <c r="V506" s="402"/>
      <c r="W506" s="402"/>
      <c r="X506" s="402"/>
      <c r="Y506" s="402"/>
      <c r="Z506" s="402"/>
    </row>
    <row r="507" ht="14.25" customHeight="1">
      <c r="A507" s="402"/>
      <c r="B507" s="402"/>
      <c r="C507" s="402"/>
      <c r="D507" s="1034"/>
      <c r="E507" s="403"/>
      <c r="F507" s="403"/>
      <c r="G507" s="403"/>
      <c r="H507" s="402"/>
      <c r="I507" s="736" t="str">
        <f t="shared" si="8"/>
        <v>FULLY PAID</v>
      </c>
      <c r="J507" s="402"/>
      <c r="K507" s="402"/>
      <c r="L507" s="402"/>
      <c r="M507" s="402"/>
      <c r="N507" s="402"/>
      <c r="O507" s="402"/>
      <c r="P507" s="402"/>
      <c r="Q507" s="402"/>
      <c r="R507" s="402"/>
      <c r="S507" s="402"/>
      <c r="T507" s="402"/>
      <c r="U507" s="402"/>
      <c r="V507" s="402"/>
      <c r="W507" s="402"/>
      <c r="X507" s="402"/>
      <c r="Y507" s="402"/>
      <c r="Z507" s="402"/>
    </row>
    <row r="508" ht="14.25" customHeight="1">
      <c r="A508" s="497">
        <v>45510.0</v>
      </c>
      <c r="B508" s="349" t="s">
        <v>6258</v>
      </c>
      <c r="C508" s="349" t="s">
        <v>6259</v>
      </c>
      <c r="D508" s="1032" t="s">
        <v>54</v>
      </c>
      <c r="E508" s="1" t="s">
        <v>5694</v>
      </c>
      <c r="F508" s="413">
        <v>42542.04</v>
      </c>
      <c r="G508" s="403"/>
      <c r="H508" s="455" t="s">
        <v>6260</v>
      </c>
      <c r="I508" s="736" t="str">
        <f t="shared" si="8"/>
        <v>NOT PAID</v>
      </c>
      <c r="J508" s="402"/>
      <c r="K508" s="402"/>
      <c r="L508" s="402"/>
      <c r="M508" s="402"/>
      <c r="N508" s="402"/>
      <c r="O508" s="402"/>
      <c r="P508" s="402"/>
      <c r="Q508" s="402"/>
      <c r="R508" s="402"/>
      <c r="S508" s="402"/>
      <c r="T508" s="402"/>
      <c r="U508" s="402"/>
      <c r="V508" s="402"/>
      <c r="W508" s="402"/>
      <c r="X508" s="402"/>
      <c r="Y508" s="402"/>
      <c r="Z508" s="402"/>
    </row>
    <row r="509" ht="14.25" customHeight="1">
      <c r="A509" s="497">
        <v>45510.0</v>
      </c>
      <c r="B509" s="349" t="s">
        <v>5816</v>
      </c>
      <c r="C509" s="349" t="s">
        <v>5817</v>
      </c>
      <c r="D509" s="1032" t="s">
        <v>54</v>
      </c>
      <c r="E509" s="1" t="s">
        <v>5694</v>
      </c>
      <c r="F509" s="413">
        <v>42429.7</v>
      </c>
      <c r="G509" s="403"/>
      <c r="H509" s="455" t="s">
        <v>267</v>
      </c>
      <c r="I509" s="736" t="str">
        <f t="shared" si="8"/>
        <v>NOT PAID</v>
      </c>
      <c r="J509" s="402"/>
      <c r="K509" s="402"/>
      <c r="L509" s="402"/>
      <c r="M509" s="402"/>
      <c r="N509" s="402"/>
      <c r="O509" s="402"/>
      <c r="P509" s="402"/>
      <c r="Q509" s="402"/>
      <c r="R509" s="402"/>
      <c r="S509" s="402"/>
      <c r="T509" s="402"/>
      <c r="U509" s="402"/>
      <c r="V509" s="402"/>
      <c r="W509" s="402"/>
      <c r="X509" s="402"/>
      <c r="Y509" s="402"/>
      <c r="Z509" s="402"/>
    </row>
    <row r="510" ht="14.25" customHeight="1">
      <c r="A510" s="497">
        <v>45510.0</v>
      </c>
      <c r="B510" s="349" t="s">
        <v>6261</v>
      </c>
      <c r="C510" s="349" t="s">
        <v>6262</v>
      </c>
      <c r="D510" s="1032" t="s">
        <v>54</v>
      </c>
      <c r="E510" s="2"/>
      <c r="F510" s="413">
        <v>18260.0</v>
      </c>
      <c r="G510" s="403"/>
      <c r="H510" s="402"/>
      <c r="I510" s="736" t="str">
        <f t="shared" si="8"/>
        <v>NOT PAID</v>
      </c>
      <c r="J510" s="402"/>
      <c r="K510" s="402"/>
      <c r="L510" s="402"/>
      <c r="M510" s="402"/>
      <c r="N510" s="402"/>
      <c r="O510" s="402"/>
      <c r="P510" s="402"/>
      <c r="Q510" s="402"/>
      <c r="R510" s="402"/>
      <c r="S510" s="402"/>
      <c r="T510" s="402"/>
      <c r="U510" s="402"/>
      <c r="V510" s="402"/>
      <c r="W510" s="402"/>
      <c r="X510" s="402"/>
      <c r="Y510" s="402"/>
      <c r="Z510" s="402"/>
    </row>
    <row r="511" ht="14.25" customHeight="1">
      <c r="A511" s="497">
        <v>45510.0</v>
      </c>
      <c r="B511" s="349" t="s">
        <v>6263</v>
      </c>
      <c r="C511" s="349" t="s">
        <v>6264</v>
      </c>
      <c r="D511" s="1032" t="s">
        <v>54</v>
      </c>
      <c r="E511" s="2"/>
      <c r="F511" s="413">
        <v>17111.0</v>
      </c>
      <c r="G511" s="403"/>
      <c r="H511" s="402"/>
      <c r="I511" s="736" t="str">
        <f t="shared" si="8"/>
        <v>NOT PAID</v>
      </c>
      <c r="J511" s="402"/>
      <c r="K511" s="402"/>
      <c r="L511" s="402"/>
      <c r="M511" s="402"/>
      <c r="N511" s="402"/>
      <c r="O511" s="402"/>
      <c r="P511" s="402"/>
      <c r="Q511" s="402"/>
      <c r="R511" s="402"/>
      <c r="S511" s="402"/>
      <c r="T511" s="402"/>
      <c r="U511" s="402"/>
      <c r="V511" s="402"/>
      <c r="W511" s="402"/>
      <c r="X511" s="402"/>
      <c r="Y511" s="402"/>
      <c r="Z511" s="402"/>
    </row>
    <row r="512" ht="14.25" customHeight="1">
      <c r="A512" s="497">
        <v>45510.0</v>
      </c>
      <c r="B512" s="349" t="s">
        <v>6265</v>
      </c>
      <c r="C512" s="349" t="s">
        <v>6266</v>
      </c>
      <c r="D512" s="1032" t="s">
        <v>54</v>
      </c>
      <c r="E512" s="2"/>
      <c r="F512" s="413">
        <v>26637.91</v>
      </c>
      <c r="G512" s="403"/>
      <c r="H512" s="402"/>
      <c r="I512" s="736" t="str">
        <f t="shared" si="8"/>
        <v>NOT PAID</v>
      </c>
      <c r="J512" s="402"/>
      <c r="K512" s="402"/>
      <c r="L512" s="402"/>
      <c r="M512" s="402"/>
      <c r="N512" s="402"/>
      <c r="O512" s="402"/>
      <c r="P512" s="402"/>
      <c r="Q512" s="402"/>
      <c r="R512" s="402"/>
      <c r="S512" s="402"/>
      <c r="T512" s="402"/>
      <c r="U512" s="402"/>
      <c r="V512" s="402"/>
      <c r="W512" s="402"/>
      <c r="X512" s="402"/>
      <c r="Y512" s="402"/>
      <c r="Z512" s="402"/>
    </row>
    <row r="513" ht="14.25" customHeight="1">
      <c r="A513" s="497">
        <v>45510.0</v>
      </c>
      <c r="B513" s="349" t="s">
        <v>6267</v>
      </c>
      <c r="C513" s="349" t="s">
        <v>6268</v>
      </c>
      <c r="D513" s="1032" t="s">
        <v>54</v>
      </c>
      <c r="E513" s="2"/>
      <c r="F513" s="413">
        <v>85757.45</v>
      </c>
      <c r="G513" s="403"/>
      <c r="H513" s="349" t="s">
        <v>6269</v>
      </c>
      <c r="I513" s="736" t="str">
        <f t="shared" si="8"/>
        <v>NOT PAID</v>
      </c>
      <c r="J513" s="402"/>
      <c r="K513" s="402"/>
      <c r="L513" s="402"/>
      <c r="M513" s="402"/>
      <c r="N513" s="402"/>
      <c r="O513" s="402"/>
      <c r="P513" s="402"/>
      <c r="Q513" s="402"/>
      <c r="R513" s="402"/>
      <c r="S513" s="402"/>
      <c r="T513" s="402"/>
      <c r="U513" s="402"/>
      <c r="V513" s="402"/>
      <c r="W513" s="402"/>
      <c r="X513" s="402"/>
      <c r="Y513" s="402"/>
      <c r="Z513" s="402"/>
    </row>
    <row r="514" ht="14.25" customHeight="1">
      <c r="A514" s="497">
        <v>45510.0</v>
      </c>
      <c r="B514" s="349" t="s">
        <v>6270</v>
      </c>
      <c r="C514" s="349" t="s">
        <v>6271</v>
      </c>
      <c r="D514" s="1032" t="s">
        <v>54</v>
      </c>
      <c r="E514" s="1" t="s">
        <v>5694</v>
      </c>
      <c r="F514" s="413">
        <v>21612.49</v>
      </c>
      <c r="G514" s="403"/>
      <c r="H514" s="455" t="s">
        <v>2200</v>
      </c>
      <c r="I514" s="736" t="str">
        <f t="shared" si="8"/>
        <v>NOT PAID</v>
      </c>
      <c r="J514" s="402"/>
      <c r="K514" s="402"/>
      <c r="L514" s="402"/>
      <c r="M514" s="402"/>
      <c r="N514" s="402"/>
      <c r="O514" s="402"/>
      <c r="P514" s="402"/>
      <c r="Q514" s="402"/>
      <c r="R514" s="402"/>
      <c r="S514" s="402"/>
      <c r="T514" s="402"/>
      <c r="U514" s="402"/>
      <c r="V514" s="402"/>
      <c r="W514" s="402"/>
      <c r="X514" s="402"/>
      <c r="Y514" s="402"/>
      <c r="Z514" s="402"/>
    </row>
    <row r="515" ht="14.25" customHeight="1">
      <c r="A515" s="497">
        <v>45510.0</v>
      </c>
      <c r="B515" s="349" t="s">
        <v>6272</v>
      </c>
      <c r="C515" s="349" t="s">
        <v>6273</v>
      </c>
      <c r="D515" s="1032" t="s">
        <v>54</v>
      </c>
      <c r="E515" s="1" t="s">
        <v>5694</v>
      </c>
      <c r="F515" s="413">
        <v>16159.88</v>
      </c>
      <c r="G515" s="403"/>
      <c r="H515" s="455" t="s">
        <v>2200</v>
      </c>
      <c r="I515" s="736" t="str">
        <f t="shared" si="8"/>
        <v>NOT PAID</v>
      </c>
      <c r="J515" s="402"/>
      <c r="K515" s="402"/>
      <c r="L515" s="402"/>
      <c r="M515" s="402"/>
      <c r="N515" s="402"/>
      <c r="O515" s="402"/>
      <c r="P515" s="402"/>
      <c r="Q515" s="402"/>
      <c r="R515" s="402"/>
      <c r="S515" s="402"/>
      <c r="T515" s="402"/>
      <c r="U515" s="402"/>
      <c r="V515" s="402"/>
      <c r="W515" s="402"/>
      <c r="X515" s="402"/>
      <c r="Y515" s="402"/>
      <c r="Z515" s="402"/>
    </row>
    <row r="516" ht="14.25" customHeight="1">
      <c r="A516" s="497">
        <v>45510.0</v>
      </c>
      <c r="B516" s="349" t="s">
        <v>6274</v>
      </c>
      <c r="C516" s="349" t="s">
        <v>6275</v>
      </c>
      <c r="D516" s="1032" t="s">
        <v>54</v>
      </c>
      <c r="E516" s="1" t="s">
        <v>5623</v>
      </c>
      <c r="F516" s="413">
        <v>61333.0</v>
      </c>
      <c r="G516" s="413">
        <v>61333.0</v>
      </c>
      <c r="H516" s="349" t="s">
        <v>267</v>
      </c>
      <c r="I516" s="736" t="str">
        <f t="shared" si="8"/>
        <v>FULLY PAID</v>
      </c>
      <c r="J516" s="402"/>
      <c r="K516" s="402"/>
      <c r="L516" s="402"/>
      <c r="M516" s="402"/>
      <c r="N516" s="402"/>
      <c r="O516" s="402"/>
      <c r="P516" s="402"/>
      <c r="Q516" s="402"/>
      <c r="R516" s="402"/>
      <c r="S516" s="402"/>
      <c r="T516" s="402"/>
      <c r="U516" s="402"/>
      <c r="V516" s="402"/>
      <c r="W516" s="402"/>
      <c r="X516" s="402"/>
      <c r="Y516" s="402"/>
      <c r="Z516" s="402"/>
    </row>
    <row r="517" ht="14.25" customHeight="1">
      <c r="A517" s="497">
        <v>45510.0</v>
      </c>
      <c r="B517" s="349" t="s">
        <v>6276</v>
      </c>
      <c r="C517" s="349" t="s">
        <v>6277</v>
      </c>
      <c r="D517" s="1032" t="s">
        <v>54</v>
      </c>
      <c r="E517" s="1" t="s">
        <v>5694</v>
      </c>
      <c r="F517" s="413">
        <v>20450.71</v>
      </c>
      <c r="G517" s="403"/>
      <c r="H517" s="455" t="s">
        <v>6278</v>
      </c>
      <c r="I517" s="736" t="str">
        <f t="shared" si="8"/>
        <v>NOT PAID</v>
      </c>
      <c r="J517" s="402"/>
      <c r="K517" s="402"/>
      <c r="L517" s="402"/>
      <c r="M517" s="402"/>
      <c r="N517" s="402"/>
      <c r="O517" s="402"/>
      <c r="P517" s="402"/>
      <c r="Q517" s="402"/>
      <c r="R517" s="402"/>
      <c r="S517" s="402"/>
      <c r="T517" s="402"/>
      <c r="U517" s="402"/>
      <c r="V517" s="402"/>
      <c r="W517" s="402"/>
      <c r="X517" s="402"/>
      <c r="Y517" s="402"/>
      <c r="Z517" s="402"/>
    </row>
    <row r="518" ht="14.25" customHeight="1">
      <c r="A518" s="497">
        <v>45510.0</v>
      </c>
      <c r="B518" s="349" t="s">
        <v>6175</v>
      </c>
      <c r="C518" s="349" t="s">
        <v>6176</v>
      </c>
      <c r="D518" s="1032" t="s">
        <v>54</v>
      </c>
      <c r="E518" s="2"/>
      <c r="F518" s="413">
        <v>89284.18</v>
      </c>
      <c r="G518" s="413">
        <v>30000.0</v>
      </c>
      <c r="H518" s="349" t="s">
        <v>267</v>
      </c>
      <c r="I518" s="736" t="str">
        <f t="shared" si="8"/>
        <v>PARTIALLY PAID</v>
      </c>
      <c r="J518" s="402"/>
      <c r="K518" s="402"/>
      <c r="L518" s="402"/>
      <c r="M518" s="402"/>
      <c r="N518" s="402"/>
      <c r="O518" s="402"/>
      <c r="P518" s="402"/>
      <c r="Q518" s="402"/>
      <c r="R518" s="402"/>
      <c r="S518" s="402"/>
      <c r="T518" s="402"/>
      <c r="U518" s="402"/>
      <c r="V518" s="402"/>
      <c r="W518" s="402"/>
      <c r="X518" s="402"/>
      <c r="Y518" s="402"/>
      <c r="Z518" s="402"/>
    </row>
    <row r="519" ht="14.25" customHeight="1">
      <c r="A519" s="497">
        <v>45510.0</v>
      </c>
      <c r="B519" s="349" t="s">
        <v>6279</v>
      </c>
      <c r="C519" s="349" t="s">
        <v>6280</v>
      </c>
      <c r="D519" s="1032" t="s">
        <v>54</v>
      </c>
      <c r="E519" s="1" t="s">
        <v>5694</v>
      </c>
      <c r="F519" s="413">
        <v>249766.0</v>
      </c>
      <c r="G519" s="413">
        <v>249766.0</v>
      </c>
      <c r="H519" s="349" t="s">
        <v>267</v>
      </c>
      <c r="I519" s="736" t="str">
        <f t="shared" si="8"/>
        <v>FULLY PAID</v>
      </c>
      <c r="J519" s="402"/>
      <c r="K519" s="402"/>
      <c r="L519" s="402"/>
      <c r="M519" s="402"/>
      <c r="N519" s="402"/>
      <c r="O519" s="402"/>
      <c r="P519" s="402"/>
      <c r="Q519" s="402"/>
      <c r="R519" s="402"/>
      <c r="S519" s="402"/>
      <c r="T519" s="402"/>
      <c r="U519" s="402"/>
      <c r="V519" s="402"/>
      <c r="W519" s="402"/>
      <c r="X519" s="402"/>
      <c r="Y519" s="402"/>
      <c r="Z519" s="402"/>
    </row>
    <row r="520" ht="14.25" customHeight="1">
      <c r="A520" s="497">
        <v>45510.0</v>
      </c>
      <c r="B520" s="349" t="s">
        <v>6281</v>
      </c>
      <c r="C520" s="349" t="s">
        <v>6282</v>
      </c>
      <c r="D520" s="1032" t="s">
        <v>54</v>
      </c>
      <c r="E520" s="2"/>
      <c r="F520" s="413">
        <v>35856.0</v>
      </c>
      <c r="G520" s="403"/>
      <c r="H520" s="402"/>
      <c r="I520" s="736" t="str">
        <f t="shared" si="8"/>
        <v>NOT PAID</v>
      </c>
      <c r="J520" s="402"/>
      <c r="K520" s="402"/>
      <c r="L520" s="402"/>
      <c r="M520" s="402"/>
      <c r="N520" s="402"/>
      <c r="O520" s="402"/>
      <c r="P520" s="402"/>
      <c r="Q520" s="402"/>
      <c r="R520" s="402"/>
      <c r="S520" s="402"/>
      <c r="T520" s="402"/>
      <c r="U520" s="402"/>
      <c r="V520" s="402"/>
      <c r="W520" s="402"/>
      <c r="X520" s="402"/>
      <c r="Y520" s="402"/>
      <c r="Z520" s="402"/>
    </row>
    <row r="521" ht="14.25" customHeight="1">
      <c r="A521" s="497">
        <v>45510.0</v>
      </c>
      <c r="B521" s="349" t="s">
        <v>6283</v>
      </c>
      <c r="C521" s="349" t="s">
        <v>6284</v>
      </c>
      <c r="D521" s="1032" t="s">
        <v>54</v>
      </c>
      <c r="E521" s="1" t="s">
        <v>5623</v>
      </c>
      <c r="F521" s="413">
        <v>80260.2</v>
      </c>
      <c r="G521" s="413">
        <v>17000.0</v>
      </c>
      <c r="H521" s="349" t="s">
        <v>267</v>
      </c>
      <c r="I521" s="736" t="str">
        <f t="shared" si="8"/>
        <v>PARTIALLY PAID</v>
      </c>
      <c r="J521" s="402"/>
      <c r="K521" s="402"/>
      <c r="L521" s="402"/>
      <c r="M521" s="402"/>
      <c r="N521" s="402"/>
      <c r="O521" s="402"/>
      <c r="P521" s="402"/>
      <c r="Q521" s="402"/>
      <c r="R521" s="402"/>
      <c r="S521" s="402"/>
      <c r="T521" s="402"/>
      <c r="U521" s="402"/>
      <c r="V521" s="402"/>
      <c r="W521" s="402"/>
      <c r="X521" s="402"/>
      <c r="Y521" s="402"/>
      <c r="Z521" s="402"/>
    </row>
    <row r="522" ht="14.25" customHeight="1">
      <c r="A522" s="497">
        <v>45510.0</v>
      </c>
      <c r="B522" s="349" t="s">
        <v>6285</v>
      </c>
      <c r="C522" s="349" t="s">
        <v>6286</v>
      </c>
      <c r="D522" s="1032" t="s">
        <v>54</v>
      </c>
      <c r="E522" s="2"/>
      <c r="F522" s="413">
        <v>11000.0</v>
      </c>
      <c r="G522" s="413">
        <v>11000.0</v>
      </c>
      <c r="H522" s="349" t="s">
        <v>267</v>
      </c>
      <c r="I522" s="736" t="str">
        <f t="shared" si="8"/>
        <v>FULLY PAID</v>
      </c>
      <c r="J522" s="402"/>
      <c r="K522" s="402"/>
      <c r="L522" s="402"/>
      <c r="M522" s="402"/>
      <c r="N522" s="402"/>
      <c r="O522" s="402"/>
      <c r="P522" s="402"/>
      <c r="Q522" s="402"/>
      <c r="R522" s="402"/>
      <c r="S522" s="402"/>
      <c r="T522" s="402"/>
      <c r="U522" s="402"/>
      <c r="V522" s="402"/>
      <c r="W522" s="402"/>
      <c r="X522" s="402"/>
      <c r="Y522" s="402"/>
      <c r="Z522" s="402"/>
    </row>
    <row r="523" ht="14.25" customHeight="1">
      <c r="A523" s="497">
        <v>45510.0</v>
      </c>
      <c r="B523" s="349" t="s">
        <v>6156</v>
      </c>
      <c r="C523" s="349" t="s">
        <v>5641</v>
      </c>
      <c r="D523" s="1032" t="s">
        <v>67</v>
      </c>
      <c r="E523" s="1" t="s">
        <v>6104</v>
      </c>
      <c r="F523" s="413">
        <v>1000000.0</v>
      </c>
      <c r="G523" s="413">
        <v>1000000.0</v>
      </c>
      <c r="H523" s="349" t="s">
        <v>267</v>
      </c>
      <c r="I523" s="736" t="str">
        <f t="shared" si="8"/>
        <v>FULLY PAID</v>
      </c>
      <c r="J523" s="402"/>
      <c r="K523" s="402"/>
      <c r="L523" s="402"/>
      <c r="M523" s="402"/>
      <c r="N523" s="402"/>
      <c r="O523" s="402"/>
      <c r="P523" s="402"/>
      <c r="Q523" s="402"/>
      <c r="R523" s="402"/>
      <c r="S523" s="402"/>
      <c r="T523" s="402"/>
      <c r="U523" s="402"/>
      <c r="V523" s="402"/>
      <c r="W523" s="402"/>
      <c r="X523" s="402"/>
      <c r="Y523" s="402"/>
      <c r="Z523" s="402"/>
    </row>
    <row r="524" ht="14.25" customHeight="1">
      <c r="A524" s="497">
        <v>45510.0</v>
      </c>
      <c r="B524" s="349" t="s">
        <v>6213</v>
      </c>
      <c r="C524" s="349" t="s">
        <v>6214</v>
      </c>
      <c r="D524" s="1032" t="s">
        <v>54</v>
      </c>
      <c r="E524" s="1" t="s">
        <v>5623</v>
      </c>
      <c r="F524" s="413">
        <v>27000.0</v>
      </c>
      <c r="G524" s="413">
        <v>27000.0</v>
      </c>
      <c r="H524" s="349" t="s">
        <v>267</v>
      </c>
      <c r="I524" s="736" t="str">
        <f t="shared" si="8"/>
        <v>FULLY PAID</v>
      </c>
      <c r="J524" s="402"/>
      <c r="K524" s="402"/>
      <c r="L524" s="402"/>
      <c r="M524" s="402"/>
      <c r="N524" s="402"/>
      <c r="O524" s="402"/>
      <c r="P524" s="402"/>
      <c r="Q524" s="402"/>
      <c r="R524" s="402"/>
      <c r="S524" s="402"/>
      <c r="T524" s="402"/>
      <c r="U524" s="402"/>
      <c r="V524" s="402"/>
      <c r="W524" s="402"/>
      <c r="X524" s="402"/>
      <c r="Y524" s="402"/>
      <c r="Z524" s="402"/>
    </row>
    <row r="525" ht="14.25" customHeight="1">
      <c r="A525" s="497">
        <v>45510.0</v>
      </c>
      <c r="B525" s="349" t="s">
        <v>6187</v>
      </c>
      <c r="C525" s="349" t="s">
        <v>6188</v>
      </c>
      <c r="D525" s="1032" t="s">
        <v>54</v>
      </c>
      <c r="E525" s="413" t="s">
        <v>5623</v>
      </c>
      <c r="F525" s="413">
        <v>18873.37</v>
      </c>
      <c r="G525" s="403"/>
      <c r="H525" s="349" t="s">
        <v>267</v>
      </c>
      <c r="I525" s="736" t="str">
        <f t="shared" si="8"/>
        <v>NOT PAID</v>
      </c>
      <c r="J525" s="402"/>
      <c r="K525" s="402"/>
      <c r="L525" s="402"/>
      <c r="M525" s="402"/>
      <c r="N525" s="402"/>
      <c r="O525" s="402"/>
      <c r="P525" s="402"/>
      <c r="Q525" s="402"/>
      <c r="R525" s="402"/>
      <c r="S525" s="402"/>
      <c r="T525" s="402"/>
      <c r="U525" s="402"/>
      <c r="V525" s="402"/>
      <c r="W525" s="402"/>
      <c r="X525" s="402"/>
      <c r="Y525" s="402"/>
      <c r="Z525" s="402"/>
    </row>
    <row r="526" ht="14.25" customHeight="1">
      <c r="A526" s="497">
        <v>45510.0</v>
      </c>
      <c r="B526" s="349" t="s">
        <v>6190</v>
      </c>
      <c r="C526" s="349" t="s">
        <v>6034</v>
      </c>
      <c r="D526" s="1032" t="s">
        <v>54</v>
      </c>
      <c r="E526" s="413" t="s">
        <v>5694</v>
      </c>
      <c r="F526" s="413">
        <v>31819.33</v>
      </c>
      <c r="G526" s="403"/>
      <c r="H526" s="349" t="s">
        <v>6287</v>
      </c>
      <c r="I526" s="736" t="str">
        <f t="shared" si="8"/>
        <v>NOT PAID</v>
      </c>
      <c r="J526" s="402"/>
      <c r="K526" s="402"/>
      <c r="L526" s="402"/>
      <c r="M526" s="402"/>
      <c r="N526" s="402"/>
      <c r="O526" s="402"/>
      <c r="P526" s="402"/>
      <c r="Q526" s="402"/>
      <c r="R526" s="402"/>
      <c r="S526" s="402"/>
      <c r="T526" s="402"/>
      <c r="U526" s="402"/>
      <c r="V526" s="402"/>
      <c r="W526" s="402"/>
      <c r="X526" s="402"/>
      <c r="Y526" s="402"/>
      <c r="Z526" s="402"/>
    </row>
    <row r="527" ht="14.25" customHeight="1">
      <c r="A527" s="497">
        <v>45510.0</v>
      </c>
      <c r="B527" s="349" t="s">
        <v>6192</v>
      </c>
      <c r="C527" s="349" t="s">
        <v>6193</v>
      </c>
      <c r="D527" s="1032" t="s">
        <v>54</v>
      </c>
      <c r="E527" s="413" t="s">
        <v>5694</v>
      </c>
      <c r="F527" s="413">
        <v>31180.9</v>
      </c>
      <c r="G527" s="413">
        <v>36750.0</v>
      </c>
      <c r="H527" s="349" t="s">
        <v>6288</v>
      </c>
      <c r="I527" s="736" t="str">
        <f t="shared" si="8"/>
        <v>FULLY PAID</v>
      </c>
      <c r="J527" s="402"/>
      <c r="K527" s="402"/>
      <c r="L527" s="402"/>
      <c r="M527" s="402"/>
      <c r="N527" s="402"/>
      <c r="O527" s="402"/>
      <c r="P527" s="402"/>
      <c r="Q527" s="402"/>
      <c r="R527" s="402"/>
      <c r="S527" s="402"/>
      <c r="T527" s="402"/>
      <c r="U527" s="402"/>
      <c r="V527" s="402"/>
      <c r="W527" s="402"/>
      <c r="X527" s="402"/>
      <c r="Y527" s="402"/>
      <c r="Z527" s="402"/>
    </row>
    <row r="528" ht="14.25" customHeight="1">
      <c r="A528" s="497">
        <v>45510.0</v>
      </c>
      <c r="B528" s="349" t="s">
        <v>6194</v>
      </c>
      <c r="C528" s="349" t="s">
        <v>6195</v>
      </c>
      <c r="D528" s="1032" t="s">
        <v>54</v>
      </c>
      <c r="E528" s="413" t="s">
        <v>5623</v>
      </c>
      <c r="F528" s="413">
        <v>31188.41</v>
      </c>
      <c r="G528" s="403"/>
      <c r="H528" s="349" t="s">
        <v>6289</v>
      </c>
      <c r="I528" s="736" t="str">
        <f t="shared" si="8"/>
        <v>NOT PAID</v>
      </c>
      <c r="J528" s="402"/>
      <c r="K528" s="402"/>
      <c r="L528" s="402"/>
      <c r="M528" s="402"/>
      <c r="N528" s="402"/>
      <c r="O528" s="402"/>
      <c r="P528" s="402"/>
      <c r="Q528" s="402"/>
      <c r="R528" s="402"/>
      <c r="S528" s="402"/>
      <c r="T528" s="402"/>
      <c r="U528" s="402"/>
      <c r="V528" s="402"/>
      <c r="W528" s="402"/>
      <c r="X528" s="402"/>
      <c r="Y528" s="402"/>
      <c r="Z528" s="402"/>
    </row>
    <row r="529" ht="14.25" customHeight="1">
      <c r="A529" s="497">
        <v>45510.0</v>
      </c>
      <c r="B529" s="349" t="s">
        <v>6200</v>
      </c>
      <c r="C529" s="349" t="s">
        <v>6201</v>
      </c>
      <c r="D529" s="1032" t="s">
        <v>54</v>
      </c>
      <c r="E529" s="403"/>
      <c r="F529" s="413">
        <v>15334.0</v>
      </c>
      <c r="G529" s="403"/>
      <c r="H529" s="402"/>
      <c r="I529" s="736" t="str">
        <f t="shared" si="8"/>
        <v>NOT PAID</v>
      </c>
      <c r="J529" s="402"/>
      <c r="K529" s="402"/>
      <c r="L529" s="402"/>
      <c r="M529" s="402"/>
      <c r="N529" s="402"/>
      <c r="O529" s="402"/>
      <c r="P529" s="402"/>
      <c r="Q529" s="402"/>
      <c r="R529" s="402"/>
      <c r="S529" s="402"/>
      <c r="T529" s="402"/>
      <c r="U529" s="402"/>
      <c r="V529" s="402"/>
      <c r="W529" s="402"/>
      <c r="X529" s="402"/>
      <c r="Y529" s="402"/>
      <c r="Z529" s="402"/>
    </row>
    <row r="530" ht="14.25" customHeight="1">
      <c r="A530" s="497">
        <v>45510.0</v>
      </c>
      <c r="B530" s="349" t="s">
        <v>6202</v>
      </c>
      <c r="C530" s="349" t="s">
        <v>6203</v>
      </c>
      <c r="D530" s="1032" t="s">
        <v>54</v>
      </c>
      <c r="E530" s="403"/>
      <c r="F530" s="413">
        <v>79956.25</v>
      </c>
      <c r="G530" s="403"/>
      <c r="H530" s="402"/>
      <c r="I530" s="736" t="str">
        <f t="shared" si="8"/>
        <v>NOT PAID</v>
      </c>
      <c r="J530" s="402"/>
      <c r="K530" s="402"/>
      <c r="L530" s="402"/>
      <c r="M530" s="402"/>
      <c r="N530" s="402"/>
      <c r="O530" s="402"/>
      <c r="P530" s="402"/>
      <c r="Q530" s="402"/>
      <c r="R530" s="402"/>
      <c r="S530" s="402"/>
      <c r="T530" s="402"/>
      <c r="U530" s="402"/>
      <c r="V530" s="402"/>
      <c r="W530" s="402"/>
      <c r="X530" s="402"/>
      <c r="Y530" s="402"/>
      <c r="Z530" s="402"/>
    </row>
    <row r="531" ht="14.25" customHeight="1">
      <c r="A531" s="497">
        <v>45510.0</v>
      </c>
      <c r="B531" s="349" t="s">
        <v>6204</v>
      </c>
      <c r="C531" s="349" t="s">
        <v>6205</v>
      </c>
      <c r="D531" s="1032" t="s">
        <v>54</v>
      </c>
      <c r="E531" s="403"/>
      <c r="F531" s="413">
        <v>22199.39</v>
      </c>
      <c r="G531" s="403"/>
      <c r="H531" s="349" t="s">
        <v>267</v>
      </c>
      <c r="I531" s="736" t="str">
        <f t="shared" si="8"/>
        <v>NOT PAID</v>
      </c>
      <c r="J531" s="402"/>
      <c r="K531" s="402"/>
      <c r="L531" s="402"/>
      <c r="M531" s="402"/>
      <c r="N531" s="402"/>
      <c r="O531" s="402"/>
      <c r="P531" s="402"/>
      <c r="Q531" s="402"/>
      <c r="R531" s="402"/>
      <c r="S531" s="402"/>
      <c r="T531" s="402"/>
      <c r="U531" s="402"/>
      <c r="V531" s="402"/>
      <c r="W531" s="402"/>
      <c r="X531" s="402"/>
      <c r="Y531" s="402"/>
      <c r="Z531" s="402"/>
    </row>
    <row r="532" ht="14.25" customHeight="1">
      <c r="A532" s="497">
        <v>45510.0</v>
      </c>
      <c r="B532" s="349" t="s">
        <v>6209</v>
      </c>
      <c r="C532" s="349" t="s">
        <v>6210</v>
      </c>
      <c r="D532" s="1032" t="s">
        <v>54</v>
      </c>
      <c r="E532" s="413" t="s">
        <v>5694</v>
      </c>
      <c r="F532" s="413">
        <v>21598.07</v>
      </c>
      <c r="G532" s="413">
        <v>25000.0</v>
      </c>
      <c r="H532" s="349" t="s">
        <v>6290</v>
      </c>
      <c r="I532" s="736" t="str">
        <f t="shared" si="8"/>
        <v>FULLY PAID</v>
      </c>
      <c r="J532" s="402"/>
      <c r="K532" s="402"/>
      <c r="L532" s="402"/>
      <c r="M532" s="402"/>
      <c r="N532" s="402"/>
      <c r="O532" s="402"/>
      <c r="P532" s="402"/>
      <c r="Q532" s="402"/>
      <c r="R532" s="402"/>
      <c r="S532" s="402"/>
      <c r="T532" s="402"/>
      <c r="U532" s="402"/>
      <c r="V532" s="402"/>
      <c r="W532" s="402"/>
      <c r="X532" s="402"/>
      <c r="Y532" s="402"/>
      <c r="Z532" s="402"/>
    </row>
    <row r="533" ht="14.25" customHeight="1">
      <c r="A533" s="497">
        <v>45510.0</v>
      </c>
      <c r="B533" s="349" t="s">
        <v>6213</v>
      </c>
      <c r="C533" s="349" t="s">
        <v>6214</v>
      </c>
      <c r="D533" s="1032" t="s">
        <v>54</v>
      </c>
      <c r="E533" s="413" t="s">
        <v>5623</v>
      </c>
      <c r="F533" s="413">
        <v>24380.04</v>
      </c>
      <c r="G533" s="403"/>
      <c r="H533" s="349" t="s">
        <v>267</v>
      </c>
      <c r="I533" s="736" t="str">
        <f t="shared" si="8"/>
        <v>NOT PAID</v>
      </c>
      <c r="J533" s="402"/>
      <c r="K533" s="402"/>
      <c r="L533" s="402"/>
      <c r="M533" s="402"/>
      <c r="N533" s="402"/>
      <c r="O533" s="402"/>
      <c r="P533" s="402"/>
      <c r="Q533" s="402"/>
      <c r="R533" s="402"/>
      <c r="S533" s="402"/>
      <c r="T533" s="402"/>
      <c r="U533" s="402"/>
      <c r="V533" s="402"/>
      <c r="W533" s="402"/>
      <c r="X533" s="402"/>
      <c r="Y533" s="402"/>
      <c r="Z533" s="402"/>
    </row>
    <row r="534" ht="14.25" customHeight="1">
      <c r="A534" s="497">
        <v>45510.0</v>
      </c>
      <c r="B534" s="349" t="s">
        <v>6067</v>
      </c>
      <c r="C534" s="349" t="s">
        <v>6068</v>
      </c>
      <c r="D534" s="1032" t="s">
        <v>54</v>
      </c>
      <c r="E534" s="413" t="s">
        <v>5623</v>
      </c>
      <c r="F534" s="413">
        <v>47191.96</v>
      </c>
      <c r="G534" s="403"/>
      <c r="H534" s="349" t="s">
        <v>6291</v>
      </c>
      <c r="I534" s="736" t="str">
        <f t="shared" si="8"/>
        <v>NOT PAID</v>
      </c>
      <c r="J534" s="402"/>
      <c r="K534" s="402"/>
      <c r="L534" s="402"/>
      <c r="M534" s="402"/>
      <c r="N534" s="402"/>
      <c r="O534" s="402"/>
      <c r="P534" s="402"/>
      <c r="Q534" s="402"/>
      <c r="R534" s="402"/>
      <c r="S534" s="402"/>
      <c r="T534" s="402"/>
      <c r="U534" s="402"/>
      <c r="V534" s="402"/>
      <c r="W534" s="402"/>
      <c r="X534" s="402"/>
      <c r="Y534" s="402"/>
      <c r="Z534" s="402"/>
    </row>
    <row r="535" ht="14.25" customHeight="1">
      <c r="A535" s="497">
        <v>45510.0</v>
      </c>
      <c r="B535" s="349" t="s">
        <v>6218</v>
      </c>
      <c r="C535" s="349" t="s">
        <v>6219</v>
      </c>
      <c r="D535" s="1032" t="s">
        <v>54</v>
      </c>
      <c r="E535" s="413" t="s">
        <v>5623</v>
      </c>
      <c r="F535" s="413">
        <v>55405.96</v>
      </c>
      <c r="G535" s="403"/>
      <c r="H535" s="349" t="s">
        <v>6292</v>
      </c>
      <c r="I535" s="736" t="str">
        <f t="shared" si="8"/>
        <v>NOT PAID</v>
      </c>
      <c r="J535" s="402"/>
      <c r="K535" s="402"/>
      <c r="L535" s="402"/>
      <c r="M535" s="402"/>
      <c r="N535" s="402"/>
      <c r="O535" s="402"/>
      <c r="P535" s="402"/>
      <c r="Q535" s="402"/>
      <c r="R535" s="402"/>
      <c r="S535" s="402"/>
      <c r="T535" s="402"/>
      <c r="U535" s="402"/>
      <c r="V535" s="402"/>
      <c r="W535" s="402"/>
      <c r="X535" s="402"/>
      <c r="Y535" s="402"/>
      <c r="Z535" s="402"/>
    </row>
    <row r="536" ht="14.25" customHeight="1">
      <c r="A536" s="497">
        <v>45510.0</v>
      </c>
      <c r="B536" s="349" t="s">
        <v>6221</v>
      </c>
      <c r="C536" s="349" t="s">
        <v>6222</v>
      </c>
      <c r="D536" s="1032" t="s">
        <v>54</v>
      </c>
      <c r="E536" s="403"/>
      <c r="F536" s="413">
        <v>33140.07</v>
      </c>
      <c r="G536" s="403"/>
      <c r="H536" s="402"/>
      <c r="I536" s="736" t="str">
        <f t="shared" si="8"/>
        <v>NOT PAID</v>
      </c>
      <c r="J536" s="402"/>
      <c r="K536" s="402"/>
      <c r="L536" s="402"/>
      <c r="M536" s="402"/>
      <c r="N536" s="402"/>
      <c r="O536" s="402"/>
      <c r="P536" s="402"/>
      <c r="Q536" s="402"/>
      <c r="R536" s="402"/>
      <c r="S536" s="402"/>
      <c r="T536" s="402"/>
      <c r="U536" s="402"/>
      <c r="V536" s="402"/>
      <c r="W536" s="402"/>
      <c r="X536" s="402"/>
      <c r="Y536" s="402"/>
      <c r="Z536" s="402"/>
    </row>
    <row r="537" ht="14.25" customHeight="1">
      <c r="A537" s="497">
        <v>45510.0</v>
      </c>
      <c r="B537" s="349" t="s">
        <v>6226</v>
      </c>
      <c r="C537" s="349" t="s">
        <v>6227</v>
      </c>
      <c r="D537" s="1032" t="s">
        <v>54</v>
      </c>
      <c r="E537" s="403"/>
      <c r="F537" s="413">
        <v>12218.0</v>
      </c>
      <c r="G537" s="403"/>
      <c r="H537" s="402"/>
      <c r="I537" s="736" t="str">
        <f t="shared" si="8"/>
        <v>NOT PAID</v>
      </c>
      <c r="J537" s="402"/>
      <c r="K537" s="402"/>
      <c r="L537" s="402"/>
      <c r="M537" s="402"/>
      <c r="N537" s="402"/>
      <c r="O537" s="402"/>
      <c r="P537" s="402"/>
      <c r="Q537" s="402"/>
      <c r="R537" s="402"/>
      <c r="S537" s="402"/>
      <c r="T537" s="402"/>
      <c r="U537" s="402"/>
      <c r="V537" s="402"/>
      <c r="W537" s="402"/>
      <c r="X537" s="402"/>
      <c r="Y537" s="402"/>
      <c r="Z537" s="402"/>
    </row>
    <row r="538" ht="14.25" customHeight="1">
      <c r="A538" s="497">
        <v>45510.0</v>
      </c>
      <c r="B538" s="349" t="s">
        <v>6228</v>
      </c>
      <c r="C538" s="349" t="s">
        <v>6229</v>
      </c>
      <c r="D538" s="1032" t="s">
        <v>67</v>
      </c>
      <c r="E538" s="403"/>
      <c r="F538" s="413">
        <v>12350.0</v>
      </c>
      <c r="G538" s="403"/>
      <c r="H538" s="402"/>
      <c r="I538" s="736" t="str">
        <f t="shared" si="8"/>
        <v>NOT PAID</v>
      </c>
      <c r="J538" s="402"/>
      <c r="K538" s="402"/>
      <c r="L538" s="402"/>
      <c r="M538" s="402"/>
      <c r="N538" s="402"/>
      <c r="O538" s="402"/>
      <c r="P538" s="402"/>
      <c r="Q538" s="402"/>
      <c r="R538" s="402"/>
      <c r="S538" s="402"/>
      <c r="T538" s="402"/>
      <c r="U538" s="402"/>
      <c r="V538" s="402"/>
      <c r="W538" s="402"/>
      <c r="X538" s="402"/>
      <c r="Y538" s="402"/>
      <c r="Z538" s="402"/>
    </row>
    <row r="539" ht="14.25" customHeight="1">
      <c r="A539" s="497">
        <v>45510.0</v>
      </c>
      <c r="B539" s="349" t="s">
        <v>6230</v>
      </c>
      <c r="C539" s="349" t="s">
        <v>6231</v>
      </c>
      <c r="D539" s="1032" t="s">
        <v>54</v>
      </c>
      <c r="E539" s="413" t="s">
        <v>5694</v>
      </c>
      <c r="F539" s="413">
        <v>45560.0</v>
      </c>
      <c r="G539" s="413">
        <v>45560.0</v>
      </c>
      <c r="H539" s="349" t="s">
        <v>267</v>
      </c>
      <c r="I539" s="736" t="str">
        <f t="shared" si="8"/>
        <v>FULLY PAID</v>
      </c>
      <c r="J539" s="402"/>
      <c r="K539" s="402"/>
      <c r="L539" s="402"/>
      <c r="M539" s="402"/>
      <c r="N539" s="402"/>
      <c r="O539" s="402"/>
      <c r="P539" s="402"/>
      <c r="Q539" s="402"/>
      <c r="R539" s="402"/>
      <c r="S539" s="402"/>
      <c r="T539" s="402"/>
      <c r="U539" s="402"/>
      <c r="V539" s="402"/>
      <c r="W539" s="402"/>
      <c r="X539" s="402"/>
      <c r="Y539" s="402"/>
      <c r="Z539" s="402"/>
    </row>
    <row r="540" ht="14.25" customHeight="1">
      <c r="A540" s="497">
        <v>45510.0</v>
      </c>
      <c r="B540" s="349" t="s">
        <v>6233</v>
      </c>
      <c r="C540" s="349" t="s">
        <v>6234</v>
      </c>
      <c r="D540" s="1032" t="s">
        <v>54</v>
      </c>
      <c r="E540" s="413" t="s">
        <v>5694</v>
      </c>
      <c r="F540" s="413">
        <v>17200.0</v>
      </c>
      <c r="G540" s="403"/>
      <c r="H540" s="349" t="s">
        <v>2200</v>
      </c>
      <c r="I540" s="736" t="str">
        <f t="shared" si="8"/>
        <v>NOT PAID</v>
      </c>
      <c r="J540" s="402"/>
      <c r="K540" s="402"/>
      <c r="L540" s="402"/>
      <c r="M540" s="402"/>
      <c r="N540" s="402"/>
      <c r="O540" s="402"/>
      <c r="P540" s="402"/>
      <c r="Q540" s="402"/>
      <c r="R540" s="402"/>
      <c r="S540" s="402"/>
      <c r="T540" s="402"/>
      <c r="U540" s="402"/>
      <c r="V540" s="402"/>
      <c r="W540" s="402"/>
      <c r="X540" s="402"/>
      <c r="Y540" s="402"/>
      <c r="Z540" s="402"/>
    </row>
    <row r="541" ht="14.25" customHeight="1">
      <c r="A541" s="497">
        <v>45510.0</v>
      </c>
      <c r="B541" s="443" t="s">
        <v>5624</v>
      </c>
      <c r="C541" s="349" t="s">
        <v>6239</v>
      </c>
      <c r="D541" s="1032" t="s">
        <v>54</v>
      </c>
      <c r="E541" s="413" t="s">
        <v>5623</v>
      </c>
      <c r="F541" s="413">
        <v>82370.0</v>
      </c>
      <c r="G541" s="413">
        <v>44000.0</v>
      </c>
      <c r="H541" s="349" t="s">
        <v>267</v>
      </c>
      <c r="I541" s="736" t="str">
        <f t="shared" si="8"/>
        <v>PARTIALLY PAID</v>
      </c>
      <c r="J541" s="402"/>
      <c r="K541" s="402"/>
      <c r="L541" s="402"/>
      <c r="M541" s="402"/>
      <c r="N541" s="402"/>
      <c r="O541" s="402"/>
      <c r="P541" s="402"/>
      <c r="Q541" s="402"/>
      <c r="R541" s="402"/>
      <c r="S541" s="402"/>
      <c r="T541" s="402"/>
      <c r="U541" s="402"/>
      <c r="V541" s="402"/>
      <c r="W541" s="402"/>
      <c r="X541" s="402"/>
      <c r="Y541" s="402"/>
      <c r="Z541" s="402"/>
    </row>
    <row r="542" ht="14.25" customHeight="1">
      <c r="A542" s="497">
        <v>45510.0</v>
      </c>
      <c r="B542" s="349" t="s">
        <v>5795</v>
      </c>
      <c r="C542" s="349" t="s">
        <v>5796</v>
      </c>
      <c r="D542" s="1032" t="s">
        <v>75</v>
      </c>
      <c r="E542" s="403"/>
      <c r="F542" s="413">
        <v>49560.0</v>
      </c>
      <c r="G542" s="413">
        <v>24000.0</v>
      </c>
      <c r="H542" s="349" t="s">
        <v>267</v>
      </c>
      <c r="I542" s="736" t="str">
        <f t="shared" si="8"/>
        <v>PARTIALLY PAID</v>
      </c>
      <c r="J542" s="402"/>
      <c r="K542" s="402"/>
      <c r="L542" s="402"/>
      <c r="M542" s="402"/>
      <c r="N542" s="402"/>
      <c r="O542" s="402"/>
      <c r="P542" s="402"/>
      <c r="Q542" s="402"/>
      <c r="R542" s="402"/>
      <c r="S542" s="402"/>
      <c r="T542" s="402"/>
      <c r="U542" s="402"/>
      <c r="V542" s="402"/>
      <c r="W542" s="402"/>
      <c r="X542" s="402"/>
      <c r="Y542" s="402"/>
      <c r="Z542" s="402"/>
    </row>
    <row r="543" ht="14.25" customHeight="1">
      <c r="A543" s="497">
        <v>45510.0</v>
      </c>
      <c r="B543" s="349" t="s">
        <v>6063</v>
      </c>
      <c r="C543" s="349" t="s">
        <v>6064</v>
      </c>
      <c r="D543" s="1032" t="s">
        <v>75</v>
      </c>
      <c r="E543" s="413" t="s">
        <v>5660</v>
      </c>
      <c r="F543" s="413">
        <v>483000.0</v>
      </c>
      <c r="G543" s="403"/>
      <c r="H543" s="349" t="s">
        <v>267</v>
      </c>
      <c r="I543" s="736" t="str">
        <f t="shared" si="8"/>
        <v>NOT PAID</v>
      </c>
      <c r="J543" s="402"/>
      <c r="K543" s="402"/>
      <c r="L543" s="402"/>
      <c r="M543" s="402"/>
      <c r="N543" s="402"/>
      <c r="O543" s="402"/>
      <c r="P543" s="402"/>
      <c r="Q543" s="402"/>
      <c r="R543" s="402"/>
      <c r="S543" s="402"/>
      <c r="T543" s="402"/>
      <c r="U543" s="402"/>
      <c r="V543" s="402"/>
      <c r="W543" s="402"/>
      <c r="X543" s="402"/>
      <c r="Y543" s="402"/>
      <c r="Z543" s="402"/>
    </row>
    <row r="544" ht="14.25" customHeight="1">
      <c r="A544" s="497">
        <v>45510.0</v>
      </c>
      <c r="B544" s="349" t="s">
        <v>6109</v>
      </c>
      <c r="C544" s="349" t="s">
        <v>6110</v>
      </c>
      <c r="D544" s="1032" t="s">
        <v>75</v>
      </c>
      <c r="E544" s="413" t="s">
        <v>5694</v>
      </c>
      <c r="F544" s="413">
        <v>60375.0</v>
      </c>
      <c r="G544" s="403"/>
      <c r="H544" s="349" t="s">
        <v>6293</v>
      </c>
      <c r="I544" s="736" t="str">
        <f t="shared" si="8"/>
        <v>NOT PAID</v>
      </c>
      <c r="J544" s="402"/>
      <c r="K544" s="402"/>
      <c r="L544" s="402"/>
      <c r="M544" s="402"/>
      <c r="N544" s="402"/>
      <c r="O544" s="402"/>
      <c r="P544" s="402"/>
      <c r="Q544" s="402"/>
      <c r="R544" s="402"/>
      <c r="S544" s="402"/>
      <c r="T544" s="402"/>
      <c r="U544" s="402"/>
      <c r="V544" s="402"/>
      <c r="W544" s="402"/>
      <c r="X544" s="402"/>
      <c r="Y544" s="402"/>
      <c r="Z544" s="402"/>
    </row>
    <row r="545" ht="14.25" customHeight="1">
      <c r="A545" s="497">
        <v>45510.0</v>
      </c>
      <c r="B545" s="349" t="s">
        <v>6114</v>
      </c>
      <c r="C545" s="349" t="s">
        <v>6115</v>
      </c>
      <c r="D545" s="1032" t="s">
        <v>75</v>
      </c>
      <c r="E545" s="403"/>
      <c r="F545" s="413">
        <v>80850.0</v>
      </c>
      <c r="G545" s="403"/>
      <c r="H545" s="349" t="s">
        <v>6294</v>
      </c>
      <c r="I545" s="736" t="str">
        <f t="shared" si="8"/>
        <v>NOT PAID</v>
      </c>
      <c r="J545" s="402"/>
      <c r="K545" s="402"/>
      <c r="L545" s="402"/>
      <c r="M545" s="402"/>
      <c r="N545" s="402"/>
      <c r="O545" s="402"/>
      <c r="P545" s="402"/>
      <c r="Q545" s="402"/>
      <c r="R545" s="402"/>
      <c r="S545" s="402"/>
      <c r="T545" s="402"/>
      <c r="U545" s="402"/>
      <c r="V545" s="402"/>
      <c r="W545" s="402"/>
      <c r="X545" s="402"/>
      <c r="Y545" s="402"/>
      <c r="Z545" s="402"/>
    </row>
    <row r="546" ht="14.25" customHeight="1">
      <c r="A546" s="497">
        <v>45510.0</v>
      </c>
      <c r="B546" s="349" t="s">
        <v>6167</v>
      </c>
      <c r="C546" s="349" t="s">
        <v>6168</v>
      </c>
      <c r="D546" s="1032" t="s">
        <v>75</v>
      </c>
      <c r="E546" s="403"/>
      <c r="F546" s="413">
        <v>632500.0</v>
      </c>
      <c r="G546" s="403"/>
      <c r="H546" s="402"/>
      <c r="I546" s="736" t="str">
        <f t="shared" si="8"/>
        <v>NOT PAID</v>
      </c>
      <c r="J546" s="402"/>
      <c r="K546" s="402"/>
      <c r="L546" s="402"/>
      <c r="M546" s="402"/>
      <c r="N546" s="402"/>
      <c r="O546" s="402"/>
      <c r="P546" s="402"/>
      <c r="Q546" s="402"/>
      <c r="R546" s="402"/>
      <c r="S546" s="402"/>
      <c r="T546" s="402"/>
      <c r="U546" s="402"/>
      <c r="V546" s="402"/>
      <c r="W546" s="402"/>
      <c r="X546" s="402"/>
      <c r="Y546" s="402"/>
      <c r="Z546" s="402"/>
    </row>
    <row r="547" ht="14.25" customHeight="1">
      <c r="A547" s="497">
        <v>45510.0</v>
      </c>
      <c r="B547" s="349" t="s">
        <v>6061</v>
      </c>
      <c r="C547" s="349" t="s">
        <v>6126</v>
      </c>
      <c r="D547" s="1032" t="s">
        <v>6240</v>
      </c>
      <c r="E547" s="403"/>
      <c r="F547" s="413">
        <v>3011268.0</v>
      </c>
      <c r="G547" s="403"/>
      <c r="H547" s="402"/>
      <c r="I547" s="736" t="str">
        <f t="shared" si="8"/>
        <v>NOT PAID</v>
      </c>
      <c r="J547" s="402"/>
      <c r="K547" s="402"/>
      <c r="L547" s="402"/>
      <c r="M547" s="402"/>
      <c r="N547" s="402"/>
      <c r="O547" s="402"/>
      <c r="P547" s="402"/>
      <c r="Q547" s="402"/>
      <c r="R547" s="402"/>
      <c r="S547" s="402"/>
      <c r="T547" s="402"/>
      <c r="U547" s="402"/>
      <c r="V547" s="402"/>
      <c r="W547" s="402"/>
      <c r="X547" s="402"/>
      <c r="Y547" s="402"/>
      <c r="Z547" s="402"/>
    </row>
    <row r="548" ht="14.25" customHeight="1">
      <c r="A548" s="497">
        <v>45510.0</v>
      </c>
      <c r="B548" s="349" t="s">
        <v>5929</v>
      </c>
      <c r="C548" s="349" t="s">
        <v>5930</v>
      </c>
      <c r="D548" s="1032" t="s">
        <v>54</v>
      </c>
      <c r="E548" s="403"/>
      <c r="F548" s="413">
        <v>138862.75</v>
      </c>
      <c r="G548" s="403"/>
      <c r="H548" s="402"/>
      <c r="I548" s="736" t="str">
        <f t="shared" si="8"/>
        <v>NOT PAID</v>
      </c>
      <c r="J548" s="402"/>
      <c r="K548" s="402"/>
      <c r="L548" s="402"/>
      <c r="M548" s="402"/>
      <c r="N548" s="402"/>
      <c r="O548" s="402"/>
      <c r="P548" s="402"/>
      <c r="Q548" s="402"/>
      <c r="R548" s="402"/>
      <c r="S548" s="402"/>
      <c r="T548" s="402"/>
      <c r="U548" s="402"/>
      <c r="V548" s="402"/>
      <c r="W548" s="402"/>
      <c r="X548" s="402"/>
      <c r="Y548" s="402"/>
      <c r="Z548" s="402"/>
    </row>
    <row r="549" ht="14.25" customHeight="1">
      <c r="A549" s="497">
        <v>45510.0</v>
      </c>
      <c r="B549" s="349" t="s">
        <v>5792</v>
      </c>
      <c r="C549" s="1032" t="s">
        <v>5793</v>
      </c>
      <c r="D549" s="1032" t="s">
        <v>54</v>
      </c>
      <c r="E549" s="403"/>
      <c r="F549" s="413">
        <v>217681.52</v>
      </c>
      <c r="G549" s="403"/>
      <c r="H549" s="349" t="s">
        <v>6295</v>
      </c>
      <c r="I549" s="736" t="str">
        <f t="shared" si="8"/>
        <v>NOT PAID</v>
      </c>
      <c r="J549" s="402"/>
      <c r="K549" s="402"/>
      <c r="L549" s="402"/>
      <c r="M549" s="402"/>
      <c r="N549" s="402"/>
      <c r="O549" s="402"/>
      <c r="P549" s="402"/>
      <c r="Q549" s="402"/>
      <c r="R549" s="402"/>
      <c r="S549" s="402"/>
      <c r="T549" s="402"/>
      <c r="U549" s="402"/>
      <c r="V549" s="402"/>
      <c r="W549" s="402"/>
      <c r="X549" s="402"/>
      <c r="Y549" s="402"/>
      <c r="Z549" s="402"/>
    </row>
    <row r="550" ht="14.25" customHeight="1">
      <c r="A550" s="497">
        <v>45510.0</v>
      </c>
      <c r="B550" s="349" t="s">
        <v>6249</v>
      </c>
      <c r="C550" s="349" t="s">
        <v>6250</v>
      </c>
      <c r="D550" s="1032" t="s">
        <v>54</v>
      </c>
      <c r="E550" s="403"/>
      <c r="F550" s="413">
        <v>115462.67</v>
      </c>
      <c r="G550" s="403"/>
      <c r="H550" s="402"/>
      <c r="I550" s="736" t="str">
        <f t="shared" si="8"/>
        <v>NOT PAID</v>
      </c>
      <c r="J550" s="402"/>
      <c r="K550" s="402"/>
      <c r="L550" s="402"/>
      <c r="M550" s="402"/>
      <c r="N550" s="402"/>
      <c r="O550" s="402"/>
      <c r="P550" s="402"/>
      <c r="Q550" s="402"/>
      <c r="R550" s="402"/>
      <c r="S550" s="402"/>
      <c r="T550" s="402"/>
      <c r="U550" s="402"/>
      <c r="V550" s="402"/>
      <c r="W550" s="402"/>
      <c r="X550" s="402"/>
      <c r="Y550" s="402"/>
      <c r="Z550" s="402"/>
    </row>
    <row r="551" ht="14.25" customHeight="1">
      <c r="A551" s="497">
        <v>45510.0</v>
      </c>
      <c r="B551" s="349" t="s">
        <v>5941</v>
      </c>
      <c r="C551" s="349" t="s">
        <v>6296</v>
      </c>
      <c r="D551" s="1032" t="s">
        <v>54</v>
      </c>
      <c r="E551" s="413" t="s">
        <v>5623</v>
      </c>
      <c r="F551" s="413">
        <v>50000.0</v>
      </c>
      <c r="G551" s="403"/>
      <c r="H551" s="349" t="s">
        <v>267</v>
      </c>
      <c r="I551" s="736" t="str">
        <f t="shared" si="8"/>
        <v>NOT PAID</v>
      </c>
      <c r="J551" s="402"/>
      <c r="K551" s="402"/>
      <c r="L551" s="402"/>
      <c r="M551" s="402"/>
      <c r="N551" s="402"/>
      <c r="O551" s="402"/>
      <c r="P551" s="402"/>
      <c r="Q551" s="402"/>
      <c r="R551" s="402"/>
      <c r="S551" s="402"/>
      <c r="T551" s="402"/>
      <c r="U551" s="402"/>
      <c r="V551" s="402"/>
      <c r="W551" s="402"/>
      <c r="X551" s="402"/>
      <c r="Y551" s="402"/>
      <c r="Z551" s="402"/>
    </row>
    <row r="552" ht="14.25" customHeight="1">
      <c r="A552" s="497">
        <v>45510.0</v>
      </c>
      <c r="B552" s="349" t="s">
        <v>5787</v>
      </c>
      <c r="C552" s="349" t="s">
        <v>6297</v>
      </c>
      <c r="D552" s="1032" t="s">
        <v>54</v>
      </c>
      <c r="E552" s="403"/>
      <c r="F552" s="413">
        <v>226104.0</v>
      </c>
      <c r="G552" s="403"/>
      <c r="H552" s="349"/>
      <c r="I552" s="736" t="str">
        <f t="shared" si="8"/>
        <v>NOT PAID</v>
      </c>
      <c r="J552" s="402"/>
      <c r="K552" s="402"/>
      <c r="L552" s="402"/>
      <c r="M552" s="402"/>
      <c r="N552" s="402"/>
      <c r="O552" s="402"/>
      <c r="P552" s="402"/>
      <c r="Q552" s="402"/>
      <c r="R552" s="402"/>
      <c r="S552" s="402"/>
      <c r="T552" s="402"/>
      <c r="U552" s="402"/>
      <c r="V552" s="402"/>
      <c r="W552" s="402"/>
      <c r="X552" s="402"/>
      <c r="Y552" s="402"/>
      <c r="Z552" s="402"/>
    </row>
    <row r="553" ht="14.25" customHeight="1">
      <c r="A553" s="497">
        <v>45510.0</v>
      </c>
      <c r="B553" s="349" t="s">
        <v>5834</v>
      </c>
      <c r="C553" s="349" t="s">
        <v>5835</v>
      </c>
      <c r="D553" s="1032" t="s">
        <v>54</v>
      </c>
      <c r="E553" s="413" t="s">
        <v>5623</v>
      </c>
      <c r="F553" s="413">
        <v>1783725.97</v>
      </c>
      <c r="G553" s="403"/>
      <c r="H553" s="349" t="s">
        <v>6298</v>
      </c>
      <c r="I553" s="736" t="str">
        <f t="shared" si="8"/>
        <v>NOT PAID</v>
      </c>
      <c r="J553" s="402"/>
      <c r="K553" s="402"/>
      <c r="L553" s="402"/>
      <c r="M553" s="402"/>
      <c r="N553" s="402"/>
      <c r="O553" s="402"/>
      <c r="P553" s="402"/>
      <c r="Q553" s="402"/>
      <c r="R553" s="402"/>
      <c r="S553" s="402"/>
      <c r="T553" s="402"/>
      <c r="U553" s="402"/>
      <c r="V553" s="402"/>
      <c r="W553" s="402"/>
      <c r="X553" s="402"/>
      <c r="Y553" s="402"/>
      <c r="Z553" s="402"/>
    </row>
    <row r="554" ht="14.25" customHeight="1">
      <c r="A554" s="497">
        <v>45510.0</v>
      </c>
      <c r="B554" s="349" t="s">
        <v>5937</v>
      </c>
      <c r="C554" s="1" t="s">
        <v>5916</v>
      </c>
      <c r="D554" s="1032" t="s">
        <v>54</v>
      </c>
      <c r="E554" s="413" t="s">
        <v>5623</v>
      </c>
      <c r="F554" s="413">
        <v>36495.0</v>
      </c>
      <c r="G554" s="413">
        <v>36495.0</v>
      </c>
      <c r="H554" s="349" t="s">
        <v>267</v>
      </c>
      <c r="I554" s="736" t="str">
        <f t="shared" si="8"/>
        <v>FULLY PAID</v>
      </c>
      <c r="J554" s="402"/>
      <c r="K554" s="402"/>
      <c r="L554" s="402"/>
      <c r="M554" s="402"/>
      <c r="N554" s="402"/>
      <c r="O554" s="402"/>
      <c r="P554" s="402"/>
      <c r="Q554" s="402"/>
      <c r="R554" s="402"/>
      <c r="S554" s="402"/>
      <c r="T554" s="402"/>
      <c r="U554" s="402"/>
      <c r="V554" s="402"/>
      <c r="W554" s="402"/>
      <c r="X554" s="402"/>
      <c r="Y554" s="402"/>
      <c r="Z554" s="402"/>
    </row>
    <row r="555" ht="14.25" customHeight="1">
      <c r="A555" s="497">
        <v>45510.0</v>
      </c>
      <c r="B555" s="349" t="s">
        <v>6299</v>
      </c>
      <c r="C555" s="349" t="s">
        <v>6300</v>
      </c>
      <c r="D555" s="1032" t="s">
        <v>54</v>
      </c>
      <c r="E555" s="413" t="s">
        <v>5623</v>
      </c>
      <c r="F555" s="413">
        <v>5000.0</v>
      </c>
      <c r="G555" s="413">
        <v>5000.0</v>
      </c>
      <c r="H555" s="349" t="s">
        <v>267</v>
      </c>
      <c r="I555" s="736" t="str">
        <f t="shared" si="8"/>
        <v>FULLY PAID</v>
      </c>
      <c r="J555" s="402"/>
      <c r="K555" s="402"/>
      <c r="L555" s="402"/>
      <c r="M555" s="402"/>
      <c r="N555" s="402"/>
      <c r="O555" s="402"/>
      <c r="P555" s="402"/>
      <c r="Q555" s="402"/>
      <c r="R555" s="402"/>
      <c r="S555" s="402"/>
      <c r="T555" s="402"/>
      <c r="U555" s="402"/>
      <c r="V555" s="402"/>
      <c r="W555" s="402"/>
      <c r="X555" s="402"/>
      <c r="Y555" s="402"/>
      <c r="Z555" s="402"/>
    </row>
    <row r="556" ht="14.25" customHeight="1">
      <c r="A556" s="497">
        <v>45510.0</v>
      </c>
      <c r="B556" s="402"/>
      <c r="C556" s="424" t="s">
        <v>797</v>
      </c>
      <c r="D556" s="1034"/>
      <c r="E556" s="403"/>
      <c r="F556" s="403"/>
      <c r="G556" s="403"/>
      <c r="H556" s="402"/>
      <c r="I556" s="736" t="str">
        <f t="shared" si="8"/>
        <v>FULLY PAID</v>
      </c>
      <c r="J556" s="402"/>
      <c r="K556" s="402"/>
      <c r="L556" s="402"/>
      <c r="M556" s="402"/>
      <c r="N556" s="402"/>
      <c r="O556" s="402"/>
      <c r="P556" s="402"/>
      <c r="Q556" s="402"/>
      <c r="R556" s="402"/>
      <c r="S556" s="402"/>
      <c r="T556" s="402"/>
      <c r="U556" s="402"/>
      <c r="V556" s="402"/>
      <c r="W556" s="402"/>
      <c r="X556" s="402"/>
      <c r="Y556" s="402"/>
      <c r="Z556" s="402"/>
    </row>
    <row r="557" ht="14.25" customHeight="1">
      <c r="A557" s="497">
        <v>45510.0</v>
      </c>
      <c r="B557" s="476" t="s">
        <v>6071</v>
      </c>
      <c r="C557" s="476" t="s">
        <v>6129</v>
      </c>
      <c r="D557" s="668" t="s">
        <v>54</v>
      </c>
      <c r="E557" s="668" t="s">
        <v>2165</v>
      </c>
      <c r="F557" s="1065">
        <v>60000.0</v>
      </c>
      <c r="G557" s="403"/>
      <c r="H557" s="349" t="s">
        <v>6301</v>
      </c>
      <c r="I557" s="736" t="str">
        <f t="shared" si="8"/>
        <v>NOT PAID</v>
      </c>
      <c r="J557" s="402"/>
      <c r="K557" s="402"/>
      <c r="L557" s="402"/>
      <c r="M557" s="402"/>
      <c r="N557" s="402"/>
      <c r="O557" s="402"/>
      <c r="P557" s="402"/>
      <c r="Q557" s="402"/>
      <c r="R557" s="402"/>
      <c r="S557" s="402"/>
      <c r="T557" s="402"/>
      <c r="U557" s="402"/>
      <c r="V557" s="402"/>
      <c r="W557" s="402"/>
      <c r="X557" s="402"/>
      <c r="Y557" s="402"/>
      <c r="Z557" s="402"/>
    </row>
    <row r="558" ht="14.25" customHeight="1">
      <c r="A558" s="497">
        <v>45510.0</v>
      </c>
      <c r="B558" s="476" t="s">
        <v>6181</v>
      </c>
      <c r="C558" s="476" t="s">
        <v>6131</v>
      </c>
      <c r="D558" s="668" t="s">
        <v>54</v>
      </c>
      <c r="E558" s="668" t="s">
        <v>2165</v>
      </c>
      <c r="F558" s="1065">
        <v>70000.0</v>
      </c>
      <c r="G558" s="403"/>
      <c r="H558" s="349" t="s">
        <v>6302</v>
      </c>
      <c r="I558" s="736" t="str">
        <f t="shared" si="8"/>
        <v>NOT PAID</v>
      </c>
      <c r="J558" s="402"/>
      <c r="K558" s="402"/>
      <c r="L558" s="402"/>
      <c r="M558" s="402"/>
      <c r="N558" s="402"/>
      <c r="O558" s="402"/>
      <c r="P558" s="402"/>
      <c r="Q558" s="402"/>
      <c r="R558" s="402"/>
      <c r="S558" s="402"/>
      <c r="T558" s="402"/>
      <c r="U558" s="402"/>
      <c r="V558" s="402"/>
      <c r="W558" s="402"/>
      <c r="X558" s="402"/>
      <c r="Y558" s="402"/>
      <c r="Z558" s="402"/>
    </row>
    <row r="559" ht="14.25" customHeight="1">
      <c r="A559" s="497">
        <v>45510.0</v>
      </c>
      <c r="B559" s="476" t="s">
        <v>5984</v>
      </c>
      <c r="C559" s="476" t="s">
        <v>5985</v>
      </c>
      <c r="D559" s="668" t="s">
        <v>54</v>
      </c>
      <c r="E559" s="771" t="s">
        <v>2165</v>
      </c>
      <c r="F559" s="1065">
        <v>320000.0</v>
      </c>
      <c r="G559" s="403"/>
      <c r="H559" s="349" t="s">
        <v>6303</v>
      </c>
      <c r="I559" s="736" t="str">
        <f t="shared" si="8"/>
        <v>NOT PAID</v>
      </c>
      <c r="J559" s="402"/>
      <c r="K559" s="402"/>
      <c r="L559" s="402"/>
      <c r="M559" s="402"/>
      <c r="N559" s="402"/>
      <c r="O559" s="402"/>
      <c r="P559" s="402"/>
      <c r="Q559" s="402"/>
      <c r="R559" s="402"/>
      <c r="S559" s="402"/>
      <c r="T559" s="402"/>
      <c r="U559" s="402"/>
      <c r="V559" s="402"/>
      <c r="W559" s="402"/>
      <c r="X559" s="402"/>
      <c r="Y559" s="402"/>
      <c r="Z559" s="402"/>
    </row>
    <row r="560" ht="14.25" customHeight="1">
      <c r="A560" s="497">
        <v>45510.0</v>
      </c>
      <c r="B560" s="1039" t="s">
        <v>6304</v>
      </c>
      <c r="C560" s="1039" t="s">
        <v>6305</v>
      </c>
      <c r="D560" s="668" t="s">
        <v>54</v>
      </c>
      <c r="E560" s="668" t="s">
        <v>4114</v>
      </c>
      <c r="F560" s="460">
        <v>86556.0</v>
      </c>
      <c r="G560" s="403"/>
      <c r="H560" s="349" t="s">
        <v>6306</v>
      </c>
      <c r="I560" s="736" t="str">
        <f t="shared" si="8"/>
        <v>NOT PAID</v>
      </c>
      <c r="J560" s="402"/>
      <c r="K560" s="402"/>
      <c r="L560" s="402"/>
      <c r="M560" s="402"/>
      <c r="N560" s="402"/>
      <c r="O560" s="402"/>
      <c r="P560" s="402"/>
      <c r="Q560" s="402"/>
      <c r="R560" s="402"/>
      <c r="S560" s="402"/>
      <c r="T560" s="402"/>
      <c r="U560" s="402"/>
      <c r="V560" s="402"/>
      <c r="W560" s="402"/>
      <c r="X560" s="402"/>
      <c r="Y560" s="402"/>
      <c r="Z560" s="402"/>
    </row>
    <row r="561" ht="14.25" customHeight="1">
      <c r="A561" s="497">
        <v>45510.0</v>
      </c>
      <c r="B561" s="1039" t="s">
        <v>5838</v>
      </c>
      <c r="C561" s="1066" t="s">
        <v>5981</v>
      </c>
      <c r="D561" s="668" t="s">
        <v>54</v>
      </c>
      <c r="E561" s="668" t="s">
        <v>4114</v>
      </c>
      <c r="F561" s="1050">
        <v>121000.0</v>
      </c>
      <c r="G561" s="403"/>
      <c r="H561" s="349" t="s">
        <v>6307</v>
      </c>
      <c r="I561" s="736" t="str">
        <f t="shared" si="8"/>
        <v>NOT PAID</v>
      </c>
      <c r="J561" s="402"/>
      <c r="K561" s="402"/>
      <c r="L561" s="402"/>
      <c r="M561" s="402"/>
      <c r="N561" s="402"/>
      <c r="O561" s="402"/>
      <c r="P561" s="402"/>
      <c r="Q561" s="402"/>
      <c r="R561" s="402"/>
      <c r="S561" s="402"/>
      <c r="T561" s="402"/>
      <c r="U561" s="402"/>
      <c r="V561" s="402"/>
      <c r="W561" s="402"/>
      <c r="X561" s="402"/>
      <c r="Y561" s="402"/>
      <c r="Z561" s="402"/>
    </row>
    <row r="562" ht="15.0" customHeight="1">
      <c r="A562" s="497">
        <v>45510.0</v>
      </c>
      <c r="B562" s="1039" t="s">
        <v>5628</v>
      </c>
      <c r="C562" s="1039" t="s">
        <v>6184</v>
      </c>
      <c r="D562" s="668" t="s">
        <v>54</v>
      </c>
      <c r="E562" s="668" t="s">
        <v>4114</v>
      </c>
      <c r="F562" s="1050">
        <v>48000.0</v>
      </c>
      <c r="G562" s="403"/>
      <c r="H562" s="349" t="s">
        <v>6308</v>
      </c>
      <c r="I562" s="736" t="str">
        <f t="shared" si="8"/>
        <v>NOT PAID</v>
      </c>
      <c r="J562" s="402"/>
      <c r="K562" s="402"/>
      <c r="L562" s="402"/>
      <c r="M562" s="402"/>
      <c r="N562" s="402"/>
      <c r="O562" s="402"/>
      <c r="P562" s="402"/>
      <c r="Q562" s="402"/>
      <c r="R562" s="402"/>
      <c r="S562" s="402"/>
      <c r="T562" s="402"/>
      <c r="U562" s="402"/>
      <c r="V562" s="402"/>
      <c r="W562" s="402"/>
      <c r="X562" s="402"/>
      <c r="Y562" s="402"/>
      <c r="Z562" s="402"/>
    </row>
    <row r="563" ht="16.5" customHeight="1">
      <c r="A563" s="497">
        <v>45510.0</v>
      </c>
      <c r="B563" s="1039" t="s">
        <v>6185</v>
      </c>
      <c r="C563" s="1039" t="s">
        <v>6186</v>
      </c>
      <c r="D563" s="668" t="s">
        <v>54</v>
      </c>
      <c r="E563" s="668" t="s">
        <v>4114</v>
      </c>
      <c r="F563" s="460">
        <v>20000.0</v>
      </c>
      <c r="G563" s="413"/>
      <c r="H563" s="349"/>
      <c r="I563" s="736" t="str">
        <f t="shared" si="8"/>
        <v>NOT PAID</v>
      </c>
      <c r="J563" s="402"/>
      <c r="K563" s="402"/>
      <c r="L563" s="402"/>
      <c r="M563" s="402"/>
      <c r="N563" s="402"/>
      <c r="O563" s="402"/>
      <c r="P563" s="402"/>
      <c r="Q563" s="402"/>
      <c r="R563" s="402"/>
      <c r="S563" s="402"/>
      <c r="T563" s="402"/>
      <c r="U563" s="402"/>
      <c r="V563" s="402"/>
      <c r="W563" s="402"/>
      <c r="X563" s="402"/>
      <c r="Y563" s="402"/>
      <c r="Z563" s="402"/>
    </row>
    <row r="564" ht="14.25" customHeight="1">
      <c r="A564" s="497">
        <v>45510.0</v>
      </c>
      <c r="B564" s="436" t="s">
        <v>5700</v>
      </c>
      <c r="C564" s="436" t="s">
        <v>6039</v>
      </c>
      <c r="D564" s="668" t="s">
        <v>54</v>
      </c>
      <c r="E564" s="668" t="s">
        <v>4114</v>
      </c>
      <c r="F564" s="778">
        <v>22480.27</v>
      </c>
      <c r="G564" s="413"/>
      <c r="H564" s="349"/>
      <c r="I564" s="736" t="str">
        <f t="shared" si="8"/>
        <v>NOT PAID</v>
      </c>
      <c r="J564" s="402"/>
      <c r="K564" s="402"/>
      <c r="L564" s="402"/>
      <c r="M564" s="402"/>
      <c r="N564" s="402"/>
      <c r="O564" s="402"/>
      <c r="P564" s="402"/>
      <c r="Q564" s="402"/>
      <c r="R564" s="402"/>
      <c r="S564" s="402"/>
      <c r="T564" s="402"/>
      <c r="U564" s="402"/>
      <c r="V564" s="402"/>
      <c r="W564" s="402"/>
      <c r="X564" s="402"/>
      <c r="Y564" s="402"/>
      <c r="Z564" s="402"/>
    </row>
    <row r="565" ht="14.25" customHeight="1">
      <c r="A565" s="497">
        <v>45510.0</v>
      </c>
      <c r="B565" s="436" t="s">
        <v>5687</v>
      </c>
      <c r="C565" s="436" t="s">
        <v>5978</v>
      </c>
      <c r="D565" s="668" t="s">
        <v>54</v>
      </c>
      <c r="E565" s="668" t="s">
        <v>4114</v>
      </c>
      <c r="F565" s="758">
        <v>263000.0</v>
      </c>
      <c r="G565" s="403"/>
      <c r="H565" s="402"/>
      <c r="I565" s="736" t="str">
        <f t="shared" si="8"/>
        <v>NOT PAID</v>
      </c>
      <c r="J565" s="402"/>
      <c r="K565" s="402"/>
      <c r="L565" s="402"/>
      <c r="M565" s="402"/>
      <c r="N565" s="402"/>
      <c r="O565" s="402"/>
      <c r="P565" s="402"/>
      <c r="Q565" s="402"/>
      <c r="R565" s="402"/>
      <c r="S565" s="402"/>
      <c r="T565" s="402"/>
      <c r="U565" s="402"/>
      <c r="V565" s="402"/>
      <c r="W565" s="402"/>
      <c r="X565" s="402"/>
      <c r="Y565" s="402"/>
      <c r="Z565" s="402"/>
    </row>
    <row r="566" ht="14.25" customHeight="1">
      <c r="A566" s="402"/>
      <c r="B566" s="402"/>
      <c r="C566" s="402"/>
      <c r="D566" s="1034"/>
      <c r="E566" s="403"/>
      <c r="F566" s="403"/>
      <c r="G566" s="403"/>
      <c r="H566" s="402"/>
      <c r="I566" s="736" t="str">
        <f t="shared" si="8"/>
        <v>FULLY PAID</v>
      </c>
      <c r="J566" s="402"/>
      <c r="K566" s="402"/>
      <c r="L566" s="402"/>
      <c r="M566" s="402"/>
      <c r="N566" s="402"/>
      <c r="O566" s="402"/>
      <c r="P566" s="402"/>
      <c r="Q566" s="402"/>
      <c r="R566" s="402"/>
      <c r="S566" s="402"/>
      <c r="T566" s="402"/>
      <c r="U566" s="402"/>
      <c r="V566" s="402"/>
      <c r="W566" s="402"/>
      <c r="X566" s="402"/>
      <c r="Y566" s="402"/>
      <c r="Z566" s="402"/>
    </row>
    <row r="567" ht="14.25" customHeight="1">
      <c r="A567" s="402"/>
      <c r="B567" s="402"/>
      <c r="C567" s="402"/>
      <c r="D567" s="1034"/>
      <c r="E567" s="403"/>
      <c r="F567" s="403"/>
      <c r="G567" s="403"/>
      <c r="H567" s="402"/>
      <c r="I567" s="736" t="str">
        <f t="shared" si="8"/>
        <v>FULLY PAID</v>
      </c>
      <c r="J567" s="402"/>
      <c r="K567" s="402"/>
      <c r="L567" s="402"/>
      <c r="M567" s="402"/>
      <c r="N567" s="402"/>
      <c r="O567" s="402"/>
      <c r="P567" s="402"/>
      <c r="Q567" s="402"/>
      <c r="R567" s="402"/>
      <c r="S567" s="402"/>
      <c r="T567" s="402"/>
      <c r="U567" s="402"/>
      <c r="V567" s="402"/>
      <c r="W567" s="402"/>
      <c r="X567" s="402"/>
      <c r="Y567" s="402"/>
      <c r="Z567" s="402"/>
    </row>
    <row r="568" ht="14.25" customHeight="1">
      <c r="A568" s="497">
        <v>45511.0</v>
      </c>
      <c r="B568" s="623" t="s">
        <v>6309</v>
      </c>
      <c r="C568" s="623" t="s">
        <v>5722</v>
      </c>
      <c r="D568" s="623" t="s">
        <v>54</v>
      </c>
      <c r="E568" s="1067" t="s">
        <v>5694</v>
      </c>
      <c r="F568" s="651">
        <v>112555.43</v>
      </c>
      <c r="G568" s="403"/>
      <c r="H568" s="349" t="s">
        <v>6310</v>
      </c>
      <c r="I568" s="736" t="str">
        <f t="shared" si="8"/>
        <v>NOT PAID</v>
      </c>
      <c r="J568" s="402"/>
      <c r="K568" s="402"/>
      <c r="L568" s="402"/>
      <c r="M568" s="402"/>
      <c r="N568" s="402"/>
      <c r="O568" s="402"/>
      <c r="P568" s="402"/>
      <c r="Q568" s="402"/>
      <c r="R568" s="402"/>
      <c r="S568" s="402"/>
      <c r="T568" s="402"/>
      <c r="U568" s="402"/>
      <c r="V568" s="402"/>
      <c r="W568" s="402"/>
      <c r="X568" s="402"/>
      <c r="Y568" s="402"/>
      <c r="Z568" s="402"/>
    </row>
    <row r="569" ht="14.25" customHeight="1">
      <c r="A569" s="497">
        <v>45511.0</v>
      </c>
      <c r="B569" s="623" t="s">
        <v>6311</v>
      </c>
      <c r="C569" s="623" t="s">
        <v>6312</v>
      </c>
      <c r="D569" s="623" t="s">
        <v>54</v>
      </c>
      <c r="E569" s="1067" t="s">
        <v>5694</v>
      </c>
      <c r="F569" s="651">
        <v>24276.83</v>
      </c>
      <c r="G569" s="403"/>
      <c r="H569" s="455" t="s">
        <v>6313</v>
      </c>
      <c r="I569" s="736" t="str">
        <f t="shared" si="8"/>
        <v>NOT PAID</v>
      </c>
      <c r="J569" s="402"/>
      <c r="K569" s="402"/>
      <c r="L569" s="402"/>
      <c r="M569" s="402"/>
      <c r="N569" s="402"/>
      <c r="O569" s="402"/>
      <c r="P569" s="402"/>
      <c r="Q569" s="402"/>
      <c r="R569" s="402"/>
      <c r="S569" s="402"/>
      <c r="T569" s="402"/>
      <c r="U569" s="402"/>
      <c r="V569" s="402"/>
      <c r="W569" s="402"/>
      <c r="X569" s="402"/>
      <c r="Y569" s="402"/>
      <c r="Z569" s="402"/>
    </row>
    <row r="570" ht="14.25" customHeight="1">
      <c r="A570" s="497">
        <v>45511.0</v>
      </c>
      <c r="B570" s="623" t="s">
        <v>6314</v>
      </c>
      <c r="C570" s="623" t="s">
        <v>6315</v>
      </c>
      <c r="D570" s="623" t="s">
        <v>54</v>
      </c>
      <c r="E570" s="1067" t="s">
        <v>5623</v>
      </c>
      <c r="F570" s="651">
        <v>15525.98</v>
      </c>
      <c r="G570" s="403"/>
      <c r="H570" s="349" t="s">
        <v>6316</v>
      </c>
      <c r="I570" s="736" t="str">
        <f t="shared" si="8"/>
        <v>NOT PAID</v>
      </c>
      <c r="J570" s="402"/>
      <c r="K570" s="402"/>
      <c r="L570" s="402"/>
      <c r="M570" s="402"/>
      <c r="N570" s="402"/>
      <c r="O570" s="402"/>
      <c r="P570" s="402"/>
      <c r="Q570" s="402"/>
      <c r="R570" s="402"/>
      <c r="S570" s="402"/>
      <c r="T570" s="402"/>
      <c r="U570" s="402"/>
      <c r="V570" s="402"/>
      <c r="W570" s="402"/>
      <c r="X570" s="402"/>
      <c r="Y570" s="402"/>
      <c r="Z570" s="402"/>
    </row>
    <row r="571" ht="14.25" customHeight="1">
      <c r="A571" s="497">
        <v>45511.0</v>
      </c>
      <c r="B571" s="623" t="s">
        <v>6075</v>
      </c>
      <c r="C571" s="623" t="s">
        <v>6317</v>
      </c>
      <c r="D571" s="623" t="s">
        <v>54</v>
      </c>
      <c r="E571" s="1067" t="s">
        <v>5623</v>
      </c>
      <c r="F571" s="651">
        <v>154626.19</v>
      </c>
      <c r="G571" s="403"/>
      <c r="H571" s="349" t="s">
        <v>267</v>
      </c>
      <c r="I571" s="736" t="str">
        <f t="shared" si="8"/>
        <v>NOT PAID</v>
      </c>
      <c r="J571" s="402"/>
      <c r="K571" s="402"/>
      <c r="L571" s="402"/>
      <c r="M571" s="402"/>
      <c r="N571" s="402"/>
      <c r="O571" s="402"/>
      <c r="P571" s="402"/>
      <c r="Q571" s="402"/>
      <c r="R571" s="402"/>
      <c r="S571" s="402"/>
      <c r="T571" s="402"/>
      <c r="U571" s="402"/>
      <c r="V571" s="402"/>
      <c r="W571" s="402"/>
      <c r="X571" s="402"/>
      <c r="Y571" s="402"/>
      <c r="Z571" s="402"/>
    </row>
    <row r="572" ht="14.25" customHeight="1">
      <c r="A572" s="497">
        <v>45511.0</v>
      </c>
      <c r="B572" s="623" t="s">
        <v>6318</v>
      </c>
      <c r="C572" s="623" t="s">
        <v>6115</v>
      </c>
      <c r="D572" s="623" t="s">
        <v>54</v>
      </c>
      <c r="E572" s="1067" t="s">
        <v>5623</v>
      </c>
      <c r="F572" s="651">
        <v>2871.31</v>
      </c>
      <c r="G572" s="403"/>
      <c r="H572" s="349" t="s">
        <v>6319</v>
      </c>
      <c r="I572" s="736" t="str">
        <f t="shared" si="8"/>
        <v>NOT PAID</v>
      </c>
      <c r="J572" s="402"/>
      <c r="K572" s="402"/>
      <c r="L572" s="402"/>
      <c r="M572" s="402"/>
      <c r="N572" s="402"/>
      <c r="O572" s="402"/>
      <c r="P572" s="402"/>
      <c r="Q572" s="402"/>
      <c r="R572" s="402"/>
      <c r="S572" s="402"/>
      <c r="T572" s="402"/>
      <c r="U572" s="402"/>
      <c r="V572" s="402"/>
      <c r="W572" s="402"/>
      <c r="X572" s="402"/>
      <c r="Y572" s="402"/>
      <c r="Z572" s="402"/>
    </row>
    <row r="573" ht="14.25" customHeight="1">
      <c r="A573" s="497">
        <v>45511.0</v>
      </c>
      <c r="B573" s="623" t="s">
        <v>5975</v>
      </c>
      <c r="C573" s="623" t="s">
        <v>5976</v>
      </c>
      <c r="D573" s="623" t="s">
        <v>54</v>
      </c>
      <c r="E573" s="1067" t="s">
        <v>5623</v>
      </c>
      <c r="F573" s="651">
        <v>89210.4</v>
      </c>
      <c r="G573" s="403"/>
      <c r="H573" s="349" t="s">
        <v>267</v>
      </c>
      <c r="I573" s="736" t="str">
        <f t="shared" si="8"/>
        <v>NOT PAID</v>
      </c>
      <c r="J573" s="402"/>
      <c r="K573" s="402"/>
      <c r="L573" s="402"/>
      <c r="M573" s="402"/>
      <c r="N573" s="402"/>
      <c r="O573" s="402"/>
      <c r="P573" s="402"/>
      <c r="Q573" s="402"/>
      <c r="R573" s="402"/>
      <c r="S573" s="402"/>
      <c r="T573" s="402"/>
      <c r="U573" s="402"/>
      <c r="V573" s="402"/>
      <c r="W573" s="402"/>
      <c r="X573" s="402"/>
      <c r="Y573" s="402"/>
      <c r="Z573" s="402"/>
    </row>
    <row r="574" ht="14.25" customHeight="1">
      <c r="A574" s="497">
        <v>45511.0</v>
      </c>
      <c r="B574" s="623" t="s">
        <v>6185</v>
      </c>
      <c r="C574" s="623" t="s">
        <v>6320</v>
      </c>
      <c r="D574" s="623" t="s">
        <v>54</v>
      </c>
      <c r="E574" s="1067" t="s">
        <v>5694</v>
      </c>
      <c r="F574" s="651">
        <v>30657.16</v>
      </c>
      <c r="G574" s="403"/>
      <c r="H574" s="455" t="s">
        <v>6287</v>
      </c>
      <c r="I574" s="736" t="str">
        <f t="shared" si="8"/>
        <v>NOT PAID</v>
      </c>
      <c r="J574" s="402"/>
      <c r="K574" s="402"/>
      <c r="L574" s="402"/>
      <c r="M574" s="402"/>
      <c r="N574" s="402"/>
      <c r="O574" s="402"/>
      <c r="P574" s="402"/>
      <c r="Q574" s="402"/>
      <c r="R574" s="402"/>
      <c r="S574" s="402"/>
      <c r="T574" s="402"/>
      <c r="U574" s="402"/>
      <c r="V574" s="402"/>
      <c r="W574" s="402"/>
      <c r="X574" s="402"/>
      <c r="Y574" s="402"/>
      <c r="Z574" s="402"/>
    </row>
    <row r="575" ht="14.25" customHeight="1">
      <c r="A575" s="497">
        <v>45511.0</v>
      </c>
      <c r="B575" s="623" t="s">
        <v>6321</v>
      </c>
      <c r="C575" s="623" t="s">
        <v>6151</v>
      </c>
      <c r="D575" s="623" t="s">
        <v>67</v>
      </c>
      <c r="E575" s="1067"/>
      <c r="F575" s="651">
        <v>687057.0</v>
      </c>
      <c r="G575" s="403"/>
      <c r="H575" s="402"/>
      <c r="I575" s="736" t="str">
        <f t="shared" si="8"/>
        <v>NOT PAID</v>
      </c>
      <c r="J575" s="402"/>
      <c r="K575" s="402"/>
      <c r="L575" s="402"/>
      <c r="M575" s="402"/>
      <c r="N575" s="402"/>
      <c r="O575" s="402"/>
      <c r="P575" s="402"/>
      <c r="Q575" s="402"/>
      <c r="R575" s="402"/>
      <c r="S575" s="402"/>
      <c r="T575" s="402"/>
      <c r="U575" s="402"/>
      <c r="V575" s="402"/>
      <c r="W575" s="402"/>
      <c r="X575" s="402"/>
      <c r="Y575" s="402"/>
      <c r="Z575" s="402"/>
    </row>
    <row r="576" ht="14.25" customHeight="1">
      <c r="A576" s="497">
        <v>45511.0</v>
      </c>
      <c r="B576" s="623" t="s">
        <v>6322</v>
      </c>
      <c r="C576" s="623" t="s">
        <v>6323</v>
      </c>
      <c r="D576" s="623" t="s">
        <v>67</v>
      </c>
      <c r="E576" s="1067" t="s">
        <v>5623</v>
      </c>
      <c r="F576" s="651">
        <v>174312.66</v>
      </c>
      <c r="G576" s="403"/>
      <c r="H576" s="349" t="s">
        <v>6324</v>
      </c>
      <c r="I576" s="736" t="str">
        <f t="shared" si="8"/>
        <v>NOT PAID</v>
      </c>
      <c r="J576" s="402"/>
      <c r="K576" s="402"/>
      <c r="L576" s="402"/>
      <c r="M576" s="402"/>
      <c r="N576" s="402"/>
      <c r="O576" s="402"/>
      <c r="P576" s="402"/>
      <c r="Q576" s="402"/>
      <c r="R576" s="402"/>
      <c r="S576" s="402"/>
      <c r="T576" s="402"/>
      <c r="U576" s="402"/>
      <c r="V576" s="402"/>
      <c r="W576" s="402"/>
      <c r="X576" s="402"/>
      <c r="Y576" s="402"/>
      <c r="Z576" s="402"/>
    </row>
    <row r="577" ht="14.25" customHeight="1">
      <c r="A577" s="497">
        <v>45511.0</v>
      </c>
      <c r="B577" s="623" t="s">
        <v>6325</v>
      </c>
      <c r="C577" s="623" t="s">
        <v>6326</v>
      </c>
      <c r="D577" s="623" t="s">
        <v>54</v>
      </c>
      <c r="E577" s="1067" t="s">
        <v>5623</v>
      </c>
      <c r="F577" s="651">
        <v>275023.42</v>
      </c>
      <c r="G577" s="403"/>
      <c r="H577" s="349" t="s">
        <v>6327</v>
      </c>
      <c r="I577" s="736" t="str">
        <f t="shared" si="8"/>
        <v>NOT PAID</v>
      </c>
      <c r="J577" s="402"/>
      <c r="K577" s="402"/>
      <c r="L577" s="402"/>
      <c r="M577" s="402"/>
      <c r="N577" s="402"/>
      <c r="O577" s="402"/>
      <c r="P577" s="402"/>
      <c r="Q577" s="402"/>
      <c r="R577" s="402"/>
      <c r="S577" s="402"/>
      <c r="T577" s="402"/>
      <c r="U577" s="402"/>
      <c r="V577" s="402"/>
      <c r="W577" s="402"/>
      <c r="X577" s="402"/>
      <c r="Y577" s="402"/>
      <c r="Z577" s="402"/>
    </row>
    <row r="578" ht="14.25" customHeight="1">
      <c r="A578" s="497">
        <v>45511.0</v>
      </c>
      <c r="B578" s="623" t="s">
        <v>6328</v>
      </c>
      <c r="C578" s="623" t="s">
        <v>5641</v>
      </c>
      <c r="D578" s="623" t="s">
        <v>67</v>
      </c>
      <c r="E578" s="1067"/>
      <c r="F578" s="651">
        <v>1000000.0</v>
      </c>
      <c r="G578" s="403"/>
      <c r="H578" s="402"/>
      <c r="I578" s="736" t="str">
        <f t="shared" si="8"/>
        <v>NOT PAID</v>
      </c>
      <c r="J578" s="402"/>
      <c r="K578" s="402"/>
      <c r="L578" s="402"/>
      <c r="M578" s="402"/>
      <c r="N578" s="402"/>
      <c r="O578" s="402"/>
      <c r="P578" s="402"/>
      <c r="Q578" s="402"/>
      <c r="R578" s="402"/>
      <c r="S578" s="402"/>
      <c r="T578" s="402"/>
      <c r="U578" s="402"/>
      <c r="V578" s="402"/>
      <c r="W578" s="402"/>
      <c r="X578" s="402"/>
      <c r="Y578" s="402"/>
      <c r="Z578" s="402"/>
    </row>
    <row r="579" ht="14.25" customHeight="1">
      <c r="A579" s="497">
        <v>45511.0</v>
      </c>
      <c r="B579" s="623" t="s">
        <v>6026</v>
      </c>
      <c r="C579" s="623" t="s">
        <v>6329</v>
      </c>
      <c r="D579" s="623" t="s">
        <v>59</v>
      </c>
      <c r="E579" s="1067"/>
      <c r="F579" s="651">
        <v>500896.31</v>
      </c>
      <c r="G579" s="403"/>
      <c r="H579" s="402"/>
      <c r="I579" s="736" t="str">
        <f t="shared" si="8"/>
        <v>NOT PAID</v>
      </c>
      <c r="J579" s="402"/>
      <c r="K579" s="402"/>
      <c r="L579" s="402"/>
      <c r="M579" s="402"/>
      <c r="N579" s="402"/>
      <c r="O579" s="402"/>
      <c r="P579" s="402"/>
      <c r="Q579" s="402"/>
      <c r="R579" s="402"/>
      <c r="S579" s="402"/>
      <c r="T579" s="402"/>
      <c r="U579" s="402"/>
      <c r="V579" s="402"/>
      <c r="W579" s="402"/>
      <c r="X579" s="402"/>
      <c r="Y579" s="402"/>
      <c r="Z579" s="402"/>
    </row>
    <row r="580" ht="14.25" customHeight="1">
      <c r="A580" s="497">
        <v>45511.0</v>
      </c>
      <c r="B580" s="623" t="s">
        <v>6330</v>
      </c>
      <c r="C580" s="623" t="s">
        <v>6331</v>
      </c>
      <c r="D580" s="623" t="s">
        <v>54</v>
      </c>
      <c r="E580" s="1067" t="s">
        <v>5694</v>
      </c>
      <c r="F580" s="651">
        <v>14620.0</v>
      </c>
      <c r="G580" s="651">
        <v>14620.0</v>
      </c>
      <c r="H580" s="349" t="s">
        <v>267</v>
      </c>
      <c r="I580" s="736" t="str">
        <f t="shared" si="8"/>
        <v>FULLY PAID</v>
      </c>
      <c r="J580" s="402"/>
      <c r="K580" s="402"/>
      <c r="L580" s="402"/>
      <c r="M580" s="402"/>
      <c r="N580" s="402"/>
      <c r="O580" s="402"/>
      <c r="P580" s="402"/>
      <c r="Q580" s="402"/>
      <c r="R580" s="402"/>
      <c r="S580" s="402"/>
      <c r="T580" s="402"/>
      <c r="U580" s="402"/>
      <c r="V580" s="402"/>
      <c r="W580" s="402"/>
      <c r="X580" s="402"/>
      <c r="Y580" s="402"/>
      <c r="Z580" s="402"/>
    </row>
    <row r="581" ht="14.25" customHeight="1">
      <c r="A581" s="497">
        <v>45511.0</v>
      </c>
      <c r="B581" s="623" t="s">
        <v>6332</v>
      </c>
      <c r="C581" s="623" t="s">
        <v>6333</v>
      </c>
      <c r="D581" s="623" t="s">
        <v>54</v>
      </c>
      <c r="E581" s="1067" t="s">
        <v>5694</v>
      </c>
      <c r="F581" s="651">
        <v>32302.35</v>
      </c>
      <c r="G581" s="403"/>
      <c r="H581" s="349" t="s">
        <v>2200</v>
      </c>
      <c r="I581" s="736" t="str">
        <f t="shared" si="8"/>
        <v>NOT PAID</v>
      </c>
      <c r="J581" s="402"/>
      <c r="K581" s="402"/>
      <c r="L581" s="402"/>
      <c r="M581" s="402"/>
      <c r="N581" s="402"/>
      <c r="O581" s="402"/>
      <c r="P581" s="402"/>
      <c r="Q581" s="402"/>
      <c r="R581" s="402"/>
      <c r="S581" s="402"/>
      <c r="T581" s="402"/>
      <c r="U581" s="402"/>
      <c r="V581" s="402"/>
      <c r="W581" s="402"/>
      <c r="X581" s="402"/>
      <c r="Y581" s="402"/>
      <c r="Z581" s="402"/>
    </row>
    <row r="582" ht="14.25" customHeight="1">
      <c r="A582" s="497">
        <v>45511.0</v>
      </c>
      <c r="B582" s="349" t="s">
        <v>6261</v>
      </c>
      <c r="C582" s="349" t="s">
        <v>6262</v>
      </c>
      <c r="D582" s="623" t="s">
        <v>54</v>
      </c>
      <c r="E582" s="403"/>
      <c r="F582" s="559">
        <v>38000.0</v>
      </c>
      <c r="G582" s="403"/>
      <c r="H582" s="402"/>
      <c r="I582" s="736" t="str">
        <f t="shared" si="8"/>
        <v>NOT PAID</v>
      </c>
      <c r="J582" s="402"/>
      <c r="K582" s="402"/>
      <c r="L582" s="402"/>
      <c r="M582" s="402"/>
      <c r="N582" s="402"/>
      <c r="O582" s="402"/>
      <c r="P582" s="402"/>
      <c r="Q582" s="402"/>
      <c r="R582" s="402"/>
      <c r="S582" s="402"/>
      <c r="T582" s="402"/>
      <c r="U582" s="402"/>
      <c r="V582" s="402"/>
      <c r="W582" s="402"/>
      <c r="X582" s="402"/>
      <c r="Y582" s="402"/>
      <c r="Z582" s="402"/>
    </row>
    <row r="583" ht="14.25" customHeight="1">
      <c r="A583" s="497">
        <v>45511.0</v>
      </c>
      <c r="B583" s="349" t="s">
        <v>6063</v>
      </c>
      <c r="C583" s="349" t="s">
        <v>6334</v>
      </c>
      <c r="D583" s="1032" t="s">
        <v>413</v>
      </c>
      <c r="E583" s="413" t="s">
        <v>5660</v>
      </c>
      <c r="F583" s="413">
        <v>483000.0</v>
      </c>
      <c r="G583" s="403"/>
      <c r="H583" s="349" t="s">
        <v>6335</v>
      </c>
      <c r="I583" s="736" t="str">
        <f t="shared" si="8"/>
        <v>NOT PAID</v>
      </c>
      <c r="J583" s="402"/>
      <c r="K583" s="402"/>
      <c r="L583" s="402"/>
      <c r="M583" s="402"/>
      <c r="N583" s="402"/>
      <c r="O583" s="402"/>
      <c r="P583" s="402"/>
      <c r="Q583" s="402"/>
      <c r="R583" s="402"/>
      <c r="S583" s="402"/>
      <c r="T583" s="402"/>
      <c r="U583" s="402"/>
      <c r="V583" s="402"/>
      <c r="W583" s="402"/>
      <c r="X583" s="402"/>
      <c r="Y583" s="402"/>
      <c r="Z583" s="402"/>
    </row>
    <row r="584" ht="14.25" customHeight="1">
      <c r="A584" s="497">
        <v>45511.0</v>
      </c>
      <c r="B584" s="1038" t="s">
        <v>6245</v>
      </c>
      <c r="C584" s="349" t="s">
        <v>6336</v>
      </c>
      <c r="D584" s="1032" t="s">
        <v>54</v>
      </c>
      <c r="E584" s="413" t="s">
        <v>5694</v>
      </c>
      <c r="F584" s="413">
        <v>13465.0</v>
      </c>
      <c r="G584" s="403"/>
      <c r="H584" s="349" t="s">
        <v>6337</v>
      </c>
      <c r="I584" s="736" t="str">
        <f t="shared" si="8"/>
        <v>NOT PAID</v>
      </c>
      <c r="J584" s="402"/>
      <c r="K584" s="402"/>
      <c r="L584" s="402"/>
      <c r="M584" s="402"/>
      <c r="N584" s="402"/>
      <c r="O584" s="402"/>
      <c r="P584" s="402"/>
      <c r="Q584" s="402"/>
      <c r="R584" s="402"/>
      <c r="S584" s="402"/>
      <c r="T584" s="402"/>
      <c r="U584" s="402"/>
      <c r="V584" s="402"/>
      <c r="W584" s="402"/>
      <c r="X584" s="402"/>
      <c r="Y584" s="402"/>
      <c r="Z584" s="402"/>
    </row>
    <row r="585" ht="14.25" customHeight="1">
      <c r="A585" s="497">
        <v>45511.0</v>
      </c>
      <c r="B585" s="402"/>
      <c r="C585" s="349" t="s">
        <v>6338</v>
      </c>
      <c r="D585" s="1032" t="s">
        <v>54</v>
      </c>
      <c r="E585" s="403"/>
      <c r="F585" s="413">
        <v>185123.0</v>
      </c>
      <c r="G585" s="403"/>
      <c r="H585" s="402"/>
      <c r="I585" s="736" t="str">
        <f t="shared" si="8"/>
        <v>NOT PAID</v>
      </c>
      <c r="J585" s="402"/>
      <c r="K585" s="402"/>
      <c r="L585" s="402"/>
      <c r="M585" s="402"/>
      <c r="N585" s="402"/>
      <c r="O585" s="402"/>
      <c r="P585" s="402"/>
      <c r="Q585" s="402"/>
      <c r="R585" s="402"/>
      <c r="S585" s="402"/>
      <c r="T585" s="402"/>
      <c r="U585" s="402"/>
      <c r="V585" s="402"/>
      <c r="W585" s="402"/>
      <c r="X585" s="402"/>
      <c r="Y585" s="402"/>
      <c r="Z585" s="402"/>
    </row>
    <row r="586" ht="14.25" customHeight="1">
      <c r="A586" s="497">
        <v>45511.0</v>
      </c>
      <c r="B586" s="402"/>
      <c r="C586" s="349" t="s">
        <v>6320</v>
      </c>
      <c r="D586" s="1032" t="s">
        <v>54</v>
      </c>
      <c r="E586" s="403"/>
      <c r="F586" s="651">
        <v>30657.16</v>
      </c>
      <c r="G586" s="403"/>
      <c r="H586" s="455" t="s">
        <v>6339</v>
      </c>
      <c r="I586" s="736" t="str">
        <f t="shared" si="8"/>
        <v>NOT PAID</v>
      </c>
      <c r="J586" s="402"/>
      <c r="K586" s="402"/>
      <c r="L586" s="402"/>
      <c r="M586" s="402"/>
      <c r="N586" s="402"/>
      <c r="O586" s="402"/>
      <c r="P586" s="402"/>
      <c r="Q586" s="402"/>
      <c r="R586" s="402"/>
      <c r="S586" s="402"/>
      <c r="T586" s="402"/>
      <c r="U586" s="402"/>
      <c r="V586" s="402"/>
      <c r="W586" s="402"/>
      <c r="X586" s="402"/>
      <c r="Y586" s="402"/>
      <c r="Z586" s="402"/>
    </row>
    <row r="587" ht="14.25" customHeight="1">
      <c r="A587" s="497">
        <v>45511.0</v>
      </c>
      <c r="B587" s="349" t="s">
        <v>6010</v>
      </c>
      <c r="C587" s="349" t="s">
        <v>6011</v>
      </c>
      <c r="D587" s="1032" t="s">
        <v>54</v>
      </c>
      <c r="E587" s="413" t="s">
        <v>5623</v>
      </c>
      <c r="F587" s="413">
        <v>125639.0</v>
      </c>
      <c r="G587" s="403"/>
      <c r="H587" s="349" t="s">
        <v>267</v>
      </c>
      <c r="I587" s="736" t="str">
        <f t="shared" si="8"/>
        <v>NOT PAID</v>
      </c>
      <c r="J587" s="402"/>
      <c r="K587" s="402"/>
      <c r="L587" s="402"/>
      <c r="M587" s="402"/>
      <c r="N587" s="402"/>
      <c r="O587" s="402"/>
      <c r="P587" s="402"/>
      <c r="Q587" s="402"/>
      <c r="R587" s="402"/>
      <c r="S587" s="402"/>
      <c r="T587" s="402"/>
      <c r="U587" s="402"/>
      <c r="V587" s="402"/>
      <c r="W587" s="402"/>
      <c r="X587" s="402"/>
      <c r="Y587" s="402"/>
      <c r="Z587" s="402"/>
    </row>
    <row r="588" ht="14.25" customHeight="1">
      <c r="A588" s="497">
        <v>45511.0</v>
      </c>
      <c r="B588" s="349" t="s">
        <v>6340</v>
      </c>
      <c r="C588" s="349" t="s">
        <v>6341</v>
      </c>
      <c r="D588" s="1032" t="s">
        <v>54</v>
      </c>
      <c r="E588" s="413" t="s">
        <v>5623</v>
      </c>
      <c r="F588" s="413">
        <v>20000.0</v>
      </c>
      <c r="G588" s="403"/>
      <c r="H588" s="349" t="s">
        <v>267</v>
      </c>
      <c r="I588" s="736" t="str">
        <f t="shared" si="8"/>
        <v>NOT PAID</v>
      </c>
      <c r="J588" s="402"/>
      <c r="K588" s="402"/>
      <c r="L588" s="402"/>
      <c r="M588" s="402"/>
      <c r="N588" s="402"/>
      <c r="O588" s="402"/>
      <c r="P588" s="402"/>
      <c r="Q588" s="402"/>
      <c r="R588" s="402"/>
      <c r="S588" s="402"/>
      <c r="T588" s="402"/>
      <c r="U588" s="402"/>
      <c r="V588" s="402"/>
      <c r="W588" s="402"/>
      <c r="X588" s="402"/>
      <c r="Y588" s="402"/>
      <c r="Z588" s="402"/>
    </row>
    <row r="589" ht="14.25" customHeight="1">
      <c r="A589" s="497">
        <v>45511.0</v>
      </c>
      <c r="B589" s="349" t="s">
        <v>5969</v>
      </c>
      <c r="C589" s="349" t="s">
        <v>5970</v>
      </c>
      <c r="D589" s="1032" t="s">
        <v>54</v>
      </c>
      <c r="E589" s="413" t="s">
        <v>5694</v>
      </c>
      <c r="F589" s="413">
        <v>20000.0</v>
      </c>
      <c r="G589" s="413">
        <v>20000.0</v>
      </c>
      <c r="H589" s="349" t="s">
        <v>267</v>
      </c>
      <c r="I589" s="736" t="str">
        <f t="shared" si="8"/>
        <v>FULLY PAID</v>
      </c>
      <c r="J589" s="402"/>
      <c r="K589" s="402"/>
      <c r="L589" s="402"/>
      <c r="M589" s="402"/>
      <c r="N589" s="402"/>
      <c r="O589" s="402"/>
      <c r="P589" s="402"/>
      <c r="Q589" s="402"/>
      <c r="R589" s="402"/>
      <c r="S589" s="402"/>
      <c r="T589" s="402"/>
      <c r="U589" s="402"/>
      <c r="V589" s="402"/>
      <c r="W589" s="402"/>
      <c r="X589" s="402"/>
      <c r="Y589" s="402"/>
      <c r="Z589" s="402"/>
    </row>
    <row r="590" ht="14.25" customHeight="1">
      <c r="A590" s="497">
        <v>45511.0</v>
      </c>
      <c r="B590" s="349" t="s">
        <v>5941</v>
      </c>
      <c r="C590" s="349" t="s">
        <v>5942</v>
      </c>
      <c r="D590" s="1032" t="s">
        <v>54</v>
      </c>
      <c r="E590" s="413" t="s">
        <v>5623</v>
      </c>
      <c r="F590" s="413">
        <v>60000.0</v>
      </c>
      <c r="G590" s="403"/>
      <c r="H590" s="349" t="s">
        <v>267</v>
      </c>
      <c r="I590" s="736" t="str">
        <f t="shared" si="8"/>
        <v>NOT PAID</v>
      </c>
      <c r="J590" s="402"/>
      <c r="K590" s="402"/>
      <c r="L590" s="402"/>
      <c r="M590" s="402"/>
      <c r="N590" s="402"/>
      <c r="O590" s="402"/>
      <c r="P590" s="402"/>
      <c r="Q590" s="402"/>
      <c r="R590" s="402"/>
      <c r="S590" s="402"/>
      <c r="T590" s="402"/>
      <c r="U590" s="402"/>
      <c r="V590" s="402"/>
      <c r="W590" s="402"/>
      <c r="X590" s="402"/>
      <c r="Y590" s="402"/>
      <c r="Z590" s="402"/>
    </row>
    <row r="591" ht="14.25" customHeight="1">
      <c r="A591" s="497">
        <v>45511.0</v>
      </c>
      <c r="B591" s="402"/>
      <c r="C591" s="349" t="s">
        <v>6342</v>
      </c>
      <c r="D591" s="1032" t="s">
        <v>54</v>
      </c>
      <c r="E591" s="403"/>
      <c r="F591" s="413">
        <v>2600000.0</v>
      </c>
      <c r="G591" s="403"/>
      <c r="H591" s="402"/>
      <c r="I591" s="736" t="str">
        <f t="shared" si="8"/>
        <v>NOT PAID</v>
      </c>
      <c r="J591" s="402"/>
      <c r="K591" s="402"/>
      <c r="L591" s="402"/>
      <c r="M591" s="402"/>
      <c r="N591" s="402"/>
      <c r="O591" s="402"/>
      <c r="P591" s="402"/>
      <c r="Q591" s="402"/>
      <c r="R591" s="402"/>
      <c r="S591" s="402"/>
      <c r="T591" s="402"/>
      <c r="U591" s="402"/>
      <c r="V591" s="402"/>
      <c r="W591" s="402"/>
      <c r="X591" s="402"/>
      <c r="Y591" s="402"/>
      <c r="Z591" s="402"/>
    </row>
    <row r="592" ht="14.25" customHeight="1">
      <c r="A592" s="402"/>
      <c r="B592" s="402"/>
      <c r="C592" s="402"/>
      <c r="D592" s="1034"/>
      <c r="E592" s="403"/>
      <c r="F592" s="403"/>
      <c r="G592" s="403"/>
      <c r="H592" s="402"/>
      <c r="I592" s="736" t="str">
        <f t="shared" si="8"/>
        <v>FULLY PAID</v>
      </c>
      <c r="J592" s="402"/>
      <c r="K592" s="402"/>
      <c r="L592" s="402"/>
      <c r="M592" s="402"/>
      <c r="N592" s="402"/>
      <c r="O592" s="402"/>
      <c r="P592" s="402"/>
      <c r="Q592" s="402"/>
      <c r="R592" s="402"/>
      <c r="S592" s="402"/>
      <c r="T592" s="402"/>
      <c r="U592" s="402"/>
      <c r="V592" s="402"/>
      <c r="W592" s="402"/>
      <c r="X592" s="402"/>
      <c r="Y592" s="402"/>
      <c r="Z592" s="402"/>
    </row>
    <row r="593" ht="14.25" customHeight="1">
      <c r="A593" s="402"/>
      <c r="B593" s="402"/>
      <c r="C593" s="402"/>
      <c r="D593" s="1034"/>
      <c r="E593" s="403"/>
      <c r="F593" s="403"/>
      <c r="G593" s="403"/>
      <c r="H593" s="402"/>
      <c r="I593" s="736" t="str">
        <f t="shared" si="8"/>
        <v>FULLY PAID</v>
      </c>
      <c r="J593" s="402"/>
      <c r="K593" s="402"/>
      <c r="L593" s="402"/>
      <c r="M593" s="402"/>
      <c r="N593" s="402"/>
      <c r="O593" s="402"/>
      <c r="P593" s="402"/>
      <c r="Q593" s="402"/>
      <c r="R593" s="402"/>
      <c r="S593" s="402"/>
      <c r="T593" s="402"/>
      <c r="U593" s="402"/>
      <c r="V593" s="402"/>
      <c r="W593" s="402"/>
      <c r="X593" s="402"/>
      <c r="Y593" s="402"/>
      <c r="Z593" s="402"/>
    </row>
    <row r="594" ht="14.25" customHeight="1">
      <c r="A594" s="497">
        <v>45512.0</v>
      </c>
      <c r="B594" s="1068" t="s">
        <v>5956</v>
      </c>
      <c r="C594" s="623" t="s">
        <v>6343</v>
      </c>
      <c r="D594" s="623" t="s">
        <v>59</v>
      </c>
      <c r="E594" s="1067" t="s">
        <v>5737</v>
      </c>
      <c r="F594" s="651">
        <v>529738.38</v>
      </c>
      <c r="G594" s="403"/>
      <c r="H594" s="349" t="s">
        <v>6344</v>
      </c>
      <c r="I594" s="736" t="str">
        <f t="shared" si="8"/>
        <v>NOT PAID</v>
      </c>
      <c r="J594" s="402"/>
      <c r="K594" s="402"/>
      <c r="L594" s="402"/>
      <c r="M594" s="402"/>
      <c r="N594" s="402"/>
      <c r="O594" s="402"/>
      <c r="P594" s="402"/>
      <c r="Q594" s="402"/>
      <c r="R594" s="402"/>
      <c r="S594" s="402"/>
      <c r="T594" s="402"/>
      <c r="U594" s="402"/>
      <c r="V594" s="402"/>
      <c r="W594" s="402"/>
      <c r="X594" s="402"/>
      <c r="Y594" s="402"/>
      <c r="Z594" s="402"/>
    </row>
    <row r="595" ht="14.25" customHeight="1">
      <c r="A595" s="497">
        <v>45512.0</v>
      </c>
      <c r="B595" s="1068" t="s">
        <v>6345</v>
      </c>
      <c r="C595" s="623" t="s">
        <v>6346</v>
      </c>
      <c r="D595" s="623" t="s">
        <v>54</v>
      </c>
      <c r="E595" s="1067" t="s">
        <v>5737</v>
      </c>
      <c r="F595" s="651">
        <v>10619.43</v>
      </c>
      <c r="G595" s="403"/>
      <c r="H595" s="349" t="s">
        <v>2200</v>
      </c>
      <c r="I595" s="736" t="str">
        <f t="shared" si="8"/>
        <v>NOT PAID</v>
      </c>
      <c r="J595" s="402"/>
      <c r="K595" s="402"/>
      <c r="L595" s="402"/>
      <c r="M595" s="402"/>
      <c r="N595" s="402"/>
      <c r="O595" s="402"/>
      <c r="P595" s="402"/>
      <c r="Q595" s="402"/>
      <c r="R595" s="402"/>
      <c r="S595" s="402"/>
      <c r="T595" s="402"/>
      <c r="U595" s="402"/>
      <c r="V595" s="402"/>
      <c r="W595" s="402"/>
      <c r="X595" s="402"/>
      <c r="Y595" s="402"/>
      <c r="Z595" s="402"/>
    </row>
    <row r="596" ht="14.25" customHeight="1">
      <c r="A596" s="497">
        <v>45512.0</v>
      </c>
      <c r="B596" s="623" t="s">
        <v>6347</v>
      </c>
      <c r="C596" s="623" t="s">
        <v>6348</v>
      </c>
      <c r="D596" s="623" t="s">
        <v>54</v>
      </c>
      <c r="E596" s="1067" t="s">
        <v>5744</v>
      </c>
      <c r="F596" s="651">
        <v>64070.0</v>
      </c>
      <c r="G596" s="651">
        <v>64070.0</v>
      </c>
      <c r="H596" s="349" t="s">
        <v>6335</v>
      </c>
      <c r="I596" s="736" t="str">
        <f t="shared" si="8"/>
        <v>FULLY PAID</v>
      </c>
      <c r="J596" s="402"/>
      <c r="K596" s="402"/>
      <c r="L596" s="402"/>
      <c r="M596" s="402"/>
      <c r="N596" s="402"/>
      <c r="O596" s="402"/>
      <c r="P596" s="402"/>
      <c r="Q596" s="402"/>
      <c r="R596" s="402"/>
      <c r="S596" s="402"/>
      <c r="T596" s="402"/>
      <c r="U596" s="402"/>
      <c r="V596" s="402"/>
      <c r="W596" s="402"/>
      <c r="X596" s="402"/>
      <c r="Y596" s="402"/>
      <c r="Z596" s="402"/>
    </row>
    <row r="597" ht="14.25" customHeight="1">
      <c r="A597" s="497">
        <v>45512.0</v>
      </c>
      <c r="B597" s="1068" t="s">
        <v>6349</v>
      </c>
      <c r="C597" s="623" t="s">
        <v>6350</v>
      </c>
      <c r="D597" s="623" t="s">
        <v>54</v>
      </c>
      <c r="E597" s="1067" t="s">
        <v>5737</v>
      </c>
      <c r="F597" s="651">
        <v>36671.67</v>
      </c>
      <c r="G597" s="403"/>
      <c r="H597" s="349" t="s">
        <v>6351</v>
      </c>
      <c r="I597" s="736" t="str">
        <f t="shared" si="8"/>
        <v>NOT PAID</v>
      </c>
      <c r="J597" s="402"/>
      <c r="K597" s="402"/>
      <c r="L597" s="402"/>
      <c r="M597" s="402"/>
      <c r="N597" s="402"/>
      <c r="O597" s="402"/>
      <c r="P597" s="402"/>
      <c r="Q597" s="402"/>
      <c r="R597" s="402"/>
      <c r="S597" s="402"/>
      <c r="T597" s="402"/>
      <c r="U597" s="402"/>
      <c r="V597" s="402"/>
      <c r="W597" s="402"/>
      <c r="X597" s="402"/>
      <c r="Y597" s="402"/>
      <c r="Z597" s="402"/>
    </row>
    <row r="598" ht="14.25" customHeight="1">
      <c r="A598" s="497">
        <v>45512.0</v>
      </c>
      <c r="B598" s="623" t="s">
        <v>6352</v>
      </c>
      <c r="C598" s="623" t="s">
        <v>5899</v>
      </c>
      <c r="D598" s="623" t="s">
        <v>54</v>
      </c>
      <c r="E598" s="1067" t="s">
        <v>5737</v>
      </c>
      <c r="F598" s="651">
        <v>17316.23</v>
      </c>
      <c r="G598" s="413">
        <v>18182.0</v>
      </c>
      <c r="H598" s="349" t="s">
        <v>6353</v>
      </c>
      <c r="I598" s="736" t="str">
        <f t="shared" si="8"/>
        <v>FULLY PAID</v>
      </c>
      <c r="J598" s="402"/>
      <c r="K598" s="402"/>
      <c r="L598" s="402"/>
      <c r="M598" s="402"/>
      <c r="N598" s="402"/>
      <c r="O598" s="402"/>
      <c r="P598" s="402"/>
      <c r="Q598" s="402"/>
      <c r="R598" s="402"/>
      <c r="S598" s="402"/>
      <c r="T598" s="402"/>
      <c r="U598" s="402"/>
      <c r="V598" s="402"/>
      <c r="W598" s="402"/>
      <c r="X598" s="402"/>
      <c r="Y598" s="402"/>
      <c r="Z598" s="402"/>
    </row>
    <row r="599" ht="14.25" customHeight="1">
      <c r="A599" s="497">
        <v>45512.0</v>
      </c>
      <c r="B599" s="623" t="s">
        <v>6354</v>
      </c>
      <c r="C599" s="623" t="s">
        <v>6355</v>
      </c>
      <c r="D599" s="623" t="s">
        <v>54</v>
      </c>
      <c r="E599" s="1067" t="s">
        <v>6356</v>
      </c>
      <c r="F599" s="651">
        <v>41802.95</v>
      </c>
      <c r="G599" s="403"/>
      <c r="H599" s="402"/>
      <c r="I599" s="736" t="str">
        <f t="shared" si="8"/>
        <v>NOT PAID</v>
      </c>
      <c r="J599" s="402"/>
      <c r="K599" s="402"/>
      <c r="L599" s="402"/>
      <c r="M599" s="402"/>
      <c r="N599" s="402"/>
      <c r="O599" s="402"/>
      <c r="P599" s="402"/>
      <c r="Q599" s="402"/>
      <c r="R599" s="402"/>
      <c r="S599" s="402"/>
      <c r="T599" s="402"/>
      <c r="U599" s="402"/>
      <c r="V599" s="402"/>
      <c r="W599" s="402"/>
      <c r="X599" s="402"/>
      <c r="Y599" s="402"/>
      <c r="Z599" s="402"/>
    </row>
    <row r="600" ht="14.25" customHeight="1">
      <c r="A600" s="497">
        <v>45512.0</v>
      </c>
      <c r="B600" s="623" t="s">
        <v>6357</v>
      </c>
      <c r="C600" s="623" t="s">
        <v>6358</v>
      </c>
      <c r="D600" s="623" t="s">
        <v>54</v>
      </c>
      <c r="E600" s="1067" t="s">
        <v>5737</v>
      </c>
      <c r="F600" s="651">
        <v>40107.82</v>
      </c>
      <c r="G600" s="403"/>
      <c r="H600" s="349" t="s">
        <v>4655</v>
      </c>
      <c r="I600" s="736" t="str">
        <f t="shared" si="8"/>
        <v>NOT PAID</v>
      </c>
      <c r="J600" s="402"/>
      <c r="K600" s="402"/>
      <c r="L600" s="402"/>
      <c r="M600" s="402"/>
      <c r="N600" s="402"/>
      <c r="O600" s="402"/>
      <c r="P600" s="402"/>
      <c r="Q600" s="402"/>
      <c r="R600" s="402"/>
      <c r="S600" s="402"/>
      <c r="T600" s="402"/>
      <c r="U600" s="402"/>
      <c r="V600" s="402"/>
      <c r="W600" s="402"/>
      <c r="X600" s="402"/>
      <c r="Y600" s="402"/>
      <c r="Z600" s="402"/>
    </row>
    <row r="601" ht="14.25" customHeight="1">
      <c r="A601" s="497">
        <v>45512.0</v>
      </c>
      <c r="B601" s="623" t="s">
        <v>6359</v>
      </c>
      <c r="C601" s="623" t="s">
        <v>6360</v>
      </c>
      <c r="D601" s="623" t="s">
        <v>54</v>
      </c>
      <c r="E601" s="1067" t="s">
        <v>5737</v>
      </c>
      <c r="F601" s="651">
        <v>13599.0</v>
      </c>
      <c r="G601" s="403"/>
      <c r="H601" s="349" t="s">
        <v>6361</v>
      </c>
      <c r="I601" s="736" t="str">
        <f t="shared" si="8"/>
        <v>NOT PAID</v>
      </c>
      <c r="J601" s="402"/>
      <c r="K601" s="402"/>
      <c r="L601" s="402"/>
      <c r="M601" s="402"/>
      <c r="N601" s="402"/>
      <c r="O601" s="402"/>
      <c r="P601" s="402"/>
      <c r="Q601" s="402"/>
      <c r="R601" s="402"/>
      <c r="S601" s="402"/>
      <c r="T601" s="402"/>
      <c r="U601" s="402"/>
      <c r="V601" s="402"/>
      <c r="W601" s="402"/>
      <c r="X601" s="402"/>
      <c r="Y601" s="402"/>
      <c r="Z601" s="402"/>
    </row>
    <row r="602" ht="14.25" customHeight="1">
      <c r="A602" s="497">
        <v>45512.0</v>
      </c>
      <c r="B602" s="1068" t="s">
        <v>6362</v>
      </c>
      <c r="C602" s="623" t="s">
        <v>6363</v>
      </c>
      <c r="D602" s="623" t="s">
        <v>54</v>
      </c>
      <c r="E602" s="1067" t="s">
        <v>5737</v>
      </c>
      <c r="F602" s="651">
        <v>154993.52</v>
      </c>
      <c r="G602" s="403"/>
      <c r="H602" s="65" t="s">
        <v>3402</v>
      </c>
      <c r="I602" s="736" t="str">
        <f t="shared" si="8"/>
        <v>NOT PAID</v>
      </c>
      <c r="J602" s="402"/>
      <c r="K602" s="402"/>
      <c r="L602" s="402"/>
      <c r="M602" s="402"/>
      <c r="N602" s="402"/>
      <c r="O602" s="402"/>
      <c r="P602" s="402"/>
      <c r="Q602" s="402"/>
      <c r="R602" s="402"/>
      <c r="S602" s="402"/>
      <c r="T602" s="402"/>
      <c r="U602" s="402"/>
      <c r="V602" s="402"/>
      <c r="W602" s="402"/>
      <c r="X602" s="402"/>
      <c r="Y602" s="402"/>
      <c r="Z602" s="402"/>
    </row>
    <row r="603" ht="14.25" customHeight="1">
      <c r="A603" s="497">
        <v>45512.0</v>
      </c>
      <c r="B603" s="1068" t="s">
        <v>6364</v>
      </c>
      <c r="C603" s="623" t="s">
        <v>6365</v>
      </c>
      <c r="D603" s="623" t="s">
        <v>54</v>
      </c>
      <c r="E603" s="1067" t="s">
        <v>5737</v>
      </c>
      <c r="F603" s="651">
        <v>0.0</v>
      </c>
      <c r="G603" s="403"/>
      <c r="H603" s="349" t="s">
        <v>6366</v>
      </c>
      <c r="I603" s="736" t="str">
        <f t="shared" si="8"/>
        <v>FULLY PAID</v>
      </c>
      <c r="J603" s="402"/>
      <c r="K603" s="402"/>
      <c r="L603" s="402"/>
      <c r="M603" s="402"/>
      <c r="N603" s="402"/>
      <c r="O603" s="402"/>
      <c r="P603" s="402"/>
      <c r="Q603" s="402"/>
      <c r="R603" s="402"/>
      <c r="S603" s="402"/>
      <c r="T603" s="402"/>
      <c r="U603" s="402"/>
      <c r="V603" s="402"/>
      <c r="W603" s="402"/>
      <c r="X603" s="402"/>
      <c r="Y603" s="402"/>
      <c r="Z603" s="402"/>
    </row>
    <row r="604" ht="14.25" customHeight="1">
      <c r="A604" s="497">
        <v>45512.0</v>
      </c>
      <c r="B604" s="1068" t="s">
        <v>6245</v>
      </c>
      <c r="C604" s="623" t="s">
        <v>6246</v>
      </c>
      <c r="D604" s="623" t="s">
        <v>54</v>
      </c>
      <c r="E604" s="1067" t="s">
        <v>5737</v>
      </c>
      <c r="F604" s="651">
        <v>34620.37</v>
      </c>
      <c r="G604" s="403"/>
      <c r="H604" s="349" t="s">
        <v>6367</v>
      </c>
      <c r="I604" s="736" t="str">
        <f t="shared" si="8"/>
        <v>NOT PAID</v>
      </c>
      <c r="J604" s="402"/>
      <c r="K604" s="402"/>
      <c r="L604" s="402"/>
      <c r="M604" s="402"/>
      <c r="N604" s="402"/>
      <c r="O604" s="402"/>
      <c r="P604" s="402"/>
      <c r="Q604" s="402"/>
      <c r="R604" s="402"/>
      <c r="S604" s="402"/>
      <c r="T604" s="402"/>
      <c r="U604" s="402"/>
      <c r="V604" s="402"/>
      <c r="W604" s="402"/>
      <c r="X604" s="402"/>
      <c r="Y604" s="402"/>
      <c r="Z604" s="402"/>
    </row>
    <row r="605" ht="14.25" customHeight="1">
      <c r="A605" s="497">
        <v>45512.0</v>
      </c>
      <c r="B605" s="623" t="s">
        <v>6368</v>
      </c>
      <c r="C605" s="623" t="s">
        <v>6369</v>
      </c>
      <c r="D605" s="623" t="s">
        <v>54</v>
      </c>
      <c r="E605" s="1067"/>
      <c r="F605" s="651">
        <v>15672.0</v>
      </c>
      <c r="G605" s="413">
        <v>25000.0</v>
      </c>
      <c r="H605" s="402"/>
      <c r="I605" s="736" t="str">
        <f t="shared" si="8"/>
        <v>FULLY PAID</v>
      </c>
      <c r="J605" s="402"/>
      <c r="K605" s="402"/>
      <c r="L605" s="402"/>
      <c r="M605" s="402"/>
      <c r="N605" s="402"/>
      <c r="O605" s="402"/>
      <c r="P605" s="402"/>
      <c r="Q605" s="402"/>
      <c r="R605" s="402"/>
      <c r="S605" s="402"/>
      <c r="T605" s="402"/>
      <c r="U605" s="402"/>
      <c r="V605" s="402"/>
      <c r="W605" s="402"/>
      <c r="X605" s="402"/>
      <c r="Y605" s="402"/>
      <c r="Z605" s="402"/>
    </row>
    <row r="606" ht="14.25" customHeight="1">
      <c r="A606" s="497">
        <v>45512.0</v>
      </c>
      <c r="B606" s="623" t="s">
        <v>6370</v>
      </c>
      <c r="C606" s="623" t="s">
        <v>6360</v>
      </c>
      <c r="D606" s="623" t="s">
        <v>346</v>
      </c>
      <c r="E606" s="1067"/>
      <c r="F606" s="651">
        <v>7039.0</v>
      </c>
      <c r="G606" s="651">
        <v>7039.0</v>
      </c>
      <c r="H606" s="349" t="s">
        <v>267</v>
      </c>
      <c r="I606" s="736" t="str">
        <f t="shared" si="8"/>
        <v>FULLY PAID</v>
      </c>
      <c r="J606" s="402"/>
      <c r="K606" s="402"/>
      <c r="L606" s="402"/>
      <c r="M606" s="402"/>
      <c r="N606" s="402"/>
      <c r="O606" s="402"/>
      <c r="P606" s="402"/>
      <c r="Q606" s="402"/>
      <c r="R606" s="402"/>
      <c r="S606" s="402"/>
      <c r="T606" s="402"/>
      <c r="U606" s="402"/>
      <c r="V606" s="402"/>
      <c r="W606" s="402"/>
      <c r="X606" s="402"/>
      <c r="Y606" s="402"/>
      <c r="Z606" s="402"/>
    </row>
    <row r="607" ht="14.25" customHeight="1">
      <c r="A607" s="497">
        <v>45512.0</v>
      </c>
      <c r="B607" s="1068" t="s">
        <v>6371</v>
      </c>
      <c r="C607" s="623" t="s">
        <v>6193</v>
      </c>
      <c r="D607" s="623" t="s">
        <v>75</v>
      </c>
      <c r="E607" s="1067" t="s">
        <v>5737</v>
      </c>
      <c r="F607" s="651">
        <v>138000.0</v>
      </c>
      <c r="G607" s="651">
        <v>138000.0</v>
      </c>
      <c r="H607" s="349" t="s">
        <v>267</v>
      </c>
      <c r="I607" s="736" t="str">
        <f t="shared" si="8"/>
        <v>FULLY PAID</v>
      </c>
      <c r="J607" s="402"/>
      <c r="K607" s="402"/>
      <c r="L607" s="402"/>
      <c r="M607" s="402"/>
      <c r="N607" s="402"/>
      <c r="O607" s="402"/>
      <c r="P607" s="402"/>
      <c r="Q607" s="402"/>
      <c r="R607" s="402"/>
      <c r="S607" s="402"/>
      <c r="T607" s="402"/>
      <c r="U607" s="402"/>
      <c r="V607" s="402"/>
      <c r="W607" s="402"/>
      <c r="X607" s="402"/>
      <c r="Y607" s="402"/>
      <c r="Z607" s="402"/>
    </row>
    <row r="608" ht="14.25" customHeight="1">
      <c r="A608" s="497">
        <v>45512.0</v>
      </c>
      <c r="B608" s="623" t="s">
        <v>6372</v>
      </c>
      <c r="C608" s="623" t="s">
        <v>6373</v>
      </c>
      <c r="D608" s="623" t="s">
        <v>54</v>
      </c>
      <c r="E608" s="1067" t="s">
        <v>5737</v>
      </c>
      <c r="F608" s="651">
        <v>37419.0</v>
      </c>
      <c r="G608" s="413">
        <v>19460.0</v>
      </c>
      <c r="H608" s="349" t="s">
        <v>6374</v>
      </c>
      <c r="I608" s="736" t="str">
        <f t="shared" si="8"/>
        <v>PARTIALLY PAID</v>
      </c>
      <c r="J608" s="402"/>
      <c r="K608" s="402"/>
      <c r="L608" s="402"/>
      <c r="M608" s="402"/>
      <c r="N608" s="402"/>
      <c r="O608" s="402"/>
      <c r="P608" s="402"/>
      <c r="Q608" s="402"/>
      <c r="R608" s="402"/>
      <c r="S608" s="402"/>
      <c r="T608" s="402"/>
      <c r="U608" s="402"/>
      <c r="V608" s="402"/>
      <c r="W608" s="402"/>
      <c r="X608" s="402"/>
      <c r="Y608" s="402"/>
      <c r="Z608" s="402"/>
    </row>
    <row r="609" ht="14.25" customHeight="1">
      <c r="A609" s="497">
        <v>45512.0</v>
      </c>
      <c r="B609" s="623" t="s">
        <v>6375</v>
      </c>
      <c r="C609" s="623" t="s">
        <v>6373</v>
      </c>
      <c r="D609" s="623" t="s">
        <v>346</v>
      </c>
      <c r="E609" s="1067" t="s">
        <v>5753</v>
      </c>
      <c r="F609" s="651">
        <v>8250.0</v>
      </c>
      <c r="G609" s="403"/>
      <c r="H609" s="402"/>
      <c r="I609" s="736" t="str">
        <f t="shared" si="8"/>
        <v>NOT PAID</v>
      </c>
      <c r="J609" s="402"/>
      <c r="K609" s="402"/>
      <c r="L609" s="402"/>
      <c r="M609" s="402"/>
      <c r="N609" s="402"/>
      <c r="O609" s="402"/>
      <c r="P609" s="402"/>
      <c r="Q609" s="402"/>
      <c r="R609" s="402"/>
      <c r="S609" s="402"/>
      <c r="T609" s="402"/>
      <c r="U609" s="402"/>
      <c r="V609" s="402"/>
      <c r="W609" s="402"/>
      <c r="X609" s="402"/>
      <c r="Y609" s="402"/>
      <c r="Z609" s="402"/>
    </row>
    <row r="610" ht="14.25" customHeight="1">
      <c r="A610" s="497">
        <v>45512.0</v>
      </c>
      <c r="B610" s="1069" t="s">
        <v>6067</v>
      </c>
      <c r="C610" s="1069" t="s">
        <v>6068</v>
      </c>
      <c r="D610" s="679" t="s">
        <v>54</v>
      </c>
      <c r="E610" s="1064" t="s">
        <v>5623</v>
      </c>
      <c r="F610" s="651">
        <v>20000.0</v>
      </c>
      <c r="G610" s="403"/>
      <c r="H610" s="349" t="s">
        <v>6376</v>
      </c>
      <c r="I610" s="736" t="str">
        <f t="shared" si="8"/>
        <v>NOT PAID</v>
      </c>
      <c r="J610" s="402"/>
      <c r="K610" s="402"/>
      <c r="L610" s="402"/>
      <c r="M610" s="402"/>
      <c r="N610" s="402"/>
      <c r="O610" s="402"/>
      <c r="P610" s="402"/>
      <c r="Q610" s="402"/>
      <c r="R610" s="402"/>
      <c r="S610" s="402"/>
      <c r="T610" s="402"/>
      <c r="U610" s="402"/>
      <c r="V610" s="402"/>
      <c r="W610" s="402"/>
      <c r="X610" s="402"/>
      <c r="Y610" s="402"/>
      <c r="Z610" s="402"/>
    </row>
    <row r="611" ht="14.25" customHeight="1">
      <c r="A611" s="497">
        <v>45512.0</v>
      </c>
      <c r="B611" s="755"/>
      <c r="C611" s="1069"/>
      <c r="D611" s="668"/>
      <c r="E611" s="1064"/>
      <c r="F611" s="651"/>
      <c r="G611" s="403"/>
      <c r="H611" s="402"/>
      <c r="I611" s="736" t="str">
        <f t="shared" si="8"/>
        <v>FULLY PAID</v>
      </c>
      <c r="J611" s="402"/>
      <c r="K611" s="402"/>
      <c r="L611" s="402"/>
      <c r="M611" s="402"/>
      <c r="N611" s="402"/>
      <c r="O611" s="402"/>
      <c r="P611" s="402"/>
      <c r="Q611" s="402"/>
      <c r="R611" s="402"/>
      <c r="S611" s="402"/>
      <c r="T611" s="402"/>
      <c r="U611" s="402"/>
      <c r="V611" s="402"/>
      <c r="W611" s="402"/>
      <c r="X611" s="402"/>
      <c r="Y611" s="402"/>
      <c r="Z611" s="402"/>
    </row>
    <row r="612" ht="14.25" customHeight="1">
      <c r="A612" s="497">
        <v>45512.0</v>
      </c>
      <c r="B612" s="349" t="s">
        <v>6377</v>
      </c>
      <c r="C612" s="349"/>
      <c r="D612" s="1032" t="s">
        <v>67</v>
      </c>
      <c r="E612" s="403"/>
      <c r="F612" s="413">
        <v>20000.0</v>
      </c>
      <c r="G612" s="403"/>
      <c r="H612" s="402"/>
      <c r="I612" s="736" t="str">
        <f t="shared" si="8"/>
        <v>NOT PAID</v>
      </c>
      <c r="J612" s="402"/>
      <c r="K612" s="402"/>
      <c r="L612" s="402"/>
      <c r="M612" s="402"/>
      <c r="N612" s="402"/>
      <c r="O612" s="402"/>
      <c r="P612" s="402"/>
      <c r="Q612" s="402"/>
      <c r="R612" s="402"/>
      <c r="S612" s="402"/>
      <c r="T612" s="402"/>
      <c r="U612" s="402"/>
      <c r="V612" s="402"/>
      <c r="W612" s="402"/>
      <c r="X612" s="402"/>
      <c r="Y612" s="402"/>
      <c r="Z612" s="402"/>
    </row>
    <row r="613" ht="14.25" customHeight="1">
      <c r="A613" s="497">
        <v>45512.0</v>
      </c>
      <c r="B613" s="349" t="s">
        <v>6192</v>
      </c>
      <c r="C613" s="349" t="s">
        <v>6193</v>
      </c>
      <c r="D613" s="623" t="s">
        <v>54</v>
      </c>
      <c r="E613" s="413" t="s">
        <v>5694</v>
      </c>
      <c r="F613" s="413">
        <v>36740.0</v>
      </c>
      <c r="G613" s="413">
        <v>36740.0</v>
      </c>
      <c r="H613" s="349" t="s">
        <v>267</v>
      </c>
      <c r="I613" s="736" t="str">
        <f t="shared" si="8"/>
        <v>FULLY PAID</v>
      </c>
      <c r="J613" s="402"/>
      <c r="K613" s="402"/>
      <c r="L613" s="402"/>
      <c r="M613" s="402"/>
      <c r="N613" s="402"/>
      <c r="O613" s="402"/>
      <c r="P613" s="402"/>
      <c r="Q613" s="402"/>
      <c r="R613" s="402"/>
      <c r="S613" s="402"/>
      <c r="T613" s="402"/>
      <c r="U613" s="402"/>
      <c r="V613" s="402"/>
      <c r="W613" s="402"/>
      <c r="X613" s="402"/>
      <c r="Y613" s="402"/>
      <c r="Z613" s="402"/>
    </row>
    <row r="614" ht="14.25" customHeight="1">
      <c r="A614" s="497">
        <v>45512.0</v>
      </c>
      <c r="B614" s="1" t="s">
        <v>6204</v>
      </c>
      <c r="C614" s="349" t="s">
        <v>6205</v>
      </c>
      <c r="D614" s="623" t="s">
        <v>54</v>
      </c>
      <c r="E614" s="403"/>
      <c r="F614" s="413">
        <v>20000.0</v>
      </c>
      <c r="G614" s="413">
        <v>20000.0</v>
      </c>
      <c r="H614" s="402"/>
      <c r="I614" s="736" t="str">
        <f t="shared" si="8"/>
        <v>FULLY PAID</v>
      </c>
      <c r="J614" s="402"/>
      <c r="K614" s="402"/>
      <c r="L614" s="402"/>
      <c r="M614" s="402"/>
      <c r="N614" s="402"/>
      <c r="O614" s="402"/>
      <c r="P614" s="402"/>
      <c r="Q614" s="402"/>
      <c r="R614" s="402"/>
      <c r="S614" s="402"/>
      <c r="T614" s="402"/>
      <c r="U614" s="402"/>
      <c r="V614" s="402"/>
      <c r="W614" s="402"/>
      <c r="X614" s="402"/>
      <c r="Y614" s="402"/>
      <c r="Z614" s="402"/>
    </row>
    <row r="615" ht="14.25" customHeight="1">
      <c r="A615" s="497">
        <v>45512.0</v>
      </c>
      <c r="B615" s="424" t="s">
        <v>797</v>
      </c>
      <c r="C615" s="402"/>
      <c r="D615" s="1034"/>
      <c r="E615" s="403"/>
      <c r="F615" s="403"/>
      <c r="G615" s="403"/>
      <c r="H615" s="402"/>
      <c r="I615" s="736" t="str">
        <f t="shared" si="8"/>
        <v>FULLY PAID</v>
      </c>
      <c r="J615" s="402"/>
      <c r="K615" s="402"/>
      <c r="L615" s="402"/>
      <c r="M615" s="402"/>
      <c r="N615" s="402"/>
      <c r="O615" s="402"/>
      <c r="P615" s="402"/>
      <c r="Q615" s="402"/>
      <c r="R615" s="402"/>
      <c r="S615" s="402"/>
      <c r="T615" s="402"/>
      <c r="U615" s="402"/>
      <c r="V615" s="402"/>
      <c r="W615" s="402"/>
      <c r="X615" s="402"/>
      <c r="Y615" s="402"/>
      <c r="Z615" s="402"/>
    </row>
    <row r="616" ht="14.25" customHeight="1">
      <c r="A616" s="497">
        <v>45512.0</v>
      </c>
      <c r="B616" s="436" t="s">
        <v>5664</v>
      </c>
      <c r="C616" s="436" t="s">
        <v>6378</v>
      </c>
      <c r="D616" s="668" t="s">
        <v>6379</v>
      </c>
      <c r="E616" s="668" t="s">
        <v>4114</v>
      </c>
      <c r="F616" s="758">
        <v>394222.0</v>
      </c>
      <c r="G616" s="403"/>
      <c r="H616" s="402"/>
      <c r="I616" s="736" t="str">
        <f t="shared" si="8"/>
        <v>NOT PAID</v>
      </c>
      <c r="J616" s="402"/>
      <c r="K616" s="402"/>
      <c r="L616" s="402"/>
      <c r="M616" s="402"/>
      <c r="N616" s="402"/>
      <c r="O616" s="402"/>
      <c r="P616" s="402"/>
      <c r="Q616" s="402"/>
      <c r="R616" s="402"/>
      <c r="S616" s="402"/>
      <c r="T616" s="402"/>
      <c r="U616" s="402"/>
      <c r="V616" s="402"/>
      <c r="W616" s="402"/>
      <c r="X616" s="402"/>
      <c r="Y616" s="402"/>
      <c r="Z616" s="402"/>
    </row>
    <row r="617" ht="18.75" customHeight="1">
      <c r="A617" s="497">
        <v>45512.0</v>
      </c>
      <c r="B617" s="436" t="s">
        <v>6380</v>
      </c>
      <c r="C617" s="1070" t="s">
        <v>5820</v>
      </c>
      <c r="D617" s="668" t="s">
        <v>54</v>
      </c>
      <c r="E617" s="668" t="s">
        <v>4114</v>
      </c>
      <c r="F617" s="758">
        <v>145251.0</v>
      </c>
      <c r="G617" s="403"/>
      <c r="H617" s="349" t="s">
        <v>6381</v>
      </c>
      <c r="I617" s="736" t="str">
        <f t="shared" si="8"/>
        <v>NOT PAID</v>
      </c>
      <c r="J617" s="402"/>
      <c r="K617" s="402"/>
      <c r="L617" s="402"/>
      <c r="M617" s="402"/>
      <c r="N617" s="402"/>
      <c r="O617" s="402"/>
      <c r="P617" s="402"/>
      <c r="Q617" s="402"/>
      <c r="R617" s="402"/>
      <c r="S617" s="402"/>
      <c r="T617" s="402"/>
      <c r="U617" s="402"/>
      <c r="V617" s="402"/>
      <c r="W617" s="402"/>
      <c r="X617" s="402"/>
      <c r="Y617" s="402"/>
      <c r="Z617" s="402"/>
    </row>
    <row r="618" ht="14.25" customHeight="1">
      <c r="A618" s="497">
        <v>45512.0</v>
      </c>
      <c r="B618" s="436" t="s">
        <v>5838</v>
      </c>
      <c r="C618" s="1070" t="s">
        <v>5981</v>
      </c>
      <c r="D618" s="668" t="s">
        <v>54</v>
      </c>
      <c r="E618" s="668" t="s">
        <v>4114</v>
      </c>
      <c r="F618" s="758">
        <v>121000.0</v>
      </c>
      <c r="G618" s="403"/>
      <c r="H618" s="402"/>
      <c r="I618" s="736" t="str">
        <f t="shared" si="8"/>
        <v>NOT PAID</v>
      </c>
      <c r="J618" s="402"/>
      <c r="K618" s="402"/>
      <c r="L618" s="402"/>
      <c r="M618" s="402"/>
      <c r="N618" s="402"/>
      <c r="O618" s="402"/>
      <c r="P618" s="402"/>
      <c r="Q618" s="402"/>
      <c r="R618" s="402"/>
      <c r="S618" s="402"/>
      <c r="T618" s="402"/>
      <c r="U618" s="402"/>
      <c r="V618" s="402"/>
      <c r="W618" s="402"/>
      <c r="X618" s="402"/>
      <c r="Y618" s="402"/>
      <c r="Z618" s="402"/>
    </row>
    <row r="619" ht="19.5" customHeight="1">
      <c r="A619" s="497">
        <v>45512.0</v>
      </c>
      <c r="B619" s="436" t="s">
        <v>5628</v>
      </c>
      <c r="C619" s="436" t="s">
        <v>6184</v>
      </c>
      <c r="D619" s="668" t="s">
        <v>54</v>
      </c>
      <c r="E619" s="668" t="s">
        <v>4114</v>
      </c>
      <c r="F619" s="758">
        <v>48000.0</v>
      </c>
      <c r="G619" s="403"/>
      <c r="H619" s="402"/>
      <c r="I619" s="736" t="str">
        <f t="shared" si="8"/>
        <v>NOT PAID</v>
      </c>
      <c r="J619" s="402"/>
      <c r="K619" s="402"/>
      <c r="L619" s="402"/>
      <c r="M619" s="402"/>
      <c r="N619" s="402"/>
      <c r="O619" s="402"/>
      <c r="P619" s="402"/>
      <c r="Q619" s="402"/>
      <c r="R619" s="402"/>
      <c r="S619" s="402"/>
      <c r="T619" s="402"/>
      <c r="U619" s="402"/>
      <c r="V619" s="402"/>
      <c r="W619" s="402"/>
      <c r="X619" s="402"/>
      <c r="Y619" s="402"/>
      <c r="Z619" s="402"/>
    </row>
    <row r="620" ht="14.25" customHeight="1">
      <c r="A620" s="497">
        <v>45512.0</v>
      </c>
      <c r="B620" s="436" t="s">
        <v>5687</v>
      </c>
      <c r="C620" s="436" t="s">
        <v>5978</v>
      </c>
      <c r="D620" s="668" t="s">
        <v>54</v>
      </c>
      <c r="E620" s="668" t="s">
        <v>4114</v>
      </c>
      <c r="F620" s="758">
        <v>263000.0</v>
      </c>
      <c r="G620" s="403"/>
      <c r="H620" s="402"/>
      <c r="I620" s="736" t="str">
        <f t="shared" si="8"/>
        <v>NOT PAID</v>
      </c>
      <c r="J620" s="402"/>
      <c r="K620" s="402"/>
      <c r="L620" s="402"/>
      <c r="M620" s="402"/>
      <c r="N620" s="402"/>
      <c r="O620" s="402"/>
      <c r="P620" s="402"/>
      <c r="Q620" s="402"/>
      <c r="R620" s="402"/>
      <c r="S620" s="402"/>
      <c r="T620" s="402"/>
      <c r="U620" s="402"/>
      <c r="V620" s="402"/>
      <c r="W620" s="402"/>
      <c r="X620" s="402"/>
      <c r="Y620" s="402"/>
      <c r="Z620" s="402"/>
    </row>
    <row r="621" ht="14.25" customHeight="1">
      <c r="A621" s="497">
        <v>45512.0</v>
      </c>
      <c r="B621" s="755" t="s">
        <v>5984</v>
      </c>
      <c r="C621" s="755" t="s">
        <v>5985</v>
      </c>
      <c r="D621" s="668" t="s">
        <v>54</v>
      </c>
      <c r="E621" s="1064" t="s">
        <v>2165</v>
      </c>
      <c r="F621" s="760">
        <v>320000.0</v>
      </c>
      <c r="G621" s="403"/>
      <c r="H621" s="349" t="s">
        <v>6303</v>
      </c>
      <c r="I621" s="736" t="str">
        <f t="shared" si="8"/>
        <v>NOT PAID</v>
      </c>
      <c r="J621" s="402"/>
      <c r="K621" s="402"/>
      <c r="L621" s="402"/>
      <c r="M621" s="402"/>
      <c r="N621" s="402"/>
      <c r="O621" s="402"/>
      <c r="P621" s="402"/>
      <c r="Q621" s="402"/>
      <c r="R621" s="402"/>
      <c r="S621" s="402"/>
      <c r="T621" s="402"/>
      <c r="U621" s="402"/>
      <c r="V621" s="402"/>
      <c r="W621" s="402"/>
      <c r="X621" s="402"/>
      <c r="Y621" s="402"/>
      <c r="Z621" s="402"/>
    </row>
    <row r="622" ht="14.25" customHeight="1">
      <c r="A622" s="497">
        <v>45512.0</v>
      </c>
      <c r="B622" s="755" t="s">
        <v>5685</v>
      </c>
      <c r="C622" s="755" t="s">
        <v>6382</v>
      </c>
      <c r="D622" s="668" t="s">
        <v>54</v>
      </c>
      <c r="E622" s="1064" t="s">
        <v>2165</v>
      </c>
      <c r="F622" s="760">
        <v>100000.0</v>
      </c>
      <c r="G622" s="413">
        <v>37500.0</v>
      </c>
      <c r="H622" s="349" t="s">
        <v>6383</v>
      </c>
      <c r="I622" s="736" t="str">
        <f t="shared" si="8"/>
        <v>PARTIALLY PAID</v>
      </c>
      <c r="J622" s="402"/>
      <c r="K622" s="402"/>
      <c r="L622" s="402"/>
      <c r="M622" s="402"/>
      <c r="N622" s="402"/>
      <c r="O622" s="402"/>
      <c r="P622" s="402"/>
      <c r="Q622" s="402"/>
      <c r="R622" s="402"/>
      <c r="S622" s="402"/>
      <c r="T622" s="402"/>
      <c r="U622" s="402"/>
      <c r="V622" s="402"/>
      <c r="W622" s="402"/>
      <c r="X622" s="402"/>
      <c r="Y622" s="402"/>
      <c r="Z622" s="402"/>
    </row>
    <row r="623" ht="14.25" customHeight="1">
      <c r="A623" s="497">
        <v>45512.0</v>
      </c>
      <c r="B623" s="755" t="s">
        <v>6044</v>
      </c>
      <c r="C623" s="755" t="s">
        <v>6384</v>
      </c>
      <c r="D623" s="668" t="s">
        <v>54</v>
      </c>
      <c r="E623" s="1064" t="s">
        <v>2165</v>
      </c>
      <c r="F623" s="760">
        <v>100000.0</v>
      </c>
      <c r="G623" s="403"/>
      <c r="H623" s="349" t="s">
        <v>6385</v>
      </c>
      <c r="I623" s="736" t="str">
        <f t="shared" si="8"/>
        <v>NOT PAID</v>
      </c>
      <c r="J623" s="402"/>
      <c r="K623" s="402"/>
      <c r="L623" s="402"/>
      <c r="M623" s="402"/>
      <c r="N623" s="402"/>
      <c r="O623" s="402"/>
      <c r="P623" s="402"/>
      <c r="Q623" s="402"/>
      <c r="R623" s="402"/>
      <c r="S623" s="402"/>
      <c r="T623" s="402"/>
      <c r="U623" s="402"/>
      <c r="V623" s="402"/>
      <c r="W623" s="402"/>
      <c r="X623" s="402"/>
      <c r="Y623" s="402"/>
      <c r="Z623" s="402"/>
    </row>
    <row r="624" ht="14.25" customHeight="1">
      <c r="A624" s="497">
        <v>45512.0</v>
      </c>
      <c r="B624" s="349" t="s">
        <v>6309</v>
      </c>
      <c r="C624" s="349" t="s">
        <v>5722</v>
      </c>
      <c r="D624" s="1032" t="s">
        <v>54</v>
      </c>
      <c r="E624" s="413" t="s">
        <v>5694</v>
      </c>
      <c r="F624" s="413">
        <v>112555.43</v>
      </c>
      <c r="G624" s="413">
        <v>50000.0</v>
      </c>
      <c r="H624" s="349" t="s">
        <v>6386</v>
      </c>
      <c r="I624" s="736" t="str">
        <f t="shared" si="8"/>
        <v>PARTIALLY PAID</v>
      </c>
      <c r="J624" s="402"/>
      <c r="K624" s="402"/>
      <c r="L624" s="402"/>
      <c r="M624" s="402"/>
      <c r="N624" s="402"/>
      <c r="O624" s="402"/>
      <c r="P624" s="402"/>
      <c r="Q624" s="402"/>
      <c r="R624" s="402"/>
      <c r="S624" s="402"/>
      <c r="T624" s="402"/>
      <c r="U624" s="402"/>
      <c r="V624" s="402"/>
      <c r="W624" s="402"/>
      <c r="X624" s="402"/>
      <c r="Y624" s="402"/>
      <c r="Z624" s="402"/>
    </row>
    <row r="625" ht="14.25" customHeight="1">
      <c r="A625" s="497">
        <v>45512.0</v>
      </c>
      <c r="B625" s="455" t="s">
        <v>6109</v>
      </c>
      <c r="C625" s="455" t="s">
        <v>6110</v>
      </c>
      <c r="D625" s="623" t="s">
        <v>75</v>
      </c>
      <c r="E625" s="413" t="s">
        <v>5694</v>
      </c>
      <c r="F625" s="409">
        <v>60375.0</v>
      </c>
      <c r="G625" s="2"/>
      <c r="H625" s="349" t="s">
        <v>2200</v>
      </c>
      <c r="I625" s="736" t="str">
        <f t="shared" si="8"/>
        <v>NOT PAID</v>
      </c>
      <c r="J625" s="402"/>
      <c r="K625" s="402"/>
      <c r="L625" s="402"/>
      <c r="M625" s="402"/>
      <c r="N625" s="402"/>
      <c r="O625" s="402"/>
      <c r="P625" s="402"/>
      <c r="Q625" s="402"/>
      <c r="R625" s="402"/>
      <c r="S625" s="402"/>
      <c r="T625" s="402"/>
      <c r="U625" s="402"/>
      <c r="V625" s="402"/>
      <c r="W625" s="402"/>
      <c r="X625" s="402"/>
      <c r="Y625" s="402"/>
      <c r="Z625" s="402"/>
    </row>
    <row r="626" ht="14.25" customHeight="1">
      <c r="A626" s="497">
        <v>45512.0</v>
      </c>
      <c r="B626" s="455" t="s">
        <v>6015</v>
      </c>
      <c r="C626" s="455" t="s">
        <v>6034</v>
      </c>
      <c r="D626" s="623" t="s">
        <v>75</v>
      </c>
      <c r="E626" s="413" t="s">
        <v>5694</v>
      </c>
      <c r="F626" s="409">
        <v>95090.63</v>
      </c>
      <c r="G626" s="2"/>
      <c r="H626" s="349" t="s">
        <v>6287</v>
      </c>
      <c r="I626" s="736" t="str">
        <f t="shared" si="8"/>
        <v>NOT PAID</v>
      </c>
      <c r="J626" s="402"/>
      <c r="K626" s="402"/>
      <c r="L626" s="402"/>
      <c r="M626" s="402"/>
      <c r="N626" s="402"/>
      <c r="O626" s="402"/>
      <c r="P626" s="402"/>
      <c r="Q626" s="402"/>
      <c r="R626" s="402"/>
      <c r="S626" s="402"/>
      <c r="T626" s="402"/>
      <c r="U626" s="402"/>
      <c r="V626" s="402"/>
      <c r="W626" s="402"/>
      <c r="X626" s="402"/>
      <c r="Y626" s="402"/>
      <c r="Z626" s="402"/>
    </row>
    <row r="627" ht="14.25" customHeight="1">
      <c r="A627" s="497">
        <v>45512.0</v>
      </c>
      <c r="B627" s="455" t="s">
        <v>6167</v>
      </c>
      <c r="C627" s="455" t="s">
        <v>6168</v>
      </c>
      <c r="D627" s="623" t="s">
        <v>75</v>
      </c>
      <c r="E627" s="1071"/>
      <c r="F627" s="409">
        <v>264125.0</v>
      </c>
      <c r="G627" s="2"/>
      <c r="H627" s="402"/>
      <c r="I627" s="736" t="str">
        <f t="shared" si="8"/>
        <v>NOT PAID</v>
      </c>
      <c r="J627" s="402"/>
      <c r="K627" s="402"/>
      <c r="L627" s="402"/>
      <c r="M627" s="402"/>
      <c r="N627" s="402"/>
      <c r="O627" s="402"/>
      <c r="P627" s="402"/>
      <c r="Q627" s="402"/>
      <c r="R627" s="402"/>
      <c r="S627" s="402"/>
      <c r="T627" s="402"/>
      <c r="U627" s="402"/>
      <c r="V627" s="402"/>
      <c r="W627" s="402"/>
      <c r="X627" s="402"/>
      <c r="Y627" s="402"/>
      <c r="Z627" s="402"/>
    </row>
    <row r="628" ht="14.25" customHeight="1">
      <c r="A628" s="497">
        <v>45512.0</v>
      </c>
      <c r="B628" s="455" t="s">
        <v>5795</v>
      </c>
      <c r="C628" s="455" t="s">
        <v>5796</v>
      </c>
      <c r="D628" s="623" t="s">
        <v>75</v>
      </c>
      <c r="E628" s="1071"/>
      <c r="F628" s="409">
        <v>24560.0</v>
      </c>
      <c r="G628" s="2"/>
      <c r="H628" s="402"/>
      <c r="I628" s="736" t="str">
        <f t="shared" si="8"/>
        <v>NOT PAID</v>
      </c>
      <c r="J628" s="402"/>
      <c r="K628" s="402"/>
      <c r="L628" s="402"/>
      <c r="M628" s="402"/>
      <c r="N628" s="402"/>
      <c r="O628" s="402"/>
      <c r="P628" s="402"/>
      <c r="Q628" s="402"/>
      <c r="R628" s="402"/>
      <c r="S628" s="402"/>
      <c r="T628" s="402"/>
      <c r="U628" s="402"/>
      <c r="V628" s="402"/>
      <c r="W628" s="402"/>
      <c r="X628" s="402"/>
      <c r="Y628" s="402"/>
      <c r="Z628" s="402"/>
    </row>
    <row r="629" ht="14.25" customHeight="1">
      <c r="A629" s="497">
        <v>45512.0</v>
      </c>
      <c r="B629" s="402"/>
      <c r="C629" s="349" t="s">
        <v>6387</v>
      </c>
      <c r="D629" s="1032" t="s">
        <v>54</v>
      </c>
      <c r="E629" s="413" t="s">
        <v>6388</v>
      </c>
      <c r="F629" s="413">
        <v>380000.0</v>
      </c>
      <c r="G629" s="403"/>
      <c r="H629" s="402"/>
      <c r="I629" s="736" t="str">
        <f t="shared" si="8"/>
        <v>NOT PAID</v>
      </c>
      <c r="J629" s="402"/>
      <c r="K629" s="402"/>
      <c r="L629" s="402"/>
      <c r="M629" s="402"/>
      <c r="N629" s="402"/>
      <c r="O629" s="402"/>
      <c r="P629" s="402"/>
      <c r="Q629" s="402"/>
      <c r="R629" s="402"/>
      <c r="S629" s="402"/>
      <c r="T629" s="402"/>
      <c r="U629" s="402"/>
      <c r="V629" s="402"/>
      <c r="W629" s="402"/>
      <c r="X629" s="402"/>
      <c r="Y629" s="402"/>
      <c r="Z629" s="402"/>
    </row>
    <row r="630" ht="14.25" customHeight="1">
      <c r="A630" s="497">
        <v>45512.0</v>
      </c>
      <c r="B630" s="349" t="s">
        <v>6276</v>
      </c>
      <c r="C630" s="1032" t="s">
        <v>6389</v>
      </c>
      <c r="D630" s="413" t="s">
        <v>54</v>
      </c>
      <c r="E630" s="403"/>
      <c r="F630" s="413">
        <v>20450.71</v>
      </c>
      <c r="G630" s="2"/>
      <c r="H630" s="349"/>
      <c r="I630" s="736" t="str">
        <f t="shared" si="8"/>
        <v>NOT PAID</v>
      </c>
      <c r="J630" s="402"/>
      <c r="K630" s="402"/>
      <c r="L630" s="402"/>
      <c r="M630" s="402"/>
      <c r="N630" s="402"/>
      <c r="O630" s="402"/>
      <c r="P630" s="402"/>
      <c r="Q630" s="402"/>
      <c r="R630" s="402"/>
      <c r="S630" s="402"/>
      <c r="T630" s="402"/>
      <c r="U630" s="402"/>
      <c r="V630" s="402"/>
      <c r="W630" s="402"/>
      <c r="X630" s="402"/>
      <c r="Y630" s="402"/>
      <c r="Z630" s="402"/>
    </row>
    <row r="631" ht="14.25" customHeight="1">
      <c r="A631" s="497">
        <v>45512.0</v>
      </c>
      <c r="B631" s="349" t="s">
        <v>6175</v>
      </c>
      <c r="C631" s="1032" t="s">
        <v>6390</v>
      </c>
      <c r="D631" s="413" t="s">
        <v>54</v>
      </c>
      <c r="E631" s="403"/>
      <c r="F631" s="413">
        <v>59284.18</v>
      </c>
      <c r="G631" s="2"/>
      <c r="H631" s="349"/>
      <c r="I631" s="736" t="str">
        <f t="shared" si="8"/>
        <v>NOT PAID</v>
      </c>
      <c r="J631" s="402"/>
      <c r="K631" s="402"/>
      <c r="L631" s="402"/>
      <c r="M631" s="402"/>
      <c r="N631" s="402"/>
      <c r="O631" s="402"/>
      <c r="P631" s="402"/>
      <c r="Q631" s="402"/>
      <c r="R631" s="402"/>
      <c r="S631" s="402"/>
      <c r="T631" s="402"/>
      <c r="U631" s="402"/>
      <c r="V631" s="402"/>
      <c r="W631" s="402"/>
      <c r="X631" s="402"/>
      <c r="Y631" s="402"/>
      <c r="Z631" s="402"/>
    </row>
    <row r="632" ht="14.25" customHeight="1">
      <c r="A632" s="497">
        <v>45512.0</v>
      </c>
      <c r="B632" s="349" t="s">
        <v>6391</v>
      </c>
      <c r="C632" s="1032" t="s">
        <v>6392</v>
      </c>
      <c r="D632" s="413" t="s">
        <v>54</v>
      </c>
      <c r="E632" s="403"/>
      <c r="F632" s="413">
        <v>23566.05</v>
      </c>
      <c r="G632" s="2"/>
      <c r="H632" s="349"/>
      <c r="I632" s="736" t="str">
        <f t="shared" si="8"/>
        <v>NOT PAID</v>
      </c>
      <c r="J632" s="402"/>
      <c r="K632" s="402"/>
      <c r="L632" s="402"/>
      <c r="M632" s="402"/>
      <c r="N632" s="402"/>
      <c r="O632" s="402"/>
      <c r="P632" s="402"/>
      <c r="Q632" s="402"/>
      <c r="R632" s="402"/>
      <c r="S632" s="402"/>
      <c r="T632" s="402"/>
      <c r="U632" s="402"/>
      <c r="V632" s="402"/>
      <c r="W632" s="402"/>
      <c r="X632" s="402"/>
      <c r="Y632" s="402"/>
      <c r="Z632" s="402"/>
    </row>
    <row r="633" ht="14.25" customHeight="1">
      <c r="A633" s="497">
        <v>45512.0</v>
      </c>
      <c r="B633" s="349" t="s">
        <v>5929</v>
      </c>
      <c r="C633" s="1032" t="s">
        <v>6393</v>
      </c>
      <c r="D633" s="413" t="s">
        <v>54</v>
      </c>
      <c r="E633" s="403"/>
      <c r="F633" s="413">
        <v>143862.75</v>
      </c>
      <c r="G633" s="2"/>
      <c r="H633" s="349"/>
      <c r="I633" s="736" t="str">
        <f t="shared" si="8"/>
        <v>NOT PAID</v>
      </c>
      <c r="J633" s="402"/>
      <c r="K633" s="402"/>
      <c r="L633" s="402"/>
      <c r="M633" s="402"/>
      <c r="N633" s="402"/>
      <c r="O633" s="402"/>
      <c r="P633" s="402"/>
      <c r="Q633" s="402"/>
      <c r="R633" s="402"/>
      <c r="S633" s="402"/>
      <c r="T633" s="402"/>
      <c r="U633" s="402"/>
      <c r="V633" s="402"/>
      <c r="W633" s="402"/>
      <c r="X633" s="402"/>
      <c r="Y633" s="402"/>
      <c r="Z633" s="402"/>
    </row>
    <row r="634" ht="14.25" customHeight="1">
      <c r="A634" s="497">
        <v>45512.0</v>
      </c>
      <c r="B634" s="349" t="s">
        <v>5716</v>
      </c>
      <c r="C634" s="1032" t="s">
        <v>6394</v>
      </c>
      <c r="D634" s="413" t="s">
        <v>54</v>
      </c>
      <c r="E634" s="403"/>
      <c r="F634" s="413">
        <v>16845.79</v>
      </c>
      <c r="G634" s="2"/>
      <c r="H634" s="349"/>
      <c r="I634" s="736" t="str">
        <f t="shared" si="8"/>
        <v>NOT PAID</v>
      </c>
      <c r="J634" s="402"/>
      <c r="K634" s="402"/>
      <c r="L634" s="402"/>
      <c r="M634" s="402"/>
      <c r="N634" s="402"/>
      <c r="O634" s="402"/>
      <c r="P634" s="402"/>
      <c r="Q634" s="402"/>
      <c r="R634" s="402"/>
      <c r="S634" s="402"/>
      <c r="T634" s="402"/>
      <c r="U634" s="402"/>
      <c r="V634" s="402"/>
      <c r="W634" s="402"/>
      <c r="X634" s="402"/>
      <c r="Y634" s="402"/>
      <c r="Z634" s="402"/>
    </row>
    <row r="635" ht="14.25" customHeight="1">
      <c r="A635" s="497">
        <v>45512.0</v>
      </c>
      <c r="B635" s="349" t="s">
        <v>6283</v>
      </c>
      <c r="C635" s="1032" t="s">
        <v>6395</v>
      </c>
      <c r="D635" s="413" t="s">
        <v>54</v>
      </c>
      <c r="E635" s="403"/>
      <c r="F635" s="413">
        <v>63260.2</v>
      </c>
      <c r="G635" s="2"/>
      <c r="H635" s="349"/>
      <c r="I635" s="736" t="str">
        <f t="shared" si="8"/>
        <v>NOT PAID</v>
      </c>
      <c r="J635" s="402"/>
      <c r="K635" s="402"/>
      <c r="L635" s="402"/>
      <c r="M635" s="402"/>
      <c r="N635" s="402"/>
      <c r="O635" s="402"/>
      <c r="P635" s="402"/>
      <c r="Q635" s="402"/>
      <c r="R635" s="402"/>
      <c r="S635" s="402"/>
      <c r="T635" s="402"/>
      <c r="U635" s="402"/>
      <c r="V635" s="402"/>
      <c r="W635" s="402"/>
      <c r="X635" s="402"/>
      <c r="Y635" s="402"/>
      <c r="Z635" s="402"/>
    </row>
    <row r="636" ht="14.25" customHeight="1">
      <c r="A636" s="497">
        <v>45512.0</v>
      </c>
      <c r="B636" s="349" t="s">
        <v>6006</v>
      </c>
      <c r="C636" s="1032" t="s">
        <v>6396</v>
      </c>
      <c r="D636" s="413" t="s">
        <v>54</v>
      </c>
      <c r="E636" s="403"/>
      <c r="F636" s="413">
        <v>27401.01</v>
      </c>
      <c r="G636" s="2"/>
      <c r="H636" s="349"/>
      <c r="I636" s="736" t="str">
        <f t="shared" si="8"/>
        <v>NOT PAID</v>
      </c>
      <c r="J636" s="402"/>
      <c r="K636" s="402"/>
      <c r="L636" s="402"/>
      <c r="M636" s="402"/>
      <c r="N636" s="402"/>
      <c r="O636" s="402"/>
      <c r="P636" s="402"/>
      <c r="Q636" s="402"/>
      <c r="R636" s="402"/>
      <c r="S636" s="402"/>
      <c r="T636" s="402"/>
      <c r="U636" s="402"/>
      <c r="V636" s="402"/>
      <c r="W636" s="402"/>
      <c r="X636" s="402"/>
      <c r="Y636" s="402"/>
      <c r="Z636" s="402"/>
    </row>
    <row r="637" ht="14.25" customHeight="1">
      <c r="A637" s="497">
        <v>45512.0</v>
      </c>
      <c r="B637" s="349" t="s">
        <v>6332</v>
      </c>
      <c r="C637" s="1032" t="s">
        <v>6397</v>
      </c>
      <c r="D637" s="413" t="s">
        <v>54</v>
      </c>
      <c r="E637" s="403"/>
      <c r="F637" s="413">
        <v>32302.35</v>
      </c>
      <c r="G637" s="2"/>
      <c r="H637" s="349"/>
      <c r="I637" s="736" t="str">
        <f t="shared" si="8"/>
        <v>NOT PAID</v>
      </c>
      <c r="J637" s="402"/>
      <c r="K637" s="402"/>
      <c r="L637" s="402"/>
      <c r="M637" s="402"/>
      <c r="N637" s="402"/>
      <c r="O637" s="402"/>
      <c r="P637" s="402"/>
      <c r="Q637" s="402"/>
      <c r="R637" s="402"/>
      <c r="S637" s="402"/>
      <c r="T637" s="402"/>
      <c r="U637" s="402"/>
      <c r="V637" s="402"/>
      <c r="W637" s="402"/>
      <c r="X637" s="402"/>
      <c r="Y637" s="402"/>
      <c r="Z637" s="402"/>
    </row>
    <row r="638" ht="14.25" customHeight="1">
      <c r="A638" s="497">
        <v>45512.0</v>
      </c>
      <c r="B638" s="349" t="s">
        <v>6112</v>
      </c>
      <c r="C638" s="1032" t="s">
        <v>6398</v>
      </c>
      <c r="D638" s="413" t="s">
        <v>54</v>
      </c>
      <c r="E638" s="413" t="s">
        <v>5694</v>
      </c>
      <c r="F638" s="413">
        <v>19564.65</v>
      </c>
      <c r="G638" s="2"/>
      <c r="H638" s="349" t="s">
        <v>2200</v>
      </c>
      <c r="I638" s="736" t="str">
        <f t="shared" si="8"/>
        <v>NOT PAID</v>
      </c>
      <c r="J638" s="402"/>
      <c r="K638" s="402"/>
      <c r="L638" s="402"/>
      <c r="M638" s="402"/>
      <c r="N638" s="402"/>
      <c r="O638" s="402"/>
      <c r="P638" s="402"/>
      <c r="Q638" s="402"/>
      <c r="R638" s="402"/>
      <c r="S638" s="402"/>
      <c r="T638" s="402"/>
      <c r="U638" s="402"/>
      <c r="V638" s="402"/>
      <c r="W638" s="402"/>
      <c r="X638" s="402"/>
      <c r="Y638" s="402"/>
      <c r="Z638" s="402"/>
    </row>
    <row r="639" ht="14.25" customHeight="1">
      <c r="A639" s="497">
        <v>45512.0</v>
      </c>
      <c r="B639" s="349" t="s">
        <v>6233</v>
      </c>
      <c r="C639" s="1032" t="s">
        <v>6399</v>
      </c>
      <c r="D639" s="413" t="s">
        <v>54</v>
      </c>
      <c r="E639" s="413" t="s">
        <v>5694</v>
      </c>
      <c r="F639" s="413">
        <v>18060.0</v>
      </c>
      <c r="G639" s="2"/>
      <c r="H639" s="349" t="s">
        <v>2200</v>
      </c>
      <c r="I639" s="736" t="str">
        <f t="shared" si="8"/>
        <v>NOT PAID</v>
      </c>
      <c r="J639" s="402"/>
      <c r="K639" s="402"/>
      <c r="L639" s="402"/>
      <c r="M639" s="402"/>
      <c r="N639" s="402"/>
      <c r="O639" s="402"/>
      <c r="P639" s="402"/>
      <c r="Q639" s="402"/>
      <c r="R639" s="402"/>
      <c r="S639" s="402"/>
      <c r="T639" s="402"/>
      <c r="U639" s="402"/>
      <c r="V639" s="402"/>
      <c r="W639" s="402"/>
      <c r="X639" s="402"/>
      <c r="Y639" s="402"/>
      <c r="Z639" s="402"/>
    </row>
    <row r="640" ht="14.25" customHeight="1">
      <c r="A640" s="497">
        <v>45512.0</v>
      </c>
      <c r="B640" s="1072" t="s">
        <v>6400</v>
      </c>
      <c r="C640" s="1073"/>
      <c r="D640" s="592" t="s">
        <v>2010</v>
      </c>
      <c r="E640" s="403"/>
      <c r="F640" s="413">
        <v>5000000.0</v>
      </c>
      <c r="G640" s="403"/>
      <c r="H640" s="402"/>
      <c r="I640" s="736" t="str">
        <f t="shared" si="8"/>
        <v>NOT PAID</v>
      </c>
      <c r="J640" s="402"/>
      <c r="K640" s="402"/>
      <c r="L640" s="402"/>
      <c r="M640" s="402"/>
      <c r="N640" s="402"/>
      <c r="O640" s="402"/>
      <c r="P640" s="402"/>
      <c r="Q640" s="402"/>
      <c r="R640" s="402"/>
      <c r="S640" s="402"/>
      <c r="T640" s="402"/>
      <c r="U640" s="402"/>
      <c r="V640" s="402"/>
      <c r="W640" s="402"/>
      <c r="X640" s="402"/>
      <c r="Y640" s="402"/>
      <c r="Z640" s="402"/>
    </row>
    <row r="641" ht="14.25" customHeight="1">
      <c r="A641" s="402"/>
      <c r="B641" s="402"/>
      <c r="C641" s="1072"/>
      <c r="D641" s="1073"/>
      <c r="E641" s="403"/>
      <c r="F641" s="403"/>
      <c r="G641" s="403"/>
      <c r="H641" s="402"/>
      <c r="I641" s="736" t="str">
        <f t="shared" si="8"/>
        <v>FULLY PAID</v>
      </c>
      <c r="J641" s="402"/>
      <c r="K641" s="402"/>
      <c r="L641" s="402"/>
      <c r="M641" s="402"/>
      <c r="N641" s="402"/>
      <c r="O641" s="402"/>
      <c r="P641" s="402"/>
      <c r="Q641" s="402"/>
      <c r="R641" s="402"/>
      <c r="S641" s="402"/>
      <c r="T641" s="402"/>
      <c r="U641" s="402"/>
      <c r="V641" s="402"/>
      <c r="W641" s="402"/>
      <c r="X641" s="402"/>
      <c r="Y641" s="402"/>
      <c r="Z641" s="402"/>
    </row>
    <row r="642" ht="14.25" customHeight="1">
      <c r="A642" s="1074"/>
      <c r="B642" s="1074"/>
      <c r="C642" s="1074"/>
      <c r="D642" s="1075"/>
      <c r="E642" s="1076"/>
      <c r="F642" s="1076"/>
      <c r="G642" s="1076"/>
      <c r="H642" s="1074"/>
      <c r="I642" s="736" t="str">
        <f t="shared" si="8"/>
        <v>FULLY PAID</v>
      </c>
      <c r="J642" s="1074"/>
      <c r="K642" s="1074"/>
      <c r="L642" s="1074"/>
      <c r="M642" s="1074"/>
      <c r="N642" s="1074"/>
      <c r="O642" s="1074"/>
      <c r="P642" s="1074"/>
      <c r="Q642" s="1074"/>
      <c r="R642" s="1074"/>
      <c r="S642" s="1074"/>
      <c r="T642" s="1074"/>
      <c r="U642" s="1074"/>
      <c r="V642" s="1074"/>
      <c r="W642" s="1074"/>
      <c r="X642" s="1074"/>
      <c r="Y642" s="1074"/>
      <c r="Z642" s="1074"/>
    </row>
    <row r="643" ht="14.25" customHeight="1">
      <c r="A643" s="497">
        <v>45513.0</v>
      </c>
      <c r="B643" s="349" t="s">
        <v>6401</v>
      </c>
      <c r="C643" s="349" t="s">
        <v>6402</v>
      </c>
      <c r="D643" s="1032" t="s">
        <v>54</v>
      </c>
      <c r="E643" s="1" t="s">
        <v>5694</v>
      </c>
      <c r="F643" s="413">
        <v>10785.28</v>
      </c>
      <c r="G643" s="413">
        <v>12400.0</v>
      </c>
      <c r="H643" s="349" t="s">
        <v>267</v>
      </c>
      <c r="I643" s="736" t="str">
        <f t="shared" si="8"/>
        <v>FULLY PAID</v>
      </c>
      <c r="J643" s="402"/>
      <c r="K643" s="402"/>
      <c r="L643" s="402"/>
      <c r="M643" s="402"/>
      <c r="N643" s="402"/>
      <c r="O643" s="402"/>
      <c r="P643" s="402"/>
      <c r="Q643" s="402"/>
      <c r="R643" s="402"/>
      <c r="S643" s="402"/>
      <c r="T643" s="402"/>
      <c r="U643" s="402"/>
      <c r="V643" s="402"/>
      <c r="W643" s="402"/>
      <c r="X643" s="402"/>
      <c r="Y643" s="402"/>
      <c r="Z643" s="402"/>
    </row>
    <row r="644" ht="14.25" customHeight="1">
      <c r="A644" s="497">
        <v>45513.0</v>
      </c>
      <c r="B644" s="349" t="s">
        <v>6403</v>
      </c>
      <c r="C644" s="349" t="s">
        <v>6404</v>
      </c>
      <c r="D644" s="1032" t="s">
        <v>54</v>
      </c>
      <c r="E644" s="2"/>
      <c r="F644" s="413">
        <v>4932.58</v>
      </c>
      <c r="G644" s="403"/>
      <c r="H644" s="349" t="s">
        <v>6405</v>
      </c>
      <c r="I644" s="736" t="str">
        <f t="shared" si="8"/>
        <v>NOT PAID</v>
      </c>
      <c r="J644" s="402"/>
      <c r="K644" s="402"/>
      <c r="L644" s="402"/>
      <c r="M644" s="402"/>
      <c r="N644" s="402"/>
      <c r="O644" s="402"/>
      <c r="P644" s="402"/>
      <c r="Q644" s="402"/>
      <c r="R644" s="402"/>
      <c r="S644" s="402"/>
      <c r="T644" s="402"/>
      <c r="U644" s="402"/>
      <c r="V644" s="402"/>
      <c r="W644" s="402"/>
      <c r="X644" s="402"/>
      <c r="Y644" s="402"/>
      <c r="Z644" s="402"/>
    </row>
    <row r="645" ht="14.25" customHeight="1">
      <c r="A645" s="497">
        <v>45513.0</v>
      </c>
      <c r="B645" s="349" t="s">
        <v>6406</v>
      </c>
      <c r="C645" s="349" t="s">
        <v>6407</v>
      </c>
      <c r="D645" s="1032" t="s">
        <v>54</v>
      </c>
      <c r="E645" s="2"/>
      <c r="F645" s="413">
        <v>65776.99</v>
      </c>
      <c r="G645" s="413">
        <v>88300.0</v>
      </c>
      <c r="H645" s="349" t="s">
        <v>267</v>
      </c>
      <c r="I645" s="736" t="str">
        <f t="shared" si="8"/>
        <v>FULLY PAID</v>
      </c>
      <c r="J645" s="402"/>
      <c r="K645" s="402"/>
      <c r="L645" s="402"/>
      <c r="M645" s="402"/>
      <c r="N645" s="402"/>
      <c r="O645" s="402"/>
      <c r="P645" s="402"/>
      <c r="Q645" s="402"/>
      <c r="R645" s="402"/>
      <c r="S645" s="402"/>
      <c r="T645" s="402"/>
      <c r="U645" s="402"/>
      <c r="V645" s="402"/>
      <c r="W645" s="402"/>
      <c r="X645" s="402"/>
      <c r="Y645" s="402"/>
      <c r="Z645" s="402"/>
    </row>
    <row r="646" ht="14.25" customHeight="1">
      <c r="A646" s="497">
        <v>45513.0</v>
      </c>
      <c r="B646" s="349" t="s">
        <v>6304</v>
      </c>
      <c r="C646" s="349" t="s">
        <v>6408</v>
      </c>
      <c r="D646" s="1032" t="s">
        <v>54</v>
      </c>
      <c r="E646" s="1" t="s">
        <v>5623</v>
      </c>
      <c r="F646" s="413">
        <v>32261.64</v>
      </c>
      <c r="G646" s="403"/>
      <c r="H646" s="349" t="s">
        <v>267</v>
      </c>
      <c r="I646" s="736" t="str">
        <f t="shared" si="8"/>
        <v>NOT PAID</v>
      </c>
      <c r="J646" s="402"/>
      <c r="K646" s="402"/>
      <c r="L646" s="402"/>
      <c r="M646" s="402"/>
      <c r="N646" s="402"/>
      <c r="O646" s="402"/>
      <c r="P646" s="402"/>
      <c r="Q646" s="402"/>
      <c r="R646" s="402"/>
      <c r="S646" s="402"/>
      <c r="T646" s="402"/>
      <c r="U646" s="402"/>
      <c r="V646" s="402"/>
      <c r="W646" s="402"/>
      <c r="X646" s="402"/>
      <c r="Y646" s="402"/>
      <c r="Z646" s="402"/>
    </row>
    <row r="647" ht="14.25" customHeight="1">
      <c r="A647" s="497">
        <v>45513.0</v>
      </c>
      <c r="B647" s="349" t="s">
        <v>6409</v>
      </c>
      <c r="C647" s="349" t="s">
        <v>6410</v>
      </c>
      <c r="D647" s="1032" t="s">
        <v>54</v>
      </c>
      <c r="E647" s="2"/>
      <c r="F647" s="413">
        <v>72727.94</v>
      </c>
      <c r="G647" s="413">
        <v>84000.0</v>
      </c>
      <c r="H647" s="349" t="s">
        <v>267</v>
      </c>
      <c r="I647" s="736" t="str">
        <f t="shared" si="8"/>
        <v>FULLY PAID</v>
      </c>
      <c r="J647" s="402"/>
      <c r="K647" s="402"/>
      <c r="L647" s="402"/>
      <c r="M647" s="402"/>
      <c r="N647" s="402"/>
      <c r="O647" s="402"/>
      <c r="P647" s="402"/>
      <c r="Q647" s="402"/>
      <c r="R647" s="402"/>
      <c r="S647" s="402"/>
      <c r="T647" s="402"/>
      <c r="U647" s="402"/>
      <c r="V647" s="402"/>
      <c r="W647" s="402"/>
      <c r="X647" s="402"/>
      <c r="Y647" s="402"/>
      <c r="Z647" s="402"/>
    </row>
    <row r="648" ht="14.25" customHeight="1">
      <c r="A648" s="497">
        <v>45513.0</v>
      </c>
      <c r="B648" s="349" t="s">
        <v>6411</v>
      </c>
      <c r="C648" s="349" t="s">
        <v>6412</v>
      </c>
      <c r="D648" s="1032" t="s">
        <v>75</v>
      </c>
      <c r="E648" s="413" t="s">
        <v>5737</v>
      </c>
      <c r="F648" s="413">
        <v>230000.0</v>
      </c>
      <c r="G648" s="413">
        <v>230000.0</v>
      </c>
      <c r="H648" s="349" t="s">
        <v>267</v>
      </c>
      <c r="I648" s="736" t="str">
        <f t="shared" si="8"/>
        <v>FULLY PAID</v>
      </c>
      <c r="J648" s="402"/>
      <c r="K648" s="402"/>
      <c r="L648" s="402"/>
      <c r="M648" s="402"/>
      <c r="N648" s="402"/>
      <c r="O648" s="402"/>
      <c r="P648" s="402"/>
      <c r="Q648" s="402"/>
      <c r="R648" s="402"/>
      <c r="S648" s="402"/>
      <c r="T648" s="402"/>
      <c r="U648" s="402"/>
      <c r="V648" s="402"/>
      <c r="W648" s="402"/>
      <c r="X648" s="402"/>
      <c r="Y648" s="402"/>
      <c r="Z648" s="402"/>
    </row>
    <row r="649" ht="14.25" customHeight="1">
      <c r="A649" s="497">
        <v>45513.0</v>
      </c>
      <c r="B649" s="349" t="s">
        <v>5956</v>
      </c>
      <c r="C649" s="349" t="s">
        <v>6343</v>
      </c>
      <c r="D649" s="1032" t="s">
        <v>59</v>
      </c>
      <c r="E649" s="413" t="s">
        <v>5737</v>
      </c>
      <c r="F649" s="413">
        <v>529738.38</v>
      </c>
      <c r="G649" s="403"/>
      <c r="H649" s="349" t="s">
        <v>6413</v>
      </c>
      <c r="I649" s="736" t="str">
        <f t="shared" si="8"/>
        <v>NOT PAID</v>
      </c>
      <c r="J649" s="402"/>
      <c r="K649" s="402"/>
      <c r="L649" s="402"/>
      <c r="M649" s="402"/>
      <c r="N649" s="402"/>
      <c r="O649" s="402"/>
      <c r="P649" s="402"/>
      <c r="Q649" s="402"/>
      <c r="R649" s="402"/>
      <c r="S649" s="402"/>
      <c r="T649" s="402"/>
      <c r="U649" s="402"/>
      <c r="V649" s="402"/>
      <c r="W649" s="402"/>
      <c r="X649" s="402"/>
      <c r="Y649" s="402"/>
      <c r="Z649" s="402"/>
    </row>
    <row r="650" ht="14.25" customHeight="1">
      <c r="A650" s="497">
        <v>45513.0</v>
      </c>
      <c r="B650" s="349" t="s">
        <v>6345</v>
      </c>
      <c r="C650" s="349" t="s">
        <v>6346</v>
      </c>
      <c r="D650" s="1032" t="s">
        <v>54</v>
      </c>
      <c r="E650" s="413" t="s">
        <v>5737</v>
      </c>
      <c r="F650" s="413">
        <v>10619.43</v>
      </c>
      <c r="G650" s="403"/>
      <c r="H650" s="349" t="s">
        <v>2200</v>
      </c>
      <c r="I650" s="736" t="str">
        <f t="shared" si="8"/>
        <v>NOT PAID</v>
      </c>
      <c r="J650" s="402"/>
      <c r="K650" s="402"/>
      <c r="L650" s="402"/>
      <c r="M650" s="402"/>
      <c r="N650" s="402"/>
      <c r="O650" s="402"/>
      <c r="P650" s="402"/>
      <c r="Q650" s="402"/>
      <c r="R650" s="402"/>
      <c r="S650" s="402"/>
      <c r="T650" s="402"/>
      <c r="U650" s="402"/>
      <c r="V650" s="402"/>
      <c r="W650" s="402"/>
      <c r="X650" s="402"/>
      <c r="Y650" s="402"/>
      <c r="Z650" s="402"/>
    </row>
    <row r="651" ht="14.25" customHeight="1">
      <c r="A651" s="497">
        <v>45513.0</v>
      </c>
      <c r="B651" s="349" t="s">
        <v>6349</v>
      </c>
      <c r="C651" s="349" t="s">
        <v>6350</v>
      </c>
      <c r="D651" s="1032" t="s">
        <v>54</v>
      </c>
      <c r="E651" s="413" t="s">
        <v>5737</v>
      </c>
      <c r="F651" s="413">
        <v>36671.67</v>
      </c>
      <c r="G651" s="413">
        <v>20000.0</v>
      </c>
      <c r="H651" s="349" t="s">
        <v>6414</v>
      </c>
      <c r="I651" s="736" t="str">
        <f t="shared" si="8"/>
        <v>PARTIALLY PAID</v>
      </c>
      <c r="J651" s="402"/>
      <c r="K651" s="402"/>
      <c r="L651" s="402"/>
      <c r="M651" s="402"/>
      <c r="N651" s="402"/>
      <c r="O651" s="402"/>
      <c r="P651" s="402"/>
      <c r="Q651" s="402"/>
      <c r="R651" s="402"/>
      <c r="S651" s="402"/>
      <c r="T651" s="402"/>
      <c r="U651" s="402"/>
      <c r="V651" s="402"/>
      <c r="W651" s="402"/>
      <c r="X651" s="402"/>
      <c r="Y651" s="402"/>
      <c r="Z651" s="402"/>
    </row>
    <row r="652" ht="14.25" customHeight="1">
      <c r="A652" s="497">
        <v>45513.0</v>
      </c>
      <c r="B652" s="349" t="s">
        <v>6352</v>
      </c>
      <c r="C652" s="349" t="s">
        <v>5899</v>
      </c>
      <c r="D652" s="1032" t="s">
        <v>54</v>
      </c>
      <c r="E652" s="413" t="s">
        <v>5737</v>
      </c>
      <c r="F652" s="413">
        <v>17316.23</v>
      </c>
      <c r="G652" s="403"/>
      <c r="H652" s="349" t="s">
        <v>6415</v>
      </c>
      <c r="I652" s="736" t="str">
        <f t="shared" si="8"/>
        <v>NOT PAID</v>
      </c>
      <c r="J652" s="402"/>
      <c r="K652" s="402"/>
      <c r="L652" s="402"/>
      <c r="M652" s="402"/>
      <c r="N652" s="402"/>
      <c r="O652" s="402"/>
      <c r="P652" s="402"/>
      <c r="Q652" s="402"/>
      <c r="R652" s="402"/>
      <c r="S652" s="402"/>
      <c r="T652" s="402"/>
      <c r="U652" s="402"/>
      <c r="V652" s="402"/>
      <c r="W652" s="402"/>
      <c r="X652" s="402"/>
      <c r="Y652" s="402"/>
      <c r="Z652" s="402"/>
    </row>
    <row r="653" ht="14.25" customHeight="1">
      <c r="A653" s="497">
        <v>45513.0</v>
      </c>
      <c r="B653" s="349" t="s">
        <v>6354</v>
      </c>
      <c r="C653" s="349" t="s">
        <v>6355</v>
      </c>
      <c r="D653" s="1032" t="s">
        <v>54</v>
      </c>
      <c r="E653" s="413" t="s">
        <v>6356</v>
      </c>
      <c r="F653" s="413">
        <v>41802.95</v>
      </c>
      <c r="G653" s="403"/>
      <c r="H653" s="402"/>
      <c r="I653" s="736" t="str">
        <f t="shared" si="8"/>
        <v>NOT PAID</v>
      </c>
      <c r="J653" s="402"/>
      <c r="K653" s="402"/>
      <c r="L653" s="402"/>
      <c r="M653" s="402"/>
      <c r="N653" s="402"/>
      <c r="O653" s="402"/>
      <c r="P653" s="402"/>
      <c r="Q653" s="402"/>
      <c r="R653" s="402"/>
      <c r="S653" s="402"/>
      <c r="T653" s="402"/>
      <c r="U653" s="402"/>
      <c r="V653" s="402"/>
      <c r="W653" s="402"/>
      <c r="X653" s="402"/>
      <c r="Y653" s="402"/>
      <c r="Z653" s="402"/>
    </row>
    <row r="654" ht="14.25" customHeight="1">
      <c r="A654" s="497">
        <v>45513.0</v>
      </c>
      <c r="B654" s="349" t="s">
        <v>6357</v>
      </c>
      <c r="C654" s="349" t="s">
        <v>6358</v>
      </c>
      <c r="D654" s="1032" t="s">
        <v>54</v>
      </c>
      <c r="E654" s="413" t="s">
        <v>5737</v>
      </c>
      <c r="F654" s="413">
        <v>40107.82</v>
      </c>
      <c r="G654" s="403"/>
      <c r="H654" s="349" t="s">
        <v>6416</v>
      </c>
      <c r="I654" s="736" t="str">
        <f t="shared" si="8"/>
        <v>NOT PAID</v>
      </c>
      <c r="J654" s="402"/>
      <c r="K654" s="402"/>
      <c r="L654" s="402"/>
      <c r="M654" s="402"/>
      <c r="N654" s="402"/>
      <c r="O654" s="402"/>
      <c r="P654" s="402"/>
      <c r="Q654" s="402"/>
      <c r="R654" s="402"/>
      <c r="S654" s="402"/>
      <c r="T654" s="402"/>
      <c r="U654" s="402"/>
      <c r="V654" s="402"/>
      <c r="W654" s="402"/>
      <c r="X654" s="402"/>
      <c r="Y654" s="402"/>
      <c r="Z654" s="402"/>
    </row>
    <row r="655" ht="14.25" customHeight="1">
      <c r="A655" s="497">
        <v>45513.0</v>
      </c>
      <c r="B655" s="349" t="s">
        <v>6359</v>
      </c>
      <c r="C655" s="349" t="s">
        <v>6360</v>
      </c>
      <c r="D655" s="1032" t="s">
        <v>54</v>
      </c>
      <c r="E655" s="413" t="s">
        <v>5737</v>
      </c>
      <c r="F655" s="413">
        <v>13599.0</v>
      </c>
      <c r="G655" s="413">
        <v>14000.0</v>
      </c>
      <c r="H655" s="349" t="s">
        <v>267</v>
      </c>
      <c r="I655" s="736" t="str">
        <f t="shared" si="8"/>
        <v>FULLY PAID</v>
      </c>
      <c r="J655" s="402"/>
      <c r="K655" s="402"/>
      <c r="L655" s="402"/>
      <c r="M655" s="402"/>
      <c r="N655" s="402"/>
      <c r="O655" s="402"/>
      <c r="P655" s="402"/>
      <c r="Q655" s="402"/>
      <c r="R655" s="402"/>
      <c r="S655" s="402"/>
      <c r="T655" s="402"/>
      <c r="U655" s="402"/>
      <c r="V655" s="402"/>
      <c r="W655" s="402"/>
      <c r="X655" s="402"/>
      <c r="Y655" s="402"/>
      <c r="Z655" s="402"/>
    </row>
    <row r="656" ht="14.25" customHeight="1">
      <c r="A656" s="497">
        <v>45513.0</v>
      </c>
      <c r="B656" s="349" t="s">
        <v>6362</v>
      </c>
      <c r="C656" s="349" t="s">
        <v>6363</v>
      </c>
      <c r="D656" s="1032" t="s">
        <v>54</v>
      </c>
      <c r="E656" s="413" t="s">
        <v>5737</v>
      </c>
      <c r="F656" s="413">
        <v>154993.52</v>
      </c>
      <c r="G656" s="403"/>
      <c r="H656" s="402"/>
      <c r="I656" s="736" t="str">
        <f t="shared" si="8"/>
        <v>NOT PAID</v>
      </c>
      <c r="J656" s="402"/>
      <c r="K656" s="402"/>
      <c r="L656" s="402"/>
      <c r="M656" s="402"/>
      <c r="N656" s="402"/>
      <c r="O656" s="402"/>
      <c r="P656" s="402"/>
      <c r="Q656" s="402"/>
      <c r="R656" s="402"/>
      <c r="S656" s="402"/>
      <c r="T656" s="402"/>
      <c r="U656" s="402"/>
      <c r="V656" s="402"/>
      <c r="W656" s="402"/>
      <c r="X656" s="402"/>
      <c r="Y656" s="402"/>
      <c r="Z656" s="402"/>
    </row>
    <row r="657" ht="14.25" customHeight="1">
      <c r="A657" s="497">
        <v>45513.0</v>
      </c>
      <c r="B657" s="349" t="s">
        <v>6364</v>
      </c>
      <c r="C657" s="349" t="s">
        <v>6365</v>
      </c>
      <c r="D657" s="1032" t="s">
        <v>54</v>
      </c>
      <c r="E657" s="413" t="s">
        <v>5737</v>
      </c>
      <c r="F657" s="413">
        <v>0.0</v>
      </c>
      <c r="G657" s="403"/>
      <c r="H657" s="349" t="s">
        <v>6417</v>
      </c>
      <c r="I657" s="736" t="str">
        <f t="shared" si="8"/>
        <v>FULLY PAID</v>
      </c>
      <c r="J657" s="402"/>
      <c r="K657" s="402"/>
      <c r="L657" s="402"/>
      <c r="M657" s="402"/>
      <c r="N657" s="402"/>
      <c r="O657" s="402"/>
      <c r="P657" s="402"/>
      <c r="Q657" s="402"/>
      <c r="R657" s="402"/>
      <c r="S657" s="402"/>
      <c r="T657" s="402"/>
      <c r="U657" s="402"/>
      <c r="V657" s="402"/>
      <c r="W657" s="402"/>
      <c r="X657" s="402"/>
      <c r="Y657" s="402"/>
      <c r="Z657" s="402"/>
    </row>
    <row r="658" ht="14.25" customHeight="1">
      <c r="A658" s="497">
        <v>45513.0</v>
      </c>
      <c r="B658" s="349" t="s">
        <v>6245</v>
      </c>
      <c r="C658" s="349" t="s">
        <v>6246</v>
      </c>
      <c r="D658" s="1032" t="s">
        <v>54</v>
      </c>
      <c r="E658" s="413" t="s">
        <v>5737</v>
      </c>
      <c r="F658" s="413">
        <v>34620.37</v>
      </c>
      <c r="G658" s="403"/>
      <c r="H658" s="402"/>
      <c r="I658" s="736" t="str">
        <f t="shared" si="8"/>
        <v>NOT PAID</v>
      </c>
      <c r="J658" s="402"/>
      <c r="K658" s="402"/>
      <c r="L658" s="402"/>
      <c r="M658" s="402"/>
      <c r="N658" s="402"/>
      <c r="O658" s="402"/>
      <c r="P658" s="402"/>
      <c r="Q658" s="402"/>
      <c r="R658" s="402"/>
      <c r="S658" s="402"/>
      <c r="T658" s="402"/>
      <c r="U658" s="402"/>
      <c r="V658" s="402"/>
      <c r="W658" s="402"/>
      <c r="X658" s="402"/>
      <c r="Y658" s="402"/>
      <c r="Z658" s="402"/>
    </row>
    <row r="659" ht="14.25" customHeight="1">
      <c r="A659" s="497">
        <v>45513.0</v>
      </c>
      <c r="B659" s="349" t="s">
        <v>6370</v>
      </c>
      <c r="C659" s="349" t="s">
        <v>6360</v>
      </c>
      <c r="D659" s="1032" t="s">
        <v>346</v>
      </c>
      <c r="E659" s="413"/>
      <c r="F659" s="413">
        <v>7039.0</v>
      </c>
      <c r="G659" s="403"/>
      <c r="H659" s="349" t="s">
        <v>267</v>
      </c>
      <c r="I659" s="736" t="str">
        <f t="shared" si="8"/>
        <v>NOT PAID</v>
      </c>
      <c r="J659" s="402"/>
      <c r="K659" s="402"/>
      <c r="L659" s="402"/>
      <c r="M659" s="402"/>
      <c r="N659" s="402"/>
      <c r="O659" s="402"/>
      <c r="P659" s="402"/>
      <c r="Q659" s="402"/>
      <c r="R659" s="402"/>
      <c r="S659" s="402"/>
      <c r="T659" s="402"/>
      <c r="U659" s="402"/>
      <c r="V659" s="402"/>
      <c r="W659" s="402"/>
      <c r="X659" s="402"/>
      <c r="Y659" s="402"/>
      <c r="Z659" s="402"/>
    </row>
    <row r="660" ht="14.25" customHeight="1">
      <c r="A660" s="497">
        <v>45513.0</v>
      </c>
      <c r="B660" s="349" t="s">
        <v>6372</v>
      </c>
      <c r="C660" s="349" t="s">
        <v>6373</v>
      </c>
      <c r="D660" s="1032" t="s">
        <v>54</v>
      </c>
      <c r="E660" s="413" t="s">
        <v>5737</v>
      </c>
      <c r="F660" s="413">
        <v>37419.0</v>
      </c>
      <c r="G660" s="403"/>
      <c r="H660" s="349" t="s">
        <v>2200</v>
      </c>
      <c r="I660" s="736" t="str">
        <f t="shared" si="8"/>
        <v>NOT PAID</v>
      </c>
      <c r="J660" s="402"/>
      <c r="K660" s="402"/>
      <c r="L660" s="402"/>
      <c r="M660" s="402"/>
      <c r="N660" s="402"/>
      <c r="O660" s="402"/>
      <c r="P660" s="402"/>
      <c r="Q660" s="402"/>
      <c r="R660" s="402"/>
      <c r="S660" s="402"/>
      <c r="T660" s="402"/>
      <c r="U660" s="402"/>
      <c r="V660" s="402"/>
      <c r="W660" s="402"/>
      <c r="X660" s="402"/>
      <c r="Y660" s="402"/>
      <c r="Z660" s="402"/>
    </row>
    <row r="661" ht="14.25" customHeight="1">
      <c r="A661" s="497">
        <v>45513.0</v>
      </c>
      <c r="B661" s="349" t="s">
        <v>6375</v>
      </c>
      <c r="C661" s="349" t="s">
        <v>6373</v>
      </c>
      <c r="D661" s="1032" t="s">
        <v>346</v>
      </c>
      <c r="E661" s="413" t="s">
        <v>5753</v>
      </c>
      <c r="F661" s="413">
        <v>8250.0</v>
      </c>
      <c r="G661" s="403"/>
      <c r="H661" s="402"/>
      <c r="I661" s="736" t="str">
        <f t="shared" si="8"/>
        <v>NOT PAID</v>
      </c>
      <c r="J661" s="402"/>
      <c r="K661" s="402"/>
      <c r="L661" s="402"/>
      <c r="M661" s="402"/>
      <c r="N661" s="402"/>
      <c r="O661" s="402"/>
      <c r="P661" s="402"/>
      <c r="Q661" s="402"/>
      <c r="R661" s="402"/>
      <c r="S661" s="402"/>
      <c r="T661" s="402"/>
      <c r="U661" s="402"/>
      <c r="V661" s="402"/>
      <c r="W661" s="402"/>
      <c r="X661" s="402"/>
      <c r="Y661" s="402"/>
      <c r="Z661" s="402"/>
    </row>
    <row r="662" ht="14.25" customHeight="1">
      <c r="A662" s="497">
        <v>45513.0</v>
      </c>
      <c r="B662" s="349" t="s">
        <v>6067</v>
      </c>
      <c r="C662" s="349" t="s">
        <v>6068</v>
      </c>
      <c r="D662" s="1077" t="s">
        <v>54</v>
      </c>
      <c r="E662" s="413" t="s">
        <v>5623</v>
      </c>
      <c r="F662" s="413">
        <v>20000.0</v>
      </c>
      <c r="G662" s="403"/>
      <c r="H662" s="349" t="s">
        <v>6418</v>
      </c>
      <c r="I662" s="736" t="str">
        <f t="shared" si="8"/>
        <v>NOT PAID</v>
      </c>
      <c r="J662" s="402"/>
      <c r="K662" s="402"/>
      <c r="L662" s="402"/>
      <c r="M662" s="402"/>
      <c r="N662" s="402"/>
      <c r="O662" s="402"/>
      <c r="P662" s="402"/>
      <c r="Q662" s="402"/>
      <c r="R662" s="402"/>
      <c r="S662" s="402"/>
      <c r="T662" s="402"/>
      <c r="U662" s="402"/>
      <c r="V662" s="402"/>
      <c r="W662" s="402"/>
      <c r="X662" s="402"/>
      <c r="Y662" s="402"/>
      <c r="Z662" s="402"/>
    </row>
    <row r="663" ht="14.25" customHeight="1">
      <c r="A663" s="497">
        <v>45513.0</v>
      </c>
      <c r="B663" s="402"/>
      <c r="C663" s="349"/>
      <c r="D663" s="1078"/>
      <c r="E663" s="413"/>
      <c r="F663" s="413"/>
      <c r="G663" s="403"/>
      <c r="H663" s="402"/>
      <c r="I663" s="736" t="str">
        <f t="shared" si="8"/>
        <v>FULLY PAID</v>
      </c>
      <c r="J663" s="402"/>
      <c r="K663" s="402"/>
      <c r="L663" s="402"/>
      <c r="M663" s="402"/>
      <c r="N663" s="402"/>
      <c r="O663" s="402"/>
      <c r="P663" s="402"/>
      <c r="Q663" s="402"/>
      <c r="R663" s="402"/>
      <c r="S663" s="402"/>
      <c r="T663" s="402"/>
      <c r="U663" s="402"/>
      <c r="V663" s="402"/>
      <c r="W663" s="402"/>
      <c r="X663" s="402"/>
      <c r="Y663" s="402"/>
      <c r="Z663" s="402"/>
    </row>
    <row r="664" ht="15.0" customHeight="1">
      <c r="A664" s="497">
        <v>45513.0</v>
      </c>
      <c r="B664" s="402" t="s">
        <v>6380</v>
      </c>
      <c r="C664" s="402" t="s">
        <v>5820</v>
      </c>
      <c r="D664" s="1078" t="s">
        <v>54</v>
      </c>
      <c r="E664" s="403" t="s">
        <v>4114</v>
      </c>
      <c r="F664" s="403">
        <v>145251.0</v>
      </c>
      <c r="G664" s="403"/>
      <c r="H664" s="402"/>
      <c r="I664" s="736" t="str">
        <f t="shared" si="8"/>
        <v>NOT PAID</v>
      </c>
      <c r="J664" s="402"/>
      <c r="K664" s="402"/>
      <c r="L664" s="402"/>
      <c r="M664" s="402"/>
      <c r="N664" s="402"/>
      <c r="O664" s="402"/>
      <c r="P664" s="402"/>
      <c r="Q664" s="402"/>
      <c r="R664" s="402"/>
      <c r="S664" s="402"/>
      <c r="T664" s="402"/>
      <c r="U664" s="402"/>
      <c r="V664" s="402"/>
      <c r="W664" s="402"/>
      <c r="X664" s="402"/>
      <c r="Y664" s="402"/>
      <c r="Z664" s="402"/>
    </row>
    <row r="665" ht="14.25" customHeight="1">
      <c r="A665" s="497">
        <v>45513.0</v>
      </c>
      <c r="B665" s="402" t="s">
        <v>5687</v>
      </c>
      <c r="C665" s="402" t="s">
        <v>5978</v>
      </c>
      <c r="D665" s="1078" t="s">
        <v>54</v>
      </c>
      <c r="E665" s="403" t="s">
        <v>4114</v>
      </c>
      <c r="F665" s="403">
        <v>263000.0</v>
      </c>
      <c r="G665" s="403"/>
      <c r="H665" s="402"/>
      <c r="I665" s="736" t="str">
        <f t="shared" si="8"/>
        <v>NOT PAID</v>
      </c>
      <c r="J665" s="402"/>
      <c r="K665" s="402"/>
      <c r="L665" s="402"/>
      <c r="M665" s="402"/>
      <c r="N665" s="402"/>
      <c r="O665" s="402"/>
      <c r="P665" s="402"/>
      <c r="Q665" s="402"/>
      <c r="R665" s="402"/>
      <c r="S665" s="402"/>
      <c r="T665" s="402"/>
      <c r="U665" s="402"/>
      <c r="V665" s="402"/>
      <c r="W665" s="402"/>
      <c r="X665" s="402"/>
      <c r="Y665" s="402"/>
      <c r="Z665" s="402"/>
    </row>
    <row r="666" ht="14.25" customHeight="1">
      <c r="A666" s="497">
        <v>45513.0</v>
      </c>
      <c r="B666" s="349" t="s">
        <v>6309</v>
      </c>
      <c r="C666" s="349" t="s">
        <v>5722</v>
      </c>
      <c r="D666" s="1032" t="s">
        <v>54</v>
      </c>
      <c r="E666" s="413"/>
      <c r="F666" s="413">
        <v>112555.43</v>
      </c>
      <c r="G666" s="413">
        <v>50000.0</v>
      </c>
      <c r="H666" s="349" t="s">
        <v>6419</v>
      </c>
      <c r="I666" s="736" t="str">
        <f t="shared" si="8"/>
        <v>PARTIALLY PAID</v>
      </c>
      <c r="J666" s="402"/>
      <c r="K666" s="402"/>
      <c r="L666" s="402"/>
      <c r="M666" s="402"/>
      <c r="N666" s="402"/>
      <c r="O666" s="402"/>
      <c r="P666" s="402"/>
      <c r="Q666" s="402"/>
      <c r="R666" s="402"/>
      <c r="S666" s="402"/>
      <c r="T666" s="402"/>
      <c r="U666" s="402"/>
      <c r="V666" s="402"/>
      <c r="W666" s="402"/>
      <c r="X666" s="402"/>
      <c r="Y666" s="402"/>
      <c r="Z666" s="402"/>
    </row>
    <row r="667" ht="14.25" customHeight="1">
      <c r="A667" s="497">
        <v>45513.0</v>
      </c>
      <c r="B667" s="349" t="s">
        <v>6109</v>
      </c>
      <c r="C667" s="349" t="s">
        <v>6110</v>
      </c>
      <c r="D667" s="1032" t="s">
        <v>75</v>
      </c>
      <c r="E667" s="413"/>
      <c r="F667" s="413">
        <v>60375.0</v>
      </c>
      <c r="G667" s="1079"/>
      <c r="H667" s="349" t="s">
        <v>6420</v>
      </c>
      <c r="I667" s="736" t="str">
        <f t="shared" si="8"/>
        <v>NOT PAID</v>
      </c>
      <c r="J667" s="402"/>
      <c r="K667" s="402"/>
      <c r="L667" s="402"/>
      <c r="M667" s="402"/>
      <c r="N667" s="402"/>
      <c r="O667" s="402"/>
      <c r="P667" s="402"/>
      <c r="Q667" s="402"/>
      <c r="R667" s="402"/>
      <c r="S667" s="402"/>
      <c r="T667" s="402"/>
      <c r="U667" s="402"/>
      <c r="V667" s="402"/>
      <c r="W667" s="402"/>
      <c r="X667" s="402"/>
      <c r="Y667" s="402"/>
      <c r="Z667" s="402"/>
    </row>
    <row r="668" ht="14.25" customHeight="1">
      <c r="A668" s="497">
        <v>45513.0</v>
      </c>
      <c r="B668" s="349" t="s">
        <v>6167</v>
      </c>
      <c r="C668" s="349" t="s">
        <v>6168</v>
      </c>
      <c r="D668" s="1032" t="s">
        <v>75</v>
      </c>
      <c r="E668" s="413"/>
      <c r="F668" s="413">
        <v>264125.0</v>
      </c>
      <c r="G668" s="683">
        <v>264125.0</v>
      </c>
      <c r="H668" s="349" t="s">
        <v>6421</v>
      </c>
      <c r="I668" s="736" t="str">
        <f t="shared" si="8"/>
        <v>FULLY PAID</v>
      </c>
      <c r="J668" s="402"/>
      <c r="K668" s="402"/>
      <c r="L668" s="402"/>
      <c r="M668" s="402"/>
      <c r="N668" s="402"/>
      <c r="O668" s="402"/>
      <c r="P668" s="402"/>
      <c r="Q668" s="402"/>
      <c r="R668" s="402"/>
      <c r="S668" s="402"/>
      <c r="T668" s="402"/>
      <c r="U668" s="402"/>
      <c r="V668" s="402"/>
      <c r="W668" s="402"/>
      <c r="X668" s="402"/>
      <c r="Y668" s="402"/>
      <c r="Z668" s="402"/>
    </row>
    <row r="669" ht="14.25" customHeight="1">
      <c r="A669" s="497">
        <v>45513.0</v>
      </c>
      <c r="B669" s="349" t="s">
        <v>5795</v>
      </c>
      <c r="C669" s="349" t="s">
        <v>5796</v>
      </c>
      <c r="D669" s="1032" t="s">
        <v>75</v>
      </c>
      <c r="E669" s="413"/>
      <c r="F669" s="413">
        <v>24560.0</v>
      </c>
      <c r="G669" s="1079"/>
      <c r="H669" s="349" t="s">
        <v>2389</v>
      </c>
      <c r="I669" s="736" t="str">
        <f t="shared" si="8"/>
        <v>NOT PAID</v>
      </c>
      <c r="J669" s="402"/>
      <c r="K669" s="402"/>
      <c r="L669" s="402"/>
      <c r="M669" s="402"/>
      <c r="N669" s="402"/>
      <c r="O669" s="402"/>
      <c r="P669" s="402"/>
      <c r="Q669" s="402"/>
      <c r="R669" s="402"/>
      <c r="S669" s="402"/>
      <c r="T669" s="402"/>
      <c r="U669" s="402"/>
      <c r="V669" s="402"/>
      <c r="W669" s="402"/>
      <c r="X669" s="402"/>
      <c r="Y669" s="402"/>
      <c r="Z669" s="402"/>
    </row>
    <row r="670" ht="14.25" customHeight="1">
      <c r="A670" s="497">
        <v>45513.0</v>
      </c>
      <c r="B670" s="402"/>
      <c r="C670" s="349" t="s">
        <v>6387</v>
      </c>
      <c r="D670" s="1032" t="s">
        <v>54</v>
      </c>
      <c r="E670" s="413" t="s">
        <v>6388</v>
      </c>
      <c r="F670" s="413">
        <v>380000.0</v>
      </c>
      <c r="G670" s="413">
        <v>100000.0</v>
      </c>
      <c r="H670" s="349" t="s">
        <v>4316</v>
      </c>
      <c r="I670" s="736" t="str">
        <f t="shared" si="8"/>
        <v>PARTIALLY PAID</v>
      </c>
      <c r="J670" s="402"/>
      <c r="K670" s="402"/>
      <c r="L670" s="402"/>
      <c r="M670" s="402"/>
      <c r="N670" s="402"/>
      <c r="O670" s="402"/>
      <c r="P670" s="402"/>
      <c r="Q670" s="402"/>
      <c r="R670" s="402"/>
      <c r="S670" s="402"/>
      <c r="T670" s="402"/>
      <c r="U670" s="402"/>
      <c r="V670" s="402"/>
      <c r="W670" s="402"/>
      <c r="X670" s="402"/>
      <c r="Y670" s="402"/>
      <c r="Z670" s="402"/>
    </row>
    <row r="671" ht="14.25" customHeight="1">
      <c r="A671" s="497">
        <v>45513.0</v>
      </c>
      <c r="B671" s="349" t="s">
        <v>6276</v>
      </c>
      <c r="C671" s="349" t="s">
        <v>6389</v>
      </c>
      <c r="D671" s="1077" t="s">
        <v>54</v>
      </c>
      <c r="E671" s="403"/>
      <c r="F671" s="413">
        <v>20450.71</v>
      </c>
      <c r="G671" s="1079"/>
      <c r="H671" s="402"/>
      <c r="I671" s="736" t="str">
        <f t="shared" si="8"/>
        <v>NOT PAID</v>
      </c>
      <c r="J671" s="402"/>
      <c r="K671" s="402"/>
      <c r="L671" s="402"/>
      <c r="M671" s="402"/>
      <c r="N671" s="402"/>
      <c r="O671" s="402"/>
      <c r="P671" s="402"/>
      <c r="Q671" s="402"/>
      <c r="R671" s="402"/>
      <c r="S671" s="402"/>
      <c r="T671" s="402"/>
      <c r="U671" s="402"/>
      <c r="V671" s="402"/>
      <c r="W671" s="402"/>
      <c r="X671" s="402"/>
      <c r="Y671" s="402"/>
      <c r="Z671" s="402"/>
    </row>
    <row r="672" ht="14.25" customHeight="1">
      <c r="A672" s="497">
        <v>45513.0</v>
      </c>
      <c r="B672" s="349" t="s">
        <v>6175</v>
      </c>
      <c r="C672" s="349" t="s">
        <v>6390</v>
      </c>
      <c r="D672" s="1077" t="s">
        <v>54</v>
      </c>
      <c r="E672" s="403"/>
      <c r="F672" s="413">
        <v>59284.18</v>
      </c>
      <c r="G672" s="1079"/>
      <c r="H672" s="402"/>
      <c r="I672" s="736" t="str">
        <f t="shared" si="8"/>
        <v>NOT PAID</v>
      </c>
      <c r="J672" s="402"/>
      <c r="K672" s="402"/>
      <c r="L672" s="402"/>
      <c r="M672" s="402"/>
      <c r="N672" s="402"/>
      <c r="O672" s="402"/>
      <c r="P672" s="402"/>
      <c r="Q672" s="402"/>
      <c r="R672" s="402"/>
      <c r="S672" s="402"/>
      <c r="T672" s="402"/>
      <c r="U672" s="402"/>
      <c r="V672" s="402"/>
      <c r="W672" s="402"/>
      <c r="X672" s="402"/>
      <c r="Y672" s="402"/>
      <c r="Z672" s="402"/>
    </row>
    <row r="673" ht="14.25" customHeight="1">
      <c r="A673" s="497">
        <v>45513.0</v>
      </c>
      <c r="B673" s="349" t="s">
        <v>6391</v>
      </c>
      <c r="C673" s="349" t="s">
        <v>6392</v>
      </c>
      <c r="D673" s="1077" t="s">
        <v>54</v>
      </c>
      <c r="E673" s="403"/>
      <c r="F673" s="413">
        <v>23566.05</v>
      </c>
      <c r="G673" s="1079"/>
      <c r="H673" s="402"/>
      <c r="I673" s="736" t="str">
        <f t="shared" si="8"/>
        <v>NOT PAID</v>
      </c>
      <c r="J673" s="402"/>
      <c r="K673" s="402"/>
      <c r="L673" s="402"/>
      <c r="M673" s="402"/>
      <c r="N673" s="402"/>
      <c r="O673" s="402"/>
      <c r="P673" s="402"/>
      <c r="Q673" s="402"/>
      <c r="R673" s="402"/>
      <c r="S673" s="402"/>
      <c r="T673" s="402"/>
      <c r="U673" s="402"/>
      <c r="V673" s="402"/>
      <c r="W673" s="402"/>
      <c r="X673" s="402"/>
      <c r="Y673" s="402"/>
      <c r="Z673" s="402"/>
    </row>
    <row r="674" ht="14.25" customHeight="1">
      <c r="A674" s="497">
        <v>45513.0</v>
      </c>
      <c r="B674" s="349" t="s">
        <v>5929</v>
      </c>
      <c r="C674" s="349" t="s">
        <v>6393</v>
      </c>
      <c r="D674" s="1077" t="s">
        <v>54</v>
      </c>
      <c r="E674" s="403"/>
      <c r="F674" s="413">
        <v>143862.75</v>
      </c>
      <c r="G674" s="1079"/>
      <c r="H674" s="402"/>
      <c r="I674" s="736" t="str">
        <f t="shared" si="8"/>
        <v>NOT PAID</v>
      </c>
      <c r="J674" s="402"/>
      <c r="K674" s="402"/>
      <c r="L674" s="402"/>
      <c r="M674" s="402"/>
      <c r="N674" s="402"/>
      <c r="O674" s="402"/>
      <c r="P674" s="402"/>
      <c r="Q674" s="402"/>
      <c r="R674" s="402"/>
      <c r="S674" s="402"/>
      <c r="T674" s="402"/>
      <c r="U674" s="402"/>
      <c r="V674" s="402"/>
      <c r="W674" s="402"/>
      <c r="X674" s="402"/>
      <c r="Y674" s="402"/>
      <c r="Z674" s="402"/>
    </row>
    <row r="675" ht="14.25" customHeight="1">
      <c r="A675" s="497">
        <v>45513.0</v>
      </c>
      <c r="B675" s="349" t="s">
        <v>5716</v>
      </c>
      <c r="C675" s="349" t="s">
        <v>6394</v>
      </c>
      <c r="D675" s="1077" t="s">
        <v>54</v>
      </c>
      <c r="E675" s="403"/>
      <c r="F675" s="413">
        <v>16845.79</v>
      </c>
      <c r="G675" s="1079"/>
      <c r="H675" s="402"/>
      <c r="I675" s="736" t="str">
        <f t="shared" si="8"/>
        <v>NOT PAID</v>
      </c>
      <c r="J675" s="402"/>
      <c r="K675" s="402"/>
      <c r="L675" s="402"/>
      <c r="M675" s="402"/>
      <c r="N675" s="402"/>
      <c r="O675" s="402"/>
      <c r="P675" s="402"/>
      <c r="Q675" s="402"/>
      <c r="R675" s="402"/>
      <c r="S675" s="402"/>
      <c r="T675" s="402"/>
      <c r="U675" s="402"/>
      <c r="V675" s="402"/>
      <c r="W675" s="402"/>
      <c r="X675" s="402"/>
      <c r="Y675" s="402"/>
      <c r="Z675" s="402"/>
    </row>
    <row r="676" ht="14.25" customHeight="1">
      <c r="A676" s="497">
        <v>45513.0</v>
      </c>
      <c r="B676" s="349" t="s">
        <v>6283</v>
      </c>
      <c r="C676" s="349" t="s">
        <v>6395</v>
      </c>
      <c r="D676" s="1077" t="s">
        <v>54</v>
      </c>
      <c r="E676" s="403"/>
      <c r="F676" s="413">
        <v>63260.2</v>
      </c>
      <c r="G676" s="1079"/>
      <c r="H676" s="402"/>
      <c r="I676" s="736" t="str">
        <f t="shared" si="8"/>
        <v>NOT PAID</v>
      </c>
      <c r="J676" s="402"/>
      <c r="K676" s="402"/>
      <c r="L676" s="402"/>
      <c r="M676" s="402"/>
      <c r="N676" s="402"/>
      <c r="O676" s="402"/>
      <c r="P676" s="402"/>
      <c r="Q676" s="402"/>
      <c r="R676" s="402"/>
      <c r="S676" s="402"/>
      <c r="T676" s="402"/>
      <c r="U676" s="402"/>
      <c r="V676" s="402"/>
      <c r="W676" s="402"/>
      <c r="X676" s="402"/>
      <c r="Y676" s="402"/>
      <c r="Z676" s="402"/>
    </row>
    <row r="677" ht="14.25" customHeight="1">
      <c r="A677" s="497">
        <v>45513.0</v>
      </c>
      <c r="B677" s="349" t="s">
        <v>6006</v>
      </c>
      <c r="C677" s="349" t="s">
        <v>6396</v>
      </c>
      <c r="D677" s="1077" t="s">
        <v>54</v>
      </c>
      <c r="E677" s="403"/>
      <c r="F677" s="413">
        <v>27401.01</v>
      </c>
      <c r="G677" s="1079"/>
      <c r="H677" s="402"/>
      <c r="I677" s="736" t="str">
        <f t="shared" si="8"/>
        <v>NOT PAID</v>
      </c>
      <c r="J677" s="402"/>
      <c r="K677" s="402"/>
      <c r="L677" s="402"/>
      <c r="M677" s="402"/>
      <c r="N677" s="402"/>
      <c r="O677" s="402"/>
      <c r="P677" s="402"/>
      <c r="Q677" s="402"/>
      <c r="R677" s="402"/>
      <c r="S677" s="402"/>
      <c r="T677" s="402"/>
      <c r="U677" s="402"/>
      <c r="V677" s="402"/>
      <c r="W677" s="402"/>
      <c r="X677" s="402"/>
      <c r="Y677" s="402"/>
      <c r="Z677" s="402"/>
    </row>
    <row r="678" ht="14.25" customHeight="1">
      <c r="A678" s="497">
        <v>45513.0</v>
      </c>
      <c r="B678" s="349" t="s">
        <v>6332</v>
      </c>
      <c r="C678" s="349" t="s">
        <v>6397</v>
      </c>
      <c r="D678" s="1077" t="s">
        <v>54</v>
      </c>
      <c r="E678" s="403"/>
      <c r="F678" s="413">
        <v>32302.35</v>
      </c>
      <c r="G678" s="1079"/>
      <c r="H678" s="402"/>
      <c r="I678" s="736" t="str">
        <f t="shared" si="8"/>
        <v>NOT PAID</v>
      </c>
      <c r="J678" s="402"/>
      <c r="K678" s="402"/>
      <c r="L678" s="402"/>
      <c r="M678" s="402"/>
      <c r="N678" s="402"/>
      <c r="O678" s="402"/>
      <c r="P678" s="402"/>
      <c r="Q678" s="402"/>
      <c r="R678" s="402"/>
      <c r="S678" s="402"/>
      <c r="T678" s="402"/>
      <c r="U678" s="402"/>
      <c r="V678" s="402"/>
      <c r="W678" s="402"/>
      <c r="X678" s="402"/>
      <c r="Y678" s="402"/>
      <c r="Z678" s="402"/>
    </row>
    <row r="679" ht="14.25" customHeight="1">
      <c r="A679" s="497">
        <v>45513.0</v>
      </c>
      <c r="B679" s="349" t="s">
        <v>6112</v>
      </c>
      <c r="C679" s="349" t="s">
        <v>6398</v>
      </c>
      <c r="D679" s="1077" t="s">
        <v>54</v>
      </c>
      <c r="E679" s="403"/>
      <c r="F679" s="413">
        <v>19564.65</v>
      </c>
      <c r="G679" s="1079"/>
      <c r="H679" s="402"/>
      <c r="I679" s="736" t="str">
        <f t="shared" si="8"/>
        <v>NOT PAID</v>
      </c>
      <c r="J679" s="402"/>
      <c r="K679" s="402"/>
      <c r="L679" s="402"/>
      <c r="M679" s="402"/>
      <c r="N679" s="402"/>
      <c r="O679" s="402"/>
      <c r="P679" s="402"/>
      <c r="Q679" s="402"/>
      <c r="R679" s="402"/>
      <c r="S679" s="402"/>
      <c r="T679" s="402"/>
      <c r="U679" s="402"/>
      <c r="V679" s="402"/>
      <c r="W679" s="402"/>
      <c r="X679" s="402"/>
      <c r="Y679" s="402"/>
      <c r="Z679" s="402"/>
    </row>
    <row r="680" ht="14.25" customHeight="1">
      <c r="A680" s="497">
        <v>45513.0</v>
      </c>
      <c r="B680" s="349" t="s">
        <v>6233</v>
      </c>
      <c r="C680" s="349" t="s">
        <v>6399</v>
      </c>
      <c r="D680" s="1077" t="s">
        <v>54</v>
      </c>
      <c r="E680" s="403"/>
      <c r="F680" s="413">
        <v>18060.0</v>
      </c>
      <c r="G680" s="1079"/>
      <c r="H680" s="402"/>
      <c r="I680" s="736" t="str">
        <f t="shared" si="8"/>
        <v>NOT PAID</v>
      </c>
      <c r="J680" s="402"/>
      <c r="K680" s="402"/>
      <c r="L680" s="402"/>
      <c r="M680" s="402"/>
      <c r="N680" s="402"/>
      <c r="O680" s="402"/>
      <c r="P680" s="402"/>
      <c r="Q680" s="402"/>
      <c r="R680" s="402"/>
      <c r="S680" s="402"/>
      <c r="T680" s="402"/>
      <c r="U680" s="402"/>
      <c r="V680" s="402"/>
      <c r="W680" s="402"/>
      <c r="X680" s="402"/>
      <c r="Y680" s="402"/>
      <c r="Z680" s="402"/>
    </row>
    <row r="681" ht="14.25" customHeight="1">
      <c r="A681" s="402"/>
      <c r="B681" s="402"/>
      <c r="C681" s="402"/>
      <c r="D681" s="1034"/>
      <c r="E681" s="403"/>
      <c r="F681" s="403"/>
      <c r="G681" s="403"/>
      <c r="H681" s="402"/>
      <c r="I681" s="736" t="str">
        <f t="shared" si="8"/>
        <v>FULLY PAID</v>
      </c>
      <c r="J681" s="402"/>
      <c r="K681" s="402"/>
      <c r="L681" s="402"/>
      <c r="M681" s="402"/>
      <c r="N681" s="402"/>
      <c r="O681" s="402"/>
      <c r="P681" s="402"/>
      <c r="Q681" s="402"/>
      <c r="R681" s="402"/>
      <c r="S681" s="402"/>
      <c r="T681" s="402"/>
      <c r="U681" s="402"/>
      <c r="V681" s="402"/>
      <c r="W681" s="402"/>
      <c r="X681" s="402"/>
      <c r="Y681" s="402"/>
      <c r="Z681" s="402"/>
    </row>
    <row r="682" ht="14.25" customHeight="1">
      <c r="A682" s="402"/>
      <c r="B682" s="402"/>
      <c r="C682" s="424" t="s">
        <v>107</v>
      </c>
      <c r="D682" s="1034"/>
      <c r="E682" s="403"/>
      <c r="F682" s="403"/>
      <c r="G682" s="403"/>
      <c r="H682" s="402"/>
      <c r="I682" s="736" t="str">
        <f t="shared" si="8"/>
        <v>FULLY PAID</v>
      </c>
      <c r="J682" s="402"/>
      <c r="K682" s="402"/>
      <c r="L682" s="402"/>
      <c r="M682" s="402"/>
      <c r="N682" s="402"/>
      <c r="O682" s="402"/>
      <c r="P682" s="402"/>
      <c r="Q682" s="402"/>
      <c r="R682" s="402"/>
      <c r="S682" s="402"/>
      <c r="T682" s="402"/>
      <c r="U682" s="402"/>
      <c r="V682" s="402"/>
      <c r="W682" s="402"/>
      <c r="X682" s="402"/>
      <c r="Y682" s="402"/>
      <c r="Z682" s="402"/>
    </row>
    <row r="683" ht="14.25" customHeight="1">
      <c r="A683" s="497">
        <v>45513.0</v>
      </c>
      <c r="B683" s="678" t="s">
        <v>5984</v>
      </c>
      <c r="C683" s="678" t="s">
        <v>5985</v>
      </c>
      <c r="D683" s="679" t="s">
        <v>54</v>
      </c>
      <c r="E683" s="679" t="s">
        <v>2165</v>
      </c>
      <c r="F683" s="778">
        <v>320000.0</v>
      </c>
      <c r="G683" s="403"/>
      <c r="H683" s="349" t="s">
        <v>6303</v>
      </c>
      <c r="I683" s="736" t="str">
        <f t="shared" si="8"/>
        <v>NOT PAID</v>
      </c>
      <c r="J683" s="402"/>
      <c r="K683" s="402"/>
      <c r="L683" s="402"/>
      <c r="M683" s="402"/>
      <c r="N683" s="402"/>
      <c r="O683" s="402"/>
      <c r="P683" s="402"/>
      <c r="Q683" s="402"/>
      <c r="R683" s="402"/>
      <c r="S683" s="402"/>
      <c r="T683" s="402"/>
      <c r="U683" s="402"/>
      <c r="V683" s="402"/>
      <c r="W683" s="402"/>
      <c r="X683" s="402"/>
      <c r="Y683" s="402"/>
      <c r="Z683" s="402"/>
    </row>
    <row r="684" ht="14.25" customHeight="1">
      <c r="A684" s="497">
        <v>45513.0</v>
      </c>
      <c r="B684" s="678" t="s">
        <v>5664</v>
      </c>
      <c r="C684" s="1080" t="s">
        <v>6378</v>
      </c>
      <c r="D684" s="679" t="s">
        <v>6379</v>
      </c>
      <c r="E684" s="679" t="s">
        <v>4114</v>
      </c>
      <c r="F684" s="778">
        <v>394222.0</v>
      </c>
      <c r="G684" s="413">
        <v>300000.0</v>
      </c>
      <c r="H684" s="349" t="s">
        <v>804</v>
      </c>
      <c r="I684" s="736" t="str">
        <f t="shared" si="8"/>
        <v>PARTIALLY PAID</v>
      </c>
      <c r="J684" s="402"/>
      <c r="K684" s="402"/>
      <c r="L684" s="402"/>
      <c r="M684" s="402"/>
      <c r="N684" s="402"/>
      <c r="O684" s="402"/>
      <c r="P684" s="402"/>
      <c r="Q684" s="402"/>
      <c r="R684" s="402"/>
      <c r="S684" s="402"/>
      <c r="T684" s="402"/>
      <c r="U684" s="402"/>
      <c r="V684" s="402"/>
      <c r="W684" s="402"/>
      <c r="X684" s="402"/>
      <c r="Y684" s="402"/>
      <c r="Z684" s="402"/>
    </row>
    <row r="685" ht="18.0" customHeight="1">
      <c r="A685" s="497">
        <v>45513.0</v>
      </c>
      <c r="B685" s="678" t="s">
        <v>5838</v>
      </c>
      <c r="C685" s="678" t="s">
        <v>5981</v>
      </c>
      <c r="D685" s="679" t="s">
        <v>54</v>
      </c>
      <c r="E685" s="679" t="s">
        <v>4114</v>
      </c>
      <c r="F685" s="778">
        <v>122000.0</v>
      </c>
      <c r="G685" s="413">
        <v>103000.0</v>
      </c>
      <c r="H685" s="349" t="s">
        <v>804</v>
      </c>
      <c r="I685" s="736" t="str">
        <f t="shared" si="8"/>
        <v>PARTIALLY PAID</v>
      </c>
      <c r="J685" s="402"/>
      <c r="K685" s="402"/>
      <c r="L685" s="402"/>
      <c r="M685" s="402"/>
      <c r="N685" s="402"/>
      <c r="O685" s="402"/>
      <c r="P685" s="402"/>
      <c r="Q685" s="402"/>
      <c r="R685" s="402"/>
      <c r="S685" s="402"/>
      <c r="T685" s="402"/>
      <c r="U685" s="402"/>
      <c r="V685" s="402"/>
      <c r="W685" s="402"/>
      <c r="X685" s="402"/>
      <c r="Y685" s="402"/>
      <c r="Z685" s="402"/>
    </row>
    <row r="686" ht="14.25" customHeight="1">
      <c r="A686" s="497">
        <v>45513.0</v>
      </c>
      <c r="B686" s="1069" t="s">
        <v>5628</v>
      </c>
      <c r="C686" s="1069" t="s">
        <v>6135</v>
      </c>
      <c r="D686" s="679" t="s">
        <v>54</v>
      </c>
      <c r="E686" s="1081" t="s">
        <v>4114</v>
      </c>
      <c r="F686" s="779">
        <v>48000.0</v>
      </c>
      <c r="G686" s="403"/>
      <c r="H686" s="349" t="s">
        <v>6422</v>
      </c>
      <c r="I686" s="736" t="str">
        <f t="shared" si="8"/>
        <v>NOT PAID</v>
      </c>
      <c r="J686" s="402"/>
      <c r="K686" s="402"/>
      <c r="L686" s="402"/>
      <c r="M686" s="402"/>
      <c r="N686" s="402"/>
      <c r="O686" s="402"/>
      <c r="P686" s="402"/>
      <c r="Q686" s="402"/>
      <c r="R686" s="402"/>
      <c r="S686" s="402"/>
      <c r="T686" s="402"/>
      <c r="U686" s="402"/>
      <c r="V686" s="402"/>
      <c r="W686" s="402"/>
      <c r="X686" s="402"/>
      <c r="Y686" s="402"/>
      <c r="Z686" s="402"/>
    </row>
    <row r="687" ht="14.25" customHeight="1">
      <c r="A687" s="497">
        <v>45513.0</v>
      </c>
      <c r="B687" s="1069" t="s">
        <v>5687</v>
      </c>
      <c r="C687" s="1069" t="s">
        <v>5978</v>
      </c>
      <c r="D687" s="679" t="s">
        <v>54</v>
      </c>
      <c r="E687" s="1081" t="s">
        <v>4114</v>
      </c>
      <c r="F687" s="779">
        <v>263000.0</v>
      </c>
      <c r="G687" s="403"/>
      <c r="H687" s="349" t="s">
        <v>6423</v>
      </c>
      <c r="I687" s="736" t="str">
        <f t="shared" si="8"/>
        <v>NOT PAID</v>
      </c>
      <c r="J687" s="402"/>
      <c r="K687" s="402"/>
      <c r="L687" s="402"/>
      <c r="M687" s="402"/>
      <c r="N687" s="402"/>
      <c r="O687" s="402"/>
      <c r="P687" s="402"/>
      <c r="Q687" s="402"/>
      <c r="R687" s="402"/>
      <c r="S687" s="402"/>
      <c r="T687" s="402"/>
      <c r="U687" s="402"/>
      <c r="V687" s="402"/>
      <c r="W687" s="402"/>
      <c r="X687" s="402"/>
      <c r="Y687" s="402"/>
      <c r="Z687" s="402"/>
    </row>
    <row r="688" ht="14.25" customHeight="1">
      <c r="A688" s="497">
        <v>45513.0</v>
      </c>
      <c r="B688" s="1069" t="s">
        <v>5822</v>
      </c>
      <c r="C688" s="1069" t="s">
        <v>5823</v>
      </c>
      <c r="D688" s="679" t="s">
        <v>59</v>
      </c>
      <c r="E688" s="1081" t="s">
        <v>273</v>
      </c>
      <c r="F688" s="779">
        <v>50000.0</v>
      </c>
      <c r="G688" s="403"/>
      <c r="H688" s="402"/>
      <c r="I688" s="736" t="str">
        <f t="shared" si="8"/>
        <v>NOT PAID</v>
      </c>
      <c r="J688" s="402"/>
      <c r="K688" s="402"/>
      <c r="L688" s="402"/>
      <c r="M688" s="402"/>
      <c r="N688" s="402"/>
      <c r="O688" s="402"/>
      <c r="P688" s="402"/>
      <c r="Q688" s="402"/>
      <c r="R688" s="402"/>
      <c r="S688" s="402"/>
      <c r="T688" s="402"/>
      <c r="U688" s="402"/>
      <c r="V688" s="402"/>
      <c r="W688" s="402"/>
      <c r="X688" s="402"/>
      <c r="Y688" s="402"/>
      <c r="Z688" s="402"/>
    </row>
    <row r="689" ht="14.25" customHeight="1">
      <c r="A689" s="497">
        <v>45513.0</v>
      </c>
      <c r="B689" s="349" t="s">
        <v>5685</v>
      </c>
      <c r="C689" s="349" t="s">
        <v>6382</v>
      </c>
      <c r="D689" s="1032" t="s">
        <v>54</v>
      </c>
      <c r="E689" s="413" t="s">
        <v>2165</v>
      </c>
      <c r="F689" s="413">
        <v>100000.0</v>
      </c>
      <c r="G689" s="403"/>
      <c r="H689" s="349" t="s">
        <v>6424</v>
      </c>
      <c r="I689" s="736" t="str">
        <f t="shared" si="8"/>
        <v>NOT PAID</v>
      </c>
      <c r="J689" s="402"/>
      <c r="K689" s="402"/>
      <c r="L689" s="402"/>
      <c r="M689" s="402"/>
      <c r="N689" s="402"/>
      <c r="O689" s="402"/>
      <c r="P689" s="402"/>
      <c r="Q689" s="402"/>
      <c r="R689" s="402"/>
      <c r="S689" s="402"/>
      <c r="T689" s="402"/>
      <c r="U689" s="402"/>
      <c r="V689" s="402"/>
      <c r="W689" s="402"/>
      <c r="X689" s="402"/>
      <c r="Y689" s="402"/>
      <c r="Z689" s="402"/>
    </row>
    <row r="690" ht="14.25" customHeight="1">
      <c r="A690" s="497">
        <v>45513.0</v>
      </c>
      <c r="B690" s="349" t="s">
        <v>6425</v>
      </c>
      <c r="C690" s="349" t="s">
        <v>6426</v>
      </c>
      <c r="D690" s="1032" t="s">
        <v>1368</v>
      </c>
      <c r="E690" s="413" t="s">
        <v>273</v>
      </c>
      <c r="F690" s="413">
        <v>3000000.0</v>
      </c>
      <c r="G690" s="403"/>
      <c r="H690" s="402"/>
      <c r="I690" s="736" t="str">
        <f t="shared" si="8"/>
        <v>NOT PAID</v>
      </c>
      <c r="J690" s="402"/>
      <c r="K690" s="402"/>
      <c r="L690" s="402"/>
      <c r="M690" s="402"/>
      <c r="N690" s="402"/>
      <c r="O690" s="402"/>
      <c r="P690" s="402"/>
      <c r="Q690" s="402"/>
      <c r="R690" s="402"/>
      <c r="S690" s="402"/>
      <c r="T690" s="402"/>
      <c r="U690" s="402"/>
      <c r="V690" s="402"/>
      <c r="W690" s="402"/>
      <c r="X690" s="402"/>
      <c r="Y690" s="402"/>
      <c r="Z690" s="402"/>
    </row>
    <row r="691" ht="14.25" customHeight="1">
      <c r="A691" s="497">
        <v>45513.0</v>
      </c>
      <c r="B691" s="349" t="s">
        <v>6044</v>
      </c>
      <c r="C691" s="349" t="s">
        <v>6384</v>
      </c>
      <c r="D691" s="1032" t="s">
        <v>59</v>
      </c>
      <c r="E691" s="413" t="s">
        <v>2165</v>
      </c>
      <c r="F691" s="413">
        <v>100000.0</v>
      </c>
      <c r="G691" s="403"/>
      <c r="H691" s="349" t="s">
        <v>6385</v>
      </c>
      <c r="I691" s="736" t="str">
        <f t="shared" si="8"/>
        <v>NOT PAID</v>
      </c>
      <c r="J691" s="402"/>
      <c r="K691" s="402"/>
      <c r="L691" s="402"/>
      <c r="M691" s="402"/>
      <c r="N691" s="402"/>
      <c r="O691" s="402"/>
      <c r="P691" s="402"/>
      <c r="Q691" s="402"/>
      <c r="R691" s="402"/>
      <c r="S691" s="402"/>
      <c r="T691" s="402"/>
      <c r="U691" s="402"/>
      <c r="V691" s="402"/>
      <c r="W691" s="402"/>
      <c r="X691" s="402"/>
      <c r="Y691" s="402"/>
      <c r="Z691" s="402"/>
    </row>
    <row r="692" ht="14.25" customHeight="1">
      <c r="A692" s="402"/>
      <c r="B692" s="402"/>
      <c r="C692" s="402"/>
      <c r="D692" s="1034"/>
      <c r="E692" s="403"/>
      <c r="F692" s="403"/>
      <c r="G692" s="403"/>
      <c r="H692" s="402"/>
      <c r="I692" s="736" t="str">
        <f t="shared" si="8"/>
        <v>FULLY PAID</v>
      </c>
      <c r="J692" s="402"/>
      <c r="K692" s="402"/>
      <c r="L692" s="402"/>
      <c r="M692" s="402"/>
      <c r="N692" s="402"/>
      <c r="O692" s="402"/>
      <c r="P692" s="402"/>
      <c r="Q692" s="402"/>
      <c r="R692" s="402"/>
      <c r="S692" s="402"/>
      <c r="T692" s="402"/>
      <c r="U692" s="402"/>
      <c r="V692" s="402"/>
      <c r="W692" s="402"/>
      <c r="X692" s="402"/>
      <c r="Y692" s="402"/>
      <c r="Z692" s="402"/>
    </row>
    <row r="693" ht="14.25" customHeight="1">
      <c r="A693" s="402"/>
      <c r="B693" s="402"/>
      <c r="C693" s="402"/>
      <c r="D693" s="1034"/>
      <c r="E693" s="403"/>
      <c r="F693" s="403"/>
      <c r="G693" s="403"/>
      <c r="H693" s="402"/>
      <c r="I693" s="736" t="str">
        <f t="shared" si="8"/>
        <v>FULLY PAID</v>
      </c>
      <c r="J693" s="402"/>
      <c r="K693" s="402"/>
      <c r="L693" s="402"/>
      <c r="M693" s="402"/>
      <c r="N693" s="402"/>
      <c r="O693" s="402"/>
      <c r="P693" s="402"/>
      <c r="Q693" s="402"/>
      <c r="R693" s="402"/>
      <c r="S693" s="402"/>
      <c r="T693" s="402"/>
      <c r="U693" s="402"/>
      <c r="V693" s="402"/>
      <c r="W693" s="402"/>
      <c r="X693" s="402"/>
      <c r="Y693" s="402"/>
      <c r="Z693" s="402"/>
    </row>
    <row r="694" ht="14.25" customHeight="1">
      <c r="A694" s="497">
        <v>45514.0</v>
      </c>
      <c r="B694" s="349" t="s">
        <v>6427</v>
      </c>
      <c r="C694" s="349" t="s">
        <v>6428</v>
      </c>
      <c r="D694" s="1032" t="s">
        <v>54</v>
      </c>
      <c r="E694" s="1" t="s">
        <v>5623</v>
      </c>
      <c r="F694" s="413">
        <v>36565.51</v>
      </c>
      <c r="G694" s="403"/>
      <c r="H694" s="349" t="s">
        <v>267</v>
      </c>
      <c r="I694" s="736" t="str">
        <f t="shared" si="8"/>
        <v>NOT PAID</v>
      </c>
      <c r="J694" s="402"/>
      <c r="K694" s="402"/>
      <c r="L694" s="402"/>
      <c r="M694" s="402"/>
      <c r="N694" s="402"/>
      <c r="O694" s="402"/>
      <c r="P694" s="402"/>
      <c r="Q694" s="402"/>
      <c r="R694" s="402"/>
      <c r="S694" s="402"/>
      <c r="T694" s="402"/>
      <c r="U694" s="402"/>
      <c r="V694" s="402"/>
      <c r="W694" s="402"/>
      <c r="X694" s="402"/>
      <c r="Y694" s="402"/>
      <c r="Z694" s="402"/>
    </row>
    <row r="695" ht="14.25" customHeight="1">
      <c r="A695" s="497">
        <v>45514.0</v>
      </c>
      <c r="B695" s="349" t="s">
        <v>6429</v>
      </c>
      <c r="C695" s="349" t="s">
        <v>6430</v>
      </c>
      <c r="D695" s="1032" t="s">
        <v>54</v>
      </c>
      <c r="E695" s="2"/>
      <c r="F695" s="413">
        <v>29460.0</v>
      </c>
      <c r="G695" s="403"/>
      <c r="H695" s="402"/>
      <c r="I695" s="736" t="str">
        <f t="shared" si="8"/>
        <v>NOT PAID</v>
      </c>
      <c r="J695" s="402"/>
      <c r="K695" s="402"/>
      <c r="L695" s="402"/>
      <c r="M695" s="402"/>
      <c r="N695" s="402"/>
      <c r="O695" s="402"/>
      <c r="P695" s="402"/>
      <c r="Q695" s="402"/>
      <c r="R695" s="402"/>
      <c r="S695" s="402"/>
      <c r="T695" s="402"/>
      <c r="U695" s="402"/>
      <c r="V695" s="402"/>
      <c r="W695" s="402"/>
      <c r="X695" s="402"/>
      <c r="Y695" s="402"/>
      <c r="Z695" s="402"/>
    </row>
    <row r="696" ht="14.25" customHeight="1">
      <c r="A696" s="497">
        <v>45514.0</v>
      </c>
      <c r="B696" s="349" t="s">
        <v>6431</v>
      </c>
      <c r="C696" s="349" t="s">
        <v>6432</v>
      </c>
      <c r="D696" s="1032" t="s">
        <v>54</v>
      </c>
      <c r="E696" s="2"/>
      <c r="F696" s="413">
        <v>256667.0</v>
      </c>
      <c r="G696" s="403"/>
      <c r="H696" s="402"/>
      <c r="I696" s="736" t="str">
        <f t="shared" si="8"/>
        <v>NOT PAID</v>
      </c>
      <c r="J696" s="402"/>
      <c r="K696" s="402"/>
      <c r="L696" s="402"/>
      <c r="M696" s="402"/>
      <c r="N696" s="402"/>
      <c r="O696" s="402"/>
      <c r="P696" s="402"/>
      <c r="Q696" s="402"/>
      <c r="R696" s="402"/>
      <c r="S696" s="402"/>
      <c r="T696" s="402"/>
      <c r="U696" s="402"/>
      <c r="V696" s="402"/>
      <c r="W696" s="402"/>
      <c r="X696" s="402"/>
      <c r="Y696" s="402"/>
      <c r="Z696" s="402"/>
    </row>
    <row r="697" ht="14.25" customHeight="1">
      <c r="A697" s="497">
        <v>45514.0</v>
      </c>
      <c r="B697" s="349" t="s">
        <v>6433</v>
      </c>
      <c r="C697" s="349" t="s">
        <v>6434</v>
      </c>
      <c r="D697" s="1032" t="s">
        <v>54</v>
      </c>
      <c r="E697" s="2"/>
      <c r="F697" s="413">
        <v>21500.0</v>
      </c>
      <c r="G697" s="403"/>
      <c r="H697" s="402"/>
      <c r="I697" s="736" t="str">
        <f t="shared" si="8"/>
        <v>NOT PAID</v>
      </c>
      <c r="J697" s="402"/>
      <c r="K697" s="402"/>
      <c r="L697" s="402"/>
      <c r="M697" s="402"/>
      <c r="N697" s="402"/>
      <c r="O697" s="402"/>
      <c r="P697" s="402"/>
      <c r="Q697" s="402"/>
      <c r="R697" s="402"/>
      <c r="S697" s="402"/>
      <c r="T697" s="402"/>
      <c r="U697" s="402"/>
      <c r="V697" s="402"/>
      <c r="W697" s="402"/>
      <c r="X697" s="402"/>
      <c r="Y697" s="402"/>
      <c r="Z697" s="402"/>
    </row>
    <row r="698" ht="14.25" customHeight="1">
      <c r="A698" s="497">
        <v>45514.0</v>
      </c>
      <c r="B698" s="349" t="s">
        <v>6435</v>
      </c>
      <c r="C698" s="349" t="s">
        <v>6436</v>
      </c>
      <c r="D698" s="1032" t="s">
        <v>54</v>
      </c>
      <c r="E698" s="2"/>
      <c r="F698" s="413">
        <v>155572.0</v>
      </c>
      <c r="G698" s="403"/>
      <c r="H698" s="402"/>
      <c r="I698" s="736" t="str">
        <f t="shared" si="8"/>
        <v>NOT PAID</v>
      </c>
      <c r="J698" s="402"/>
      <c r="K698" s="402"/>
      <c r="L698" s="402"/>
      <c r="M698" s="402"/>
      <c r="N698" s="402"/>
      <c r="O698" s="402"/>
      <c r="P698" s="402"/>
      <c r="Q698" s="402"/>
      <c r="R698" s="402"/>
      <c r="S698" s="402"/>
      <c r="T698" s="402"/>
      <c r="U698" s="402"/>
      <c r="V698" s="402"/>
      <c r="W698" s="402"/>
      <c r="X698" s="402"/>
      <c r="Y698" s="402"/>
      <c r="Z698" s="402"/>
    </row>
    <row r="699" ht="14.25" customHeight="1">
      <c r="A699" s="497">
        <v>45514.0</v>
      </c>
      <c r="B699" s="349" t="s">
        <v>6437</v>
      </c>
      <c r="C699" s="349" t="s">
        <v>6438</v>
      </c>
      <c r="D699" s="1032" t="s">
        <v>75</v>
      </c>
      <c r="E699" s="2"/>
      <c r="F699" s="413">
        <v>253000.0</v>
      </c>
      <c r="G699" s="403"/>
      <c r="H699" s="402"/>
      <c r="I699" s="736" t="str">
        <f t="shared" si="8"/>
        <v>NOT PAID</v>
      </c>
      <c r="J699" s="402"/>
      <c r="K699" s="402"/>
      <c r="L699" s="402"/>
      <c r="M699" s="402"/>
      <c r="N699" s="402"/>
      <c r="O699" s="402"/>
      <c r="P699" s="402"/>
      <c r="Q699" s="402"/>
      <c r="R699" s="402"/>
      <c r="S699" s="402"/>
      <c r="T699" s="402"/>
      <c r="U699" s="402"/>
      <c r="V699" s="402"/>
      <c r="W699" s="402"/>
      <c r="X699" s="402"/>
      <c r="Y699" s="402"/>
      <c r="Z699" s="402"/>
    </row>
    <row r="700" ht="14.25" customHeight="1">
      <c r="A700" s="497">
        <v>45514.0</v>
      </c>
      <c r="B700" s="1" t="s">
        <v>5787</v>
      </c>
      <c r="C700" s="1" t="s">
        <v>5788</v>
      </c>
      <c r="D700" s="1032" t="s">
        <v>54</v>
      </c>
      <c r="E700" s="403"/>
      <c r="F700" s="413">
        <v>120000.0</v>
      </c>
      <c r="G700" s="413">
        <v>120000.0</v>
      </c>
      <c r="H700" s="402"/>
      <c r="I700" s="736" t="str">
        <f t="shared" si="8"/>
        <v>FULLY PAID</v>
      </c>
      <c r="J700" s="402"/>
      <c r="K700" s="402"/>
      <c r="L700" s="402"/>
      <c r="M700" s="402"/>
      <c r="N700" s="402"/>
      <c r="O700" s="402"/>
      <c r="P700" s="402"/>
      <c r="Q700" s="402"/>
      <c r="R700" s="402"/>
      <c r="S700" s="402"/>
      <c r="T700" s="402"/>
      <c r="U700" s="402"/>
      <c r="V700" s="402"/>
      <c r="W700" s="402"/>
      <c r="X700" s="402"/>
      <c r="Y700" s="402"/>
      <c r="Z700" s="402"/>
    </row>
    <row r="701" ht="14.25" customHeight="1">
      <c r="A701" s="497">
        <v>45514.0</v>
      </c>
      <c r="B701" s="349" t="s">
        <v>6304</v>
      </c>
      <c r="C701" s="349" t="s">
        <v>6408</v>
      </c>
      <c r="D701" s="1032" t="s">
        <v>54</v>
      </c>
      <c r="E701" s="413" t="s">
        <v>5623</v>
      </c>
      <c r="F701" s="413">
        <v>36000.0</v>
      </c>
      <c r="G701" s="403"/>
      <c r="H701" s="349" t="s">
        <v>267</v>
      </c>
      <c r="I701" s="736" t="str">
        <f t="shared" si="8"/>
        <v>NOT PAID</v>
      </c>
      <c r="J701" s="402"/>
      <c r="K701" s="402"/>
      <c r="L701" s="402"/>
      <c r="M701" s="402"/>
      <c r="N701" s="402"/>
      <c r="O701" s="402"/>
      <c r="P701" s="402"/>
      <c r="Q701" s="402"/>
      <c r="R701" s="402"/>
      <c r="S701" s="402"/>
      <c r="T701" s="402"/>
      <c r="U701" s="402"/>
      <c r="V701" s="402"/>
      <c r="W701" s="402"/>
      <c r="X701" s="402"/>
      <c r="Y701" s="402"/>
      <c r="Z701" s="402"/>
    </row>
    <row r="702" ht="14.25" customHeight="1">
      <c r="A702" s="497">
        <v>45514.0</v>
      </c>
      <c r="B702" s="349" t="s">
        <v>5984</v>
      </c>
      <c r="C702" s="349" t="s">
        <v>5985</v>
      </c>
      <c r="D702" s="1032" t="s">
        <v>54</v>
      </c>
      <c r="E702" s="413" t="s">
        <v>2165</v>
      </c>
      <c r="F702" s="413">
        <v>320000.0</v>
      </c>
      <c r="G702" s="403"/>
      <c r="H702" s="349" t="s">
        <v>6303</v>
      </c>
      <c r="I702" s="736" t="str">
        <f t="shared" si="8"/>
        <v>NOT PAID</v>
      </c>
      <c r="J702" s="402"/>
      <c r="K702" s="402"/>
      <c r="L702" s="402"/>
      <c r="M702" s="402"/>
      <c r="N702" s="402"/>
      <c r="O702" s="402"/>
      <c r="P702" s="402"/>
      <c r="Q702" s="402"/>
      <c r="R702" s="402"/>
      <c r="S702" s="402"/>
      <c r="T702" s="402"/>
      <c r="U702" s="402"/>
      <c r="V702" s="402"/>
      <c r="W702" s="402"/>
      <c r="X702" s="402"/>
      <c r="Y702" s="402"/>
      <c r="Z702" s="402"/>
    </row>
    <row r="703" ht="14.25" customHeight="1">
      <c r="A703" s="497">
        <v>45514.0</v>
      </c>
      <c r="B703" s="349" t="s">
        <v>5664</v>
      </c>
      <c r="C703" s="349" t="s">
        <v>6378</v>
      </c>
      <c r="D703" s="1032" t="s">
        <v>6379</v>
      </c>
      <c r="E703" s="413" t="s">
        <v>4114</v>
      </c>
      <c r="F703" s="413">
        <v>94000.0</v>
      </c>
      <c r="G703" s="403"/>
      <c r="H703" s="402"/>
      <c r="I703" s="736" t="str">
        <f t="shared" si="8"/>
        <v>NOT PAID</v>
      </c>
      <c r="J703" s="402"/>
      <c r="K703" s="402"/>
      <c r="L703" s="402"/>
      <c r="M703" s="402"/>
      <c r="N703" s="402"/>
      <c r="O703" s="402"/>
      <c r="P703" s="402"/>
      <c r="Q703" s="402"/>
      <c r="R703" s="402"/>
      <c r="S703" s="402"/>
      <c r="T703" s="402"/>
      <c r="U703" s="402"/>
      <c r="V703" s="402"/>
      <c r="W703" s="402"/>
      <c r="X703" s="402"/>
      <c r="Y703" s="402"/>
      <c r="Z703" s="402"/>
    </row>
    <row r="704" ht="14.25" customHeight="1">
      <c r="A704" s="497">
        <v>45514.0</v>
      </c>
      <c r="B704" s="349" t="s">
        <v>6063</v>
      </c>
      <c r="C704" s="349" t="s">
        <v>6439</v>
      </c>
      <c r="D704" s="1032" t="s">
        <v>6440</v>
      </c>
      <c r="E704" s="413" t="s">
        <v>4114</v>
      </c>
      <c r="F704" s="413">
        <v>333000.0</v>
      </c>
      <c r="G704" s="403"/>
      <c r="H704" s="402"/>
      <c r="I704" s="736" t="str">
        <f t="shared" si="8"/>
        <v>NOT PAID</v>
      </c>
      <c r="J704" s="402"/>
      <c r="K704" s="402"/>
      <c r="L704" s="402"/>
      <c r="M704" s="402"/>
      <c r="N704" s="402"/>
      <c r="O704" s="402"/>
      <c r="P704" s="402"/>
      <c r="Q704" s="402"/>
      <c r="R704" s="402"/>
      <c r="S704" s="402"/>
      <c r="T704" s="402"/>
      <c r="U704" s="402"/>
      <c r="V704" s="402"/>
      <c r="W704" s="402"/>
      <c r="X704" s="402"/>
      <c r="Y704" s="402"/>
      <c r="Z704" s="402"/>
    </row>
    <row r="705" ht="14.25" customHeight="1">
      <c r="A705" s="497">
        <v>45514.0</v>
      </c>
      <c r="B705" s="349" t="s">
        <v>5822</v>
      </c>
      <c r="C705" s="349" t="s">
        <v>5823</v>
      </c>
      <c r="D705" s="1032" t="s">
        <v>59</v>
      </c>
      <c r="E705" s="413" t="s">
        <v>273</v>
      </c>
      <c r="F705" s="413">
        <v>50000.0</v>
      </c>
      <c r="G705" s="403"/>
      <c r="H705" s="402"/>
      <c r="I705" s="736" t="str">
        <f t="shared" si="8"/>
        <v>NOT PAID</v>
      </c>
      <c r="J705" s="402"/>
      <c r="K705" s="402"/>
      <c r="L705" s="402"/>
      <c r="M705" s="402"/>
      <c r="N705" s="402"/>
      <c r="O705" s="402"/>
      <c r="P705" s="402"/>
      <c r="Q705" s="402"/>
      <c r="R705" s="402"/>
      <c r="S705" s="402"/>
      <c r="T705" s="402"/>
      <c r="U705" s="402"/>
      <c r="V705" s="402"/>
      <c r="W705" s="402"/>
      <c r="X705" s="402"/>
      <c r="Y705" s="402"/>
      <c r="Z705" s="402"/>
    </row>
    <row r="706" ht="14.25" customHeight="1">
      <c r="A706" s="497">
        <v>45514.0</v>
      </c>
      <c r="B706" s="349" t="s">
        <v>5685</v>
      </c>
      <c r="C706" s="349" t="s">
        <v>6382</v>
      </c>
      <c r="D706" s="1032" t="s">
        <v>54</v>
      </c>
      <c r="E706" s="413" t="s">
        <v>2165</v>
      </c>
      <c r="F706" s="413">
        <v>100000.0</v>
      </c>
      <c r="G706" s="403"/>
      <c r="H706" s="349" t="s">
        <v>6441</v>
      </c>
      <c r="I706" s="736" t="str">
        <f t="shared" si="8"/>
        <v>NOT PAID</v>
      </c>
      <c r="J706" s="402"/>
      <c r="K706" s="402"/>
      <c r="L706" s="402"/>
      <c r="M706" s="402"/>
      <c r="N706" s="402"/>
      <c r="O706" s="402"/>
      <c r="P706" s="402"/>
      <c r="Q706" s="402"/>
      <c r="R706" s="402"/>
      <c r="S706" s="402"/>
      <c r="T706" s="402"/>
      <c r="U706" s="402"/>
      <c r="V706" s="402"/>
      <c r="W706" s="402"/>
      <c r="X706" s="402"/>
      <c r="Y706" s="402"/>
      <c r="Z706" s="402"/>
    </row>
    <row r="707" ht="14.25" customHeight="1">
      <c r="A707" s="497">
        <v>45514.0</v>
      </c>
      <c r="B707" s="349" t="s">
        <v>6044</v>
      </c>
      <c r="C707" s="349" t="s">
        <v>6384</v>
      </c>
      <c r="D707" s="1032" t="s">
        <v>54</v>
      </c>
      <c r="E707" s="413" t="s">
        <v>2165</v>
      </c>
      <c r="F707" s="413">
        <v>100000.0</v>
      </c>
      <c r="G707" s="403"/>
      <c r="H707" s="349" t="s">
        <v>6442</v>
      </c>
      <c r="I707" s="736" t="str">
        <f t="shared" si="8"/>
        <v>NOT PAID</v>
      </c>
      <c r="J707" s="402"/>
      <c r="K707" s="402"/>
      <c r="L707" s="402"/>
      <c r="M707" s="402"/>
      <c r="N707" s="402"/>
      <c r="O707" s="402"/>
      <c r="P707" s="402"/>
      <c r="Q707" s="402"/>
      <c r="R707" s="402"/>
      <c r="S707" s="402"/>
      <c r="T707" s="402"/>
      <c r="U707" s="402"/>
      <c r="V707" s="402"/>
      <c r="W707" s="402"/>
      <c r="X707" s="402"/>
      <c r="Y707" s="402"/>
      <c r="Z707" s="402"/>
    </row>
    <row r="708" ht="14.25" customHeight="1">
      <c r="A708" s="497">
        <v>45514.0</v>
      </c>
      <c r="B708" s="349" t="s">
        <v>5853</v>
      </c>
      <c r="C708" s="349" t="s">
        <v>6443</v>
      </c>
      <c r="D708" s="1032" t="s">
        <v>54</v>
      </c>
      <c r="E708" s="413" t="s">
        <v>2165</v>
      </c>
      <c r="F708" s="413">
        <v>170000.0</v>
      </c>
      <c r="G708" s="413">
        <v>170000.0</v>
      </c>
      <c r="H708" s="349" t="s">
        <v>710</v>
      </c>
      <c r="I708" s="736" t="str">
        <f t="shared" si="8"/>
        <v>FULLY PAID</v>
      </c>
      <c r="J708" s="402"/>
      <c r="K708" s="402"/>
      <c r="L708" s="402"/>
      <c r="M708" s="402"/>
      <c r="N708" s="402"/>
      <c r="O708" s="402"/>
      <c r="P708" s="402"/>
      <c r="Q708" s="402"/>
      <c r="R708" s="402"/>
      <c r="S708" s="402"/>
      <c r="T708" s="402"/>
      <c r="U708" s="402"/>
      <c r="V708" s="402"/>
      <c r="W708" s="402"/>
      <c r="X708" s="402"/>
      <c r="Y708" s="402"/>
      <c r="Z708" s="402"/>
    </row>
    <row r="709" ht="14.25" customHeight="1">
      <c r="A709" s="497"/>
      <c r="B709" s="402"/>
      <c r="C709" s="402"/>
      <c r="D709" s="1034"/>
      <c r="E709" s="403"/>
      <c r="F709" s="403"/>
      <c r="G709" s="403"/>
      <c r="H709" s="402"/>
      <c r="I709" s="736" t="str">
        <f t="shared" si="8"/>
        <v>FULLY PAID</v>
      </c>
      <c r="J709" s="402"/>
      <c r="K709" s="402"/>
      <c r="L709" s="402"/>
      <c r="M709" s="402"/>
      <c r="N709" s="402"/>
      <c r="O709" s="402"/>
      <c r="P709" s="402"/>
      <c r="Q709" s="402"/>
      <c r="R709" s="402"/>
      <c r="S709" s="402"/>
      <c r="T709" s="402"/>
      <c r="U709" s="402"/>
      <c r="V709" s="402"/>
      <c r="W709" s="402"/>
      <c r="X709" s="402"/>
      <c r="Y709" s="402"/>
      <c r="Z709" s="402"/>
    </row>
    <row r="710" ht="14.25" customHeight="1">
      <c r="A710" s="497"/>
      <c r="B710" s="402"/>
      <c r="C710" s="402"/>
      <c r="D710" s="1034"/>
      <c r="E710" s="403"/>
      <c r="F710" s="403"/>
      <c r="G710" s="403"/>
      <c r="H710" s="402"/>
      <c r="I710" s="736" t="str">
        <f t="shared" si="8"/>
        <v>FULLY PAID</v>
      </c>
      <c r="J710" s="402"/>
      <c r="K710" s="402"/>
      <c r="L710" s="402"/>
      <c r="M710" s="402"/>
      <c r="N710" s="402"/>
      <c r="O710" s="402"/>
      <c r="P710" s="402"/>
      <c r="Q710" s="402"/>
      <c r="R710" s="402"/>
      <c r="S710" s="402"/>
      <c r="T710" s="402"/>
      <c r="U710" s="402"/>
      <c r="V710" s="402"/>
      <c r="W710" s="402"/>
      <c r="X710" s="402"/>
      <c r="Y710" s="402"/>
      <c r="Z710" s="402"/>
    </row>
    <row r="711" ht="14.25" customHeight="1">
      <c r="A711" s="497"/>
      <c r="B711" s="402"/>
      <c r="C711" s="402"/>
      <c r="D711" s="1034"/>
      <c r="E711" s="403"/>
      <c r="F711" s="403"/>
      <c r="G711" s="403"/>
      <c r="H711" s="402"/>
      <c r="I711" s="736" t="str">
        <f t="shared" si="8"/>
        <v>FULLY PAID</v>
      </c>
      <c r="J711" s="402"/>
      <c r="K711" s="402"/>
      <c r="L711" s="402"/>
      <c r="M711" s="402"/>
      <c r="N711" s="402"/>
      <c r="O711" s="402"/>
      <c r="P711" s="402"/>
      <c r="Q711" s="402"/>
      <c r="R711" s="402"/>
      <c r="S711" s="402"/>
      <c r="T711" s="402"/>
      <c r="U711" s="402"/>
      <c r="V711" s="402"/>
      <c r="W711" s="402"/>
      <c r="X711" s="402"/>
      <c r="Y711" s="402"/>
      <c r="Z711" s="402"/>
    </row>
    <row r="712" ht="14.25" customHeight="1">
      <c r="A712" s="497"/>
      <c r="B712" s="497">
        <v>45516.0</v>
      </c>
      <c r="C712" s="402"/>
      <c r="D712" s="1034"/>
      <c r="E712" s="403"/>
      <c r="F712" s="403"/>
      <c r="G712" s="403"/>
      <c r="H712" s="402"/>
      <c r="I712" s="736" t="str">
        <f t="shared" si="8"/>
        <v>FULLY PAID</v>
      </c>
      <c r="J712" s="402"/>
      <c r="K712" s="402"/>
      <c r="L712" s="402"/>
      <c r="M712" s="402"/>
      <c r="N712" s="402"/>
      <c r="O712" s="402"/>
      <c r="P712" s="402"/>
      <c r="Q712" s="402"/>
      <c r="R712" s="402"/>
      <c r="S712" s="402"/>
      <c r="T712" s="402"/>
      <c r="U712" s="402"/>
      <c r="V712" s="402"/>
      <c r="W712" s="402"/>
      <c r="X712" s="402"/>
      <c r="Y712" s="402"/>
      <c r="Z712" s="402"/>
    </row>
    <row r="713" ht="14.25" customHeight="1">
      <c r="A713" s="1057">
        <v>45516.0</v>
      </c>
      <c r="B713" s="1058" t="s">
        <v>6444</v>
      </c>
      <c r="C713" s="1058" t="s">
        <v>6445</v>
      </c>
      <c r="D713" s="1059" t="s">
        <v>54</v>
      </c>
      <c r="E713" s="1061"/>
      <c r="F713" s="1061">
        <v>13149.71</v>
      </c>
      <c r="G713" s="1060"/>
      <c r="H713" s="1062"/>
      <c r="I713" s="736" t="str">
        <f t="shared" si="8"/>
        <v>NOT PAID</v>
      </c>
      <c r="J713" s="1062"/>
      <c r="K713" s="1062"/>
      <c r="L713" s="1062"/>
      <c r="M713" s="1062"/>
      <c r="N713" s="1062"/>
      <c r="O713" s="1062"/>
      <c r="P713" s="1062"/>
      <c r="Q713" s="1062"/>
      <c r="R713" s="1062"/>
      <c r="S713" s="1062"/>
      <c r="T713" s="1062"/>
      <c r="U713" s="1062"/>
      <c r="V713" s="1062"/>
      <c r="W713" s="1062"/>
      <c r="X713" s="1062"/>
      <c r="Y713" s="1062"/>
      <c r="Z713" s="1062"/>
    </row>
    <row r="714" ht="14.25" customHeight="1">
      <c r="A714" s="1057">
        <v>45516.0</v>
      </c>
      <c r="B714" s="1058" t="s">
        <v>6446</v>
      </c>
      <c r="C714" s="1058" t="s">
        <v>6447</v>
      </c>
      <c r="D714" s="1059" t="s">
        <v>54</v>
      </c>
      <c r="E714" s="1061"/>
      <c r="F714" s="1061">
        <v>62425.95</v>
      </c>
      <c r="G714" s="1060"/>
      <c r="H714" s="1058" t="s">
        <v>2198</v>
      </c>
      <c r="I714" s="736" t="str">
        <f t="shared" si="8"/>
        <v>NOT PAID</v>
      </c>
      <c r="J714" s="1062"/>
      <c r="K714" s="1062"/>
      <c r="L714" s="1062"/>
      <c r="M714" s="1062"/>
      <c r="N714" s="1062"/>
      <c r="O714" s="1062"/>
      <c r="P714" s="1062"/>
      <c r="Q714" s="1062"/>
      <c r="R714" s="1062"/>
      <c r="S714" s="1062"/>
      <c r="T714" s="1062"/>
      <c r="U714" s="1062"/>
      <c r="V714" s="1062"/>
      <c r="W714" s="1062"/>
      <c r="X714" s="1062"/>
      <c r="Y714" s="1062"/>
      <c r="Z714" s="1062"/>
    </row>
    <row r="715" ht="14.25" customHeight="1">
      <c r="A715" s="1057">
        <v>45516.0</v>
      </c>
      <c r="B715" s="1058" t="s">
        <v>6071</v>
      </c>
      <c r="C715" s="1058" t="s">
        <v>6072</v>
      </c>
      <c r="D715" s="1059" t="s">
        <v>54</v>
      </c>
      <c r="E715" s="1061"/>
      <c r="F715" s="1061">
        <v>63095.58</v>
      </c>
      <c r="G715" s="1060"/>
      <c r="H715" s="1062"/>
      <c r="I715" s="736" t="str">
        <f t="shared" si="8"/>
        <v>NOT PAID</v>
      </c>
      <c r="J715" s="1062"/>
      <c r="K715" s="1062"/>
      <c r="L715" s="1062"/>
      <c r="M715" s="1062"/>
      <c r="N715" s="1062"/>
      <c r="O715" s="1062"/>
      <c r="P715" s="1062"/>
      <c r="Q715" s="1062"/>
      <c r="R715" s="1062"/>
      <c r="S715" s="1062"/>
      <c r="T715" s="1062"/>
      <c r="U715" s="1062"/>
      <c r="V715" s="1062"/>
      <c r="W715" s="1062"/>
      <c r="X715" s="1062"/>
      <c r="Y715" s="1062"/>
      <c r="Z715" s="1062"/>
    </row>
    <row r="716" ht="14.25" customHeight="1">
      <c r="A716" s="497">
        <v>45516.0</v>
      </c>
      <c r="B716" s="349" t="s">
        <v>6448</v>
      </c>
      <c r="C716" s="349" t="s">
        <v>6449</v>
      </c>
      <c r="D716" s="1032" t="s">
        <v>54</v>
      </c>
      <c r="E716" s="413" t="s">
        <v>5623</v>
      </c>
      <c r="F716" s="413">
        <v>23328.0</v>
      </c>
      <c r="G716" s="403"/>
      <c r="H716" s="349" t="s">
        <v>267</v>
      </c>
      <c r="I716" s="736" t="str">
        <f t="shared" si="8"/>
        <v>NOT PAID</v>
      </c>
      <c r="J716" s="402"/>
      <c r="K716" s="402"/>
      <c r="L716" s="402"/>
      <c r="M716" s="402"/>
      <c r="N716" s="402"/>
      <c r="O716" s="402"/>
      <c r="P716" s="402"/>
      <c r="Q716" s="402"/>
      <c r="R716" s="402"/>
      <c r="S716" s="402"/>
      <c r="T716" s="402"/>
      <c r="U716" s="402"/>
      <c r="V716" s="402"/>
      <c r="W716" s="402"/>
      <c r="X716" s="402"/>
      <c r="Y716" s="402"/>
      <c r="Z716" s="402"/>
    </row>
    <row r="717" ht="14.25" customHeight="1">
      <c r="A717" s="497">
        <v>45516.0</v>
      </c>
      <c r="B717" s="349" t="s">
        <v>6450</v>
      </c>
      <c r="C717" s="349" t="s">
        <v>6451</v>
      </c>
      <c r="D717" s="1032" t="s">
        <v>54</v>
      </c>
      <c r="E717" s="413" t="s">
        <v>5623</v>
      </c>
      <c r="F717" s="413">
        <v>43136.49</v>
      </c>
      <c r="G717" s="403"/>
      <c r="H717" s="349" t="s">
        <v>267</v>
      </c>
      <c r="I717" s="736" t="str">
        <f t="shared" si="8"/>
        <v>NOT PAID</v>
      </c>
      <c r="J717" s="402"/>
      <c r="K717" s="402"/>
      <c r="L717" s="402"/>
      <c r="M717" s="402"/>
      <c r="N717" s="402"/>
      <c r="O717" s="402"/>
      <c r="P717" s="402"/>
      <c r="Q717" s="402"/>
      <c r="R717" s="402"/>
      <c r="S717" s="402"/>
      <c r="T717" s="402"/>
      <c r="U717" s="402"/>
      <c r="V717" s="402"/>
      <c r="W717" s="402"/>
      <c r="X717" s="402"/>
      <c r="Y717" s="402"/>
      <c r="Z717" s="402"/>
    </row>
    <row r="718" ht="14.25" customHeight="1">
      <c r="A718" s="497">
        <v>45516.0</v>
      </c>
      <c r="B718" s="349" t="s">
        <v>6452</v>
      </c>
      <c r="C718" s="349" t="s">
        <v>6453</v>
      </c>
      <c r="D718" s="1032" t="s">
        <v>54</v>
      </c>
      <c r="E718" s="413" t="s">
        <v>5623</v>
      </c>
      <c r="F718" s="413">
        <v>599181.94</v>
      </c>
      <c r="G718" s="403"/>
      <c r="H718" s="349" t="s">
        <v>6454</v>
      </c>
      <c r="I718" s="736" t="str">
        <f t="shared" si="8"/>
        <v>NOT PAID</v>
      </c>
      <c r="J718" s="402"/>
      <c r="K718" s="402"/>
      <c r="L718" s="402"/>
      <c r="M718" s="402"/>
      <c r="N718" s="402"/>
      <c r="O718" s="402"/>
      <c r="P718" s="402"/>
      <c r="Q718" s="402"/>
      <c r="R718" s="402"/>
      <c r="S718" s="402"/>
      <c r="T718" s="402"/>
      <c r="U718" s="402"/>
      <c r="V718" s="402"/>
      <c r="W718" s="402"/>
      <c r="X718" s="402"/>
      <c r="Y718" s="402"/>
      <c r="Z718" s="402"/>
    </row>
    <row r="719" ht="14.25" customHeight="1">
      <c r="A719" s="497">
        <v>45516.0</v>
      </c>
      <c r="B719" s="349" t="s">
        <v>6455</v>
      </c>
      <c r="C719" s="349" t="s">
        <v>6456</v>
      </c>
      <c r="D719" s="1032" t="s">
        <v>54</v>
      </c>
      <c r="E719" s="413"/>
      <c r="F719" s="413">
        <v>170586.11</v>
      </c>
      <c r="G719" s="403"/>
      <c r="H719" s="402"/>
      <c r="I719" s="736" t="str">
        <f t="shared" si="8"/>
        <v>NOT PAID</v>
      </c>
      <c r="J719" s="402"/>
      <c r="K719" s="402"/>
      <c r="L719" s="402"/>
      <c r="M719" s="402"/>
      <c r="N719" s="402"/>
      <c r="O719" s="402"/>
      <c r="P719" s="402"/>
      <c r="Q719" s="402"/>
      <c r="R719" s="402"/>
      <c r="S719" s="402"/>
      <c r="T719" s="402"/>
      <c r="U719" s="402"/>
      <c r="V719" s="402"/>
      <c r="W719" s="402"/>
      <c r="X719" s="402"/>
      <c r="Y719" s="402"/>
      <c r="Z719" s="402"/>
    </row>
    <row r="720" ht="14.25" customHeight="1">
      <c r="A720" s="497">
        <v>45516.0</v>
      </c>
      <c r="B720" s="349" t="s">
        <v>6457</v>
      </c>
      <c r="C720" s="349" t="s">
        <v>6458</v>
      </c>
      <c r="D720" s="1032" t="s">
        <v>54</v>
      </c>
      <c r="E720" s="413" t="s">
        <v>5623</v>
      </c>
      <c r="F720" s="413">
        <v>59270.66</v>
      </c>
      <c r="G720" s="403"/>
      <c r="H720" s="349" t="s">
        <v>6459</v>
      </c>
      <c r="I720" s="736" t="str">
        <f t="shared" si="8"/>
        <v>NOT PAID</v>
      </c>
      <c r="J720" s="402"/>
      <c r="K720" s="402"/>
      <c r="L720" s="402"/>
      <c r="M720" s="402"/>
      <c r="N720" s="402"/>
      <c r="O720" s="402"/>
      <c r="P720" s="402"/>
      <c r="Q720" s="402"/>
      <c r="R720" s="402"/>
      <c r="S720" s="402"/>
      <c r="T720" s="402"/>
      <c r="U720" s="402"/>
      <c r="V720" s="402"/>
      <c r="W720" s="402"/>
      <c r="X720" s="402"/>
      <c r="Y720" s="402"/>
      <c r="Z720" s="402"/>
    </row>
    <row r="721" ht="14.25" customHeight="1">
      <c r="A721" s="497">
        <v>45516.0</v>
      </c>
      <c r="B721" s="349" t="s">
        <v>6460</v>
      </c>
      <c r="C721" s="349" t="s">
        <v>6461</v>
      </c>
      <c r="D721" s="1032" t="s">
        <v>54</v>
      </c>
      <c r="E721" s="413"/>
      <c r="F721" s="413">
        <v>40536.0</v>
      </c>
      <c r="G721" s="403"/>
      <c r="H721" s="402"/>
      <c r="I721" s="736" t="str">
        <f t="shared" si="8"/>
        <v>NOT PAID</v>
      </c>
      <c r="J721" s="402"/>
      <c r="K721" s="402"/>
      <c r="L721" s="402"/>
      <c r="M721" s="402"/>
      <c r="N721" s="402"/>
      <c r="O721" s="402"/>
      <c r="P721" s="402"/>
      <c r="Q721" s="402"/>
      <c r="R721" s="402"/>
      <c r="S721" s="402"/>
      <c r="T721" s="402"/>
      <c r="U721" s="402"/>
      <c r="V721" s="402"/>
      <c r="W721" s="402"/>
      <c r="X721" s="402"/>
      <c r="Y721" s="402"/>
      <c r="Z721" s="402"/>
    </row>
    <row r="722" ht="14.25" customHeight="1">
      <c r="A722" s="497">
        <v>45516.0</v>
      </c>
      <c r="B722" s="349" t="s">
        <v>6462</v>
      </c>
      <c r="C722" s="349" t="s">
        <v>6463</v>
      </c>
      <c r="D722" s="1032" t="s">
        <v>75</v>
      </c>
      <c r="E722" s="413" t="s">
        <v>5694</v>
      </c>
      <c r="F722" s="413">
        <v>716154.0</v>
      </c>
      <c r="G722" s="403"/>
      <c r="H722" s="349" t="s">
        <v>6464</v>
      </c>
      <c r="I722" s="736" t="str">
        <f t="shared" si="8"/>
        <v>NOT PAID</v>
      </c>
      <c r="J722" s="402"/>
      <c r="K722" s="402"/>
      <c r="L722" s="402"/>
      <c r="M722" s="402"/>
      <c r="N722" s="402"/>
      <c r="O722" s="402"/>
      <c r="P722" s="402"/>
      <c r="Q722" s="402"/>
      <c r="R722" s="402"/>
      <c r="S722" s="402"/>
      <c r="T722" s="402"/>
      <c r="U722" s="402"/>
      <c r="V722" s="402"/>
      <c r="W722" s="402"/>
      <c r="X722" s="402"/>
      <c r="Y722" s="402"/>
      <c r="Z722" s="402"/>
    </row>
    <row r="723" ht="14.25" customHeight="1">
      <c r="A723" s="497">
        <v>45516.0</v>
      </c>
      <c r="B723" s="349" t="s">
        <v>6465</v>
      </c>
      <c r="C723" s="349" t="s">
        <v>6466</v>
      </c>
      <c r="D723" s="1032" t="s">
        <v>54</v>
      </c>
      <c r="E723" s="413"/>
      <c r="F723" s="413">
        <v>18347.0</v>
      </c>
      <c r="G723" s="413">
        <v>18347.0</v>
      </c>
      <c r="H723" s="349" t="s">
        <v>267</v>
      </c>
      <c r="I723" s="736" t="str">
        <f t="shared" si="8"/>
        <v>FULLY PAID</v>
      </c>
      <c r="J723" s="402"/>
      <c r="K723" s="402"/>
      <c r="L723" s="402"/>
      <c r="M723" s="402"/>
      <c r="N723" s="402"/>
      <c r="O723" s="402"/>
      <c r="P723" s="402"/>
      <c r="Q723" s="402"/>
      <c r="R723" s="402"/>
      <c r="S723" s="402"/>
      <c r="T723" s="402"/>
      <c r="U723" s="402"/>
      <c r="V723" s="402"/>
      <c r="W723" s="402"/>
      <c r="X723" s="402"/>
      <c r="Y723" s="402"/>
      <c r="Z723" s="402"/>
    </row>
    <row r="724" ht="14.25" customHeight="1">
      <c r="A724" s="497">
        <v>45516.0</v>
      </c>
      <c r="B724" s="349" t="s">
        <v>6467</v>
      </c>
      <c r="C724" s="349" t="s">
        <v>6468</v>
      </c>
      <c r="D724" s="1032" t="s">
        <v>54</v>
      </c>
      <c r="E724" s="413"/>
      <c r="F724" s="413">
        <v>17917.0</v>
      </c>
      <c r="G724" s="413">
        <v>17917.0</v>
      </c>
      <c r="H724" s="349" t="s">
        <v>2198</v>
      </c>
      <c r="I724" s="736" t="str">
        <f t="shared" si="8"/>
        <v>FULLY PAID</v>
      </c>
      <c r="J724" s="402"/>
      <c r="K724" s="402"/>
      <c r="L724" s="402"/>
      <c r="M724" s="402"/>
      <c r="N724" s="402"/>
      <c r="O724" s="402"/>
      <c r="P724" s="402"/>
      <c r="Q724" s="402"/>
      <c r="R724" s="402"/>
      <c r="S724" s="402"/>
      <c r="T724" s="402"/>
      <c r="U724" s="402"/>
      <c r="V724" s="402"/>
      <c r="W724" s="402"/>
      <c r="X724" s="402"/>
      <c r="Y724" s="402"/>
      <c r="Z724" s="402"/>
    </row>
    <row r="725" ht="14.25" customHeight="1">
      <c r="A725" s="497">
        <v>45516.0</v>
      </c>
      <c r="B725" s="349" t="s">
        <v>6469</v>
      </c>
      <c r="C725" s="349" t="s">
        <v>6470</v>
      </c>
      <c r="D725" s="1032" t="s">
        <v>54</v>
      </c>
      <c r="E725" s="413" t="s">
        <v>5623</v>
      </c>
      <c r="F725" s="413">
        <v>55177.93</v>
      </c>
      <c r="G725" s="403"/>
      <c r="H725" s="349" t="s">
        <v>6471</v>
      </c>
      <c r="I725" s="736" t="str">
        <f t="shared" si="8"/>
        <v>NOT PAID</v>
      </c>
      <c r="J725" s="402"/>
      <c r="K725" s="402"/>
      <c r="L725" s="402"/>
      <c r="M725" s="402"/>
      <c r="N725" s="402"/>
      <c r="O725" s="402"/>
      <c r="P725" s="402"/>
      <c r="Q725" s="402"/>
      <c r="R725" s="402"/>
      <c r="S725" s="402"/>
      <c r="T725" s="402"/>
      <c r="U725" s="402"/>
      <c r="V725" s="402"/>
      <c r="W725" s="402"/>
      <c r="X725" s="402"/>
      <c r="Y725" s="402"/>
      <c r="Z725" s="402"/>
    </row>
    <row r="726" ht="14.25" customHeight="1">
      <c r="A726" s="497">
        <v>45516.0</v>
      </c>
      <c r="B726" s="349" t="s">
        <v>6472</v>
      </c>
      <c r="C726" s="349" t="s">
        <v>5724</v>
      </c>
      <c r="D726" s="1032" t="s">
        <v>54</v>
      </c>
      <c r="E726" s="413" t="s">
        <v>5623</v>
      </c>
      <c r="F726" s="413">
        <v>26298.41</v>
      </c>
      <c r="G726" s="403"/>
      <c r="H726" s="349" t="s">
        <v>6473</v>
      </c>
      <c r="I726" s="736" t="str">
        <f t="shared" si="8"/>
        <v>NOT PAID</v>
      </c>
      <c r="J726" s="402"/>
      <c r="K726" s="402"/>
      <c r="L726" s="402"/>
      <c r="M726" s="402"/>
      <c r="N726" s="402"/>
      <c r="O726" s="402"/>
      <c r="P726" s="402"/>
      <c r="Q726" s="402"/>
      <c r="R726" s="402"/>
      <c r="S726" s="402"/>
      <c r="T726" s="402"/>
      <c r="U726" s="402"/>
      <c r="V726" s="402"/>
      <c r="W726" s="402"/>
      <c r="X726" s="402"/>
      <c r="Y726" s="402"/>
      <c r="Z726" s="402"/>
    </row>
    <row r="727" ht="14.25" customHeight="1">
      <c r="A727" s="497">
        <v>45516.0</v>
      </c>
      <c r="B727" s="349" t="s">
        <v>6474</v>
      </c>
      <c r="C727" s="349" t="s">
        <v>6475</v>
      </c>
      <c r="D727" s="1032" t="s">
        <v>54</v>
      </c>
      <c r="E727" s="413" t="s">
        <v>5623</v>
      </c>
      <c r="F727" s="413">
        <v>43351.73</v>
      </c>
      <c r="G727" s="403"/>
      <c r="H727" s="349" t="s">
        <v>6476</v>
      </c>
      <c r="I727" s="736" t="str">
        <f t="shared" si="8"/>
        <v>NOT PAID</v>
      </c>
      <c r="J727" s="402"/>
      <c r="K727" s="402"/>
      <c r="L727" s="402"/>
      <c r="M727" s="402"/>
      <c r="N727" s="402"/>
      <c r="O727" s="402"/>
      <c r="P727" s="402"/>
      <c r="Q727" s="402"/>
      <c r="R727" s="402"/>
      <c r="S727" s="402"/>
      <c r="T727" s="402"/>
      <c r="U727" s="402"/>
      <c r="V727" s="402"/>
      <c r="W727" s="402"/>
      <c r="X727" s="402"/>
      <c r="Y727" s="402"/>
      <c r="Z727" s="402"/>
    </row>
    <row r="728" ht="14.25" customHeight="1">
      <c r="A728" s="497">
        <v>45516.0</v>
      </c>
      <c r="B728" s="349" t="s">
        <v>6477</v>
      </c>
      <c r="C728" s="349" t="s">
        <v>6478</v>
      </c>
      <c r="D728" s="1032" t="s">
        <v>54</v>
      </c>
      <c r="E728" s="413"/>
      <c r="F728" s="413">
        <v>52886.01</v>
      </c>
      <c r="G728" s="403"/>
      <c r="H728" s="402"/>
      <c r="I728" s="736" t="str">
        <f t="shared" si="8"/>
        <v>NOT PAID</v>
      </c>
      <c r="J728" s="402"/>
      <c r="K728" s="402"/>
      <c r="L728" s="402"/>
      <c r="M728" s="402"/>
      <c r="N728" s="402"/>
      <c r="O728" s="402"/>
      <c r="P728" s="402"/>
      <c r="Q728" s="402"/>
      <c r="R728" s="402"/>
      <c r="S728" s="402"/>
      <c r="T728" s="402"/>
      <c r="U728" s="402"/>
      <c r="V728" s="402"/>
      <c r="W728" s="402"/>
      <c r="X728" s="402"/>
      <c r="Y728" s="402"/>
      <c r="Z728" s="402"/>
    </row>
    <row r="729" ht="14.25" customHeight="1">
      <c r="A729" s="497">
        <v>45516.0</v>
      </c>
      <c r="B729" s="349" t="s">
        <v>6479</v>
      </c>
      <c r="C729" s="349" t="s">
        <v>6480</v>
      </c>
      <c r="D729" s="1032" t="s">
        <v>54</v>
      </c>
      <c r="E729" s="413" t="s">
        <v>5694</v>
      </c>
      <c r="F729" s="413">
        <v>19148.62</v>
      </c>
      <c r="G729" s="413">
        <v>37625.0</v>
      </c>
      <c r="H729" s="349" t="s">
        <v>267</v>
      </c>
      <c r="I729" s="736" t="str">
        <f t="shared" si="8"/>
        <v>FULLY PAID</v>
      </c>
      <c r="J729" s="402"/>
      <c r="K729" s="402"/>
      <c r="L729" s="402"/>
      <c r="M729" s="402"/>
      <c r="N729" s="402"/>
      <c r="O729" s="402"/>
      <c r="P729" s="402"/>
      <c r="Q729" s="402"/>
      <c r="R729" s="402"/>
      <c r="S729" s="402"/>
      <c r="T729" s="402"/>
      <c r="U729" s="402"/>
      <c r="V729" s="402"/>
      <c r="W729" s="402"/>
      <c r="X729" s="402"/>
      <c r="Y729" s="402"/>
      <c r="Z729" s="402"/>
    </row>
    <row r="730" ht="14.25" customHeight="1">
      <c r="A730" s="497">
        <v>45516.0</v>
      </c>
      <c r="B730" s="349" t="s">
        <v>6481</v>
      </c>
      <c r="C730" s="349" t="s">
        <v>6482</v>
      </c>
      <c r="D730" s="1032" t="s">
        <v>54</v>
      </c>
      <c r="E730" s="413" t="s">
        <v>5623</v>
      </c>
      <c r="F730" s="413">
        <v>14637.68</v>
      </c>
      <c r="G730" s="403"/>
      <c r="H730" s="349" t="s">
        <v>6483</v>
      </c>
      <c r="I730" s="736" t="str">
        <f t="shared" si="8"/>
        <v>NOT PAID</v>
      </c>
      <c r="J730" s="402"/>
      <c r="K730" s="402"/>
      <c r="L730" s="402"/>
      <c r="M730" s="402"/>
      <c r="N730" s="402"/>
      <c r="O730" s="402"/>
      <c r="P730" s="402"/>
      <c r="Q730" s="402"/>
      <c r="R730" s="402"/>
      <c r="S730" s="402"/>
      <c r="T730" s="402"/>
      <c r="U730" s="402"/>
      <c r="V730" s="402"/>
      <c r="W730" s="402"/>
      <c r="X730" s="402"/>
      <c r="Y730" s="402"/>
      <c r="Z730" s="402"/>
    </row>
    <row r="731" ht="14.25" customHeight="1">
      <c r="A731" s="497">
        <v>45516.0</v>
      </c>
      <c r="B731" s="349" t="s">
        <v>6484</v>
      </c>
      <c r="C731" s="349" t="s">
        <v>5916</v>
      </c>
      <c r="D731" s="1032" t="s">
        <v>54</v>
      </c>
      <c r="E731" s="413" t="s">
        <v>5623</v>
      </c>
      <c r="F731" s="413">
        <v>36150.58</v>
      </c>
      <c r="G731" s="413">
        <v>45300.0</v>
      </c>
      <c r="H731" s="349" t="s">
        <v>267</v>
      </c>
      <c r="I731" s="736" t="str">
        <f t="shared" si="8"/>
        <v>FULLY PAID</v>
      </c>
      <c r="J731" s="402"/>
      <c r="K731" s="402"/>
      <c r="L731" s="402"/>
      <c r="M731" s="402"/>
      <c r="N731" s="402"/>
      <c r="O731" s="402"/>
      <c r="P731" s="402"/>
      <c r="Q731" s="402"/>
      <c r="R731" s="402"/>
      <c r="S731" s="402"/>
      <c r="T731" s="402"/>
      <c r="U731" s="402"/>
      <c r="V731" s="402"/>
      <c r="W731" s="402"/>
      <c r="X731" s="402"/>
      <c r="Y731" s="402"/>
      <c r="Z731" s="402"/>
    </row>
    <row r="732" ht="14.25" customHeight="1">
      <c r="A732" s="497">
        <v>45516.0</v>
      </c>
      <c r="B732" s="349" t="s">
        <v>6090</v>
      </c>
      <c r="C732" s="349" t="s">
        <v>6485</v>
      </c>
      <c r="D732" s="1032" t="s">
        <v>54</v>
      </c>
      <c r="E732" s="413" t="s">
        <v>5623</v>
      </c>
      <c r="F732" s="413">
        <v>101424.46</v>
      </c>
      <c r="G732" s="403"/>
      <c r="H732" s="349" t="s">
        <v>6486</v>
      </c>
      <c r="I732" s="736" t="str">
        <f t="shared" si="8"/>
        <v>NOT PAID</v>
      </c>
      <c r="J732" s="402"/>
      <c r="K732" s="402"/>
      <c r="L732" s="402"/>
      <c r="M732" s="402"/>
      <c r="N732" s="402"/>
      <c r="O732" s="402"/>
      <c r="P732" s="402"/>
      <c r="Q732" s="402"/>
      <c r="R732" s="402"/>
      <c r="S732" s="402"/>
      <c r="T732" s="402"/>
      <c r="U732" s="402"/>
      <c r="V732" s="402"/>
      <c r="W732" s="402"/>
      <c r="X732" s="402"/>
      <c r="Y732" s="402"/>
      <c r="Z732" s="402"/>
    </row>
    <row r="733" ht="14.25" customHeight="1">
      <c r="A733" s="497">
        <v>45516.0</v>
      </c>
      <c r="B733" s="349" t="s">
        <v>6487</v>
      </c>
      <c r="C733" s="349" t="s">
        <v>5796</v>
      </c>
      <c r="D733" s="1032" t="s">
        <v>54</v>
      </c>
      <c r="E733" s="413"/>
      <c r="F733" s="413">
        <v>13937.75</v>
      </c>
      <c r="G733" s="403"/>
      <c r="H733" s="402"/>
      <c r="I733" s="736" t="str">
        <f t="shared" si="8"/>
        <v>NOT PAID</v>
      </c>
      <c r="J733" s="402"/>
      <c r="K733" s="402"/>
      <c r="L733" s="402"/>
      <c r="M733" s="402"/>
      <c r="N733" s="402"/>
      <c r="O733" s="402"/>
      <c r="P733" s="402"/>
      <c r="Q733" s="402"/>
      <c r="R733" s="402"/>
      <c r="S733" s="402"/>
      <c r="T733" s="402"/>
      <c r="U733" s="402"/>
      <c r="V733" s="402"/>
      <c r="W733" s="402"/>
      <c r="X733" s="402"/>
      <c r="Y733" s="402"/>
      <c r="Z733" s="402"/>
    </row>
    <row r="734" ht="14.25" customHeight="1">
      <c r="A734" s="497">
        <v>45516.0</v>
      </c>
      <c r="B734" s="349" t="s">
        <v>6488</v>
      </c>
      <c r="C734" s="349" t="s">
        <v>6489</v>
      </c>
      <c r="D734" s="1032" t="s">
        <v>54</v>
      </c>
      <c r="E734" s="413" t="s">
        <v>5694</v>
      </c>
      <c r="F734" s="413">
        <v>16483.0</v>
      </c>
      <c r="G734" s="413">
        <v>19500.0</v>
      </c>
      <c r="H734" s="349" t="s">
        <v>6490</v>
      </c>
      <c r="I734" s="736" t="str">
        <f t="shared" si="8"/>
        <v>FULLY PAID</v>
      </c>
      <c r="J734" s="402"/>
      <c r="K734" s="402"/>
      <c r="L734" s="402"/>
      <c r="M734" s="402"/>
      <c r="N734" s="402"/>
      <c r="O734" s="402"/>
      <c r="P734" s="402"/>
      <c r="Q734" s="402"/>
      <c r="R734" s="402"/>
      <c r="S734" s="402"/>
      <c r="T734" s="402"/>
      <c r="U734" s="402"/>
      <c r="V734" s="402"/>
      <c r="W734" s="402"/>
      <c r="X734" s="402"/>
      <c r="Y734" s="402"/>
      <c r="Z734" s="402"/>
    </row>
    <row r="735" ht="14.25" customHeight="1">
      <c r="A735" s="497">
        <v>45516.0</v>
      </c>
      <c r="B735" s="349" t="s">
        <v>6491</v>
      </c>
      <c r="C735" s="349" t="s">
        <v>6492</v>
      </c>
      <c r="D735" s="1032" t="s">
        <v>75</v>
      </c>
      <c r="E735" s="413"/>
      <c r="F735" s="413">
        <v>57500.0</v>
      </c>
      <c r="G735" s="403"/>
      <c r="H735" s="349" t="s">
        <v>6464</v>
      </c>
      <c r="I735" s="736" t="str">
        <f t="shared" si="8"/>
        <v>NOT PAID</v>
      </c>
      <c r="J735" s="402"/>
      <c r="K735" s="402"/>
      <c r="L735" s="402"/>
      <c r="M735" s="402"/>
      <c r="N735" s="402"/>
      <c r="O735" s="402"/>
      <c r="P735" s="402"/>
      <c r="Q735" s="402"/>
      <c r="R735" s="402"/>
      <c r="S735" s="402"/>
      <c r="T735" s="402"/>
      <c r="U735" s="402"/>
      <c r="V735" s="402"/>
      <c r="W735" s="402"/>
      <c r="X735" s="402"/>
      <c r="Y735" s="402"/>
      <c r="Z735" s="402"/>
    </row>
    <row r="736" ht="14.25" customHeight="1">
      <c r="A736" s="497">
        <v>45516.0</v>
      </c>
      <c r="B736" s="349" t="s">
        <v>6493</v>
      </c>
      <c r="C736" s="349" t="s">
        <v>6494</v>
      </c>
      <c r="D736" s="1032" t="s">
        <v>54</v>
      </c>
      <c r="E736" s="413" t="s">
        <v>5694</v>
      </c>
      <c r="F736" s="413">
        <v>42613.0</v>
      </c>
      <c r="G736" s="413">
        <v>42614.0</v>
      </c>
      <c r="H736" s="349" t="s">
        <v>267</v>
      </c>
      <c r="I736" s="736" t="str">
        <f t="shared" si="8"/>
        <v>FULLY PAID</v>
      </c>
      <c r="J736" s="402"/>
      <c r="K736" s="402"/>
      <c r="L736" s="402"/>
      <c r="M736" s="402"/>
      <c r="N736" s="402"/>
      <c r="O736" s="402"/>
      <c r="P736" s="402"/>
      <c r="Q736" s="402"/>
      <c r="R736" s="402"/>
      <c r="S736" s="402"/>
      <c r="T736" s="402"/>
      <c r="U736" s="402"/>
      <c r="V736" s="402"/>
      <c r="W736" s="402"/>
      <c r="X736" s="402"/>
      <c r="Y736" s="402"/>
      <c r="Z736" s="402"/>
    </row>
    <row r="737" ht="14.25" customHeight="1">
      <c r="A737" s="497">
        <v>45516.0</v>
      </c>
      <c r="B737" s="349" t="s">
        <v>5948</v>
      </c>
      <c r="C737" s="349" t="s">
        <v>5949</v>
      </c>
      <c r="D737" s="1032" t="s">
        <v>54</v>
      </c>
      <c r="E737" s="413" t="s">
        <v>5623</v>
      </c>
      <c r="F737" s="413">
        <v>118073.0</v>
      </c>
      <c r="G737" s="403"/>
      <c r="H737" s="349" t="s">
        <v>6495</v>
      </c>
      <c r="I737" s="736" t="str">
        <f t="shared" si="8"/>
        <v>NOT PAID</v>
      </c>
      <c r="J737" s="402"/>
      <c r="K737" s="402"/>
      <c r="L737" s="402"/>
      <c r="M737" s="402"/>
      <c r="N737" s="402"/>
      <c r="O737" s="402"/>
      <c r="P737" s="402"/>
      <c r="Q737" s="402"/>
      <c r="R737" s="402"/>
      <c r="S737" s="402"/>
      <c r="T737" s="402"/>
      <c r="U737" s="402"/>
      <c r="V737" s="402"/>
      <c r="W737" s="402"/>
      <c r="X737" s="402"/>
      <c r="Y737" s="402"/>
      <c r="Z737" s="402"/>
    </row>
    <row r="738" ht="14.25" customHeight="1">
      <c r="A738" s="497">
        <v>45516.0</v>
      </c>
      <c r="B738" s="455" t="s">
        <v>6437</v>
      </c>
      <c r="C738" s="709" t="s">
        <v>6438</v>
      </c>
      <c r="D738" s="1082" t="s">
        <v>75</v>
      </c>
      <c r="F738" s="1082">
        <v>265650.0</v>
      </c>
      <c r="G738" s="1082">
        <v>265650.0</v>
      </c>
      <c r="H738" s="65" t="s">
        <v>267</v>
      </c>
      <c r="I738" s="736" t="str">
        <f t="shared" si="8"/>
        <v>FULLY PAID</v>
      </c>
      <c r="J738" s="402"/>
      <c r="K738" s="402"/>
      <c r="L738" s="402"/>
      <c r="M738" s="402"/>
      <c r="N738" s="402"/>
      <c r="O738" s="402"/>
      <c r="P738" s="402"/>
      <c r="Q738" s="402"/>
      <c r="R738" s="402"/>
      <c r="S738" s="402"/>
      <c r="T738" s="402"/>
      <c r="U738" s="402"/>
      <c r="V738" s="402"/>
      <c r="W738" s="402"/>
      <c r="X738" s="402"/>
      <c r="Y738" s="402"/>
      <c r="Z738" s="402"/>
    </row>
    <row r="739" ht="14.25" customHeight="1">
      <c r="A739" s="497">
        <v>45516.0</v>
      </c>
      <c r="B739" s="349" t="s">
        <v>6435</v>
      </c>
      <c r="C739" s="349" t="s">
        <v>6436</v>
      </c>
      <c r="D739" s="1032" t="s">
        <v>54</v>
      </c>
      <c r="E739" s="403"/>
      <c r="F739" s="413">
        <v>156000.0</v>
      </c>
      <c r="G739" s="403"/>
      <c r="H739" s="402"/>
      <c r="I739" s="736" t="str">
        <f t="shared" si="8"/>
        <v>NOT PAID</v>
      </c>
      <c r="J739" s="402"/>
      <c r="K739" s="402"/>
      <c r="L739" s="402"/>
      <c r="M739" s="402"/>
      <c r="N739" s="402"/>
      <c r="O739" s="402"/>
      <c r="P739" s="402"/>
      <c r="Q739" s="402"/>
      <c r="R739" s="402"/>
      <c r="S739" s="402"/>
      <c r="T739" s="402"/>
      <c r="U739" s="402"/>
      <c r="V739" s="402"/>
      <c r="W739" s="402"/>
      <c r="X739" s="402"/>
      <c r="Y739" s="402"/>
      <c r="Z739" s="402"/>
    </row>
    <row r="740" ht="14.25" customHeight="1">
      <c r="A740" s="497">
        <v>45516.0</v>
      </c>
      <c r="B740" s="569" t="s">
        <v>5984</v>
      </c>
      <c r="C740" s="555" t="s">
        <v>5985</v>
      </c>
      <c r="D740" s="470" t="s">
        <v>54</v>
      </c>
      <c r="E740" s="571" t="s">
        <v>2165</v>
      </c>
      <c r="F740" s="570">
        <v>320000.0</v>
      </c>
      <c r="G740" s="571"/>
      <c r="H740" s="349" t="s">
        <v>6496</v>
      </c>
      <c r="I740" s="736" t="str">
        <f t="shared" si="8"/>
        <v>NOT PAID</v>
      </c>
      <c r="J740" s="402"/>
      <c r="K740" s="402"/>
      <c r="L740" s="402"/>
      <c r="M740" s="402"/>
      <c r="N740" s="402"/>
      <c r="O740" s="402"/>
      <c r="P740" s="402"/>
      <c r="Q740" s="402"/>
      <c r="R740" s="402"/>
      <c r="S740" s="402"/>
      <c r="T740" s="402"/>
      <c r="U740" s="402"/>
      <c r="V740" s="402"/>
      <c r="W740" s="402"/>
      <c r="X740" s="402"/>
      <c r="Y740" s="402"/>
      <c r="Z740" s="402"/>
    </row>
    <row r="741" ht="14.25" customHeight="1">
      <c r="A741" s="497">
        <v>45516.0</v>
      </c>
      <c r="B741" s="456" t="s">
        <v>6190</v>
      </c>
      <c r="C741" s="395" t="s">
        <v>6497</v>
      </c>
      <c r="D741" s="475" t="s">
        <v>6440</v>
      </c>
      <c r="E741" s="475" t="s">
        <v>4114</v>
      </c>
      <c r="F741" s="666">
        <v>65000.0</v>
      </c>
      <c r="G741" s="475"/>
      <c r="H741" s="402"/>
      <c r="I741" s="736" t="str">
        <f t="shared" si="8"/>
        <v>NOT PAID</v>
      </c>
      <c r="J741" s="402"/>
      <c r="K741" s="402"/>
      <c r="L741" s="402"/>
      <c r="M741" s="402"/>
      <c r="N741" s="402"/>
      <c r="O741" s="402"/>
      <c r="P741" s="402"/>
      <c r="Q741" s="402"/>
      <c r="R741" s="402"/>
      <c r="S741" s="402"/>
      <c r="T741" s="402"/>
      <c r="U741" s="402"/>
      <c r="V741" s="402"/>
      <c r="W741" s="402"/>
      <c r="X741" s="402"/>
      <c r="Y741" s="402"/>
      <c r="Z741" s="402"/>
    </row>
    <row r="742" ht="14.25" customHeight="1">
      <c r="A742" s="497">
        <v>45516.0</v>
      </c>
      <c r="B742" s="456" t="s">
        <v>5628</v>
      </c>
      <c r="C742" s="395" t="s">
        <v>6498</v>
      </c>
      <c r="D742" s="475" t="s">
        <v>54</v>
      </c>
      <c r="E742" s="475" t="s">
        <v>4114</v>
      </c>
      <c r="F742" s="666">
        <v>42000.0</v>
      </c>
      <c r="G742" s="475"/>
      <c r="H742" s="402"/>
      <c r="I742" s="736" t="str">
        <f t="shared" si="8"/>
        <v>NOT PAID</v>
      </c>
      <c r="J742" s="402"/>
      <c r="K742" s="402"/>
      <c r="L742" s="402"/>
      <c r="M742" s="402"/>
      <c r="N742" s="402"/>
      <c r="O742" s="402"/>
      <c r="P742" s="402"/>
      <c r="Q742" s="402"/>
      <c r="R742" s="402"/>
      <c r="S742" s="402"/>
      <c r="T742" s="402"/>
      <c r="U742" s="402"/>
      <c r="V742" s="402"/>
      <c r="W742" s="402"/>
      <c r="X742" s="402"/>
      <c r="Y742" s="402"/>
      <c r="Z742" s="402"/>
    </row>
    <row r="743" ht="14.25" customHeight="1">
      <c r="A743" s="497">
        <v>45516.0</v>
      </c>
      <c r="B743" s="456" t="s">
        <v>5687</v>
      </c>
      <c r="C743" s="395" t="s">
        <v>5978</v>
      </c>
      <c r="D743" s="475" t="s">
        <v>54</v>
      </c>
      <c r="E743" s="475" t="s">
        <v>4114</v>
      </c>
      <c r="F743" s="666">
        <v>100000.0</v>
      </c>
      <c r="G743" s="475"/>
      <c r="H743" s="402"/>
      <c r="I743" s="736" t="str">
        <f t="shared" si="8"/>
        <v>NOT PAID</v>
      </c>
      <c r="J743" s="402"/>
      <c r="K743" s="402"/>
      <c r="L743" s="402"/>
      <c r="M743" s="402"/>
      <c r="N743" s="402"/>
      <c r="O743" s="402"/>
      <c r="P743" s="402"/>
      <c r="Q743" s="402"/>
      <c r="R743" s="402"/>
      <c r="S743" s="402"/>
      <c r="T743" s="402"/>
      <c r="U743" s="402"/>
      <c r="V743" s="402"/>
      <c r="W743" s="402"/>
      <c r="X743" s="402"/>
      <c r="Y743" s="402"/>
      <c r="Z743" s="402"/>
    </row>
    <row r="744" ht="14.25" customHeight="1">
      <c r="A744" s="497">
        <v>45516.0</v>
      </c>
      <c r="B744" s="458" t="s">
        <v>5822</v>
      </c>
      <c r="C744" s="398" t="s">
        <v>5823</v>
      </c>
      <c r="D744" s="355" t="s">
        <v>59</v>
      </c>
      <c r="E744" s="475" t="s">
        <v>273</v>
      </c>
      <c r="F744" s="795">
        <v>50000.0</v>
      </c>
      <c r="G744" s="475"/>
      <c r="H744" s="402"/>
      <c r="I744" s="736" t="str">
        <f t="shared" si="8"/>
        <v>NOT PAID</v>
      </c>
      <c r="J744" s="402"/>
      <c r="K744" s="402"/>
      <c r="L744" s="402"/>
      <c r="M744" s="402"/>
      <c r="N744" s="402"/>
      <c r="O744" s="402"/>
      <c r="P744" s="402"/>
      <c r="Q744" s="402"/>
      <c r="R744" s="402"/>
      <c r="S744" s="402"/>
      <c r="T744" s="402"/>
      <c r="U744" s="402"/>
      <c r="V744" s="402"/>
      <c r="W744" s="402"/>
      <c r="X744" s="402"/>
      <c r="Y744" s="402"/>
      <c r="Z744" s="402"/>
    </row>
    <row r="745" ht="14.25" customHeight="1">
      <c r="A745" s="497">
        <v>45516.0</v>
      </c>
      <c r="B745" s="458" t="s">
        <v>5685</v>
      </c>
      <c r="C745" s="398" t="s">
        <v>6382</v>
      </c>
      <c r="D745" s="475" t="s">
        <v>54</v>
      </c>
      <c r="E745" s="355" t="s">
        <v>2165</v>
      </c>
      <c r="F745" s="795">
        <v>100000.0</v>
      </c>
      <c r="G745" s="355"/>
      <c r="H745" s="349" t="s">
        <v>6424</v>
      </c>
      <c r="I745" s="736" t="str">
        <f t="shared" si="8"/>
        <v>NOT PAID</v>
      </c>
      <c r="J745" s="402"/>
      <c r="K745" s="402"/>
      <c r="L745" s="402"/>
      <c r="M745" s="402"/>
      <c r="N745" s="402"/>
      <c r="O745" s="402"/>
      <c r="P745" s="402"/>
      <c r="Q745" s="402"/>
      <c r="R745" s="402"/>
      <c r="S745" s="402"/>
      <c r="T745" s="402"/>
      <c r="U745" s="402"/>
      <c r="V745" s="402"/>
      <c r="W745" s="402"/>
      <c r="X745" s="402"/>
      <c r="Y745" s="402"/>
      <c r="Z745" s="402"/>
    </row>
    <row r="746" ht="14.25" customHeight="1">
      <c r="A746" s="497">
        <v>45516.0</v>
      </c>
      <c r="B746" s="458" t="s">
        <v>6044</v>
      </c>
      <c r="C746" s="398" t="s">
        <v>6384</v>
      </c>
      <c r="D746" s="475" t="s">
        <v>54</v>
      </c>
      <c r="E746" s="355" t="s">
        <v>2165</v>
      </c>
      <c r="F746" s="795">
        <v>120000.0</v>
      </c>
      <c r="G746" s="355"/>
      <c r="H746" s="349" t="s">
        <v>6385</v>
      </c>
      <c r="I746" s="736" t="str">
        <f t="shared" si="8"/>
        <v>NOT PAID</v>
      </c>
      <c r="J746" s="402"/>
      <c r="K746" s="402"/>
      <c r="L746" s="402"/>
      <c r="M746" s="402"/>
      <c r="N746" s="402"/>
      <c r="O746" s="402"/>
      <c r="P746" s="402"/>
      <c r="Q746" s="402"/>
      <c r="R746" s="402"/>
      <c r="S746" s="402"/>
      <c r="T746" s="402"/>
      <c r="U746" s="402"/>
      <c r="V746" s="402"/>
      <c r="W746" s="402"/>
      <c r="X746" s="402"/>
      <c r="Y746" s="402"/>
      <c r="Z746" s="402"/>
    </row>
    <row r="747" ht="14.25" customHeight="1">
      <c r="A747" s="497">
        <v>45516.0</v>
      </c>
      <c r="B747" s="1083" t="s">
        <v>5682</v>
      </c>
      <c r="C747" s="1084" t="s">
        <v>5683</v>
      </c>
      <c r="D747" s="475" t="s">
        <v>54</v>
      </c>
      <c r="E747" s="355" t="s">
        <v>2165</v>
      </c>
      <c r="F747" s="795">
        <v>200000.0</v>
      </c>
      <c r="G747" s="355">
        <v>200000.0</v>
      </c>
      <c r="H747" s="349" t="s">
        <v>6499</v>
      </c>
      <c r="I747" s="736" t="str">
        <f t="shared" si="8"/>
        <v>FULLY PAID</v>
      </c>
      <c r="J747" s="402"/>
      <c r="K747" s="402"/>
      <c r="L747" s="402"/>
      <c r="M747" s="402"/>
      <c r="N747" s="402"/>
      <c r="O747" s="402"/>
      <c r="P747" s="402"/>
      <c r="Q747" s="402"/>
      <c r="R747" s="402"/>
      <c r="S747" s="402"/>
      <c r="T747" s="402"/>
      <c r="U747" s="402"/>
      <c r="V747" s="402"/>
      <c r="W747" s="402"/>
      <c r="X747" s="402"/>
      <c r="Y747" s="402"/>
      <c r="Z747" s="402"/>
    </row>
    <row r="748" ht="14.25" customHeight="1">
      <c r="A748" s="497">
        <v>45516.0</v>
      </c>
      <c r="B748" s="1085" t="s">
        <v>6500</v>
      </c>
      <c r="C748" s="1086" t="s">
        <v>6501</v>
      </c>
      <c r="D748" s="475" t="s">
        <v>54</v>
      </c>
      <c r="E748" s="1087" t="s">
        <v>6502</v>
      </c>
      <c r="F748" s="1043">
        <v>650000.0</v>
      </c>
      <c r="G748" s="1088"/>
      <c r="H748" s="349" t="s">
        <v>6335</v>
      </c>
      <c r="I748" s="736" t="str">
        <f t="shared" si="8"/>
        <v>NOT PAID</v>
      </c>
      <c r="J748" s="402"/>
      <c r="K748" s="402"/>
      <c r="L748" s="402"/>
      <c r="M748" s="402"/>
      <c r="N748" s="402"/>
      <c r="O748" s="402"/>
      <c r="P748" s="402"/>
      <c r="Q748" s="402"/>
      <c r="R748" s="402"/>
      <c r="S748" s="402"/>
      <c r="T748" s="402"/>
      <c r="U748" s="402"/>
      <c r="V748" s="402"/>
      <c r="W748" s="402"/>
      <c r="X748" s="402"/>
      <c r="Y748" s="402"/>
      <c r="Z748" s="402"/>
    </row>
    <row r="749" ht="14.25" customHeight="1">
      <c r="A749" s="402"/>
      <c r="B749" s="1089"/>
      <c r="C749" s="1090"/>
      <c r="D749" s="1091"/>
      <c r="E749" s="1092"/>
      <c r="F749" s="1092"/>
      <c r="G749" s="1092"/>
      <c r="H749" s="1093"/>
      <c r="I749" s="736" t="str">
        <f t="shared" si="8"/>
        <v>FULLY PAID</v>
      </c>
      <c r="J749" s="402"/>
      <c r="K749" s="402"/>
      <c r="L749" s="402"/>
      <c r="M749" s="402"/>
      <c r="N749" s="402"/>
      <c r="O749" s="402"/>
      <c r="P749" s="402"/>
      <c r="Q749" s="402"/>
      <c r="R749" s="402"/>
      <c r="S749" s="402"/>
      <c r="T749" s="402"/>
      <c r="U749" s="402"/>
      <c r="V749" s="402"/>
      <c r="W749" s="402"/>
      <c r="X749" s="402"/>
      <c r="Y749" s="402"/>
      <c r="Z749" s="402"/>
    </row>
    <row r="750" ht="14.25" customHeight="1">
      <c r="A750" s="402"/>
      <c r="B750" s="402"/>
      <c r="C750" s="402"/>
      <c r="D750" s="1034"/>
      <c r="E750" s="403"/>
      <c r="F750" s="403"/>
      <c r="G750" s="403"/>
      <c r="H750" s="402"/>
      <c r="I750" s="736" t="str">
        <f t="shared" si="8"/>
        <v>FULLY PAID</v>
      </c>
      <c r="J750" s="402"/>
      <c r="K750" s="402"/>
      <c r="L750" s="402"/>
      <c r="M750" s="402"/>
      <c r="N750" s="402"/>
      <c r="O750" s="402"/>
      <c r="P750" s="402"/>
      <c r="Q750" s="402"/>
      <c r="R750" s="402"/>
      <c r="S750" s="402"/>
      <c r="T750" s="402"/>
      <c r="U750" s="402"/>
      <c r="V750" s="402"/>
      <c r="W750" s="402"/>
      <c r="X750" s="402"/>
      <c r="Y750" s="402"/>
      <c r="Z750" s="402"/>
    </row>
    <row r="751" ht="14.25" customHeight="1">
      <c r="A751" s="1094"/>
      <c r="B751" s="1095">
        <v>45517.0</v>
      </c>
      <c r="C751" s="1094"/>
      <c r="D751" s="1096"/>
      <c r="E751" s="1097"/>
      <c r="F751" s="1097"/>
      <c r="G751" s="1097"/>
      <c r="H751" s="1094"/>
      <c r="I751" s="736" t="str">
        <f t="shared" si="8"/>
        <v>FULLY PAID</v>
      </c>
      <c r="J751" s="1094"/>
      <c r="K751" s="1094"/>
      <c r="L751" s="1094"/>
      <c r="M751" s="1094"/>
      <c r="N751" s="1094"/>
      <c r="O751" s="1094"/>
      <c r="P751" s="1094"/>
      <c r="Q751" s="1094"/>
      <c r="R751" s="1094"/>
      <c r="S751" s="1094"/>
      <c r="T751" s="1094"/>
      <c r="U751" s="1094"/>
      <c r="V751" s="1094"/>
      <c r="W751" s="1094"/>
      <c r="X751" s="1094"/>
      <c r="Y751" s="1094"/>
      <c r="Z751" s="1094"/>
    </row>
    <row r="752" ht="14.25" customHeight="1">
      <c r="A752" s="497">
        <v>45517.0</v>
      </c>
      <c r="B752" s="349" t="s">
        <v>6503</v>
      </c>
      <c r="C752" s="349" t="s">
        <v>6504</v>
      </c>
      <c r="D752" s="1032" t="s">
        <v>54</v>
      </c>
      <c r="E752" s="413" t="s">
        <v>6505</v>
      </c>
      <c r="F752" s="413">
        <v>20134.69</v>
      </c>
      <c r="G752" s="403"/>
      <c r="H752" s="522" t="s">
        <v>6506</v>
      </c>
      <c r="I752" s="736" t="str">
        <f t="shared" si="8"/>
        <v>NOT PAID</v>
      </c>
      <c r="J752" s="402"/>
      <c r="K752" s="402"/>
      <c r="L752" s="402"/>
      <c r="M752" s="402"/>
      <c r="N752" s="402"/>
      <c r="O752" s="402"/>
      <c r="P752" s="402"/>
      <c r="Q752" s="402"/>
      <c r="R752" s="402"/>
      <c r="S752" s="402"/>
      <c r="T752" s="402"/>
      <c r="U752" s="402"/>
      <c r="V752" s="402"/>
      <c r="W752" s="402"/>
      <c r="X752" s="402"/>
      <c r="Y752" s="402"/>
      <c r="Z752" s="402"/>
    </row>
    <row r="753" ht="14.25" customHeight="1">
      <c r="A753" s="497">
        <v>45517.0</v>
      </c>
      <c r="B753" s="349" t="s">
        <v>6507</v>
      </c>
      <c r="C753" s="349" t="s">
        <v>6508</v>
      </c>
      <c r="D753" s="1032" t="s">
        <v>54</v>
      </c>
      <c r="E753" s="413" t="s">
        <v>6505</v>
      </c>
      <c r="F753" s="413">
        <v>23294.6</v>
      </c>
      <c r="G753" s="403"/>
      <c r="H753" s="522" t="s">
        <v>6506</v>
      </c>
      <c r="I753" s="736" t="str">
        <f t="shared" si="8"/>
        <v>NOT PAID</v>
      </c>
      <c r="J753" s="402"/>
      <c r="K753" s="402"/>
      <c r="L753" s="402"/>
      <c r="M753" s="402"/>
      <c r="N753" s="402"/>
      <c r="O753" s="402"/>
      <c r="P753" s="402"/>
      <c r="Q753" s="402"/>
      <c r="R753" s="402"/>
      <c r="S753" s="402"/>
      <c r="T753" s="402"/>
      <c r="U753" s="402"/>
      <c r="V753" s="402"/>
      <c r="W753" s="402"/>
      <c r="X753" s="402"/>
      <c r="Y753" s="402"/>
      <c r="Z753" s="402"/>
    </row>
    <row r="754" ht="14.25" customHeight="1">
      <c r="A754" s="497">
        <v>45517.0</v>
      </c>
      <c r="B754" s="349" t="s">
        <v>6509</v>
      </c>
      <c r="C754" s="349" t="s">
        <v>6510</v>
      </c>
      <c r="D754" s="1032" t="s">
        <v>54</v>
      </c>
      <c r="E754" s="413" t="s">
        <v>6511</v>
      </c>
      <c r="F754" s="413">
        <v>17000.0</v>
      </c>
      <c r="G754" s="413">
        <v>17000.0</v>
      </c>
      <c r="H754" s="349" t="s">
        <v>267</v>
      </c>
      <c r="I754" s="736" t="str">
        <f t="shared" si="8"/>
        <v>FULLY PAID</v>
      </c>
      <c r="J754" s="402"/>
      <c r="K754" s="402"/>
      <c r="L754" s="402"/>
      <c r="M754" s="402"/>
      <c r="N754" s="402"/>
      <c r="O754" s="402"/>
      <c r="P754" s="402"/>
      <c r="Q754" s="402"/>
      <c r="R754" s="402"/>
      <c r="S754" s="402"/>
      <c r="T754" s="402"/>
      <c r="U754" s="402"/>
      <c r="V754" s="402"/>
      <c r="W754" s="402"/>
      <c r="X754" s="402"/>
      <c r="Y754" s="402"/>
      <c r="Z754" s="402"/>
    </row>
    <row r="755" ht="14.25" customHeight="1">
      <c r="A755" s="497">
        <v>45517.0</v>
      </c>
      <c r="B755" s="349" t="s">
        <v>6512</v>
      </c>
      <c r="C755" s="349" t="s">
        <v>6513</v>
      </c>
      <c r="D755" s="1032" t="s">
        <v>54</v>
      </c>
      <c r="E755" s="413" t="s">
        <v>6514</v>
      </c>
      <c r="F755" s="413">
        <v>2985131.0</v>
      </c>
      <c r="G755" s="403"/>
      <c r="H755" s="349" t="s">
        <v>267</v>
      </c>
      <c r="I755" s="736" t="str">
        <f t="shared" si="8"/>
        <v>NOT PAID</v>
      </c>
      <c r="J755" s="402"/>
      <c r="K755" s="402"/>
      <c r="L755" s="402"/>
      <c r="M755" s="402"/>
      <c r="N755" s="402"/>
      <c r="O755" s="402"/>
      <c r="P755" s="402"/>
      <c r="Q755" s="402"/>
      <c r="R755" s="402"/>
      <c r="S755" s="402"/>
      <c r="T755" s="402"/>
      <c r="U755" s="402"/>
      <c r="V755" s="402"/>
      <c r="W755" s="402"/>
      <c r="X755" s="402"/>
      <c r="Y755" s="402"/>
      <c r="Z755" s="402"/>
    </row>
    <row r="756" ht="14.25" customHeight="1">
      <c r="A756" s="497">
        <v>45517.0</v>
      </c>
      <c r="B756" s="349" t="s">
        <v>6515</v>
      </c>
      <c r="C756" s="349" t="s">
        <v>6516</v>
      </c>
      <c r="D756" s="1032" t="s">
        <v>54</v>
      </c>
      <c r="E756" s="413" t="s">
        <v>6517</v>
      </c>
      <c r="F756" s="413">
        <v>4625.64</v>
      </c>
      <c r="G756" s="403"/>
      <c r="H756" s="349" t="s">
        <v>6518</v>
      </c>
      <c r="I756" s="736" t="str">
        <f t="shared" si="8"/>
        <v>NOT PAID</v>
      </c>
      <c r="J756" s="402"/>
      <c r="K756" s="402"/>
      <c r="L756" s="402"/>
      <c r="M756" s="402"/>
      <c r="N756" s="402"/>
      <c r="O756" s="402"/>
      <c r="P756" s="402"/>
      <c r="Q756" s="402"/>
      <c r="R756" s="402"/>
      <c r="S756" s="402"/>
      <c r="T756" s="402"/>
      <c r="U756" s="402"/>
      <c r="V756" s="402"/>
      <c r="W756" s="402"/>
      <c r="X756" s="402"/>
      <c r="Y756" s="402"/>
      <c r="Z756" s="402"/>
    </row>
    <row r="757" ht="14.25" customHeight="1">
      <c r="A757" s="497">
        <v>45517.0</v>
      </c>
      <c r="B757" s="349" t="s">
        <v>6519</v>
      </c>
      <c r="C757" s="349" t="s">
        <v>6520</v>
      </c>
      <c r="D757" s="1032" t="s">
        <v>67</v>
      </c>
      <c r="E757" s="413" t="s">
        <v>6505</v>
      </c>
      <c r="F757" s="413">
        <v>7654.05</v>
      </c>
      <c r="G757" s="413">
        <v>12000.0</v>
      </c>
      <c r="H757" s="349" t="s">
        <v>267</v>
      </c>
      <c r="I757" s="736" t="str">
        <f t="shared" si="8"/>
        <v>FULLY PAID</v>
      </c>
      <c r="J757" s="402"/>
      <c r="K757" s="402"/>
      <c r="L757" s="402"/>
      <c r="M757" s="402"/>
      <c r="N757" s="402"/>
      <c r="O757" s="402"/>
      <c r="P757" s="402"/>
      <c r="Q757" s="402"/>
      <c r="R757" s="402"/>
      <c r="S757" s="402"/>
      <c r="T757" s="402"/>
      <c r="U757" s="402"/>
      <c r="V757" s="402"/>
      <c r="W757" s="402"/>
      <c r="X757" s="402"/>
      <c r="Y757" s="402"/>
      <c r="Z757" s="402"/>
    </row>
    <row r="758" ht="14.25" customHeight="1">
      <c r="A758" s="497">
        <v>45517.0</v>
      </c>
      <c r="B758" s="349" t="s">
        <v>6521</v>
      </c>
      <c r="C758" s="349" t="s">
        <v>5650</v>
      </c>
      <c r="D758" s="1032" t="s">
        <v>75</v>
      </c>
      <c r="E758" s="413" t="s">
        <v>6517</v>
      </c>
      <c r="F758" s="413">
        <v>77000.0</v>
      </c>
      <c r="G758" s="403"/>
      <c r="H758" s="349" t="s">
        <v>6522</v>
      </c>
      <c r="I758" s="736" t="str">
        <f t="shared" si="8"/>
        <v>NOT PAID</v>
      </c>
      <c r="J758" s="402"/>
      <c r="K758" s="402"/>
      <c r="L758" s="402"/>
      <c r="M758" s="402"/>
      <c r="N758" s="402"/>
      <c r="O758" s="402"/>
      <c r="P758" s="402"/>
      <c r="Q758" s="402"/>
      <c r="R758" s="402"/>
      <c r="S758" s="402"/>
      <c r="T758" s="402"/>
      <c r="U758" s="402"/>
      <c r="V758" s="402"/>
      <c r="W758" s="402"/>
      <c r="X758" s="402"/>
      <c r="Y758" s="402"/>
      <c r="Z758" s="402"/>
    </row>
    <row r="759" ht="14.25" customHeight="1">
      <c r="A759" s="497">
        <v>45517.0</v>
      </c>
      <c r="B759" s="349" t="s">
        <v>6071</v>
      </c>
      <c r="C759" s="349" t="s">
        <v>6072</v>
      </c>
      <c r="D759" s="1032" t="s">
        <v>54</v>
      </c>
      <c r="E759" s="413" t="s">
        <v>6523</v>
      </c>
      <c r="F759" s="413">
        <v>63095.58</v>
      </c>
      <c r="G759" s="403"/>
      <c r="H759" s="349" t="s">
        <v>6524</v>
      </c>
      <c r="I759" s="736" t="str">
        <f t="shared" si="8"/>
        <v>NOT PAID</v>
      </c>
      <c r="J759" s="402"/>
      <c r="K759" s="402"/>
      <c r="L759" s="402"/>
      <c r="M759" s="402"/>
      <c r="N759" s="402"/>
      <c r="O759" s="402"/>
      <c r="P759" s="402"/>
      <c r="Q759" s="402"/>
      <c r="R759" s="402"/>
      <c r="S759" s="402"/>
      <c r="T759" s="402"/>
      <c r="U759" s="402"/>
      <c r="V759" s="402"/>
      <c r="W759" s="402"/>
      <c r="X759" s="402"/>
      <c r="Y759" s="402"/>
      <c r="Z759" s="402"/>
    </row>
    <row r="760" ht="14.25" customHeight="1">
      <c r="A760" s="497">
        <v>45517.0</v>
      </c>
      <c r="B760" s="349" t="s">
        <v>6448</v>
      </c>
      <c r="C760" s="349" t="s">
        <v>6449</v>
      </c>
      <c r="D760" s="1032" t="s">
        <v>54</v>
      </c>
      <c r="E760" s="413" t="s">
        <v>6517</v>
      </c>
      <c r="F760" s="413">
        <v>23328.0</v>
      </c>
      <c r="G760" s="403"/>
      <c r="H760" s="349" t="s">
        <v>267</v>
      </c>
      <c r="I760" s="736" t="str">
        <f t="shared" si="8"/>
        <v>NOT PAID</v>
      </c>
      <c r="J760" s="402"/>
      <c r="K760" s="402"/>
      <c r="L760" s="402"/>
      <c r="M760" s="402"/>
      <c r="N760" s="402"/>
      <c r="O760" s="402"/>
      <c r="P760" s="402"/>
      <c r="Q760" s="402"/>
      <c r="R760" s="402"/>
      <c r="S760" s="402"/>
      <c r="T760" s="402"/>
      <c r="U760" s="402"/>
      <c r="V760" s="402"/>
      <c r="W760" s="402"/>
      <c r="X760" s="402"/>
      <c r="Y760" s="402"/>
      <c r="Z760" s="402"/>
    </row>
    <row r="761" ht="14.25" customHeight="1">
      <c r="A761" s="497">
        <v>45517.0</v>
      </c>
      <c r="B761" s="349" t="s">
        <v>6452</v>
      </c>
      <c r="C761" s="349" t="s">
        <v>6453</v>
      </c>
      <c r="D761" s="1032" t="s">
        <v>54</v>
      </c>
      <c r="E761" s="413" t="s">
        <v>6517</v>
      </c>
      <c r="F761" s="413">
        <v>599181.94</v>
      </c>
      <c r="G761" s="403"/>
      <c r="H761" s="349" t="s">
        <v>6454</v>
      </c>
      <c r="I761" s="736" t="str">
        <f t="shared" si="8"/>
        <v>NOT PAID</v>
      </c>
      <c r="J761" s="402"/>
      <c r="K761" s="402"/>
      <c r="L761" s="402"/>
      <c r="M761" s="402"/>
      <c r="N761" s="402"/>
      <c r="O761" s="402"/>
      <c r="P761" s="402"/>
      <c r="Q761" s="402"/>
      <c r="R761" s="402"/>
      <c r="S761" s="402"/>
      <c r="T761" s="402"/>
      <c r="U761" s="402"/>
      <c r="V761" s="402"/>
      <c r="W761" s="402"/>
      <c r="X761" s="402"/>
      <c r="Y761" s="402"/>
      <c r="Z761" s="402"/>
    </row>
    <row r="762" ht="14.25" customHeight="1">
      <c r="A762" s="497">
        <v>45517.0</v>
      </c>
      <c r="B762" s="349" t="s">
        <v>6455</v>
      </c>
      <c r="C762" s="349" t="s">
        <v>6456</v>
      </c>
      <c r="D762" s="1032" t="s">
        <v>54</v>
      </c>
      <c r="E762" s="413" t="s">
        <v>6511</v>
      </c>
      <c r="F762" s="413">
        <v>170586.11</v>
      </c>
      <c r="G762" s="403"/>
      <c r="H762" s="402"/>
      <c r="I762" s="736" t="str">
        <f t="shared" si="8"/>
        <v>NOT PAID</v>
      </c>
      <c r="J762" s="402"/>
      <c r="K762" s="402"/>
      <c r="L762" s="402"/>
      <c r="M762" s="402"/>
      <c r="N762" s="402"/>
      <c r="O762" s="402"/>
      <c r="P762" s="402"/>
      <c r="Q762" s="402"/>
      <c r="R762" s="402"/>
      <c r="S762" s="402"/>
      <c r="T762" s="402"/>
      <c r="U762" s="402"/>
      <c r="V762" s="402"/>
      <c r="W762" s="402"/>
      <c r="X762" s="402"/>
      <c r="Y762" s="402"/>
      <c r="Z762" s="402"/>
    </row>
    <row r="763" ht="14.25" customHeight="1">
      <c r="A763" s="497">
        <v>45517.0</v>
      </c>
      <c r="B763" s="349" t="s">
        <v>6460</v>
      </c>
      <c r="C763" s="349" t="s">
        <v>6461</v>
      </c>
      <c r="D763" s="1032" t="s">
        <v>54</v>
      </c>
      <c r="E763" s="413" t="s">
        <v>6511</v>
      </c>
      <c r="F763" s="413">
        <v>40536.0</v>
      </c>
      <c r="G763" s="403"/>
      <c r="H763" s="402"/>
      <c r="I763" s="736" t="str">
        <f t="shared" si="8"/>
        <v>NOT PAID</v>
      </c>
      <c r="J763" s="402"/>
      <c r="K763" s="402"/>
      <c r="L763" s="402"/>
      <c r="M763" s="402"/>
      <c r="N763" s="402"/>
      <c r="O763" s="402"/>
      <c r="P763" s="402"/>
      <c r="Q763" s="402"/>
      <c r="R763" s="402"/>
      <c r="S763" s="402"/>
      <c r="T763" s="402"/>
      <c r="U763" s="402"/>
      <c r="V763" s="402"/>
      <c r="W763" s="402"/>
      <c r="X763" s="402"/>
      <c r="Y763" s="402"/>
      <c r="Z763" s="402"/>
    </row>
    <row r="764" ht="14.25" customHeight="1">
      <c r="A764" s="497">
        <v>45517.0</v>
      </c>
      <c r="B764" s="349" t="s">
        <v>6462</v>
      </c>
      <c r="C764" s="349" t="s">
        <v>6463</v>
      </c>
      <c r="D764" s="1032" t="s">
        <v>75</v>
      </c>
      <c r="E764" s="413" t="s">
        <v>6505</v>
      </c>
      <c r="F764" s="413">
        <v>716154.0</v>
      </c>
      <c r="G764" s="403"/>
      <c r="H764" s="522" t="s">
        <v>6525</v>
      </c>
      <c r="I764" s="736" t="str">
        <f t="shared" si="8"/>
        <v>NOT PAID</v>
      </c>
      <c r="J764" s="402"/>
      <c r="K764" s="402"/>
      <c r="L764" s="402"/>
      <c r="M764" s="402"/>
      <c r="N764" s="402"/>
      <c r="O764" s="402"/>
      <c r="P764" s="402"/>
      <c r="Q764" s="402"/>
      <c r="R764" s="402"/>
      <c r="S764" s="402"/>
      <c r="T764" s="402"/>
      <c r="U764" s="402"/>
      <c r="V764" s="402"/>
      <c r="W764" s="402"/>
      <c r="X764" s="402"/>
      <c r="Y764" s="402"/>
      <c r="Z764" s="402"/>
    </row>
    <row r="765" ht="14.25" customHeight="1">
      <c r="A765" s="497">
        <v>45517.0</v>
      </c>
      <c r="B765" s="349" t="s">
        <v>6469</v>
      </c>
      <c r="C765" s="349" t="s">
        <v>6470</v>
      </c>
      <c r="D765" s="1032" t="s">
        <v>54</v>
      </c>
      <c r="E765" s="413" t="s">
        <v>6511</v>
      </c>
      <c r="F765" s="413">
        <v>55177.93</v>
      </c>
      <c r="G765" s="403"/>
      <c r="H765" s="349" t="s">
        <v>6526</v>
      </c>
      <c r="I765" s="736" t="str">
        <f t="shared" si="8"/>
        <v>NOT PAID</v>
      </c>
      <c r="J765" s="402"/>
      <c r="K765" s="402"/>
      <c r="L765" s="402"/>
      <c r="M765" s="402"/>
      <c r="N765" s="402"/>
      <c r="O765" s="402"/>
      <c r="P765" s="402"/>
      <c r="Q765" s="402"/>
      <c r="R765" s="402"/>
      <c r="S765" s="402"/>
      <c r="T765" s="402"/>
      <c r="U765" s="402"/>
      <c r="V765" s="402"/>
      <c r="W765" s="402"/>
      <c r="X765" s="402"/>
      <c r="Y765" s="402"/>
      <c r="Z765" s="402"/>
    </row>
    <row r="766" ht="14.25" customHeight="1">
      <c r="A766" s="497">
        <v>45517.0</v>
      </c>
      <c r="B766" s="349" t="s">
        <v>6472</v>
      </c>
      <c r="C766" s="349" t="s">
        <v>5724</v>
      </c>
      <c r="D766" s="1032" t="s">
        <v>54</v>
      </c>
      <c r="E766" s="413" t="s">
        <v>6517</v>
      </c>
      <c r="F766" s="413">
        <v>26298.41</v>
      </c>
      <c r="G766" s="403"/>
      <c r="H766" s="349" t="s">
        <v>6527</v>
      </c>
      <c r="I766" s="736" t="str">
        <f t="shared" si="8"/>
        <v>NOT PAID</v>
      </c>
      <c r="J766" s="402"/>
      <c r="K766" s="402"/>
      <c r="L766" s="402"/>
      <c r="M766" s="402"/>
      <c r="N766" s="402"/>
      <c r="O766" s="402"/>
      <c r="P766" s="402"/>
      <c r="Q766" s="402"/>
      <c r="R766" s="402"/>
      <c r="S766" s="402"/>
      <c r="T766" s="402"/>
      <c r="U766" s="402"/>
      <c r="V766" s="402"/>
      <c r="W766" s="402"/>
      <c r="X766" s="402"/>
      <c r="Y766" s="402"/>
      <c r="Z766" s="402"/>
    </row>
    <row r="767" ht="14.25" customHeight="1">
      <c r="A767" s="497">
        <v>45517.0</v>
      </c>
      <c r="B767" s="349" t="s">
        <v>6474</v>
      </c>
      <c r="C767" s="349" t="s">
        <v>6475</v>
      </c>
      <c r="D767" s="1032" t="s">
        <v>54</v>
      </c>
      <c r="E767" s="413" t="s">
        <v>6517</v>
      </c>
      <c r="F767" s="413">
        <v>43351.73</v>
      </c>
      <c r="G767" s="403"/>
      <c r="H767" s="349" t="s">
        <v>6528</v>
      </c>
      <c r="I767" s="736" t="str">
        <f t="shared" si="8"/>
        <v>NOT PAID</v>
      </c>
      <c r="J767" s="402"/>
      <c r="K767" s="402"/>
      <c r="L767" s="402"/>
      <c r="M767" s="402"/>
      <c r="N767" s="402"/>
      <c r="O767" s="402"/>
      <c r="P767" s="402"/>
      <c r="Q767" s="402"/>
      <c r="R767" s="402"/>
      <c r="S767" s="402"/>
      <c r="T767" s="402"/>
      <c r="U767" s="402"/>
      <c r="V767" s="402"/>
      <c r="W767" s="402"/>
      <c r="X767" s="402"/>
      <c r="Y767" s="402"/>
      <c r="Z767" s="402"/>
    </row>
    <row r="768" ht="14.25" customHeight="1">
      <c r="A768" s="497">
        <v>45517.0</v>
      </c>
      <c r="B768" s="349" t="s">
        <v>6477</v>
      </c>
      <c r="C768" s="349" t="s">
        <v>6478</v>
      </c>
      <c r="D768" s="1032" t="s">
        <v>54</v>
      </c>
      <c r="E768" s="413" t="s">
        <v>6529</v>
      </c>
      <c r="F768" s="413">
        <v>52886.01</v>
      </c>
      <c r="G768" s="403"/>
      <c r="H768" s="402"/>
      <c r="I768" s="736" t="str">
        <f t="shared" si="8"/>
        <v>NOT PAID</v>
      </c>
      <c r="J768" s="402"/>
      <c r="K768" s="402"/>
      <c r="L768" s="402"/>
      <c r="M768" s="402"/>
      <c r="N768" s="402"/>
      <c r="O768" s="402"/>
      <c r="P768" s="402"/>
      <c r="Q768" s="402"/>
      <c r="R768" s="402"/>
      <c r="S768" s="402"/>
      <c r="T768" s="402"/>
      <c r="U768" s="402"/>
      <c r="V768" s="402"/>
      <c r="W768" s="402"/>
      <c r="X768" s="402"/>
      <c r="Y768" s="402"/>
      <c r="Z768" s="402"/>
    </row>
    <row r="769" ht="14.25" customHeight="1">
      <c r="A769" s="497">
        <v>45517.0</v>
      </c>
      <c r="B769" s="349" t="s">
        <v>6481</v>
      </c>
      <c r="C769" s="349" t="s">
        <v>6482</v>
      </c>
      <c r="D769" s="1032" t="s">
        <v>54</v>
      </c>
      <c r="E769" s="413" t="s">
        <v>6511</v>
      </c>
      <c r="F769" s="413">
        <v>14637.68</v>
      </c>
      <c r="G769" s="413">
        <v>14637.0</v>
      </c>
      <c r="H769" s="349" t="s">
        <v>267</v>
      </c>
      <c r="I769" s="736" t="str">
        <f t="shared" si="8"/>
        <v>PARTIALLY PAID</v>
      </c>
      <c r="J769" s="402"/>
      <c r="K769" s="402"/>
      <c r="L769" s="402"/>
      <c r="M769" s="402"/>
      <c r="N769" s="402"/>
      <c r="O769" s="402"/>
      <c r="P769" s="402"/>
      <c r="Q769" s="402"/>
      <c r="R769" s="402"/>
      <c r="S769" s="402"/>
      <c r="T769" s="402"/>
      <c r="U769" s="402"/>
      <c r="V769" s="402"/>
      <c r="W769" s="402"/>
      <c r="X769" s="402"/>
      <c r="Y769" s="402"/>
      <c r="Z769" s="402"/>
    </row>
    <row r="770" ht="14.25" customHeight="1">
      <c r="A770" s="497">
        <v>45517.0</v>
      </c>
      <c r="B770" s="349" t="s">
        <v>6090</v>
      </c>
      <c r="C770" s="349" t="s">
        <v>6485</v>
      </c>
      <c r="D770" s="1032" t="s">
        <v>54</v>
      </c>
      <c r="E770" s="413" t="s">
        <v>6517</v>
      </c>
      <c r="F770" s="413">
        <v>101424.46</v>
      </c>
      <c r="G770" s="403"/>
      <c r="H770" s="349" t="s">
        <v>6530</v>
      </c>
      <c r="I770" s="736" t="str">
        <f t="shared" si="8"/>
        <v>NOT PAID</v>
      </c>
      <c r="J770" s="402"/>
      <c r="K770" s="402"/>
      <c r="L770" s="402"/>
      <c r="M770" s="402"/>
      <c r="N770" s="402"/>
      <c r="O770" s="402"/>
      <c r="P770" s="402"/>
      <c r="Q770" s="402"/>
      <c r="R770" s="402"/>
      <c r="S770" s="402"/>
      <c r="T770" s="402"/>
      <c r="U770" s="402"/>
      <c r="V770" s="402"/>
      <c r="W770" s="402"/>
      <c r="X770" s="402"/>
      <c r="Y770" s="402"/>
      <c r="Z770" s="402"/>
    </row>
    <row r="771" ht="14.25" customHeight="1">
      <c r="A771" s="497">
        <v>45517.0</v>
      </c>
      <c r="B771" s="349" t="s">
        <v>6487</v>
      </c>
      <c r="C771" s="349" t="s">
        <v>5796</v>
      </c>
      <c r="D771" s="1032" t="s">
        <v>54</v>
      </c>
      <c r="E771" s="413" t="s">
        <v>6531</v>
      </c>
      <c r="F771" s="413">
        <v>13937.75</v>
      </c>
      <c r="G771" s="403"/>
      <c r="H771" s="349" t="s">
        <v>6532</v>
      </c>
      <c r="I771" s="736" t="str">
        <f t="shared" si="8"/>
        <v>NOT PAID</v>
      </c>
      <c r="J771" s="402"/>
      <c r="K771" s="402"/>
      <c r="L771" s="402"/>
      <c r="M771" s="402"/>
      <c r="N771" s="402"/>
      <c r="O771" s="402"/>
      <c r="P771" s="402"/>
      <c r="Q771" s="402"/>
      <c r="R771" s="402"/>
      <c r="S771" s="402"/>
      <c r="T771" s="402"/>
      <c r="U771" s="402"/>
      <c r="V771" s="402"/>
      <c r="W771" s="402"/>
      <c r="X771" s="402"/>
      <c r="Y771" s="402"/>
      <c r="Z771" s="402"/>
    </row>
    <row r="772" ht="14.25" customHeight="1">
      <c r="A772" s="497">
        <v>45517.0</v>
      </c>
      <c r="B772" s="349" t="s">
        <v>6488</v>
      </c>
      <c r="C772" s="349" t="s">
        <v>6489</v>
      </c>
      <c r="D772" s="1032" t="s">
        <v>54</v>
      </c>
      <c r="E772" s="413" t="s">
        <v>6533</v>
      </c>
      <c r="F772" s="413">
        <v>16483.0</v>
      </c>
      <c r="G772" s="403"/>
      <c r="H772" s="349" t="s">
        <v>6490</v>
      </c>
      <c r="I772" s="736" t="str">
        <f t="shared" si="8"/>
        <v>NOT PAID</v>
      </c>
      <c r="J772" s="402"/>
      <c r="K772" s="402"/>
      <c r="L772" s="402"/>
      <c r="M772" s="402"/>
      <c r="N772" s="402"/>
      <c r="O772" s="402"/>
      <c r="P772" s="402"/>
      <c r="Q772" s="402"/>
      <c r="R772" s="402"/>
      <c r="S772" s="402"/>
      <c r="T772" s="402"/>
      <c r="U772" s="402"/>
      <c r="V772" s="402"/>
      <c r="W772" s="402"/>
      <c r="X772" s="402"/>
      <c r="Y772" s="402"/>
      <c r="Z772" s="402"/>
    </row>
    <row r="773" ht="14.25" customHeight="1">
      <c r="A773" s="497">
        <v>45517.0</v>
      </c>
      <c r="B773" s="349" t="s">
        <v>6491</v>
      </c>
      <c r="C773" s="349" t="s">
        <v>6492</v>
      </c>
      <c r="D773" s="1032" t="s">
        <v>75</v>
      </c>
      <c r="E773" s="413" t="s">
        <v>6505</v>
      </c>
      <c r="F773" s="413">
        <v>57500.0</v>
      </c>
      <c r="G773" s="413">
        <v>60380.0</v>
      </c>
      <c r="H773" s="349" t="s">
        <v>267</v>
      </c>
      <c r="I773" s="736" t="str">
        <f t="shared" si="8"/>
        <v>FULLY PAID</v>
      </c>
      <c r="J773" s="402"/>
      <c r="K773" s="402"/>
      <c r="L773" s="402"/>
      <c r="M773" s="402"/>
      <c r="N773" s="402"/>
      <c r="O773" s="402"/>
      <c r="P773" s="402"/>
      <c r="Q773" s="402"/>
      <c r="R773" s="402"/>
      <c r="S773" s="402"/>
      <c r="T773" s="402"/>
      <c r="U773" s="402"/>
      <c r="V773" s="402"/>
      <c r="W773" s="402"/>
      <c r="X773" s="402"/>
      <c r="Y773" s="402"/>
      <c r="Z773" s="402"/>
    </row>
    <row r="774" ht="14.25" customHeight="1">
      <c r="A774" s="497">
        <v>45517.0</v>
      </c>
      <c r="B774" s="349" t="s">
        <v>5948</v>
      </c>
      <c r="C774" s="349" t="s">
        <v>5949</v>
      </c>
      <c r="D774" s="1032" t="s">
        <v>54</v>
      </c>
      <c r="E774" s="413" t="s">
        <v>6517</v>
      </c>
      <c r="F774" s="413">
        <v>118073.0</v>
      </c>
      <c r="G774" s="403"/>
      <c r="H774" s="349" t="s">
        <v>6534</v>
      </c>
      <c r="I774" s="736" t="str">
        <f t="shared" si="8"/>
        <v>NOT PAID</v>
      </c>
      <c r="J774" s="402"/>
      <c r="K774" s="402"/>
      <c r="L774" s="402"/>
      <c r="M774" s="402"/>
      <c r="N774" s="402"/>
      <c r="O774" s="402"/>
      <c r="P774" s="402"/>
      <c r="Q774" s="402"/>
      <c r="R774" s="402"/>
      <c r="S774" s="402"/>
      <c r="T774" s="402"/>
      <c r="U774" s="402"/>
      <c r="V774" s="402"/>
      <c r="W774" s="402"/>
      <c r="X774" s="402"/>
      <c r="Y774" s="402"/>
      <c r="Z774" s="402"/>
    </row>
    <row r="775" ht="14.25" customHeight="1">
      <c r="A775" s="497">
        <v>45517.0</v>
      </c>
      <c r="B775" s="349" t="s">
        <v>6535</v>
      </c>
      <c r="C775" s="349" t="s">
        <v>6536</v>
      </c>
      <c r="D775" s="1032" t="s">
        <v>54</v>
      </c>
      <c r="E775" s="413" t="s">
        <v>6517</v>
      </c>
      <c r="F775" s="413">
        <v>10000.0</v>
      </c>
      <c r="G775" s="413">
        <v>10000.0</v>
      </c>
      <c r="H775" s="349" t="s">
        <v>267</v>
      </c>
      <c r="I775" s="736" t="str">
        <f t="shared" si="8"/>
        <v>FULLY PAID</v>
      </c>
      <c r="J775" s="402"/>
      <c r="K775" s="402"/>
      <c r="L775" s="402"/>
      <c r="M775" s="402"/>
      <c r="N775" s="402"/>
      <c r="O775" s="402"/>
      <c r="P775" s="402"/>
      <c r="Q775" s="402"/>
      <c r="R775" s="402"/>
      <c r="S775" s="402"/>
      <c r="T775" s="402"/>
      <c r="U775" s="402"/>
      <c r="V775" s="402"/>
      <c r="W775" s="402"/>
      <c r="X775" s="402"/>
      <c r="Y775" s="402"/>
      <c r="Z775" s="402"/>
    </row>
    <row r="776" ht="14.25" customHeight="1">
      <c r="A776" s="497">
        <v>45517.0</v>
      </c>
      <c r="B776" s="349" t="s">
        <v>6044</v>
      </c>
      <c r="C776" s="349" t="s">
        <v>6045</v>
      </c>
      <c r="D776" s="1032" t="s">
        <v>6240</v>
      </c>
      <c r="E776" s="413" t="s">
        <v>6529</v>
      </c>
      <c r="F776" s="413">
        <v>50000.0</v>
      </c>
      <c r="G776" s="403"/>
      <c r="H776" s="402"/>
      <c r="I776" s="736" t="str">
        <f t="shared" si="8"/>
        <v>NOT PAID</v>
      </c>
      <c r="J776" s="402"/>
      <c r="K776" s="402"/>
      <c r="L776" s="402"/>
      <c r="M776" s="402"/>
      <c r="N776" s="402"/>
      <c r="O776" s="402"/>
      <c r="P776" s="402"/>
      <c r="Q776" s="402"/>
      <c r="R776" s="402"/>
      <c r="S776" s="402"/>
      <c r="T776" s="402"/>
      <c r="U776" s="402"/>
      <c r="V776" s="402"/>
      <c r="W776" s="402"/>
      <c r="X776" s="402"/>
      <c r="Y776" s="402"/>
      <c r="Z776" s="402"/>
    </row>
    <row r="777" ht="14.25" customHeight="1">
      <c r="A777" s="497">
        <v>45517.0</v>
      </c>
      <c r="B777" s="1085" t="s">
        <v>5836</v>
      </c>
      <c r="C777" s="349" t="s">
        <v>6537</v>
      </c>
      <c r="D777" s="1032" t="s">
        <v>54</v>
      </c>
      <c r="E777" s="413" t="s">
        <v>6511</v>
      </c>
      <c r="F777" s="413">
        <v>29158.0</v>
      </c>
      <c r="G777" s="413">
        <v>39251.0</v>
      </c>
      <c r="H777" s="349" t="s">
        <v>267</v>
      </c>
      <c r="I777" s="736" t="str">
        <f t="shared" si="8"/>
        <v>FULLY PAID</v>
      </c>
      <c r="J777" s="402"/>
      <c r="K777" s="402"/>
      <c r="L777" s="402"/>
      <c r="M777" s="402"/>
      <c r="N777" s="402"/>
      <c r="O777" s="402"/>
      <c r="P777" s="402"/>
      <c r="Q777" s="402"/>
      <c r="R777" s="402"/>
      <c r="S777" s="402"/>
      <c r="T777" s="402"/>
      <c r="U777" s="402"/>
      <c r="V777" s="402"/>
      <c r="W777" s="402"/>
      <c r="X777" s="402"/>
      <c r="Y777" s="402"/>
      <c r="Z777" s="402"/>
    </row>
    <row r="778" ht="14.25" customHeight="1">
      <c r="A778" s="497">
        <v>45517.0</v>
      </c>
      <c r="B778" s="349" t="s">
        <v>6462</v>
      </c>
      <c r="C778" s="349" t="s">
        <v>6463</v>
      </c>
      <c r="D778" s="1032" t="s">
        <v>75</v>
      </c>
      <c r="E778" s="413" t="s">
        <v>6505</v>
      </c>
      <c r="F778" s="413">
        <v>770000.0</v>
      </c>
      <c r="G778" s="403"/>
      <c r="H778" s="522" t="s">
        <v>6525</v>
      </c>
      <c r="I778" s="736" t="str">
        <f t="shared" si="8"/>
        <v>NOT PAID</v>
      </c>
      <c r="J778" s="402"/>
      <c r="K778" s="402"/>
      <c r="L778" s="402"/>
      <c r="M778" s="402"/>
      <c r="N778" s="402"/>
      <c r="O778" s="402"/>
      <c r="P778" s="402"/>
      <c r="Q778" s="402"/>
      <c r="R778" s="402"/>
      <c r="S778" s="402"/>
      <c r="T778" s="402"/>
      <c r="U778" s="402"/>
      <c r="V778" s="402"/>
      <c r="W778" s="402"/>
      <c r="X778" s="402"/>
      <c r="Y778" s="402"/>
      <c r="Z778" s="402"/>
    </row>
    <row r="779" ht="14.25" customHeight="1">
      <c r="A779" s="497">
        <v>45517.0</v>
      </c>
      <c r="B779" s="349" t="s">
        <v>5618</v>
      </c>
      <c r="C779" s="349" t="s">
        <v>5619</v>
      </c>
      <c r="D779" s="1032" t="s">
        <v>54</v>
      </c>
      <c r="E779" s="413" t="s">
        <v>6511</v>
      </c>
      <c r="F779" s="413">
        <v>91029.044</v>
      </c>
      <c r="G779" s="413">
        <v>90000.0</v>
      </c>
      <c r="H779" s="349" t="s">
        <v>267</v>
      </c>
      <c r="I779" s="736" t="str">
        <f t="shared" si="8"/>
        <v>PARTIALLY PAID</v>
      </c>
      <c r="J779" s="402"/>
      <c r="K779" s="402"/>
      <c r="L779" s="402"/>
      <c r="M779" s="402"/>
      <c r="N779" s="402"/>
      <c r="O779" s="402"/>
      <c r="P779" s="402"/>
      <c r="Q779" s="402"/>
      <c r="R779" s="402"/>
      <c r="S779" s="402"/>
      <c r="T779" s="402"/>
      <c r="U779" s="402"/>
      <c r="V779" s="402"/>
      <c r="W779" s="402"/>
      <c r="X779" s="402"/>
      <c r="Y779" s="402"/>
      <c r="Z779" s="402"/>
    </row>
    <row r="780" ht="14.25" customHeight="1">
      <c r="A780" s="497">
        <v>45517.0</v>
      </c>
      <c r="B780" s="349" t="s">
        <v>6100</v>
      </c>
      <c r="C780" s="349" t="s">
        <v>6101</v>
      </c>
      <c r="D780" s="1032" t="s">
        <v>54</v>
      </c>
      <c r="E780" s="413" t="s">
        <v>6505</v>
      </c>
      <c r="F780" s="413">
        <v>15000.0</v>
      </c>
      <c r="G780" s="413">
        <v>15000.0</v>
      </c>
      <c r="H780" s="349" t="s">
        <v>267</v>
      </c>
      <c r="I780" s="736" t="str">
        <f t="shared" si="8"/>
        <v>FULLY PAID</v>
      </c>
      <c r="J780" s="402"/>
      <c r="K780" s="402"/>
      <c r="L780" s="402"/>
      <c r="M780" s="402"/>
      <c r="N780" s="402"/>
      <c r="O780" s="402"/>
      <c r="P780" s="402"/>
      <c r="Q780" s="402"/>
      <c r="R780" s="402"/>
      <c r="S780" s="402"/>
      <c r="T780" s="402"/>
      <c r="U780" s="402"/>
      <c r="V780" s="402"/>
      <c r="W780" s="402"/>
      <c r="X780" s="402"/>
      <c r="Y780" s="402"/>
      <c r="Z780" s="402"/>
    </row>
    <row r="781" ht="14.25" customHeight="1">
      <c r="A781" s="497">
        <v>45517.0</v>
      </c>
      <c r="B781" s="402"/>
      <c r="C781" s="402"/>
      <c r="D781" s="1034"/>
      <c r="E781" s="403"/>
      <c r="F781" s="403"/>
      <c r="G781" s="403"/>
      <c r="H781" s="402"/>
      <c r="I781" s="736" t="str">
        <f t="shared" si="8"/>
        <v>FULLY PAID</v>
      </c>
      <c r="J781" s="402"/>
      <c r="K781" s="402"/>
      <c r="L781" s="402"/>
      <c r="M781" s="402"/>
      <c r="N781" s="402"/>
      <c r="O781" s="402"/>
      <c r="P781" s="402"/>
      <c r="Q781" s="402"/>
      <c r="R781" s="402"/>
      <c r="S781" s="402"/>
      <c r="T781" s="402"/>
      <c r="U781" s="402"/>
      <c r="V781" s="402"/>
      <c r="W781" s="402"/>
      <c r="X781" s="402"/>
      <c r="Y781" s="402"/>
      <c r="Z781" s="402"/>
    </row>
    <row r="782" ht="14.25" customHeight="1">
      <c r="A782" s="402"/>
      <c r="B782" s="402"/>
      <c r="C782" s="402"/>
      <c r="D782" s="1034"/>
      <c r="E782" s="403"/>
      <c r="F782" s="403"/>
      <c r="G782" s="403"/>
      <c r="H782" s="402"/>
      <c r="I782" s="736" t="str">
        <f t="shared" si="8"/>
        <v>FULLY PAID</v>
      </c>
      <c r="J782" s="402"/>
      <c r="K782" s="402"/>
      <c r="L782" s="402"/>
      <c r="M782" s="402"/>
      <c r="N782" s="402"/>
      <c r="O782" s="402"/>
      <c r="P782" s="402"/>
      <c r="Q782" s="402"/>
      <c r="R782" s="402"/>
      <c r="S782" s="402"/>
      <c r="T782" s="402"/>
      <c r="U782" s="402"/>
      <c r="V782" s="402"/>
      <c r="W782" s="402"/>
      <c r="X782" s="402"/>
      <c r="Y782" s="402"/>
      <c r="Z782" s="402"/>
    </row>
    <row r="783" ht="14.25" customHeight="1">
      <c r="A783" s="402"/>
      <c r="B783" s="402"/>
      <c r="C783" s="402"/>
      <c r="D783" s="1034"/>
      <c r="E783" s="403"/>
      <c r="F783" s="403"/>
      <c r="G783" s="403"/>
      <c r="H783" s="402"/>
      <c r="I783" s="736" t="str">
        <f t="shared" si="8"/>
        <v>FULLY PAID</v>
      </c>
      <c r="J783" s="402"/>
      <c r="K783" s="402"/>
      <c r="L783" s="402"/>
      <c r="M783" s="402"/>
      <c r="N783" s="402"/>
      <c r="O783" s="402"/>
      <c r="P783" s="402"/>
      <c r="Q783" s="402"/>
      <c r="R783" s="402"/>
      <c r="S783" s="402"/>
      <c r="T783" s="402"/>
      <c r="U783" s="402"/>
      <c r="V783" s="402"/>
      <c r="W783" s="402"/>
      <c r="X783" s="402"/>
      <c r="Y783" s="402"/>
      <c r="Z783" s="402"/>
    </row>
    <row r="784" ht="14.25" customHeight="1">
      <c r="A784" s="402"/>
      <c r="B784" s="402"/>
      <c r="C784" s="402"/>
      <c r="D784" s="1034"/>
      <c r="E784" s="403"/>
      <c r="F784" s="403"/>
      <c r="G784" s="403"/>
      <c r="H784" s="402"/>
      <c r="I784" s="736" t="str">
        <f t="shared" si="8"/>
        <v>FULLY PAID</v>
      </c>
      <c r="J784" s="402"/>
      <c r="K784" s="402"/>
      <c r="L784" s="402"/>
      <c r="M784" s="402"/>
      <c r="N784" s="402"/>
      <c r="O784" s="402"/>
      <c r="P784" s="402"/>
      <c r="Q784" s="402"/>
      <c r="R784" s="402"/>
      <c r="S784" s="402"/>
      <c r="T784" s="402"/>
      <c r="U784" s="402"/>
      <c r="V784" s="402"/>
      <c r="W784" s="402"/>
      <c r="X784" s="402"/>
      <c r="Y784" s="402"/>
      <c r="Z784" s="402"/>
    </row>
    <row r="785" ht="14.25" customHeight="1">
      <c r="A785" s="402"/>
      <c r="B785" s="402"/>
      <c r="C785" s="402"/>
      <c r="D785" s="1034"/>
      <c r="E785" s="403"/>
      <c r="F785" s="403"/>
      <c r="G785" s="403"/>
      <c r="H785" s="402"/>
      <c r="I785" s="736" t="str">
        <f t="shared" si="8"/>
        <v>FULLY PAID</v>
      </c>
      <c r="J785" s="402"/>
      <c r="K785" s="402"/>
      <c r="L785" s="402"/>
      <c r="M785" s="402"/>
      <c r="N785" s="402"/>
      <c r="O785" s="402"/>
      <c r="P785" s="402"/>
      <c r="Q785" s="402"/>
      <c r="R785" s="402"/>
      <c r="S785" s="402"/>
      <c r="T785" s="402"/>
      <c r="U785" s="402"/>
      <c r="V785" s="402"/>
      <c r="W785" s="402"/>
      <c r="X785" s="402"/>
      <c r="Y785" s="402"/>
      <c r="Z785" s="402"/>
    </row>
    <row r="786" ht="14.25" customHeight="1">
      <c r="A786" s="497">
        <v>45517.0</v>
      </c>
      <c r="B786" s="349" t="s">
        <v>5984</v>
      </c>
      <c r="C786" s="349" t="s">
        <v>5985</v>
      </c>
      <c r="D786" s="1032" t="s">
        <v>54</v>
      </c>
      <c r="E786" s="413" t="s">
        <v>2165</v>
      </c>
      <c r="F786" s="413">
        <v>320000.0</v>
      </c>
      <c r="G786" s="403"/>
      <c r="H786" s="349" t="s">
        <v>6496</v>
      </c>
      <c r="I786" s="736" t="str">
        <f t="shared" si="8"/>
        <v>NOT PAID</v>
      </c>
      <c r="J786" s="402"/>
      <c r="K786" s="402"/>
      <c r="L786" s="402"/>
      <c r="M786" s="402"/>
      <c r="N786" s="402"/>
      <c r="O786" s="402"/>
      <c r="P786" s="402"/>
      <c r="Q786" s="402"/>
      <c r="R786" s="402"/>
      <c r="S786" s="402"/>
      <c r="T786" s="402"/>
      <c r="U786" s="402"/>
      <c r="V786" s="402"/>
      <c r="W786" s="402"/>
      <c r="X786" s="402"/>
      <c r="Y786" s="402"/>
      <c r="Z786" s="402"/>
    </row>
    <row r="787" ht="14.25" customHeight="1">
      <c r="A787" s="497">
        <v>45517.0</v>
      </c>
      <c r="B787" s="349" t="s">
        <v>5685</v>
      </c>
      <c r="C787" s="349" t="s">
        <v>6382</v>
      </c>
      <c r="D787" s="1032" t="s">
        <v>54</v>
      </c>
      <c r="E787" s="413" t="s">
        <v>2165</v>
      </c>
      <c r="F787" s="413">
        <v>100000.0</v>
      </c>
      <c r="G787" s="403"/>
      <c r="H787" s="349" t="s">
        <v>6424</v>
      </c>
      <c r="I787" s="736" t="str">
        <f t="shared" si="8"/>
        <v>NOT PAID</v>
      </c>
      <c r="J787" s="402"/>
      <c r="K787" s="402"/>
      <c r="L787" s="402"/>
      <c r="M787" s="402"/>
      <c r="N787" s="402"/>
      <c r="O787" s="402"/>
      <c r="P787" s="402"/>
      <c r="Q787" s="402"/>
      <c r="R787" s="402"/>
      <c r="S787" s="402"/>
      <c r="T787" s="402"/>
      <c r="U787" s="402"/>
      <c r="V787" s="402"/>
      <c r="W787" s="402"/>
      <c r="X787" s="402"/>
      <c r="Y787" s="402"/>
      <c r="Z787" s="402"/>
    </row>
    <row r="788" ht="14.25" customHeight="1">
      <c r="A788" s="497">
        <v>45517.0</v>
      </c>
      <c r="B788" s="349" t="s">
        <v>6044</v>
      </c>
      <c r="C788" s="349" t="s">
        <v>6384</v>
      </c>
      <c r="D788" s="1032" t="s">
        <v>54</v>
      </c>
      <c r="E788" s="413" t="s">
        <v>2165</v>
      </c>
      <c r="F788" s="413">
        <v>100000.0</v>
      </c>
      <c r="G788" s="403"/>
      <c r="H788" s="349" t="s">
        <v>6385</v>
      </c>
      <c r="I788" s="736" t="str">
        <f t="shared" si="8"/>
        <v>NOT PAID</v>
      </c>
      <c r="J788" s="402"/>
      <c r="K788" s="402"/>
      <c r="L788" s="402"/>
      <c r="M788" s="402"/>
      <c r="N788" s="402"/>
      <c r="O788" s="402"/>
      <c r="P788" s="402"/>
      <c r="Q788" s="402"/>
      <c r="R788" s="402"/>
      <c r="S788" s="402"/>
      <c r="T788" s="402"/>
      <c r="U788" s="402"/>
      <c r="V788" s="402"/>
      <c r="W788" s="402"/>
      <c r="X788" s="402"/>
      <c r="Y788" s="402"/>
      <c r="Z788" s="402"/>
    </row>
    <row r="789" ht="14.25" customHeight="1">
      <c r="A789" s="497">
        <v>45517.0</v>
      </c>
      <c r="B789" s="349" t="s">
        <v>6249</v>
      </c>
      <c r="C789" s="349" t="s">
        <v>6538</v>
      </c>
      <c r="D789" s="1032" t="s">
        <v>54</v>
      </c>
      <c r="E789" s="413" t="s">
        <v>2165</v>
      </c>
      <c r="F789" s="413">
        <v>99745.0</v>
      </c>
      <c r="G789" s="413">
        <v>99745.0</v>
      </c>
      <c r="H789" s="402"/>
      <c r="I789" s="736" t="str">
        <f t="shared" si="8"/>
        <v>FULLY PAID</v>
      </c>
      <c r="J789" s="402"/>
      <c r="K789" s="402"/>
      <c r="L789" s="402"/>
      <c r="M789" s="402"/>
      <c r="N789" s="402"/>
      <c r="O789" s="402"/>
      <c r="P789" s="402"/>
      <c r="Q789" s="402"/>
      <c r="R789" s="402"/>
      <c r="S789" s="402"/>
      <c r="T789" s="402"/>
      <c r="U789" s="402"/>
      <c r="V789" s="402"/>
      <c r="W789" s="402"/>
      <c r="X789" s="402"/>
      <c r="Y789" s="402"/>
      <c r="Z789" s="402"/>
    </row>
    <row r="790" ht="14.25" customHeight="1">
      <c r="A790" s="497">
        <v>45517.0</v>
      </c>
      <c r="B790" s="349" t="s">
        <v>5618</v>
      </c>
      <c r="C790" s="349" t="s">
        <v>6539</v>
      </c>
      <c r="D790" s="1032" t="s">
        <v>54</v>
      </c>
      <c r="E790" s="413" t="s">
        <v>4114</v>
      </c>
      <c r="F790" s="413">
        <v>90000.0</v>
      </c>
      <c r="G790" s="413">
        <v>90000.0</v>
      </c>
      <c r="H790" s="349" t="s">
        <v>267</v>
      </c>
      <c r="I790" s="736" t="str">
        <f t="shared" si="8"/>
        <v>FULLY PAID</v>
      </c>
      <c r="J790" s="402"/>
      <c r="K790" s="402"/>
      <c r="L790" s="402"/>
      <c r="M790" s="402"/>
      <c r="N790" s="402"/>
      <c r="O790" s="402"/>
      <c r="P790" s="402"/>
      <c r="Q790" s="402"/>
      <c r="R790" s="402"/>
      <c r="S790" s="402"/>
      <c r="T790" s="402"/>
      <c r="U790" s="402"/>
      <c r="V790" s="402"/>
      <c r="W790" s="402"/>
      <c r="X790" s="402"/>
      <c r="Y790" s="402"/>
      <c r="Z790" s="402"/>
    </row>
    <row r="791" ht="14.25" customHeight="1">
      <c r="A791" s="497">
        <v>45517.0</v>
      </c>
      <c r="B791" s="349" t="s">
        <v>6190</v>
      </c>
      <c r="C791" s="349" t="s">
        <v>6540</v>
      </c>
      <c r="D791" s="1032" t="s">
        <v>6440</v>
      </c>
      <c r="E791" s="413" t="s">
        <v>4114</v>
      </c>
      <c r="F791" s="413">
        <v>65000.0</v>
      </c>
      <c r="G791" s="403"/>
      <c r="H791" s="349" t="s">
        <v>6541</v>
      </c>
      <c r="I791" s="736" t="str">
        <f t="shared" si="8"/>
        <v>NOT PAID</v>
      </c>
      <c r="J791" s="402"/>
      <c r="K791" s="402"/>
      <c r="L791" s="402"/>
      <c r="M791" s="402"/>
      <c r="N791" s="402"/>
      <c r="O791" s="402"/>
      <c r="P791" s="402"/>
      <c r="Q791" s="402"/>
      <c r="R791" s="402"/>
      <c r="S791" s="402"/>
      <c r="T791" s="402"/>
      <c r="U791" s="402"/>
      <c r="V791" s="402"/>
      <c r="W791" s="402"/>
      <c r="X791" s="402"/>
      <c r="Y791" s="402"/>
      <c r="Z791" s="402"/>
    </row>
    <row r="792" ht="14.25" customHeight="1">
      <c r="A792" s="497">
        <v>45517.0</v>
      </c>
      <c r="B792" s="349" t="s">
        <v>5628</v>
      </c>
      <c r="C792" s="349" t="s">
        <v>6135</v>
      </c>
      <c r="D792" s="1032" t="s">
        <v>54</v>
      </c>
      <c r="E792" s="413" t="s">
        <v>4114</v>
      </c>
      <c r="F792" s="413">
        <v>42000.0</v>
      </c>
      <c r="G792" s="403"/>
      <c r="H792" s="349" t="s">
        <v>6542</v>
      </c>
      <c r="I792" s="736" t="str">
        <f t="shared" si="8"/>
        <v>NOT PAID</v>
      </c>
      <c r="J792" s="402"/>
      <c r="K792" s="402"/>
      <c r="L792" s="402"/>
      <c r="M792" s="402"/>
      <c r="N792" s="402"/>
      <c r="O792" s="402"/>
      <c r="P792" s="402"/>
      <c r="Q792" s="402"/>
      <c r="R792" s="402"/>
      <c r="S792" s="402"/>
      <c r="T792" s="402"/>
      <c r="U792" s="402"/>
      <c r="V792" s="402"/>
      <c r="W792" s="402"/>
      <c r="X792" s="402"/>
      <c r="Y792" s="402"/>
      <c r="Z792" s="402"/>
    </row>
    <row r="793" ht="14.25" customHeight="1">
      <c r="A793" s="497">
        <v>45517.0</v>
      </c>
      <c r="B793" s="349" t="s">
        <v>5727</v>
      </c>
      <c r="C793" s="349" t="s">
        <v>6543</v>
      </c>
      <c r="D793" s="1032" t="s">
        <v>54</v>
      </c>
      <c r="E793" s="413" t="s">
        <v>4114</v>
      </c>
      <c r="F793" s="413">
        <v>70000.0</v>
      </c>
      <c r="G793" s="413">
        <v>70000.0</v>
      </c>
      <c r="H793" s="349" t="s">
        <v>267</v>
      </c>
      <c r="I793" s="736" t="str">
        <f t="shared" si="8"/>
        <v>FULLY PAID</v>
      </c>
      <c r="J793" s="402"/>
      <c r="K793" s="402"/>
      <c r="L793" s="402"/>
      <c r="M793" s="402"/>
      <c r="N793" s="402"/>
      <c r="O793" s="402"/>
      <c r="P793" s="402"/>
      <c r="Q793" s="402"/>
      <c r="R793" s="402"/>
      <c r="S793" s="402"/>
      <c r="T793" s="402"/>
      <c r="U793" s="402"/>
      <c r="V793" s="402"/>
      <c r="W793" s="402"/>
      <c r="X793" s="402"/>
      <c r="Y793" s="402"/>
      <c r="Z793" s="402"/>
    </row>
    <row r="794" ht="14.25" customHeight="1">
      <c r="A794" s="497">
        <v>45517.0</v>
      </c>
      <c r="B794" s="349" t="s">
        <v>6185</v>
      </c>
      <c r="C794" s="349" t="s">
        <v>6544</v>
      </c>
      <c r="D794" s="1032" t="s">
        <v>54</v>
      </c>
      <c r="E794" s="413" t="s">
        <v>4114</v>
      </c>
      <c r="F794" s="413">
        <v>43698.0</v>
      </c>
      <c r="G794" s="403"/>
      <c r="H794" s="349" t="s">
        <v>6545</v>
      </c>
      <c r="I794" s="736" t="str">
        <f t="shared" si="8"/>
        <v>NOT PAID</v>
      </c>
      <c r="J794" s="402"/>
      <c r="K794" s="402"/>
      <c r="L794" s="402"/>
      <c r="M794" s="402"/>
      <c r="N794" s="402"/>
      <c r="O794" s="402"/>
      <c r="P794" s="402"/>
      <c r="Q794" s="402"/>
      <c r="R794" s="402"/>
      <c r="S794" s="402"/>
      <c r="T794" s="402"/>
      <c r="U794" s="402"/>
      <c r="V794" s="402"/>
      <c r="W794" s="402"/>
      <c r="X794" s="402"/>
      <c r="Y794" s="402"/>
      <c r="Z794" s="402"/>
    </row>
    <row r="795" ht="14.25" customHeight="1">
      <c r="A795" s="497">
        <v>45517.0</v>
      </c>
      <c r="B795" s="349" t="s">
        <v>6425</v>
      </c>
      <c r="C795" s="349" t="s">
        <v>6426</v>
      </c>
      <c r="D795" s="1032" t="s">
        <v>59</v>
      </c>
      <c r="E795" s="413" t="s">
        <v>273</v>
      </c>
      <c r="F795" s="413">
        <v>3000000.0</v>
      </c>
      <c r="G795" s="413">
        <v>460000.0</v>
      </c>
      <c r="H795" s="349" t="s">
        <v>267</v>
      </c>
      <c r="I795" s="736" t="str">
        <f t="shared" si="8"/>
        <v>PARTIALLY PAID</v>
      </c>
      <c r="J795" s="402"/>
      <c r="K795" s="402"/>
      <c r="L795" s="402"/>
      <c r="M795" s="402"/>
      <c r="N795" s="402"/>
      <c r="O795" s="402"/>
      <c r="P795" s="402"/>
      <c r="Q795" s="402"/>
      <c r="R795" s="402"/>
      <c r="S795" s="402"/>
      <c r="T795" s="402"/>
      <c r="U795" s="402"/>
      <c r="V795" s="402"/>
      <c r="W795" s="402"/>
      <c r="X795" s="402"/>
      <c r="Y795" s="402"/>
      <c r="Z795" s="402"/>
    </row>
    <row r="796" ht="14.25" customHeight="1">
      <c r="A796" s="402"/>
      <c r="B796" s="402"/>
      <c r="C796" s="402"/>
      <c r="D796" s="1034"/>
      <c r="E796" s="403"/>
      <c r="F796" s="403"/>
      <c r="G796" s="403"/>
      <c r="H796" s="402"/>
      <c r="I796" s="736" t="str">
        <f t="shared" si="8"/>
        <v>FULLY PAID</v>
      </c>
      <c r="J796" s="402"/>
      <c r="K796" s="402"/>
      <c r="L796" s="402"/>
      <c r="M796" s="402"/>
      <c r="N796" s="402"/>
      <c r="O796" s="402"/>
      <c r="P796" s="402"/>
      <c r="Q796" s="402"/>
      <c r="R796" s="402"/>
      <c r="S796" s="402"/>
      <c r="T796" s="402"/>
      <c r="U796" s="402"/>
      <c r="V796" s="402"/>
      <c r="W796" s="402"/>
      <c r="X796" s="402"/>
      <c r="Y796" s="402"/>
      <c r="Z796" s="402"/>
    </row>
    <row r="797" ht="14.25" customHeight="1">
      <c r="A797" s="402"/>
      <c r="B797" s="402"/>
      <c r="C797" s="402"/>
      <c r="D797" s="1034"/>
      <c r="E797" s="403"/>
      <c r="F797" s="403"/>
      <c r="G797" s="403"/>
      <c r="H797" s="402"/>
      <c r="I797" s="736" t="str">
        <f t="shared" si="8"/>
        <v>FULLY PAID</v>
      </c>
      <c r="J797" s="402"/>
      <c r="K797" s="402"/>
      <c r="L797" s="402"/>
      <c r="M797" s="402"/>
      <c r="N797" s="402"/>
      <c r="O797" s="402"/>
      <c r="P797" s="402"/>
      <c r="Q797" s="402"/>
      <c r="R797" s="402"/>
      <c r="S797" s="402"/>
      <c r="T797" s="402"/>
      <c r="U797" s="402"/>
      <c r="V797" s="402"/>
      <c r="W797" s="402"/>
      <c r="X797" s="402"/>
      <c r="Y797" s="402"/>
      <c r="Z797" s="402"/>
    </row>
    <row r="798" ht="14.25" customHeight="1">
      <c r="A798" s="1094"/>
      <c r="B798" s="1095">
        <v>45518.0</v>
      </c>
      <c r="C798" s="1094"/>
      <c r="D798" s="1096"/>
      <c r="E798" s="1097"/>
      <c r="F798" s="1097"/>
      <c r="G798" s="1097"/>
      <c r="H798" s="1094"/>
      <c r="I798" s="736" t="str">
        <f t="shared" si="8"/>
        <v>FULLY PAID</v>
      </c>
      <c r="J798" s="1094"/>
      <c r="K798" s="1094"/>
      <c r="L798" s="1094"/>
      <c r="M798" s="1094"/>
      <c r="N798" s="1094"/>
      <c r="O798" s="1094"/>
      <c r="P798" s="1094"/>
      <c r="Q798" s="1094"/>
      <c r="R798" s="1094"/>
      <c r="S798" s="1094"/>
      <c r="T798" s="1094"/>
      <c r="U798" s="1094"/>
      <c r="V798" s="1094"/>
      <c r="W798" s="1094"/>
      <c r="X798" s="1094"/>
      <c r="Y798" s="1094"/>
      <c r="Z798" s="1094"/>
    </row>
    <row r="799" ht="14.25" customHeight="1">
      <c r="A799" s="497">
        <v>45518.0</v>
      </c>
      <c r="B799" s="1" t="s">
        <v>6175</v>
      </c>
      <c r="C799" s="1" t="s">
        <v>6176</v>
      </c>
      <c r="D799" s="1032" t="s">
        <v>54</v>
      </c>
      <c r="E799" s="413" t="s">
        <v>6511</v>
      </c>
      <c r="F799" s="413">
        <v>16000.0</v>
      </c>
      <c r="G799" s="403"/>
      <c r="H799" s="349" t="s">
        <v>772</v>
      </c>
      <c r="I799" s="736" t="str">
        <f t="shared" si="8"/>
        <v>NOT PAID</v>
      </c>
      <c r="J799" s="402"/>
      <c r="K799" s="402"/>
      <c r="L799" s="402"/>
      <c r="M799" s="402"/>
      <c r="N799" s="402"/>
      <c r="O799" s="402"/>
      <c r="P799" s="402"/>
      <c r="Q799" s="402"/>
      <c r="R799" s="402"/>
      <c r="S799" s="402"/>
      <c r="T799" s="402"/>
      <c r="U799" s="402"/>
      <c r="V799" s="402"/>
      <c r="W799" s="402"/>
      <c r="X799" s="402"/>
      <c r="Y799" s="402"/>
      <c r="Z799" s="402"/>
    </row>
    <row r="800" ht="14.25" customHeight="1">
      <c r="A800" s="497">
        <v>45518.0</v>
      </c>
      <c r="B800" s="349" t="s">
        <v>6546</v>
      </c>
      <c r="C800" s="349" t="s">
        <v>6547</v>
      </c>
      <c r="D800" s="1032" t="s">
        <v>54</v>
      </c>
      <c r="E800" s="413" t="s">
        <v>6505</v>
      </c>
      <c r="F800" s="413">
        <v>15655.76</v>
      </c>
      <c r="G800" s="403"/>
      <c r="H800" s="349" t="s">
        <v>6548</v>
      </c>
      <c r="I800" s="736" t="str">
        <f t="shared" si="8"/>
        <v>NOT PAID</v>
      </c>
      <c r="J800" s="402"/>
      <c r="K800" s="402"/>
      <c r="L800" s="402"/>
      <c r="M800" s="402"/>
      <c r="N800" s="402"/>
      <c r="O800" s="402"/>
      <c r="P800" s="402"/>
      <c r="Q800" s="402"/>
      <c r="R800" s="402"/>
      <c r="S800" s="402"/>
      <c r="T800" s="402"/>
      <c r="U800" s="402"/>
      <c r="V800" s="402"/>
      <c r="W800" s="402"/>
      <c r="X800" s="402"/>
      <c r="Y800" s="402"/>
      <c r="Z800" s="402"/>
    </row>
    <row r="801" ht="14.25" customHeight="1">
      <c r="A801" s="497">
        <v>45518.0</v>
      </c>
      <c r="B801" s="349" t="s">
        <v>6549</v>
      </c>
      <c r="C801" s="349" t="s">
        <v>6550</v>
      </c>
      <c r="D801" s="1032" t="s">
        <v>346</v>
      </c>
      <c r="E801" s="413" t="s">
        <v>6505</v>
      </c>
      <c r="F801" s="413">
        <v>9244.69</v>
      </c>
      <c r="G801" s="413">
        <v>15000.0</v>
      </c>
      <c r="H801" s="1098" t="s">
        <v>267</v>
      </c>
      <c r="I801" s="736" t="str">
        <f t="shared" si="8"/>
        <v>FULLY PAID</v>
      </c>
      <c r="J801" s="402"/>
      <c r="K801" s="402"/>
      <c r="L801" s="402"/>
      <c r="M801" s="402"/>
      <c r="N801" s="402"/>
      <c r="O801" s="402"/>
      <c r="P801" s="402"/>
      <c r="Q801" s="402"/>
      <c r="R801" s="402"/>
      <c r="S801" s="402"/>
      <c r="T801" s="402"/>
      <c r="U801" s="402"/>
      <c r="V801" s="402"/>
      <c r="W801" s="402"/>
      <c r="X801" s="402"/>
      <c r="Y801" s="402"/>
      <c r="Z801" s="402"/>
    </row>
    <row r="802" ht="14.25" customHeight="1">
      <c r="A802" s="497">
        <v>45518.0</v>
      </c>
      <c r="B802" s="349" t="s">
        <v>6551</v>
      </c>
      <c r="C802" s="349" t="s">
        <v>6110</v>
      </c>
      <c r="D802" s="1032" t="s">
        <v>54</v>
      </c>
      <c r="E802" s="413" t="s">
        <v>6517</v>
      </c>
      <c r="F802" s="413">
        <v>2844.18</v>
      </c>
      <c r="G802" s="403"/>
      <c r="H802" s="349" t="s">
        <v>6552</v>
      </c>
      <c r="I802" s="736" t="str">
        <f t="shared" si="8"/>
        <v>NOT PAID</v>
      </c>
      <c r="J802" s="402"/>
      <c r="K802" s="402"/>
      <c r="L802" s="402"/>
      <c r="M802" s="402"/>
      <c r="N802" s="402"/>
      <c r="O802" s="402"/>
      <c r="P802" s="402"/>
      <c r="Q802" s="402"/>
      <c r="R802" s="402"/>
      <c r="S802" s="402"/>
      <c r="T802" s="402"/>
      <c r="U802" s="402"/>
      <c r="V802" s="402"/>
      <c r="W802" s="402"/>
      <c r="X802" s="402"/>
      <c r="Y802" s="402"/>
      <c r="Z802" s="402"/>
    </row>
    <row r="803" ht="14.25" customHeight="1">
      <c r="A803" s="497">
        <v>45518.0</v>
      </c>
      <c r="B803" s="349" t="s">
        <v>6553</v>
      </c>
      <c r="C803" s="349" t="s">
        <v>6554</v>
      </c>
      <c r="D803" s="1032" t="s">
        <v>54</v>
      </c>
      <c r="E803" s="413" t="s">
        <v>6517</v>
      </c>
      <c r="F803" s="413">
        <v>168360.28</v>
      </c>
      <c r="G803" s="403"/>
      <c r="H803" s="349" t="s">
        <v>267</v>
      </c>
      <c r="I803" s="736" t="str">
        <f t="shared" si="8"/>
        <v>NOT PAID</v>
      </c>
      <c r="J803" s="402"/>
      <c r="K803" s="402"/>
      <c r="L803" s="402"/>
      <c r="M803" s="402"/>
      <c r="N803" s="402"/>
      <c r="O803" s="402"/>
      <c r="P803" s="402"/>
      <c r="Q803" s="402"/>
      <c r="R803" s="402"/>
      <c r="S803" s="402"/>
      <c r="T803" s="402"/>
      <c r="U803" s="402"/>
      <c r="V803" s="402"/>
      <c r="W803" s="402"/>
      <c r="X803" s="402"/>
      <c r="Y803" s="402"/>
      <c r="Z803" s="402"/>
    </row>
    <row r="804" ht="14.25" customHeight="1">
      <c r="A804" s="497">
        <v>45518.0</v>
      </c>
      <c r="B804" s="349" t="s">
        <v>6555</v>
      </c>
      <c r="C804" s="349" t="s">
        <v>5832</v>
      </c>
      <c r="D804" s="1032" t="s">
        <v>54</v>
      </c>
      <c r="E804" s="413" t="s">
        <v>6505</v>
      </c>
      <c r="F804" s="413">
        <v>8352.91</v>
      </c>
      <c r="G804" s="403"/>
      <c r="H804" s="349" t="s">
        <v>6556</v>
      </c>
      <c r="I804" s="736" t="str">
        <f t="shared" si="8"/>
        <v>NOT PAID</v>
      </c>
      <c r="J804" s="402"/>
      <c r="K804" s="402"/>
      <c r="L804" s="402"/>
      <c r="M804" s="402"/>
      <c r="N804" s="402"/>
      <c r="O804" s="402"/>
      <c r="P804" s="402"/>
      <c r="Q804" s="402"/>
      <c r="R804" s="402"/>
      <c r="S804" s="402"/>
      <c r="T804" s="402"/>
      <c r="U804" s="402"/>
      <c r="V804" s="402"/>
      <c r="W804" s="402"/>
      <c r="X804" s="402"/>
      <c r="Y804" s="402"/>
      <c r="Z804" s="402"/>
    </row>
    <row r="805" ht="14.25" customHeight="1">
      <c r="A805" s="497">
        <v>45518.0</v>
      </c>
      <c r="B805" s="349" t="s">
        <v>6557</v>
      </c>
      <c r="C805" s="349" t="s">
        <v>6558</v>
      </c>
      <c r="D805" s="1032" t="s">
        <v>54</v>
      </c>
      <c r="E805" s="413" t="s">
        <v>6511</v>
      </c>
      <c r="F805" s="413">
        <v>27224.57</v>
      </c>
      <c r="G805" s="403"/>
      <c r="H805" s="349" t="s">
        <v>6559</v>
      </c>
      <c r="I805" s="736" t="str">
        <f t="shared" si="8"/>
        <v>NOT PAID</v>
      </c>
      <c r="J805" s="402"/>
      <c r="K805" s="402"/>
      <c r="L805" s="402"/>
      <c r="M805" s="402"/>
      <c r="N805" s="402"/>
      <c r="O805" s="402"/>
      <c r="P805" s="402"/>
      <c r="Q805" s="402"/>
      <c r="R805" s="402"/>
      <c r="S805" s="402"/>
      <c r="T805" s="402"/>
      <c r="U805" s="402"/>
      <c r="V805" s="402"/>
      <c r="W805" s="402"/>
      <c r="X805" s="402"/>
      <c r="Y805" s="402"/>
      <c r="Z805" s="402"/>
    </row>
    <row r="806" ht="14.25" customHeight="1">
      <c r="A806" s="497">
        <v>45518.0</v>
      </c>
      <c r="B806" s="349" t="s">
        <v>6299</v>
      </c>
      <c r="C806" s="349" t="s">
        <v>6300</v>
      </c>
      <c r="D806" s="1032" t="s">
        <v>54</v>
      </c>
      <c r="E806" s="413" t="s">
        <v>6523</v>
      </c>
      <c r="F806" s="413">
        <v>13423.13</v>
      </c>
      <c r="G806" s="403"/>
      <c r="H806" s="1098" t="s">
        <v>6560</v>
      </c>
      <c r="I806" s="736" t="str">
        <f t="shared" si="8"/>
        <v>NOT PAID</v>
      </c>
      <c r="J806" s="402"/>
      <c r="K806" s="402"/>
      <c r="L806" s="402"/>
      <c r="M806" s="402"/>
      <c r="N806" s="402"/>
      <c r="O806" s="402"/>
      <c r="P806" s="402"/>
      <c r="Q806" s="402"/>
      <c r="R806" s="402"/>
      <c r="S806" s="402"/>
      <c r="T806" s="402"/>
      <c r="U806" s="402"/>
      <c r="V806" s="402"/>
      <c r="W806" s="402"/>
      <c r="X806" s="402"/>
      <c r="Y806" s="402"/>
      <c r="Z806" s="402"/>
    </row>
    <row r="807" ht="14.25" customHeight="1">
      <c r="A807" s="497">
        <v>45518.0</v>
      </c>
      <c r="B807" s="349" t="s">
        <v>6561</v>
      </c>
      <c r="C807" s="349" t="s">
        <v>6562</v>
      </c>
      <c r="D807" s="1032" t="s">
        <v>54</v>
      </c>
      <c r="E807" s="413" t="s">
        <v>6563</v>
      </c>
      <c r="F807" s="413">
        <v>133803.64</v>
      </c>
      <c r="G807" s="413"/>
      <c r="H807" s="349" t="s">
        <v>6564</v>
      </c>
      <c r="I807" s="736" t="str">
        <f t="shared" si="8"/>
        <v>NOT PAID</v>
      </c>
      <c r="J807" s="402"/>
      <c r="K807" s="402"/>
      <c r="L807" s="402"/>
      <c r="M807" s="402"/>
      <c r="N807" s="402"/>
      <c r="O807" s="402"/>
      <c r="P807" s="402"/>
      <c r="Q807" s="402"/>
      <c r="R807" s="402"/>
      <c r="S807" s="402"/>
      <c r="T807" s="402"/>
      <c r="U807" s="402"/>
      <c r="V807" s="402"/>
      <c r="W807" s="402"/>
      <c r="X807" s="402"/>
      <c r="Y807" s="402"/>
      <c r="Z807" s="402"/>
    </row>
    <row r="808" ht="14.25" customHeight="1">
      <c r="A808" s="497">
        <v>45518.0</v>
      </c>
      <c r="B808" s="349" t="s">
        <v>6565</v>
      </c>
      <c r="C808" s="349" t="s">
        <v>6566</v>
      </c>
      <c r="D808" s="1032" t="s">
        <v>54</v>
      </c>
      <c r="E808" s="413" t="s">
        <v>6511</v>
      </c>
      <c r="F808" s="413">
        <v>19123.56</v>
      </c>
      <c r="G808" s="403"/>
      <c r="H808" s="349" t="s">
        <v>6567</v>
      </c>
      <c r="I808" s="736" t="str">
        <f t="shared" si="8"/>
        <v>NOT PAID</v>
      </c>
      <c r="J808" s="402"/>
      <c r="K808" s="402"/>
      <c r="L808" s="402"/>
      <c r="M808" s="402"/>
      <c r="N808" s="402"/>
      <c r="O808" s="402"/>
      <c r="P808" s="402"/>
      <c r="Q808" s="402"/>
      <c r="R808" s="402"/>
      <c r="S808" s="402"/>
      <c r="T808" s="402"/>
      <c r="U808" s="402"/>
      <c r="V808" s="402"/>
      <c r="W808" s="402"/>
      <c r="X808" s="402"/>
      <c r="Y808" s="402"/>
      <c r="Z808" s="402"/>
    </row>
    <row r="809" ht="14.25" customHeight="1">
      <c r="A809" s="497">
        <v>45518.0</v>
      </c>
      <c r="B809" s="349" t="s">
        <v>6568</v>
      </c>
      <c r="C809" s="349" t="s">
        <v>6569</v>
      </c>
      <c r="D809" s="1032" t="s">
        <v>54</v>
      </c>
      <c r="E809" s="413" t="s">
        <v>6563</v>
      </c>
      <c r="F809" s="413">
        <v>42372.45</v>
      </c>
      <c r="G809" s="403"/>
      <c r="H809" s="1098" t="s">
        <v>6570</v>
      </c>
      <c r="I809" s="736" t="str">
        <f t="shared" si="8"/>
        <v>NOT PAID</v>
      </c>
      <c r="J809" s="402"/>
      <c r="K809" s="402"/>
      <c r="L809" s="402"/>
      <c r="M809" s="402"/>
      <c r="N809" s="402"/>
      <c r="O809" s="402"/>
      <c r="P809" s="402"/>
      <c r="Q809" s="402"/>
      <c r="R809" s="402"/>
      <c r="S809" s="402"/>
      <c r="T809" s="402"/>
      <c r="U809" s="402"/>
      <c r="V809" s="402"/>
      <c r="W809" s="402"/>
      <c r="X809" s="402"/>
      <c r="Y809" s="402"/>
      <c r="Z809" s="402"/>
    </row>
    <row r="810" ht="14.25" customHeight="1">
      <c r="A810" s="497">
        <v>45518.0</v>
      </c>
      <c r="B810" s="349" t="s">
        <v>6571</v>
      </c>
      <c r="C810" s="349" t="s">
        <v>6572</v>
      </c>
      <c r="D810" s="1032" t="s">
        <v>54</v>
      </c>
      <c r="E810" s="413" t="s">
        <v>6563</v>
      </c>
      <c r="F810" s="413">
        <v>54114.92</v>
      </c>
      <c r="G810" s="413">
        <v>54114.92</v>
      </c>
      <c r="H810" s="1098" t="s">
        <v>267</v>
      </c>
      <c r="I810" s="736" t="str">
        <f t="shared" si="8"/>
        <v>FULLY PAID</v>
      </c>
      <c r="J810" s="402"/>
      <c r="K810" s="402"/>
      <c r="L810" s="402"/>
      <c r="M810" s="402"/>
      <c r="N810" s="402"/>
      <c r="O810" s="402"/>
      <c r="P810" s="402"/>
      <c r="Q810" s="402"/>
      <c r="R810" s="402"/>
      <c r="S810" s="402"/>
      <c r="T810" s="402"/>
      <c r="U810" s="402"/>
      <c r="V810" s="402"/>
      <c r="W810" s="402"/>
      <c r="X810" s="402"/>
      <c r="Y810" s="402"/>
      <c r="Z810" s="402"/>
    </row>
    <row r="811" ht="14.25" customHeight="1">
      <c r="A811" s="497">
        <v>45518.0</v>
      </c>
      <c r="B811" s="349" t="s">
        <v>6573</v>
      </c>
      <c r="C811" s="349" t="s">
        <v>5899</v>
      </c>
      <c r="D811" s="1032" t="s">
        <v>75</v>
      </c>
      <c r="E811" s="413" t="s">
        <v>6505</v>
      </c>
      <c r="F811" s="413">
        <v>187000.0</v>
      </c>
      <c r="G811" s="413">
        <v>187000.0</v>
      </c>
      <c r="H811" s="349" t="s">
        <v>267</v>
      </c>
      <c r="I811" s="736" t="str">
        <f t="shared" si="8"/>
        <v>FULLY PAID</v>
      </c>
      <c r="J811" s="402"/>
      <c r="K811" s="402"/>
      <c r="L811" s="402"/>
      <c r="M811" s="402"/>
      <c r="N811" s="402"/>
      <c r="O811" s="402"/>
      <c r="P811" s="402"/>
      <c r="Q811" s="402"/>
      <c r="R811" s="402"/>
      <c r="S811" s="402"/>
      <c r="T811" s="402"/>
      <c r="U811" s="402"/>
      <c r="V811" s="402"/>
      <c r="W811" s="402"/>
      <c r="X811" s="402"/>
      <c r="Y811" s="402"/>
      <c r="Z811" s="402"/>
    </row>
    <row r="812" ht="14.25" customHeight="1">
      <c r="A812" s="497">
        <v>45518.0</v>
      </c>
      <c r="B812" s="349" t="s">
        <v>6503</v>
      </c>
      <c r="C812" s="349" t="s">
        <v>6504</v>
      </c>
      <c r="D812" s="1032" t="s">
        <v>54</v>
      </c>
      <c r="E812" s="413" t="s">
        <v>6505</v>
      </c>
      <c r="F812" s="413">
        <v>20134.69</v>
      </c>
      <c r="G812" s="403"/>
      <c r="H812" s="349" t="s">
        <v>6574</v>
      </c>
      <c r="I812" s="736" t="str">
        <f t="shared" si="8"/>
        <v>NOT PAID</v>
      </c>
      <c r="J812" s="402"/>
      <c r="K812" s="402"/>
      <c r="L812" s="402"/>
      <c r="M812" s="402"/>
      <c r="N812" s="402"/>
      <c r="O812" s="402"/>
      <c r="P812" s="402"/>
      <c r="Q812" s="402"/>
      <c r="R812" s="402"/>
      <c r="S812" s="402"/>
      <c r="T812" s="402"/>
      <c r="U812" s="402"/>
      <c r="V812" s="402"/>
      <c r="W812" s="402"/>
      <c r="X812" s="402"/>
      <c r="Y812" s="402"/>
      <c r="Z812" s="402"/>
    </row>
    <row r="813" ht="14.25" customHeight="1">
      <c r="A813" s="497">
        <v>45518.0</v>
      </c>
      <c r="B813" s="349" t="s">
        <v>6507</v>
      </c>
      <c r="C813" s="349" t="s">
        <v>6508</v>
      </c>
      <c r="D813" s="1032" t="s">
        <v>54</v>
      </c>
      <c r="E813" s="413" t="s">
        <v>6505</v>
      </c>
      <c r="F813" s="413">
        <v>23294.6</v>
      </c>
      <c r="G813" s="403"/>
      <c r="H813" s="349" t="s">
        <v>6575</v>
      </c>
      <c r="I813" s="736" t="str">
        <f t="shared" si="8"/>
        <v>NOT PAID</v>
      </c>
      <c r="J813" s="402"/>
      <c r="K813" s="402"/>
      <c r="L813" s="402"/>
      <c r="M813" s="402"/>
      <c r="N813" s="402"/>
      <c r="O813" s="402"/>
      <c r="P813" s="402"/>
      <c r="Q813" s="402"/>
      <c r="R813" s="402"/>
      <c r="S813" s="402"/>
      <c r="T813" s="402"/>
      <c r="U813" s="402"/>
      <c r="V813" s="402"/>
      <c r="W813" s="402"/>
      <c r="X813" s="402"/>
      <c r="Y813" s="402"/>
      <c r="Z813" s="402"/>
    </row>
    <row r="814" ht="14.25" customHeight="1">
      <c r="A814" s="497">
        <v>45518.0</v>
      </c>
      <c r="B814" s="349" t="s">
        <v>6515</v>
      </c>
      <c r="C814" s="349" t="s">
        <v>6516</v>
      </c>
      <c r="D814" s="1032" t="s">
        <v>54</v>
      </c>
      <c r="E814" s="413" t="s">
        <v>6517</v>
      </c>
      <c r="F814" s="413">
        <v>4625.64</v>
      </c>
      <c r="G814" s="403"/>
      <c r="H814" s="349" t="s">
        <v>6576</v>
      </c>
      <c r="I814" s="736" t="str">
        <f t="shared" si="8"/>
        <v>NOT PAID</v>
      </c>
      <c r="J814" s="402"/>
      <c r="K814" s="402"/>
      <c r="L814" s="402"/>
      <c r="M814" s="402"/>
      <c r="N814" s="402"/>
      <c r="O814" s="402"/>
      <c r="P814" s="402"/>
      <c r="Q814" s="402"/>
      <c r="R814" s="402"/>
      <c r="S814" s="402"/>
      <c r="T814" s="402"/>
      <c r="U814" s="402"/>
      <c r="V814" s="402"/>
      <c r="W814" s="402"/>
      <c r="X814" s="402"/>
      <c r="Y814" s="402"/>
      <c r="Z814" s="402"/>
    </row>
    <row r="815" ht="14.25" customHeight="1">
      <c r="A815" s="497">
        <v>45518.0</v>
      </c>
      <c r="B815" s="349" t="s">
        <v>6521</v>
      </c>
      <c r="C815" s="349" t="s">
        <v>5650</v>
      </c>
      <c r="D815" s="1032" t="s">
        <v>75</v>
      </c>
      <c r="E815" s="413" t="s">
        <v>6517</v>
      </c>
      <c r="F815" s="413">
        <v>77000.0</v>
      </c>
      <c r="G815" s="403"/>
      <c r="H815" s="349" t="s">
        <v>6416</v>
      </c>
      <c r="I815" s="736" t="str">
        <f t="shared" si="8"/>
        <v>NOT PAID</v>
      </c>
      <c r="J815" s="402"/>
      <c r="K815" s="402"/>
      <c r="L815" s="402"/>
      <c r="M815" s="402"/>
      <c r="N815" s="402"/>
      <c r="O815" s="402"/>
      <c r="P815" s="402"/>
      <c r="Q815" s="402"/>
      <c r="R815" s="402"/>
      <c r="S815" s="402"/>
      <c r="T815" s="402"/>
      <c r="U815" s="402"/>
      <c r="V815" s="402"/>
      <c r="W815" s="402"/>
      <c r="X815" s="402"/>
      <c r="Y815" s="402"/>
      <c r="Z815" s="402"/>
    </row>
    <row r="816" ht="14.25" customHeight="1">
      <c r="A816" s="497">
        <v>45518.0</v>
      </c>
      <c r="B816" s="349" t="s">
        <v>6452</v>
      </c>
      <c r="C816" s="349" t="s">
        <v>6453</v>
      </c>
      <c r="D816" s="1032" t="s">
        <v>54</v>
      </c>
      <c r="E816" s="413" t="s">
        <v>6517</v>
      </c>
      <c r="F816" s="413">
        <v>599181.94</v>
      </c>
      <c r="G816" s="403"/>
      <c r="H816" s="349" t="s">
        <v>6454</v>
      </c>
      <c r="I816" s="736" t="str">
        <f t="shared" si="8"/>
        <v>NOT PAID</v>
      </c>
      <c r="J816" s="402"/>
      <c r="K816" s="402"/>
      <c r="L816" s="402"/>
      <c r="M816" s="402"/>
      <c r="N816" s="402"/>
      <c r="O816" s="402"/>
      <c r="P816" s="402"/>
      <c r="Q816" s="402"/>
      <c r="R816" s="402"/>
      <c r="S816" s="402"/>
      <c r="T816" s="402"/>
      <c r="U816" s="402"/>
      <c r="V816" s="402"/>
      <c r="W816" s="402"/>
      <c r="X816" s="402"/>
      <c r="Y816" s="402"/>
      <c r="Z816" s="402"/>
    </row>
    <row r="817" ht="14.25" customHeight="1">
      <c r="A817" s="497">
        <v>45518.0</v>
      </c>
      <c r="B817" s="349" t="s">
        <v>6455</v>
      </c>
      <c r="C817" s="349" t="s">
        <v>6456</v>
      </c>
      <c r="D817" s="1032" t="s">
        <v>54</v>
      </c>
      <c r="E817" s="413" t="s">
        <v>6511</v>
      </c>
      <c r="F817" s="413">
        <v>170586.11</v>
      </c>
      <c r="G817" s="403"/>
      <c r="H817" s="349" t="s">
        <v>6577</v>
      </c>
      <c r="I817" s="736" t="str">
        <f t="shared" si="8"/>
        <v>NOT PAID</v>
      </c>
      <c r="J817" s="402"/>
      <c r="K817" s="402"/>
      <c r="L817" s="402"/>
      <c r="M817" s="402"/>
      <c r="N817" s="402"/>
      <c r="O817" s="402"/>
      <c r="P817" s="402"/>
      <c r="Q817" s="402"/>
      <c r="R817" s="402"/>
      <c r="S817" s="402"/>
      <c r="T817" s="402"/>
      <c r="U817" s="402"/>
      <c r="V817" s="402"/>
      <c r="W817" s="402"/>
      <c r="X817" s="402"/>
      <c r="Y817" s="402"/>
      <c r="Z817" s="402"/>
    </row>
    <row r="818" ht="14.25" customHeight="1">
      <c r="A818" s="497">
        <v>45518.0</v>
      </c>
      <c r="B818" s="349" t="s">
        <v>6460</v>
      </c>
      <c r="C818" s="349" t="s">
        <v>6461</v>
      </c>
      <c r="D818" s="1032" t="s">
        <v>54</v>
      </c>
      <c r="E818" s="413" t="s">
        <v>6511</v>
      </c>
      <c r="F818" s="413">
        <v>40536.0</v>
      </c>
      <c r="G818" s="403"/>
      <c r="H818" s="349" t="s">
        <v>6578</v>
      </c>
      <c r="I818" s="736" t="str">
        <f t="shared" si="8"/>
        <v>NOT PAID</v>
      </c>
      <c r="J818" s="402"/>
      <c r="K818" s="402"/>
      <c r="L818" s="402"/>
      <c r="M818" s="402"/>
      <c r="N818" s="402"/>
      <c r="O818" s="402"/>
      <c r="P818" s="402"/>
      <c r="Q818" s="402"/>
      <c r="R818" s="402"/>
      <c r="S818" s="402"/>
      <c r="T818" s="402"/>
      <c r="U818" s="402"/>
      <c r="V818" s="402"/>
      <c r="W818" s="402"/>
      <c r="X818" s="402"/>
      <c r="Y818" s="402"/>
      <c r="Z818" s="402"/>
    </row>
    <row r="819" ht="14.25" customHeight="1">
      <c r="A819" s="497">
        <v>45518.0</v>
      </c>
      <c r="B819" s="349" t="s">
        <v>6469</v>
      </c>
      <c r="C819" s="349" t="s">
        <v>6470</v>
      </c>
      <c r="D819" s="1032" t="s">
        <v>54</v>
      </c>
      <c r="E819" s="413" t="s">
        <v>6517</v>
      </c>
      <c r="F819" s="413">
        <v>55177.93</v>
      </c>
      <c r="G819" s="403"/>
      <c r="H819" s="349" t="s">
        <v>6579</v>
      </c>
      <c r="I819" s="736" t="str">
        <f t="shared" si="8"/>
        <v>NOT PAID</v>
      </c>
      <c r="J819" s="402"/>
      <c r="K819" s="402"/>
      <c r="L819" s="402"/>
      <c r="M819" s="402"/>
      <c r="N819" s="402"/>
      <c r="O819" s="402"/>
      <c r="P819" s="402"/>
      <c r="Q819" s="402"/>
      <c r="R819" s="402"/>
      <c r="S819" s="402"/>
      <c r="T819" s="402"/>
      <c r="U819" s="402"/>
      <c r="V819" s="402"/>
      <c r="W819" s="402"/>
      <c r="X819" s="402"/>
      <c r="Y819" s="402"/>
      <c r="Z819" s="402"/>
    </row>
    <row r="820" ht="14.25" customHeight="1">
      <c r="A820" s="497">
        <v>45518.0</v>
      </c>
      <c r="B820" s="349" t="s">
        <v>6472</v>
      </c>
      <c r="C820" s="349" t="s">
        <v>5724</v>
      </c>
      <c r="D820" s="1032" t="s">
        <v>54</v>
      </c>
      <c r="E820" s="413" t="s">
        <v>6517</v>
      </c>
      <c r="F820" s="413">
        <v>26298.41</v>
      </c>
      <c r="G820" s="403"/>
      <c r="H820" s="349" t="s">
        <v>6580</v>
      </c>
      <c r="I820" s="736" t="str">
        <f t="shared" si="8"/>
        <v>NOT PAID</v>
      </c>
      <c r="J820" s="402"/>
      <c r="K820" s="402"/>
      <c r="L820" s="402"/>
      <c r="M820" s="402"/>
      <c r="N820" s="402"/>
      <c r="O820" s="402"/>
      <c r="P820" s="402"/>
      <c r="Q820" s="402"/>
      <c r="R820" s="402"/>
      <c r="S820" s="402"/>
      <c r="T820" s="402"/>
      <c r="U820" s="402"/>
      <c r="V820" s="402"/>
      <c r="W820" s="402"/>
      <c r="X820" s="402"/>
      <c r="Y820" s="402"/>
      <c r="Z820" s="402"/>
    </row>
    <row r="821" ht="14.25" customHeight="1">
      <c r="A821" s="497">
        <v>45518.0</v>
      </c>
      <c r="B821" s="349" t="s">
        <v>6474</v>
      </c>
      <c r="C821" s="349" t="s">
        <v>6475</v>
      </c>
      <c r="D821" s="1032" t="s">
        <v>54</v>
      </c>
      <c r="E821" s="413" t="s">
        <v>6517</v>
      </c>
      <c r="F821" s="413">
        <v>43351.73</v>
      </c>
      <c r="G821" s="403"/>
      <c r="H821" s="349" t="s">
        <v>6581</v>
      </c>
      <c r="I821" s="736" t="str">
        <f t="shared" si="8"/>
        <v>NOT PAID</v>
      </c>
      <c r="J821" s="402"/>
      <c r="K821" s="402"/>
      <c r="L821" s="402"/>
      <c r="M821" s="402"/>
      <c r="N821" s="402"/>
      <c r="O821" s="402"/>
      <c r="P821" s="402"/>
      <c r="Q821" s="402"/>
      <c r="R821" s="402"/>
      <c r="S821" s="402"/>
      <c r="T821" s="402"/>
      <c r="U821" s="402"/>
      <c r="V821" s="402"/>
      <c r="W821" s="402"/>
      <c r="X821" s="402"/>
      <c r="Y821" s="402"/>
      <c r="Z821" s="402"/>
    </row>
    <row r="822" ht="14.25" customHeight="1">
      <c r="A822" s="497">
        <v>45518.0</v>
      </c>
      <c r="B822" s="349" t="s">
        <v>6477</v>
      </c>
      <c r="C822" s="349" t="s">
        <v>6478</v>
      </c>
      <c r="D822" s="1032" t="s">
        <v>54</v>
      </c>
      <c r="E822" s="413" t="s">
        <v>6529</v>
      </c>
      <c r="F822" s="413">
        <v>52886.01</v>
      </c>
      <c r="G822" s="403"/>
      <c r="H822" s="402"/>
      <c r="I822" s="736" t="str">
        <f t="shared" si="8"/>
        <v>NOT PAID</v>
      </c>
      <c r="J822" s="402"/>
      <c r="K822" s="402"/>
      <c r="L822" s="402"/>
      <c r="M822" s="402"/>
      <c r="N822" s="402"/>
      <c r="O822" s="402"/>
      <c r="P822" s="402"/>
      <c r="Q822" s="402"/>
      <c r="R822" s="402"/>
      <c r="S822" s="402"/>
      <c r="T822" s="402"/>
      <c r="U822" s="402"/>
      <c r="V822" s="402"/>
      <c r="W822" s="402"/>
      <c r="X822" s="402"/>
      <c r="Y822" s="402"/>
      <c r="Z822" s="402"/>
    </row>
    <row r="823" ht="14.25" customHeight="1">
      <c r="A823" s="497">
        <v>45518.0</v>
      </c>
      <c r="B823" s="349" t="s">
        <v>6090</v>
      </c>
      <c r="C823" s="349" t="s">
        <v>6485</v>
      </c>
      <c r="D823" s="1032" t="s">
        <v>54</v>
      </c>
      <c r="E823" s="413" t="s">
        <v>6517</v>
      </c>
      <c r="F823" s="413">
        <v>101424.46</v>
      </c>
      <c r="G823" s="403"/>
      <c r="H823" s="349" t="s">
        <v>6582</v>
      </c>
      <c r="I823" s="736" t="str">
        <f t="shared" si="8"/>
        <v>NOT PAID</v>
      </c>
      <c r="J823" s="402"/>
      <c r="K823" s="402"/>
      <c r="L823" s="402"/>
      <c r="M823" s="402"/>
      <c r="N823" s="402"/>
      <c r="O823" s="402"/>
      <c r="P823" s="402"/>
      <c r="Q823" s="402"/>
      <c r="R823" s="402"/>
      <c r="S823" s="402"/>
      <c r="T823" s="402"/>
      <c r="U823" s="402"/>
      <c r="V823" s="402"/>
      <c r="W823" s="402"/>
      <c r="X823" s="402"/>
      <c r="Y823" s="402"/>
      <c r="Z823" s="402"/>
    </row>
    <row r="824" ht="14.25" customHeight="1">
      <c r="A824" s="497">
        <v>45518.0</v>
      </c>
      <c r="B824" s="349" t="s">
        <v>6487</v>
      </c>
      <c r="C824" s="349" t="s">
        <v>5796</v>
      </c>
      <c r="D824" s="1032" t="s">
        <v>54</v>
      </c>
      <c r="E824" s="413" t="s">
        <v>6531</v>
      </c>
      <c r="F824" s="413">
        <v>13937.75</v>
      </c>
      <c r="G824" s="403"/>
      <c r="H824" s="349" t="s">
        <v>6583</v>
      </c>
      <c r="I824" s="736" t="str">
        <f t="shared" si="8"/>
        <v>NOT PAID</v>
      </c>
      <c r="J824" s="402"/>
      <c r="K824" s="402"/>
      <c r="L824" s="402"/>
      <c r="M824" s="402"/>
      <c r="N824" s="402"/>
      <c r="O824" s="402"/>
      <c r="P824" s="402"/>
      <c r="Q824" s="402"/>
      <c r="R824" s="402"/>
      <c r="S824" s="402"/>
      <c r="T824" s="402"/>
      <c r="U824" s="402"/>
      <c r="V824" s="402"/>
      <c r="W824" s="402"/>
      <c r="X824" s="402"/>
      <c r="Y824" s="402"/>
      <c r="Z824" s="402"/>
    </row>
    <row r="825" ht="14.25" customHeight="1">
      <c r="A825" s="497">
        <v>45518.0</v>
      </c>
      <c r="B825" s="349" t="s">
        <v>6488</v>
      </c>
      <c r="C825" s="349" t="s">
        <v>6489</v>
      </c>
      <c r="D825" s="1032" t="s">
        <v>54</v>
      </c>
      <c r="E825" s="413" t="s">
        <v>6505</v>
      </c>
      <c r="F825" s="413">
        <v>16483.0</v>
      </c>
      <c r="G825" s="403"/>
      <c r="H825" s="349" t="s">
        <v>6490</v>
      </c>
      <c r="I825" s="736" t="str">
        <f t="shared" si="8"/>
        <v>NOT PAID</v>
      </c>
      <c r="J825" s="402"/>
      <c r="K825" s="402"/>
      <c r="L825" s="402"/>
      <c r="M825" s="402"/>
      <c r="N825" s="402"/>
      <c r="O825" s="402"/>
      <c r="P825" s="402"/>
      <c r="Q825" s="402"/>
      <c r="R825" s="402"/>
      <c r="S825" s="402"/>
      <c r="T825" s="402"/>
      <c r="U825" s="402"/>
      <c r="V825" s="402"/>
      <c r="W825" s="402"/>
      <c r="X825" s="402"/>
      <c r="Y825" s="402"/>
      <c r="Z825" s="402"/>
    </row>
    <row r="826" ht="14.25" customHeight="1">
      <c r="A826" s="497">
        <v>45518.0</v>
      </c>
      <c r="B826" s="349" t="s">
        <v>5948</v>
      </c>
      <c r="C826" s="349" t="s">
        <v>5949</v>
      </c>
      <c r="D826" s="1032" t="s">
        <v>54</v>
      </c>
      <c r="E826" s="413" t="s">
        <v>6517</v>
      </c>
      <c r="F826" s="413">
        <v>118073.0</v>
      </c>
      <c r="G826" s="413">
        <v>113000.0</v>
      </c>
      <c r="H826" s="349" t="s">
        <v>267</v>
      </c>
      <c r="I826" s="736" t="str">
        <f t="shared" si="8"/>
        <v>PARTIALLY PAID</v>
      </c>
      <c r="J826" s="402"/>
      <c r="K826" s="402"/>
      <c r="L826" s="402"/>
      <c r="M826" s="402"/>
      <c r="N826" s="402"/>
      <c r="O826" s="402"/>
      <c r="P826" s="402"/>
      <c r="Q826" s="402"/>
      <c r="R826" s="402"/>
      <c r="S826" s="402"/>
      <c r="T826" s="402"/>
      <c r="U826" s="402"/>
      <c r="V826" s="402"/>
      <c r="W826" s="402"/>
      <c r="X826" s="402"/>
      <c r="Y826" s="402"/>
      <c r="Z826" s="402"/>
    </row>
    <row r="827" ht="14.25" customHeight="1">
      <c r="A827" s="497">
        <v>45518.0</v>
      </c>
      <c r="B827" s="349" t="s">
        <v>6462</v>
      </c>
      <c r="C827" s="349" t="s">
        <v>6463</v>
      </c>
      <c r="D827" s="1032" t="s">
        <v>75</v>
      </c>
      <c r="E827" s="413" t="s">
        <v>6505</v>
      </c>
      <c r="F827" s="413">
        <v>770000.0</v>
      </c>
      <c r="G827" s="413">
        <v>50000.0</v>
      </c>
      <c r="H827" s="349" t="s">
        <v>6584</v>
      </c>
      <c r="I827" s="736" t="str">
        <f t="shared" si="8"/>
        <v>PARTIALLY PAID</v>
      </c>
      <c r="J827" s="402"/>
      <c r="K827" s="402"/>
      <c r="L827" s="402"/>
      <c r="M827" s="402"/>
      <c r="N827" s="402"/>
      <c r="O827" s="402"/>
      <c r="P827" s="402"/>
      <c r="Q827" s="402"/>
      <c r="R827" s="402"/>
      <c r="S827" s="402"/>
      <c r="T827" s="402"/>
      <c r="U827" s="402"/>
      <c r="V827" s="402"/>
      <c r="W827" s="402"/>
      <c r="X827" s="402"/>
      <c r="Y827" s="402"/>
      <c r="Z827" s="402"/>
    </row>
    <row r="828" ht="14.25" customHeight="1">
      <c r="A828" s="497">
        <v>45518.0</v>
      </c>
      <c r="B828" s="349" t="s">
        <v>6585</v>
      </c>
      <c r="C828" s="349" t="s">
        <v>6586</v>
      </c>
      <c r="D828" s="1032" t="s">
        <v>54</v>
      </c>
      <c r="E828" s="413" t="s">
        <v>6505</v>
      </c>
      <c r="F828" s="413">
        <f t="shared" ref="F828:G828" si="9">70000+5860</f>
        <v>75860</v>
      </c>
      <c r="G828" s="413">
        <f t="shared" si="9"/>
        <v>75860</v>
      </c>
      <c r="H828" s="349" t="s">
        <v>710</v>
      </c>
      <c r="I828" s="736" t="str">
        <f t="shared" si="8"/>
        <v>FULLY PAID</v>
      </c>
      <c r="J828" s="402"/>
      <c r="K828" s="402"/>
      <c r="L828" s="402"/>
      <c r="M828" s="402"/>
      <c r="N828" s="402"/>
      <c r="O828" s="402"/>
      <c r="P828" s="402"/>
      <c r="Q828" s="402"/>
      <c r="R828" s="402"/>
      <c r="S828" s="402"/>
      <c r="T828" s="402"/>
      <c r="U828" s="402"/>
      <c r="V828" s="402"/>
      <c r="W828" s="402"/>
      <c r="X828" s="402"/>
      <c r="Y828" s="402"/>
      <c r="Z828" s="402"/>
    </row>
    <row r="829" ht="14.25" customHeight="1">
      <c r="A829" s="497">
        <v>45518.0</v>
      </c>
      <c r="B829" s="349" t="s">
        <v>6535</v>
      </c>
      <c r="C829" s="349" t="s">
        <v>6536</v>
      </c>
      <c r="D829" s="1032" t="s">
        <v>54</v>
      </c>
      <c r="E829" s="413" t="s">
        <v>6517</v>
      </c>
      <c r="F829" s="413">
        <v>2000.0</v>
      </c>
      <c r="G829" s="403"/>
      <c r="H829" s="349" t="s">
        <v>804</v>
      </c>
      <c r="I829" s="736" t="str">
        <f t="shared" si="8"/>
        <v>NOT PAID</v>
      </c>
      <c r="J829" s="402"/>
      <c r="K829" s="402"/>
      <c r="L829" s="402"/>
      <c r="M829" s="402"/>
      <c r="N829" s="402"/>
      <c r="O829" s="402"/>
      <c r="P829" s="402"/>
      <c r="Q829" s="402"/>
      <c r="R829" s="402"/>
      <c r="S829" s="402"/>
      <c r="T829" s="402"/>
      <c r="U829" s="402"/>
      <c r="V829" s="402"/>
      <c r="W829" s="402"/>
      <c r="X829" s="402"/>
      <c r="Y829" s="402"/>
      <c r="Z829" s="402"/>
    </row>
    <row r="830" ht="14.25" customHeight="1">
      <c r="A830" s="497">
        <v>45518.0</v>
      </c>
      <c r="B830" s="349" t="s">
        <v>6587</v>
      </c>
      <c r="C830" s="349" t="s">
        <v>6588</v>
      </c>
      <c r="D830" s="1032" t="s">
        <v>54</v>
      </c>
      <c r="E830" s="413" t="s">
        <v>6511</v>
      </c>
      <c r="F830" s="413">
        <v>1000.0</v>
      </c>
      <c r="G830" s="403"/>
      <c r="H830" s="349" t="s">
        <v>6589</v>
      </c>
      <c r="I830" s="736" t="str">
        <f t="shared" si="8"/>
        <v>NOT PAID</v>
      </c>
      <c r="J830" s="402"/>
      <c r="K830" s="402"/>
      <c r="L830" s="402"/>
      <c r="M830" s="402"/>
      <c r="N830" s="402"/>
      <c r="O830" s="402"/>
      <c r="P830" s="402"/>
      <c r="Q830" s="402"/>
      <c r="R830" s="402"/>
      <c r="S830" s="402"/>
      <c r="T830" s="402"/>
      <c r="U830" s="402"/>
      <c r="V830" s="402"/>
      <c r="W830" s="402"/>
      <c r="X830" s="402"/>
      <c r="Y830" s="402"/>
      <c r="Z830" s="402"/>
    </row>
    <row r="831" ht="14.25" customHeight="1">
      <c r="A831" s="497">
        <v>45518.0</v>
      </c>
      <c r="B831" s="349" t="s">
        <v>5780</v>
      </c>
      <c r="C831" s="349" t="s">
        <v>5781</v>
      </c>
      <c r="D831" s="1032" t="s">
        <v>54</v>
      </c>
      <c r="E831" s="413" t="s">
        <v>6517</v>
      </c>
      <c r="F831" s="413">
        <v>1550.0</v>
      </c>
      <c r="G831" s="413">
        <v>1550.0</v>
      </c>
      <c r="H831" s="349" t="s">
        <v>267</v>
      </c>
      <c r="I831" s="736" t="str">
        <f t="shared" si="8"/>
        <v>FULLY PAID</v>
      </c>
      <c r="J831" s="402"/>
      <c r="K831" s="402"/>
      <c r="L831" s="402"/>
      <c r="M831" s="402"/>
      <c r="N831" s="402"/>
      <c r="O831" s="402"/>
      <c r="P831" s="402"/>
      <c r="Q831" s="402"/>
      <c r="R831" s="402"/>
      <c r="S831" s="402"/>
      <c r="T831" s="402"/>
      <c r="U831" s="402"/>
      <c r="V831" s="402"/>
      <c r="W831" s="402"/>
      <c r="X831" s="402"/>
      <c r="Y831" s="402"/>
      <c r="Z831" s="402"/>
    </row>
    <row r="832" ht="14.25" customHeight="1">
      <c r="A832" s="497">
        <v>45518.0</v>
      </c>
      <c r="B832" s="349" t="s">
        <v>6431</v>
      </c>
      <c r="C832" s="349" t="s">
        <v>6590</v>
      </c>
      <c r="D832" s="413" t="s">
        <v>54</v>
      </c>
      <c r="E832" s="413" t="s">
        <v>6511</v>
      </c>
      <c r="F832" s="413">
        <v>269500.35</v>
      </c>
      <c r="G832" s="1099">
        <v>15000.0</v>
      </c>
      <c r="H832" s="349" t="s">
        <v>6591</v>
      </c>
      <c r="I832" s="736" t="str">
        <f t="shared" si="8"/>
        <v>PARTIALLY PAID</v>
      </c>
      <c r="J832" s="402"/>
      <c r="K832" s="402"/>
      <c r="L832" s="402"/>
      <c r="M832" s="402"/>
      <c r="N832" s="402"/>
      <c r="O832" s="402"/>
      <c r="P832" s="402"/>
      <c r="Q832" s="402"/>
      <c r="R832" s="402"/>
      <c r="S832" s="402"/>
      <c r="T832" s="402"/>
      <c r="U832" s="402"/>
      <c r="V832" s="402"/>
      <c r="W832" s="402"/>
      <c r="X832" s="402"/>
      <c r="Y832" s="402"/>
      <c r="Z832" s="402"/>
    </row>
    <row r="833" ht="14.25" customHeight="1">
      <c r="A833" s="497">
        <v>45518.0</v>
      </c>
      <c r="B833" s="455" t="s">
        <v>5929</v>
      </c>
      <c r="C833" s="709" t="s">
        <v>6393</v>
      </c>
      <c r="D833" s="709" t="s">
        <v>54</v>
      </c>
      <c r="E833" s="413" t="s">
        <v>6511</v>
      </c>
      <c r="F833" s="1082">
        <v>151055.89</v>
      </c>
      <c r="G833" s="403"/>
      <c r="H833" s="349" t="s">
        <v>6592</v>
      </c>
      <c r="I833" s="736" t="str">
        <f t="shared" si="8"/>
        <v>NOT PAID</v>
      </c>
      <c r="J833" s="402"/>
      <c r="K833" s="402"/>
      <c r="L833" s="402"/>
      <c r="M833" s="402"/>
      <c r="N833" s="402"/>
      <c r="O833" s="402"/>
      <c r="P833" s="402"/>
      <c r="Q833" s="402"/>
      <c r="R833" s="402"/>
      <c r="S833" s="402"/>
      <c r="T833" s="402"/>
      <c r="U833" s="402"/>
      <c r="V833" s="402"/>
      <c r="W833" s="402"/>
      <c r="X833" s="402"/>
      <c r="Y833" s="402"/>
      <c r="Z833" s="402"/>
    </row>
    <row r="834" ht="14.25" customHeight="1">
      <c r="A834" s="497">
        <v>45518.0</v>
      </c>
      <c r="B834" s="455" t="s">
        <v>5792</v>
      </c>
      <c r="C834" s="709" t="s">
        <v>6593</v>
      </c>
      <c r="D834" s="709" t="s">
        <v>54</v>
      </c>
      <c r="E834" s="413" t="s">
        <v>6505</v>
      </c>
      <c r="F834" s="1082">
        <v>237565.6</v>
      </c>
      <c r="G834" s="413">
        <v>120000.0</v>
      </c>
      <c r="H834" s="349" t="s">
        <v>6594</v>
      </c>
      <c r="I834" s="736" t="str">
        <f t="shared" si="8"/>
        <v>PARTIALLY PAID</v>
      </c>
      <c r="J834" s="402"/>
      <c r="K834" s="402"/>
      <c r="L834" s="402"/>
      <c r="M834" s="402"/>
      <c r="N834" s="402"/>
      <c r="O834" s="402"/>
      <c r="P834" s="402"/>
      <c r="Q834" s="402"/>
      <c r="R834" s="402"/>
      <c r="S834" s="402"/>
      <c r="T834" s="402"/>
      <c r="U834" s="402"/>
      <c r="V834" s="402"/>
      <c r="W834" s="402"/>
      <c r="X834" s="402"/>
      <c r="Y834" s="402"/>
      <c r="Z834" s="402"/>
    </row>
    <row r="835" ht="14.25" customHeight="1">
      <c r="A835" s="497">
        <v>45518.0</v>
      </c>
      <c r="B835" s="433" t="s">
        <v>6500</v>
      </c>
      <c r="C835" s="349" t="s">
        <v>6595</v>
      </c>
      <c r="D835" s="1032" t="s">
        <v>54</v>
      </c>
      <c r="E835" s="413" t="s">
        <v>6517</v>
      </c>
      <c r="F835" s="413">
        <v>327541.0</v>
      </c>
      <c r="G835" s="413">
        <v>327541.0</v>
      </c>
      <c r="H835" s="349" t="s">
        <v>772</v>
      </c>
      <c r="I835" s="736" t="str">
        <f t="shared" si="8"/>
        <v>FULLY PAID</v>
      </c>
      <c r="J835" s="402"/>
      <c r="K835" s="402"/>
      <c r="L835" s="402"/>
      <c r="M835" s="402"/>
      <c r="N835" s="402"/>
      <c r="O835" s="402"/>
      <c r="P835" s="402"/>
      <c r="Q835" s="402"/>
      <c r="R835" s="402"/>
      <c r="S835" s="402"/>
      <c r="T835" s="402"/>
      <c r="U835" s="402"/>
      <c r="V835" s="402"/>
      <c r="W835" s="402"/>
      <c r="X835" s="402"/>
      <c r="Y835" s="402"/>
      <c r="Z835" s="402"/>
    </row>
    <row r="836" ht="14.25" customHeight="1">
      <c r="A836" s="497">
        <v>45518.0</v>
      </c>
      <c r="B836" s="349" t="s">
        <v>6596</v>
      </c>
      <c r="C836" s="349" t="s">
        <v>6597</v>
      </c>
      <c r="D836" s="1032" t="s">
        <v>54</v>
      </c>
      <c r="E836" s="413" t="s">
        <v>5992</v>
      </c>
      <c r="F836" s="413">
        <v>750000.0</v>
      </c>
      <c r="G836" s="403"/>
      <c r="H836" s="402"/>
      <c r="I836" s="736" t="str">
        <f t="shared" si="8"/>
        <v>NOT PAID</v>
      </c>
      <c r="J836" s="402"/>
      <c r="K836" s="402"/>
      <c r="L836" s="402"/>
      <c r="M836" s="402"/>
      <c r="N836" s="402"/>
      <c r="O836" s="402"/>
      <c r="P836" s="402"/>
      <c r="Q836" s="402"/>
      <c r="R836" s="402"/>
      <c r="S836" s="402"/>
      <c r="T836" s="402"/>
      <c r="U836" s="402"/>
      <c r="V836" s="402"/>
      <c r="W836" s="402"/>
      <c r="X836" s="402"/>
      <c r="Y836" s="402"/>
      <c r="Z836" s="402"/>
    </row>
    <row r="837" ht="14.25" customHeight="1">
      <c r="A837" s="497">
        <v>45518.0</v>
      </c>
      <c r="B837" s="349" t="s">
        <v>6352</v>
      </c>
      <c r="C837" s="349" t="s">
        <v>6598</v>
      </c>
      <c r="D837" s="1032" t="s">
        <v>54</v>
      </c>
      <c r="E837" s="413" t="s">
        <v>6505</v>
      </c>
      <c r="F837" s="521">
        <v>18182.0</v>
      </c>
      <c r="G837" s="413">
        <v>18182.0</v>
      </c>
      <c r="H837" s="349" t="s">
        <v>710</v>
      </c>
      <c r="I837" s="736" t="str">
        <f t="shared" si="8"/>
        <v>FULLY PAID</v>
      </c>
      <c r="J837" s="402"/>
      <c r="K837" s="402"/>
      <c r="L837" s="402"/>
      <c r="M837" s="402"/>
      <c r="N837" s="402"/>
      <c r="O837" s="402"/>
      <c r="P837" s="402"/>
      <c r="Q837" s="402"/>
      <c r="R837" s="402"/>
      <c r="S837" s="402"/>
      <c r="T837" s="402"/>
      <c r="U837" s="402"/>
      <c r="V837" s="402"/>
      <c r="W837" s="402"/>
      <c r="X837" s="402"/>
      <c r="Y837" s="402"/>
      <c r="Z837" s="402"/>
    </row>
    <row r="838" ht="14.25" customHeight="1">
      <c r="A838" s="497">
        <v>45518.0</v>
      </c>
      <c r="B838" s="455" t="s">
        <v>6056</v>
      </c>
      <c r="C838" s="349" t="s">
        <v>6599</v>
      </c>
      <c r="D838" s="1032" t="s">
        <v>54</v>
      </c>
      <c r="E838" s="413" t="s">
        <v>2172</v>
      </c>
      <c r="F838" s="489">
        <v>400000.0</v>
      </c>
      <c r="G838" s="403"/>
      <c r="H838" s="402"/>
      <c r="I838" s="736" t="str">
        <f t="shared" si="8"/>
        <v>NOT PAID</v>
      </c>
      <c r="J838" s="402"/>
      <c r="K838" s="402"/>
      <c r="L838" s="402"/>
      <c r="M838" s="402"/>
      <c r="N838" s="402"/>
      <c r="O838" s="402"/>
      <c r="P838" s="402"/>
      <c r="Q838" s="402"/>
      <c r="R838" s="402"/>
      <c r="S838" s="402"/>
      <c r="T838" s="402"/>
      <c r="U838" s="402"/>
      <c r="V838" s="402"/>
      <c r="W838" s="402"/>
      <c r="X838" s="402"/>
      <c r="Y838" s="402"/>
      <c r="Z838" s="402"/>
    </row>
    <row r="839" ht="14.25" customHeight="1">
      <c r="A839" s="497">
        <v>45518.0</v>
      </c>
      <c r="B839" s="424" t="s">
        <v>797</v>
      </c>
      <c r="C839" s="402"/>
      <c r="D839" s="1034"/>
      <c r="E839" s="403"/>
      <c r="F839" s="403"/>
      <c r="G839" s="403"/>
      <c r="H839" s="402"/>
      <c r="I839" s="736" t="str">
        <f t="shared" si="8"/>
        <v>FULLY PAID</v>
      </c>
      <c r="J839" s="402"/>
      <c r="K839" s="402"/>
      <c r="L839" s="402"/>
      <c r="M839" s="402"/>
      <c r="N839" s="402"/>
      <c r="O839" s="402"/>
      <c r="P839" s="402"/>
      <c r="Q839" s="402"/>
      <c r="R839" s="402"/>
      <c r="S839" s="402"/>
      <c r="T839" s="402"/>
      <c r="U839" s="402"/>
      <c r="V839" s="402"/>
      <c r="W839" s="402"/>
      <c r="X839" s="402"/>
      <c r="Y839" s="402"/>
      <c r="Z839" s="402"/>
    </row>
    <row r="840" ht="18.75" customHeight="1">
      <c r="A840" s="497">
        <v>45518.0</v>
      </c>
      <c r="B840" s="438" t="s">
        <v>5628</v>
      </c>
      <c r="C840" s="438" t="s">
        <v>6184</v>
      </c>
      <c r="D840" s="709" t="s">
        <v>54</v>
      </c>
      <c r="E840" s="1100" t="s">
        <v>4114</v>
      </c>
      <c r="F840" s="440">
        <v>42000.0</v>
      </c>
      <c r="G840" s="413">
        <v>35000.0</v>
      </c>
      <c r="H840" s="349" t="s">
        <v>804</v>
      </c>
      <c r="I840" s="736" t="str">
        <f t="shared" si="8"/>
        <v>PARTIALLY PAID</v>
      </c>
      <c r="J840" s="402"/>
      <c r="K840" s="402"/>
      <c r="L840" s="402"/>
      <c r="M840" s="402"/>
      <c r="N840" s="402"/>
      <c r="O840" s="402"/>
      <c r="P840" s="402"/>
      <c r="Q840" s="402"/>
      <c r="R840" s="402"/>
      <c r="S840" s="402"/>
      <c r="T840" s="402"/>
      <c r="U840" s="402"/>
      <c r="V840" s="402"/>
      <c r="W840" s="402"/>
      <c r="X840" s="402"/>
      <c r="Y840" s="402"/>
      <c r="Z840" s="402"/>
    </row>
    <row r="841" ht="14.25" customHeight="1">
      <c r="A841" s="497">
        <v>45518.0</v>
      </c>
      <c r="B841" s="438" t="s">
        <v>6090</v>
      </c>
      <c r="C841" s="438" t="s">
        <v>6600</v>
      </c>
      <c r="D841" s="709" t="s">
        <v>54</v>
      </c>
      <c r="E841" s="1100" t="s">
        <v>4114</v>
      </c>
      <c r="F841" s="440">
        <v>55000.0</v>
      </c>
      <c r="G841" s="403"/>
      <c r="H841" s="349" t="s">
        <v>6601</v>
      </c>
      <c r="I841" s="736" t="str">
        <f t="shared" si="8"/>
        <v>NOT PAID</v>
      </c>
      <c r="J841" s="402"/>
      <c r="K841" s="402"/>
      <c r="L841" s="402"/>
      <c r="M841" s="402"/>
      <c r="N841" s="402"/>
      <c r="O841" s="402"/>
      <c r="P841" s="402"/>
      <c r="Q841" s="402"/>
      <c r="R841" s="402"/>
      <c r="S841" s="402"/>
      <c r="T841" s="402"/>
      <c r="U841" s="402"/>
      <c r="V841" s="402"/>
      <c r="W841" s="402"/>
      <c r="X841" s="402"/>
      <c r="Y841" s="402"/>
      <c r="Z841" s="402"/>
    </row>
    <row r="842" ht="14.25" customHeight="1">
      <c r="A842" s="497">
        <v>45518.0</v>
      </c>
      <c r="B842" s="438" t="s">
        <v>6364</v>
      </c>
      <c r="C842" s="438" t="s">
        <v>6602</v>
      </c>
      <c r="D842" s="709" t="s">
        <v>54</v>
      </c>
      <c r="E842" s="1100" t="s">
        <v>4114</v>
      </c>
      <c r="F842" s="440">
        <v>201243.0</v>
      </c>
      <c r="G842" s="403"/>
      <c r="H842" s="349" t="s">
        <v>5870</v>
      </c>
      <c r="I842" s="736" t="str">
        <f t="shared" si="8"/>
        <v>NOT PAID</v>
      </c>
      <c r="J842" s="402"/>
      <c r="K842" s="402"/>
      <c r="L842" s="402"/>
      <c r="M842" s="402"/>
      <c r="N842" s="402"/>
      <c r="O842" s="402"/>
      <c r="P842" s="402"/>
      <c r="Q842" s="402"/>
      <c r="R842" s="402"/>
      <c r="S842" s="402"/>
      <c r="T842" s="402"/>
      <c r="U842" s="402"/>
      <c r="V842" s="402"/>
      <c r="W842" s="402"/>
      <c r="X842" s="402"/>
      <c r="Y842" s="402"/>
      <c r="Z842" s="402"/>
    </row>
    <row r="843" ht="17.25" customHeight="1">
      <c r="A843" s="497">
        <v>45518.0</v>
      </c>
      <c r="B843" s="438" t="s">
        <v>6185</v>
      </c>
      <c r="C843" s="438" t="s">
        <v>6186</v>
      </c>
      <c r="D843" s="709" t="s">
        <v>54</v>
      </c>
      <c r="E843" s="1100" t="s">
        <v>4114</v>
      </c>
      <c r="F843" s="440">
        <v>43698.0</v>
      </c>
      <c r="G843" s="403"/>
      <c r="H843" s="349" t="s">
        <v>6603</v>
      </c>
      <c r="I843" s="736" t="str">
        <f t="shared" si="8"/>
        <v>NOT PAID</v>
      </c>
      <c r="J843" s="402"/>
      <c r="K843" s="402"/>
      <c r="L843" s="402"/>
      <c r="M843" s="402"/>
      <c r="N843" s="402"/>
      <c r="O843" s="402"/>
      <c r="P843" s="402"/>
      <c r="Q843" s="402"/>
      <c r="R843" s="402"/>
      <c r="S843" s="402"/>
      <c r="T843" s="402"/>
      <c r="U843" s="402"/>
      <c r="V843" s="402"/>
      <c r="W843" s="402"/>
      <c r="X843" s="402"/>
      <c r="Y843" s="402"/>
      <c r="Z843" s="402"/>
    </row>
    <row r="844" ht="14.25" customHeight="1">
      <c r="A844" s="497">
        <v>45518.0</v>
      </c>
      <c r="B844" s="1101" t="s">
        <v>5984</v>
      </c>
      <c r="C844" s="1101" t="s">
        <v>5985</v>
      </c>
      <c r="D844" s="709" t="s">
        <v>54</v>
      </c>
      <c r="E844" s="1102" t="s">
        <v>2165</v>
      </c>
      <c r="F844" s="1103">
        <v>320000.0</v>
      </c>
      <c r="G844" s="413">
        <v>100000.0</v>
      </c>
      <c r="H844" s="349" t="s">
        <v>804</v>
      </c>
      <c r="I844" s="736" t="str">
        <f t="shared" si="8"/>
        <v>PARTIALLY PAID</v>
      </c>
      <c r="J844" s="402"/>
      <c r="K844" s="402"/>
      <c r="L844" s="402"/>
      <c r="M844" s="402"/>
      <c r="N844" s="402"/>
      <c r="O844" s="402"/>
      <c r="P844" s="402"/>
      <c r="Q844" s="402"/>
      <c r="R844" s="402"/>
      <c r="S844" s="402"/>
      <c r="T844" s="402"/>
      <c r="U844" s="402"/>
      <c r="V844" s="402"/>
      <c r="W844" s="402"/>
      <c r="X844" s="402"/>
      <c r="Y844" s="402"/>
      <c r="Z844" s="402"/>
    </row>
    <row r="845" ht="14.25" customHeight="1">
      <c r="A845" s="497">
        <v>45518.0</v>
      </c>
      <c r="B845" s="1101" t="s">
        <v>5685</v>
      </c>
      <c r="C845" s="1101" t="s">
        <v>6382</v>
      </c>
      <c r="D845" s="709" t="s">
        <v>54</v>
      </c>
      <c r="E845" s="1102" t="s">
        <v>2165</v>
      </c>
      <c r="F845" s="1103">
        <v>100000.0</v>
      </c>
      <c r="G845" s="413">
        <v>0.0</v>
      </c>
      <c r="H845" s="349" t="s">
        <v>6604</v>
      </c>
      <c r="I845" s="736" t="str">
        <f t="shared" si="8"/>
        <v>NOT PAID</v>
      </c>
      <c r="J845" s="402"/>
      <c r="K845" s="402"/>
      <c r="L845" s="402"/>
      <c r="M845" s="402"/>
      <c r="N845" s="402"/>
      <c r="O845" s="402"/>
      <c r="P845" s="402"/>
      <c r="Q845" s="402"/>
      <c r="R845" s="402"/>
      <c r="S845" s="402"/>
      <c r="T845" s="402"/>
      <c r="U845" s="402"/>
      <c r="V845" s="402"/>
      <c r="W845" s="402"/>
      <c r="X845" s="402"/>
      <c r="Y845" s="402"/>
      <c r="Z845" s="402"/>
    </row>
    <row r="846" ht="14.25" customHeight="1">
      <c r="A846" s="402"/>
      <c r="B846" s="402"/>
      <c r="C846" s="402"/>
      <c r="D846" s="1034"/>
      <c r="E846" s="403"/>
      <c r="F846" s="403"/>
      <c r="G846" s="403"/>
      <c r="H846" s="402"/>
      <c r="I846" s="736" t="str">
        <f t="shared" si="8"/>
        <v>FULLY PAID</v>
      </c>
      <c r="J846" s="402"/>
      <c r="K846" s="402"/>
      <c r="L846" s="402"/>
      <c r="M846" s="402"/>
      <c r="N846" s="402"/>
      <c r="O846" s="402"/>
      <c r="P846" s="402"/>
      <c r="Q846" s="402"/>
      <c r="R846" s="402"/>
      <c r="S846" s="402"/>
      <c r="T846" s="402"/>
      <c r="U846" s="402"/>
      <c r="V846" s="402"/>
      <c r="W846" s="402"/>
      <c r="X846" s="402"/>
      <c r="Y846" s="402"/>
      <c r="Z846" s="402"/>
    </row>
    <row r="847" ht="14.25" customHeight="1">
      <c r="A847" s="402"/>
      <c r="B847" s="402"/>
      <c r="C847" s="402"/>
      <c r="D847" s="1034"/>
      <c r="E847" s="403"/>
      <c r="F847" s="403"/>
      <c r="G847" s="403"/>
      <c r="H847" s="402"/>
      <c r="I847" s="736" t="str">
        <f t="shared" si="8"/>
        <v>FULLY PAID</v>
      </c>
      <c r="J847" s="402"/>
      <c r="K847" s="402"/>
      <c r="L847" s="402"/>
      <c r="M847" s="402"/>
      <c r="N847" s="402"/>
      <c r="O847" s="402"/>
      <c r="P847" s="402"/>
      <c r="Q847" s="402"/>
      <c r="R847" s="402"/>
      <c r="S847" s="402"/>
      <c r="T847" s="402"/>
      <c r="U847" s="402"/>
      <c r="V847" s="402"/>
      <c r="W847" s="402"/>
      <c r="X847" s="402"/>
      <c r="Y847" s="402"/>
      <c r="Z847" s="402"/>
    </row>
    <row r="848" ht="14.25" customHeight="1">
      <c r="A848" s="1094"/>
      <c r="B848" s="1095">
        <v>45519.0</v>
      </c>
      <c r="C848" s="1094"/>
      <c r="D848" s="1096"/>
      <c r="E848" s="1097"/>
      <c r="F848" s="1097"/>
      <c r="G848" s="1097"/>
      <c r="H848" s="1094"/>
      <c r="I848" s="736" t="str">
        <f t="shared" si="8"/>
        <v>FULLY PAID</v>
      </c>
      <c r="J848" s="1094"/>
      <c r="K848" s="1094"/>
      <c r="L848" s="1094"/>
      <c r="M848" s="1094"/>
      <c r="N848" s="1094"/>
      <c r="O848" s="1094"/>
      <c r="P848" s="1094"/>
      <c r="Q848" s="1094"/>
      <c r="R848" s="1094"/>
      <c r="S848" s="1094"/>
      <c r="T848" s="1094"/>
      <c r="U848" s="1094"/>
      <c r="V848" s="1094"/>
      <c r="W848" s="1094"/>
      <c r="X848" s="1094"/>
      <c r="Y848" s="1094"/>
      <c r="Z848" s="1094"/>
    </row>
    <row r="849" ht="14.25" customHeight="1">
      <c r="A849" s="497">
        <v>45519.0</v>
      </c>
      <c r="B849" s="1" t="s">
        <v>6061</v>
      </c>
      <c r="C849" s="349" t="s">
        <v>6605</v>
      </c>
      <c r="D849" s="1032" t="s">
        <v>4664</v>
      </c>
      <c r="E849" s="413" t="s">
        <v>6606</v>
      </c>
      <c r="F849" s="413">
        <v>3077703.0</v>
      </c>
      <c r="G849" s="403"/>
      <c r="H849" s="402"/>
      <c r="I849" s="736" t="str">
        <f t="shared" si="8"/>
        <v>NOT PAID</v>
      </c>
      <c r="J849" s="402"/>
      <c r="K849" s="402"/>
      <c r="L849" s="402"/>
      <c r="M849" s="402"/>
      <c r="N849" s="402"/>
      <c r="O849" s="402"/>
      <c r="P849" s="402"/>
      <c r="Q849" s="402"/>
      <c r="R849" s="402"/>
      <c r="S849" s="402"/>
      <c r="T849" s="402"/>
      <c r="U849" s="402"/>
      <c r="V849" s="402"/>
      <c r="W849" s="402"/>
      <c r="X849" s="402"/>
      <c r="Y849" s="402"/>
      <c r="Z849" s="402"/>
    </row>
    <row r="850" ht="14.25" customHeight="1">
      <c r="A850" s="497">
        <v>45519.0</v>
      </c>
      <c r="B850" s="349" t="s">
        <v>6607</v>
      </c>
      <c r="C850" s="349" t="s">
        <v>6608</v>
      </c>
      <c r="D850" s="1032" t="s">
        <v>54</v>
      </c>
      <c r="E850" s="413" t="s">
        <v>6505</v>
      </c>
      <c r="F850" s="413">
        <v>27698.99</v>
      </c>
      <c r="G850" s="403"/>
      <c r="H850" s="522" t="s">
        <v>6609</v>
      </c>
      <c r="I850" s="736" t="str">
        <f t="shared" si="8"/>
        <v>NOT PAID</v>
      </c>
      <c r="J850" s="402"/>
      <c r="K850" s="402"/>
      <c r="L850" s="402"/>
      <c r="M850" s="402"/>
      <c r="N850" s="402"/>
      <c r="O850" s="402"/>
      <c r="P850" s="402"/>
      <c r="Q850" s="402"/>
      <c r="R850" s="402"/>
      <c r="S850" s="402"/>
      <c r="T850" s="402"/>
      <c r="U850" s="402"/>
      <c r="V850" s="402"/>
      <c r="W850" s="402"/>
      <c r="X850" s="402"/>
      <c r="Y850" s="402"/>
      <c r="Z850" s="402"/>
    </row>
    <row r="851" ht="14.25" customHeight="1">
      <c r="A851" s="497">
        <v>45519.0</v>
      </c>
      <c r="B851" s="349" t="s">
        <v>6610</v>
      </c>
      <c r="C851" s="349" t="s">
        <v>6611</v>
      </c>
      <c r="D851" s="1032" t="s">
        <v>54</v>
      </c>
      <c r="E851" s="413" t="s">
        <v>6517</v>
      </c>
      <c r="F851" s="413">
        <v>213.27</v>
      </c>
      <c r="G851" s="403"/>
      <c r="H851" s="402"/>
      <c r="I851" s="736" t="str">
        <f t="shared" si="8"/>
        <v>NOT PAID</v>
      </c>
      <c r="J851" s="402"/>
      <c r="K851" s="402"/>
      <c r="L851" s="402"/>
      <c r="M851" s="402"/>
      <c r="N851" s="402"/>
      <c r="O851" s="402"/>
      <c r="P851" s="402"/>
      <c r="Q851" s="402"/>
      <c r="R851" s="402"/>
      <c r="S851" s="402"/>
      <c r="T851" s="402"/>
      <c r="U851" s="402"/>
      <c r="V851" s="402"/>
      <c r="W851" s="402"/>
      <c r="X851" s="402"/>
      <c r="Y851" s="402"/>
      <c r="Z851" s="402"/>
    </row>
    <row r="852" ht="14.25" customHeight="1">
      <c r="A852" s="497">
        <v>45519.0</v>
      </c>
      <c r="B852" s="349" t="s">
        <v>6612</v>
      </c>
      <c r="C852" s="349" t="s">
        <v>6451</v>
      </c>
      <c r="D852" s="1032" t="s">
        <v>346</v>
      </c>
      <c r="E852" s="413" t="s">
        <v>6517</v>
      </c>
      <c r="F852" s="413">
        <v>5990.8</v>
      </c>
      <c r="G852" s="403"/>
      <c r="H852" s="402"/>
      <c r="I852" s="736" t="str">
        <f t="shared" si="8"/>
        <v>NOT PAID</v>
      </c>
      <c r="J852" s="402"/>
      <c r="K852" s="402"/>
      <c r="L852" s="402"/>
      <c r="M852" s="402"/>
      <c r="N852" s="402"/>
      <c r="O852" s="402"/>
      <c r="P852" s="402"/>
      <c r="Q852" s="402"/>
      <c r="R852" s="402"/>
      <c r="S852" s="402"/>
      <c r="T852" s="402"/>
      <c r="U852" s="402"/>
      <c r="V852" s="402"/>
      <c r="W852" s="402"/>
      <c r="X852" s="402"/>
      <c r="Y852" s="402"/>
      <c r="Z852" s="402"/>
    </row>
    <row r="853" ht="14.25" customHeight="1">
      <c r="A853" s="497">
        <v>45519.0</v>
      </c>
      <c r="B853" s="349" t="s">
        <v>5984</v>
      </c>
      <c r="C853" s="349" t="s">
        <v>6613</v>
      </c>
      <c r="D853" s="1032" t="s">
        <v>54</v>
      </c>
      <c r="E853" s="413" t="s">
        <v>6511</v>
      </c>
      <c r="F853" s="413">
        <v>120768.0</v>
      </c>
      <c r="G853" s="403"/>
      <c r="H853" s="402"/>
      <c r="I853" s="736" t="str">
        <f t="shared" si="8"/>
        <v>NOT PAID</v>
      </c>
      <c r="J853" s="402"/>
      <c r="K853" s="402"/>
      <c r="L853" s="402"/>
      <c r="M853" s="402"/>
      <c r="N853" s="402"/>
      <c r="O853" s="402"/>
      <c r="P853" s="402"/>
      <c r="Q853" s="402"/>
      <c r="R853" s="402"/>
      <c r="S853" s="402"/>
      <c r="T853" s="402"/>
      <c r="U853" s="402"/>
      <c r="V853" s="402"/>
      <c r="W853" s="402"/>
      <c r="X853" s="402"/>
      <c r="Y853" s="402"/>
      <c r="Z853" s="402"/>
    </row>
    <row r="854" ht="14.25" customHeight="1">
      <c r="A854" s="497">
        <v>45519.0</v>
      </c>
      <c r="B854" s="349" t="s">
        <v>6614</v>
      </c>
      <c r="C854" s="349" t="s">
        <v>6108</v>
      </c>
      <c r="D854" s="1032" t="s">
        <v>54</v>
      </c>
      <c r="E854" s="413" t="s">
        <v>6517</v>
      </c>
      <c r="F854" s="413">
        <v>32160.5</v>
      </c>
      <c r="G854" s="403"/>
      <c r="H854" s="402"/>
      <c r="I854" s="736" t="str">
        <f t="shared" si="8"/>
        <v>NOT PAID</v>
      </c>
      <c r="J854" s="402"/>
      <c r="K854" s="402"/>
      <c r="L854" s="402"/>
      <c r="M854" s="402"/>
      <c r="N854" s="402"/>
      <c r="O854" s="402"/>
      <c r="P854" s="402"/>
      <c r="Q854" s="402"/>
      <c r="R854" s="402"/>
      <c r="S854" s="402"/>
      <c r="T854" s="402"/>
      <c r="U854" s="402"/>
      <c r="V854" s="402"/>
      <c r="W854" s="402"/>
      <c r="X854" s="402"/>
      <c r="Y854" s="402"/>
      <c r="Z854" s="402"/>
    </row>
    <row r="855" ht="14.25" customHeight="1">
      <c r="A855" s="497">
        <v>45519.0</v>
      </c>
      <c r="B855" s="349" t="s">
        <v>6087</v>
      </c>
      <c r="C855" s="349" t="s">
        <v>5536</v>
      </c>
      <c r="D855" s="1032" t="s">
        <v>54</v>
      </c>
      <c r="E855" s="413" t="s">
        <v>6517</v>
      </c>
      <c r="F855" s="413">
        <v>49840.9</v>
      </c>
      <c r="G855" s="403"/>
      <c r="H855" s="349" t="s">
        <v>6615</v>
      </c>
      <c r="I855" s="736" t="str">
        <f t="shared" si="8"/>
        <v>NOT PAID</v>
      </c>
      <c r="J855" s="402"/>
      <c r="K855" s="402"/>
      <c r="L855" s="402"/>
      <c r="M855" s="402"/>
      <c r="N855" s="402"/>
      <c r="O855" s="402"/>
      <c r="P855" s="402"/>
      <c r="Q855" s="402"/>
      <c r="R855" s="402"/>
      <c r="S855" s="402"/>
      <c r="T855" s="402"/>
      <c r="U855" s="402"/>
      <c r="V855" s="402"/>
      <c r="W855" s="402"/>
      <c r="X855" s="402"/>
      <c r="Y855" s="402"/>
      <c r="Z855" s="402"/>
    </row>
    <row r="856" ht="14.25" customHeight="1">
      <c r="A856" s="497">
        <v>45519.0</v>
      </c>
      <c r="B856" s="349" t="s">
        <v>6616</v>
      </c>
      <c r="C856" s="349" t="s">
        <v>6617</v>
      </c>
      <c r="D856" s="1032" t="s">
        <v>54</v>
      </c>
      <c r="E856" s="413" t="s">
        <v>6505</v>
      </c>
      <c r="F856" s="413">
        <v>38389.43</v>
      </c>
      <c r="G856" s="403"/>
      <c r="H856" s="349" t="s">
        <v>6618</v>
      </c>
      <c r="I856" s="736" t="str">
        <f t="shared" si="8"/>
        <v>NOT PAID</v>
      </c>
      <c r="J856" s="402"/>
      <c r="K856" s="402"/>
      <c r="L856" s="402"/>
      <c r="M856" s="402"/>
      <c r="N856" s="402"/>
      <c r="O856" s="402"/>
      <c r="P856" s="402"/>
      <c r="Q856" s="402"/>
      <c r="R856" s="402"/>
      <c r="S856" s="402"/>
      <c r="T856" s="402"/>
      <c r="U856" s="402"/>
      <c r="V856" s="402"/>
      <c r="W856" s="402"/>
      <c r="X856" s="402"/>
      <c r="Y856" s="402"/>
      <c r="Z856" s="402"/>
    </row>
    <row r="857" ht="14.25" customHeight="1">
      <c r="A857" s="497">
        <v>45519.0</v>
      </c>
      <c r="B857" s="349" t="s">
        <v>6619</v>
      </c>
      <c r="C857" s="349" t="s">
        <v>6620</v>
      </c>
      <c r="D857" s="1032" t="s">
        <v>54</v>
      </c>
      <c r="E857" s="413" t="s">
        <v>6523</v>
      </c>
      <c r="F857" s="413">
        <v>19135.0</v>
      </c>
      <c r="G857" s="403"/>
      <c r="H857" s="402"/>
      <c r="I857" s="736" t="str">
        <f t="shared" si="8"/>
        <v>NOT PAID</v>
      </c>
      <c r="J857" s="402"/>
      <c r="K857" s="402"/>
      <c r="L857" s="402"/>
      <c r="M857" s="402"/>
      <c r="N857" s="402"/>
      <c r="O857" s="402"/>
      <c r="P857" s="402"/>
      <c r="Q857" s="402"/>
      <c r="R857" s="402"/>
      <c r="S857" s="402"/>
      <c r="T857" s="402"/>
      <c r="U857" s="402"/>
      <c r="V857" s="402"/>
      <c r="W857" s="402"/>
      <c r="X857" s="402"/>
      <c r="Y857" s="402"/>
      <c r="Z857" s="402"/>
    </row>
    <row r="858" ht="14.25" customHeight="1">
      <c r="A858" s="497">
        <v>45519.0</v>
      </c>
      <c r="B858" s="349" t="s">
        <v>6391</v>
      </c>
      <c r="C858" s="349" t="s">
        <v>6621</v>
      </c>
      <c r="D858" s="1032" t="s">
        <v>54</v>
      </c>
      <c r="E858" s="413" t="s">
        <v>6511</v>
      </c>
      <c r="F858" s="413">
        <v>41921.35</v>
      </c>
      <c r="G858" s="403"/>
      <c r="H858" s="402"/>
      <c r="I858" s="736" t="str">
        <f t="shared" si="8"/>
        <v>NOT PAID</v>
      </c>
      <c r="J858" s="402"/>
      <c r="K858" s="402"/>
      <c r="L858" s="402"/>
      <c r="M858" s="402"/>
      <c r="N858" s="402"/>
      <c r="O858" s="402"/>
      <c r="P858" s="402"/>
      <c r="Q858" s="402"/>
      <c r="R858" s="402"/>
      <c r="S858" s="402"/>
      <c r="T858" s="402"/>
      <c r="U858" s="402"/>
      <c r="V858" s="402"/>
      <c r="W858" s="402"/>
      <c r="X858" s="402"/>
      <c r="Y858" s="402"/>
      <c r="Z858" s="402"/>
    </row>
    <row r="859" ht="14.25" customHeight="1">
      <c r="A859" s="497">
        <v>45519.0</v>
      </c>
      <c r="B859" s="349" t="s">
        <v>6175</v>
      </c>
      <c r="C859" s="349" t="s">
        <v>6176</v>
      </c>
      <c r="D859" s="1032" t="s">
        <v>54</v>
      </c>
      <c r="E859" s="413" t="s">
        <v>6511</v>
      </c>
      <c r="F859" s="413">
        <v>16000.0</v>
      </c>
      <c r="G859" s="403"/>
      <c r="H859" s="402"/>
      <c r="I859" s="736" t="str">
        <f t="shared" si="8"/>
        <v>NOT PAID</v>
      </c>
      <c r="J859" s="402"/>
      <c r="K859" s="402"/>
      <c r="L859" s="402"/>
      <c r="M859" s="402"/>
      <c r="N859" s="402"/>
      <c r="O859" s="402"/>
      <c r="P859" s="402"/>
      <c r="Q859" s="402"/>
      <c r="R859" s="402"/>
      <c r="S859" s="402"/>
      <c r="T859" s="402"/>
      <c r="U859" s="402"/>
      <c r="V859" s="402"/>
      <c r="W859" s="402"/>
      <c r="X859" s="402"/>
      <c r="Y859" s="402"/>
      <c r="Z859" s="402"/>
    </row>
    <row r="860" ht="14.25" customHeight="1">
      <c r="A860" s="497">
        <v>45519.0</v>
      </c>
      <c r="B860" s="349" t="s">
        <v>6546</v>
      </c>
      <c r="C860" s="349" t="s">
        <v>6547</v>
      </c>
      <c r="D860" s="1032" t="s">
        <v>54</v>
      </c>
      <c r="E860" s="413" t="s">
        <v>6505</v>
      </c>
      <c r="F860" s="413">
        <v>15655.76</v>
      </c>
      <c r="G860" s="403"/>
      <c r="H860" s="349" t="s">
        <v>6548</v>
      </c>
      <c r="I860" s="736" t="str">
        <f t="shared" si="8"/>
        <v>NOT PAID</v>
      </c>
      <c r="J860" s="402"/>
      <c r="K860" s="402"/>
      <c r="L860" s="402"/>
      <c r="M860" s="402"/>
      <c r="N860" s="402"/>
      <c r="O860" s="402"/>
      <c r="P860" s="402"/>
      <c r="Q860" s="402"/>
      <c r="R860" s="402"/>
      <c r="S860" s="402"/>
      <c r="T860" s="402"/>
      <c r="U860" s="402"/>
      <c r="V860" s="402"/>
      <c r="W860" s="402"/>
      <c r="X860" s="402"/>
      <c r="Y860" s="402"/>
      <c r="Z860" s="402"/>
    </row>
    <row r="861" ht="14.25" customHeight="1">
      <c r="A861" s="497">
        <v>45519.0</v>
      </c>
      <c r="B861" s="349" t="s">
        <v>6549</v>
      </c>
      <c r="C861" s="349" t="s">
        <v>6550</v>
      </c>
      <c r="D861" s="1032" t="s">
        <v>346</v>
      </c>
      <c r="E861" s="413" t="s">
        <v>6505</v>
      </c>
      <c r="F861" s="413">
        <v>9244.69</v>
      </c>
      <c r="G861" s="413">
        <v>15000.0</v>
      </c>
      <c r="H861" s="349" t="s">
        <v>267</v>
      </c>
      <c r="I861" s="736" t="str">
        <f t="shared" si="8"/>
        <v>FULLY PAID</v>
      </c>
      <c r="J861" s="402"/>
      <c r="K861" s="402"/>
      <c r="L861" s="402"/>
      <c r="M861" s="402"/>
      <c r="N861" s="402"/>
      <c r="O861" s="402"/>
      <c r="P861" s="402"/>
      <c r="Q861" s="402"/>
      <c r="R861" s="402"/>
      <c r="S861" s="402"/>
      <c r="T861" s="402"/>
      <c r="U861" s="402"/>
      <c r="V861" s="402"/>
      <c r="W861" s="402"/>
      <c r="X861" s="402"/>
      <c r="Y861" s="402"/>
      <c r="Z861" s="402"/>
    </row>
    <row r="862" ht="14.25" customHeight="1">
      <c r="A862" s="497">
        <v>45519.0</v>
      </c>
      <c r="B862" s="349" t="s">
        <v>6551</v>
      </c>
      <c r="C862" s="349" t="s">
        <v>6110</v>
      </c>
      <c r="D862" s="1032" t="s">
        <v>54</v>
      </c>
      <c r="E862" s="413" t="s">
        <v>6517</v>
      </c>
      <c r="F862" s="413">
        <v>2844.18</v>
      </c>
      <c r="G862" s="403"/>
      <c r="H862" s="349" t="s">
        <v>6622</v>
      </c>
      <c r="I862" s="736" t="str">
        <f t="shared" si="8"/>
        <v>NOT PAID</v>
      </c>
      <c r="J862" s="402"/>
      <c r="K862" s="402"/>
      <c r="L862" s="402"/>
      <c r="M862" s="402"/>
      <c r="N862" s="402"/>
      <c r="O862" s="402"/>
      <c r="P862" s="402"/>
      <c r="Q862" s="402"/>
      <c r="R862" s="402"/>
      <c r="S862" s="402"/>
      <c r="T862" s="402"/>
      <c r="U862" s="402"/>
      <c r="V862" s="402"/>
      <c r="W862" s="402"/>
      <c r="X862" s="402"/>
      <c r="Y862" s="402"/>
      <c r="Z862" s="402"/>
    </row>
    <row r="863" ht="14.25" customHeight="1">
      <c r="A863" s="497">
        <v>45519.0</v>
      </c>
      <c r="B863" s="349" t="s">
        <v>6555</v>
      </c>
      <c r="C863" s="349" t="s">
        <v>5832</v>
      </c>
      <c r="D863" s="1032" t="s">
        <v>54</v>
      </c>
      <c r="E863" s="413" t="s">
        <v>6505</v>
      </c>
      <c r="F863" s="413">
        <v>8352.91</v>
      </c>
      <c r="G863" s="403"/>
      <c r="H863" s="349" t="s">
        <v>6556</v>
      </c>
      <c r="I863" s="736" t="str">
        <f t="shared" si="8"/>
        <v>NOT PAID</v>
      </c>
      <c r="J863" s="402"/>
      <c r="K863" s="402"/>
      <c r="L863" s="402"/>
      <c r="M863" s="402"/>
      <c r="N863" s="402"/>
      <c r="O863" s="402"/>
      <c r="P863" s="402"/>
      <c r="Q863" s="402"/>
      <c r="R863" s="402"/>
      <c r="S863" s="402"/>
      <c r="T863" s="402"/>
      <c r="U863" s="402"/>
      <c r="V863" s="402"/>
      <c r="W863" s="402"/>
      <c r="X863" s="402"/>
      <c r="Y863" s="402"/>
      <c r="Z863" s="402"/>
    </row>
    <row r="864" ht="14.25" customHeight="1">
      <c r="A864" s="497">
        <v>45519.0</v>
      </c>
      <c r="B864" s="349" t="s">
        <v>6557</v>
      </c>
      <c r="C864" s="349" t="s">
        <v>6558</v>
      </c>
      <c r="D864" s="1032" t="s">
        <v>54</v>
      </c>
      <c r="E864" s="413" t="s">
        <v>6511</v>
      </c>
      <c r="F864" s="413">
        <v>27224.57</v>
      </c>
      <c r="G864" s="403"/>
      <c r="H864" s="402"/>
      <c r="I864" s="736" t="str">
        <f t="shared" si="8"/>
        <v>NOT PAID</v>
      </c>
      <c r="J864" s="402"/>
      <c r="K864" s="402"/>
      <c r="L864" s="402"/>
      <c r="M864" s="402"/>
      <c r="N864" s="402"/>
      <c r="O864" s="402"/>
      <c r="P864" s="402"/>
      <c r="Q864" s="402"/>
      <c r="R864" s="402"/>
      <c r="S864" s="402"/>
      <c r="T864" s="402"/>
      <c r="U864" s="402"/>
      <c r="V864" s="402"/>
      <c r="W864" s="402"/>
      <c r="X864" s="402"/>
      <c r="Y864" s="402"/>
      <c r="Z864" s="402"/>
    </row>
    <row r="865" ht="14.25" customHeight="1">
      <c r="A865" s="497">
        <v>45519.0</v>
      </c>
      <c r="B865" s="349" t="s">
        <v>6299</v>
      </c>
      <c r="C865" s="349" t="s">
        <v>6300</v>
      </c>
      <c r="D865" s="1032" t="s">
        <v>54</v>
      </c>
      <c r="E865" s="413" t="s">
        <v>6523</v>
      </c>
      <c r="F865" s="413">
        <v>13423.13</v>
      </c>
      <c r="G865" s="403"/>
      <c r="H865" s="402"/>
      <c r="I865" s="736" t="str">
        <f t="shared" si="8"/>
        <v>NOT PAID</v>
      </c>
      <c r="J865" s="402"/>
      <c r="K865" s="402"/>
      <c r="L865" s="402"/>
      <c r="M865" s="402"/>
      <c r="N865" s="402"/>
      <c r="O865" s="402"/>
      <c r="P865" s="402"/>
      <c r="Q865" s="402"/>
      <c r="R865" s="402"/>
      <c r="S865" s="402"/>
      <c r="T865" s="402"/>
      <c r="U865" s="402"/>
      <c r="V865" s="402"/>
      <c r="W865" s="402"/>
      <c r="X865" s="402"/>
      <c r="Y865" s="402"/>
      <c r="Z865" s="402"/>
    </row>
    <row r="866" ht="14.25" customHeight="1">
      <c r="A866" s="497">
        <v>45519.0</v>
      </c>
      <c r="B866" s="349" t="s">
        <v>6561</v>
      </c>
      <c r="C866" s="349" t="s">
        <v>6562</v>
      </c>
      <c r="D866" s="1032" t="s">
        <v>54</v>
      </c>
      <c r="E866" s="413" t="s">
        <v>6563</v>
      </c>
      <c r="F866" s="413">
        <v>133803.64</v>
      </c>
      <c r="G866" s="403"/>
      <c r="H866" s="349" t="s">
        <v>6623</v>
      </c>
      <c r="I866" s="736" t="str">
        <f t="shared" si="8"/>
        <v>NOT PAID</v>
      </c>
      <c r="J866" s="402"/>
      <c r="K866" s="402"/>
      <c r="L866" s="402"/>
      <c r="M866" s="402"/>
      <c r="N866" s="402"/>
      <c r="O866" s="402"/>
      <c r="P866" s="402"/>
      <c r="Q866" s="402"/>
      <c r="R866" s="402"/>
      <c r="S866" s="402"/>
      <c r="T866" s="402"/>
      <c r="U866" s="402"/>
      <c r="V866" s="402"/>
      <c r="W866" s="402"/>
      <c r="X866" s="402"/>
      <c r="Y866" s="402"/>
      <c r="Z866" s="402"/>
    </row>
    <row r="867" ht="14.25" customHeight="1">
      <c r="A867" s="497">
        <v>45519.0</v>
      </c>
      <c r="B867" s="349" t="s">
        <v>6565</v>
      </c>
      <c r="C867" s="349" t="s">
        <v>6566</v>
      </c>
      <c r="D867" s="1032" t="s">
        <v>54</v>
      </c>
      <c r="E867" s="413" t="s">
        <v>6511</v>
      </c>
      <c r="F867" s="413">
        <v>19123.56</v>
      </c>
      <c r="G867" s="403"/>
      <c r="H867" s="402"/>
      <c r="I867" s="736" t="str">
        <f t="shared" si="8"/>
        <v>NOT PAID</v>
      </c>
      <c r="J867" s="402"/>
      <c r="K867" s="402"/>
      <c r="L867" s="402"/>
      <c r="M867" s="402"/>
      <c r="N867" s="402"/>
      <c r="O867" s="402"/>
      <c r="P867" s="402"/>
      <c r="Q867" s="402"/>
      <c r="R867" s="402"/>
      <c r="S867" s="402"/>
      <c r="T867" s="402"/>
      <c r="U867" s="402"/>
      <c r="V867" s="402"/>
      <c r="W867" s="402"/>
      <c r="X867" s="402"/>
      <c r="Y867" s="402"/>
      <c r="Z867" s="402"/>
    </row>
    <row r="868" ht="14.25" customHeight="1">
      <c r="A868" s="497">
        <v>45519.0</v>
      </c>
      <c r="B868" s="349" t="s">
        <v>6568</v>
      </c>
      <c r="C868" s="349" t="s">
        <v>6569</v>
      </c>
      <c r="D868" s="1032" t="s">
        <v>54</v>
      </c>
      <c r="E868" s="413" t="s">
        <v>6563</v>
      </c>
      <c r="F868" s="413">
        <v>42372.45</v>
      </c>
      <c r="G868" s="403"/>
      <c r="H868" s="349" t="s">
        <v>6624</v>
      </c>
      <c r="I868" s="736" t="str">
        <f t="shared" si="8"/>
        <v>NOT PAID</v>
      </c>
      <c r="J868" s="402"/>
      <c r="K868" s="402"/>
      <c r="L868" s="402"/>
      <c r="M868" s="402"/>
      <c r="N868" s="402"/>
      <c r="O868" s="402"/>
      <c r="P868" s="402"/>
      <c r="Q868" s="402"/>
      <c r="R868" s="402"/>
      <c r="S868" s="402"/>
      <c r="T868" s="402"/>
      <c r="U868" s="402"/>
      <c r="V868" s="402"/>
      <c r="W868" s="402"/>
      <c r="X868" s="402"/>
      <c r="Y868" s="402"/>
      <c r="Z868" s="402"/>
    </row>
    <row r="869" ht="14.25" customHeight="1">
      <c r="A869" s="497">
        <v>45519.0</v>
      </c>
      <c r="B869" s="349" t="s">
        <v>6503</v>
      </c>
      <c r="C869" s="349" t="s">
        <v>6504</v>
      </c>
      <c r="D869" s="1032" t="s">
        <v>54</v>
      </c>
      <c r="E869" s="413" t="s">
        <v>6505</v>
      </c>
      <c r="F869" s="413">
        <v>20134.69</v>
      </c>
      <c r="G869" s="403"/>
      <c r="H869" s="349" t="s">
        <v>6574</v>
      </c>
      <c r="I869" s="736" t="str">
        <f t="shared" si="8"/>
        <v>NOT PAID</v>
      </c>
      <c r="J869" s="402"/>
      <c r="K869" s="402"/>
      <c r="L869" s="402"/>
      <c r="M869" s="402"/>
      <c r="N869" s="402"/>
      <c r="O869" s="402"/>
      <c r="P869" s="402"/>
      <c r="Q869" s="402"/>
      <c r="R869" s="402"/>
      <c r="S869" s="402"/>
      <c r="T869" s="402"/>
      <c r="U869" s="402"/>
      <c r="V869" s="402"/>
      <c r="W869" s="402"/>
      <c r="X869" s="402"/>
      <c r="Y869" s="402"/>
      <c r="Z869" s="402"/>
    </row>
    <row r="870" ht="14.25" customHeight="1">
      <c r="A870" s="497">
        <v>45519.0</v>
      </c>
      <c r="B870" s="349" t="s">
        <v>6507</v>
      </c>
      <c r="C870" s="349" t="s">
        <v>6508</v>
      </c>
      <c r="D870" s="1032" t="s">
        <v>54</v>
      </c>
      <c r="E870" s="413" t="s">
        <v>6505</v>
      </c>
      <c r="F870" s="413">
        <v>23294.6</v>
      </c>
      <c r="G870" s="403"/>
      <c r="H870" s="349" t="s">
        <v>6575</v>
      </c>
      <c r="I870" s="736" t="str">
        <f t="shared" si="8"/>
        <v>NOT PAID</v>
      </c>
      <c r="J870" s="402"/>
      <c r="K870" s="402"/>
      <c r="L870" s="402"/>
      <c r="M870" s="402"/>
      <c r="N870" s="402"/>
      <c r="O870" s="402"/>
      <c r="P870" s="402"/>
      <c r="Q870" s="402"/>
      <c r="R870" s="402"/>
      <c r="S870" s="402"/>
      <c r="T870" s="402"/>
      <c r="U870" s="402"/>
      <c r="V870" s="402"/>
      <c r="W870" s="402"/>
      <c r="X870" s="402"/>
      <c r="Y870" s="402"/>
      <c r="Z870" s="402"/>
    </row>
    <row r="871" ht="14.25" customHeight="1">
      <c r="A871" s="497">
        <v>45519.0</v>
      </c>
      <c r="B871" s="349" t="s">
        <v>6515</v>
      </c>
      <c r="C871" s="349" t="s">
        <v>6516</v>
      </c>
      <c r="D871" s="1032" t="s">
        <v>54</v>
      </c>
      <c r="E871" s="413" t="s">
        <v>6517</v>
      </c>
      <c r="F871" s="413">
        <v>4625.64</v>
      </c>
      <c r="G871" s="403"/>
      <c r="H871" s="402"/>
      <c r="I871" s="736" t="str">
        <f t="shared" si="8"/>
        <v>NOT PAID</v>
      </c>
      <c r="J871" s="402"/>
      <c r="K871" s="402"/>
      <c r="L871" s="402"/>
      <c r="M871" s="402"/>
      <c r="N871" s="402"/>
      <c r="O871" s="402"/>
      <c r="P871" s="402"/>
      <c r="Q871" s="402"/>
      <c r="R871" s="402"/>
      <c r="S871" s="402"/>
      <c r="T871" s="402"/>
      <c r="U871" s="402"/>
      <c r="V871" s="402"/>
      <c r="W871" s="402"/>
      <c r="X871" s="402"/>
      <c r="Y871" s="402"/>
      <c r="Z871" s="402"/>
    </row>
    <row r="872" ht="14.25" customHeight="1">
      <c r="A872" s="497">
        <v>45519.0</v>
      </c>
      <c r="B872" s="349" t="s">
        <v>6521</v>
      </c>
      <c r="C872" s="349" t="s">
        <v>5650</v>
      </c>
      <c r="D872" s="1032" t="s">
        <v>75</v>
      </c>
      <c r="E872" s="413" t="s">
        <v>6517</v>
      </c>
      <c r="F872" s="413">
        <v>77000.0</v>
      </c>
      <c r="G872" s="403"/>
      <c r="H872" s="349" t="s">
        <v>6625</v>
      </c>
      <c r="I872" s="736" t="str">
        <f t="shared" si="8"/>
        <v>NOT PAID</v>
      </c>
      <c r="J872" s="402"/>
      <c r="K872" s="402"/>
      <c r="L872" s="402"/>
      <c r="M872" s="402"/>
      <c r="N872" s="402"/>
      <c r="O872" s="402"/>
      <c r="P872" s="402"/>
      <c r="Q872" s="402"/>
      <c r="R872" s="402"/>
      <c r="S872" s="402"/>
      <c r="T872" s="402"/>
      <c r="U872" s="402"/>
      <c r="V872" s="402"/>
      <c r="W872" s="402"/>
      <c r="X872" s="402"/>
      <c r="Y872" s="402"/>
      <c r="Z872" s="402"/>
    </row>
    <row r="873" ht="14.25" customHeight="1">
      <c r="A873" s="497">
        <v>45519.0</v>
      </c>
      <c r="B873" s="349" t="s">
        <v>6452</v>
      </c>
      <c r="C873" s="349" t="s">
        <v>6453</v>
      </c>
      <c r="D873" s="1032" t="s">
        <v>54</v>
      </c>
      <c r="E873" s="413" t="s">
        <v>6517</v>
      </c>
      <c r="F873" s="413">
        <v>599181.94</v>
      </c>
      <c r="G873" s="403"/>
      <c r="H873" s="349" t="s">
        <v>6626</v>
      </c>
      <c r="I873" s="736" t="str">
        <f t="shared" si="8"/>
        <v>NOT PAID</v>
      </c>
      <c r="J873" s="402"/>
      <c r="K873" s="402"/>
      <c r="L873" s="402"/>
      <c r="M873" s="402"/>
      <c r="N873" s="402"/>
      <c r="O873" s="402"/>
      <c r="P873" s="402"/>
      <c r="Q873" s="402"/>
      <c r="R873" s="402"/>
      <c r="S873" s="402"/>
      <c r="T873" s="402"/>
      <c r="U873" s="402"/>
      <c r="V873" s="402"/>
      <c r="W873" s="402"/>
      <c r="X873" s="402"/>
      <c r="Y873" s="402"/>
      <c r="Z873" s="402"/>
    </row>
    <row r="874" ht="14.25" customHeight="1">
      <c r="A874" s="497">
        <v>45519.0</v>
      </c>
      <c r="B874" s="349" t="s">
        <v>6455</v>
      </c>
      <c r="C874" s="349" t="s">
        <v>6456</v>
      </c>
      <c r="D874" s="1032" t="s">
        <v>54</v>
      </c>
      <c r="E874" s="413" t="s">
        <v>6511</v>
      </c>
      <c r="F874" s="413">
        <v>170586.11</v>
      </c>
      <c r="G874" s="403"/>
      <c r="H874" s="402"/>
      <c r="I874" s="736" t="str">
        <f t="shared" si="8"/>
        <v>NOT PAID</v>
      </c>
      <c r="J874" s="402"/>
      <c r="K874" s="402"/>
      <c r="L874" s="402"/>
      <c r="M874" s="402"/>
      <c r="N874" s="402"/>
      <c r="O874" s="402"/>
      <c r="P874" s="402"/>
      <c r="Q874" s="402"/>
      <c r="R874" s="402"/>
      <c r="S874" s="402"/>
      <c r="T874" s="402"/>
      <c r="U874" s="402"/>
      <c r="V874" s="402"/>
      <c r="W874" s="402"/>
      <c r="X874" s="402"/>
      <c r="Y874" s="402"/>
      <c r="Z874" s="402"/>
    </row>
    <row r="875" ht="14.25" customHeight="1">
      <c r="A875" s="497">
        <v>45519.0</v>
      </c>
      <c r="B875" s="349" t="s">
        <v>6460</v>
      </c>
      <c r="C875" s="349" t="s">
        <v>6461</v>
      </c>
      <c r="D875" s="1032" t="s">
        <v>54</v>
      </c>
      <c r="E875" s="413" t="s">
        <v>6511</v>
      </c>
      <c r="F875" s="413">
        <v>40536.0</v>
      </c>
      <c r="G875" s="403"/>
      <c r="H875" s="402"/>
      <c r="I875" s="736" t="str">
        <f t="shared" si="8"/>
        <v>NOT PAID</v>
      </c>
      <c r="J875" s="402"/>
      <c r="K875" s="402"/>
      <c r="L875" s="402"/>
      <c r="M875" s="402"/>
      <c r="N875" s="402"/>
      <c r="O875" s="402"/>
      <c r="P875" s="402"/>
      <c r="Q875" s="402"/>
      <c r="R875" s="402"/>
      <c r="S875" s="402"/>
      <c r="T875" s="402"/>
      <c r="U875" s="402"/>
      <c r="V875" s="402"/>
      <c r="W875" s="402"/>
      <c r="X875" s="402"/>
      <c r="Y875" s="402"/>
      <c r="Z875" s="402"/>
    </row>
    <row r="876" ht="14.25" customHeight="1">
      <c r="A876" s="497">
        <v>45519.0</v>
      </c>
      <c r="B876" s="349" t="s">
        <v>6469</v>
      </c>
      <c r="C876" s="349" t="s">
        <v>6470</v>
      </c>
      <c r="D876" s="1032" t="s">
        <v>54</v>
      </c>
      <c r="E876" s="413" t="s">
        <v>6517</v>
      </c>
      <c r="F876" s="413">
        <v>55177.93</v>
      </c>
      <c r="G876" s="403"/>
      <c r="H876" s="349" t="s">
        <v>6627</v>
      </c>
      <c r="I876" s="736" t="str">
        <f t="shared" si="8"/>
        <v>NOT PAID</v>
      </c>
      <c r="J876" s="402"/>
      <c r="K876" s="402"/>
      <c r="L876" s="402"/>
      <c r="M876" s="402"/>
      <c r="N876" s="402"/>
      <c r="O876" s="402"/>
      <c r="P876" s="402"/>
      <c r="Q876" s="402"/>
      <c r="R876" s="402"/>
      <c r="S876" s="402"/>
      <c r="T876" s="402"/>
      <c r="U876" s="402"/>
      <c r="V876" s="402"/>
      <c r="W876" s="402"/>
      <c r="X876" s="402"/>
      <c r="Y876" s="402"/>
      <c r="Z876" s="402"/>
    </row>
    <row r="877" ht="14.25" customHeight="1">
      <c r="A877" s="497">
        <v>45519.0</v>
      </c>
      <c r="B877" s="349" t="s">
        <v>6477</v>
      </c>
      <c r="C877" s="349" t="s">
        <v>6478</v>
      </c>
      <c r="D877" s="1032" t="s">
        <v>54</v>
      </c>
      <c r="E877" s="413" t="s">
        <v>6529</v>
      </c>
      <c r="F877" s="413">
        <v>52886.01</v>
      </c>
      <c r="G877" s="403"/>
      <c r="H877" s="402"/>
      <c r="I877" s="736" t="str">
        <f t="shared" si="8"/>
        <v>NOT PAID</v>
      </c>
      <c r="J877" s="402"/>
      <c r="K877" s="402"/>
      <c r="L877" s="402"/>
      <c r="M877" s="402"/>
      <c r="N877" s="402"/>
      <c r="O877" s="402"/>
      <c r="P877" s="402"/>
      <c r="Q877" s="402"/>
      <c r="R877" s="402"/>
      <c r="S877" s="402"/>
      <c r="T877" s="402"/>
      <c r="U877" s="402"/>
      <c r="V877" s="402"/>
      <c r="W877" s="402"/>
      <c r="X877" s="402"/>
      <c r="Y877" s="402"/>
      <c r="Z877" s="402"/>
    </row>
    <row r="878" ht="14.25" customHeight="1">
      <c r="A878" s="497">
        <v>45519.0</v>
      </c>
      <c r="B878" s="349" t="s">
        <v>6487</v>
      </c>
      <c r="C878" s="349" t="s">
        <v>5796</v>
      </c>
      <c r="D878" s="1032" t="s">
        <v>54</v>
      </c>
      <c r="E878" s="413" t="s">
        <v>6531</v>
      </c>
      <c r="F878" s="413">
        <v>13937.75</v>
      </c>
      <c r="G878" s="403"/>
      <c r="H878" s="402"/>
      <c r="I878" s="736" t="str">
        <f t="shared" si="8"/>
        <v>NOT PAID</v>
      </c>
      <c r="J878" s="402"/>
      <c r="K878" s="402"/>
      <c r="L878" s="402"/>
      <c r="M878" s="402"/>
      <c r="N878" s="402"/>
      <c r="O878" s="402"/>
      <c r="P878" s="402"/>
      <c r="Q878" s="402"/>
      <c r="R878" s="402"/>
      <c r="S878" s="402"/>
      <c r="T878" s="402"/>
      <c r="U878" s="402"/>
      <c r="V878" s="402"/>
      <c r="W878" s="402"/>
      <c r="X878" s="402"/>
      <c r="Y878" s="402"/>
      <c r="Z878" s="402"/>
    </row>
    <row r="879" ht="14.25" customHeight="1">
      <c r="A879" s="497">
        <v>45519.0</v>
      </c>
      <c r="B879" s="349" t="s">
        <v>6488</v>
      </c>
      <c r="C879" s="349" t="s">
        <v>6489</v>
      </c>
      <c r="D879" s="1032" t="s">
        <v>54</v>
      </c>
      <c r="E879" s="413" t="s">
        <v>6505</v>
      </c>
      <c r="F879" s="413">
        <v>16483.0</v>
      </c>
      <c r="G879" s="403"/>
      <c r="H879" s="349" t="s">
        <v>6490</v>
      </c>
      <c r="I879" s="736" t="str">
        <f t="shared" si="8"/>
        <v>NOT PAID</v>
      </c>
      <c r="J879" s="402"/>
      <c r="K879" s="402"/>
      <c r="L879" s="402"/>
      <c r="M879" s="402"/>
      <c r="N879" s="402"/>
      <c r="O879" s="402"/>
      <c r="P879" s="402"/>
      <c r="Q879" s="402"/>
      <c r="R879" s="402"/>
      <c r="S879" s="402"/>
      <c r="T879" s="402"/>
      <c r="U879" s="402"/>
      <c r="V879" s="402"/>
      <c r="W879" s="402"/>
      <c r="X879" s="402"/>
      <c r="Y879" s="402"/>
      <c r="Z879" s="402"/>
    </row>
    <row r="880" ht="14.25" customHeight="1">
      <c r="A880" s="497">
        <v>45519.0</v>
      </c>
      <c r="B880" s="349" t="s">
        <v>6462</v>
      </c>
      <c r="C880" s="349" t="s">
        <v>6463</v>
      </c>
      <c r="D880" s="1032" t="s">
        <v>75</v>
      </c>
      <c r="E880" s="413" t="s">
        <v>6505</v>
      </c>
      <c r="F880" s="413">
        <v>770000.0</v>
      </c>
      <c r="G880" s="413">
        <v>50000.0</v>
      </c>
      <c r="H880" s="349" t="s">
        <v>6628</v>
      </c>
      <c r="I880" s="736" t="str">
        <f t="shared" si="8"/>
        <v>PARTIALLY PAID</v>
      </c>
      <c r="J880" s="402"/>
      <c r="K880" s="402"/>
      <c r="L880" s="402"/>
      <c r="M880" s="402"/>
      <c r="N880" s="402"/>
      <c r="O880" s="402"/>
      <c r="P880" s="402"/>
      <c r="Q880" s="402"/>
      <c r="R880" s="402"/>
      <c r="S880" s="402"/>
      <c r="T880" s="402"/>
      <c r="U880" s="402"/>
      <c r="V880" s="402"/>
      <c r="W880" s="402"/>
      <c r="X880" s="402"/>
      <c r="Y880" s="402"/>
      <c r="Z880" s="402"/>
    </row>
    <row r="881" ht="14.25" customHeight="1">
      <c r="A881" s="497">
        <v>45519.0</v>
      </c>
      <c r="B881" s="349" t="s">
        <v>6585</v>
      </c>
      <c r="C881" s="349" t="s">
        <v>6586</v>
      </c>
      <c r="D881" s="1032" t="s">
        <v>54</v>
      </c>
      <c r="E881" s="413" t="s">
        <v>6505</v>
      </c>
      <c r="F881" s="413">
        <v>75860.0</v>
      </c>
      <c r="G881" s="413">
        <v>75860.0</v>
      </c>
      <c r="H881" s="349" t="s">
        <v>6629</v>
      </c>
      <c r="I881" s="736" t="str">
        <f t="shared" si="8"/>
        <v>FULLY PAID</v>
      </c>
      <c r="J881" s="402"/>
      <c r="K881" s="402"/>
      <c r="L881" s="402"/>
      <c r="M881" s="402"/>
      <c r="N881" s="402"/>
      <c r="O881" s="402"/>
      <c r="P881" s="402"/>
      <c r="Q881" s="402"/>
      <c r="R881" s="402"/>
      <c r="S881" s="402"/>
      <c r="T881" s="402"/>
      <c r="U881" s="402"/>
      <c r="V881" s="402"/>
      <c r="W881" s="402"/>
      <c r="X881" s="402"/>
      <c r="Y881" s="402"/>
      <c r="Z881" s="402"/>
    </row>
    <row r="882" ht="14.25" customHeight="1">
      <c r="A882" s="497">
        <v>45519.0</v>
      </c>
      <c r="B882" s="349" t="s">
        <v>5780</v>
      </c>
      <c r="C882" s="349" t="s">
        <v>5781</v>
      </c>
      <c r="D882" s="1032" t="s">
        <v>54</v>
      </c>
      <c r="E882" s="413" t="s">
        <v>6517</v>
      </c>
      <c r="F882" s="413">
        <v>1550.0</v>
      </c>
      <c r="G882" s="413"/>
      <c r="H882" s="349" t="s">
        <v>267</v>
      </c>
      <c r="I882" s="736" t="str">
        <f t="shared" si="8"/>
        <v>NOT PAID</v>
      </c>
      <c r="J882" s="402"/>
      <c r="K882" s="402"/>
      <c r="L882" s="402"/>
      <c r="M882" s="402"/>
      <c r="N882" s="402"/>
      <c r="O882" s="402"/>
      <c r="P882" s="402"/>
      <c r="Q882" s="402"/>
      <c r="R882" s="402"/>
      <c r="S882" s="402"/>
      <c r="T882" s="402"/>
      <c r="U882" s="402"/>
      <c r="V882" s="402"/>
      <c r="W882" s="402"/>
      <c r="X882" s="402"/>
      <c r="Y882" s="402"/>
      <c r="Z882" s="402"/>
    </row>
    <row r="883" ht="14.25" customHeight="1">
      <c r="A883" s="497">
        <v>45519.0</v>
      </c>
      <c r="B883" s="349" t="s">
        <v>6431</v>
      </c>
      <c r="C883" s="349" t="s">
        <v>6590</v>
      </c>
      <c r="D883" s="1077" t="s">
        <v>54</v>
      </c>
      <c r="E883" s="413" t="s">
        <v>6511</v>
      </c>
      <c r="F883" s="413">
        <v>256667.0</v>
      </c>
      <c r="G883" s="683"/>
      <c r="H883" s="402"/>
      <c r="I883" s="736" t="str">
        <f t="shared" si="8"/>
        <v>NOT PAID</v>
      </c>
      <c r="J883" s="402"/>
      <c r="K883" s="402"/>
      <c r="L883" s="402"/>
      <c r="M883" s="402"/>
      <c r="N883" s="402"/>
      <c r="O883" s="402"/>
      <c r="P883" s="402"/>
      <c r="Q883" s="402"/>
      <c r="R883" s="402"/>
      <c r="S883" s="402"/>
      <c r="T883" s="402"/>
      <c r="U883" s="402"/>
      <c r="V883" s="402"/>
      <c r="W883" s="402"/>
      <c r="X883" s="402"/>
      <c r="Y883" s="402"/>
      <c r="Z883" s="402"/>
    </row>
    <row r="884" ht="14.25" customHeight="1">
      <c r="A884" s="497">
        <v>45519.0</v>
      </c>
      <c r="B884" s="349" t="s">
        <v>5792</v>
      </c>
      <c r="C884" s="349" t="s">
        <v>6593</v>
      </c>
      <c r="D884" s="1032" t="s">
        <v>54</v>
      </c>
      <c r="E884" s="413" t="s">
        <v>6505</v>
      </c>
      <c r="F884" s="413">
        <v>130000.0</v>
      </c>
      <c r="G884" s="413"/>
      <c r="H884" s="349" t="s">
        <v>6630</v>
      </c>
      <c r="I884" s="736" t="str">
        <f t="shared" si="8"/>
        <v>NOT PAID</v>
      </c>
      <c r="J884" s="402"/>
      <c r="K884" s="402"/>
      <c r="L884" s="402"/>
      <c r="M884" s="402"/>
      <c r="N884" s="402"/>
      <c r="O884" s="402"/>
      <c r="P884" s="402"/>
      <c r="Q884" s="402"/>
      <c r="R884" s="402"/>
      <c r="S884" s="402"/>
      <c r="T884" s="402"/>
      <c r="U884" s="402"/>
      <c r="V884" s="402"/>
      <c r="W884" s="402"/>
      <c r="X884" s="402"/>
      <c r="Y884" s="402"/>
      <c r="Z884" s="402"/>
    </row>
    <row r="885" ht="14.25" customHeight="1">
      <c r="A885" s="497">
        <v>45519.0</v>
      </c>
      <c r="B885" s="349" t="s">
        <v>6056</v>
      </c>
      <c r="C885" s="349" t="s">
        <v>6599</v>
      </c>
      <c r="D885" s="1032" t="s">
        <v>54</v>
      </c>
      <c r="E885" s="413" t="s">
        <v>2172</v>
      </c>
      <c r="F885" s="413">
        <v>400000.0</v>
      </c>
      <c r="G885" s="403"/>
      <c r="H885" s="402"/>
      <c r="I885" s="736" t="str">
        <f t="shared" si="8"/>
        <v>NOT PAID</v>
      </c>
      <c r="J885" s="402"/>
      <c r="K885" s="402"/>
      <c r="L885" s="402"/>
      <c r="M885" s="402"/>
      <c r="N885" s="402"/>
      <c r="O885" s="402"/>
      <c r="P885" s="402"/>
      <c r="Q885" s="402"/>
      <c r="R885" s="402"/>
      <c r="S885" s="402"/>
      <c r="T885" s="402"/>
      <c r="U885" s="402"/>
      <c r="V885" s="402"/>
      <c r="W885" s="402"/>
      <c r="X885" s="402"/>
      <c r="Y885" s="402"/>
      <c r="Z885" s="402"/>
    </row>
    <row r="886" ht="14.25" customHeight="1">
      <c r="A886" s="497">
        <v>45519.0</v>
      </c>
      <c r="B886" s="349" t="s">
        <v>6535</v>
      </c>
      <c r="C886" s="349" t="s">
        <v>6536</v>
      </c>
      <c r="D886" s="1032" t="s">
        <v>54</v>
      </c>
      <c r="E886" s="413" t="s">
        <v>6511</v>
      </c>
      <c r="F886" s="413">
        <v>1500.0</v>
      </c>
      <c r="G886" s="403"/>
      <c r="H886" s="402"/>
      <c r="I886" s="736" t="str">
        <f t="shared" si="8"/>
        <v>NOT PAID</v>
      </c>
      <c r="J886" s="402"/>
      <c r="K886" s="402"/>
      <c r="L886" s="402"/>
      <c r="M886" s="402"/>
      <c r="N886" s="402"/>
      <c r="O886" s="402"/>
      <c r="P886" s="402"/>
      <c r="Q886" s="402"/>
      <c r="R886" s="402"/>
      <c r="S886" s="402"/>
      <c r="T886" s="402"/>
      <c r="U886" s="402"/>
      <c r="V886" s="402"/>
      <c r="W886" s="402"/>
      <c r="X886" s="402"/>
      <c r="Y886" s="402"/>
      <c r="Z886" s="402"/>
    </row>
    <row r="887" ht="14.25" customHeight="1">
      <c r="A887" s="497"/>
      <c r="B887" s="349"/>
      <c r="C887" s="349"/>
      <c r="D887" s="1032"/>
      <c r="E887" s="413"/>
      <c r="F887" s="413"/>
      <c r="G887" s="403"/>
      <c r="H887" s="402"/>
      <c r="I887" s="736" t="str">
        <f t="shared" si="8"/>
        <v>FULLY PAID</v>
      </c>
      <c r="J887" s="402"/>
      <c r="K887" s="402"/>
      <c r="L887" s="402"/>
      <c r="M887" s="402"/>
      <c r="N887" s="402"/>
      <c r="O887" s="402"/>
      <c r="P887" s="402"/>
      <c r="Q887" s="402"/>
      <c r="R887" s="402"/>
      <c r="S887" s="402"/>
      <c r="T887" s="402"/>
      <c r="U887" s="402"/>
      <c r="V887" s="402"/>
      <c r="W887" s="402"/>
      <c r="X887" s="402"/>
      <c r="Y887" s="402"/>
      <c r="Z887" s="402"/>
    </row>
    <row r="888" ht="14.25" customHeight="1">
      <c r="A888" s="497">
        <v>45519.0</v>
      </c>
      <c r="B888" s="349" t="s">
        <v>6309</v>
      </c>
      <c r="C888" s="349" t="s">
        <v>5722</v>
      </c>
      <c r="D888" s="1032" t="s">
        <v>54</v>
      </c>
      <c r="E888" s="413" t="s">
        <v>6505</v>
      </c>
      <c r="F888" s="413">
        <v>50000.0</v>
      </c>
      <c r="G888" s="403"/>
      <c r="H888" s="349" t="s">
        <v>2200</v>
      </c>
      <c r="I888" s="736" t="str">
        <f t="shared" si="8"/>
        <v>NOT PAID</v>
      </c>
      <c r="J888" s="402"/>
      <c r="K888" s="402"/>
      <c r="L888" s="402"/>
      <c r="M888" s="402"/>
      <c r="N888" s="402"/>
      <c r="O888" s="402"/>
      <c r="P888" s="402"/>
      <c r="Q888" s="402"/>
      <c r="R888" s="402"/>
      <c r="S888" s="402"/>
      <c r="T888" s="402"/>
      <c r="U888" s="402"/>
      <c r="V888" s="402"/>
      <c r="W888" s="402"/>
      <c r="X888" s="402"/>
      <c r="Y888" s="402"/>
      <c r="Z888" s="402"/>
    </row>
    <row r="889" ht="14.25" customHeight="1">
      <c r="A889" s="497">
        <v>45519.0</v>
      </c>
      <c r="B889" s="349" t="s">
        <v>797</v>
      </c>
      <c r="C889" s="402"/>
      <c r="D889" s="1034"/>
      <c r="E889" s="403"/>
      <c r="F889" s="403"/>
      <c r="G889" s="403"/>
      <c r="H889" s="402"/>
      <c r="I889" s="736" t="str">
        <f t="shared" si="8"/>
        <v>FULLY PAID</v>
      </c>
      <c r="J889" s="402"/>
      <c r="K889" s="402"/>
      <c r="L889" s="402"/>
      <c r="M889" s="402"/>
      <c r="N889" s="402"/>
      <c r="O889" s="402"/>
      <c r="P889" s="402"/>
      <c r="Q889" s="402"/>
      <c r="R889" s="402"/>
      <c r="S889" s="402"/>
      <c r="T889" s="402"/>
      <c r="U889" s="402"/>
      <c r="V889" s="402"/>
      <c r="W889" s="402"/>
      <c r="X889" s="402"/>
      <c r="Y889" s="402"/>
      <c r="Z889" s="402"/>
    </row>
    <row r="890" ht="14.25" customHeight="1">
      <c r="A890" s="497">
        <v>45519.0</v>
      </c>
      <c r="B890" s="402" t="s">
        <v>6090</v>
      </c>
      <c r="C890" s="402" t="s">
        <v>6600</v>
      </c>
      <c r="D890" s="1032" t="s">
        <v>54</v>
      </c>
      <c r="E890" s="403" t="s">
        <v>4114</v>
      </c>
      <c r="F890" s="413">
        <v>515000.0</v>
      </c>
      <c r="G890" s="413"/>
      <c r="H890" s="349" t="s">
        <v>6631</v>
      </c>
      <c r="I890" s="736" t="str">
        <f t="shared" si="8"/>
        <v>NOT PAID</v>
      </c>
      <c r="J890" s="402"/>
      <c r="K890" s="402"/>
      <c r="L890" s="402"/>
      <c r="M890" s="402"/>
      <c r="N890" s="402"/>
      <c r="O890" s="402"/>
      <c r="P890" s="402"/>
      <c r="Q890" s="402"/>
      <c r="R890" s="402"/>
      <c r="S890" s="402"/>
      <c r="T890" s="402"/>
      <c r="U890" s="402"/>
      <c r="V890" s="402"/>
      <c r="W890" s="402"/>
      <c r="X890" s="402"/>
      <c r="Y890" s="402"/>
      <c r="Z890" s="402"/>
    </row>
    <row r="891" ht="14.25" customHeight="1">
      <c r="A891" s="497">
        <v>45519.0</v>
      </c>
      <c r="B891" s="402" t="s">
        <v>6364</v>
      </c>
      <c r="C891" s="402" t="s">
        <v>6602</v>
      </c>
      <c r="D891" s="1032" t="s">
        <v>54</v>
      </c>
      <c r="E891" s="403" t="s">
        <v>4114</v>
      </c>
      <c r="F891" s="403">
        <v>201243.0</v>
      </c>
      <c r="G891" s="413">
        <v>682636.0</v>
      </c>
      <c r="H891" s="349" t="s">
        <v>6632</v>
      </c>
      <c r="I891" s="736" t="str">
        <f t="shared" si="8"/>
        <v>FULLY PAID</v>
      </c>
      <c r="J891" s="402"/>
      <c r="K891" s="402"/>
      <c r="L891" s="402"/>
      <c r="M891" s="402"/>
      <c r="N891" s="402"/>
      <c r="O891" s="402"/>
      <c r="P891" s="402"/>
      <c r="Q891" s="402"/>
      <c r="R891" s="402"/>
      <c r="S891" s="402"/>
      <c r="T891" s="402"/>
      <c r="U891" s="402"/>
      <c r="V891" s="402"/>
      <c r="W891" s="402"/>
      <c r="X891" s="402"/>
      <c r="Y891" s="402"/>
      <c r="Z891" s="402"/>
    </row>
    <row r="892" ht="14.25" customHeight="1">
      <c r="A892" s="497">
        <v>45519.0</v>
      </c>
      <c r="B892" s="402" t="s">
        <v>6185</v>
      </c>
      <c r="C892" s="402" t="s">
        <v>6186</v>
      </c>
      <c r="D892" s="1032" t="s">
        <v>54</v>
      </c>
      <c r="E892" s="403" t="s">
        <v>4114</v>
      </c>
      <c r="F892" s="403">
        <v>43698.0</v>
      </c>
      <c r="G892" s="413">
        <v>20000.0</v>
      </c>
      <c r="H892" s="349" t="s">
        <v>804</v>
      </c>
      <c r="I892" s="736" t="str">
        <f t="shared" si="8"/>
        <v>PARTIALLY PAID</v>
      </c>
      <c r="J892" s="402"/>
      <c r="K892" s="402"/>
      <c r="L892" s="402"/>
      <c r="M892" s="402"/>
      <c r="N892" s="402"/>
      <c r="O892" s="402"/>
      <c r="P892" s="402"/>
      <c r="Q892" s="402"/>
      <c r="R892" s="402"/>
      <c r="S892" s="402"/>
      <c r="T892" s="402"/>
      <c r="U892" s="402"/>
      <c r="V892" s="402"/>
      <c r="W892" s="402"/>
      <c r="X892" s="402"/>
      <c r="Y892" s="402"/>
      <c r="Z892" s="402"/>
    </row>
    <row r="893" ht="14.25" customHeight="1">
      <c r="A893" s="497">
        <v>45519.0</v>
      </c>
      <c r="B893" s="402" t="s">
        <v>5685</v>
      </c>
      <c r="C893" s="402" t="s">
        <v>6382</v>
      </c>
      <c r="D893" s="1032" t="s">
        <v>54</v>
      </c>
      <c r="E893" s="403" t="s">
        <v>2165</v>
      </c>
      <c r="F893" s="403">
        <v>100000.0</v>
      </c>
      <c r="G893" s="413"/>
      <c r="H893" s="402"/>
      <c r="I893" s="736" t="str">
        <f t="shared" si="8"/>
        <v>NOT PAID</v>
      </c>
      <c r="J893" s="402"/>
      <c r="K893" s="402"/>
      <c r="L893" s="402"/>
      <c r="M893" s="402"/>
      <c r="N893" s="402"/>
      <c r="O893" s="402"/>
      <c r="P893" s="402"/>
      <c r="Q893" s="402"/>
      <c r="R893" s="402"/>
      <c r="S893" s="402"/>
      <c r="T893" s="402"/>
      <c r="U893" s="402"/>
      <c r="V893" s="402"/>
      <c r="W893" s="402"/>
      <c r="X893" s="402"/>
      <c r="Y893" s="402"/>
      <c r="Z893" s="402"/>
    </row>
    <row r="894" ht="14.25" customHeight="1">
      <c r="A894" s="497">
        <v>45519.0</v>
      </c>
      <c r="B894" s="349" t="s">
        <v>5984</v>
      </c>
      <c r="C894" s="349" t="s">
        <v>5985</v>
      </c>
      <c r="D894" s="1032" t="s">
        <v>54</v>
      </c>
      <c r="E894" s="413" t="s">
        <v>2165</v>
      </c>
      <c r="F894" s="413">
        <v>360000.0</v>
      </c>
      <c r="G894" s="403"/>
      <c r="H894" s="402"/>
      <c r="I894" s="736" t="str">
        <f t="shared" si="8"/>
        <v>NOT PAID</v>
      </c>
      <c r="J894" s="402"/>
      <c r="K894" s="402"/>
      <c r="L894" s="402"/>
      <c r="M894" s="402"/>
      <c r="N894" s="402"/>
      <c r="O894" s="402"/>
      <c r="P894" s="402"/>
      <c r="Q894" s="402"/>
      <c r="R894" s="402"/>
      <c r="S894" s="402"/>
      <c r="T894" s="402"/>
      <c r="U894" s="402"/>
      <c r="V894" s="402"/>
      <c r="W894" s="402"/>
      <c r="X894" s="402"/>
      <c r="Y894" s="402"/>
      <c r="Z894" s="402"/>
    </row>
    <row r="895" ht="14.25" customHeight="1">
      <c r="A895" s="497">
        <v>45519.0</v>
      </c>
      <c r="B895" s="349" t="s">
        <v>5628</v>
      </c>
      <c r="C895" s="349" t="s">
        <v>6135</v>
      </c>
      <c r="D895" s="1032" t="s">
        <v>54</v>
      </c>
      <c r="E895" s="413" t="s">
        <v>4114</v>
      </c>
      <c r="F895" s="413">
        <v>10000.0</v>
      </c>
      <c r="G895" s="403"/>
      <c r="H895" s="402"/>
      <c r="I895" s="736" t="str">
        <f t="shared" si="8"/>
        <v>NOT PAID</v>
      </c>
      <c r="J895" s="402"/>
      <c r="K895" s="402"/>
      <c r="L895" s="402"/>
      <c r="M895" s="402"/>
      <c r="N895" s="402"/>
      <c r="O895" s="402"/>
      <c r="P895" s="402"/>
      <c r="Q895" s="402"/>
      <c r="R895" s="402"/>
      <c r="S895" s="402"/>
      <c r="T895" s="402"/>
      <c r="U895" s="402"/>
      <c r="V895" s="402"/>
      <c r="W895" s="402"/>
      <c r="X895" s="402"/>
      <c r="Y895" s="402"/>
      <c r="Z895" s="402"/>
    </row>
    <row r="896" ht="14.25" customHeight="1">
      <c r="A896" s="497">
        <v>45519.0</v>
      </c>
      <c r="B896" s="349" t="s">
        <v>6457</v>
      </c>
      <c r="C896" s="349" t="s">
        <v>6633</v>
      </c>
      <c r="D896" s="1032" t="s">
        <v>54</v>
      </c>
      <c r="E896" s="413" t="s">
        <v>2165</v>
      </c>
      <c r="F896" s="413">
        <v>70000.0</v>
      </c>
      <c r="G896" s="403"/>
      <c r="H896" s="402"/>
      <c r="I896" s="736" t="str">
        <f t="shared" si="8"/>
        <v>NOT PAID</v>
      </c>
      <c r="J896" s="402"/>
      <c r="K896" s="402"/>
      <c r="L896" s="402"/>
      <c r="M896" s="402"/>
      <c r="N896" s="402"/>
      <c r="O896" s="402"/>
      <c r="P896" s="402"/>
      <c r="Q896" s="402"/>
      <c r="R896" s="402"/>
      <c r="S896" s="402"/>
      <c r="T896" s="402"/>
      <c r="U896" s="402"/>
      <c r="V896" s="402"/>
      <c r="W896" s="402"/>
      <c r="X896" s="402"/>
      <c r="Y896" s="402"/>
      <c r="Z896" s="402"/>
    </row>
    <row r="897" ht="14.25" customHeight="1">
      <c r="A897" s="497">
        <v>45519.0</v>
      </c>
      <c r="B897" s="349" t="s">
        <v>6425</v>
      </c>
      <c r="C897" s="349" t="s">
        <v>6426</v>
      </c>
      <c r="D897" s="1032" t="s">
        <v>666</v>
      </c>
      <c r="E897" s="413" t="s">
        <v>273</v>
      </c>
      <c r="F897" s="413">
        <v>1500000.0</v>
      </c>
      <c r="G897" s="403"/>
      <c r="H897" s="402"/>
      <c r="I897" s="736" t="str">
        <f t="shared" si="8"/>
        <v>NOT PAID</v>
      </c>
      <c r="J897" s="402"/>
      <c r="K897" s="402"/>
      <c r="L897" s="402"/>
      <c r="M897" s="402"/>
      <c r="N897" s="402"/>
      <c r="O897" s="402"/>
      <c r="P897" s="402"/>
      <c r="Q897" s="402"/>
      <c r="R897" s="402"/>
      <c r="S897" s="402"/>
      <c r="T897" s="402"/>
      <c r="U897" s="402"/>
      <c r="V897" s="402"/>
      <c r="W897" s="402"/>
      <c r="X897" s="402"/>
      <c r="Y897" s="402"/>
      <c r="Z897" s="402"/>
    </row>
    <row r="898" ht="14.25" customHeight="1">
      <c r="A898" s="402"/>
      <c r="B898" s="402"/>
      <c r="C898" s="402"/>
      <c r="D898" s="1034"/>
      <c r="E898" s="403"/>
      <c r="F898" s="403"/>
      <c r="G898" s="403"/>
      <c r="H898" s="402"/>
      <c r="I898" s="736" t="str">
        <f t="shared" si="8"/>
        <v>FULLY PAID</v>
      </c>
      <c r="J898" s="402"/>
      <c r="K898" s="402"/>
      <c r="L898" s="402"/>
      <c r="M898" s="402"/>
      <c r="N898" s="402"/>
      <c r="O898" s="402"/>
      <c r="P898" s="402"/>
      <c r="Q898" s="402"/>
      <c r="R898" s="402"/>
      <c r="S898" s="402"/>
      <c r="T898" s="402"/>
      <c r="U898" s="402"/>
      <c r="V898" s="402"/>
      <c r="W898" s="402"/>
      <c r="X898" s="402"/>
      <c r="Y898" s="402"/>
      <c r="Z898" s="402"/>
    </row>
    <row r="899" ht="14.25" customHeight="1">
      <c r="A899" s="402"/>
      <c r="B899" s="402"/>
      <c r="C899" s="402"/>
      <c r="D899" s="1034"/>
      <c r="E899" s="403"/>
      <c r="F899" s="403"/>
      <c r="G899" s="403"/>
      <c r="H899" s="402"/>
      <c r="I899" s="736" t="str">
        <f t="shared" si="8"/>
        <v>FULLY PAID</v>
      </c>
      <c r="J899" s="402"/>
      <c r="K899" s="402"/>
      <c r="L899" s="402"/>
      <c r="M899" s="402"/>
      <c r="N899" s="402"/>
      <c r="O899" s="402"/>
      <c r="P899" s="402"/>
      <c r="Q899" s="402"/>
      <c r="R899" s="402"/>
      <c r="S899" s="402"/>
      <c r="T899" s="402"/>
      <c r="U899" s="402"/>
      <c r="V899" s="402"/>
      <c r="W899" s="402"/>
      <c r="X899" s="402"/>
      <c r="Y899" s="402"/>
      <c r="Z899" s="402"/>
    </row>
    <row r="900" ht="14.25" customHeight="1">
      <c r="A900" s="497">
        <v>45520.0</v>
      </c>
      <c r="B900" s="349" t="s">
        <v>6634</v>
      </c>
      <c r="C900" s="349" t="s">
        <v>6635</v>
      </c>
      <c r="D900" s="1032" t="s">
        <v>54</v>
      </c>
      <c r="E900" s="413" t="s">
        <v>12</v>
      </c>
      <c r="F900" s="413">
        <v>48861.57</v>
      </c>
      <c r="G900" s="403"/>
      <c r="H900" s="349" t="s">
        <v>6636</v>
      </c>
      <c r="I900" s="736" t="str">
        <f t="shared" si="8"/>
        <v>NOT PAID</v>
      </c>
      <c r="J900" s="402"/>
      <c r="K900" s="402"/>
      <c r="L900" s="402"/>
      <c r="M900" s="402"/>
      <c r="N900" s="402"/>
      <c r="O900" s="402"/>
      <c r="P900" s="402"/>
      <c r="Q900" s="402"/>
      <c r="R900" s="402"/>
      <c r="S900" s="402"/>
      <c r="T900" s="402"/>
      <c r="U900" s="402"/>
      <c r="V900" s="402"/>
      <c r="W900" s="402"/>
      <c r="X900" s="402"/>
      <c r="Y900" s="402"/>
      <c r="Z900" s="402"/>
    </row>
    <row r="901" ht="14.25" customHeight="1">
      <c r="A901" s="497">
        <v>45520.0</v>
      </c>
      <c r="B901" s="349" t="s">
        <v>6637</v>
      </c>
      <c r="C901" s="349" t="s">
        <v>6638</v>
      </c>
      <c r="D901" s="1032" t="s">
        <v>54</v>
      </c>
      <c r="E901" s="413" t="s">
        <v>12</v>
      </c>
      <c r="F901" s="413">
        <v>62382.02</v>
      </c>
      <c r="G901" s="403"/>
      <c r="H901" s="402"/>
      <c r="I901" s="736" t="str">
        <f t="shared" si="8"/>
        <v>NOT PAID</v>
      </c>
      <c r="J901" s="402"/>
      <c r="K901" s="402"/>
      <c r="L901" s="402"/>
      <c r="M901" s="402"/>
      <c r="N901" s="402"/>
      <c r="O901" s="402"/>
      <c r="P901" s="402"/>
      <c r="Q901" s="402"/>
      <c r="R901" s="402"/>
      <c r="S901" s="402"/>
      <c r="T901" s="402"/>
      <c r="U901" s="402"/>
      <c r="V901" s="402"/>
      <c r="W901" s="402"/>
      <c r="X901" s="402"/>
      <c r="Y901" s="402"/>
      <c r="Z901" s="402"/>
    </row>
    <row r="902" ht="14.25" customHeight="1">
      <c r="A902" s="497">
        <v>45520.0</v>
      </c>
      <c r="B902" s="349" t="s">
        <v>6639</v>
      </c>
      <c r="C902" s="349" t="s">
        <v>6640</v>
      </c>
      <c r="D902" s="1032" t="s">
        <v>54</v>
      </c>
      <c r="E902" s="413" t="s">
        <v>12</v>
      </c>
      <c r="F902" s="413">
        <v>113567.96</v>
      </c>
      <c r="G902" s="403"/>
      <c r="H902" s="402"/>
      <c r="I902" s="736" t="str">
        <f t="shared" si="8"/>
        <v>NOT PAID</v>
      </c>
      <c r="J902" s="402"/>
      <c r="K902" s="402"/>
      <c r="L902" s="402"/>
      <c r="M902" s="402"/>
      <c r="N902" s="402"/>
      <c r="O902" s="402"/>
      <c r="P902" s="402"/>
      <c r="Q902" s="402"/>
      <c r="R902" s="402"/>
      <c r="S902" s="402"/>
      <c r="T902" s="402"/>
      <c r="U902" s="402"/>
      <c r="V902" s="402"/>
      <c r="W902" s="402"/>
      <c r="X902" s="402"/>
      <c r="Y902" s="402"/>
      <c r="Z902" s="402"/>
    </row>
    <row r="903" ht="14.25" customHeight="1">
      <c r="A903" s="497">
        <v>45520.0</v>
      </c>
      <c r="B903" s="349" t="s">
        <v>6641</v>
      </c>
      <c r="C903" s="349" t="s">
        <v>6642</v>
      </c>
      <c r="D903" s="1032" t="s">
        <v>54</v>
      </c>
      <c r="E903" s="413" t="s">
        <v>12</v>
      </c>
      <c r="F903" s="413">
        <v>23233.41</v>
      </c>
      <c r="G903" s="403"/>
      <c r="H903" s="402"/>
      <c r="I903" s="736" t="str">
        <f t="shared" si="8"/>
        <v>NOT PAID</v>
      </c>
      <c r="J903" s="402"/>
      <c r="K903" s="402"/>
      <c r="L903" s="402"/>
      <c r="M903" s="402"/>
      <c r="N903" s="402"/>
      <c r="O903" s="402"/>
      <c r="P903" s="402"/>
      <c r="Q903" s="402"/>
      <c r="R903" s="402"/>
      <c r="S903" s="402"/>
      <c r="T903" s="402"/>
      <c r="U903" s="402"/>
      <c r="V903" s="402"/>
      <c r="W903" s="402"/>
      <c r="X903" s="402"/>
      <c r="Y903" s="402"/>
      <c r="Z903" s="402"/>
    </row>
    <row r="904" ht="14.25" customHeight="1">
      <c r="A904" s="497">
        <v>45520.0</v>
      </c>
      <c r="B904" s="349" t="s">
        <v>6643</v>
      </c>
      <c r="C904" s="349" t="s">
        <v>6644</v>
      </c>
      <c r="D904" s="1032" t="s">
        <v>54</v>
      </c>
      <c r="E904" s="413" t="s">
        <v>12</v>
      </c>
      <c r="F904" s="413">
        <v>25918.07</v>
      </c>
      <c r="G904" s="403"/>
      <c r="H904" s="402"/>
      <c r="I904" s="736" t="str">
        <f t="shared" si="8"/>
        <v>NOT PAID</v>
      </c>
      <c r="J904" s="402"/>
      <c r="K904" s="402"/>
      <c r="L904" s="402"/>
      <c r="M904" s="402"/>
      <c r="N904" s="402"/>
      <c r="O904" s="402"/>
      <c r="P904" s="402"/>
      <c r="Q904" s="402"/>
      <c r="R904" s="402"/>
      <c r="S904" s="402"/>
      <c r="T904" s="402"/>
      <c r="U904" s="402"/>
      <c r="V904" s="402"/>
      <c r="W904" s="402"/>
      <c r="X904" s="402"/>
      <c r="Y904" s="402"/>
      <c r="Z904" s="402"/>
    </row>
    <row r="905" ht="14.25" customHeight="1">
      <c r="A905" s="497">
        <v>45520.0</v>
      </c>
      <c r="B905" s="349" t="s">
        <v>6645</v>
      </c>
      <c r="C905" s="349" t="s">
        <v>6646</v>
      </c>
      <c r="D905" s="1032" t="s">
        <v>54</v>
      </c>
      <c r="E905" s="413" t="s">
        <v>12</v>
      </c>
      <c r="F905" s="413">
        <v>22320.47</v>
      </c>
      <c r="G905" s="403"/>
      <c r="H905" s="402"/>
      <c r="I905" s="736" t="str">
        <f t="shared" si="8"/>
        <v>NOT PAID</v>
      </c>
      <c r="J905" s="402"/>
      <c r="K905" s="402"/>
      <c r="L905" s="402"/>
      <c r="M905" s="402"/>
      <c r="N905" s="402"/>
      <c r="O905" s="402"/>
      <c r="P905" s="402"/>
      <c r="Q905" s="402"/>
      <c r="R905" s="402"/>
      <c r="S905" s="402"/>
      <c r="T905" s="402"/>
      <c r="U905" s="402"/>
      <c r="V905" s="402"/>
      <c r="W905" s="402"/>
      <c r="X905" s="402"/>
      <c r="Y905" s="402"/>
      <c r="Z905" s="402"/>
    </row>
    <row r="906" ht="14.25" customHeight="1">
      <c r="A906" s="497">
        <v>45520.0</v>
      </c>
      <c r="B906" s="349" t="s">
        <v>5676</v>
      </c>
      <c r="C906" s="349" t="s">
        <v>6647</v>
      </c>
      <c r="D906" s="1032" t="s">
        <v>54</v>
      </c>
      <c r="E906" s="413" t="s">
        <v>12</v>
      </c>
      <c r="F906" s="413">
        <v>54228.76</v>
      </c>
      <c r="G906" s="403"/>
      <c r="H906" s="402"/>
      <c r="I906" s="736" t="str">
        <f t="shared" si="8"/>
        <v>NOT PAID</v>
      </c>
      <c r="J906" s="402"/>
      <c r="K906" s="402"/>
      <c r="L906" s="402"/>
      <c r="M906" s="402"/>
      <c r="N906" s="402"/>
      <c r="O906" s="402"/>
      <c r="P906" s="402"/>
      <c r="Q906" s="402"/>
      <c r="R906" s="402"/>
      <c r="S906" s="402"/>
      <c r="T906" s="402"/>
      <c r="U906" s="402"/>
      <c r="V906" s="402"/>
      <c r="W906" s="402"/>
      <c r="X906" s="402"/>
      <c r="Y906" s="402"/>
      <c r="Z906" s="402"/>
    </row>
    <row r="907" ht="14.25" customHeight="1">
      <c r="A907" s="497">
        <v>45520.0</v>
      </c>
      <c r="B907" s="349" t="s">
        <v>6587</v>
      </c>
      <c r="C907" s="349" t="s">
        <v>6588</v>
      </c>
      <c r="D907" s="1032" t="s">
        <v>54</v>
      </c>
      <c r="E907" s="413" t="s">
        <v>12</v>
      </c>
      <c r="F907" s="413">
        <v>41933.51</v>
      </c>
      <c r="G907" s="403"/>
      <c r="H907" s="402"/>
      <c r="I907" s="736" t="str">
        <f t="shared" si="8"/>
        <v>NOT PAID</v>
      </c>
      <c r="J907" s="402"/>
      <c r="K907" s="402"/>
      <c r="L907" s="402"/>
      <c r="M907" s="402"/>
      <c r="N907" s="402"/>
      <c r="O907" s="402"/>
      <c r="P907" s="402"/>
      <c r="Q907" s="402"/>
      <c r="R907" s="402"/>
      <c r="S907" s="402"/>
      <c r="T907" s="402"/>
      <c r="U907" s="402"/>
      <c r="V907" s="402"/>
      <c r="W907" s="402"/>
      <c r="X907" s="402"/>
      <c r="Y907" s="402"/>
      <c r="Z907" s="402"/>
    </row>
    <row r="908" ht="14.25" customHeight="1">
      <c r="A908" s="497">
        <v>45520.0</v>
      </c>
      <c r="B908" s="349" t="s">
        <v>6648</v>
      </c>
      <c r="C908" s="349" t="s">
        <v>6649</v>
      </c>
      <c r="D908" s="1032" t="s">
        <v>54</v>
      </c>
      <c r="E908" s="413" t="s">
        <v>12</v>
      </c>
      <c r="F908" s="413">
        <v>59500.0</v>
      </c>
      <c r="G908" s="403"/>
      <c r="H908" s="402"/>
      <c r="I908" s="736" t="str">
        <f t="shared" si="8"/>
        <v>NOT PAID</v>
      </c>
      <c r="J908" s="402"/>
      <c r="K908" s="402"/>
      <c r="L908" s="402"/>
      <c r="M908" s="402"/>
      <c r="N908" s="402"/>
      <c r="O908" s="402"/>
      <c r="P908" s="402"/>
      <c r="Q908" s="402"/>
      <c r="R908" s="402"/>
      <c r="S908" s="402"/>
      <c r="T908" s="402"/>
      <c r="U908" s="402"/>
      <c r="V908" s="402"/>
      <c r="W908" s="402"/>
      <c r="X908" s="402"/>
      <c r="Y908" s="402"/>
      <c r="Z908" s="402"/>
    </row>
    <row r="909" ht="14.25" customHeight="1">
      <c r="A909" s="497">
        <v>45520.0</v>
      </c>
      <c r="B909" s="349" t="s">
        <v>6650</v>
      </c>
      <c r="C909" s="349" t="s">
        <v>6485</v>
      </c>
      <c r="D909" s="1032" t="s">
        <v>346</v>
      </c>
      <c r="E909" s="413" t="s">
        <v>12</v>
      </c>
      <c r="F909" s="413">
        <v>8475.02</v>
      </c>
      <c r="G909" s="403"/>
      <c r="H909" s="349" t="s">
        <v>6651</v>
      </c>
      <c r="I909" s="736" t="str">
        <f t="shared" si="8"/>
        <v>NOT PAID</v>
      </c>
      <c r="J909" s="402"/>
      <c r="K909" s="402"/>
      <c r="L909" s="402"/>
      <c r="M909" s="402"/>
      <c r="N909" s="402"/>
      <c r="O909" s="402"/>
      <c r="P909" s="402"/>
      <c r="Q909" s="402"/>
      <c r="R909" s="402"/>
      <c r="S909" s="402"/>
      <c r="T909" s="402"/>
      <c r="U909" s="402"/>
      <c r="V909" s="402"/>
      <c r="W909" s="402"/>
      <c r="X909" s="402"/>
      <c r="Y909" s="402"/>
      <c r="Z909" s="402"/>
    </row>
    <row r="910" ht="14.25" customHeight="1">
      <c r="A910" s="497">
        <v>45520.0</v>
      </c>
      <c r="B910" s="349" t="s">
        <v>6169</v>
      </c>
      <c r="C910" s="349" t="s">
        <v>6652</v>
      </c>
      <c r="D910" s="1032" t="s">
        <v>54</v>
      </c>
      <c r="E910" s="413" t="s">
        <v>12</v>
      </c>
      <c r="F910" s="413">
        <v>50918.92</v>
      </c>
      <c r="G910" s="403"/>
      <c r="H910" s="402"/>
      <c r="I910" s="736" t="str">
        <f t="shared" si="8"/>
        <v>NOT PAID</v>
      </c>
      <c r="J910" s="402"/>
      <c r="K910" s="402"/>
      <c r="L910" s="402"/>
      <c r="M910" s="402"/>
      <c r="N910" s="402"/>
      <c r="O910" s="402"/>
      <c r="P910" s="402"/>
      <c r="Q910" s="402"/>
      <c r="R910" s="402"/>
      <c r="S910" s="402"/>
      <c r="T910" s="402"/>
      <c r="U910" s="402"/>
      <c r="V910" s="402"/>
      <c r="W910" s="402"/>
      <c r="X910" s="402"/>
      <c r="Y910" s="402"/>
      <c r="Z910" s="402"/>
    </row>
    <row r="911" ht="14.25" customHeight="1">
      <c r="A911" s="497">
        <v>45520.0</v>
      </c>
      <c r="B911" s="349" t="s">
        <v>6017</v>
      </c>
      <c r="C911" s="349" t="s">
        <v>6653</v>
      </c>
      <c r="D911" s="1032" t="s">
        <v>54</v>
      </c>
      <c r="E911" s="413" t="s">
        <v>12</v>
      </c>
      <c r="F911" s="413">
        <v>36977.91</v>
      </c>
      <c r="G911" s="403"/>
      <c r="H911" s="349" t="s">
        <v>6654</v>
      </c>
      <c r="I911" s="736" t="str">
        <f t="shared" si="8"/>
        <v>NOT PAID</v>
      </c>
      <c r="J911" s="402"/>
      <c r="K911" s="402"/>
      <c r="L911" s="402"/>
      <c r="M911" s="402"/>
      <c r="N911" s="402"/>
      <c r="O911" s="402"/>
      <c r="P911" s="402"/>
      <c r="Q911" s="402"/>
      <c r="R911" s="402"/>
      <c r="S911" s="402"/>
      <c r="T911" s="402"/>
      <c r="U911" s="402"/>
      <c r="V911" s="402"/>
      <c r="W911" s="402"/>
      <c r="X911" s="402"/>
      <c r="Y911" s="402"/>
      <c r="Z911" s="402"/>
    </row>
    <row r="912" ht="14.25" customHeight="1">
      <c r="A912" s="497">
        <v>45520.0</v>
      </c>
      <c r="B912" s="349" t="s">
        <v>6655</v>
      </c>
      <c r="C912" s="349" t="s">
        <v>6656</v>
      </c>
      <c r="D912" s="1032" t="s">
        <v>54</v>
      </c>
      <c r="E912" s="413" t="s">
        <v>12</v>
      </c>
      <c r="F912" s="413">
        <v>35783.0</v>
      </c>
      <c r="G912" s="403"/>
      <c r="H912" s="349" t="s">
        <v>6657</v>
      </c>
      <c r="I912" s="736" t="str">
        <f t="shared" si="8"/>
        <v>NOT PAID</v>
      </c>
      <c r="J912" s="402"/>
      <c r="K912" s="402"/>
      <c r="L912" s="402"/>
      <c r="M912" s="402"/>
      <c r="N912" s="402"/>
      <c r="O912" s="402"/>
      <c r="P912" s="402"/>
      <c r="Q912" s="402"/>
      <c r="R912" s="402"/>
      <c r="S912" s="402"/>
      <c r="T912" s="402"/>
      <c r="U912" s="402"/>
      <c r="V912" s="402"/>
      <c r="W912" s="402"/>
      <c r="X912" s="402"/>
      <c r="Y912" s="402"/>
      <c r="Z912" s="402"/>
    </row>
    <row r="913" ht="14.25" customHeight="1">
      <c r="A913" s="497">
        <v>45520.0</v>
      </c>
      <c r="B913" s="349" t="s">
        <v>6658</v>
      </c>
      <c r="C913" s="349" t="s">
        <v>6659</v>
      </c>
      <c r="D913" s="1032" t="s">
        <v>54</v>
      </c>
      <c r="E913" s="413" t="s">
        <v>12</v>
      </c>
      <c r="F913" s="413">
        <v>197444.0</v>
      </c>
      <c r="G913" s="413">
        <v>197444.0</v>
      </c>
      <c r="H913" s="349" t="s">
        <v>6654</v>
      </c>
      <c r="I913" s="736" t="str">
        <f t="shared" si="8"/>
        <v>FULLY PAID</v>
      </c>
      <c r="J913" s="402"/>
      <c r="K913" s="402"/>
      <c r="L913" s="402"/>
      <c r="M913" s="402"/>
      <c r="N913" s="402"/>
      <c r="O913" s="402"/>
      <c r="P913" s="402"/>
      <c r="Q913" s="402"/>
      <c r="R913" s="402"/>
      <c r="S913" s="402"/>
      <c r="T913" s="402"/>
      <c r="U913" s="402"/>
      <c r="V913" s="402"/>
      <c r="W913" s="402"/>
      <c r="X913" s="402"/>
      <c r="Y913" s="402"/>
      <c r="Z913" s="402"/>
    </row>
    <row r="914" ht="14.25" customHeight="1">
      <c r="A914" s="497">
        <v>45520.0</v>
      </c>
      <c r="B914" s="349" t="s">
        <v>6610</v>
      </c>
      <c r="C914" s="349" t="s">
        <v>6611</v>
      </c>
      <c r="D914" s="1032" t="s">
        <v>54</v>
      </c>
      <c r="E914" s="413" t="s">
        <v>6517</v>
      </c>
      <c r="F914" s="413">
        <v>213.27</v>
      </c>
      <c r="G914" s="403"/>
      <c r="H914" s="402"/>
      <c r="I914" s="736" t="str">
        <f t="shared" si="8"/>
        <v>NOT PAID</v>
      </c>
      <c r="J914" s="402"/>
      <c r="K914" s="402"/>
      <c r="L914" s="402"/>
      <c r="M914" s="402"/>
      <c r="N914" s="402"/>
      <c r="O914" s="402"/>
      <c r="P914" s="402"/>
      <c r="Q914" s="402"/>
      <c r="R914" s="402"/>
      <c r="S914" s="402"/>
      <c r="T914" s="402"/>
      <c r="U914" s="402"/>
      <c r="V914" s="402"/>
      <c r="W914" s="402"/>
      <c r="X914" s="402"/>
      <c r="Y914" s="402"/>
      <c r="Z914" s="402"/>
    </row>
    <row r="915" ht="14.25" customHeight="1">
      <c r="A915" s="497">
        <v>45520.0</v>
      </c>
      <c r="B915" s="349" t="s">
        <v>6612</v>
      </c>
      <c r="C915" s="349" t="s">
        <v>6451</v>
      </c>
      <c r="D915" s="1032" t="s">
        <v>346</v>
      </c>
      <c r="E915" s="413" t="s">
        <v>6517</v>
      </c>
      <c r="F915" s="413">
        <v>5990.8</v>
      </c>
      <c r="G915" s="403"/>
      <c r="H915" s="402"/>
      <c r="I915" s="736" t="str">
        <f t="shared" si="8"/>
        <v>NOT PAID</v>
      </c>
      <c r="J915" s="402"/>
      <c r="K915" s="402"/>
      <c r="L915" s="402"/>
      <c r="M915" s="402"/>
      <c r="N915" s="402"/>
      <c r="O915" s="402"/>
      <c r="P915" s="402"/>
      <c r="Q915" s="402"/>
      <c r="R915" s="402"/>
      <c r="S915" s="402"/>
      <c r="T915" s="402"/>
      <c r="U915" s="402"/>
      <c r="V915" s="402"/>
      <c r="W915" s="402"/>
      <c r="X915" s="402"/>
      <c r="Y915" s="402"/>
      <c r="Z915" s="402"/>
    </row>
    <row r="916" ht="14.25" customHeight="1">
      <c r="A916" s="497">
        <v>45520.0</v>
      </c>
      <c r="B916" s="349" t="s">
        <v>6614</v>
      </c>
      <c r="C916" s="349" t="s">
        <v>6108</v>
      </c>
      <c r="D916" s="1032" t="s">
        <v>54</v>
      </c>
      <c r="E916" s="413" t="s">
        <v>6517</v>
      </c>
      <c r="F916" s="413">
        <v>32160.5</v>
      </c>
      <c r="G916" s="403"/>
      <c r="H916" s="402"/>
      <c r="I916" s="736" t="str">
        <f t="shared" si="8"/>
        <v>NOT PAID</v>
      </c>
      <c r="J916" s="402"/>
      <c r="K916" s="402"/>
      <c r="L916" s="402"/>
      <c r="M916" s="402"/>
      <c r="N916" s="402"/>
      <c r="O916" s="402"/>
      <c r="P916" s="402"/>
      <c r="Q916" s="402"/>
      <c r="R916" s="402"/>
      <c r="S916" s="402"/>
      <c r="T916" s="402"/>
      <c r="U916" s="402"/>
      <c r="V916" s="402"/>
      <c r="W916" s="402"/>
      <c r="X916" s="402"/>
      <c r="Y916" s="402"/>
      <c r="Z916" s="402"/>
    </row>
    <row r="917" ht="14.25" customHeight="1">
      <c r="A917" s="497">
        <v>45520.0</v>
      </c>
      <c r="B917" s="349" t="s">
        <v>6087</v>
      </c>
      <c r="C917" s="349" t="s">
        <v>5536</v>
      </c>
      <c r="D917" s="1032" t="s">
        <v>54</v>
      </c>
      <c r="E917" s="413" t="s">
        <v>6517</v>
      </c>
      <c r="F917" s="413">
        <v>49840.9</v>
      </c>
      <c r="G917" s="403"/>
      <c r="H917" s="402"/>
      <c r="I917" s="736" t="str">
        <f t="shared" si="8"/>
        <v>NOT PAID</v>
      </c>
      <c r="J917" s="402"/>
      <c r="K917" s="402"/>
      <c r="L917" s="402"/>
      <c r="M917" s="402"/>
      <c r="N917" s="402"/>
      <c r="O917" s="402"/>
      <c r="P917" s="402"/>
      <c r="Q917" s="402"/>
      <c r="R917" s="402"/>
      <c r="S917" s="402"/>
      <c r="T917" s="402"/>
      <c r="U917" s="402"/>
      <c r="V917" s="402"/>
      <c r="W917" s="402"/>
      <c r="X917" s="402"/>
      <c r="Y917" s="402"/>
      <c r="Z917" s="402"/>
    </row>
    <row r="918" ht="14.25" customHeight="1">
      <c r="A918" s="497">
        <v>45520.0</v>
      </c>
      <c r="B918" s="349" t="s">
        <v>6619</v>
      </c>
      <c r="C918" s="349" t="s">
        <v>6620</v>
      </c>
      <c r="D918" s="1032" t="s">
        <v>54</v>
      </c>
      <c r="E918" s="413" t="s">
        <v>6523</v>
      </c>
      <c r="F918" s="413">
        <v>19135.0</v>
      </c>
      <c r="G918" s="403"/>
      <c r="H918" s="402"/>
      <c r="I918" s="736" t="str">
        <f t="shared" si="8"/>
        <v>NOT PAID</v>
      </c>
      <c r="J918" s="402"/>
      <c r="K918" s="402"/>
      <c r="L918" s="402"/>
      <c r="M918" s="402"/>
      <c r="N918" s="402"/>
      <c r="O918" s="402"/>
      <c r="P918" s="402"/>
      <c r="Q918" s="402"/>
      <c r="R918" s="402"/>
      <c r="S918" s="402"/>
      <c r="T918" s="402"/>
      <c r="U918" s="402"/>
      <c r="V918" s="402"/>
      <c r="W918" s="402"/>
      <c r="X918" s="402"/>
      <c r="Y918" s="402"/>
      <c r="Z918" s="402"/>
    </row>
    <row r="919" ht="14.25" customHeight="1">
      <c r="A919" s="497">
        <v>45520.0</v>
      </c>
      <c r="B919" s="349" t="s">
        <v>6391</v>
      </c>
      <c r="C919" s="349" t="s">
        <v>6621</v>
      </c>
      <c r="D919" s="1032" t="s">
        <v>54</v>
      </c>
      <c r="E919" s="413" t="s">
        <v>6511</v>
      </c>
      <c r="F919" s="413">
        <v>41921.35</v>
      </c>
      <c r="G919" s="403"/>
      <c r="H919" s="402"/>
      <c r="I919" s="736" t="str">
        <f t="shared" si="8"/>
        <v>NOT PAID</v>
      </c>
      <c r="J919" s="402"/>
      <c r="K919" s="402"/>
      <c r="L919" s="402"/>
      <c r="M919" s="402"/>
      <c r="N919" s="402"/>
      <c r="O919" s="402"/>
      <c r="P919" s="402"/>
      <c r="Q919" s="402"/>
      <c r="R919" s="402"/>
      <c r="S919" s="402"/>
      <c r="T919" s="402"/>
      <c r="U919" s="402"/>
      <c r="V919" s="402"/>
      <c r="W919" s="402"/>
      <c r="X919" s="402"/>
      <c r="Y919" s="402"/>
      <c r="Z919" s="402"/>
    </row>
    <row r="920" ht="14.25" customHeight="1">
      <c r="A920" s="497">
        <v>45520.0</v>
      </c>
      <c r="B920" s="349" t="s">
        <v>6546</v>
      </c>
      <c r="C920" s="349" t="s">
        <v>6547</v>
      </c>
      <c r="D920" s="1032" t="s">
        <v>54</v>
      </c>
      <c r="E920" s="413" t="s">
        <v>6505</v>
      </c>
      <c r="F920" s="413">
        <v>15655.76</v>
      </c>
      <c r="G920" s="403"/>
      <c r="H920" s="349" t="s">
        <v>6548</v>
      </c>
      <c r="I920" s="736" t="str">
        <f t="shared" si="8"/>
        <v>NOT PAID</v>
      </c>
      <c r="J920" s="402"/>
      <c r="K920" s="402"/>
      <c r="L920" s="402"/>
      <c r="M920" s="402"/>
      <c r="N920" s="402"/>
      <c r="O920" s="402"/>
      <c r="P920" s="402"/>
      <c r="Q920" s="402"/>
      <c r="R920" s="402"/>
      <c r="S920" s="402"/>
      <c r="T920" s="402"/>
      <c r="U920" s="402"/>
      <c r="V920" s="402"/>
      <c r="W920" s="402"/>
      <c r="X920" s="402"/>
      <c r="Y920" s="402"/>
      <c r="Z920" s="402"/>
    </row>
    <row r="921" ht="14.25" customHeight="1">
      <c r="A921" s="497">
        <v>45520.0</v>
      </c>
      <c r="B921" s="349" t="s">
        <v>6551</v>
      </c>
      <c r="C921" s="349" t="s">
        <v>6110</v>
      </c>
      <c r="D921" s="1032" t="s">
        <v>54</v>
      </c>
      <c r="E921" s="413" t="s">
        <v>6517</v>
      </c>
      <c r="F921" s="413">
        <v>2844.18</v>
      </c>
      <c r="G921" s="403"/>
      <c r="H921" s="402"/>
      <c r="I921" s="736" t="str">
        <f t="shared" si="8"/>
        <v>NOT PAID</v>
      </c>
      <c r="J921" s="402"/>
      <c r="K921" s="402"/>
      <c r="L921" s="402"/>
      <c r="M921" s="402"/>
      <c r="N921" s="402"/>
      <c r="O921" s="402"/>
      <c r="P921" s="402"/>
      <c r="Q921" s="402"/>
      <c r="R921" s="402"/>
      <c r="S921" s="402"/>
      <c r="T921" s="402"/>
      <c r="U921" s="402"/>
      <c r="V921" s="402"/>
      <c r="W921" s="402"/>
      <c r="X921" s="402"/>
      <c r="Y921" s="402"/>
      <c r="Z921" s="402"/>
    </row>
    <row r="922" ht="14.25" customHeight="1">
      <c r="A922" s="497">
        <v>45520.0</v>
      </c>
      <c r="B922" s="349" t="s">
        <v>6555</v>
      </c>
      <c r="C922" s="349" t="s">
        <v>5832</v>
      </c>
      <c r="D922" s="1032" t="s">
        <v>54</v>
      </c>
      <c r="E922" s="413" t="s">
        <v>6505</v>
      </c>
      <c r="F922" s="413">
        <v>8352.91</v>
      </c>
      <c r="G922" s="403"/>
      <c r="H922" s="402"/>
      <c r="I922" s="736" t="str">
        <f t="shared" si="8"/>
        <v>NOT PAID</v>
      </c>
      <c r="J922" s="402"/>
      <c r="K922" s="402"/>
      <c r="L922" s="402"/>
      <c r="M922" s="402"/>
      <c r="N922" s="402"/>
      <c r="O922" s="402"/>
      <c r="P922" s="402"/>
      <c r="Q922" s="402"/>
      <c r="R922" s="402"/>
      <c r="S922" s="402"/>
      <c r="T922" s="402"/>
      <c r="U922" s="402"/>
      <c r="V922" s="402"/>
      <c r="W922" s="402"/>
      <c r="X922" s="402"/>
      <c r="Y922" s="402"/>
      <c r="Z922" s="402"/>
    </row>
    <row r="923" ht="14.25" customHeight="1">
      <c r="A923" s="497">
        <v>45520.0</v>
      </c>
      <c r="B923" s="349" t="s">
        <v>6557</v>
      </c>
      <c r="C923" s="349" t="s">
        <v>6558</v>
      </c>
      <c r="D923" s="1032" t="s">
        <v>54</v>
      </c>
      <c r="E923" s="413" t="s">
        <v>6511</v>
      </c>
      <c r="F923" s="413">
        <v>27224.57</v>
      </c>
      <c r="G923" s="403"/>
      <c r="H923" s="402"/>
      <c r="I923" s="736" t="str">
        <f t="shared" si="8"/>
        <v>NOT PAID</v>
      </c>
      <c r="J923" s="402"/>
      <c r="K923" s="402"/>
      <c r="L923" s="402"/>
      <c r="M923" s="402"/>
      <c r="N923" s="402"/>
      <c r="O923" s="402"/>
      <c r="P923" s="402"/>
      <c r="Q923" s="402"/>
      <c r="R923" s="402"/>
      <c r="S923" s="402"/>
      <c r="T923" s="402"/>
      <c r="U923" s="402"/>
      <c r="V923" s="402"/>
      <c r="W923" s="402"/>
      <c r="X923" s="402"/>
      <c r="Y923" s="402"/>
      <c r="Z923" s="402"/>
    </row>
    <row r="924" ht="14.25" customHeight="1">
      <c r="A924" s="497">
        <v>45520.0</v>
      </c>
      <c r="B924" s="349" t="s">
        <v>6299</v>
      </c>
      <c r="C924" s="349" t="s">
        <v>6300</v>
      </c>
      <c r="D924" s="1032" t="s">
        <v>54</v>
      </c>
      <c r="E924" s="413" t="s">
        <v>6523</v>
      </c>
      <c r="F924" s="413">
        <v>13423.13</v>
      </c>
      <c r="G924" s="403"/>
      <c r="H924" s="402"/>
      <c r="I924" s="736" t="str">
        <f t="shared" si="8"/>
        <v>NOT PAID</v>
      </c>
      <c r="J924" s="402"/>
      <c r="K924" s="402"/>
      <c r="L924" s="402"/>
      <c r="M924" s="402"/>
      <c r="N924" s="402"/>
      <c r="O924" s="402"/>
      <c r="P924" s="402"/>
      <c r="Q924" s="402"/>
      <c r="R924" s="402"/>
      <c r="S924" s="402"/>
      <c r="T924" s="402"/>
      <c r="U924" s="402"/>
      <c r="V924" s="402"/>
      <c r="W924" s="402"/>
      <c r="X924" s="402"/>
      <c r="Y924" s="402"/>
      <c r="Z924" s="402"/>
    </row>
    <row r="925" ht="14.25" customHeight="1">
      <c r="A925" s="497">
        <v>45520.0</v>
      </c>
      <c r="B925" s="349" t="s">
        <v>6561</v>
      </c>
      <c r="C925" s="349" t="s">
        <v>6562</v>
      </c>
      <c r="D925" s="1032" t="s">
        <v>54</v>
      </c>
      <c r="E925" s="413" t="s">
        <v>6563</v>
      </c>
      <c r="F925" s="413">
        <v>133803.64</v>
      </c>
      <c r="G925" s="403"/>
      <c r="H925" s="349" t="s">
        <v>6660</v>
      </c>
      <c r="I925" s="736" t="str">
        <f t="shared" si="8"/>
        <v>NOT PAID</v>
      </c>
      <c r="J925" s="402"/>
      <c r="K925" s="402"/>
      <c r="L925" s="402"/>
      <c r="M925" s="402"/>
      <c r="N925" s="402"/>
      <c r="O925" s="402"/>
      <c r="P925" s="402"/>
      <c r="Q925" s="402"/>
      <c r="R925" s="402"/>
      <c r="S925" s="402"/>
      <c r="T925" s="402"/>
      <c r="U925" s="402"/>
      <c r="V925" s="402"/>
      <c r="W925" s="402"/>
      <c r="X925" s="402"/>
      <c r="Y925" s="402"/>
      <c r="Z925" s="402"/>
    </row>
    <row r="926" ht="14.25" customHeight="1">
      <c r="A926" s="497">
        <v>45520.0</v>
      </c>
      <c r="B926" s="349" t="s">
        <v>6565</v>
      </c>
      <c r="C926" s="349" t="s">
        <v>6566</v>
      </c>
      <c r="D926" s="1032" t="s">
        <v>54</v>
      </c>
      <c r="E926" s="413" t="s">
        <v>6511</v>
      </c>
      <c r="F926" s="413">
        <v>19123.56</v>
      </c>
      <c r="G926" s="403"/>
      <c r="H926" s="402"/>
      <c r="I926" s="736" t="str">
        <f t="shared" si="8"/>
        <v>NOT PAID</v>
      </c>
      <c r="J926" s="402"/>
      <c r="K926" s="402"/>
      <c r="L926" s="402"/>
      <c r="M926" s="402"/>
      <c r="N926" s="402"/>
      <c r="O926" s="402"/>
      <c r="P926" s="402"/>
      <c r="Q926" s="402"/>
      <c r="R926" s="402"/>
      <c r="S926" s="402"/>
      <c r="T926" s="402"/>
      <c r="U926" s="402"/>
      <c r="V926" s="402"/>
      <c r="W926" s="402"/>
      <c r="X926" s="402"/>
      <c r="Y926" s="402"/>
      <c r="Z926" s="402"/>
    </row>
    <row r="927" ht="14.25" customHeight="1">
      <c r="A927" s="497">
        <v>45520.0</v>
      </c>
      <c r="B927" s="349" t="s">
        <v>6568</v>
      </c>
      <c r="C927" s="349" t="s">
        <v>6569</v>
      </c>
      <c r="D927" s="1032" t="s">
        <v>54</v>
      </c>
      <c r="E927" s="413" t="s">
        <v>6563</v>
      </c>
      <c r="F927" s="413">
        <v>42372.45</v>
      </c>
      <c r="G927" s="403"/>
      <c r="H927" s="349" t="s">
        <v>6661</v>
      </c>
      <c r="I927" s="736" t="str">
        <f t="shared" si="8"/>
        <v>NOT PAID</v>
      </c>
      <c r="J927" s="402"/>
      <c r="K927" s="402"/>
      <c r="L927" s="402"/>
      <c r="M927" s="402"/>
      <c r="N927" s="402"/>
      <c r="O927" s="402"/>
      <c r="P927" s="402"/>
      <c r="Q927" s="402"/>
      <c r="R927" s="402"/>
      <c r="S927" s="402"/>
      <c r="T927" s="402"/>
      <c r="U927" s="402"/>
      <c r="V927" s="402"/>
      <c r="W927" s="402"/>
      <c r="X927" s="402"/>
      <c r="Y927" s="402"/>
      <c r="Z927" s="402"/>
    </row>
    <row r="928" ht="14.25" customHeight="1">
      <c r="A928" s="497">
        <v>45520.0</v>
      </c>
      <c r="B928" s="349" t="s">
        <v>6503</v>
      </c>
      <c r="C928" s="349" t="s">
        <v>6504</v>
      </c>
      <c r="D928" s="1032" t="s">
        <v>54</v>
      </c>
      <c r="E928" s="413" t="s">
        <v>6505</v>
      </c>
      <c r="F928" s="413">
        <v>20134.69</v>
      </c>
      <c r="G928" s="403"/>
      <c r="H928" s="349" t="s">
        <v>6662</v>
      </c>
      <c r="I928" s="736" t="str">
        <f t="shared" si="8"/>
        <v>NOT PAID</v>
      </c>
      <c r="J928" s="402"/>
      <c r="K928" s="402"/>
      <c r="L928" s="402"/>
      <c r="M928" s="402"/>
      <c r="N928" s="402"/>
      <c r="O928" s="402"/>
      <c r="P928" s="402"/>
      <c r="Q928" s="402"/>
      <c r="R928" s="402"/>
      <c r="S928" s="402"/>
      <c r="T928" s="402"/>
      <c r="U928" s="402"/>
      <c r="V928" s="402"/>
      <c r="W928" s="402"/>
      <c r="X928" s="402"/>
      <c r="Y928" s="402"/>
      <c r="Z928" s="402"/>
    </row>
    <row r="929" ht="14.25" customHeight="1">
      <c r="A929" s="497">
        <v>45520.0</v>
      </c>
      <c r="B929" s="349" t="s">
        <v>6507</v>
      </c>
      <c r="C929" s="349" t="s">
        <v>6508</v>
      </c>
      <c r="D929" s="1032" t="s">
        <v>54</v>
      </c>
      <c r="E929" s="413" t="s">
        <v>6505</v>
      </c>
      <c r="F929" s="413">
        <v>23294.6</v>
      </c>
      <c r="G929" s="403"/>
      <c r="H929" s="349" t="s">
        <v>2200</v>
      </c>
      <c r="I929" s="736" t="str">
        <f t="shared" si="8"/>
        <v>NOT PAID</v>
      </c>
      <c r="J929" s="402"/>
      <c r="K929" s="402"/>
      <c r="L929" s="402"/>
      <c r="M929" s="402"/>
      <c r="N929" s="402"/>
      <c r="O929" s="402"/>
      <c r="P929" s="402"/>
      <c r="Q929" s="402"/>
      <c r="R929" s="402"/>
      <c r="S929" s="402"/>
      <c r="T929" s="402"/>
      <c r="U929" s="402"/>
      <c r="V929" s="402"/>
      <c r="W929" s="402"/>
      <c r="X929" s="402"/>
      <c r="Y929" s="402"/>
      <c r="Z929" s="402"/>
    </row>
    <row r="930" ht="14.25" customHeight="1">
      <c r="A930" s="497">
        <v>45520.0</v>
      </c>
      <c r="B930" s="349" t="s">
        <v>6515</v>
      </c>
      <c r="C930" s="349" t="s">
        <v>6516</v>
      </c>
      <c r="D930" s="1032" t="s">
        <v>54</v>
      </c>
      <c r="E930" s="413" t="s">
        <v>6517</v>
      </c>
      <c r="F930" s="413">
        <v>4625.64</v>
      </c>
      <c r="G930" s="403"/>
      <c r="H930" s="402"/>
      <c r="I930" s="736" t="str">
        <f t="shared" si="8"/>
        <v>NOT PAID</v>
      </c>
      <c r="J930" s="402"/>
      <c r="K930" s="402"/>
      <c r="L930" s="402"/>
      <c r="M930" s="402"/>
      <c r="N930" s="402"/>
      <c r="O930" s="402"/>
      <c r="P930" s="402"/>
      <c r="Q930" s="402"/>
      <c r="R930" s="402"/>
      <c r="S930" s="402"/>
      <c r="T930" s="402"/>
      <c r="U930" s="402"/>
      <c r="V930" s="402"/>
      <c r="W930" s="402"/>
      <c r="X930" s="402"/>
      <c r="Y930" s="402"/>
      <c r="Z930" s="402"/>
    </row>
    <row r="931" ht="14.25" customHeight="1">
      <c r="A931" s="497">
        <v>45520.0</v>
      </c>
      <c r="B931" s="349" t="s">
        <v>6521</v>
      </c>
      <c r="C931" s="349" t="s">
        <v>5650</v>
      </c>
      <c r="D931" s="1032" t="s">
        <v>75</v>
      </c>
      <c r="E931" s="413" t="s">
        <v>6517</v>
      </c>
      <c r="F931" s="413">
        <v>77000.0</v>
      </c>
      <c r="G931" s="403"/>
      <c r="H931" s="402"/>
      <c r="I931" s="736" t="str">
        <f t="shared" si="8"/>
        <v>NOT PAID</v>
      </c>
      <c r="J931" s="402"/>
      <c r="K931" s="402"/>
      <c r="L931" s="402"/>
      <c r="M931" s="402"/>
      <c r="N931" s="402"/>
      <c r="O931" s="402"/>
      <c r="P931" s="402"/>
      <c r="Q931" s="402"/>
      <c r="R931" s="402"/>
      <c r="S931" s="402"/>
      <c r="T931" s="402"/>
      <c r="U931" s="402"/>
      <c r="V931" s="402"/>
      <c r="W931" s="402"/>
      <c r="X931" s="402"/>
      <c r="Y931" s="402"/>
      <c r="Z931" s="402"/>
    </row>
    <row r="932" ht="14.25" customHeight="1">
      <c r="A932" s="497">
        <v>45520.0</v>
      </c>
      <c r="B932" s="349" t="s">
        <v>6455</v>
      </c>
      <c r="C932" s="349" t="s">
        <v>6456</v>
      </c>
      <c r="D932" s="1032" t="s">
        <v>54</v>
      </c>
      <c r="E932" s="413" t="s">
        <v>6511</v>
      </c>
      <c r="F932" s="413">
        <v>170586.11</v>
      </c>
      <c r="G932" s="403"/>
      <c r="H932" s="402"/>
      <c r="I932" s="736" t="str">
        <f t="shared" si="8"/>
        <v>NOT PAID</v>
      </c>
      <c r="J932" s="402"/>
      <c r="K932" s="402"/>
      <c r="L932" s="402"/>
      <c r="M932" s="402"/>
      <c r="N932" s="402"/>
      <c r="O932" s="402"/>
      <c r="P932" s="402"/>
      <c r="Q932" s="402"/>
      <c r="R932" s="402"/>
      <c r="S932" s="402"/>
      <c r="T932" s="402"/>
      <c r="U932" s="402"/>
      <c r="V932" s="402"/>
      <c r="W932" s="402"/>
      <c r="X932" s="402"/>
      <c r="Y932" s="402"/>
      <c r="Z932" s="402"/>
    </row>
    <row r="933" ht="14.25" customHeight="1">
      <c r="A933" s="497">
        <v>45520.0</v>
      </c>
      <c r="B933" s="349" t="s">
        <v>6460</v>
      </c>
      <c r="C933" s="349" t="s">
        <v>6461</v>
      </c>
      <c r="D933" s="1032" t="s">
        <v>54</v>
      </c>
      <c r="E933" s="413" t="s">
        <v>6511</v>
      </c>
      <c r="F933" s="413">
        <v>40536.0</v>
      </c>
      <c r="G933" s="403"/>
      <c r="H933" s="402"/>
      <c r="I933" s="736" t="str">
        <f t="shared" si="8"/>
        <v>NOT PAID</v>
      </c>
      <c r="J933" s="402"/>
      <c r="K933" s="402"/>
      <c r="L933" s="402"/>
      <c r="M933" s="402"/>
      <c r="N933" s="402"/>
      <c r="O933" s="402"/>
      <c r="P933" s="402"/>
      <c r="Q933" s="402"/>
      <c r="R933" s="402"/>
      <c r="S933" s="402"/>
      <c r="T933" s="402"/>
      <c r="U933" s="402"/>
      <c r="V933" s="402"/>
      <c r="W933" s="402"/>
      <c r="X933" s="402"/>
      <c r="Y933" s="402"/>
      <c r="Z933" s="402"/>
    </row>
    <row r="934" ht="14.25" customHeight="1">
      <c r="A934" s="497">
        <v>45520.0</v>
      </c>
      <c r="B934" s="349" t="s">
        <v>6469</v>
      </c>
      <c r="C934" s="349" t="s">
        <v>6470</v>
      </c>
      <c r="D934" s="1032" t="s">
        <v>54</v>
      </c>
      <c r="E934" s="413" t="s">
        <v>6517</v>
      </c>
      <c r="F934" s="413">
        <v>55177.93</v>
      </c>
      <c r="G934" s="403"/>
      <c r="H934" s="402"/>
      <c r="I934" s="736" t="str">
        <f t="shared" si="8"/>
        <v>NOT PAID</v>
      </c>
      <c r="J934" s="402"/>
      <c r="K934" s="402"/>
      <c r="L934" s="402"/>
      <c r="M934" s="402"/>
      <c r="N934" s="402"/>
      <c r="O934" s="402"/>
      <c r="P934" s="402"/>
      <c r="Q934" s="402"/>
      <c r="R934" s="402"/>
      <c r="S934" s="402"/>
      <c r="T934" s="402"/>
      <c r="U934" s="402"/>
      <c r="V934" s="402"/>
      <c r="W934" s="402"/>
      <c r="X934" s="402"/>
      <c r="Y934" s="402"/>
      <c r="Z934" s="402"/>
    </row>
    <row r="935" ht="14.25" customHeight="1">
      <c r="A935" s="497">
        <v>45520.0</v>
      </c>
      <c r="B935" s="349" t="s">
        <v>6477</v>
      </c>
      <c r="C935" s="349" t="s">
        <v>6478</v>
      </c>
      <c r="D935" s="1032" t="s">
        <v>54</v>
      </c>
      <c r="E935" s="413" t="s">
        <v>6529</v>
      </c>
      <c r="F935" s="413">
        <v>52886.01</v>
      </c>
      <c r="G935" s="403"/>
      <c r="H935" s="402"/>
      <c r="I935" s="736" t="str">
        <f t="shared" si="8"/>
        <v>NOT PAID</v>
      </c>
      <c r="J935" s="402"/>
      <c r="K935" s="402"/>
      <c r="L935" s="402"/>
      <c r="M935" s="402"/>
      <c r="N935" s="402"/>
      <c r="O935" s="402"/>
      <c r="P935" s="402"/>
      <c r="Q935" s="402"/>
      <c r="R935" s="402"/>
      <c r="S935" s="402"/>
      <c r="T935" s="402"/>
      <c r="U935" s="402"/>
      <c r="V935" s="402"/>
      <c r="W935" s="402"/>
      <c r="X935" s="402"/>
      <c r="Y935" s="402"/>
      <c r="Z935" s="402"/>
    </row>
    <row r="936" ht="14.25" customHeight="1">
      <c r="A936" s="497">
        <v>45520.0</v>
      </c>
      <c r="B936" s="349" t="s">
        <v>6487</v>
      </c>
      <c r="C936" s="349" t="s">
        <v>5796</v>
      </c>
      <c r="D936" s="1032" t="s">
        <v>54</v>
      </c>
      <c r="E936" s="413" t="s">
        <v>6531</v>
      </c>
      <c r="F936" s="413">
        <v>13937.75</v>
      </c>
      <c r="G936" s="403"/>
      <c r="H936" s="402"/>
      <c r="I936" s="736" t="str">
        <f t="shared" si="8"/>
        <v>NOT PAID</v>
      </c>
      <c r="J936" s="402"/>
      <c r="K936" s="402"/>
      <c r="L936" s="402"/>
      <c r="M936" s="402"/>
      <c r="N936" s="402"/>
      <c r="O936" s="402"/>
      <c r="P936" s="402"/>
      <c r="Q936" s="402"/>
      <c r="R936" s="402"/>
      <c r="S936" s="402"/>
      <c r="T936" s="402"/>
      <c r="U936" s="402"/>
      <c r="V936" s="402"/>
      <c r="W936" s="402"/>
      <c r="X936" s="402"/>
      <c r="Y936" s="402"/>
      <c r="Z936" s="402"/>
    </row>
    <row r="937" ht="14.25" customHeight="1">
      <c r="A937" s="497">
        <v>45520.0</v>
      </c>
      <c r="B937" s="349" t="s">
        <v>6488</v>
      </c>
      <c r="C937" s="349" t="s">
        <v>6489</v>
      </c>
      <c r="D937" s="1032" t="s">
        <v>54</v>
      </c>
      <c r="E937" s="413" t="s">
        <v>6505</v>
      </c>
      <c r="F937" s="413">
        <v>16483.0</v>
      </c>
      <c r="G937" s="403"/>
      <c r="H937" s="349" t="s">
        <v>6490</v>
      </c>
      <c r="I937" s="736" t="str">
        <f t="shared" si="8"/>
        <v>NOT PAID</v>
      </c>
      <c r="J937" s="402"/>
      <c r="K937" s="402"/>
      <c r="L937" s="402"/>
      <c r="M937" s="402"/>
      <c r="N937" s="402"/>
      <c r="O937" s="402"/>
      <c r="P937" s="402"/>
      <c r="Q937" s="402"/>
      <c r="R937" s="402"/>
      <c r="S937" s="402"/>
      <c r="T937" s="402"/>
      <c r="U937" s="402"/>
      <c r="V937" s="402"/>
      <c r="W937" s="402"/>
      <c r="X937" s="402"/>
      <c r="Y937" s="402"/>
      <c r="Z937" s="402"/>
    </row>
    <row r="938" ht="14.25" customHeight="1">
      <c r="A938" s="497">
        <v>45520.0</v>
      </c>
      <c r="B938" s="349" t="s">
        <v>6462</v>
      </c>
      <c r="C938" s="349" t="s">
        <v>6463</v>
      </c>
      <c r="D938" s="1032" t="s">
        <v>75</v>
      </c>
      <c r="E938" s="413" t="s">
        <v>6505</v>
      </c>
      <c r="F938" s="413">
        <v>700000.0</v>
      </c>
      <c r="G938" s="413"/>
      <c r="H938" s="349" t="s">
        <v>6663</v>
      </c>
      <c r="I938" s="736" t="str">
        <f t="shared" si="8"/>
        <v>NOT PAID</v>
      </c>
      <c r="J938" s="402"/>
      <c r="K938" s="402"/>
      <c r="L938" s="402"/>
      <c r="M938" s="402"/>
      <c r="N938" s="402"/>
      <c r="O938" s="402"/>
      <c r="P938" s="402"/>
      <c r="Q938" s="402"/>
      <c r="R938" s="402"/>
      <c r="S938" s="402"/>
      <c r="T938" s="402"/>
      <c r="U938" s="402"/>
      <c r="V938" s="402"/>
      <c r="W938" s="402"/>
      <c r="X938" s="402"/>
      <c r="Y938" s="402"/>
      <c r="Z938" s="402"/>
    </row>
    <row r="939" ht="14.25" customHeight="1">
      <c r="A939" s="497">
        <v>45520.0</v>
      </c>
      <c r="B939" s="349" t="s">
        <v>6309</v>
      </c>
      <c r="C939" s="349" t="s">
        <v>5722</v>
      </c>
      <c r="D939" s="1032" t="s">
        <v>54</v>
      </c>
      <c r="E939" s="413" t="s">
        <v>6505</v>
      </c>
      <c r="F939" s="413">
        <v>50000.0</v>
      </c>
      <c r="G939" s="403"/>
      <c r="H939" s="349" t="s">
        <v>2200</v>
      </c>
      <c r="I939" s="736" t="str">
        <f t="shared" si="8"/>
        <v>NOT PAID</v>
      </c>
      <c r="J939" s="402"/>
      <c r="K939" s="402"/>
      <c r="L939" s="402"/>
      <c r="M939" s="402"/>
      <c r="N939" s="402"/>
      <c r="O939" s="402"/>
      <c r="P939" s="402"/>
      <c r="Q939" s="402"/>
      <c r="R939" s="402"/>
      <c r="S939" s="402"/>
      <c r="T939" s="402"/>
      <c r="U939" s="402"/>
      <c r="V939" s="402"/>
      <c r="W939" s="402"/>
      <c r="X939" s="402"/>
      <c r="Y939" s="402"/>
      <c r="Z939" s="402"/>
    </row>
    <row r="940" ht="14.25" customHeight="1">
      <c r="A940" s="497">
        <v>45520.0</v>
      </c>
      <c r="B940" s="349" t="s">
        <v>797</v>
      </c>
      <c r="C940" s="402"/>
      <c r="D940" s="1034"/>
      <c r="E940" s="403"/>
      <c r="F940" s="403"/>
      <c r="G940" s="403"/>
      <c r="H940" s="402"/>
      <c r="I940" s="736" t="str">
        <f t="shared" si="8"/>
        <v>FULLY PAID</v>
      </c>
      <c r="J940" s="402"/>
      <c r="K940" s="402"/>
      <c r="L940" s="402"/>
      <c r="M940" s="402"/>
      <c r="N940" s="402"/>
      <c r="O940" s="402"/>
      <c r="P940" s="402"/>
      <c r="Q940" s="402"/>
      <c r="R940" s="402"/>
      <c r="S940" s="402"/>
      <c r="T940" s="402"/>
      <c r="U940" s="402"/>
      <c r="V940" s="402"/>
      <c r="W940" s="402"/>
      <c r="X940" s="402"/>
      <c r="Y940" s="402"/>
      <c r="Z940" s="402"/>
    </row>
    <row r="941" ht="14.25" customHeight="1">
      <c r="A941" s="497">
        <v>45520.0</v>
      </c>
      <c r="B941" s="402" t="s">
        <v>5685</v>
      </c>
      <c r="C941" s="402" t="s">
        <v>6382</v>
      </c>
      <c r="D941" s="1032" t="s">
        <v>54</v>
      </c>
      <c r="E941" s="403" t="s">
        <v>2165</v>
      </c>
      <c r="F941" s="413">
        <v>200000.0</v>
      </c>
      <c r="G941" s="413"/>
      <c r="H941" s="402"/>
      <c r="I941" s="736" t="str">
        <f t="shared" si="8"/>
        <v>NOT PAID</v>
      </c>
      <c r="J941" s="402"/>
      <c r="K941" s="402"/>
      <c r="L941" s="402"/>
      <c r="M941" s="402"/>
      <c r="N941" s="402"/>
      <c r="O941" s="402"/>
      <c r="P941" s="402"/>
      <c r="Q941" s="402"/>
      <c r="R941" s="402"/>
      <c r="S941" s="402"/>
      <c r="T941" s="402"/>
      <c r="U941" s="402"/>
      <c r="V941" s="402"/>
      <c r="W941" s="402"/>
      <c r="X941" s="402"/>
      <c r="Y941" s="402"/>
      <c r="Z941" s="402"/>
    </row>
    <row r="942" ht="14.25" customHeight="1">
      <c r="A942" s="660">
        <v>45520.0</v>
      </c>
      <c r="B942" s="545" t="s">
        <v>5984</v>
      </c>
      <c r="C942" s="545" t="s">
        <v>5985</v>
      </c>
      <c r="D942" s="545" t="s">
        <v>54</v>
      </c>
      <c r="E942" s="1104" t="s">
        <v>2165</v>
      </c>
      <c r="F942" s="1104">
        <v>360000.0</v>
      </c>
      <c r="G942" s="403"/>
      <c r="H942" s="402"/>
      <c r="I942" s="736" t="str">
        <f t="shared" si="8"/>
        <v>NOT PAID</v>
      </c>
      <c r="J942" s="402"/>
      <c r="K942" s="402"/>
      <c r="L942" s="402"/>
      <c r="M942" s="402"/>
      <c r="N942" s="402"/>
      <c r="O942" s="402"/>
      <c r="P942" s="402"/>
      <c r="Q942" s="402"/>
      <c r="R942" s="402"/>
      <c r="S942" s="402"/>
      <c r="T942" s="402"/>
      <c r="U942" s="402"/>
      <c r="V942" s="402"/>
      <c r="W942" s="402"/>
      <c r="X942" s="402"/>
      <c r="Y942" s="402"/>
      <c r="Z942" s="402"/>
    </row>
    <row r="943" ht="14.25" customHeight="1">
      <c r="A943" s="660">
        <v>45520.0</v>
      </c>
      <c r="B943" s="1105" t="s">
        <v>6026</v>
      </c>
      <c r="C943" s="1106" t="s">
        <v>6027</v>
      </c>
      <c r="D943" s="545" t="s">
        <v>54</v>
      </c>
      <c r="E943" s="1104" t="s">
        <v>2165</v>
      </c>
      <c r="F943" s="1107">
        <v>612469.66</v>
      </c>
      <c r="G943" s="403"/>
      <c r="H943" s="402"/>
      <c r="I943" s="736" t="str">
        <f t="shared" si="8"/>
        <v>NOT PAID</v>
      </c>
      <c r="J943" s="402"/>
      <c r="K943" s="402"/>
      <c r="L943" s="402"/>
      <c r="M943" s="402"/>
      <c r="N943" s="402"/>
      <c r="O943" s="402"/>
      <c r="P943" s="402"/>
      <c r="Q943" s="402"/>
      <c r="R943" s="402"/>
      <c r="S943" s="402"/>
      <c r="T943" s="402"/>
      <c r="U943" s="402"/>
      <c r="V943" s="402"/>
      <c r="W943" s="402"/>
      <c r="X943" s="402"/>
      <c r="Y943" s="402"/>
      <c r="Z943" s="402"/>
    </row>
    <row r="944" ht="14.25" customHeight="1">
      <c r="A944" s="497">
        <v>45520.0</v>
      </c>
      <c r="B944" s="349" t="s">
        <v>6425</v>
      </c>
      <c r="C944" s="349" t="s">
        <v>6426</v>
      </c>
      <c r="D944" s="1032" t="s">
        <v>666</v>
      </c>
      <c r="E944" s="413" t="s">
        <v>273</v>
      </c>
      <c r="F944" s="413">
        <v>4000000.0</v>
      </c>
      <c r="G944" s="403"/>
      <c r="H944" s="349" t="s">
        <v>6664</v>
      </c>
      <c r="I944" s="736" t="str">
        <f t="shared" si="8"/>
        <v>NOT PAID</v>
      </c>
      <c r="J944" s="402"/>
      <c r="K944" s="402"/>
      <c r="L944" s="402"/>
      <c r="M944" s="402"/>
      <c r="N944" s="402"/>
      <c r="O944" s="402"/>
      <c r="P944" s="402"/>
      <c r="Q944" s="402"/>
      <c r="R944" s="402"/>
      <c r="S944" s="402"/>
      <c r="T944" s="402"/>
      <c r="U944" s="402"/>
      <c r="V944" s="402"/>
      <c r="W944" s="402"/>
      <c r="X944" s="402"/>
      <c r="Y944" s="402"/>
      <c r="Z944" s="402"/>
    </row>
    <row r="945" ht="18.0" customHeight="1">
      <c r="A945" s="497">
        <v>45520.0</v>
      </c>
      <c r="B945" s="261" t="s">
        <v>5679</v>
      </c>
      <c r="C945" s="261" t="s">
        <v>5730</v>
      </c>
      <c r="D945" s="545" t="s">
        <v>54</v>
      </c>
      <c r="E945" s="668" t="s">
        <v>4114</v>
      </c>
      <c r="F945" s="557">
        <v>25000.0</v>
      </c>
      <c r="G945" s="403"/>
      <c r="H945" s="349" t="s">
        <v>6665</v>
      </c>
      <c r="I945" s="736" t="str">
        <f t="shared" si="8"/>
        <v>NOT PAID</v>
      </c>
      <c r="J945" s="402"/>
      <c r="K945" s="402"/>
      <c r="L945" s="402"/>
      <c r="M945" s="402"/>
      <c r="N945" s="402"/>
      <c r="O945" s="402"/>
      <c r="P945" s="402"/>
      <c r="Q945" s="402"/>
      <c r="R945" s="402"/>
      <c r="S945" s="402"/>
      <c r="T945" s="402"/>
      <c r="U945" s="402"/>
      <c r="V945" s="402"/>
      <c r="W945" s="402"/>
      <c r="X945" s="402"/>
      <c r="Y945" s="402"/>
      <c r="Z945" s="402"/>
    </row>
    <row r="946" ht="19.5" customHeight="1">
      <c r="A946" s="497">
        <v>45520.0</v>
      </c>
      <c r="B946" s="261" t="s">
        <v>5938</v>
      </c>
      <c r="C946" s="261" t="s">
        <v>6666</v>
      </c>
      <c r="D946" s="545" t="s">
        <v>54</v>
      </c>
      <c r="E946" s="668" t="s">
        <v>4114</v>
      </c>
      <c r="F946" s="557">
        <v>56351.0</v>
      </c>
      <c r="G946" s="403"/>
      <c r="H946" s="349" t="s">
        <v>6667</v>
      </c>
      <c r="I946" s="736" t="str">
        <f t="shared" si="8"/>
        <v>NOT PAID</v>
      </c>
      <c r="J946" s="402"/>
      <c r="K946" s="402"/>
      <c r="L946" s="402"/>
      <c r="M946" s="402"/>
      <c r="N946" s="402"/>
      <c r="O946" s="402"/>
      <c r="P946" s="402"/>
      <c r="Q946" s="402"/>
      <c r="R946" s="402"/>
      <c r="S946" s="402"/>
      <c r="T946" s="402"/>
      <c r="U946" s="402"/>
      <c r="V946" s="402"/>
      <c r="W946" s="402"/>
      <c r="X946" s="402"/>
      <c r="Y946" s="402"/>
      <c r="Z946" s="402"/>
    </row>
    <row r="947" ht="17.25" customHeight="1">
      <c r="A947" s="497">
        <v>45520.0</v>
      </c>
      <c r="B947" s="261" t="s">
        <v>6185</v>
      </c>
      <c r="C947" s="261" t="s">
        <v>6186</v>
      </c>
      <c r="D947" s="545" t="s">
        <v>54</v>
      </c>
      <c r="E947" s="668" t="s">
        <v>4114</v>
      </c>
      <c r="F947" s="557">
        <v>23000.0</v>
      </c>
      <c r="G947" s="403"/>
      <c r="H947" s="349" t="s">
        <v>6668</v>
      </c>
      <c r="I947" s="736" t="str">
        <f t="shared" si="8"/>
        <v>NOT PAID</v>
      </c>
      <c r="J947" s="402"/>
      <c r="K947" s="402"/>
      <c r="L947" s="402"/>
      <c r="M947" s="402"/>
      <c r="N947" s="402"/>
      <c r="O947" s="402"/>
      <c r="P947" s="402"/>
      <c r="Q947" s="402"/>
      <c r="R947" s="402"/>
      <c r="S947" s="402"/>
      <c r="T947" s="402"/>
      <c r="U947" s="402"/>
      <c r="V947" s="402"/>
      <c r="W947" s="402"/>
      <c r="X947" s="402"/>
      <c r="Y947" s="402"/>
      <c r="Z947" s="402"/>
    </row>
    <row r="948" ht="18.75" customHeight="1">
      <c r="A948" s="497">
        <v>45520.0</v>
      </c>
      <c r="B948" s="235" t="s">
        <v>5687</v>
      </c>
      <c r="C948" s="236" t="s">
        <v>5688</v>
      </c>
      <c r="D948" s="545" t="s">
        <v>54</v>
      </c>
      <c r="E948" s="668" t="s">
        <v>4114</v>
      </c>
      <c r="F948" s="557">
        <v>300000.0</v>
      </c>
      <c r="G948" s="403"/>
      <c r="H948" s="349" t="s">
        <v>6669</v>
      </c>
      <c r="I948" s="736" t="str">
        <f t="shared" si="8"/>
        <v>NOT PAID</v>
      </c>
      <c r="J948" s="402"/>
      <c r="K948" s="402"/>
      <c r="L948" s="402"/>
      <c r="M948" s="402"/>
      <c r="N948" s="402"/>
      <c r="O948" s="402"/>
      <c r="P948" s="402"/>
      <c r="Q948" s="402"/>
      <c r="R948" s="402"/>
      <c r="S948" s="402"/>
      <c r="T948" s="402"/>
      <c r="U948" s="402"/>
      <c r="V948" s="402"/>
      <c r="W948" s="402"/>
      <c r="X948" s="402"/>
      <c r="Y948" s="402"/>
      <c r="Z948" s="402"/>
    </row>
    <row r="949" ht="14.25" customHeight="1">
      <c r="A949" s="402"/>
      <c r="B949" s="402"/>
      <c r="C949" s="402"/>
      <c r="D949" s="1034"/>
      <c r="E949" s="403"/>
      <c r="F949" s="403"/>
      <c r="G949" s="403"/>
      <c r="H949" s="402"/>
      <c r="I949" s="736" t="str">
        <f t="shared" si="8"/>
        <v>FULLY PAID</v>
      </c>
      <c r="J949" s="402"/>
      <c r="K949" s="402"/>
      <c r="L949" s="402"/>
      <c r="M949" s="402"/>
      <c r="N949" s="402"/>
      <c r="O949" s="402"/>
      <c r="P949" s="402"/>
      <c r="Q949" s="402"/>
      <c r="R949" s="402"/>
      <c r="S949" s="402"/>
      <c r="T949" s="402"/>
      <c r="U949" s="402"/>
      <c r="V949" s="402"/>
      <c r="W949" s="402"/>
      <c r="X949" s="402"/>
      <c r="Y949" s="402"/>
      <c r="Z949" s="402"/>
    </row>
    <row r="950" ht="14.25" customHeight="1">
      <c r="A950" s="402"/>
      <c r="B950" s="402"/>
      <c r="C950" s="402"/>
      <c r="D950" s="1034"/>
      <c r="E950" s="403"/>
      <c r="F950" s="403"/>
      <c r="G950" s="403"/>
      <c r="H950" s="402"/>
      <c r="I950" s="736" t="str">
        <f t="shared" si="8"/>
        <v>FULLY PAID</v>
      </c>
      <c r="J950" s="402"/>
      <c r="K950" s="402"/>
      <c r="L950" s="402"/>
      <c r="M950" s="402"/>
      <c r="N950" s="402"/>
      <c r="O950" s="402"/>
      <c r="P950" s="402"/>
      <c r="Q950" s="402"/>
      <c r="R950" s="402"/>
      <c r="S950" s="402"/>
      <c r="T950" s="402"/>
      <c r="U950" s="402"/>
      <c r="V950" s="402"/>
      <c r="W950" s="402"/>
      <c r="X950" s="402"/>
      <c r="Y950" s="402"/>
      <c r="Z950" s="402"/>
    </row>
    <row r="951" ht="14.25" customHeight="1">
      <c r="A951" s="497">
        <v>45521.0</v>
      </c>
      <c r="B951" s="349" t="s">
        <v>6670</v>
      </c>
      <c r="C951" s="349" t="s">
        <v>6671</v>
      </c>
      <c r="D951" s="1032" t="s">
        <v>54</v>
      </c>
      <c r="E951" s="413" t="s">
        <v>12</v>
      </c>
      <c r="F951" s="413">
        <v>54589.76</v>
      </c>
      <c r="G951" s="403"/>
      <c r="H951" s="402"/>
      <c r="I951" s="736" t="str">
        <f t="shared" si="8"/>
        <v>NOT PAID</v>
      </c>
      <c r="J951" s="402"/>
      <c r="K951" s="402"/>
      <c r="L951" s="402"/>
      <c r="M951" s="402"/>
      <c r="N951" s="402"/>
      <c r="O951" s="402"/>
      <c r="P951" s="402"/>
      <c r="Q951" s="402"/>
      <c r="R951" s="402"/>
      <c r="S951" s="402"/>
      <c r="T951" s="402"/>
      <c r="U951" s="402"/>
      <c r="V951" s="402"/>
      <c r="W951" s="402"/>
      <c r="X951" s="402"/>
      <c r="Y951" s="402"/>
      <c r="Z951" s="402"/>
    </row>
    <row r="952" ht="14.25" customHeight="1">
      <c r="A952" s="497">
        <v>45521.0</v>
      </c>
      <c r="B952" s="349" t="s">
        <v>6672</v>
      </c>
      <c r="C952" s="349" t="s">
        <v>6673</v>
      </c>
      <c r="D952" s="1032" t="s">
        <v>54</v>
      </c>
      <c r="E952" s="413" t="s">
        <v>12</v>
      </c>
      <c r="F952" s="413">
        <v>68883.32</v>
      </c>
      <c r="G952" s="403"/>
      <c r="H952" s="402"/>
      <c r="I952" s="736" t="str">
        <f t="shared" si="8"/>
        <v>NOT PAID</v>
      </c>
      <c r="J952" s="402"/>
      <c r="K952" s="402"/>
      <c r="L952" s="402"/>
      <c r="M952" s="402"/>
      <c r="N952" s="402"/>
      <c r="O952" s="402"/>
      <c r="P952" s="402"/>
      <c r="Q952" s="402"/>
      <c r="R952" s="402"/>
      <c r="S952" s="402"/>
      <c r="T952" s="402"/>
      <c r="U952" s="402"/>
      <c r="V952" s="402"/>
      <c r="W952" s="402"/>
      <c r="X952" s="402"/>
      <c r="Y952" s="402"/>
      <c r="Z952" s="402"/>
    </row>
    <row r="953" ht="14.25" customHeight="1">
      <c r="A953" s="497">
        <v>45521.0</v>
      </c>
      <c r="B953" s="349" t="s">
        <v>6674</v>
      </c>
      <c r="C953" s="349" t="s">
        <v>6675</v>
      </c>
      <c r="D953" s="1032" t="s">
        <v>54</v>
      </c>
      <c r="E953" s="413" t="s">
        <v>12</v>
      </c>
      <c r="F953" s="413">
        <v>114102.99</v>
      </c>
      <c r="G953" s="403"/>
      <c r="H953" s="402"/>
      <c r="I953" s="736" t="str">
        <f t="shared" si="8"/>
        <v>NOT PAID</v>
      </c>
      <c r="J953" s="402"/>
      <c r="K953" s="402"/>
      <c r="L953" s="402"/>
      <c r="M953" s="402"/>
      <c r="N953" s="402"/>
      <c r="O953" s="402"/>
      <c r="P953" s="402"/>
      <c r="Q953" s="402"/>
      <c r="R953" s="402"/>
      <c r="S953" s="402"/>
      <c r="T953" s="402"/>
      <c r="U953" s="402"/>
      <c r="V953" s="402"/>
      <c r="W953" s="402"/>
      <c r="X953" s="402"/>
      <c r="Y953" s="402"/>
      <c r="Z953" s="402"/>
    </row>
    <row r="954" ht="14.25" customHeight="1">
      <c r="A954" s="497">
        <v>45521.0</v>
      </c>
      <c r="B954" s="349" t="s">
        <v>6676</v>
      </c>
      <c r="C954" s="349" t="s">
        <v>6677</v>
      </c>
      <c r="D954" s="1032" t="s">
        <v>54</v>
      </c>
      <c r="E954" s="413" t="s">
        <v>12</v>
      </c>
      <c r="F954" s="413">
        <v>49120.33</v>
      </c>
      <c r="G954" s="403"/>
      <c r="H954" s="402"/>
      <c r="I954" s="736" t="str">
        <f t="shared" si="8"/>
        <v>NOT PAID</v>
      </c>
      <c r="J954" s="402"/>
      <c r="K954" s="402"/>
      <c r="L954" s="402"/>
      <c r="M954" s="402"/>
      <c r="N954" s="402"/>
      <c r="O954" s="402"/>
      <c r="P954" s="402"/>
      <c r="Q954" s="402"/>
      <c r="R954" s="402"/>
      <c r="S954" s="402"/>
      <c r="T954" s="402"/>
      <c r="U954" s="402"/>
      <c r="V954" s="402"/>
      <c r="W954" s="402"/>
      <c r="X954" s="402"/>
      <c r="Y954" s="402"/>
      <c r="Z954" s="402"/>
    </row>
    <row r="955" ht="14.25" customHeight="1">
      <c r="A955" s="497">
        <v>45521.0</v>
      </c>
      <c r="B955" s="349" t="s">
        <v>6678</v>
      </c>
      <c r="C955" s="349" t="s">
        <v>6679</v>
      </c>
      <c r="D955" s="1032" t="s">
        <v>54</v>
      </c>
      <c r="E955" s="413" t="s">
        <v>12</v>
      </c>
      <c r="F955" s="413">
        <v>280633.92</v>
      </c>
      <c r="G955" s="403"/>
      <c r="H955" s="402"/>
      <c r="I955" s="736" t="str">
        <f t="shared" si="8"/>
        <v>NOT PAID</v>
      </c>
      <c r="J955" s="402"/>
      <c r="K955" s="402"/>
      <c r="L955" s="402"/>
      <c r="M955" s="402"/>
      <c r="N955" s="402"/>
      <c r="O955" s="402"/>
      <c r="P955" s="402"/>
      <c r="Q955" s="402"/>
      <c r="R955" s="402"/>
      <c r="S955" s="402"/>
      <c r="T955" s="402"/>
      <c r="U955" s="402"/>
      <c r="V955" s="402"/>
      <c r="W955" s="402"/>
      <c r="X955" s="402"/>
      <c r="Y955" s="402"/>
      <c r="Z955" s="402"/>
    </row>
    <row r="956" ht="14.25" customHeight="1">
      <c r="A956" s="497">
        <v>45521.0</v>
      </c>
      <c r="B956" s="349" t="s">
        <v>5864</v>
      </c>
      <c r="C956" s="349" t="s">
        <v>5865</v>
      </c>
      <c r="D956" s="1032" t="s">
        <v>54</v>
      </c>
      <c r="E956" s="413" t="s">
        <v>12</v>
      </c>
      <c r="F956" s="413">
        <v>16430.5</v>
      </c>
      <c r="G956" s="403"/>
      <c r="H956" s="402"/>
      <c r="I956" s="736" t="str">
        <f t="shared" si="8"/>
        <v>NOT PAID</v>
      </c>
      <c r="J956" s="402"/>
      <c r="K956" s="402"/>
      <c r="L956" s="402"/>
      <c r="M956" s="402"/>
      <c r="N956" s="402"/>
      <c r="O956" s="402"/>
      <c r="P956" s="402"/>
      <c r="Q956" s="402"/>
      <c r="R956" s="402"/>
      <c r="S956" s="402"/>
      <c r="T956" s="402"/>
      <c r="U956" s="402"/>
      <c r="V956" s="402"/>
      <c r="W956" s="402"/>
      <c r="X956" s="402"/>
      <c r="Y956" s="402"/>
      <c r="Z956" s="402"/>
    </row>
    <row r="957" ht="14.25" customHeight="1">
      <c r="A957" s="497">
        <v>45521.0</v>
      </c>
      <c r="B957" s="349" t="s">
        <v>6535</v>
      </c>
      <c r="C957" s="349" t="s">
        <v>6536</v>
      </c>
      <c r="D957" s="1032" t="s">
        <v>54</v>
      </c>
      <c r="E957" s="413" t="s">
        <v>12</v>
      </c>
      <c r="F957" s="413">
        <v>32504.92</v>
      </c>
      <c r="G957" s="403"/>
      <c r="H957" s="402"/>
      <c r="I957" s="736" t="str">
        <f t="shared" si="8"/>
        <v>NOT PAID</v>
      </c>
      <c r="J957" s="402"/>
      <c r="K957" s="402"/>
      <c r="L957" s="402"/>
      <c r="M957" s="402"/>
      <c r="N957" s="402"/>
      <c r="O957" s="402"/>
      <c r="P957" s="402"/>
      <c r="Q957" s="402"/>
      <c r="R957" s="402"/>
      <c r="S957" s="402"/>
      <c r="T957" s="402"/>
      <c r="U957" s="402"/>
      <c r="V957" s="402"/>
      <c r="W957" s="402"/>
      <c r="X957" s="402"/>
      <c r="Y957" s="402"/>
      <c r="Z957" s="402"/>
    </row>
    <row r="958" ht="14.25" customHeight="1">
      <c r="A958" s="497">
        <v>45521.0</v>
      </c>
      <c r="B958" s="349" t="s">
        <v>6080</v>
      </c>
      <c r="C958" s="349" t="s">
        <v>6680</v>
      </c>
      <c r="D958" s="1032" t="s">
        <v>54</v>
      </c>
      <c r="E958" s="413" t="s">
        <v>12</v>
      </c>
      <c r="F958" s="413">
        <v>41815.26</v>
      </c>
      <c r="G958" s="403"/>
      <c r="H958" s="402"/>
      <c r="I958" s="736" t="str">
        <f t="shared" si="8"/>
        <v>NOT PAID</v>
      </c>
      <c r="J958" s="402"/>
      <c r="K958" s="402"/>
      <c r="L958" s="402"/>
      <c r="M958" s="402"/>
      <c r="N958" s="402"/>
      <c r="O958" s="402"/>
      <c r="P958" s="402"/>
      <c r="Q958" s="402"/>
      <c r="R958" s="402"/>
      <c r="S958" s="402"/>
      <c r="T958" s="402"/>
      <c r="U958" s="402"/>
      <c r="V958" s="402"/>
      <c r="W958" s="402"/>
      <c r="X958" s="402"/>
      <c r="Y958" s="402"/>
      <c r="Z958" s="402"/>
    </row>
    <row r="959" ht="14.25" customHeight="1">
      <c r="A959" s="497">
        <v>45521.0</v>
      </c>
      <c r="B959" s="349" t="s">
        <v>6681</v>
      </c>
      <c r="C959" s="349" t="s">
        <v>6682</v>
      </c>
      <c r="D959" s="1032" t="s">
        <v>54</v>
      </c>
      <c r="E959" s="413" t="s">
        <v>12</v>
      </c>
      <c r="F959" s="413">
        <v>266864.04</v>
      </c>
      <c r="G959" s="403"/>
      <c r="H959" s="402"/>
      <c r="I959" s="736" t="str">
        <f t="shared" si="8"/>
        <v>NOT PAID</v>
      </c>
      <c r="J959" s="402"/>
      <c r="K959" s="402"/>
      <c r="L959" s="402"/>
      <c r="M959" s="402"/>
      <c r="N959" s="402"/>
      <c r="O959" s="402"/>
      <c r="P959" s="402"/>
      <c r="Q959" s="402"/>
      <c r="R959" s="402"/>
      <c r="S959" s="402"/>
      <c r="T959" s="402"/>
      <c r="U959" s="402"/>
      <c r="V959" s="402"/>
      <c r="W959" s="402"/>
      <c r="X959" s="402"/>
      <c r="Y959" s="402"/>
      <c r="Z959" s="402"/>
    </row>
    <row r="960" ht="14.25" customHeight="1">
      <c r="A960" s="497">
        <v>45521.0</v>
      </c>
      <c r="B960" s="349" t="s">
        <v>6683</v>
      </c>
      <c r="C960" s="349" t="s">
        <v>6684</v>
      </c>
      <c r="D960" s="1032" t="s">
        <v>54</v>
      </c>
      <c r="E960" s="413" t="s">
        <v>12</v>
      </c>
      <c r="F960" s="413">
        <v>17175.73</v>
      </c>
      <c r="G960" s="403"/>
      <c r="H960" s="402"/>
      <c r="I960" s="736" t="str">
        <f t="shared" si="8"/>
        <v>NOT PAID</v>
      </c>
      <c r="J960" s="402"/>
      <c r="K960" s="402"/>
      <c r="L960" s="402"/>
      <c r="M960" s="402"/>
      <c r="N960" s="402"/>
      <c r="O960" s="402"/>
      <c r="P960" s="402"/>
      <c r="Q960" s="402"/>
      <c r="R960" s="402"/>
      <c r="S960" s="402"/>
      <c r="T960" s="402"/>
      <c r="U960" s="402"/>
      <c r="V960" s="402"/>
      <c r="W960" s="402"/>
      <c r="X960" s="402"/>
      <c r="Y960" s="402"/>
      <c r="Z960" s="402"/>
    </row>
    <row r="961" ht="14.25" customHeight="1">
      <c r="A961" s="497">
        <v>45521.0</v>
      </c>
      <c r="B961" s="349" t="s">
        <v>6685</v>
      </c>
      <c r="C961" s="349" t="s">
        <v>6686</v>
      </c>
      <c r="D961" s="1032" t="s">
        <v>54</v>
      </c>
      <c r="E961" s="413" t="s">
        <v>12</v>
      </c>
      <c r="F961" s="413">
        <v>20839.0</v>
      </c>
      <c r="G961" s="403"/>
      <c r="H961" s="522" t="s">
        <v>6687</v>
      </c>
      <c r="I961" s="736" t="str">
        <f t="shared" si="8"/>
        <v>NOT PAID</v>
      </c>
      <c r="J961" s="402"/>
      <c r="K961" s="402"/>
      <c r="L961" s="402"/>
      <c r="M961" s="402"/>
      <c r="N961" s="402"/>
      <c r="O961" s="402"/>
      <c r="P961" s="402"/>
      <c r="Q961" s="402"/>
      <c r="R961" s="402"/>
      <c r="S961" s="402"/>
      <c r="T961" s="402"/>
      <c r="U961" s="402"/>
      <c r="V961" s="402"/>
      <c r="W961" s="402"/>
      <c r="X961" s="402"/>
      <c r="Y961" s="402"/>
      <c r="Z961" s="402"/>
    </row>
    <row r="962" ht="14.25" customHeight="1">
      <c r="A962" s="497">
        <v>45521.0</v>
      </c>
      <c r="B962" s="349" t="s">
        <v>6688</v>
      </c>
      <c r="C962" s="349" t="s">
        <v>6689</v>
      </c>
      <c r="D962" s="1032" t="s">
        <v>54</v>
      </c>
      <c r="E962" s="413" t="s">
        <v>12</v>
      </c>
      <c r="F962" s="413">
        <v>60308.59</v>
      </c>
      <c r="G962" s="403"/>
      <c r="H962" s="402"/>
      <c r="I962" s="736" t="str">
        <f t="shared" si="8"/>
        <v>NOT PAID</v>
      </c>
      <c r="J962" s="402"/>
      <c r="K962" s="402"/>
      <c r="L962" s="402"/>
      <c r="M962" s="402"/>
      <c r="N962" s="402"/>
      <c r="O962" s="402"/>
      <c r="P962" s="402"/>
      <c r="Q962" s="402"/>
      <c r="R962" s="402"/>
      <c r="S962" s="402"/>
      <c r="T962" s="402"/>
      <c r="U962" s="402"/>
      <c r="V962" s="402"/>
      <c r="W962" s="402"/>
      <c r="X962" s="402"/>
      <c r="Y962" s="402"/>
      <c r="Z962" s="402"/>
    </row>
    <row r="963" ht="14.25" customHeight="1">
      <c r="A963" s="497">
        <v>45521.0</v>
      </c>
      <c r="B963" s="349" t="s">
        <v>5964</v>
      </c>
      <c r="C963" s="349" t="s">
        <v>6690</v>
      </c>
      <c r="D963" s="1032" t="s">
        <v>54</v>
      </c>
      <c r="E963" s="413" t="s">
        <v>12</v>
      </c>
      <c r="F963" s="413">
        <v>8330.07</v>
      </c>
      <c r="G963" s="403"/>
      <c r="H963" s="402"/>
      <c r="I963" s="736" t="str">
        <f t="shared" si="8"/>
        <v>NOT PAID</v>
      </c>
      <c r="J963" s="402"/>
      <c r="K963" s="402"/>
      <c r="L963" s="402"/>
      <c r="M963" s="402"/>
      <c r="N963" s="402"/>
      <c r="O963" s="402"/>
      <c r="P963" s="402"/>
      <c r="Q963" s="402"/>
      <c r="R963" s="402"/>
      <c r="S963" s="402"/>
      <c r="T963" s="402"/>
      <c r="U963" s="402"/>
      <c r="V963" s="402"/>
      <c r="W963" s="402"/>
      <c r="X963" s="402"/>
      <c r="Y963" s="402"/>
      <c r="Z963" s="402"/>
    </row>
    <row r="964" ht="14.25" customHeight="1">
      <c r="A964" s="497">
        <v>45521.0</v>
      </c>
      <c r="B964" s="349" t="s">
        <v>6691</v>
      </c>
      <c r="C964" s="349" t="s">
        <v>6692</v>
      </c>
      <c r="D964" s="1032" t="s">
        <v>54</v>
      </c>
      <c r="E964" s="413" t="s">
        <v>12</v>
      </c>
      <c r="F964" s="413">
        <v>25468.0</v>
      </c>
      <c r="G964" s="403"/>
      <c r="H964" s="402"/>
      <c r="I964" s="736" t="str">
        <f t="shared" si="8"/>
        <v>NOT PAID</v>
      </c>
      <c r="J964" s="402"/>
      <c r="K964" s="402"/>
      <c r="L964" s="402"/>
      <c r="M964" s="402"/>
      <c r="N964" s="402"/>
      <c r="O964" s="402"/>
      <c r="P964" s="402"/>
      <c r="Q964" s="402"/>
      <c r="R964" s="402"/>
      <c r="S964" s="402"/>
      <c r="T964" s="402"/>
      <c r="U964" s="402"/>
      <c r="V964" s="402"/>
      <c r="W964" s="402"/>
      <c r="X964" s="402"/>
      <c r="Y964" s="402"/>
      <c r="Z964" s="402"/>
    </row>
    <row r="965" ht="14.25" customHeight="1">
      <c r="A965" s="497">
        <v>45521.0</v>
      </c>
      <c r="B965" s="349" t="s">
        <v>6693</v>
      </c>
      <c r="C965" s="349" t="s">
        <v>6694</v>
      </c>
      <c r="D965" s="1032" t="s">
        <v>75</v>
      </c>
      <c r="E965" s="413" t="s">
        <v>12</v>
      </c>
      <c r="F965" s="413">
        <v>172500.0</v>
      </c>
      <c r="G965" s="413">
        <v>172500.0</v>
      </c>
      <c r="H965" s="349" t="s">
        <v>267</v>
      </c>
      <c r="I965" s="736" t="str">
        <f t="shared" si="8"/>
        <v>FULLY PAID</v>
      </c>
      <c r="J965" s="402"/>
      <c r="K965" s="402"/>
      <c r="L965" s="402"/>
      <c r="M965" s="402"/>
      <c r="N965" s="402"/>
      <c r="O965" s="402"/>
      <c r="P965" s="402"/>
      <c r="Q965" s="402"/>
      <c r="R965" s="402"/>
      <c r="S965" s="402"/>
      <c r="T965" s="402"/>
      <c r="U965" s="402"/>
      <c r="V965" s="402"/>
      <c r="W965" s="402"/>
      <c r="X965" s="402"/>
      <c r="Y965" s="402"/>
      <c r="Z965" s="402"/>
    </row>
    <row r="966" ht="14.25" customHeight="1">
      <c r="A966" s="402"/>
      <c r="B966" s="402"/>
      <c r="C966" s="402"/>
      <c r="D966" s="1034"/>
      <c r="E966" s="403"/>
      <c r="F966" s="403"/>
      <c r="G966" s="403"/>
      <c r="H966" s="402"/>
      <c r="I966" s="736" t="str">
        <f t="shared" si="8"/>
        <v>FULLY PAID</v>
      </c>
      <c r="J966" s="402"/>
      <c r="K966" s="402"/>
      <c r="L966" s="402"/>
      <c r="M966" s="402"/>
      <c r="N966" s="402"/>
      <c r="O966" s="402"/>
      <c r="P966" s="402"/>
      <c r="Q966" s="402"/>
      <c r="R966" s="402"/>
      <c r="S966" s="402"/>
      <c r="T966" s="402"/>
      <c r="U966" s="402"/>
      <c r="V966" s="402"/>
      <c r="W966" s="402"/>
      <c r="X966" s="402"/>
      <c r="Y966" s="402"/>
      <c r="Z966" s="402"/>
    </row>
    <row r="967" ht="14.25" customHeight="1">
      <c r="A967" s="402"/>
      <c r="B967" s="402"/>
      <c r="C967" s="402"/>
      <c r="D967" s="1034"/>
      <c r="E967" s="403"/>
      <c r="F967" s="403"/>
      <c r="G967" s="403"/>
      <c r="H967" s="402"/>
      <c r="I967" s="736" t="str">
        <f t="shared" si="8"/>
        <v>FULLY PAID</v>
      </c>
      <c r="J967" s="402"/>
      <c r="K967" s="402"/>
      <c r="L967" s="402"/>
      <c r="M967" s="402"/>
      <c r="N967" s="402"/>
      <c r="O967" s="402"/>
      <c r="P967" s="402"/>
      <c r="Q967" s="402"/>
      <c r="R967" s="402"/>
      <c r="S967" s="402"/>
      <c r="T967" s="402"/>
      <c r="U967" s="402"/>
      <c r="V967" s="402"/>
      <c r="W967" s="402"/>
      <c r="X967" s="402"/>
      <c r="Y967" s="402"/>
      <c r="Z967" s="402"/>
    </row>
    <row r="968" ht="14.25" customHeight="1">
      <c r="A968" s="497">
        <v>45521.0</v>
      </c>
      <c r="B968" s="569" t="s">
        <v>5984</v>
      </c>
      <c r="C968" s="555" t="s">
        <v>5985</v>
      </c>
      <c r="D968" s="470" t="s">
        <v>54</v>
      </c>
      <c r="E968" s="555" t="s">
        <v>2165</v>
      </c>
      <c r="F968" s="570">
        <v>240000.0</v>
      </c>
      <c r="G968" s="470">
        <v>100000.0</v>
      </c>
      <c r="H968" s="555" t="s">
        <v>267</v>
      </c>
      <c r="I968" s="736" t="str">
        <f t="shared" si="8"/>
        <v>PARTIALLY PAID</v>
      </c>
      <c r="J968" s="402"/>
      <c r="K968" s="402"/>
      <c r="L968" s="402"/>
      <c r="M968" s="402"/>
      <c r="N968" s="402"/>
      <c r="O968" s="402"/>
      <c r="P968" s="402"/>
      <c r="Q968" s="402"/>
      <c r="R968" s="402"/>
      <c r="S968" s="402"/>
      <c r="T968" s="402"/>
      <c r="U968" s="402"/>
      <c r="V968" s="402"/>
      <c r="W968" s="402"/>
      <c r="X968" s="402"/>
      <c r="Y968" s="402"/>
      <c r="Z968" s="402"/>
    </row>
    <row r="969" ht="14.25" customHeight="1">
      <c r="A969" s="497">
        <v>45521.0</v>
      </c>
      <c r="B969" s="458" t="s">
        <v>5685</v>
      </c>
      <c r="C969" s="398" t="s">
        <v>6382</v>
      </c>
      <c r="D969" s="475" t="s">
        <v>54</v>
      </c>
      <c r="E969" s="398" t="s">
        <v>2165</v>
      </c>
      <c r="F969" s="795">
        <v>200000.0</v>
      </c>
      <c r="G969" s="355"/>
      <c r="H969" s="398"/>
      <c r="I969" s="736" t="str">
        <f t="shared" si="8"/>
        <v>NOT PAID</v>
      </c>
      <c r="J969" s="402"/>
      <c r="K969" s="402"/>
      <c r="L969" s="402"/>
      <c r="M969" s="402"/>
      <c r="N969" s="402"/>
      <c r="O969" s="402"/>
      <c r="P969" s="402"/>
      <c r="Q969" s="402"/>
      <c r="R969" s="402"/>
      <c r="S969" s="402"/>
      <c r="T969" s="402"/>
      <c r="U969" s="402"/>
      <c r="V969" s="402"/>
      <c r="W969" s="402"/>
      <c r="X969" s="402"/>
      <c r="Y969" s="402"/>
      <c r="Z969" s="402"/>
    </row>
    <row r="970" ht="14.25" customHeight="1">
      <c r="A970" s="497">
        <v>45521.0</v>
      </c>
      <c r="B970" s="456" t="s">
        <v>6090</v>
      </c>
      <c r="C970" s="395" t="s">
        <v>0</v>
      </c>
      <c r="D970" s="475" t="s">
        <v>54</v>
      </c>
      <c r="E970" s="395" t="s">
        <v>4114</v>
      </c>
      <c r="F970" s="666">
        <v>575000.0</v>
      </c>
      <c r="G970" s="475"/>
      <c r="H970" s="395" t="s">
        <v>6695</v>
      </c>
      <c r="I970" s="736" t="str">
        <f t="shared" si="8"/>
        <v>NOT PAID</v>
      </c>
      <c r="J970" s="402"/>
      <c r="K970" s="402"/>
      <c r="L970" s="402"/>
      <c r="M970" s="402"/>
      <c r="N970" s="402"/>
      <c r="O970" s="402"/>
      <c r="P970" s="402"/>
      <c r="Q970" s="402"/>
      <c r="R970" s="402"/>
      <c r="S970" s="402"/>
      <c r="T970" s="402"/>
      <c r="U970" s="402"/>
      <c r="V970" s="402"/>
      <c r="W970" s="402"/>
      <c r="X970" s="402"/>
      <c r="Y970" s="402"/>
      <c r="Z970" s="402"/>
    </row>
    <row r="971" ht="14.25" customHeight="1">
      <c r="A971" s="497">
        <v>45521.0</v>
      </c>
      <c r="B971" s="456" t="s">
        <v>5679</v>
      </c>
      <c r="C971" s="395" t="s">
        <v>5680</v>
      </c>
      <c r="D971" s="475" t="s">
        <v>54</v>
      </c>
      <c r="E971" s="395" t="s">
        <v>4114</v>
      </c>
      <c r="F971" s="666">
        <v>25000.0</v>
      </c>
      <c r="G971" s="475"/>
      <c r="H971" s="395" t="s">
        <v>6665</v>
      </c>
      <c r="I971" s="736" t="str">
        <f t="shared" si="8"/>
        <v>NOT PAID</v>
      </c>
      <c r="J971" s="402"/>
      <c r="K971" s="402"/>
      <c r="L971" s="402"/>
      <c r="M971" s="402"/>
      <c r="N971" s="402"/>
      <c r="O971" s="402"/>
      <c r="P971" s="402"/>
      <c r="Q971" s="402"/>
      <c r="R971" s="402"/>
      <c r="S971" s="402"/>
      <c r="T971" s="402"/>
      <c r="U971" s="402"/>
      <c r="V971" s="402"/>
      <c r="W971" s="402"/>
      <c r="X971" s="402"/>
      <c r="Y971" s="402"/>
      <c r="Z971" s="402"/>
    </row>
    <row r="972" ht="14.25" customHeight="1">
      <c r="A972" s="497">
        <v>45521.0</v>
      </c>
      <c r="B972" s="456" t="s">
        <v>6185</v>
      </c>
      <c r="C972" s="395" t="s">
        <v>6696</v>
      </c>
      <c r="D972" s="475" t="s">
        <v>54</v>
      </c>
      <c r="E972" s="395" t="s">
        <v>4114</v>
      </c>
      <c r="F972" s="666">
        <v>23000.0</v>
      </c>
      <c r="G972" s="475">
        <v>14000.0</v>
      </c>
      <c r="H972" s="395" t="s">
        <v>804</v>
      </c>
      <c r="I972" s="736" t="str">
        <f t="shared" si="8"/>
        <v>PARTIALLY PAID</v>
      </c>
      <c r="J972" s="402"/>
      <c r="K972" s="402"/>
      <c r="L972" s="402"/>
      <c r="M972" s="402"/>
      <c r="N972" s="402"/>
      <c r="O972" s="402"/>
      <c r="P972" s="402"/>
      <c r="Q972" s="402"/>
      <c r="R972" s="402"/>
      <c r="S972" s="402"/>
      <c r="T972" s="402"/>
      <c r="U972" s="402"/>
      <c r="V972" s="402"/>
      <c r="W972" s="402"/>
      <c r="X972" s="402"/>
      <c r="Y972" s="402"/>
      <c r="Z972" s="402"/>
    </row>
    <row r="973" ht="14.25" customHeight="1">
      <c r="A973" s="497">
        <v>45521.0</v>
      </c>
      <c r="B973" s="484" t="s">
        <v>5687</v>
      </c>
      <c r="C973" s="522" t="s">
        <v>5978</v>
      </c>
      <c r="D973" s="475" t="s">
        <v>54</v>
      </c>
      <c r="E973" s="395" t="s">
        <v>4114</v>
      </c>
      <c r="F973" s="666">
        <v>300000.0</v>
      </c>
      <c r="G973" s="475"/>
      <c r="H973" s="395" t="s">
        <v>6697</v>
      </c>
      <c r="I973" s="736" t="str">
        <f t="shared" si="8"/>
        <v>NOT PAID</v>
      </c>
      <c r="J973" s="402"/>
      <c r="K973" s="402"/>
      <c r="L973" s="402"/>
      <c r="M973" s="402"/>
      <c r="N973" s="402"/>
      <c r="O973" s="402"/>
      <c r="P973" s="402"/>
      <c r="Q973" s="402"/>
      <c r="R973" s="402"/>
      <c r="S973" s="402"/>
      <c r="T973" s="402"/>
      <c r="U973" s="402"/>
      <c r="V973" s="402"/>
      <c r="W973" s="402"/>
      <c r="X973" s="402"/>
      <c r="Y973" s="402"/>
      <c r="Z973" s="402"/>
    </row>
    <row r="974" ht="14.25" customHeight="1">
      <c r="A974" s="402"/>
      <c r="B974" s="402"/>
      <c r="C974" s="402"/>
      <c r="D974" s="1034"/>
      <c r="E974" s="403"/>
      <c r="F974" s="403"/>
      <c r="G974" s="403"/>
      <c r="H974" s="402"/>
      <c r="I974" s="736" t="str">
        <f t="shared" si="8"/>
        <v>FULLY PAID</v>
      </c>
      <c r="J974" s="402"/>
      <c r="K974" s="402"/>
      <c r="L974" s="402"/>
      <c r="M974" s="402"/>
      <c r="N974" s="402"/>
      <c r="O974" s="402"/>
      <c r="P974" s="402"/>
      <c r="Q974" s="402"/>
      <c r="R974" s="402"/>
      <c r="S974" s="402"/>
      <c r="T974" s="402"/>
      <c r="U974" s="402"/>
      <c r="V974" s="402"/>
      <c r="W974" s="402"/>
      <c r="X974" s="402"/>
      <c r="Y974" s="402"/>
      <c r="Z974" s="402"/>
    </row>
    <row r="975" ht="14.25" customHeight="1">
      <c r="A975" s="402"/>
      <c r="B975" s="402"/>
      <c r="C975" s="402"/>
      <c r="D975" s="1034"/>
      <c r="E975" s="403"/>
      <c r="F975" s="403"/>
      <c r="G975" s="403"/>
      <c r="H975" s="402"/>
      <c r="I975" s="736" t="str">
        <f t="shared" si="8"/>
        <v>FULLY PAID</v>
      </c>
      <c r="J975" s="402"/>
      <c r="K975" s="402"/>
      <c r="L975" s="402"/>
      <c r="M975" s="402"/>
      <c r="N975" s="402"/>
      <c r="O975" s="402"/>
      <c r="P975" s="402"/>
      <c r="Q975" s="402"/>
      <c r="R975" s="402"/>
      <c r="S975" s="402"/>
      <c r="T975" s="402"/>
      <c r="U975" s="402"/>
      <c r="V975" s="402"/>
      <c r="W975" s="402"/>
      <c r="X975" s="402"/>
      <c r="Y975" s="402"/>
      <c r="Z975" s="402"/>
    </row>
    <row r="976" ht="14.25" customHeight="1">
      <c r="A976" s="402"/>
      <c r="B976" s="402"/>
      <c r="C976" s="402"/>
      <c r="D976" s="1034"/>
      <c r="E976" s="403"/>
      <c r="F976" s="403"/>
      <c r="G976" s="403"/>
      <c r="H976" s="402"/>
      <c r="I976" s="736" t="str">
        <f t="shared" si="8"/>
        <v>FULLY PAID</v>
      </c>
      <c r="J976" s="402"/>
      <c r="K976" s="402"/>
      <c r="L976" s="402"/>
      <c r="M976" s="402"/>
      <c r="N976" s="402"/>
      <c r="O976" s="402"/>
      <c r="P976" s="402"/>
      <c r="Q976" s="402"/>
      <c r="R976" s="402"/>
      <c r="S976" s="402"/>
      <c r="T976" s="402"/>
      <c r="U976" s="402"/>
      <c r="V976" s="402"/>
      <c r="W976" s="402"/>
      <c r="X976" s="402"/>
      <c r="Y976" s="402"/>
      <c r="Z976" s="402"/>
    </row>
    <row r="977" ht="14.25" customHeight="1">
      <c r="A977" s="497">
        <v>45523.0</v>
      </c>
      <c r="B977" s="349" t="s">
        <v>6698</v>
      </c>
      <c r="C977" s="349" t="s">
        <v>6699</v>
      </c>
      <c r="D977" s="1032" t="s">
        <v>54</v>
      </c>
      <c r="E977" s="413" t="s">
        <v>6517</v>
      </c>
      <c r="F977" s="413">
        <v>25543.0</v>
      </c>
      <c r="G977" s="403"/>
      <c r="H977" s="349" t="s">
        <v>267</v>
      </c>
      <c r="I977" s="736" t="str">
        <f t="shared" si="8"/>
        <v>NOT PAID</v>
      </c>
      <c r="J977" s="402"/>
      <c r="K977" s="402"/>
      <c r="L977" s="402"/>
      <c r="M977" s="402"/>
      <c r="N977" s="402"/>
      <c r="O977" s="402"/>
      <c r="P977" s="402"/>
      <c r="Q977" s="402"/>
      <c r="R977" s="402"/>
      <c r="S977" s="402"/>
      <c r="T977" s="402"/>
      <c r="U977" s="402"/>
      <c r="V977" s="402"/>
      <c r="W977" s="402"/>
      <c r="X977" s="402"/>
      <c r="Y977" s="402"/>
      <c r="Z977" s="402"/>
    </row>
    <row r="978" ht="14.25" customHeight="1">
      <c r="A978" s="497">
        <v>45523.0</v>
      </c>
      <c r="B978" s="349" t="s">
        <v>6700</v>
      </c>
      <c r="C978" s="349" t="s">
        <v>6701</v>
      </c>
      <c r="D978" s="1032" t="s">
        <v>54</v>
      </c>
      <c r="E978" s="413" t="s">
        <v>6511</v>
      </c>
      <c r="F978" s="413">
        <v>41418.81</v>
      </c>
      <c r="G978" s="403"/>
      <c r="H978" s="402"/>
      <c r="I978" s="736" t="str">
        <f t="shared" si="8"/>
        <v>NOT PAID</v>
      </c>
      <c r="J978" s="402"/>
      <c r="K978" s="402"/>
      <c r="L978" s="402"/>
      <c r="M978" s="402"/>
      <c r="N978" s="402"/>
      <c r="O978" s="402"/>
      <c r="P978" s="402"/>
      <c r="Q978" s="402"/>
      <c r="R978" s="402"/>
      <c r="S978" s="402"/>
      <c r="T978" s="402"/>
      <c r="U978" s="402"/>
      <c r="V978" s="402"/>
      <c r="W978" s="402"/>
      <c r="X978" s="402"/>
      <c r="Y978" s="402"/>
      <c r="Z978" s="402"/>
    </row>
    <row r="979" ht="14.25" customHeight="1">
      <c r="A979" s="497">
        <v>45523.0</v>
      </c>
      <c r="B979" s="349" t="s">
        <v>6702</v>
      </c>
      <c r="C979" s="349" t="s">
        <v>6703</v>
      </c>
      <c r="D979" s="1032" t="s">
        <v>54</v>
      </c>
      <c r="E979" s="413" t="s">
        <v>6505</v>
      </c>
      <c r="F979" s="413">
        <v>19809.19</v>
      </c>
      <c r="G979" s="403"/>
      <c r="H979" s="522" t="s">
        <v>6704</v>
      </c>
      <c r="I979" s="736" t="str">
        <f t="shared" si="8"/>
        <v>NOT PAID</v>
      </c>
      <c r="J979" s="402"/>
      <c r="K979" s="402"/>
      <c r="L979" s="402"/>
      <c r="M979" s="402"/>
      <c r="N979" s="402"/>
      <c r="O979" s="402"/>
      <c r="P979" s="402"/>
      <c r="Q979" s="402"/>
      <c r="R979" s="402"/>
      <c r="S979" s="402"/>
      <c r="T979" s="402"/>
      <c r="U979" s="402"/>
      <c r="V979" s="402"/>
      <c r="W979" s="402"/>
      <c r="X979" s="402"/>
      <c r="Y979" s="402"/>
      <c r="Z979" s="402"/>
    </row>
    <row r="980" ht="14.25" customHeight="1">
      <c r="A980" s="497">
        <v>45523.0</v>
      </c>
      <c r="B980" s="349" t="s">
        <v>6705</v>
      </c>
      <c r="C980" s="349" t="s">
        <v>6706</v>
      </c>
      <c r="D980" s="1032" t="s">
        <v>54</v>
      </c>
      <c r="E980" s="413" t="s">
        <v>6517</v>
      </c>
      <c r="F980" s="413">
        <v>59208.5</v>
      </c>
      <c r="G980" s="403"/>
      <c r="H980" s="349" t="s">
        <v>6707</v>
      </c>
      <c r="I980" s="736" t="str">
        <f t="shared" si="8"/>
        <v>NOT PAID</v>
      </c>
      <c r="J980" s="402"/>
      <c r="K980" s="402"/>
      <c r="L980" s="402"/>
      <c r="M980" s="402"/>
      <c r="N980" s="402"/>
      <c r="O980" s="402"/>
      <c r="P980" s="402"/>
      <c r="Q980" s="402"/>
      <c r="R980" s="402"/>
      <c r="S980" s="402"/>
      <c r="T980" s="402"/>
      <c r="U980" s="402"/>
      <c r="V980" s="402"/>
      <c r="W980" s="402"/>
      <c r="X980" s="402"/>
      <c r="Y980" s="402"/>
      <c r="Z980" s="402"/>
    </row>
    <row r="981" ht="14.25" customHeight="1">
      <c r="A981" s="497">
        <v>45523.0</v>
      </c>
      <c r="B981" s="349" t="s">
        <v>6708</v>
      </c>
      <c r="C981" s="349" t="s">
        <v>6709</v>
      </c>
      <c r="D981" s="1032" t="s">
        <v>346</v>
      </c>
      <c r="E981" s="413" t="s">
        <v>6523</v>
      </c>
      <c r="F981" s="413">
        <v>6000.0</v>
      </c>
      <c r="G981" s="403"/>
      <c r="H981" s="522" t="s">
        <v>6710</v>
      </c>
      <c r="I981" s="736" t="str">
        <f t="shared" si="8"/>
        <v>NOT PAID</v>
      </c>
      <c r="J981" s="402"/>
      <c r="K981" s="402"/>
      <c r="L981" s="402"/>
      <c r="M981" s="402"/>
      <c r="N981" s="402"/>
      <c r="O981" s="402"/>
      <c r="P981" s="402"/>
      <c r="Q981" s="402"/>
      <c r="R981" s="402"/>
      <c r="S981" s="402"/>
      <c r="T981" s="402"/>
      <c r="U981" s="402"/>
      <c r="V981" s="402"/>
      <c r="W981" s="402"/>
      <c r="X981" s="402"/>
      <c r="Y981" s="402"/>
      <c r="Z981" s="402"/>
    </row>
    <row r="982" ht="14.25" customHeight="1">
      <c r="A982" s="497">
        <v>45523.0</v>
      </c>
      <c r="B982" s="349" t="s">
        <v>6711</v>
      </c>
      <c r="C982" s="349" t="s">
        <v>6709</v>
      </c>
      <c r="D982" s="1032" t="s">
        <v>54</v>
      </c>
      <c r="E982" s="413" t="s">
        <v>6511</v>
      </c>
      <c r="F982" s="413">
        <v>19847.62</v>
      </c>
      <c r="G982" s="403"/>
      <c r="H982" s="522" t="s">
        <v>6710</v>
      </c>
      <c r="I982" s="736" t="str">
        <f t="shared" si="8"/>
        <v>NOT PAID</v>
      </c>
      <c r="J982" s="402"/>
      <c r="K982" s="402"/>
      <c r="L982" s="402"/>
      <c r="M982" s="402"/>
      <c r="N982" s="402"/>
      <c r="O982" s="402"/>
      <c r="P982" s="402"/>
      <c r="Q982" s="402"/>
      <c r="R982" s="402"/>
      <c r="S982" s="402"/>
      <c r="T982" s="402"/>
      <c r="U982" s="402"/>
      <c r="V982" s="402"/>
      <c r="W982" s="402"/>
      <c r="X982" s="402"/>
      <c r="Y982" s="402"/>
      <c r="Z982" s="402"/>
    </row>
    <row r="983" ht="14.25" customHeight="1">
      <c r="A983" s="497">
        <v>45523.0</v>
      </c>
      <c r="B983" s="349" t="s">
        <v>6712</v>
      </c>
      <c r="C983" s="349" t="s">
        <v>6713</v>
      </c>
      <c r="D983" s="1032" t="s">
        <v>54</v>
      </c>
      <c r="E983" s="413" t="s">
        <v>6505</v>
      </c>
      <c r="F983" s="413">
        <v>19833.0</v>
      </c>
      <c r="G983" s="403"/>
      <c r="H983" s="349" t="s">
        <v>6714</v>
      </c>
      <c r="I983" s="736" t="str">
        <f t="shared" si="8"/>
        <v>NOT PAID</v>
      </c>
      <c r="J983" s="402"/>
      <c r="K983" s="402"/>
      <c r="L983" s="402"/>
      <c r="M983" s="402"/>
      <c r="N983" s="402"/>
      <c r="O983" s="402"/>
      <c r="P983" s="402"/>
      <c r="Q983" s="402"/>
      <c r="R983" s="402"/>
      <c r="S983" s="402"/>
      <c r="T983" s="402"/>
      <c r="U983" s="402"/>
      <c r="V983" s="402"/>
      <c r="W983" s="402"/>
      <c r="X983" s="402"/>
      <c r="Y983" s="402"/>
      <c r="Z983" s="402"/>
    </row>
    <row r="984" ht="14.25" customHeight="1">
      <c r="A984" s="497">
        <v>45523.0</v>
      </c>
      <c r="B984" s="349" t="s">
        <v>6715</v>
      </c>
      <c r="C984" s="349" t="s">
        <v>6716</v>
      </c>
      <c r="D984" s="1032" t="s">
        <v>54</v>
      </c>
      <c r="E984" s="413" t="s">
        <v>6505</v>
      </c>
      <c r="F984" s="413">
        <v>9742.0</v>
      </c>
      <c r="G984" s="413">
        <v>9742.0</v>
      </c>
      <c r="H984" s="349" t="s">
        <v>267</v>
      </c>
      <c r="I984" s="736" t="str">
        <f t="shared" si="8"/>
        <v>FULLY PAID</v>
      </c>
      <c r="J984" s="402"/>
      <c r="K984" s="402"/>
      <c r="L984" s="402"/>
      <c r="M984" s="402"/>
      <c r="N984" s="402"/>
      <c r="O984" s="402"/>
      <c r="P984" s="402"/>
      <c r="Q984" s="402"/>
      <c r="R984" s="402"/>
      <c r="S984" s="402"/>
      <c r="T984" s="402"/>
      <c r="U984" s="402"/>
      <c r="V984" s="402"/>
      <c r="W984" s="402"/>
      <c r="X984" s="402"/>
      <c r="Y984" s="402"/>
      <c r="Z984" s="402"/>
    </row>
    <row r="985" ht="14.25" customHeight="1">
      <c r="A985" s="497">
        <v>45523.0</v>
      </c>
      <c r="B985" s="349" t="s">
        <v>6717</v>
      </c>
      <c r="C985" s="349" t="s">
        <v>6716</v>
      </c>
      <c r="D985" s="1032" t="s">
        <v>346</v>
      </c>
      <c r="E985" s="413" t="s">
        <v>6505</v>
      </c>
      <c r="F985" s="413">
        <v>5465.0</v>
      </c>
      <c r="G985" s="413">
        <v>5465.0</v>
      </c>
      <c r="H985" s="349" t="s">
        <v>710</v>
      </c>
      <c r="I985" s="736" t="str">
        <f t="shared" si="8"/>
        <v>FULLY PAID</v>
      </c>
      <c r="J985" s="402"/>
      <c r="K985" s="402"/>
      <c r="L985" s="402"/>
      <c r="M985" s="402"/>
      <c r="N985" s="402"/>
      <c r="O985" s="402"/>
      <c r="P985" s="402"/>
      <c r="Q985" s="402"/>
      <c r="R985" s="402"/>
      <c r="S985" s="402"/>
      <c r="T985" s="402"/>
      <c r="U985" s="402"/>
      <c r="V985" s="402"/>
      <c r="W985" s="402"/>
      <c r="X985" s="402"/>
      <c r="Y985" s="402"/>
      <c r="Z985" s="402"/>
    </row>
    <row r="986" ht="14.25" customHeight="1">
      <c r="A986" s="497">
        <v>45523.0</v>
      </c>
      <c r="B986" s="349" t="s">
        <v>6718</v>
      </c>
      <c r="C986" s="349" t="s">
        <v>6713</v>
      </c>
      <c r="D986" s="1032" t="s">
        <v>346</v>
      </c>
      <c r="E986" s="413" t="s">
        <v>6511</v>
      </c>
      <c r="F986" s="413">
        <v>6000.0</v>
      </c>
      <c r="G986" s="403"/>
      <c r="H986" s="349" t="s">
        <v>6719</v>
      </c>
      <c r="I986" s="736" t="str">
        <f t="shared" si="8"/>
        <v>NOT PAID</v>
      </c>
      <c r="J986" s="402"/>
      <c r="K986" s="402"/>
      <c r="L986" s="402"/>
      <c r="M986" s="402"/>
      <c r="N986" s="402"/>
      <c r="O986" s="402"/>
      <c r="P986" s="402"/>
      <c r="Q986" s="402"/>
      <c r="R986" s="402"/>
      <c r="S986" s="402"/>
      <c r="T986" s="402"/>
      <c r="U986" s="402"/>
      <c r="V986" s="402"/>
      <c r="W986" s="402"/>
      <c r="X986" s="402"/>
      <c r="Y986" s="402"/>
      <c r="Z986" s="402"/>
    </row>
    <row r="987" ht="14.25" customHeight="1">
      <c r="A987" s="497">
        <v>45523.0</v>
      </c>
      <c r="B987" s="349" t="s">
        <v>6720</v>
      </c>
      <c r="C987" s="349" t="s">
        <v>6721</v>
      </c>
      <c r="D987" s="1032" t="s">
        <v>346</v>
      </c>
      <c r="E987" s="413" t="s">
        <v>6523</v>
      </c>
      <c r="F987" s="413">
        <v>7598.0</v>
      </c>
      <c r="G987" s="403"/>
      <c r="H987" s="349" t="s">
        <v>6722</v>
      </c>
      <c r="I987" s="736" t="str">
        <f t="shared" si="8"/>
        <v>NOT PAID</v>
      </c>
      <c r="J987" s="402"/>
      <c r="K987" s="402"/>
      <c r="L987" s="402"/>
      <c r="M987" s="402"/>
      <c r="N987" s="402"/>
      <c r="O987" s="402"/>
      <c r="P987" s="402"/>
      <c r="Q987" s="402"/>
      <c r="R987" s="402"/>
      <c r="S987" s="402"/>
      <c r="T987" s="402"/>
      <c r="U987" s="402"/>
      <c r="V987" s="402"/>
      <c r="W987" s="402"/>
      <c r="X987" s="402"/>
      <c r="Y987" s="402"/>
      <c r="Z987" s="402"/>
    </row>
    <row r="988" ht="14.25" customHeight="1">
      <c r="A988" s="497">
        <v>45523.0</v>
      </c>
      <c r="B988" s="349" t="s">
        <v>6723</v>
      </c>
      <c r="C988" s="349" t="s">
        <v>6721</v>
      </c>
      <c r="D988" s="1032" t="s">
        <v>54</v>
      </c>
      <c r="E988" s="413" t="s">
        <v>6563</v>
      </c>
      <c r="F988" s="413">
        <v>22073.0</v>
      </c>
      <c r="G988" s="403"/>
      <c r="H988" s="349" t="s">
        <v>6722</v>
      </c>
      <c r="I988" s="736" t="str">
        <f t="shared" si="8"/>
        <v>NOT PAID</v>
      </c>
      <c r="J988" s="402"/>
      <c r="K988" s="402"/>
      <c r="L988" s="402"/>
      <c r="M988" s="402"/>
      <c r="N988" s="402"/>
      <c r="O988" s="402"/>
      <c r="P988" s="402"/>
      <c r="Q988" s="402"/>
      <c r="R988" s="402"/>
      <c r="S988" s="402"/>
      <c r="T988" s="402"/>
      <c r="U988" s="402"/>
      <c r="V988" s="402"/>
      <c r="W988" s="402"/>
      <c r="X988" s="402"/>
      <c r="Y988" s="402"/>
      <c r="Z988" s="402"/>
    </row>
    <row r="989" ht="14.25" customHeight="1">
      <c r="A989" s="497">
        <v>45523.0</v>
      </c>
      <c r="B989" s="349" t="s">
        <v>6724</v>
      </c>
      <c r="C989" s="349" t="s">
        <v>6725</v>
      </c>
      <c r="D989" s="1032" t="s">
        <v>54</v>
      </c>
      <c r="E989" s="413" t="s">
        <v>6511</v>
      </c>
      <c r="F989" s="413">
        <v>26315.0</v>
      </c>
      <c r="G989" s="403"/>
      <c r="H989" s="562" t="s">
        <v>6726</v>
      </c>
      <c r="I989" s="736" t="str">
        <f t="shared" si="8"/>
        <v>NOT PAID</v>
      </c>
      <c r="J989" s="402"/>
      <c r="K989" s="402"/>
      <c r="L989" s="402"/>
      <c r="M989" s="402"/>
      <c r="N989" s="402"/>
      <c r="O989" s="402"/>
      <c r="P989" s="402"/>
      <c r="Q989" s="402"/>
      <c r="R989" s="402"/>
      <c r="S989" s="402"/>
      <c r="T989" s="402"/>
      <c r="U989" s="402"/>
      <c r="V989" s="402"/>
      <c r="W989" s="402"/>
      <c r="X989" s="402"/>
      <c r="Y989" s="402"/>
      <c r="Z989" s="402"/>
    </row>
    <row r="990" ht="14.25" customHeight="1">
      <c r="A990" s="497">
        <v>45523.0</v>
      </c>
      <c r="B990" s="349" t="s">
        <v>6727</v>
      </c>
      <c r="C990" s="349" t="s">
        <v>5619</v>
      </c>
      <c r="D990" s="1032" t="s">
        <v>75</v>
      </c>
      <c r="E990" s="413" t="s">
        <v>6563</v>
      </c>
      <c r="F990" s="413">
        <v>172500.0</v>
      </c>
      <c r="G990" s="413">
        <v>172500.0</v>
      </c>
      <c r="H990" s="349" t="s">
        <v>1059</v>
      </c>
      <c r="I990" s="736" t="str">
        <f t="shared" si="8"/>
        <v>FULLY PAID</v>
      </c>
      <c r="J990" s="402"/>
      <c r="K990" s="402"/>
      <c r="L990" s="402"/>
      <c r="M990" s="402"/>
      <c r="N990" s="402"/>
      <c r="O990" s="402"/>
      <c r="P990" s="402"/>
      <c r="Q990" s="402"/>
      <c r="R990" s="402"/>
      <c r="S990" s="402"/>
      <c r="T990" s="402"/>
      <c r="U990" s="402"/>
      <c r="V990" s="402"/>
      <c r="W990" s="402"/>
      <c r="X990" s="402"/>
      <c r="Y990" s="402"/>
      <c r="Z990" s="402"/>
    </row>
    <row r="991" ht="14.25" customHeight="1">
      <c r="A991" s="497">
        <v>45523.0</v>
      </c>
      <c r="B991" s="349" t="s">
        <v>6728</v>
      </c>
      <c r="C991" s="349" t="s">
        <v>6729</v>
      </c>
      <c r="D991" s="1032" t="s">
        <v>54</v>
      </c>
      <c r="E991" s="413" t="s">
        <v>6511</v>
      </c>
      <c r="F991" s="413">
        <v>60032.0</v>
      </c>
      <c r="G991" s="403"/>
      <c r="H991" s="349" t="s">
        <v>6730</v>
      </c>
      <c r="I991" s="736" t="str">
        <f t="shared" si="8"/>
        <v>NOT PAID</v>
      </c>
      <c r="J991" s="402"/>
      <c r="K991" s="402"/>
      <c r="L991" s="402"/>
      <c r="M991" s="402"/>
      <c r="N991" s="402"/>
      <c r="O991" s="402"/>
      <c r="P991" s="402"/>
      <c r="Q991" s="402"/>
      <c r="R991" s="402"/>
      <c r="S991" s="402"/>
      <c r="T991" s="402"/>
      <c r="U991" s="402"/>
      <c r="V991" s="402"/>
      <c r="W991" s="402"/>
      <c r="X991" s="402"/>
      <c r="Y991" s="402"/>
      <c r="Z991" s="402"/>
    </row>
    <row r="992" ht="14.25" customHeight="1">
      <c r="A992" s="497">
        <v>45523.0</v>
      </c>
      <c r="B992" s="349" t="s">
        <v>6731</v>
      </c>
      <c r="C992" s="349" t="s">
        <v>5920</v>
      </c>
      <c r="D992" s="1032" t="s">
        <v>75</v>
      </c>
      <c r="E992" s="413" t="s">
        <v>6505</v>
      </c>
      <c r="F992" s="413">
        <v>55000.0</v>
      </c>
      <c r="G992" s="413">
        <v>55000.0</v>
      </c>
      <c r="H992" s="349" t="s">
        <v>1059</v>
      </c>
      <c r="I992" s="736" t="str">
        <f t="shared" si="8"/>
        <v>FULLY PAID</v>
      </c>
      <c r="J992" s="402"/>
      <c r="K992" s="402"/>
      <c r="L992" s="402"/>
      <c r="M992" s="402"/>
      <c r="N992" s="402"/>
      <c r="O992" s="402"/>
      <c r="P992" s="402"/>
      <c r="Q992" s="402"/>
      <c r="R992" s="402"/>
      <c r="S992" s="402"/>
      <c r="T992" s="402"/>
      <c r="U992" s="402"/>
      <c r="V992" s="402"/>
      <c r="W992" s="402"/>
      <c r="X992" s="402"/>
      <c r="Y992" s="402"/>
      <c r="Z992" s="402"/>
    </row>
    <row r="993" ht="14.25" customHeight="1">
      <c r="A993" s="497">
        <v>45523.0</v>
      </c>
      <c r="B993" s="349" t="s">
        <v>6732</v>
      </c>
      <c r="C993" s="349" t="s">
        <v>6733</v>
      </c>
      <c r="D993" s="1032" t="s">
        <v>54</v>
      </c>
      <c r="E993" s="413" t="s">
        <v>6517</v>
      </c>
      <c r="F993" s="413">
        <v>36379.73</v>
      </c>
      <c r="G993" s="403"/>
      <c r="H993" s="522" t="s">
        <v>6734</v>
      </c>
      <c r="I993" s="736" t="str">
        <f t="shared" si="8"/>
        <v>NOT PAID</v>
      </c>
      <c r="J993" s="402"/>
      <c r="K993" s="402"/>
      <c r="L993" s="402"/>
      <c r="M993" s="402"/>
      <c r="N993" s="402"/>
      <c r="O993" s="402"/>
      <c r="P993" s="402"/>
      <c r="Q993" s="402"/>
      <c r="R993" s="402"/>
      <c r="S993" s="402"/>
      <c r="T993" s="402"/>
      <c r="U993" s="402"/>
      <c r="V993" s="402"/>
      <c r="W993" s="402"/>
      <c r="X993" s="402"/>
      <c r="Y993" s="402"/>
      <c r="Z993" s="402"/>
    </row>
    <row r="994" ht="14.25" customHeight="1">
      <c r="A994" s="497">
        <v>45523.0</v>
      </c>
      <c r="B994" s="349" t="s">
        <v>6735</v>
      </c>
      <c r="C994" s="349" t="s">
        <v>6736</v>
      </c>
      <c r="D994" s="1032" t="s">
        <v>54</v>
      </c>
      <c r="E994" s="413" t="s">
        <v>6517</v>
      </c>
      <c r="F994" s="413">
        <v>37361.41</v>
      </c>
      <c r="G994" s="403"/>
      <c r="H994" s="402"/>
      <c r="I994" s="736" t="str">
        <f t="shared" si="8"/>
        <v>NOT PAID</v>
      </c>
      <c r="J994" s="402"/>
      <c r="K994" s="402"/>
      <c r="L994" s="402"/>
      <c r="M994" s="402"/>
      <c r="N994" s="402"/>
      <c r="O994" s="402"/>
      <c r="P994" s="402"/>
      <c r="Q994" s="402"/>
      <c r="R994" s="402"/>
      <c r="S994" s="402"/>
      <c r="T994" s="402"/>
      <c r="U994" s="402"/>
      <c r="V994" s="402"/>
      <c r="W994" s="402"/>
      <c r="X994" s="402"/>
      <c r="Y994" s="402"/>
      <c r="Z994" s="402"/>
    </row>
    <row r="995" ht="14.25" customHeight="1">
      <c r="A995" s="497">
        <v>45523.0</v>
      </c>
      <c r="B995" s="349" t="s">
        <v>6737</v>
      </c>
      <c r="C995" s="349" t="s">
        <v>6738</v>
      </c>
      <c r="D995" s="1032" t="s">
        <v>54</v>
      </c>
      <c r="E995" s="413" t="s">
        <v>6511</v>
      </c>
      <c r="F995" s="413">
        <v>27885.95</v>
      </c>
      <c r="G995" s="413">
        <v>20000.0</v>
      </c>
      <c r="H995" s="522" t="s">
        <v>6739</v>
      </c>
      <c r="I995" s="736" t="str">
        <f t="shared" si="8"/>
        <v>PARTIALLY PAID</v>
      </c>
      <c r="J995" s="402"/>
      <c r="K995" s="402"/>
      <c r="L995" s="402"/>
      <c r="M995" s="402"/>
      <c r="N995" s="402"/>
      <c r="O995" s="402"/>
      <c r="P995" s="402"/>
      <c r="Q995" s="402"/>
      <c r="R995" s="402"/>
      <c r="S995" s="402"/>
      <c r="T995" s="402"/>
      <c r="U995" s="402"/>
      <c r="V995" s="402"/>
      <c r="W995" s="402"/>
      <c r="X995" s="402"/>
      <c r="Y995" s="402"/>
      <c r="Z995" s="402"/>
    </row>
    <row r="996" ht="14.25" customHeight="1">
      <c r="A996" s="497">
        <v>45523.0</v>
      </c>
      <c r="B996" s="349" t="s">
        <v>6740</v>
      </c>
      <c r="C996" s="349" t="s">
        <v>6741</v>
      </c>
      <c r="D996" s="1032" t="s">
        <v>54</v>
      </c>
      <c r="E996" s="413" t="s">
        <v>6517</v>
      </c>
      <c r="F996" s="413">
        <v>33409.56</v>
      </c>
      <c r="G996" s="403"/>
      <c r="H996" s="349" t="s">
        <v>267</v>
      </c>
      <c r="I996" s="736" t="str">
        <f t="shared" si="8"/>
        <v>NOT PAID</v>
      </c>
      <c r="J996" s="402"/>
      <c r="K996" s="402"/>
      <c r="L996" s="402"/>
      <c r="M996" s="402"/>
      <c r="N996" s="402"/>
      <c r="O996" s="402"/>
      <c r="P996" s="402"/>
      <c r="Q996" s="402"/>
      <c r="R996" s="402"/>
      <c r="S996" s="402"/>
      <c r="T996" s="402"/>
      <c r="U996" s="402"/>
      <c r="V996" s="402"/>
      <c r="W996" s="402"/>
      <c r="X996" s="402"/>
      <c r="Y996" s="402"/>
      <c r="Z996" s="402"/>
    </row>
    <row r="997" ht="14.25" customHeight="1">
      <c r="A997" s="497">
        <v>45523.0</v>
      </c>
      <c r="B997" s="349" t="s">
        <v>6742</v>
      </c>
      <c r="C997" s="349" t="s">
        <v>6743</v>
      </c>
      <c r="D997" s="1032" t="s">
        <v>54</v>
      </c>
      <c r="E997" s="413" t="s">
        <v>6505</v>
      </c>
      <c r="F997" s="413">
        <v>17199.15</v>
      </c>
      <c r="G997" s="413">
        <v>17200.0</v>
      </c>
      <c r="H997" s="349" t="s">
        <v>267</v>
      </c>
      <c r="I997" s="736" t="str">
        <f t="shared" si="8"/>
        <v>FULLY PAID</v>
      </c>
      <c r="J997" s="402"/>
      <c r="K997" s="402"/>
      <c r="L997" s="402"/>
      <c r="M997" s="402"/>
      <c r="N997" s="402"/>
      <c r="O997" s="402"/>
      <c r="P997" s="402"/>
      <c r="Q997" s="402"/>
      <c r="R997" s="402"/>
      <c r="S997" s="402"/>
      <c r="T997" s="402"/>
      <c r="U997" s="402"/>
      <c r="V997" s="402"/>
      <c r="W997" s="402"/>
      <c r="X997" s="402"/>
      <c r="Y997" s="402"/>
      <c r="Z997" s="402"/>
    </row>
    <row r="998" ht="14.25" customHeight="1">
      <c r="A998" s="497">
        <v>45523.0</v>
      </c>
      <c r="B998" s="349" t="s">
        <v>6744</v>
      </c>
      <c r="C998" s="349" t="s">
        <v>6745</v>
      </c>
      <c r="D998" s="1032" t="s">
        <v>67</v>
      </c>
      <c r="E998" s="413" t="s">
        <v>6529</v>
      </c>
      <c r="F998" s="413">
        <v>301383.0</v>
      </c>
      <c r="G998" s="403"/>
      <c r="H998" s="349" t="s">
        <v>267</v>
      </c>
      <c r="I998" s="736" t="str">
        <f t="shared" si="8"/>
        <v>NOT PAID</v>
      </c>
      <c r="J998" s="402"/>
      <c r="K998" s="402"/>
      <c r="L998" s="402"/>
      <c r="M998" s="402"/>
      <c r="N998" s="402"/>
      <c r="O998" s="402"/>
      <c r="P998" s="402"/>
      <c r="Q998" s="402"/>
      <c r="R998" s="402"/>
      <c r="S998" s="402"/>
      <c r="T998" s="402"/>
      <c r="U998" s="402"/>
      <c r="V998" s="402"/>
      <c r="W998" s="402"/>
      <c r="X998" s="402"/>
      <c r="Y998" s="402"/>
      <c r="Z998" s="402"/>
    </row>
    <row r="999" ht="14.25" customHeight="1">
      <c r="A999" s="497">
        <v>45523.0</v>
      </c>
      <c r="B999" s="349" t="s">
        <v>6746</v>
      </c>
      <c r="C999" s="349" t="s">
        <v>6747</v>
      </c>
      <c r="D999" s="1032" t="s">
        <v>54</v>
      </c>
      <c r="E999" s="413" t="s">
        <v>6531</v>
      </c>
      <c r="F999" s="413">
        <v>143035.35</v>
      </c>
      <c r="G999" s="403"/>
      <c r="H999" s="349" t="s">
        <v>6748</v>
      </c>
      <c r="I999" s="736" t="str">
        <f t="shared" si="8"/>
        <v>NOT PAID</v>
      </c>
      <c r="J999" s="402"/>
      <c r="K999" s="402"/>
      <c r="L999" s="402"/>
      <c r="M999" s="402"/>
      <c r="N999" s="402"/>
      <c r="O999" s="402"/>
      <c r="P999" s="402"/>
      <c r="Q999" s="402"/>
      <c r="R999" s="402"/>
      <c r="S999" s="402"/>
      <c r="T999" s="402"/>
      <c r="U999" s="402"/>
      <c r="V999" s="402"/>
      <c r="W999" s="402"/>
      <c r="X999" s="402"/>
      <c r="Y999" s="402"/>
      <c r="Z999" s="402"/>
    </row>
    <row r="1000" ht="14.25" customHeight="1">
      <c r="A1000" s="497">
        <v>45523.0</v>
      </c>
      <c r="B1000" s="349" t="s">
        <v>6749</v>
      </c>
      <c r="C1000" s="349" t="s">
        <v>6750</v>
      </c>
      <c r="D1000" s="1032" t="s">
        <v>54</v>
      </c>
      <c r="E1000" s="413" t="s">
        <v>6505</v>
      </c>
      <c r="F1000" s="413">
        <v>192885.0</v>
      </c>
      <c r="G1000" s="403"/>
      <c r="H1000" s="349" t="s">
        <v>267</v>
      </c>
      <c r="I1000" s="736" t="str">
        <f t="shared" si="8"/>
        <v>NOT PAID</v>
      </c>
      <c r="J1000" s="402"/>
      <c r="K1000" s="402"/>
      <c r="L1000" s="402"/>
      <c r="M1000" s="402"/>
      <c r="N1000" s="402"/>
      <c r="O1000" s="402"/>
      <c r="P1000" s="402"/>
      <c r="Q1000" s="402"/>
      <c r="R1000" s="402"/>
      <c r="S1000" s="402"/>
      <c r="T1000" s="402"/>
      <c r="U1000" s="402"/>
      <c r="V1000" s="402"/>
      <c r="W1000" s="402"/>
      <c r="X1000" s="402"/>
      <c r="Y1000" s="402"/>
      <c r="Z1000" s="402"/>
    </row>
    <row r="1001" ht="14.25" customHeight="1">
      <c r="A1001" s="497">
        <v>45523.0</v>
      </c>
      <c r="B1001" s="349" t="s">
        <v>6431</v>
      </c>
      <c r="C1001" s="349" t="s">
        <v>6751</v>
      </c>
      <c r="D1001" s="1032" t="s">
        <v>54</v>
      </c>
      <c r="E1001" s="413" t="s">
        <v>6511</v>
      </c>
      <c r="F1001" s="413">
        <v>285994.39</v>
      </c>
      <c r="G1001" s="403"/>
      <c r="H1001" s="402"/>
      <c r="I1001" s="736" t="str">
        <f t="shared" si="8"/>
        <v>NOT PAID</v>
      </c>
      <c r="J1001" s="402"/>
      <c r="K1001" s="402"/>
      <c r="L1001" s="402"/>
      <c r="M1001" s="402"/>
      <c r="N1001" s="402"/>
      <c r="O1001" s="402"/>
      <c r="P1001" s="402"/>
      <c r="Q1001" s="402"/>
      <c r="R1001" s="402"/>
      <c r="S1001" s="402"/>
      <c r="T1001" s="402"/>
      <c r="U1001" s="402"/>
      <c r="V1001" s="402"/>
      <c r="W1001" s="402"/>
      <c r="X1001" s="402"/>
      <c r="Y1001" s="402"/>
      <c r="Z1001" s="402"/>
    </row>
    <row r="1002" ht="14.25" customHeight="1">
      <c r="A1002" s="497">
        <v>45523.0</v>
      </c>
      <c r="B1002" s="402"/>
      <c r="C1002" s="1108" t="s">
        <v>6752</v>
      </c>
      <c r="D1002" s="475" t="s">
        <v>54</v>
      </c>
      <c r="E1002" s="413" t="s">
        <v>6505</v>
      </c>
      <c r="F1002" s="413">
        <v>4000.0</v>
      </c>
      <c r="G1002" s="403"/>
      <c r="H1002" s="402"/>
      <c r="I1002" s="736" t="str">
        <f t="shared" si="8"/>
        <v>NOT PAID</v>
      </c>
      <c r="J1002" s="402"/>
      <c r="K1002" s="402"/>
      <c r="L1002" s="402"/>
      <c r="M1002" s="402"/>
      <c r="N1002" s="402"/>
      <c r="O1002" s="402"/>
      <c r="P1002" s="402"/>
      <c r="Q1002" s="402"/>
      <c r="R1002" s="402"/>
      <c r="S1002" s="402"/>
      <c r="T1002" s="402"/>
      <c r="U1002" s="402"/>
      <c r="V1002" s="402"/>
      <c r="W1002" s="402"/>
      <c r="X1002" s="402"/>
      <c r="Y1002" s="402"/>
      <c r="Z1002" s="402"/>
    </row>
    <row r="1003" ht="14.25" customHeight="1">
      <c r="A1003" s="497"/>
      <c r="B1003" s="402"/>
      <c r="C1003" s="402"/>
      <c r="D1003" s="1034"/>
      <c r="E1003" s="403"/>
      <c r="F1003" s="403"/>
      <c r="G1003" s="403"/>
      <c r="H1003" s="402"/>
      <c r="I1003" s="736" t="str">
        <f t="shared" si="8"/>
        <v>FULLY PAID</v>
      </c>
      <c r="J1003" s="402"/>
      <c r="K1003" s="402"/>
      <c r="L1003" s="402"/>
      <c r="M1003" s="402"/>
      <c r="N1003" s="402"/>
      <c r="O1003" s="402"/>
      <c r="P1003" s="402"/>
      <c r="Q1003" s="402"/>
      <c r="R1003" s="402"/>
      <c r="S1003" s="402"/>
      <c r="T1003" s="402"/>
      <c r="U1003" s="402"/>
      <c r="V1003" s="402"/>
      <c r="W1003" s="402"/>
      <c r="X1003" s="402"/>
      <c r="Y1003" s="402"/>
      <c r="Z1003" s="402"/>
    </row>
    <row r="1004" ht="14.25" customHeight="1">
      <c r="A1004" s="497"/>
      <c r="B1004" s="402"/>
      <c r="C1004" s="402"/>
      <c r="D1004" s="1034"/>
      <c r="E1004" s="403"/>
      <c r="F1004" s="403"/>
      <c r="G1004" s="403"/>
      <c r="H1004" s="402"/>
      <c r="I1004" s="736" t="str">
        <f t="shared" si="8"/>
        <v>FULLY PAID</v>
      </c>
      <c r="J1004" s="402"/>
      <c r="K1004" s="402"/>
      <c r="L1004" s="402"/>
      <c r="M1004" s="402"/>
      <c r="N1004" s="402"/>
      <c r="O1004" s="402"/>
      <c r="P1004" s="402"/>
      <c r="Q1004" s="402"/>
      <c r="R1004" s="402"/>
      <c r="S1004" s="402"/>
      <c r="T1004" s="402"/>
      <c r="U1004" s="402"/>
      <c r="V1004" s="402"/>
      <c r="W1004" s="402"/>
      <c r="X1004" s="402"/>
      <c r="Y1004" s="402"/>
      <c r="Z1004" s="402"/>
    </row>
    <row r="1005" ht="14.25" customHeight="1">
      <c r="A1005" s="497"/>
      <c r="B1005" s="349" t="s">
        <v>797</v>
      </c>
      <c r="C1005" s="402"/>
      <c r="D1005" s="1034"/>
      <c r="E1005" s="403"/>
      <c r="F1005" s="403"/>
      <c r="G1005" s="403"/>
      <c r="H1005" s="402"/>
      <c r="I1005" s="736" t="str">
        <f t="shared" si="8"/>
        <v>FULLY PAID</v>
      </c>
      <c r="J1005" s="402"/>
      <c r="K1005" s="402"/>
      <c r="L1005" s="402"/>
      <c r="M1005" s="402"/>
      <c r="N1005" s="402"/>
      <c r="O1005" s="402"/>
      <c r="P1005" s="402"/>
      <c r="Q1005" s="402"/>
      <c r="R1005" s="402"/>
      <c r="S1005" s="402"/>
      <c r="T1005" s="402"/>
      <c r="U1005" s="402"/>
      <c r="V1005" s="402"/>
      <c r="W1005" s="402"/>
      <c r="X1005" s="402"/>
      <c r="Y1005" s="402"/>
      <c r="Z1005" s="402"/>
    </row>
    <row r="1006" ht="14.25" customHeight="1">
      <c r="A1006" s="497">
        <v>45523.0</v>
      </c>
      <c r="B1006" s="1109" t="s">
        <v>5984</v>
      </c>
      <c r="C1006" s="1110" t="s">
        <v>5985</v>
      </c>
      <c r="D1006" s="1111" t="s">
        <v>54</v>
      </c>
      <c r="E1006" s="1110" t="s">
        <v>2165</v>
      </c>
      <c r="F1006" s="1112">
        <v>140000.0</v>
      </c>
      <c r="G1006" s="1111"/>
      <c r="H1006" s="555"/>
      <c r="I1006" s="736" t="str">
        <f t="shared" si="8"/>
        <v>NOT PAID</v>
      </c>
      <c r="J1006" s="402"/>
      <c r="K1006" s="402"/>
      <c r="L1006" s="402"/>
      <c r="M1006" s="402"/>
      <c r="N1006" s="402"/>
      <c r="O1006" s="402"/>
      <c r="P1006" s="402"/>
      <c r="Q1006" s="402"/>
      <c r="R1006" s="402"/>
      <c r="S1006" s="402"/>
      <c r="T1006" s="402"/>
      <c r="U1006" s="402"/>
      <c r="V1006" s="402"/>
      <c r="W1006" s="402"/>
      <c r="X1006" s="402"/>
      <c r="Y1006" s="402"/>
      <c r="Z1006" s="402"/>
    </row>
    <row r="1007" ht="14.25" customHeight="1">
      <c r="A1007" s="497">
        <v>45523.0</v>
      </c>
      <c r="B1007" s="1113" t="s">
        <v>5685</v>
      </c>
      <c r="C1007" s="309" t="s">
        <v>6382</v>
      </c>
      <c r="D1007" s="1114" t="s">
        <v>54</v>
      </c>
      <c r="E1007" s="309" t="s">
        <v>2165</v>
      </c>
      <c r="F1007" s="306">
        <v>200000.0</v>
      </c>
      <c r="G1007" s="1115"/>
      <c r="H1007" s="398"/>
      <c r="I1007" s="736" t="str">
        <f t="shared" si="8"/>
        <v>NOT PAID</v>
      </c>
      <c r="J1007" s="402"/>
      <c r="K1007" s="402"/>
      <c r="L1007" s="402"/>
      <c r="M1007" s="402"/>
      <c r="N1007" s="402"/>
      <c r="O1007" s="402"/>
      <c r="P1007" s="402"/>
      <c r="Q1007" s="402"/>
      <c r="R1007" s="402"/>
      <c r="S1007" s="402"/>
      <c r="T1007" s="402"/>
      <c r="U1007" s="402"/>
      <c r="V1007" s="402"/>
      <c r="W1007" s="402"/>
      <c r="X1007" s="402"/>
      <c r="Y1007" s="402"/>
      <c r="Z1007" s="402"/>
    </row>
    <row r="1008" ht="14.25" customHeight="1">
      <c r="A1008" s="497">
        <v>45523.0</v>
      </c>
      <c r="B1008" s="267" t="s">
        <v>6090</v>
      </c>
      <c r="C1008" s="268" t="s">
        <v>6753</v>
      </c>
      <c r="D1008" s="1114" t="s">
        <v>54</v>
      </c>
      <c r="E1008" s="268" t="s">
        <v>4114</v>
      </c>
      <c r="F1008" s="269">
        <v>580000.0</v>
      </c>
      <c r="G1008" s="1114">
        <v>578751.0</v>
      </c>
      <c r="H1008" s="395" t="s">
        <v>6632</v>
      </c>
      <c r="I1008" s="736" t="str">
        <f t="shared" si="8"/>
        <v>PARTIALLY PAID</v>
      </c>
      <c r="J1008" s="402"/>
      <c r="K1008" s="402"/>
      <c r="L1008" s="402"/>
      <c r="M1008" s="402"/>
      <c r="N1008" s="402"/>
      <c r="O1008" s="402"/>
      <c r="P1008" s="402"/>
      <c r="Q1008" s="402"/>
      <c r="R1008" s="402"/>
      <c r="S1008" s="402"/>
      <c r="T1008" s="402"/>
      <c r="U1008" s="402"/>
      <c r="V1008" s="402"/>
      <c r="W1008" s="402"/>
      <c r="X1008" s="402"/>
      <c r="Y1008" s="402"/>
      <c r="Z1008" s="402"/>
    </row>
    <row r="1009" ht="14.25" customHeight="1">
      <c r="A1009" s="497">
        <v>45523.0</v>
      </c>
      <c r="B1009" s="267" t="s">
        <v>5676</v>
      </c>
      <c r="C1009" s="268" t="s">
        <v>5677</v>
      </c>
      <c r="D1009" s="1114" t="s">
        <v>54</v>
      </c>
      <c r="E1009" s="268" t="s">
        <v>4114</v>
      </c>
      <c r="F1009" s="269">
        <v>146513.0</v>
      </c>
      <c r="G1009" s="1114"/>
      <c r="H1009" s="395"/>
      <c r="I1009" s="736" t="str">
        <f t="shared" si="8"/>
        <v>NOT PAID</v>
      </c>
      <c r="J1009" s="402"/>
      <c r="K1009" s="402"/>
      <c r="L1009" s="402"/>
      <c r="M1009" s="402"/>
      <c r="N1009" s="402"/>
      <c r="O1009" s="402"/>
      <c r="P1009" s="402"/>
      <c r="Q1009" s="402"/>
      <c r="R1009" s="402"/>
      <c r="S1009" s="402"/>
      <c r="T1009" s="402"/>
      <c r="U1009" s="402"/>
      <c r="V1009" s="402"/>
      <c r="W1009" s="402"/>
      <c r="X1009" s="402"/>
      <c r="Y1009" s="402"/>
      <c r="Z1009" s="402"/>
    </row>
    <row r="1010" ht="14.25" customHeight="1">
      <c r="A1010" s="497">
        <v>45523.0</v>
      </c>
      <c r="B1010" s="267" t="s">
        <v>5679</v>
      </c>
      <c r="C1010" s="268" t="s">
        <v>5680</v>
      </c>
      <c r="D1010" s="1114" t="s">
        <v>54</v>
      </c>
      <c r="E1010" s="268" t="s">
        <v>4114</v>
      </c>
      <c r="F1010" s="269">
        <v>25000.0</v>
      </c>
      <c r="G1010" s="1114"/>
      <c r="H1010" s="395" t="s">
        <v>6754</v>
      </c>
      <c r="I1010" s="736" t="str">
        <f t="shared" si="8"/>
        <v>NOT PAID</v>
      </c>
      <c r="J1010" s="402"/>
      <c r="K1010" s="402"/>
      <c r="L1010" s="402"/>
      <c r="M1010" s="402"/>
      <c r="N1010" s="402"/>
      <c r="O1010" s="402"/>
      <c r="P1010" s="402"/>
      <c r="Q1010" s="402"/>
      <c r="R1010" s="402"/>
      <c r="S1010" s="402"/>
      <c r="T1010" s="402"/>
      <c r="U1010" s="402"/>
      <c r="V1010" s="402"/>
      <c r="W1010" s="402"/>
      <c r="X1010" s="402"/>
      <c r="Y1010" s="402"/>
      <c r="Z1010" s="402"/>
    </row>
    <row r="1011" ht="14.25" customHeight="1">
      <c r="A1011" s="497">
        <v>45523.0</v>
      </c>
      <c r="B1011" s="1113" t="s">
        <v>6425</v>
      </c>
      <c r="C1011" s="309" t="s">
        <v>6426</v>
      </c>
      <c r="D1011" s="1115" t="s">
        <v>59</v>
      </c>
      <c r="E1011" s="309" t="s">
        <v>273</v>
      </c>
      <c r="F1011" s="306">
        <v>4140000.0</v>
      </c>
      <c r="G1011" s="1115"/>
      <c r="H1011" s="398"/>
      <c r="I1011" s="736" t="str">
        <f t="shared" si="8"/>
        <v>NOT PAID</v>
      </c>
      <c r="J1011" s="402"/>
      <c r="K1011" s="402"/>
      <c r="L1011" s="402"/>
      <c r="M1011" s="402"/>
      <c r="N1011" s="402"/>
      <c r="O1011" s="402"/>
      <c r="P1011" s="402"/>
      <c r="Q1011" s="402"/>
      <c r="R1011" s="402"/>
      <c r="S1011" s="402"/>
      <c r="T1011" s="402"/>
      <c r="U1011" s="402"/>
      <c r="V1011" s="402"/>
      <c r="W1011" s="402"/>
      <c r="X1011" s="402"/>
      <c r="Y1011" s="402"/>
      <c r="Z1011" s="402"/>
    </row>
    <row r="1012" ht="14.25" customHeight="1">
      <c r="A1012" s="402"/>
      <c r="B1012" s="402"/>
      <c r="C1012" s="402"/>
      <c r="D1012" s="1034"/>
      <c r="E1012" s="403"/>
      <c r="F1012" s="403"/>
      <c r="G1012" s="403"/>
      <c r="H1012" s="402"/>
      <c r="I1012" s="736" t="str">
        <f t="shared" si="8"/>
        <v>FULLY PAID</v>
      </c>
      <c r="J1012" s="402"/>
      <c r="K1012" s="402"/>
      <c r="L1012" s="402"/>
      <c r="M1012" s="402"/>
      <c r="N1012" s="402"/>
      <c r="O1012" s="402"/>
      <c r="P1012" s="402"/>
      <c r="Q1012" s="402"/>
      <c r="R1012" s="402"/>
      <c r="S1012" s="402"/>
      <c r="T1012" s="402"/>
      <c r="U1012" s="402"/>
      <c r="V1012" s="402"/>
      <c r="W1012" s="402"/>
      <c r="X1012" s="402"/>
      <c r="Y1012" s="402"/>
      <c r="Z1012" s="402"/>
    </row>
    <row r="1013" ht="14.25" customHeight="1">
      <c r="A1013" s="1094"/>
      <c r="B1013" s="1094"/>
      <c r="C1013" s="1094"/>
      <c r="D1013" s="1096"/>
      <c r="E1013" s="1097"/>
      <c r="F1013" s="1097"/>
      <c r="G1013" s="1097"/>
      <c r="H1013" s="1094"/>
      <c r="I1013" s="1116" t="str">
        <f t="shared" si="8"/>
        <v>FULLY PAID</v>
      </c>
      <c r="J1013" s="1094"/>
      <c r="K1013" s="1094"/>
      <c r="L1013" s="1094"/>
      <c r="M1013" s="1094"/>
      <c r="N1013" s="1094"/>
      <c r="O1013" s="1094"/>
      <c r="P1013" s="1094"/>
      <c r="Q1013" s="1094"/>
      <c r="R1013" s="1094"/>
      <c r="S1013" s="1094"/>
      <c r="T1013" s="1094"/>
      <c r="U1013" s="1094"/>
      <c r="V1013" s="1094"/>
      <c r="W1013" s="1094"/>
      <c r="X1013" s="1094"/>
      <c r="Y1013" s="1094"/>
      <c r="Z1013" s="1094"/>
    </row>
    <row r="1014" ht="14.25" customHeight="1">
      <c r="A1014" s="497">
        <v>45524.0</v>
      </c>
      <c r="B1014" s="349" t="s">
        <v>6755</v>
      </c>
      <c r="C1014" s="349" t="s">
        <v>6492</v>
      </c>
      <c r="D1014" s="1032" t="s">
        <v>54</v>
      </c>
      <c r="E1014" s="413" t="s">
        <v>6505</v>
      </c>
      <c r="F1014" s="413">
        <v>20662.56</v>
      </c>
      <c r="G1014" s="413"/>
      <c r="H1014" s="349" t="s">
        <v>6756</v>
      </c>
      <c r="I1014" s="402"/>
      <c r="J1014" s="402"/>
      <c r="K1014" s="402"/>
      <c r="L1014" s="402"/>
      <c r="M1014" s="402"/>
      <c r="N1014" s="402"/>
      <c r="O1014" s="402"/>
      <c r="P1014" s="402"/>
      <c r="Q1014" s="402"/>
      <c r="R1014" s="402"/>
      <c r="S1014" s="402"/>
      <c r="T1014" s="402"/>
      <c r="U1014" s="402"/>
      <c r="V1014" s="402"/>
      <c r="W1014" s="402"/>
      <c r="X1014" s="402"/>
      <c r="Y1014" s="402"/>
      <c r="Z1014" s="402"/>
    </row>
    <row r="1015" ht="14.25" customHeight="1">
      <c r="A1015" s="497">
        <v>45524.0</v>
      </c>
      <c r="B1015" s="349" t="s">
        <v>6757</v>
      </c>
      <c r="C1015" s="349" t="s">
        <v>6758</v>
      </c>
      <c r="D1015" s="1032" t="s">
        <v>54</v>
      </c>
      <c r="E1015" s="413" t="s">
        <v>6505</v>
      </c>
      <c r="F1015" s="413">
        <v>15169.27</v>
      </c>
      <c r="G1015" s="413"/>
      <c r="H1015" s="349" t="s">
        <v>267</v>
      </c>
      <c r="I1015" s="402"/>
      <c r="J1015" s="402"/>
      <c r="K1015" s="402"/>
      <c r="L1015" s="402"/>
      <c r="M1015" s="402"/>
      <c r="N1015" s="402"/>
      <c r="O1015" s="402"/>
      <c r="P1015" s="402"/>
      <c r="Q1015" s="402"/>
      <c r="R1015" s="402"/>
      <c r="S1015" s="402"/>
      <c r="T1015" s="402"/>
      <c r="U1015" s="402"/>
      <c r="V1015" s="402"/>
      <c r="W1015" s="402"/>
      <c r="X1015" s="402"/>
      <c r="Y1015" s="402"/>
      <c r="Z1015" s="402"/>
    </row>
    <row r="1016" ht="14.25" customHeight="1">
      <c r="A1016" s="497">
        <v>45524.0</v>
      </c>
      <c r="B1016" s="349" t="s">
        <v>6759</v>
      </c>
      <c r="C1016" s="349" t="s">
        <v>6760</v>
      </c>
      <c r="D1016" s="1032" t="s">
        <v>54</v>
      </c>
      <c r="E1016" s="413" t="s">
        <v>6511</v>
      </c>
      <c r="F1016" s="413">
        <v>36675.2</v>
      </c>
      <c r="G1016" s="413"/>
      <c r="H1016" s="402"/>
      <c r="I1016" s="402"/>
      <c r="J1016" s="402"/>
      <c r="K1016" s="402"/>
      <c r="L1016" s="402"/>
      <c r="M1016" s="402"/>
      <c r="N1016" s="402"/>
      <c r="O1016" s="402"/>
      <c r="P1016" s="402"/>
      <c r="Q1016" s="402"/>
      <c r="R1016" s="402"/>
      <c r="S1016" s="402"/>
      <c r="T1016" s="402"/>
      <c r="U1016" s="402"/>
      <c r="V1016" s="402"/>
      <c r="W1016" s="402"/>
      <c r="X1016" s="402"/>
      <c r="Y1016" s="402"/>
      <c r="Z1016" s="402"/>
    </row>
    <row r="1017" ht="14.25" customHeight="1">
      <c r="A1017" s="497">
        <v>45524.0</v>
      </c>
      <c r="B1017" s="349" t="s">
        <v>6761</v>
      </c>
      <c r="C1017" s="349" t="s">
        <v>6762</v>
      </c>
      <c r="D1017" s="1032" t="s">
        <v>54</v>
      </c>
      <c r="E1017" s="413" t="s">
        <v>6763</v>
      </c>
      <c r="F1017" s="413">
        <v>790.12</v>
      </c>
      <c r="G1017" s="413"/>
      <c r="H1017" s="349" t="s">
        <v>6764</v>
      </c>
      <c r="I1017" s="402"/>
      <c r="J1017" s="402"/>
      <c r="K1017" s="402"/>
      <c r="L1017" s="402"/>
      <c r="M1017" s="402"/>
      <c r="N1017" s="402"/>
      <c r="O1017" s="402"/>
      <c r="P1017" s="402"/>
      <c r="Q1017" s="402"/>
      <c r="R1017" s="402"/>
      <c r="S1017" s="402"/>
      <c r="T1017" s="402"/>
      <c r="U1017" s="402"/>
      <c r="V1017" s="402"/>
      <c r="W1017" s="402"/>
      <c r="X1017" s="402"/>
      <c r="Y1017" s="402"/>
      <c r="Z1017" s="402"/>
    </row>
    <row r="1018" ht="14.25" customHeight="1">
      <c r="A1018" s="497">
        <v>45524.0</v>
      </c>
      <c r="B1018" s="349" t="s">
        <v>6765</v>
      </c>
      <c r="C1018" s="349" t="s">
        <v>6766</v>
      </c>
      <c r="D1018" s="1032" t="s">
        <v>54</v>
      </c>
      <c r="E1018" s="413" t="s">
        <v>6511</v>
      </c>
      <c r="F1018" s="413">
        <v>21745.0</v>
      </c>
      <c r="G1018" s="413"/>
      <c r="H1018" s="402"/>
      <c r="I1018" s="402"/>
      <c r="J1018" s="402"/>
      <c r="K1018" s="402"/>
      <c r="L1018" s="402"/>
      <c r="M1018" s="402"/>
      <c r="N1018" s="402"/>
      <c r="O1018" s="402"/>
      <c r="P1018" s="402"/>
      <c r="Q1018" s="402"/>
      <c r="R1018" s="402"/>
      <c r="S1018" s="402"/>
      <c r="T1018" s="402"/>
      <c r="U1018" s="402"/>
      <c r="V1018" s="402"/>
      <c r="W1018" s="402"/>
      <c r="X1018" s="402"/>
      <c r="Y1018" s="402"/>
      <c r="Z1018" s="402"/>
    </row>
    <row r="1019" ht="14.25" customHeight="1">
      <c r="A1019" s="497">
        <v>45524.0</v>
      </c>
      <c r="B1019" s="349" t="s">
        <v>6767</v>
      </c>
      <c r="C1019" s="349" t="s">
        <v>6768</v>
      </c>
      <c r="D1019" s="1032" t="s">
        <v>54</v>
      </c>
      <c r="E1019" s="413" t="s">
        <v>6563</v>
      </c>
      <c r="F1019" s="413">
        <v>16803.99</v>
      </c>
      <c r="G1019" s="413"/>
      <c r="H1019" s="349" t="s">
        <v>6769</v>
      </c>
      <c r="I1019" s="402"/>
      <c r="J1019" s="402"/>
      <c r="K1019" s="402"/>
      <c r="L1019" s="402"/>
      <c r="M1019" s="402"/>
      <c r="N1019" s="402"/>
      <c r="O1019" s="402"/>
      <c r="P1019" s="402"/>
      <c r="Q1019" s="402"/>
      <c r="R1019" s="402"/>
      <c r="S1019" s="402"/>
      <c r="T1019" s="402"/>
      <c r="U1019" s="402"/>
      <c r="V1019" s="402"/>
      <c r="W1019" s="402"/>
      <c r="X1019" s="402"/>
      <c r="Y1019" s="402"/>
      <c r="Z1019" s="402"/>
    </row>
    <row r="1020" ht="14.25" customHeight="1">
      <c r="A1020" s="497">
        <v>45524.0</v>
      </c>
      <c r="B1020" s="349" t="s">
        <v>5813</v>
      </c>
      <c r="C1020" s="349" t="s">
        <v>6035</v>
      </c>
      <c r="D1020" s="1032" t="s">
        <v>75</v>
      </c>
      <c r="E1020" s="413" t="s">
        <v>6511</v>
      </c>
      <c r="F1020" s="413">
        <v>9061.87</v>
      </c>
      <c r="G1020" s="413"/>
      <c r="H1020" s="402"/>
      <c r="I1020" s="402"/>
      <c r="J1020" s="402"/>
      <c r="K1020" s="402"/>
      <c r="L1020" s="402"/>
      <c r="M1020" s="402"/>
      <c r="N1020" s="402"/>
      <c r="O1020" s="402"/>
      <c r="P1020" s="402"/>
      <c r="Q1020" s="402"/>
      <c r="R1020" s="402"/>
      <c r="S1020" s="402"/>
      <c r="T1020" s="402"/>
      <c r="U1020" s="402"/>
      <c r="V1020" s="402"/>
      <c r="W1020" s="402"/>
      <c r="X1020" s="402"/>
      <c r="Y1020" s="402"/>
      <c r="Z1020" s="402"/>
    </row>
    <row r="1021" ht="14.25" customHeight="1">
      <c r="A1021" s="497">
        <v>45524.0</v>
      </c>
      <c r="B1021" s="402"/>
      <c r="C1021" s="349" t="s">
        <v>6770</v>
      </c>
      <c r="D1021" s="1032" t="s">
        <v>54</v>
      </c>
      <c r="E1021" s="413" t="s">
        <v>6763</v>
      </c>
      <c r="F1021" s="413">
        <v>203074.0</v>
      </c>
      <c r="G1021" s="413">
        <v>203074.0</v>
      </c>
      <c r="H1021" s="349" t="s">
        <v>1059</v>
      </c>
      <c r="I1021" s="402"/>
      <c r="J1021" s="402"/>
      <c r="K1021" s="402"/>
      <c r="L1021" s="402"/>
      <c r="M1021" s="402"/>
      <c r="N1021" s="402"/>
      <c r="O1021" s="402"/>
      <c r="P1021" s="402"/>
      <c r="Q1021" s="402"/>
      <c r="R1021" s="402"/>
      <c r="S1021" s="402"/>
      <c r="T1021" s="402"/>
      <c r="U1021" s="402"/>
      <c r="V1021" s="402"/>
      <c r="W1021" s="402"/>
      <c r="X1021" s="402"/>
      <c r="Y1021" s="402"/>
      <c r="Z1021" s="402"/>
    </row>
    <row r="1022" ht="14.25" customHeight="1">
      <c r="A1022" s="497">
        <v>45524.0</v>
      </c>
      <c r="B1022" s="349" t="s">
        <v>6723</v>
      </c>
      <c r="C1022" s="349" t="s">
        <v>6721</v>
      </c>
      <c r="D1022" s="1032" t="s">
        <v>54</v>
      </c>
      <c r="E1022" s="413" t="s">
        <v>6563</v>
      </c>
      <c r="F1022" s="413">
        <v>22073.0</v>
      </c>
      <c r="G1022" s="403"/>
      <c r="H1022" s="349" t="s">
        <v>6771</v>
      </c>
      <c r="I1022" s="402"/>
      <c r="J1022" s="402"/>
      <c r="K1022" s="402"/>
      <c r="L1022" s="402"/>
      <c r="M1022" s="402"/>
      <c r="N1022" s="402"/>
      <c r="O1022" s="402"/>
      <c r="P1022" s="402"/>
      <c r="Q1022" s="402"/>
      <c r="R1022" s="402"/>
      <c r="S1022" s="402"/>
      <c r="T1022" s="402"/>
      <c r="U1022" s="402"/>
      <c r="V1022" s="402"/>
      <c r="W1022" s="402"/>
      <c r="X1022" s="402"/>
      <c r="Y1022" s="402"/>
      <c r="Z1022" s="402"/>
    </row>
    <row r="1023" ht="14.25" customHeight="1">
      <c r="A1023" s="497">
        <v>45524.0</v>
      </c>
      <c r="B1023" s="349" t="s">
        <v>6724</v>
      </c>
      <c r="C1023" s="349" t="s">
        <v>6725</v>
      </c>
      <c r="D1023" s="1032" t="s">
        <v>54</v>
      </c>
      <c r="E1023" s="413" t="s">
        <v>6511</v>
      </c>
      <c r="F1023" s="413">
        <v>26315.0</v>
      </c>
      <c r="G1023" s="403"/>
      <c r="H1023" s="402"/>
      <c r="I1023" s="402"/>
      <c r="J1023" s="402"/>
      <c r="K1023" s="402"/>
      <c r="L1023" s="402"/>
      <c r="M1023" s="402"/>
      <c r="N1023" s="402"/>
      <c r="O1023" s="402"/>
      <c r="P1023" s="402"/>
      <c r="Q1023" s="402"/>
      <c r="R1023" s="402"/>
      <c r="S1023" s="402"/>
      <c r="T1023" s="402"/>
      <c r="U1023" s="402"/>
      <c r="V1023" s="402"/>
      <c r="W1023" s="402"/>
      <c r="X1023" s="402"/>
      <c r="Y1023" s="402"/>
      <c r="Z1023" s="402"/>
    </row>
    <row r="1024" ht="14.25" customHeight="1">
      <c r="A1024" s="497">
        <v>45524.0</v>
      </c>
      <c r="B1024" s="349" t="s">
        <v>6728</v>
      </c>
      <c r="C1024" s="349" t="s">
        <v>6729</v>
      </c>
      <c r="D1024" s="1032" t="s">
        <v>54</v>
      </c>
      <c r="E1024" s="413" t="s">
        <v>6511</v>
      </c>
      <c r="F1024" s="413">
        <v>60032.0</v>
      </c>
      <c r="G1024" s="403"/>
      <c r="H1024" s="402"/>
      <c r="I1024" s="402"/>
      <c r="J1024" s="402"/>
      <c r="K1024" s="402"/>
      <c r="L1024" s="402"/>
      <c r="M1024" s="402"/>
      <c r="N1024" s="402"/>
      <c r="O1024" s="402"/>
      <c r="P1024" s="402"/>
      <c r="Q1024" s="402"/>
      <c r="R1024" s="402"/>
      <c r="S1024" s="402"/>
      <c r="T1024" s="402"/>
      <c r="U1024" s="402"/>
      <c r="V1024" s="402"/>
      <c r="W1024" s="402"/>
      <c r="X1024" s="402"/>
      <c r="Y1024" s="402"/>
      <c r="Z1024" s="402"/>
    </row>
    <row r="1025" ht="14.25" customHeight="1">
      <c r="A1025" s="497">
        <v>45524.0</v>
      </c>
      <c r="B1025" s="349" t="s">
        <v>6732</v>
      </c>
      <c r="C1025" s="349" t="s">
        <v>6733</v>
      </c>
      <c r="D1025" s="1032" t="s">
        <v>54</v>
      </c>
      <c r="E1025" s="413" t="s">
        <v>6563</v>
      </c>
      <c r="F1025" s="413">
        <v>36379.73</v>
      </c>
      <c r="G1025" s="403"/>
      <c r="H1025" s="349" t="s">
        <v>6772</v>
      </c>
      <c r="I1025" s="402"/>
      <c r="J1025" s="402"/>
      <c r="K1025" s="402"/>
      <c r="L1025" s="402"/>
      <c r="M1025" s="402"/>
      <c r="N1025" s="402"/>
      <c r="O1025" s="402"/>
      <c r="P1025" s="402"/>
      <c r="Q1025" s="402"/>
      <c r="R1025" s="402"/>
      <c r="S1025" s="402"/>
      <c r="T1025" s="402"/>
      <c r="U1025" s="402"/>
      <c r="V1025" s="402"/>
      <c r="W1025" s="402"/>
      <c r="X1025" s="402"/>
      <c r="Y1025" s="402"/>
      <c r="Z1025" s="402"/>
    </row>
    <row r="1026" ht="14.25" customHeight="1">
      <c r="A1026" s="497">
        <v>45524.0</v>
      </c>
      <c r="B1026" s="349" t="s">
        <v>6737</v>
      </c>
      <c r="C1026" s="349" t="s">
        <v>6738</v>
      </c>
      <c r="D1026" s="1032" t="s">
        <v>54</v>
      </c>
      <c r="E1026" s="413" t="s">
        <v>6511</v>
      </c>
      <c r="F1026" s="413">
        <v>27885.95</v>
      </c>
      <c r="G1026" s="413">
        <v>20000.0</v>
      </c>
      <c r="H1026" s="65" t="s">
        <v>6773</v>
      </c>
      <c r="I1026" s="402"/>
      <c r="J1026" s="402"/>
      <c r="K1026" s="402"/>
      <c r="L1026" s="402"/>
      <c r="M1026" s="402"/>
      <c r="N1026" s="402"/>
      <c r="O1026" s="402"/>
      <c r="P1026" s="402"/>
      <c r="Q1026" s="402"/>
      <c r="R1026" s="402"/>
      <c r="S1026" s="402"/>
      <c r="T1026" s="402"/>
      <c r="U1026" s="402"/>
      <c r="V1026" s="402"/>
      <c r="W1026" s="402"/>
      <c r="X1026" s="402"/>
      <c r="Y1026" s="402"/>
      <c r="Z1026" s="402"/>
    </row>
    <row r="1027" ht="14.25" customHeight="1">
      <c r="A1027" s="497">
        <v>45524.0</v>
      </c>
      <c r="B1027" s="349" t="s">
        <v>6740</v>
      </c>
      <c r="C1027" s="349" t="s">
        <v>6741</v>
      </c>
      <c r="D1027" s="1032" t="s">
        <v>54</v>
      </c>
      <c r="E1027" s="413" t="s">
        <v>6763</v>
      </c>
      <c r="F1027" s="413">
        <v>33409.56</v>
      </c>
      <c r="G1027" s="403"/>
      <c r="H1027" s="349" t="s">
        <v>772</v>
      </c>
      <c r="I1027" s="402"/>
      <c r="J1027" s="402"/>
      <c r="K1027" s="402"/>
      <c r="L1027" s="402"/>
      <c r="M1027" s="402"/>
      <c r="N1027" s="402"/>
      <c r="O1027" s="402"/>
      <c r="P1027" s="402"/>
      <c r="Q1027" s="402"/>
      <c r="R1027" s="402"/>
      <c r="S1027" s="402"/>
      <c r="T1027" s="402"/>
      <c r="U1027" s="402"/>
      <c r="V1027" s="402"/>
      <c r="W1027" s="402"/>
      <c r="X1027" s="402"/>
      <c r="Y1027" s="402"/>
      <c r="Z1027" s="402"/>
    </row>
    <row r="1028" ht="14.25" customHeight="1">
      <c r="A1028" s="497">
        <v>45524.0</v>
      </c>
      <c r="B1028" s="349" t="s">
        <v>6746</v>
      </c>
      <c r="C1028" s="349" t="s">
        <v>6747</v>
      </c>
      <c r="D1028" s="1032" t="s">
        <v>54</v>
      </c>
      <c r="E1028" s="413" t="s">
        <v>6531</v>
      </c>
      <c r="F1028" s="413">
        <v>143035.35</v>
      </c>
      <c r="G1028" s="403"/>
      <c r="H1028" s="402"/>
      <c r="I1028" s="402"/>
      <c r="J1028" s="402"/>
      <c r="K1028" s="402"/>
      <c r="L1028" s="402"/>
      <c r="M1028" s="402"/>
      <c r="N1028" s="402"/>
      <c r="O1028" s="402"/>
      <c r="P1028" s="402"/>
      <c r="Q1028" s="402"/>
      <c r="R1028" s="402"/>
      <c r="S1028" s="402"/>
      <c r="T1028" s="402"/>
      <c r="U1028" s="402"/>
      <c r="V1028" s="402"/>
      <c r="W1028" s="402"/>
      <c r="X1028" s="402"/>
      <c r="Y1028" s="402"/>
      <c r="Z1028" s="402"/>
    </row>
    <row r="1029" ht="14.25" customHeight="1">
      <c r="A1029" s="497">
        <v>45524.0</v>
      </c>
      <c r="B1029" s="349" t="s">
        <v>6749</v>
      </c>
      <c r="C1029" s="349" t="s">
        <v>6750</v>
      </c>
      <c r="D1029" s="1032" t="s">
        <v>54</v>
      </c>
      <c r="E1029" s="413" t="s">
        <v>6511</v>
      </c>
      <c r="F1029" s="413">
        <v>192885.0</v>
      </c>
      <c r="G1029" s="413">
        <v>192885.0</v>
      </c>
      <c r="H1029" s="349" t="s">
        <v>267</v>
      </c>
      <c r="I1029" s="402"/>
      <c r="J1029" s="402"/>
      <c r="K1029" s="402"/>
      <c r="L1029" s="402"/>
      <c r="M1029" s="402"/>
      <c r="N1029" s="402"/>
      <c r="O1029" s="402"/>
      <c r="P1029" s="402"/>
      <c r="Q1029" s="402"/>
      <c r="R1029" s="402"/>
      <c r="S1029" s="402"/>
      <c r="T1029" s="402"/>
      <c r="U1029" s="402"/>
      <c r="V1029" s="402"/>
      <c r="W1029" s="402"/>
      <c r="X1029" s="402"/>
      <c r="Y1029" s="402"/>
      <c r="Z1029" s="402"/>
    </row>
    <row r="1030" ht="14.25" customHeight="1">
      <c r="A1030" s="497">
        <v>45524.0</v>
      </c>
      <c r="B1030" s="349" t="s">
        <v>6431</v>
      </c>
      <c r="C1030" s="349" t="s">
        <v>6751</v>
      </c>
      <c r="D1030" s="1032" t="s">
        <v>54</v>
      </c>
      <c r="E1030" s="413" t="s">
        <v>6511</v>
      </c>
      <c r="F1030" s="413">
        <v>285994.39</v>
      </c>
      <c r="G1030" s="413">
        <v>30000.0</v>
      </c>
      <c r="H1030" s="349" t="s">
        <v>734</v>
      </c>
      <c r="I1030" s="402"/>
      <c r="J1030" s="402"/>
      <c r="K1030" s="402"/>
      <c r="L1030" s="402"/>
      <c r="M1030" s="402"/>
      <c r="N1030" s="402"/>
      <c r="O1030" s="402"/>
      <c r="P1030" s="402"/>
      <c r="Q1030" s="402"/>
      <c r="R1030" s="402"/>
      <c r="S1030" s="402"/>
      <c r="T1030" s="402"/>
      <c r="U1030" s="402"/>
      <c r="V1030" s="402"/>
      <c r="W1030" s="402"/>
      <c r="X1030" s="402"/>
      <c r="Y1030" s="402"/>
      <c r="Z1030" s="402"/>
    </row>
    <row r="1031" ht="14.25" customHeight="1">
      <c r="A1031" s="497">
        <v>45524.0</v>
      </c>
      <c r="B1031" s="402"/>
      <c r="C1031" s="402"/>
      <c r="D1031" s="1034"/>
      <c r="E1031" s="403"/>
      <c r="F1031" s="403"/>
      <c r="G1031" s="403"/>
      <c r="H1031" s="402"/>
      <c r="I1031" s="402"/>
      <c r="J1031" s="402"/>
      <c r="K1031" s="402"/>
      <c r="L1031" s="402"/>
      <c r="M1031" s="402"/>
      <c r="N1031" s="402"/>
      <c r="O1031" s="402"/>
      <c r="P1031" s="402"/>
      <c r="Q1031" s="402"/>
      <c r="R1031" s="402"/>
      <c r="S1031" s="402"/>
      <c r="T1031" s="402"/>
      <c r="U1031" s="402"/>
      <c r="V1031" s="402"/>
      <c r="W1031" s="402"/>
      <c r="X1031" s="402"/>
      <c r="Y1031" s="402"/>
      <c r="Z1031" s="402"/>
    </row>
    <row r="1032" ht="14.25" customHeight="1">
      <c r="A1032" s="497">
        <v>45524.0</v>
      </c>
      <c r="B1032" s="402"/>
      <c r="C1032" s="402"/>
      <c r="D1032" s="1034"/>
      <c r="E1032" s="403"/>
      <c r="F1032" s="403"/>
      <c r="G1032" s="403"/>
      <c r="H1032" s="402"/>
      <c r="I1032" s="402"/>
      <c r="J1032" s="402"/>
      <c r="K1032" s="402"/>
      <c r="L1032" s="402"/>
      <c r="M1032" s="402"/>
      <c r="N1032" s="402"/>
      <c r="O1032" s="402"/>
      <c r="P1032" s="402"/>
      <c r="Q1032" s="402"/>
      <c r="R1032" s="402"/>
      <c r="S1032" s="402"/>
      <c r="T1032" s="402"/>
      <c r="U1032" s="402"/>
      <c r="V1032" s="402"/>
      <c r="W1032" s="402"/>
      <c r="X1032" s="402"/>
      <c r="Y1032" s="402"/>
      <c r="Z1032" s="402"/>
    </row>
    <row r="1033" ht="14.25" customHeight="1">
      <c r="A1033" s="497">
        <v>45524.0</v>
      </c>
      <c r="B1033" s="569" t="s">
        <v>5984</v>
      </c>
      <c r="C1033" s="555" t="s">
        <v>5985</v>
      </c>
      <c r="D1033" s="470" t="s">
        <v>54</v>
      </c>
      <c r="E1033" s="555" t="s">
        <v>2165</v>
      </c>
      <c r="F1033" s="570">
        <v>140000.0</v>
      </c>
      <c r="G1033" s="470"/>
      <c r="H1033" s="471"/>
      <c r="I1033" s="555"/>
      <c r="J1033" s="402"/>
      <c r="K1033" s="402"/>
      <c r="L1033" s="402"/>
      <c r="M1033" s="402"/>
      <c r="N1033" s="402"/>
      <c r="O1033" s="402"/>
      <c r="P1033" s="402"/>
      <c r="Q1033" s="402"/>
      <c r="R1033" s="402"/>
      <c r="S1033" s="402"/>
      <c r="T1033" s="402"/>
      <c r="U1033" s="402"/>
      <c r="V1033" s="402"/>
      <c r="W1033" s="402"/>
      <c r="X1033" s="402"/>
      <c r="Y1033" s="402"/>
      <c r="Z1033" s="402"/>
    </row>
    <row r="1034" ht="14.25" customHeight="1">
      <c r="A1034" s="497">
        <v>45524.0</v>
      </c>
      <c r="B1034" s="456" t="s">
        <v>5676</v>
      </c>
      <c r="C1034" s="395" t="s">
        <v>5677</v>
      </c>
      <c r="D1034" s="475" t="s">
        <v>54</v>
      </c>
      <c r="E1034" s="395" t="s">
        <v>4114</v>
      </c>
      <c r="F1034" s="666">
        <v>185957.13</v>
      </c>
      <c r="G1034" s="475">
        <v>185958.0</v>
      </c>
      <c r="H1034" s="395" t="s">
        <v>6774</v>
      </c>
      <c r="I1034" s="395"/>
      <c r="J1034" s="402"/>
      <c r="K1034" s="402"/>
      <c r="L1034" s="402"/>
      <c r="M1034" s="402"/>
      <c r="N1034" s="402"/>
      <c r="O1034" s="402"/>
      <c r="P1034" s="402"/>
      <c r="Q1034" s="402"/>
      <c r="R1034" s="402"/>
      <c r="S1034" s="402"/>
      <c r="T1034" s="402"/>
      <c r="U1034" s="402"/>
      <c r="V1034" s="402"/>
      <c r="W1034" s="402"/>
      <c r="X1034" s="402"/>
      <c r="Y1034" s="402"/>
      <c r="Z1034" s="402"/>
    </row>
    <row r="1035" ht="14.25" customHeight="1">
      <c r="A1035" s="497">
        <v>45524.0</v>
      </c>
      <c r="B1035" s="456" t="s">
        <v>5938</v>
      </c>
      <c r="C1035" s="395" t="s">
        <v>6775</v>
      </c>
      <c r="D1035" s="475" t="s">
        <v>54</v>
      </c>
      <c r="E1035" s="395" t="s">
        <v>4114</v>
      </c>
      <c r="F1035" s="666">
        <v>57981.35</v>
      </c>
      <c r="G1035" s="475"/>
      <c r="H1035" s="395" t="s">
        <v>6776</v>
      </c>
      <c r="I1035" s="395"/>
      <c r="J1035" s="402"/>
      <c r="K1035" s="402"/>
      <c r="L1035" s="402"/>
      <c r="M1035" s="402"/>
      <c r="N1035" s="402"/>
      <c r="O1035" s="402"/>
      <c r="P1035" s="402"/>
      <c r="Q1035" s="402"/>
      <c r="R1035" s="402"/>
      <c r="S1035" s="402"/>
      <c r="T1035" s="402"/>
      <c r="U1035" s="402"/>
      <c r="V1035" s="402"/>
      <c r="W1035" s="402"/>
      <c r="X1035" s="402"/>
      <c r="Y1035" s="402"/>
      <c r="Z1035" s="402"/>
    </row>
    <row r="1036" ht="14.25" customHeight="1">
      <c r="A1036" s="497">
        <v>45524.0</v>
      </c>
      <c r="B1036" s="456" t="s">
        <v>5679</v>
      </c>
      <c r="C1036" s="395" t="s">
        <v>5680</v>
      </c>
      <c r="D1036" s="475" t="s">
        <v>54</v>
      </c>
      <c r="E1036" s="395" t="s">
        <v>4114</v>
      </c>
      <c r="F1036" s="666">
        <v>25000.0</v>
      </c>
      <c r="G1036" s="475"/>
      <c r="H1036" s="395" t="s">
        <v>6777</v>
      </c>
      <c r="I1036" s="395"/>
      <c r="J1036" s="402"/>
      <c r="K1036" s="402"/>
      <c r="L1036" s="402"/>
      <c r="M1036" s="402"/>
      <c r="N1036" s="402"/>
      <c r="O1036" s="402"/>
      <c r="P1036" s="402"/>
      <c r="Q1036" s="402"/>
      <c r="R1036" s="402"/>
      <c r="S1036" s="402"/>
      <c r="T1036" s="402"/>
      <c r="U1036" s="402"/>
      <c r="V1036" s="402"/>
      <c r="W1036" s="402"/>
      <c r="X1036" s="402"/>
      <c r="Y1036" s="402"/>
      <c r="Z1036" s="402"/>
    </row>
    <row r="1037" ht="14.25" customHeight="1">
      <c r="A1037" s="497">
        <v>45524.0</v>
      </c>
      <c r="B1037" s="458" t="s">
        <v>6249</v>
      </c>
      <c r="C1037" s="398" t="s">
        <v>6538</v>
      </c>
      <c r="D1037" s="355" t="s">
        <v>54</v>
      </c>
      <c r="E1037" s="398" t="s">
        <v>2165</v>
      </c>
      <c r="F1037" s="795">
        <v>150000.0</v>
      </c>
      <c r="G1037" s="475"/>
      <c r="H1037" s="395"/>
      <c r="I1037" s="398"/>
      <c r="J1037" s="402"/>
      <c r="K1037" s="402"/>
      <c r="L1037" s="402"/>
      <c r="M1037" s="402"/>
      <c r="N1037" s="402"/>
      <c r="O1037" s="402"/>
      <c r="P1037" s="402"/>
      <c r="Q1037" s="402"/>
      <c r="R1037" s="402"/>
      <c r="S1037" s="402"/>
      <c r="T1037" s="402"/>
      <c r="U1037" s="402"/>
      <c r="V1037" s="402"/>
      <c r="W1037" s="402"/>
      <c r="X1037" s="402"/>
      <c r="Y1037" s="402"/>
      <c r="Z1037" s="402"/>
    </row>
    <row r="1038" ht="14.25" customHeight="1">
      <c r="A1038" s="402"/>
      <c r="B1038" s="402"/>
      <c r="C1038" s="402"/>
      <c r="D1038" s="1034"/>
      <c r="E1038" s="403"/>
      <c r="F1038" s="403"/>
      <c r="G1038" s="570"/>
      <c r="H1038" s="402"/>
      <c r="I1038" s="402"/>
      <c r="J1038" s="402"/>
      <c r="K1038" s="402"/>
      <c r="L1038" s="402"/>
      <c r="M1038" s="402"/>
      <c r="N1038" s="402"/>
      <c r="O1038" s="402"/>
      <c r="P1038" s="402"/>
      <c r="Q1038" s="402"/>
      <c r="R1038" s="402"/>
      <c r="S1038" s="402"/>
      <c r="T1038" s="402"/>
      <c r="U1038" s="402"/>
      <c r="V1038" s="402"/>
      <c r="W1038" s="402"/>
      <c r="X1038" s="402"/>
      <c r="Y1038" s="402"/>
      <c r="Z1038" s="402"/>
    </row>
    <row r="1039" ht="14.25" customHeight="1">
      <c r="A1039" s="402"/>
      <c r="B1039" s="402"/>
      <c r="C1039" s="402"/>
      <c r="D1039" s="1034"/>
      <c r="E1039" s="403"/>
      <c r="F1039" s="403"/>
      <c r="G1039" s="666"/>
      <c r="H1039" s="402"/>
      <c r="I1039" s="402"/>
      <c r="J1039" s="402"/>
      <c r="K1039" s="402"/>
      <c r="L1039" s="402"/>
      <c r="M1039" s="402"/>
      <c r="N1039" s="402"/>
      <c r="O1039" s="402"/>
      <c r="P1039" s="402"/>
      <c r="Q1039" s="402"/>
      <c r="R1039" s="402"/>
      <c r="S1039" s="402"/>
      <c r="T1039" s="402"/>
      <c r="U1039" s="402"/>
      <c r="V1039" s="402"/>
      <c r="W1039" s="402"/>
      <c r="X1039" s="402"/>
      <c r="Y1039" s="402"/>
      <c r="Z1039" s="402"/>
    </row>
    <row r="1040" ht="14.25" customHeight="1">
      <c r="A1040" s="1094"/>
      <c r="B1040" s="1094"/>
      <c r="C1040" s="1094"/>
      <c r="D1040" s="1096"/>
      <c r="E1040" s="1097"/>
      <c r="F1040" s="1097"/>
      <c r="G1040" s="1117"/>
      <c r="H1040" s="1094"/>
      <c r="I1040" s="1094"/>
      <c r="J1040" s="1094"/>
      <c r="K1040" s="1094"/>
      <c r="L1040" s="1094"/>
      <c r="M1040" s="1094"/>
      <c r="N1040" s="1094"/>
      <c r="O1040" s="1094"/>
      <c r="P1040" s="1094"/>
      <c r="Q1040" s="1094"/>
      <c r="R1040" s="1094"/>
      <c r="S1040" s="1094"/>
      <c r="T1040" s="1094"/>
      <c r="U1040" s="1094"/>
      <c r="V1040" s="1094"/>
      <c r="W1040" s="1094"/>
      <c r="X1040" s="1094"/>
      <c r="Y1040" s="1094"/>
      <c r="Z1040" s="1094"/>
    </row>
    <row r="1041" ht="14.25" customHeight="1">
      <c r="A1041" s="497">
        <v>45525.0</v>
      </c>
      <c r="B1041" s="349" t="s">
        <v>5645</v>
      </c>
      <c r="C1041" s="349" t="s">
        <v>5646</v>
      </c>
      <c r="D1041" s="1032" t="s">
        <v>54</v>
      </c>
      <c r="E1041" s="413" t="s">
        <v>6763</v>
      </c>
      <c r="F1041" s="413">
        <v>34814.59</v>
      </c>
      <c r="G1041" s="666"/>
      <c r="H1041" s="349" t="s">
        <v>6778</v>
      </c>
      <c r="I1041" s="402"/>
      <c r="J1041" s="402"/>
      <c r="K1041" s="402"/>
      <c r="L1041" s="402"/>
      <c r="M1041" s="402"/>
      <c r="N1041" s="402"/>
      <c r="O1041" s="402"/>
      <c r="P1041" s="402"/>
      <c r="Q1041" s="402"/>
      <c r="R1041" s="402"/>
      <c r="S1041" s="402"/>
      <c r="T1041" s="402"/>
      <c r="U1041" s="402"/>
      <c r="V1041" s="402"/>
      <c r="W1041" s="402"/>
      <c r="X1041" s="402"/>
      <c r="Y1041" s="402"/>
      <c r="Z1041" s="402"/>
    </row>
    <row r="1042" ht="14.25" customHeight="1">
      <c r="A1042" s="497">
        <v>45525.0</v>
      </c>
      <c r="B1042" s="349" t="s">
        <v>5647</v>
      </c>
      <c r="C1042" s="349" t="s">
        <v>5648</v>
      </c>
      <c r="D1042" s="1032" t="s">
        <v>54</v>
      </c>
      <c r="E1042" s="413" t="s">
        <v>6505</v>
      </c>
      <c r="F1042" s="413">
        <v>36822.06</v>
      </c>
      <c r="G1042" s="403"/>
      <c r="H1042" s="522" t="s">
        <v>6779</v>
      </c>
      <c r="I1042" s="402"/>
      <c r="J1042" s="402"/>
      <c r="K1042" s="402"/>
      <c r="L1042" s="402"/>
      <c r="M1042" s="402"/>
      <c r="N1042" s="402"/>
      <c r="O1042" s="402"/>
      <c r="P1042" s="402"/>
      <c r="Q1042" s="402"/>
      <c r="R1042" s="402"/>
      <c r="S1042" s="402"/>
      <c r="T1042" s="402"/>
      <c r="U1042" s="402"/>
      <c r="V1042" s="402"/>
      <c r="W1042" s="402"/>
      <c r="X1042" s="402"/>
      <c r="Y1042" s="402"/>
      <c r="Z1042" s="402"/>
    </row>
    <row r="1043" ht="14.25" customHeight="1">
      <c r="A1043" s="497">
        <v>45525.0</v>
      </c>
      <c r="B1043" s="349" t="s">
        <v>5651</v>
      </c>
      <c r="C1043" s="349" t="s">
        <v>5652</v>
      </c>
      <c r="D1043" s="1032" t="s">
        <v>54</v>
      </c>
      <c r="E1043" s="413" t="s">
        <v>6511</v>
      </c>
      <c r="F1043" s="413">
        <v>53000.0</v>
      </c>
      <c r="G1043" s="413">
        <v>53000.0</v>
      </c>
      <c r="H1043" s="349" t="s">
        <v>267</v>
      </c>
      <c r="I1043" s="402"/>
      <c r="J1043" s="402"/>
      <c r="K1043" s="402"/>
      <c r="L1043" s="402"/>
      <c r="M1043" s="402"/>
      <c r="N1043" s="402"/>
      <c r="O1043" s="402"/>
      <c r="P1043" s="402"/>
      <c r="Q1043" s="402"/>
      <c r="R1043" s="402"/>
      <c r="S1043" s="402"/>
      <c r="T1043" s="402"/>
      <c r="U1043" s="402"/>
      <c r="V1043" s="402"/>
      <c r="W1043" s="402"/>
      <c r="X1043" s="402"/>
      <c r="Y1043" s="402"/>
      <c r="Z1043" s="402"/>
    </row>
    <row r="1044" ht="14.25" customHeight="1">
      <c r="A1044" s="497">
        <v>45525.0</v>
      </c>
      <c r="B1044" s="349" t="s">
        <v>5654</v>
      </c>
      <c r="C1044" s="349" t="s">
        <v>5655</v>
      </c>
      <c r="D1044" s="1032" t="s">
        <v>54</v>
      </c>
      <c r="E1044" s="413" t="s">
        <v>6763</v>
      </c>
      <c r="F1044" s="413">
        <v>9386.65</v>
      </c>
      <c r="G1044" s="403"/>
      <c r="H1044" s="522" t="s">
        <v>6780</v>
      </c>
      <c r="I1044" s="402"/>
      <c r="J1044" s="402"/>
      <c r="K1044" s="402"/>
      <c r="L1044" s="402"/>
      <c r="M1044" s="402"/>
      <c r="N1044" s="402"/>
      <c r="O1044" s="402"/>
      <c r="P1044" s="402"/>
      <c r="Q1044" s="402"/>
      <c r="R1044" s="402"/>
      <c r="S1044" s="402"/>
      <c r="T1044" s="402"/>
      <c r="U1044" s="402"/>
      <c r="V1044" s="402"/>
      <c r="W1044" s="402"/>
      <c r="X1044" s="402"/>
      <c r="Y1044" s="402"/>
      <c r="Z1044" s="402"/>
    </row>
    <row r="1045" ht="14.25" customHeight="1">
      <c r="A1045" s="497">
        <v>45525.0</v>
      </c>
      <c r="B1045" s="349" t="s">
        <v>5656</v>
      </c>
      <c r="C1045" s="349" t="s">
        <v>5657</v>
      </c>
      <c r="D1045" s="1032" t="s">
        <v>54</v>
      </c>
      <c r="E1045" s="413" t="s">
        <v>6511</v>
      </c>
      <c r="F1045" s="413">
        <v>37884.45</v>
      </c>
      <c r="G1045" s="403"/>
      <c r="H1045" s="402"/>
      <c r="I1045" s="402"/>
      <c r="J1045" s="402"/>
      <c r="K1045" s="402"/>
      <c r="L1045" s="402"/>
      <c r="M1045" s="402"/>
      <c r="N1045" s="402"/>
      <c r="O1045" s="402"/>
      <c r="P1045" s="402"/>
      <c r="Q1045" s="402"/>
      <c r="R1045" s="402"/>
      <c r="S1045" s="402"/>
      <c r="T1045" s="402"/>
      <c r="U1045" s="402"/>
      <c r="V1045" s="402"/>
      <c r="W1045" s="402"/>
      <c r="X1045" s="402"/>
      <c r="Y1045" s="402"/>
      <c r="Z1045" s="402"/>
    </row>
    <row r="1046" ht="14.25" customHeight="1">
      <c r="A1046" s="497">
        <v>45525.0</v>
      </c>
      <c r="B1046" s="349" t="s">
        <v>5658</v>
      </c>
      <c r="C1046" s="349" t="s">
        <v>5659</v>
      </c>
      <c r="D1046" s="1032" t="s">
        <v>54</v>
      </c>
      <c r="E1046" s="413" t="s">
        <v>6511</v>
      </c>
      <c r="F1046" s="413">
        <v>190014.05</v>
      </c>
      <c r="G1046" s="403"/>
      <c r="H1046" s="522" t="s">
        <v>6781</v>
      </c>
      <c r="I1046" s="402"/>
      <c r="J1046" s="402"/>
      <c r="K1046" s="402"/>
      <c r="L1046" s="402"/>
      <c r="M1046" s="402"/>
      <c r="N1046" s="402"/>
      <c r="O1046" s="402"/>
      <c r="P1046" s="402"/>
      <c r="Q1046" s="402"/>
      <c r="R1046" s="402"/>
      <c r="S1046" s="402"/>
      <c r="T1046" s="402"/>
      <c r="U1046" s="402"/>
      <c r="V1046" s="402"/>
      <c r="W1046" s="402"/>
      <c r="X1046" s="402"/>
      <c r="Y1046" s="402"/>
      <c r="Z1046" s="402"/>
    </row>
    <row r="1047" ht="14.25" customHeight="1">
      <c r="A1047" s="497">
        <v>45525.0</v>
      </c>
      <c r="B1047" s="349" t="s">
        <v>6782</v>
      </c>
      <c r="C1047" s="349" t="s">
        <v>5659</v>
      </c>
      <c r="D1047" s="1032" t="s">
        <v>346</v>
      </c>
      <c r="E1047" s="413" t="s">
        <v>6563</v>
      </c>
      <c r="F1047" s="413">
        <v>4703.92</v>
      </c>
      <c r="G1047" s="403"/>
      <c r="H1047" s="522" t="s">
        <v>6781</v>
      </c>
      <c r="I1047" s="402"/>
      <c r="J1047" s="402"/>
      <c r="K1047" s="402"/>
      <c r="L1047" s="402"/>
      <c r="M1047" s="402"/>
      <c r="N1047" s="402"/>
      <c r="O1047" s="402"/>
      <c r="P1047" s="402"/>
      <c r="Q1047" s="402"/>
      <c r="R1047" s="402"/>
      <c r="S1047" s="402"/>
      <c r="T1047" s="402"/>
      <c r="U1047" s="402"/>
      <c r="V1047" s="402"/>
      <c r="W1047" s="402"/>
      <c r="X1047" s="402"/>
      <c r="Y1047" s="402"/>
      <c r="Z1047" s="402"/>
    </row>
    <row r="1048" ht="14.25" customHeight="1">
      <c r="A1048" s="497">
        <v>45525.0</v>
      </c>
      <c r="B1048" s="349" t="s">
        <v>5662</v>
      </c>
      <c r="C1048" s="349" t="s">
        <v>5663</v>
      </c>
      <c r="D1048" s="1032" t="s">
        <v>54</v>
      </c>
      <c r="E1048" s="413" t="s">
        <v>6563</v>
      </c>
      <c r="F1048" s="413">
        <v>43200.0</v>
      </c>
      <c r="G1048" s="403"/>
      <c r="H1048" s="349" t="s">
        <v>179</v>
      </c>
      <c r="I1048" s="402"/>
      <c r="J1048" s="402"/>
      <c r="K1048" s="402"/>
      <c r="L1048" s="402"/>
      <c r="M1048" s="402"/>
      <c r="N1048" s="402"/>
      <c r="O1048" s="402"/>
      <c r="P1048" s="402"/>
      <c r="Q1048" s="402"/>
      <c r="R1048" s="402"/>
      <c r="S1048" s="402"/>
      <c r="T1048" s="402"/>
      <c r="U1048" s="402"/>
      <c r="V1048" s="402"/>
      <c r="W1048" s="402"/>
      <c r="X1048" s="402"/>
      <c r="Y1048" s="402"/>
      <c r="Z1048" s="402"/>
    </row>
    <row r="1049" ht="14.25" customHeight="1">
      <c r="A1049" s="497">
        <v>45525.0</v>
      </c>
      <c r="B1049" s="349" t="s">
        <v>5667</v>
      </c>
      <c r="C1049" s="349" t="s">
        <v>5668</v>
      </c>
      <c r="D1049" s="1032" t="s">
        <v>346</v>
      </c>
      <c r="E1049" s="413" t="s">
        <v>6511</v>
      </c>
      <c r="F1049" s="413">
        <v>9547.32</v>
      </c>
      <c r="G1049" s="403"/>
      <c r="H1049" s="522" t="s">
        <v>6783</v>
      </c>
      <c r="I1049" s="402"/>
      <c r="J1049" s="402"/>
      <c r="K1049" s="402"/>
      <c r="L1049" s="402"/>
      <c r="M1049" s="402"/>
      <c r="N1049" s="402"/>
      <c r="O1049" s="402"/>
      <c r="P1049" s="402"/>
      <c r="Q1049" s="402"/>
      <c r="R1049" s="402"/>
      <c r="S1049" s="402"/>
      <c r="T1049" s="402"/>
      <c r="U1049" s="402"/>
      <c r="V1049" s="402"/>
      <c r="W1049" s="402"/>
      <c r="X1049" s="402"/>
      <c r="Y1049" s="402"/>
      <c r="Z1049" s="402"/>
    </row>
    <row r="1050" ht="14.25" customHeight="1">
      <c r="A1050" s="497">
        <v>45525.0</v>
      </c>
      <c r="B1050" s="349" t="s">
        <v>6755</v>
      </c>
      <c r="C1050" s="349" t="s">
        <v>6492</v>
      </c>
      <c r="D1050" s="1032" t="s">
        <v>54</v>
      </c>
      <c r="E1050" s="413" t="s">
        <v>6511</v>
      </c>
      <c r="F1050" s="413">
        <v>20662.56</v>
      </c>
      <c r="G1050" s="413"/>
      <c r="H1050" s="402"/>
      <c r="I1050" s="402"/>
      <c r="J1050" s="402"/>
      <c r="K1050" s="402"/>
      <c r="L1050" s="402"/>
      <c r="M1050" s="402"/>
      <c r="N1050" s="402"/>
      <c r="O1050" s="402"/>
      <c r="P1050" s="402"/>
      <c r="Q1050" s="402"/>
      <c r="R1050" s="402"/>
      <c r="S1050" s="402"/>
      <c r="T1050" s="402"/>
      <c r="U1050" s="402"/>
      <c r="V1050" s="402"/>
      <c r="W1050" s="402"/>
      <c r="X1050" s="402"/>
      <c r="Y1050" s="402"/>
      <c r="Z1050" s="402"/>
    </row>
    <row r="1051" ht="14.25" customHeight="1">
      <c r="A1051" s="497">
        <v>45525.0</v>
      </c>
      <c r="B1051" s="349" t="s">
        <v>6757</v>
      </c>
      <c r="C1051" s="349" t="s">
        <v>6758</v>
      </c>
      <c r="D1051" s="1032" t="s">
        <v>54</v>
      </c>
      <c r="E1051" s="413" t="s">
        <v>6563</v>
      </c>
      <c r="F1051" s="413">
        <v>15169.27</v>
      </c>
      <c r="G1051" s="413"/>
      <c r="H1051" s="349" t="s">
        <v>6784</v>
      </c>
      <c r="I1051" s="402"/>
      <c r="J1051" s="402"/>
      <c r="K1051" s="402"/>
      <c r="L1051" s="402"/>
      <c r="M1051" s="402"/>
      <c r="N1051" s="402"/>
      <c r="O1051" s="402"/>
      <c r="P1051" s="402"/>
      <c r="Q1051" s="402"/>
      <c r="R1051" s="402"/>
      <c r="S1051" s="402"/>
      <c r="T1051" s="402"/>
      <c r="U1051" s="402"/>
      <c r="V1051" s="402"/>
      <c r="W1051" s="402"/>
      <c r="X1051" s="402"/>
      <c r="Y1051" s="402"/>
      <c r="Z1051" s="402"/>
    </row>
    <row r="1052" ht="14.25" customHeight="1">
      <c r="A1052" s="497">
        <v>45525.0</v>
      </c>
      <c r="B1052" s="349" t="s">
        <v>6759</v>
      </c>
      <c r="C1052" s="349" t="s">
        <v>6760</v>
      </c>
      <c r="D1052" s="1032" t="s">
        <v>54</v>
      </c>
      <c r="E1052" s="413" t="s">
        <v>6511</v>
      </c>
      <c r="F1052" s="413">
        <v>36675.2</v>
      </c>
      <c r="G1052" s="413"/>
      <c r="H1052" s="402"/>
      <c r="I1052" s="402"/>
      <c r="J1052" s="402"/>
      <c r="K1052" s="402"/>
      <c r="L1052" s="402"/>
      <c r="M1052" s="402"/>
      <c r="N1052" s="402"/>
      <c r="O1052" s="402"/>
      <c r="P1052" s="402"/>
      <c r="Q1052" s="402"/>
      <c r="R1052" s="402"/>
      <c r="S1052" s="402"/>
      <c r="T1052" s="402"/>
      <c r="U1052" s="402"/>
      <c r="V1052" s="402"/>
      <c r="W1052" s="402"/>
      <c r="X1052" s="402"/>
      <c r="Y1052" s="402"/>
      <c r="Z1052" s="402"/>
    </row>
    <row r="1053" ht="14.25" customHeight="1">
      <c r="A1053" s="497">
        <v>45525.0</v>
      </c>
      <c r="B1053" s="349" t="s">
        <v>6765</v>
      </c>
      <c r="C1053" s="349" t="s">
        <v>6766</v>
      </c>
      <c r="D1053" s="1032" t="s">
        <v>54</v>
      </c>
      <c r="E1053" s="413" t="s">
        <v>6531</v>
      </c>
      <c r="F1053" s="413">
        <v>21745.0</v>
      </c>
      <c r="G1053" s="413"/>
      <c r="H1053" s="402"/>
      <c r="I1053" s="402"/>
      <c r="J1053" s="402"/>
      <c r="K1053" s="402"/>
      <c r="L1053" s="402"/>
      <c r="M1053" s="402"/>
      <c r="N1053" s="402"/>
      <c r="O1053" s="402"/>
      <c r="P1053" s="402"/>
      <c r="Q1053" s="402"/>
      <c r="R1053" s="402"/>
      <c r="S1053" s="402"/>
      <c r="T1053" s="402"/>
      <c r="U1053" s="402"/>
      <c r="V1053" s="402"/>
      <c r="W1053" s="402"/>
      <c r="X1053" s="402"/>
      <c r="Y1053" s="402"/>
      <c r="Z1053" s="402"/>
    </row>
    <row r="1054" ht="14.25" customHeight="1">
      <c r="A1054" s="497">
        <v>45525.0</v>
      </c>
      <c r="B1054" s="349" t="s">
        <v>6767</v>
      </c>
      <c r="C1054" s="349" t="s">
        <v>6768</v>
      </c>
      <c r="D1054" s="1032" t="s">
        <v>54</v>
      </c>
      <c r="E1054" s="413" t="s">
        <v>6511</v>
      </c>
      <c r="F1054" s="413">
        <v>16803.99</v>
      </c>
      <c r="G1054" s="413"/>
      <c r="H1054" s="402"/>
      <c r="I1054" s="402"/>
      <c r="J1054" s="402"/>
      <c r="K1054" s="402"/>
      <c r="L1054" s="402"/>
      <c r="M1054" s="402"/>
      <c r="N1054" s="402"/>
      <c r="O1054" s="402"/>
      <c r="P1054" s="402"/>
      <c r="Q1054" s="402"/>
      <c r="R1054" s="402"/>
      <c r="S1054" s="402"/>
      <c r="T1054" s="402"/>
      <c r="U1054" s="402"/>
      <c r="V1054" s="402"/>
      <c r="W1054" s="402"/>
      <c r="X1054" s="402"/>
      <c r="Y1054" s="402"/>
      <c r="Z1054" s="402"/>
    </row>
    <row r="1055" ht="14.25" customHeight="1">
      <c r="A1055" s="497">
        <v>45525.0</v>
      </c>
      <c r="B1055" s="349" t="s">
        <v>5813</v>
      </c>
      <c r="C1055" s="349" t="s">
        <v>6035</v>
      </c>
      <c r="D1055" s="1032" t="s">
        <v>75</v>
      </c>
      <c r="E1055" s="413" t="s">
        <v>6511</v>
      </c>
      <c r="F1055" s="413">
        <v>9061.87</v>
      </c>
      <c r="G1055" s="413">
        <v>10000.0</v>
      </c>
      <c r="H1055" s="349" t="s">
        <v>267</v>
      </c>
      <c r="I1055" s="402"/>
      <c r="J1055" s="402"/>
      <c r="K1055" s="402"/>
      <c r="L1055" s="402"/>
      <c r="M1055" s="402"/>
      <c r="N1055" s="402"/>
      <c r="O1055" s="402"/>
      <c r="P1055" s="402"/>
      <c r="Q1055" s="402"/>
      <c r="R1055" s="402"/>
      <c r="S1055" s="402"/>
      <c r="T1055" s="402"/>
      <c r="U1055" s="402"/>
      <c r="V1055" s="402"/>
      <c r="W1055" s="402"/>
      <c r="X1055" s="402"/>
      <c r="Y1055" s="402"/>
      <c r="Z1055" s="402"/>
    </row>
    <row r="1056" ht="14.25" customHeight="1">
      <c r="A1056" s="497">
        <v>45525.0</v>
      </c>
      <c r="B1056" s="349" t="s">
        <v>6723</v>
      </c>
      <c r="C1056" s="349" t="s">
        <v>6721</v>
      </c>
      <c r="D1056" s="1032" t="s">
        <v>54</v>
      </c>
      <c r="E1056" s="413" t="s">
        <v>6563</v>
      </c>
      <c r="F1056" s="413">
        <v>22073.0</v>
      </c>
      <c r="G1056" s="403"/>
      <c r="H1056" s="349" t="s">
        <v>2423</v>
      </c>
      <c r="I1056" s="402"/>
      <c r="J1056" s="402"/>
      <c r="K1056" s="402"/>
      <c r="L1056" s="402"/>
      <c r="M1056" s="402"/>
      <c r="N1056" s="402"/>
      <c r="O1056" s="402"/>
      <c r="P1056" s="402"/>
      <c r="Q1056" s="402"/>
      <c r="R1056" s="402"/>
      <c r="S1056" s="402"/>
      <c r="T1056" s="402"/>
      <c r="U1056" s="402"/>
      <c r="V1056" s="402"/>
      <c r="W1056" s="402"/>
      <c r="X1056" s="402"/>
      <c r="Y1056" s="402"/>
      <c r="Z1056" s="402"/>
    </row>
    <row r="1057" ht="14.25" customHeight="1">
      <c r="A1057" s="497">
        <v>45525.0</v>
      </c>
      <c r="B1057" s="349" t="s">
        <v>6724</v>
      </c>
      <c r="C1057" s="349" t="s">
        <v>6725</v>
      </c>
      <c r="D1057" s="1032" t="s">
        <v>54</v>
      </c>
      <c r="E1057" s="413" t="s">
        <v>6511</v>
      </c>
      <c r="F1057" s="413">
        <v>26315.0</v>
      </c>
      <c r="G1057" s="403"/>
      <c r="H1057" s="349" t="s">
        <v>2423</v>
      </c>
      <c r="I1057" s="402"/>
      <c r="J1057" s="402"/>
      <c r="K1057" s="402"/>
      <c r="L1057" s="402"/>
      <c r="M1057" s="402"/>
      <c r="N1057" s="402"/>
      <c r="O1057" s="402"/>
      <c r="P1057" s="402"/>
      <c r="Q1057" s="402"/>
      <c r="R1057" s="402"/>
      <c r="S1057" s="402"/>
      <c r="T1057" s="402"/>
      <c r="U1057" s="402"/>
      <c r="V1057" s="402"/>
      <c r="W1057" s="402"/>
      <c r="X1057" s="402"/>
      <c r="Y1057" s="402"/>
      <c r="Z1057" s="402"/>
    </row>
    <row r="1058" ht="14.25" customHeight="1">
      <c r="A1058" s="497">
        <v>45525.0</v>
      </c>
      <c r="B1058" s="349" t="s">
        <v>6732</v>
      </c>
      <c r="C1058" s="349" t="s">
        <v>6733</v>
      </c>
      <c r="D1058" s="1032" t="s">
        <v>54</v>
      </c>
      <c r="E1058" s="413" t="s">
        <v>6563</v>
      </c>
      <c r="F1058" s="413">
        <v>36379.73</v>
      </c>
      <c r="G1058" s="403"/>
      <c r="H1058" s="349" t="s">
        <v>6785</v>
      </c>
      <c r="I1058" s="402"/>
      <c r="J1058" s="402"/>
      <c r="K1058" s="402"/>
      <c r="L1058" s="402"/>
      <c r="M1058" s="402"/>
      <c r="N1058" s="402"/>
      <c r="O1058" s="402"/>
      <c r="P1058" s="402"/>
      <c r="Q1058" s="402"/>
      <c r="R1058" s="402"/>
      <c r="S1058" s="402"/>
      <c r="T1058" s="402"/>
      <c r="U1058" s="402"/>
      <c r="V1058" s="402"/>
      <c r="W1058" s="402"/>
      <c r="X1058" s="402"/>
      <c r="Y1058" s="402"/>
      <c r="Z1058" s="402"/>
    </row>
    <row r="1059" ht="14.25" customHeight="1">
      <c r="A1059" s="497">
        <v>45525.0</v>
      </c>
      <c r="B1059" s="349" t="s">
        <v>6740</v>
      </c>
      <c r="C1059" s="349" t="s">
        <v>6741</v>
      </c>
      <c r="D1059" s="1032" t="s">
        <v>54</v>
      </c>
      <c r="E1059" s="413" t="s">
        <v>6763</v>
      </c>
      <c r="F1059" s="413">
        <v>33409.56</v>
      </c>
      <c r="G1059" s="403"/>
      <c r="H1059" s="402"/>
      <c r="I1059" s="402"/>
      <c r="J1059" s="402"/>
      <c r="K1059" s="402"/>
      <c r="L1059" s="402"/>
      <c r="M1059" s="402"/>
      <c r="N1059" s="402"/>
      <c r="O1059" s="402"/>
      <c r="P1059" s="402"/>
      <c r="Q1059" s="402"/>
      <c r="R1059" s="402"/>
      <c r="S1059" s="402"/>
      <c r="T1059" s="402"/>
      <c r="U1059" s="402"/>
      <c r="V1059" s="402"/>
      <c r="W1059" s="402"/>
      <c r="X1059" s="402"/>
      <c r="Y1059" s="402"/>
      <c r="Z1059" s="402"/>
    </row>
    <row r="1060" ht="14.25" customHeight="1">
      <c r="A1060" s="497">
        <v>45525.0</v>
      </c>
      <c r="B1060" s="349" t="s">
        <v>6431</v>
      </c>
      <c r="C1060" s="349" t="s">
        <v>6751</v>
      </c>
      <c r="D1060" s="1032" t="s">
        <v>54</v>
      </c>
      <c r="E1060" s="413" t="s">
        <v>6511</v>
      </c>
      <c r="F1060" s="413">
        <f>285994.39-30000</f>
        <v>255994.39</v>
      </c>
      <c r="G1060" s="413"/>
      <c r="H1060" s="402"/>
      <c r="I1060" s="402"/>
      <c r="J1060" s="402"/>
      <c r="K1060" s="402"/>
      <c r="L1060" s="402"/>
      <c r="M1060" s="402"/>
      <c r="N1060" s="402"/>
      <c r="O1060" s="402"/>
      <c r="P1060" s="402"/>
      <c r="Q1060" s="402"/>
      <c r="R1060" s="402"/>
      <c r="S1060" s="402"/>
      <c r="T1060" s="402"/>
      <c r="U1060" s="402"/>
      <c r="V1060" s="402"/>
      <c r="W1060" s="402"/>
      <c r="X1060" s="402"/>
      <c r="Y1060" s="402"/>
      <c r="Z1060" s="402"/>
    </row>
    <row r="1061" ht="14.25" customHeight="1">
      <c r="A1061" s="497">
        <v>45525.0</v>
      </c>
      <c r="B1061" s="349" t="s">
        <v>6175</v>
      </c>
      <c r="C1061" s="349" t="s">
        <v>6176</v>
      </c>
      <c r="D1061" s="1032" t="s">
        <v>54</v>
      </c>
      <c r="E1061" s="413" t="s">
        <v>6511</v>
      </c>
      <c r="F1061" s="413">
        <v>10500.0</v>
      </c>
      <c r="G1061" s="413">
        <v>13500.0</v>
      </c>
      <c r="H1061" s="349" t="s">
        <v>267</v>
      </c>
      <c r="I1061" s="402"/>
      <c r="J1061" s="402"/>
      <c r="K1061" s="402"/>
      <c r="L1061" s="402"/>
      <c r="M1061" s="402"/>
      <c r="N1061" s="402"/>
      <c r="O1061" s="402"/>
      <c r="P1061" s="402"/>
      <c r="Q1061" s="402"/>
      <c r="R1061" s="402"/>
      <c r="S1061" s="402"/>
      <c r="T1061" s="402"/>
      <c r="U1061" s="402"/>
      <c r="V1061" s="402"/>
      <c r="W1061" s="402"/>
      <c r="X1061" s="402"/>
      <c r="Y1061" s="402"/>
      <c r="Z1061" s="402"/>
    </row>
    <row r="1062" ht="14.25" customHeight="1">
      <c r="A1062" s="497">
        <v>45525.0</v>
      </c>
      <c r="B1062" s="402"/>
      <c r="C1062" s="349" t="s">
        <v>5757</v>
      </c>
      <c r="D1062" s="1032" t="s">
        <v>668</v>
      </c>
      <c r="E1062" s="413" t="s">
        <v>6786</v>
      </c>
      <c r="F1062" s="413">
        <v>1000000.0</v>
      </c>
      <c r="G1062" s="413">
        <v>1000000.0</v>
      </c>
      <c r="H1062" s="349" t="s">
        <v>267</v>
      </c>
      <c r="I1062" s="402"/>
      <c r="J1062" s="402"/>
      <c r="K1062" s="402"/>
      <c r="L1062" s="402"/>
      <c r="M1062" s="402"/>
      <c r="N1062" s="402"/>
      <c r="O1062" s="402"/>
      <c r="P1062" s="402"/>
      <c r="Q1062" s="402"/>
      <c r="R1062" s="402"/>
      <c r="S1062" s="402"/>
      <c r="T1062" s="402"/>
      <c r="U1062" s="402"/>
      <c r="V1062" s="402"/>
      <c r="W1062" s="402"/>
      <c r="X1062" s="402"/>
      <c r="Y1062" s="402"/>
      <c r="Z1062" s="402"/>
    </row>
    <row r="1063" ht="14.25" customHeight="1">
      <c r="A1063" s="497">
        <v>45525.0</v>
      </c>
      <c r="B1063" s="349" t="s">
        <v>6015</v>
      </c>
      <c r="C1063" s="349" t="s">
        <v>6787</v>
      </c>
      <c r="D1063" s="1032" t="s">
        <v>75</v>
      </c>
      <c r="E1063" s="413" t="s">
        <v>6511</v>
      </c>
      <c r="F1063" s="413">
        <v>61262.42</v>
      </c>
      <c r="G1063" s="2"/>
      <c r="H1063" s="402"/>
      <c r="I1063" s="402"/>
      <c r="J1063" s="402"/>
      <c r="K1063" s="402"/>
      <c r="L1063" s="402"/>
      <c r="M1063" s="402"/>
      <c r="N1063" s="402"/>
      <c r="O1063" s="402"/>
      <c r="P1063" s="402"/>
      <c r="Q1063" s="402"/>
      <c r="R1063" s="402"/>
      <c r="S1063" s="402"/>
      <c r="T1063" s="402"/>
      <c r="U1063" s="402"/>
      <c r="V1063" s="402"/>
      <c r="W1063" s="402"/>
      <c r="X1063" s="402"/>
      <c r="Y1063" s="402"/>
      <c r="Z1063" s="402"/>
    </row>
    <row r="1064" ht="14.25" customHeight="1">
      <c r="A1064" s="497">
        <v>45525.0</v>
      </c>
      <c r="B1064" s="349" t="s">
        <v>6462</v>
      </c>
      <c r="C1064" s="349" t="s">
        <v>6788</v>
      </c>
      <c r="D1064" s="1032" t="s">
        <v>75</v>
      </c>
      <c r="E1064" s="413" t="s">
        <v>6763</v>
      </c>
      <c r="F1064" s="413">
        <v>739886.7</v>
      </c>
      <c r="G1064" s="2"/>
      <c r="H1064" s="402"/>
      <c r="I1064" s="402"/>
      <c r="J1064" s="402"/>
      <c r="K1064" s="402"/>
      <c r="L1064" s="402"/>
      <c r="M1064" s="402"/>
      <c r="N1064" s="402"/>
      <c r="O1064" s="402"/>
      <c r="P1064" s="402"/>
      <c r="Q1064" s="402"/>
      <c r="R1064" s="402"/>
      <c r="S1064" s="402"/>
      <c r="T1064" s="402"/>
      <c r="U1064" s="402"/>
      <c r="V1064" s="402"/>
      <c r="W1064" s="402"/>
      <c r="X1064" s="402"/>
      <c r="Y1064" s="402"/>
      <c r="Z1064" s="402"/>
    </row>
    <row r="1065" ht="14.25" customHeight="1">
      <c r="A1065" s="497">
        <v>45525.0</v>
      </c>
      <c r="B1065" s="349" t="s">
        <v>5795</v>
      </c>
      <c r="C1065" s="349" t="s">
        <v>6789</v>
      </c>
      <c r="D1065" s="1032" t="s">
        <v>75</v>
      </c>
      <c r="E1065" s="413" t="s">
        <v>6511</v>
      </c>
      <c r="F1065" s="413">
        <v>14477.4</v>
      </c>
      <c r="G1065" s="2"/>
      <c r="H1065" s="402"/>
      <c r="I1065" s="402"/>
      <c r="J1065" s="402"/>
      <c r="K1065" s="402"/>
      <c r="L1065" s="402"/>
      <c r="M1065" s="402"/>
      <c r="N1065" s="402"/>
      <c r="O1065" s="402"/>
      <c r="P1065" s="402"/>
      <c r="Q1065" s="402"/>
      <c r="R1065" s="402"/>
      <c r="S1065" s="402"/>
      <c r="T1065" s="402"/>
      <c r="U1065" s="402"/>
      <c r="V1065" s="402"/>
      <c r="W1065" s="402"/>
      <c r="X1065" s="402"/>
      <c r="Y1065" s="402"/>
      <c r="Z1065" s="402"/>
    </row>
    <row r="1066" ht="14.25" customHeight="1">
      <c r="A1066" s="497">
        <v>45525.0</v>
      </c>
      <c r="B1066" s="349" t="s">
        <v>6114</v>
      </c>
      <c r="C1066" s="349" t="s">
        <v>6790</v>
      </c>
      <c r="D1066" s="1032" t="s">
        <v>75</v>
      </c>
      <c r="E1066" s="413" t="s">
        <v>6511</v>
      </c>
      <c r="F1066" s="413">
        <v>87562.13</v>
      </c>
      <c r="G1066" s="2"/>
      <c r="H1066" s="402"/>
      <c r="I1066" s="402"/>
      <c r="J1066" s="402"/>
      <c r="K1066" s="402"/>
      <c r="L1066" s="402"/>
      <c r="M1066" s="402"/>
      <c r="N1066" s="402"/>
      <c r="O1066" s="402"/>
      <c r="P1066" s="402"/>
      <c r="Q1066" s="402"/>
      <c r="R1066" s="402"/>
      <c r="S1066" s="402"/>
      <c r="T1066" s="402"/>
      <c r="U1066" s="402"/>
      <c r="V1066" s="402"/>
      <c r="W1066" s="402"/>
      <c r="X1066" s="402"/>
      <c r="Y1066" s="402"/>
      <c r="Z1066" s="402"/>
    </row>
    <row r="1067" ht="14.25" customHeight="1">
      <c r="A1067" s="497">
        <v>45525.0</v>
      </c>
      <c r="B1067" s="349" t="s">
        <v>6521</v>
      </c>
      <c r="C1067" s="349" t="s">
        <v>6791</v>
      </c>
      <c r="D1067" s="1032" t="s">
        <v>75</v>
      </c>
      <c r="E1067" s="413" t="s">
        <v>6563</v>
      </c>
      <c r="F1067" s="413">
        <v>80850.0</v>
      </c>
      <c r="G1067" s="2"/>
      <c r="H1067" s="349" t="s">
        <v>6792</v>
      </c>
      <c r="I1067" s="402"/>
      <c r="J1067" s="402"/>
      <c r="K1067" s="402"/>
      <c r="L1067" s="402"/>
      <c r="M1067" s="402"/>
      <c r="N1067" s="402"/>
      <c r="O1067" s="402"/>
      <c r="P1067" s="402"/>
      <c r="Q1067" s="402"/>
      <c r="R1067" s="402"/>
      <c r="S1067" s="402"/>
      <c r="T1067" s="402"/>
      <c r="U1067" s="402"/>
      <c r="V1067" s="402"/>
      <c r="W1067" s="402"/>
      <c r="X1067" s="402"/>
      <c r="Y1067" s="402"/>
      <c r="Z1067" s="402"/>
    </row>
    <row r="1068" ht="14.25" customHeight="1">
      <c r="A1068" s="497">
        <v>45525.0</v>
      </c>
      <c r="B1068" s="349" t="s">
        <v>6639</v>
      </c>
      <c r="C1068" s="349" t="s">
        <v>6640</v>
      </c>
      <c r="D1068" s="1032" t="s">
        <v>54</v>
      </c>
      <c r="E1068" s="413" t="s">
        <v>6763</v>
      </c>
      <c r="F1068" s="413">
        <v>124350.36</v>
      </c>
      <c r="G1068" s="403"/>
      <c r="H1068" s="402"/>
      <c r="I1068" s="402"/>
      <c r="J1068" s="402"/>
      <c r="K1068" s="402"/>
      <c r="L1068" s="402"/>
      <c r="M1068" s="402"/>
      <c r="N1068" s="402"/>
      <c r="O1068" s="402"/>
      <c r="P1068" s="402"/>
      <c r="Q1068" s="402"/>
      <c r="R1068" s="402"/>
      <c r="S1068" s="402"/>
      <c r="T1068" s="402"/>
      <c r="U1068" s="402"/>
      <c r="V1068" s="402"/>
      <c r="W1068" s="402"/>
      <c r="X1068" s="402"/>
      <c r="Y1068" s="402"/>
      <c r="Z1068" s="402"/>
    </row>
    <row r="1069" ht="14.25" customHeight="1">
      <c r="A1069" s="497">
        <v>45525.0</v>
      </c>
      <c r="B1069" s="349" t="s">
        <v>6655</v>
      </c>
      <c r="C1069" s="349" t="s">
        <v>6656</v>
      </c>
      <c r="D1069" s="1032" t="s">
        <v>54</v>
      </c>
      <c r="E1069" s="413" t="s">
        <v>6563</v>
      </c>
      <c r="F1069" s="413">
        <v>40789.15</v>
      </c>
      <c r="G1069" s="403"/>
      <c r="H1069" s="349" t="s">
        <v>6793</v>
      </c>
      <c r="I1069" s="402"/>
      <c r="J1069" s="402"/>
      <c r="K1069" s="402"/>
      <c r="L1069" s="402"/>
      <c r="M1069" s="402"/>
      <c r="N1069" s="402"/>
      <c r="O1069" s="402"/>
      <c r="P1069" s="402"/>
      <c r="Q1069" s="402"/>
      <c r="R1069" s="402"/>
      <c r="S1069" s="402"/>
      <c r="T1069" s="402"/>
      <c r="U1069" s="402"/>
      <c r="V1069" s="402"/>
      <c r="W1069" s="402"/>
      <c r="X1069" s="402"/>
      <c r="Y1069" s="402"/>
      <c r="Z1069" s="402"/>
    </row>
    <row r="1070" ht="14.25" customHeight="1">
      <c r="A1070" s="497">
        <v>45525.0</v>
      </c>
      <c r="B1070" s="484" t="s">
        <v>6080</v>
      </c>
      <c r="C1070" s="522" t="s">
        <v>6680</v>
      </c>
      <c r="D1070" s="1032" t="s">
        <v>54</v>
      </c>
      <c r="E1070" s="413" t="s">
        <v>6563</v>
      </c>
      <c r="F1070" s="1118">
        <v>41815.26</v>
      </c>
      <c r="G1070" s="403"/>
      <c r="H1070" s="349" t="s">
        <v>179</v>
      </c>
      <c r="I1070" s="402"/>
      <c r="J1070" s="402"/>
      <c r="K1070" s="402"/>
      <c r="L1070" s="402"/>
      <c r="M1070" s="402"/>
      <c r="N1070" s="402"/>
      <c r="O1070" s="402"/>
      <c r="P1070" s="402"/>
      <c r="Q1070" s="402"/>
      <c r="R1070" s="402"/>
      <c r="S1070" s="402"/>
      <c r="T1070" s="402"/>
      <c r="U1070" s="402"/>
      <c r="V1070" s="402"/>
      <c r="W1070" s="402"/>
      <c r="X1070" s="402"/>
      <c r="Y1070" s="402"/>
      <c r="Z1070" s="402"/>
    </row>
    <row r="1071" ht="14.25" customHeight="1">
      <c r="A1071" s="497">
        <v>45525.0</v>
      </c>
      <c r="B1071" s="65" t="s">
        <v>6670</v>
      </c>
      <c r="C1071" s="65" t="s">
        <v>6794</v>
      </c>
      <c r="D1071" s="65" t="s">
        <v>54</v>
      </c>
      <c r="E1071" s="413" t="s">
        <v>6763</v>
      </c>
      <c r="F1071" s="413">
        <v>57319.25</v>
      </c>
      <c r="H1071" s="402"/>
      <c r="I1071" s="402"/>
      <c r="J1071" s="402"/>
      <c r="K1071" s="402"/>
      <c r="L1071" s="402"/>
      <c r="M1071" s="402"/>
      <c r="N1071" s="402"/>
      <c r="O1071" s="402"/>
      <c r="P1071" s="402"/>
      <c r="Q1071" s="402"/>
      <c r="R1071" s="402"/>
      <c r="S1071" s="402"/>
      <c r="T1071" s="402"/>
      <c r="U1071" s="402"/>
      <c r="V1071" s="402"/>
      <c r="W1071" s="402"/>
      <c r="X1071" s="402"/>
      <c r="Y1071" s="402"/>
      <c r="Z1071" s="402"/>
    </row>
    <row r="1072" ht="14.25" customHeight="1">
      <c r="A1072" s="497">
        <v>45525.0</v>
      </c>
      <c r="B1072" s="65" t="s">
        <v>6672</v>
      </c>
      <c r="C1072" s="65" t="s">
        <v>6795</v>
      </c>
      <c r="D1072" s="65" t="s">
        <v>54</v>
      </c>
      <c r="E1072" s="413" t="s">
        <v>6563</v>
      </c>
      <c r="F1072" s="413">
        <v>72327.49</v>
      </c>
      <c r="H1072" s="349" t="s">
        <v>6796</v>
      </c>
      <c r="I1072" s="402"/>
      <c r="J1072" s="402"/>
      <c r="K1072" s="402"/>
      <c r="L1072" s="402"/>
      <c r="M1072" s="402"/>
      <c r="N1072" s="402"/>
      <c r="O1072" s="402"/>
      <c r="P1072" s="402"/>
      <c r="Q1072" s="402"/>
      <c r="R1072" s="402"/>
      <c r="S1072" s="402"/>
      <c r="T1072" s="402"/>
      <c r="U1072" s="402"/>
      <c r="V1072" s="402"/>
      <c r="W1072" s="402"/>
      <c r="X1072" s="402"/>
      <c r="Y1072" s="402"/>
      <c r="Z1072" s="402"/>
    </row>
    <row r="1073" ht="14.25" customHeight="1">
      <c r="A1073" s="497">
        <v>45525.0</v>
      </c>
      <c r="B1073" s="455" t="s">
        <v>6797</v>
      </c>
      <c r="C1073" s="709" t="s">
        <v>6798</v>
      </c>
      <c r="D1073" s="709" t="s">
        <v>54</v>
      </c>
      <c r="E1073" s="413" t="s">
        <v>6511</v>
      </c>
      <c r="F1073" s="1082">
        <v>98968.0</v>
      </c>
      <c r="H1073" s="402"/>
      <c r="I1073" s="402"/>
      <c r="J1073" s="402"/>
      <c r="K1073" s="402"/>
      <c r="L1073" s="402"/>
      <c r="M1073" s="402"/>
      <c r="N1073" s="402"/>
      <c r="O1073" s="402"/>
      <c r="P1073" s="402"/>
      <c r="Q1073" s="402"/>
      <c r="R1073" s="402"/>
      <c r="S1073" s="402"/>
      <c r="T1073" s="402"/>
      <c r="U1073" s="402"/>
      <c r="V1073" s="402"/>
      <c r="W1073" s="402"/>
      <c r="X1073" s="402"/>
      <c r="Y1073" s="402"/>
      <c r="Z1073" s="402"/>
    </row>
    <row r="1074" ht="14.25" customHeight="1">
      <c r="A1074" s="497">
        <v>45525.0</v>
      </c>
      <c r="B1074" s="455" t="s">
        <v>6561</v>
      </c>
      <c r="C1074" s="709" t="s">
        <v>6799</v>
      </c>
      <c r="D1074" s="1082" t="s">
        <v>54</v>
      </c>
      <c r="E1074" s="413" t="s">
        <v>6511</v>
      </c>
      <c r="F1074" s="1082">
        <v>140493.82</v>
      </c>
      <c r="G1074" s="403"/>
      <c r="H1074" s="349" t="s">
        <v>4655</v>
      </c>
      <c r="I1074" s="402"/>
      <c r="J1074" s="402"/>
      <c r="K1074" s="402"/>
      <c r="L1074" s="402"/>
      <c r="M1074" s="402"/>
      <c r="N1074" s="402"/>
      <c r="O1074" s="402"/>
      <c r="P1074" s="402"/>
      <c r="Q1074" s="402"/>
      <c r="R1074" s="402"/>
      <c r="S1074" s="402"/>
      <c r="T1074" s="402"/>
      <c r="U1074" s="402"/>
      <c r="V1074" s="402"/>
      <c r="W1074" s="402"/>
      <c r="X1074" s="402"/>
      <c r="Y1074" s="402"/>
      <c r="Z1074" s="402"/>
    </row>
    <row r="1075" ht="14.25" customHeight="1">
      <c r="A1075" s="497">
        <v>45525.0</v>
      </c>
      <c r="B1075" s="1105" t="s">
        <v>6728</v>
      </c>
      <c r="C1075" s="1106" t="s">
        <v>6800</v>
      </c>
      <c r="D1075" s="1106" t="s">
        <v>54</v>
      </c>
      <c r="E1075" s="413" t="s">
        <v>6511</v>
      </c>
      <c r="F1075" s="470">
        <v>63033.6</v>
      </c>
      <c r="H1075" s="555"/>
      <c r="I1075" s="402"/>
      <c r="J1075" s="402"/>
      <c r="K1075" s="402"/>
      <c r="L1075" s="402"/>
      <c r="M1075" s="402"/>
      <c r="N1075" s="402"/>
      <c r="O1075" s="402"/>
      <c r="P1075" s="402"/>
      <c r="Q1075" s="402"/>
      <c r="R1075" s="402"/>
      <c r="S1075" s="402"/>
      <c r="T1075" s="402"/>
      <c r="U1075" s="402"/>
      <c r="V1075" s="402"/>
      <c r="W1075" s="402"/>
      <c r="X1075" s="402"/>
      <c r="Y1075" s="402"/>
      <c r="Z1075" s="402"/>
    </row>
    <row r="1076" ht="14.25" customHeight="1">
      <c r="A1076" s="497">
        <v>45525.0</v>
      </c>
      <c r="B1076" s="455" t="s">
        <v>6460</v>
      </c>
      <c r="C1076" s="709" t="s">
        <v>6801</v>
      </c>
      <c r="D1076" s="709" t="s">
        <v>54</v>
      </c>
      <c r="E1076" s="413" t="s">
        <v>6511</v>
      </c>
      <c r="F1076" s="1082">
        <v>44690.94</v>
      </c>
      <c r="H1076" s="555"/>
      <c r="I1076" s="402"/>
      <c r="J1076" s="402"/>
      <c r="K1076" s="402"/>
      <c r="L1076" s="402"/>
      <c r="M1076" s="402"/>
      <c r="N1076" s="402"/>
      <c r="O1076" s="402"/>
      <c r="P1076" s="402"/>
      <c r="Q1076" s="402"/>
      <c r="R1076" s="402"/>
      <c r="S1076" s="402"/>
      <c r="T1076" s="402"/>
      <c r="U1076" s="402"/>
      <c r="V1076" s="402"/>
      <c r="W1076" s="402"/>
      <c r="X1076" s="402"/>
      <c r="Y1076" s="402"/>
      <c r="Z1076" s="402"/>
    </row>
    <row r="1077" ht="14.25" customHeight="1">
      <c r="A1077" s="497">
        <v>45525.0</v>
      </c>
      <c r="B1077" s="455" t="s">
        <v>6087</v>
      </c>
      <c r="C1077" s="709" t="s">
        <v>6802</v>
      </c>
      <c r="D1077" s="709" t="s">
        <v>54</v>
      </c>
      <c r="E1077" s="413" t="s">
        <v>6511</v>
      </c>
      <c r="F1077" s="1082">
        <v>110221.85</v>
      </c>
      <c r="H1077" s="555"/>
      <c r="I1077" s="402"/>
      <c r="J1077" s="402"/>
      <c r="K1077" s="402"/>
      <c r="L1077" s="402"/>
      <c r="M1077" s="402"/>
      <c r="N1077" s="402"/>
      <c r="O1077" s="402"/>
      <c r="P1077" s="402"/>
      <c r="Q1077" s="402"/>
      <c r="R1077" s="402"/>
      <c r="S1077" s="402"/>
      <c r="T1077" s="402"/>
      <c r="U1077" s="402"/>
      <c r="V1077" s="402"/>
      <c r="W1077" s="402"/>
      <c r="X1077" s="402"/>
      <c r="Y1077" s="402"/>
      <c r="Z1077" s="402"/>
    </row>
    <row r="1078" ht="14.25" customHeight="1">
      <c r="A1078" s="497">
        <v>45525.0</v>
      </c>
      <c r="B1078" s="455" t="s">
        <v>6676</v>
      </c>
      <c r="C1078" s="709" t="s">
        <v>6803</v>
      </c>
      <c r="D1078" s="709" t="s">
        <v>54</v>
      </c>
      <c r="E1078" s="413" t="s">
        <v>6511</v>
      </c>
      <c r="F1078" s="1082">
        <v>50837.5</v>
      </c>
      <c r="H1078" s="555"/>
      <c r="I1078" s="402"/>
      <c r="J1078" s="402"/>
      <c r="K1078" s="402"/>
      <c r="L1078" s="402"/>
      <c r="M1078" s="402"/>
      <c r="N1078" s="402"/>
      <c r="O1078" s="402"/>
      <c r="P1078" s="402"/>
      <c r="Q1078" s="402"/>
      <c r="R1078" s="402"/>
      <c r="S1078" s="402"/>
      <c r="T1078" s="402"/>
      <c r="U1078" s="402"/>
      <c r="V1078" s="402"/>
      <c r="W1078" s="402"/>
      <c r="X1078" s="402"/>
      <c r="Y1078" s="402"/>
      <c r="Z1078" s="402"/>
    </row>
    <row r="1079" ht="14.25" customHeight="1">
      <c r="A1079" s="497">
        <v>45525.0</v>
      </c>
      <c r="B1079" s="455" t="s">
        <v>6614</v>
      </c>
      <c r="C1079" s="709" t="s">
        <v>6804</v>
      </c>
      <c r="D1079" s="709" t="s">
        <v>54</v>
      </c>
      <c r="E1079" s="413" t="s">
        <v>6763</v>
      </c>
      <c r="F1079" s="1082">
        <v>37768.53</v>
      </c>
      <c r="H1079" s="555"/>
      <c r="I1079" s="402"/>
      <c r="J1079" s="402"/>
      <c r="K1079" s="402"/>
      <c r="L1079" s="402"/>
      <c r="M1079" s="402"/>
      <c r="N1079" s="402"/>
      <c r="O1079" s="402"/>
      <c r="P1079" s="402"/>
      <c r="Q1079" s="402"/>
      <c r="R1079" s="402"/>
      <c r="S1079" s="402"/>
      <c r="T1079" s="402"/>
      <c r="U1079" s="402"/>
      <c r="V1079" s="402"/>
      <c r="W1079" s="402"/>
      <c r="X1079" s="402"/>
      <c r="Y1079" s="402"/>
      <c r="Z1079" s="402"/>
    </row>
    <row r="1080" ht="14.25" customHeight="1">
      <c r="A1080" s="497">
        <v>45525.0</v>
      </c>
      <c r="B1080" s="484" t="s">
        <v>6587</v>
      </c>
      <c r="C1080" s="522" t="s">
        <v>6805</v>
      </c>
      <c r="D1080" s="522" t="s">
        <v>54</v>
      </c>
      <c r="E1080" s="413" t="s">
        <v>6511</v>
      </c>
      <c r="F1080" s="738">
        <v>41933.51</v>
      </c>
      <c r="H1080" s="555"/>
      <c r="I1080" s="402"/>
      <c r="J1080" s="402"/>
      <c r="K1080" s="402"/>
      <c r="L1080" s="402"/>
      <c r="M1080" s="402"/>
      <c r="N1080" s="402"/>
      <c r="O1080" s="402"/>
      <c r="P1080" s="402"/>
      <c r="Q1080" s="402"/>
      <c r="R1080" s="402"/>
      <c r="S1080" s="402"/>
      <c r="T1080" s="402"/>
      <c r="U1080" s="402"/>
      <c r="V1080" s="402"/>
      <c r="W1080" s="402"/>
      <c r="X1080" s="402"/>
      <c r="Y1080" s="402"/>
      <c r="Z1080" s="402"/>
    </row>
    <row r="1081" ht="14.25" customHeight="1">
      <c r="A1081" s="497">
        <v>45525.0</v>
      </c>
      <c r="B1081" s="1105" t="s">
        <v>107</v>
      </c>
      <c r="C1081" s="1106"/>
      <c r="D1081" s="1119"/>
      <c r="E1081" s="413"/>
      <c r="F1081" s="1107"/>
      <c r="G1081" s="1120"/>
      <c r="H1081" s="555"/>
      <c r="I1081" s="402"/>
      <c r="J1081" s="402"/>
      <c r="K1081" s="402"/>
      <c r="L1081" s="402"/>
      <c r="M1081" s="402"/>
      <c r="N1081" s="402"/>
      <c r="O1081" s="402"/>
      <c r="P1081" s="402"/>
      <c r="Q1081" s="402"/>
      <c r="R1081" s="402"/>
      <c r="S1081" s="402"/>
      <c r="T1081" s="402"/>
      <c r="U1081" s="402"/>
      <c r="V1081" s="402"/>
      <c r="W1081" s="402"/>
      <c r="X1081" s="402"/>
      <c r="Y1081" s="402"/>
      <c r="Z1081" s="402"/>
    </row>
    <row r="1082" ht="14.25" customHeight="1">
      <c r="A1082" s="497">
        <v>45525.0</v>
      </c>
      <c r="B1082" s="1105" t="s">
        <v>5984</v>
      </c>
      <c r="C1082" s="1106" t="s">
        <v>5985</v>
      </c>
      <c r="D1082" s="1119" t="s">
        <v>54</v>
      </c>
      <c r="E1082" s="1106" t="s">
        <v>2165</v>
      </c>
      <c r="F1082" s="1107">
        <v>140000.0</v>
      </c>
      <c r="G1082" s="470"/>
      <c r="H1082" s="555" t="s">
        <v>6806</v>
      </c>
      <c r="I1082" s="402"/>
      <c r="J1082" s="402"/>
      <c r="K1082" s="402"/>
      <c r="L1082" s="402"/>
      <c r="M1082" s="402"/>
      <c r="N1082" s="402"/>
      <c r="O1082" s="402"/>
      <c r="P1082" s="402"/>
      <c r="Q1082" s="402"/>
      <c r="R1082" s="402"/>
      <c r="S1082" s="402"/>
      <c r="T1082" s="402"/>
      <c r="U1082" s="402"/>
      <c r="V1082" s="402"/>
      <c r="W1082" s="402"/>
      <c r="X1082" s="402"/>
      <c r="Y1082" s="402"/>
      <c r="Z1082" s="402"/>
    </row>
    <row r="1083" ht="14.25" customHeight="1">
      <c r="A1083" s="660">
        <v>45525.0</v>
      </c>
      <c r="B1083" s="393" t="s">
        <v>5938</v>
      </c>
      <c r="C1083" s="698" t="s">
        <v>6775</v>
      </c>
      <c r="D1083" s="1121" t="s">
        <v>54</v>
      </c>
      <c r="E1083" s="698" t="s">
        <v>4114</v>
      </c>
      <c r="F1083" s="699">
        <v>57981.35</v>
      </c>
      <c r="G1083" s="475"/>
      <c r="H1083" s="395" t="s">
        <v>6807</v>
      </c>
      <c r="I1083" s="402"/>
      <c r="J1083" s="402"/>
      <c r="K1083" s="402"/>
      <c r="L1083" s="402"/>
      <c r="M1083" s="402"/>
      <c r="N1083" s="402"/>
      <c r="O1083" s="402"/>
      <c r="P1083" s="402"/>
      <c r="Q1083" s="402"/>
      <c r="R1083" s="402"/>
      <c r="S1083" s="402"/>
      <c r="T1083" s="402"/>
      <c r="U1083" s="402"/>
      <c r="V1083" s="402"/>
      <c r="W1083" s="402"/>
      <c r="X1083" s="402"/>
      <c r="Y1083" s="402"/>
      <c r="Z1083" s="402"/>
    </row>
    <row r="1084" ht="14.25" customHeight="1">
      <c r="A1084" s="660">
        <v>45525.0</v>
      </c>
      <c r="B1084" s="393" t="s">
        <v>5679</v>
      </c>
      <c r="C1084" s="698" t="s">
        <v>5680</v>
      </c>
      <c r="D1084" s="1121" t="s">
        <v>54</v>
      </c>
      <c r="E1084" s="698" t="s">
        <v>4114</v>
      </c>
      <c r="F1084" s="699">
        <v>25000.0</v>
      </c>
      <c r="G1084" s="475"/>
      <c r="H1084" s="395" t="s">
        <v>6777</v>
      </c>
      <c r="I1084" s="402"/>
      <c r="J1084" s="402"/>
      <c r="K1084" s="402"/>
      <c r="L1084" s="402"/>
      <c r="M1084" s="402"/>
      <c r="N1084" s="402"/>
      <c r="O1084" s="402"/>
      <c r="P1084" s="402"/>
      <c r="Q1084" s="402"/>
      <c r="R1084" s="402"/>
      <c r="S1084" s="402"/>
      <c r="T1084" s="402"/>
      <c r="U1084" s="402"/>
      <c r="V1084" s="402"/>
      <c r="W1084" s="402"/>
      <c r="X1084" s="402"/>
      <c r="Y1084" s="402"/>
      <c r="Z1084" s="402"/>
    </row>
    <row r="1085" ht="14.25" customHeight="1">
      <c r="A1085" s="660">
        <v>45525.0</v>
      </c>
      <c r="B1085" s="393" t="s">
        <v>6017</v>
      </c>
      <c r="C1085" s="698" t="s">
        <v>6808</v>
      </c>
      <c r="D1085" s="1121" t="s">
        <v>54</v>
      </c>
      <c r="E1085" s="698" t="s">
        <v>4114</v>
      </c>
      <c r="F1085" s="699">
        <v>40000.0</v>
      </c>
      <c r="G1085" s="475"/>
      <c r="H1085" s="395" t="s">
        <v>6809</v>
      </c>
      <c r="I1085" s="402"/>
      <c r="J1085" s="402"/>
      <c r="K1085" s="402"/>
      <c r="L1085" s="402"/>
      <c r="M1085" s="402"/>
      <c r="N1085" s="402"/>
      <c r="O1085" s="402"/>
      <c r="P1085" s="402"/>
      <c r="Q1085" s="402"/>
      <c r="R1085" s="402"/>
      <c r="S1085" s="402"/>
      <c r="T1085" s="402"/>
      <c r="U1085" s="402"/>
      <c r="V1085" s="402"/>
      <c r="W1085" s="402"/>
      <c r="X1085" s="402"/>
      <c r="Y1085" s="402"/>
      <c r="Z1085" s="402"/>
    </row>
    <row r="1086" ht="14.25" customHeight="1">
      <c r="A1086" s="660">
        <v>45525.0</v>
      </c>
      <c r="B1086" s="393" t="s">
        <v>5929</v>
      </c>
      <c r="C1086" s="698" t="s">
        <v>6810</v>
      </c>
      <c r="D1086" s="1121" t="s">
        <v>54</v>
      </c>
      <c r="E1086" s="698" t="s">
        <v>4114</v>
      </c>
      <c r="F1086" s="699">
        <v>42000.0</v>
      </c>
      <c r="G1086" s="475"/>
      <c r="H1086" s="395" t="s">
        <v>6542</v>
      </c>
      <c r="I1086" s="402"/>
      <c r="J1086" s="402"/>
      <c r="K1086" s="402"/>
      <c r="L1086" s="402"/>
      <c r="M1086" s="402"/>
      <c r="N1086" s="402"/>
      <c r="O1086" s="402"/>
      <c r="P1086" s="402"/>
      <c r="Q1086" s="402"/>
      <c r="R1086" s="402"/>
      <c r="S1086" s="402"/>
      <c r="T1086" s="402"/>
      <c r="U1086" s="402"/>
      <c r="V1086" s="402"/>
      <c r="W1086" s="402"/>
      <c r="X1086" s="402"/>
      <c r="Y1086" s="402"/>
      <c r="Z1086" s="402"/>
    </row>
    <row r="1087" ht="14.25" customHeight="1">
      <c r="A1087" s="660">
        <v>45525.0</v>
      </c>
      <c r="B1087" s="1122" t="s">
        <v>6477</v>
      </c>
      <c r="C1087" s="1123" t="s">
        <v>6811</v>
      </c>
      <c r="D1087" s="1124" t="s">
        <v>54</v>
      </c>
      <c r="E1087" s="1123" t="s">
        <v>2165</v>
      </c>
      <c r="F1087" s="1125">
        <v>60000.0</v>
      </c>
      <c r="G1087" s="355"/>
      <c r="H1087" s="398" t="s">
        <v>6812</v>
      </c>
      <c r="I1087" s="402"/>
      <c r="J1087" s="402"/>
      <c r="K1087" s="402"/>
      <c r="L1087" s="402"/>
      <c r="M1087" s="402"/>
      <c r="N1087" s="402"/>
      <c r="O1087" s="402"/>
      <c r="P1087" s="402"/>
      <c r="Q1087" s="402"/>
      <c r="R1087" s="402"/>
      <c r="S1087" s="402"/>
      <c r="T1087" s="402"/>
      <c r="U1087" s="402"/>
      <c r="V1087" s="402"/>
      <c r="W1087" s="402"/>
      <c r="X1087" s="402"/>
      <c r="Y1087" s="402"/>
      <c r="Z1087" s="402"/>
    </row>
    <row r="1088" ht="14.25" customHeight="1">
      <c r="A1088" s="402"/>
      <c r="H1088" s="402"/>
      <c r="I1088" s="402"/>
      <c r="J1088" s="402"/>
      <c r="K1088" s="402"/>
      <c r="L1088" s="402"/>
      <c r="M1088" s="402"/>
      <c r="N1088" s="402"/>
      <c r="O1088" s="402"/>
      <c r="P1088" s="402"/>
      <c r="Q1088" s="402"/>
      <c r="R1088" s="402"/>
      <c r="S1088" s="402"/>
      <c r="T1088" s="402"/>
      <c r="U1088" s="402"/>
      <c r="V1088" s="402"/>
      <c r="W1088" s="402"/>
      <c r="X1088" s="402"/>
      <c r="Y1088" s="402"/>
      <c r="Z1088" s="402"/>
    </row>
    <row r="1089" ht="14.25" customHeight="1">
      <c r="A1089" s="1094"/>
      <c r="B1089" s="1094"/>
      <c r="C1089" s="1094"/>
      <c r="D1089" s="1096"/>
      <c r="E1089" s="1097"/>
      <c r="F1089" s="1097"/>
      <c r="G1089" s="1097"/>
      <c r="H1089" s="1094"/>
      <c r="I1089" s="1094"/>
      <c r="J1089" s="1094"/>
      <c r="K1089" s="1094"/>
      <c r="L1089" s="1094"/>
      <c r="M1089" s="1094"/>
      <c r="N1089" s="1094"/>
      <c r="O1089" s="1094"/>
      <c r="P1089" s="1094"/>
      <c r="Q1089" s="1094"/>
      <c r="R1089" s="1094"/>
      <c r="S1089" s="1094"/>
      <c r="T1089" s="1094"/>
      <c r="U1089" s="1094"/>
      <c r="V1089" s="1094"/>
      <c r="W1089" s="1094"/>
      <c r="X1089" s="1094"/>
      <c r="Y1089" s="1094"/>
      <c r="Z1089" s="1094"/>
    </row>
    <row r="1090" ht="14.25" customHeight="1">
      <c r="A1090" s="497">
        <v>45526.0</v>
      </c>
      <c r="B1090" s="349" t="s">
        <v>5618</v>
      </c>
      <c r="C1090" s="349" t="s">
        <v>5619</v>
      </c>
      <c r="D1090" s="1032" t="s">
        <v>54</v>
      </c>
      <c r="E1090" s="413" t="s">
        <v>6813</v>
      </c>
      <c r="F1090" s="413">
        <v>85309.04</v>
      </c>
      <c r="G1090" s="403"/>
      <c r="H1090" s="349" t="s">
        <v>6814</v>
      </c>
      <c r="I1090" s="402"/>
      <c r="J1090" s="402"/>
      <c r="K1090" s="402"/>
      <c r="L1090" s="402"/>
      <c r="M1090" s="402"/>
      <c r="N1090" s="402"/>
      <c r="O1090" s="402"/>
      <c r="P1090" s="402"/>
      <c r="Q1090" s="402"/>
      <c r="R1090" s="402"/>
      <c r="S1090" s="402"/>
      <c r="T1090" s="402"/>
      <c r="U1090" s="402"/>
      <c r="V1090" s="402"/>
      <c r="W1090" s="402"/>
      <c r="X1090" s="402"/>
      <c r="Y1090" s="402"/>
      <c r="Z1090" s="402"/>
    </row>
    <row r="1091" ht="14.25" customHeight="1">
      <c r="A1091" s="497">
        <v>45526.0</v>
      </c>
      <c r="B1091" s="349" t="s">
        <v>5621</v>
      </c>
      <c r="C1091" s="349" t="s">
        <v>5622</v>
      </c>
      <c r="D1091" s="1032" t="s">
        <v>54</v>
      </c>
      <c r="E1091" s="413" t="s">
        <v>6813</v>
      </c>
      <c r="F1091" s="413">
        <v>18506.46</v>
      </c>
      <c r="G1091" s="403"/>
      <c r="H1091" s="349" t="s">
        <v>6815</v>
      </c>
      <c r="I1091" s="402"/>
      <c r="J1091" s="402"/>
      <c r="K1091" s="402"/>
      <c r="L1091" s="402"/>
      <c r="M1091" s="402"/>
      <c r="N1091" s="402"/>
      <c r="O1091" s="402"/>
      <c r="P1091" s="402"/>
      <c r="Q1091" s="402"/>
      <c r="R1091" s="402"/>
      <c r="S1091" s="402"/>
      <c r="T1091" s="402"/>
      <c r="U1091" s="402"/>
      <c r="V1091" s="402"/>
      <c r="W1091" s="402"/>
      <c r="X1091" s="402"/>
      <c r="Y1091" s="402"/>
      <c r="Z1091" s="402"/>
    </row>
    <row r="1092" ht="14.25" customHeight="1">
      <c r="A1092" s="497">
        <v>45526.0</v>
      </c>
      <c r="B1092" s="349" t="s">
        <v>5624</v>
      </c>
      <c r="C1092" s="349" t="s">
        <v>5625</v>
      </c>
      <c r="D1092" s="1032" t="s">
        <v>54</v>
      </c>
      <c r="E1092" s="413" t="s">
        <v>6786</v>
      </c>
      <c r="F1092" s="413">
        <v>85056.6</v>
      </c>
      <c r="G1092" s="403"/>
      <c r="H1092" s="349" t="s">
        <v>6816</v>
      </c>
      <c r="I1092" s="402"/>
      <c r="J1092" s="402"/>
      <c r="K1092" s="402"/>
      <c r="L1092" s="402"/>
      <c r="M1092" s="402"/>
      <c r="N1092" s="402"/>
      <c r="O1092" s="402"/>
      <c r="P1092" s="402"/>
      <c r="Q1092" s="402"/>
      <c r="R1092" s="402"/>
      <c r="S1092" s="402"/>
      <c r="T1092" s="402"/>
      <c r="U1092" s="402"/>
      <c r="V1092" s="402"/>
      <c r="W1092" s="402"/>
      <c r="X1092" s="402"/>
      <c r="Y1092" s="402"/>
      <c r="Z1092" s="402"/>
    </row>
    <row r="1093" ht="14.25" customHeight="1">
      <c r="A1093" s="497">
        <v>45526.0</v>
      </c>
      <c r="B1093" s="349" t="s">
        <v>5626</v>
      </c>
      <c r="C1093" s="349" t="s">
        <v>5627</v>
      </c>
      <c r="D1093" s="1032" t="s">
        <v>54</v>
      </c>
      <c r="E1093" s="413" t="s">
        <v>6763</v>
      </c>
      <c r="F1093" s="413">
        <v>140846.15</v>
      </c>
      <c r="G1093" s="403"/>
      <c r="H1093" s="402"/>
      <c r="I1093" s="402"/>
      <c r="J1093" s="402"/>
      <c r="K1093" s="402"/>
      <c r="L1093" s="402"/>
      <c r="M1093" s="402"/>
      <c r="N1093" s="402"/>
      <c r="O1093" s="402"/>
      <c r="P1093" s="402"/>
      <c r="Q1093" s="402"/>
      <c r="R1093" s="402"/>
      <c r="S1093" s="402"/>
      <c r="T1093" s="402"/>
      <c r="U1093" s="402"/>
      <c r="V1093" s="402"/>
      <c r="W1093" s="402"/>
      <c r="X1093" s="402"/>
      <c r="Y1093" s="402"/>
      <c r="Z1093" s="402"/>
    </row>
    <row r="1094" ht="14.25" customHeight="1">
      <c r="A1094" s="497">
        <v>45526.0</v>
      </c>
      <c r="B1094" s="349" t="s">
        <v>5628</v>
      </c>
      <c r="C1094" s="349" t="s">
        <v>5629</v>
      </c>
      <c r="D1094" s="1032" t="s">
        <v>54</v>
      </c>
      <c r="E1094" s="413" t="s">
        <v>6563</v>
      </c>
      <c r="F1094" s="413">
        <v>17931.38</v>
      </c>
      <c r="G1094" s="403"/>
      <c r="H1094" s="349" t="s">
        <v>6817</v>
      </c>
      <c r="I1094" s="402"/>
      <c r="J1094" s="402"/>
      <c r="K1094" s="402"/>
      <c r="L1094" s="402"/>
      <c r="M1094" s="402"/>
      <c r="N1094" s="402"/>
      <c r="O1094" s="402"/>
      <c r="P1094" s="402"/>
      <c r="Q1094" s="402"/>
      <c r="R1094" s="402"/>
      <c r="S1094" s="402"/>
      <c r="T1094" s="402"/>
      <c r="U1094" s="402"/>
      <c r="V1094" s="402"/>
      <c r="W1094" s="402"/>
      <c r="X1094" s="402"/>
      <c r="Y1094" s="402"/>
      <c r="Z1094" s="402"/>
    </row>
    <row r="1095" ht="14.25" customHeight="1">
      <c r="A1095" s="497">
        <v>45526.0</v>
      </c>
      <c r="B1095" s="349" t="s">
        <v>5632</v>
      </c>
      <c r="C1095" s="349" t="s">
        <v>5633</v>
      </c>
      <c r="D1095" s="1032" t="s">
        <v>346</v>
      </c>
      <c r="E1095" s="413" t="s">
        <v>6813</v>
      </c>
      <c r="F1095" s="413">
        <v>4320.0</v>
      </c>
      <c r="G1095" s="413">
        <v>4320.0</v>
      </c>
      <c r="H1095" s="349" t="s">
        <v>6817</v>
      </c>
      <c r="I1095" s="402"/>
      <c r="J1095" s="402"/>
      <c r="K1095" s="402"/>
      <c r="L1095" s="402"/>
      <c r="M1095" s="402"/>
      <c r="N1095" s="402"/>
      <c r="O1095" s="402"/>
      <c r="P1095" s="402"/>
      <c r="Q1095" s="402"/>
      <c r="R1095" s="402"/>
      <c r="S1095" s="402"/>
      <c r="T1095" s="402"/>
      <c r="U1095" s="402"/>
      <c r="V1095" s="402"/>
      <c r="W1095" s="402"/>
      <c r="X1095" s="402"/>
      <c r="Y1095" s="402"/>
      <c r="Z1095" s="402"/>
    </row>
    <row r="1096" ht="14.25" customHeight="1">
      <c r="A1096" s="497">
        <v>45526.0</v>
      </c>
      <c r="B1096" s="349" t="s">
        <v>5634</v>
      </c>
      <c r="C1096" s="349" t="s">
        <v>5635</v>
      </c>
      <c r="D1096" s="1032" t="s">
        <v>54</v>
      </c>
      <c r="E1096" s="413" t="s">
        <v>6563</v>
      </c>
      <c r="F1096" s="413">
        <v>54399.8</v>
      </c>
      <c r="G1096" s="413">
        <v>54400.0</v>
      </c>
      <c r="H1096" s="349" t="s">
        <v>149</v>
      </c>
      <c r="I1096" s="402"/>
      <c r="J1096" s="402"/>
      <c r="K1096" s="402"/>
      <c r="L1096" s="402"/>
      <c r="M1096" s="402"/>
      <c r="N1096" s="402"/>
      <c r="O1096" s="402"/>
      <c r="P1096" s="402"/>
      <c r="Q1096" s="402"/>
      <c r="R1096" s="402"/>
      <c r="S1096" s="402"/>
      <c r="T1096" s="402"/>
      <c r="U1096" s="402"/>
      <c r="V1096" s="402"/>
      <c r="W1096" s="402"/>
      <c r="X1096" s="402"/>
      <c r="Y1096" s="402"/>
      <c r="Z1096" s="402"/>
    </row>
    <row r="1097" ht="14.25" customHeight="1">
      <c r="A1097" s="497">
        <v>45526.0</v>
      </c>
      <c r="B1097" s="349" t="s">
        <v>5639</v>
      </c>
      <c r="C1097" s="349" t="s">
        <v>5627</v>
      </c>
      <c r="D1097" s="1032" t="s">
        <v>346</v>
      </c>
      <c r="E1097" s="413" t="s">
        <v>6563</v>
      </c>
      <c r="F1097" s="413">
        <v>11580.7</v>
      </c>
      <c r="G1097" s="403"/>
      <c r="H1097" s="349" t="s">
        <v>6818</v>
      </c>
      <c r="I1097" s="402"/>
      <c r="J1097" s="402"/>
      <c r="K1097" s="402"/>
      <c r="L1097" s="402"/>
      <c r="M1097" s="402"/>
      <c r="N1097" s="402"/>
      <c r="O1097" s="402"/>
      <c r="P1097" s="402"/>
      <c r="Q1097" s="402"/>
      <c r="R1097" s="402"/>
      <c r="S1097" s="402"/>
      <c r="T1097" s="402"/>
      <c r="U1097" s="402"/>
      <c r="V1097" s="402"/>
      <c r="W1097" s="402"/>
      <c r="X1097" s="402"/>
      <c r="Y1097" s="402"/>
      <c r="Z1097" s="402"/>
    </row>
    <row r="1098" ht="14.25" customHeight="1">
      <c r="A1098" s="497">
        <v>45526.0</v>
      </c>
      <c r="B1098" s="349" t="s">
        <v>5640</v>
      </c>
      <c r="C1098" s="349" t="s">
        <v>5641</v>
      </c>
      <c r="D1098" s="1032" t="s">
        <v>67</v>
      </c>
      <c r="E1098" s="413" t="s">
        <v>6563</v>
      </c>
      <c r="F1098" s="413">
        <v>1000000.0</v>
      </c>
      <c r="G1098" s="403"/>
      <c r="H1098" s="402"/>
      <c r="I1098" s="402"/>
      <c r="J1098" s="402"/>
      <c r="K1098" s="402"/>
      <c r="L1098" s="402"/>
      <c r="M1098" s="402"/>
      <c r="N1098" s="402"/>
      <c r="O1098" s="402"/>
      <c r="P1098" s="402"/>
      <c r="Q1098" s="402"/>
      <c r="R1098" s="402"/>
      <c r="S1098" s="402"/>
      <c r="T1098" s="402"/>
      <c r="U1098" s="402"/>
      <c r="V1098" s="402"/>
      <c r="W1098" s="402"/>
      <c r="X1098" s="402"/>
      <c r="Y1098" s="402"/>
      <c r="Z1098" s="402"/>
    </row>
    <row r="1099" ht="14.25" customHeight="1">
      <c r="A1099" s="497">
        <v>45526.0</v>
      </c>
      <c r="B1099" s="349" t="s">
        <v>5642</v>
      </c>
      <c r="C1099" s="349" t="s">
        <v>5643</v>
      </c>
      <c r="D1099" s="1032" t="s">
        <v>54</v>
      </c>
      <c r="E1099" s="413" t="s">
        <v>6763</v>
      </c>
      <c r="F1099" s="413">
        <v>19111.0</v>
      </c>
      <c r="G1099" s="403"/>
      <c r="H1099" s="402"/>
      <c r="I1099" s="402"/>
      <c r="J1099" s="402"/>
      <c r="K1099" s="402"/>
      <c r="L1099" s="402"/>
      <c r="M1099" s="402"/>
      <c r="N1099" s="402"/>
      <c r="O1099" s="402"/>
      <c r="P1099" s="402"/>
      <c r="Q1099" s="402"/>
      <c r="R1099" s="402"/>
      <c r="S1099" s="402"/>
      <c r="T1099" s="402"/>
      <c r="U1099" s="402"/>
      <c r="V1099" s="402"/>
      <c r="W1099" s="402"/>
      <c r="X1099" s="402"/>
      <c r="Y1099" s="402"/>
      <c r="Z1099" s="402"/>
    </row>
    <row r="1100" ht="14.25" customHeight="1">
      <c r="A1100" s="497">
        <v>45526.0</v>
      </c>
      <c r="B1100" s="349" t="s">
        <v>6819</v>
      </c>
      <c r="C1100" s="349" t="s">
        <v>5708</v>
      </c>
      <c r="D1100" s="1032" t="s">
        <v>75</v>
      </c>
      <c r="E1100" s="413" t="s">
        <v>6563</v>
      </c>
      <c r="F1100" s="413">
        <v>805000.0</v>
      </c>
      <c r="G1100" s="413">
        <v>805000.0</v>
      </c>
      <c r="H1100" s="349" t="s">
        <v>267</v>
      </c>
      <c r="I1100" s="402"/>
      <c r="J1100" s="402"/>
      <c r="K1100" s="402"/>
      <c r="L1100" s="402"/>
      <c r="M1100" s="402"/>
      <c r="N1100" s="402"/>
      <c r="O1100" s="402"/>
      <c r="P1100" s="402"/>
      <c r="Q1100" s="402"/>
      <c r="R1100" s="402"/>
      <c r="S1100" s="402"/>
      <c r="T1100" s="402"/>
      <c r="U1100" s="402"/>
      <c r="V1100" s="402"/>
      <c r="W1100" s="402"/>
      <c r="X1100" s="402"/>
      <c r="Y1100" s="402"/>
      <c r="Z1100" s="402"/>
    </row>
    <row r="1101" ht="14.25" customHeight="1">
      <c r="A1101" s="497">
        <v>45526.0</v>
      </c>
      <c r="B1101" s="484" t="s">
        <v>6080</v>
      </c>
      <c r="C1101" s="522" t="s">
        <v>6680</v>
      </c>
      <c r="D1101" s="1032" t="s">
        <v>54</v>
      </c>
      <c r="E1101" s="413" t="s">
        <v>6563</v>
      </c>
      <c r="F1101" s="495">
        <v>31350.0</v>
      </c>
      <c r="G1101" s="495">
        <v>31350.0</v>
      </c>
      <c r="H1101" s="349" t="s">
        <v>267</v>
      </c>
      <c r="I1101" s="402"/>
      <c r="J1101" s="402"/>
      <c r="K1101" s="402"/>
      <c r="L1101" s="402"/>
      <c r="M1101" s="402"/>
      <c r="N1101" s="402"/>
      <c r="O1101" s="402"/>
      <c r="P1101" s="402"/>
      <c r="Q1101" s="402"/>
      <c r="R1101" s="402"/>
      <c r="S1101" s="402"/>
      <c r="T1101" s="402"/>
      <c r="U1101" s="402"/>
      <c r="V1101" s="402"/>
      <c r="W1101" s="402"/>
      <c r="X1101" s="402"/>
      <c r="Y1101" s="402"/>
      <c r="Z1101" s="402"/>
    </row>
    <row r="1102" ht="14.25" customHeight="1">
      <c r="A1102" s="497">
        <v>45526.0</v>
      </c>
      <c r="B1102" s="349" t="s">
        <v>6820</v>
      </c>
      <c r="C1102" s="349" t="s">
        <v>5633</v>
      </c>
      <c r="D1102" s="1032" t="s">
        <v>54</v>
      </c>
      <c r="E1102" s="413" t="s">
        <v>6563</v>
      </c>
      <c r="F1102" s="413">
        <v>25858.0</v>
      </c>
      <c r="G1102" s="413">
        <v>25858.0</v>
      </c>
      <c r="H1102" s="349" t="s">
        <v>267</v>
      </c>
      <c r="I1102" s="402"/>
      <c r="J1102" s="402"/>
      <c r="K1102" s="402"/>
      <c r="L1102" s="402"/>
      <c r="M1102" s="402"/>
      <c r="N1102" s="402"/>
      <c r="O1102" s="402"/>
      <c r="P1102" s="402"/>
      <c r="Q1102" s="402"/>
      <c r="R1102" s="402"/>
      <c r="S1102" s="402"/>
      <c r="T1102" s="402"/>
      <c r="U1102" s="402"/>
      <c r="V1102" s="402"/>
      <c r="W1102" s="402"/>
      <c r="X1102" s="402"/>
      <c r="Y1102" s="402"/>
      <c r="Z1102" s="402"/>
    </row>
    <row r="1103" ht="14.25" customHeight="1">
      <c r="A1103" s="497">
        <v>45526.0</v>
      </c>
      <c r="B1103" s="349" t="s">
        <v>5645</v>
      </c>
      <c r="C1103" s="349" t="s">
        <v>5646</v>
      </c>
      <c r="D1103" s="1032" t="s">
        <v>54</v>
      </c>
      <c r="E1103" s="413" t="s">
        <v>6763</v>
      </c>
      <c r="F1103" s="413">
        <v>34814.59</v>
      </c>
      <c r="G1103" s="413"/>
      <c r="H1103" s="402"/>
      <c r="I1103" s="402"/>
      <c r="J1103" s="402"/>
      <c r="K1103" s="402"/>
      <c r="L1103" s="402"/>
      <c r="M1103" s="402"/>
      <c r="N1103" s="402"/>
      <c r="O1103" s="402"/>
      <c r="P1103" s="402"/>
      <c r="Q1103" s="402"/>
      <c r="R1103" s="402"/>
      <c r="S1103" s="402"/>
      <c r="T1103" s="402"/>
      <c r="U1103" s="402"/>
      <c r="V1103" s="402"/>
      <c r="W1103" s="402"/>
      <c r="X1103" s="402"/>
      <c r="Y1103" s="402"/>
      <c r="Z1103" s="402"/>
    </row>
    <row r="1104" ht="14.25" customHeight="1">
      <c r="A1104" s="497">
        <v>45526.0</v>
      </c>
      <c r="B1104" s="349" t="s">
        <v>5647</v>
      </c>
      <c r="C1104" s="349" t="s">
        <v>5648</v>
      </c>
      <c r="D1104" s="1032" t="s">
        <v>54</v>
      </c>
      <c r="E1104" s="413" t="s">
        <v>6505</v>
      </c>
      <c r="F1104" s="413">
        <v>36822.06</v>
      </c>
      <c r="G1104" s="403"/>
      <c r="H1104" s="522" t="s">
        <v>6779</v>
      </c>
      <c r="I1104" s="402"/>
      <c r="J1104" s="402"/>
      <c r="K1104" s="402"/>
      <c r="L1104" s="402"/>
      <c r="M1104" s="402"/>
      <c r="N1104" s="402"/>
      <c r="O1104" s="402"/>
      <c r="P1104" s="402"/>
      <c r="Q1104" s="402"/>
      <c r="R1104" s="402"/>
      <c r="S1104" s="402"/>
      <c r="T1104" s="402"/>
      <c r="U1104" s="402"/>
      <c r="V1104" s="402"/>
      <c r="W1104" s="402"/>
      <c r="X1104" s="402"/>
      <c r="Y1104" s="402"/>
      <c r="Z1104" s="402"/>
    </row>
    <row r="1105" ht="14.25" customHeight="1">
      <c r="A1105" s="497">
        <v>45526.0</v>
      </c>
      <c r="B1105" s="349" t="s">
        <v>5654</v>
      </c>
      <c r="C1105" s="349" t="s">
        <v>5655</v>
      </c>
      <c r="D1105" s="1032" t="s">
        <v>54</v>
      </c>
      <c r="E1105" s="413" t="s">
        <v>6763</v>
      </c>
      <c r="F1105" s="413">
        <v>9386.65</v>
      </c>
      <c r="G1105" s="403"/>
      <c r="H1105" s="402"/>
      <c r="I1105" s="402"/>
      <c r="J1105" s="402"/>
      <c r="K1105" s="402"/>
      <c r="L1105" s="402"/>
      <c r="M1105" s="402"/>
      <c r="N1105" s="402"/>
      <c r="O1105" s="402"/>
      <c r="P1105" s="402"/>
      <c r="Q1105" s="402"/>
      <c r="R1105" s="402"/>
      <c r="S1105" s="402"/>
      <c r="T1105" s="402"/>
      <c r="U1105" s="402"/>
      <c r="V1105" s="402"/>
      <c r="W1105" s="402"/>
      <c r="X1105" s="402"/>
      <c r="Y1105" s="402"/>
      <c r="Z1105" s="402"/>
    </row>
    <row r="1106" ht="14.25" customHeight="1">
      <c r="A1106" s="497">
        <v>45526.0</v>
      </c>
      <c r="B1106" s="349" t="s">
        <v>5656</v>
      </c>
      <c r="C1106" s="349" t="s">
        <v>5657</v>
      </c>
      <c r="D1106" s="1032" t="s">
        <v>54</v>
      </c>
      <c r="E1106" s="413" t="s">
        <v>6511</v>
      </c>
      <c r="F1106" s="413">
        <v>37884.45</v>
      </c>
      <c r="G1106" s="403"/>
      <c r="H1106" s="349" t="s">
        <v>6821</v>
      </c>
      <c r="I1106" s="402"/>
      <c r="J1106" s="402"/>
      <c r="K1106" s="402"/>
      <c r="L1106" s="402"/>
      <c r="M1106" s="402"/>
      <c r="N1106" s="402"/>
      <c r="O1106" s="402"/>
      <c r="P1106" s="402"/>
      <c r="Q1106" s="402"/>
      <c r="R1106" s="402"/>
      <c r="S1106" s="402"/>
      <c r="T1106" s="402"/>
      <c r="U1106" s="402"/>
      <c r="V1106" s="402"/>
      <c r="W1106" s="402"/>
      <c r="X1106" s="402"/>
      <c r="Y1106" s="402"/>
      <c r="Z1106" s="402"/>
    </row>
    <row r="1107" ht="14.25" customHeight="1">
      <c r="A1107" s="497">
        <v>45526.0</v>
      </c>
      <c r="B1107" s="349" t="s">
        <v>5658</v>
      </c>
      <c r="C1107" s="349" t="s">
        <v>5659</v>
      </c>
      <c r="D1107" s="1032" t="s">
        <v>54</v>
      </c>
      <c r="E1107" s="413" t="s">
        <v>6813</v>
      </c>
      <c r="F1107" s="413">
        <v>190014.05</v>
      </c>
      <c r="G1107" s="403"/>
      <c r="H1107" s="349" t="s">
        <v>6779</v>
      </c>
      <c r="I1107" s="402"/>
      <c r="J1107" s="402"/>
      <c r="K1107" s="402"/>
      <c r="L1107" s="402"/>
      <c r="M1107" s="402"/>
      <c r="N1107" s="402"/>
      <c r="O1107" s="402"/>
      <c r="P1107" s="402"/>
      <c r="Q1107" s="402"/>
      <c r="R1107" s="402"/>
      <c r="S1107" s="402"/>
      <c r="T1107" s="402"/>
      <c r="U1107" s="402"/>
      <c r="V1107" s="402"/>
      <c r="W1107" s="402"/>
      <c r="X1107" s="402"/>
      <c r="Y1107" s="402"/>
      <c r="Z1107" s="402"/>
    </row>
    <row r="1108" ht="14.25" customHeight="1">
      <c r="A1108" s="497">
        <v>45526.0</v>
      </c>
      <c r="B1108" s="349" t="s">
        <v>6782</v>
      </c>
      <c r="C1108" s="349" t="s">
        <v>5659</v>
      </c>
      <c r="D1108" s="1032" t="s">
        <v>346</v>
      </c>
      <c r="E1108" s="413" t="s">
        <v>6563</v>
      </c>
      <c r="F1108" s="413">
        <v>4703.92</v>
      </c>
      <c r="G1108" s="403"/>
      <c r="H1108" s="349" t="s">
        <v>6779</v>
      </c>
      <c r="I1108" s="402"/>
      <c r="J1108" s="402"/>
      <c r="K1108" s="402"/>
      <c r="L1108" s="402"/>
      <c r="M1108" s="402"/>
      <c r="N1108" s="402"/>
      <c r="O1108" s="402"/>
      <c r="P1108" s="402"/>
      <c r="Q1108" s="402"/>
      <c r="R1108" s="402"/>
      <c r="S1108" s="402"/>
      <c r="T1108" s="402"/>
      <c r="U1108" s="402"/>
      <c r="V1108" s="402"/>
      <c r="W1108" s="402"/>
      <c r="X1108" s="402"/>
      <c r="Y1108" s="402"/>
      <c r="Z1108" s="402"/>
    </row>
    <row r="1109" ht="14.25" customHeight="1">
      <c r="A1109" s="497">
        <v>45526.0</v>
      </c>
      <c r="B1109" s="349" t="s">
        <v>5662</v>
      </c>
      <c r="C1109" s="349" t="s">
        <v>5663</v>
      </c>
      <c r="D1109" s="1032" t="s">
        <v>54</v>
      </c>
      <c r="E1109" s="413" t="s">
        <v>6763</v>
      </c>
      <c r="F1109" s="413">
        <v>43200.0</v>
      </c>
      <c r="G1109" s="403"/>
      <c r="H1109" s="402"/>
      <c r="I1109" s="402"/>
      <c r="J1109" s="402"/>
      <c r="K1109" s="402"/>
      <c r="L1109" s="402"/>
      <c r="M1109" s="402"/>
      <c r="N1109" s="402"/>
      <c r="O1109" s="402"/>
      <c r="P1109" s="402"/>
      <c r="Q1109" s="402"/>
      <c r="R1109" s="402"/>
      <c r="S1109" s="402"/>
      <c r="T1109" s="402"/>
      <c r="U1109" s="402"/>
      <c r="V1109" s="402"/>
      <c r="W1109" s="402"/>
      <c r="X1109" s="402"/>
      <c r="Y1109" s="402"/>
      <c r="Z1109" s="402"/>
    </row>
    <row r="1110" ht="14.25" customHeight="1">
      <c r="A1110" s="497">
        <v>45526.0</v>
      </c>
      <c r="B1110" s="349" t="s">
        <v>5667</v>
      </c>
      <c r="C1110" s="349" t="s">
        <v>5668</v>
      </c>
      <c r="D1110" s="1032" t="s">
        <v>346</v>
      </c>
      <c r="E1110" s="413" t="s">
        <v>6813</v>
      </c>
      <c r="F1110" s="413">
        <v>9547.32</v>
      </c>
      <c r="G1110" s="403"/>
      <c r="H1110" s="349" t="s">
        <v>6822</v>
      </c>
      <c r="I1110" s="402"/>
      <c r="J1110" s="402"/>
      <c r="K1110" s="402"/>
      <c r="L1110" s="402"/>
      <c r="M1110" s="402"/>
      <c r="N1110" s="402"/>
      <c r="O1110" s="402"/>
      <c r="P1110" s="402"/>
      <c r="Q1110" s="402"/>
      <c r="R1110" s="402"/>
      <c r="S1110" s="402"/>
      <c r="T1110" s="402"/>
      <c r="U1110" s="402"/>
      <c r="V1110" s="402"/>
      <c r="W1110" s="402"/>
      <c r="X1110" s="402"/>
      <c r="Y1110" s="402"/>
      <c r="Z1110" s="402"/>
    </row>
    <row r="1111" ht="14.25" customHeight="1">
      <c r="A1111" s="497">
        <v>45526.0</v>
      </c>
      <c r="B1111" s="349" t="s">
        <v>6755</v>
      </c>
      <c r="C1111" s="349" t="s">
        <v>6492</v>
      </c>
      <c r="D1111" s="1032" t="s">
        <v>54</v>
      </c>
      <c r="E1111" s="413" t="s">
        <v>6511</v>
      </c>
      <c r="F1111" s="413">
        <v>20662.56</v>
      </c>
      <c r="G1111" s="413"/>
      <c r="H1111" s="349" t="s">
        <v>6823</v>
      </c>
      <c r="I1111" s="402"/>
      <c r="J1111" s="402"/>
      <c r="K1111" s="402"/>
      <c r="L1111" s="402"/>
      <c r="M1111" s="402"/>
      <c r="N1111" s="402"/>
      <c r="O1111" s="402"/>
      <c r="P1111" s="402"/>
      <c r="Q1111" s="402"/>
      <c r="R1111" s="402"/>
      <c r="S1111" s="402"/>
      <c r="T1111" s="402"/>
      <c r="U1111" s="402"/>
      <c r="V1111" s="402"/>
      <c r="W1111" s="402"/>
      <c r="X1111" s="402"/>
      <c r="Y1111" s="402"/>
      <c r="Z1111" s="402"/>
    </row>
    <row r="1112" ht="14.25" customHeight="1">
      <c r="A1112" s="497">
        <v>45526.0</v>
      </c>
      <c r="B1112" s="349" t="s">
        <v>6757</v>
      </c>
      <c r="C1112" s="349" t="s">
        <v>6758</v>
      </c>
      <c r="D1112" s="1032" t="s">
        <v>54</v>
      </c>
      <c r="E1112" s="413" t="s">
        <v>6511</v>
      </c>
      <c r="F1112" s="413">
        <v>15169.27</v>
      </c>
      <c r="G1112" s="413"/>
      <c r="H1112" s="349" t="s">
        <v>6824</v>
      </c>
      <c r="I1112" s="402"/>
      <c r="J1112" s="402"/>
      <c r="K1112" s="402"/>
      <c r="L1112" s="402"/>
      <c r="M1112" s="402"/>
      <c r="N1112" s="402"/>
      <c r="O1112" s="402"/>
      <c r="P1112" s="402"/>
      <c r="Q1112" s="402"/>
      <c r="R1112" s="402"/>
      <c r="S1112" s="402"/>
      <c r="T1112" s="402"/>
      <c r="U1112" s="402"/>
      <c r="V1112" s="402"/>
      <c r="W1112" s="402"/>
      <c r="X1112" s="402"/>
      <c r="Y1112" s="402"/>
      <c r="Z1112" s="402"/>
    </row>
    <row r="1113" ht="14.25" customHeight="1">
      <c r="A1113" s="497">
        <v>45526.0</v>
      </c>
      <c r="B1113" s="349" t="s">
        <v>6759</v>
      </c>
      <c r="C1113" s="349" t="s">
        <v>6760</v>
      </c>
      <c r="D1113" s="1032" t="s">
        <v>54</v>
      </c>
      <c r="E1113" s="413" t="s">
        <v>6511</v>
      </c>
      <c r="F1113" s="413">
        <v>36675.2</v>
      </c>
      <c r="G1113" s="413"/>
      <c r="H1113" s="349" t="s">
        <v>6825</v>
      </c>
      <c r="I1113" s="402"/>
      <c r="J1113" s="402"/>
      <c r="K1113" s="402"/>
      <c r="L1113" s="402"/>
      <c r="M1113" s="402"/>
      <c r="N1113" s="402"/>
      <c r="O1113" s="402"/>
      <c r="P1113" s="402"/>
      <c r="Q1113" s="402"/>
      <c r="R1113" s="402"/>
      <c r="S1113" s="402"/>
      <c r="T1113" s="402"/>
      <c r="U1113" s="402"/>
      <c r="V1113" s="402"/>
      <c r="W1113" s="402"/>
      <c r="X1113" s="402"/>
      <c r="Y1113" s="402"/>
      <c r="Z1113" s="402"/>
    </row>
    <row r="1114" ht="14.25" customHeight="1">
      <c r="A1114" s="497">
        <v>45526.0</v>
      </c>
      <c r="B1114" s="349" t="s">
        <v>6765</v>
      </c>
      <c r="C1114" s="349" t="s">
        <v>6766</v>
      </c>
      <c r="D1114" s="1032" t="s">
        <v>54</v>
      </c>
      <c r="E1114" s="413" t="s">
        <v>6531</v>
      </c>
      <c r="F1114" s="413">
        <v>21745.0</v>
      </c>
      <c r="G1114" s="413"/>
      <c r="H1114" s="402"/>
      <c r="I1114" s="402"/>
      <c r="J1114" s="402"/>
      <c r="K1114" s="402"/>
      <c r="L1114" s="402"/>
      <c r="M1114" s="402"/>
      <c r="N1114" s="402"/>
      <c r="O1114" s="402"/>
      <c r="P1114" s="402"/>
      <c r="Q1114" s="402"/>
      <c r="R1114" s="402"/>
      <c r="S1114" s="402"/>
      <c r="T1114" s="402"/>
      <c r="U1114" s="402"/>
      <c r="V1114" s="402"/>
      <c r="W1114" s="402"/>
      <c r="X1114" s="402"/>
      <c r="Y1114" s="402"/>
      <c r="Z1114" s="402"/>
    </row>
    <row r="1115" ht="14.25" customHeight="1">
      <c r="A1115" s="497">
        <v>45526.0</v>
      </c>
      <c r="B1115" s="349" t="s">
        <v>6767</v>
      </c>
      <c r="C1115" s="349" t="s">
        <v>6768</v>
      </c>
      <c r="D1115" s="1032" t="s">
        <v>54</v>
      </c>
      <c r="E1115" s="413" t="s">
        <v>6813</v>
      </c>
      <c r="F1115" s="413">
        <v>16803.99</v>
      </c>
      <c r="G1115" s="413"/>
      <c r="H1115" s="402"/>
      <c r="I1115" s="402"/>
      <c r="J1115" s="402"/>
      <c r="K1115" s="402"/>
      <c r="L1115" s="402"/>
      <c r="M1115" s="402"/>
      <c r="N1115" s="402"/>
      <c r="O1115" s="402"/>
      <c r="P1115" s="402"/>
      <c r="Q1115" s="402"/>
      <c r="R1115" s="402"/>
      <c r="S1115" s="402"/>
      <c r="T1115" s="402"/>
      <c r="U1115" s="402"/>
      <c r="V1115" s="402"/>
      <c r="W1115" s="402"/>
      <c r="X1115" s="402"/>
      <c r="Y1115" s="402"/>
      <c r="Z1115" s="402"/>
    </row>
    <row r="1116" ht="14.25" customHeight="1">
      <c r="A1116" s="497">
        <v>45526.0</v>
      </c>
      <c r="B1116" s="349" t="s">
        <v>6724</v>
      </c>
      <c r="C1116" s="349" t="s">
        <v>6725</v>
      </c>
      <c r="D1116" s="1032" t="s">
        <v>54</v>
      </c>
      <c r="E1116" s="413" t="s">
        <v>6813</v>
      </c>
      <c r="F1116" s="413">
        <v>26315.0</v>
      </c>
      <c r="G1116" s="403"/>
      <c r="H1116" s="402"/>
      <c r="I1116" s="402"/>
      <c r="J1116" s="402"/>
      <c r="K1116" s="402"/>
      <c r="L1116" s="402"/>
      <c r="M1116" s="402"/>
      <c r="N1116" s="402"/>
      <c r="O1116" s="402"/>
      <c r="P1116" s="402"/>
      <c r="Q1116" s="402"/>
      <c r="R1116" s="402"/>
      <c r="S1116" s="402"/>
      <c r="T1116" s="402"/>
      <c r="U1116" s="402"/>
      <c r="V1116" s="402"/>
      <c r="W1116" s="402"/>
      <c r="X1116" s="402"/>
      <c r="Y1116" s="402"/>
      <c r="Z1116" s="402"/>
    </row>
    <row r="1117" ht="14.25" customHeight="1">
      <c r="A1117" s="497">
        <v>45526.0</v>
      </c>
      <c r="B1117" s="349" t="s">
        <v>6732</v>
      </c>
      <c r="C1117" s="349" t="s">
        <v>6733</v>
      </c>
      <c r="D1117" s="1032" t="s">
        <v>54</v>
      </c>
      <c r="E1117" s="413" t="s">
        <v>6563</v>
      </c>
      <c r="F1117" s="413">
        <v>36379.73</v>
      </c>
      <c r="G1117" s="403"/>
      <c r="H1117" s="349" t="s">
        <v>6826</v>
      </c>
      <c r="I1117" s="402"/>
      <c r="J1117" s="402"/>
      <c r="K1117" s="402"/>
      <c r="L1117" s="402"/>
      <c r="M1117" s="402"/>
      <c r="N1117" s="402"/>
      <c r="O1117" s="402"/>
      <c r="P1117" s="402"/>
      <c r="Q1117" s="402"/>
      <c r="R1117" s="402"/>
      <c r="S1117" s="402"/>
      <c r="T1117" s="402"/>
      <c r="U1117" s="402"/>
      <c r="V1117" s="402"/>
      <c r="W1117" s="402"/>
      <c r="X1117" s="402"/>
      <c r="Y1117" s="402"/>
      <c r="Z1117" s="402"/>
    </row>
    <row r="1118" ht="14.25" customHeight="1">
      <c r="A1118" s="497">
        <v>45526.0</v>
      </c>
      <c r="B1118" s="349" t="s">
        <v>6740</v>
      </c>
      <c r="C1118" s="349" t="s">
        <v>6741</v>
      </c>
      <c r="D1118" s="1032" t="s">
        <v>54</v>
      </c>
      <c r="E1118" s="413" t="s">
        <v>6763</v>
      </c>
      <c r="F1118" s="413">
        <v>33409.56</v>
      </c>
      <c r="G1118" s="403"/>
      <c r="H1118" s="402"/>
      <c r="I1118" s="402"/>
      <c r="J1118" s="402"/>
      <c r="K1118" s="402"/>
      <c r="L1118" s="402"/>
      <c r="M1118" s="402"/>
      <c r="N1118" s="402"/>
      <c r="O1118" s="402"/>
      <c r="P1118" s="402"/>
      <c r="Q1118" s="402"/>
      <c r="R1118" s="402"/>
      <c r="S1118" s="402"/>
      <c r="T1118" s="402"/>
      <c r="U1118" s="402"/>
      <c r="V1118" s="402"/>
      <c r="W1118" s="402"/>
      <c r="X1118" s="402"/>
      <c r="Y1118" s="402"/>
      <c r="Z1118" s="402"/>
    </row>
    <row r="1119" ht="14.25" customHeight="1">
      <c r="A1119" s="497">
        <v>45526.0</v>
      </c>
      <c r="B1119" s="349" t="s">
        <v>5780</v>
      </c>
      <c r="C1119" s="349" t="s">
        <v>5781</v>
      </c>
      <c r="D1119" s="1032" t="s">
        <v>54</v>
      </c>
      <c r="E1119" s="413" t="s">
        <v>6763</v>
      </c>
      <c r="F1119" s="413">
        <v>1500.0</v>
      </c>
      <c r="G1119" s="413">
        <v>1500.0</v>
      </c>
      <c r="H1119" s="349" t="s">
        <v>267</v>
      </c>
      <c r="I1119" s="402"/>
      <c r="J1119" s="402"/>
      <c r="K1119" s="402"/>
      <c r="L1119" s="402"/>
      <c r="M1119" s="402"/>
      <c r="N1119" s="402"/>
      <c r="O1119" s="402"/>
      <c r="P1119" s="402"/>
      <c r="Q1119" s="402"/>
      <c r="R1119" s="402"/>
      <c r="S1119" s="402"/>
      <c r="T1119" s="402"/>
      <c r="U1119" s="402"/>
      <c r="V1119" s="402"/>
      <c r="W1119" s="402"/>
      <c r="X1119" s="402"/>
      <c r="Y1119" s="402"/>
      <c r="Z1119" s="402"/>
    </row>
    <row r="1120" ht="14.25" customHeight="1">
      <c r="A1120" s="497">
        <v>45526.0</v>
      </c>
      <c r="B1120" s="349" t="s">
        <v>6431</v>
      </c>
      <c r="C1120" s="349" t="s">
        <v>6751</v>
      </c>
      <c r="D1120" s="1032" t="s">
        <v>54</v>
      </c>
      <c r="E1120" s="413" t="s">
        <v>6511</v>
      </c>
      <c r="F1120" s="413">
        <v>255994.39</v>
      </c>
      <c r="G1120" s="413"/>
      <c r="H1120" s="402"/>
      <c r="I1120" s="402"/>
      <c r="J1120" s="402"/>
      <c r="K1120" s="402"/>
      <c r="L1120" s="402"/>
      <c r="M1120" s="402"/>
      <c r="N1120" s="402"/>
      <c r="O1120" s="402"/>
      <c r="P1120" s="402"/>
      <c r="Q1120" s="402"/>
      <c r="R1120" s="402"/>
      <c r="S1120" s="402"/>
      <c r="T1120" s="402"/>
      <c r="U1120" s="402"/>
      <c r="V1120" s="402"/>
      <c r="W1120" s="402"/>
      <c r="X1120" s="402"/>
      <c r="Y1120" s="402"/>
      <c r="Z1120" s="402"/>
    </row>
    <row r="1121" ht="14.25" customHeight="1">
      <c r="A1121" s="497">
        <v>45526.0</v>
      </c>
      <c r="B1121" s="349" t="s">
        <v>6015</v>
      </c>
      <c r="C1121" s="349" t="s">
        <v>6787</v>
      </c>
      <c r="D1121" s="1032" t="s">
        <v>75</v>
      </c>
      <c r="E1121" s="413" t="s">
        <v>6511</v>
      </c>
      <c r="F1121" s="413">
        <v>61262.42</v>
      </c>
      <c r="G1121" s="1079"/>
      <c r="H1121" s="402"/>
      <c r="I1121" s="402"/>
      <c r="J1121" s="402"/>
      <c r="K1121" s="402"/>
      <c r="L1121" s="402"/>
      <c r="M1121" s="402"/>
      <c r="N1121" s="402"/>
      <c r="O1121" s="402"/>
      <c r="P1121" s="402"/>
      <c r="Q1121" s="402"/>
      <c r="R1121" s="402"/>
      <c r="S1121" s="402"/>
      <c r="T1121" s="402"/>
      <c r="U1121" s="402"/>
      <c r="V1121" s="402"/>
      <c r="W1121" s="402"/>
      <c r="X1121" s="402"/>
      <c r="Y1121" s="402"/>
      <c r="Z1121" s="402"/>
    </row>
    <row r="1122" ht="14.25" customHeight="1">
      <c r="A1122" s="497">
        <v>45526.0</v>
      </c>
      <c r="B1122" s="349" t="s">
        <v>6462</v>
      </c>
      <c r="C1122" s="349" t="s">
        <v>6788</v>
      </c>
      <c r="D1122" s="1032" t="s">
        <v>75</v>
      </c>
      <c r="E1122" s="413" t="s">
        <v>6763</v>
      </c>
      <c r="F1122" s="413">
        <v>739886.7</v>
      </c>
      <c r="G1122" s="1079"/>
      <c r="H1122" s="402"/>
      <c r="I1122" s="402"/>
      <c r="J1122" s="402"/>
      <c r="K1122" s="402"/>
      <c r="L1122" s="402"/>
      <c r="M1122" s="402"/>
      <c r="N1122" s="402"/>
      <c r="O1122" s="402"/>
      <c r="P1122" s="402"/>
      <c r="Q1122" s="402"/>
      <c r="R1122" s="402"/>
      <c r="S1122" s="402"/>
      <c r="T1122" s="402"/>
      <c r="U1122" s="402"/>
      <c r="V1122" s="402"/>
      <c r="W1122" s="402"/>
      <c r="X1122" s="402"/>
      <c r="Y1122" s="402"/>
      <c r="Z1122" s="402"/>
    </row>
    <row r="1123" ht="14.25" customHeight="1">
      <c r="A1123" s="497">
        <v>45526.0</v>
      </c>
      <c r="B1123" s="349" t="s">
        <v>5795</v>
      </c>
      <c r="C1123" s="349" t="s">
        <v>6789</v>
      </c>
      <c r="D1123" s="1032" t="s">
        <v>75</v>
      </c>
      <c r="E1123" s="413" t="s">
        <v>6511</v>
      </c>
      <c r="F1123" s="413">
        <v>14477.4</v>
      </c>
      <c r="G1123" s="1079"/>
      <c r="H1123" s="402"/>
      <c r="I1123" s="402"/>
      <c r="J1123" s="402"/>
      <c r="K1123" s="402"/>
      <c r="L1123" s="402"/>
      <c r="M1123" s="402"/>
      <c r="N1123" s="402"/>
      <c r="O1123" s="402"/>
      <c r="P1123" s="402"/>
      <c r="Q1123" s="402"/>
      <c r="R1123" s="402"/>
      <c r="S1123" s="402"/>
      <c r="T1123" s="402"/>
      <c r="U1123" s="402"/>
      <c r="V1123" s="402"/>
      <c r="W1123" s="402"/>
      <c r="X1123" s="402"/>
      <c r="Y1123" s="402"/>
      <c r="Z1123" s="402"/>
    </row>
    <row r="1124" ht="14.25" customHeight="1">
      <c r="A1124" s="497">
        <v>45526.0</v>
      </c>
      <c r="B1124" s="349" t="s">
        <v>6114</v>
      </c>
      <c r="C1124" s="349" t="s">
        <v>6790</v>
      </c>
      <c r="D1124" s="1032" t="s">
        <v>75</v>
      </c>
      <c r="E1124" s="413" t="s">
        <v>6511</v>
      </c>
      <c r="F1124" s="413">
        <v>87562.13</v>
      </c>
      <c r="G1124" s="1079"/>
      <c r="H1124" s="402"/>
      <c r="I1124" s="402"/>
      <c r="J1124" s="402"/>
      <c r="K1124" s="402"/>
      <c r="L1124" s="402"/>
      <c r="M1124" s="402"/>
      <c r="N1124" s="402"/>
      <c r="O1124" s="402"/>
      <c r="P1124" s="402"/>
      <c r="Q1124" s="402"/>
      <c r="R1124" s="402"/>
      <c r="S1124" s="402"/>
      <c r="T1124" s="402"/>
      <c r="U1124" s="402"/>
      <c r="V1124" s="402"/>
      <c r="W1124" s="402"/>
      <c r="X1124" s="402"/>
      <c r="Y1124" s="402"/>
      <c r="Z1124" s="402"/>
    </row>
    <row r="1125" ht="14.25" customHeight="1">
      <c r="A1125" s="497">
        <v>45526.0</v>
      </c>
      <c r="B1125" s="349" t="s">
        <v>6521</v>
      </c>
      <c r="C1125" s="349" t="s">
        <v>6791</v>
      </c>
      <c r="D1125" s="1032" t="s">
        <v>75</v>
      </c>
      <c r="E1125" s="413" t="s">
        <v>6563</v>
      </c>
      <c r="F1125" s="413">
        <v>80850.0</v>
      </c>
      <c r="G1125" s="1079"/>
      <c r="H1125" s="349" t="s">
        <v>6792</v>
      </c>
      <c r="I1125" s="402"/>
      <c r="J1125" s="402"/>
      <c r="K1125" s="402"/>
      <c r="L1125" s="402"/>
      <c r="M1125" s="402"/>
      <c r="N1125" s="402"/>
      <c r="O1125" s="402"/>
      <c r="P1125" s="402"/>
      <c r="Q1125" s="402"/>
      <c r="R1125" s="402"/>
      <c r="S1125" s="402"/>
      <c r="T1125" s="402"/>
      <c r="U1125" s="402"/>
      <c r="V1125" s="402"/>
      <c r="W1125" s="402"/>
      <c r="X1125" s="402"/>
      <c r="Y1125" s="402"/>
      <c r="Z1125" s="402"/>
    </row>
    <row r="1126" ht="14.25" customHeight="1">
      <c r="A1126" s="497">
        <v>45526.0</v>
      </c>
      <c r="B1126" s="349" t="s">
        <v>6639</v>
      </c>
      <c r="C1126" s="349" t="s">
        <v>6640</v>
      </c>
      <c r="D1126" s="1032" t="s">
        <v>54</v>
      </c>
      <c r="E1126" s="413" t="s">
        <v>6763</v>
      </c>
      <c r="F1126" s="413">
        <v>124350.36</v>
      </c>
      <c r="G1126" s="403"/>
      <c r="H1126" s="402"/>
      <c r="I1126" s="402"/>
      <c r="J1126" s="402"/>
      <c r="K1126" s="402"/>
      <c r="L1126" s="402"/>
      <c r="M1126" s="402"/>
      <c r="N1126" s="402"/>
      <c r="O1126" s="402"/>
      <c r="P1126" s="402"/>
      <c r="Q1126" s="402"/>
      <c r="R1126" s="402"/>
      <c r="S1126" s="402"/>
      <c r="T1126" s="402"/>
      <c r="U1126" s="402"/>
      <c r="V1126" s="402"/>
      <c r="W1126" s="402"/>
      <c r="X1126" s="402"/>
      <c r="Y1126" s="402"/>
      <c r="Z1126" s="402"/>
    </row>
    <row r="1127" ht="14.25" customHeight="1">
      <c r="A1127" s="497">
        <v>45526.0</v>
      </c>
      <c r="B1127" s="349" t="s">
        <v>6655</v>
      </c>
      <c r="C1127" s="349" t="s">
        <v>6656</v>
      </c>
      <c r="D1127" s="1032" t="s">
        <v>54</v>
      </c>
      <c r="E1127" s="413" t="s">
        <v>6563</v>
      </c>
      <c r="F1127" s="413">
        <v>40789.15</v>
      </c>
      <c r="G1127" s="403"/>
      <c r="H1127" s="349" t="s">
        <v>6827</v>
      </c>
      <c r="I1127" s="402"/>
      <c r="J1127" s="402"/>
      <c r="K1127" s="402"/>
      <c r="L1127" s="402"/>
      <c r="M1127" s="402"/>
      <c r="N1127" s="402"/>
      <c r="O1127" s="402"/>
      <c r="P1127" s="402"/>
      <c r="Q1127" s="402"/>
      <c r="R1127" s="402"/>
      <c r="S1127" s="402"/>
      <c r="T1127" s="402"/>
      <c r="U1127" s="402"/>
      <c r="V1127" s="402"/>
      <c r="W1127" s="402"/>
      <c r="X1127" s="402"/>
      <c r="Y1127" s="402"/>
      <c r="Z1127" s="402"/>
    </row>
    <row r="1128" ht="14.25" customHeight="1">
      <c r="A1128" s="497">
        <v>45526.0</v>
      </c>
      <c r="B1128" s="349" t="s">
        <v>6670</v>
      </c>
      <c r="C1128" s="349" t="s">
        <v>6794</v>
      </c>
      <c r="D1128" s="1032" t="s">
        <v>54</v>
      </c>
      <c r="E1128" s="413" t="s">
        <v>6763</v>
      </c>
      <c r="F1128" s="413">
        <v>57319.25</v>
      </c>
      <c r="G1128" s="1079"/>
      <c r="H1128" s="402"/>
      <c r="I1128" s="402"/>
      <c r="J1128" s="402"/>
      <c r="K1128" s="402"/>
      <c r="L1128" s="402"/>
      <c r="M1128" s="402"/>
      <c r="N1128" s="402"/>
      <c r="O1128" s="402"/>
      <c r="P1128" s="402"/>
      <c r="Q1128" s="402"/>
      <c r="R1128" s="402"/>
      <c r="S1128" s="402"/>
      <c r="T1128" s="402"/>
      <c r="U1128" s="402"/>
      <c r="V1128" s="402"/>
      <c r="W1128" s="402"/>
      <c r="X1128" s="402"/>
      <c r="Y1128" s="402"/>
      <c r="Z1128" s="402"/>
    </row>
    <row r="1129" ht="14.25" customHeight="1">
      <c r="A1129" s="497">
        <v>45526.0</v>
      </c>
      <c r="B1129" s="349" t="s">
        <v>6672</v>
      </c>
      <c r="C1129" s="349" t="s">
        <v>6795</v>
      </c>
      <c r="D1129" s="1032" t="s">
        <v>54</v>
      </c>
      <c r="E1129" s="413" t="s">
        <v>6563</v>
      </c>
      <c r="F1129" s="413">
        <v>72327.49</v>
      </c>
      <c r="G1129" s="1079"/>
      <c r="H1129" s="349" t="s">
        <v>6828</v>
      </c>
      <c r="I1129" s="402"/>
      <c r="J1129" s="402"/>
      <c r="K1129" s="402"/>
      <c r="L1129" s="402"/>
      <c r="M1129" s="402"/>
      <c r="N1129" s="402"/>
      <c r="O1129" s="402"/>
      <c r="P1129" s="402"/>
      <c r="Q1129" s="402"/>
      <c r="R1129" s="402"/>
      <c r="S1129" s="402"/>
      <c r="T1129" s="402"/>
      <c r="U1129" s="402"/>
      <c r="V1129" s="402"/>
      <c r="W1129" s="402"/>
      <c r="X1129" s="402"/>
      <c r="Y1129" s="402"/>
      <c r="Z1129" s="402"/>
    </row>
    <row r="1130" ht="14.25" customHeight="1">
      <c r="A1130" s="497">
        <v>45526.0</v>
      </c>
      <c r="B1130" s="349" t="s">
        <v>6797</v>
      </c>
      <c r="C1130" s="349" t="s">
        <v>6798</v>
      </c>
      <c r="D1130" s="1032" t="s">
        <v>54</v>
      </c>
      <c r="E1130" s="413" t="s">
        <v>6511</v>
      </c>
      <c r="F1130" s="413">
        <v>98968.0</v>
      </c>
      <c r="G1130" s="1079"/>
      <c r="H1130" s="402"/>
      <c r="I1130" s="402"/>
      <c r="J1130" s="402"/>
      <c r="K1130" s="402"/>
      <c r="L1130" s="402"/>
      <c r="M1130" s="402"/>
      <c r="N1130" s="402"/>
      <c r="O1130" s="402"/>
      <c r="P1130" s="402"/>
      <c r="Q1130" s="402"/>
      <c r="R1130" s="402"/>
      <c r="S1130" s="402"/>
      <c r="T1130" s="402"/>
      <c r="U1130" s="402"/>
      <c r="V1130" s="402"/>
      <c r="W1130" s="402"/>
      <c r="X1130" s="402"/>
      <c r="Y1130" s="402"/>
      <c r="Z1130" s="402"/>
    </row>
    <row r="1131" ht="14.25" customHeight="1">
      <c r="A1131" s="497">
        <v>45526.0</v>
      </c>
      <c r="B1131" s="349" t="s">
        <v>6561</v>
      </c>
      <c r="C1131" s="349" t="s">
        <v>6799</v>
      </c>
      <c r="D1131" s="1077" t="s">
        <v>54</v>
      </c>
      <c r="E1131" s="413" t="s">
        <v>6511</v>
      </c>
      <c r="F1131" s="413">
        <v>140493.82</v>
      </c>
      <c r="G1131" s="403"/>
      <c r="H1131" s="349" t="s">
        <v>6829</v>
      </c>
      <c r="I1131" s="402"/>
      <c r="J1131" s="402"/>
      <c r="K1131" s="402"/>
      <c r="L1131" s="402"/>
      <c r="M1131" s="402"/>
      <c r="N1131" s="402"/>
      <c r="O1131" s="402"/>
      <c r="P1131" s="402"/>
      <c r="Q1131" s="402"/>
      <c r="R1131" s="402"/>
      <c r="S1131" s="402"/>
      <c r="T1131" s="402"/>
      <c r="U1131" s="402"/>
      <c r="V1131" s="402"/>
      <c r="W1131" s="402"/>
      <c r="X1131" s="402"/>
      <c r="Y1131" s="402"/>
      <c r="Z1131" s="402"/>
    </row>
    <row r="1132" ht="14.25" customHeight="1">
      <c r="A1132" s="497">
        <v>45526.0</v>
      </c>
      <c r="B1132" s="349" t="s">
        <v>6728</v>
      </c>
      <c r="C1132" s="349" t="s">
        <v>6800</v>
      </c>
      <c r="D1132" s="1032" t="s">
        <v>54</v>
      </c>
      <c r="E1132" s="413" t="s">
        <v>6511</v>
      </c>
      <c r="F1132" s="413">
        <v>63033.6</v>
      </c>
      <c r="G1132" s="1079"/>
      <c r="H1132" s="349" t="s">
        <v>6416</v>
      </c>
      <c r="I1132" s="402"/>
      <c r="J1132" s="402"/>
      <c r="K1132" s="402"/>
      <c r="L1132" s="402"/>
      <c r="M1132" s="402"/>
      <c r="N1132" s="402"/>
      <c r="O1132" s="402"/>
      <c r="P1132" s="402"/>
      <c r="Q1132" s="402"/>
      <c r="R1132" s="402"/>
      <c r="S1132" s="402"/>
      <c r="T1132" s="402"/>
      <c r="U1132" s="402"/>
      <c r="V1132" s="402"/>
      <c r="W1132" s="402"/>
      <c r="X1132" s="402"/>
      <c r="Y1132" s="402"/>
      <c r="Z1132" s="402"/>
    </row>
    <row r="1133" ht="14.25" customHeight="1">
      <c r="A1133" s="497">
        <v>45526.0</v>
      </c>
      <c r="B1133" s="349" t="s">
        <v>6460</v>
      </c>
      <c r="C1133" s="349" t="s">
        <v>6801</v>
      </c>
      <c r="D1133" s="1032" t="s">
        <v>54</v>
      </c>
      <c r="E1133" s="413" t="s">
        <v>6511</v>
      </c>
      <c r="F1133" s="413">
        <v>44690.94</v>
      </c>
      <c r="G1133" s="1079"/>
      <c r="H1133" s="402"/>
      <c r="I1133" s="402"/>
      <c r="J1133" s="402"/>
      <c r="K1133" s="402"/>
      <c r="L1133" s="402"/>
      <c r="M1133" s="402"/>
      <c r="N1133" s="402"/>
      <c r="O1133" s="402"/>
      <c r="P1133" s="402"/>
      <c r="Q1133" s="402"/>
      <c r="R1133" s="402"/>
      <c r="S1133" s="402"/>
      <c r="T1133" s="402"/>
      <c r="U1133" s="402"/>
      <c r="V1133" s="402"/>
      <c r="W1133" s="402"/>
      <c r="X1133" s="402"/>
      <c r="Y1133" s="402"/>
      <c r="Z1133" s="402"/>
    </row>
    <row r="1134" ht="14.25" customHeight="1">
      <c r="A1134" s="497">
        <v>45526.0</v>
      </c>
      <c r="B1134" s="349" t="s">
        <v>6087</v>
      </c>
      <c r="C1134" s="349" t="s">
        <v>6802</v>
      </c>
      <c r="D1134" s="1032" t="s">
        <v>54</v>
      </c>
      <c r="E1134" s="413" t="s">
        <v>6511</v>
      </c>
      <c r="F1134" s="413">
        <v>110221.85</v>
      </c>
      <c r="G1134" s="1079"/>
      <c r="H1134" s="402"/>
      <c r="I1134" s="402"/>
      <c r="J1134" s="402"/>
      <c r="K1134" s="402"/>
      <c r="L1134" s="402"/>
      <c r="M1134" s="402"/>
      <c r="N1134" s="402"/>
      <c r="O1134" s="402"/>
      <c r="P1134" s="402"/>
      <c r="Q1134" s="402"/>
      <c r="R1134" s="402"/>
      <c r="S1134" s="402"/>
      <c r="T1134" s="402"/>
      <c r="U1134" s="402"/>
      <c r="V1134" s="402"/>
      <c r="W1134" s="402"/>
      <c r="X1134" s="402"/>
      <c r="Y1134" s="402"/>
      <c r="Z1134" s="402"/>
    </row>
    <row r="1135" ht="14.25" customHeight="1">
      <c r="A1135" s="497">
        <v>45526.0</v>
      </c>
      <c r="B1135" s="349" t="s">
        <v>6676</v>
      </c>
      <c r="C1135" s="349" t="s">
        <v>6803</v>
      </c>
      <c r="D1135" s="1032" t="s">
        <v>54</v>
      </c>
      <c r="E1135" s="413" t="s">
        <v>6511</v>
      </c>
      <c r="F1135" s="413">
        <v>50837.5</v>
      </c>
      <c r="G1135" s="1079"/>
      <c r="H1135" s="402"/>
      <c r="I1135" s="402"/>
      <c r="J1135" s="402"/>
      <c r="K1135" s="402"/>
      <c r="L1135" s="402"/>
      <c r="M1135" s="402"/>
      <c r="N1135" s="402"/>
      <c r="O1135" s="402"/>
      <c r="P1135" s="402"/>
      <c r="Q1135" s="402"/>
      <c r="R1135" s="402"/>
      <c r="S1135" s="402"/>
      <c r="T1135" s="402"/>
      <c r="U1135" s="402"/>
      <c r="V1135" s="402"/>
      <c r="W1135" s="402"/>
      <c r="X1135" s="402"/>
      <c r="Y1135" s="402"/>
      <c r="Z1135" s="402"/>
    </row>
    <row r="1136" ht="14.25" customHeight="1">
      <c r="A1136" s="497">
        <v>45526.0</v>
      </c>
      <c r="B1136" s="349" t="s">
        <v>6614</v>
      </c>
      <c r="C1136" s="349" t="s">
        <v>6804</v>
      </c>
      <c r="D1136" s="1032" t="s">
        <v>54</v>
      </c>
      <c r="E1136" s="413" t="s">
        <v>6763</v>
      </c>
      <c r="F1136" s="413">
        <v>37768.53</v>
      </c>
      <c r="G1136" s="1079"/>
      <c r="H1136" s="402"/>
      <c r="I1136" s="402"/>
      <c r="J1136" s="402"/>
      <c r="K1136" s="402"/>
      <c r="L1136" s="402"/>
      <c r="M1136" s="402"/>
      <c r="N1136" s="402"/>
      <c r="O1136" s="402"/>
      <c r="P1136" s="402"/>
      <c r="Q1136" s="402"/>
      <c r="R1136" s="402"/>
      <c r="S1136" s="402"/>
      <c r="T1136" s="402"/>
      <c r="U1136" s="402"/>
      <c r="V1136" s="402"/>
      <c r="W1136" s="402"/>
      <c r="X1136" s="402"/>
      <c r="Y1136" s="402"/>
      <c r="Z1136" s="402"/>
    </row>
    <row r="1137" ht="14.25" customHeight="1">
      <c r="A1137" s="497">
        <v>45526.0</v>
      </c>
      <c r="B1137" s="349" t="s">
        <v>5816</v>
      </c>
      <c r="C1137" s="349" t="s">
        <v>5817</v>
      </c>
      <c r="D1137" s="1032" t="s">
        <v>54</v>
      </c>
      <c r="E1137" s="413" t="s">
        <v>6763</v>
      </c>
      <c r="F1137" s="413">
        <v>38534.0</v>
      </c>
      <c r="G1137" s="413">
        <v>38534.0</v>
      </c>
      <c r="H1137" s="349" t="s">
        <v>6830</v>
      </c>
      <c r="I1137" s="402"/>
      <c r="J1137" s="402"/>
      <c r="K1137" s="402"/>
      <c r="L1137" s="402"/>
      <c r="M1137" s="402"/>
      <c r="N1137" s="402"/>
      <c r="O1137" s="402"/>
      <c r="P1137" s="402"/>
      <c r="Q1137" s="402"/>
      <c r="R1137" s="402"/>
      <c r="S1137" s="402"/>
      <c r="T1137" s="402"/>
      <c r="U1137" s="402"/>
      <c r="V1137" s="402"/>
      <c r="W1137" s="402"/>
      <c r="X1137" s="402"/>
      <c r="Y1137" s="402"/>
      <c r="Z1137" s="402"/>
    </row>
    <row r="1138" ht="14.25" customHeight="1">
      <c r="A1138" s="497">
        <v>45526.0</v>
      </c>
      <c r="B1138" s="349" t="s">
        <v>5640</v>
      </c>
      <c r="C1138" s="349" t="s">
        <v>5757</v>
      </c>
      <c r="D1138" s="1032" t="s">
        <v>67</v>
      </c>
      <c r="E1138" s="403"/>
      <c r="F1138" s="413">
        <v>1000000.0</v>
      </c>
      <c r="G1138" s="413"/>
      <c r="H1138" s="402"/>
      <c r="I1138" s="402"/>
      <c r="J1138" s="402"/>
      <c r="K1138" s="402"/>
      <c r="L1138" s="402"/>
      <c r="M1138" s="402"/>
      <c r="N1138" s="402"/>
      <c r="O1138" s="402"/>
      <c r="P1138" s="402"/>
      <c r="Q1138" s="402"/>
      <c r="R1138" s="402"/>
      <c r="S1138" s="402"/>
      <c r="T1138" s="402"/>
      <c r="U1138" s="402"/>
      <c r="V1138" s="402"/>
      <c r="W1138" s="402"/>
      <c r="X1138" s="402"/>
      <c r="Y1138" s="402"/>
      <c r="Z1138" s="402"/>
    </row>
    <row r="1139" ht="14.25" customHeight="1">
      <c r="A1139" s="497">
        <v>45526.0</v>
      </c>
      <c r="B1139" s="349" t="s">
        <v>107</v>
      </c>
      <c r="C1139" s="349"/>
      <c r="D1139" s="1077"/>
      <c r="E1139" s="413"/>
      <c r="F1139" s="413"/>
      <c r="G1139" s="413"/>
      <c r="H1139" s="402"/>
      <c r="I1139" s="402"/>
      <c r="J1139" s="402"/>
      <c r="K1139" s="402"/>
      <c r="L1139" s="402"/>
      <c r="M1139" s="402"/>
      <c r="N1139" s="402"/>
      <c r="O1139" s="402"/>
      <c r="P1139" s="402"/>
      <c r="Q1139" s="402"/>
      <c r="R1139" s="402"/>
      <c r="S1139" s="402"/>
      <c r="T1139" s="402"/>
      <c r="U1139" s="402"/>
      <c r="V1139" s="402"/>
      <c r="W1139" s="402"/>
      <c r="X1139" s="402"/>
      <c r="Y1139" s="402"/>
      <c r="Z1139" s="402"/>
    </row>
    <row r="1140" ht="14.25" customHeight="1">
      <c r="A1140" s="497">
        <v>45526.0</v>
      </c>
      <c r="B1140" s="349" t="s">
        <v>5984</v>
      </c>
      <c r="C1140" s="349" t="s">
        <v>5985</v>
      </c>
      <c r="D1140" s="1077" t="s">
        <v>54</v>
      </c>
      <c r="E1140" s="349" t="s">
        <v>2165</v>
      </c>
      <c r="F1140" s="413">
        <v>140000.0</v>
      </c>
      <c r="G1140" s="413">
        <v>0.0</v>
      </c>
      <c r="H1140" s="349" t="s">
        <v>6831</v>
      </c>
      <c r="I1140" s="402"/>
      <c r="J1140" s="402"/>
      <c r="K1140" s="402"/>
      <c r="L1140" s="402"/>
      <c r="M1140" s="402"/>
      <c r="N1140" s="402"/>
      <c r="O1140" s="402"/>
      <c r="P1140" s="402"/>
      <c r="Q1140" s="402"/>
      <c r="R1140" s="402"/>
      <c r="S1140" s="402"/>
      <c r="T1140" s="402"/>
      <c r="U1140" s="402"/>
      <c r="V1140" s="402"/>
      <c r="W1140" s="402"/>
      <c r="X1140" s="402"/>
      <c r="Y1140" s="402"/>
      <c r="Z1140" s="402"/>
    </row>
    <row r="1141" ht="14.25" customHeight="1">
      <c r="A1141" s="497">
        <v>45526.0</v>
      </c>
      <c r="B1141" s="349" t="s">
        <v>5938</v>
      </c>
      <c r="C1141" s="349" t="s">
        <v>6775</v>
      </c>
      <c r="D1141" s="1077" t="s">
        <v>54</v>
      </c>
      <c r="E1141" s="349" t="s">
        <v>4114</v>
      </c>
      <c r="F1141" s="413">
        <v>57981.35</v>
      </c>
      <c r="G1141" s="413"/>
      <c r="H1141" s="402"/>
      <c r="I1141" s="402"/>
      <c r="J1141" s="402"/>
      <c r="K1141" s="402"/>
      <c r="L1141" s="402"/>
      <c r="M1141" s="402"/>
      <c r="N1141" s="402"/>
      <c r="O1141" s="402"/>
      <c r="P1141" s="402"/>
      <c r="Q1141" s="402"/>
      <c r="R1141" s="402"/>
      <c r="S1141" s="402"/>
      <c r="T1141" s="402"/>
      <c r="U1141" s="402"/>
      <c r="V1141" s="402"/>
      <c r="W1141" s="402"/>
      <c r="X1141" s="402"/>
      <c r="Y1141" s="402"/>
      <c r="Z1141" s="402"/>
    </row>
    <row r="1142" ht="14.25" customHeight="1">
      <c r="A1142" s="497">
        <v>45526.0</v>
      </c>
      <c r="B1142" s="349" t="s">
        <v>5679</v>
      </c>
      <c r="C1142" s="349" t="s">
        <v>5680</v>
      </c>
      <c r="D1142" s="1077" t="s">
        <v>54</v>
      </c>
      <c r="E1142" s="349" t="s">
        <v>4114</v>
      </c>
      <c r="F1142" s="413">
        <v>50000.0</v>
      </c>
      <c r="G1142" s="413"/>
      <c r="H1142" s="402"/>
      <c r="I1142" s="402"/>
      <c r="J1142" s="402"/>
      <c r="K1142" s="402"/>
      <c r="L1142" s="402"/>
      <c r="M1142" s="402"/>
      <c r="N1142" s="402"/>
      <c r="O1142" s="402"/>
      <c r="P1142" s="402"/>
      <c r="Q1142" s="402"/>
      <c r="R1142" s="402"/>
      <c r="S1142" s="402"/>
      <c r="T1142" s="402"/>
      <c r="U1142" s="402"/>
      <c r="V1142" s="402"/>
      <c r="W1142" s="402"/>
      <c r="X1142" s="402"/>
      <c r="Y1142" s="402"/>
      <c r="Z1142" s="402"/>
    </row>
    <row r="1143" ht="14.25" customHeight="1">
      <c r="A1143" s="497">
        <v>45526.0</v>
      </c>
      <c r="B1143" s="349" t="s">
        <v>6017</v>
      </c>
      <c r="C1143" s="349" t="s">
        <v>6808</v>
      </c>
      <c r="D1143" s="1077" t="s">
        <v>54</v>
      </c>
      <c r="E1143" s="349" t="s">
        <v>4114</v>
      </c>
      <c r="F1143" s="413">
        <v>40000.0</v>
      </c>
      <c r="G1143" s="413"/>
      <c r="H1143" s="402"/>
      <c r="I1143" s="402"/>
      <c r="J1143" s="402"/>
      <c r="K1143" s="402"/>
      <c r="L1143" s="402"/>
      <c r="M1143" s="402"/>
      <c r="N1143" s="402"/>
      <c r="O1143" s="402"/>
      <c r="P1143" s="402"/>
      <c r="Q1143" s="402"/>
      <c r="R1143" s="402"/>
      <c r="S1143" s="402"/>
      <c r="T1143" s="402"/>
      <c r="U1143" s="402"/>
      <c r="V1143" s="402"/>
      <c r="W1143" s="402"/>
      <c r="X1143" s="402"/>
      <c r="Y1143" s="402"/>
      <c r="Z1143" s="402"/>
    </row>
    <row r="1144" ht="14.25" customHeight="1">
      <c r="A1144" s="497">
        <v>45526.0</v>
      </c>
      <c r="B1144" s="349" t="s">
        <v>5929</v>
      </c>
      <c r="C1144" s="349" t="s">
        <v>6810</v>
      </c>
      <c r="D1144" s="1077" t="s">
        <v>54</v>
      </c>
      <c r="E1144" s="349" t="s">
        <v>4114</v>
      </c>
      <c r="F1144" s="413">
        <v>42000.0</v>
      </c>
      <c r="G1144" s="413"/>
      <c r="H1144" s="402"/>
      <c r="I1144" s="402"/>
      <c r="J1144" s="402"/>
      <c r="K1144" s="402"/>
      <c r="L1144" s="402"/>
      <c r="M1144" s="402"/>
      <c r="N1144" s="402"/>
      <c r="O1144" s="402"/>
      <c r="P1144" s="402"/>
      <c r="Q1144" s="402"/>
      <c r="R1144" s="402"/>
      <c r="S1144" s="402"/>
      <c r="T1144" s="402"/>
      <c r="U1144" s="402"/>
      <c r="V1144" s="402"/>
      <c r="W1144" s="402"/>
      <c r="X1144" s="402"/>
      <c r="Y1144" s="402"/>
      <c r="Z1144" s="402"/>
    </row>
    <row r="1145" ht="14.25" customHeight="1">
      <c r="A1145" s="497">
        <v>45526.0</v>
      </c>
      <c r="B1145" s="349" t="s">
        <v>6477</v>
      </c>
      <c r="C1145" s="349" t="s">
        <v>6811</v>
      </c>
      <c r="D1145" s="1077" t="s">
        <v>54</v>
      </c>
      <c r="E1145" s="349" t="s">
        <v>2165</v>
      </c>
      <c r="F1145" s="413">
        <v>60000.0</v>
      </c>
      <c r="G1145" s="413"/>
      <c r="H1145" s="349" t="s">
        <v>6832</v>
      </c>
      <c r="I1145" s="402"/>
      <c r="J1145" s="402"/>
      <c r="K1145" s="402"/>
      <c r="L1145" s="402"/>
      <c r="M1145" s="402"/>
      <c r="N1145" s="402"/>
      <c r="O1145" s="402"/>
      <c r="P1145" s="402"/>
      <c r="Q1145" s="402"/>
      <c r="R1145" s="402"/>
      <c r="S1145" s="402"/>
      <c r="T1145" s="402"/>
      <c r="U1145" s="402"/>
      <c r="V1145" s="402"/>
      <c r="W1145" s="402"/>
      <c r="X1145" s="402"/>
      <c r="Y1145" s="402"/>
      <c r="Z1145" s="402"/>
    </row>
    <row r="1146" ht="14.25" customHeight="1">
      <c r="A1146" s="497">
        <v>45526.0</v>
      </c>
      <c r="B1146" s="398" t="s">
        <v>5682</v>
      </c>
      <c r="C1146" s="398" t="s">
        <v>5683</v>
      </c>
      <c r="D1146" s="355" t="s">
        <v>54</v>
      </c>
      <c r="E1146" s="398" t="s">
        <v>2165</v>
      </c>
      <c r="F1146" s="795">
        <v>500000.0</v>
      </c>
      <c r="G1146" s="403"/>
      <c r="H1146" s="349" t="s">
        <v>6833</v>
      </c>
      <c r="I1146" s="402"/>
      <c r="J1146" s="402"/>
      <c r="K1146" s="402"/>
      <c r="L1146" s="402"/>
      <c r="M1146" s="402"/>
      <c r="N1146" s="402"/>
      <c r="O1146" s="402"/>
      <c r="P1146" s="402"/>
      <c r="Q1146" s="402"/>
      <c r="R1146" s="402"/>
      <c r="S1146" s="402"/>
      <c r="T1146" s="402"/>
      <c r="U1146" s="402"/>
      <c r="V1146" s="402"/>
      <c r="W1146" s="402"/>
      <c r="X1146" s="402"/>
      <c r="Y1146" s="402"/>
      <c r="Z1146" s="402"/>
    </row>
    <row r="1147" ht="14.25" customHeight="1">
      <c r="A1147" s="402"/>
      <c r="B1147" s="402"/>
      <c r="C1147" s="402"/>
      <c r="D1147" s="1034"/>
      <c r="E1147" s="403"/>
      <c r="F1147" s="403"/>
      <c r="G1147" s="403"/>
      <c r="H1147" s="402"/>
      <c r="I1147" s="402"/>
      <c r="J1147" s="402"/>
      <c r="K1147" s="402"/>
      <c r="L1147" s="402"/>
      <c r="M1147" s="402"/>
      <c r="N1147" s="402"/>
      <c r="O1147" s="402"/>
      <c r="P1147" s="402"/>
      <c r="Q1147" s="402"/>
      <c r="R1147" s="402"/>
      <c r="S1147" s="402"/>
      <c r="T1147" s="402"/>
      <c r="U1147" s="402"/>
      <c r="V1147" s="402"/>
      <c r="W1147" s="402"/>
      <c r="X1147" s="402"/>
      <c r="Y1147" s="402"/>
      <c r="Z1147" s="402"/>
    </row>
    <row r="1148" ht="14.25" customHeight="1">
      <c r="A1148" s="402"/>
      <c r="B1148" s="402"/>
      <c r="C1148" s="402"/>
      <c r="D1148" s="1034"/>
      <c r="E1148" s="403"/>
      <c r="F1148" s="403"/>
      <c r="H1148" s="402"/>
      <c r="I1148" s="402"/>
      <c r="J1148" s="402"/>
      <c r="K1148" s="402"/>
      <c r="L1148" s="402"/>
      <c r="M1148" s="402"/>
      <c r="N1148" s="402"/>
      <c r="O1148" s="402"/>
      <c r="P1148" s="402"/>
      <c r="Q1148" s="402"/>
      <c r="R1148" s="402"/>
      <c r="S1148" s="402"/>
      <c r="T1148" s="402"/>
      <c r="U1148" s="402"/>
      <c r="V1148" s="402"/>
      <c r="W1148" s="402"/>
      <c r="X1148" s="402"/>
      <c r="Y1148" s="402"/>
      <c r="Z1148" s="402"/>
    </row>
    <row r="1149" ht="14.25" customHeight="1">
      <c r="A1149" s="497">
        <v>45527.0</v>
      </c>
      <c r="B1149" s="349" t="s">
        <v>5692</v>
      </c>
      <c r="C1149" s="349" t="s">
        <v>5693</v>
      </c>
      <c r="D1149" s="1032" t="s">
        <v>54</v>
      </c>
      <c r="E1149" s="413" t="s">
        <v>12</v>
      </c>
      <c r="F1149" s="413">
        <v>10330.76</v>
      </c>
      <c r="G1149" s="413">
        <v>14835.0</v>
      </c>
      <c r="H1149" s="349" t="s">
        <v>267</v>
      </c>
      <c r="I1149" s="402"/>
      <c r="J1149" s="402"/>
      <c r="K1149" s="402"/>
      <c r="L1149" s="402"/>
      <c r="M1149" s="402"/>
      <c r="N1149" s="402"/>
      <c r="O1149" s="402"/>
      <c r="P1149" s="402"/>
      <c r="Q1149" s="402"/>
      <c r="R1149" s="402"/>
      <c r="S1149" s="402"/>
      <c r="T1149" s="402"/>
      <c r="U1149" s="402"/>
      <c r="V1149" s="402"/>
      <c r="W1149" s="402"/>
      <c r="X1149" s="402"/>
      <c r="Y1149" s="402"/>
      <c r="Z1149" s="402"/>
    </row>
    <row r="1150" ht="14.25" customHeight="1">
      <c r="A1150" s="497">
        <v>45527.0</v>
      </c>
      <c r="B1150" s="349" t="s">
        <v>5695</v>
      </c>
      <c r="C1150" s="349" t="s">
        <v>5696</v>
      </c>
      <c r="D1150" s="1032" t="s">
        <v>54</v>
      </c>
      <c r="E1150" s="413" t="s">
        <v>12</v>
      </c>
      <c r="F1150" s="413">
        <v>57066.49</v>
      </c>
      <c r="G1150" s="403"/>
      <c r="H1150" s="402"/>
      <c r="I1150" s="402"/>
      <c r="J1150" s="402"/>
      <c r="K1150" s="402"/>
      <c r="L1150" s="402"/>
      <c r="M1150" s="402"/>
      <c r="N1150" s="402"/>
      <c r="O1150" s="402"/>
      <c r="P1150" s="402"/>
      <c r="Q1150" s="402"/>
      <c r="R1150" s="402"/>
      <c r="S1150" s="402"/>
      <c r="T1150" s="402"/>
      <c r="U1150" s="402"/>
      <c r="V1150" s="402"/>
      <c r="W1150" s="402"/>
      <c r="X1150" s="402"/>
      <c r="Y1150" s="402"/>
      <c r="Z1150" s="402"/>
    </row>
    <row r="1151" ht="14.25" customHeight="1">
      <c r="A1151" s="497">
        <v>45527.0</v>
      </c>
      <c r="B1151" s="349" t="s">
        <v>5697</v>
      </c>
      <c r="C1151" s="349" t="s">
        <v>5698</v>
      </c>
      <c r="D1151" s="1032" t="s">
        <v>54</v>
      </c>
      <c r="E1151" s="413" t="s">
        <v>12</v>
      </c>
      <c r="F1151" s="413">
        <v>21107.97</v>
      </c>
      <c r="G1151" s="403"/>
      <c r="H1151" s="402"/>
      <c r="I1151" s="402"/>
      <c r="J1151" s="402"/>
      <c r="K1151" s="402"/>
      <c r="L1151" s="402"/>
      <c r="M1151" s="402"/>
      <c r="N1151" s="402"/>
      <c r="O1151" s="402"/>
      <c r="P1151" s="402"/>
      <c r="Q1151" s="402"/>
      <c r="R1151" s="402"/>
      <c r="S1151" s="402"/>
      <c r="T1151" s="402"/>
      <c r="U1151" s="402"/>
      <c r="V1151" s="402"/>
      <c r="W1151" s="402"/>
      <c r="X1151" s="402"/>
      <c r="Y1151" s="402"/>
      <c r="Z1151" s="402"/>
    </row>
    <row r="1152" ht="14.25" customHeight="1">
      <c r="A1152" s="497">
        <v>45527.0</v>
      </c>
      <c r="B1152" s="349" t="s">
        <v>5700</v>
      </c>
      <c r="C1152" s="349" t="s">
        <v>5701</v>
      </c>
      <c r="D1152" s="1032" t="s">
        <v>54</v>
      </c>
      <c r="E1152" s="413" t="s">
        <v>12</v>
      </c>
      <c r="F1152" s="413">
        <v>43432.03</v>
      </c>
      <c r="G1152" s="413">
        <v>49333.0</v>
      </c>
      <c r="H1152" s="522" t="s">
        <v>267</v>
      </c>
      <c r="I1152" s="402"/>
      <c r="J1152" s="402"/>
      <c r="K1152" s="402"/>
      <c r="L1152" s="402"/>
      <c r="M1152" s="402"/>
      <c r="N1152" s="402"/>
      <c r="O1152" s="402"/>
      <c r="P1152" s="402"/>
      <c r="Q1152" s="402"/>
      <c r="R1152" s="402"/>
      <c r="S1152" s="402"/>
      <c r="T1152" s="402"/>
      <c r="U1152" s="402"/>
      <c r="V1152" s="402"/>
      <c r="W1152" s="402"/>
      <c r="X1152" s="402"/>
      <c r="Y1152" s="402"/>
      <c r="Z1152" s="402"/>
    </row>
    <row r="1153" ht="12.75" customHeight="1">
      <c r="A1153" s="497">
        <v>45527.0</v>
      </c>
      <c r="B1153" s="349" t="s">
        <v>5707</v>
      </c>
      <c r="C1153" s="349" t="s">
        <v>5708</v>
      </c>
      <c r="D1153" s="1032" t="s">
        <v>54</v>
      </c>
      <c r="E1153" s="413" t="s">
        <v>12</v>
      </c>
      <c r="F1153" s="413">
        <v>445840.0</v>
      </c>
      <c r="G1153" s="413">
        <v>445840.0</v>
      </c>
      <c r="H1153" s="349" t="s">
        <v>267</v>
      </c>
      <c r="I1153" s="402"/>
      <c r="J1153" s="402"/>
      <c r="K1153" s="402"/>
      <c r="L1153" s="402"/>
      <c r="M1153" s="402"/>
      <c r="N1153" s="402"/>
      <c r="O1153" s="402"/>
      <c r="P1153" s="402"/>
      <c r="Q1153" s="402"/>
      <c r="R1153" s="402"/>
      <c r="S1153" s="402"/>
      <c r="T1153" s="402"/>
      <c r="U1153" s="402"/>
      <c r="V1153" s="402"/>
      <c r="W1153" s="402"/>
      <c r="X1153" s="402"/>
      <c r="Y1153" s="402"/>
      <c r="Z1153" s="402"/>
    </row>
    <row r="1154" ht="14.25" customHeight="1">
      <c r="A1154" s="497">
        <v>45527.0</v>
      </c>
      <c r="B1154" s="349" t="s">
        <v>5709</v>
      </c>
      <c r="C1154" s="349" t="s">
        <v>5710</v>
      </c>
      <c r="D1154" s="1032" t="s">
        <v>54</v>
      </c>
      <c r="E1154" s="413" t="s">
        <v>12</v>
      </c>
      <c r="F1154" s="413">
        <v>29420.9</v>
      </c>
      <c r="G1154" s="403"/>
      <c r="H1154" s="349" t="s">
        <v>6834</v>
      </c>
      <c r="I1154" s="402"/>
      <c r="J1154" s="402"/>
      <c r="K1154" s="402"/>
      <c r="L1154" s="402"/>
      <c r="M1154" s="402"/>
      <c r="N1154" s="402"/>
      <c r="O1154" s="402"/>
      <c r="P1154" s="402"/>
      <c r="Q1154" s="402"/>
      <c r="R1154" s="402"/>
      <c r="S1154" s="402"/>
      <c r="T1154" s="402"/>
      <c r="U1154" s="402"/>
      <c r="V1154" s="402"/>
      <c r="W1154" s="402"/>
      <c r="X1154" s="402"/>
      <c r="Y1154" s="402"/>
      <c r="Z1154" s="402"/>
    </row>
    <row r="1155" ht="14.25" customHeight="1">
      <c r="A1155" s="497">
        <v>45527.0</v>
      </c>
      <c r="B1155" s="349" t="s">
        <v>5712</v>
      </c>
      <c r="C1155" s="349" t="s">
        <v>5713</v>
      </c>
      <c r="D1155" s="1032" t="s">
        <v>54</v>
      </c>
      <c r="E1155" s="413" t="s">
        <v>12</v>
      </c>
      <c r="F1155" s="413">
        <v>20333.01</v>
      </c>
      <c r="G1155" s="403"/>
      <c r="H1155" s="402"/>
      <c r="I1155" s="402"/>
      <c r="J1155" s="402"/>
      <c r="K1155" s="402"/>
      <c r="L1155" s="402"/>
      <c r="M1155" s="402"/>
      <c r="N1155" s="402"/>
      <c r="O1155" s="402"/>
      <c r="P1155" s="402"/>
      <c r="Q1155" s="402"/>
      <c r="R1155" s="402"/>
      <c r="S1155" s="402"/>
      <c r="T1155" s="402"/>
      <c r="U1155" s="402"/>
      <c r="V1155" s="402"/>
      <c r="W1155" s="402"/>
      <c r="X1155" s="402"/>
      <c r="Y1155" s="402"/>
      <c r="Z1155" s="402"/>
    </row>
    <row r="1156" ht="14.25" customHeight="1">
      <c r="A1156" s="497">
        <v>45527.0</v>
      </c>
      <c r="B1156" s="349" t="s">
        <v>5714</v>
      </c>
      <c r="C1156" s="349" t="s">
        <v>5715</v>
      </c>
      <c r="D1156" s="1032" t="s">
        <v>54</v>
      </c>
      <c r="E1156" s="413" t="s">
        <v>12</v>
      </c>
      <c r="F1156" s="413">
        <v>94836.7</v>
      </c>
      <c r="G1156" s="413">
        <v>101700.0</v>
      </c>
      <c r="H1156" s="349" t="s">
        <v>267</v>
      </c>
      <c r="I1156" s="402"/>
      <c r="J1156" s="402"/>
      <c r="K1156" s="402"/>
      <c r="L1156" s="402"/>
      <c r="M1156" s="402"/>
      <c r="N1156" s="402"/>
      <c r="O1156" s="402"/>
      <c r="P1156" s="402"/>
      <c r="Q1156" s="402"/>
      <c r="R1156" s="402"/>
      <c r="S1156" s="402"/>
      <c r="T1156" s="402"/>
      <c r="U1156" s="402"/>
      <c r="V1156" s="402"/>
      <c r="W1156" s="402"/>
      <c r="X1156" s="402"/>
      <c r="Y1156" s="402"/>
      <c r="Z1156" s="402"/>
    </row>
    <row r="1157" ht="14.25" customHeight="1">
      <c r="A1157" s="497">
        <v>45527.0</v>
      </c>
      <c r="B1157" s="349" t="s">
        <v>5716</v>
      </c>
      <c r="C1157" s="349" t="s">
        <v>5717</v>
      </c>
      <c r="D1157" s="1032" t="s">
        <v>54</v>
      </c>
      <c r="E1157" s="413" t="s">
        <v>12</v>
      </c>
      <c r="F1157" s="413">
        <v>25072.48</v>
      </c>
      <c r="G1157" s="403"/>
      <c r="H1157" s="349" t="s">
        <v>6835</v>
      </c>
      <c r="I1157" s="402"/>
      <c r="J1157" s="402"/>
      <c r="K1157" s="402"/>
      <c r="L1157" s="402"/>
      <c r="M1157" s="402"/>
      <c r="N1157" s="402"/>
      <c r="O1157" s="402"/>
      <c r="P1157" s="402"/>
      <c r="Q1157" s="402"/>
      <c r="R1157" s="402"/>
      <c r="S1157" s="402"/>
      <c r="T1157" s="402"/>
      <c r="U1157" s="402"/>
      <c r="V1157" s="402"/>
      <c r="W1157" s="402"/>
      <c r="X1157" s="402"/>
      <c r="Y1157" s="402"/>
      <c r="Z1157" s="402"/>
    </row>
    <row r="1158" ht="14.25" customHeight="1">
      <c r="A1158" s="497">
        <v>45527.0</v>
      </c>
      <c r="B1158" s="349" t="s">
        <v>6836</v>
      </c>
      <c r="C1158" s="349" t="s">
        <v>6837</v>
      </c>
      <c r="D1158" s="1032" t="s">
        <v>54</v>
      </c>
      <c r="E1158" s="413" t="s">
        <v>12</v>
      </c>
      <c r="F1158" s="413">
        <v>24897.0</v>
      </c>
      <c r="G1158" s="403"/>
      <c r="H1158" s="402"/>
      <c r="I1158" s="402"/>
      <c r="J1158" s="402"/>
      <c r="K1158" s="402"/>
      <c r="L1158" s="402"/>
      <c r="M1158" s="402"/>
      <c r="N1158" s="402"/>
      <c r="O1158" s="402"/>
      <c r="P1158" s="402"/>
      <c r="Q1158" s="402"/>
      <c r="R1158" s="402"/>
      <c r="S1158" s="402"/>
      <c r="T1158" s="402"/>
      <c r="U1158" s="402"/>
      <c r="V1158" s="402"/>
      <c r="W1158" s="402"/>
      <c r="X1158" s="402"/>
      <c r="Y1158" s="402"/>
      <c r="Z1158" s="402"/>
    </row>
    <row r="1159" ht="14.25" customHeight="1">
      <c r="A1159" s="497">
        <v>45527.0</v>
      </c>
      <c r="B1159" s="349" t="s">
        <v>6838</v>
      </c>
      <c r="C1159" s="349" t="s">
        <v>6837</v>
      </c>
      <c r="D1159" s="1032" t="s">
        <v>346</v>
      </c>
      <c r="E1159" s="413" t="s">
        <v>12</v>
      </c>
      <c r="F1159" s="413">
        <v>4500.0</v>
      </c>
      <c r="G1159" s="403"/>
      <c r="H1159" s="402"/>
      <c r="I1159" s="402"/>
      <c r="J1159" s="402"/>
      <c r="K1159" s="402"/>
      <c r="L1159" s="402"/>
      <c r="M1159" s="402"/>
      <c r="N1159" s="402"/>
      <c r="O1159" s="402"/>
      <c r="P1159" s="402"/>
      <c r="Q1159" s="402"/>
      <c r="R1159" s="402"/>
      <c r="S1159" s="402"/>
      <c r="T1159" s="402"/>
      <c r="U1159" s="402"/>
      <c r="V1159" s="402"/>
      <c r="W1159" s="402"/>
      <c r="X1159" s="402"/>
      <c r="Y1159" s="402"/>
      <c r="Z1159" s="402"/>
    </row>
    <row r="1160" ht="14.25" customHeight="1">
      <c r="A1160" s="497">
        <v>45527.0</v>
      </c>
      <c r="B1160" s="349" t="s">
        <v>6839</v>
      </c>
      <c r="C1160" s="349" t="s">
        <v>5722</v>
      </c>
      <c r="D1160" s="1032" t="s">
        <v>75</v>
      </c>
      <c r="E1160" s="413" t="s">
        <v>12</v>
      </c>
      <c r="F1160" s="413">
        <v>345000.0</v>
      </c>
      <c r="G1160" s="413">
        <v>345000.0</v>
      </c>
      <c r="H1160" s="349" t="s">
        <v>267</v>
      </c>
      <c r="I1160" s="402"/>
      <c r="J1160" s="402"/>
      <c r="K1160" s="402"/>
      <c r="L1160" s="402"/>
      <c r="M1160" s="402"/>
      <c r="N1160" s="402"/>
      <c r="O1160" s="402"/>
      <c r="P1160" s="402"/>
      <c r="Q1160" s="402"/>
      <c r="R1160" s="402"/>
      <c r="S1160" s="402"/>
      <c r="T1160" s="402"/>
      <c r="U1160" s="402"/>
      <c r="V1160" s="402"/>
      <c r="W1160" s="402"/>
      <c r="X1160" s="402"/>
      <c r="Y1160" s="402"/>
      <c r="Z1160" s="402"/>
    </row>
    <row r="1161" ht="14.25" customHeight="1">
      <c r="A1161" s="497">
        <v>45527.0</v>
      </c>
      <c r="B1161" s="349" t="s">
        <v>5618</v>
      </c>
      <c r="C1161" s="349" t="s">
        <v>5619</v>
      </c>
      <c r="D1161" s="1032" t="s">
        <v>54</v>
      </c>
      <c r="E1161" s="413" t="s">
        <v>6813</v>
      </c>
      <c r="F1161" s="413">
        <v>85309.04</v>
      </c>
      <c r="G1161" s="403"/>
      <c r="H1161" s="402"/>
      <c r="I1161" s="402"/>
      <c r="J1161" s="402"/>
      <c r="K1161" s="402"/>
      <c r="L1161" s="402"/>
      <c r="M1161" s="402"/>
      <c r="N1161" s="402"/>
      <c r="O1161" s="402"/>
      <c r="P1161" s="402"/>
      <c r="Q1161" s="402"/>
      <c r="R1161" s="402"/>
      <c r="S1161" s="402"/>
      <c r="T1161" s="402"/>
      <c r="U1161" s="402"/>
      <c r="V1161" s="402"/>
      <c r="W1161" s="402"/>
      <c r="X1161" s="402"/>
      <c r="Y1161" s="402"/>
      <c r="Z1161" s="402"/>
    </row>
    <row r="1162" ht="14.25" customHeight="1">
      <c r="A1162" s="497">
        <v>45527.0</v>
      </c>
      <c r="B1162" s="349" t="s">
        <v>5621</v>
      </c>
      <c r="C1162" s="349" t="s">
        <v>5622</v>
      </c>
      <c r="D1162" s="1032" t="s">
        <v>54</v>
      </c>
      <c r="E1162" s="413" t="s">
        <v>6813</v>
      </c>
      <c r="F1162" s="413">
        <v>18506.46</v>
      </c>
      <c r="G1162" s="413">
        <v>22940.0</v>
      </c>
      <c r="H1162" s="349" t="s">
        <v>267</v>
      </c>
      <c r="I1162" s="402"/>
      <c r="J1162" s="402"/>
      <c r="K1162" s="402"/>
      <c r="L1162" s="402"/>
      <c r="M1162" s="402"/>
      <c r="N1162" s="402"/>
      <c r="O1162" s="402"/>
      <c r="P1162" s="402"/>
      <c r="Q1162" s="402"/>
      <c r="R1162" s="402"/>
      <c r="S1162" s="402"/>
      <c r="T1162" s="402"/>
      <c r="U1162" s="402"/>
      <c r="V1162" s="402"/>
      <c r="W1162" s="402"/>
      <c r="X1162" s="402"/>
      <c r="Y1162" s="402"/>
      <c r="Z1162" s="402"/>
    </row>
    <row r="1163" ht="14.25" customHeight="1">
      <c r="A1163" s="497">
        <v>45527.0</v>
      </c>
      <c r="B1163" s="349" t="s">
        <v>5624</v>
      </c>
      <c r="C1163" s="349" t="s">
        <v>5625</v>
      </c>
      <c r="D1163" s="1032" t="s">
        <v>54</v>
      </c>
      <c r="E1163" s="413" t="s">
        <v>6786</v>
      </c>
      <c r="F1163" s="413">
        <v>85056.6</v>
      </c>
      <c r="G1163" s="403"/>
      <c r="H1163" s="402"/>
      <c r="I1163" s="402"/>
      <c r="J1163" s="402"/>
      <c r="K1163" s="402"/>
      <c r="L1163" s="402"/>
      <c r="M1163" s="402"/>
      <c r="N1163" s="402"/>
      <c r="O1163" s="402"/>
      <c r="P1163" s="402"/>
      <c r="Q1163" s="402"/>
      <c r="R1163" s="402"/>
      <c r="S1163" s="402"/>
      <c r="T1163" s="402"/>
      <c r="U1163" s="402"/>
      <c r="V1163" s="402"/>
      <c r="W1163" s="402"/>
      <c r="X1163" s="402"/>
      <c r="Y1163" s="402"/>
      <c r="Z1163" s="402"/>
    </row>
    <row r="1164" ht="14.25" customHeight="1">
      <c r="A1164" s="497">
        <v>45527.0</v>
      </c>
      <c r="B1164" s="349" t="s">
        <v>5626</v>
      </c>
      <c r="C1164" s="349" t="s">
        <v>5627</v>
      </c>
      <c r="D1164" s="1032" t="s">
        <v>54</v>
      </c>
      <c r="E1164" s="413" t="s">
        <v>6763</v>
      </c>
      <c r="F1164" s="413">
        <v>140846.15</v>
      </c>
      <c r="G1164" s="403"/>
      <c r="H1164" s="349" t="s">
        <v>5175</v>
      </c>
      <c r="I1164" s="402"/>
      <c r="J1164" s="402"/>
      <c r="K1164" s="402"/>
      <c r="L1164" s="402"/>
      <c r="M1164" s="402"/>
      <c r="N1164" s="402"/>
      <c r="O1164" s="402"/>
      <c r="P1164" s="402"/>
      <c r="Q1164" s="402"/>
      <c r="R1164" s="402"/>
      <c r="S1164" s="402"/>
      <c r="T1164" s="402"/>
      <c r="U1164" s="402"/>
      <c r="V1164" s="402"/>
      <c r="W1164" s="402"/>
      <c r="X1164" s="402"/>
      <c r="Y1164" s="402"/>
      <c r="Z1164" s="402"/>
    </row>
    <row r="1165" ht="14.25" customHeight="1">
      <c r="A1165" s="497">
        <v>45527.0</v>
      </c>
      <c r="B1165" s="349" t="s">
        <v>5628</v>
      </c>
      <c r="C1165" s="349" t="s">
        <v>5629</v>
      </c>
      <c r="D1165" s="1032" t="s">
        <v>54</v>
      </c>
      <c r="E1165" s="413" t="s">
        <v>6563</v>
      </c>
      <c r="F1165" s="413">
        <v>17931.38</v>
      </c>
      <c r="G1165" s="403"/>
      <c r="H1165" s="349" t="s">
        <v>6817</v>
      </c>
      <c r="I1165" s="402"/>
      <c r="J1165" s="402"/>
      <c r="K1165" s="402"/>
      <c r="L1165" s="402"/>
      <c r="M1165" s="402"/>
      <c r="N1165" s="402"/>
      <c r="O1165" s="402"/>
      <c r="P1165" s="402"/>
      <c r="Q1165" s="402"/>
      <c r="R1165" s="402"/>
      <c r="S1165" s="402"/>
      <c r="T1165" s="402"/>
      <c r="U1165" s="402"/>
      <c r="V1165" s="402"/>
      <c r="W1165" s="402"/>
      <c r="X1165" s="402"/>
      <c r="Y1165" s="402"/>
      <c r="Z1165" s="402"/>
    </row>
    <row r="1166" ht="14.25" customHeight="1">
      <c r="A1166" s="497">
        <v>45527.0</v>
      </c>
      <c r="B1166" s="349" t="s">
        <v>5639</v>
      </c>
      <c r="C1166" s="349" t="s">
        <v>5627</v>
      </c>
      <c r="D1166" s="1032" t="s">
        <v>346</v>
      </c>
      <c r="E1166" s="413" t="s">
        <v>6563</v>
      </c>
      <c r="F1166" s="413">
        <v>11580.7</v>
      </c>
      <c r="G1166" s="403"/>
      <c r="H1166" s="349" t="s">
        <v>5175</v>
      </c>
      <c r="I1166" s="402"/>
      <c r="J1166" s="402"/>
      <c r="K1166" s="402"/>
      <c r="L1166" s="402"/>
      <c r="M1166" s="402"/>
      <c r="N1166" s="402"/>
      <c r="O1166" s="402"/>
      <c r="P1166" s="402"/>
      <c r="Q1166" s="402"/>
      <c r="R1166" s="402"/>
      <c r="S1166" s="402"/>
      <c r="T1166" s="402"/>
      <c r="U1166" s="402"/>
      <c r="V1166" s="402"/>
      <c r="W1166" s="402"/>
      <c r="X1166" s="402"/>
      <c r="Y1166" s="402"/>
      <c r="Z1166" s="402"/>
    </row>
    <row r="1167" ht="14.25" customHeight="1">
      <c r="A1167" s="497">
        <v>45527.0</v>
      </c>
      <c r="B1167" s="349" t="s">
        <v>5642</v>
      </c>
      <c r="C1167" s="349" t="s">
        <v>5643</v>
      </c>
      <c r="D1167" s="1032" t="s">
        <v>54</v>
      </c>
      <c r="E1167" s="413" t="s">
        <v>6763</v>
      </c>
      <c r="F1167" s="413">
        <v>19111.0</v>
      </c>
      <c r="G1167" s="403"/>
      <c r="H1167" s="402"/>
      <c r="I1167" s="402"/>
      <c r="J1167" s="402"/>
      <c r="K1167" s="402"/>
      <c r="L1167" s="402"/>
      <c r="M1167" s="402"/>
      <c r="N1167" s="402"/>
      <c r="O1167" s="402"/>
      <c r="P1167" s="402"/>
      <c r="Q1167" s="402"/>
      <c r="R1167" s="402"/>
      <c r="S1167" s="402"/>
      <c r="T1167" s="402"/>
      <c r="U1167" s="402"/>
      <c r="V1167" s="402"/>
      <c r="W1167" s="402"/>
      <c r="X1167" s="402"/>
      <c r="Y1167" s="402"/>
      <c r="Z1167" s="402"/>
    </row>
    <row r="1168" ht="14.25" customHeight="1">
      <c r="A1168" s="497">
        <v>45527.0</v>
      </c>
      <c r="B1168" s="349" t="s">
        <v>5645</v>
      </c>
      <c r="C1168" s="349" t="s">
        <v>5646</v>
      </c>
      <c r="D1168" s="1032" t="s">
        <v>54</v>
      </c>
      <c r="E1168" s="413" t="s">
        <v>6763</v>
      </c>
      <c r="F1168" s="413">
        <v>34814.59</v>
      </c>
      <c r="G1168" s="413"/>
      <c r="H1168" s="402"/>
      <c r="I1168" s="402"/>
      <c r="J1168" s="402"/>
      <c r="K1168" s="402"/>
      <c r="L1168" s="402"/>
      <c r="M1168" s="402"/>
      <c r="N1168" s="402"/>
      <c r="O1168" s="402"/>
      <c r="P1168" s="402"/>
      <c r="Q1168" s="402"/>
      <c r="R1168" s="402"/>
      <c r="S1168" s="402"/>
      <c r="T1168" s="402"/>
      <c r="U1168" s="402"/>
      <c r="V1168" s="402"/>
      <c r="W1168" s="402"/>
      <c r="X1168" s="402"/>
      <c r="Y1168" s="402"/>
      <c r="Z1168" s="402"/>
    </row>
    <row r="1169" ht="14.25" customHeight="1">
      <c r="A1169" s="497">
        <v>45527.0</v>
      </c>
      <c r="B1169" s="349" t="s">
        <v>5647</v>
      </c>
      <c r="C1169" s="349" t="s">
        <v>5648</v>
      </c>
      <c r="D1169" s="1032" t="s">
        <v>54</v>
      </c>
      <c r="E1169" s="413" t="s">
        <v>6505</v>
      </c>
      <c r="F1169" s="413">
        <v>36822.06</v>
      </c>
      <c r="G1169" s="403"/>
      <c r="H1169" s="522" t="s">
        <v>6779</v>
      </c>
      <c r="I1169" s="402"/>
      <c r="J1169" s="402"/>
      <c r="K1169" s="402"/>
      <c r="L1169" s="402"/>
      <c r="M1169" s="402"/>
      <c r="N1169" s="402"/>
      <c r="O1169" s="402"/>
      <c r="P1169" s="402"/>
      <c r="Q1169" s="402"/>
      <c r="R1169" s="402"/>
      <c r="S1169" s="402"/>
      <c r="T1169" s="402"/>
      <c r="U1169" s="402"/>
      <c r="V1169" s="402"/>
      <c r="W1169" s="402"/>
      <c r="X1169" s="402"/>
      <c r="Y1169" s="402"/>
      <c r="Z1169" s="402"/>
    </row>
    <row r="1170" ht="14.25" customHeight="1">
      <c r="A1170" s="497">
        <v>45527.0</v>
      </c>
      <c r="B1170" s="349" t="s">
        <v>5654</v>
      </c>
      <c r="C1170" s="349" t="s">
        <v>5655</v>
      </c>
      <c r="D1170" s="1032" t="s">
        <v>54</v>
      </c>
      <c r="E1170" s="413" t="s">
        <v>6763</v>
      </c>
      <c r="F1170" s="413">
        <v>9386.65</v>
      </c>
      <c r="G1170" s="413" t="s">
        <v>267</v>
      </c>
      <c r="H1170" s="402"/>
      <c r="I1170" s="402"/>
      <c r="J1170" s="402"/>
      <c r="K1170" s="402"/>
      <c r="L1170" s="402"/>
      <c r="M1170" s="402"/>
      <c r="N1170" s="402"/>
      <c r="O1170" s="402"/>
      <c r="P1170" s="402"/>
      <c r="Q1170" s="402"/>
      <c r="R1170" s="402"/>
      <c r="S1170" s="402"/>
      <c r="T1170" s="402"/>
      <c r="U1170" s="402"/>
      <c r="V1170" s="402"/>
      <c r="W1170" s="402"/>
      <c r="X1170" s="402"/>
      <c r="Y1170" s="402"/>
      <c r="Z1170" s="402"/>
    </row>
    <row r="1171" ht="14.25" customHeight="1">
      <c r="A1171" s="497">
        <v>45527.0</v>
      </c>
      <c r="B1171" s="349" t="s">
        <v>5656</v>
      </c>
      <c r="C1171" s="349" t="s">
        <v>5657</v>
      </c>
      <c r="D1171" s="1032" t="s">
        <v>54</v>
      </c>
      <c r="E1171" s="413" t="s">
        <v>6511</v>
      </c>
      <c r="F1171" s="413">
        <v>37884.45</v>
      </c>
      <c r="G1171" s="403"/>
      <c r="H1171" s="402"/>
      <c r="I1171" s="402"/>
      <c r="J1171" s="402"/>
      <c r="K1171" s="402"/>
      <c r="L1171" s="402"/>
      <c r="M1171" s="402"/>
      <c r="N1171" s="402"/>
      <c r="O1171" s="402"/>
      <c r="P1171" s="402"/>
      <c r="Q1171" s="402"/>
      <c r="R1171" s="402"/>
      <c r="S1171" s="402"/>
      <c r="T1171" s="402"/>
      <c r="U1171" s="402"/>
      <c r="V1171" s="402"/>
      <c r="W1171" s="402"/>
      <c r="X1171" s="402"/>
      <c r="Y1171" s="402"/>
      <c r="Z1171" s="402"/>
    </row>
    <row r="1172" ht="14.25" customHeight="1">
      <c r="A1172" s="497">
        <v>45527.0</v>
      </c>
      <c r="B1172" s="349" t="s">
        <v>5658</v>
      </c>
      <c r="C1172" s="349" t="s">
        <v>5659</v>
      </c>
      <c r="D1172" s="1032" t="s">
        <v>54</v>
      </c>
      <c r="E1172" s="413" t="s">
        <v>6813</v>
      </c>
      <c r="F1172" s="413">
        <v>190014.05</v>
      </c>
      <c r="G1172" s="403"/>
      <c r="H1172" s="522" t="s">
        <v>6779</v>
      </c>
      <c r="I1172" s="402"/>
      <c r="J1172" s="402"/>
      <c r="K1172" s="402"/>
      <c r="L1172" s="402"/>
      <c r="M1172" s="402"/>
      <c r="N1172" s="402"/>
      <c r="O1172" s="402"/>
      <c r="P1172" s="402"/>
      <c r="Q1172" s="402"/>
      <c r="R1172" s="402"/>
      <c r="S1172" s="402"/>
      <c r="T1172" s="402"/>
      <c r="U1172" s="402"/>
      <c r="V1172" s="402"/>
      <c r="W1172" s="402"/>
      <c r="X1172" s="402"/>
      <c r="Y1172" s="402"/>
      <c r="Z1172" s="402"/>
    </row>
    <row r="1173" ht="14.25" customHeight="1">
      <c r="A1173" s="497">
        <v>45527.0</v>
      </c>
      <c r="B1173" s="349" t="s">
        <v>6782</v>
      </c>
      <c r="C1173" s="349" t="s">
        <v>5659</v>
      </c>
      <c r="D1173" s="1032" t="s">
        <v>346</v>
      </c>
      <c r="E1173" s="413" t="s">
        <v>6563</v>
      </c>
      <c r="F1173" s="413">
        <v>4703.92</v>
      </c>
      <c r="G1173" s="403"/>
      <c r="H1173" s="522" t="s">
        <v>6779</v>
      </c>
      <c r="I1173" s="402"/>
      <c r="J1173" s="402"/>
      <c r="K1173" s="402"/>
      <c r="L1173" s="402"/>
      <c r="M1173" s="402"/>
      <c r="N1173" s="402"/>
      <c r="O1173" s="402"/>
      <c r="P1173" s="402"/>
      <c r="Q1173" s="402"/>
      <c r="R1173" s="402"/>
      <c r="S1173" s="402"/>
      <c r="T1173" s="402"/>
      <c r="U1173" s="402"/>
      <c r="V1173" s="402"/>
      <c r="W1173" s="402"/>
      <c r="X1173" s="402"/>
      <c r="Y1173" s="402"/>
      <c r="Z1173" s="402"/>
    </row>
    <row r="1174" ht="14.25" customHeight="1">
      <c r="A1174" s="497">
        <v>45527.0</v>
      </c>
      <c r="B1174" s="349" t="s">
        <v>5662</v>
      </c>
      <c r="C1174" s="349" t="s">
        <v>5663</v>
      </c>
      <c r="D1174" s="1032" t="s">
        <v>54</v>
      </c>
      <c r="E1174" s="413" t="s">
        <v>6563</v>
      </c>
      <c r="F1174" s="413">
        <v>43200.0</v>
      </c>
      <c r="G1174" s="403"/>
      <c r="H1174" s="402"/>
      <c r="I1174" s="402"/>
      <c r="J1174" s="402"/>
      <c r="K1174" s="402"/>
      <c r="L1174" s="402"/>
      <c r="M1174" s="402"/>
      <c r="N1174" s="402"/>
      <c r="O1174" s="402"/>
      <c r="P1174" s="402"/>
      <c r="Q1174" s="402"/>
      <c r="R1174" s="402"/>
      <c r="S1174" s="402"/>
      <c r="T1174" s="402"/>
      <c r="U1174" s="402"/>
      <c r="V1174" s="402"/>
      <c r="W1174" s="402"/>
      <c r="X1174" s="402"/>
      <c r="Y1174" s="402"/>
      <c r="Z1174" s="402"/>
    </row>
    <row r="1175" ht="14.25" customHeight="1">
      <c r="A1175" s="497">
        <v>45527.0</v>
      </c>
      <c r="B1175" s="349" t="s">
        <v>5667</v>
      </c>
      <c r="C1175" s="349" t="s">
        <v>5668</v>
      </c>
      <c r="D1175" s="1032" t="s">
        <v>346</v>
      </c>
      <c r="E1175" s="413" t="s">
        <v>6813</v>
      </c>
      <c r="F1175" s="413">
        <v>9547.32</v>
      </c>
      <c r="G1175" s="403"/>
      <c r="H1175" s="349" t="s">
        <v>6840</v>
      </c>
      <c r="I1175" s="402"/>
      <c r="J1175" s="402"/>
      <c r="K1175" s="402"/>
      <c r="L1175" s="402"/>
      <c r="M1175" s="402"/>
      <c r="N1175" s="402"/>
      <c r="O1175" s="402"/>
      <c r="P1175" s="402"/>
      <c r="Q1175" s="402"/>
      <c r="R1175" s="402"/>
      <c r="S1175" s="402"/>
      <c r="T1175" s="402"/>
      <c r="U1175" s="402"/>
      <c r="V1175" s="402"/>
      <c r="W1175" s="402"/>
      <c r="X1175" s="402"/>
      <c r="Y1175" s="402"/>
      <c r="Z1175" s="402"/>
    </row>
    <row r="1176" ht="14.25" customHeight="1">
      <c r="A1176" s="497">
        <v>45527.0</v>
      </c>
      <c r="B1176" s="349" t="s">
        <v>6755</v>
      </c>
      <c r="C1176" s="349" t="s">
        <v>0</v>
      </c>
      <c r="D1176" s="1032" t="s">
        <v>54</v>
      </c>
      <c r="E1176" s="413" t="s">
        <v>6511</v>
      </c>
      <c r="F1176" s="413">
        <v>20662.56</v>
      </c>
      <c r="G1176" s="413"/>
      <c r="H1176" s="402"/>
      <c r="I1176" s="402"/>
      <c r="J1176" s="402"/>
      <c r="K1176" s="402"/>
      <c r="L1176" s="402"/>
      <c r="M1176" s="402"/>
      <c r="N1176" s="402"/>
      <c r="O1176" s="402"/>
      <c r="P1176" s="402"/>
      <c r="Q1176" s="402"/>
      <c r="R1176" s="402"/>
      <c r="S1176" s="402"/>
      <c r="T1176" s="402"/>
      <c r="U1176" s="402"/>
      <c r="V1176" s="402"/>
      <c r="W1176" s="402"/>
      <c r="X1176" s="402"/>
      <c r="Y1176" s="402"/>
      <c r="Z1176" s="402"/>
    </row>
    <row r="1177" ht="14.25" customHeight="1">
      <c r="A1177" s="497">
        <v>45527.0</v>
      </c>
      <c r="B1177" s="349" t="s">
        <v>6757</v>
      </c>
      <c r="C1177" s="349" t="s">
        <v>6758</v>
      </c>
      <c r="D1177" s="1032" t="s">
        <v>54</v>
      </c>
      <c r="E1177" s="413" t="s">
        <v>6511</v>
      </c>
      <c r="F1177" s="413">
        <v>15169.27</v>
      </c>
      <c r="G1177" s="413"/>
      <c r="H1177" s="349" t="s">
        <v>6824</v>
      </c>
      <c r="I1177" s="402"/>
      <c r="J1177" s="402"/>
      <c r="K1177" s="402"/>
      <c r="L1177" s="402"/>
      <c r="M1177" s="402"/>
      <c r="N1177" s="402"/>
      <c r="O1177" s="402"/>
      <c r="P1177" s="402"/>
      <c r="Q1177" s="402"/>
      <c r="R1177" s="402"/>
      <c r="S1177" s="402"/>
      <c r="T1177" s="402"/>
      <c r="U1177" s="402"/>
      <c r="V1177" s="402"/>
      <c r="W1177" s="402"/>
      <c r="X1177" s="402"/>
      <c r="Y1177" s="402"/>
      <c r="Z1177" s="402"/>
    </row>
    <row r="1178" ht="14.25" customHeight="1">
      <c r="A1178" s="497">
        <v>45527.0</v>
      </c>
      <c r="B1178" s="349" t="s">
        <v>6759</v>
      </c>
      <c r="C1178" s="349" t="s">
        <v>6760</v>
      </c>
      <c r="D1178" s="1032" t="s">
        <v>54</v>
      </c>
      <c r="E1178" s="413" t="s">
        <v>6511</v>
      </c>
      <c r="F1178" s="413">
        <v>36675.2</v>
      </c>
      <c r="G1178" s="413"/>
      <c r="H1178" s="402"/>
      <c r="I1178" s="402"/>
      <c r="J1178" s="402"/>
      <c r="K1178" s="402"/>
      <c r="L1178" s="402"/>
      <c r="M1178" s="402"/>
      <c r="N1178" s="402"/>
      <c r="O1178" s="402"/>
      <c r="P1178" s="402"/>
      <c r="Q1178" s="402"/>
      <c r="R1178" s="402"/>
      <c r="S1178" s="402"/>
      <c r="T1178" s="402"/>
      <c r="U1178" s="402"/>
      <c r="V1178" s="402"/>
      <c r="W1178" s="402"/>
      <c r="X1178" s="402"/>
      <c r="Y1178" s="402"/>
      <c r="Z1178" s="402"/>
    </row>
    <row r="1179" ht="14.25" customHeight="1">
      <c r="A1179" s="497">
        <v>45527.0</v>
      </c>
      <c r="B1179" s="349" t="s">
        <v>6765</v>
      </c>
      <c r="C1179" s="349" t="s">
        <v>6766</v>
      </c>
      <c r="D1179" s="1032" t="s">
        <v>54</v>
      </c>
      <c r="E1179" s="413" t="s">
        <v>6531</v>
      </c>
      <c r="F1179" s="413">
        <v>21745.0</v>
      </c>
      <c r="G1179" s="413"/>
      <c r="H1179" s="402"/>
      <c r="I1179" s="402"/>
      <c r="J1179" s="402"/>
      <c r="K1179" s="402"/>
      <c r="L1179" s="402"/>
      <c r="M1179" s="402"/>
      <c r="N1179" s="402"/>
      <c r="O1179" s="402"/>
      <c r="P1179" s="402"/>
      <c r="Q1179" s="402"/>
      <c r="R1179" s="402"/>
      <c r="S1179" s="402"/>
      <c r="T1179" s="402"/>
      <c r="U1179" s="402"/>
      <c r="V1179" s="402"/>
      <c r="W1179" s="402"/>
      <c r="X1179" s="402"/>
      <c r="Y1179" s="402"/>
      <c r="Z1179" s="402"/>
    </row>
    <row r="1180" ht="14.25" customHeight="1">
      <c r="A1180" s="497">
        <v>45527.0</v>
      </c>
      <c r="B1180" s="349" t="s">
        <v>6767</v>
      </c>
      <c r="C1180" s="349" t="s">
        <v>6768</v>
      </c>
      <c r="D1180" s="1032" t="s">
        <v>54</v>
      </c>
      <c r="E1180" s="413" t="s">
        <v>6813</v>
      </c>
      <c r="F1180" s="413">
        <v>16803.99</v>
      </c>
      <c r="H1180" s="413" t="s">
        <v>6841</v>
      </c>
      <c r="I1180" s="402"/>
      <c r="J1180" s="402"/>
      <c r="K1180" s="402"/>
      <c r="L1180" s="402"/>
      <c r="M1180" s="402"/>
      <c r="N1180" s="402"/>
      <c r="O1180" s="402"/>
      <c r="P1180" s="402"/>
      <c r="Q1180" s="402"/>
      <c r="R1180" s="402"/>
      <c r="S1180" s="402"/>
      <c r="T1180" s="402"/>
      <c r="U1180" s="402"/>
      <c r="V1180" s="402"/>
      <c r="W1180" s="402"/>
      <c r="X1180" s="402"/>
      <c r="Y1180" s="402"/>
      <c r="Z1180" s="402"/>
    </row>
    <row r="1181" ht="14.25" customHeight="1">
      <c r="A1181" s="497">
        <v>45527.0</v>
      </c>
      <c r="B1181" s="349" t="s">
        <v>6724</v>
      </c>
      <c r="C1181" s="349" t="s">
        <v>6725</v>
      </c>
      <c r="D1181" s="1032" t="s">
        <v>54</v>
      </c>
      <c r="E1181" s="413" t="s">
        <v>6813</v>
      </c>
      <c r="F1181" s="413">
        <v>26315.0</v>
      </c>
      <c r="G1181" s="413"/>
      <c r="H1181" s="413" t="s">
        <v>6842</v>
      </c>
      <c r="I1181" s="402"/>
      <c r="J1181" s="402"/>
      <c r="K1181" s="402"/>
      <c r="L1181" s="402"/>
      <c r="M1181" s="402"/>
      <c r="N1181" s="402"/>
      <c r="O1181" s="402"/>
      <c r="P1181" s="402"/>
      <c r="Q1181" s="402"/>
      <c r="R1181" s="402"/>
      <c r="S1181" s="402"/>
      <c r="T1181" s="402"/>
      <c r="U1181" s="402"/>
      <c r="V1181" s="402"/>
      <c r="W1181" s="402"/>
      <c r="X1181" s="402"/>
      <c r="Y1181" s="402"/>
      <c r="Z1181" s="402"/>
    </row>
    <row r="1182" ht="14.25" customHeight="1">
      <c r="A1182" s="497">
        <v>45527.0</v>
      </c>
      <c r="B1182" s="349" t="s">
        <v>6732</v>
      </c>
      <c r="C1182" s="349" t="s">
        <v>6733</v>
      </c>
      <c r="D1182" s="1032" t="s">
        <v>54</v>
      </c>
      <c r="E1182" s="413" t="s">
        <v>6563</v>
      </c>
      <c r="F1182" s="413">
        <v>36379.73</v>
      </c>
      <c r="G1182" s="403"/>
      <c r="H1182" s="349" t="s">
        <v>5819</v>
      </c>
      <c r="I1182" s="402"/>
      <c r="J1182" s="402"/>
      <c r="K1182" s="402"/>
      <c r="L1182" s="402"/>
      <c r="M1182" s="402"/>
      <c r="N1182" s="402"/>
      <c r="O1182" s="402"/>
      <c r="P1182" s="402"/>
      <c r="Q1182" s="402"/>
      <c r="R1182" s="402"/>
      <c r="S1182" s="402"/>
      <c r="T1182" s="402"/>
      <c r="U1182" s="402"/>
      <c r="V1182" s="402"/>
      <c r="W1182" s="402"/>
      <c r="X1182" s="402"/>
      <c r="Y1182" s="402"/>
      <c r="Z1182" s="402"/>
    </row>
    <row r="1183" ht="14.25" customHeight="1">
      <c r="A1183" s="497">
        <v>45527.0</v>
      </c>
      <c r="B1183" s="349" t="s">
        <v>6740</v>
      </c>
      <c r="C1183" s="349" t="s">
        <v>6741</v>
      </c>
      <c r="D1183" s="1032" t="s">
        <v>54</v>
      </c>
      <c r="E1183" s="413" t="s">
        <v>6763</v>
      </c>
      <c r="F1183" s="413">
        <v>33409.56</v>
      </c>
      <c r="G1183" s="403"/>
      <c r="H1183" s="402"/>
      <c r="I1183" s="402"/>
      <c r="J1183" s="402"/>
      <c r="K1183" s="402"/>
      <c r="L1183" s="402"/>
      <c r="M1183" s="402"/>
      <c r="N1183" s="402"/>
      <c r="O1183" s="402"/>
      <c r="P1183" s="402"/>
      <c r="Q1183" s="402"/>
      <c r="R1183" s="402"/>
      <c r="S1183" s="402"/>
      <c r="T1183" s="402"/>
      <c r="U1183" s="402"/>
      <c r="V1183" s="402"/>
      <c r="W1183" s="402"/>
      <c r="X1183" s="402"/>
      <c r="Y1183" s="402"/>
      <c r="Z1183" s="402"/>
    </row>
    <row r="1184" ht="14.25" customHeight="1">
      <c r="A1184" s="497">
        <v>45527.0</v>
      </c>
      <c r="B1184" s="349" t="s">
        <v>6431</v>
      </c>
      <c r="C1184" s="349" t="s">
        <v>6751</v>
      </c>
      <c r="D1184" s="1032" t="s">
        <v>54</v>
      </c>
      <c r="E1184" s="413" t="s">
        <v>6511</v>
      </c>
      <c r="F1184" s="413">
        <v>255994.39</v>
      </c>
      <c r="G1184" s="413"/>
      <c r="H1184" s="402"/>
      <c r="I1184" s="402"/>
      <c r="J1184" s="402"/>
      <c r="K1184" s="402"/>
      <c r="L1184" s="402"/>
      <c r="M1184" s="402"/>
      <c r="N1184" s="402"/>
      <c r="O1184" s="402"/>
      <c r="P1184" s="402"/>
      <c r="Q1184" s="402"/>
      <c r="R1184" s="402"/>
      <c r="S1184" s="402"/>
      <c r="T1184" s="402"/>
      <c r="U1184" s="402"/>
      <c r="V1184" s="402"/>
      <c r="W1184" s="402"/>
      <c r="X1184" s="402"/>
      <c r="Y1184" s="402"/>
      <c r="Z1184" s="402"/>
    </row>
    <row r="1185" ht="14.25" customHeight="1">
      <c r="A1185" s="497">
        <v>45527.0</v>
      </c>
      <c r="B1185" s="349" t="s">
        <v>6015</v>
      </c>
      <c r="C1185" s="349" t="s">
        <v>6787</v>
      </c>
      <c r="D1185" s="1032" t="s">
        <v>75</v>
      </c>
      <c r="E1185" s="413" t="s">
        <v>6511</v>
      </c>
      <c r="F1185" s="413">
        <v>61262.42</v>
      </c>
      <c r="G1185" s="1079"/>
      <c r="H1185" s="402"/>
      <c r="I1185" s="402"/>
      <c r="J1185" s="402"/>
      <c r="K1185" s="402"/>
      <c r="L1185" s="402"/>
      <c r="M1185" s="402"/>
      <c r="N1185" s="402"/>
      <c r="O1185" s="402"/>
      <c r="P1185" s="402"/>
      <c r="Q1185" s="402"/>
      <c r="R1185" s="402"/>
      <c r="S1185" s="402"/>
      <c r="T1185" s="402"/>
      <c r="U1185" s="402"/>
      <c r="V1185" s="402"/>
      <c r="W1185" s="402"/>
      <c r="X1185" s="402"/>
      <c r="Y1185" s="402"/>
      <c r="Z1185" s="402"/>
    </row>
    <row r="1186" ht="14.25" customHeight="1">
      <c r="A1186" s="497">
        <v>45527.0</v>
      </c>
      <c r="B1186" s="349" t="s">
        <v>6462</v>
      </c>
      <c r="C1186" s="349" t="s">
        <v>6788</v>
      </c>
      <c r="D1186" s="1032" t="s">
        <v>75</v>
      </c>
      <c r="E1186" s="413" t="s">
        <v>6763</v>
      </c>
      <c r="F1186" s="413">
        <v>739886.7</v>
      </c>
      <c r="G1186" s="1079"/>
      <c r="H1186" s="349" t="s">
        <v>6843</v>
      </c>
      <c r="I1186" s="402"/>
      <c r="J1186" s="402"/>
      <c r="K1186" s="402"/>
      <c r="L1186" s="402"/>
      <c r="M1186" s="402"/>
      <c r="N1186" s="402"/>
      <c r="O1186" s="402"/>
      <c r="P1186" s="402"/>
      <c r="Q1186" s="402"/>
      <c r="R1186" s="402"/>
      <c r="S1186" s="402"/>
      <c r="T1186" s="402"/>
      <c r="U1186" s="402"/>
      <c r="V1186" s="402"/>
      <c r="W1186" s="402"/>
      <c r="X1186" s="402"/>
      <c r="Y1186" s="402"/>
      <c r="Z1186" s="402"/>
    </row>
    <row r="1187" ht="14.25" customHeight="1">
      <c r="A1187" s="497">
        <v>45527.0</v>
      </c>
      <c r="B1187" s="349" t="s">
        <v>5795</v>
      </c>
      <c r="C1187" s="349" t="s">
        <v>6789</v>
      </c>
      <c r="D1187" s="1032" t="s">
        <v>75</v>
      </c>
      <c r="E1187" s="413" t="s">
        <v>6511</v>
      </c>
      <c r="F1187" s="413">
        <v>14477.4</v>
      </c>
      <c r="G1187" s="1079"/>
      <c r="H1187" s="402"/>
      <c r="I1187" s="402"/>
      <c r="J1187" s="402"/>
      <c r="K1187" s="402"/>
      <c r="L1187" s="402"/>
      <c r="M1187" s="402"/>
      <c r="N1187" s="402"/>
      <c r="O1187" s="402"/>
      <c r="P1187" s="402"/>
      <c r="Q1187" s="402"/>
      <c r="R1187" s="402"/>
      <c r="S1187" s="402"/>
      <c r="T1187" s="402"/>
      <c r="U1187" s="402"/>
      <c r="V1187" s="402"/>
      <c r="W1187" s="402"/>
      <c r="X1187" s="402"/>
      <c r="Y1187" s="402"/>
      <c r="Z1187" s="402"/>
    </row>
    <row r="1188" ht="14.25" customHeight="1">
      <c r="A1188" s="497">
        <v>45527.0</v>
      </c>
      <c r="B1188" s="349" t="s">
        <v>6114</v>
      </c>
      <c r="C1188" s="349" t="s">
        <v>6790</v>
      </c>
      <c r="D1188" s="1032" t="s">
        <v>75</v>
      </c>
      <c r="E1188" s="413" t="s">
        <v>6511</v>
      </c>
      <c r="F1188" s="413">
        <v>87562.13</v>
      </c>
      <c r="G1188" s="1079"/>
      <c r="H1188" s="402"/>
      <c r="I1188" s="402"/>
      <c r="J1188" s="402"/>
      <c r="K1188" s="402"/>
      <c r="L1188" s="402"/>
      <c r="M1188" s="402"/>
      <c r="N1188" s="402"/>
      <c r="O1188" s="402"/>
      <c r="P1188" s="402"/>
      <c r="Q1188" s="402"/>
      <c r="R1188" s="402"/>
      <c r="S1188" s="402"/>
      <c r="T1188" s="402"/>
      <c r="U1188" s="402"/>
      <c r="V1188" s="402"/>
      <c r="W1188" s="402"/>
      <c r="X1188" s="402"/>
      <c r="Y1188" s="402"/>
      <c r="Z1188" s="402"/>
    </row>
    <row r="1189" ht="14.25" customHeight="1">
      <c r="A1189" s="497">
        <v>45527.0</v>
      </c>
      <c r="B1189" s="349" t="s">
        <v>6521</v>
      </c>
      <c r="C1189" s="349" t="s">
        <v>6791</v>
      </c>
      <c r="D1189" s="1032" t="s">
        <v>75</v>
      </c>
      <c r="E1189" s="413" t="s">
        <v>6563</v>
      </c>
      <c r="F1189" s="413">
        <v>80850.0</v>
      </c>
      <c r="G1189" s="1079"/>
      <c r="H1189" s="349" t="s">
        <v>2200</v>
      </c>
      <c r="I1189" s="402"/>
      <c r="J1189" s="402"/>
      <c r="K1189" s="402"/>
      <c r="L1189" s="402"/>
      <c r="M1189" s="402"/>
      <c r="N1189" s="402"/>
      <c r="O1189" s="402"/>
      <c r="P1189" s="402"/>
      <c r="Q1189" s="402"/>
      <c r="R1189" s="402"/>
      <c r="S1189" s="402"/>
      <c r="T1189" s="402"/>
      <c r="U1189" s="402"/>
      <c r="V1189" s="402"/>
      <c r="W1189" s="402"/>
      <c r="X1189" s="402"/>
      <c r="Y1189" s="402"/>
      <c r="Z1189" s="402"/>
    </row>
    <row r="1190" ht="14.25" customHeight="1">
      <c r="A1190" s="497">
        <v>45527.0</v>
      </c>
      <c r="B1190" s="349" t="s">
        <v>6639</v>
      </c>
      <c r="C1190" s="349" t="s">
        <v>6640</v>
      </c>
      <c r="D1190" s="1032" t="s">
        <v>54</v>
      </c>
      <c r="E1190" s="413" t="s">
        <v>6763</v>
      </c>
      <c r="F1190" s="413">
        <v>124350.36</v>
      </c>
      <c r="G1190" s="403"/>
      <c r="H1190" s="402"/>
      <c r="I1190" s="402"/>
      <c r="J1190" s="402"/>
      <c r="K1190" s="402"/>
      <c r="L1190" s="402"/>
      <c r="M1190" s="402"/>
      <c r="N1190" s="402"/>
      <c r="O1190" s="402"/>
      <c r="P1190" s="402"/>
      <c r="Q1190" s="402"/>
      <c r="R1190" s="402"/>
      <c r="S1190" s="402"/>
      <c r="T1190" s="402"/>
      <c r="U1190" s="402"/>
      <c r="V1190" s="402"/>
      <c r="W1190" s="402"/>
      <c r="X1190" s="402"/>
      <c r="Y1190" s="402"/>
      <c r="Z1190" s="402"/>
    </row>
    <row r="1191" ht="14.25" customHeight="1">
      <c r="A1191" s="497">
        <v>45527.0</v>
      </c>
      <c r="B1191" s="349" t="s">
        <v>6655</v>
      </c>
      <c r="C1191" s="349" t="s">
        <v>6656</v>
      </c>
      <c r="D1191" s="1032" t="s">
        <v>54</v>
      </c>
      <c r="E1191" s="413" t="s">
        <v>6563</v>
      </c>
      <c r="F1191" s="413">
        <v>40789.15</v>
      </c>
      <c r="G1191" s="413">
        <v>29000.0</v>
      </c>
      <c r="H1191" s="349" t="s">
        <v>6844</v>
      </c>
      <c r="I1191" s="402"/>
      <c r="J1191" s="402"/>
      <c r="K1191" s="402"/>
      <c r="L1191" s="402"/>
      <c r="M1191" s="402"/>
      <c r="N1191" s="402"/>
      <c r="O1191" s="402"/>
      <c r="P1191" s="402"/>
      <c r="Q1191" s="402"/>
      <c r="R1191" s="402"/>
      <c r="S1191" s="402"/>
      <c r="T1191" s="402"/>
      <c r="U1191" s="402"/>
      <c r="V1191" s="402"/>
      <c r="W1191" s="402"/>
      <c r="X1191" s="402"/>
      <c r="Y1191" s="402"/>
      <c r="Z1191" s="402"/>
    </row>
    <row r="1192" ht="14.25" customHeight="1">
      <c r="A1192" s="497">
        <v>45527.0</v>
      </c>
      <c r="B1192" s="349" t="s">
        <v>6670</v>
      </c>
      <c r="C1192" s="349" t="s">
        <v>6794</v>
      </c>
      <c r="D1192" s="1032" t="s">
        <v>54</v>
      </c>
      <c r="E1192" s="413" t="s">
        <v>6763</v>
      </c>
      <c r="F1192" s="413">
        <v>57319.25</v>
      </c>
      <c r="G1192" s="1079"/>
      <c r="H1192" s="402"/>
      <c r="I1192" s="402"/>
      <c r="J1192" s="402"/>
      <c r="K1192" s="402"/>
      <c r="L1192" s="402"/>
      <c r="M1192" s="402"/>
      <c r="N1192" s="402"/>
      <c r="O1192" s="402"/>
      <c r="P1192" s="402"/>
      <c r="Q1192" s="402"/>
      <c r="R1192" s="402"/>
      <c r="S1192" s="402"/>
      <c r="T1192" s="402"/>
      <c r="U1192" s="402"/>
      <c r="V1192" s="402"/>
      <c r="W1192" s="402"/>
      <c r="X1192" s="402"/>
      <c r="Y1192" s="402"/>
      <c r="Z1192" s="402"/>
    </row>
    <row r="1193" ht="14.25" customHeight="1">
      <c r="A1193" s="497">
        <v>45527.0</v>
      </c>
      <c r="B1193" s="349" t="s">
        <v>6672</v>
      </c>
      <c r="C1193" s="349" t="s">
        <v>6795</v>
      </c>
      <c r="D1193" s="1032" t="s">
        <v>54</v>
      </c>
      <c r="E1193" s="413" t="s">
        <v>6563</v>
      </c>
      <c r="F1193" s="413">
        <v>72327.49</v>
      </c>
      <c r="G1193" s="1079"/>
      <c r="H1193" s="349" t="s">
        <v>6828</v>
      </c>
      <c r="I1193" s="402"/>
      <c r="J1193" s="402"/>
      <c r="K1193" s="402"/>
      <c r="L1193" s="402"/>
      <c r="M1193" s="402"/>
      <c r="N1193" s="402"/>
      <c r="O1193" s="402"/>
      <c r="P1193" s="402"/>
      <c r="Q1193" s="402"/>
      <c r="R1193" s="402"/>
      <c r="S1193" s="402"/>
      <c r="T1193" s="402"/>
      <c r="U1193" s="402"/>
      <c r="V1193" s="402"/>
      <c r="W1193" s="402"/>
      <c r="X1193" s="402"/>
      <c r="Y1193" s="402"/>
      <c r="Z1193" s="402"/>
    </row>
    <row r="1194" ht="14.25" customHeight="1">
      <c r="A1194" s="497">
        <v>45527.0</v>
      </c>
      <c r="B1194" s="349" t="s">
        <v>6797</v>
      </c>
      <c r="C1194" s="349" t="s">
        <v>6798</v>
      </c>
      <c r="D1194" s="1032" t="s">
        <v>54</v>
      </c>
      <c r="E1194" s="413" t="s">
        <v>6511</v>
      </c>
      <c r="F1194" s="413">
        <v>104000.0</v>
      </c>
      <c r="G1194" s="413">
        <v>104000.0</v>
      </c>
      <c r="H1194" s="349" t="s">
        <v>267</v>
      </c>
      <c r="I1194" s="402"/>
      <c r="J1194" s="402"/>
      <c r="K1194" s="402"/>
      <c r="L1194" s="402"/>
      <c r="M1194" s="402"/>
      <c r="N1194" s="402"/>
      <c r="O1194" s="402"/>
      <c r="P1194" s="402"/>
      <c r="Q1194" s="402"/>
      <c r="R1194" s="402"/>
      <c r="S1194" s="402"/>
      <c r="T1194" s="402"/>
      <c r="U1194" s="402"/>
      <c r="V1194" s="402"/>
      <c r="W1194" s="402"/>
      <c r="X1194" s="402"/>
      <c r="Y1194" s="402"/>
      <c r="Z1194" s="402"/>
    </row>
    <row r="1195" ht="14.25" customHeight="1">
      <c r="A1195" s="497">
        <v>45527.0</v>
      </c>
      <c r="B1195" s="349" t="s">
        <v>6561</v>
      </c>
      <c r="C1195" s="349" t="s">
        <v>6799</v>
      </c>
      <c r="D1195" s="1077" t="s">
        <v>54</v>
      </c>
      <c r="E1195" s="413" t="s">
        <v>6531</v>
      </c>
      <c r="F1195" s="413">
        <v>140493.82</v>
      </c>
      <c r="G1195" s="403"/>
      <c r="H1195" s="349" t="s">
        <v>2200</v>
      </c>
      <c r="I1195" s="402"/>
      <c r="J1195" s="402"/>
      <c r="K1195" s="402"/>
      <c r="L1195" s="402"/>
      <c r="M1195" s="402"/>
      <c r="N1195" s="402"/>
      <c r="O1195" s="402"/>
      <c r="P1195" s="402"/>
      <c r="Q1195" s="402"/>
      <c r="R1195" s="402"/>
      <c r="S1195" s="402"/>
      <c r="T1195" s="402"/>
      <c r="U1195" s="402"/>
      <c r="V1195" s="402"/>
      <c r="W1195" s="402"/>
      <c r="X1195" s="402"/>
      <c r="Y1195" s="402"/>
      <c r="Z1195" s="402"/>
    </row>
    <row r="1196" ht="14.25" customHeight="1">
      <c r="A1196" s="497">
        <v>45527.0</v>
      </c>
      <c r="B1196" s="349" t="s">
        <v>6728</v>
      </c>
      <c r="C1196" s="349" t="s">
        <v>6800</v>
      </c>
      <c r="D1196" s="1032" t="s">
        <v>54</v>
      </c>
      <c r="E1196" s="413" t="s">
        <v>6563</v>
      </c>
      <c r="F1196" s="413">
        <v>63033.6</v>
      </c>
      <c r="G1196" s="1079"/>
      <c r="H1196" s="349" t="s">
        <v>2200</v>
      </c>
      <c r="I1196" s="402"/>
      <c r="J1196" s="402"/>
      <c r="K1196" s="402"/>
      <c r="L1196" s="402"/>
      <c r="M1196" s="402"/>
      <c r="N1196" s="349" t="s">
        <v>0</v>
      </c>
      <c r="O1196" s="402"/>
      <c r="P1196" s="402"/>
      <c r="Q1196" s="402"/>
      <c r="R1196" s="402"/>
      <c r="S1196" s="402"/>
      <c r="T1196" s="402"/>
      <c r="U1196" s="402"/>
      <c r="V1196" s="402"/>
      <c r="W1196" s="402"/>
      <c r="X1196" s="402"/>
      <c r="Y1196" s="402"/>
      <c r="Z1196" s="402"/>
    </row>
    <row r="1197" ht="14.25" customHeight="1">
      <c r="A1197" s="497">
        <v>45527.0</v>
      </c>
      <c r="B1197" s="349" t="s">
        <v>6460</v>
      </c>
      <c r="C1197" s="349" t="s">
        <v>6801</v>
      </c>
      <c r="D1197" s="1032" t="s">
        <v>54</v>
      </c>
      <c r="E1197" s="413" t="s">
        <v>6511</v>
      </c>
      <c r="F1197" s="413">
        <v>44690.94</v>
      </c>
      <c r="G1197" s="1079"/>
      <c r="H1197" s="402"/>
      <c r="I1197" s="402"/>
      <c r="J1197" s="402"/>
      <c r="K1197" s="402"/>
      <c r="L1197" s="402"/>
      <c r="M1197" s="402"/>
      <c r="N1197" s="402"/>
      <c r="O1197" s="402"/>
      <c r="P1197" s="402"/>
      <c r="Q1197" s="402"/>
      <c r="R1197" s="402"/>
      <c r="S1197" s="402"/>
      <c r="T1197" s="402"/>
      <c r="U1197" s="402"/>
      <c r="V1197" s="402"/>
      <c r="W1197" s="402"/>
      <c r="X1197" s="402"/>
      <c r="Y1197" s="402"/>
      <c r="Z1197" s="402"/>
    </row>
    <row r="1198" ht="14.25" customHeight="1">
      <c r="A1198" s="497">
        <v>45527.0</v>
      </c>
      <c r="B1198" s="349" t="s">
        <v>6087</v>
      </c>
      <c r="C1198" s="349" t="s">
        <v>6802</v>
      </c>
      <c r="D1198" s="1032" t="s">
        <v>54</v>
      </c>
      <c r="E1198" s="413" t="s">
        <v>6531</v>
      </c>
      <c r="F1198" s="413">
        <v>110221.85</v>
      </c>
      <c r="G1198" s="1079"/>
      <c r="H1198" s="402"/>
      <c r="I1198" s="402"/>
      <c r="J1198" s="402"/>
      <c r="K1198" s="402"/>
      <c r="L1198" s="402"/>
      <c r="M1198" s="402"/>
      <c r="N1198" s="402"/>
      <c r="O1198" s="402"/>
      <c r="P1198" s="402"/>
      <c r="Q1198" s="402"/>
      <c r="R1198" s="402"/>
      <c r="S1198" s="402"/>
      <c r="T1198" s="402"/>
      <c r="U1198" s="402"/>
      <c r="V1198" s="402"/>
      <c r="W1198" s="402"/>
      <c r="X1198" s="402"/>
      <c r="Y1198" s="402"/>
      <c r="Z1198" s="402"/>
    </row>
    <row r="1199" ht="14.25" customHeight="1">
      <c r="A1199" s="497">
        <v>45527.0</v>
      </c>
      <c r="B1199" s="349" t="s">
        <v>6845</v>
      </c>
      <c r="C1199" s="349" t="s">
        <v>6846</v>
      </c>
      <c r="D1199" s="1032" t="s">
        <v>54</v>
      </c>
      <c r="E1199" s="413" t="s">
        <v>6813</v>
      </c>
      <c r="F1199" s="413">
        <v>27920.0</v>
      </c>
      <c r="G1199" s="413">
        <v>27920.0</v>
      </c>
      <c r="H1199" s="349" t="s">
        <v>267</v>
      </c>
      <c r="I1199" s="402"/>
      <c r="J1199" s="402"/>
      <c r="K1199" s="402"/>
      <c r="L1199" s="402"/>
      <c r="M1199" s="402"/>
      <c r="N1199" s="402"/>
      <c r="O1199" s="402"/>
      <c r="P1199" s="402"/>
      <c r="Q1199" s="402"/>
      <c r="R1199" s="402"/>
      <c r="S1199" s="402"/>
      <c r="T1199" s="402"/>
      <c r="U1199" s="402"/>
      <c r="V1199" s="402"/>
      <c r="W1199" s="402"/>
      <c r="X1199" s="402"/>
      <c r="Y1199" s="402"/>
      <c r="Z1199" s="402"/>
    </row>
    <row r="1200" ht="14.25" customHeight="1">
      <c r="A1200" s="497">
        <v>45527.0</v>
      </c>
      <c r="B1200" s="349" t="s">
        <v>6614</v>
      </c>
      <c r="C1200" s="349" t="s">
        <v>6804</v>
      </c>
      <c r="D1200" s="1032" t="s">
        <v>54</v>
      </c>
      <c r="E1200" s="413" t="s">
        <v>6763</v>
      </c>
      <c r="F1200" s="413">
        <v>37768.53</v>
      </c>
      <c r="G1200" s="1079"/>
      <c r="H1200" s="402"/>
      <c r="I1200" s="402"/>
      <c r="J1200" s="402"/>
      <c r="K1200" s="402"/>
      <c r="L1200" s="402"/>
      <c r="M1200" s="402"/>
      <c r="N1200" s="402"/>
      <c r="O1200" s="402"/>
      <c r="P1200" s="402"/>
      <c r="Q1200" s="402"/>
      <c r="R1200" s="402"/>
      <c r="S1200" s="402"/>
      <c r="T1200" s="402"/>
      <c r="U1200" s="402"/>
      <c r="V1200" s="402"/>
      <c r="W1200" s="402"/>
      <c r="X1200" s="402"/>
      <c r="Y1200" s="402"/>
      <c r="Z1200" s="402"/>
    </row>
    <row r="1201" ht="14.25" customHeight="1">
      <c r="A1201" s="497">
        <v>45527.0</v>
      </c>
      <c r="B1201" s="349" t="s">
        <v>5640</v>
      </c>
      <c r="C1201" s="349" t="s">
        <v>5757</v>
      </c>
      <c r="D1201" s="1032" t="s">
        <v>668</v>
      </c>
      <c r="E1201" s="403"/>
      <c r="F1201" s="413">
        <v>1000000.0</v>
      </c>
      <c r="G1201" s="413"/>
      <c r="H1201" s="402"/>
      <c r="I1201" s="402"/>
      <c r="J1201" s="402"/>
      <c r="K1201" s="402"/>
      <c r="L1201" s="402"/>
      <c r="M1201" s="402"/>
      <c r="N1201" s="402"/>
      <c r="O1201" s="402"/>
      <c r="P1201" s="402"/>
      <c r="Q1201" s="402"/>
      <c r="R1201" s="402"/>
      <c r="S1201" s="402"/>
      <c r="T1201" s="402"/>
      <c r="U1201" s="402"/>
      <c r="V1201" s="402"/>
      <c r="W1201" s="402"/>
      <c r="X1201" s="402"/>
      <c r="Y1201" s="402"/>
      <c r="Z1201" s="402"/>
    </row>
    <row r="1202" ht="14.25" customHeight="1">
      <c r="A1202" s="497">
        <v>45527.0</v>
      </c>
      <c r="B1202" s="349"/>
      <c r="C1202" s="349"/>
      <c r="D1202" s="1077"/>
      <c r="E1202" s="413"/>
      <c r="F1202" s="413"/>
      <c r="G1202" s="413"/>
      <c r="H1202" s="402"/>
      <c r="I1202" s="402"/>
      <c r="J1202" s="402"/>
      <c r="K1202" s="402"/>
      <c r="L1202" s="402"/>
      <c r="M1202" s="402"/>
      <c r="N1202" s="402"/>
      <c r="O1202" s="402"/>
      <c r="P1202" s="402"/>
      <c r="Q1202" s="402"/>
      <c r="R1202" s="402"/>
      <c r="S1202" s="402"/>
      <c r="T1202" s="402"/>
      <c r="U1202" s="402"/>
      <c r="V1202" s="402"/>
      <c r="W1202" s="402"/>
      <c r="X1202" s="402"/>
      <c r="Y1202" s="402"/>
      <c r="Z1202" s="402"/>
    </row>
    <row r="1203" ht="14.25" customHeight="1">
      <c r="A1203" s="497">
        <v>45527.0</v>
      </c>
      <c r="B1203" s="471" t="s">
        <v>5984</v>
      </c>
      <c r="C1203" s="470" t="s">
        <v>5985</v>
      </c>
      <c r="D1203" s="470" t="s">
        <v>54</v>
      </c>
      <c r="E1203" s="471" t="s">
        <v>2165</v>
      </c>
      <c r="F1203" s="600">
        <v>140000.0</v>
      </c>
      <c r="G1203" s="471"/>
      <c r="H1203" s="471"/>
      <c r="I1203" s="471"/>
      <c r="J1203" s="402"/>
      <c r="K1203" s="402"/>
      <c r="L1203" s="402"/>
      <c r="M1203" s="402"/>
      <c r="N1203" s="402"/>
      <c r="O1203" s="402"/>
      <c r="P1203" s="402"/>
      <c r="Q1203" s="402"/>
      <c r="R1203" s="402"/>
      <c r="S1203" s="402"/>
      <c r="T1203" s="402"/>
      <c r="U1203" s="402"/>
      <c r="V1203" s="402"/>
      <c r="W1203" s="402"/>
      <c r="X1203" s="402"/>
      <c r="Y1203" s="402"/>
      <c r="Z1203" s="402"/>
    </row>
    <row r="1204" ht="14.25" customHeight="1">
      <c r="A1204" s="497">
        <v>45527.0</v>
      </c>
      <c r="B1204" s="395" t="s">
        <v>5938</v>
      </c>
      <c r="C1204" s="475" t="s">
        <v>6775</v>
      </c>
      <c r="D1204" s="475" t="s">
        <v>54</v>
      </c>
      <c r="E1204" s="395" t="s">
        <v>4114</v>
      </c>
      <c r="F1204" s="666">
        <v>57981.35</v>
      </c>
      <c r="G1204" s="395">
        <v>63000.0</v>
      </c>
      <c r="H1204" s="395" t="s">
        <v>6847</v>
      </c>
      <c r="I1204" s="395"/>
      <c r="J1204" s="402"/>
      <c r="K1204" s="402"/>
      <c r="L1204" s="402"/>
      <c r="M1204" s="402"/>
      <c r="N1204" s="402"/>
      <c r="O1204" s="402"/>
      <c r="P1204" s="402"/>
      <c r="Q1204" s="402"/>
      <c r="R1204" s="402"/>
      <c r="S1204" s="402"/>
      <c r="T1204" s="402"/>
      <c r="U1204" s="402"/>
      <c r="V1204" s="402"/>
      <c r="W1204" s="402"/>
      <c r="X1204" s="402"/>
      <c r="Y1204" s="402"/>
      <c r="Z1204" s="402"/>
    </row>
    <row r="1205" ht="14.25" customHeight="1">
      <c r="A1205" s="497">
        <v>45527.0</v>
      </c>
      <c r="B1205" s="395" t="s">
        <v>6676</v>
      </c>
      <c r="C1205" s="475" t="s">
        <v>6848</v>
      </c>
      <c r="D1205" s="475" t="s">
        <v>54</v>
      </c>
      <c r="E1205" s="395" t="s">
        <v>4114</v>
      </c>
      <c r="F1205" s="666">
        <v>153492.31</v>
      </c>
      <c r="G1205" s="395"/>
      <c r="H1205" s="395" t="s">
        <v>6849</v>
      </c>
      <c r="I1205" s="395"/>
      <c r="J1205" s="402"/>
      <c r="K1205" s="402"/>
      <c r="L1205" s="402"/>
      <c r="M1205" s="402"/>
      <c r="N1205" s="402"/>
      <c r="O1205" s="402"/>
      <c r="P1205" s="402"/>
      <c r="Q1205" s="402"/>
      <c r="R1205" s="402"/>
      <c r="S1205" s="402"/>
      <c r="T1205" s="402"/>
      <c r="U1205" s="402"/>
      <c r="V1205" s="402"/>
      <c r="W1205" s="402"/>
      <c r="X1205" s="402"/>
      <c r="Y1205" s="402"/>
      <c r="Z1205" s="402"/>
    </row>
    <row r="1206" ht="14.25" customHeight="1">
      <c r="A1206" s="497">
        <v>45527.0</v>
      </c>
      <c r="B1206" s="395" t="s">
        <v>6017</v>
      </c>
      <c r="C1206" s="475" t="s">
        <v>6808</v>
      </c>
      <c r="D1206" s="475" t="s">
        <v>54</v>
      </c>
      <c r="E1206" s="395" t="s">
        <v>4114</v>
      </c>
      <c r="F1206" s="666">
        <v>40000.0</v>
      </c>
      <c r="G1206" s="395"/>
      <c r="H1206" s="395"/>
      <c r="I1206" s="395"/>
      <c r="J1206" s="402"/>
      <c r="K1206" s="402"/>
      <c r="L1206" s="402"/>
      <c r="M1206" s="402"/>
      <c r="N1206" s="402"/>
      <c r="O1206" s="402"/>
      <c r="P1206" s="402"/>
      <c r="Q1206" s="402"/>
      <c r="R1206" s="402"/>
      <c r="S1206" s="402"/>
      <c r="T1206" s="402"/>
      <c r="U1206" s="402"/>
      <c r="V1206" s="402"/>
      <c r="W1206" s="402"/>
      <c r="X1206" s="402"/>
      <c r="Y1206" s="402"/>
      <c r="Z1206" s="402"/>
    </row>
    <row r="1207" ht="14.25" customHeight="1">
      <c r="A1207" s="497">
        <v>45527.0</v>
      </c>
      <c r="B1207" s="395" t="s">
        <v>5929</v>
      </c>
      <c r="C1207" s="475" t="s">
        <v>6810</v>
      </c>
      <c r="D1207" s="475" t="s">
        <v>54</v>
      </c>
      <c r="E1207" s="395" t="s">
        <v>4114</v>
      </c>
      <c r="F1207" s="666">
        <v>42000.0</v>
      </c>
      <c r="G1207" s="395"/>
      <c r="H1207" s="395"/>
      <c r="I1207" s="395"/>
      <c r="J1207" s="402"/>
      <c r="K1207" s="402"/>
      <c r="L1207" s="402"/>
      <c r="M1207" s="402"/>
      <c r="N1207" s="402"/>
      <c r="O1207" s="402"/>
      <c r="P1207" s="402"/>
      <c r="Q1207" s="402"/>
      <c r="R1207" s="402"/>
      <c r="S1207" s="402"/>
      <c r="T1207" s="402"/>
      <c r="U1207" s="402"/>
      <c r="V1207" s="402"/>
      <c r="W1207" s="402"/>
      <c r="X1207" s="402"/>
      <c r="Y1207" s="402"/>
      <c r="Z1207" s="402"/>
    </row>
    <row r="1208" ht="14.25" customHeight="1">
      <c r="A1208" s="497">
        <v>45527.0</v>
      </c>
      <c r="B1208" s="395" t="s">
        <v>6477</v>
      </c>
      <c r="C1208" s="475" t="s">
        <v>6811</v>
      </c>
      <c r="D1208" s="475" t="s">
        <v>54</v>
      </c>
      <c r="E1208" s="395" t="s">
        <v>2165</v>
      </c>
      <c r="F1208" s="666">
        <v>60000.0</v>
      </c>
      <c r="G1208" s="395"/>
      <c r="H1208" s="395"/>
      <c r="I1208" s="395"/>
      <c r="J1208" s="402"/>
      <c r="K1208" s="402"/>
      <c r="L1208" s="402"/>
      <c r="M1208" s="402"/>
      <c r="N1208" s="402"/>
      <c r="O1208" s="402"/>
      <c r="P1208" s="402"/>
      <c r="Q1208" s="402"/>
      <c r="R1208" s="402"/>
      <c r="S1208" s="402"/>
      <c r="T1208" s="402"/>
      <c r="U1208" s="402"/>
      <c r="V1208" s="402"/>
      <c r="W1208" s="402"/>
      <c r="X1208" s="402"/>
      <c r="Y1208" s="402"/>
      <c r="Z1208" s="402"/>
    </row>
    <row r="1209" ht="14.25" customHeight="1">
      <c r="A1209" s="497">
        <v>45527.0</v>
      </c>
      <c r="B1209" s="395" t="s">
        <v>5682</v>
      </c>
      <c r="C1209" s="475" t="s">
        <v>5683</v>
      </c>
      <c r="D1209" s="475" t="s">
        <v>54</v>
      </c>
      <c r="E1209" s="395" t="s">
        <v>2165</v>
      </c>
      <c r="F1209" s="666">
        <v>500000.0</v>
      </c>
      <c r="G1209" s="395"/>
      <c r="H1209" s="395"/>
      <c r="I1209" s="395"/>
      <c r="J1209" s="402"/>
      <c r="K1209" s="402"/>
      <c r="L1209" s="402"/>
      <c r="M1209" s="402"/>
      <c r="N1209" s="402"/>
      <c r="O1209" s="402"/>
      <c r="P1209" s="402"/>
      <c r="Q1209" s="402"/>
      <c r="R1209" s="402"/>
      <c r="S1209" s="402"/>
      <c r="T1209" s="402"/>
      <c r="U1209" s="402"/>
      <c r="V1209" s="402"/>
      <c r="W1209" s="402"/>
      <c r="X1209" s="402"/>
      <c r="Y1209" s="402"/>
      <c r="Z1209" s="402"/>
    </row>
    <row r="1210" ht="14.25" customHeight="1">
      <c r="A1210" s="402"/>
      <c r="B1210" s="402"/>
      <c r="C1210" s="402"/>
      <c r="D1210" s="1034"/>
      <c r="E1210" s="403"/>
      <c r="F1210" s="403"/>
      <c r="G1210" s="403"/>
      <c r="H1210" s="402"/>
      <c r="I1210" s="402"/>
      <c r="J1210" s="402"/>
      <c r="K1210" s="402"/>
      <c r="L1210" s="402"/>
      <c r="M1210" s="402"/>
      <c r="N1210" s="402"/>
      <c r="O1210" s="402"/>
      <c r="P1210" s="402"/>
      <c r="Q1210" s="402"/>
      <c r="R1210" s="402"/>
      <c r="S1210" s="402"/>
      <c r="T1210" s="402"/>
      <c r="U1210" s="402"/>
      <c r="V1210" s="402"/>
      <c r="W1210" s="402"/>
      <c r="X1210" s="402"/>
      <c r="Y1210" s="402"/>
      <c r="Z1210" s="402"/>
    </row>
    <row r="1211" ht="14.25" customHeight="1">
      <c r="A1211" s="402"/>
      <c r="B1211" s="402"/>
      <c r="C1211" s="402"/>
      <c r="D1211" s="1034"/>
      <c r="E1211" s="403"/>
      <c r="F1211" s="403"/>
      <c r="G1211" s="403"/>
      <c r="H1211" s="402"/>
      <c r="I1211" s="402"/>
      <c r="J1211" s="402"/>
      <c r="K1211" s="402"/>
      <c r="L1211" s="402"/>
      <c r="M1211" s="402"/>
      <c r="N1211" s="402"/>
      <c r="O1211" s="402"/>
      <c r="P1211" s="402"/>
      <c r="Q1211" s="402"/>
      <c r="R1211" s="402"/>
      <c r="S1211" s="402"/>
      <c r="T1211" s="402"/>
      <c r="U1211" s="402"/>
      <c r="V1211" s="402"/>
      <c r="W1211" s="402"/>
      <c r="X1211" s="402"/>
      <c r="Y1211" s="402"/>
      <c r="Z1211" s="402"/>
    </row>
    <row r="1212" ht="14.25" customHeight="1">
      <c r="A1212" s="1094"/>
      <c r="B1212" s="1094"/>
      <c r="C1212" s="1094"/>
      <c r="D1212" s="1096"/>
      <c r="E1212" s="1097"/>
      <c r="F1212" s="1097"/>
      <c r="G1212" s="1097"/>
      <c r="H1212" s="1094"/>
      <c r="I1212" s="1094"/>
      <c r="J1212" s="1094"/>
      <c r="K1212" s="1094"/>
      <c r="L1212" s="1094"/>
      <c r="M1212" s="1094"/>
      <c r="N1212" s="1094"/>
      <c r="O1212" s="1094"/>
      <c r="P1212" s="1094"/>
      <c r="Q1212" s="1094"/>
      <c r="R1212" s="1094"/>
      <c r="S1212" s="1094"/>
      <c r="T1212" s="1094"/>
      <c r="U1212" s="1094"/>
      <c r="V1212" s="1094"/>
      <c r="W1212" s="1094"/>
      <c r="X1212" s="1094"/>
      <c r="Y1212" s="1094"/>
      <c r="Z1212" s="1094"/>
    </row>
    <row r="1213" ht="14.25" customHeight="1">
      <c r="A1213" s="497">
        <v>45528.0</v>
      </c>
      <c r="B1213" s="349" t="s">
        <v>5735</v>
      </c>
      <c r="C1213" s="349" t="s">
        <v>5736</v>
      </c>
      <c r="D1213" s="1032" t="s">
        <v>54</v>
      </c>
      <c r="E1213" s="413" t="s">
        <v>6813</v>
      </c>
      <c r="F1213" s="413">
        <v>19148.25</v>
      </c>
      <c r="G1213" s="403"/>
      <c r="H1213" s="349" t="s">
        <v>6850</v>
      </c>
      <c r="I1213" s="402"/>
      <c r="J1213" s="402"/>
      <c r="K1213" s="402"/>
      <c r="L1213" s="402"/>
      <c r="M1213" s="402"/>
      <c r="N1213" s="402"/>
      <c r="O1213" s="402"/>
      <c r="P1213" s="402"/>
      <c r="Q1213" s="402"/>
      <c r="R1213" s="402"/>
      <c r="S1213" s="402"/>
      <c r="T1213" s="402"/>
      <c r="U1213" s="402"/>
      <c r="V1213" s="402"/>
      <c r="W1213" s="402"/>
      <c r="X1213" s="402"/>
      <c r="Y1213" s="402"/>
      <c r="Z1213" s="402"/>
    </row>
    <row r="1214" ht="14.25" customHeight="1">
      <c r="A1214" s="497">
        <v>45528.0</v>
      </c>
      <c r="B1214" s="349" t="s">
        <v>5739</v>
      </c>
      <c r="C1214" s="349" t="s">
        <v>5740</v>
      </c>
      <c r="D1214" s="1032" t="s">
        <v>54</v>
      </c>
      <c r="E1214" s="413" t="s">
        <v>6511</v>
      </c>
      <c r="F1214" s="413">
        <v>853.32</v>
      </c>
      <c r="G1214" s="403"/>
      <c r="H1214" s="402"/>
      <c r="I1214" s="402"/>
      <c r="J1214" s="402"/>
      <c r="K1214" s="402"/>
      <c r="L1214" s="402"/>
      <c r="M1214" s="402"/>
      <c r="N1214" s="402"/>
      <c r="O1214" s="402"/>
      <c r="P1214" s="402"/>
      <c r="Q1214" s="402"/>
      <c r="R1214" s="402"/>
      <c r="S1214" s="402"/>
      <c r="T1214" s="402"/>
      <c r="U1214" s="402"/>
      <c r="V1214" s="402"/>
      <c r="W1214" s="402"/>
      <c r="X1214" s="402"/>
      <c r="Y1214" s="402"/>
      <c r="Z1214" s="402"/>
    </row>
    <row r="1215" ht="14.25" customHeight="1">
      <c r="A1215" s="497">
        <v>45528.0</v>
      </c>
      <c r="B1215" s="349" t="s">
        <v>5742</v>
      </c>
      <c r="C1215" s="349" t="s">
        <v>5743</v>
      </c>
      <c r="D1215" s="1032" t="s">
        <v>54</v>
      </c>
      <c r="E1215" s="413" t="s">
        <v>6531</v>
      </c>
      <c r="F1215" s="413">
        <v>45965.22</v>
      </c>
      <c r="G1215" s="403"/>
      <c r="H1215" s="402"/>
      <c r="I1215" s="402"/>
      <c r="J1215" s="402"/>
      <c r="K1215" s="402"/>
      <c r="L1215" s="402"/>
      <c r="M1215" s="402"/>
      <c r="N1215" s="402"/>
      <c r="O1215" s="402"/>
      <c r="P1215" s="402"/>
      <c r="Q1215" s="402"/>
      <c r="R1215" s="402"/>
      <c r="S1215" s="402"/>
      <c r="T1215" s="402"/>
      <c r="U1215" s="402"/>
      <c r="V1215" s="402"/>
      <c r="W1215" s="402"/>
      <c r="X1215" s="402"/>
      <c r="Y1215" s="402"/>
      <c r="Z1215" s="402"/>
    </row>
    <row r="1216" ht="14.25" customHeight="1">
      <c r="A1216" s="497">
        <v>45528.0</v>
      </c>
      <c r="B1216" s="349" t="s">
        <v>5746</v>
      </c>
      <c r="C1216" s="349" t="s">
        <v>5747</v>
      </c>
      <c r="D1216" s="1032" t="s">
        <v>54</v>
      </c>
      <c r="E1216" s="413" t="s">
        <v>6813</v>
      </c>
      <c r="F1216" s="413">
        <v>21411.09</v>
      </c>
      <c r="G1216" s="413">
        <v>0.0</v>
      </c>
      <c r="H1216" s="349" t="s">
        <v>6851</v>
      </c>
      <c r="I1216" s="402"/>
      <c r="J1216" s="402"/>
      <c r="K1216" s="402"/>
      <c r="L1216" s="402"/>
      <c r="M1216" s="402"/>
      <c r="N1216" s="402"/>
      <c r="O1216" s="402"/>
      <c r="P1216" s="402"/>
      <c r="Q1216" s="402"/>
      <c r="R1216" s="402"/>
      <c r="S1216" s="402"/>
      <c r="T1216" s="402"/>
      <c r="U1216" s="402"/>
      <c r="V1216" s="402"/>
      <c r="W1216" s="402"/>
      <c r="X1216" s="402"/>
      <c r="Y1216" s="402"/>
      <c r="Z1216" s="402"/>
    </row>
    <row r="1217" ht="14.25" customHeight="1">
      <c r="A1217" s="497">
        <v>45528.0</v>
      </c>
      <c r="B1217" s="349" t="s">
        <v>6852</v>
      </c>
      <c r="C1217" s="349" t="s">
        <v>6224</v>
      </c>
      <c r="D1217" s="1032" t="s">
        <v>75</v>
      </c>
      <c r="E1217" s="413" t="s">
        <v>6511</v>
      </c>
      <c r="F1217" s="413">
        <v>212494.92</v>
      </c>
      <c r="G1217" s="403"/>
      <c r="H1217" s="402"/>
      <c r="I1217" s="402"/>
      <c r="J1217" s="402"/>
      <c r="K1217" s="402"/>
      <c r="L1217" s="402"/>
      <c r="M1217" s="402"/>
      <c r="N1217" s="402"/>
      <c r="O1217" s="402"/>
      <c r="P1217" s="402"/>
      <c r="Q1217" s="402"/>
      <c r="R1217" s="402"/>
      <c r="S1217" s="402"/>
      <c r="T1217" s="402"/>
      <c r="U1217" s="402"/>
      <c r="V1217" s="402"/>
      <c r="W1217" s="402"/>
      <c r="X1217" s="402"/>
      <c r="Y1217" s="402"/>
      <c r="Z1217" s="402"/>
    </row>
    <row r="1218" ht="14.25" customHeight="1">
      <c r="A1218" s="497">
        <v>45528.0</v>
      </c>
      <c r="B1218" s="349" t="s">
        <v>6853</v>
      </c>
      <c r="C1218" s="349" t="s">
        <v>6854</v>
      </c>
      <c r="D1218" s="1032" t="s">
        <v>75</v>
      </c>
      <c r="E1218" s="413" t="s">
        <v>6531</v>
      </c>
      <c r="F1218" s="413">
        <v>92000.0</v>
      </c>
      <c r="G1218" s="403"/>
      <c r="H1218" s="402"/>
      <c r="I1218" s="402"/>
      <c r="J1218" s="402"/>
      <c r="K1218" s="402"/>
      <c r="L1218" s="402"/>
      <c r="M1218" s="402"/>
      <c r="N1218" s="402"/>
      <c r="O1218" s="402"/>
      <c r="P1218" s="402"/>
      <c r="Q1218" s="402"/>
      <c r="R1218" s="402"/>
      <c r="S1218" s="402"/>
      <c r="T1218" s="402"/>
      <c r="U1218" s="402"/>
      <c r="V1218" s="402"/>
      <c r="W1218" s="402"/>
      <c r="X1218" s="402"/>
      <c r="Y1218" s="402"/>
      <c r="Z1218" s="402"/>
    </row>
    <row r="1219" ht="14.25" customHeight="1">
      <c r="A1219" s="497">
        <v>45528.0</v>
      </c>
      <c r="B1219" s="349" t="s">
        <v>5695</v>
      </c>
      <c r="C1219" s="349" t="s">
        <v>5696</v>
      </c>
      <c r="D1219" s="1032" t="s">
        <v>54</v>
      </c>
      <c r="E1219" s="413" t="s">
        <v>6563</v>
      </c>
      <c r="F1219" s="413">
        <v>57066.49</v>
      </c>
      <c r="G1219" s="403"/>
      <c r="H1219" s="349" t="s">
        <v>6855</v>
      </c>
      <c r="I1219" s="402"/>
      <c r="J1219" s="402"/>
      <c r="K1219" s="402"/>
      <c r="L1219" s="402"/>
      <c r="M1219" s="402"/>
      <c r="N1219" s="402"/>
      <c r="O1219" s="402"/>
      <c r="P1219" s="402"/>
      <c r="Q1219" s="402"/>
      <c r="R1219" s="402"/>
      <c r="S1219" s="402"/>
      <c r="T1219" s="402"/>
      <c r="U1219" s="402"/>
      <c r="V1219" s="402"/>
      <c r="W1219" s="402"/>
      <c r="X1219" s="402"/>
      <c r="Y1219" s="402"/>
      <c r="Z1219" s="402"/>
    </row>
    <row r="1220" ht="14.25" customHeight="1">
      <c r="A1220" s="497">
        <v>45528.0</v>
      </c>
      <c r="B1220" s="349" t="s">
        <v>5697</v>
      </c>
      <c r="C1220" s="349" t="s">
        <v>5698</v>
      </c>
      <c r="D1220" s="1032" t="s">
        <v>54</v>
      </c>
      <c r="E1220" s="413" t="s">
        <v>6763</v>
      </c>
      <c r="F1220" s="413">
        <v>21107.97</v>
      </c>
      <c r="G1220" s="403"/>
      <c r="H1220" s="402"/>
      <c r="I1220" s="402"/>
      <c r="J1220" s="402"/>
      <c r="K1220" s="402"/>
      <c r="L1220" s="402"/>
      <c r="M1220" s="402"/>
      <c r="N1220" s="402"/>
      <c r="O1220" s="402"/>
      <c r="P1220" s="402"/>
      <c r="Q1220" s="402"/>
      <c r="R1220" s="402"/>
      <c r="S1220" s="402"/>
      <c r="T1220" s="402"/>
      <c r="U1220" s="402"/>
      <c r="V1220" s="402"/>
      <c r="W1220" s="402"/>
      <c r="X1220" s="402"/>
      <c r="Y1220" s="402"/>
      <c r="Z1220" s="402"/>
    </row>
    <row r="1221" ht="14.25" customHeight="1">
      <c r="A1221" s="497">
        <v>45528.0</v>
      </c>
      <c r="B1221" s="349" t="s">
        <v>5709</v>
      </c>
      <c r="C1221" s="349" t="s">
        <v>5710</v>
      </c>
      <c r="D1221" s="1032" t="s">
        <v>54</v>
      </c>
      <c r="E1221" s="413" t="s">
        <v>6763</v>
      </c>
      <c r="F1221" s="413">
        <v>29420.9</v>
      </c>
      <c r="G1221" s="403"/>
      <c r="H1221" s="349"/>
      <c r="I1221" s="402"/>
      <c r="J1221" s="402"/>
      <c r="K1221" s="402"/>
      <c r="L1221" s="402"/>
      <c r="M1221" s="402"/>
      <c r="N1221" s="402"/>
      <c r="O1221" s="402"/>
      <c r="P1221" s="402"/>
      <c r="Q1221" s="402"/>
      <c r="R1221" s="402"/>
      <c r="S1221" s="402"/>
      <c r="T1221" s="402"/>
      <c r="U1221" s="402"/>
      <c r="V1221" s="402"/>
      <c r="W1221" s="402"/>
      <c r="X1221" s="402"/>
      <c r="Y1221" s="402"/>
      <c r="Z1221" s="402"/>
    </row>
    <row r="1222" ht="14.25" customHeight="1">
      <c r="A1222" s="497">
        <v>45528.0</v>
      </c>
      <c r="B1222" s="349" t="s">
        <v>5712</v>
      </c>
      <c r="C1222" s="349" t="s">
        <v>5713</v>
      </c>
      <c r="D1222" s="1032" t="s">
        <v>54</v>
      </c>
      <c r="E1222" s="413" t="s">
        <v>6511</v>
      </c>
      <c r="F1222" s="413">
        <v>20333.01</v>
      </c>
      <c r="G1222" s="403"/>
      <c r="H1222" s="402"/>
      <c r="I1222" s="402"/>
      <c r="J1222" s="402"/>
      <c r="K1222" s="402"/>
      <c r="L1222" s="402"/>
      <c r="M1222" s="402"/>
      <c r="N1222" s="402"/>
      <c r="O1222" s="402"/>
      <c r="P1222" s="402"/>
      <c r="Q1222" s="402"/>
      <c r="R1222" s="402"/>
      <c r="S1222" s="402"/>
      <c r="T1222" s="402"/>
      <c r="U1222" s="402"/>
      <c r="V1222" s="402"/>
      <c r="W1222" s="402"/>
      <c r="X1222" s="402"/>
      <c r="Y1222" s="402"/>
      <c r="Z1222" s="402"/>
    </row>
    <row r="1223" ht="17.25" customHeight="1">
      <c r="A1223" s="497">
        <v>45528.0</v>
      </c>
      <c r="B1223" s="349" t="s">
        <v>5716</v>
      </c>
      <c r="C1223" s="349" t="s">
        <v>5717</v>
      </c>
      <c r="D1223" s="1032" t="s">
        <v>54</v>
      </c>
      <c r="E1223" s="413" t="s">
        <v>6563</v>
      </c>
      <c r="F1223" s="413">
        <v>25072.48</v>
      </c>
      <c r="G1223" s="403"/>
      <c r="H1223" s="349" t="s">
        <v>6856</v>
      </c>
      <c r="I1223" s="402"/>
      <c r="J1223" s="402"/>
      <c r="K1223" s="402"/>
      <c r="L1223" s="402"/>
      <c r="M1223" s="402"/>
      <c r="N1223" s="402"/>
      <c r="O1223" s="402"/>
      <c r="P1223" s="402"/>
      <c r="Q1223" s="402"/>
      <c r="R1223" s="402"/>
      <c r="S1223" s="402"/>
      <c r="T1223" s="402"/>
      <c r="U1223" s="402"/>
      <c r="V1223" s="402"/>
      <c r="W1223" s="402"/>
      <c r="X1223" s="402"/>
      <c r="Y1223" s="402"/>
      <c r="Z1223" s="402"/>
    </row>
    <row r="1224" ht="14.25" customHeight="1">
      <c r="A1224" s="497">
        <v>45528.0</v>
      </c>
      <c r="B1224" s="349" t="s">
        <v>6836</v>
      </c>
      <c r="C1224" s="349" t="s">
        <v>6837</v>
      </c>
      <c r="D1224" s="1032" t="s">
        <v>54</v>
      </c>
      <c r="E1224" s="413" t="s">
        <v>12</v>
      </c>
      <c r="F1224" s="413">
        <v>24897.0</v>
      </c>
      <c r="G1224" s="403"/>
      <c r="H1224" s="402"/>
      <c r="I1224" s="402"/>
      <c r="J1224" s="402"/>
      <c r="K1224" s="402"/>
      <c r="L1224" s="402"/>
      <c r="M1224" s="402"/>
      <c r="N1224" s="402"/>
      <c r="O1224" s="402"/>
      <c r="P1224" s="402"/>
      <c r="Q1224" s="402"/>
      <c r="R1224" s="402"/>
      <c r="S1224" s="402"/>
      <c r="T1224" s="402"/>
      <c r="U1224" s="402"/>
      <c r="V1224" s="402"/>
      <c r="W1224" s="402"/>
      <c r="X1224" s="402"/>
      <c r="Y1224" s="402"/>
      <c r="Z1224" s="402"/>
    </row>
    <row r="1225" ht="14.25" customHeight="1">
      <c r="A1225" s="497">
        <v>45528.0</v>
      </c>
      <c r="B1225" s="349" t="s">
        <v>6838</v>
      </c>
      <c r="C1225" s="349" t="s">
        <v>6837</v>
      </c>
      <c r="D1225" s="1032" t="s">
        <v>346</v>
      </c>
      <c r="E1225" s="413" t="s">
        <v>12</v>
      </c>
      <c r="F1225" s="413">
        <v>4500.0</v>
      </c>
      <c r="G1225" s="403"/>
      <c r="H1225" s="402"/>
      <c r="I1225" s="402"/>
      <c r="J1225" s="402"/>
      <c r="K1225" s="402"/>
      <c r="L1225" s="402"/>
      <c r="M1225" s="402"/>
      <c r="N1225" s="402"/>
      <c r="O1225" s="402"/>
      <c r="P1225" s="402"/>
      <c r="Q1225" s="402"/>
      <c r="R1225" s="402"/>
      <c r="S1225" s="402"/>
      <c r="T1225" s="402"/>
      <c r="U1225" s="402"/>
      <c r="V1225" s="402"/>
      <c r="W1225" s="402"/>
      <c r="X1225" s="402"/>
      <c r="Y1225" s="402"/>
      <c r="Z1225" s="402"/>
    </row>
    <row r="1226" ht="14.25" customHeight="1">
      <c r="A1226" s="1126">
        <v>45528.0</v>
      </c>
      <c r="B1226" s="1127" t="s">
        <v>5618</v>
      </c>
      <c r="C1226" s="1127" t="s">
        <v>5619</v>
      </c>
      <c r="D1226" s="1128" t="s">
        <v>54</v>
      </c>
      <c r="E1226" s="1129" t="s">
        <v>6813</v>
      </c>
      <c r="F1226" s="1129">
        <v>85309.04</v>
      </c>
      <c r="G1226" s="1130"/>
      <c r="H1226" s="1127" t="s">
        <v>6857</v>
      </c>
      <c r="I1226" s="1131"/>
      <c r="J1226" s="1131"/>
      <c r="K1226" s="1131"/>
      <c r="L1226" s="1131"/>
      <c r="M1226" s="1131"/>
      <c r="N1226" s="1131"/>
      <c r="O1226" s="1131"/>
      <c r="P1226" s="1131"/>
      <c r="Q1226" s="1131"/>
      <c r="R1226" s="1131"/>
      <c r="S1226" s="1131"/>
      <c r="T1226" s="1131"/>
      <c r="U1226" s="1131"/>
      <c r="V1226" s="1131"/>
      <c r="W1226" s="1131"/>
      <c r="X1226" s="1131"/>
      <c r="Y1226" s="1131"/>
      <c r="Z1226" s="1131"/>
    </row>
    <row r="1227" ht="14.25" customHeight="1">
      <c r="A1227" s="497">
        <v>45528.0</v>
      </c>
      <c r="B1227" s="349" t="s">
        <v>5624</v>
      </c>
      <c r="C1227" s="349" t="s">
        <v>5625</v>
      </c>
      <c r="D1227" s="1032" t="s">
        <v>54</v>
      </c>
      <c r="E1227" s="413" t="s">
        <v>6786</v>
      </c>
      <c r="F1227" s="413">
        <v>85056.6</v>
      </c>
      <c r="G1227" s="403"/>
      <c r="H1227" s="402"/>
      <c r="I1227" s="402"/>
      <c r="J1227" s="402"/>
      <c r="K1227" s="402"/>
      <c r="L1227" s="402"/>
      <c r="M1227" s="402"/>
      <c r="N1227" s="402"/>
      <c r="O1227" s="402"/>
      <c r="P1227" s="402"/>
      <c r="Q1227" s="402"/>
      <c r="R1227" s="402"/>
      <c r="S1227" s="402"/>
      <c r="T1227" s="402"/>
      <c r="U1227" s="402"/>
      <c r="V1227" s="402"/>
      <c r="W1227" s="402"/>
      <c r="X1227" s="402"/>
      <c r="Y1227" s="402"/>
      <c r="Z1227" s="402"/>
    </row>
    <row r="1228" ht="14.25" customHeight="1">
      <c r="A1228" s="497">
        <v>45528.0</v>
      </c>
      <c r="B1228" s="349" t="s">
        <v>5626</v>
      </c>
      <c r="C1228" s="349" t="s">
        <v>5627</v>
      </c>
      <c r="D1228" s="1032" t="s">
        <v>54</v>
      </c>
      <c r="E1228" s="413" t="s">
        <v>6763</v>
      </c>
      <c r="F1228" s="413">
        <v>140846.15</v>
      </c>
      <c r="G1228" s="403"/>
      <c r="H1228" s="349"/>
      <c r="I1228" s="402"/>
      <c r="J1228" s="402"/>
      <c r="K1228" s="402"/>
      <c r="L1228" s="402"/>
      <c r="M1228" s="402"/>
      <c r="N1228" s="402"/>
      <c r="O1228" s="402"/>
      <c r="P1228" s="402"/>
      <c r="Q1228" s="402"/>
      <c r="R1228" s="402"/>
      <c r="S1228" s="402"/>
      <c r="T1228" s="402"/>
      <c r="U1228" s="402"/>
      <c r="V1228" s="402"/>
      <c r="W1228" s="402"/>
      <c r="X1228" s="402"/>
      <c r="Y1228" s="402"/>
      <c r="Z1228" s="402"/>
    </row>
    <row r="1229" ht="14.25" customHeight="1">
      <c r="A1229" s="497">
        <v>45528.0</v>
      </c>
      <c r="B1229" s="349" t="s">
        <v>5628</v>
      </c>
      <c r="C1229" s="349" t="s">
        <v>5629</v>
      </c>
      <c r="D1229" s="1032" t="s">
        <v>54</v>
      </c>
      <c r="E1229" s="413" t="s">
        <v>6563</v>
      </c>
      <c r="F1229" s="413">
        <v>17931.38</v>
      </c>
      <c r="G1229" s="403"/>
      <c r="H1229" s="349" t="s">
        <v>6817</v>
      </c>
      <c r="I1229" s="402"/>
      <c r="J1229" s="402"/>
      <c r="K1229" s="402"/>
      <c r="L1229" s="402"/>
      <c r="M1229" s="402"/>
      <c r="N1229" s="402"/>
      <c r="O1229" s="402"/>
      <c r="P1229" s="402"/>
      <c r="Q1229" s="402"/>
      <c r="R1229" s="402"/>
      <c r="S1229" s="402"/>
      <c r="T1229" s="402"/>
      <c r="U1229" s="402"/>
      <c r="V1229" s="402"/>
      <c r="W1229" s="402"/>
      <c r="X1229" s="402"/>
      <c r="Y1229" s="402"/>
      <c r="Z1229" s="402"/>
    </row>
    <row r="1230" ht="14.25" customHeight="1">
      <c r="A1230" s="497">
        <v>45528.0</v>
      </c>
      <c r="B1230" s="349" t="s">
        <v>5639</v>
      </c>
      <c r="C1230" s="349" t="s">
        <v>5627</v>
      </c>
      <c r="D1230" s="1032" t="s">
        <v>346</v>
      </c>
      <c r="E1230" s="413" t="s">
        <v>6813</v>
      </c>
      <c r="F1230" s="413">
        <v>11580.7</v>
      </c>
      <c r="G1230" s="403"/>
      <c r="H1230" s="349" t="s">
        <v>3402</v>
      </c>
      <c r="I1230" s="402"/>
      <c r="J1230" s="402"/>
      <c r="K1230" s="402"/>
      <c r="L1230" s="402"/>
      <c r="M1230" s="402"/>
      <c r="N1230" s="402"/>
      <c r="O1230" s="402"/>
      <c r="P1230" s="402"/>
      <c r="Q1230" s="402"/>
      <c r="R1230" s="402"/>
      <c r="S1230" s="402"/>
      <c r="T1230" s="402"/>
      <c r="U1230" s="402"/>
      <c r="V1230" s="402"/>
      <c r="W1230" s="402"/>
      <c r="X1230" s="402"/>
      <c r="Y1230" s="402"/>
      <c r="Z1230" s="402"/>
    </row>
    <row r="1231" ht="14.25" customHeight="1">
      <c r="A1231" s="497">
        <v>45528.0</v>
      </c>
      <c r="B1231" s="349" t="s">
        <v>5642</v>
      </c>
      <c r="C1231" s="349" t="s">
        <v>5643</v>
      </c>
      <c r="D1231" s="1032" t="s">
        <v>54</v>
      </c>
      <c r="E1231" s="413" t="s">
        <v>6763</v>
      </c>
      <c r="F1231" s="413">
        <v>19111.0</v>
      </c>
      <c r="G1231" s="403"/>
      <c r="H1231" s="402"/>
      <c r="I1231" s="402"/>
      <c r="J1231" s="402"/>
      <c r="K1231" s="402"/>
      <c r="L1231" s="402"/>
      <c r="M1231" s="402"/>
      <c r="N1231" s="402"/>
      <c r="O1231" s="402"/>
      <c r="P1231" s="402"/>
      <c r="Q1231" s="402"/>
      <c r="R1231" s="402"/>
      <c r="S1231" s="402"/>
      <c r="T1231" s="402"/>
      <c r="U1231" s="402"/>
      <c r="V1231" s="402"/>
      <c r="W1231" s="402"/>
      <c r="X1231" s="402"/>
      <c r="Y1231" s="402"/>
      <c r="Z1231" s="402"/>
    </row>
    <row r="1232" ht="14.25" customHeight="1">
      <c r="A1232" s="497">
        <v>45528.0</v>
      </c>
      <c r="B1232" s="349" t="s">
        <v>5645</v>
      </c>
      <c r="C1232" s="349" t="s">
        <v>5646</v>
      </c>
      <c r="D1232" s="1032" t="s">
        <v>54</v>
      </c>
      <c r="E1232" s="413" t="s">
        <v>6763</v>
      </c>
      <c r="F1232" s="413">
        <v>34814.59</v>
      </c>
      <c r="G1232" s="413"/>
      <c r="H1232" s="402"/>
      <c r="I1232" s="402"/>
      <c r="J1232" s="402"/>
      <c r="K1232" s="402"/>
      <c r="L1232" s="402"/>
      <c r="M1232" s="402"/>
      <c r="N1232" s="402"/>
      <c r="O1232" s="402"/>
      <c r="P1232" s="402"/>
      <c r="Q1232" s="402"/>
      <c r="R1232" s="402"/>
      <c r="S1232" s="402"/>
      <c r="T1232" s="402"/>
      <c r="U1232" s="402"/>
      <c r="V1232" s="402"/>
      <c r="W1232" s="402"/>
      <c r="X1232" s="402"/>
      <c r="Y1232" s="402"/>
      <c r="Z1232" s="402"/>
    </row>
    <row r="1233" ht="14.25" customHeight="1">
      <c r="A1233" s="497">
        <v>45528.0</v>
      </c>
      <c r="B1233" s="349" t="s">
        <v>5647</v>
      </c>
      <c r="C1233" s="349" t="s">
        <v>5648</v>
      </c>
      <c r="D1233" s="1032" t="s">
        <v>54</v>
      </c>
      <c r="E1233" s="413" t="s">
        <v>6505</v>
      </c>
      <c r="F1233" s="413">
        <v>36822.06</v>
      </c>
      <c r="G1233" s="403"/>
      <c r="H1233" s="349" t="s">
        <v>4832</v>
      </c>
      <c r="I1233" s="402"/>
      <c r="J1233" s="402"/>
      <c r="K1233" s="402"/>
      <c r="L1233" s="402"/>
      <c r="M1233" s="402"/>
      <c r="N1233" s="402"/>
      <c r="O1233" s="402"/>
      <c r="P1233" s="402"/>
      <c r="Q1233" s="402"/>
      <c r="R1233" s="402"/>
      <c r="S1233" s="402"/>
      <c r="T1233" s="402"/>
      <c r="U1233" s="402"/>
      <c r="V1233" s="402"/>
      <c r="W1233" s="402"/>
      <c r="X1233" s="402"/>
      <c r="Y1233" s="402"/>
      <c r="Z1233" s="402"/>
    </row>
    <row r="1234" ht="14.25" customHeight="1">
      <c r="A1234" s="497">
        <v>45528.0</v>
      </c>
      <c r="B1234" s="349" t="s">
        <v>5656</v>
      </c>
      <c r="C1234" s="349" t="s">
        <v>5657</v>
      </c>
      <c r="D1234" s="1032" t="s">
        <v>54</v>
      </c>
      <c r="E1234" s="413" t="s">
        <v>6511</v>
      </c>
      <c r="F1234" s="413">
        <v>37884.45</v>
      </c>
      <c r="G1234" s="403"/>
      <c r="H1234" s="402"/>
      <c r="I1234" s="402"/>
      <c r="J1234" s="402"/>
      <c r="K1234" s="402"/>
      <c r="L1234" s="402"/>
      <c r="M1234" s="402"/>
      <c r="N1234" s="402"/>
      <c r="O1234" s="402"/>
      <c r="P1234" s="402"/>
      <c r="Q1234" s="402"/>
      <c r="R1234" s="402"/>
      <c r="S1234" s="402"/>
      <c r="T1234" s="402"/>
      <c r="U1234" s="402"/>
      <c r="V1234" s="402"/>
      <c r="W1234" s="402"/>
      <c r="X1234" s="402"/>
      <c r="Y1234" s="402"/>
      <c r="Z1234" s="402"/>
    </row>
    <row r="1235" ht="14.25" customHeight="1">
      <c r="A1235" s="497">
        <v>45528.0</v>
      </c>
      <c r="B1235" s="349" t="s">
        <v>5658</v>
      </c>
      <c r="C1235" s="349" t="s">
        <v>5659</v>
      </c>
      <c r="D1235" s="1032" t="s">
        <v>54</v>
      </c>
      <c r="E1235" s="413" t="s">
        <v>6813</v>
      </c>
      <c r="F1235" s="413">
        <v>190014.05</v>
      </c>
      <c r="G1235" s="403"/>
      <c r="H1235" s="349" t="s">
        <v>4832</v>
      </c>
      <c r="I1235" s="402"/>
      <c r="J1235" s="402"/>
      <c r="K1235" s="402"/>
      <c r="L1235" s="402"/>
      <c r="M1235" s="402"/>
      <c r="N1235" s="402"/>
      <c r="O1235" s="402"/>
      <c r="P1235" s="402"/>
      <c r="Q1235" s="402"/>
      <c r="R1235" s="402"/>
      <c r="S1235" s="402"/>
      <c r="T1235" s="402"/>
      <c r="U1235" s="402"/>
      <c r="V1235" s="402"/>
      <c r="W1235" s="402"/>
      <c r="X1235" s="402"/>
      <c r="Y1235" s="402"/>
      <c r="Z1235" s="402"/>
    </row>
    <row r="1236" ht="14.25" customHeight="1">
      <c r="A1236" s="497">
        <v>45528.0</v>
      </c>
      <c r="B1236" s="349" t="s">
        <v>6782</v>
      </c>
      <c r="C1236" s="349" t="s">
        <v>5659</v>
      </c>
      <c r="D1236" s="1032" t="s">
        <v>346</v>
      </c>
      <c r="E1236" s="413" t="s">
        <v>6813</v>
      </c>
      <c r="F1236" s="413">
        <v>4703.92</v>
      </c>
      <c r="G1236" s="403"/>
      <c r="H1236" s="349" t="s">
        <v>4832</v>
      </c>
      <c r="I1236" s="402"/>
      <c r="J1236" s="402"/>
      <c r="K1236" s="402"/>
      <c r="L1236" s="402"/>
      <c r="M1236" s="402"/>
      <c r="N1236" s="402"/>
      <c r="O1236" s="402"/>
      <c r="P1236" s="402"/>
      <c r="Q1236" s="402"/>
      <c r="R1236" s="402"/>
      <c r="S1236" s="402"/>
      <c r="T1236" s="402"/>
      <c r="U1236" s="402"/>
      <c r="V1236" s="402"/>
      <c r="W1236" s="402"/>
      <c r="X1236" s="402"/>
      <c r="Y1236" s="402"/>
      <c r="Z1236" s="402"/>
    </row>
    <row r="1237" ht="14.25" customHeight="1">
      <c r="A1237" s="497">
        <v>45528.0</v>
      </c>
      <c r="B1237" s="349" t="s">
        <v>5662</v>
      </c>
      <c r="C1237" s="349" t="s">
        <v>5663</v>
      </c>
      <c r="D1237" s="1032" t="s">
        <v>54</v>
      </c>
      <c r="E1237" s="413" t="s">
        <v>6763</v>
      </c>
      <c r="F1237" s="413">
        <v>43200.0</v>
      </c>
      <c r="G1237" s="403"/>
      <c r="H1237" s="402"/>
      <c r="I1237" s="402"/>
      <c r="J1237" s="402"/>
      <c r="K1237" s="402"/>
      <c r="L1237" s="402"/>
      <c r="M1237" s="402"/>
      <c r="N1237" s="402"/>
      <c r="O1237" s="402"/>
      <c r="P1237" s="402"/>
      <c r="Q1237" s="402"/>
      <c r="R1237" s="402"/>
      <c r="S1237" s="402"/>
      <c r="T1237" s="402"/>
      <c r="U1237" s="402"/>
      <c r="V1237" s="402"/>
      <c r="W1237" s="402"/>
      <c r="X1237" s="402"/>
      <c r="Y1237" s="402"/>
      <c r="Z1237" s="402"/>
    </row>
    <row r="1238" ht="14.25" customHeight="1">
      <c r="A1238" s="497">
        <v>45528.0</v>
      </c>
      <c r="B1238" s="349" t="s">
        <v>5667</v>
      </c>
      <c r="C1238" s="349" t="s">
        <v>5668</v>
      </c>
      <c r="D1238" s="1032" t="s">
        <v>346</v>
      </c>
      <c r="E1238" s="413" t="s">
        <v>6813</v>
      </c>
      <c r="F1238" s="413">
        <v>9547.32</v>
      </c>
      <c r="G1238" s="403"/>
      <c r="H1238" s="349"/>
      <c r="I1238" s="402"/>
      <c r="J1238" s="402"/>
      <c r="K1238" s="402"/>
      <c r="L1238" s="402"/>
      <c r="M1238" s="402"/>
      <c r="N1238" s="402"/>
      <c r="O1238" s="402"/>
      <c r="P1238" s="402"/>
      <c r="Q1238" s="402"/>
      <c r="R1238" s="402"/>
      <c r="S1238" s="402"/>
      <c r="T1238" s="402"/>
      <c r="U1238" s="402"/>
      <c r="V1238" s="402"/>
      <c r="W1238" s="402"/>
      <c r="X1238" s="402"/>
      <c r="Y1238" s="402"/>
      <c r="Z1238" s="402"/>
    </row>
    <row r="1239" ht="14.25" customHeight="1">
      <c r="A1239" s="497">
        <v>45528.0</v>
      </c>
      <c r="B1239" s="349" t="s">
        <v>6757</v>
      </c>
      <c r="C1239" s="349" t="s">
        <v>6758</v>
      </c>
      <c r="D1239" s="1032" t="s">
        <v>54</v>
      </c>
      <c r="E1239" s="413" t="s">
        <v>6511</v>
      </c>
      <c r="F1239" s="413">
        <v>15169.27</v>
      </c>
      <c r="G1239" s="413"/>
      <c r="H1239" s="349"/>
      <c r="I1239" s="402"/>
      <c r="J1239" s="402"/>
      <c r="K1239" s="402"/>
      <c r="L1239" s="402"/>
      <c r="M1239" s="402"/>
      <c r="N1239" s="402"/>
      <c r="O1239" s="402"/>
      <c r="P1239" s="402"/>
      <c r="Q1239" s="402"/>
      <c r="R1239" s="402"/>
      <c r="S1239" s="402"/>
      <c r="T1239" s="402"/>
      <c r="U1239" s="402"/>
      <c r="V1239" s="402"/>
      <c r="W1239" s="402"/>
      <c r="X1239" s="402"/>
      <c r="Y1239" s="402"/>
      <c r="Z1239" s="402"/>
    </row>
    <row r="1240" ht="14.25" customHeight="1">
      <c r="A1240" s="497">
        <v>45528.0</v>
      </c>
      <c r="B1240" s="349" t="s">
        <v>6759</v>
      </c>
      <c r="C1240" s="349" t="s">
        <v>6760</v>
      </c>
      <c r="D1240" s="1032" t="s">
        <v>54</v>
      </c>
      <c r="E1240" s="413" t="s">
        <v>6511</v>
      </c>
      <c r="F1240" s="413">
        <v>36675.2</v>
      </c>
      <c r="G1240" s="413"/>
      <c r="H1240" s="402"/>
      <c r="I1240" s="402"/>
      <c r="J1240" s="402"/>
      <c r="K1240" s="402"/>
      <c r="L1240" s="402"/>
      <c r="M1240" s="402"/>
      <c r="N1240" s="402"/>
      <c r="O1240" s="402"/>
      <c r="P1240" s="402"/>
      <c r="Q1240" s="402"/>
      <c r="R1240" s="402"/>
      <c r="S1240" s="402"/>
      <c r="T1240" s="402"/>
      <c r="U1240" s="402"/>
      <c r="V1240" s="402"/>
      <c r="W1240" s="402"/>
      <c r="X1240" s="402"/>
      <c r="Y1240" s="402"/>
      <c r="Z1240" s="402"/>
    </row>
    <row r="1241" ht="14.25" customHeight="1">
      <c r="A1241" s="497">
        <v>45528.0</v>
      </c>
      <c r="B1241" s="349" t="s">
        <v>6765</v>
      </c>
      <c r="C1241" s="349" t="s">
        <v>6766</v>
      </c>
      <c r="D1241" s="1032" t="s">
        <v>54</v>
      </c>
      <c r="E1241" s="413" t="s">
        <v>6531</v>
      </c>
      <c r="F1241" s="413">
        <v>21745.0</v>
      </c>
      <c r="G1241" s="413"/>
      <c r="H1241" s="402"/>
      <c r="I1241" s="402"/>
      <c r="J1241" s="402"/>
      <c r="K1241" s="402"/>
      <c r="L1241" s="402"/>
      <c r="M1241" s="402"/>
      <c r="N1241" s="402"/>
      <c r="O1241" s="402"/>
      <c r="P1241" s="402"/>
      <c r="Q1241" s="402"/>
      <c r="R1241" s="402"/>
      <c r="S1241" s="402"/>
      <c r="T1241" s="402"/>
      <c r="U1241" s="402"/>
      <c r="V1241" s="402"/>
      <c r="W1241" s="402"/>
      <c r="X1241" s="402"/>
      <c r="Y1241" s="402"/>
      <c r="Z1241" s="402"/>
    </row>
    <row r="1242" ht="14.25" customHeight="1">
      <c r="A1242" s="497">
        <v>45528.0</v>
      </c>
      <c r="B1242" s="349" t="s">
        <v>6767</v>
      </c>
      <c r="C1242" s="349" t="s">
        <v>6768</v>
      </c>
      <c r="D1242" s="1032" t="s">
        <v>54</v>
      </c>
      <c r="E1242" s="413" t="s">
        <v>6813</v>
      </c>
      <c r="F1242" s="413">
        <v>16803.99</v>
      </c>
      <c r="G1242" s="1079"/>
      <c r="H1242" s="413" t="s">
        <v>6858</v>
      </c>
      <c r="I1242" s="402"/>
      <c r="J1242" s="402"/>
      <c r="K1242" s="402"/>
      <c r="L1242" s="402"/>
      <c r="M1242" s="402"/>
      <c r="N1242" s="402"/>
      <c r="O1242" s="402"/>
      <c r="P1242" s="402"/>
      <c r="Q1242" s="402"/>
      <c r="R1242" s="402"/>
      <c r="S1242" s="402"/>
      <c r="T1242" s="402"/>
      <c r="U1242" s="402"/>
      <c r="V1242" s="402"/>
      <c r="W1242" s="402"/>
      <c r="X1242" s="402"/>
      <c r="Y1242" s="402"/>
      <c r="Z1242" s="402"/>
    </row>
    <row r="1243" ht="14.25" customHeight="1">
      <c r="A1243" s="497">
        <v>45528.0</v>
      </c>
      <c r="B1243" s="349" t="s">
        <v>6724</v>
      </c>
      <c r="C1243" s="349" t="s">
        <v>6725</v>
      </c>
      <c r="D1243" s="1032" t="s">
        <v>54</v>
      </c>
      <c r="E1243" s="413" t="s">
        <v>6813</v>
      </c>
      <c r="F1243" s="413">
        <v>26315.0</v>
      </c>
      <c r="G1243" s="413"/>
      <c r="H1243" s="413" t="s">
        <v>4655</v>
      </c>
      <c r="I1243" s="402"/>
      <c r="J1243" s="402"/>
      <c r="K1243" s="402"/>
      <c r="L1243" s="402"/>
      <c r="M1243" s="402"/>
      <c r="N1243" s="402"/>
      <c r="O1243" s="402"/>
      <c r="P1243" s="402"/>
      <c r="Q1243" s="402"/>
      <c r="R1243" s="402"/>
      <c r="S1243" s="402"/>
      <c r="T1243" s="402"/>
      <c r="U1243" s="402"/>
      <c r="V1243" s="402"/>
      <c r="W1243" s="402"/>
      <c r="X1243" s="402"/>
      <c r="Y1243" s="402"/>
      <c r="Z1243" s="402"/>
    </row>
    <row r="1244" ht="14.25" customHeight="1">
      <c r="A1244" s="497">
        <v>45528.0</v>
      </c>
      <c r="B1244" s="349" t="s">
        <v>6740</v>
      </c>
      <c r="C1244" s="349" t="s">
        <v>6741</v>
      </c>
      <c r="D1244" s="1032" t="s">
        <v>54</v>
      </c>
      <c r="E1244" s="413" t="s">
        <v>6763</v>
      </c>
      <c r="F1244" s="413">
        <v>33409.56</v>
      </c>
      <c r="G1244" s="403"/>
      <c r="H1244" s="402"/>
      <c r="I1244" s="402"/>
      <c r="J1244" s="402"/>
      <c r="K1244" s="402"/>
      <c r="L1244" s="402"/>
      <c r="M1244" s="402"/>
      <c r="N1244" s="402"/>
      <c r="O1244" s="402"/>
      <c r="P1244" s="402"/>
      <c r="Q1244" s="402"/>
      <c r="R1244" s="402"/>
      <c r="S1244" s="402"/>
      <c r="T1244" s="402"/>
      <c r="U1244" s="402"/>
      <c r="V1244" s="402"/>
      <c r="W1244" s="402"/>
      <c r="X1244" s="402"/>
      <c r="Y1244" s="402"/>
      <c r="Z1244" s="402"/>
    </row>
    <row r="1245" ht="14.25" customHeight="1">
      <c r="A1245" s="497">
        <v>45528.0</v>
      </c>
      <c r="B1245" s="349" t="s">
        <v>6431</v>
      </c>
      <c r="C1245" s="349" t="s">
        <v>6751</v>
      </c>
      <c r="D1245" s="1032" t="s">
        <v>54</v>
      </c>
      <c r="E1245" s="413" t="s">
        <v>6511</v>
      </c>
      <c r="F1245" s="413">
        <v>255994.39</v>
      </c>
      <c r="G1245" s="413"/>
      <c r="H1245" s="402"/>
      <c r="I1245" s="402"/>
      <c r="J1245" s="402"/>
      <c r="K1245" s="402"/>
      <c r="L1245" s="402"/>
      <c r="M1245" s="402"/>
      <c r="N1245" s="402"/>
      <c r="O1245" s="402"/>
      <c r="P1245" s="402"/>
      <c r="Q1245" s="402"/>
      <c r="R1245" s="402"/>
      <c r="S1245" s="402"/>
      <c r="T1245" s="402"/>
      <c r="U1245" s="402"/>
      <c r="V1245" s="402"/>
      <c r="W1245" s="402"/>
      <c r="X1245" s="402"/>
      <c r="Y1245" s="402"/>
      <c r="Z1245" s="402"/>
    </row>
    <row r="1246" ht="14.25" customHeight="1">
      <c r="A1246" s="497">
        <v>45528.0</v>
      </c>
      <c r="B1246" s="349" t="s">
        <v>6015</v>
      </c>
      <c r="C1246" s="349" t="s">
        <v>6787</v>
      </c>
      <c r="D1246" s="1032" t="s">
        <v>75</v>
      </c>
      <c r="E1246" s="413" t="s">
        <v>6511</v>
      </c>
      <c r="F1246" s="413">
        <v>61262.42</v>
      </c>
      <c r="G1246" s="1079"/>
      <c r="H1246" s="402"/>
      <c r="I1246" s="402"/>
      <c r="J1246" s="402"/>
      <c r="K1246" s="402"/>
      <c r="L1246" s="402"/>
      <c r="M1246" s="402"/>
      <c r="N1246" s="402"/>
      <c r="O1246" s="402"/>
      <c r="P1246" s="402"/>
      <c r="Q1246" s="402"/>
      <c r="R1246" s="402"/>
      <c r="S1246" s="402"/>
      <c r="T1246" s="402"/>
      <c r="U1246" s="402"/>
      <c r="V1246" s="402"/>
      <c r="W1246" s="402"/>
      <c r="X1246" s="402"/>
      <c r="Y1246" s="402"/>
      <c r="Z1246" s="402"/>
    </row>
    <row r="1247" ht="14.25" customHeight="1">
      <c r="A1247" s="497">
        <v>45528.0</v>
      </c>
      <c r="B1247" s="349" t="s">
        <v>6462</v>
      </c>
      <c r="C1247" s="349" t="s">
        <v>6788</v>
      </c>
      <c r="D1247" s="1032" t="s">
        <v>75</v>
      </c>
      <c r="E1247" s="413" t="s">
        <v>6763</v>
      </c>
      <c r="F1247" s="413">
        <v>739886.7</v>
      </c>
      <c r="G1247" s="1079"/>
      <c r="H1247" s="349"/>
      <c r="I1247" s="402"/>
      <c r="J1247" s="402"/>
      <c r="K1247" s="402"/>
      <c r="L1247" s="402"/>
      <c r="M1247" s="402"/>
      <c r="N1247" s="402"/>
      <c r="O1247" s="402"/>
      <c r="P1247" s="402"/>
      <c r="Q1247" s="402"/>
      <c r="R1247" s="402"/>
      <c r="S1247" s="402"/>
      <c r="T1247" s="402"/>
      <c r="U1247" s="402"/>
      <c r="V1247" s="402"/>
      <c r="W1247" s="402"/>
      <c r="X1247" s="402"/>
      <c r="Y1247" s="402"/>
      <c r="Z1247" s="402"/>
    </row>
    <row r="1248" ht="14.25" customHeight="1">
      <c r="A1248" s="497">
        <v>45528.0</v>
      </c>
      <c r="B1248" s="349" t="s">
        <v>5795</v>
      </c>
      <c r="C1248" s="349" t="s">
        <v>6789</v>
      </c>
      <c r="D1248" s="1032" t="s">
        <v>75</v>
      </c>
      <c r="E1248" s="413" t="s">
        <v>6511</v>
      </c>
      <c r="F1248" s="413">
        <v>14477.4</v>
      </c>
      <c r="G1248" s="1079"/>
      <c r="H1248" s="402"/>
      <c r="I1248" s="402"/>
      <c r="J1248" s="402"/>
      <c r="K1248" s="402"/>
      <c r="L1248" s="402"/>
      <c r="M1248" s="402"/>
      <c r="N1248" s="402"/>
      <c r="O1248" s="402"/>
      <c r="P1248" s="402"/>
      <c r="Q1248" s="402"/>
      <c r="R1248" s="402"/>
      <c r="S1248" s="402"/>
      <c r="T1248" s="402"/>
      <c r="U1248" s="402"/>
      <c r="V1248" s="402"/>
      <c r="W1248" s="402"/>
      <c r="X1248" s="402"/>
      <c r="Y1248" s="402"/>
      <c r="Z1248" s="402"/>
    </row>
    <row r="1249" ht="14.25" customHeight="1">
      <c r="A1249" s="497">
        <v>45528.0</v>
      </c>
      <c r="B1249" s="349" t="s">
        <v>6114</v>
      </c>
      <c r="C1249" s="349" t="s">
        <v>6790</v>
      </c>
      <c r="D1249" s="1032" t="s">
        <v>75</v>
      </c>
      <c r="E1249" s="413" t="s">
        <v>6511</v>
      </c>
      <c r="F1249" s="413">
        <v>87562.13</v>
      </c>
      <c r="G1249" s="1079"/>
      <c r="H1249" s="402"/>
      <c r="I1249" s="402"/>
      <c r="J1249" s="402"/>
      <c r="K1249" s="402"/>
      <c r="L1249" s="402"/>
      <c r="M1249" s="402"/>
      <c r="N1249" s="402"/>
      <c r="O1249" s="402"/>
      <c r="P1249" s="402"/>
      <c r="Q1249" s="402"/>
      <c r="R1249" s="402"/>
      <c r="S1249" s="402"/>
      <c r="T1249" s="402"/>
      <c r="U1249" s="402"/>
      <c r="V1249" s="402"/>
      <c r="W1249" s="402"/>
      <c r="X1249" s="402"/>
      <c r="Y1249" s="402"/>
      <c r="Z1249" s="402"/>
    </row>
    <row r="1250" ht="14.25" customHeight="1">
      <c r="A1250" s="497">
        <v>45528.0</v>
      </c>
      <c r="B1250" s="349" t="s">
        <v>6521</v>
      </c>
      <c r="C1250" s="349" t="s">
        <v>6791</v>
      </c>
      <c r="D1250" s="1032" t="s">
        <v>75</v>
      </c>
      <c r="E1250" s="413" t="s">
        <v>6563</v>
      </c>
      <c r="F1250" s="413">
        <v>80850.0</v>
      </c>
      <c r="G1250" s="1079"/>
      <c r="H1250" s="349" t="s">
        <v>6859</v>
      </c>
      <c r="I1250" s="402"/>
      <c r="J1250" s="402"/>
      <c r="K1250" s="402"/>
      <c r="L1250" s="402"/>
      <c r="M1250" s="402"/>
      <c r="N1250" s="402"/>
      <c r="O1250" s="402"/>
      <c r="P1250" s="402"/>
      <c r="Q1250" s="402"/>
      <c r="R1250" s="402"/>
      <c r="S1250" s="402"/>
      <c r="T1250" s="402"/>
      <c r="U1250" s="402"/>
      <c r="V1250" s="402"/>
      <c r="W1250" s="402"/>
      <c r="X1250" s="402"/>
      <c r="Y1250" s="402"/>
      <c r="Z1250" s="402"/>
    </row>
    <row r="1251" ht="14.25" customHeight="1">
      <c r="A1251" s="497">
        <v>45528.0</v>
      </c>
      <c r="B1251" s="349" t="s">
        <v>6639</v>
      </c>
      <c r="C1251" s="349" t="s">
        <v>6640</v>
      </c>
      <c r="D1251" s="1032" t="s">
        <v>54</v>
      </c>
      <c r="E1251" s="413" t="s">
        <v>6763</v>
      </c>
      <c r="F1251" s="413">
        <v>124350.36</v>
      </c>
      <c r="G1251" s="403"/>
      <c r="H1251" s="402"/>
      <c r="I1251" s="402"/>
      <c r="J1251" s="402"/>
      <c r="K1251" s="402"/>
      <c r="L1251" s="402"/>
      <c r="M1251" s="402"/>
      <c r="N1251" s="402"/>
      <c r="O1251" s="402"/>
      <c r="P1251" s="402"/>
      <c r="Q1251" s="402"/>
      <c r="R1251" s="402"/>
      <c r="S1251" s="402"/>
      <c r="T1251" s="402"/>
      <c r="U1251" s="402"/>
      <c r="V1251" s="402"/>
      <c r="W1251" s="402"/>
      <c r="X1251" s="402"/>
      <c r="Y1251" s="402"/>
      <c r="Z1251" s="402"/>
    </row>
    <row r="1252" ht="14.25" customHeight="1">
      <c r="A1252" s="497">
        <v>45528.0</v>
      </c>
      <c r="B1252" s="349" t="s">
        <v>6670</v>
      </c>
      <c r="C1252" s="349" t="s">
        <v>6794</v>
      </c>
      <c r="D1252" s="1032" t="s">
        <v>54</v>
      </c>
      <c r="E1252" s="413" t="s">
        <v>6763</v>
      </c>
      <c r="F1252" s="413">
        <v>57319.25</v>
      </c>
      <c r="G1252" s="1079"/>
      <c r="H1252" s="402"/>
      <c r="I1252" s="402"/>
      <c r="J1252" s="402"/>
      <c r="K1252" s="402"/>
      <c r="L1252" s="402"/>
      <c r="M1252" s="402"/>
      <c r="N1252" s="402"/>
      <c r="O1252" s="402"/>
      <c r="P1252" s="402"/>
      <c r="Q1252" s="402"/>
      <c r="R1252" s="402"/>
      <c r="S1252" s="402"/>
      <c r="T1252" s="402"/>
      <c r="U1252" s="402"/>
      <c r="V1252" s="402"/>
      <c r="W1252" s="402"/>
      <c r="X1252" s="402"/>
      <c r="Y1252" s="402"/>
      <c r="Z1252" s="402"/>
    </row>
    <row r="1253" ht="14.25" customHeight="1">
      <c r="A1253" s="497">
        <v>45528.0</v>
      </c>
      <c r="B1253" s="349" t="s">
        <v>6672</v>
      </c>
      <c r="C1253" s="349" t="s">
        <v>6795</v>
      </c>
      <c r="D1253" s="1032" t="s">
        <v>54</v>
      </c>
      <c r="E1253" s="413" t="s">
        <v>6563</v>
      </c>
      <c r="F1253" s="413">
        <v>72327.49</v>
      </c>
      <c r="G1253" s="1079"/>
      <c r="H1253" s="349" t="s">
        <v>6860</v>
      </c>
      <c r="I1253" s="402"/>
      <c r="J1253" s="402"/>
      <c r="K1253" s="402"/>
      <c r="L1253" s="402"/>
      <c r="M1253" s="402"/>
      <c r="N1253" s="402"/>
      <c r="O1253" s="402"/>
      <c r="P1253" s="402"/>
      <c r="Q1253" s="402"/>
      <c r="R1253" s="402"/>
      <c r="S1253" s="402"/>
      <c r="T1253" s="402"/>
      <c r="U1253" s="402"/>
      <c r="V1253" s="402"/>
      <c r="W1253" s="402"/>
      <c r="X1253" s="402"/>
      <c r="Y1253" s="402"/>
      <c r="Z1253" s="402"/>
    </row>
    <row r="1254" ht="14.25" customHeight="1">
      <c r="A1254" s="497">
        <v>45528.0</v>
      </c>
      <c r="B1254" s="349" t="s">
        <v>6561</v>
      </c>
      <c r="C1254" s="349" t="s">
        <v>6799</v>
      </c>
      <c r="D1254" s="1077" t="s">
        <v>54</v>
      </c>
      <c r="E1254" s="413" t="s">
        <v>6531</v>
      </c>
      <c r="F1254" s="413">
        <v>140493.82</v>
      </c>
      <c r="G1254" s="403"/>
      <c r="H1254" s="349"/>
      <c r="I1254" s="402"/>
      <c r="J1254" s="402"/>
      <c r="K1254" s="402"/>
      <c r="L1254" s="402"/>
      <c r="M1254" s="402"/>
      <c r="N1254" s="402"/>
      <c r="O1254" s="402"/>
      <c r="P1254" s="402"/>
      <c r="Q1254" s="402"/>
      <c r="R1254" s="402"/>
      <c r="S1254" s="402"/>
      <c r="T1254" s="402"/>
      <c r="U1254" s="402"/>
      <c r="V1254" s="402"/>
      <c r="W1254" s="402"/>
      <c r="X1254" s="402"/>
      <c r="Y1254" s="402"/>
      <c r="Z1254" s="402"/>
    </row>
    <row r="1255" ht="14.25" customHeight="1">
      <c r="A1255" s="497">
        <v>45528.0</v>
      </c>
      <c r="B1255" s="349" t="s">
        <v>6728</v>
      </c>
      <c r="C1255" s="349" t="s">
        <v>6800</v>
      </c>
      <c r="D1255" s="1032" t="s">
        <v>54</v>
      </c>
      <c r="E1255" s="413" t="s">
        <v>6511</v>
      </c>
      <c r="F1255" s="413">
        <v>63033.6</v>
      </c>
      <c r="G1255" s="1079"/>
      <c r="H1255" s="349" t="s">
        <v>2200</v>
      </c>
      <c r="I1255" s="402"/>
      <c r="J1255" s="402"/>
      <c r="K1255" s="402"/>
      <c r="L1255" s="402"/>
      <c r="M1255" s="402"/>
      <c r="N1255" s="402"/>
      <c r="O1255" s="402"/>
      <c r="P1255" s="402"/>
      <c r="Q1255" s="402"/>
      <c r="R1255" s="402"/>
      <c r="S1255" s="402"/>
      <c r="T1255" s="402"/>
      <c r="U1255" s="402"/>
      <c r="V1255" s="402"/>
      <c r="W1255" s="402"/>
      <c r="X1255" s="402"/>
      <c r="Y1255" s="402"/>
      <c r="Z1255" s="402"/>
    </row>
    <row r="1256" ht="14.25" customHeight="1">
      <c r="A1256" s="497">
        <v>45528.0</v>
      </c>
      <c r="B1256" s="349" t="s">
        <v>6460</v>
      </c>
      <c r="C1256" s="349" t="s">
        <v>6801</v>
      </c>
      <c r="D1256" s="1032" t="s">
        <v>54</v>
      </c>
      <c r="E1256" s="413" t="s">
        <v>6511</v>
      </c>
      <c r="F1256" s="413">
        <v>44690.94</v>
      </c>
      <c r="G1256" s="1079"/>
      <c r="H1256" s="402"/>
      <c r="I1256" s="402"/>
      <c r="J1256" s="402"/>
      <c r="K1256" s="402"/>
      <c r="L1256" s="402"/>
      <c r="M1256" s="402"/>
      <c r="N1256" s="402"/>
      <c r="O1256" s="402"/>
      <c r="P1256" s="402"/>
      <c r="Q1256" s="402"/>
      <c r="R1256" s="402"/>
      <c r="S1256" s="402"/>
      <c r="T1256" s="402"/>
      <c r="U1256" s="402"/>
      <c r="V1256" s="402"/>
      <c r="W1256" s="402"/>
      <c r="X1256" s="402"/>
      <c r="Y1256" s="402"/>
      <c r="Z1256" s="402"/>
    </row>
    <row r="1257" ht="14.25" customHeight="1">
      <c r="A1257" s="497">
        <v>45528.0</v>
      </c>
      <c r="B1257" s="349" t="s">
        <v>6087</v>
      </c>
      <c r="C1257" s="349" t="s">
        <v>6802</v>
      </c>
      <c r="D1257" s="1032" t="s">
        <v>54</v>
      </c>
      <c r="E1257" s="413" t="s">
        <v>6531</v>
      </c>
      <c r="F1257" s="413">
        <v>110221.85</v>
      </c>
      <c r="G1257" s="1079"/>
      <c r="H1257" s="402"/>
      <c r="I1257" s="402"/>
      <c r="J1257" s="402"/>
      <c r="K1257" s="402"/>
      <c r="L1257" s="402"/>
      <c r="M1257" s="402"/>
      <c r="N1257" s="402"/>
      <c r="O1257" s="402"/>
      <c r="P1257" s="402"/>
      <c r="Q1257" s="402"/>
      <c r="R1257" s="402"/>
      <c r="S1257" s="402"/>
      <c r="T1257" s="402"/>
      <c r="U1257" s="402"/>
      <c r="V1257" s="402"/>
      <c r="W1257" s="402"/>
      <c r="X1257" s="402"/>
      <c r="Y1257" s="402"/>
      <c r="Z1257" s="402"/>
    </row>
    <row r="1258" ht="14.25" customHeight="1">
      <c r="A1258" s="497">
        <v>45528.0</v>
      </c>
      <c r="B1258" s="349" t="s">
        <v>6614</v>
      </c>
      <c r="C1258" s="349" t="s">
        <v>6804</v>
      </c>
      <c r="D1258" s="1032" t="s">
        <v>54</v>
      </c>
      <c r="E1258" s="413" t="s">
        <v>6763</v>
      </c>
      <c r="F1258" s="413">
        <v>37768.53</v>
      </c>
      <c r="G1258" s="1079"/>
      <c r="H1258" s="402"/>
      <c r="I1258" s="402"/>
      <c r="J1258" s="402"/>
      <c r="K1258" s="402"/>
      <c r="L1258" s="402"/>
      <c r="M1258" s="402"/>
      <c r="N1258" s="402"/>
      <c r="O1258" s="402"/>
      <c r="P1258" s="402"/>
      <c r="Q1258" s="402"/>
      <c r="R1258" s="402"/>
      <c r="S1258" s="402"/>
      <c r="T1258" s="402"/>
      <c r="U1258" s="402"/>
      <c r="V1258" s="402"/>
      <c r="W1258" s="402"/>
      <c r="X1258" s="402"/>
      <c r="Y1258" s="402"/>
      <c r="Z1258" s="402"/>
    </row>
    <row r="1259" ht="14.25" customHeight="1">
      <c r="A1259" s="497">
        <v>45528.0</v>
      </c>
      <c r="B1259" s="349" t="s">
        <v>5640</v>
      </c>
      <c r="C1259" s="349" t="s">
        <v>5757</v>
      </c>
      <c r="D1259" s="1032" t="s">
        <v>668</v>
      </c>
      <c r="E1259" s="413" t="s">
        <v>6861</v>
      </c>
      <c r="F1259" s="413">
        <v>1000000.0</v>
      </c>
      <c r="G1259" s="413"/>
      <c r="H1259" s="402"/>
      <c r="I1259" s="402"/>
      <c r="J1259" s="402"/>
      <c r="K1259" s="402"/>
      <c r="L1259" s="402"/>
      <c r="M1259" s="402"/>
      <c r="N1259" s="402"/>
      <c r="O1259" s="402"/>
      <c r="P1259" s="402"/>
      <c r="Q1259" s="402"/>
      <c r="R1259" s="402"/>
      <c r="S1259" s="402"/>
      <c r="T1259" s="402"/>
      <c r="U1259" s="402"/>
      <c r="V1259" s="402"/>
      <c r="W1259" s="402"/>
      <c r="X1259" s="402"/>
      <c r="Y1259" s="402"/>
      <c r="Z1259" s="402"/>
    </row>
    <row r="1260" ht="14.25" customHeight="1">
      <c r="A1260" s="497">
        <v>45528.0</v>
      </c>
      <c r="B1260" s="349" t="s">
        <v>5685</v>
      </c>
      <c r="C1260" s="349" t="s">
        <v>6862</v>
      </c>
      <c r="D1260" s="1032" t="s">
        <v>54</v>
      </c>
      <c r="E1260" s="413" t="s">
        <v>6863</v>
      </c>
      <c r="F1260" s="413">
        <v>50000.0</v>
      </c>
      <c r="G1260" s="403"/>
      <c r="H1260" s="402"/>
      <c r="I1260" s="402"/>
      <c r="J1260" s="402"/>
      <c r="K1260" s="402"/>
      <c r="L1260" s="402"/>
      <c r="M1260" s="402"/>
      <c r="N1260" s="402"/>
      <c r="O1260" s="402"/>
      <c r="P1260" s="402"/>
      <c r="Q1260" s="402"/>
      <c r="R1260" s="402"/>
      <c r="S1260" s="402"/>
      <c r="T1260" s="402"/>
      <c r="U1260" s="402"/>
      <c r="V1260" s="402"/>
      <c r="W1260" s="402"/>
      <c r="X1260" s="402"/>
      <c r="Y1260" s="402"/>
      <c r="Z1260" s="402"/>
    </row>
    <row r="1261" ht="14.25" customHeight="1">
      <c r="A1261" s="497">
        <v>45528.0</v>
      </c>
      <c r="B1261" s="349" t="s">
        <v>6864</v>
      </c>
      <c r="C1261" s="349" t="s">
        <v>6865</v>
      </c>
      <c r="D1261" s="1032" t="s">
        <v>54</v>
      </c>
      <c r="E1261" s="413" t="s">
        <v>6866</v>
      </c>
      <c r="F1261" s="413">
        <v>99500.0</v>
      </c>
      <c r="G1261" s="403"/>
      <c r="H1261" s="402"/>
      <c r="I1261" s="402"/>
      <c r="J1261" s="402"/>
      <c r="K1261" s="402"/>
      <c r="L1261" s="402"/>
      <c r="M1261" s="402"/>
      <c r="N1261" s="402"/>
      <c r="O1261" s="402"/>
      <c r="P1261" s="402"/>
      <c r="Q1261" s="402"/>
      <c r="R1261" s="402"/>
      <c r="S1261" s="402"/>
      <c r="T1261" s="402"/>
      <c r="U1261" s="402"/>
      <c r="V1261" s="402"/>
      <c r="W1261" s="402"/>
      <c r="X1261" s="402"/>
      <c r="Y1261" s="402"/>
      <c r="Z1261" s="402"/>
    </row>
    <row r="1262" ht="14.25" customHeight="1">
      <c r="A1262" s="497">
        <v>45528.0</v>
      </c>
      <c r="B1262" s="1" t="s">
        <v>6488</v>
      </c>
      <c r="C1262" s="1132" t="s">
        <v>6867</v>
      </c>
      <c r="D1262" s="1032" t="s">
        <v>54</v>
      </c>
      <c r="E1262" s="413" t="s">
        <v>6563</v>
      </c>
      <c r="F1262" s="413">
        <v>19500.0</v>
      </c>
      <c r="G1262" s="413">
        <v>19500.0</v>
      </c>
      <c r="H1262" s="349" t="s">
        <v>267</v>
      </c>
      <c r="I1262" s="402"/>
      <c r="J1262" s="402"/>
      <c r="K1262" s="402"/>
      <c r="L1262" s="402"/>
      <c r="M1262" s="402"/>
      <c r="N1262" s="402"/>
      <c r="O1262" s="402"/>
      <c r="P1262" s="402"/>
      <c r="Q1262" s="402"/>
      <c r="R1262" s="402"/>
      <c r="S1262" s="402"/>
      <c r="T1262" s="402"/>
      <c r="U1262" s="402"/>
      <c r="V1262" s="402"/>
      <c r="W1262" s="402"/>
      <c r="X1262" s="402"/>
      <c r="Y1262" s="402"/>
      <c r="Z1262" s="402"/>
    </row>
    <row r="1263" ht="14.25" customHeight="1">
      <c r="A1263" s="402"/>
      <c r="B1263" s="402"/>
      <c r="C1263" s="402"/>
      <c r="D1263" s="1034"/>
      <c r="E1263" s="403"/>
      <c r="F1263" s="403"/>
      <c r="G1263" s="403"/>
      <c r="H1263" s="402"/>
      <c r="I1263" s="402"/>
      <c r="J1263" s="402"/>
      <c r="K1263" s="402"/>
      <c r="L1263" s="402"/>
      <c r="M1263" s="402"/>
      <c r="N1263" s="402"/>
      <c r="O1263" s="402"/>
      <c r="P1263" s="402"/>
      <c r="Q1263" s="402"/>
      <c r="R1263" s="402"/>
      <c r="S1263" s="402"/>
      <c r="T1263" s="402"/>
      <c r="U1263" s="402"/>
      <c r="V1263" s="402"/>
      <c r="W1263" s="402"/>
      <c r="X1263" s="402"/>
      <c r="Y1263" s="402"/>
      <c r="Z1263" s="402"/>
    </row>
    <row r="1264" ht="14.25" customHeight="1">
      <c r="A1264" s="402"/>
      <c r="B1264" s="402"/>
      <c r="C1264" s="424" t="s">
        <v>107</v>
      </c>
      <c r="D1264" s="1034"/>
      <c r="E1264" s="403"/>
      <c r="F1264" s="403"/>
      <c r="G1264" s="403"/>
      <c r="H1264" s="402"/>
      <c r="I1264" s="402"/>
      <c r="J1264" s="402"/>
      <c r="K1264" s="402"/>
      <c r="L1264" s="402"/>
      <c r="M1264" s="402"/>
      <c r="N1264" s="402"/>
      <c r="O1264" s="402"/>
      <c r="P1264" s="402"/>
      <c r="Q1264" s="402"/>
      <c r="R1264" s="402"/>
      <c r="S1264" s="402"/>
      <c r="T1264" s="402"/>
      <c r="U1264" s="402"/>
      <c r="V1264" s="402"/>
      <c r="W1264" s="402"/>
      <c r="X1264" s="402"/>
      <c r="Y1264" s="402"/>
      <c r="Z1264" s="402"/>
    </row>
    <row r="1265" ht="17.25" customHeight="1">
      <c r="A1265" s="406">
        <v>45528.0</v>
      </c>
      <c r="B1265" s="436" t="s">
        <v>6868</v>
      </c>
      <c r="C1265" s="436" t="s">
        <v>6869</v>
      </c>
      <c r="D1265" s="1032" t="s">
        <v>54</v>
      </c>
      <c r="E1265" s="413" t="s">
        <v>4114</v>
      </c>
      <c r="F1265" s="758">
        <v>153492.31</v>
      </c>
      <c r="G1265" s="403"/>
      <c r="H1265" s="402"/>
      <c r="I1265" s="402"/>
      <c r="J1265" s="402"/>
      <c r="K1265" s="402"/>
      <c r="L1265" s="402"/>
      <c r="M1265" s="402"/>
      <c r="N1265" s="402"/>
      <c r="O1265" s="402"/>
      <c r="P1265" s="402"/>
      <c r="Q1265" s="402"/>
      <c r="R1265" s="402"/>
      <c r="S1265" s="402"/>
      <c r="T1265" s="402"/>
      <c r="U1265" s="402"/>
      <c r="V1265" s="402"/>
      <c r="W1265" s="402"/>
      <c r="X1265" s="402"/>
      <c r="Y1265" s="402"/>
      <c r="Z1265" s="402"/>
    </row>
    <row r="1266" ht="14.25" customHeight="1">
      <c r="A1266" s="406">
        <v>45528.0</v>
      </c>
      <c r="B1266" s="436" t="s">
        <v>6017</v>
      </c>
      <c r="C1266" s="436" t="s">
        <v>6808</v>
      </c>
      <c r="D1266" s="1032" t="s">
        <v>54</v>
      </c>
      <c r="E1266" s="413" t="s">
        <v>4114</v>
      </c>
      <c r="F1266" s="758">
        <v>40000.0</v>
      </c>
      <c r="G1266" s="403"/>
      <c r="H1266" s="402"/>
      <c r="I1266" s="402"/>
      <c r="J1266" s="402"/>
      <c r="K1266" s="402"/>
      <c r="L1266" s="402"/>
      <c r="M1266" s="402"/>
      <c r="N1266" s="402"/>
      <c r="O1266" s="402"/>
      <c r="P1266" s="402"/>
      <c r="Q1266" s="402"/>
      <c r="R1266" s="402"/>
      <c r="S1266" s="402"/>
      <c r="T1266" s="402"/>
      <c r="U1266" s="402"/>
      <c r="V1266" s="402"/>
      <c r="W1266" s="402"/>
      <c r="X1266" s="402"/>
      <c r="Y1266" s="402"/>
      <c r="Z1266" s="402"/>
    </row>
    <row r="1267" ht="14.25" customHeight="1">
      <c r="A1267" s="406">
        <v>45528.0</v>
      </c>
      <c r="B1267" s="436" t="s">
        <v>6870</v>
      </c>
      <c r="C1267" s="436" t="s">
        <v>6871</v>
      </c>
      <c r="D1267" s="1032" t="s">
        <v>54</v>
      </c>
      <c r="E1267" s="413" t="s">
        <v>4114</v>
      </c>
      <c r="F1267" s="758">
        <v>42000.0</v>
      </c>
      <c r="G1267" s="403"/>
      <c r="H1267" s="402"/>
      <c r="I1267" s="402"/>
      <c r="J1267" s="402"/>
      <c r="K1267" s="402"/>
      <c r="L1267" s="402"/>
      <c r="M1267" s="402"/>
      <c r="N1267" s="402"/>
      <c r="O1267" s="402"/>
      <c r="P1267" s="402"/>
      <c r="Q1267" s="402"/>
      <c r="R1267" s="402"/>
      <c r="S1267" s="402"/>
      <c r="T1267" s="402"/>
      <c r="U1267" s="402"/>
      <c r="V1267" s="402"/>
      <c r="W1267" s="402"/>
      <c r="X1267" s="402"/>
      <c r="Y1267" s="402"/>
      <c r="Z1267" s="402"/>
    </row>
    <row r="1268" ht="14.25" customHeight="1">
      <c r="A1268" s="406">
        <v>45528.0</v>
      </c>
      <c r="B1268" s="755" t="s">
        <v>5984</v>
      </c>
      <c r="C1268" s="755" t="s">
        <v>5985</v>
      </c>
      <c r="D1268" s="1032" t="s">
        <v>54</v>
      </c>
      <c r="E1268" s="413" t="s">
        <v>4114</v>
      </c>
      <c r="F1268" s="760">
        <v>140000.0</v>
      </c>
      <c r="G1268" s="403"/>
      <c r="H1268" s="402"/>
      <c r="I1268" s="402"/>
      <c r="J1268" s="402"/>
      <c r="K1268" s="402"/>
      <c r="L1268" s="402"/>
      <c r="M1268" s="402"/>
      <c r="N1268" s="402"/>
      <c r="O1268" s="402"/>
      <c r="P1268" s="402"/>
      <c r="Q1268" s="402"/>
      <c r="R1268" s="402"/>
      <c r="S1268" s="402"/>
      <c r="T1268" s="402"/>
      <c r="U1268" s="402"/>
      <c r="V1268" s="402"/>
      <c r="W1268" s="402"/>
      <c r="X1268" s="402"/>
      <c r="Y1268" s="402"/>
      <c r="Z1268" s="402"/>
    </row>
    <row r="1269" ht="14.25" customHeight="1">
      <c r="A1269" s="402"/>
      <c r="B1269" s="402"/>
      <c r="C1269" s="402"/>
      <c r="D1269" s="1034"/>
      <c r="E1269" s="403"/>
      <c r="F1269" s="403"/>
      <c r="G1269" s="403"/>
      <c r="H1269" s="402"/>
      <c r="I1269" s="402"/>
      <c r="J1269" s="402"/>
      <c r="K1269" s="402"/>
      <c r="L1269" s="402"/>
      <c r="M1269" s="402"/>
      <c r="N1269" s="402"/>
      <c r="O1269" s="402"/>
      <c r="P1269" s="402"/>
      <c r="Q1269" s="402"/>
      <c r="R1269" s="402"/>
      <c r="S1269" s="402"/>
      <c r="T1269" s="402"/>
      <c r="U1269" s="402"/>
      <c r="V1269" s="402"/>
      <c r="W1269" s="402"/>
      <c r="X1269" s="402"/>
      <c r="Y1269" s="402"/>
      <c r="Z1269" s="402"/>
    </row>
    <row r="1270" ht="14.25" customHeight="1">
      <c r="A1270" s="402"/>
      <c r="B1270" s="402"/>
      <c r="C1270" s="402"/>
      <c r="D1270" s="1034"/>
      <c r="E1270" s="403"/>
      <c r="F1270" s="403">
        <f>SUM(F1213:F1269)</f>
        <v>4875941.12</v>
      </c>
      <c r="G1270" s="403"/>
      <c r="H1270" s="402"/>
      <c r="I1270" s="402"/>
      <c r="J1270" s="402"/>
      <c r="K1270" s="402"/>
      <c r="L1270" s="402"/>
      <c r="M1270" s="402"/>
      <c r="N1270" s="402"/>
      <c r="O1270" s="402"/>
      <c r="P1270" s="402"/>
      <c r="Q1270" s="402"/>
      <c r="R1270" s="402"/>
      <c r="S1270" s="402"/>
      <c r="T1270" s="402"/>
      <c r="U1270" s="402"/>
      <c r="V1270" s="402"/>
      <c r="W1270" s="402"/>
      <c r="X1270" s="402"/>
      <c r="Y1270" s="402"/>
      <c r="Z1270" s="402"/>
    </row>
    <row r="1271" ht="14.25" customHeight="1">
      <c r="A1271" s="1094"/>
      <c r="B1271" s="1094"/>
      <c r="C1271" s="1094"/>
      <c r="D1271" s="1096"/>
      <c r="E1271" s="1097"/>
      <c r="F1271" s="1097"/>
      <c r="G1271" s="1097"/>
      <c r="H1271" s="1094"/>
      <c r="I1271" s="1094"/>
      <c r="J1271" s="1094"/>
      <c r="K1271" s="1094"/>
      <c r="L1271" s="1094"/>
      <c r="M1271" s="1094"/>
      <c r="N1271" s="1094"/>
      <c r="O1271" s="1094"/>
      <c r="P1271" s="1094"/>
      <c r="Q1271" s="1094"/>
      <c r="R1271" s="1094"/>
      <c r="S1271" s="1094"/>
      <c r="T1271" s="1094"/>
      <c r="U1271" s="1094"/>
      <c r="V1271" s="1094"/>
      <c r="W1271" s="1094"/>
      <c r="X1271" s="1094"/>
      <c r="Y1271" s="1094"/>
      <c r="Z1271" s="1094"/>
    </row>
    <row r="1272" ht="14.25" customHeight="1">
      <c r="A1272" s="497">
        <v>45530.0</v>
      </c>
      <c r="B1272" s="349" t="s">
        <v>6872</v>
      </c>
      <c r="C1272" s="349" t="s">
        <v>6412</v>
      </c>
      <c r="D1272" s="1032" t="s">
        <v>54</v>
      </c>
      <c r="E1272" s="413" t="s">
        <v>6813</v>
      </c>
      <c r="F1272" s="413">
        <v>125733.0</v>
      </c>
      <c r="G1272" s="403"/>
      <c r="H1272" s="402"/>
      <c r="I1272" s="402"/>
      <c r="J1272" s="402"/>
      <c r="K1272" s="402"/>
      <c r="L1272" s="402"/>
      <c r="M1272" s="402"/>
      <c r="N1272" s="402"/>
      <c r="O1272" s="402"/>
      <c r="P1272" s="402"/>
      <c r="Q1272" s="402"/>
      <c r="R1272" s="402"/>
      <c r="S1272" s="402"/>
      <c r="T1272" s="402"/>
      <c r="U1272" s="402"/>
      <c r="V1272" s="402"/>
      <c r="W1272" s="402"/>
      <c r="X1272" s="402"/>
      <c r="Y1272" s="402"/>
      <c r="Z1272" s="402"/>
    </row>
    <row r="1273" ht="14.25" customHeight="1">
      <c r="A1273" s="497">
        <v>45530.0</v>
      </c>
      <c r="B1273" s="349" t="s">
        <v>5780</v>
      </c>
      <c r="C1273" s="349" t="s">
        <v>5781</v>
      </c>
      <c r="D1273" s="1032" t="s">
        <v>54</v>
      </c>
      <c r="E1273" s="413" t="s">
        <v>6813</v>
      </c>
      <c r="F1273" s="413">
        <v>11807.64</v>
      </c>
      <c r="G1273" s="403"/>
      <c r="H1273" s="402"/>
      <c r="I1273" s="402"/>
      <c r="J1273" s="402"/>
      <c r="K1273" s="402"/>
      <c r="L1273" s="402"/>
      <c r="M1273" s="402"/>
      <c r="N1273" s="402"/>
      <c r="O1273" s="402"/>
      <c r="P1273" s="402"/>
      <c r="Q1273" s="402"/>
      <c r="R1273" s="402"/>
      <c r="S1273" s="402"/>
      <c r="T1273" s="402"/>
      <c r="U1273" s="402"/>
      <c r="V1273" s="402"/>
      <c r="W1273" s="402"/>
      <c r="X1273" s="402"/>
      <c r="Y1273" s="402"/>
      <c r="Z1273" s="402"/>
    </row>
    <row r="1274" ht="14.25" customHeight="1">
      <c r="A1274" s="497">
        <v>45530.0</v>
      </c>
      <c r="B1274" s="349" t="s">
        <v>5792</v>
      </c>
      <c r="C1274" s="349" t="s">
        <v>5793</v>
      </c>
      <c r="D1274" s="1032" t="s">
        <v>54</v>
      </c>
      <c r="E1274" s="413" t="s">
        <v>6763</v>
      </c>
      <c r="F1274" s="413">
        <v>232662.07</v>
      </c>
      <c r="G1274" s="403"/>
      <c r="H1274" s="402"/>
      <c r="I1274" s="402"/>
      <c r="J1274" s="402"/>
      <c r="K1274" s="402"/>
      <c r="L1274" s="402"/>
      <c r="M1274" s="402"/>
      <c r="N1274" s="402"/>
      <c r="O1274" s="402"/>
      <c r="P1274" s="402"/>
      <c r="Q1274" s="402"/>
      <c r="R1274" s="402"/>
      <c r="S1274" s="402"/>
      <c r="T1274" s="402"/>
      <c r="U1274" s="402"/>
      <c r="V1274" s="402"/>
      <c r="W1274" s="402"/>
      <c r="X1274" s="402"/>
      <c r="Y1274" s="402"/>
      <c r="Z1274" s="402"/>
    </row>
    <row r="1275" ht="14.25" customHeight="1">
      <c r="A1275" s="497">
        <v>45530.0</v>
      </c>
      <c r="B1275" s="349" t="s">
        <v>5795</v>
      </c>
      <c r="C1275" s="349" t="s">
        <v>5796</v>
      </c>
      <c r="D1275" s="1032" t="s">
        <v>75</v>
      </c>
      <c r="E1275" s="413" t="s">
        <v>6813</v>
      </c>
      <c r="F1275" s="413">
        <v>15201.27</v>
      </c>
      <c r="G1275" s="403"/>
      <c r="H1275" s="402"/>
      <c r="I1275" s="402"/>
      <c r="J1275" s="402"/>
      <c r="K1275" s="402"/>
      <c r="L1275" s="402"/>
      <c r="M1275" s="402"/>
      <c r="N1275" s="402"/>
      <c r="O1275" s="402"/>
      <c r="P1275" s="402"/>
      <c r="Q1275" s="402"/>
      <c r="R1275" s="402"/>
      <c r="S1275" s="402"/>
      <c r="T1275" s="402"/>
      <c r="U1275" s="402"/>
      <c r="V1275" s="402"/>
      <c r="W1275" s="402"/>
      <c r="X1275" s="402"/>
      <c r="Y1275" s="402"/>
      <c r="Z1275" s="402"/>
    </row>
    <row r="1276" ht="14.25" customHeight="1">
      <c r="A1276" s="497">
        <v>45530.0</v>
      </c>
      <c r="B1276" s="349" t="s">
        <v>5829</v>
      </c>
      <c r="C1276" s="349" t="s">
        <v>5830</v>
      </c>
      <c r="D1276" s="1032" t="s">
        <v>54</v>
      </c>
      <c r="E1276" s="413" t="s">
        <v>6511</v>
      </c>
      <c r="F1276" s="413">
        <v>69004.18</v>
      </c>
      <c r="G1276" s="403"/>
      <c r="H1276" s="402"/>
      <c r="I1276" s="402"/>
      <c r="J1276" s="402"/>
      <c r="K1276" s="402"/>
      <c r="L1276" s="402"/>
      <c r="M1276" s="402"/>
      <c r="N1276" s="402"/>
      <c r="O1276" s="402"/>
      <c r="P1276" s="402"/>
      <c r="Q1276" s="402"/>
      <c r="R1276" s="402"/>
      <c r="S1276" s="402"/>
      <c r="T1276" s="402"/>
      <c r="U1276" s="402"/>
      <c r="V1276" s="402"/>
      <c r="W1276" s="402"/>
      <c r="X1276" s="402"/>
      <c r="Y1276" s="402"/>
      <c r="Z1276" s="402"/>
    </row>
    <row r="1277" ht="14.25" customHeight="1">
      <c r="A1277" s="497">
        <v>45530.0</v>
      </c>
      <c r="B1277" s="349" t="s">
        <v>6873</v>
      </c>
      <c r="C1277" s="349" t="s">
        <v>6874</v>
      </c>
      <c r="D1277" s="1032" t="s">
        <v>54</v>
      </c>
      <c r="E1277" s="413" t="s">
        <v>6511</v>
      </c>
      <c r="F1277" s="413">
        <v>7850.0</v>
      </c>
      <c r="G1277" s="403"/>
      <c r="H1277" s="402"/>
      <c r="I1277" s="402"/>
      <c r="J1277" s="402"/>
      <c r="K1277" s="402"/>
      <c r="L1277" s="402"/>
      <c r="M1277" s="402"/>
      <c r="N1277" s="402"/>
      <c r="O1277" s="402"/>
      <c r="P1277" s="402"/>
      <c r="Q1277" s="402"/>
      <c r="R1277" s="402"/>
      <c r="S1277" s="402"/>
      <c r="T1277" s="402"/>
      <c r="U1277" s="402"/>
      <c r="V1277" s="402"/>
      <c r="W1277" s="402"/>
      <c r="X1277" s="402"/>
      <c r="Y1277" s="402"/>
      <c r="Z1277" s="402"/>
    </row>
    <row r="1278" ht="14.25" customHeight="1">
      <c r="A1278" s="497">
        <v>45530.0</v>
      </c>
      <c r="B1278" s="349" t="s">
        <v>5831</v>
      </c>
      <c r="C1278" s="349" t="s">
        <v>5832</v>
      </c>
      <c r="D1278" s="1032" t="s">
        <v>346</v>
      </c>
      <c r="E1278" s="413" t="s">
        <v>6531</v>
      </c>
      <c r="F1278" s="413">
        <v>18637.35</v>
      </c>
      <c r="G1278" s="403"/>
      <c r="H1278" s="402"/>
      <c r="I1278" s="402"/>
      <c r="J1278" s="402"/>
      <c r="K1278" s="402"/>
      <c r="L1278" s="402"/>
      <c r="M1278" s="402"/>
      <c r="N1278" s="402"/>
      <c r="O1278" s="402"/>
      <c r="P1278" s="402"/>
      <c r="Q1278" s="402"/>
      <c r="R1278" s="402"/>
      <c r="S1278" s="402"/>
      <c r="T1278" s="402"/>
      <c r="U1278" s="402"/>
      <c r="V1278" s="402"/>
      <c r="W1278" s="402"/>
      <c r="X1278" s="402"/>
      <c r="Y1278" s="402"/>
      <c r="Z1278" s="402"/>
    </row>
    <row r="1279" ht="14.25" customHeight="1">
      <c r="A1279" s="497">
        <v>45530.0</v>
      </c>
      <c r="B1279" s="349" t="s">
        <v>5834</v>
      </c>
      <c r="C1279" s="349" t="s">
        <v>5835</v>
      </c>
      <c r="D1279" s="1032" t="s">
        <v>54</v>
      </c>
      <c r="E1279" s="413" t="s">
        <v>6813</v>
      </c>
      <c r="F1279" s="413">
        <v>65463.16</v>
      </c>
      <c r="G1279" s="403"/>
      <c r="H1279" s="402"/>
      <c r="I1279" s="402"/>
      <c r="J1279" s="402"/>
      <c r="K1279" s="402"/>
      <c r="L1279" s="402"/>
      <c r="M1279" s="402"/>
      <c r="N1279" s="402"/>
      <c r="O1279" s="402"/>
      <c r="P1279" s="402"/>
      <c r="Q1279" s="402"/>
      <c r="R1279" s="402"/>
      <c r="S1279" s="402"/>
      <c r="T1279" s="402"/>
      <c r="U1279" s="402"/>
      <c r="V1279" s="402"/>
      <c r="W1279" s="402"/>
      <c r="X1279" s="402"/>
      <c r="Y1279" s="402"/>
      <c r="Z1279" s="402"/>
    </row>
    <row r="1280" ht="14.25" customHeight="1">
      <c r="A1280" s="497">
        <v>45530.0</v>
      </c>
      <c r="B1280" s="349" t="s">
        <v>6875</v>
      </c>
      <c r="C1280" s="349" t="s">
        <v>6876</v>
      </c>
      <c r="D1280" s="1032" t="s">
        <v>54</v>
      </c>
      <c r="E1280" s="413" t="s">
        <v>6813</v>
      </c>
      <c r="F1280" s="413">
        <v>639.6</v>
      </c>
      <c r="G1280" s="403"/>
      <c r="H1280" s="402"/>
      <c r="I1280" s="402"/>
      <c r="J1280" s="402"/>
      <c r="K1280" s="402"/>
      <c r="L1280" s="402"/>
      <c r="M1280" s="402"/>
      <c r="N1280" s="402"/>
      <c r="O1280" s="402"/>
      <c r="P1280" s="402"/>
      <c r="Q1280" s="402"/>
      <c r="R1280" s="402"/>
      <c r="S1280" s="402"/>
      <c r="T1280" s="402"/>
      <c r="U1280" s="402"/>
      <c r="V1280" s="402"/>
      <c r="W1280" s="402"/>
      <c r="X1280" s="402"/>
      <c r="Y1280" s="402"/>
      <c r="Z1280" s="402"/>
    </row>
    <row r="1281" ht="14.25" customHeight="1">
      <c r="A1281" s="497">
        <v>45530.0</v>
      </c>
      <c r="B1281" s="349" t="s">
        <v>5836</v>
      </c>
      <c r="C1281" s="349" t="s">
        <v>5837</v>
      </c>
      <c r="D1281" s="1032" t="s">
        <v>54</v>
      </c>
      <c r="E1281" s="413" t="s">
        <v>6763</v>
      </c>
      <c r="F1281" s="413">
        <v>21532.14</v>
      </c>
      <c r="G1281" s="403"/>
      <c r="H1281" s="402"/>
      <c r="I1281" s="402"/>
      <c r="J1281" s="402"/>
      <c r="K1281" s="402"/>
      <c r="L1281" s="402"/>
      <c r="M1281" s="402"/>
      <c r="N1281" s="402"/>
      <c r="O1281" s="402"/>
      <c r="P1281" s="402"/>
      <c r="Q1281" s="402"/>
      <c r="R1281" s="402"/>
      <c r="S1281" s="402"/>
      <c r="T1281" s="402"/>
      <c r="U1281" s="402"/>
      <c r="V1281" s="402"/>
      <c r="W1281" s="402"/>
      <c r="X1281" s="402"/>
      <c r="Y1281" s="402"/>
      <c r="Z1281" s="402"/>
    </row>
    <row r="1282" ht="14.25" customHeight="1">
      <c r="A1282" s="497">
        <v>45530.0</v>
      </c>
      <c r="B1282" s="349" t="s">
        <v>5838</v>
      </c>
      <c r="C1282" s="349" t="s">
        <v>5839</v>
      </c>
      <c r="D1282" s="1032" t="s">
        <v>54</v>
      </c>
      <c r="E1282" s="413" t="s">
        <v>6511</v>
      </c>
      <c r="F1282" s="413">
        <v>110779.63</v>
      </c>
      <c r="G1282" s="403"/>
      <c r="H1282" s="402"/>
      <c r="I1282" s="402"/>
      <c r="J1282" s="402"/>
      <c r="K1282" s="402"/>
      <c r="L1282" s="402"/>
      <c r="M1282" s="402"/>
      <c r="N1282" s="402"/>
      <c r="O1282" s="402"/>
      <c r="P1282" s="402"/>
      <c r="Q1282" s="402"/>
      <c r="R1282" s="402"/>
      <c r="S1282" s="402"/>
      <c r="T1282" s="402"/>
      <c r="U1282" s="402"/>
      <c r="V1282" s="402"/>
      <c r="W1282" s="402"/>
      <c r="X1282" s="402"/>
      <c r="Y1282" s="402"/>
      <c r="Z1282" s="402"/>
    </row>
    <row r="1283" ht="14.25" customHeight="1">
      <c r="A1283" s="497">
        <v>45530.0</v>
      </c>
      <c r="B1283" s="349" t="s">
        <v>5840</v>
      </c>
      <c r="C1283" s="349" t="s">
        <v>5841</v>
      </c>
      <c r="D1283" s="1032" t="s">
        <v>54</v>
      </c>
      <c r="E1283" s="413" t="s">
        <v>6511</v>
      </c>
      <c r="F1283" s="413">
        <v>22667.0</v>
      </c>
      <c r="G1283" s="403"/>
      <c r="H1283" s="402"/>
      <c r="I1283" s="402"/>
      <c r="J1283" s="402"/>
      <c r="K1283" s="402"/>
      <c r="L1283" s="402"/>
      <c r="M1283" s="402"/>
      <c r="N1283" s="402"/>
      <c r="O1283" s="402"/>
      <c r="P1283" s="402"/>
      <c r="Q1283" s="402"/>
      <c r="R1283" s="402"/>
      <c r="S1283" s="402"/>
      <c r="T1283" s="402"/>
      <c r="U1283" s="402"/>
      <c r="V1283" s="402"/>
      <c r="W1283" s="402"/>
      <c r="X1283" s="402"/>
      <c r="Y1283" s="402"/>
      <c r="Z1283" s="402"/>
    </row>
    <row r="1284" ht="14.25" customHeight="1">
      <c r="A1284" s="497">
        <v>45530.0</v>
      </c>
      <c r="B1284" s="349" t="s">
        <v>5842</v>
      </c>
      <c r="C1284" s="349" t="s">
        <v>5843</v>
      </c>
      <c r="D1284" s="1032" t="s">
        <v>54</v>
      </c>
      <c r="E1284" s="413" t="s">
        <v>6763</v>
      </c>
      <c r="F1284" s="413">
        <v>16082.2</v>
      </c>
      <c r="G1284" s="403"/>
      <c r="H1284" s="402"/>
      <c r="I1284" s="402"/>
      <c r="J1284" s="402"/>
      <c r="K1284" s="402"/>
      <c r="L1284" s="402"/>
      <c r="M1284" s="402"/>
      <c r="N1284" s="402"/>
      <c r="O1284" s="402"/>
      <c r="P1284" s="402"/>
      <c r="Q1284" s="402"/>
      <c r="R1284" s="402"/>
      <c r="S1284" s="402"/>
      <c r="T1284" s="402"/>
      <c r="U1284" s="402"/>
      <c r="V1284" s="402"/>
      <c r="W1284" s="402"/>
      <c r="X1284" s="402"/>
      <c r="Y1284" s="402"/>
      <c r="Z1284" s="402"/>
    </row>
    <row r="1285" ht="14.25" customHeight="1">
      <c r="A1285" s="497">
        <v>45530.0</v>
      </c>
      <c r="B1285" s="349" t="s">
        <v>5844</v>
      </c>
      <c r="C1285" s="349" t="s">
        <v>5845</v>
      </c>
      <c r="D1285" s="1032" t="s">
        <v>54</v>
      </c>
      <c r="E1285" s="413" t="s">
        <v>6511</v>
      </c>
      <c r="F1285" s="413">
        <v>53542.77</v>
      </c>
      <c r="G1285" s="403"/>
      <c r="H1285" s="402"/>
      <c r="I1285" s="402"/>
      <c r="J1285" s="402"/>
      <c r="K1285" s="402"/>
      <c r="L1285" s="402"/>
      <c r="M1285" s="402"/>
      <c r="N1285" s="402"/>
      <c r="O1285" s="402"/>
      <c r="P1285" s="402"/>
      <c r="Q1285" s="402"/>
      <c r="R1285" s="402"/>
      <c r="S1285" s="402"/>
      <c r="T1285" s="402"/>
      <c r="U1285" s="402"/>
      <c r="V1285" s="402"/>
      <c r="W1285" s="402"/>
      <c r="X1285" s="402"/>
      <c r="Y1285" s="402"/>
      <c r="Z1285" s="402"/>
    </row>
    <row r="1286" ht="14.25" customHeight="1">
      <c r="A1286" s="497">
        <v>45530.0</v>
      </c>
      <c r="B1286" s="349" t="s">
        <v>5847</v>
      </c>
      <c r="C1286" s="349" t="s">
        <v>5848</v>
      </c>
      <c r="D1286" s="1032" t="s">
        <v>54</v>
      </c>
      <c r="E1286" s="413" t="s">
        <v>6511</v>
      </c>
      <c r="F1286" s="413">
        <v>71911.56</v>
      </c>
      <c r="G1286" s="403"/>
      <c r="H1286" s="402"/>
      <c r="I1286" s="402"/>
      <c r="J1286" s="402"/>
      <c r="K1286" s="402"/>
      <c r="L1286" s="402"/>
      <c r="M1286" s="402"/>
      <c r="N1286" s="402"/>
      <c r="O1286" s="402"/>
      <c r="P1286" s="402"/>
      <c r="Q1286" s="402"/>
      <c r="R1286" s="402"/>
      <c r="S1286" s="402"/>
      <c r="T1286" s="402"/>
      <c r="U1286" s="402"/>
      <c r="V1286" s="402"/>
      <c r="W1286" s="402"/>
      <c r="X1286" s="402"/>
      <c r="Y1286" s="402"/>
      <c r="Z1286" s="402"/>
    </row>
    <row r="1287" ht="14.25" customHeight="1">
      <c r="A1287" s="497">
        <v>45530.0</v>
      </c>
      <c r="B1287" s="349" t="s">
        <v>6877</v>
      </c>
      <c r="C1287" s="349" t="s">
        <v>6878</v>
      </c>
      <c r="D1287" s="1032" t="s">
        <v>54</v>
      </c>
      <c r="E1287" s="413" t="s">
        <v>6763</v>
      </c>
      <c r="F1287" s="413">
        <v>17227.0</v>
      </c>
      <c r="G1287" s="403"/>
      <c r="H1287" s="402"/>
      <c r="I1287" s="402"/>
      <c r="J1287" s="402"/>
      <c r="K1287" s="402"/>
      <c r="L1287" s="402"/>
      <c r="M1287" s="402"/>
      <c r="N1287" s="402"/>
      <c r="O1287" s="402"/>
      <c r="P1287" s="402"/>
      <c r="Q1287" s="402"/>
      <c r="R1287" s="402"/>
      <c r="S1287" s="402"/>
      <c r="T1287" s="402"/>
      <c r="U1287" s="402"/>
      <c r="V1287" s="402"/>
      <c r="W1287" s="402"/>
      <c r="X1287" s="402"/>
      <c r="Y1287" s="402"/>
      <c r="Z1287" s="402"/>
    </row>
    <row r="1288" ht="14.25" customHeight="1">
      <c r="A1288" s="497">
        <v>45530.0</v>
      </c>
      <c r="B1288" s="349" t="s">
        <v>6879</v>
      </c>
      <c r="C1288" s="349" t="s">
        <v>5889</v>
      </c>
      <c r="D1288" s="1032" t="s">
        <v>75</v>
      </c>
      <c r="E1288" s="413" t="s">
        <v>6763</v>
      </c>
      <c r="F1288" s="413">
        <v>172500.0</v>
      </c>
      <c r="G1288" s="403"/>
      <c r="H1288" s="402"/>
      <c r="I1288" s="402"/>
      <c r="J1288" s="402"/>
      <c r="K1288" s="402"/>
      <c r="L1288" s="402"/>
      <c r="M1288" s="402"/>
      <c r="N1288" s="402"/>
      <c r="O1288" s="402"/>
      <c r="P1288" s="402"/>
      <c r="Q1288" s="402"/>
      <c r="R1288" s="402"/>
      <c r="S1288" s="402"/>
      <c r="T1288" s="402"/>
      <c r="U1288" s="402"/>
      <c r="V1288" s="402"/>
      <c r="W1288" s="402"/>
      <c r="X1288" s="402"/>
      <c r="Y1288" s="402"/>
      <c r="Z1288" s="402"/>
    </row>
    <row r="1289" ht="14.25" customHeight="1">
      <c r="A1289" s="497">
        <v>45530.0</v>
      </c>
      <c r="B1289" s="349" t="s">
        <v>6880</v>
      </c>
      <c r="C1289" s="349" t="s">
        <v>6881</v>
      </c>
      <c r="D1289" s="1032" t="s">
        <v>54</v>
      </c>
      <c r="E1289" s="413" t="s">
        <v>6763</v>
      </c>
      <c r="F1289" s="413">
        <v>178916.0</v>
      </c>
      <c r="G1289" s="403"/>
      <c r="H1289" s="402"/>
      <c r="I1289" s="402"/>
      <c r="J1289" s="402"/>
      <c r="K1289" s="402"/>
      <c r="L1289" s="402"/>
      <c r="M1289" s="402"/>
      <c r="N1289" s="402"/>
      <c r="O1289" s="402"/>
      <c r="P1289" s="402"/>
      <c r="Q1289" s="402"/>
      <c r="R1289" s="402"/>
      <c r="S1289" s="402"/>
      <c r="T1289" s="402"/>
      <c r="U1289" s="402"/>
      <c r="V1289" s="402"/>
      <c r="W1289" s="402"/>
      <c r="X1289" s="402"/>
      <c r="Y1289" s="402"/>
      <c r="Z1289" s="402"/>
    </row>
    <row r="1290" ht="14.25" customHeight="1">
      <c r="A1290" s="497">
        <v>45530.0</v>
      </c>
      <c r="B1290" s="349" t="s">
        <v>6882</v>
      </c>
      <c r="C1290" s="349" t="s">
        <v>6690</v>
      </c>
      <c r="D1290" s="1032" t="s">
        <v>75</v>
      </c>
      <c r="E1290" s="413" t="s">
        <v>6563</v>
      </c>
      <c r="F1290" s="413">
        <v>33000.0</v>
      </c>
      <c r="G1290" s="413">
        <v>10000.0</v>
      </c>
      <c r="H1290" s="349" t="s">
        <v>6883</v>
      </c>
      <c r="I1290" s="402"/>
      <c r="J1290" s="402"/>
      <c r="K1290" s="402"/>
      <c r="L1290" s="402"/>
      <c r="M1290" s="402"/>
      <c r="N1290" s="402"/>
      <c r="O1290" s="402"/>
      <c r="P1290" s="402"/>
      <c r="Q1290" s="402"/>
      <c r="R1290" s="402"/>
      <c r="S1290" s="402"/>
      <c r="T1290" s="402"/>
      <c r="U1290" s="402"/>
      <c r="V1290" s="402"/>
      <c r="W1290" s="402"/>
      <c r="X1290" s="402"/>
      <c r="Y1290" s="402"/>
      <c r="Z1290" s="402"/>
    </row>
    <row r="1291" ht="14.25" customHeight="1">
      <c r="A1291" s="497">
        <v>45530.0</v>
      </c>
      <c r="B1291" s="349" t="s">
        <v>5640</v>
      </c>
      <c r="C1291" s="349" t="s">
        <v>5757</v>
      </c>
      <c r="D1291" s="1032" t="s">
        <v>668</v>
      </c>
      <c r="E1291" s="413" t="s">
        <v>6861</v>
      </c>
      <c r="F1291" s="413">
        <v>1000000.0</v>
      </c>
      <c r="G1291" s="403"/>
      <c r="H1291" s="402"/>
      <c r="I1291" s="402"/>
      <c r="J1291" s="402"/>
      <c r="K1291" s="402"/>
      <c r="L1291" s="402"/>
      <c r="M1291" s="402"/>
      <c r="N1291" s="402"/>
      <c r="O1291" s="402"/>
      <c r="P1291" s="402"/>
      <c r="Q1291" s="402"/>
      <c r="R1291" s="402"/>
      <c r="S1291" s="402"/>
      <c r="T1291" s="402"/>
      <c r="U1291" s="402"/>
      <c r="V1291" s="402"/>
      <c r="W1291" s="402"/>
      <c r="X1291" s="402"/>
      <c r="Y1291" s="402"/>
      <c r="Z1291" s="402"/>
    </row>
    <row r="1292" ht="14.25" customHeight="1">
      <c r="A1292" s="497">
        <v>45530.0</v>
      </c>
      <c r="B1292" s="349" t="s">
        <v>5735</v>
      </c>
      <c r="C1292" s="349" t="s">
        <v>5736</v>
      </c>
      <c r="D1292" s="1032" t="s">
        <v>54</v>
      </c>
      <c r="E1292" s="413" t="s">
        <v>6563</v>
      </c>
      <c r="F1292" s="413">
        <v>29600.0</v>
      </c>
      <c r="G1292" s="413">
        <v>29600.0</v>
      </c>
      <c r="H1292" s="349" t="s">
        <v>267</v>
      </c>
      <c r="I1292" s="402"/>
      <c r="J1292" s="402"/>
      <c r="K1292" s="402"/>
      <c r="L1292" s="402"/>
      <c r="M1292" s="402"/>
      <c r="N1292" s="402"/>
      <c r="O1292" s="402"/>
      <c r="P1292" s="402"/>
      <c r="Q1292" s="402"/>
      <c r="R1292" s="402"/>
      <c r="S1292" s="402"/>
      <c r="T1292" s="402"/>
      <c r="U1292" s="402"/>
      <c r="V1292" s="402"/>
      <c r="W1292" s="402"/>
      <c r="X1292" s="402"/>
      <c r="Y1292" s="402"/>
      <c r="Z1292" s="402"/>
    </row>
    <row r="1293" ht="14.25" customHeight="1">
      <c r="A1293" s="497">
        <v>45530.0</v>
      </c>
      <c r="B1293" s="349" t="s">
        <v>6711</v>
      </c>
      <c r="C1293" s="349" t="s">
        <v>6709</v>
      </c>
      <c r="D1293" s="1032" t="s">
        <v>54</v>
      </c>
      <c r="E1293" s="413" t="s">
        <v>6563</v>
      </c>
      <c r="F1293" s="413">
        <v>24786.0</v>
      </c>
      <c r="G1293" s="413">
        <v>24786.0</v>
      </c>
      <c r="H1293" s="349" t="s">
        <v>267</v>
      </c>
      <c r="I1293" s="402"/>
      <c r="J1293" s="402"/>
      <c r="K1293" s="402"/>
      <c r="L1293" s="402"/>
      <c r="M1293" s="402"/>
      <c r="N1293" s="402"/>
      <c r="O1293" s="402"/>
      <c r="P1293" s="402"/>
      <c r="Q1293" s="402"/>
      <c r="R1293" s="402"/>
      <c r="S1293" s="402"/>
      <c r="T1293" s="402"/>
      <c r="U1293" s="402"/>
      <c r="V1293" s="402"/>
      <c r="W1293" s="402"/>
      <c r="X1293" s="402"/>
      <c r="Y1293" s="402"/>
      <c r="Z1293" s="402"/>
    </row>
    <row r="1294" ht="14.25" customHeight="1">
      <c r="A1294" s="497">
        <v>45530.0</v>
      </c>
      <c r="B1294" s="349" t="s">
        <v>6708</v>
      </c>
      <c r="C1294" s="349" t="s">
        <v>6709</v>
      </c>
      <c r="D1294" s="1032" t="s">
        <v>467</v>
      </c>
      <c r="E1294" s="413" t="s">
        <v>6563</v>
      </c>
      <c r="F1294" s="413">
        <v>6210.0</v>
      </c>
      <c r="G1294" s="413">
        <v>6210.0</v>
      </c>
      <c r="H1294" s="349" t="s">
        <v>267</v>
      </c>
      <c r="I1294" s="402"/>
      <c r="J1294" s="402"/>
      <c r="K1294" s="402"/>
      <c r="L1294" s="402"/>
      <c r="M1294" s="402"/>
      <c r="N1294" s="402"/>
      <c r="O1294" s="402"/>
      <c r="P1294" s="402"/>
      <c r="Q1294" s="402"/>
      <c r="R1294" s="402"/>
      <c r="S1294" s="402"/>
      <c r="T1294" s="402"/>
      <c r="U1294" s="402"/>
      <c r="V1294" s="402"/>
      <c r="W1294" s="402"/>
      <c r="X1294" s="402"/>
      <c r="Y1294" s="402"/>
      <c r="Z1294" s="402"/>
    </row>
    <row r="1295" ht="14.25" customHeight="1">
      <c r="A1295" s="497">
        <v>45530.0</v>
      </c>
      <c r="B1295" s="349" t="s">
        <v>6561</v>
      </c>
      <c r="C1295" s="349" t="s">
        <v>6799</v>
      </c>
      <c r="D1295" s="1032" t="s">
        <v>54</v>
      </c>
      <c r="E1295" s="413" t="s">
        <v>6763</v>
      </c>
      <c r="F1295" s="413">
        <v>147518.51</v>
      </c>
      <c r="G1295" s="403"/>
      <c r="H1295" s="402"/>
      <c r="I1295" s="402"/>
      <c r="J1295" s="402"/>
      <c r="K1295" s="402"/>
      <c r="L1295" s="402"/>
      <c r="M1295" s="402"/>
      <c r="N1295" s="402"/>
      <c r="O1295" s="402"/>
      <c r="P1295" s="402"/>
      <c r="Q1295" s="402"/>
      <c r="R1295" s="402"/>
      <c r="S1295" s="402"/>
      <c r="T1295" s="402"/>
      <c r="U1295" s="402"/>
      <c r="V1295" s="402"/>
      <c r="W1295" s="402"/>
      <c r="X1295" s="402"/>
      <c r="Y1295" s="402"/>
      <c r="Z1295" s="402"/>
    </row>
    <row r="1296" ht="14.25" customHeight="1">
      <c r="A1296" s="497">
        <v>45530.0</v>
      </c>
      <c r="B1296" s="349" t="s">
        <v>6087</v>
      </c>
      <c r="C1296" s="349" t="s">
        <v>6802</v>
      </c>
      <c r="D1296" s="1032" t="s">
        <v>54</v>
      </c>
      <c r="E1296" s="413" t="s">
        <v>6511</v>
      </c>
      <c r="F1296" s="413">
        <v>121520.54</v>
      </c>
      <c r="G1296" s="403"/>
      <c r="H1296" s="402"/>
      <c r="I1296" s="402"/>
      <c r="J1296" s="402"/>
      <c r="K1296" s="402"/>
      <c r="L1296" s="402"/>
      <c r="M1296" s="402"/>
      <c r="N1296" s="402"/>
      <c r="O1296" s="402"/>
      <c r="P1296" s="402"/>
      <c r="Q1296" s="402"/>
      <c r="R1296" s="402"/>
      <c r="S1296" s="402"/>
      <c r="T1296" s="402"/>
      <c r="U1296" s="402"/>
      <c r="V1296" s="402"/>
      <c r="W1296" s="402"/>
      <c r="X1296" s="402"/>
      <c r="Y1296" s="402"/>
      <c r="Z1296" s="402"/>
    </row>
    <row r="1297" ht="14.25" customHeight="1">
      <c r="A1297" s="497">
        <v>45530.0</v>
      </c>
      <c r="B1297" s="349" t="s">
        <v>6431</v>
      </c>
      <c r="C1297" s="349" t="s">
        <v>6590</v>
      </c>
      <c r="D1297" s="1032" t="s">
        <v>54</v>
      </c>
      <c r="E1297" s="413" t="s">
        <v>6763</v>
      </c>
      <c r="F1297" s="413">
        <v>221032.39</v>
      </c>
      <c r="G1297" s="403"/>
      <c r="H1297" s="402"/>
      <c r="I1297" s="402"/>
      <c r="J1297" s="402"/>
      <c r="K1297" s="402"/>
      <c r="L1297" s="402"/>
      <c r="M1297" s="402"/>
      <c r="N1297" s="402"/>
      <c r="O1297" s="402"/>
      <c r="P1297" s="402"/>
      <c r="Q1297" s="402"/>
      <c r="R1297" s="402"/>
      <c r="S1297" s="402"/>
      <c r="T1297" s="402"/>
      <c r="U1297" s="402"/>
      <c r="V1297" s="402"/>
      <c r="W1297" s="402"/>
      <c r="X1297" s="402"/>
      <c r="Y1297" s="402"/>
      <c r="Z1297" s="402"/>
    </row>
    <row r="1298" ht="14.25" customHeight="1">
      <c r="A1298" s="497">
        <v>45530.0</v>
      </c>
      <c r="B1298" s="349" t="s">
        <v>6462</v>
      </c>
      <c r="C1298" s="349" t="s">
        <v>6788</v>
      </c>
      <c r="D1298" s="1032" t="s">
        <v>75</v>
      </c>
      <c r="E1298" s="413" t="s">
        <v>6563</v>
      </c>
      <c r="F1298" s="413">
        <v>743579.0</v>
      </c>
      <c r="G1298" s="413">
        <v>743579.0</v>
      </c>
      <c r="H1298" s="349" t="s">
        <v>267</v>
      </c>
      <c r="I1298" s="402"/>
      <c r="J1298" s="402"/>
      <c r="K1298" s="402"/>
      <c r="L1298" s="402"/>
      <c r="M1298" s="402"/>
      <c r="N1298" s="402"/>
      <c r="O1298" s="402"/>
      <c r="P1298" s="402"/>
      <c r="Q1298" s="402"/>
      <c r="R1298" s="402"/>
      <c r="S1298" s="402"/>
      <c r="T1298" s="402"/>
      <c r="U1298" s="402"/>
      <c r="V1298" s="402"/>
      <c r="W1298" s="402"/>
      <c r="X1298" s="402"/>
      <c r="Y1298" s="402"/>
      <c r="Z1298" s="402"/>
    </row>
    <row r="1299" ht="14.25" customHeight="1">
      <c r="A1299" s="497">
        <v>45530.0</v>
      </c>
      <c r="B1299" s="1" t="s">
        <v>6515</v>
      </c>
      <c r="C1299" s="1" t="s">
        <v>6516</v>
      </c>
      <c r="D1299" s="1032" t="s">
        <v>54</v>
      </c>
      <c r="E1299" s="413" t="s">
        <v>6763</v>
      </c>
      <c r="F1299" s="413">
        <v>4170.0</v>
      </c>
      <c r="G1299" s="403"/>
      <c r="H1299" s="402"/>
      <c r="I1299" s="402"/>
      <c r="J1299" s="402"/>
      <c r="K1299" s="402"/>
      <c r="L1299" s="402"/>
      <c r="M1299" s="402"/>
      <c r="N1299" s="402"/>
      <c r="O1299" s="402"/>
      <c r="P1299" s="402"/>
      <c r="Q1299" s="402"/>
      <c r="R1299" s="402"/>
      <c r="S1299" s="402"/>
      <c r="T1299" s="402"/>
      <c r="U1299" s="402"/>
      <c r="V1299" s="402"/>
      <c r="W1299" s="402"/>
      <c r="X1299" s="402"/>
      <c r="Y1299" s="402"/>
      <c r="Z1299" s="402"/>
    </row>
    <row r="1300" ht="14.25" customHeight="1">
      <c r="A1300" s="497">
        <v>45530.0</v>
      </c>
      <c r="B1300" s="349" t="s">
        <v>5645</v>
      </c>
      <c r="C1300" s="349" t="s">
        <v>5646</v>
      </c>
      <c r="D1300" s="1032" t="s">
        <v>54</v>
      </c>
      <c r="E1300" s="413" t="s">
        <v>6763</v>
      </c>
      <c r="F1300" s="423">
        <v>37658.22</v>
      </c>
      <c r="G1300" s="403"/>
      <c r="H1300" s="402"/>
      <c r="I1300" s="402"/>
      <c r="J1300" s="402"/>
      <c r="K1300" s="402"/>
      <c r="L1300" s="402"/>
      <c r="M1300" s="402"/>
      <c r="N1300" s="402"/>
      <c r="O1300" s="402"/>
      <c r="P1300" s="402"/>
      <c r="Q1300" s="402"/>
      <c r="R1300" s="402"/>
      <c r="S1300" s="402"/>
      <c r="T1300" s="402"/>
      <c r="U1300" s="402"/>
      <c r="V1300" s="402"/>
      <c r="W1300" s="402"/>
      <c r="X1300" s="402"/>
      <c r="Y1300" s="402"/>
      <c r="Z1300" s="402"/>
    </row>
    <row r="1301" ht="14.25" customHeight="1">
      <c r="A1301" s="497">
        <v>45530.0</v>
      </c>
      <c r="B1301" s="349" t="s">
        <v>6096</v>
      </c>
      <c r="C1301" s="349" t="s">
        <v>6035</v>
      </c>
      <c r="D1301" s="1032" t="s">
        <v>54</v>
      </c>
      <c r="E1301" s="413" t="s">
        <v>6763</v>
      </c>
      <c r="F1301" s="413">
        <v>35000.0</v>
      </c>
      <c r="G1301" s="403"/>
      <c r="H1301" s="402"/>
      <c r="I1301" s="402"/>
      <c r="J1301" s="402"/>
      <c r="K1301" s="402"/>
      <c r="L1301" s="402"/>
      <c r="M1301" s="402"/>
      <c r="N1301" s="402"/>
      <c r="O1301" s="402"/>
      <c r="P1301" s="402"/>
      <c r="Q1301" s="402"/>
      <c r="R1301" s="402"/>
      <c r="S1301" s="402"/>
      <c r="T1301" s="402"/>
      <c r="U1301" s="402"/>
      <c r="V1301" s="402"/>
      <c r="W1301" s="402"/>
      <c r="X1301" s="402"/>
      <c r="Y1301" s="402"/>
      <c r="Z1301" s="402"/>
    </row>
    <row r="1302" ht="14.25" customHeight="1">
      <c r="A1302" s="497">
        <v>45530.0</v>
      </c>
      <c r="B1302" s="349" t="s">
        <v>6884</v>
      </c>
      <c r="C1302" s="349" t="s">
        <v>6884</v>
      </c>
      <c r="D1302" s="1032" t="s">
        <v>75</v>
      </c>
      <c r="E1302" s="413" t="s">
        <v>6763</v>
      </c>
      <c r="F1302" s="413">
        <v>40000.0</v>
      </c>
      <c r="G1302" s="403"/>
      <c r="H1302" s="402"/>
      <c r="I1302" s="402"/>
      <c r="J1302" s="402"/>
      <c r="K1302" s="402"/>
      <c r="L1302" s="402"/>
      <c r="M1302" s="402"/>
      <c r="N1302" s="402"/>
      <c r="O1302" s="402"/>
      <c r="P1302" s="402"/>
      <c r="Q1302" s="402"/>
      <c r="R1302" s="402"/>
      <c r="S1302" s="402"/>
      <c r="T1302" s="402"/>
      <c r="U1302" s="402"/>
      <c r="V1302" s="402"/>
      <c r="W1302" s="402"/>
      <c r="X1302" s="402"/>
      <c r="Y1302" s="402"/>
      <c r="Z1302" s="402"/>
    </row>
    <row r="1303" ht="14.25" customHeight="1">
      <c r="A1303" s="497">
        <v>45530.0</v>
      </c>
      <c r="B1303" s="402"/>
      <c r="C1303" s="402"/>
      <c r="D1303" s="1034"/>
      <c r="E1303" s="403"/>
      <c r="F1303" s="403"/>
      <c r="G1303" s="403"/>
      <c r="H1303" s="402"/>
      <c r="I1303" s="402"/>
      <c r="J1303" s="402"/>
      <c r="K1303" s="402"/>
      <c r="L1303" s="402"/>
      <c r="M1303" s="402"/>
      <c r="N1303" s="402"/>
      <c r="O1303" s="402"/>
      <c r="P1303" s="402"/>
      <c r="Q1303" s="402"/>
      <c r="R1303" s="402"/>
      <c r="S1303" s="402"/>
      <c r="T1303" s="402"/>
      <c r="U1303" s="402"/>
      <c r="V1303" s="402"/>
      <c r="W1303" s="402"/>
      <c r="X1303" s="402"/>
      <c r="Y1303" s="402"/>
      <c r="Z1303" s="402"/>
    </row>
    <row r="1304" ht="14.25" customHeight="1">
      <c r="A1304" s="497">
        <v>45530.0</v>
      </c>
      <c r="B1304" s="402"/>
      <c r="C1304" s="402"/>
      <c r="D1304" s="1034"/>
      <c r="E1304" s="403"/>
      <c r="F1304" s="403"/>
      <c r="G1304" s="403"/>
      <c r="H1304" s="402"/>
      <c r="I1304" s="402"/>
      <c r="J1304" s="402"/>
      <c r="K1304" s="402"/>
      <c r="L1304" s="402"/>
      <c r="M1304" s="402"/>
      <c r="N1304" s="402"/>
      <c r="O1304" s="402"/>
      <c r="P1304" s="402"/>
      <c r="Q1304" s="402"/>
      <c r="R1304" s="402"/>
      <c r="S1304" s="402"/>
      <c r="T1304" s="402"/>
      <c r="U1304" s="402"/>
      <c r="V1304" s="402"/>
      <c r="W1304" s="402"/>
      <c r="X1304" s="402"/>
      <c r="Y1304" s="402"/>
      <c r="Z1304" s="402"/>
    </row>
    <row r="1305" ht="14.25" customHeight="1">
      <c r="A1305" s="660">
        <v>45530.0</v>
      </c>
      <c r="B1305" s="1045" t="s">
        <v>5984</v>
      </c>
      <c r="C1305" s="833" t="s">
        <v>5985</v>
      </c>
      <c r="D1305" s="796" t="s">
        <v>54</v>
      </c>
      <c r="E1305" s="833" t="s">
        <v>2165</v>
      </c>
      <c r="F1305" s="469">
        <v>140000.0</v>
      </c>
      <c r="G1305" s="470"/>
      <c r="H1305" s="555"/>
      <c r="I1305" s="471"/>
      <c r="J1305" s="402"/>
      <c r="K1305" s="402"/>
      <c r="L1305" s="402"/>
      <c r="M1305" s="402"/>
      <c r="N1305" s="402"/>
      <c r="O1305" s="402"/>
      <c r="P1305" s="402"/>
      <c r="Q1305" s="402"/>
      <c r="R1305" s="402"/>
      <c r="S1305" s="402"/>
      <c r="T1305" s="402"/>
      <c r="U1305" s="402"/>
      <c r="V1305" s="402"/>
      <c r="W1305" s="402"/>
      <c r="X1305" s="402"/>
      <c r="Y1305" s="402"/>
      <c r="Z1305" s="402"/>
    </row>
    <row r="1306" ht="14.25" customHeight="1">
      <c r="A1306" s="660">
        <v>45530.0</v>
      </c>
      <c r="B1306" s="473" t="s">
        <v>6676</v>
      </c>
      <c r="C1306" s="352" t="s">
        <v>6848</v>
      </c>
      <c r="D1306" s="1133" t="s">
        <v>54</v>
      </c>
      <c r="E1306" s="352" t="s">
        <v>4114</v>
      </c>
      <c r="F1306" s="474">
        <v>153492.31</v>
      </c>
      <c r="G1306" s="475"/>
      <c r="H1306" s="395"/>
      <c r="I1306" s="395"/>
      <c r="J1306" s="402"/>
      <c r="K1306" s="402"/>
      <c r="L1306" s="402"/>
      <c r="M1306" s="402"/>
      <c r="N1306" s="402"/>
      <c r="O1306" s="402"/>
      <c r="P1306" s="402"/>
      <c r="Q1306" s="402"/>
      <c r="R1306" s="402"/>
      <c r="S1306" s="402"/>
      <c r="T1306" s="402"/>
      <c r="U1306" s="402"/>
      <c r="V1306" s="402"/>
      <c r="W1306" s="402"/>
      <c r="X1306" s="402"/>
      <c r="Y1306" s="402"/>
      <c r="Z1306" s="402"/>
    </row>
    <row r="1307" ht="14.25" customHeight="1">
      <c r="A1307" s="660">
        <v>45530.0</v>
      </c>
      <c r="B1307" s="473" t="s">
        <v>5695</v>
      </c>
      <c r="C1307" s="352" t="s">
        <v>6885</v>
      </c>
      <c r="D1307" s="1133" t="s">
        <v>54</v>
      </c>
      <c r="E1307" s="352" t="s">
        <v>4114</v>
      </c>
      <c r="F1307" s="474">
        <v>61870.0</v>
      </c>
      <c r="G1307" s="475"/>
      <c r="H1307" s="395"/>
      <c r="I1307" s="395"/>
      <c r="J1307" s="402"/>
      <c r="K1307" s="402"/>
      <c r="L1307" s="402"/>
      <c r="M1307" s="402"/>
      <c r="N1307" s="402"/>
      <c r="O1307" s="402"/>
      <c r="P1307" s="402"/>
      <c r="Q1307" s="402"/>
      <c r="R1307" s="402"/>
      <c r="S1307" s="402"/>
      <c r="T1307" s="402"/>
      <c r="U1307" s="402"/>
      <c r="V1307" s="402"/>
      <c r="W1307" s="402"/>
      <c r="X1307" s="402"/>
      <c r="Y1307" s="402"/>
      <c r="Z1307" s="402"/>
    </row>
    <row r="1308" ht="14.25" customHeight="1">
      <c r="A1308" s="660">
        <v>45530.0</v>
      </c>
      <c r="B1308" s="473" t="s">
        <v>6015</v>
      </c>
      <c r="C1308" s="352" t="s">
        <v>6497</v>
      </c>
      <c r="D1308" s="1133" t="s">
        <v>54</v>
      </c>
      <c r="E1308" s="352" t="s">
        <v>4114</v>
      </c>
      <c r="F1308" s="474">
        <v>62420.04</v>
      </c>
      <c r="G1308" s="475"/>
      <c r="H1308" s="395"/>
      <c r="I1308" s="395"/>
      <c r="J1308" s="402"/>
      <c r="K1308" s="402"/>
      <c r="L1308" s="402"/>
      <c r="M1308" s="402"/>
      <c r="N1308" s="402"/>
      <c r="O1308" s="402"/>
      <c r="P1308" s="402"/>
      <c r="Q1308" s="402"/>
      <c r="R1308" s="402"/>
      <c r="S1308" s="402"/>
      <c r="T1308" s="402"/>
      <c r="U1308" s="402"/>
      <c r="V1308" s="402"/>
      <c r="W1308" s="402"/>
      <c r="X1308" s="402"/>
      <c r="Y1308" s="402"/>
      <c r="Z1308" s="402"/>
    </row>
    <row r="1309" ht="14.25" customHeight="1">
      <c r="A1309" s="660">
        <v>45530.0</v>
      </c>
      <c r="B1309" s="473" t="s">
        <v>6017</v>
      </c>
      <c r="C1309" s="352" t="s">
        <v>6808</v>
      </c>
      <c r="D1309" s="1133" t="s">
        <v>54</v>
      </c>
      <c r="E1309" s="352" t="s">
        <v>4114</v>
      </c>
      <c r="F1309" s="474">
        <v>40000.0</v>
      </c>
      <c r="G1309" s="475"/>
      <c r="H1309" s="395"/>
      <c r="I1309" s="395"/>
      <c r="J1309" s="402"/>
      <c r="K1309" s="402"/>
      <c r="L1309" s="402"/>
      <c r="M1309" s="402"/>
      <c r="N1309" s="402"/>
      <c r="O1309" s="402"/>
      <c r="P1309" s="402"/>
      <c r="Q1309" s="402"/>
      <c r="R1309" s="402"/>
      <c r="S1309" s="402"/>
      <c r="T1309" s="402"/>
      <c r="U1309" s="402"/>
      <c r="V1309" s="402"/>
      <c r="W1309" s="402"/>
      <c r="X1309" s="402"/>
      <c r="Y1309" s="402"/>
      <c r="Z1309" s="402"/>
    </row>
    <row r="1310" ht="14.25" customHeight="1">
      <c r="A1310" s="660">
        <v>45530.0</v>
      </c>
      <c r="B1310" s="473" t="s">
        <v>5929</v>
      </c>
      <c r="C1310" s="352" t="s">
        <v>6810</v>
      </c>
      <c r="D1310" s="1133" t="s">
        <v>54</v>
      </c>
      <c r="E1310" s="352" t="s">
        <v>4114</v>
      </c>
      <c r="F1310" s="474">
        <v>42000.0</v>
      </c>
      <c r="G1310" s="475"/>
      <c r="H1310" s="395"/>
      <c r="I1310" s="395"/>
      <c r="J1310" s="402"/>
      <c r="K1310" s="402"/>
      <c r="L1310" s="402"/>
      <c r="M1310" s="402"/>
      <c r="N1310" s="402"/>
      <c r="O1310" s="402"/>
      <c r="P1310" s="402"/>
      <c r="Q1310" s="402"/>
      <c r="R1310" s="402"/>
      <c r="S1310" s="402"/>
      <c r="T1310" s="402"/>
      <c r="U1310" s="402"/>
      <c r="V1310" s="402"/>
      <c r="W1310" s="402"/>
      <c r="X1310" s="402"/>
      <c r="Y1310" s="402"/>
      <c r="Z1310" s="402"/>
    </row>
    <row r="1311" ht="14.25" customHeight="1">
      <c r="A1311" s="660">
        <v>45530.0</v>
      </c>
      <c r="B1311" s="473" t="s">
        <v>5679</v>
      </c>
      <c r="C1311" s="352" t="s">
        <v>5680</v>
      </c>
      <c r="D1311" s="1133" t="s">
        <v>54</v>
      </c>
      <c r="E1311" s="352" t="s">
        <v>4114</v>
      </c>
      <c r="F1311" s="474">
        <v>25000.0</v>
      </c>
      <c r="G1311" s="475"/>
      <c r="H1311" s="395"/>
      <c r="I1311" s="395"/>
      <c r="J1311" s="402"/>
      <c r="K1311" s="402"/>
      <c r="L1311" s="402"/>
      <c r="M1311" s="402"/>
      <c r="N1311" s="402"/>
      <c r="O1311" s="402"/>
      <c r="P1311" s="402"/>
      <c r="Q1311" s="402"/>
      <c r="R1311" s="402"/>
      <c r="S1311" s="402"/>
      <c r="T1311" s="402"/>
      <c r="U1311" s="402"/>
      <c r="V1311" s="402"/>
      <c r="W1311" s="402"/>
      <c r="X1311" s="402"/>
      <c r="Y1311" s="402"/>
      <c r="Z1311" s="402"/>
    </row>
    <row r="1312" ht="14.25" customHeight="1">
      <c r="A1312" s="660">
        <v>45530.0</v>
      </c>
      <c r="B1312" s="472" t="s">
        <v>6477</v>
      </c>
      <c r="C1312" s="396" t="s">
        <v>6811</v>
      </c>
      <c r="D1312" s="353" t="s">
        <v>54</v>
      </c>
      <c r="E1312" s="396" t="s">
        <v>2165</v>
      </c>
      <c r="F1312" s="394">
        <v>60000.0</v>
      </c>
      <c r="G1312" s="355"/>
      <c r="H1312" s="398"/>
      <c r="I1312" s="395"/>
      <c r="J1312" s="402"/>
      <c r="K1312" s="402"/>
      <c r="L1312" s="402"/>
      <c r="M1312" s="402"/>
      <c r="N1312" s="402"/>
      <c r="O1312" s="402"/>
      <c r="P1312" s="402"/>
      <c r="Q1312" s="402"/>
      <c r="R1312" s="402"/>
      <c r="S1312" s="402"/>
      <c r="T1312" s="402"/>
      <c r="U1312" s="402"/>
      <c r="V1312" s="402"/>
      <c r="W1312" s="402"/>
      <c r="X1312" s="402"/>
      <c r="Y1312" s="402"/>
      <c r="Z1312" s="402"/>
    </row>
    <row r="1313" ht="14.25" customHeight="1">
      <c r="A1313" s="660">
        <v>45530.0</v>
      </c>
      <c r="B1313" s="472" t="s">
        <v>5682</v>
      </c>
      <c r="C1313" s="396" t="s">
        <v>5683</v>
      </c>
      <c r="D1313" s="353" t="s">
        <v>54</v>
      </c>
      <c r="E1313" s="396" t="s">
        <v>2165</v>
      </c>
      <c r="F1313" s="394">
        <v>500000.0</v>
      </c>
      <c r="G1313" s="355"/>
      <c r="H1313" s="398"/>
      <c r="I1313" s="395"/>
      <c r="J1313" s="402"/>
      <c r="K1313" s="402"/>
      <c r="L1313" s="402"/>
      <c r="M1313" s="402"/>
      <c r="N1313" s="402"/>
      <c r="O1313" s="402"/>
      <c r="P1313" s="402"/>
      <c r="Q1313" s="402"/>
      <c r="R1313" s="402"/>
      <c r="S1313" s="402"/>
      <c r="T1313" s="402"/>
      <c r="U1313" s="402"/>
      <c r="V1313" s="402"/>
      <c r="W1313" s="402"/>
      <c r="X1313" s="402"/>
      <c r="Y1313" s="402"/>
      <c r="Z1313" s="402"/>
    </row>
    <row r="1314" ht="14.25" customHeight="1">
      <c r="A1314" s="660">
        <v>45530.0</v>
      </c>
      <c r="B1314" s="350" t="s">
        <v>5685</v>
      </c>
      <c r="C1314" s="351" t="s">
        <v>6382</v>
      </c>
      <c r="D1314" s="353" t="s">
        <v>54</v>
      </c>
      <c r="E1314" s="396" t="s">
        <v>2165</v>
      </c>
      <c r="F1314" s="394">
        <v>200000.0</v>
      </c>
      <c r="G1314" s="355"/>
      <c r="H1314" s="398"/>
      <c r="I1314" s="395"/>
      <c r="J1314" s="402"/>
      <c r="K1314" s="402"/>
      <c r="L1314" s="402"/>
      <c r="M1314" s="402"/>
      <c r="N1314" s="402"/>
      <c r="O1314" s="402"/>
      <c r="P1314" s="402"/>
      <c r="Q1314" s="402"/>
      <c r="R1314" s="402"/>
      <c r="S1314" s="402"/>
      <c r="T1314" s="402"/>
      <c r="U1314" s="402"/>
      <c r="V1314" s="402"/>
      <c r="W1314" s="402"/>
      <c r="X1314" s="402"/>
      <c r="Y1314" s="402"/>
      <c r="Z1314" s="402"/>
    </row>
    <row r="1315" ht="14.25" customHeight="1">
      <c r="A1315" s="660">
        <v>45530.0</v>
      </c>
      <c r="B1315" s="472" t="s">
        <v>5792</v>
      </c>
      <c r="C1315" s="396" t="s">
        <v>6886</v>
      </c>
      <c r="D1315" s="353" t="s">
        <v>54</v>
      </c>
      <c r="E1315" s="396" t="s">
        <v>2165</v>
      </c>
      <c r="F1315" s="394">
        <v>240000.0</v>
      </c>
      <c r="G1315" s="355"/>
      <c r="H1315" s="398"/>
      <c r="I1315" s="395"/>
      <c r="J1315" s="402"/>
      <c r="K1315" s="402"/>
      <c r="L1315" s="402"/>
      <c r="M1315" s="402"/>
      <c r="N1315" s="402"/>
      <c r="O1315" s="402"/>
      <c r="P1315" s="402"/>
      <c r="Q1315" s="402"/>
      <c r="R1315" s="402"/>
      <c r="S1315" s="402"/>
      <c r="T1315" s="402"/>
      <c r="U1315" s="402"/>
      <c r="V1315" s="402"/>
      <c r="W1315" s="402"/>
      <c r="X1315" s="402"/>
      <c r="Y1315" s="402"/>
      <c r="Z1315" s="402"/>
    </row>
    <row r="1316" ht="14.25" customHeight="1">
      <c r="A1316" s="402"/>
      <c r="B1316" s="402"/>
      <c r="C1316" s="402"/>
      <c r="D1316" s="1034"/>
      <c r="E1316" s="403"/>
      <c r="F1316" s="403"/>
      <c r="G1316" s="403"/>
      <c r="H1316" s="402"/>
      <c r="I1316" s="402"/>
      <c r="J1316" s="402"/>
      <c r="K1316" s="402"/>
      <c r="L1316" s="402"/>
      <c r="M1316" s="402"/>
      <c r="N1316" s="402"/>
      <c r="O1316" s="402"/>
      <c r="P1316" s="402"/>
      <c r="Q1316" s="402"/>
      <c r="R1316" s="402"/>
      <c r="S1316" s="402"/>
      <c r="T1316" s="402"/>
      <c r="U1316" s="402"/>
      <c r="V1316" s="402"/>
      <c r="W1316" s="402"/>
      <c r="X1316" s="402"/>
      <c r="Y1316" s="402"/>
      <c r="Z1316" s="402"/>
    </row>
    <row r="1317" ht="14.25" customHeight="1">
      <c r="A1317" s="1094"/>
      <c r="B1317" s="1094"/>
      <c r="C1317" s="1094"/>
      <c r="D1317" s="1096"/>
      <c r="E1317" s="1097"/>
      <c r="F1317" s="1097"/>
      <c r="G1317" s="1097"/>
      <c r="H1317" s="1094"/>
      <c r="I1317" s="1094"/>
      <c r="J1317" s="1094"/>
      <c r="K1317" s="1094"/>
      <c r="L1317" s="1094"/>
      <c r="M1317" s="1094"/>
      <c r="N1317" s="1094"/>
      <c r="O1317" s="1094"/>
      <c r="P1317" s="1094"/>
      <c r="Q1317" s="1094"/>
      <c r="R1317" s="1094"/>
      <c r="S1317" s="1094"/>
      <c r="T1317" s="1094"/>
      <c r="U1317" s="1094"/>
      <c r="V1317" s="1094"/>
      <c r="W1317" s="1094"/>
      <c r="X1317" s="1094"/>
      <c r="Y1317" s="1094"/>
      <c r="Z1317" s="1094"/>
    </row>
    <row r="1318" ht="14.25" customHeight="1">
      <c r="A1318" s="497">
        <v>45531.0</v>
      </c>
      <c r="B1318" s="349" t="s">
        <v>5874</v>
      </c>
      <c r="C1318" s="349" t="s">
        <v>5875</v>
      </c>
      <c r="D1318" s="1032" t="s">
        <v>54</v>
      </c>
      <c r="E1318" s="413" t="s">
        <v>6813</v>
      </c>
      <c r="F1318" s="413">
        <v>20071.83</v>
      </c>
      <c r="G1318" s="403"/>
      <c r="H1318" s="402"/>
      <c r="I1318" s="402"/>
      <c r="J1318" s="402"/>
      <c r="K1318" s="402"/>
      <c r="L1318" s="402"/>
      <c r="M1318" s="402"/>
      <c r="N1318" s="402"/>
      <c r="O1318" s="402"/>
      <c r="P1318" s="402"/>
      <c r="Q1318" s="402"/>
      <c r="R1318" s="402"/>
      <c r="S1318" s="402"/>
      <c r="T1318" s="402"/>
      <c r="U1318" s="402"/>
      <c r="V1318" s="402"/>
      <c r="W1318" s="402"/>
      <c r="X1318" s="402"/>
      <c r="Y1318" s="402"/>
      <c r="Z1318" s="402"/>
    </row>
    <row r="1319" ht="14.25" customHeight="1">
      <c r="A1319" s="497">
        <v>45531.0</v>
      </c>
      <c r="B1319" s="349" t="s">
        <v>5879</v>
      </c>
      <c r="C1319" s="349" t="s">
        <v>5880</v>
      </c>
      <c r="D1319" s="1032" t="s">
        <v>54</v>
      </c>
      <c r="E1319" s="413" t="s">
        <v>6763</v>
      </c>
      <c r="F1319" s="413">
        <v>4702.94</v>
      </c>
      <c r="G1319" s="403"/>
      <c r="H1319" s="402"/>
      <c r="I1319" s="402"/>
      <c r="J1319" s="402"/>
      <c r="K1319" s="402"/>
      <c r="L1319" s="402"/>
      <c r="M1319" s="402"/>
      <c r="N1319" s="402"/>
      <c r="O1319" s="402"/>
      <c r="P1319" s="402"/>
      <c r="Q1319" s="402"/>
      <c r="R1319" s="402"/>
      <c r="S1319" s="402"/>
      <c r="T1319" s="402"/>
      <c r="U1319" s="402"/>
      <c r="V1319" s="402"/>
      <c r="W1319" s="402"/>
      <c r="X1319" s="402"/>
      <c r="Y1319" s="402"/>
      <c r="Z1319" s="402"/>
    </row>
    <row r="1320" ht="14.25" customHeight="1">
      <c r="A1320" s="497">
        <v>45531.0</v>
      </c>
      <c r="B1320" s="349" t="s">
        <v>6010</v>
      </c>
      <c r="C1320" s="349" t="s">
        <v>6011</v>
      </c>
      <c r="D1320" s="1032" t="s">
        <v>54</v>
      </c>
      <c r="E1320" s="413" t="s">
        <v>6813</v>
      </c>
      <c r="F1320" s="413">
        <v>97979.66</v>
      </c>
      <c r="G1320" s="403"/>
      <c r="H1320" s="402"/>
      <c r="I1320" s="402"/>
      <c r="J1320" s="402"/>
      <c r="K1320" s="402"/>
      <c r="L1320" s="402"/>
      <c r="M1320" s="402"/>
      <c r="N1320" s="402"/>
      <c r="O1320" s="402"/>
      <c r="P1320" s="402"/>
      <c r="Q1320" s="402"/>
      <c r="R1320" s="402"/>
      <c r="S1320" s="402"/>
      <c r="T1320" s="402"/>
      <c r="U1320" s="402"/>
      <c r="V1320" s="402"/>
      <c r="W1320" s="402"/>
      <c r="X1320" s="402"/>
      <c r="Y1320" s="402"/>
      <c r="Z1320" s="402"/>
    </row>
    <row r="1321" ht="14.25" customHeight="1">
      <c r="A1321" s="497">
        <v>45531.0</v>
      </c>
      <c r="B1321" s="349" t="s">
        <v>5884</v>
      </c>
      <c r="C1321" s="349" t="s">
        <v>5885</v>
      </c>
      <c r="D1321" s="1032" t="s">
        <v>54</v>
      </c>
      <c r="E1321" s="413" t="s">
        <v>6511</v>
      </c>
      <c r="F1321" s="413">
        <v>32013.41</v>
      </c>
      <c r="G1321" s="403"/>
      <c r="H1321" s="402"/>
      <c r="I1321" s="402"/>
      <c r="J1321" s="402"/>
      <c r="K1321" s="402"/>
      <c r="L1321" s="402"/>
      <c r="M1321" s="402"/>
      <c r="N1321" s="402"/>
      <c r="O1321" s="402"/>
      <c r="P1321" s="402"/>
      <c r="Q1321" s="402"/>
      <c r="R1321" s="402"/>
      <c r="S1321" s="402"/>
      <c r="T1321" s="402"/>
      <c r="U1321" s="402"/>
      <c r="V1321" s="402"/>
      <c r="W1321" s="402"/>
      <c r="X1321" s="402"/>
      <c r="Y1321" s="402"/>
      <c r="Z1321" s="402"/>
    </row>
    <row r="1322" ht="14.25" customHeight="1">
      <c r="A1322" s="497">
        <v>45531.0</v>
      </c>
      <c r="B1322" s="349" t="s">
        <v>5888</v>
      </c>
      <c r="C1322" s="349" t="s">
        <v>5889</v>
      </c>
      <c r="D1322" s="1032" t="s">
        <v>54</v>
      </c>
      <c r="E1322" s="413" t="s">
        <v>6813</v>
      </c>
      <c r="F1322" s="413">
        <v>43778.26</v>
      </c>
      <c r="G1322" s="413" t="s">
        <v>2154</v>
      </c>
      <c r="H1322" s="402"/>
      <c r="I1322" s="402"/>
      <c r="J1322" s="402"/>
      <c r="K1322" s="402"/>
      <c r="L1322" s="402"/>
      <c r="M1322" s="402"/>
      <c r="N1322" s="402"/>
      <c r="O1322" s="402"/>
      <c r="P1322" s="402"/>
      <c r="Q1322" s="402"/>
      <c r="R1322" s="402"/>
      <c r="S1322" s="402"/>
      <c r="T1322" s="402"/>
      <c r="U1322" s="402"/>
      <c r="V1322" s="402"/>
      <c r="W1322" s="402"/>
      <c r="X1322" s="402"/>
      <c r="Y1322" s="402"/>
      <c r="Z1322" s="402"/>
    </row>
    <row r="1323" ht="14.25" customHeight="1">
      <c r="A1323" s="497">
        <v>45531.0</v>
      </c>
      <c r="B1323" s="349" t="s">
        <v>6887</v>
      </c>
      <c r="C1323" s="349" t="s">
        <v>6888</v>
      </c>
      <c r="D1323" s="1032" t="s">
        <v>54</v>
      </c>
      <c r="E1323" s="413" t="s">
        <v>6531</v>
      </c>
      <c r="F1323" s="413">
        <v>155218.69</v>
      </c>
      <c r="G1323" s="403"/>
      <c r="H1323" s="402"/>
      <c r="I1323" s="402"/>
      <c r="J1323" s="402"/>
      <c r="K1323" s="402"/>
      <c r="L1323" s="402"/>
      <c r="M1323" s="402"/>
      <c r="N1323" s="402"/>
      <c r="O1323" s="402"/>
      <c r="P1323" s="402"/>
      <c r="Q1323" s="402"/>
      <c r="R1323" s="402"/>
      <c r="S1323" s="402"/>
      <c r="T1323" s="402"/>
      <c r="U1323" s="402"/>
      <c r="V1323" s="402"/>
      <c r="W1323" s="402"/>
      <c r="X1323" s="402"/>
      <c r="Y1323" s="402"/>
      <c r="Z1323" s="402"/>
    </row>
    <row r="1324" ht="14.25" customHeight="1">
      <c r="A1324" s="497">
        <v>45531.0</v>
      </c>
      <c r="B1324" s="349" t="s">
        <v>6889</v>
      </c>
      <c r="C1324" s="349" t="s">
        <v>6888</v>
      </c>
      <c r="D1324" s="1032" t="s">
        <v>346</v>
      </c>
      <c r="E1324" s="413" t="s">
        <v>6813</v>
      </c>
      <c r="F1324" s="413">
        <v>9595.9</v>
      </c>
      <c r="G1324" s="403"/>
      <c r="H1324" s="402"/>
      <c r="I1324" s="402"/>
      <c r="J1324" s="402"/>
      <c r="K1324" s="402"/>
      <c r="L1324" s="402"/>
      <c r="M1324" s="402"/>
      <c r="N1324" s="402"/>
      <c r="O1324" s="402"/>
      <c r="P1324" s="402"/>
      <c r="Q1324" s="402"/>
      <c r="R1324" s="402"/>
      <c r="S1324" s="402"/>
      <c r="T1324" s="402"/>
      <c r="U1324" s="402"/>
      <c r="V1324" s="402"/>
      <c r="W1324" s="402"/>
      <c r="X1324" s="402"/>
      <c r="Y1324" s="402"/>
      <c r="Z1324" s="402"/>
    </row>
    <row r="1325" ht="14.25" customHeight="1">
      <c r="A1325" s="497">
        <v>45531.0</v>
      </c>
      <c r="B1325" s="349" t="s">
        <v>5890</v>
      </c>
      <c r="C1325" s="349" t="s">
        <v>5837</v>
      </c>
      <c r="D1325" s="1032" t="s">
        <v>346</v>
      </c>
      <c r="E1325" s="413" t="s">
        <v>6813</v>
      </c>
      <c r="F1325" s="413">
        <v>8851.92</v>
      </c>
      <c r="G1325" s="403"/>
      <c r="H1325" s="402"/>
      <c r="I1325" s="402"/>
      <c r="J1325" s="402"/>
      <c r="K1325" s="402"/>
      <c r="L1325" s="402"/>
      <c r="M1325" s="402"/>
      <c r="N1325" s="402"/>
      <c r="O1325" s="402"/>
      <c r="P1325" s="402"/>
      <c r="Q1325" s="402"/>
      <c r="R1325" s="402"/>
      <c r="S1325" s="402"/>
      <c r="T1325" s="402"/>
      <c r="U1325" s="402"/>
      <c r="V1325" s="402"/>
      <c r="W1325" s="402"/>
      <c r="X1325" s="402"/>
      <c r="Y1325" s="402"/>
      <c r="Z1325" s="402"/>
    </row>
    <row r="1326" ht="14.25" customHeight="1">
      <c r="A1326" s="497">
        <v>45531.0</v>
      </c>
      <c r="B1326" s="349" t="s">
        <v>5892</v>
      </c>
      <c r="C1326" s="349" t="s">
        <v>5893</v>
      </c>
      <c r="D1326" s="1032" t="s">
        <v>54</v>
      </c>
      <c r="E1326" s="413" t="s">
        <v>6763</v>
      </c>
      <c r="F1326" s="413">
        <v>16927.37</v>
      </c>
      <c r="G1326" s="403"/>
      <c r="H1326" s="402"/>
      <c r="I1326" s="402"/>
      <c r="J1326" s="402"/>
      <c r="K1326" s="402"/>
      <c r="L1326" s="402"/>
      <c r="M1326" s="402"/>
      <c r="N1326" s="402"/>
      <c r="O1326" s="402"/>
      <c r="P1326" s="402"/>
      <c r="Q1326" s="402"/>
      <c r="R1326" s="402"/>
      <c r="S1326" s="402"/>
      <c r="T1326" s="402"/>
      <c r="U1326" s="402"/>
      <c r="V1326" s="402"/>
      <c r="W1326" s="402"/>
      <c r="X1326" s="402"/>
      <c r="Y1326" s="402"/>
      <c r="Z1326" s="402"/>
    </row>
    <row r="1327" ht="14.25" customHeight="1">
      <c r="A1327" s="497">
        <v>45531.0</v>
      </c>
      <c r="B1327" s="349" t="s">
        <v>5896</v>
      </c>
      <c r="C1327" s="349" t="s">
        <v>5897</v>
      </c>
      <c r="D1327" s="1032" t="s">
        <v>54</v>
      </c>
      <c r="E1327" s="413" t="s">
        <v>6763</v>
      </c>
      <c r="F1327" s="413">
        <v>37131.62</v>
      </c>
      <c r="G1327" s="403"/>
      <c r="H1327" s="349" t="s">
        <v>6890</v>
      </c>
      <c r="I1327" s="402"/>
      <c r="J1327" s="402"/>
      <c r="K1327" s="402"/>
      <c r="L1327" s="402"/>
      <c r="M1327" s="402"/>
      <c r="N1327" s="402"/>
      <c r="O1327" s="402"/>
      <c r="P1327" s="402"/>
      <c r="Q1327" s="402"/>
      <c r="R1327" s="402"/>
      <c r="S1327" s="402"/>
      <c r="T1327" s="402"/>
      <c r="U1327" s="402"/>
      <c r="V1327" s="402"/>
      <c r="W1327" s="402"/>
      <c r="X1327" s="402"/>
      <c r="Y1327" s="402"/>
      <c r="Z1327" s="402"/>
    </row>
    <row r="1328" ht="14.25" customHeight="1">
      <c r="A1328" s="497">
        <v>45531.0</v>
      </c>
      <c r="B1328" s="349" t="s">
        <v>6891</v>
      </c>
      <c r="C1328" s="349" t="s">
        <v>5724</v>
      </c>
      <c r="D1328" s="1032" t="s">
        <v>75</v>
      </c>
      <c r="E1328" s="413" t="s">
        <v>6511</v>
      </c>
      <c r="F1328" s="413">
        <v>115000.0</v>
      </c>
      <c r="G1328" s="403"/>
      <c r="H1328" s="402"/>
      <c r="I1328" s="402"/>
      <c r="J1328" s="402"/>
      <c r="K1328" s="402"/>
      <c r="L1328" s="402"/>
      <c r="M1328" s="402"/>
      <c r="N1328" s="402"/>
      <c r="O1328" s="402"/>
      <c r="P1328" s="402"/>
      <c r="Q1328" s="402"/>
      <c r="R1328" s="402"/>
      <c r="S1328" s="402"/>
      <c r="T1328" s="402"/>
      <c r="U1328" s="402"/>
      <c r="V1328" s="402"/>
      <c r="W1328" s="402"/>
      <c r="X1328" s="402"/>
      <c r="Y1328" s="402"/>
      <c r="Z1328" s="402"/>
    </row>
    <row r="1329" ht="14.25" customHeight="1">
      <c r="A1329" s="497">
        <v>45531.0</v>
      </c>
      <c r="B1329" s="402"/>
      <c r="C1329" s="402"/>
      <c r="D1329" s="1034"/>
      <c r="E1329" s="413"/>
      <c r="F1329" s="413"/>
      <c r="G1329" s="403"/>
      <c r="H1329" s="402"/>
      <c r="I1329" s="402"/>
      <c r="J1329" s="402"/>
      <c r="K1329" s="402"/>
      <c r="L1329" s="402"/>
      <c r="M1329" s="402"/>
      <c r="N1329" s="402"/>
      <c r="O1329" s="402"/>
      <c r="P1329" s="402"/>
      <c r="Q1329" s="402"/>
      <c r="R1329" s="402"/>
      <c r="S1329" s="402"/>
      <c r="T1329" s="402"/>
      <c r="U1329" s="402"/>
      <c r="V1329" s="402"/>
      <c r="W1329" s="402"/>
      <c r="X1329" s="402"/>
      <c r="Y1329" s="402"/>
      <c r="Z1329" s="402"/>
    </row>
    <row r="1330" ht="14.25" customHeight="1">
      <c r="A1330" s="497">
        <v>45531.0</v>
      </c>
      <c r="B1330" s="349" t="s">
        <v>5780</v>
      </c>
      <c r="C1330" s="349" t="s">
        <v>5781</v>
      </c>
      <c r="D1330" s="1032" t="s">
        <v>54</v>
      </c>
      <c r="E1330" s="413" t="s">
        <v>6813</v>
      </c>
      <c r="F1330" s="413">
        <v>11807.64</v>
      </c>
      <c r="G1330" s="403"/>
      <c r="H1330" s="402"/>
      <c r="I1330" s="402"/>
      <c r="J1330" s="402"/>
      <c r="K1330" s="402"/>
      <c r="L1330" s="402"/>
      <c r="M1330" s="402"/>
      <c r="N1330" s="402"/>
      <c r="O1330" s="402"/>
      <c r="P1330" s="402"/>
      <c r="Q1330" s="402"/>
      <c r="R1330" s="402"/>
      <c r="S1330" s="402"/>
      <c r="T1330" s="402"/>
      <c r="U1330" s="402"/>
      <c r="V1330" s="402"/>
      <c r="W1330" s="402"/>
      <c r="X1330" s="402"/>
      <c r="Y1330" s="402"/>
      <c r="Z1330" s="402"/>
    </row>
    <row r="1331" ht="14.25" customHeight="1">
      <c r="A1331" s="497">
        <v>45531.0</v>
      </c>
      <c r="B1331" s="349" t="s">
        <v>5792</v>
      </c>
      <c r="C1331" s="349" t="s">
        <v>5793</v>
      </c>
      <c r="D1331" s="1032" t="s">
        <v>54</v>
      </c>
      <c r="E1331" s="413" t="s">
        <v>6763</v>
      </c>
      <c r="F1331" s="413">
        <v>232662.07</v>
      </c>
      <c r="G1331" s="403"/>
      <c r="H1331" s="402"/>
      <c r="I1331" s="402"/>
      <c r="J1331" s="402"/>
      <c r="K1331" s="402"/>
      <c r="L1331" s="402"/>
      <c r="M1331" s="402"/>
      <c r="N1331" s="402"/>
      <c r="O1331" s="402"/>
      <c r="P1331" s="402"/>
      <c r="Q1331" s="402"/>
      <c r="R1331" s="402"/>
      <c r="S1331" s="402"/>
      <c r="T1331" s="402"/>
      <c r="U1331" s="402"/>
      <c r="V1331" s="402"/>
      <c r="W1331" s="402"/>
      <c r="X1331" s="402"/>
      <c r="Y1331" s="402"/>
      <c r="Z1331" s="402"/>
    </row>
    <row r="1332" ht="14.25" customHeight="1">
      <c r="A1332" s="497">
        <v>45531.0</v>
      </c>
      <c r="B1332" s="349" t="s">
        <v>5795</v>
      </c>
      <c r="C1332" s="349" t="s">
        <v>5796</v>
      </c>
      <c r="D1332" s="1032" t="s">
        <v>75</v>
      </c>
      <c r="E1332" s="413" t="s">
        <v>6813</v>
      </c>
      <c r="F1332" s="413">
        <v>15201.27</v>
      </c>
      <c r="G1332" s="413" t="s">
        <v>267</v>
      </c>
      <c r="H1332" s="402"/>
      <c r="I1332" s="402"/>
      <c r="J1332" s="402"/>
      <c r="K1332" s="402"/>
      <c r="L1332" s="402"/>
      <c r="M1332" s="402"/>
      <c r="N1332" s="402"/>
      <c r="O1332" s="402"/>
      <c r="P1332" s="402"/>
      <c r="Q1332" s="402"/>
      <c r="R1332" s="402"/>
      <c r="S1332" s="402"/>
      <c r="T1332" s="402"/>
      <c r="U1332" s="402"/>
      <c r="V1332" s="402"/>
      <c r="W1332" s="402"/>
      <c r="X1332" s="402"/>
      <c r="Y1332" s="402"/>
      <c r="Z1332" s="402"/>
    </row>
    <row r="1333" ht="14.25" customHeight="1">
      <c r="A1333" s="497">
        <v>45531.0</v>
      </c>
      <c r="B1333" s="349" t="s">
        <v>5829</v>
      </c>
      <c r="C1333" s="349" t="s">
        <v>5830</v>
      </c>
      <c r="D1333" s="1032" t="s">
        <v>54</v>
      </c>
      <c r="E1333" s="413" t="s">
        <v>6511</v>
      </c>
      <c r="F1333" s="413">
        <v>69004.18</v>
      </c>
      <c r="G1333" s="403"/>
      <c r="H1333" s="402"/>
      <c r="I1333" s="402"/>
      <c r="J1333" s="402"/>
      <c r="K1333" s="402"/>
      <c r="L1333" s="402"/>
      <c r="M1333" s="402"/>
      <c r="N1333" s="402"/>
      <c r="O1333" s="402"/>
      <c r="P1333" s="402"/>
      <c r="Q1333" s="402"/>
      <c r="R1333" s="402"/>
      <c r="S1333" s="402"/>
      <c r="T1333" s="402"/>
      <c r="U1333" s="402"/>
      <c r="V1333" s="402"/>
      <c r="W1333" s="402"/>
      <c r="X1333" s="402"/>
      <c r="Y1333" s="402"/>
      <c r="Z1333" s="402"/>
    </row>
    <row r="1334" ht="14.25" customHeight="1">
      <c r="A1334" s="497">
        <v>45531.0</v>
      </c>
      <c r="B1334" s="349" t="s">
        <v>6873</v>
      </c>
      <c r="C1334" s="349" t="s">
        <v>6874</v>
      </c>
      <c r="D1334" s="1032" t="s">
        <v>54</v>
      </c>
      <c r="E1334" s="413" t="s">
        <v>6511</v>
      </c>
      <c r="F1334" s="413">
        <v>7850.0</v>
      </c>
      <c r="G1334" s="403"/>
      <c r="H1334" s="402"/>
      <c r="I1334" s="402"/>
      <c r="J1334" s="402"/>
      <c r="K1334" s="402"/>
      <c r="L1334" s="402"/>
      <c r="M1334" s="402"/>
      <c r="N1334" s="402"/>
      <c r="O1334" s="402"/>
      <c r="P1334" s="402"/>
      <c r="Q1334" s="402"/>
      <c r="R1334" s="402"/>
      <c r="S1334" s="402"/>
      <c r="T1334" s="402"/>
      <c r="U1334" s="402"/>
      <c r="V1334" s="402"/>
      <c r="W1334" s="402"/>
      <c r="X1334" s="402"/>
      <c r="Y1334" s="402"/>
      <c r="Z1334" s="402"/>
    </row>
    <row r="1335" ht="14.25" customHeight="1">
      <c r="A1335" s="497">
        <v>45531.0</v>
      </c>
      <c r="B1335" s="349" t="s">
        <v>5831</v>
      </c>
      <c r="C1335" s="349" t="s">
        <v>5832</v>
      </c>
      <c r="D1335" s="1032" t="s">
        <v>346</v>
      </c>
      <c r="E1335" s="413" t="s">
        <v>6531</v>
      </c>
      <c r="F1335" s="413">
        <v>18637.35</v>
      </c>
      <c r="G1335" s="403"/>
      <c r="H1335" s="349"/>
      <c r="I1335" s="402"/>
      <c r="J1335" s="402"/>
      <c r="K1335" s="402"/>
      <c r="L1335" s="402"/>
      <c r="M1335" s="402"/>
      <c r="N1335" s="402"/>
      <c r="O1335" s="402"/>
      <c r="P1335" s="402"/>
      <c r="Q1335" s="402"/>
      <c r="R1335" s="402"/>
      <c r="S1335" s="402"/>
      <c r="T1335" s="402"/>
      <c r="U1335" s="402"/>
      <c r="V1335" s="402"/>
      <c r="W1335" s="402"/>
      <c r="X1335" s="402"/>
      <c r="Y1335" s="402"/>
      <c r="Z1335" s="402"/>
    </row>
    <row r="1336" ht="14.25" customHeight="1">
      <c r="A1336" s="497">
        <v>45531.0</v>
      </c>
      <c r="B1336" s="349" t="s">
        <v>5834</v>
      </c>
      <c r="C1336" s="349" t="s">
        <v>5835</v>
      </c>
      <c r="D1336" s="1032" t="s">
        <v>54</v>
      </c>
      <c r="E1336" s="413" t="s">
        <v>6813</v>
      </c>
      <c r="F1336" s="413">
        <v>65463.16</v>
      </c>
      <c r="G1336" s="403"/>
      <c r="H1336" s="402"/>
      <c r="I1336" s="402"/>
      <c r="J1336" s="402"/>
      <c r="K1336" s="402"/>
      <c r="L1336" s="402"/>
      <c r="M1336" s="402"/>
      <c r="N1336" s="402"/>
      <c r="O1336" s="402"/>
      <c r="P1336" s="402"/>
      <c r="Q1336" s="402"/>
      <c r="R1336" s="402"/>
      <c r="S1336" s="402"/>
      <c r="T1336" s="402"/>
      <c r="U1336" s="402"/>
      <c r="V1336" s="402"/>
      <c r="W1336" s="402"/>
      <c r="X1336" s="402"/>
      <c r="Y1336" s="402"/>
      <c r="Z1336" s="402"/>
    </row>
    <row r="1337" ht="14.25" customHeight="1">
      <c r="A1337" s="497">
        <v>45531.0</v>
      </c>
      <c r="B1337" s="349" t="s">
        <v>6875</v>
      </c>
      <c r="C1337" s="349" t="s">
        <v>6876</v>
      </c>
      <c r="D1337" s="1032" t="s">
        <v>54</v>
      </c>
      <c r="E1337" s="413" t="s">
        <v>6813</v>
      </c>
      <c r="F1337" s="413">
        <v>639.6</v>
      </c>
      <c r="G1337" s="413" t="s">
        <v>267</v>
      </c>
      <c r="H1337" s="402"/>
      <c r="I1337" s="402"/>
      <c r="J1337" s="402"/>
      <c r="K1337" s="402"/>
      <c r="L1337" s="402"/>
      <c r="M1337" s="402"/>
      <c r="N1337" s="402"/>
      <c r="O1337" s="402"/>
      <c r="P1337" s="402"/>
      <c r="Q1337" s="402"/>
      <c r="R1337" s="402"/>
      <c r="S1337" s="402"/>
      <c r="T1337" s="402"/>
      <c r="U1337" s="402"/>
      <c r="V1337" s="402"/>
      <c r="W1337" s="402"/>
      <c r="X1337" s="402"/>
      <c r="Y1337" s="402"/>
      <c r="Z1337" s="402"/>
    </row>
    <row r="1338" ht="14.25" customHeight="1">
      <c r="A1338" s="497">
        <v>45531.0</v>
      </c>
      <c r="B1338" s="349" t="s">
        <v>5836</v>
      </c>
      <c r="C1338" s="349" t="s">
        <v>5837</v>
      </c>
      <c r="D1338" s="1032" t="s">
        <v>54</v>
      </c>
      <c r="E1338" s="413" t="s">
        <v>6511</v>
      </c>
      <c r="F1338" s="413">
        <v>21532.14</v>
      </c>
      <c r="G1338" s="403"/>
      <c r="H1338" s="402"/>
      <c r="I1338" s="402"/>
      <c r="J1338" s="402"/>
      <c r="K1338" s="402"/>
      <c r="L1338" s="402"/>
      <c r="M1338" s="402"/>
      <c r="N1338" s="402"/>
      <c r="O1338" s="402"/>
      <c r="P1338" s="402"/>
      <c r="Q1338" s="402"/>
      <c r="R1338" s="402"/>
      <c r="S1338" s="402"/>
      <c r="T1338" s="402"/>
      <c r="U1338" s="402"/>
      <c r="V1338" s="402"/>
      <c r="W1338" s="402"/>
      <c r="X1338" s="402"/>
      <c r="Y1338" s="402"/>
      <c r="Z1338" s="402"/>
    </row>
    <row r="1339" ht="14.25" customHeight="1">
      <c r="A1339" s="497">
        <v>45531.0</v>
      </c>
      <c r="B1339" s="349" t="s">
        <v>5838</v>
      </c>
      <c r="C1339" s="349" t="s">
        <v>5839</v>
      </c>
      <c r="D1339" s="1032" t="s">
        <v>54</v>
      </c>
      <c r="E1339" s="413" t="s">
        <v>6511</v>
      </c>
      <c r="F1339" s="413">
        <v>110779.63</v>
      </c>
      <c r="G1339" s="403"/>
      <c r="H1339" s="402"/>
      <c r="I1339" s="402"/>
      <c r="J1339" s="402"/>
      <c r="K1339" s="402"/>
      <c r="L1339" s="402"/>
      <c r="M1339" s="402"/>
      <c r="N1339" s="402"/>
      <c r="O1339" s="402"/>
      <c r="P1339" s="402"/>
      <c r="Q1339" s="402"/>
      <c r="R1339" s="402"/>
      <c r="S1339" s="402"/>
      <c r="T1339" s="402"/>
      <c r="U1339" s="402"/>
      <c r="V1339" s="402"/>
      <c r="W1339" s="402"/>
      <c r="X1339" s="402"/>
      <c r="Y1339" s="402"/>
      <c r="Z1339" s="402"/>
    </row>
    <row r="1340" ht="14.25" customHeight="1">
      <c r="A1340" s="497">
        <v>45531.0</v>
      </c>
      <c r="B1340" s="349" t="s">
        <v>5840</v>
      </c>
      <c r="C1340" s="349" t="s">
        <v>5841</v>
      </c>
      <c r="D1340" s="1032" t="s">
        <v>54</v>
      </c>
      <c r="E1340" s="413" t="s">
        <v>6511</v>
      </c>
      <c r="F1340" s="413">
        <v>22667.0</v>
      </c>
      <c r="G1340" s="403"/>
      <c r="H1340" s="402"/>
      <c r="I1340" s="402"/>
      <c r="J1340" s="402"/>
      <c r="K1340" s="402"/>
      <c r="L1340" s="402"/>
      <c r="M1340" s="402"/>
      <c r="N1340" s="402"/>
      <c r="O1340" s="402"/>
      <c r="P1340" s="402"/>
      <c r="Q1340" s="402"/>
      <c r="R1340" s="402"/>
      <c r="S1340" s="402"/>
      <c r="T1340" s="402"/>
      <c r="U1340" s="402"/>
      <c r="V1340" s="402"/>
      <c r="W1340" s="402"/>
      <c r="X1340" s="402"/>
      <c r="Y1340" s="402"/>
      <c r="Z1340" s="402"/>
    </row>
    <row r="1341" ht="14.25" customHeight="1">
      <c r="A1341" s="497">
        <v>45531.0</v>
      </c>
      <c r="B1341" s="349" t="s">
        <v>5842</v>
      </c>
      <c r="C1341" s="349" t="s">
        <v>5843</v>
      </c>
      <c r="D1341" s="1032" t="s">
        <v>54</v>
      </c>
      <c r="E1341" s="413" t="s">
        <v>6511</v>
      </c>
      <c r="F1341" s="413">
        <v>16082.2</v>
      </c>
      <c r="G1341" s="403"/>
      <c r="H1341" s="402"/>
      <c r="I1341" s="402"/>
      <c r="J1341" s="402"/>
      <c r="K1341" s="402"/>
      <c r="L1341" s="402"/>
      <c r="M1341" s="402"/>
      <c r="N1341" s="402"/>
      <c r="O1341" s="402"/>
      <c r="P1341" s="402"/>
      <c r="Q1341" s="402"/>
      <c r="R1341" s="402"/>
      <c r="S1341" s="402"/>
      <c r="T1341" s="402"/>
      <c r="U1341" s="402"/>
      <c r="V1341" s="402"/>
      <c r="W1341" s="402"/>
      <c r="X1341" s="402"/>
      <c r="Y1341" s="402"/>
      <c r="Z1341" s="402"/>
    </row>
    <row r="1342" ht="14.25" customHeight="1">
      <c r="A1342" s="497">
        <v>45531.0</v>
      </c>
      <c r="B1342" s="349" t="s">
        <v>5844</v>
      </c>
      <c r="C1342" s="349" t="s">
        <v>5845</v>
      </c>
      <c r="D1342" s="1032" t="s">
        <v>54</v>
      </c>
      <c r="E1342" s="413" t="s">
        <v>6511</v>
      </c>
      <c r="F1342" s="413">
        <v>53542.77</v>
      </c>
      <c r="G1342" s="403"/>
      <c r="H1342" s="402"/>
      <c r="I1342" s="402"/>
      <c r="J1342" s="402"/>
      <c r="K1342" s="402"/>
      <c r="L1342" s="402"/>
      <c r="M1342" s="402"/>
      <c r="N1342" s="402"/>
      <c r="O1342" s="402"/>
      <c r="P1342" s="402"/>
      <c r="Q1342" s="402"/>
      <c r="R1342" s="402"/>
      <c r="S1342" s="402"/>
      <c r="T1342" s="402"/>
      <c r="U1342" s="402"/>
      <c r="V1342" s="402"/>
      <c r="W1342" s="402"/>
      <c r="X1342" s="402"/>
      <c r="Y1342" s="402"/>
      <c r="Z1342" s="402"/>
    </row>
    <row r="1343" ht="14.25" customHeight="1">
      <c r="A1343" s="497">
        <v>45531.0</v>
      </c>
      <c r="B1343" s="349" t="s">
        <v>5847</v>
      </c>
      <c r="C1343" s="349" t="s">
        <v>5848</v>
      </c>
      <c r="D1343" s="1032" t="s">
        <v>54</v>
      </c>
      <c r="E1343" s="413" t="s">
        <v>6511</v>
      </c>
      <c r="F1343" s="413">
        <v>71911.56</v>
      </c>
      <c r="G1343" s="403"/>
      <c r="H1343" s="402"/>
      <c r="I1343" s="402"/>
      <c r="J1343" s="402"/>
      <c r="K1343" s="402"/>
      <c r="L1343" s="402"/>
      <c r="M1343" s="402"/>
      <c r="N1343" s="402"/>
      <c r="O1343" s="402"/>
      <c r="P1343" s="402"/>
      <c r="Q1343" s="402"/>
      <c r="R1343" s="402"/>
      <c r="S1343" s="402"/>
      <c r="T1343" s="402"/>
      <c r="U1343" s="402"/>
      <c r="V1343" s="402"/>
      <c r="W1343" s="402"/>
      <c r="X1343" s="402"/>
      <c r="Y1343" s="402"/>
      <c r="Z1343" s="402"/>
    </row>
    <row r="1344" ht="14.25" customHeight="1">
      <c r="A1344" s="497">
        <v>45531.0</v>
      </c>
      <c r="B1344" s="349" t="s">
        <v>6877</v>
      </c>
      <c r="C1344" s="349" t="s">
        <v>6878</v>
      </c>
      <c r="D1344" s="1032" t="s">
        <v>54</v>
      </c>
      <c r="E1344" s="413" t="s">
        <v>6813</v>
      </c>
      <c r="F1344" s="413">
        <v>17227.0</v>
      </c>
      <c r="G1344" s="403"/>
      <c r="H1344" s="402"/>
      <c r="I1344" s="402"/>
      <c r="J1344" s="402"/>
      <c r="K1344" s="402"/>
      <c r="L1344" s="402"/>
      <c r="M1344" s="402"/>
      <c r="N1344" s="402"/>
      <c r="O1344" s="402"/>
      <c r="P1344" s="402"/>
      <c r="Q1344" s="402"/>
      <c r="R1344" s="402"/>
      <c r="S1344" s="402"/>
      <c r="T1344" s="402"/>
      <c r="U1344" s="402"/>
      <c r="V1344" s="402"/>
      <c r="W1344" s="402"/>
      <c r="X1344" s="402"/>
      <c r="Y1344" s="402"/>
      <c r="Z1344" s="402"/>
    </row>
    <row r="1345" ht="14.25" customHeight="1">
      <c r="A1345" s="497">
        <v>45531.0</v>
      </c>
      <c r="B1345" s="349" t="s">
        <v>6879</v>
      </c>
      <c r="C1345" s="349" t="s">
        <v>5889</v>
      </c>
      <c r="D1345" s="1032" t="s">
        <v>75</v>
      </c>
      <c r="E1345" s="413" t="s">
        <v>6763</v>
      </c>
      <c r="F1345" s="413">
        <v>172500.0</v>
      </c>
      <c r="G1345" s="403"/>
      <c r="H1345" s="402"/>
      <c r="I1345" s="402"/>
      <c r="J1345" s="402"/>
      <c r="K1345" s="402"/>
      <c r="L1345" s="402"/>
      <c r="M1345" s="402"/>
      <c r="N1345" s="402"/>
      <c r="O1345" s="402"/>
      <c r="P1345" s="402"/>
      <c r="Q1345" s="402"/>
      <c r="R1345" s="402"/>
      <c r="S1345" s="402"/>
      <c r="T1345" s="402"/>
      <c r="U1345" s="402"/>
      <c r="V1345" s="402"/>
      <c r="W1345" s="402"/>
      <c r="X1345" s="402"/>
      <c r="Y1345" s="402"/>
      <c r="Z1345" s="402"/>
    </row>
    <row r="1346" ht="14.25" customHeight="1">
      <c r="A1346" s="497">
        <v>45531.0</v>
      </c>
      <c r="B1346" s="349" t="s">
        <v>6880</v>
      </c>
      <c r="C1346" s="349" t="s">
        <v>6881</v>
      </c>
      <c r="D1346" s="1032" t="s">
        <v>54</v>
      </c>
      <c r="E1346" s="413" t="s">
        <v>6763</v>
      </c>
      <c r="F1346" s="413">
        <v>178916.0</v>
      </c>
      <c r="G1346" s="403"/>
      <c r="H1346" s="402"/>
      <c r="I1346" s="402"/>
      <c r="J1346" s="402"/>
      <c r="K1346" s="402"/>
      <c r="L1346" s="402"/>
      <c r="M1346" s="402"/>
      <c r="N1346" s="402"/>
      <c r="O1346" s="402"/>
      <c r="P1346" s="402"/>
      <c r="Q1346" s="402"/>
      <c r="R1346" s="402"/>
      <c r="S1346" s="402"/>
      <c r="T1346" s="402"/>
      <c r="U1346" s="402"/>
      <c r="V1346" s="402"/>
      <c r="W1346" s="402"/>
      <c r="X1346" s="402"/>
      <c r="Y1346" s="402"/>
      <c r="Z1346" s="402"/>
    </row>
    <row r="1347" ht="14.25" customHeight="1">
      <c r="A1347" s="497">
        <v>45531.0</v>
      </c>
      <c r="B1347" s="349" t="s">
        <v>6882</v>
      </c>
      <c r="C1347" s="349" t="s">
        <v>6690</v>
      </c>
      <c r="D1347" s="1032" t="s">
        <v>75</v>
      </c>
      <c r="E1347" s="413" t="s">
        <v>6563</v>
      </c>
      <c r="F1347" s="413">
        <v>23000.0</v>
      </c>
      <c r="G1347" s="413"/>
      <c r="H1347" s="349" t="s">
        <v>6892</v>
      </c>
      <c r="I1347" s="402"/>
      <c r="J1347" s="402"/>
      <c r="K1347" s="402"/>
      <c r="L1347" s="402"/>
      <c r="M1347" s="402"/>
      <c r="N1347" s="402"/>
      <c r="O1347" s="402"/>
      <c r="P1347" s="402"/>
      <c r="Q1347" s="402"/>
      <c r="R1347" s="402"/>
      <c r="S1347" s="402"/>
      <c r="T1347" s="402"/>
      <c r="U1347" s="402"/>
      <c r="V1347" s="402"/>
      <c r="W1347" s="402"/>
      <c r="X1347" s="402"/>
      <c r="Y1347" s="402"/>
      <c r="Z1347" s="402"/>
    </row>
    <row r="1348" ht="14.25" customHeight="1">
      <c r="A1348" s="497">
        <v>45531.0</v>
      </c>
      <c r="B1348" s="349" t="s">
        <v>5640</v>
      </c>
      <c r="C1348" s="349" t="s">
        <v>5757</v>
      </c>
      <c r="D1348" s="1032" t="s">
        <v>668</v>
      </c>
      <c r="E1348" s="413" t="s">
        <v>6861</v>
      </c>
      <c r="F1348" s="413">
        <v>1000000.0</v>
      </c>
      <c r="G1348" s="403"/>
      <c r="H1348" s="402"/>
      <c r="I1348" s="402"/>
      <c r="J1348" s="402"/>
      <c r="K1348" s="402"/>
      <c r="L1348" s="402"/>
      <c r="M1348" s="402"/>
      <c r="N1348" s="402"/>
      <c r="O1348" s="402"/>
      <c r="P1348" s="402"/>
      <c r="Q1348" s="402"/>
      <c r="R1348" s="402"/>
      <c r="S1348" s="402"/>
      <c r="T1348" s="402"/>
      <c r="U1348" s="402"/>
      <c r="V1348" s="402"/>
      <c r="W1348" s="402"/>
      <c r="X1348" s="402"/>
      <c r="Y1348" s="402"/>
      <c r="Z1348" s="402"/>
    </row>
    <row r="1349" ht="14.25" customHeight="1">
      <c r="A1349" s="497">
        <v>45531.0</v>
      </c>
      <c r="B1349" s="349" t="s">
        <v>6561</v>
      </c>
      <c r="C1349" s="349" t="s">
        <v>6799</v>
      </c>
      <c r="D1349" s="1032" t="s">
        <v>54</v>
      </c>
      <c r="E1349" s="413" t="s">
        <v>6763</v>
      </c>
      <c r="F1349" s="413">
        <v>147518.51</v>
      </c>
      <c r="G1349" s="403"/>
      <c r="H1349" s="402"/>
      <c r="I1349" s="402"/>
      <c r="J1349" s="402"/>
      <c r="K1349" s="402"/>
      <c r="L1349" s="402"/>
      <c r="M1349" s="402"/>
      <c r="N1349" s="402"/>
      <c r="O1349" s="402"/>
      <c r="P1349" s="402"/>
      <c r="Q1349" s="402"/>
      <c r="R1349" s="402"/>
      <c r="S1349" s="402"/>
      <c r="T1349" s="402"/>
      <c r="U1349" s="402"/>
      <c r="V1349" s="402"/>
      <c r="W1349" s="402"/>
      <c r="X1349" s="402"/>
      <c r="Y1349" s="402"/>
      <c r="Z1349" s="402"/>
    </row>
    <row r="1350" ht="14.25" customHeight="1">
      <c r="A1350" s="497">
        <v>45531.0</v>
      </c>
      <c r="B1350" s="349" t="s">
        <v>6087</v>
      </c>
      <c r="C1350" s="349" t="s">
        <v>6802</v>
      </c>
      <c r="D1350" s="1032" t="s">
        <v>54</v>
      </c>
      <c r="E1350" s="413" t="s">
        <v>6511</v>
      </c>
      <c r="F1350" s="413">
        <v>121520.54</v>
      </c>
      <c r="G1350" s="403"/>
      <c r="H1350" s="402"/>
      <c r="I1350" s="402"/>
      <c r="J1350" s="402"/>
      <c r="K1350" s="402"/>
      <c r="L1350" s="402"/>
      <c r="M1350" s="402"/>
      <c r="N1350" s="402"/>
      <c r="O1350" s="402"/>
      <c r="P1350" s="402"/>
      <c r="Q1350" s="402"/>
      <c r="R1350" s="402"/>
      <c r="S1350" s="402"/>
      <c r="T1350" s="402"/>
      <c r="U1350" s="402"/>
      <c r="V1350" s="402"/>
      <c r="W1350" s="402"/>
      <c r="X1350" s="402"/>
      <c r="Y1350" s="402"/>
      <c r="Z1350" s="402"/>
    </row>
    <row r="1351" ht="14.25" customHeight="1">
      <c r="A1351" s="497">
        <v>45531.0</v>
      </c>
      <c r="B1351" s="349" t="s">
        <v>6431</v>
      </c>
      <c r="C1351" s="349" t="s">
        <v>6590</v>
      </c>
      <c r="D1351" s="1032" t="s">
        <v>54</v>
      </c>
      <c r="E1351" s="413" t="s">
        <v>6763</v>
      </c>
      <c r="F1351" s="413">
        <v>221032.39</v>
      </c>
      <c r="G1351" s="403"/>
      <c r="H1351" s="402"/>
      <c r="I1351" s="402"/>
      <c r="J1351" s="402"/>
      <c r="K1351" s="402"/>
      <c r="L1351" s="402"/>
      <c r="M1351" s="402"/>
      <c r="N1351" s="402"/>
      <c r="O1351" s="402"/>
      <c r="P1351" s="402"/>
      <c r="Q1351" s="402"/>
      <c r="R1351" s="402"/>
      <c r="S1351" s="402"/>
      <c r="T1351" s="402"/>
      <c r="U1351" s="402"/>
      <c r="V1351" s="402"/>
      <c r="W1351" s="402"/>
      <c r="X1351" s="402"/>
      <c r="Y1351" s="402"/>
      <c r="Z1351" s="402"/>
    </row>
    <row r="1352" ht="14.25" customHeight="1">
      <c r="A1352" s="497">
        <v>45531.0</v>
      </c>
      <c r="B1352" s="349" t="s">
        <v>5645</v>
      </c>
      <c r="C1352" s="349" t="s">
        <v>5646</v>
      </c>
      <c r="D1352" s="1032" t="s">
        <v>54</v>
      </c>
      <c r="E1352" s="413" t="s">
        <v>6763</v>
      </c>
      <c r="F1352" s="413">
        <v>37658.22</v>
      </c>
      <c r="G1352" s="413">
        <v>30000.0</v>
      </c>
      <c r="H1352" s="349" t="s">
        <v>1039</v>
      </c>
      <c r="I1352" s="402"/>
      <c r="J1352" s="402"/>
      <c r="K1352" s="402"/>
      <c r="L1352" s="402"/>
      <c r="M1352" s="402"/>
      <c r="N1352" s="402"/>
      <c r="O1352" s="402"/>
      <c r="P1352" s="402"/>
      <c r="Q1352" s="402"/>
      <c r="R1352" s="402"/>
      <c r="S1352" s="402"/>
      <c r="T1352" s="402"/>
      <c r="U1352" s="402"/>
      <c r="V1352" s="402"/>
      <c r="W1352" s="402"/>
      <c r="X1352" s="402"/>
      <c r="Y1352" s="402"/>
      <c r="Z1352" s="402"/>
    </row>
    <row r="1353" ht="14.25" customHeight="1">
      <c r="A1353" s="497">
        <v>45531.0</v>
      </c>
      <c r="B1353" s="349" t="s">
        <v>6096</v>
      </c>
      <c r="C1353" s="349" t="s">
        <v>6035</v>
      </c>
      <c r="D1353" s="1032" t="s">
        <v>54</v>
      </c>
      <c r="E1353" s="413" t="s">
        <v>6763</v>
      </c>
      <c r="F1353" s="413">
        <v>35000.0</v>
      </c>
      <c r="G1353" s="413">
        <v>35000.0</v>
      </c>
      <c r="H1353" s="349" t="s">
        <v>267</v>
      </c>
      <c r="I1353" s="402"/>
      <c r="J1353" s="402"/>
      <c r="K1353" s="402"/>
      <c r="L1353" s="402"/>
      <c r="M1353" s="402"/>
      <c r="N1353" s="402"/>
      <c r="O1353" s="402"/>
      <c r="P1353" s="402"/>
      <c r="Q1353" s="402"/>
      <c r="R1353" s="402"/>
      <c r="S1353" s="402"/>
      <c r="T1353" s="402"/>
      <c r="U1353" s="402"/>
      <c r="V1353" s="402"/>
      <c r="W1353" s="402"/>
      <c r="X1353" s="402"/>
      <c r="Y1353" s="402"/>
      <c r="Z1353" s="402"/>
    </row>
    <row r="1354" ht="14.25" customHeight="1">
      <c r="A1354" s="497">
        <v>45531.0</v>
      </c>
      <c r="B1354" s="349" t="s">
        <v>6884</v>
      </c>
      <c r="C1354" s="349" t="s">
        <v>6884</v>
      </c>
      <c r="D1354" s="1032" t="s">
        <v>75</v>
      </c>
      <c r="E1354" s="413" t="s">
        <v>6763</v>
      </c>
      <c r="F1354" s="413">
        <v>40000.0</v>
      </c>
      <c r="G1354" s="413">
        <v>40000.0</v>
      </c>
      <c r="H1354" s="349" t="s">
        <v>267</v>
      </c>
      <c r="I1354" s="402"/>
      <c r="J1354" s="402"/>
      <c r="K1354" s="402"/>
      <c r="L1354" s="402"/>
      <c r="M1354" s="402"/>
      <c r="N1354" s="402"/>
      <c r="O1354" s="402"/>
      <c r="P1354" s="402"/>
      <c r="Q1354" s="402"/>
      <c r="R1354" s="402"/>
      <c r="S1354" s="402"/>
      <c r="T1354" s="402"/>
      <c r="U1354" s="402"/>
      <c r="V1354" s="402"/>
      <c r="W1354" s="402"/>
      <c r="X1354" s="402"/>
      <c r="Y1354" s="402"/>
      <c r="Z1354" s="402"/>
    </row>
    <row r="1355" ht="14.25" customHeight="1">
      <c r="A1355" s="402"/>
      <c r="B1355" s="402"/>
      <c r="C1355" s="402"/>
      <c r="D1355" s="1034"/>
      <c r="E1355" s="403"/>
      <c r="F1355" s="403"/>
      <c r="G1355" s="403"/>
      <c r="H1355" s="402"/>
      <c r="I1355" s="402"/>
      <c r="J1355" s="402"/>
      <c r="K1355" s="402"/>
      <c r="L1355" s="402"/>
      <c r="M1355" s="402"/>
      <c r="N1355" s="402"/>
      <c r="O1355" s="402"/>
      <c r="P1355" s="402"/>
      <c r="Q1355" s="402"/>
      <c r="R1355" s="402"/>
      <c r="S1355" s="402"/>
      <c r="T1355" s="402"/>
      <c r="U1355" s="402"/>
      <c r="V1355" s="402"/>
      <c r="W1355" s="402"/>
      <c r="X1355" s="402"/>
      <c r="Y1355" s="402"/>
      <c r="Z1355" s="402"/>
    </row>
    <row r="1356" ht="14.25" customHeight="1">
      <c r="A1356" s="402"/>
      <c r="B1356" s="402"/>
      <c r="C1356" s="424" t="s">
        <v>107</v>
      </c>
      <c r="D1356" s="1034"/>
      <c r="E1356" s="403"/>
      <c r="F1356" s="403"/>
      <c r="G1356" s="403"/>
      <c r="H1356" s="402"/>
      <c r="I1356" s="402"/>
      <c r="J1356" s="402"/>
      <c r="K1356" s="402"/>
      <c r="L1356" s="402"/>
      <c r="M1356" s="402"/>
      <c r="N1356" s="402"/>
      <c r="O1356" s="402"/>
      <c r="P1356" s="402"/>
      <c r="Q1356" s="402"/>
      <c r="R1356" s="402"/>
      <c r="S1356" s="402"/>
      <c r="T1356" s="402"/>
      <c r="U1356" s="402"/>
      <c r="V1356" s="402"/>
      <c r="W1356" s="402"/>
      <c r="X1356" s="402"/>
      <c r="Y1356" s="402"/>
      <c r="Z1356" s="402"/>
    </row>
    <row r="1357" ht="19.5" customHeight="1">
      <c r="A1357" s="497">
        <v>45531.0</v>
      </c>
      <c r="B1357" s="436" t="s">
        <v>6868</v>
      </c>
      <c r="C1357" s="436" t="s">
        <v>6869</v>
      </c>
      <c r="D1357" s="1032" t="s">
        <v>54</v>
      </c>
      <c r="E1357" s="413" t="s">
        <v>4114</v>
      </c>
      <c r="F1357" s="758">
        <v>153492.31</v>
      </c>
      <c r="G1357" s="403"/>
      <c r="H1357" s="402"/>
      <c r="I1357" s="402"/>
      <c r="J1357" s="402"/>
      <c r="K1357" s="402"/>
      <c r="L1357" s="402"/>
      <c r="M1357" s="402"/>
      <c r="N1357" s="402"/>
      <c r="O1357" s="402"/>
      <c r="P1357" s="402"/>
      <c r="Q1357" s="402"/>
      <c r="R1357" s="402"/>
      <c r="S1357" s="402"/>
      <c r="T1357" s="402"/>
      <c r="U1357" s="402"/>
      <c r="V1357" s="402"/>
      <c r="W1357" s="402"/>
      <c r="X1357" s="402"/>
      <c r="Y1357" s="402"/>
      <c r="Z1357" s="402"/>
    </row>
    <row r="1358" ht="19.5" customHeight="1">
      <c r="A1358" s="497">
        <v>45531.0</v>
      </c>
      <c r="B1358" s="436" t="s">
        <v>5695</v>
      </c>
      <c r="C1358" s="436" t="s">
        <v>6893</v>
      </c>
      <c r="D1358" s="1032" t="s">
        <v>54</v>
      </c>
      <c r="E1358" s="413" t="s">
        <v>4114</v>
      </c>
      <c r="F1358" s="758">
        <v>61870.0</v>
      </c>
      <c r="G1358" s="403"/>
      <c r="H1358" s="402"/>
      <c r="I1358" s="402"/>
      <c r="J1358" s="402"/>
      <c r="K1358" s="402"/>
      <c r="L1358" s="402"/>
      <c r="M1358" s="402"/>
      <c r="N1358" s="402"/>
      <c r="O1358" s="402"/>
      <c r="P1358" s="402"/>
      <c r="Q1358" s="402"/>
      <c r="R1358" s="402"/>
      <c r="S1358" s="402"/>
      <c r="T1358" s="402"/>
      <c r="U1358" s="402"/>
      <c r="V1358" s="402"/>
      <c r="W1358" s="402"/>
      <c r="X1358" s="402"/>
      <c r="Y1358" s="402"/>
      <c r="Z1358" s="402"/>
    </row>
    <row r="1359" ht="14.25" customHeight="1">
      <c r="A1359" s="497">
        <v>45531.0</v>
      </c>
      <c r="B1359" s="436" t="s">
        <v>6017</v>
      </c>
      <c r="C1359" s="436" t="s">
        <v>6808</v>
      </c>
      <c r="D1359" s="1032" t="s">
        <v>54</v>
      </c>
      <c r="E1359" s="413" t="s">
        <v>4114</v>
      </c>
      <c r="F1359" s="758">
        <v>40000.0</v>
      </c>
      <c r="G1359" s="403"/>
      <c r="H1359" s="402"/>
      <c r="I1359" s="402"/>
      <c r="J1359" s="402"/>
      <c r="K1359" s="402"/>
      <c r="L1359" s="402"/>
      <c r="M1359" s="402"/>
      <c r="N1359" s="402"/>
      <c r="O1359" s="402"/>
      <c r="P1359" s="402"/>
      <c r="Q1359" s="402"/>
      <c r="R1359" s="402"/>
      <c r="S1359" s="402"/>
      <c r="T1359" s="402"/>
      <c r="U1359" s="402"/>
      <c r="V1359" s="402"/>
      <c r="W1359" s="402"/>
      <c r="X1359" s="402"/>
      <c r="Y1359" s="402"/>
      <c r="Z1359" s="402"/>
    </row>
    <row r="1360" ht="14.25" customHeight="1">
      <c r="A1360" s="406">
        <v>45531.0</v>
      </c>
      <c r="B1360" s="755" t="s">
        <v>6477</v>
      </c>
      <c r="C1360" s="755" t="s">
        <v>6811</v>
      </c>
      <c r="D1360" s="1032" t="s">
        <v>54</v>
      </c>
      <c r="E1360" s="413" t="s">
        <v>2165</v>
      </c>
      <c r="F1360" s="760">
        <v>60000.0</v>
      </c>
      <c r="G1360" s="403"/>
      <c r="H1360" s="402"/>
      <c r="I1360" s="402"/>
      <c r="J1360" s="402"/>
      <c r="K1360" s="402"/>
      <c r="L1360" s="402"/>
      <c r="M1360" s="402"/>
      <c r="N1360" s="402"/>
      <c r="O1360" s="402"/>
      <c r="P1360" s="402"/>
      <c r="Q1360" s="402"/>
      <c r="R1360" s="402"/>
      <c r="S1360" s="402"/>
      <c r="T1360" s="402"/>
      <c r="U1360" s="402"/>
      <c r="V1360" s="402"/>
      <c r="W1360" s="402"/>
      <c r="X1360" s="402"/>
      <c r="Y1360" s="402"/>
      <c r="Z1360" s="402"/>
    </row>
    <row r="1361" ht="14.25" customHeight="1">
      <c r="A1361" s="406">
        <v>45531.0</v>
      </c>
      <c r="B1361" s="755" t="s">
        <v>5682</v>
      </c>
      <c r="C1361" s="755" t="s">
        <v>5683</v>
      </c>
      <c r="D1361" s="1032" t="s">
        <v>54</v>
      </c>
      <c r="E1361" s="413" t="s">
        <v>2165</v>
      </c>
      <c r="F1361" s="760">
        <v>500000.0</v>
      </c>
      <c r="G1361" s="403"/>
      <c r="H1361" s="402"/>
      <c r="I1361" s="402"/>
      <c r="J1361" s="402"/>
      <c r="K1361" s="402"/>
      <c r="L1361" s="402"/>
      <c r="M1361" s="402"/>
      <c r="N1361" s="402"/>
      <c r="O1361" s="402"/>
      <c r="P1361" s="402"/>
      <c r="Q1361" s="402"/>
      <c r="R1361" s="402"/>
      <c r="S1361" s="402"/>
      <c r="T1361" s="402"/>
      <c r="U1361" s="402"/>
      <c r="V1361" s="402"/>
      <c r="W1361" s="402"/>
      <c r="X1361" s="402"/>
      <c r="Y1361" s="402"/>
      <c r="Z1361" s="402"/>
    </row>
    <row r="1362" ht="14.25" customHeight="1">
      <c r="A1362" s="402"/>
      <c r="B1362" s="402"/>
      <c r="C1362" s="402"/>
      <c r="D1362" s="1034"/>
      <c r="E1362" s="403"/>
      <c r="F1362" s="403"/>
      <c r="G1362" s="403"/>
      <c r="H1362" s="402"/>
      <c r="I1362" s="402"/>
      <c r="J1362" s="402"/>
      <c r="K1362" s="402"/>
      <c r="L1362" s="402"/>
      <c r="M1362" s="402"/>
      <c r="N1362" s="402"/>
      <c r="O1362" s="402"/>
      <c r="P1362" s="402"/>
      <c r="Q1362" s="402"/>
      <c r="R1362" s="402"/>
      <c r="S1362" s="402"/>
      <c r="T1362" s="402"/>
      <c r="U1362" s="402"/>
      <c r="V1362" s="402"/>
      <c r="W1362" s="402"/>
      <c r="X1362" s="402"/>
      <c r="Y1362" s="402"/>
      <c r="Z1362" s="402"/>
    </row>
    <row r="1363" ht="14.25" customHeight="1">
      <c r="A1363" s="497">
        <v>45532.0</v>
      </c>
      <c r="B1363" s="349" t="s">
        <v>5991</v>
      </c>
      <c r="C1363" s="349" t="s">
        <v>6894</v>
      </c>
      <c r="D1363" s="1032" t="s">
        <v>67</v>
      </c>
      <c r="E1363" s="413" t="s">
        <v>6895</v>
      </c>
      <c r="F1363" s="413">
        <v>2000000.0</v>
      </c>
      <c r="G1363" s="413">
        <v>2000000.0</v>
      </c>
      <c r="H1363" s="402"/>
      <c r="I1363" s="402"/>
      <c r="J1363" s="402"/>
      <c r="K1363" s="402"/>
      <c r="L1363" s="402"/>
      <c r="M1363" s="402"/>
      <c r="N1363" s="402"/>
      <c r="O1363" s="402"/>
      <c r="P1363" s="402"/>
      <c r="Q1363" s="402"/>
      <c r="R1363" s="402"/>
      <c r="S1363" s="402"/>
      <c r="T1363" s="402"/>
      <c r="U1363" s="402"/>
      <c r="V1363" s="402"/>
      <c r="W1363" s="402"/>
      <c r="X1363" s="402"/>
      <c r="Y1363" s="402"/>
      <c r="Z1363" s="402"/>
    </row>
    <row r="1364" ht="14.25" customHeight="1">
      <c r="A1364" s="497">
        <v>45532.0</v>
      </c>
      <c r="B1364" s="349" t="s">
        <v>5874</v>
      </c>
      <c r="C1364" s="349" t="s">
        <v>5875</v>
      </c>
      <c r="D1364" s="1032" t="s">
        <v>54</v>
      </c>
      <c r="E1364" s="413" t="s">
        <v>6813</v>
      </c>
      <c r="F1364" s="413">
        <v>20071.83</v>
      </c>
      <c r="G1364" s="403"/>
      <c r="H1364" s="402"/>
      <c r="I1364" s="402"/>
      <c r="J1364" s="402"/>
      <c r="K1364" s="402"/>
      <c r="L1364" s="402"/>
      <c r="M1364" s="402"/>
      <c r="N1364" s="402"/>
      <c r="O1364" s="402"/>
      <c r="P1364" s="402"/>
      <c r="Q1364" s="402"/>
      <c r="R1364" s="402"/>
      <c r="S1364" s="402"/>
      <c r="T1364" s="402"/>
      <c r="U1364" s="402"/>
      <c r="V1364" s="402"/>
      <c r="W1364" s="402"/>
      <c r="X1364" s="402"/>
      <c r="Y1364" s="402"/>
      <c r="Z1364" s="402"/>
    </row>
    <row r="1365" ht="14.25" customHeight="1">
      <c r="A1365" s="497">
        <v>45532.0</v>
      </c>
      <c r="B1365" s="349" t="s">
        <v>5879</v>
      </c>
      <c r="C1365" s="349" t="s">
        <v>5880</v>
      </c>
      <c r="D1365" s="1032" t="s">
        <v>54</v>
      </c>
      <c r="E1365" s="413" t="s">
        <v>6763</v>
      </c>
      <c r="F1365" s="413">
        <v>4702.94</v>
      </c>
      <c r="G1365" s="403"/>
      <c r="H1365" s="402"/>
      <c r="I1365" s="402"/>
      <c r="J1365" s="402"/>
      <c r="K1365" s="402"/>
      <c r="L1365" s="402"/>
      <c r="M1365" s="402"/>
      <c r="N1365" s="402"/>
      <c r="O1365" s="402"/>
      <c r="P1365" s="402"/>
      <c r="Q1365" s="402"/>
      <c r="R1365" s="402"/>
      <c r="S1365" s="402"/>
      <c r="T1365" s="402"/>
      <c r="U1365" s="402"/>
      <c r="V1365" s="402"/>
      <c r="W1365" s="402"/>
      <c r="X1365" s="402"/>
      <c r="Y1365" s="402"/>
      <c r="Z1365" s="402"/>
    </row>
    <row r="1366" ht="14.25" customHeight="1">
      <c r="A1366" s="497">
        <v>45532.0</v>
      </c>
      <c r="B1366" s="349" t="s">
        <v>6010</v>
      </c>
      <c r="C1366" s="349" t="s">
        <v>6011</v>
      </c>
      <c r="D1366" s="1032" t="s">
        <v>54</v>
      </c>
      <c r="E1366" s="413" t="s">
        <v>6813</v>
      </c>
      <c r="F1366" s="413">
        <v>97979.66</v>
      </c>
      <c r="G1366" s="403"/>
      <c r="H1366" s="402"/>
      <c r="I1366" s="402"/>
      <c r="J1366" s="402"/>
      <c r="K1366" s="402"/>
      <c r="L1366" s="402"/>
      <c r="M1366" s="402"/>
      <c r="N1366" s="402"/>
      <c r="O1366" s="402"/>
      <c r="P1366" s="402"/>
      <c r="Q1366" s="402"/>
      <c r="R1366" s="402"/>
      <c r="S1366" s="402"/>
      <c r="T1366" s="402"/>
      <c r="U1366" s="402"/>
      <c r="V1366" s="402"/>
      <c r="W1366" s="402"/>
      <c r="X1366" s="402"/>
      <c r="Y1366" s="402"/>
      <c r="Z1366" s="402"/>
    </row>
    <row r="1367" ht="14.25" customHeight="1">
      <c r="A1367" s="497">
        <v>45532.0</v>
      </c>
      <c r="B1367" s="349" t="s">
        <v>5884</v>
      </c>
      <c r="C1367" s="349" t="s">
        <v>5885</v>
      </c>
      <c r="D1367" s="1032" t="s">
        <v>54</v>
      </c>
      <c r="E1367" s="413" t="s">
        <v>6511</v>
      </c>
      <c r="F1367" s="413">
        <v>32013.41</v>
      </c>
      <c r="G1367" s="403"/>
      <c r="H1367" s="402"/>
      <c r="I1367" s="402"/>
      <c r="J1367" s="402"/>
      <c r="K1367" s="402"/>
      <c r="L1367" s="402"/>
      <c r="M1367" s="402"/>
      <c r="N1367" s="402"/>
      <c r="O1367" s="402"/>
      <c r="P1367" s="402"/>
      <c r="Q1367" s="402"/>
      <c r="R1367" s="402"/>
      <c r="S1367" s="402"/>
      <c r="T1367" s="402"/>
      <c r="U1367" s="402"/>
      <c r="V1367" s="402"/>
      <c r="W1367" s="402"/>
      <c r="X1367" s="402"/>
      <c r="Y1367" s="402"/>
      <c r="Z1367" s="402"/>
    </row>
    <row r="1368" ht="14.25" customHeight="1">
      <c r="A1368" s="497">
        <v>45532.0</v>
      </c>
      <c r="B1368" s="349" t="s">
        <v>5888</v>
      </c>
      <c r="C1368" s="349" t="s">
        <v>5889</v>
      </c>
      <c r="D1368" s="1032" t="s">
        <v>54</v>
      </c>
      <c r="E1368" s="413" t="s">
        <v>6813</v>
      </c>
      <c r="F1368" s="413">
        <v>43778.26</v>
      </c>
      <c r="G1368" s="403"/>
      <c r="H1368" s="402"/>
      <c r="I1368" s="402"/>
      <c r="J1368" s="402"/>
      <c r="K1368" s="402"/>
      <c r="L1368" s="402"/>
      <c r="M1368" s="402"/>
      <c r="N1368" s="402"/>
      <c r="O1368" s="402"/>
      <c r="P1368" s="402"/>
      <c r="Q1368" s="402"/>
      <c r="R1368" s="402"/>
      <c r="S1368" s="402"/>
      <c r="T1368" s="402"/>
      <c r="U1368" s="402"/>
      <c r="V1368" s="402"/>
      <c r="W1368" s="402"/>
      <c r="X1368" s="402"/>
      <c r="Y1368" s="402"/>
      <c r="Z1368" s="402"/>
    </row>
    <row r="1369" ht="14.25" customHeight="1">
      <c r="A1369" s="497">
        <v>45532.0</v>
      </c>
      <c r="B1369" s="349" t="s">
        <v>6887</v>
      </c>
      <c r="C1369" s="349" t="s">
        <v>6888</v>
      </c>
      <c r="D1369" s="1032" t="s">
        <v>54</v>
      </c>
      <c r="E1369" s="413" t="s">
        <v>6531</v>
      </c>
      <c r="F1369" s="413">
        <v>155218.69</v>
      </c>
      <c r="G1369" s="403"/>
      <c r="H1369" s="402"/>
      <c r="I1369" s="402"/>
      <c r="J1369" s="402"/>
      <c r="K1369" s="402"/>
      <c r="L1369" s="402"/>
      <c r="M1369" s="402"/>
      <c r="N1369" s="402"/>
      <c r="O1369" s="402"/>
      <c r="P1369" s="402"/>
      <c r="Q1369" s="402"/>
      <c r="R1369" s="402"/>
      <c r="S1369" s="402"/>
      <c r="T1369" s="402"/>
      <c r="U1369" s="402"/>
      <c r="V1369" s="402"/>
      <c r="W1369" s="402"/>
      <c r="X1369" s="402"/>
      <c r="Y1369" s="402"/>
      <c r="Z1369" s="402"/>
    </row>
    <row r="1370" ht="14.25" customHeight="1">
      <c r="A1370" s="497">
        <v>45532.0</v>
      </c>
      <c r="B1370" s="349" t="s">
        <v>6889</v>
      </c>
      <c r="C1370" s="349" t="s">
        <v>6888</v>
      </c>
      <c r="D1370" s="1032" t="s">
        <v>346</v>
      </c>
      <c r="E1370" s="413" t="s">
        <v>6813</v>
      </c>
      <c r="F1370" s="413">
        <v>9595.9</v>
      </c>
      <c r="G1370" s="403"/>
      <c r="H1370" s="402"/>
      <c r="I1370" s="402"/>
      <c r="J1370" s="402"/>
      <c r="K1370" s="402"/>
      <c r="L1370" s="402"/>
      <c r="M1370" s="402"/>
      <c r="N1370" s="402"/>
      <c r="O1370" s="402"/>
      <c r="P1370" s="402"/>
      <c r="Q1370" s="402"/>
      <c r="R1370" s="402"/>
      <c r="S1370" s="402"/>
      <c r="T1370" s="402"/>
      <c r="U1370" s="402"/>
      <c r="V1370" s="402"/>
      <c r="W1370" s="402"/>
      <c r="X1370" s="402"/>
      <c r="Y1370" s="402"/>
      <c r="Z1370" s="402"/>
    </row>
    <row r="1371" ht="14.25" customHeight="1">
      <c r="A1371" s="497">
        <v>45532.0</v>
      </c>
      <c r="B1371" s="349" t="s">
        <v>5890</v>
      </c>
      <c r="C1371" s="349" t="s">
        <v>5837</v>
      </c>
      <c r="D1371" s="1032" t="s">
        <v>346</v>
      </c>
      <c r="E1371" s="413" t="s">
        <v>6813</v>
      </c>
      <c r="F1371" s="413">
        <v>8851.92</v>
      </c>
      <c r="G1371" s="403"/>
      <c r="H1371" s="402"/>
      <c r="I1371" s="402"/>
      <c r="J1371" s="402"/>
      <c r="K1371" s="402"/>
      <c r="L1371" s="402"/>
      <c r="M1371" s="402"/>
      <c r="N1371" s="402"/>
      <c r="O1371" s="402"/>
      <c r="P1371" s="402"/>
      <c r="Q1371" s="402"/>
      <c r="R1371" s="402"/>
      <c r="S1371" s="402"/>
      <c r="T1371" s="402"/>
      <c r="U1371" s="402"/>
      <c r="V1371" s="402"/>
      <c r="W1371" s="402"/>
      <c r="X1371" s="402"/>
      <c r="Y1371" s="402"/>
      <c r="Z1371" s="402"/>
    </row>
    <row r="1372" ht="14.25" customHeight="1">
      <c r="A1372" s="497">
        <v>45532.0</v>
      </c>
      <c r="B1372" s="349" t="s">
        <v>5892</v>
      </c>
      <c r="C1372" s="349" t="s">
        <v>5893</v>
      </c>
      <c r="D1372" s="1032" t="s">
        <v>54</v>
      </c>
      <c r="E1372" s="413" t="s">
        <v>6763</v>
      </c>
      <c r="F1372" s="413">
        <v>16927.37</v>
      </c>
      <c r="G1372" s="403"/>
      <c r="H1372" s="402"/>
      <c r="I1372" s="402"/>
      <c r="J1372" s="402"/>
      <c r="K1372" s="402"/>
      <c r="L1372" s="402"/>
      <c r="M1372" s="402"/>
      <c r="N1372" s="402"/>
      <c r="O1372" s="402"/>
      <c r="P1372" s="402"/>
      <c r="Q1372" s="402"/>
      <c r="R1372" s="402"/>
      <c r="S1372" s="402"/>
      <c r="T1372" s="402"/>
      <c r="U1372" s="402"/>
      <c r="V1372" s="402"/>
      <c r="W1372" s="402"/>
      <c r="X1372" s="402"/>
      <c r="Y1372" s="402"/>
      <c r="Z1372" s="402"/>
    </row>
    <row r="1373" ht="14.25" customHeight="1">
      <c r="A1373" s="497">
        <v>45532.0</v>
      </c>
      <c r="B1373" s="349" t="s">
        <v>5896</v>
      </c>
      <c r="C1373" s="349" t="s">
        <v>5897</v>
      </c>
      <c r="D1373" s="1032" t="s">
        <v>54</v>
      </c>
      <c r="E1373" s="413" t="s">
        <v>5785</v>
      </c>
      <c r="F1373" s="413">
        <v>37131.62</v>
      </c>
      <c r="G1373" s="413" t="s">
        <v>267</v>
      </c>
      <c r="H1373" s="402"/>
      <c r="I1373" s="402"/>
      <c r="J1373" s="402"/>
      <c r="K1373" s="402"/>
      <c r="L1373" s="402"/>
      <c r="M1373" s="402"/>
      <c r="N1373" s="402"/>
      <c r="O1373" s="402"/>
      <c r="P1373" s="402"/>
      <c r="Q1373" s="402"/>
      <c r="R1373" s="402"/>
      <c r="S1373" s="402"/>
      <c r="T1373" s="402"/>
      <c r="U1373" s="402"/>
      <c r="V1373" s="402"/>
      <c r="W1373" s="402"/>
      <c r="X1373" s="402"/>
      <c r="Y1373" s="402"/>
      <c r="Z1373" s="402"/>
    </row>
    <row r="1374" ht="14.25" customHeight="1">
      <c r="A1374" s="497">
        <v>45532.0</v>
      </c>
      <c r="B1374" s="349" t="s">
        <v>6891</v>
      </c>
      <c r="C1374" s="349" t="s">
        <v>5724</v>
      </c>
      <c r="D1374" s="1032" t="s">
        <v>75</v>
      </c>
      <c r="E1374" s="413" t="s">
        <v>6511</v>
      </c>
      <c r="F1374" s="413">
        <v>115000.0</v>
      </c>
      <c r="G1374" s="403"/>
      <c r="H1374" s="402"/>
      <c r="I1374" s="402"/>
      <c r="J1374" s="402"/>
      <c r="K1374" s="402"/>
      <c r="L1374" s="402"/>
      <c r="M1374" s="402"/>
      <c r="N1374" s="402"/>
      <c r="O1374" s="402"/>
      <c r="P1374" s="402"/>
      <c r="Q1374" s="402"/>
      <c r="R1374" s="402"/>
      <c r="S1374" s="402"/>
      <c r="T1374" s="402"/>
      <c r="U1374" s="402"/>
      <c r="V1374" s="402"/>
      <c r="W1374" s="402"/>
      <c r="X1374" s="402"/>
      <c r="Y1374" s="402"/>
      <c r="Z1374" s="402"/>
    </row>
    <row r="1375" ht="14.25" customHeight="1">
      <c r="A1375" s="497">
        <v>45532.0</v>
      </c>
      <c r="B1375" s="349" t="s">
        <v>6896</v>
      </c>
      <c r="C1375" s="349" t="s">
        <v>6897</v>
      </c>
      <c r="D1375" s="1032" t="s">
        <v>54</v>
      </c>
      <c r="E1375" s="413" t="s">
        <v>6511</v>
      </c>
      <c r="F1375" s="413">
        <v>73123.0</v>
      </c>
      <c r="G1375" s="403"/>
      <c r="H1375" s="402"/>
      <c r="I1375" s="402"/>
      <c r="J1375" s="402"/>
      <c r="K1375" s="402"/>
      <c r="L1375" s="402"/>
      <c r="M1375" s="402"/>
      <c r="N1375" s="402"/>
      <c r="O1375" s="402"/>
      <c r="P1375" s="402"/>
      <c r="Q1375" s="402"/>
      <c r="R1375" s="402"/>
      <c r="S1375" s="402"/>
      <c r="T1375" s="402"/>
      <c r="U1375" s="402"/>
      <c r="V1375" s="402"/>
      <c r="W1375" s="402"/>
      <c r="X1375" s="402"/>
      <c r="Y1375" s="402"/>
      <c r="Z1375" s="402"/>
    </row>
    <row r="1376" ht="14.25" customHeight="1">
      <c r="A1376" s="497">
        <v>45532.0</v>
      </c>
      <c r="B1376" s="349" t="s">
        <v>5780</v>
      </c>
      <c r="C1376" s="349" t="s">
        <v>5781</v>
      </c>
      <c r="D1376" s="1032" t="s">
        <v>54</v>
      </c>
      <c r="E1376" s="413" t="s">
        <v>6813</v>
      </c>
      <c r="F1376" s="413">
        <v>11807.64</v>
      </c>
      <c r="G1376" s="403"/>
      <c r="H1376" s="402"/>
      <c r="I1376" s="402"/>
      <c r="J1376" s="402"/>
      <c r="K1376" s="402"/>
      <c r="L1376" s="402"/>
      <c r="M1376" s="402"/>
      <c r="N1376" s="402"/>
      <c r="O1376" s="402"/>
      <c r="P1376" s="402"/>
      <c r="Q1376" s="402"/>
      <c r="R1376" s="402"/>
      <c r="S1376" s="402"/>
      <c r="T1376" s="402"/>
      <c r="U1376" s="402"/>
      <c r="V1376" s="402"/>
      <c r="W1376" s="402"/>
      <c r="X1376" s="402"/>
      <c r="Y1376" s="402"/>
      <c r="Z1376" s="402"/>
    </row>
    <row r="1377" ht="14.25" customHeight="1">
      <c r="A1377" s="497">
        <v>45532.0</v>
      </c>
      <c r="B1377" s="349" t="s">
        <v>5792</v>
      </c>
      <c r="C1377" s="349" t="s">
        <v>5793</v>
      </c>
      <c r="D1377" s="1032" t="s">
        <v>54</v>
      </c>
      <c r="E1377" s="413" t="s">
        <v>6763</v>
      </c>
      <c r="F1377" s="413">
        <v>232662.07</v>
      </c>
      <c r="G1377" s="403"/>
      <c r="H1377" s="402"/>
      <c r="I1377" s="402"/>
      <c r="J1377" s="402"/>
      <c r="K1377" s="402"/>
      <c r="L1377" s="402"/>
      <c r="M1377" s="402"/>
      <c r="N1377" s="402"/>
      <c r="O1377" s="402"/>
      <c r="P1377" s="402"/>
      <c r="Q1377" s="402"/>
      <c r="R1377" s="402"/>
      <c r="S1377" s="402"/>
      <c r="T1377" s="402"/>
      <c r="U1377" s="402"/>
      <c r="V1377" s="402"/>
      <c r="W1377" s="402"/>
      <c r="X1377" s="402"/>
      <c r="Y1377" s="402"/>
      <c r="Z1377" s="402"/>
    </row>
    <row r="1378" ht="14.25" customHeight="1">
      <c r="A1378" s="497">
        <v>45532.0</v>
      </c>
      <c r="B1378" s="349" t="s">
        <v>5829</v>
      </c>
      <c r="C1378" s="349" t="s">
        <v>5830</v>
      </c>
      <c r="D1378" s="1032" t="s">
        <v>54</v>
      </c>
      <c r="E1378" s="413" t="s">
        <v>6511</v>
      </c>
      <c r="F1378" s="413">
        <v>69004.18</v>
      </c>
      <c r="G1378" s="403"/>
      <c r="H1378" s="402"/>
      <c r="I1378" s="402"/>
      <c r="J1378" s="402"/>
      <c r="K1378" s="402"/>
      <c r="L1378" s="402"/>
      <c r="M1378" s="402"/>
      <c r="N1378" s="402"/>
      <c r="O1378" s="402"/>
      <c r="P1378" s="402"/>
      <c r="Q1378" s="402"/>
      <c r="R1378" s="402"/>
      <c r="S1378" s="402"/>
      <c r="T1378" s="402"/>
      <c r="U1378" s="402"/>
      <c r="V1378" s="402"/>
      <c r="W1378" s="402"/>
      <c r="X1378" s="402"/>
      <c r="Y1378" s="402"/>
      <c r="Z1378" s="402"/>
    </row>
    <row r="1379" ht="14.25" customHeight="1">
      <c r="A1379" s="497">
        <v>45532.0</v>
      </c>
      <c r="B1379" s="349" t="s">
        <v>6873</v>
      </c>
      <c r="C1379" s="349" t="s">
        <v>6874</v>
      </c>
      <c r="D1379" s="1032" t="s">
        <v>54</v>
      </c>
      <c r="E1379" s="413" t="s">
        <v>6511</v>
      </c>
      <c r="F1379" s="413">
        <v>7850.0</v>
      </c>
      <c r="G1379" s="403"/>
      <c r="H1379" s="402"/>
      <c r="I1379" s="402"/>
      <c r="J1379" s="402"/>
      <c r="K1379" s="402"/>
      <c r="L1379" s="402"/>
      <c r="M1379" s="402"/>
      <c r="N1379" s="402"/>
      <c r="O1379" s="402"/>
      <c r="P1379" s="402"/>
      <c r="Q1379" s="402"/>
      <c r="R1379" s="402"/>
      <c r="S1379" s="402"/>
      <c r="T1379" s="402"/>
      <c r="U1379" s="402"/>
      <c r="V1379" s="402"/>
      <c r="W1379" s="402"/>
      <c r="X1379" s="402"/>
      <c r="Y1379" s="402"/>
      <c r="Z1379" s="402"/>
    </row>
    <row r="1380" ht="14.25" customHeight="1">
      <c r="A1380" s="497">
        <v>45532.0</v>
      </c>
      <c r="B1380" s="349" t="s">
        <v>5831</v>
      </c>
      <c r="C1380" s="349" t="s">
        <v>5832</v>
      </c>
      <c r="D1380" s="1032" t="s">
        <v>346</v>
      </c>
      <c r="E1380" s="413" t="s">
        <v>6531</v>
      </c>
      <c r="F1380" s="413">
        <v>18637.35</v>
      </c>
      <c r="G1380" s="475"/>
      <c r="H1380" s="395" t="s">
        <v>6898</v>
      </c>
      <c r="I1380" s="402"/>
      <c r="J1380" s="402"/>
      <c r="K1380" s="402"/>
      <c r="L1380" s="402"/>
      <c r="M1380" s="402"/>
      <c r="N1380" s="402"/>
      <c r="O1380" s="402"/>
      <c r="P1380" s="402"/>
      <c r="Q1380" s="402"/>
      <c r="R1380" s="402"/>
      <c r="S1380" s="402"/>
      <c r="T1380" s="402"/>
      <c r="U1380" s="402"/>
      <c r="V1380" s="402"/>
      <c r="W1380" s="402"/>
      <c r="X1380" s="402"/>
      <c r="Y1380" s="402"/>
      <c r="Z1380" s="402"/>
    </row>
    <row r="1381" ht="14.25" customHeight="1">
      <c r="A1381" s="497">
        <v>45532.0</v>
      </c>
      <c r="B1381" s="349" t="s">
        <v>5834</v>
      </c>
      <c r="C1381" s="349" t="s">
        <v>5835</v>
      </c>
      <c r="D1381" s="1032" t="s">
        <v>54</v>
      </c>
      <c r="E1381" s="413" t="s">
        <v>6813</v>
      </c>
      <c r="F1381" s="413">
        <v>65463.16</v>
      </c>
      <c r="G1381" s="475"/>
      <c r="H1381" s="395"/>
      <c r="I1381" s="402"/>
      <c r="J1381" s="402"/>
      <c r="K1381" s="402"/>
      <c r="L1381" s="402"/>
      <c r="M1381" s="402"/>
      <c r="N1381" s="402"/>
      <c r="O1381" s="402"/>
      <c r="P1381" s="402"/>
      <c r="Q1381" s="402"/>
      <c r="R1381" s="402"/>
      <c r="S1381" s="402"/>
      <c r="T1381" s="402"/>
      <c r="U1381" s="402"/>
      <c r="V1381" s="402"/>
      <c r="W1381" s="402"/>
      <c r="X1381" s="402"/>
      <c r="Y1381" s="402"/>
      <c r="Z1381" s="402"/>
    </row>
    <row r="1382" ht="14.25" customHeight="1">
      <c r="A1382" s="497">
        <v>45532.0</v>
      </c>
      <c r="B1382" s="349" t="s">
        <v>5836</v>
      </c>
      <c r="C1382" s="349" t="s">
        <v>5837</v>
      </c>
      <c r="D1382" s="1032" t="s">
        <v>54</v>
      </c>
      <c r="E1382" s="413" t="s">
        <v>6511</v>
      </c>
      <c r="F1382" s="413">
        <v>21532.14</v>
      </c>
      <c r="G1382" s="475"/>
      <c r="H1382" s="395"/>
      <c r="I1382" s="402"/>
      <c r="J1382" s="402"/>
      <c r="K1382" s="402"/>
      <c r="L1382" s="402"/>
      <c r="M1382" s="402"/>
      <c r="N1382" s="402"/>
      <c r="O1382" s="402"/>
      <c r="P1382" s="402"/>
      <c r="Q1382" s="402"/>
      <c r="R1382" s="402"/>
      <c r="S1382" s="402"/>
      <c r="T1382" s="402"/>
      <c r="U1382" s="402"/>
      <c r="V1382" s="402"/>
      <c r="W1382" s="402"/>
      <c r="X1382" s="402"/>
      <c r="Y1382" s="402"/>
      <c r="Z1382" s="402"/>
    </row>
    <row r="1383" ht="14.25" customHeight="1">
      <c r="A1383" s="497">
        <v>45532.0</v>
      </c>
      <c r="B1383" s="349" t="s">
        <v>5838</v>
      </c>
      <c r="C1383" s="349" t="s">
        <v>5839</v>
      </c>
      <c r="D1383" s="1032" t="s">
        <v>54</v>
      </c>
      <c r="E1383" s="413" t="s">
        <v>6511</v>
      </c>
      <c r="F1383" s="413">
        <v>110779.63</v>
      </c>
      <c r="G1383" s="475"/>
      <c r="H1383" s="395"/>
      <c r="I1383" s="402"/>
      <c r="J1383" s="402"/>
      <c r="K1383" s="402"/>
      <c r="L1383" s="402"/>
      <c r="M1383" s="402"/>
      <c r="N1383" s="402"/>
      <c r="O1383" s="402"/>
      <c r="P1383" s="402"/>
      <c r="Q1383" s="402"/>
      <c r="R1383" s="402"/>
      <c r="S1383" s="402"/>
      <c r="T1383" s="402"/>
      <c r="U1383" s="402"/>
      <c r="V1383" s="402"/>
      <c r="W1383" s="402"/>
      <c r="X1383" s="402"/>
      <c r="Y1383" s="402"/>
      <c r="Z1383" s="402"/>
    </row>
    <row r="1384" ht="14.25" customHeight="1">
      <c r="A1384" s="497">
        <v>45532.0</v>
      </c>
      <c r="B1384" s="349" t="s">
        <v>5840</v>
      </c>
      <c r="C1384" s="349" t="s">
        <v>5841</v>
      </c>
      <c r="D1384" s="1032" t="s">
        <v>54</v>
      </c>
      <c r="E1384" s="413" t="s">
        <v>6511</v>
      </c>
      <c r="F1384" s="413">
        <v>22667.0</v>
      </c>
      <c r="G1384" s="355"/>
      <c r="H1384" s="398"/>
      <c r="I1384" s="402"/>
      <c r="J1384" s="402"/>
      <c r="K1384" s="402"/>
      <c r="L1384" s="402"/>
      <c r="M1384" s="402"/>
      <c r="N1384" s="402"/>
      <c r="O1384" s="402"/>
      <c r="P1384" s="402"/>
      <c r="Q1384" s="402"/>
      <c r="R1384" s="402"/>
      <c r="S1384" s="402"/>
      <c r="T1384" s="402"/>
      <c r="U1384" s="402"/>
      <c r="V1384" s="402"/>
      <c r="W1384" s="402"/>
      <c r="X1384" s="402"/>
      <c r="Y1384" s="402"/>
      <c r="Z1384" s="402"/>
    </row>
    <row r="1385" ht="14.25" customHeight="1">
      <c r="A1385" s="497">
        <v>45532.0</v>
      </c>
      <c r="B1385" s="349" t="s">
        <v>5842</v>
      </c>
      <c r="C1385" s="349" t="s">
        <v>5843</v>
      </c>
      <c r="D1385" s="1032" t="s">
        <v>54</v>
      </c>
      <c r="E1385" s="413" t="s">
        <v>6511</v>
      </c>
      <c r="F1385" s="413">
        <v>16082.2</v>
      </c>
      <c r="G1385" s="355"/>
      <c r="H1385" s="398"/>
      <c r="I1385" s="402"/>
      <c r="J1385" s="402"/>
      <c r="K1385" s="402"/>
      <c r="L1385" s="402"/>
      <c r="M1385" s="402"/>
      <c r="N1385" s="402"/>
      <c r="O1385" s="402"/>
      <c r="P1385" s="402"/>
      <c r="Q1385" s="402"/>
      <c r="R1385" s="402"/>
      <c r="S1385" s="402"/>
      <c r="T1385" s="402"/>
      <c r="U1385" s="402"/>
      <c r="V1385" s="402"/>
      <c r="W1385" s="402"/>
      <c r="X1385" s="402"/>
      <c r="Y1385" s="402"/>
      <c r="Z1385" s="402"/>
    </row>
    <row r="1386" ht="14.25" customHeight="1">
      <c r="A1386" s="497">
        <v>45532.0</v>
      </c>
      <c r="B1386" s="349" t="s">
        <v>5844</v>
      </c>
      <c r="C1386" s="349" t="s">
        <v>5845</v>
      </c>
      <c r="D1386" s="1032" t="s">
        <v>54</v>
      </c>
      <c r="E1386" s="413" t="s">
        <v>6511</v>
      </c>
      <c r="F1386" s="413">
        <v>53542.77</v>
      </c>
      <c r="G1386" s="403"/>
      <c r="H1386" s="402"/>
      <c r="I1386" s="402"/>
      <c r="J1386" s="402"/>
      <c r="K1386" s="402"/>
      <c r="L1386" s="402"/>
      <c r="M1386" s="402"/>
      <c r="N1386" s="402"/>
      <c r="O1386" s="402"/>
      <c r="P1386" s="402"/>
      <c r="Q1386" s="402"/>
      <c r="R1386" s="402"/>
      <c r="S1386" s="402"/>
      <c r="T1386" s="402"/>
      <c r="U1386" s="402"/>
      <c r="V1386" s="402"/>
      <c r="W1386" s="402"/>
      <c r="X1386" s="402"/>
      <c r="Y1386" s="402"/>
      <c r="Z1386" s="402"/>
    </row>
    <row r="1387" ht="14.25" customHeight="1">
      <c r="A1387" s="497">
        <v>45532.0</v>
      </c>
      <c r="B1387" s="349" t="s">
        <v>5847</v>
      </c>
      <c r="C1387" s="349" t="s">
        <v>5848</v>
      </c>
      <c r="D1387" s="1032" t="s">
        <v>54</v>
      </c>
      <c r="E1387" s="413" t="s">
        <v>6511</v>
      </c>
      <c r="F1387" s="413">
        <v>71911.56</v>
      </c>
      <c r="G1387" s="403"/>
      <c r="H1387" s="402"/>
      <c r="I1387" s="402"/>
      <c r="J1387" s="402"/>
      <c r="K1387" s="402"/>
      <c r="L1387" s="402"/>
      <c r="M1387" s="402"/>
      <c r="N1387" s="402"/>
      <c r="O1387" s="402"/>
      <c r="P1387" s="402"/>
      <c r="Q1387" s="402"/>
      <c r="R1387" s="402"/>
      <c r="S1387" s="402"/>
      <c r="T1387" s="402"/>
      <c r="U1387" s="402"/>
      <c r="V1387" s="402"/>
      <c r="W1387" s="402"/>
      <c r="X1387" s="402"/>
      <c r="Y1387" s="402"/>
      <c r="Z1387" s="402"/>
    </row>
    <row r="1388" ht="14.25" customHeight="1">
      <c r="A1388" s="497">
        <v>45532.0</v>
      </c>
      <c r="B1388" s="349" t="s">
        <v>6877</v>
      </c>
      <c r="C1388" s="349" t="s">
        <v>6878</v>
      </c>
      <c r="D1388" s="1032" t="s">
        <v>54</v>
      </c>
      <c r="E1388" s="413" t="s">
        <v>6813</v>
      </c>
      <c r="F1388" s="413">
        <v>17227.0</v>
      </c>
      <c r="G1388" s="403"/>
      <c r="H1388" s="402"/>
      <c r="I1388" s="402"/>
      <c r="J1388" s="402"/>
      <c r="K1388" s="402"/>
      <c r="L1388" s="402"/>
      <c r="M1388" s="402"/>
      <c r="N1388" s="402"/>
      <c r="O1388" s="402"/>
      <c r="P1388" s="402"/>
      <c r="Q1388" s="402"/>
      <c r="R1388" s="402"/>
      <c r="S1388" s="402"/>
      <c r="T1388" s="402"/>
      <c r="U1388" s="402"/>
      <c r="V1388" s="402"/>
      <c r="W1388" s="402"/>
      <c r="X1388" s="402"/>
      <c r="Y1388" s="402"/>
      <c r="Z1388" s="402"/>
    </row>
    <row r="1389" ht="14.25" customHeight="1">
      <c r="A1389" s="497">
        <v>45532.0</v>
      </c>
      <c r="B1389" s="349" t="s">
        <v>6879</v>
      </c>
      <c r="C1389" s="349" t="s">
        <v>5889</v>
      </c>
      <c r="D1389" s="1032" t="s">
        <v>75</v>
      </c>
      <c r="E1389" s="413" t="s">
        <v>6763</v>
      </c>
      <c r="F1389" s="413">
        <v>172500.0</v>
      </c>
      <c r="G1389" s="403"/>
      <c r="H1389" s="402"/>
      <c r="I1389" s="402"/>
      <c r="J1389" s="402"/>
      <c r="K1389" s="402"/>
      <c r="L1389" s="402"/>
      <c r="M1389" s="402"/>
      <c r="N1389" s="402"/>
      <c r="O1389" s="402"/>
      <c r="P1389" s="402"/>
      <c r="Q1389" s="402"/>
      <c r="R1389" s="402"/>
      <c r="S1389" s="402"/>
      <c r="T1389" s="402"/>
      <c r="U1389" s="402"/>
      <c r="V1389" s="402"/>
      <c r="W1389" s="402"/>
      <c r="X1389" s="402"/>
      <c r="Y1389" s="402"/>
      <c r="Z1389" s="402"/>
    </row>
    <row r="1390" ht="14.25" customHeight="1">
      <c r="A1390" s="497">
        <v>45532.0</v>
      </c>
      <c r="B1390" s="349" t="s">
        <v>6880</v>
      </c>
      <c r="C1390" s="349" t="s">
        <v>6881</v>
      </c>
      <c r="D1390" s="1032" t="s">
        <v>54</v>
      </c>
      <c r="E1390" s="413" t="s">
        <v>6763</v>
      </c>
      <c r="F1390" s="413">
        <v>178916.0</v>
      </c>
      <c r="G1390" s="403"/>
      <c r="H1390" s="402"/>
      <c r="I1390" s="402"/>
      <c r="J1390" s="402"/>
      <c r="K1390" s="402"/>
      <c r="L1390" s="402"/>
      <c r="M1390" s="402"/>
      <c r="N1390" s="402"/>
      <c r="O1390" s="402"/>
      <c r="P1390" s="402"/>
      <c r="Q1390" s="402"/>
      <c r="R1390" s="402"/>
      <c r="S1390" s="402"/>
      <c r="T1390" s="402"/>
      <c r="U1390" s="402"/>
      <c r="V1390" s="402"/>
      <c r="W1390" s="402"/>
      <c r="X1390" s="402"/>
      <c r="Y1390" s="402"/>
      <c r="Z1390" s="402"/>
    </row>
    <row r="1391" ht="14.25" customHeight="1">
      <c r="A1391" s="406">
        <v>45532.0</v>
      </c>
      <c r="B1391" s="349"/>
      <c r="C1391" s="349" t="s">
        <v>6899</v>
      </c>
      <c r="D1391" s="1032" t="s">
        <v>54</v>
      </c>
      <c r="E1391" s="413" t="s">
        <v>6763</v>
      </c>
      <c r="F1391" s="413">
        <v>360000.0</v>
      </c>
      <c r="G1391" s="403"/>
      <c r="H1391" s="402"/>
      <c r="I1391" s="402"/>
      <c r="J1391" s="402"/>
      <c r="K1391" s="402"/>
      <c r="L1391" s="402"/>
      <c r="M1391" s="402"/>
      <c r="N1391" s="402"/>
      <c r="O1391" s="402"/>
      <c r="P1391" s="402"/>
      <c r="Q1391" s="402"/>
      <c r="R1391" s="402"/>
      <c r="S1391" s="402"/>
      <c r="T1391" s="402"/>
      <c r="U1391" s="402"/>
      <c r="V1391" s="402"/>
      <c r="W1391" s="402"/>
      <c r="X1391" s="402"/>
      <c r="Y1391" s="402"/>
      <c r="Z1391" s="402"/>
    </row>
    <row r="1392" ht="14.25" customHeight="1">
      <c r="A1392" s="402"/>
      <c r="B1392" s="349"/>
      <c r="C1392" s="349"/>
      <c r="D1392" s="1032"/>
      <c r="E1392" s="413"/>
      <c r="F1392" s="413"/>
      <c r="G1392" s="403"/>
      <c r="H1392" s="402"/>
      <c r="I1392" s="402"/>
      <c r="J1392" s="402"/>
      <c r="K1392" s="402"/>
      <c r="L1392" s="402"/>
      <c r="M1392" s="402"/>
      <c r="N1392" s="402"/>
      <c r="O1392" s="402"/>
      <c r="P1392" s="402"/>
      <c r="Q1392" s="402"/>
      <c r="R1392" s="402"/>
      <c r="S1392" s="402"/>
      <c r="T1392" s="402"/>
      <c r="U1392" s="402"/>
      <c r="V1392" s="402"/>
      <c r="W1392" s="402"/>
      <c r="X1392" s="402"/>
      <c r="Y1392" s="402"/>
      <c r="Z1392" s="402"/>
    </row>
    <row r="1393" ht="14.25" customHeight="1">
      <c r="A1393" s="402"/>
      <c r="B1393" s="349"/>
      <c r="C1393" s="349"/>
      <c r="D1393" s="1032"/>
      <c r="E1393" s="413"/>
      <c r="F1393" s="413"/>
      <c r="G1393" s="403"/>
      <c r="H1393" s="402"/>
      <c r="I1393" s="402"/>
      <c r="J1393" s="402"/>
      <c r="K1393" s="402"/>
      <c r="L1393" s="402"/>
      <c r="M1393" s="402"/>
      <c r="N1393" s="402"/>
      <c r="O1393" s="402"/>
      <c r="P1393" s="402"/>
      <c r="Q1393" s="402"/>
      <c r="R1393" s="402"/>
      <c r="S1393" s="402"/>
      <c r="T1393" s="402"/>
      <c r="U1393" s="402"/>
      <c r="V1393" s="402"/>
      <c r="W1393" s="402"/>
      <c r="X1393" s="402"/>
      <c r="Y1393" s="402"/>
      <c r="Z1393" s="402"/>
    </row>
    <row r="1394" ht="14.25" customHeight="1">
      <c r="A1394" s="402"/>
      <c r="B1394" s="349"/>
      <c r="C1394" s="349"/>
      <c r="D1394" s="1032"/>
      <c r="E1394" s="413"/>
      <c r="F1394" s="413"/>
      <c r="G1394" s="403"/>
      <c r="H1394" s="402"/>
      <c r="I1394" s="402"/>
      <c r="J1394" s="402"/>
      <c r="K1394" s="402"/>
      <c r="L1394" s="402"/>
      <c r="M1394" s="402"/>
      <c r="N1394" s="402"/>
      <c r="O1394" s="402"/>
      <c r="P1394" s="402"/>
      <c r="Q1394" s="402"/>
      <c r="R1394" s="402"/>
      <c r="S1394" s="402"/>
      <c r="T1394" s="402"/>
      <c r="U1394" s="402"/>
      <c r="V1394" s="402"/>
      <c r="W1394" s="402"/>
      <c r="X1394" s="402"/>
      <c r="Y1394" s="402"/>
      <c r="Z1394" s="402"/>
    </row>
    <row r="1395" ht="14.25" customHeight="1">
      <c r="A1395" s="497">
        <v>45532.0</v>
      </c>
      <c r="B1395" s="349" t="s">
        <v>6882</v>
      </c>
      <c r="C1395" s="349" t="s">
        <v>6690</v>
      </c>
      <c r="D1395" s="1032" t="s">
        <v>75</v>
      </c>
      <c r="E1395" s="413" t="s">
        <v>6563</v>
      </c>
      <c r="F1395" s="413">
        <v>23000.0</v>
      </c>
      <c r="G1395" s="403"/>
      <c r="H1395" s="402"/>
      <c r="I1395" s="402"/>
      <c r="J1395" s="402"/>
      <c r="K1395" s="402"/>
      <c r="L1395" s="402"/>
      <c r="M1395" s="402"/>
      <c r="N1395" s="402"/>
      <c r="O1395" s="402"/>
      <c r="P1395" s="402"/>
      <c r="Q1395" s="402"/>
      <c r="R1395" s="402"/>
      <c r="S1395" s="402"/>
      <c r="T1395" s="402"/>
      <c r="U1395" s="402"/>
      <c r="V1395" s="402"/>
      <c r="W1395" s="402"/>
      <c r="X1395" s="402"/>
      <c r="Y1395" s="402"/>
      <c r="Z1395" s="402"/>
    </row>
    <row r="1396" ht="14.25" customHeight="1">
      <c r="A1396" s="497">
        <v>45532.0</v>
      </c>
      <c r="B1396" s="349" t="s">
        <v>5640</v>
      </c>
      <c r="C1396" s="349" t="s">
        <v>5757</v>
      </c>
      <c r="D1396" s="1032" t="s">
        <v>668</v>
      </c>
      <c r="E1396" s="413" t="s">
        <v>6861</v>
      </c>
      <c r="F1396" s="413">
        <v>1000000.0</v>
      </c>
      <c r="G1396" s="403"/>
      <c r="H1396" s="402"/>
      <c r="I1396" s="402"/>
      <c r="J1396" s="402"/>
      <c r="K1396" s="402"/>
      <c r="L1396" s="402"/>
      <c r="M1396" s="402"/>
      <c r="N1396" s="402"/>
      <c r="O1396" s="402"/>
      <c r="P1396" s="402"/>
      <c r="Q1396" s="402"/>
      <c r="R1396" s="402"/>
      <c r="S1396" s="402"/>
      <c r="T1396" s="402"/>
      <c r="U1396" s="402"/>
      <c r="V1396" s="402"/>
      <c r="W1396" s="402"/>
      <c r="X1396" s="402"/>
      <c r="Y1396" s="402"/>
      <c r="Z1396" s="402"/>
    </row>
    <row r="1397" ht="14.25" customHeight="1">
      <c r="A1397" s="497">
        <v>45532.0</v>
      </c>
      <c r="B1397" s="349" t="s">
        <v>6561</v>
      </c>
      <c r="C1397" s="349" t="s">
        <v>6799</v>
      </c>
      <c r="D1397" s="1032" t="s">
        <v>54</v>
      </c>
      <c r="E1397" s="413" t="s">
        <v>6763</v>
      </c>
      <c r="F1397" s="413">
        <v>147518.51</v>
      </c>
      <c r="G1397" s="403"/>
      <c r="H1397" s="402"/>
      <c r="I1397" s="402"/>
      <c r="J1397" s="402"/>
      <c r="K1397" s="402"/>
      <c r="L1397" s="402"/>
      <c r="M1397" s="402"/>
      <c r="N1397" s="402"/>
      <c r="O1397" s="402"/>
      <c r="P1397" s="402"/>
      <c r="Q1397" s="402"/>
      <c r="R1397" s="402"/>
      <c r="S1397" s="402"/>
      <c r="T1397" s="402"/>
      <c r="U1397" s="402"/>
      <c r="V1397" s="402"/>
      <c r="W1397" s="402"/>
      <c r="X1397" s="402"/>
      <c r="Y1397" s="402"/>
      <c r="Z1397" s="402"/>
    </row>
    <row r="1398" ht="14.25" customHeight="1">
      <c r="A1398" s="497">
        <v>45532.0</v>
      </c>
      <c r="B1398" s="349" t="s">
        <v>6087</v>
      </c>
      <c r="C1398" s="349" t="s">
        <v>6802</v>
      </c>
      <c r="D1398" s="1032" t="s">
        <v>54</v>
      </c>
      <c r="E1398" s="413" t="s">
        <v>6511</v>
      </c>
      <c r="F1398" s="413">
        <v>121520.54</v>
      </c>
      <c r="G1398" s="403"/>
      <c r="H1398" s="402"/>
      <c r="I1398" s="402"/>
      <c r="J1398" s="402"/>
      <c r="K1398" s="402"/>
      <c r="L1398" s="402"/>
      <c r="M1398" s="402"/>
      <c r="N1398" s="402"/>
      <c r="O1398" s="402"/>
      <c r="P1398" s="402"/>
      <c r="Q1398" s="402"/>
      <c r="R1398" s="402"/>
      <c r="S1398" s="402"/>
      <c r="T1398" s="402"/>
      <c r="U1398" s="402"/>
      <c r="V1398" s="402"/>
      <c r="W1398" s="402"/>
      <c r="X1398" s="402"/>
      <c r="Y1398" s="402"/>
      <c r="Z1398" s="402"/>
    </row>
    <row r="1399" ht="14.25" customHeight="1">
      <c r="A1399" s="497">
        <v>45532.0</v>
      </c>
      <c r="B1399" s="349" t="s">
        <v>6431</v>
      </c>
      <c r="C1399" s="349" t="s">
        <v>6590</v>
      </c>
      <c r="D1399" s="1032" t="s">
        <v>54</v>
      </c>
      <c r="E1399" s="413" t="s">
        <v>6763</v>
      </c>
      <c r="F1399" s="413">
        <v>221032.39</v>
      </c>
      <c r="G1399" s="403"/>
      <c r="H1399" s="402"/>
      <c r="I1399" s="402"/>
      <c r="J1399" s="402"/>
      <c r="K1399" s="402"/>
      <c r="L1399" s="402"/>
      <c r="M1399" s="402"/>
      <c r="N1399" s="402"/>
      <c r="O1399" s="402"/>
      <c r="P1399" s="402"/>
      <c r="Q1399" s="402"/>
      <c r="R1399" s="402"/>
      <c r="S1399" s="402"/>
      <c r="T1399" s="402"/>
      <c r="U1399" s="402"/>
      <c r="V1399" s="402"/>
      <c r="W1399" s="402"/>
      <c r="X1399" s="402"/>
      <c r="Y1399" s="402"/>
      <c r="Z1399" s="402"/>
    </row>
    <row r="1400" ht="14.25" customHeight="1">
      <c r="A1400" s="497">
        <v>45532.0</v>
      </c>
      <c r="B1400" s="349" t="s">
        <v>5645</v>
      </c>
      <c r="C1400" s="349" t="s">
        <v>5646</v>
      </c>
      <c r="D1400" s="1032" t="s">
        <v>54</v>
      </c>
      <c r="E1400" s="413" t="s">
        <v>6763</v>
      </c>
      <c r="F1400" s="413">
        <v>37658.22</v>
      </c>
      <c r="G1400" s="413">
        <v>30000.0</v>
      </c>
      <c r="H1400" s="402"/>
      <c r="I1400" s="402"/>
      <c r="J1400" s="402"/>
      <c r="K1400" s="402"/>
      <c r="L1400" s="402"/>
      <c r="M1400" s="402"/>
      <c r="N1400" s="402"/>
      <c r="O1400" s="402"/>
      <c r="P1400" s="402"/>
      <c r="Q1400" s="402"/>
      <c r="R1400" s="402"/>
      <c r="S1400" s="402"/>
      <c r="T1400" s="402"/>
      <c r="U1400" s="402"/>
      <c r="V1400" s="402"/>
      <c r="W1400" s="402"/>
      <c r="X1400" s="402"/>
      <c r="Y1400" s="402"/>
      <c r="Z1400" s="402"/>
    </row>
    <row r="1401" ht="14.25" customHeight="1">
      <c r="A1401" s="497">
        <v>45532.0</v>
      </c>
      <c r="B1401" s="349" t="s">
        <v>6096</v>
      </c>
      <c r="C1401" s="349" t="s">
        <v>6035</v>
      </c>
      <c r="D1401" s="1032" t="s">
        <v>54</v>
      </c>
      <c r="E1401" s="413" t="s">
        <v>6763</v>
      </c>
      <c r="F1401" s="413">
        <v>35000.0</v>
      </c>
      <c r="G1401" s="403"/>
      <c r="H1401" s="402"/>
      <c r="I1401" s="402"/>
      <c r="J1401" s="402"/>
      <c r="K1401" s="402"/>
      <c r="L1401" s="402"/>
      <c r="M1401" s="402"/>
      <c r="N1401" s="402"/>
      <c r="O1401" s="402"/>
      <c r="P1401" s="402"/>
      <c r="Q1401" s="402"/>
      <c r="R1401" s="402"/>
      <c r="S1401" s="402"/>
      <c r="T1401" s="402"/>
      <c r="U1401" s="402"/>
      <c r="V1401" s="402"/>
      <c r="W1401" s="402"/>
      <c r="X1401" s="402"/>
      <c r="Y1401" s="402"/>
      <c r="Z1401" s="402"/>
    </row>
    <row r="1402" ht="14.25" customHeight="1">
      <c r="A1402" s="497">
        <v>45532.0</v>
      </c>
      <c r="B1402" s="349" t="s">
        <v>6884</v>
      </c>
      <c r="C1402" s="349" t="s">
        <v>6884</v>
      </c>
      <c r="D1402" s="1032" t="s">
        <v>75</v>
      </c>
      <c r="E1402" s="413" t="s">
        <v>6763</v>
      </c>
      <c r="F1402" s="413">
        <v>40000.0</v>
      </c>
      <c r="G1402" s="413">
        <v>40000.0</v>
      </c>
      <c r="H1402" s="349" t="s">
        <v>267</v>
      </c>
      <c r="I1402" s="402"/>
      <c r="J1402" s="402"/>
      <c r="K1402" s="402"/>
      <c r="L1402" s="402"/>
      <c r="M1402" s="402"/>
      <c r="N1402" s="402"/>
      <c r="O1402" s="402"/>
      <c r="P1402" s="402"/>
      <c r="Q1402" s="402"/>
      <c r="R1402" s="402"/>
      <c r="S1402" s="402"/>
      <c r="T1402" s="402"/>
      <c r="U1402" s="402"/>
      <c r="V1402" s="402"/>
      <c r="W1402" s="402"/>
      <c r="X1402" s="402"/>
      <c r="Y1402" s="402"/>
      <c r="Z1402" s="402"/>
    </row>
    <row r="1403" ht="14.25" customHeight="1">
      <c r="A1403" s="402"/>
      <c r="B1403" s="402"/>
      <c r="C1403" s="402"/>
      <c r="D1403" s="1034"/>
      <c r="E1403" s="403"/>
      <c r="F1403" s="403"/>
      <c r="G1403" s="403"/>
      <c r="H1403" s="402"/>
      <c r="I1403" s="402"/>
      <c r="J1403" s="402"/>
      <c r="K1403" s="402"/>
      <c r="L1403" s="402"/>
      <c r="M1403" s="402"/>
      <c r="N1403" s="402"/>
      <c r="O1403" s="402"/>
      <c r="P1403" s="402"/>
      <c r="Q1403" s="402"/>
      <c r="R1403" s="402"/>
      <c r="S1403" s="402"/>
      <c r="T1403" s="402"/>
      <c r="U1403" s="402"/>
      <c r="V1403" s="402"/>
      <c r="W1403" s="402"/>
      <c r="X1403" s="402"/>
      <c r="Y1403" s="402"/>
      <c r="Z1403" s="402"/>
    </row>
    <row r="1404" ht="14.25" customHeight="1">
      <c r="A1404" s="1094"/>
      <c r="B1404" s="1094"/>
      <c r="C1404" s="1094"/>
      <c r="D1404" s="1096"/>
      <c r="E1404" s="1097"/>
      <c r="F1404" s="1097"/>
      <c r="G1404" s="1097"/>
      <c r="H1404" s="1094"/>
      <c r="I1404" s="1094"/>
      <c r="J1404" s="1094"/>
      <c r="K1404" s="1094"/>
      <c r="L1404" s="1094"/>
      <c r="M1404" s="1094"/>
      <c r="N1404" s="1094"/>
      <c r="O1404" s="1094"/>
      <c r="P1404" s="1094"/>
      <c r="Q1404" s="1094"/>
      <c r="R1404" s="1094"/>
      <c r="S1404" s="1094"/>
      <c r="T1404" s="1094"/>
      <c r="U1404" s="1094"/>
      <c r="V1404" s="1094"/>
      <c r="W1404" s="1094"/>
      <c r="X1404" s="1094"/>
      <c r="Y1404" s="1094"/>
      <c r="Z1404" s="1094"/>
    </row>
    <row r="1405" ht="14.25" customHeight="1">
      <c r="A1405" s="497">
        <v>45533.0</v>
      </c>
      <c r="B1405" s="349" t="s">
        <v>5911</v>
      </c>
      <c r="C1405" s="349" t="s">
        <v>5912</v>
      </c>
      <c r="D1405" s="1032" t="s">
        <v>54</v>
      </c>
      <c r="E1405" s="413" t="s">
        <v>6813</v>
      </c>
      <c r="F1405" s="413">
        <v>23383.41</v>
      </c>
      <c r="G1405" s="403"/>
      <c r="H1405" s="402"/>
      <c r="I1405" s="402"/>
      <c r="J1405" s="402"/>
      <c r="K1405" s="402"/>
      <c r="L1405" s="402"/>
      <c r="M1405" s="402"/>
      <c r="N1405" s="402"/>
      <c r="O1405" s="402"/>
      <c r="P1405" s="402"/>
      <c r="Q1405" s="402"/>
      <c r="R1405" s="402"/>
      <c r="S1405" s="402"/>
      <c r="T1405" s="402"/>
      <c r="U1405" s="402"/>
      <c r="V1405" s="402"/>
      <c r="W1405" s="402"/>
      <c r="X1405" s="402"/>
      <c r="Y1405" s="402"/>
      <c r="Z1405" s="402"/>
    </row>
    <row r="1406" ht="14.25" customHeight="1">
      <c r="A1406" s="497">
        <v>45533.0</v>
      </c>
      <c r="B1406" s="349" t="s">
        <v>5913</v>
      </c>
      <c r="C1406" s="349" t="s">
        <v>5914</v>
      </c>
      <c r="D1406" s="1032" t="s">
        <v>54</v>
      </c>
      <c r="E1406" s="413" t="s">
        <v>5785</v>
      </c>
      <c r="F1406" s="413">
        <v>15897.0</v>
      </c>
      <c r="G1406" s="413">
        <v>16340.0</v>
      </c>
      <c r="H1406" s="349" t="s">
        <v>267</v>
      </c>
      <c r="I1406" s="402"/>
      <c r="J1406" s="402"/>
      <c r="K1406" s="402"/>
      <c r="L1406" s="402"/>
      <c r="M1406" s="402"/>
      <c r="N1406" s="402"/>
      <c r="O1406" s="402"/>
      <c r="P1406" s="402"/>
      <c r="Q1406" s="402"/>
      <c r="R1406" s="402"/>
      <c r="S1406" s="402"/>
      <c r="T1406" s="402"/>
      <c r="U1406" s="402"/>
      <c r="V1406" s="402"/>
      <c r="W1406" s="402"/>
      <c r="X1406" s="402"/>
      <c r="Y1406" s="402"/>
      <c r="Z1406" s="402"/>
    </row>
    <row r="1407" ht="14.25" customHeight="1">
      <c r="A1407" s="497">
        <v>45533.0</v>
      </c>
      <c r="B1407" s="349" t="s">
        <v>5971</v>
      </c>
      <c r="C1407" s="349" t="s">
        <v>5972</v>
      </c>
      <c r="D1407" s="1032" t="s">
        <v>54</v>
      </c>
      <c r="E1407" s="413" t="s">
        <v>6813</v>
      </c>
      <c r="F1407" s="413">
        <v>31320.0</v>
      </c>
      <c r="G1407" s="403"/>
      <c r="H1407" s="402"/>
      <c r="I1407" s="402"/>
      <c r="J1407" s="402"/>
      <c r="K1407" s="402"/>
      <c r="L1407" s="402"/>
      <c r="M1407" s="402"/>
      <c r="N1407" s="402"/>
      <c r="O1407" s="402"/>
      <c r="P1407" s="402"/>
      <c r="Q1407" s="402"/>
      <c r="R1407" s="402"/>
      <c r="S1407" s="402"/>
      <c r="T1407" s="402"/>
      <c r="U1407" s="402"/>
      <c r="V1407" s="402"/>
      <c r="W1407" s="402"/>
      <c r="X1407" s="402"/>
      <c r="Y1407" s="402"/>
      <c r="Z1407" s="402"/>
    </row>
    <row r="1408" ht="14.25" customHeight="1">
      <c r="A1408" s="497">
        <v>45533.0</v>
      </c>
      <c r="B1408" s="349" t="s">
        <v>5915</v>
      </c>
      <c r="C1408" s="349" t="s">
        <v>5916</v>
      </c>
      <c r="D1408" s="1032" t="s">
        <v>54</v>
      </c>
      <c r="E1408" s="413" t="s">
        <v>6511</v>
      </c>
      <c r="F1408" s="413">
        <v>140623.0</v>
      </c>
      <c r="G1408" s="403"/>
      <c r="H1408" s="349" t="s">
        <v>6900</v>
      </c>
      <c r="I1408" s="402"/>
      <c r="J1408" s="402"/>
      <c r="K1408" s="402"/>
      <c r="L1408" s="402"/>
      <c r="M1408" s="402"/>
      <c r="N1408" s="402"/>
      <c r="O1408" s="402"/>
      <c r="P1408" s="402"/>
      <c r="Q1408" s="402"/>
      <c r="R1408" s="402"/>
      <c r="S1408" s="402"/>
      <c r="T1408" s="402"/>
      <c r="U1408" s="402"/>
      <c r="V1408" s="402"/>
      <c r="W1408" s="402"/>
      <c r="X1408" s="402"/>
      <c r="Y1408" s="402"/>
      <c r="Z1408" s="402"/>
    </row>
    <row r="1409" ht="14.25" customHeight="1">
      <c r="A1409" s="497">
        <v>45533.0</v>
      </c>
      <c r="B1409" s="349" t="s">
        <v>5917</v>
      </c>
      <c r="C1409" s="349" t="s">
        <v>5918</v>
      </c>
      <c r="D1409" s="1032" t="s">
        <v>54</v>
      </c>
      <c r="E1409" s="413" t="s">
        <v>6813</v>
      </c>
      <c r="F1409" s="413">
        <v>31019.44</v>
      </c>
      <c r="G1409" s="403"/>
      <c r="H1409" s="349" t="s">
        <v>6901</v>
      </c>
      <c r="I1409" s="402"/>
      <c r="J1409" s="402"/>
      <c r="K1409" s="402"/>
      <c r="L1409" s="402"/>
      <c r="M1409" s="402"/>
      <c r="N1409" s="402"/>
      <c r="O1409" s="402"/>
      <c r="P1409" s="402"/>
      <c r="Q1409" s="402"/>
      <c r="R1409" s="402"/>
      <c r="S1409" s="402"/>
      <c r="T1409" s="402"/>
      <c r="U1409" s="402"/>
      <c r="V1409" s="402"/>
      <c r="W1409" s="402"/>
      <c r="X1409" s="402"/>
      <c r="Y1409" s="402"/>
      <c r="Z1409" s="402"/>
    </row>
    <row r="1410" ht="14.25" customHeight="1">
      <c r="A1410" s="497">
        <v>45533.0</v>
      </c>
      <c r="B1410" s="349" t="s">
        <v>5919</v>
      </c>
      <c r="C1410" s="349" t="s">
        <v>5920</v>
      </c>
      <c r="D1410" s="1032" t="s">
        <v>54</v>
      </c>
      <c r="E1410" s="413" t="s">
        <v>6531</v>
      </c>
      <c r="F1410" s="413">
        <v>33180.0</v>
      </c>
      <c r="G1410" s="413">
        <v>34590.0</v>
      </c>
      <c r="H1410" s="349" t="s">
        <v>267</v>
      </c>
      <c r="I1410" s="402"/>
      <c r="J1410" s="402"/>
      <c r="K1410" s="402"/>
      <c r="L1410" s="402"/>
      <c r="M1410" s="402"/>
      <c r="N1410" s="402"/>
      <c r="O1410" s="402"/>
      <c r="P1410" s="402"/>
      <c r="Q1410" s="402"/>
      <c r="R1410" s="402"/>
      <c r="S1410" s="402"/>
      <c r="T1410" s="402"/>
      <c r="U1410" s="402"/>
      <c r="V1410" s="402"/>
      <c r="W1410" s="402"/>
      <c r="X1410" s="402"/>
      <c r="Y1410" s="402"/>
      <c r="Z1410" s="402"/>
    </row>
    <row r="1411" ht="14.25" customHeight="1">
      <c r="A1411" s="497">
        <v>45533.0</v>
      </c>
      <c r="B1411" s="349" t="s">
        <v>5921</v>
      </c>
      <c r="C1411" s="349" t="s">
        <v>5922</v>
      </c>
      <c r="D1411" s="1032" t="s">
        <v>54</v>
      </c>
      <c r="E1411" s="413" t="s">
        <v>6813</v>
      </c>
      <c r="F1411" s="413">
        <v>36730.89</v>
      </c>
      <c r="G1411" s="403"/>
      <c r="H1411" s="402"/>
      <c r="I1411" s="402"/>
      <c r="J1411" s="402"/>
      <c r="K1411" s="402"/>
      <c r="L1411" s="402"/>
      <c r="M1411" s="402"/>
      <c r="N1411" s="402"/>
      <c r="O1411" s="402"/>
      <c r="P1411" s="402"/>
      <c r="Q1411" s="402"/>
      <c r="R1411" s="402"/>
      <c r="S1411" s="402"/>
      <c r="T1411" s="402"/>
      <c r="U1411" s="402"/>
      <c r="V1411" s="402"/>
      <c r="W1411" s="402"/>
      <c r="X1411" s="402"/>
      <c r="Y1411" s="402"/>
      <c r="Z1411" s="402"/>
    </row>
    <row r="1412" ht="14.25" customHeight="1">
      <c r="A1412" s="497">
        <v>45533.0</v>
      </c>
      <c r="B1412" s="349" t="s">
        <v>5924</v>
      </c>
      <c r="C1412" s="349" t="s">
        <v>5925</v>
      </c>
      <c r="D1412" s="1032" t="s">
        <v>59</v>
      </c>
      <c r="E1412" s="413" t="s">
        <v>6813</v>
      </c>
      <c r="F1412" s="413">
        <v>358556.0</v>
      </c>
      <c r="G1412" s="403"/>
      <c r="H1412" s="349" t="s">
        <v>6901</v>
      </c>
      <c r="I1412" s="402"/>
      <c r="J1412" s="402"/>
      <c r="K1412" s="402"/>
      <c r="L1412" s="402"/>
      <c r="M1412" s="402"/>
      <c r="N1412" s="402"/>
      <c r="O1412" s="402"/>
      <c r="P1412" s="402"/>
      <c r="Q1412" s="402"/>
      <c r="R1412" s="402"/>
      <c r="S1412" s="402"/>
      <c r="T1412" s="402"/>
      <c r="U1412" s="402"/>
      <c r="V1412" s="402"/>
      <c r="W1412" s="402"/>
      <c r="X1412" s="402"/>
      <c r="Y1412" s="402"/>
      <c r="Z1412" s="402"/>
    </row>
    <row r="1413" ht="14.25" customHeight="1">
      <c r="A1413" s="497">
        <v>45533.0</v>
      </c>
      <c r="B1413" s="349" t="s">
        <v>6243</v>
      </c>
      <c r="C1413" s="349" t="s">
        <v>5665</v>
      </c>
      <c r="D1413" s="1032" t="s">
        <v>54</v>
      </c>
      <c r="E1413" s="413" t="s">
        <v>6763</v>
      </c>
      <c r="F1413" s="413">
        <v>127642.7</v>
      </c>
      <c r="G1413" s="403"/>
      <c r="H1413" s="522" t="s">
        <v>6902</v>
      </c>
      <c r="I1413" s="402"/>
      <c r="J1413" s="402"/>
      <c r="K1413" s="402"/>
      <c r="L1413" s="402"/>
      <c r="M1413" s="402"/>
      <c r="N1413" s="402"/>
      <c r="O1413" s="402"/>
      <c r="P1413" s="402"/>
      <c r="Q1413" s="402"/>
      <c r="R1413" s="402"/>
      <c r="S1413" s="402"/>
      <c r="T1413" s="402"/>
      <c r="U1413" s="402"/>
      <c r="V1413" s="402"/>
      <c r="W1413" s="402"/>
      <c r="X1413" s="402"/>
      <c r="Y1413" s="402"/>
      <c r="Z1413" s="402"/>
    </row>
    <row r="1414" ht="14.25" customHeight="1">
      <c r="A1414" s="497">
        <v>45533.0</v>
      </c>
      <c r="B1414" s="349" t="s">
        <v>5926</v>
      </c>
      <c r="C1414" s="349" t="s">
        <v>5927</v>
      </c>
      <c r="D1414" s="1032" t="s">
        <v>54</v>
      </c>
      <c r="E1414" s="413" t="s">
        <v>6511</v>
      </c>
      <c r="F1414" s="413">
        <v>26312.0</v>
      </c>
      <c r="G1414" s="403"/>
      <c r="H1414" s="402"/>
      <c r="I1414" s="402"/>
      <c r="J1414" s="402"/>
      <c r="K1414" s="402"/>
      <c r="L1414" s="402"/>
      <c r="M1414" s="402"/>
      <c r="N1414" s="402"/>
      <c r="O1414" s="402"/>
      <c r="P1414" s="402"/>
      <c r="Q1414" s="402"/>
      <c r="R1414" s="402"/>
      <c r="S1414" s="402"/>
      <c r="T1414" s="402"/>
      <c r="U1414" s="402"/>
      <c r="V1414" s="402"/>
      <c r="W1414" s="402"/>
      <c r="X1414" s="402"/>
      <c r="Y1414" s="402"/>
      <c r="Z1414" s="402"/>
    </row>
    <row r="1415" ht="14.25" customHeight="1">
      <c r="A1415" s="497">
        <v>45533.0</v>
      </c>
      <c r="B1415" s="349" t="s">
        <v>5929</v>
      </c>
      <c r="C1415" s="349" t="s">
        <v>5930</v>
      </c>
      <c r="D1415" s="1032" t="s">
        <v>54</v>
      </c>
      <c r="E1415" s="413" t="s">
        <v>6511</v>
      </c>
      <c r="F1415" s="413">
        <v>118651.61</v>
      </c>
      <c r="G1415" s="403"/>
      <c r="H1415" s="402"/>
      <c r="I1415" s="402"/>
      <c r="J1415" s="402"/>
      <c r="K1415" s="402"/>
      <c r="L1415" s="402"/>
      <c r="M1415" s="402"/>
      <c r="N1415" s="402"/>
      <c r="O1415" s="402"/>
      <c r="P1415" s="402"/>
      <c r="Q1415" s="402"/>
      <c r="R1415" s="402"/>
      <c r="S1415" s="402"/>
      <c r="T1415" s="402"/>
      <c r="U1415" s="402"/>
      <c r="V1415" s="402"/>
      <c r="W1415" s="402"/>
      <c r="X1415" s="402"/>
      <c r="Y1415" s="402"/>
      <c r="Z1415" s="402"/>
    </row>
    <row r="1416" ht="14.25" customHeight="1">
      <c r="A1416" s="497">
        <v>45533.0</v>
      </c>
      <c r="B1416" s="349" t="s">
        <v>5932</v>
      </c>
      <c r="C1416" s="349" t="s">
        <v>5933</v>
      </c>
      <c r="D1416" s="1032" t="s">
        <v>54</v>
      </c>
      <c r="E1416" s="413" t="s">
        <v>6511</v>
      </c>
      <c r="F1416" s="413">
        <v>25259.88</v>
      </c>
      <c r="G1416" s="403"/>
      <c r="H1416" s="522" t="s">
        <v>6903</v>
      </c>
      <c r="I1416" s="402"/>
      <c r="J1416" s="402"/>
      <c r="K1416" s="402"/>
      <c r="L1416" s="402"/>
      <c r="M1416" s="402"/>
      <c r="N1416" s="402"/>
      <c r="O1416" s="402"/>
      <c r="P1416" s="402"/>
      <c r="Q1416" s="402"/>
      <c r="R1416" s="402"/>
      <c r="S1416" s="402"/>
      <c r="T1416" s="402"/>
      <c r="U1416" s="402"/>
      <c r="V1416" s="402"/>
      <c r="W1416" s="402"/>
      <c r="X1416" s="402"/>
      <c r="Y1416" s="402"/>
      <c r="Z1416" s="402"/>
    </row>
    <row r="1417" ht="14.25" customHeight="1">
      <c r="A1417" s="497">
        <v>45533.0</v>
      </c>
      <c r="B1417" s="349" t="s">
        <v>6318</v>
      </c>
      <c r="C1417" s="349" t="s">
        <v>6115</v>
      </c>
      <c r="D1417" s="1032" t="s">
        <v>54</v>
      </c>
      <c r="E1417" s="413" t="s">
        <v>5785</v>
      </c>
      <c r="F1417" s="413">
        <v>28059.0</v>
      </c>
      <c r="G1417" s="413">
        <v>28059.0</v>
      </c>
      <c r="H1417" s="349" t="s">
        <v>267</v>
      </c>
      <c r="I1417" s="402"/>
      <c r="J1417" s="402"/>
      <c r="K1417" s="402"/>
      <c r="L1417" s="402"/>
      <c r="M1417" s="402"/>
      <c r="N1417" s="402"/>
      <c r="O1417" s="402"/>
      <c r="P1417" s="402"/>
      <c r="Q1417" s="402"/>
      <c r="R1417" s="402"/>
      <c r="S1417" s="402"/>
      <c r="T1417" s="402"/>
      <c r="U1417" s="402"/>
      <c r="V1417" s="402"/>
      <c r="W1417" s="402"/>
      <c r="X1417" s="402"/>
      <c r="Y1417" s="402"/>
      <c r="Z1417" s="402"/>
    </row>
    <row r="1418" ht="14.25" customHeight="1">
      <c r="A1418" s="497">
        <v>45533.0</v>
      </c>
      <c r="B1418" s="349" t="s">
        <v>6114</v>
      </c>
      <c r="C1418" s="349" t="s">
        <v>6115</v>
      </c>
      <c r="D1418" s="1032" t="s">
        <v>75</v>
      </c>
      <c r="E1418" s="413" t="s">
        <v>5785</v>
      </c>
      <c r="F1418" s="413">
        <v>91941.0</v>
      </c>
      <c r="G1418" s="413">
        <v>91941.0</v>
      </c>
      <c r="H1418" s="349" t="s">
        <v>267</v>
      </c>
      <c r="I1418" s="402"/>
      <c r="J1418" s="402"/>
      <c r="K1418" s="402"/>
      <c r="L1418" s="402"/>
      <c r="M1418" s="402"/>
      <c r="N1418" s="402"/>
      <c r="O1418" s="402"/>
      <c r="P1418" s="402"/>
      <c r="Q1418" s="402"/>
      <c r="R1418" s="402"/>
      <c r="S1418" s="402"/>
      <c r="T1418" s="402"/>
      <c r="U1418" s="402"/>
      <c r="V1418" s="402"/>
      <c r="W1418" s="402"/>
      <c r="X1418" s="402"/>
      <c r="Y1418" s="402"/>
      <c r="Z1418" s="402"/>
    </row>
    <row r="1419" ht="14.25" customHeight="1">
      <c r="A1419" s="497">
        <v>45533.0</v>
      </c>
      <c r="B1419" s="402"/>
      <c r="C1419" s="349" t="s">
        <v>6068</v>
      </c>
      <c r="D1419" s="1034"/>
      <c r="E1419" s="413"/>
      <c r="F1419" s="403"/>
      <c r="G1419" s="403"/>
      <c r="H1419" s="402"/>
      <c r="I1419" s="402"/>
      <c r="J1419" s="402"/>
      <c r="K1419" s="402"/>
      <c r="L1419" s="402"/>
      <c r="M1419" s="402"/>
      <c r="N1419" s="402"/>
      <c r="O1419" s="402"/>
      <c r="P1419" s="402"/>
      <c r="Q1419" s="402"/>
      <c r="R1419" s="402"/>
      <c r="S1419" s="402"/>
      <c r="T1419" s="402"/>
      <c r="U1419" s="402"/>
      <c r="V1419" s="402"/>
      <c r="W1419" s="402"/>
      <c r="X1419" s="402"/>
      <c r="Y1419" s="402"/>
      <c r="Z1419" s="402"/>
    </row>
    <row r="1420" ht="14.25" customHeight="1">
      <c r="A1420" s="497">
        <v>45533.0</v>
      </c>
      <c r="B1420" s="349" t="s">
        <v>5640</v>
      </c>
      <c r="C1420" s="349" t="s">
        <v>5757</v>
      </c>
      <c r="D1420" s="1032" t="s">
        <v>668</v>
      </c>
      <c r="E1420" s="413" t="s">
        <v>6861</v>
      </c>
      <c r="F1420" s="413">
        <v>1000000.0</v>
      </c>
      <c r="G1420" s="403"/>
      <c r="H1420" s="402"/>
      <c r="I1420" s="402"/>
      <c r="J1420" s="402"/>
      <c r="K1420" s="402"/>
      <c r="L1420" s="402"/>
      <c r="M1420" s="402"/>
      <c r="N1420" s="402"/>
      <c r="O1420" s="402"/>
      <c r="P1420" s="402"/>
      <c r="Q1420" s="402"/>
      <c r="R1420" s="402"/>
      <c r="S1420" s="402"/>
      <c r="T1420" s="402"/>
      <c r="U1420" s="402"/>
      <c r="V1420" s="402"/>
      <c r="W1420" s="402"/>
      <c r="X1420" s="402"/>
      <c r="Y1420" s="402"/>
      <c r="Z1420" s="402"/>
    </row>
    <row r="1421" ht="14.25" customHeight="1">
      <c r="A1421" s="497">
        <v>45533.0</v>
      </c>
      <c r="B1421" s="349" t="s">
        <v>6258</v>
      </c>
      <c r="C1421" s="349" t="s">
        <v>6259</v>
      </c>
      <c r="D1421" s="1032" t="s">
        <v>54</v>
      </c>
      <c r="E1421" s="413" t="s">
        <v>6763</v>
      </c>
      <c r="F1421" s="413">
        <v>32000.0</v>
      </c>
      <c r="G1421" s="403"/>
      <c r="H1421" s="402"/>
      <c r="I1421" s="402"/>
      <c r="J1421" s="402"/>
      <c r="K1421" s="402"/>
      <c r="L1421" s="402"/>
      <c r="M1421" s="402"/>
      <c r="N1421" s="402"/>
      <c r="O1421" s="402"/>
      <c r="P1421" s="402"/>
      <c r="Q1421" s="402"/>
      <c r="R1421" s="402"/>
      <c r="S1421" s="402"/>
      <c r="T1421" s="402"/>
      <c r="U1421" s="402"/>
      <c r="V1421" s="402"/>
      <c r="W1421" s="402"/>
      <c r="X1421" s="402"/>
      <c r="Y1421" s="402"/>
      <c r="Z1421" s="402"/>
    </row>
    <row r="1422" ht="14.25" customHeight="1">
      <c r="A1422" s="497">
        <v>45533.0</v>
      </c>
      <c r="B1422" s="1" t="s">
        <v>6372</v>
      </c>
      <c r="C1422" s="349" t="s">
        <v>6373</v>
      </c>
      <c r="D1422" s="1032" t="s">
        <v>54</v>
      </c>
      <c r="E1422" s="413" t="s">
        <v>6763</v>
      </c>
      <c r="F1422" s="413">
        <v>25311.0</v>
      </c>
      <c r="G1422" s="403"/>
      <c r="H1422" s="402"/>
      <c r="I1422" s="402"/>
      <c r="J1422" s="402"/>
      <c r="K1422" s="402"/>
      <c r="L1422" s="402"/>
      <c r="M1422" s="402"/>
      <c r="N1422" s="402"/>
      <c r="O1422" s="402"/>
      <c r="P1422" s="402"/>
      <c r="Q1422" s="402"/>
      <c r="R1422" s="402"/>
      <c r="S1422" s="402"/>
      <c r="T1422" s="402"/>
      <c r="U1422" s="402"/>
      <c r="V1422" s="402"/>
      <c r="W1422" s="402"/>
      <c r="X1422" s="402"/>
      <c r="Y1422" s="402"/>
      <c r="Z1422" s="402"/>
    </row>
    <row r="1423" ht="14.25" customHeight="1">
      <c r="A1423" s="497">
        <v>45533.0</v>
      </c>
      <c r="B1423" s="349" t="s">
        <v>5874</v>
      </c>
      <c r="C1423" s="349" t="s">
        <v>5875</v>
      </c>
      <c r="D1423" s="1032" t="s">
        <v>54</v>
      </c>
      <c r="E1423" s="413" t="s">
        <v>5785</v>
      </c>
      <c r="F1423" s="568">
        <v>29100.0</v>
      </c>
      <c r="G1423" s="413">
        <v>29100.0</v>
      </c>
      <c r="H1423" s="349" t="s">
        <v>267</v>
      </c>
      <c r="I1423" s="402"/>
      <c r="J1423" s="402"/>
      <c r="K1423" s="402"/>
      <c r="L1423" s="402"/>
      <c r="M1423" s="402"/>
      <c r="N1423" s="402"/>
      <c r="O1423" s="402"/>
      <c r="P1423" s="402"/>
      <c r="Q1423" s="402"/>
      <c r="R1423" s="402"/>
      <c r="S1423" s="402"/>
      <c r="T1423" s="402"/>
      <c r="U1423" s="402"/>
      <c r="V1423" s="402"/>
      <c r="W1423" s="402"/>
      <c r="X1423" s="402"/>
      <c r="Y1423" s="402"/>
      <c r="Z1423" s="402"/>
    </row>
    <row r="1424" ht="14.25" customHeight="1">
      <c r="A1424" s="497">
        <v>45533.0</v>
      </c>
      <c r="B1424" s="402"/>
      <c r="C1424" s="349" t="s">
        <v>6904</v>
      </c>
      <c r="D1424" s="1032" t="s">
        <v>54</v>
      </c>
      <c r="E1424" s="413" t="s">
        <v>6905</v>
      </c>
      <c r="F1424" s="489">
        <v>495988.0</v>
      </c>
      <c r="G1424" s="403"/>
      <c r="H1424" s="402"/>
      <c r="I1424" s="402"/>
      <c r="J1424" s="402"/>
      <c r="K1424" s="402"/>
      <c r="L1424" s="402"/>
      <c r="M1424" s="402"/>
      <c r="N1424" s="402"/>
      <c r="O1424" s="402"/>
      <c r="P1424" s="402"/>
      <c r="Q1424" s="402"/>
      <c r="R1424" s="402"/>
      <c r="S1424" s="402"/>
      <c r="T1424" s="402"/>
      <c r="U1424" s="402"/>
      <c r="V1424" s="402"/>
      <c r="W1424" s="402"/>
      <c r="X1424" s="402"/>
      <c r="Y1424" s="402"/>
      <c r="Z1424" s="402"/>
    </row>
    <row r="1425" ht="14.25" customHeight="1">
      <c r="A1425" s="497">
        <v>45533.0</v>
      </c>
      <c r="B1425" s="402"/>
      <c r="C1425" s="349" t="s">
        <v>6906</v>
      </c>
      <c r="D1425" s="1032" t="s">
        <v>54</v>
      </c>
      <c r="E1425" s="413" t="s">
        <v>5785</v>
      </c>
      <c r="F1425" s="489">
        <v>100000.0</v>
      </c>
      <c r="G1425" s="489">
        <v>100000.0</v>
      </c>
      <c r="H1425" s="349" t="s">
        <v>267</v>
      </c>
      <c r="I1425" s="402"/>
      <c r="J1425" s="402"/>
      <c r="K1425" s="402"/>
      <c r="L1425" s="402"/>
      <c r="M1425" s="402"/>
      <c r="N1425" s="402"/>
      <c r="O1425" s="402"/>
      <c r="P1425" s="402"/>
      <c r="Q1425" s="402"/>
      <c r="R1425" s="402"/>
      <c r="S1425" s="402"/>
      <c r="T1425" s="402"/>
      <c r="U1425" s="402"/>
      <c r="V1425" s="402"/>
      <c r="W1425" s="402"/>
      <c r="X1425" s="402"/>
      <c r="Y1425" s="402"/>
      <c r="Z1425" s="402"/>
    </row>
    <row r="1426" ht="14.25" customHeight="1">
      <c r="A1426" s="497"/>
      <c r="B1426" s="402"/>
      <c r="C1426" s="349" t="s">
        <v>224</v>
      </c>
      <c r="D1426" s="1032"/>
      <c r="E1426" s="413"/>
      <c r="F1426" s="403"/>
      <c r="G1426" s="403"/>
      <c r="H1426" s="402"/>
      <c r="I1426" s="402"/>
      <c r="J1426" s="402"/>
      <c r="K1426" s="402"/>
      <c r="L1426" s="402"/>
      <c r="M1426" s="402"/>
      <c r="N1426" s="402"/>
      <c r="O1426" s="402"/>
      <c r="P1426" s="402"/>
      <c r="Q1426" s="402"/>
      <c r="R1426" s="402"/>
      <c r="S1426" s="402"/>
      <c r="T1426" s="402"/>
      <c r="U1426" s="402"/>
      <c r="V1426" s="402"/>
      <c r="W1426" s="402"/>
      <c r="X1426" s="402"/>
      <c r="Y1426" s="402"/>
      <c r="Z1426" s="402"/>
    </row>
    <row r="1427" ht="18.0" customHeight="1">
      <c r="A1427" s="497">
        <v>45533.0</v>
      </c>
      <c r="B1427" s="1039" t="s">
        <v>6868</v>
      </c>
      <c r="C1427" s="1039" t="s">
        <v>6869</v>
      </c>
      <c r="D1427" s="1032" t="s">
        <v>54</v>
      </c>
      <c r="E1427" s="413"/>
      <c r="F1427" s="1050">
        <v>153492.31</v>
      </c>
      <c r="G1427" s="403"/>
      <c r="H1427" s="402"/>
      <c r="I1427" s="402"/>
      <c r="J1427" s="402"/>
      <c r="K1427" s="402"/>
      <c r="L1427" s="402"/>
      <c r="M1427" s="402"/>
      <c r="N1427" s="402"/>
      <c r="O1427" s="402"/>
      <c r="P1427" s="402"/>
      <c r="Q1427" s="402"/>
      <c r="R1427" s="402"/>
      <c r="S1427" s="402"/>
      <c r="T1427" s="402"/>
      <c r="U1427" s="402"/>
      <c r="V1427" s="402"/>
      <c r="W1427" s="402"/>
      <c r="X1427" s="402"/>
      <c r="Y1427" s="402"/>
      <c r="Z1427" s="402"/>
    </row>
    <row r="1428" ht="17.25" customHeight="1">
      <c r="A1428" s="497">
        <v>45533.0</v>
      </c>
      <c r="B1428" s="1039" t="s">
        <v>6907</v>
      </c>
      <c r="C1428" s="1039" t="s">
        <v>6305</v>
      </c>
      <c r="D1428" s="1032" t="s">
        <v>54</v>
      </c>
      <c r="E1428" s="413"/>
      <c r="F1428" s="1050">
        <v>87000.0</v>
      </c>
      <c r="G1428" s="403"/>
      <c r="H1428" s="402"/>
      <c r="I1428" s="402"/>
      <c r="J1428" s="402"/>
      <c r="K1428" s="402"/>
      <c r="L1428" s="402"/>
      <c r="M1428" s="402"/>
      <c r="N1428" s="402"/>
      <c r="O1428" s="402"/>
      <c r="P1428" s="402"/>
      <c r="Q1428" s="402"/>
      <c r="R1428" s="402"/>
      <c r="S1428" s="402"/>
      <c r="T1428" s="402"/>
      <c r="U1428" s="402"/>
      <c r="V1428" s="402"/>
      <c r="W1428" s="402"/>
      <c r="X1428" s="402"/>
      <c r="Y1428" s="402"/>
      <c r="Z1428" s="402"/>
    </row>
    <row r="1429" ht="14.25" customHeight="1">
      <c r="A1429" s="497">
        <v>45533.0</v>
      </c>
      <c r="B1429" s="1039" t="s">
        <v>6017</v>
      </c>
      <c r="C1429" s="1039" t="s">
        <v>6808</v>
      </c>
      <c r="D1429" s="1032" t="s">
        <v>54</v>
      </c>
      <c r="E1429" s="403"/>
      <c r="F1429" s="1050">
        <v>40000.0</v>
      </c>
      <c r="G1429" s="403"/>
      <c r="H1429" s="402"/>
      <c r="I1429" s="402"/>
      <c r="J1429" s="402"/>
      <c r="K1429" s="402"/>
      <c r="L1429" s="402"/>
      <c r="M1429" s="402"/>
      <c r="N1429" s="402"/>
      <c r="O1429" s="402"/>
      <c r="P1429" s="402"/>
      <c r="Q1429" s="402"/>
      <c r="R1429" s="402"/>
      <c r="S1429" s="402"/>
      <c r="T1429" s="402"/>
      <c r="U1429" s="402"/>
      <c r="V1429" s="402"/>
      <c r="W1429" s="402"/>
      <c r="X1429" s="402"/>
      <c r="Y1429" s="402"/>
      <c r="Z1429" s="402"/>
    </row>
    <row r="1430" ht="14.25" customHeight="1">
      <c r="A1430" s="497">
        <v>45533.0</v>
      </c>
      <c r="B1430" s="1039" t="s">
        <v>5679</v>
      </c>
      <c r="C1430" s="1039" t="s">
        <v>5680</v>
      </c>
      <c r="D1430" s="1032" t="s">
        <v>54</v>
      </c>
      <c r="E1430" s="403"/>
      <c r="F1430" s="1050">
        <v>25000.0</v>
      </c>
      <c r="G1430" s="403"/>
      <c r="H1430" s="402"/>
      <c r="I1430" s="402"/>
      <c r="J1430" s="402"/>
      <c r="K1430" s="402"/>
      <c r="L1430" s="402"/>
      <c r="M1430" s="402"/>
      <c r="N1430" s="402"/>
      <c r="O1430" s="402"/>
      <c r="P1430" s="402"/>
      <c r="Q1430" s="402"/>
      <c r="R1430" s="402"/>
      <c r="S1430" s="402"/>
      <c r="T1430" s="402"/>
      <c r="U1430" s="402"/>
      <c r="V1430" s="402"/>
      <c r="W1430" s="402"/>
      <c r="X1430" s="402"/>
      <c r="Y1430" s="402"/>
      <c r="Z1430" s="402"/>
    </row>
    <row r="1431" ht="14.25" customHeight="1">
      <c r="A1431" s="497">
        <v>45533.0</v>
      </c>
      <c r="B1431" s="755" t="s">
        <v>6477</v>
      </c>
      <c r="C1431" s="755" t="s">
        <v>6811</v>
      </c>
      <c r="D1431" s="1032" t="s">
        <v>54</v>
      </c>
      <c r="E1431" s="403"/>
      <c r="F1431" s="760">
        <v>34000.0</v>
      </c>
      <c r="G1431" s="403"/>
      <c r="H1431" s="402"/>
      <c r="I1431" s="402"/>
      <c r="J1431" s="402"/>
      <c r="K1431" s="402"/>
      <c r="L1431" s="402"/>
      <c r="M1431" s="402"/>
      <c r="N1431" s="402"/>
      <c r="O1431" s="402"/>
      <c r="P1431" s="402"/>
      <c r="Q1431" s="402"/>
      <c r="R1431" s="402"/>
      <c r="S1431" s="402"/>
      <c r="T1431" s="402"/>
      <c r="U1431" s="402"/>
      <c r="V1431" s="402"/>
      <c r="W1431" s="402"/>
      <c r="X1431" s="402"/>
      <c r="Y1431" s="402"/>
      <c r="Z1431" s="402"/>
    </row>
    <row r="1432" ht="14.25" customHeight="1">
      <c r="A1432" s="497">
        <v>45533.0</v>
      </c>
      <c r="B1432" s="755" t="s">
        <v>5682</v>
      </c>
      <c r="C1432" s="755" t="s">
        <v>5683</v>
      </c>
      <c r="D1432" s="1032" t="s">
        <v>54</v>
      </c>
      <c r="E1432" s="403"/>
      <c r="F1432" s="760">
        <v>500000.0</v>
      </c>
      <c r="G1432" s="403"/>
      <c r="H1432" s="402"/>
      <c r="I1432" s="402"/>
      <c r="J1432" s="402"/>
      <c r="K1432" s="402"/>
      <c r="L1432" s="402"/>
      <c r="M1432" s="402"/>
      <c r="N1432" s="402"/>
      <c r="O1432" s="402"/>
      <c r="P1432" s="402"/>
      <c r="Q1432" s="402"/>
      <c r="R1432" s="402"/>
      <c r="S1432" s="402"/>
      <c r="T1432" s="402"/>
      <c r="U1432" s="402"/>
      <c r="V1432" s="402"/>
      <c r="W1432" s="402"/>
      <c r="X1432" s="402"/>
      <c r="Y1432" s="402"/>
      <c r="Z1432" s="402"/>
    </row>
    <row r="1433" ht="14.25" customHeight="1">
      <c r="A1433" s="497">
        <v>45533.0</v>
      </c>
      <c r="B1433" s="755" t="s">
        <v>5984</v>
      </c>
      <c r="C1433" s="755" t="s">
        <v>5985</v>
      </c>
      <c r="D1433" s="1032" t="s">
        <v>54</v>
      </c>
      <c r="E1433" s="413" t="s">
        <v>4114</v>
      </c>
      <c r="F1433" s="760">
        <v>140000.0</v>
      </c>
      <c r="G1433" s="403"/>
      <c r="H1433" s="402"/>
      <c r="I1433" s="402"/>
      <c r="J1433" s="402"/>
      <c r="K1433" s="402"/>
      <c r="L1433" s="402"/>
      <c r="M1433" s="402"/>
      <c r="N1433" s="402"/>
      <c r="O1433" s="402"/>
      <c r="P1433" s="402"/>
      <c r="Q1433" s="402"/>
      <c r="R1433" s="402"/>
      <c r="S1433" s="402"/>
      <c r="T1433" s="402"/>
      <c r="U1433" s="402"/>
      <c r="V1433" s="402"/>
      <c r="W1433" s="402"/>
      <c r="X1433" s="402"/>
      <c r="Y1433" s="402"/>
      <c r="Z1433" s="402"/>
    </row>
    <row r="1434" ht="14.25" customHeight="1">
      <c r="A1434" s="402"/>
      <c r="B1434" s="402"/>
      <c r="C1434" s="402"/>
      <c r="D1434" s="1034"/>
      <c r="E1434" s="403"/>
      <c r="F1434" s="403"/>
      <c r="G1434" s="403"/>
      <c r="H1434" s="402"/>
      <c r="I1434" s="402"/>
      <c r="J1434" s="402"/>
      <c r="K1434" s="402"/>
      <c r="L1434" s="402"/>
      <c r="M1434" s="402"/>
      <c r="N1434" s="402"/>
      <c r="O1434" s="402"/>
      <c r="P1434" s="402"/>
      <c r="Q1434" s="402"/>
      <c r="R1434" s="402"/>
      <c r="S1434" s="402"/>
      <c r="T1434" s="402"/>
      <c r="U1434" s="402"/>
      <c r="V1434" s="402"/>
      <c r="W1434" s="402"/>
      <c r="X1434" s="402"/>
      <c r="Y1434" s="402"/>
      <c r="Z1434" s="402"/>
    </row>
    <row r="1435" ht="14.25" customHeight="1">
      <c r="A1435" s="1094"/>
      <c r="B1435" s="1094"/>
      <c r="C1435" s="1094"/>
      <c r="D1435" s="1096"/>
      <c r="E1435" s="1097"/>
      <c r="F1435" s="1097"/>
      <c r="G1435" s="1097"/>
      <c r="H1435" s="1094"/>
      <c r="I1435" s="1094"/>
      <c r="J1435" s="1094"/>
      <c r="K1435" s="1094"/>
      <c r="L1435" s="1094"/>
      <c r="M1435" s="1094"/>
      <c r="N1435" s="1094"/>
      <c r="O1435" s="1094"/>
      <c r="P1435" s="1094"/>
      <c r="Q1435" s="1094"/>
      <c r="R1435" s="1094"/>
      <c r="S1435" s="1094"/>
      <c r="T1435" s="1094"/>
      <c r="U1435" s="1094"/>
      <c r="V1435" s="1094"/>
      <c r="W1435" s="1094"/>
      <c r="X1435" s="1094"/>
      <c r="Y1435" s="1094"/>
      <c r="Z1435" s="1094"/>
    </row>
    <row r="1436" ht="14.25" customHeight="1">
      <c r="A1436" s="497">
        <v>45534.0</v>
      </c>
      <c r="B1436" s="349" t="s">
        <v>6908</v>
      </c>
      <c r="C1436" s="349" t="s">
        <v>6909</v>
      </c>
      <c r="D1436" s="1032" t="s">
        <v>54</v>
      </c>
      <c r="E1436" s="413" t="s">
        <v>6813</v>
      </c>
      <c r="F1436" s="413">
        <v>12243.37</v>
      </c>
      <c r="G1436" s="403"/>
      <c r="H1436" s="402"/>
      <c r="I1436" s="402"/>
      <c r="J1436" s="402"/>
      <c r="K1436" s="402"/>
      <c r="L1436" s="402"/>
      <c r="M1436" s="402"/>
      <c r="N1436" s="402"/>
      <c r="O1436" s="402"/>
      <c r="P1436" s="402"/>
      <c r="Q1436" s="402"/>
      <c r="R1436" s="402"/>
      <c r="S1436" s="402"/>
      <c r="T1436" s="402"/>
      <c r="U1436" s="402"/>
      <c r="V1436" s="402"/>
      <c r="W1436" s="402"/>
      <c r="X1436" s="402"/>
      <c r="Y1436" s="402"/>
      <c r="Z1436" s="402"/>
    </row>
    <row r="1437" ht="14.25" customHeight="1">
      <c r="A1437" s="497">
        <v>45534.0</v>
      </c>
      <c r="B1437" s="349" t="s">
        <v>5993</v>
      </c>
      <c r="C1437" s="349" t="s">
        <v>5994</v>
      </c>
      <c r="D1437" s="1032" t="s">
        <v>346</v>
      </c>
      <c r="E1437" s="413" t="s">
        <v>6813</v>
      </c>
      <c r="F1437" s="413">
        <v>4199.42</v>
      </c>
      <c r="G1437" s="403"/>
      <c r="H1437" s="402"/>
      <c r="I1437" s="402"/>
      <c r="J1437" s="402"/>
      <c r="K1437" s="402"/>
      <c r="L1437" s="402"/>
      <c r="M1437" s="402"/>
      <c r="N1437" s="402"/>
      <c r="O1437" s="402"/>
      <c r="P1437" s="402"/>
      <c r="Q1437" s="402"/>
      <c r="R1437" s="402"/>
      <c r="S1437" s="402"/>
      <c r="T1437" s="402"/>
      <c r="U1437" s="402"/>
      <c r="V1437" s="402"/>
      <c r="W1437" s="402"/>
      <c r="X1437" s="402"/>
      <c r="Y1437" s="402"/>
      <c r="Z1437" s="402"/>
    </row>
    <row r="1438" ht="14.25" customHeight="1">
      <c r="A1438" s="497">
        <v>45534.0</v>
      </c>
      <c r="B1438" s="349" t="s">
        <v>5996</v>
      </c>
      <c r="C1438" s="349" t="s">
        <v>5916</v>
      </c>
      <c r="D1438" s="1032" t="s">
        <v>54</v>
      </c>
      <c r="E1438" s="413" t="s">
        <v>5785</v>
      </c>
      <c r="F1438" s="413">
        <v>130923.99</v>
      </c>
      <c r="G1438" s="403"/>
      <c r="H1438" s="522" t="s">
        <v>6910</v>
      </c>
      <c r="I1438" s="402"/>
      <c r="J1438" s="402"/>
      <c r="K1438" s="402"/>
      <c r="L1438" s="402"/>
      <c r="M1438" s="402"/>
      <c r="N1438" s="402"/>
      <c r="O1438" s="402"/>
      <c r="P1438" s="402"/>
      <c r="Q1438" s="402"/>
      <c r="R1438" s="402"/>
      <c r="S1438" s="402"/>
      <c r="T1438" s="402"/>
      <c r="U1438" s="402"/>
      <c r="V1438" s="402"/>
      <c r="W1438" s="402"/>
      <c r="X1438" s="402"/>
      <c r="Y1438" s="402"/>
      <c r="Z1438" s="402"/>
    </row>
    <row r="1439" ht="14.25" customHeight="1">
      <c r="A1439" s="497">
        <v>45534.0</v>
      </c>
      <c r="B1439" s="349" t="s">
        <v>5997</v>
      </c>
      <c r="C1439" s="349" t="s">
        <v>5998</v>
      </c>
      <c r="D1439" s="1032" t="s">
        <v>54</v>
      </c>
      <c r="E1439" s="413" t="s">
        <v>5785</v>
      </c>
      <c r="F1439" s="413">
        <v>68905.64</v>
      </c>
      <c r="G1439" s="403"/>
      <c r="H1439" s="522" t="s">
        <v>6911</v>
      </c>
      <c r="I1439" s="402"/>
      <c r="J1439" s="402"/>
      <c r="K1439" s="402"/>
      <c r="L1439" s="402"/>
      <c r="M1439" s="402"/>
      <c r="N1439" s="402"/>
      <c r="O1439" s="402"/>
      <c r="P1439" s="402"/>
      <c r="Q1439" s="402"/>
      <c r="R1439" s="402"/>
      <c r="S1439" s="402"/>
      <c r="T1439" s="402"/>
      <c r="U1439" s="402"/>
      <c r="V1439" s="402"/>
      <c r="W1439" s="402"/>
      <c r="X1439" s="402"/>
      <c r="Y1439" s="402"/>
      <c r="Z1439" s="402"/>
    </row>
    <row r="1440" ht="14.25" customHeight="1">
      <c r="A1440" s="497">
        <v>45534.0</v>
      </c>
      <c r="B1440" s="349" t="s">
        <v>6002</v>
      </c>
      <c r="C1440" s="349" t="s">
        <v>6003</v>
      </c>
      <c r="D1440" s="1032" t="s">
        <v>54</v>
      </c>
      <c r="E1440" s="413" t="s">
        <v>6531</v>
      </c>
      <c r="F1440" s="413">
        <v>53059.0</v>
      </c>
      <c r="G1440" s="403"/>
      <c r="H1440" s="402"/>
      <c r="I1440" s="402"/>
      <c r="J1440" s="402"/>
      <c r="K1440" s="402"/>
      <c r="L1440" s="402"/>
      <c r="M1440" s="402"/>
      <c r="N1440" s="402"/>
      <c r="O1440" s="402"/>
      <c r="P1440" s="402"/>
      <c r="Q1440" s="402"/>
      <c r="R1440" s="402"/>
      <c r="S1440" s="402"/>
      <c r="T1440" s="402"/>
      <c r="U1440" s="402"/>
      <c r="V1440" s="402"/>
      <c r="W1440" s="402"/>
      <c r="X1440" s="402"/>
      <c r="Y1440" s="402"/>
      <c r="Z1440" s="402"/>
    </row>
    <row r="1441" ht="14.25" customHeight="1">
      <c r="A1441" s="497">
        <v>45534.0</v>
      </c>
      <c r="B1441" s="349" t="s">
        <v>6004</v>
      </c>
      <c r="C1441" s="349" t="s">
        <v>6000</v>
      </c>
      <c r="D1441" s="1032" t="s">
        <v>346</v>
      </c>
      <c r="E1441" s="413" t="s">
        <v>6813</v>
      </c>
      <c r="F1441" s="413">
        <v>10700.4</v>
      </c>
      <c r="G1441" s="403"/>
      <c r="H1441" s="402"/>
      <c r="I1441" s="402"/>
      <c r="J1441" s="402"/>
      <c r="K1441" s="402"/>
      <c r="L1441" s="402"/>
      <c r="M1441" s="402"/>
      <c r="N1441" s="402"/>
      <c r="O1441" s="402"/>
      <c r="P1441" s="402"/>
      <c r="Q1441" s="402"/>
      <c r="R1441" s="402"/>
      <c r="S1441" s="402"/>
      <c r="T1441" s="402"/>
      <c r="U1441" s="402"/>
      <c r="V1441" s="402"/>
      <c r="W1441" s="402"/>
      <c r="X1441" s="402"/>
      <c r="Y1441" s="402"/>
      <c r="Z1441" s="402"/>
    </row>
    <row r="1442" ht="14.25" customHeight="1">
      <c r="A1442" s="497">
        <v>45534.0</v>
      </c>
      <c r="B1442" s="349" t="s">
        <v>6006</v>
      </c>
      <c r="C1442" s="349" t="s">
        <v>6007</v>
      </c>
      <c r="D1442" s="1032" t="s">
        <v>54</v>
      </c>
      <c r="E1442" s="413" t="s">
        <v>5785</v>
      </c>
      <c r="F1442" s="413">
        <v>18048.92</v>
      </c>
      <c r="G1442" s="403"/>
      <c r="H1442" s="522" t="s">
        <v>6912</v>
      </c>
      <c r="I1442" s="402"/>
      <c r="J1442" s="402"/>
      <c r="K1442" s="402"/>
      <c r="L1442" s="402"/>
      <c r="M1442" s="402"/>
      <c r="N1442" s="402"/>
      <c r="O1442" s="402"/>
      <c r="P1442" s="402"/>
      <c r="Q1442" s="402"/>
      <c r="R1442" s="402"/>
      <c r="S1442" s="402"/>
      <c r="T1442" s="402"/>
      <c r="U1442" s="402"/>
      <c r="V1442" s="402"/>
      <c r="W1442" s="402"/>
      <c r="X1442" s="402"/>
      <c r="Y1442" s="402"/>
      <c r="Z1442" s="402"/>
    </row>
    <row r="1443" ht="14.25" customHeight="1">
      <c r="A1443" s="497">
        <v>45534.0</v>
      </c>
      <c r="B1443" s="349" t="s">
        <v>6913</v>
      </c>
      <c r="C1443" s="349" t="s">
        <v>6914</v>
      </c>
      <c r="D1443" s="1032" t="s">
        <v>54</v>
      </c>
      <c r="E1443" s="413" t="s">
        <v>6813</v>
      </c>
      <c r="F1443" s="413">
        <v>23855.0</v>
      </c>
      <c r="G1443" s="403"/>
      <c r="H1443" s="402"/>
      <c r="I1443" s="402"/>
      <c r="J1443" s="402"/>
      <c r="K1443" s="402"/>
      <c r="L1443" s="402"/>
      <c r="M1443" s="402"/>
      <c r="N1443" s="402"/>
      <c r="O1443" s="402"/>
      <c r="P1443" s="402"/>
      <c r="Q1443" s="402"/>
      <c r="R1443" s="402"/>
      <c r="S1443" s="402"/>
      <c r="T1443" s="402"/>
      <c r="U1443" s="402"/>
      <c r="V1443" s="402"/>
      <c r="W1443" s="402"/>
      <c r="X1443" s="402"/>
      <c r="Y1443" s="402"/>
      <c r="Z1443" s="402"/>
    </row>
    <row r="1444" ht="14.25" customHeight="1">
      <c r="A1444" s="497">
        <v>45534.0</v>
      </c>
      <c r="B1444" s="349" t="s">
        <v>6915</v>
      </c>
      <c r="C1444" s="349" t="s">
        <v>5668</v>
      </c>
      <c r="D1444" s="1032" t="s">
        <v>75</v>
      </c>
      <c r="E1444" s="413" t="s">
        <v>6511</v>
      </c>
      <c r="F1444" s="413">
        <v>80500.0</v>
      </c>
      <c r="G1444" s="403"/>
      <c r="H1444" s="402"/>
      <c r="I1444" s="402"/>
      <c r="J1444" s="402"/>
      <c r="K1444" s="402"/>
      <c r="L1444" s="402"/>
      <c r="M1444" s="402"/>
      <c r="N1444" s="402"/>
      <c r="O1444" s="402"/>
      <c r="P1444" s="402"/>
      <c r="Q1444" s="402"/>
      <c r="R1444" s="402"/>
      <c r="S1444" s="402"/>
      <c r="T1444" s="402"/>
      <c r="U1444" s="402"/>
      <c r="V1444" s="402"/>
      <c r="W1444" s="402"/>
      <c r="X1444" s="402"/>
      <c r="Y1444" s="402"/>
      <c r="Z1444" s="402"/>
    </row>
    <row r="1445" ht="14.25" customHeight="1">
      <c r="A1445" s="497">
        <v>45534.0</v>
      </c>
      <c r="B1445" s="349" t="s">
        <v>6916</v>
      </c>
      <c r="C1445" s="349" t="s">
        <v>5826</v>
      </c>
      <c r="D1445" s="1032" t="s">
        <v>54</v>
      </c>
      <c r="E1445" s="413" t="s">
        <v>6511</v>
      </c>
      <c r="F1445" s="413">
        <v>39779.0</v>
      </c>
      <c r="G1445" s="403"/>
      <c r="H1445" s="402"/>
      <c r="I1445" s="402"/>
      <c r="J1445" s="402"/>
      <c r="K1445" s="402"/>
      <c r="L1445" s="402"/>
      <c r="M1445" s="402"/>
      <c r="N1445" s="402"/>
      <c r="O1445" s="402"/>
      <c r="P1445" s="402"/>
      <c r="Q1445" s="402"/>
      <c r="R1445" s="402"/>
      <c r="S1445" s="402"/>
      <c r="T1445" s="402"/>
      <c r="U1445" s="402"/>
      <c r="V1445" s="402"/>
      <c r="W1445" s="402"/>
      <c r="X1445" s="402"/>
      <c r="Y1445" s="402"/>
      <c r="Z1445" s="402"/>
    </row>
    <row r="1446" ht="14.25" customHeight="1">
      <c r="A1446" s="497">
        <v>45534.0</v>
      </c>
      <c r="B1446" s="349" t="s">
        <v>6917</v>
      </c>
      <c r="C1446" s="349" t="s">
        <v>5899</v>
      </c>
      <c r="D1446" s="1032" t="s">
        <v>75</v>
      </c>
      <c r="E1446" s="413" t="s">
        <v>5785</v>
      </c>
      <c r="F1446" s="413">
        <v>187000.0</v>
      </c>
      <c r="G1446" s="403"/>
      <c r="H1446" s="349" t="s">
        <v>6918</v>
      </c>
      <c r="I1446" s="402"/>
      <c r="J1446" s="402"/>
      <c r="K1446" s="402"/>
      <c r="L1446" s="402"/>
      <c r="M1446" s="402"/>
      <c r="N1446" s="402"/>
      <c r="O1446" s="402"/>
      <c r="P1446" s="402"/>
      <c r="Q1446" s="402"/>
      <c r="R1446" s="402"/>
      <c r="S1446" s="402"/>
      <c r="T1446" s="402"/>
      <c r="U1446" s="402"/>
      <c r="V1446" s="402"/>
      <c r="W1446" s="402"/>
      <c r="X1446" s="402"/>
      <c r="Y1446" s="402"/>
      <c r="Z1446" s="402"/>
    </row>
    <row r="1447" ht="14.25" customHeight="1">
      <c r="A1447" s="497">
        <v>45534.0</v>
      </c>
      <c r="B1447" s="558" t="s">
        <v>5997</v>
      </c>
      <c r="C1447" s="349" t="s">
        <v>5998</v>
      </c>
      <c r="D1447" s="1032" t="s">
        <v>54</v>
      </c>
      <c r="E1447" s="413" t="s">
        <v>5785</v>
      </c>
      <c r="F1447" s="413">
        <v>68905.64</v>
      </c>
      <c r="G1447" s="403"/>
      <c r="H1447" s="522" t="s">
        <v>6911</v>
      </c>
      <c r="I1447" s="402"/>
      <c r="J1447" s="402"/>
      <c r="K1447" s="402"/>
      <c r="L1447" s="402"/>
      <c r="M1447" s="402"/>
      <c r="N1447" s="402"/>
      <c r="O1447" s="402"/>
      <c r="P1447" s="402"/>
      <c r="Q1447" s="402"/>
      <c r="R1447" s="402"/>
      <c r="S1447" s="402"/>
      <c r="T1447" s="402"/>
      <c r="U1447" s="402"/>
      <c r="V1447" s="402"/>
      <c r="W1447" s="402"/>
      <c r="X1447" s="402"/>
      <c r="Y1447" s="402"/>
      <c r="Z1447" s="402"/>
    </row>
    <row r="1448" ht="14.25" customHeight="1">
      <c r="A1448" s="497">
        <v>45534.0</v>
      </c>
      <c r="B1448" s="349" t="s">
        <v>5911</v>
      </c>
      <c r="C1448" s="349" t="s">
        <v>5912</v>
      </c>
      <c r="D1448" s="1032" t="s">
        <v>54</v>
      </c>
      <c r="E1448" s="413" t="s">
        <v>6813</v>
      </c>
      <c r="F1448" s="413">
        <v>23383.41</v>
      </c>
      <c r="G1448" s="403"/>
      <c r="H1448" s="402"/>
      <c r="I1448" s="402"/>
      <c r="J1448" s="402"/>
      <c r="K1448" s="402"/>
      <c r="L1448" s="402"/>
      <c r="M1448" s="402"/>
      <c r="N1448" s="402"/>
      <c r="O1448" s="402"/>
      <c r="P1448" s="402"/>
      <c r="Q1448" s="402"/>
      <c r="R1448" s="402"/>
      <c r="S1448" s="402"/>
      <c r="T1448" s="402"/>
      <c r="U1448" s="402"/>
      <c r="V1448" s="402"/>
      <c r="W1448" s="402"/>
      <c r="X1448" s="402"/>
      <c r="Y1448" s="402"/>
      <c r="Z1448" s="402"/>
    </row>
    <row r="1449" ht="14.25" customHeight="1">
      <c r="A1449" s="497">
        <v>45534.0</v>
      </c>
      <c r="B1449" s="349" t="s">
        <v>5971</v>
      </c>
      <c r="C1449" s="349" t="s">
        <v>5972</v>
      </c>
      <c r="D1449" s="1032" t="s">
        <v>54</v>
      </c>
      <c r="E1449" s="413" t="s">
        <v>6813</v>
      </c>
      <c r="F1449" s="413">
        <v>31320.0</v>
      </c>
      <c r="G1449" s="403"/>
      <c r="H1449" s="402"/>
      <c r="I1449" s="402"/>
      <c r="J1449" s="402"/>
      <c r="K1449" s="402"/>
      <c r="L1449" s="402"/>
      <c r="M1449" s="402"/>
      <c r="N1449" s="402"/>
      <c r="O1449" s="402"/>
      <c r="P1449" s="402"/>
      <c r="Q1449" s="402"/>
      <c r="R1449" s="402"/>
      <c r="S1449" s="402"/>
      <c r="T1449" s="402"/>
      <c r="U1449" s="402"/>
      <c r="V1449" s="402"/>
      <c r="W1449" s="402"/>
      <c r="X1449" s="402"/>
      <c r="Y1449" s="402"/>
      <c r="Z1449" s="402"/>
    </row>
    <row r="1450" ht="14.25" customHeight="1">
      <c r="A1450" s="497">
        <v>45534.0</v>
      </c>
      <c r="B1450" s="349" t="s">
        <v>5915</v>
      </c>
      <c r="C1450" s="349" t="s">
        <v>5916</v>
      </c>
      <c r="D1450" s="1032" t="s">
        <v>54</v>
      </c>
      <c r="E1450" s="413" t="s">
        <v>6511</v>
      </c>
      <c r="F1450" s="413">
        <v>140623.0</v>
      </c>
      <c r="G1450" s="403"/>
      <c r="H1450" s="522" t="s">
        <v>6910</v>
      </c>
      <c r="I1450" s="402"/>
      <c r="J1450" s="402"/>
      <c r="K1450" s="402"/>
      <c r="L1450" s="402"/>
      <c r="M1450" s="402"/>
      <c r="N1450" s="402"/>
      <c r="O1450" s="402"/>
      <c r="P1450" s="402"/>
      <c r="Q1450" s="402"/>
      <c r="R1450" s="402"/>
      <c r="S1450" s="402"/>
      <c r="T1450" s="402"/>
      <c r="U1450" s="402"/>
      <c r="V1450" s="402"/>
      <c r="W1450" s="402"/>
      <c r="X1450" s="402"/>
      <c r="Y1450" s="402"/>
      <c r="Z1450" s="402"/>
    </row>
    <row r="1451" ht="14.25" customHeight="1">
      <c r="A1451" s="497">
        <v>45534.0</v>
      </c>
      <c r="B1451" s="349" t="s">
        <v>5921</v>
      </c>
      <c r="C1451" s="349" t="s">
        <v>5922</v>
      </c>
      <c r="D1451" s="1032" t="s">
        <v>54</v>
      </c>
      <c r="E1451" s="413" t="s">
        <v>6813</v>
      </c>
      <c r="F1451" s="413">
        <v>36730.89</v>
      </c>
      <c r="G1451" s="403"/>
      <c r="H1451" s="402"/>
      <c r="I1451" s="402"/>
      <c r="J1451" s="402"/>
      <c r="K1451" s="402"/>
      <c r="L1451" s="402"/>
      <c r="M1451" s="402"/>
      <c r="N1451" s="402"/>
      <c r="O1451" s="402"/>
      <c r="P1451" s="402"/>
      <c r="Q1451" s="402"/>
      <c r="R1451" s="402"/>
      <c r="S1451" s="402"/>
      <c r="T1451" s="402"/>
      <c r="U1451" s="402"/>
      <c r="V1451" s="402"/>
      <c r="W1451" s="402"/>
      <c r="X1451" s="402"/>
      <c r="Y1451" s="402"/>
      <c r="Z1451" s="402"/>
    </row>
    <row r="1452" ht="14.25" customHeight="1">
      <c r="A1452" s="497">
        <v>45534.0</v>
      </c>
      <c r="B1452" s="349" t="s">
        <v>6243</v>
      </c>
      <c r="C1452" s="349" t="s">
        <v>5665</v>
      </c>
      <c r="D1452" s="1032" t="s">
        <v>54</v>
      </c>
      <c r="E1452" s="413" t="s">
        <v>6763</v>
      </c>
      <c r="F1452" s="413">
        <v>127642.7</v>
      </c>
      <c r="G1452" s="403"/>
      <c r="H1452" s="349" t="s">
        <v>6919</v>
      </c>
      <c r="I1452" s="402"/>
      <c r="J1452" s="402"/>
      <c r="K1452" s="402"/>
      <c r="L1452" s="402"/>
      <c r="M1452" s="402"/>
      <c r="N1452" s="402"/>
      <c r="O1452" s="402"/>
      <c r="P1452" s="402"/>
      <c r="Q1452" s="402"/>
      <c r="R1452" s="402"/>
      <c r="S1452" s="402"/>
      <c r="T1452" s="402"/>
      <c r="U1452" s="402"/>
      <c r="V1452" s="402"/>
      <c r="W1452" s="402"/>
      <c r="X1452" s="402"/>
      <c r="Y1452" s="402"/>
      <c r="Z1452" s="402"/>
    </row>
    <row r="1453" ht="14.25" customHeight="1">
      <c r="A1453" s="497">
        <v>45534.0</v>
      </c>
      <c r="B1453" s="349" t="s">
        <v>5926</v>
      </c>
      <c r="C1453" s="349" t="s">
        <v>5927</v>
      </c>
      <c r="D1453" s="1032" t="s">
        <v>54</v>
      </c>
      <c r="E1453" s="413" t="s">
        <v>6511</v>
      </c>
      <c r="F1453" s="413">
        <v>26312.0</v>
      </c>
      <c r="G1453" s="403"/>
      <c r="H1453" s="402"/>
      <c r="I1453" s="402"/>
      <c r="J1453" s="402"/>
      <c r="K1453" s="402"/>
      <c r="L1453" s="402"/>
      <c r="M1453" s="402"/>
      <c r="N1453" s="402"/>
      <c r="O1453" s="402"/>
      <c r="P1453" s="402"/>
      <c r="Q1453" s="402"/>
      <c r="R1453" s="402"/>
      <c r="S1453" s="402"/>
      <c r="T1453" s="402"/>
      <c r="U1453" s="402"/>
      <c r="V1453" s="402"/>
      <c r="W1453" s="402"/>
      <c r="X1453" s="402"/>
      <c r="Y1453" s="402"/>
      <c r="Z1453" s="402"/>
    </row>
    <row r="1454" ht="14.25" customHeight="1">
      <c r="A1454" s="497">
        <v>45534.0</v>
      </c>
      <c r="B1454" s="349" t="s">
        <v>5932</v>
      </c>
      <c r="C1454" s="349" t="s">
        <v>5933</v>
      </c>
      <c r="D1454" s="1032" t="s">
        <v>54</v>
      </c>
      <c r="E1454" s="413" t="s">
        <v>6511</v>
      </c>
      <c r="F1454" s="413">
        <v>25259.88</v>
      </c>
      <c r="G1454" s="403"/>
      <c r="H1454" s="349" t="s">
        <v>6920</v>
      </c>
      <c r="I1454" s="402"/>
      <c r="J1454" s="402"/>
      <c r="K1454" s="402"/>
      <c r="L1454" s="402"/>
      <c r="M1454" s="402"/>
      <c r="N1454" s="402"/>
      <c r="O1454" s="402"/>
      <c r="P1454" s="402"/>
      <c r="Q1454" s="402"/>
      <c r="R1454" s="402"/>
      <c r="S1454" s="402"/>
      <c r="T1454" s="402"/>
      <c r="U1454" s="402"/>
      <c r="V1454" s="402"/>
      <c r="W1454" s="402"/>
      <c r="X1454" s="402"/>
      <c r="Y1454" s="402"/>
      <c r="Z1454" s="402"/>
    </row>
    <row r="1455" ht="14.25" customHeight="1">
      <c r="A1455" s="497">
        <v>45534.0</v>
      </c>
      <c r="B1455" s="402"/>
      <c r="C1455" s="349" t="s">
        <v>6068</v>
      </c>
      <c r="D1455" s="1034"/>
      <c r="E1455" s="413"/>
      <c r="F1455" s="403"/>
      <c r="G1455" s="403"/>
      <c r="H1455" s="402"/>
      <c r="I1455" s="402"/>
      <c r="J1455" s="402"/>
      <c r="K1455" s="402"/>
      <c r="L1455" s="402"/>
      <c r="M1455" s="402"/>
      <c r="N1455" s="402"/>
      <c r="O1455" s="402"/>
      <c r="P1455" s="402"/>
      <c r="Q1455" s="402"/>
      <c r="R1455" s="402"/>
      <c r="S1455" s="402"/>
      <c r="T1455" s="402"/>
      <c r="U1455" s="402"/>
      <c r="V1455" s="402"/>
      <c r="W1455" s="402"/>
      <c r="X1455" s="402"/>
      <c r="Y1455" s="402"/>
      <c r="Z1455" s="402"/>
    </row>
    <row r="1456" ht="14.25" customHeight="1">
      <c r="A1456" s="497">
        <v>45534.0</v>
      </c>
      <c r="B1456" s="349" t="s">
        <v>5640</v>
      </c>
      <c r="C1456" s="349" t="s">
        <v>5757</v>
      </c>
      <c r="D1456" s="1032" t="s">
        <v>668</v>
      </c>
      <c r="E1456" s="413" t="s">
        <v>6861</v>
      </c>
      <c r="F1456" s="413">
        <v>1000000.0</v>
      </c>
      <c r="G1456" s="403"/>
      <c r="H1456" s="402"/>
      <c r="I1456" s="402"/>
      <c r="J1456" s="402"/>
      <c r="K1456" s="402"/>
      <c r="L1456" s="402"/>
      <c r="M1456" s="402"/>
      <c r="N1456" s="402"/>
      <c r="O1456" s="402"/>
      <c r="P1456" s="402"/>
      <c r="Q1456" s="402"/>
      <c r="R1456" s="402"/>
      <c r="S1456" s="402"/>
      <c r="T1456" s="402"/>
      <c r="U1456" s="402"/>
      <c r="V1456" s="402"/>
      <c r="W1456" s="402"/>
      <c r="X1456" s="402"/>
      <c r="Y1456" s="402"/>
      <c r="Z1456" s="402"/>
    </row>
    <row r="1457" ht="14.25" customHeight="1">
      <c r="A1457" s="497">
        <v>45534.0</v>
      </c>
      <c r="B1457" s="349" t="s">
        <v>6258</v>
      </c>
      <c r="C1457" s="349" t="s">
        <v>6259</v>
      </c>
      <c r="D1457" s="1032" t="s">
        <v>54</v>
      </c>
      <c r="E1457" s="413" t="s">
        <v>6763</v>
      </c>
      <c r="F1457" s="413">
        <v>32000.0</v>
      </c>
      <c r="G1457" s="403"/>
      <c r="H1457" s="402"/>
      <c r="I1457" s="402"/>
      <c r="J1457" s="402"/>
      <c r="K1457" s="402"/>
      <c r="L1457" s="402"/>
      <c r="M1457" s="402"/>
      <c r="N1457" s="402"/>
      <c r="O1457" s="402"/>
      <c r="P1457" s="402"/>
      <c r="Q1457" s="402"/>
      <c r="R1457" s="402"/>
      <c r="S1457" s="402"/>
      <c r="T1457" s="402"/>
      <c r="U1457" s="402"/>
      <c r="V1457" s="402"/>
      <c r="W1457" s="402"/>
      <c r="X1457" s="402"/>
      <c r="Y1457" s="402"/>
      <c r="Z1457" s="402"/>
    </row>
    <row r="1458" ht="14.25" customHeight="1">
      <c r="A1458" s="497">
        <v>45534.0</v>
      </c>
      <c r="B1458" s="349" t="s">
        <v>6372</v>
      </c>
      <c r="C1458" s="349" t="s">
        <v>6373</v>
      </c>
      <c r="D1458" s="1032" t="s">
        <v>54</v>
      </c>
      <c r="E1458" s="413" t="s">
        <v>6763</v>
      </c>
      <c r="F1458" s="413">
        <v>25311.0</v>
      </c>
      <c r="G1458" s="403"/>
      <c r="H1458" s="402"/>
      <c r="I1458" s="402"/>
      <c r="J1458" s="402"/>
      <c r="K1458" s="402"/>
      <c r="L1458" s="402"/>
      <c r="M1458" s="402"/>
      <c r="N1458" s="402"/>
      <c r="O1458" s="402"/>
      <c r="P1458" s="402"/>
      <c r="Q1458" s="402"/>
      <c r="R1458" s="402"/>
      <c r="S1458" s="402"/>
      <c r="T1458" s="402"/>
      <c r="U1458" s="402"/>
      <c r="V1458" s="402"/>
      <c r="W1458" s="402"/>
      <c r="X1458" s="402"/>
      <c r="Y1458" s="402"/>
      <c r="Z1458" s="402"/>
    </row>
    <row r="1459" ht="14.25" customHeight="1">
      <c r="A1459" s="497">
        <v>45534.0</v>
      </c>
      <c r="B1459" s="402"/>
      <c r="C1459" s="349" t="s">
        <v>6904</v>
      </c>
      <c r="D1459" s="1032" t="s">
        <v>54</v>
      </c>
      <c r="E1459" s="413" t="s">
        <v>6905</v>
      </c>
      <c r="F1459" s="413">
        <v>495988.0</v>
      </c>
      <c r="G1459" s="403"/>
      <c r="H1459" s="402"/>
      <c r="I1459" s="402"/>
      <c r="J1459" s="402"/>
      <c r="K1459" s="402"/>
      <c r="L1459" s="402"/>
      <c r="M1459" s="402"/>
      <c r="N1459" s="402"/>
      <c r="O1459" s="402"/>
      <c r="P1459" s="402"/>
      <c r="Q1459" s="402"/>
      <c r="R1459" s="402"/>
      <c r="S1459" s="402"/>
      <c r="T1459" s="402"/>
      <c r="U1459" s="402"/>
      <c r="V1459" s="402"/>
      <c r="W1459" s="402"/>
      <c r="X1459" s="402"/>
      <c r="Y1459" s="402"/>
      <c r="Z1459" s="402"/>
    </row>
    <row r="1460" ht="14.25" customHeight="1">
      <c r="A1460" s="497">
        <v>45534.0</v>
      </c>
      <c r="B1460" s="349" t="s">
        <v>6457</v>
      </c>
      <c r="C1460" s="349" t="s">
        <v>6921</v>
      </c>
      <c r="D1460" s="1032" t="s">
        <v>54</v>
      </c>
      <c r="E1460" s="413" t="s">
        <v>5785</v>
      </c>
      <c r="F1460" s="413">
        <v>364419.0</v>
      </c>
      <c r="G1460" s="413">
        <v>364419.0</v>
      </c>
      <c r="H1460" s="349" t="s">
        <v>267</v>
      </c>
      <c r="I1460" s="402"/>
      <c r="J1460" s="402"/>
      <c r="K1460" s="402"/>
      <c r="L1460" s="402"/>
      <c r="M1460" s="402"/>
      <c r="N1460" s="402"/>
      <c r="O1460" s="402"/>
      <c r="P1460" s="402"/>
      <c r="Q1460" s="402"/>
      <c r="R1460" s="402"/>
      <c r="S1460" s="402"/>
      <c r="T1460" s="402"/>
      <c r="U1460" s="402"/>
      <c r="V1460" s="402"/>
      <c r="W1460" s="402"/>
      <c r="X1460" s="402"/>
      <c r="Y1460" s="402"/>
      <c r="Z1460" s="402"/>
    </row>
    <row r="1461" ht="14.25" customHeight="1">
      <c r="A1461" s="402"/>
      <c r="B1461" s="402"/>
      <c r="C1461" s="349" t="s">
        <v>6922</v>
      </c>
      <c r="D1461" s="1032" t="s">
        <v>54</v>
      </c>
      <c r="E1461" s="413" t="s">
        <v>6763</v>
      </c>
      <c r="F1461" s="413">
        <v>250000.0</v>
      </c>
      <c r="G1461" s="403"/>
      <c r="H1461" s="402"/>
      <c r="I1461" s="402"/>
      <c r="J1461" s="402"/>
      <c r="K1461" s="402"/>
      <c r="L1461" s="402"/>
      <c r="M1461" s="402"/>
      <c r="N1461" s="402"/>
      <c r="O1461" s="402"/>
      <c r="P1461" s="402"/>
      <c r="Q1461" s="402"/>
      <c r="R1461" s="402"/>
      <c r="S1461" s="402"/>
      <c r="T1461" s="402"/>
      <c r="U1461" s="402"/>
      <c r="V1461" s="402"/>
      <c r="W1461" s="402"/>
      <c r="X1461" s="402"/>
      <c r="Y1461" s="402"/>
      <c r="Z1461" s="402"/>
    </row>
    <row r="1462" ht="14.25" customHeight="1">
      <c r="A1462" s="402"/>
      <c r="B1462" s="402"/>
      <c r="C1462" s="402"/>
      <c r="D1462" s="1034"/>
      <c r="E1462" s="403"/>
      <c r="F1462" s="403"/>
      <c r="G1462" s="403"/>
      <c r="H1462" s="402"/>
      <c r="I1462" s="402"/>
      <c r="J1462" s="402"/>
      <c r="K1462" s="402"/>
      <c r="L1462" s="402"/>
      <c r="M1462" s="402"/>
      <c r="N1462" s="402"/>
      <c r="O1462" s="402"/>
      <c r="P1462" s="402"/>
      <c r="Q1462" s="402"/>
      <c r="R1462" s="402"/>
      <c r="S1462" s="402"/>
      <c r="T1462" s="402"/>
      <c r="U1462" s="402"/>
      <c r="V1462" s="402"/>
      <c r="W1462" s="402"/>
      <c r="X1462" s="402"/>
      <c r="Y1462" s="402"/>
      <c r="Z1462" s="402"/>
    </row>
    <row r="1463" ht="14.25" customHeight="1">
      <c r="A1463" s="660">
        <v>45534.0</v>
      </c>
      <c r="B1463" s="1045" t="s">
        <v>5984</v>
      </c>
      <c r="C1463" s="833" t="s">
        <v>5985</v>
      </c>
      <c r="D1463" s="796" t="s">
        <v>54</v>
      </c>
      <c r="E1463" s="835" t="s">
        <v>2165</v>
      </c>
      <c r="F1463" s="469">
        <v>140000.0</v>
      </c>
      <c r="G1463" s="571"/>
      <c r="H1463" s="402"/>
      <c r="I1463" s="402"/>
      <c r="J1463" s="402"/>
      <c r="K1463" s="402"/>
      <c r="L1463" s="402"/>
      <c r="M1463" s="402"/>
      <c r="N1463" s="402"/>
      <c r="O1463" s="402"/>
      <c r="P1463" s="402"/>
      <c r="Q1463" s="402"/>
      <c r="R1463" s="402"/>
      <c r="S1463" s="402"/>
      <c r="T1463" s="402"/>
      <c r="U1463" s="402"/>
      <c r="V1463" s="402"/>
      <c r="W1463" s="402"/>
      <c r="X1463" s="402"/>
      <c r="Y1463" s="402"/>
      <c r="Z1463" s="402"/>
    </row>
    <row r="1464" ht="14.25" customHeight="1">
      <c r="A1464" s="660">
        <v>45534.0</v>
      </c>
      <c r="B1464" s="473" t="s">
        <v>6676</v>
      </c>
      <c r="C1464" s="352" t="s">
        <v>6848</v>
      </c>
      <c r="D1464" s="1133" t="s">
        <v>54</v>
      </c>
      <c r="E1464" s="1133" t="s">
        <v>4114</v>
      </c>
      <c r="F1464" s="474">
        <v>153492.31</v>
      </c>
      <c r="G1464" s="475"/>
      <c r="H1464" s="402"/>
      <c r="I1464" s="402"/>
      <c r="J1464" s="402"/>
      <c r="K1464" s="402"/>
      <c r="L1464" s="402"/>
      <c r="M1464" s="402"/>
      <c r="N1464" s="402"/>
      <c r="O1464" s="402"/>
      <c r="P1464" s="402"/>
      <c r="Q1464" s="402"/>
      <c r="R1464" s="402"/>
      <c r="S1464" s="402"/>
      <c r="T1464" s="402"/>
      <c r="U1464" s="402"/>
      <c r="V1464" s="402"/>
      <c r="W1464" s="402"/>
      <c r="X1464" s="402"/>
      <c r="Y1464" s="402"/>
      <c r="Z1464" s="402"/>
    </row>
    <row r="1465" ht="14.25" customHeight="1">
      <c r="A1465" s="660">
        <v>45534.0</v>
      </c>
      <c r="B1465" s="473" t="s">
        <v>5647</v>
      </c>
      <c r="C1465" s="352" t="s">
        <v>6305</v>
      </c>
      <c r="D1465" s="1133" t="s">
        <v>54</v>
      </c>
      <c r="E1465" s="1133" t="s">
        <v>4114</v>
      </c>
      <c r="F1465" s="474">
        <v>87000.0</v>
      </c>
      <c r="G1465" s="475"/>
      <c r="H1465" s="402"/>
      <c r="I1465" s="402"/>
      <c r="J1465" s="402"/>
      <c r="K1465" s="402"/>
      <c r="L1465" s="402"/>
      <c r="M1465" s="402"/>
      <c r="N1465" s="402"/>
      <c r="O1465" s="402"/>
      <c r="P1465" s="402"/>
      <c r="Q1465" s="402"/>
      <c r="R1465" s="402"/>
      <c r="S1465" s="402"/>
      <c r="T1465" s="402"/>
      <c r="U1465" s="402"/>
      <c r="V1465" s="402"/>
      <c r="W1465" s="402"/>
      <c r="X1465" s="402"/>
      <c r="Y1465" s="402"/>
      <c r="Z1465" s="402"/>
    </row>
    <row r="1466" ht="14.25" customHeight="1">
      <c r="A1466" s="660">
        <v>45534.0</v>
      </c>
      <c r="B1466" s="473" t="s">
        <v>5687</v>
      </c>
      <c r="C1466" s="352" t="s">
        <v>5978</v>
      </c>
      <c r="D1466" s="1133" t="s">
        <v>54</v>
      </c>
      <c r="E1466" s="1133" t="s">
        <v>4114</v>
      </c>
      <c r="F1466" s="474">
        <v>100000.0</v>
      </c>
      <c r="G1466" s="475"/>
      <c r="H1466" s="402"/>
      <c r="I1466" s="402"/>
      <c r="J1466" s="402"/>
      <c r="K1466" s="402"/>
      <c r="L1466" s="402"/>
      <c r="M1466" s="402"/>
      <c r="N1466" s="402"/>
      <c r="O1466" s="402"/>
      <c r="P1466" s="402"/>
      <c r="Q1466" s="402"/>
      <c r="R1466" s="402"/>
      <c r="S1466" s="402"/>
      <c r="T1466" s="402"/>
      <c r="U1466" s="402"/>
      <c r="V1466" s="402"/>
      <c r="W1466" s="402"/>
      <c r="X1466" s="402"/>
      <c r="Y1466" s="402"/>
      <c r="Z1466" s="402"/>
    </row>
    <row r="1467" ht="14.25" customHeight="1">
      <c r="A1467" s="660">
        <v>45534.0</v>
      </c>
      <c r="B1467" s="473" t="s">
        <v>5679</v>
      </c>
      <c r="C1467" s="352" t="s">
        <v>5680</v>
      </c>
      <c r="D1467" s="1133" t="s">
        <v>54</v>
      </c>
      <c r="E1467" s="1133" t="s">
        <v>4114</v>
      </c>
      <c r="F1467" s="474">
        <v>25000.0</v>
      </c>
      <c r="G1467" s="475"/>
      <c r="H1467" s="402"/>
      <c r="I1467" s="402"/>
      <c r="J1467" s="402"/>
      <c r="K1467" s="402"/>
      <c r="L1467" s="402"/>
      <c r="M1467" s="402"/>
      <c r="N1467" s="402"/>
      <c r="O1467" s="402"/>
      <c r="P1467" s="402"/>
      <c r="Q1467" s="402"/>
      <c r="R1467" s="402"/>
      <c r="S1467" s="402"/>
      <c r="T1467" s="402"/>
      <c r="U1467" s="402"/>
      <c r="V1467" s="402"/>
      <c r="W1467" s="402"/>
      <c r="X1467" s="402"/>
      <c r="Y1467" s="402"/>
      <c r="Z1467" s="402"/>
    </row>
    <row r="1468" ht="14.25" customHeight="1">
      <c r="A1468" s="660">
        <v>45534.0</v>
      </c>
      <c r="B1468" s="473" t="s">
        <v>6194</v>
      </c>
      <c r="C1468" s="352" t="s">
        <v>6923</v>
      </c>
      <c r="D1468" s="1133" t="s">
        <v>54</v>
      </c>
      <c r="E1468" s="1133" t="s">
        <v>4114</v>
      </c>
      <c r="F1468" s="474">
        <v>130708.32</v>
      </c>
      <c r="G1468" s="475"/>
      <c r="H1468" s="402"/>
      <c r="I1468" s="402"/>
      <c r="J1468" s="402"/>
      <c r="K1468" s="402"/>
      <c r="L1468" s="402"/>
      <c r="M1468" s="402"/>
      <c r="N1468" s="402"/>
      <c r="O1468" s="402"/>
      <c r="P1468" s="402"/>
      <c r="Q1468" s="402"/>
      <c r="R1468" s="402"/>
      <c r="S1468" s="402"/>
      <c r="T1468" s="402"/>
      <c r="U1468" s="402"/>
      <c r="V1468" s="402"/>
      <c r="W1468" s="402"/>
      <c r="X1468" s="402"/>
      <c r="Y1468" s="402"/>
      <c r="Z1468" s="402"/>
    </row>
    <row r="1469" ht="14.25" customHeight="1">
      <c r="A1469" s="660">
        <v>45534.0</v>
      </c>
      <c r="B1469" s="472" t="s">
        <v>6477</v>
      </c>
      <c r="C1469" s="396" t="s">
        <v>6811</v>
      </c>
      <c r="D1469" s="353" t="s">
        <v>54</v>
      </c>
      <c r="E1469" s="353" t="s">
        <v>2165</v>
      </c>
      <c r="F1469" s="394">
        <v>34000.0</v>
      </c>
      <c r="G1469" s="355"/>
      <c r="H1469" s="402"/>
      <c r="I1469" s="402"/>
      <c r="J1469" s="402"/>
      <c r="K1469" s="402"/>
      <c r="L1469" s="402"/>
      <c r="M1469" s="402"/>
      <c r="N1469" s="402"/>
      <c r="O1469" s="402"/>
      <c r="P1469" s="402"/>
      <c r="Q1469" s="402"/>
      <c r="R1469" s="402"/>
      <c r="S1469" s="402"/>
      <c r="T1469" s="402"/>
      <c r="U1469" s="402"/>
      <c r="V1469" s="402"/>
      <c r="W1469" s="402"/>
      <c r="X1469" s="402"/>
      <c r="Y1469" s="402"/>
      <c r="Z1469" s="402"/>
    </row>
    <row r="1470" ht="14.25" customHeight="1">
      <c r="A1470" s="660">
        <v>45534.0</v>
      </c>
      <c r="B1470" s="472" t="s">
        <v>5682</v>
      </c>
      <c r="C1470" s="396" t="s">
        <v>5683</v>
      </c>
      <c r="D1470" s="353" t="s">
        <v>54</v>
      </c>
      <c r="E1470" s="353" t="s">
        <v>2165</v>
      </c>
      <c r="F1470" s="394">
        <v>500000.0</v>
      </c>
      <c r="G1470" s="355"/>
      <c r="H1470" s="402"/>
      <c r="I1470" s="402"/>
      <c r="J1470" s="402"/>
      <c r="K1470" s="402"/>
      <c r="L1470" s="402"/>
      <c r="M1470" s="402"/>
      <c r="N1470" s="402"/>
      <c r="O1470" s="402"/>
      <c r="P1470" s="402"/>
      <c r="Q1470" s="402"/>
      <c r="R1470" s="402"/>
      <c r="S1470" s="402"/>
      <c r="T1470" s="402"/>
      <c r="U1470" s="402"/>
      <c r="V1470" s="402"/>
      <c r="W1470" s="402"/>
      <c r="X1470" s="402"/>
      <c r="Y1470" s="402"/>
      <c r="Z1470" s="402"/>
    </row>
    <row r="1471" ht="14.25" customHeight="1">
      <c r="A1471" s="660">
        <v>45534.0</v>
      </c>
      <c r="B1471" s="473" t="s">
        <v>6249</v>
      </c>
      <c r="C1471" s="351" t="s">
        <v>6538</v>
      </c>
      <c r="D1471" s="353" t="s">
        <v>54</v>
      </c>
      <c r="E1471" s="353" t="s">
        <v>2165</v>
      </c>
      <c r="F1471" s="474">
        <v>220000.0</v>
      </c>
      <c r="G1471" s="355"/>
      <c r="H1471" s="402"/>
      <c r="I1471" s="402"/>
      <c r="J1471" s="402"/>
      <c r="K1471" s="402"/>
      <c r="L1471" s="402"/>
      <c r="M1471" s="402"/>
      <c r="N1471" s="402"/>
      <c r="O1471" s="402"/>
      <c r="P1471" s="402"/>
      <c r="Q1471" s="402"/>
      <c r="R1471" s="402"/>
      <c r="S1471" s="402"/>
      <c r="T1471" s="402"/>
      <c r="U1471" s="402"/>
      <c r="V1471" s="402"/>
      <c r="W1471" s="402"/>
      <c r="X1471" s="402"/>
      <c r="Y1471" s="402"/>
      <c r="Z1471" s="402"/>
    </row>
    <row r="1472" ht="14.25" customHeight="1">
      <c r="A1472" s="402"/>
      <c r="B1472" s="402"/>
      <c r="C1472" s="402"/>
      <c r="D1472" s="1034"/>
      <c r="E1472" s="403"/>
      <c r="F1472" s="403"/>
      <c r="G1472" s="403"/>
      <c r="H1472" s="402"/>
      <c r="I1472" s="402"/>
      <c r="J1472" s="402"/>
      <c r="K1472" s="402"/>
      <c r="L1472" s="402"/>
      <c r="M1472" s="402"/>
      <c r="N1472" s="402"/>
      <c r="O1472" s="402"/>
      <c r="P1472" s="402"/>
      <c r="Q1472" s="402"/>
      <c r="R1472" s="402"/>
      <c r="S1472" s="402"/>
      <c r="T1472" s="402"/>
      <c r="U1472" s="402"/>
      <c r="V1472" s="402"/>
      <c r="W1472" s="402"/>
      <c r="X1472" s="402"/>
      <c r="Y1472" s="402"/>
      <c r="Z1472" s="402"/>
    </row>
    <row r="1473" ht="14.25" customHeight="1">
      <c r="A1473" s="1094"/>
      <c r="B1473" s="1094"/>
      <c r="C1473" s="1094"/>
      <c r="D1473" s="1096"/>
      <c r="E1473" s="1097"/>
      <c r="F1473" s="1097"/>
      <c r="G1473" s="1097"/>
      <c r="H1473" s="1094"/>
      <c r="I1473" s="1094"/>
      <c r="J1473" s="1094"/>
      <c r="K1473" s="1094"/>
      <c r="L1473" s="1094"/>
      <c r="M1473" s="1094"/>
      <c r="N1473" s="1094"/>
      <c r="O1473" s="1094"/>
      <c r="P1473" s="1094"/>
      <c r="Q1473" s="1094"/>
      <c r="R1473" s="1094"/>
      <c r="S1473" s="1094"/>
      <c r="T1473" s="1094"/>
      <c r="U1473" s="1094"/>
      <c r="V1473" s="1094"/>
      <c r="W1473" s="1094"/>
      <c r="X1473" s="1094"/>
      <c r="Y1473" s="1094"/>
      <c r="Z1473" s="1094"/>
    </row>
    <row r="1474" ht="14.25" customHeight="1">
      <c r="A1474" s="497">
        <v>45535.0</v>
      </c>
      <c r="B1474" s="349" t="s">
        <v>6924</v>
      </c>
      <c r="C1474" s="349" t="s">
        <v>6108</v>
      </c>
      <c r="D1474" s="1032" t="s">
        <v>75</v>
      </c>
      <c r="E1474" s="413" t="s">
        <v>6763</v>
      </c>
      <c r="F1474" s="413">
        <v>115000.0</v>
      </c>
      <c r="G1474" s="403"/>
      <c r="H1474" s="402"/>
      <c r="I1474" s="402"/>
      <c r="J1474" s="402"/>
      <c r="K1474" s="402"/>
      <c r="L1474" s="402"/>
      <c r="M1474" s="402"/>
      <c r="N1474" s="402"/>
      <c r="O1474" s="402"/>
      <c r="P1474" s="402"/>
      <c r="Q1474" s="402"/>
      <c r="R1474" s="402"/>
      <c r="S1474" s="402"/>
      <c r="T1474" s="402"/>
      <c r="U1474" s="402"/>
      <c r="V1474" s="402"/>
      <c r="W1474" s="402"/>
      <c r="X1474" s="402"/>
      <c r="Y1474" s="402"/>
      <c r="Z1474" s="402"/>
    </row>
    <row r="1475" ht="14.25" customHeight="1">
      <c r="A1475" s="497">
        <v>45535.0</v>
      </c>
      <c r="B1475" s="349" t="s">
        <v>6908</v>
      </c>
      <c r="C1475" s="349" t="s">
        <v>6909</v>
      </c>
      <c r="D1475" s="1032" t="s">
        <v>54</v>
      </c>
      <c r="E1475" s="413" t="s">
        <v>6813</v>
      </c>
      <c r="F1475" s="413">
        <v>12243.37</v>
      </c>
      <c r="G1475" s="413">
        <v>14500.0</v>
      </c>
      <c r="H1475" s="349" t="s">
        <v>267</v>
      </c>
      <c r="I1475" s="402"/>
      <c r="J1475" s="402"/>
      <c r="K1475" s="402"/>
      <c r="L1475" s="402"/>
      <c r="M1475" s="402"/>
      <c r="N1475" s="402"/>
      <c r="O1475" s="402"/>
      <c r="P1475" s="402"/>
      <c r="Q1475" s="402"/>
      <c r="R1475" s="402"/>
      <c r="S1475" s="402"/>
      <c r="T1475" s="402"/>
      <c r="U1475" s="402"/>
      <c r="V1475" s="402"/>
      <c r="W1475" s="402"/>
      <c r="X1475" s="402"/>
      <c r="Y1475" s="402"/>
      <c r="Z1475" s="402"/>
    </row>
    <row r="1476" ht="14.25" customHeight="1">
      <c r="A1476" s="497">
        <v>45535.0</v>
      </c>
      <c r="B1476" s="349" t="s">
        <v>5993</v>
      </c>
      <c r="C1476" s="349" t="s">
        <v>5994</v>
      </c>
      <c r="D1476" s="1032" t="s">
        <v>346</v>
      </c>
      <c r="E1476" s="413" t="s">
        <v>6813</v>
      </c>
      <c r="F1476" s="413">
        <v>4199.42</v>
      </c>
      <c r="G1476" s="403"/>
      <c r="H1476" s="402"/>
      <c r="I1476" s="402"/>
      <c r="J1476" s="402"/>
      <c r="K1476" s="402"/>
      <c r="L1476" s="402"/>
      <c r="M1476" s="402"/>
      <c r="N1476" s="402"/>
      <c r="O1476" s="402"/>
      <c r="P1476" s="402"/>
      <c r="Q1476" s="402"/>
      <c r="R1476" s="402"/>
      <c r="S1476" s="402"/>
      <c r="T1476" s="402"/>
      <c r="U1476" s="402"/>
      <c r="V1476" s="402"/>
      <c r="W1476" s="402"/>
      <c r="X1476" s="402"/>
      <c r="Y1476" s="402"/>
      <c r="Z1476" s="402"/>
    </row>
    <row r="1477" ht="14.25" customHeight="1">
      <c r="A1477" s="497">
        <v>45535.0</v>
      </c>
      <c r="B1477" s="349" t="s">
        <v>5996</v>
      </c>
      <c r="C1477" s="349" t="s">
        <v>5916</v>
      </c>
      <c r="D1477" s="1032" t="s">
        <v>54</v>
      </c>
      <c r="E1477" s="413" t="s">
        <v>5785</v>
      </c>
      <c r="F1477" s="413">
        <v>130923.99</v>
      </c>
      <c r="G1477" s="413">
        <v>131500.0</v>
      </c>
      <c r="H1477" s="349" t="s">
        <v>267</v>
      </c>
      <c r="I1477" s="402"/>
      <c r="J1477" s="402"/>
      <c r="K1477" s="402"/>
      <c r="L1477" s="402"/>
      <c r="M1477" s="402"/>
      <c r="N1477" s="402"/>
      <c r="O1477" s="402"/>
      <c r="P1477" s="402"/>
      <c r="Q1477" s="402"/>
      <c r="R1477" s="402"/>
      <c r="S1477" s="402"/>
      <c r="T1477" s="402"/>
      <c r="U1477" s="402"/>
      <c r="V1477" s="402"/>
      <c r="W1477" s="402"/>
      <c r="X1477" s="402"/>
      <c r="Y1477" s="402"/>
      <c r="Z1477" s="402"/>
    </row>
    <row r="1478" ht="14.25" customHeight="1">
      <c r="A1478" s="497">
        <v>45535.0</v>
      </c>
      <c r="B1478" s="349" t="s">
        <v>5997</v>
      </c>
      <c r="C1478" s="349" t="s">
        <v>5998</v>
      </c>
      <c r="D1478" s="1032" t="s">
        <v>54</v>
      </c>
      <c r="E1478" s="413" t="s">
        <v>5785</v>
      </c>
      <c r="F1478" s="413">
        <v>68905.64</v>
      </c>
      <c r="G1478" s="403"/>
      <c r="H1478" s="402"/>
      <c r="I1478" s="402"/>
      <c r="J1478" s="402"/>
      <c r="K1478" s="402"/>
      <c r="L1478" s="402"/>
      <c r="M1478" s="402"/>
      <c r="N1478" s="402"/>
      <c r="O1478" s="402"/>
      <c r="P1478" s="402"/>
      <c r="Q1478" s="402"/>
      <c r="R1478" s="402"/>
      <c r="S1478" s="402"/>
      <c r="T1478" s="402"/>
      <c r="U1478" s="402"/>
      <c r="V1478" s="402"/>
      <c r="W1478" s="402"/>
      <c r="X1478" s="402"/>
      <c r="Y1478" s="402"/>
      <c r="Z1478" s="402"/>
    </row>
    <row r="1479" ht="14.25" customHeight="1">
      <c r="A1479" s="497">
        <v>45535.0</v>
      </c>
      <c r="B1479" s="349" t="s">
        <v>6002</v>
      </c>
      <c r="C1479" s="349" t="s">
        <v>6003</v>
      </c>
      <c r="D1479" s="1032" t="s">
        <v>54</v>
      </c>
      <c r="E1479" s="413" t="s">
        <v>6531</v>
      </c>
      <c r="F1479" s="413">
        <v>53059.0</v>
      </c>
      <c r="G1479" s="403"/>
      <c r="H1479" s="402"/>
      <c r="I1479" s="402"/>
      <c r="J1479" s="402"/>
      <c r="K1479" s="402"/>
      <c r="L1479" s="402"/>
      <c r="M1479" s="402"/>
      <c r="N1479" s="402"/>
      <c r="O1479" s="402"/>
      <c r="P1479" s="402"/>
      <c r="Q1479" s="402"/>
      <c r="R1479" s="402"/>
      <c r="S1479" s="402"/>
      <c r="T1479" s="402"/>
      <c r="U1479" s="402"/>
      <c r="V1479" s="402"/>
      <c r="W1479" s="402"/>
      <c r="X1479" s="402"/>
      <c r="Y1479" s="402"/>
      <c r="Z1479" s="402"/>
    </row>
    <row r="1480" ht="14.25" customHeight="1">
      <c r="A1480" s="497">
        <v>45535.0</v>
      </c>
      <c r="B1480" s="349" t="s">
        <v>6004</v>
      </c>
      <c r="C1480" s="349" t="s">
        <v>6000</v>
      </c>
      <c r="D1480" s="1032" t="s">
        <v>346</v>
      </c>
      <c r="E1480" s="413" t="s">
        <v>6813</v>
      </c>
      <c r="F1480" s="413">
        <v>10700.4</v>
      </c>
      <c r="G1480" s="403"/>
      <c r="H1480" s="402"/>
      <c r="I1480" s="402"/>
      <c r="J1480" s="402"/>
      <c r="K1480" s="402"/>
      <c r="L1480" s="402"/>
      <c r="M1480" s="402"/>
      <c r="N1480" s="402"/>
      <c r="O1480" s="402"/>
      <c r="P1480" s="402"/>
      <c r="Q1480" s="402"/>
      <c r="R1480" s="402"/>
      <c r="S1480" s="402"/>
      <c r="T1480" s="402"/>
      <c r="U1480" s="402"/>
      <c r="V1480" s="402"/>
      <c r="W1480" s="402"/>
      <c r="X1480" s="402"/>
      <c r="Y1480" s="402"/>
      <c r="Z1480" s="402"/>
    </row>
    <row r="1481" ht="14.25" customHeight="1">
      <c r="A1481" s="497">
        <v>45535.0</v>
      </c>
      <c r="B1481" s="349" t="s">
        <v>6006</v>
      </c>
      <c r="C1481" s="349" t="s">
        <v>6007</v>
      </c>
      <c r="D1481" s="1032" t="s">
        <v>54</v>
      </c>
      <c r="E1481" s="413" t="s">
        <v>5785</v>
      </c>
      <c r="F1481" s="413">
        <v>18048.92</v>
      </c>
      <c r="G1481" s="403"/>
      <c r="H1481" s="402"/>
      <c r="I1481" s="402"/>
      <c r="J1481" s="402"/>
      <c r="K1481" s="402"/>
      <c r="L1481" s="402"/>
      <c r="M1481" s="402"/>
      <c r="N1481" s="402"/>
      <c r="O1481" s="402"/>
      <c r="P1481" s="402"/>
      <c r="Q1481" s="402"/>
      <c r="R1481" s="402"/>
      <c r="S1481" s="402"/>
      <c r="T1481" s="402"/>
      <c r="U1481" s="402"/>
      <c r="V1481" s="402"/>
      <c r="W1481" s="402"/>
      <c r="X1481" s="402"/>
      <c r="Y1481" s="402"/>
      <c r="Z1481" s="402"/>
    </row>
    <row r="1482" ht="14.25" customHeight="1">
      <c r="A1482" s="497">
        <v>45535.0</v>
      </c>
      <c r="B1482" s="349" t="s">
        <v>6913</v>
      </c>
      <c r="C1482" s="349" t="s">
        <v>6914</v>
      </c>
      <c r="D1482" s="1032" t="s">
        <v>54</v>
      </c>
      <c r="E1482" s="413" t="s">
        <v>6813</v>
      </c>
      <c r="F1482" s="413">
        <v>23855.0</v>
      </c>
      <c r="G1482" s="413">
        <v>23900.0</v>
      </c>
      <c r="H1482" s="349" t="s">
        <v>267</v>
      </c>
      <c r="I1482" s="402"/>
      <c r="J1482" s="402"/>
      <c r="K1482" s="402"/>
      <c r="L1482" s="402"/>
      <c r="M1482" s="402"/>
      <c r="N1482" s="402"/>
      <c r="O1482" s="402"/>
      <c r="P1482" s="402"/>
      <c r="Q1482" s="402"/>
      <c r="R1482" s="402"/>
      <c r="S1482" s="402"/>
      <c r="T1482" s="402"/>
      <c r="U1482" s="402"/>
      <c r="V1482" s="402"/>
      <c r="W1482" s="402"/>
      <c r="X1482" s="402"/>
      <c r="Y1482" s="402"/>
      <c r="Z1482" s="402"/>
    </row>
    <row r="1483" ht="14.25" customHeight="1">
      <c r="A1483" s="497">
        <v>45535.0</v>
      </c>
      <c r="B1483" s="349" t="s">
        <v>6915</v>
      </c>
      <c r="C1483" s="349" t="s">
        <v>5668</v>
      </c>
      <c r="D1483" s="1032" t="s">
        <v>75</v>
      </c>
      <c r="E1483" s="413" t="s">
        <v>6511</v>
      </c>
      <c r="F1483" s="413">
        <v>80500.0</v>
      </c>
      <c r="G1483" s="403"/>
      <c r="H1483" s="402"/>
      <c r="I1483" s="402"/>
      <c r="J1483" s="402"/>
      <c r="K1483" s="402"/>
      <c r="L1483" s="402"/>
      <c r="M1483" s="402"/>
      <c r="N1483" s="402"/>
      <c r="O1483" s="402"/>
      <c r="P1483" s="402"/>
      <c r="Q1483" s="402"/>
      <c r="R1483" s="402"/>
      <c r="S1483" s="402"/>
      <c r="T1483" s="402"/>
      <c r="U1483" s="402"/>
      <c r="V1483" s="402"/>
      <c r="W1483" s="402"/>
      <c r="X1483" s="402"/>
      <c r="Y1483" s="402"/>
      <c r="Z1483" s="402"/>
    </row>
    <row r="1484" ht="14.25" customHeight="1">
      <c r="A1484" s="497">
        <v>45535.0</v>
      </c>
      <c r="B1484" s="349" t="s">
        <v>6916</v>
      </c>
      <c r="C1484" s="349" t="s">
        <v>5826</v>
      </c>
      <c r="D1484" s="1032" t="s">
        <v>54</v>
      </c>
      <c r="E1484" s="413" t="s">
        <v>6511</v>
      </c>
      <c r="F1484" s="413">
        <v>39779.0</v>
      </c>
      <c r="G1484" s="403"/>
      <c r="H1484" s="402"/>
      <c r="I1484" s="402"/>
      <c r="J1484" s="402"/>
      <c r="K1484" s="402"/>
      <c r="L1484" s="402"/>
      <c r="M1484" s="402"/>
      <c r="N1484" s="402"/>
      <c r="O1484" s="402"/>
      <c r="P1484" s="402"/>
      <c r="Q1484" s="402"/>
      <c r="R1484" s="402"/>
      <c r="S1484" s="402"/>
      <c r="T1484" s="402"/>
      <c r="U1484" s="402"/>
      <c r="V1484" s="402"/>
      <c r="W1484" s="402"/>
      <c r="X1484" s="402"/>
      <c r="Y1484" s="402"/>
      <c r="Z1484" s="402"/>
    </row>
    <row r="1485" ht="14.25" customHeight="1">
      <c r="A1485" s="497">
        <v>45535.0</v>
      </c>
      <c r="B1485" s="349" t="s">
        <v>6917</v>
      </c>
      <c r="C1485" s="349" t="s">
        <v>5899</v>
      </c>
      <c r="D1485" s="1032" t="s">
        <v>75</v>
      </c>
      <c r="E1485" s="413" t="s">
        <v>5785</v>
      </c>
      <c r="F1485" s="413">
        <v>187000.0</v>
      </c>
      <c r="G1485" s="403"/>
      <c r="H1485" s="402"/>
      <c r="I1485" s="402"/>
      <c r="J1485" s="402"/>
      <c r="K1485" s="402"/>
      <c r="L1485" s="402"/>
      <c r="M1485" s="402"/>
      <c r="N1485" s="402"/>
      <c r="O1485" s="402"/>
      <c r="P1485" s="402"/>
      <c r="Q1485" s="402"/>
      <c r="R1485" s="402"/>
      <c r="S1485" s="402"/>
      <c r="T1485" s="402"/>
      <c r="U1485" s="402"/>
      <c r="V1485" s="402"/>
      <c r="W1485" s="402"/>
      <c r="X1485" s="402"/>
      <c r="Y1485" s="402"/>
      <c r="Z1485" s="402"/>
    </row>
    <row r="1486" ht="14.25" customHeight="1">
      <c r="A1486" s="497">
        <v>45535.0</v>
      </c>
      <c r="B1486" s="349" t="s">
        <v>5997</v>
      </c>
      <c r="C1486" s="349" t="s">
        <v>5998</v>
      </c>
      <c r="D1486" s="1032" t="s">
        <v>54</v>
      </c>
      <c r="E1486" s="413" t="s">
        <v>5785</v>
      </c>
      <c r="F1486" s="413">
        <v>68905.64</v>
      </c>
      <c r="G1486" s="403"/>
      <c r="H1486" s="402"/>
      <c r="I1486" s="402"/>
      <c r="J1486" s="402"/>
      <c r="K1486" s="402"/>
      <c r="L1486" s="402"/>
      <c r="M1486" s="402"/>
      <c r="N1486" s="402"/>
      <c r="O1486" s="402"/>
      <c r="P1486" s="402"/>
      <c r="Q1486" s="402"/>
      <c r="R1486" s="402"/>
      <c r="S1486" s="402"/>
      <c r="T1486" s="402"/>
      <c r="U1486" s="402"/>
      <c r="V1486" s="402"/>
      <c r="W1486" s="402"/>
      <c r="X1486" s="402"/>
      <c r="Y1486" s="402"/>
      <c r="Z1486" s="402"/>
    </row>
    <row r="1487" ht="14.25" customHeight="1">
      <c r="A1487" s="497">
        <v>45535.0</v>
      </c>
      <c r="B1487" s="349" t="s">
        <v>5911</v>
      </c>
      <c r="C1487" s="349" t="s">
        <v>5912</v>
      </c>
      <c r="D1487" s="1032" t="s">
        <v>54</v>
      </c>
      <c r="E1487" s="413" t="s">
        <v>6813</v>
      </c>
      <c r="F1487" s="413">
        <v>23383.41</v>
      </c>
      <c r="G1487" s="403"/>
      <c r="H1487" s="402"/>
      <c r="I1487" s="402"/>
      <c r="J1487" s="402"/>
      <c r="K1487" s="402"/>
      <c r="L1487" s="402"/>
      <c r="M1487" s="402"/>
      <c r="N1487" s="402"/>
      <c r="O1487" s="402"/>
      <c r="P1487" s="402"/>
      <c r="Q1487" s="402"/>
      <c r="R1487" s="402"/>
      <c r="S1487" s="402"/>
      <c r="T1487" s="402"/>
      <c r="U1487" s="402"/>
      <c r="V1487" s="402"/>
      <c r="W1487" s="402"/>
      <c r="X1487" s="402"/>
      <c r="Y1487" s="402"/>
      <c r="Z1487" s="402"/>
    </row>
    <row r="1488" ht="14.25" customHeight="1">
      <c r="A1488" s="497">
        <v>45535.0</v>
      </c>
      <c r="B1488" s="349" t="s">
        <v>5915</v>
      </c>
      <c r="C1488" s="349" t="s">
        <v>5916</v>
      </c>
      <c r="D1488" s="1032" t="s">
        <v>54</v>
      </c>
      <c r="E1488" s="413" t="s">
        <v>6511</v>
      </c>
      <c r="F1488" s="413">
        <v>140623.0</v>
      </c>
      <c r="G1488" s="403"/>
      <c r="H1488" s="402"/>
      <c r="I1488" s="402"/>
      <c r="J1488" s="402"/>
      <c r="K1488" s="402"/>
      <c r="L1488" s="402"/>
      <c r="M1488" s="402"/>
      <c r="N1488" s="402"/>
      <c r="O1488" s="402"/>
      <c r="P1488" s="402"/>
      <c r="Q1488" s="402"/>
      <c r="R1488" s="402"/>
      <c r="S1488" s="402"/>
      <c r="T1488" s="402"/>
      <c r="U1488" s="402"/>
      <c r="V1488" s="402"/>
      <c r="W1488" s="402"/>
      <c r="X1488" s="402"/>
      <c r="Y1488" s="402"/>
      <c r="Z1488" s="402"/>
    </row>
    <row r="1489" ht="14.25" customHeight="1">
      <c r="A1489" s="497">
        <v>45535.0</v>
      </c>
      <c r="B1489" s="349" t="s">
        <v>5921</v>
      </c>
      <c r="C1489" s="349" t="s">
        <v>5922</v>
      </c>
      <c r="D1489" s="1032" t="s">
        <v>54</v>
      </c>
      <c r="E1489" s="413" t="s">
        <v>6813</v>
      </c>
      <c r="F1489" s="413">
        <v>36730.89</v>
      </c>
      <c r="G1489" s="403"/>
      <c r="H1489" s="402"/>
      <c r="I1489" s="402"/>
      <c r="J1489" s="402"/>
      <c r="K1489" s="402"/>
      <c r="L1489" s="402"/>
      <c r="M1489" s="402"/>
      <c r="N1489" s="402"/>
      <c r="O1489" s="402"/>
      <c r="P1489" s="402"/>
      <c r="Q1489" s="402"/>
      <c r="R1489" s="402"/>
      <c r="S1489" s="402"/>
      <c r="T1489" s="402"/>
      <c r="U1489" s="402"/>
      <c r="V1489" s="402"/>
      <c r="W1489" s="402"/>
      <c r="X1489" s="402"/>
      <c r="Y1489" s="402"/>
      <c r="Z1489" s="402"/>
    </row>
    <row r="1490" ht="14.25" customHeight="1">
      <c r="A1490" s="497">
        <v>45535.0</v>
      </c>
      <c r="B1490" s="349" t="s">
        <v>6243</v>
      </c>
      <c r="C1490" s="349" t="s">
        <v>5665</v>
      </c>
      <c r="D1490" s="1032" t="s">
        <v>54</v>
      </c>
      <c r="E1490" s="413" t="s">
        <v>6763</v>
      </c>
      <c r="F1490" s="413">
        <v>127642.7</v>
      </c>
      <c r="G1490" s="403"/>
      <c r="H1490" s="402"/>
      <c r="I1490" s="402"/>
      <c r="J1490" s="402"/>
      <c r="K1490" s="402"/>
      <c r="L1490" s="402"/>
      <c r="M1490" s="402"/>
      <c r="N1490" s="402"/>
      <c r="O1490" s="402"/>
      <c r="P1490" s="402"/>
      <c r="Q1490" s="402"/>
      <c r="R1490" s="402"/>
      <c r="S1490" s="402"/>
      <c r="T1490" s="402"/>
      <c r="U1490" s="402"/>
      <c r="V1490" s="402"/>
      <c r="W1490" s="402"/>
      <c r="X1490" s="402"/>
      <c r="Y1490" s="402"/>
      <c r="Z1490" s="402"/>
    </row>
    <row r="1491" ht="14.25" customHeight="1">
      <c r="A1491" s="497">
        <v>45535.0</v>
      </c>
      <c r="B1491" s="349" t="s">
        <v>5926</v>
      </c>
      <c r="C1491" s="349" t="s">
        <v>5927</v>
      </c>
      <c r="D1491" s="1032" t="s">
        <v>54</v>
      </c>
      <c r="E1491" s="413" t="s">
        <v>6511</v>
      </c>
      <c r="F1491" s="413">
        <v>26312.0</v>
      </c>
      <c r="G1491" s="403"/>
      <c r="H1491" s="402"/>
      <c r="I1491" s="402"/>
      <c r="J1491" s="402"/>
      <c r="K1491" s="402"/>
      <c r="L1491" s="402"/>
      <c r="M1491" s="402"/>
      <c r="N1491" s="402"/>
      <c r="O1491" s="402"/>
      <c r="P1491" s="402"/>
      <c r="Q1491" s="402"/>
      <c r="R1491" s="402"/>
      <c r="S1491" s="402"/>
      <c r="T1491" s="402"/>
      <c r="U1491" s="402"/>
      <c r="V1491" s="402"/>
      <c r="W1491" s="402"/>
      <c r="X1491" s="402"/>
      <c r="Y1491" s="402"/>
      <c r="Z1491" s="402"/>
    </row>
    <row r="1492" ht="14.25" customHeight="1">
      <c r="A1492" s="497">
        <v>45535.0</v>
      </c>
      <c r="B1492" s="349" t="s">
        <v>5932</v>
      </c>
      <c r="C1492" s="349" t="s">
        <v>5933</v>
      </c>
      <c r="D1492" s="1032" t="s">
        <v>54</v>
      </c>
      <c r="E1492" s="413" t="s">
        <v>6511</v>
      </c>
      <c r="F1492" s="413">
        <v>25259.88</v>
      </c>
      <c r="G1492" s="403"/>
      <c r="H1492" s="402"/>
      <c r="I1492" s="402"/>
      <c r="J1492" s="402"/>
      <c r="K1492" s="402"/>
      <c r="L1492" s="402"/>
      <c r="M1492" s="402"/>
      <c r="N1492" s="402"/>
      <c r="O1492" s="402"/>
      <c r="P1492" s="402"/>
      <c r="Q1492" s="402"/>
      <c r="R1492" s="402"/>
      <c r="S1492" s="402"/>
      <c r="T1492" s="402"/>
      <c r="U1492" s="402"/>
      <c r="V1492" s="402"/>
      <c r="W1492" s="402"/>
      <c r="X1492" s="402"/>
      <c r="Y1492" s="402"/>
      <c r="Z1492" s="402"/>
    </row>
    <row r="1493" ht="14.25" customHeight="1">
      <c r="A1493" s="497">
        <v>45535.0</v>
      </c>
      <c r="B1493" s="349" t="s">
        <v>5640</v>
      </c>
      <c r="C1493" s="349" t="s">
        <v>5757</v>
      </c>
      <c r="D1493" s="1032" t="s">
        <v>668</v>
      </c>
      <c r="E1493" s="413" t="s">
        <v>6861</v>
      </c>
      <c r="F1493" s="413">
        <v>1000000.0</v>
      </c>
      <c r="G1493" s="413">
        <v>1000000.0</v>
      </c>
      <c r="H1493" s="349" t="s">
        <v>267</v>
      </c>
      <c r="I1493" s="402"/>
      <c r="J1493" s="402"/>
      <c r="K1493" s="402"/>
      <c r="L1493" s="402"/>
      <c r="M1493" s="402"/>
      <c r="N1493" s="402"/>
      <c r="O1493" s="402"/>
      <c r="P1493" s="402"/>
      <c r="Q1493" s="402"/>
      <c r="R1493" s="402"/>
      <c r="S1493" s="402"/>
      <c r="T1493" s="402"/>
      <c r="U1493" s="402"/>
      <c r="V1493" s="402"/>
      <c r="W1493" s="402"/>
      <c r="X1493" s="402"/>
      <c r="Y1493" s="402"/>
      <c r="Z1493" s="402"/>
    </row>
    <row r="1494" ht="14.25" customHeight="1">
      <c r="A1494" s="497">
        <v>45535.0</v>
      </c>
      <c r="B1494" s="402"/>
      <c r="C1494" s="349" t="s">
        <v>6922</v>
      </c>
      <c r="D1494" s="1032" t="s">
        <v>54</v>
      </c>
      <c r="E1494" s="413" t="s">
        <v>6763</v>
      </c>
      <c r="F1494" s="413">
        <v>250000.0</v>
      </c>
      <c r="G1494" s="403"/>
      <c r="H1494" s="402"/>
      <c r="I1494" s="402"/>
      <c r="J1494" s="402"/>
      <c r="K1494" s="402"/>
      <c r="L1494" s="402"/>
      <c r="M1494" s="402"/>
      <c r="N1494" s="402"/>
      <c r="O1494" s="402"/>
      <c r="P1494" s="402"/>
      <c r="Q1494" s="402"/>
      <c r="R1494" s="402"/>
      <c r="S1494" s="402"/>
      <c r="T1494" s="402"/>
      <c r="U1494" s="402"/>
      <c r="V1494" s="402"/>
      <c r="W1494" s="402"/>
      <c r="X1494" s="402"/>
      <c r="Y1494" s="402"/>
      <c r="Z1494" s="402"/>
    </row>
    <row r="1495" ht="14.25" customHeight="1">
      <c r="A1495" s="497">
        <v>45535.0</v>
      </c>
      <c r="B1495" s="349" t="s">
        <v>6676</v>
      </c>
      <c r="C1495" s="349" t="s">
        <v>6848</v>
      </c>
      <c r="D1495" s="1077" t="s">
        <v>54</v>
      </c>
      <c r="E1495" s="413" t="s">
        <v>4114</v>
      </c>
      <c r="F1495" s="413">
        <v>153492.31</v>
      </c>
      <c r="G1495" s="403"/>
      <c r="H1495" s="402"/>
      <c r="I1495" s="402"/>
      <c r="J1495" s="402"/>
      <c r="K1495" s="402"/>
      <c r="L1495" s="402"/>
      <c r="M1495" s="402"/>
      <c r="N1495" s="402"/>
      <c r="O1495" s="402"/>
      <c r="P1495" s="402"/>
      <c r="Q1495" s="402"/>
      <c r="R1495" s="402"/>
      <c r="S1495" s="402"/>
      <c r="T1495" s="402"/>
      <c r="U1495" s="402"/>
      <c r="V1495" s="402"/>
      <c r="W1495" s="402"/>
      <c r="X1495" s="402"/>
      <c r="Y1495" s="402"/>
      <c r="Z1495" s="402"/>
    </row>
    <row r="1496" ht="14.25" customHeight="1">
      <c r="A1496" s="497">
        <v>45535.0</v>
      </c>
      <c r="B1496" s="349" t="s">
        <v>5647</v>
      </c>
      <c r="C1496" s="349" t="s">
        <v>6305</v>
      </c>
      <c r="D1496" s="1077" t="s">
        <v>54</v>
      </c>
      <c r="E1496" s="413" t="s">
        <v>4114</v>
      </c>
      <c r="F1496" s="413">
        <v>87000.0</v>
      </c>
      <c r="G1496" s="403"/>
      <c r="H1496" s="402"/>
      <c r="I1496" s="402"/>
      <c r="J1496" s="402"/>
      <c r="K1496" s="402"/>
      <c r="L1496" s="402"/>
      <c r="M1496" s="402"/>
      <c r="N1496" s="402"/>
      <c r="O1496" s="402"/>
      <c r="P1496" s="402"/>
      <c r="Q1496" s="402"/>
      <c r="R1496" s="402"/>
      <c r="S1496" s="402"/>
      <c r="T1496" s="402"/>
      <c r="U1496" s="402"/>
      <c r="V1496" s="402"/>
      <c r="W1496" s="402"/>
      <c r="X1496" s="402"/>
      <c r="Y1496" s="402"/>
      <c r="Z1496" s="402"/>
    </row>
    <row r="1497" ht="14.25" customHeight="1">
      <c r="A1497" s="497">
        <v>45535.0</v>
      </c>
      <c r="B1497" s="349" t="s">
        <v>5687</v>
      </c>
      <c r="C1497" s="349" t="s">
        <v>5978</v>
      </c>
      <c r="D1497" s="1077" t="s">
        <v>54</v>
      </c>
      <c r="E1497" s="413" t="s">
        <v>4114</v>
      </c>
      <c r="F1497" s="413">
        <v>100000.0</v>
      </c>
      <c r="G1497" s="403"/>
      <c r="H1497" s="402"/>
      <c r="I1497" s="402"/>
      <c r="J1497" s="402"/>
      <c r="K1497" s="402"/>
      <c r="L1497" s="402"/>
      <c r="M1497" s="402"/>
      <c r="N1497" s="402"/>
      <c r="O1497" s="402"/>
      <c r="P1497" s="402"/>
      <c r="Q1497" s="402"/>
      <c r="R1497" s="402"/>
      <c r="S1497" s="402"/>
      <c r="T1497" s="402"/>
      <c r="U1497" s="402"/>
      <c r="V1497" s="402"/>
      <c r="W1497" s="402"/>
      <c r="X1497" s="402"/>
      <c r="Y1497" s="402"/>
      <c r="Z1497" s="402"/>
    </row>
    <row r="1498" ht="14.25" customHeight="1">
      <c r="A1498" s="497">
        <v>45535.0</v>
      </c>
      <c r="B1498" s="349" t="s">
        <v>5679</v>
      </c>
      <c r="C1498" s="349" t="s">
        <v>5680</v>
      </c>
      <c r="D1498" s="1077" t="s">
        <v>54</v>
      </c>
      <c r="E1498" s="413" t="s">
        <v>4114</v>
      </c>
      <c r="F1498" s="413">
        <v>25000.0</v>
      </c>
      <c r="G1498" s="403"/>
      <c r="H1498" s="402"/>
      <c r="I1498" s="402"/>
      <c r="J1498" s="402"/>
      <c r="K1498" s="402"/>
      <c r="L1498" s="402"/>
      <c r="M1498" s="402"/>
      <c r="N1498" s="402"/>
      <c r="O1498" s="402"/>
      <c r="P1498" s="402"/>
      <c r="Q1498" s="402"/>
      <c r="R1498" s="402"/>
      <c r="S1498" s="402"/>
      <c r="T1498" s="402"/>
      <c r="U1498" s="402"/>
      <c r="V1498" s="402"/>
      <c r="W1498" s="402"/>
      <c r="X1498" s="402"/>
      <c r="Y1498" s="402"/>
      <c r="Z1498" s="402"/>
    </row>
    <row r="1499" ht="14.25" customHeight="1">
      <c r="A1499" s="497">
        <v>45535.0</v>
      </c>
      <c r="B1499" s="349" t="s">
        <v>6194</v>
      </c>
      <c r="C1499" s="349" t="s">
        <v>6923</v>
      </c>
      <c r="D1499" s="1077" t="s">
        <v>54</v>
      </c>
      <c r="E1499" s="413" t="s">
        <v>4114</v>
      </c>
      <c r="F1499" s="413">
        <v>130708.32</v>
      </c>
      <c r="G1499" s="403"/>
      <c r="H1499" s="402"/>
      <c r="I1499" s="402"/>
      <c r="J1499" s="402"/>
      <c r="K1499" s="402"/>
      <c r="L1499" s="402"/>
      <c r="M1499" s="402"/>
      <c r="N1499" s="402"/>
      <c r="O1499" s="402"/>
      <c r="P1499" s="402"/>
      <c r="Q1499" s="402"/>
      <c r="R1499" s="402"/>
      <c r="S1499" s="402"/>
      <c r="T1499" s="402"/>
      <c r="U1499" s="402"/>
      <c r="V1499" s="402"/>
      <c r="W1499" s="402"/>
      <c r="X1499" s="402"/>
      <c r="Y1499" s="402"/>
      <c r="Z1499" s="402"/>
    </row>
    <row r="1500" ht="14.25" customHeight="1">
      <c r="A1500" s="497">
        <v>45535.0</v>
      </c>
      <c r="B1500" s="349" t="s">
        <v>6477</v>
      </c>
      <c r="C1500" s="349" t="s">
        <v>6811</v>
      </c>
      <c r="D1500" s="1077" t="s">
        <v>54</v>
      </c>
      <c r="E1500" s="413" t="s">
        <v>2165</v>
      </c>
      <c r="F1500" s="413">
        <v>34000.0</v>
      </c>
      <c r="G1500" s="403"/>
      <c r="H1500" s="402"/>
      <c r="I1500" s="402"/>
      <c r="J1500" s="402"/>
      <c r="K1500" s="402"/>
      <c r="L1500" s="402"/>
      <c r="M1500" s="402"/>
      <c r="N1500" s="402"/>
      <c r="O1500" s="402"/>
      <c r="P1500" s="402"/>
      <c r="Q1500" s="402"/>
      <c r="R1500" s="402"/>
      <c r="S1500" s="402"/>
      <c r="T1500" s="402"/>
      <c r="U1500" s="402"/>
      <c r="V1500" s="402"/>
      <c r="W1500" s="402"/>
      <c r="X1500" s="402"/>
      <c r="Y1500" s="402"/>
      <c r="Z1500" s="402"/>
    </row>
    <row r="1501" ht="14.25" customHeight="1">
      <c r="A1501" s="497">
        <v>45535.0</v>
      </c>
      <c r="B1501" s="349" t="s">
        <v>5682</v>
      </c>
      <c r="C1501" s="349" t="s">
        <v>5683</v>
      </c>
      <c r="D1501" s="1077" t="s">
        <v>54</v>
      </c>
      <c r="E1501" s="413" t="s">
        <v>2165</v>
      </c>
      <c r="F1501" s="413">
        <v>500000.0</v>
      </c>
      <c r="G1501" s="403"/>
      <c r="H1501" s="402"/>
      <c r="I1501" s="402"/>
      <c r="J1501" s="402"/>
      <c r="K1501" s="402"/>
      <c r="L1501" s="402"/>
      <c r="M1501" s="402"/>
      <c r="N1501" s="402"/>
      <c r="O1501" s="402"/>
      <c r="P1501" s="402"/>
      <c r="Q1501" s="402"/>
      <c r="R1501" s="402"/>
      <c r="S1501" s="402"/>
      <c r="T1501" s="402"/>
      <c r="U1501" s="402"/>
      <c r="V1501" s="402"/>
      <c r="W1501" s="402"/>
      <c r="X1501" s="402"/>
      <c r="Y1501" s="402"/>
      <c r="Z1501" s="402"/>
    </row>
    <row r="1502" ht="14.25" customHeight="1">
      <c r="A1502" s="497"/>
      <c r="B1502" s="402"/>
      <c r="C1502" s="402"/>
      <c r="D1502" s="1034"/>
      <c r="E1502" s="403"/>
      <c r="F1502" s="403"/>
      <c r="G1502" s="403">
        <f>SUM(G1474:G1501)</f>
        <v>1169900</v>
      </c>
      <c r="H1502" s="402"/>
      <c r="I1502" s="402"/>
      <c r="J1502" s="402"/>
      <c r="K1502" s="402"/>
      <c r="L1502" s="402"/>
      <c r="M1502" s="402"/>
      <c r="N1502" s="402"/>
      <c r="O1502" s="402"/>
      <c r="P1502" s="402"/>
      <c r="Q1502" s="402"/>
      <c r="R1502" s="402"/>
      <c r="S1502" s="402"/>
      <c r="T1502" s="402"/>
      <c r="U1502" s="402"/>
      <c r="V1502" s="402"/>
      <c r="W1502" s="402"/>
      <c r="X1502" s="402"/>
      <c r="Y1502" s="402"/>
      <c r="Z1502" s="402"/>
    </row>
    <row r="1503" ht="14.25" customHeight="1">
      <c r="A1503" s="1095"/>
      <c r="B1503" s="1094"/>
      <c r="C1503" s="1094"/>
      <c r="D1503" s="1096"/>
      <c r="E1503" s="1097"/>
      <c r="F1503" s="1097"/>
      <c r="G1503" s="1097"/>
      <c r="H1503" s="1094"/>
      <c r="I1503" s="1094"/>
      <c r="J1503" s="1094"/>
      <c r="K1503" s="1094"/>
      <c r="L1503" s="1094"/>
      <c r="M1503" s="1094"/>
      <c r="N1503" s="1094"/>
      <c r="O1503" s="1094"/>
      <c r="P1503" s="1094"/>
      <c r="Q1503" s="1094"/>
      <c r="R1503" s="1094"/>
      <c r="S1503" s="1094"/>
      <c r="T1503" s="1094"/>
      <c r="U1503" s="1094"/>
      <c r="V1503" s="1094"/>
      <c r="W1503" s="1094"/>
      <c r="X1503" s="1094"/>
      <c r="Y1503" s="1094"/>
      <c r="Z1503" s="1094"/>
    </row>
    <row r="1504" ht="14.25" customHeight="1">
      <c r="A1504" s="497">
        <v>45537.0</v>
      </c>
      <c r="B1504" s="349" t="s">
        <v>5969</v>
      </c>
      <c r="C1504" s="349" t="s">
        <v>5970</v>
      </c>
      <c r="D1504" s="1032" t="s">
        <v>54</v>
      </c>
      <c r="E1504" s="413" t="s">
        <v>6763</v>
      </c>
      <c r="F1504" s="413">
        <v>68291.37</v>
      </c>
      <c r="G1504" s="403"/>
      <c r="H1504" s="402"/>
      <c r="I1504" s="402"/>
      <c r="J1504" s="402"/>
      <c r="K1504" s="402"/>
      <c r="L1504" s="402"/>
      <c r="M1504" s="402"/>
      <c r="N1504" s="402"/>
      <c r="O1504" s="402"/>
      <c r="P1504" s="402"/>
      <c r="Q1504" s="402"/>
      <c r="R1504" s="402"/>
      <c r="S1504" s="402"/>
      <c r="T1504" s="402"/>
      <c r="U1504" s="402"/>
      <c r="V1504" s="402"/>
      <c r="W1504" s="402"/>
      <c r="X1504" s="402"/>
      <c r="Y1504" s="402"/>
      <c r="Z1504" s="402"/>
    </row>
    <row r="1505" ht="14.25" customHeight="1">
      <c r="A1505" s="497">
        <v>45537.0</v>
      </c>
      <c r="B1505" s="349" t="s">
        <v>6094</v>
      </c>
      <c r="C1505" s="349" t="s">
        <v>6095</v>
      </c>
      <c r="D1505" s="1032" t="s">
        <v>54</v>
      </c>
      <c r="E1505" s="413" t="s">
        <v>6813</v>
      </c>
      <c r="F1505" s="413">
        <v>17334.87</v>
      </c>
      <c r="G1505" s="403"/>
      <c r="H1505" s="402"/>
      <c r="I1505" s="402"/>
      <c r="J1505" s="402"/>
      <c r="K1505" s="402"/>
      <c r="L1505" s="402"/>
      <c r="M1505" s="402"/>
      <c r="N1505" s="402"/>
      <c r="O1505" s="402"/>
      <c r="P1505" s="402"/>
      <c r="Q1505" s="402"/>
      <c r="R1505" s="402"/>
      <c r="S1505" s="402"/>
      <c r="T1505" s="402"/>
      <c r="U1505" s="402"/>
      <c r="V1505" s="402"/>
      <c r="W1505" s="402"/>
      <c r="X1505" s="402"/>
      <c r="Y1505" s="402"/>
      <c r="Z1505" s="402"/>
    </row>
    <row r="1506" ht="14.25" customHeight="1">
      <c r="A1506" s="497">
        <v>45537.0</v>
      </c>
      <c r="B1506" s="349" t="s">
        <v>6096</v>
      </c>
      <c r="C1506" s="349" t="s">
        <v>6035</v>
      </c>
      <c r="D1506" s="1032" t="s">
        <v>54</v>
      </c>
      <c r="E1506" s="413" t="s">
        <v>5785</v>
      </c>
      <c r="F1506" s="413">
        <v>53914.4</v>
      </c>
      <c r="G1506" s="403"/>
      <c r="H1506" s="402"/>
      <c r="I1506" s="402"/>
      <c r="J1506" s="402"/>
      <c r="K1506" s="402"/>
      <c r="L1506" s="402"/>
      <c r="M1506" s="402"/>
      <c r="N1506" s="402"/>
      <c r="O1506" s="402"/>
      <c r="P1506" s="402"/>
      <c r="Q1506" s="402"/>
      <c r="R1506" s="402"/>
      <c r="S1506" s="402"/>
      <c r="T1506" s="402"/>
      <c r="U1506" s="402"/>
      <c r="V1506" s="402"/>
      <c r="W1506" s="402"/>
      <c r="X1506" s="402"/>
      <c r="Y1506" s="402"/>
      <c r="Z1506" s="402"/>
    </row>
    <row r="1507" ht="14.25" customHeight="1">
      <c r="A1507" s="497">
        <v>45537.0</v>
      </c>
      <c r="B1507" s="349" t="s">
        <v>6098</v>
      </c>
      <c r="C1507" s="349" t="s">
        <v>6099</v>
      </c>
      <c r="D1507" s="1032" t="s">
        <v>59</v>
      </c>
      <c r="E1507" s="413" t="s">
        <v>5785</v>
      </c>
      <c r="F1507" s="413">
        <v>419627.12</v>
      </c>
      <c r="G1507" s="403"/>
      <c r="H1507" s="402"/>
      <c r="I1507" s="402"/>
      <c r="J1507" s="402"/>
      <c r="K1507" s="402"/>
      <c r="L1507" s="402"/>
      <c r="M1507" s="402"/>
      <c r="N1507" s="402"/>
      <c r="O1507" s="402"/>
      <c r="P1507" s="402"/>
      <c r="Q1507" s="402"/>
      <c r="R1507" s="402"/>
      <c r="S1507" s="402"/>
      <c r="T1507" s="402"/>
      <c r="U1507" s="402"/>
      <c r="V1507" s="402"/>
      <c r="W1507" s="402"/>
      <c r="X1507" s="402"/>
      <c r="Y1507" s="402"/>
      <c r="Z1507" s="402"/>
    </row>
    <row r="1508" ht="14.25" customHeight="1">
      <c r="A1508" s="497">
        <v>45537.0</v>
      </c>
      <c r="B1508" s="349" t="s">
        <v>6100</v>
      </c>
      <c r="C1508" s="349" t="s">
        <v>6101</v>
      </c>
      <c r="D1508" s="1032" t="s">
        <v>54</v>
      </c>
      <c r="E1508" s="413" t="s">
        <v>6531</v>
      </c>
      <c r="F1508" s="413">
        <v>39525.18</v>
      </c>
      <c r="G1508" s="403"/>
      <c r="H1508" s="402"/>
      <c r="I1508" s="402"/>
      <c r="J1508" s="402"/>
      <c r="K1508" s="402"/>
      <c r="L1508" s="402"/>
      <c r="M1508" s="402"/>
      <c r="N1508" s="402"/>
      <c r="O1508" s="402"/>
      <c r="P1508" s="402"/>
      <c r="Q1508" s="402"/>
      <c r="R1508" s="402"/>
      <c r="S1508" s="402"/>
      <c r="T1508" s="402"/>
      <c r="U1508" s="402"/>
      <c r="V1508" s="402"/>
      <c r="W1508" s="402"/>
      <c r="X1508" s="402"/>
      <c r="Y1508" s="402"/>
      <c r="Z1508" s="402"/>
    </row>
    <row r="1509" ht="14.25" customHeight="1">
      <c r="A1509" s="497">
        <v>45537.0</v>
      </c>
      <c r="B1509" s="349" t="s">
        <v>6103</v>
      </c>
      <c r="C1509" s="349" t="s">
        <v>5641</v>
      </c>
      <c r="D1509" s="1032" t="s">
        <v>67</v>
      </c>
      <c r="E1509" s="413" t="s">
        <v>6813</v>
      </c>
      <c r="F1509" s="413">
        <v>1000000.0</v>
      </c>
      <c r="G1509" s="403"/>
      <c r="H1509" s="402"/>
      <c r="I1509" s="402"/>
      <c r="J1509" s="402"/>
      <c r="K1509" s="402"/>
      <c r="L1509" s="402"/>
      <c r="M1509" s="402"/>
      <c r="N1509" s="402"/>
      <c r="O1509" s="402"/>
      <c r="P1509" s="402"/>
      <c r="Q1509" s="402"/>
      <c r="R1509" s="402"/>
      <c r="S1509" s="402"/>
      <c r="T1509" s="402"/>
      <c r="U1509" s="402"/>
      <c r="V1509" s="402"/>
      <c r="W1509" s="402"/>
      <c r="X1509" s="402"/>
      <c r="Y1509" s="402"/>
      <c r="Z1509" s="402"/>
    </row>
    <row r="1510" ht="14.25" customHeight="1">
      <c r="A1510" s="497">
        <v>45537.0</v>
      </c>
      <c r="B1510" s="349" t="s">
        <v>5685</v>
      </c>
      <c r="C1510" s="349" t="s">
        <v>6862</v>
      </c>
      <c r="D1510" s="1032" t="s">
        <v>54</v>
      </c>
      <c r="E1510" s="413" t="s">
        <v>5785</v>
      </c>
      <c r="F1510" s="413">
        <v>591870.98</v>
      </c>
      <c r="G1510" s="403"/>
      <c r="H1510" s="402"/>
      <c r="I1510" s="402"/>
      <c r="J1510" s="402"/>
      <c r="K1510" s="402"/>
      <c r="L1510" s="402"/>
      <c r="M1510" s="402"/>
      <c r="N1510" s="402"/>
      <c r="O1510" s="402"/>
      <c r="P1510" s="402"/>
      <c r="Q1510" s="402"/>
      <c r="R1510" s="402"/>
      <c r="S1510" s="402"/>
      <c r="T1510" s="402"/>
      <c r="U1510" s="402"/>
      <c r="V1510" s="402"/>
      <c r="W1510" s="402"/>
      <c r="X1510" s="402"/>
      <c r="Y1510" s="402"/>
      <c r="Z1510" s="402"/>
    </row>
    <row r="1511" ht="14.25" customHeight="1">
      <c r="A1511" s="497">
        <v>45537.0</v>
      </c>
      <c r="B1511" s="349" t="s">
        <v>6105</v>
      </c>
      <c r="C1511" s="349" t="s">
        <v>6106</v>
      </c>
      <c r="D1511" s="1032" t="s">
        <v>54</v>
      </c>
      <c r="E1511" s="413" t="s">
        <v>6813</v>
      </c>
      <c r="F1511" s="413">
        <v>156376.28</v>
      </c>
      <c r="G1511" s="403"/>
      <c r="H1511" s="402"/>
      <c r="I1511" s="402"/>
      <c r="J1511" s="402"/>
      <c r="K1511" s="402"/>
      <c r="L1511" s="402"/>
      <c r="M1511" s="402"/>
      <c r="N1511" s="402"/>
      <c r="O1511" s="402"/>
      <c r="P1511" s="402"/>
      <c r="Q1511" s="402"/>
      <c r="R1511" s="402"/>
      <c r="S1511" s="402"/>
      <c r="T1511" s="402"/>
      <c r="U1511" s="402"/>
      <c r="V1511" s="402"/>
      <c r="W1511" s="402"/>
      <c r="X1511" s="402"/>
      <c r="Y1511" s="402"/>
      <c r="Z1511" s="402"/>
    </row>
    <row r="1512" ht="14.25" customHeight="1">
      <c r="A1512" s="497">
        <v>45537.0</v>
      </c>
      <c r="B1512" s="349" t="s">
        <v>6107</v>
      </c>
      <c r="C1512" s="349" t="s">
        <v>6108</v>
      </c>
      <c r="D1512" s="1032" t="s">
        <v>54</v>
      </c>
      <c r="E1512" s="413" t="s">
        <v>6511</v>
      </c>
      <c r="F1512" s="413">
        <v>33898.14</v>
      </c>
      <c r="G1512" s="403"/>
      <c r="H1512" s="402"/>
      <c r="I1512" s="402"/>
      <c r="J1512" s="402"/>
      <c r="K1512" s="402"/>
      <c r="L1512" s="402"/>
      <c r="M1512" s="402"/>
      <c r="N1512" s="402"/>
      <c r="O1512" s="402"/>
      <c r="P1512" s="402"/>
      <c r="Q1512" s="402"/>
      <c r="R1512" s="402"/>
      <c r="S1512" s="402"/>
      <c r="T1512" s="402"/>
      <c r="U1512" s="402"/>
      <c r="V1512" s="402"/>
      <c r="W1512" s="402"/>
      <c r="X1512" s="402"/>
      <c r="Y1512" s="402"/>
      <c r="Z1512" s="402"/>
    </row>
    <row r="1513" ht="14.25" customHeight="1">
      <c r="A1513" s="497">
        <v>45537.0</v>
      </c>
      <c r="B1513" s="349" t="s">
        <v>6109</v>
      </c>
      <c r="C1513" s="349" t="s">
        <v>6110</v>
      </c>
      <c r="D1513" s="1032" t="s">
        <v>75</v>
      </c>
      <c r="E1513" s="413" t="s">
        <v>6511</v>
      </c>
      <c r="F1513" s="413">
        <v>73386.19</v>
      </c>
      <c r="G1513" s="403"/>
      <c r="H1513" s="402"/>
      <c r="I1513" s="402"/>
      <c r="J1513" s="402"/>
      <c r="K1513" s="402"/>
      <c r="L1513" s="402"/>
      <c r="M1513" s="402"/>
      <c r="N1513" s="402"/>
      <c r="O1513" s="402"/>
      <c r="P1513" s="402"/>
      <c r="Q1513" s="402"/>
      <c r="R1513" s="402"/>
      <c r="S1513" s="402"/>
      <c r="T1513" s="402"/>
      <c r="U1513" s="402"/>
      <c r="V1513" s="402"/>
      <c r="W1513" s="402"/>
      <c r="X1513" s="402"/>
      <c r="Y1513" s="402"/>
      <c r="Z1513" s="402"/>
    </row>
    <row r="1514" ht="14.25" customHeight="1">
      <c r="A1514" s="497">
        <v>45537.0</v>
      </c>
      <c r="B1514" s="349" t="s">
        <v>6112</v>
      </c>
      <c r="C1514" s="349" t="s">
        <v>6113</v>
      </c>
      <c r="D1514" s="1032" t="s">
        <v>54</v>
      </c>
      <c r="E1514" s="413" t="s">
        <v>5785</v>
      </c>
      <c r="F1514" s="413">
        <v>42413.95</v>
      </c>
      <c r="G1514" s="403"/>
      <c r="H1514" s="402"/>
      <c r="I1514" s="402"/>
      <c r="J1514" s="402"/>
      <c r="K1514" s="402"/>
      <c r="L1514" s="402"/>
      <c r="M1514" s="402"/>
      <c r="N1514" s="402"/>
      <c r="O1514" s="402"/>
      <c r="P1514" s="402"/>
      <c r="Q1514" s="402"/>
      <c r="R1514" s="402"/>
      <c r="S1514" s="402"/>
      <c r="T1514" s="402"/>
      <c r="U1514" s="402"/>
      <c r="V1514" s="402"/>
      <c r="W1514" s="402"/>
      <c r="X1514" s="402"/>
      <c r="Y1514" s="402"/>
      <c r="Z1514" s="402"/>
    </row>
    <row r="1515" ht="14.25" customHeight="1">
      <c r="A1515" s="497">
        <v>45537.0</v>
      </c>
      <c r="B1515" s="349" t="s">
        <v>6925</v>
      </c>
      <c r="C1515" s="349" t="s">
        <v>3654</v>
      </c>
      <c r="D1515" s="1032" t="s">
        <v>59</v>
      </c>
      <c r="E1515" s="413" t="s">
        <v>5785</v>
      </c>
      <c r="F1515" s="413">
        <v>196667.0</v>
      </c>
      <c r="G1515" s="403"/>
      <c r="H1515" s="402"/>
      <c r="I1515" s="402"/>
      <c r="J1515" s="402"/>
      <c r="K1515" s="402"/>
      <c r="L1515" s="402"/>
      <c r="M1515" s="402"/>
      <c r="N1515" s="402"/>
      <c r="O1515" s="402"/>
      <c r="P1515" s="402"/>
      <c r="Q1515" s="402"/>
      <c r="R1515" s="402"/>
      <c r="S1515" s="402"/>
      <c r="T1515" s="402"/>
      <c r="U1515" s="402"/>
      <c r="V1515" s="402"/>
      <c r="W1515" s="402"/>
      <c r="X1515" s="402"/>
      <c r="Y1515" s="402"/>
      <c r="Z1515" s="402"/>
    </row>
    <row r="1516" ht="14.25" customHeight="1">
      <c r="A1516" s="497">
        <v>45537.0</v>
      </c>
      <c r="B1516" s="349" t="s">
        <v>6926</v>
      </c>
      <c r="C1516" s="349" t="s">
        <v>6174</v>
      </c>
      <c r="D1516" s="1032" t="s">
        <v>75</v>
      </c>
      <c r="E1516" s="413" t="s">
        <v>6813</v>
      </c>
      <c r="F1516" s="413">
        <v>287500.0</v>
      </c>
      <c r="G1516" s="403"/>
      <c r="H1516" s="402"/>
      <c r="I1516" s="402"/>
      <c r="J1516" s="402"/>
      <c r="K1516" s="402"/>
      <c r="L1516" s="402"/>
      <c r="M1516" s="402"/>
      <c r="N1516" s="402"/>
      <c r="O1516" s="402"/>
      <c r="P1516" s="402"/>
      <c r="Q1516" s="402"/>
      <c r="R1516" s="402"/>
      <c r="S1516" s="402"/>
      <c r="T1516" s="402"/>
      <c r="U1516" s="402"/>
      <c r="V1516" s="402"/>
      <c r="W1516" s="402"/>
      <c r="X1516" s="402"/>
      <c r="Y1516" s="402"/>
      <c r="Z1516" s="402"/>
    </row>
    <row r="1517" ht="14.25" customHeight="1">
      <c r="A1517" s="497">
        <v>45537.0</v>
      </c>
      <c r="B1517" s="349" t="s">
        <v>6927</v>
      </c>
      <c r="C1517" s="349" t="s">
        <v>5850</v>
      </c>
      <c r="D1517" s="1032" t="s">
        <v>75</v>
      </c>
      <c r="E1517" s="413" t="s">
        <v>6511</v>
      </c>
      <c r="F1517" s="413">
        <v>10000.0</v>
      </c>
      <c r="G1517" s="403"/>
      <c r="H1517" s="402"/>
      <c r="I1517" s="402"/>
      <c r="J1517" s="402"/>
      <c r="K1517" s="402"/>
      <c r="L1517" s="402"/>
      <c r="M1517" s="402"/>
      <c r="N1517" s="402"/>
      <c r="O1517" s="402"/>
      <c r="P1517" s="402"/>
      <c r="Q1517" s="402"/>
      <c r="R1517" s="402"/>
      <c r="S1517" s="402"/>
      <c r="T1517" s="402"/>
      <c r="U1517" s="402"/>
      <c r="V1517" s="402"/>
      <c r="W1517" s="402"/>
      <c r="X1517" s="402"/>
      <c r="Y1517" s="402"/>
      <c r="Z1517" s="402"/>
    </row>
    <row r="1518" ht="14.25" customHeight="1">
      <c r="A1518" s="497">
        <v>45537.0</v>
      </c>
      <c r="B1518" s="402"/>
      <c r="C1518" s="402"/>
      <c r="D1518" s="1034"/>
      <c r="E1518" s="413"/>
      <c r="F1518" s="403"/>
      <c r="G1518" s="403"/>
      <c r="H1518" s="402"/>
      <c r="I1518" s="402"/>
      <c r="J1518" s="402"/>
      <c r="K1518" s="402"/>
      <c r="L1518" s="402"/>
      <c r="M1518" s="402"/>
      <c r="N1518" s="402"/>
      <c r="O1518" s="402"/>
      <c r="P1518" s="402"/>
      <c r="Q1518" s="402"/>
      <c r="R1518" s="402"/>
      <c r="S1518" s="402"/>
      <c r="T1518" s="402"/>
      <c r="U1518" s="402"/>
      <c r="V1518" s="402"/>
      <c r="W1518" s="402"/>
      <c r="X1518" s="402"/>
      <c r="Y1518" s="402"/>
      <c r="Z1518" s="402"/>
    </row>
    <row r="1519" ht="14.25" customHeight="1">
      <c r="A1519" s="497">
        <v>45537.0</v>
      </c>
      <c r="B1519" s="349" t="s">
        <v>6928</v>
      </c>
      <c r="C1519" s="349" t="s">
        <v>6929</v>
      </c>
      <c r="D1519" s="1032" t="s">
        <v>54</v>
      </c>
      <c r="E1519" s="413" t="s">
        <v>6511</v>
      </c>
      <c r="F1519" s="413">
        <v>157076.08</v>
      </c>
      <c r="G1519" s="403"/>
      <c r="H1519" s="402"/>
      <c r="I1519" s="402"/>
      <c r="J1519" s="402"/>
      <c r="K1519" s="402"/>
      <c r="L1519" s="402"/>
      <c r="M1519" s="402"/>
      <c r="N1519" s="402"/>
      <c r="O1519" s="402"/>
      <c r="P1519" s="402"/>
      <c r="Q1519" s="402"/>
      <c r="R1519" s="402"/>
      <c r="S1519" s="402"/>
      <c r="T1519" s="402"/>
      <c r="U1519" s="402"/>
      <c r="V1519" s="402"/>
      <c r="W1519" s="402"/>
      <c r="X1519" s="402"/>
      <c r="Y1519" s="402"/>
      <c r="Z1519" s="402"/>
    </row>
    <row r="1520" ht="14.25" customHeight="1">
      <c r="A1520" s="497">
        <v>45537.0</v>
      </c>
      <c r="B1520" s="349" t="s">
        <v>6044</v>
      </c>
      <c r="C1520" s="349" t="s">
        <v>6045</v>
      </c>
      <c r="D1520" s="1032" t="s">
        <v>59</v>
      </c>
      <c r="E1520" s="413" t="s">
        <v>6813</v>
      </c>
      <c r="F1520" s="413">
        <v>148091.62</v>
      </c>
      <c r="G1520" s="403"/>
      <c r="H1520" s="402"/>
      <c r="I1520" s="402"/>
      <c r="J1520" s="402"/>
      <c r="K1520" s="402"/>
      <c r="L1520" s="402"/>
      <c r="M1520" s="402"/>
      <c r="N1520" s="402"/>
      <c r="O1520" s="402"/>
      <c r="P1520" s="402"/>
      <c r="Q1520" s="402"/>
      <c r="R1520" s="402"/>
      <c r="S1520" s="402"/>
      <c r="T1520" s="402"/>
      <c r="U1520" s="402"/>
      <c r="V1520" s="402"/>
      <c r="W1520" s="402"/>
      <c r="X1520" s="402"/>
      <c r="Y1520" s="402"/>
      <c r="Z1520" s="402"/>
    </row>
    <row r="1521" ht="14.25" customHeight="1">
      <c r="A1521" s="497">
        <v>45537.0</v>
      </c>
      <c r="B1521" s="349" t="s">
        <v>6046</v>
      </c>
      <c r="C1521" s="349" t="s">
        <v>6047</v>
      </c>
      <c r="D1521" s="1032" t="s">
        <v>54</v>
      </c>
      <c r="E1521" s="413" t="s">
        <v>6813</v>
      </c>
      <c r="F1521" s="413">
        <v>66160.82</v>
      </c>
      <c r="G1521" s="403"/>
      <c r="H1521" s="402"/>
      <c r="I1521" s="402"/>
      <c r="J1521" s="402"/>
      <c r="K1521" s="402"/>
      <c r="L1521" s="402"/>
      <c r="M1521" s="402"/>
      <c r="N1521" s="402"/>
      <c r="O1521" s="402"/>
      <c r="P1521" s="402"/>
      <c r="Q1521" s="402"/>
      <c r="R1521" s="402"/>
      <c r="S1521" s="402"/>
      <c r="T1521" s="402"/>
      <c r="U1521" s="402"/>
      <c r="V1521" s="402"/>
      <c r="W1521" s="402"/>
      <c r="X1521" s="402"/>
      <c r="Y1521" s="402"/>
      <c r="Z1521" s="402"/>
    </row>
    <row r="1522" ht="14.25" customHeight="1">
      <c r="A1522" s="497">
        <v>45537.0</v>
      </c>
      <c r="B1522" s="349" t="s">
        <v>6049</v>
      </c>
      <c r="C1522" s="349" t="s">
        <v>6050</v>
      </c>
      <c r="D1522" s="1032" t="s">
        <v>54</v>
      </c>
      <c r="E1522" s="413" t="s">
        <v>5785</v>
      </c>
      <c r="F1522" s="413">
        <v>8423.09</v>
      </c>
      <c r="G1522" s="403"/>
      <c r="H1522" s="402"/>
      <c r="I1522" s="402"/>
      <c r="J1522" s="402"/>
      <c r="K1522" s="402"/>
      <c r="L1522" s="402"/>
      <c r="M1522" s="402"/>
      <c r="N1522" s="402"/>
      <c r="O1522" s="402"/>
      <c r="P1522" s="402"/>
      <c r="Q1522" s="402"/>
      <c r="R1522" s="402"/>
      <c r="S1522" s="402"/>
      <c r="T1522" s="402"/>
      <c r="U1522" s="402"/>
      <c r="V1522" s="402"/>
      <c r="W1522" s="402"/>
      <c r="X1522" s="402"/>
      <c r="Y1522" s="402"/>
      <c r="Z1522" s="402"/>
    </row>
    <row r="1523" ht="14.25" customHeight="1">
      <c r="A1523" s="497">
        <v>45537.0</v>
      </c>
      <c r="B1523" s="349" t="s">
        <v>6051</v>
      </c>
      <c r="C1523" s="349" t="s">
        <v>6052</v>
      </c>
      <c r="D1523" s="1032" t="s">
        <v>54</v>
      </c>
      <c r="E1523" s="413" t="s">
        <v>5785</v>
      </c>
      <c r="F1523" s="413">
        <v>54673.76</v>
      </c>
      <c r="G1523" s="403"/>
      <c r="H1523" s="402"/>
      <c r="I1523" s="402"/>
      <c r="J1523" s="402"/>
      <c r="K1523" s="402"/>
      <c r="L1523" s="402"/>
      <c r="M1523" s="402"/>
      <c r="N1523" s="402"/>
      <c r="O1523" s="402"/>
      <c r="P1523" s="402"/>
      <c r="Q1523" s="402"/>
      <c r="R1523" s="402"/>
      <c r="S1523" s="402"/>
      <c r="T1523" s="402"/>
      <c r="U1523" s="402"/>
      <c r="V1523" s="402"/>
      <c r="W1523" s="402"/>
      <c r="X1523" s="402"/>
      <c r="Y1523" s="402"/>
      <c r="Z1523" s="402"/>
    </row>
    <row r="1524" ht="14.25" customHeight="1">
      <c r="A1524" s="497">
        <v>45537.0</v>
      </c>
      <c r="B1524" s="349" t="s">
        <v>6060</v>
      </c>
      <c r="C1524" s="349" t="s">
        <v>6058</v>
      </c>
      <c r="D1524" s="1032" t="s">
        <v>346</v>
      </c>
      <c r="E1524" s="413" t="s">
        <v>6531</v>
      </c>
      <c r="F1524" s="413">
        <v>5999.66</v>
      </c>
      <c r="G1524" s="403"/>
      <c r="H1524" s="402"/>
      <c r="I1524" s="402"/>
      <c r="J1524" s="402"/>
      <c r="K1524" s="402"/>
      <c r="L1524" s="402"/>
      <c r="M1524" s="402"/>
      <c r="N1524" s="402"/>
      <c r="O1524" s="402"/>
      <c r="P1524" s="402"/>
      <c r="Q1524" s="402"/>
      <c r="R1524" s="402"/>
      <c r="S1524" s="402"/>
      <c r="T1524" s="402"/>
      <c r="U1524" s="402"/>
      <c r="V1524" s="402"/>
      <c r="W1524" s="402"/>
      <c r="X1524" s="402"/>
      <c r="Y1524" s="402"/>
      <c r="Z1524" s="402"/>
    </row>
    <row r="1525" ht="14.25" customHeight="1">
      <c r="A1525" s="497">
        <v>45537.0</v>
      </c>
      <c r="B1525" s="349" t="s">
        <v>6061</v>
      </c>
      <c r="C1525" s="349" t="s">
        <v>6062</v>
      </c>
      <c r="D1525" s="1032" t="s">
        <v>59</v>
      </c>
      <c r="E1525" s="413" t="s">
        <v>6813</v>
      </c>
      <c r="F1525" s="413">
        <v>2921495.45</v>
      </c>
      <c r="G1525" s="403"/>
      <c r="H1525" s="402"/>
      <c r="I1525" s="402"/>
      <c r="J1525" s="402"/>
      <c r="K1525" s="402"/>
      <c r="L1525" s="402"/>
      <c r="M1525" s="402"/>
      <c r="N1525" s="402"/>
      <c r="O1525" s="402"/>
      <c r="P1525" s="402"/>
      <c r="Q1525" s="402"/>
      <c r="R1525" s="402"/>
      <c r="S1525" s="402"/>
      <c r="T1525" s="402"/>
      <c r="U1525" s="402"/>
      <c r="V1525" s="402"/>
      <c r="W1525" s="402"/>
      <c r="X1525" s="402"/>
      <c r="Y1525" s="402"/>
      <c r="Z1525" s="402"/>
    </row>
    <row r="1526" ht="14.25" customHeight="1">
      <c r="A1526" s="497">
        <v>45537.0</v>
      </c>
      <c r="B1526" s="349" t="s">
        <v>6065</v>
      </c>
      <c r="C1526" s="349" t="s">
        <v>6066</v>
      </c>
      <c r="D1526" s="1032" t="s">
        <v>54</v>
      </c>
      <c r="E1526" s="413" t="s">
        <v>5785</v>
      </c>
      <c r="F1526" s="413">
        <v>23355.15</v>
      </c>
      <c r="G1526" s="403"/>
      <c r="H1526" s="402"/>
      <c r="I1526" s="402"/>
      <c r="J1526" s="402"/>
      <c r="K1526" s="402"/>
      <c r="L1526" s="402"/>
      <c r="M1526" s="402"/>
      <c r="N1526" s="402"/>
      <c r="O1526" s="402"/>
      <c r="P1526" s="402"/>
      <c r="Q1526" s="402"/>
      <c r="R1526" s="402"/>
      <c r="S1526" s="402"/>
      <c r="T1526" s="402"/>
      <c r="U1526" s="402"/>
      <c r="V1526" s="402"/>
      <c r="W1526" s="402"/>
      <c r="X1526" s="402"/>
      <c r="Y1526" s="402"/>
      <c r="Z1526" s="402"/>
    </row>
    <row r="1527" ht="14.25" customHeight="1">
      <c r="A1527" s="497">
        <v>45537.0</v>
      </c>
      <c r="B1527" s="349" t="s">
        <v>6930</v>
      </c>
      <c r="C1527" s="349" t="s">
        <v>6931</v>
      </c>
      <c r="D1527" s="1032" t="s">
        <v>54</v>
      </c>
      <c r="E1527" s="413" t="s">
        <v>6813</v>
      </c>
      <c r="F1527" s="413">
        <v>19040.0</v>
      </c>
      <c r="G1527" s="403"/>
      <c r="H1527" s="402"/>
      <c r="I1527" s="402"/>
      <c r="J1527" s="402"/>
      <c r="K1527" s="402"/>
      <c r="L1527" s="402"/>
      <c r="M1527" s="402"/>
      <c r="N1527" s="402"/>
      <c r="O1527" s="402"/>
      <c r="P1527" s="402"/>
      <c r="Q1527" s="402"/>
      <c r="R1527" s="402"/>
      <c r="S1527" s="402"/>
      <c r="T1527" s="402"/>
      <c r="U1527" s="402"/>
      <c r="V1527" s="402"/>
      <c r="W1527" s="402"/>
      <c r="X1527" s="402"/>
      <c r="Y1527" s="402"/>
      <c r="Z1527" s="402"/>
    </row>
    <row r="1528" ht="14.25" customHeight="1">
      <c r="A1528" s="497">
        <v>45537.0</v>
      </c>
      <c r="B1528" s="349" t="s">
        <v>6932</v>
      </c>
      <c r="C1528" s="349" t="s">
        <v>6931</v>
      </c>
      <c r="D1528" s="1032" t="s">
        <v>346</v>
      </c>
      <c r="E1528" s="413" t="s">
        <v>6511</v>
      </c>
      <c r="F1528" s="413">
        <v>4224.0</v>
      </c>
      <c r="G1528" s="403"/>
      <c r="H1528" s="402"/>
      <c r="I1528" s="402"/>
      <c r="J1528" s="402"/>
      <c r="K1528" s="402"/>
      <c r="L1528" s="402"/>
      <c r="M1528" s="402"/>
      <c r="N1528" s="402"/>
      <c r="O1528" s="402"/>
      <c r="P1528" s="402"/>
      <c r="Q1528" s="402"/>
      <c r="R1528" s="402"/>
      <c r="S1528" s="402"/>
      <c r="T1528" s="402"/>
      <c r="U1528" s="402"/>
      <c r="V1528" s="402"/>
      <c r="W1528" s="402"/>
      <c r="X1528" s="402"/>
      <c r="Y1528" s="402"/>
      <c r="Z1528" s="402"/>
    </row>
    <row r="1529" ht="14.25" customHeight="1">
      <c r="A1529" s="497">
        <v>45537.0</v>
      </c>
      <c r="B1529" s="349" t="s">
        <v>6118</v>
      </c>
      <c r="C1529" s="349" t="s">
        <v>6119</v>
      </c>
      <c r="D1529" s="1032" t="s">
        <v>54</v>
      </c>
      <c r="E1529" s="413" t="s">
        <v>5785</v>
      </c>
      <c r="F1529" s="413">
        <v>16500.0</v>
      </c>
      <c r="G1529" s="403"/>
      <c r="H1529" s="402"/>
      <c r="I1529" s="402"/>
      <c r="J1529" s="402"/>
      <c r="K1529" s="402"/>
      <c r="L1529" s="402"/>
      <c r="M1529" s="402"/>
      <c r="N1529" s="402"/>
      <c r="O1529" s="402"/>
      <c r="P1529" s="402"/>
      <c r="Q1529" s="402"/>
      <c r="R1529" s="402"/>
      <c r="S1529" s="402"/>
      <c r="T1529" s="402"/>
      <c r="U1529" s="402"/>
      <c r="V1529" s="402"/>
      <c r="W1529" s="402"/>
      <c r="X1529" s="402"/>
      <c r="Y1529" s="402"/>
      <c r="Z1529" s="402"/>
    </row>
    <row r="1530" ht="14.25" customHeight="1">
      <c r="A1530" s="497">
        <v>45537.0</v>
      </c>
      <c r="B1530" s="402"/>
      <c r="C1530" s="402"/>
      <c r="D1530" s="1034"/>
      <c r="E1530" s="413"/>
      <c r="F1530" s="403"/>
      <c r="G1530" s="403"/>
      <c r="H1530" s="402"/>
      <c r="I1530" s="402"/>
      <c r="J1530" s="402"/>
      <c r="K1530" s="402"/>
      <c r="L1530" s="402"/>
      <c r="M1530" s="402"/>
      <c r="N1530" s="402"/>
      <c r="O1530" s="402"/>
      <c r="P1530" s="402"/>
      <c r="Q1530" s="402"/>
      <c r="R1530" s="402"/>
      <c r="S1530" s="402"/>
      <c r="T1530" s="402"/>
      <c r="U1530" s="402"/>
      <c r="V1530" s="402"/>
      <c r="W1530" s="402"/>
      <c r="X1530" s="402"/>
      <c r="Y1530" s="402"/>
      <c r="Z1530" s="402"/>
    </row>
    <row r="1531" ht="14.25" customHeight="1">
      <c r="A1531" s="497">
        <v>45537.0</v>
      </c>
      <c r="B1531" s="402"/>
      <c r="C1531" s="402"/>
      <c r="D1531" s="1034"/>
      <c r="E1531" s="413"/>
      <c r="F1531" s="403"/>
      <c r="G1531" s="403"/>
      <c r="H1531" s="402"/>
      <c r="I1531" s="402"/>
      <c r="J1531" s="402"/>
      <c r="K1531" s="402"/>
      <c r="L1531" s="402"/>
      <c r="M1531" s="402"/>
      <c r="N1531" s="402"/>
      <c r="O1531" s="402"/>
      <c r="P1531" s="402"/>
      <c r="Q1531" s="402"/>
      <c r="R1531" s="402"/>
      <c r="S1531" s="402"/>
      <c r="T1531" s="402"/>
      <c r="U1531" s="402"/>
      <c r="V1531" s="402"/>
      <c r="W1531" s="402"/>
      <c r="X1531" s="402"/>
      <c r="Y1531" s="402"/>
      <c r="Z1531" s="402"/>
    </row>
    <row r="1532" ht="14.25" customHeight="1">
      <c r="A1532" s="497">
        <v>45537.0</v>
      </c>
      <c r="B1532" s="467" t="s">
        <v>6676</v>
      </c>
      <c r="C1532" s="468" t="s">
        <v>6848</v>
      </c>
      <c r="D1532" s="796" t="s">
        <v>54</v>
      </c>
      <c r="E1532" s="468" t="s">
        <v>4114</v>
      </c>
      <c r="F1532" s="727">
        <v>153492.31</v>
      </c>
      <c r="G1532" s="796"/>
      <c r="H1532" s="468"/>
      <c r="I1532" s="402"/>
      <c r="J1532" s="402"/>
      <c r="K1532" s="402"/>
      <c r="L1532" s="402"/>
      <c r="M1532" s="402"/>
      <c r="N1532" s="402"/>
      <c r="O1532" s="402"/>
      <c r="P1532" s="402"/>
      <c r="Q1532" s="402"/>
      <c r="R1532" s="402"/>
      <c r="S1532" s="402"/>
      <c r="T1532" s="402"/>
      <c r="U1532" s="402"/>
      <c r="V1532" s="402"/>
      <c r="W1532" s="402"/>
      <c r="X1532" s="402"/>
      <c r="Y1532" s="402"/>
      <c r="Z1532" s="402"/>
    </row>
    <row r="1533" ht="14.25" customHeight="1">
      <c r="A1533" s="497">
        <v>45537.0</v>
      </c>
      <c r="B1533" s="473" t="s">
        <v>5647</v>
      </c>
      <c r="C1533" s="352" t="s">
        <v>6305</v>
      </c>
      <c r="D1533" s="1133" t="s">
        <v>54</v>
      </c>
      <c r="E1533" s="352" t="s">
        <v>4114</v>
      </c>
      <c r="F1533" s="474">
        <v>87000.0</v>
      </c>
      <c r="G1533" s="1133"/>
      <c r="H1533" s="352"/>
      <c r="I1533" s="402"/>
      <c r="J1533" s="402"/>
      <c r="K1533" s="402"/>
      <c r="L1533" s="402"/>
      <c r="M1533" s="402"/>
      <c r="N1533" s="402"/>
      <c r="O1533" s="402"/>
      <c r="P1533" s="402"/>
      <c r="Q1533" s="402"/>
      <c r="R1533" s="402"/>
      <c r="S1533" s="402"/>
      <c r="T1533" s="402"/>
      <c r="U1533" s="402"/>
      <c r="V1533" s="402"/>
      <c r="W1533" s="402"/>
      <c r="X1533" s="402"/>
      <c r="Y1533" s="402"/>
      <c r="Z1533" s="402"/>
    </row>
    <row r="1534" ht="14.25" customHeight="1">
      <c r="A1534" s="497">
        <v>45537.0</v>
      </c>
      <c r="B1534" s="473" t="s">
        <v>5687</v>
      </c>
      <c r="C1534" s="352" t="s">
        <v>5978</v>
      </c>
      <c r="D1534" s="1133" t="s">
        <v>54</v>
      </c>
      <c r="E1534" s="352" t="s">
        <v>4114</v>
      </c>
      <c r="F1534" s="474">
        <v>100000.0</v>
      </c>
      <c r="G1534" s="1133"/>
      <c r="H1534" s="352"/>
      <c r="I1534" s="402"/>
      <c r="J1534" s="402"/>
      <c r="K1534" s="402"/>
      <c r="L1534" s="402"/>
      <c r="M1534" s="402"/>
      <c r="N1534" s="402"/>
      <c r="O1534" s="402"/>
      <c r="P1534" s="402"/>
      <c r="Q1534" s="402"/>
      <c r="R1534" s="402"/>
      <c r="S1534" s="402"/>
      <c r="T1534" s="402"/>
      <c r="U1534" s="402"/>
      <c r="V1534" s="402"/>
      <c r="W1534" s="402"/>
      <c r="X1534" s="402"/>
      <c r="Y1534" s="402"/>
      <c r="Z1534" s="402"/>
    </row>
    <row r="1535" ht="14.25" customHeight="1">
      <c r="A1535" s="497">
        <v>45537.0</v>
      </c>
      <c r="B1535" s="473" t="s">
        <v>5679</v>
      </c>
      <c r="C1535" s="352" t="s">
        <v>5680</v>
      </c>
      <c r="D1535" s="1133" t="s">
        <v>54</v>
      </c>
      <c r="E1535" s="352" t="s">
        <v>4114</v>
      </c>
      <c r="F1535" s="474">
        <v>25000.0</v>
      </c>
      <c r="G1535" s="1133"/>
      <c r="H1535" s="352"/>
      <c r="I1535" s="402"/>
      <c r="J1535" s="402"/>
      <c r="K1535" s="402"/>
      <c r="L1535" s="402"/>
      <c r="M1535" s="402"/>
      <c r="N1535" s="402"/>
      <c r="O1535" s="402"/>
      <c r="P1535" s="402"/>
      <c r="Q1535" s="402"/>
      <c r="R1535" s="402"/>
      <c r="S1535" s="402"/>
      <c r="T1535" s="402"/>
      <c r="U1535" s="402"/>
      <c r="V1535" s="402"/>
      <c r="W1535" s="402"/>
      <c r="X1535" s="402"/>
      <c r="Y1535" s="402"/>
      <c r="Z1535" s="402"/>
    </row>
    <row r="1536" ht="14.25" customHeight="1">
      <c r="A1536" s="497">
        <v>45537.0</v>
      </c>
      <c r="B1536" s="473" t="s">
        <v>6194</v>
      </c>
      <c r="C1536" s="352" t="s">
        <v>6923</v>
      </c>
      <c r="D1536" s="1133" t="s">
        <v>54</v>
      </c>
      <c r="E1536" s="352" t="s">
        <v>4114</v>
      </c>
      <c r="F1536" s="474">
        <v>130708.32</v>
      </c>
      <c r="G1536" s="1133"/>
      <c r="H1536" s="352"/>
      <c r="I1536" s="402"/>
      <c r="J1536" s="402"/>
      <c r="K1536" s="402"/>
      <c r="L1536" s="402"/>
      <c r="M1536" s="402"/>
      <c r="N1536" s="402"/>
      <c r="O1536" s="402"/>
      <c r="P1536" s="402"/>
      <c r="Q1536" s="402"/>
      <c r="R1536" s="402"/>
      <c r="S1536" s="402"/>
      <c r="T1536" s="402"/>
      <c r="U1536" s="402"/>
      <c r="V1536" s="402"/>
      <c r="W1536" s="402"/>
      <c r="X1536" s="402"/>
      <c r="Y1536" s="402"/>
      <c r="Z1536" s="402"/>
    </row>
    <row r="1537" ht="14.25" customHeight="1">
      <c r="A1537" s="497">
        <v>45537.0</v>
      </c>
      <c r="B1537" s="472" t="s">
        <v>6477</v>
      </c>
      <c r="C1537" s="396" t="s">
        <v>6811</v>
      </c>
      <c r="D1537" s="353" t="s">
        <v>54</v>
      </c>
      <c r="E1537" s="396" t="s">
        <v>2165</v>
      </c>
      <c r="F1537" s="394">
        <v>34000.0</v>
      </c>
      <c r="G1537" s="353"/>
      <c r="H1537" s="396"/>
      <c r="I1537" s="402"/>
      <c r="J1537" s="402"/>
      <c r="K1537" s="402"/>
      <c r="L1537" s="402"/>
      <c r="M1537" s="402"/>
      <c r="N1537" s="402"/>
      <c r="O1537" s="402"/>
      <c r="P1537" s="402"/>
      <c r="Q1537" s="402"/>
      <c r="R1537" s="402"/>
      <c r="S1537" s="402"/>
      <c r="T1537" s="402"/>
      <c r="U1537" s="402"/>
      <c r="V1537" s="402"/>
      <c r="W1537" s="402"/>
      <c r="X1537" s="402"/>
      <c r="Y1537" s="402"/>
      <c r="Z1537" s="402"/>
    </row>
    <row r="1538" ht="14.25" customHeight="1">
      <c r="A1538" s="497">
        <v>45537.0</v>
      </c>
      <c r="B1538" s="472" t="s">
        <v>5682</v>
      </c>
      <c r="C1538" s="396" t="s">
        <v>5683</v>
      </c>
      <c r="D1538" s="353" t="s">
        <v>54</v>
      </c>
      <c r="E1538" s="396" t="s">
        <v>2165</v>
      </c>
      <c r="F1538" s="394">
        <v>500000.0</v>
      </c>
      <c r="G1538" s="353"/>
      <c r="H1538" s="396"/>
      <c r="I1538" s="402"/>
      <c r="J1538" s="402"/>
      <c r="K1538" s="402"/>
      <c r="L1538" s="402"/>
      <c r="M1538" s="402"/>
      <c r="N1538" s="402"/>
      <c r="O1538" s="402"/>
      <c r="P1538" s="402"/>
      <c r="Q1538" s="402"/>
      <c r="R1538" s="402"/>
      <c r="S1538" s="402"/>
      <c r="T1538" s="402"/>
      <c r="U1538" s="402"/>
      <c r="V1538" s="402"/>
      <c r="W1538" s="402"/>
      <c r="X1538" s="402"/>
      <c r="Y1538" s="402"/>
      <c r="Z1538" s="402"/>
    </row>
    <row r="1539" ht="14.25" customHeight="1">
      <c r="A1539" s="497">
        <v>45537.0</v>
      </c>
      <c r="B1539" s="472" t="s">
        <v>6249</v>
      </c>
      <c r="C1539" s="396" t="s">
        <v>6538</v>
      </c>
      <c r="D1539" s="353" t="s">
        <v>54</v>
      </c>
      <c r="E1539" s="396" t="s">
        <v>2165</v>
      </c>
      <c r="F1539" s="394">
        <v>500000.0</v>
      </c>
      <c r="G1539" s="353"/>
      <c r="H1539" s="396"/>
      <c r="I1539" s="402"/>
      <c r="J1539" s="402"/>
      <c r="K1539" s="402"/>
      <c r="L1539" s="402"/>
      <c r="M1539" s="402"/>
      <c r="N1539" s="402"/>
      <c r="O1539" s="402"/>
      <c r="P1539" s="402"/>
      <c r="Q1539" s="402"/>
      <c r="R1539" s="402"/>
      <c r="S1539" s="402"/>
      <c r="T1539" s="402"/>
      <c r="U1539" s="402"/>
      <c r="V1539" s="402"/>
      <c r="W1539" s="402"/>
      <c r="X1539" s="402"/>
      <c r="Y1539" s="402"/>
      <c r="Z1539" s="402"/>
    </row>
    <row r="1540" ht="14.25" customHeight="1">
      <c r="A1540" s="497">
        <v>45537.0</v>
      </c>
      <c r="B1540" s="472" t="s">
        <v>5792</v>
      </c>
      <c r="C1540" s="396" t="s">
        <v>6886</v>
      </c>
      <c r="D1540" s="353" t="s">
        <v>54</v>
      </c>
      <c r="E1540" s="396" t="s">
        <v>2165</v>
      </c>
      <c r="F1540" s="394">
        <v>230000.0</v>
      </c>
      <c r="G1540" s="353"/>
      <c r="H1540" s="396"/>
      <c r="I1540" s="402"/>
      <c r="J1540" s="402"/>
      <c r="K1540" s="402"/>
      <c r="L1540" s="402"/>
      <c r="M1540" s="402"/>
      <c r="N1540" s="402"/>
      <c r="O1540" s="402"/>
      <c r="P1540" s="402"/>
      <c r="Q1540" s="402"/>
      <c r="R1540" s="402"/>
      <c r="S1540" s="402"/>
      <c r="T1540" s="402"/>
      <c r="U1540" s="402"/>
      <c r="V1540" s="402"/>
      <c r="W1540" s="402"/>
      <c r="X1540" s="402"/>
      <c r="Y1540" s="402"/>
      <c r="Z1540" s="402"/>
    </row>
    <row r="1541" ht="14.25" customHeight="1">
      <c r="A1541" s="1095"/>
      <c r="B1541" s="1094"/>
      <c r="C1541" s="1094"/>
      <c r="D1541" s="1096"/>
      <c r="E1541" s="1097"/>
      <c r="F1541" s="1097"/>
      <c r="G1541" s="1097"/>
      <c r="H1541" s="1094"/>
      <c r="I1541" s="1094"/>
      <c r="J1541" s="1094"/>
      <c r="K1541" s="1094"/>
      <c r="L1541" s="1094"/>
      <c r="M1541" s="1094"/>
      <c r="N1541" s="1094"/>
      <c r="O1541" s="1094"/>
      <c r="P1541" s="1094"/>
      <c r="Q1541" s="1094"/>
      <c r="R1541" s="1094"/>
      <c r="S1541" s="1094"/>
      <c r="T1541" s="1094"/>
      <c r="U1541" s="1094"/>
      <c r="V1541" s="1094"/>
      <c r="W1541" s="1094"/>
      <c r="X1541" s="1094"/>
      <c r="Y1541" s="1094"/>
      <c r="Z1541" s="1094"/>
    </row>
    <row r="1542" ht="14.25" customHeight="1">
      <c r="A1542" s="497">
        <v>45538.0</v>
      </c>
      <c r="B1542" s="349" t="s">
        <v>6142</v>
      </c>
      <c r="C1542" s="349" t="s">
        <v>6143</v>
      </c>
      <c r="D1542" s="1032" t="s">
        <v>54</v>
      </c>
      <c r="E1542" s="413" t="s">
        <v>6763</v>
      </c>
      <c r="F1542" s="413">
        <v>22826.0</v>
      </c>
      <c r="G1542" s="403"/>
      <c r="H1542" s="402"/>
      <c r="I1542" s="402"/>
      <c r="J1542" s="402"/>
      <c r="K1542" s="402"/>
      <c r="L1542" s="402"/>
      <c r="M1542" s="402"/>
      <c r="N1542" s="402"/>
      <c r="O1542" s="402"/>
      <c r="P1542" s="402"/>
      <c r="Q1542" s="402"/>
      <c r="R1542" s="402"/>
      <c r="S1542" s="402"/>
      <c r="T1542" s="402"/>
      <c r="U1542" s="402"/>
      <c r="V1542" s="402"/>
      <c r="W1542" s="402"/>
      <c r="X1542" s="402"/>
      <c r="Y1542" s="402"/>
      <c r="Z1542" s="402"/>
    </row>
    <row r="1543" ht="14.25" customHeight="1">
      <c r="A1543" s="497">
        <v>45538.0</v>
      </c>
      <c r="B1543" s="349" t="s">
        <v>6144</v>
      </c>
      <c r="C1543" s="349" t="s">
        <v>6145</v>
      </c>
      <c r="D1543" s="1032" t="s">
        <v>54</v>
      </c>
      <c r="E1543" s="413" t="s">
        <v>6813</v>
      </c>
      <c r="F1543" s="413">
        <v>31703.39</v>
      </c>
      <c r="G1543" s="403"/>
      <c r="H1543" s="402"/>
      <c r="I1543" s="402"/>
      <c r="J1543" s="402"/>
      <c r="K1543" s="402"/>
      <c r="L1543" s="402"/>
      <c r="M1543" s="402"/>
      <c r="N1543" s="402"/>
      <c r="O1543" s="402"/>
      <c r="P1543" s="402"/>
      <c r="Q1543" s="402"/>
      <c r="R1543" s="402"/>
      <c r="S1543" s="402"/>
      <c r="T1543" s="402"/>
      <c r="U1543" s="402"/>
      <c r="V1543" s="402"/>
      <c r="W1543" s="402"/>
      <c r="X1543" s="402"/>
      <c r="Y1543" s="402"/>
      <c r="Z1543" s="402"/>
    </row>
    <row r="1544" ht="14.25" customHeight="1">
      <c r="A1544" s="497">
        <v>45538.0</v>
      </c>
      <c r="B1544" s="349" t="s">
        <v>5872</v>
      </c>
      <c r="C1544" s="349" t="s">
        <v>6146</v>
      </c>
      <c r="D1544" s="1032" t="s">
        <v>54</v>
      </c>
      <c r="E1544" s="413" t="s">
        <v>5785</v>
      </c>
      <c r="F1544" s="413">
        <v>35685.94</v>
      </c>
      <c r="G1544" s="403"/>
      <c r="H1544" s="402"/>
      <c r="I1544" s="402"/>
      <c r="J1544" s="402"/>
      <c r="K1544" s="402"/>
      <c r="L1544" s="402"/>
      <c r="M1544" s="402"/>
      <c r="N1544" s="402"/>
      <c r="O1544" s="402"/>
      <c r="P1544" s="402"/>
      <c r="Q1544" s="402"/>
      <c r="R1544" s="402"/>
      <c r="S1544" s="402"/>
      <c r="T1544" s="402"/>
      <c r="U1544" s="402"/>
      <c r="V1544" s="402"/>
      <c r="W1544" s="402"/>
      <c r="X1544" s="402"/>
      <c r="Y1544" s="402"/>
      <c r="Z1544" s="402"/>
    </row>
    <row r="1545" ht="14.25" customHeight="1">
      <c r="A1545" s="497">
        <v>45538.0</v>
      </c>
      <c r="B1545" s="349" t="s">
        <v>5687</v>
      </c>
      <c r="C1545" s="349" t="s">
        <v>6933</v>
      </c>
      <c r="D1545" s="1032" t="s">
        <v>54</v>
      </c>
      <c r="E1545" s="413" t="s">
        <v>5785</v>
      </c>
      <c r="F1545" s="413">
        <v>525509.36</v>
      </c>
      <c r="G1545" s="403"/>
      <c r="H1545" s="402"/>
      <c r="I1545" s="402"/>
      <c r="J1545" s="402"/>
      <c r="K1545" s="402"/>
      <c r="L1545" s="402"/>
      <c r="M1545" s="402"/>
      <c r="N1545" s="402"/>
      <c r="O1545" s="402"/>
      <c r="P1545" s="402"/>
      <c r="Q1545" s="402"/>
      <c r="R1545" s="402"/>
      <c r="S1545" s="402"/>
      <c r="T1545" s="402"/>
      <c r="U1545" s="402"/>
      <c r="V1545" s="402"/>
      <c r="W1545" s="402"/>
      <c r="X1545" s="402"/>
      <c r="Y1545" s="402"/>
      <c r="Z1545" s="402"/>
    </row>
    <row r="1546" ht="14.25" customHeight="1">
      <c r="A1546" s="497">
        <v>45538.0</v>
      </c>
      <c r="B1546" s="349" t="s">
        <v>6148</v>
      </c>
      <c r="C1546" s="349" t="s">
        <v>6149</v>
      </c>
      <c r="D1546" s="1032" t="s">
        <v>54</v>
      </c>
      <c r="E1546" s="413" t="s">
        <v>6531</v>
      </c>
      <c r="F1546" s="413">
        <v>43696.04</v>
      </c>
      <c r="G1546" s="403"/>
      <c r="H1546" s="402"/>
      <c r="I1546" s="402"/>
      <c r="J1546" s="402"/>
      <c r="K1546" s="402"/>
      <c r="L1546" s="402"/>
      <c r="M1546" s="402"/>
      <c r="N1546" s="402"/>
      <c r="O1546" s="402"/>
      <c r="P1546" s="402"/>
      <c r="Q1546" s="402"/>
      <c r="R1546" s="402"/>
      <c r="S1546" s="402"/>
      <c r="T1546" s="402"/>
      <c r="U1546" s="402"/>
      <c r="V1546" s="402"/>
      <c r="W1546" s="402"/>
      <c r="X1546" s="402"/>
      <c r="Y1546" s="402"/>
      <c r="Z1546" s="402"/>
    </row>
    <row r="1547" ht="14.25" customHeight="1">
      <c r="A1547" s="497">
        <v>45538.0</v>
      </c>
      <c r="B1547" s="349" t="s">
        <v>6150</v>
      </c>
      <c r="C1547" s="349" t="s">
        <v>6151</v>
      </c>
      <c r="D1547" s="1032" t="s">
        <v>67</v>
      </c>
      <c r="E1547" s="413" t="s">
        <v>6813</v>
      </c>
      <c r="F1547" s="413">
        <v>686647.0</v>
      </c>
      <c r="G1547" s="403"/>
      <c r="H1547" s="402"/>
      <c r="I1547" s="402"/>
      <c r="J1547" s="402"/>
      <c r="K1547" s="402"/>
      <c r="L1547" s="402"/>
      <c r="M1547" s="402"/>
      <c r="N1547" s="402"/>
      <c r="O1547" s="402"/>
      <c r="P1547" s="402"/>
      <c r="Q1547" s="402"/>
      <c r="R1547" s="402"/>
      <c r="S1547" s="402"/>
      <c r="T1547" s="402"/>
      <c r="U1547" s="402"/>
      <c r="V1547" s="402"/>
      <c r="W1547" s="402"/>
      <c r="X1547" s="402"/>
      <c r="Y1547" s="402"/>
      <c r="Z1547" s="402"/>
    </row>
    <row r="1548" ht="14.25" customHeight="1">
      <c r="A1548" s="497">
        <v>45538.0</v>
      </c>
      <c r="B1548" s="349" t="s">
        <v>6152</v>
      </c>
      <c r="C1548" s="349" t="s">
        <v>6153</v>
      </c>
      <c r="D1548" s="1032" t="s">
        <v>54</v>
      </c>
      <c r="E1548" s="413" t="s">
        <v>5785</v>
      </c>
      <c r="F1548" s="413">
        <v>36171.42</v>
      </c>
      <c r="G1548" s="403"/>
      <c r="H1548" s="402"/>
      <c r="I1548" s="402"/>
      <c r="J1548" s="402"/>
      <c r="K1548" s="402"/>
      <c r="L1548" s="402"/>
      <c r="M1548" s="402"/>
      <c r="N1548" s="402"/>
      <c r="O1548" s="402"/>
      <c r="P1548" s="402"/>
      <c r="Q1548" s="402"/>
      <c r="R1548" s="402"/>
      <c r="S1548" s="402"/>
      <c r="T1548" s="402"/>
      <c r="U1548" s="402"/>
      <c r="V1548" s="402"/>
      <c r="W1548" s="402"/>
      <c r="X1548" s="402"/>
      <c r="Y1548" s="402"/>
      <c r="Z1548" s="402"/>
    </row>
    <row r="1549" ht="14.25" customHeight="1">
      <c r="A1549" s="497">
        <v>45538.0</v>
      </c>
      <c r="B1549" s="349" t="s">
        <v>6934</v>
      </c>
      <c r="C1549" s="349" t="s">
        <v>6935</v>
      </c>
      <c r="D1549" s="1032" t="s">
        <v>54</v>
      </c>
      <c r="E1549" s="413" t="s">
        <v>6813</v>
      </c>
      <c r="F1549" s="413">
        <v>6406.0</v>
      </c>
      <c r="G1549" s="403"/>
      <c r="H1549" s="402"/>
      <c r="I1549" s="402"/>
      <c r="J1549" s="402"/>
      <c r="K1549" s="402"/>
      <c r="L1549" s="402"/>
      <c r="M1549" s="402"/>
      <c r="N1549" s="402"/>
      <c r="O1549" s="402"/>
      <c r="P1549" s="402"/>
      <c r="Q1549" s="402"/>
      <c r="R1549" s="402"/>
      <c r="S1549" s="402"/>
      <c r="T1549" s="402"/>
      <c r="U1549" s="402"/>
      <c r="V1549" s="402"/>
      <c r="W1549" s="402"/>
      <c r="X1549" s="402"/>
      <c r="Y1549" s="402"/>
      <c r="Z1549" s="402"/>
    </row>
    <row r="1550" ht="14.25" customHeight="1">
      <c r="A1550" s="497">
        <v>45538.0</v>
      </c>
      <c r="B1550" s="349" t="s">
        <v>6154</v>
      </c>
      <c r="C1550" s="349" t="s">
        <v>6155</v>
      </c>
      <c r="D1550" s="1032" t="s">
        <v>54</v>
      </c>
      <c r="E1550" s="413" t="s">
        <v>6511</v>
      </c>
      <c r="F1550" s="413">
        <v>19553.75</v>
      </c>
      <c r="G1550" s="403"/>
      <c r="H1550" s="402"/>
      <c r="I1550" s="402"/>
      <c r="J1550" s="402"/>
      <c r="K1550" s="402"/>
      <c r="L1550" s="402"/>
      <c r="M1550" s="402"/>
      <c r="N1550" s="402"/>
      <c r="O1550" s="402"/>
      <c r="P1550" s="402"/>
      <c r="Q1550" s="402"/>
      <c r="R1550" s="402"/>
      <c r="S1550" s="402"/>
      <c r="T1550" s="402"/>
      <c r="U1550" s="402"/>
      <c r="V1550" s="402"/>
      <c r="W1550" s="402"/>
      <c r="X1550" s="402"/>
      <c r="Y1550" s="402"/>
      <c r="Z1550" s="402"/>
    </row>
    <row r="1551" ht="14.25" customHeight="1">
      <c r="A1551" s="497">
        <v>45538.0</v>
      </c>
      <c r="B1551" s="349" t="s">
        <v>6156</v>
      </c>
      <c r="C1551" s="349" t="s">
        <v>5641</v>
      </c>
      <c r="D1551" s="1032" t="s">
        <v>67</v>
      </c>
      <c r="E1551" s="413" t="s">
        <v>6511</v>
      </c>
      <c r="F1551" s="413">
        <v>1432946.0</v>
      </c>
      <c r="G1551" s="403"/>
      <c r="H1551" s="402"/>
      <c r="I1551" s="402"/>
      <c r="J1551" s="402"/>
      <c r="K1551" s="402"/>
      <c r="L1551" s="402"/>
      <c r="M1551" s="402"/>
      <c r="N1551" s="402"/>
      <c r="O1551" s="402"/>
      <c r="P1551" s="402"/>
      <c r="Q1551" s="402"/>
      <c r="R1551" s="402"/>
      <c r="S1551" s="402"/>
      <c r="T1551" s="402"/>
      <c r="U1551" s="402"/>
      <c r="V1551" s="402"/>
      <c r="W1551" s="402"/>
      <c r="X1551" s="402"/>
      <c r="Y1551" s="402"/>
      <c r="Z1551" s="402"/>
    </row>
    <row r="1552" ht="14.25" customHeight="1">
      <c r="A1552" s="497">
        <v>45538.0</v>
      </c>
      <c r="B1552" s="349" t="s">
        <v>6157</v>
      </c>
      <c r="C1552" s="349" t="s">
        <v>6158</v>
      </c>
      <c r="D1552" s="1032" t="s">
        <v>54</v>
      </c>
      <c r="E1552" s="413" t="s">
        <v>5785</v>
      </c>
      <c r="F1552" s="413">
        <v>14945.27</v>
      </c>
      <c r="G1552" s="403"/>
      <c r="H1552" s="402"/>
      <c r="I1552" s="402"/>
      <c r="J1552" s="402"/>
      <c r="K1552" s="402"/>
      <c r="L1552" s="402"/>
      <c r="M1552" s="402"/>
      <c r="N1552" s="402"/>
      <c r="O1552" s="402"/>
      <c r="P1552" s="402"/>
      <c r="Q1552" s="402"/>
      <c r="R1552" s="402"/>
      <c r="S1552" s="402"/>
      <c r="T1552" s="402"/>
      <c r="U1552" s="402"/>
      <c r="V1552" s="402"/>
      <c r="W1552" s="402"/>
      <c r="X1552" s="402"/>
      <c r="Y1552" s="402"/>
      <c r="Z1552" s="402"/>
    </row>
    <row r="1553" ht="14.25" customHeight="1">
      <c r="A1553" s="497">
        <v>45538.0</v>
      </c>
      <c r="B1553" s="349" t="s">
        <v>6159</v>
      </c>
      <c r="C1553" s="349" t="s">
        <v>6158</v>
      </c>
      <c r="D1553" s="1032" t="s">
        <v>346</v>
      </c>
      <c r="E1553" s="413" t="s">
        <v>5785</v>
      </c>
      <c r="F1553" s="413">
        <v>6899.5</v>
      </c>
      <c r="G1553" s="403"/>
      <c r="H1553" s="402"/>
      <c r="I1553" s="402"/>
      <c r="J1553" s="402"/>
      <c r="K1553" s="402"/>
      <c r="L1553" s="402"/>
      <c r="M1553" s="402"/>
      <c r="N1553" s="402"/>
      <c r="O1553" s="402"/>
      <c r="P1553" s="402"/>
      <c r="Q1553" s="402"/>
      <c r="R1553" s="402"/>
      <c r="S1553" s="402"/>
      <c r="T1553" s="402"/>
      <c r="U1553" s="402"/>
      <c r="V1553" s="402"/>
      <c r="W1553" s="402"/>
      <c r="X1553" s="402"/>
      <c r="Y1553" s="402"/>
      <c r="Z1553" s="402"/>
    </row>
    <row r="1554" ht="14.25" customHeight="1">
      <c r="A1554" s="497">
        <v>45538.0</v>
      </c>
      <c r="B1554" s="349" t="s">
        <v>6160</v>
      </c>
      <c r="C1554" s="349" t="s">
        <v>6161</v>
      </c>
      <c r="D1554" s="1032" t="s">
        <v>263</v>
      </c>
      <c r="E1554" s="413" t="s">
        <v>6813</v>
      </c>
      <c r="F1554" s="413">
        <v>3997.0</v>
      </c>
      <c r="G1554" s="403"/>
      <c r="H1554" s="402"/>
      <c r="I1554" s="402"/>
      <c r="J1554" s="402"/>
      <c r="K1554" s="402"/>
      <c r="L1554" s="402"/>
      <c r="M1554" s="402"/>
      <c r="N1554" s="402"/>
      <c r="O1554" s="402"/>
      <c r="P1554" s="402"/>
      <c r="Q1554" s="402"/>
      <c r="R1554" s="402"/>
      <c r="S1554" s="402"/>
      <c r="T1554" s="402"/>
      <c r="U1554" s="402"/>
      <c r="V1554" s="402"/>
      <c r="W1554" s="402"/>
      <c r="X1554" s="402"/>
      <c r="Y1554" s="402"/>
      <c r="Z1554" s="402"/>
    </row>
    <row r="1555" ht="14.25" customHeight="1">
      <c r="A1555" s="497">
        <v>45538.0</v>
      </c>
      <c r="B1555" s="349" t="s">
        <v>6118</v>
      </c>
      <c r="C1555" s="349" t="s">
        <v>6119</v>
      </c>
      <c r="D1555" s="1032" t="s">
        <v>54</v>
      </c>
      <c r="E1555" s="413" t="s">
        <v>6511</v>
      </c>
      <c r="F1555" s="413">
        <v>16483.0</v>
      </c>
      <c r="G1555" s="403"/>
      <c r="H1555" s="402"/>
      <c r="I1555" s="402"/>
      <c r="J1555" s="402"/>
      <c r="K1555" s="402"/>
      <c r="L1555" s="402"/>
      <c r="M1555" s="402"/>
      <c r="N1555" s="402"/>
      <c r="O1555" s="402"/>
      <c r="P1555" s="402"/>
      <c r="Q1555" s="402"/>
      <c r="R1555" s="402"/>
      <c r="S1555" s="402"/>
      <c r="T1555" s="402"/>
      <c r="U1555" s="402"/>
      <c r="V1555" s="402"/>
      <c r="W1555" s="402"/>
      <c r="X1555" s="402"/>
      <c r="Y1555" s="402"/>
      <c r="Z1555" s="402"/>
    </row>
    <row r="1556" ht="14.25" customHeight="1">
      <c r="A1556" s="497">
        <v>45538.0</v>
      </c>
      <c r="B1556" s="349" t="s">
        <v>6164</v>
      </c>
      <c r="C1556" s="349" t="s">
        <v>6007</v>
      </c>
      <c r="D1556" s="1032" t="s">
        <v>346</v>
      </c>
      <c r="E1556" s="413" t="s">
        <v>6763</v>
      </c>
      <c r="F1556" s="413">
        <v>7200.0</v>
      </c>
      <c r="G1556" s="403"/>
      <c r="H1556" s="402"/>
      <c r="I1556" s="402"/>
      <c r="J1556" s="402"/>
      <c r="K1556" s="402"/>
      <c r="L1556" s="402"/>
      <c r="M1556" s="402"/>
      <c r="N1556" s="402"/>
      <c r="O1556" s="402"/>
      <c r="P1556" s="402"/>
      <c r="Q1556" s="402"/>
      <c r="R1556" s="402"/>
      <c r="S1556" s="402"/>
      <c r="T1556" s="402"/>
      <c r="U1556" s="402"/>
      <c r="V1556" s="402"/>
      <c r="W1556" s="402"/>
      <c r="X1556" s="402"/>
      <c r="Y1556" s="402"/>
      <c r="Z1556" s="402"/>
    </row>
    <row r="1557" ht="14.25" customHeight="1">
      <c r="A1557" s="497">
        <v>45538.0</v>
      </c>
      <c r="B1557" s="349" t="s">
        <v>6165</v>
      </c>
      <c r="C1557" s="349" t="s">
        <v>6166</v>
      </c>
      <c r="D1557" s="1032" t="s">
        <v>54</v>
      </c>
      <c r="E1557" s="413" t="s">
        <v>6813</v>
      </c>
      <c r="F1557" s="413">
        <v>86659.95</v>
      </c>
      <c r="G1557" s="403"/>
      <c r="H1557" s="402"/>
      <c r="I1557" s="402"/>
      <c r="J1557" s="402"/>
      <c r="K1557" s="402"/>
      <c r="L1557" s="402"/>
      <c r="M1557" s="402"/>
      <c r="N1557" s="402"/>
      <c r="O1557" s="402"/>
      <c r="P1557" s="402"/>
      <c r="Q1557" s="402"/>
      <c r="R1557" s="402"/>
      <c r="S1557" s="402"/>
      <c r="T1557" s="402"/>
      <c r="U1557" s="402"/>
      <c r="V1557" s="402"/>
      <c r="W1557" s="402"/>
      <c r="X1557" s="402"/>
      <c r="Y1557" s="402"/>
      <c r="Z1557" s="402"/>
    </row>
    <row r="1558" ht="14.25" customHeight="1">
      <c r="A1558" s="497">
        <v>45538.0</v>
      </c>
      <c r="B1558" s="402"/>
      <c r="C1558" s="402"/>
      <c r="D1558" s="1034"/>
      <c r="E1558" s="403"/>
      <c r="F1558" s="403"/>
      <c r="G1558" s="403"/>
      <c r="H1558" s="402"/>
      <c r="I1558" s="402"/>
      <c r="J1558" s="402"/>
      <c r="K1558" s="402"/>
      <c r="L1558" s="402"/>
      <c r="M1558" s="402"/>
      <c r="N1558" s="402"/>
      <c r="O1558" s="402"/>
      <c r="P1558" s="402"/>
      <c r="Q1558" s="402"/>
      <c r="R1558" s="402"/>
      <c r="S1558" s="402"/>
      <c r="T1558" s="402"/>
      <c r="U1558" s="402"/>
      <c r="V1558" s="402"/>
      <c r="W1558" s="402"/>
      <c r="X1558" s="402"/>
      <c r="Y1558" s="402"/>
      <c r="Z1558" s="402"/>
    </row>
    <row r="1559" ht="14.25" customHeight="1">
      <c r="A1559" s="497">
        <v>45538.0</v>
      </c>
      <c r="B1559" s="402"/>
      <c r="C1559" s="402"/>
      <c r="D1559" s="1034"/>
      <c r="E1559" s="403"/>
      <c r="F1559" s="403"/>
      <c r="G1559" s="403"/>
      <c r="H1559" s="402"/>
      <c r="I1559" s="402"/>
      <c r="J1559" s="402"/>
      <c r="K1559" s="402"/>
      <c r="L1559" s="402"/>
      <c r="M1559" s="402"/>
      <c r="N1559" s="402"/>
      <c r="O1559" s="402"/>
      <c r="P1559" s="402"/>
      <c r="Q1559" s="402"/>
      <c r="R1559" s="402"/>
      <c r="S1559" s="402"/>
      <c r="T1559" s="402"/>
      <c r="U1559" s="402"/>
      <c r="V1559" s="402"/>
      <c r="W1559" s="402"/>
      <c r="X1559" s="402"/>
      <c r="Y1559" s="402"/>
      <c r="Z1559" s="402"/>
    </row>
    <row r="1560" ht="14.25" customHeight="1">
      <c r="A1560" s="497">
        <v>45538.0</v>
      </c>
      <c r="B1560" s="402"/>
      <c r="C1560" s="402"/>
      <c r="D1560" s="1034"/>
      <c r="E1560" s="403"/>
      <c r="F1560" s="403"/>
      <c r="G1560" s="403"/>
      <c r="H1560" s="402"/>
      <c r="I1560" s="402"/>
      <c r="J1560" s="402"/>
      <c r="K1560" s="402"/>
      <c r="L1560" s="402"/>
      <c r="M1560" s="402"/>
      <c r="N1560" s="402"/>
      <c r="O1560" s="402"/>
      <c r="P1560" s="402"/>
      <c r="Q1560" s="402"/>
      <c r="R1560" s="402"/>
      <c r="S1560" s="402"/>
      <c r="T1560" s="402"/>
      <c r="U1560" s="402"/>
      <c r="V1560" s="402"/>
      <c r="W1560" s="402"/>
      <c r="X1560" s="402"/>
      <c r="Y1560" s="402"/>
      <c r="Z1560" s="402"/>
    </row>
    <row r="1561" ht="14.25" customHeight="1">
      <c r="A1561" s="497">
        <v>45538.0</v>
      </c>
      <c r="B1561" s="402"/>
      <c r="C1561" s="402"/>
      <c r="D1561" s="1034"/>
      <c r="E1561" s="403"/>
      <c r="F1561" s="403"/>
      <c r="G1561" s="403"/>
      <c r="H1561" s="402"/>
      <c r="I1561" s="402"/>
      <c r="J1561" s="402"/>
      <c r="K1561" s="402"/>
      <c r="L1561" s="402"/>
      <c r="M1561" s="402"/>
      <c r="N1561" s="402"/>
      <c r="O1561" s="402"/>
      <c r="P1561" s="402"/>
      <c r="Q1561" s="402"/>
      <c r="R1561" s="402"/>
      <c r="S1561" s="402"/>
      <c r="T1561" s="402"/>
      <c r="U1561" s="402"/>
      <c r="V1561" s="402"/>
      <c r="W1561" s="402"/>
      <c r="X1561" s="402"/>
      <c r="Y1561" s="402"/>
      <c r="Z1561" s="402"/>
    </row>
    <row r="1562" ht="14.25" customHeight="1">
      <c r="A1562" s="497">
        <v>45538.0</v>
      </c>
      <c r="B1562" s="402"/>
      <c r="C1562" s="402"/>
      <c r="D1562" s="1034"/>
      <c r="E1562" s="403"/>
      <c r="F1562" s="403"/>
      <c r="G1562" s="403"/>
      <c r="H1562" s="402"/>
      <c r="I1562" s="402"/>
      <c r="J1562" s="402"/>
      <c r="K1562" s="402"/>
      <c r="L1562" s="402"/>
      <c r="M1562" s="402"/>
      <c r="N1562" s="402"/>
      <c r="O1562" s="402"/>
      <c r="P1562" s="402"/>
      <c r="Q1562" s="402"/>
      <c r="R1562" s="402"/>
      <c r="S1562" s="402"/>
      <c r="T1562" s="402"/>
      <c r="U1562" s="402"/>
      <c r="V1562" s="402"/>
      <c r="W1562" s="402"/>
      <c r="X1562" s="402"/>
      <c r="Y1562" s="402"/>
      <c r="Z1562" s="402"/>
    </row>
    <row r="1563" ht="14.25" customHeight="1">
      <c r="A1563" s="497">
        <v>45538.0</v>
      </c>
      <c r="B1563" s="402"/>
      <c r="C1563" s="402"/>
      <c r="D1563" s="1034"/>
      <c r="E1563" s="403"/>
      <c r="F1563" s="403"/>
      <c r="G1563" s="403"/>
      <c r="H1563" s="402"/>
      <c r="I1563" s="402"/>
      <c r="J1563" s="402"/>
      <c r="K1563" s="402"/>
      <c r="L1563" s="402"/>
      <c r="M1563" s="402"/>
      <c r="N1563" s="402"/>
      <c r="O1563" s="402"/>
      <c r="P1563" s="402"/>
      <c r="Q1563" s="402"/>
      <c r="R1563" s="402"/>
      <c r="S1563" s="402"/>
      <c r="T1563" s="402"/>
      <c r="U1563" s="402"/>
      <c r="V1563" s="402"/>
      <c r="W1563" s="402"/>
      <c r="X1563" s="402"/>
      <c r="Y1563" s="402"/>
      <c r="Z1563" s="402"/>
    </row>
    <row r="1564" ht="14.25" customHeight="1">
      <c r="A1564" s="497">
        <v>45538.0</v>
      </c>
      <c r="B1564" s="402"/>
      <c r="C1564" s="402"/>
      <c r="D1564" s="1034"/>
      <c r="E1564" s="403"/>
      <c r="F1564" s="403"/>
      <c r="G1564" s="403"/>
      <c r="H1564" s="402"/>
      <c r="I1564" s="402"/>
      <c r="J1564" s="402"/>
      <c r="K1564" s="402"/>
      <c r="L1564" s="402"/>
      <c r="M1564" s="402"/>
      <c r="N1564" s="402"/>
      <c r="O1564" s="402"/>
      <c r="P1564" s="402"/>
      <c r="Q1564" s="402"/>
      <c r="R1564" s="402"/>
      <c r="S1564" s="402"/>
      <c r="T1564" s="402"/>
      <c r="U1564" s="402"/>
      <c r="V1564" s="402"/>
      <c r="W1564" s="402"/>
      <c r="X1564" s="402"/>
      <c r="Y1564" s="402"/>
      <c r="Z1564" s="402"/>
    </row>
    <row r="1565" ht="14.25" customHeight="1">
      <c r="A1565" s="497">
        <v>45538.0</v>
      </c>
      <c r="B1565" s="402"/>
      <c r="C1565" s="402"/>
      <c r="D1565" s="1034"/>
      <c r="E1565" s="403"/>
      <c r="F1565" s="403"/>
      <c r="G1565" s="403"/>
      <c r="H1565" s="402"/>
      <c r="I1565" s="402"/>
      <c r="J1565" s="402"/>
      <c r="K1565" s="402"/>
      <c r="L1565" s="402"/>
      <c r="M1565" s="402"/>
      <c r="N1565" s="402"/>
      <c r="O1565" s="402"/>
      <c r="P1565" s="402"/>
      <c r="Q1565" s="402"/>
      <c r="R1565" s="402"/>
      <c r="S1565" s="402"/>
      <c r="T1565" s="402"/>
      <c r="U1565" s="402"/>
      <c r="V1565" s="402"/>
      <c r="W1565" s="402"/>
      <c r="X1565" s="402"/>
      <c r="Y1565" s="402"/>
      <c r="Z1565" s="402"/>
    </row>
    <row r="1566" ht="14.25" customHeight="1">
      <c r="A1566" s="497">
        <v>45538.0</v>
      </c>
      <c r="B1566" s="402"/>
      <c r="C1566" s="402"/>
      <c r="D1566" s="1034"/>
      <c r="E1566" s="403"/>
      <c r="F1566" s="403"/>
      <c r="G1566" s="403"/>
      <c r="H1566" s="402"/>
      <c r="I1566" s="402"/>
      <c r="J1566" s="402"/>
      <c r="K1566" s="402"/>
      <c r="L1566" s="402"/>
      <c r="M1566" s="402"/>
      <c r="N1566" s="402"/>
      <c r="O1566" s="402"/>
      <c r="P1566" s="402"/>
      <c r="Q1566" s="402"/>
      <c r="R1566" s="402"/>
      <c r="S1566" s="402"/>
      <c r="T1566" s="402"/>
      <c r="U1566" s="402"/>
      <c r="V1566" s="402"/>
      <c r="W1566" s="402"/>
      <c r="X1566" s="402"/>
      <c r="Y1566" s="402"/>
      <c r="Z1566" s="402"/>
    </row>
    <row r="1567" ht="14.25" customHeight="1">
      <c r="A1567" s="497">
        <v>45538.0</v>
      </c>
      <c r="B1567" s="402"/>
      <c r="C1567" s="402"/>
      <c r="D1567" s="1034"/>
      <c r="E1567" s="403"/>
      <c r="F1567" s="403"/>
      <c r="G1567" s="403"/>
      <c r="H1567" s="402"/>
      <c r="I1567" s="402"/>
      <c r="J1567" s="402"/>
      <c r="K1567" s="402"/>
      <c r="L1567" s="402"/>
      <c r="M1567" s="402"/>
      <c r="N1567" s="402"/>
      <c r="O1567" s="402"/>
      <c r="P1567" s="402"/>
      <c r="Q1567" s="402"/>
      <c r="R1567" s="402"/>
      <c r="S1567" s="402"/>
      <c r="T1567" s="402"/>
      <c r="U1567" s="402"/>
      <c r="V1567" s="402"/>
      <c r="W1567" s="402"/>
      <c r="X1567" s="402"/>
      <c r="Y1567" s="402"/>
      <c r="Z1567" s="402"/>
    </row>
    <row r="1568" ht="14.25" customHeight="1">
      <c r="A1568" s="497">
        <v>45538.0</v>
      </c>
      <c r="B1568" s="402"/>
      <c r="C1568" s="402"/>
      <c r="D1568" s="1034"/>
      <c r="E1568" s="403"/>
      <c r="F1568" s="403"/>
      <c r="G1568" s="403"/>
      <c r="H1568" s="402"/>
      <c r="I1568" s="402"/>
      <c r="J1568" s="402"/>
      <c r="K1568" s="402"/>
      <c r="L1568" s="402"/>
      <c r="M1568" s="402"/>
      <c r="N1568" s="402"/>
      <c r="O1568" s="402"/>
      <c r="P1568" s="402"/>
      <c r="Q1568" s="402"/>
      <c r="R1568" s="402"/>
      <c r="S1568" s="402"/>
      <c r="T1568" s="402"/>
      <c r="U1568" s="402"/>
      <c r="V1568" s="402"/>
      <c r="W1568" s="402"/>
      <c r="X1568" s="402"/>
      <c r="Y1568" s="402"/>
      <c r="Z1568" s="402"/>
    </row>
    <row r="1569" ht="14.25" customHeight="1">
      <c r="A1569" s="497">
        <v>45538.0</v>
      </c>
      <c r="B1569" s="402"/>
      <c r="C1569" s="402"/>
      <c r="D1569" s="1034"/>
      <c r="E1569" s="403"/>
      <c r="F1569" s="403"/>
      <c r="G1569" s="403"/>
      <c r="H1569" s="402"/>
      <c r="I1569" s="402"/>
      <c r="J1569" s="402"/>
      <c r="K1569" s="402"/>
      <c r="L1569" s="402"/>
      <c r="M1569" s="402"/>
      <c r="N1569" s="402"/>
      <c r="O1569" s="402"/>
      <c r="P1569" s="402"/>
      <c r="Q1569" s="402"/>
      <c r="R1569" s="402"/>
      <c r="S1569" s="402"/>
      <c r="T1569" s="402"/>
      <c r="U1569" s="402"/>
      <c r="V1569" s="402"/>
      <c r="W1569" s="402"/>
      <c r="X1569" s="402"/>
      <c r="Y1569" s="402"/>
      <c r="Z1569" s="402"/>
    </row>
    <row r="1570" ht="14.25" customHeight="1">
      <c r="A1570" s="497">
        <v>45538.0</v>
      </c>
      <c r="B1570" s="402"/>
      <c r="C1570" s="402"/>
      <c r="D1570" s="1034"/>
      <c r="E1570" s="403"/>
      <c r="F1570" s="403"/>
      <c r="G1570" s="403"/>
      <c r="H1570" s="402"/>
      <c r="I1570" s="402"/>
      <c r="J1570" s="402"/>
      <c r="K1570" s="402"/>
      <c r="L1570" s="402"/>
      <c r="M1570" s="402"/>
      <c r="N1570" s="402"/>
      <c r="O1570" s="402"/>
      <c r="P1570" s="402"/>
      <c r="Q1570" s="402"/>
      <c r="R1570" s="402"/>
      <c r="S1570" s="402"/>
      <c r="T1570" s="402"/>
      <c r="U1570" s="402"/>
      <c r="V1570" s="402"/>
      <c r="W1570" s="402"/>
      <c r="X1570" s="402"/>
      <c r="Y1570" s="402"/>
      <c r="Z1570" s="402"/>
    </row>
    <row r="1571" ht="14.25" customHeight="1">
      <c r="A1571" s="497">
        <v>45538.0</v>
      </c>
      <c r="B1571" s="402"/>
      <c r="C1571" s="402"/>
      <c r="D1571" s="1034"/>
      <c r="E1571" s="403"/>
      <c r="F1571" s="403"/>
      <c r="G1571" s="403"/>
      <c r="H1571" s="402"/>
      <c r="I1571" s="402"/>
      <c r="J1571" s="402"/>
      <c r="K1571" s="402"/>
      <c r="L1571" s="402"/>
      <c r="M1571" s="402"/>
      <c r="N1571" s="402"/>
      <c r="O1571" s="402"/>
      <c r="P1571" s="402"/>
      <c r="Q1571" s="402"/>
      <c r="R1571" s="402"/>
      <c r="S1571" s="402"/>
      <c r="T1571" s="402"/>
      <c r="U1571" s="402"/>
      <c r="V1571" s="402"/>
      <c r="W1571" s="402"/>
      <c r="X1571" s="402"/>
      <c r="Y1571" s="402"/>
      <c r="Z1571" s="402"/>
    </row>
    <row r="1572" ht="14.25" customHeight="1">
      <c r="A1572" s="497"/>
      <c r="B1572" s="402"/>
      <c r="C1572" s="402"/>
      <c r="D1572" s="1034"/>
      <c r="E1572" s="403"/>
      <c r="F1572" s="403"/>
      <c r="G1572" s="403"/>
      <c r="H1572" s="402"/>
      <c r="I1572" s="402"/>
      <c r="J1572" s="402"/>
      <c r="K1572" s="402"/>
      <c r="L1572" s="402"/>
      <c r="M1572" s="402"/>
      <c r="N1572" s="402"/>
      <c r="O1572" s="402"/>
      <c r="P1572" s="402"/>
      <c r="Q1572" s="402"/>
      <c r="R1572" s="402"/>
      <c r="S1572" s="402"/>
      <c r="T1572" s="402"/>
      <c r="U1572" s="402"/>
      <c r="V1572" s="402"/>
      <c r="W1572" s="402"/>
      <c r="X1572" s="402"/>
      <c r="Y1572" s="402"/>
      <c r="Z1572" s="402"/>
    </row>
    <row r="1573" ht="14.25" customHeight="1">
      <c r="A1573" s="497"/>
      <c r="B1573" s="402"/>
      <c r="C1573" s="402"/>
      <c r="D1573" s="1034"/>
      <c r="E1573" s="403"/>
      <c r="F1573" s="403"/>
      <c r="G1573" s="403"/>
      <c r="H1573" s="402"/>
      <c r="I1573" s="402"/>
      <c r="J1573" s="402"/>
      <c r="K1573" s="402"/>
      <c r="L1573" s="402"/>
      <c r="M1573" s="402"/>
      <c r="N1573" s="402"/>
      <c r="O1573" s="402"/>
      <c r="P1573" s="402"/>
      <c r="Q1573" s="402"/>
      <c r="R1573" s="402"/>
      <c r="S1573" s="402"/>
      <c r="T1573" s="402"/>
      <c r="U1573" s="402"/>
      <c r="V1573" s="402"/>
      <c r="W1573" s="402"/>
      <c r="X1573" s="402"/>
      <c r="Y1573" s="402"/>
      <c r="Z1573" s="402"/>
    </row>
    <row r="1574" ht="14.25" customHeight="1">
      <c r="A1574" s="497"/>
      <c r="B1574" s="402"/>
      <c r="C1574" s="402"/>
      <c r="D1574" s="1034"/>
      <c r="E1574" s="403"/>
      <c r="F1574" s="403"/>
      <c r="G1574" s="403"/>
      <c r="H1574" s="402"/>
      <c r="I1574" s="402"/>
      <c r="J1574" s="402"/>
      <c r="K1574" s="402"/>
      <c r="L1574" s="402"/>
      <c r="M1574" s="402"/>
      <c r="N1574" s="402"/>
      <c r="O1574" s="402"/>
      <c r="P1574" s="402"/>
      <c r="Q1574" s="402"/>
      <c r="R1574" s="402"/>
      <c r="S1574" s="402"/>
      <c r="T1574" s="402"/>
      <c r="U1574" s="402"/>
      <c r="V1574" s="402"/>
      <c r="W1574" s="402"/>
      <c r="X1574" s="402"/>
      <c r="Y1574" s="402"/>
      <c r="Z1574" s="402"/>
    </row>
    <row r="1575" ht="14.25" customHeight="1">
      <c r="A1575" s="497"/>
      <c r="B1575" s="402"/>
      <c r="C1575" s="402"/>
      <c r="D1575" s="1034"/>
      <c r="E1575" s="403"/>
      <c r="F1575" s="403"/>
      <c r="G1575" s="403"/>
      <c r="H1575" s="402"/>
      <c r="I1575" s="402"/>
      <c r="J1575" s="402"/>
      <c r="K1575" s="402"/>
      <c r="L1575" s="402"/>
      <c r="M1575" s="402"/>
      <c r="N1575" s="402"/>
      <c r="O1575" s="402"/>
      <c r="P1575" s="402"/>
      <c r="Q1575" s="402"/>
      <c r="R1575" s="402"/>
      <c r="S1575" s="402"/>
      <c r="T1575" s="402"/>
      <c r="U1575" s="402"/>
      <c r="V1575" s="402"/>
      <c r="W1575" s="402"/>
      <c r="X1575" s="402"/>
      <c r="Y1575" s="402"/>
      <c r="Z1575" s="402"/>
    </row>
    <row r="1576" ht="14.25" customHeight="1">
      <c r="A1576" s="497"/>
      <c r="B1576" s="402"/>
      <c r="C1576" s="402"/>
      <c r="D1576" s="1034"/>
      <c r="E1576" s="403"/>
      <c r="F1576" s="403"/>
      <c r="G1576" s="403"/>
      <c r="H1576" s="402"/>
      <c r="I1576" s="402"/>
      <c r="J1576" s="402"/>
      <c r="K1576" s="402"/>
      <c r="L1576" s="402"/>
      <c r="M1576" s="402"/>
      <c r="N1576" s="402"/>
      <c r="O1576" s="402"/>
      <c r="P1576" s="402"/>
      <c r="Q1576" s="402"/>
      <c r="R1576" s="402"/>
      <c r="S1576" s="402"/>
      <c r="T1576" s="402"/>
      <c r="U1576" s="402"/>
      <c r="V1576" s="402"/>
      <c r="W1576" s="402"/>
      <c r="X1576" s="402"/>
      <c r="Y1576" s="402"/>
      <c r="Z1576" s="402"/>
    </row>
    <row r="1577" ht="14.25" customHeight="1">
      <c r="A1577" s="497"/>
      <c r="B1577" s="402"/>
      <c r="C1577" s="402"/>
      <c r="D1577" s="1034"/>
      <c r="E1577" s="403"/>
      <c r="F1577" s="403"/>
      <c r="G1577" s="403"/>
      <c r="H1577" s="402"/>
      <c r="I1577" s="402"/>
      <c r="J1577" s="402"/>
      <c r="K1577" s="402"/>
      <c r="L1577" s="402"/>
      <c r="M1577" s="402"/>
      <c r="N1577" s="402"/>
      <c r="O1577" s="402"/>
      <c r="P1577" s="402"/>
      <c r="Q1577" s="402"/>
      <c r="R1577" s="402"/>
      <c r="S1577" s="402"/>
      <c r="T1577" s="402"/>
      <c r="U1577" s="402"/>
      <c r="V1577" s="402"/>
      <c r="W1577" s="402"/>
      <c r="X1577" s="402"/>
      <c r="Y1577" s="402"/>
      <c r="Z1577" s="402"/>
    </row>
    <row r="1578" ht="14.25" customHeight="1">
      <c r="A1578" s="497"/>
      <c r="B1578" s="402"/>
      <c r="C1578" s="402"/>
      <c r="D1578" s="1034"/>
      <c r="E1578" s="403"/>
      <c r="F1578" s="403"/>
      <c r="G1578" s="403"/>
      <c r="H1578" s="402"/>
      <c r="I1578" s="402"/>
      <c r="J1578" s="402"/>
      <c r="K1578" s="402"/>
      <c r="L1578" s="402"/>
      <c r="M1578" s="402"/>
      <c r="N1578" s="402"/>
      <c r="O1578" s="402"/>
      <c r="P1578" s="402"/>
      <c r="Q1578" s="402"/>
      <c r="R1578" s="402"/>
      <c r="S1578" s="402"/>
      <c r="T1578" s="402"/>
      <c r="U1578" s="402"/>
      <c r="V1578" s="402"/>
      <c r="W1578" s="402"/>
      <c r="X1578" s="402"/>
      <c r="Y1578" s="402"/>
      <c r="Z1578" s="402"/>
    </row>
    <row r="1579" ht="14.25" customHeight="1">
      <c r="A1579" s="497"/>
      <c r="B1579" s="402"/>
      <c r="C1579" s="402"/>
      <c r="D1579" s="1034"/>
      <c r="E1579" s="403"/>
      <c r="F1579" s="403"/>
      <c r="G1579" s="403"/>
      <c r="H1579" s="402"/>
      <c r="I1579" s="402"/>
      <c r="J1579" s="402"/>
      <c r="K1579" s="402"/>
      <c r="L1579" s="402"/>
      <c r="M1579" s="402"/>
      <c r="N1579" s="402"/>
      <c r="O1579" s="402"/>
      <c r="P1579" s="402"/>
      <c r="Q1579" s="402"/>
      <c r="R1579" s="402"/>
      <c r="S1579" s="402"/>
      <c r="T1579" s="402"/>
      <c r="U1579" s="402"/>
      <c r="V1579" s="402"/>
      <c r="W1579" s="402"/>
      <c r="X1579" s="402"/>
      <c r="Y1579" s="402"/>
      <c r="Z1579" s="402"/>
    </row>
    <row r="1580" ht="14.25" customHeight="1">
      <c r="A1580" s="497"/>
      <c r="B1580" s="402"/>
      <c r="C1580" s="402"/>
      <c r="D1580" s="1034"/>
      <c r="E1580" s="403"/>
      <c r="F1580" s="403"/>
      <c r="G1580" s="403"/>
      <c r="H1580" s="402"/>
      <c r="I1580" s="402"/>
      <c r="J1580" s="402"/>
      <c r="K1580" s="402"/>
      <c r="L1580" s="402"/>
      <c r="M1580" s="402"/>
      <c r="N1580" s="402"/>
      <c r="O1580" s="402"/>
      <c r="P1580" s="402"/>
      <c r="Q1580" s="402"/>
      <c r="R1580" s="402"/>
      <c r="S1580" s="402"/>
      <c r="T1580" s="402"/>
      <c r="U1580" s="402"/>
      <c r="V1580" s="402"/>
      <c r="W1580" s="402"/>
      <c r="X1580" s="402"/>
      <c r="Y1580" s="402"/>
      <c r="Z1580" s="402"/>
    </row>
    <row r="1581" ht="14.25" customHeight="1">
      <c r="A1581" s="497"/>
      <c r="B1581" s="402"/>
      <c r="C1581" s="402"/>
      <c r="D1581" s="1034"/>
      <c r="E1581" s="403"/>
      <c r="F1581" s="403"/>
      <c r="G1581" s="403"/>
      <c r="H1581" s="402"/>
      <c r="I1581" s="402"/>
      <c r="J1581" s="402"/>
      <c r="K1581" s="402"/>
      <c r="L1581" s="402"/>
      <c r="M1581" s="402"/>
      <c r="N1581" s="402"/>
      <c r="O1581" s="402"/>
      <c r="P1581" s="402"/>
      <c r="Q1581" s="402"/>
      <c r="R1581" s="402"/>
      <c r="S1581" s="402"/>
      <c r="T1581" s="402"/>
      <c r="U1581" s="402"/>
      <c r="V1581" s="402"/>
      <c r="W1581" s="402"/>
      <c r="X1581" s="402"/>
      <c r="Y1581" s="402"/>
      <c r="Z1581" s="402"/>
    </row>
    <row r="1582" ht="14.25" customHeight="1">
      <c r="A1582" s="497"/>
      <c r="B1582" s="402"/>
      <c r="C1582" s="402"/>
      <c r="D1582" s="1034"/>
      <c r="E1582" s="403"/>
      <c r="F1582" s="403"/>
      <c r="G1582" s="403"/>
      <c r="H1582" s="402"/>
      <c r="I1582" s="402"/>
      <c r="J1582" s="402"/>
      <c r="K1582" s="402"/>
      <c r="L1582" s="402"/>
      <c r="M1582" s="402"/>
      <c r="N1582" s="402"/>
      <c r="O1582" s="402"/>
      <c r="P1582" s="402"/>
      <c r="Q1582" s="402"/>
      <c r="R1582" s="402"/>
      <c r="S1582" s="402"/>
      <c r="T1582" s="402"/>
      <c r="U1582" s="402"/>
      <c r="V1582" s="402"/>
      <c r="W1582" s="402"/>
      <c r="X1582" s="402"/>
      <c r="Y1582" s="402"/>
      <c r="Z1582" s="402"/>
    </row>
    <row r="1583" ht="14.25" customHeight="1">
      <c r="A1583" s="497"/>
      <c r="B1583" s="402"/>
      <c r="C1583" s="402"/>
      <c r="D1583" s="1034"/>
      <c r="E1583" s="403"/>
      <c r="F1583" s="403"/>
      <c r="G1583" s="403"/>
      <c r="H1583" s="402"/>
      <c r="I1583" s="402"/>
      <c r="J1583" s="402"/>
      <c r="K1583" s="402"/>
      <c r="L1583" s="402"/>
      <c r="M1583" s="402"/>
      <c r="N1583" s="402"/>
      <c r="O1583" s="402"/>
      <c r="P1583" s="402"/>
      <c r="Q1583" s="402"/>
      <c r="R1583" s="402"/>
      <c r="S1583" s="402"/>
      <c r="T1583" s="402"/>
      <c r="U1583" s="402"/>
      <c r="V1583" s="402"/>
      <c r="W1583" s="402"/>
      <c r="X1583" s="402"/>
      <c r="Y1583" s="402"/>
      <c r="Z1583" s="402"/>
    </row>
    <row r="1584" ht="14.25" customHeight="1">
      <c r="A1584" s="497"/>
      <c r="B1584" s="402"/>
      <c r="C1584" s="402"/>
      <c r="D1584" s="1034"/>
      <c r="E1584" s="403"/>
      <c r="F1584" s="403"/>
      <c r="G1584" s="403"/>
      <c r="H1584" s="402"/>
      <c r="I1584" s="402"/>
      <c r="J1584" s="402"/>
      <c r="K1584" s="402"/>
      <c r="L1584" s="402"/>
      <c r="M1584" s="402"/>
      <c r="N1584" s="402"/>
      <c r="O1584" s="402"/>
      <c r="P1584" s="402"/>
      <c r="Q1584" s="402"/>
      <c r="R1584" s="402"/>
      <c r="S1584" s="402"/>
      <c r="T1584" s="402"/>
      <c r="U1584" s="402"/>
      <c r="V1584" s="402"/>
      <c r="W1584" s="402"/>
      <c r="X1584" s="402"/>
      <c r="Y1584" s="402"/>
      <c r="Z1584" s="402"/>
    </row>
    <row r="1585" ht="14.25" customHeight="1">
      <c r="A1585" s="497"/>
      <c r="B1585" s="402"/>
      <c r="C1585" s="402"/>
      <c r="D1585" s="1034"/>
      <c r="E1585" s="403"/>
      <c r="F1585" s="403"/>
      <c r="G1585" s="403"/>
      <c r="H1585" s="402"/>
      <c r="I1585" s="402"/>
      <c r="J1585" s="402"/>
      <c r="K1585" s="402"/>
      <c r="L1585" s="402"/>
      <c r="M1585" s="402"/>
      <c r="N1585" s="402"/>
      <c r="O1585" s="402"/>
      <c r="P1585" s="402"/>
      <c r="Q1585" s="402"/>
      <c r="R1585" s="402"/>
      <c r="S1585" s="402"/>
      <c r="T1585" s="402"/>
      <c r="U1585" s="402"/>
      <c r="V1585" s="402"/>
      <c r="W1585" s="402"/>
      <c r="X1585" s="402"/>
      <c r="Y1585" s="402"/>
      <c r="Z1585" s="402"/>
    </row>
    <row r="1586" ht="14.25" customHeight="1">
      <c r="A1586" s="497"/>
      <c r="B1586" s="402"/>
      <c r="C1586" s="402"/>
      <c r="D1586" s="1034"/>
      <c r="E1586" s="403"/>
      <c r="F1586" s="403"/>
      <c r="G1586" s="403"/>
      <c r="H1586" s="402"/>
      <c r="I1586" s="402"/>
      <c r="J1586" s="402"/>
      <c r="K1586" s="402"/>
      <c r="L1586" s="402"/>
      <c r="M1586" s="402"/>
      <c r="N1586" s="402"/>
      <c r="O1586" s="402"/>
      <c r="P1586" s="402"/>
      <c r="Q1586" s="402"/>
      <c r="R1586" s="402"/>
      <c r="S1586" s="402"/>
      <c r="T1586" s="402"/>
      <c r="U1586" s="402"/>
      <c r="V1586" s="402"/>
      <c r="W1586" s="402"/>
      <c r="X1586" s="402"/>
      <c r="Y1586" s="402"/>
      <c r="Z1586" s="402"/>
    </row>
    <row r="1587" ht="14.25" customHeight="1">
      <c r="A1587" s="497"/>
      <c r="B1587" s="402"/>
      <c r="C1587" s="402"/>
      <c r="D1587" s="1034"/>
      <c r="E1587" s="403"/>
      <c r="F1587" s="403"/>
      <c r="G1587" s="403"/>
      <c r="H1587" s="402"/>
      <c r="I1587" s="402"/>
      <c r="J1587" s="402"/>
      <c r="K1587" s="402"/>
      <c r="L1587" s="402"/>
      <c r="M1587" s="402"/>
      <c r="N1587" s="402"/>
      <c r="O1587" s="402"/>
      <c r="P1587" s="402"/>
      <c r="Q1587" s="402"/>
      <c r="R1587" s="402"/>
      <c r="S1587" s="402"/>
      <c r="T1587" s="402"/>
      <c r="U1587" s="402"/>
      <c r="V1587" s="402"/>
      <c r="W1587" s="402"/>
      <c r="X1587" s="402"/>
      <c r="Y1587" s="402"/>
      <c r="Z1587" s="402"/>
    </row>
    <row r="1588" ht="14.25" customHeight="1">
      <c r="A1588" s="497"/>
      <c r="B1588" s="402"/>
      <c r="C1588" s="402"/>
      <c r="D1588" s="1034"/>
      <c r="E1588" s="403"/>
      <c r="F1588" s="403"/>
      <c r="G1588" s="403"/>
      <c r="H1588" s="402"/>
      <c r="I1588" s="402"/>
      <c r="J1588" s="402"/>
      <c r="K1588" s="402"/>
      <c r="L1588" s="402"/>
      <c r="M1588" s="402"/>
      <c r="N1588" s="402"/>
      <c r="O1588" s="402"/>
      <c r="P1588" s="402"/>
      <c r="Q1588" s="402"/>
      <c r="R1588" s="402"/>
      <c r="S1588" s="402"/>
      <c r="T1588" s="402"/>
      <c r="U1588" s="402"/>
      <c r="V1588" s="402"/>
      <c r="W1588" s="402"/>
      <c r="X1588" s="402"/>
      <c r="Y1588" s="402"/>
      <c r="Z1588" s="402"/>
    </row>
    <row r="1589" ht="14.25" customHeight="1">
      <c r="A1589" s="497"/>
      <c r="B1589" s="402"/>
      <c r="C1589" s="402"/>
      <c r="D1589" s="1034"/>
      <c r="E1589" s="403"/>
      <c r="F1589" s="403"/>
      <c r="G1589" s="403"/>
      <c r="H1589" s="402"/>
      <c r="I1589" s="402"/>
      <c r="J1589" s="402"/>
      <c r="K1589" s="402"/>
      <c r="L1589" s="402"/>
      <c r="M1589" s="402"/>
      <c r="N1589" s="402"/>
      <c r="O1589" s="402"/>
      <c r="P1589" s="402"/>
      <c r="Q1589" s="402"/>
      <c r="R1589" s="402"/>
      <c r="S1589" s="402"/>
      <c r="T1589" s="402"/>
      <c r="U1589" s="402"/>
      <c r="V1589" s="402"/>
      <c r="W1589" s="402"/>
      <c r="X1589" s="402"/>
      <c r="Y1589" s="402"/>
      <c r="Z1589" s="402"/>
    </row>
    <row r="1590" ht="14.25" customHeight="1">
      <c r="A1590" s="497"/>
      <c r="B1590" s="402"/>
      <c r="C1590" s="402"/>
      <c r="D1590" s="1034"/>
      <c r="E1590" s="403"/>
      <c r="F1590" s="403"/>
      <c r="G1590" s="403"/>
      <c r="H1590" s="402"/>
      <c r="I1590" s="402"/>
      <c r="J1590" s="402"/>
      <c r="K1590" s="402"/>
      <c r="L1590" s="402"/>
      <c r="M1590" s="402"/>
      <c r="N1590" s="402"/>
      <c r="O1590" s="402"/>
      <c r="P1590" s="402"/>
      <c r="Q1590" s="402"/>
      <c r="R1590" s="402"/>
      <c r="S1590" s="402"/>
      <c r="T1590" s="402"/>
      <c r="U1590" s="402"/>
      <c r="V1590" s="402"/>
      <c r="W1590" s="402"/>
      <c r="X1590" s="402"/>
      <c r="Y1590" s="402"/>
      <c r="Z1590" s="402"/>
    </row>
    <row r="1591" ht="14.25" customHeight="1">
      <c r="A1591" s="497"/>
      <c r="B1591" s="402"/>
      <c r="C1591" s="402"/>
      <c r="D1591" s="1034"/>
      <c r="E1591" s="403"/>
      <c r="F1591" s="403"/>
      <c r="G1591" s="403"/>
      <c r="H1591" s="402"/>
      <c r="I1591" s="402"/>
      <c r="J1591" s="402"/>
      <c r="K1591" s="402"/>
      <c r="L1591" s="402"/>
      <c r="M1591" s="402"/>
      <c r="N1591" s="402"/>
      <c r="O1591" s="402"/>
      <c r="P1591" s="402"/>
      <c r="Q1591" s="402"/>
      <c r="R1591" s="402"/>
      <c r="S1591" s="402"/>
      <c r="T1591" s="402"/>
      <c r="U1591" s="402"/>
      <c r="V1591" s="402"/>
      <c r="W1591" s="402"/>
      <c r="X1591" s="402"/>
      <c r="Y1591" s="402"/>
      <c r="Z1591" s="402"/>
    </row>
    <row r="1592" ht="14.25" customHeight="1">
      <c r="A1592" s="497"/>
      <c r="B1592" s="402"/>
      <c r="C1592" s="402"/>
      <c r="D1592" s="1034"/>
      <c r="E1592" s="403"/>
      <c r="F1592" s="403"/>
      <c r="G1592" s="403"/>
      <c r="H1592" s="402"/>
      <c r="I1592" s="402"/>
      <c r="J1592" s="402"/>
      <c r="K1592" s="402"/>
      <c r="L1592" s="402"/>
      <c r="M1592" s="402"/>
      <c r="N1592" s="402"/>
      <c r="O1592" s="402"/>
      <c r="P1592" s="402"/>
      <c r="Q1592" s="402"/>
      <c r="R1592" s="402"/>
      <c r="S1592" s="402"/>
      <c r="T1592" s="402"/>
      <c r="U1592" s="402"/>
      <c r="V1592" s="402"/>
      <c r="W1592" s="402"/>
      <c r="X1592" s="402"/>
      <c r="Y1592" s="402"/>
      <c r="Z1592" s="402"/>
    </row>
    <row r="1593" ht="14.25" customHeight="1">
      <c r="A1593" s="497"/>
      <c r="B1593" s="402"/>
      <c r="C1593" s="402"/>
      <c r="D1593" s="1034"/>
      <c r="E1593" s="403"/>
      <c r="F1593" s="403"/>
      <c r="G1593" s="403"/>
      <c r="H1593" s="402"/>
      <c r="I1593" s="402"/>
      <c r="J1593" s="402"/>
      <c r="K1593" s="402"/>
      <c r="L1593" s="402"/>
      <c r="M1593" s="402"/>
      <c r="N1593" s="402"/>
      <c r="O1593" s="402"/>
      <c r="P1593" s="402"/>
      <c r="Q1593" s="402"/>
      <c r="R1593" s="402"/>
      <c r="S1593" s="402"/>
      <c r="T1593" s="402"/>
      <c r="U1593" s="402"/>
      <c r="V1593" s="402"/>
      <c r="W1593" s="402"/>
      <c r="X1593" s="402"/>
      <c r="Y1593" s="402"/>
      <c r="Z1593" s="402"/>
    </row>
    <row r="1594" ht="14.25" customHeight="1">
      <c r="A1594" s="497"/>
      <c r="B1594" s="402"/>
      <c r="C1594" s="402"/>
      <c r="D1594" s="1034"/>
      <c r="E1594" s="403"/>
      <c r="F1594" s="403"/>
      <c r="G1594" s="403"/>
      <c r="H1594" s="402"/>
      <c r="I1594" s="402"/>
      <c r="J1594" s="402"/>
      <c r="K1594" s="402"/>
      <c r="L1594" s="402"/>
      <c r="M1594" s="402"/>
      <c r="N1594" s="402"/>
      <c r="O1594" s="402"/>
      <c r="P1594" s="402"/>
      <c r="Q1594" s="402"/>
      <c r="R1594" s="402"/>
      <c r="S1594" s="402"/>
      <c r="T1594" s="402"/>
      <c r="U1594" s="402"/>
      <c r="V1594" s="402"/>
      <c r="W1594" s="402"/>
      <c r="X1594" s="402"/>
      <c r="Y1594" s="402"/>
      <c r="Z1594" s="402"/>
    </row>
    <row r="1595" ht="14.25" customHeight="1">
      <c r="A1595" s="497"/>
      <c r="B1595" s="402"/>
      <c r="C1595" s="402"/>
      <c r="D1595" s="1034"/>
      <c r="E1595" s="403"/>
      <c r="F1595" s="403"/>
      <c r="G1595" s="403"/>
      <c r="H1595" s="402"/>
      <c r="I1595" s="402"/>
      <c r="J1595" s="402"/>
      <c r="K1595" s="402"/>
      <c r="L1595" s="402"/>
      <c r="M1595" s="402"/>
      <c r="N1595" s="402"/>
      <c r="O1595" s="402"/>
      <c r="P1595" s="402"/>
      <c r="Q1595" s="402"/>
      <c r="R1595" s="402"/>
      <c r="S1595" s="402"/>
      <c r="T1595" s="402"/>
      <c r="U1595" s="402"/>
      <c r="V1595" s="402"/>
      <c r="W1595" s="402"/>
      <c r="X1595" s="402"/>
      <c r="Y1595" s="402"/>
      <c r="Z1595" s="402"/>
    </row>
    <row r="1596" ht="14.25" customHeight="1">
      <c r="A1596" s="497"/>
      <c r="B1596" s="402"/>
      <c r="C1596" s="402"/>
      <c r="D1596" s="1034"/>
      <c r="E1596" s="403"/>
      <c r="F1596" s="403"/>
      <c r="G1596" s="403"/>
      <c r="H1596" s="402"/>
      <c r="I1596" s="402"/>
      <c r="J1596" s="402"/>
      <c r="K1596" s="402"/>
      <c r="L1596" s="402"/>
      <c r="M1596" s="402"/>
      <c r="N1596" s="402"/>
      <c r="O1596" s="402"/>
      <c r="P1596" s="402"/>
      <c r="Q1596" s="402"/>
      <c r="R1596" s="402"/>
      <c r="S1596" s="402"/>
      <c r="T1596" s="402"/>
      <c r="U1596" s="402"/>
      <c r="V1596" s="402"/>
      <c r="W1596" s="402"/>
      <c r="X1596" s="402"/>
      <c r="Y1596" s="402"/>
      <c r="Z1596" s="402"/>
    </row>
    <row r="1597" ht="14.25" customHeight="1">
      <c r="A1597" s="497"/>
      <c r="B1597" s="402"/>
      <c r="C1597" s="402"/>
      <c r="D1597" s="1034"/>
      <c r="E1597" s="403"/>
      <c r="F1597" s="403"/>
      <c r="G1597" s="403"/>
      <c r="H1597" s="402"/>
      <c r="I1597" s="402"/>
      <c r="J1597" s="402"/>
      <c r="K1597" s="402"/>
      <c r="L1597" s="402"/>
      <c r="M1597" s="402"/>
      <c r="N1597" s="402"/>
      <c r="O1597" s="402"/>
      <c r="P1597" s="402"/>
      <c r="Q1597" s="402"/>
      <c r="R1597" s="402"/>
      <c r="S1597" s="402"/>
      <c r="T1597" s="402"/>
      <c r="U1597" s="402"/>
      <c r="V1597" s="402"/>
      <c r="W1597" s="402"/>
      <c r="X1597" s="402"/>
      <c r="Y1597" s="402"/>
      <c r="Z1597" s="402"/>
    </row>
    <row r="1598" ht="14.25" customHeight="1">
      <c r="A1598" s="497"/>
      <c r="B1598" s="402"/>
      <c r="C1598" s="402"/>
      <c r="D1598" s="1034"/>
      <c r="E1598" s="403"/>
      <c r="F1598" s="403"/>
      <c r="G1598" s="403"/>
      <c r="H1598" s="402"/>
      <c r="I1598" s="402"/>
      <c r="J1598" s="402"/>
      <c r="K1598" s="402"/>
      <c r="L1598" s="402"/>
      <c r="M1598" s="402"/>
      <c r="N1598" s="402"/>
      <c r="O1598" s="402"/>
      <c r="P1598" s="402"/>
      <c r="Q1598" s="402"/>
      <c r="R1598" s="402"/>
      <c r="S1598" s="402"/>
      <c r="T1598" s="402"/>
      <c r="U1598" s="402"/>
      <c r="V1598" s="402"/>
      <c r="W1598" s="402"/>
      <c r="X1598" s="402"/>
      <c r="Y1598" s="402"/>
      <c r="Z1598" s="402"/>
    </row>
    <row r="1599" ht="14.25" customHeight="1">
      <c r="A1599" s="497"/>
      <c r="B1599" s="402"/>
      <c r="C1599" s="402"/>
      <c r="D1599" s="1034"/>
      <c r="E1599" s="403"/>
      <c r="F1599" s="403"/>
      <c r="G1599" s="403"/>
      <c r="H1599" s="402"/>
      <c r="I1599" s="402"/>
      <c r="J1599" s="402"/>
      <c r="K1599" s="402"/>
      <c r="L1599" s="402"/>
      <c r="M1599" s="402"/>
      <c r="N1599" s="402"/>
      <c r="O1599" s="402"/>
      <c r="P1599" s="402"/>
      <c r="Q1599" s="402"/>
      <c r="R1599" s="402"/>
      <c r="S1599" s="402"/>
      <c r="T1599" s="402"/>
      <c r="U1599" s="402"/>
      <c r="V1599" s="402"/>
      <c r="W1599" s="402"/>
      <c r="X1599" s="402"/>
      <c r="Y1599" s="402"/>
      <c r="Z1599" s="402"/>
    </row>
    <row r="1600" ht="14.25" customHeight="1">
      <c r="A1600" s="497"/>
      <c r="B1600" s="402"/>
      <c r="C1600" s="402"/>
      <c r="D1600" s="1034"/>
      <c r="E1600" s="403"/>
      <c r="F1600" s="403"/>
      <c r="G1600" s="403"/>
      <c r="H1600" s="402"/>
      <c r="I1600" s="402"/>
      <c r="J1600" s="402"/>
      <c r="K1600" s="402"/>
      <c r="L1600" s="402"/>
      <c r="M1600" s="402"/>
      <c r="N1600" s="402"/>
      <c r="O1600" s="402"/>
      <c r="P1600" s="402"/>
      <c r="Q1600" s="402"/>
      <c r="R1600" s="402"/>
      <c r="S1600" s="402"/>
      <c r="T1600" s="402"/>
      <c r="U1600" s="402"/>
      <c r="V1600" s="402"/>
      <c r="W1600" s="402"/>
      <c r="X1600" s="402"/>
      <c r="Y1600" s="402"/>
      <c r="Z1600" s="402"/>
    </row>
    <row r="1601" ht="14.25" customHeight="1">
      <c r="A1601" s="497"/>
      <c r="B1601" s="402"/>
      <c r="C1601" s="402"/>
      <c r="D1601" s="1034"/>
      <c r="E1601" s="403"/>
      <c r="F1601" s="403"/>
      <c r="G1601" s="403"/>
      <c r="H1601" s="402"/>
      <c r="I1601" s="402"/>
      <c r="J1601" s="402"/>
      <c r="K1601" s="402"/>
      <c r="L1601" s="402"/>
      <c r="M1601" s="402"/>
      <c r="N1601" s="402"/>
      <c r="O1601" s="402"/>
      <c r="P1601" s="402"/>
      <c r="Q1601" s="402"/>
      <c r="R1601" s="402"/>
      <c r="S1601" s="402"/>
      <c r="T1601" s="402"/>
      <c r="U1601" s="402"/>
      <c r="V1601" s="402"/>
      <c r="W1601" s="402"/>
      <c r="X1601" s="402"/>
      <c r="Y1601" s="402"/>
      <c r="Z1601" s="402"/>
    </row>
    <row r="1602" ht="14.25" customHeight="1">
      <c r="A1602" s="497"/>
      <c r="B1602" s="402"/>
      <c r="C1602" s="402"/>
      <c r="D1602" s="1034"/>
      <c r="E1602" s="403"/>
      <c r="F1602" s="403"/>
      <c r="G1602" s="403"/>
      <c r="H1602" s="402"/>
      <c r="I1602" s="402"/>
      <c r="J1602" s="402"/>
      <c r="K1602" s="402"/>
      <c r="L1602" s="402"/>
      <c r="M1602" s="402"/>
      <c r="N1602" s="402"/>
      <c r="O1602" s="402"/>
      <c r="P1602" s="402"/>
      <c r="Q1602" s="402"/>
      <c r="R1602" s="402"/>
      <c r="S1602" s="402"/>
      <c r="T1602" s="402"/>
      <c r="U1602" s="402"/>
      <c r="V1602" s="402"/>
      <c r="W1602" s="402"/>
      <c r="X1602" s="402"/>
      <c r="Y1602" s="402"/>
      <c r="Z1602" s="402"/>
    </row>
    <row r="1603" ht="14.25" customHeight="1">
      <c r="A1603" s="497"/>
      <c r="B1603" s="402"/>
      <c r="C1603" s="402"/>
      <c r="D1603" s="1034"/>
      <c r="E1603" s="403"/>
      <c r="F1603" s="403"/>
      <c r="G1603" s="403"/>
      <c r="H1603" s="402"/>
      <c r="I1603" s="402"/>
      <c r="J1603" s="402"/>
      <c r="K1603" s="402"/>
      <c r="L1603" s="402"/>
      <c r="M1603" s="402"/>
      <c r="N1603" s="402"/>
      <c r="O1603" s="402"/>
      <c r="P1603" s="402"/>
      <c r="Q1603" s="402"/>
      <c r="R1603" s="402"/>
      <c r="S1603" s="402"/>
      <c r="T1603" s="402"/>
      <c r="U1603" s="402"/>
      <c r="V1603" s="402"/>
      <c r="W1603" s="402"/>
      <c r="X1603" s="402"/>
      <c r="Y1603" s="402"/>
      <c r="Z1603" s="402"/>
    </row>
    <row r="1604" ht="14.25" customHeight="1">
      <c r="A1604" s="497"/>
      <c r="B1604" s="402"/>
      <c r="C1604" s="402"/>
      <c r="D1604" s="1034"/>
      <c r="E1604" s="403"/>
      <c r="F1604" s="403"/>
      <c r="G1604" s="403"/>
      <c r="H1604" s="402"/>
      <c r="I1604" s="402"/>
      <c r="J1604" s="402"/>
      <c r="K1604" s="402"/>
      <c r="L1604" s="402"/>
      <c r="M1604" s="402"/>
      <c r="N1604" s="402"/>
      <c r="O1604" s="402"/>
      <c r="P1604" s="402"/>
      <c r="Q1604" s="402"/>
      <c r="R1604" s="402"/>
      <c r="S1604" s="402"/>
      <c r="T1604" s="402"/>
      <c r="U1604" s="402"/>
      <c r="V1604" s="402"/>
      <c r="W1604" s="402"/>
      <c r="X1604" s="402"/>
      <c r="Y1604" s="402"/>
      <c r="Z1604" s="402"/>
    </row>
    <row r="1605" ht="14.25" customHeight="1">
      <c r="A1605" s="497"/>
      <c r="B1605" s="402"/>
      <c r="C1605" s="402"/>
      <c r="D1605" s="1034"/>
      <c r="E1605" s="403"/>
      <c r="F1605" s="403"/>
      <c r="G1605" s="403"/>
      <c r="H1605" s="402"/>
      <c r="I1605" s="402"/>
      <c r="J1605" s="402"/>
      <c r="K1605" s="402"/>
      <c r="L1605" s="402"/>
      <c r="M1605" s="402"/>
      <c r="N1605" s="402"/>
      <c r="O1605" s="402"/>
      <c r="P1605" s="402"/>
      <c r="Q1605" s="402"/>
      <c r="R1605" s="402"/>
      <c r="S1605" s="402"/>
      <c r="T1605" s="402"/>
      <c r="U1605" s="402"/>
      <c r="V1605" s="402"/>
      <c r="W1605" s="402"/>
      <c r="X1605" s="402"/>
      <c r="Y1605" s="402"/>
      <c r="Z1605" s="402"/>
    </row>
    <row r="1606" ht="14.25" customHeight="1">
      <c r="A1606" s="497"/>
      <c r="B1606" s="402"/>
      <c r="C1606" s="402"/>
      <c r="D1606" s="1034"/>
      <c r="E1606" s="403"/>
      <c r="F1606" s="403"/>
      <c r="G1606" s="403"/>
      <c r="H1606" s="402"/>
      <c r="I1606" s="402"/>
      <c r="J1606" s="402"/>
      <c r="K1606" s="402"/>
      <c r="L1606" s="402"/>
      <c r="M1606" s="402"/>
      <c r="N1606" s="402"/>
      <c r="O1606" s="402"/>
      <c r="P1606" s="402"/>
      <c r="Q1606" s="402"/>
      <c r="R1606" s="402"/>
      <c r="S1606" s="402"/>
      <c r="T1606" s="402"/>
      <c r="U1606" s="402"/>
      <c r="V1606" s="402"/>
      <c r="W1606" s="402"/>
      <c r="X1606" s="402"/>
      <c r="Y1606" s="402"/>
      <c r="Z1606" s="402"/>
    </row>
    <row r="1607" ht="14.25" customHeight="1">
      <c r="A1607" s="497"/>
      <c r="B1607" s="402"/>
      <c r="C1607" s="402"/>
      <c r="D1607" s="1034"/>
      <c r="E1607" s="403"/>
      <c r="F1607" s="403"/>
      <c r="G1607" s="403"/>
      <c r="H1607" s="402"/>
      <c r="I1607" s="402"/>
      <c r="J1607" s="402"/>
      <c r="K1607" s="402"/>
      <c r="L1607" s="402"/>
      <c r="M1607" s="402"/>
      <c r="N1607" s="402"/>
      <c r="O1607" s="402"/>
      <c r="P1607" s="402"/>
      <c r="Q1607" s="402"/>
      <c r="R1607" s="402"/>
      <c r="S1607" s="402"/>
      <c r="T1607" s="402"/>
      <c r="U1607" s="402"/>
      <c r="V1607" s="402"/>
      <c r="W1607" s="402"/>
      <c r="X1607" s="402"/>
      <c r="Y1607" s="402"/>
      <c r="Z1607" s="402"/>
    </row>
    <row r="1608" ht="14.25" customHeight="1">
      <c r="A1608" s="497"/>
      <c r="B1608" s="402"/>
      <c r="C1608" s="402"/>
      <c r="D1608" s="1034"/>
      <c r="E1608" s="403"/>
      <c r="F1608" s="403"/>
      <c r="G1608" s="403"/>
      <c r="H1608" s="402"/>
      <c r="I1608" s="402"/>
      <c r="J1608" s="402"/>
      <c r="K1608" s="402"/>
      <c r="L1608" s="402"/>
      <c r="M1608" s="402"/>
      <c r="N1608" s="402"/>
      <c r="O1608" s="402"/>
      <c r="P1608" s="402"/>
      <c r="Q1608" s="402"/>
      <c r="R1608" s="402"/>
      <c r="S1608" s="402"/>
      <c r="T1608" s="402"/>
      <c r="U1608" s="402"/>
      <c r="V1608" s="402"/>
      <c r="W1608" s="402"/>
      <c r="X1608" s="402"/>
      <c r="Y1608" s="402"/>
      <c r="Z1608" s="402"/>
    </row>
    <row r="1609" ht="14.25" customHeight="1">
      <c r="A1609" s="497"/>
      <c r="B1609" s="402"/>
      <c r="C1609" s="402"/>
      <c r="D1609" s="1034"/>
      <c r="E1609" s="403"/>
      <c r="F1609" s="403"/>
      <c r="G1609" s="403"/>
      <c r="H1609" s="402"/>
      <c r="I1609" s="402"/>
      <c r="J1609" s="402"/>
      <c r="K1609" s="402"/>
      <c r="L1609" s="402"/>
      <c r="M1609" s="402"/>
      <c r="N1609" s="402"/>
      <c r="O1609" s="402"/>
      <c r="P1609" s="402"/>
      <c r="Q1609" s="402"/>
      <c r="R1609" s="402"/>
      <c r="S1609" s="402"/>
      <c r="T1609" s="402"/>
      <c r="U1609" s="402"/>
      <c r="V1609" s="402"/>
      <c r="W1609" s="402"/>
      <c r="X1609" s="402"/>
      <c r="Y1609" s="402"/>
      <c r="Z1609" s="402"/>
    </row>
    <row r="1610" ht="14.25" customHeight="1">
      <c r="A1610" s="497"/>
      <c r="B1610" s="402"/>
      <c r="C1610" s="402"/>
      <c r="D1610" s="1034"/>
      <c r="E1610" s="403"/>
      <c r="F1610" s="403"/>
      <c r="G1610" s="403"/>
      <c r="H1610" s="402"/>
      <c r="I1610" s="402"/>
      <c r="J1610" s="402"/>
      <c r="K1610" s="402"/>
      <c r="L1610" s="402"/>
      <c r="M1610" s="402"/>
      <c r="N1610" s="402"/>
      <c r="O1610" s="402"/>
      <c r="P1610" s="402"/>
      <c r="Q1610" s="402"/>
      <c r="R1610" s="402"/>
      <c r="S1610" s="402"/>
      <c r="T1610" s="402"/>
      <c r="U1610" s="402"/>
      <c r="V1610" s="402"/>
      <c r="W1610" s="402"/>
      <c r="X1610" s="402"/>
      <c r="Y1610" s="402"/>
      <c r="Z1610" s="402"/>
    </row>
    <row r="1611" ht="14.25" customHeight="1">
      <c r="A1611" s="497"/>
      <c r="B1611" s="402"/>
      <c r="C1611" s="402"/>
      <c r="D1611" s="1034"/>
      <c r="E1611" s="403"/>
      <c r="F1611" s="403"/>
      <c r="G1611" s="403"/>
      <c r="H1611" s="402"/>
      <c r="I1611" s="402"/>
      <c r="J1611" s="402"/>
      <c r="K1611" s="402"/>
      <c r="L1611" s="402"/>
      <c r="M1611" s="402"/>
      <c r="N1611" s="402"/>
      <c r="O1611" s="402"/>
      <c r="P1611" s="402"/>
      <c r="Q1611" s="402"/>
      <c r="R1611" s="402"/>
      <c r="S1611" s="402"/>
      <c r="T1611" s="402"/>
      <c r="U1611" s="402"/>
      <c r="V1611" s="402"/>
      <c r="W1611" s="402"/>
      <c r="X1611" s="402"/>
      <c r="Y1611" s="402"/>
      <c r="Z1611" s="402"/>
    </row>
    <row r="1612" ht="14.25" customHeight="1">
      <c r="A1612" s="1134"/>
      <c r="B1612" s="405"/>
      <c r="C1612" s="405"/>
      <c r="D1612" s="1135"/>
      <c r="E1612" s="583"/>
      <c r="F1612" s="583"/>
      <c r="G1612" s="583"/>
      <c r="H1612" s="405"/>
      <c r="I1612" s="405"/>
      <c r="J1612" s="405"/>
      <c r="K1612" s="405"/>
      <c r="L1612" s="405"/>
      <c r="M1612" s="405"/>
      <c r="N1612" s="405"/>
      <c r="O1612" s="405"/>
      <c r="P1612" s="405"/>
      <c r="Q1612" s="405"/>
      <c r="R1612" s="405"/>
      <c r="S1612" s="405"/>
      <c r="T1612" s="405"/>
      <c r="U1612" s="405"/>
      <c r="V1612" s="405"/>
      <c r="W1612" s="405"/>
      <c r="X1612" s="405"/>
      <c r="Y1612" s="405"/>
      <c r="Z1612" s="405"/>
    </row>
    <row r="1613" ht="14.25" customHeight="1">
      <c r="A1613" s="1134"/>
      <c r="B1613" s="405"/>
      <c r="C1613" s="405"/>
      <c r="D1613" s="1135"/>
      <c r="E1613" s="583"/>
      <c r="F1613" s="583"/>
      <c r="G1613" s="583"/>
      <c r="H1613" s="405"/>
      <c r="I1613" s="405"/>
      <c r="J1613" s="405"/>
      <c r="K1613" s="405"/>
      <c r="L1613" s="405"/>
      <c r="M1613" s="405"/>
      <c r="N1613" s="405"/>
      <c r="O1613" s="405"/>
      <c r="P1613" s="405"/>
      <c r="Q1613" s="405"/>
      <c r="R1613" s="405"/>
      <c r="S1613" s="405"/>
      <c r="T1613" s="405"/>
      <c r="U1613" s="405"/>
      <c r="V1613" s="405"/>
      <c r="W1613" s="405"/>
      <c r="X1613" s="405"/>
      <c r="Y1613" s="405"/>
      <c r="Z1613" s="405"/>
    </row>
    <row r="1614" ht="14.25" customHeight="1">
      <c r="A1614" s="1134"/>
      <c r="B1614" s="405"/>
      <c r="C1614" s="405"/>
      <c r="D1614" s="1135"/>
      <c r="E1614" s="583"/>
      <c r="F1614" s="583"/>
      <c r="G1614" s="583"/>
      <c r="H1614" s="405"/>
      <c r="I1614" s="405"/>
      <c r="J1614" s="405"/>
      <c r="K1614" s="405"/>
      <c r="L1614" s="405"/>
      <c r="M1614" s="405"/>
      <c r="N1614" s="405"/>
      <c r="O1614" s="405"/>
      <c r="P1614" s="405"/>
      <c r="Q1614" s="405"/>
      <c r="R1614" s="405"/>
      <c r="S1614" s="405"/>
      <c r="T1614" s="405"/>
      <c r="U1614" s="405"/>
      <c r="V1614" s="405"/>
      <c r="W1614" s="405"/>
      <c r="X1614" s="405"/>
      <c r="Y1614" s="405"/>
      <c r="Z1614" s="405"/>
    </row>
    <row r="1615" ht="14.25" customHeight="1">
      <c r="A1615" s="1134"/>
      <c r="B1615" s="405"/>
      <c r="C1615" s="405"/>
      <c r="D1615" s="1135"/>
      <c r="E1615" s="583"/>
      <c r="F1615" s="583"/>
      <c r="G1615" s="583"/>
      <c r="H1615" s="405"/>
      <c r="I1615" s="405"/>
      <c r="J1615" s="405"/>
      <c r="K1615" s="405"/>
      <c r="L1615" s="405"/>
      <c r="M1615" s="405"/>
      <c r="N1615" s="405"/>
      <c r="O1615" s="405"/>
      <c r="P1615" s="405"/>
      <c r="Q1615" s="405"/>
      <c r="R1615" s="405"/>
      <c r="S1615" s="405"/>
      <c r="T1615" s="405"/>
      <c r="U1615" s="405"/>
      <c r="V1615" s="405"/>
      <c r="W1615" s="405"/>
      <c r="X1615" s="405"/>
      <c r="Y1615" s="405"/>
      <c r="Z1615" s="405"/>
    </row>
    <row r="1616" ht="14.25" customHeight="1">
      <c r="A1616" s="1134"/>
      <c r="B1616" s="405"/>
      <c r="C1616" s="405"/>
      <c r="D1616" s="1135"/>
      <c r="E1616" s="583"/>
      <c r="F1616" s="583"/>
      <c r="G1616" s="583"/>
      <c r="H1616" s="405"/>
      <c r="I1616" s="405"/>
      <c r="J1616" s="405"/>
      <c r="K1616" s="405"/>
      <c r="L1616" s="405"/>
      <c r="M1616" s="405"/>
      <c r="N1616" s="405"/>
      <c r="O1616" s="405"/>
      <c r="P1616" s="405"/>
      <c r="Q1616" s="405"/>
      <c r="R1616" s="405"/>
      <c r="S1616" s="405"/>
      <c r="T1616" s="405"/>
      <c r="U1616" s="405"/>
      <c r="V1616" s="405"/>
      <c r="W1616" s="405"/>
      <c r="X1616" s="405"/>
      <c r="Y1616" s="405"/>
      <c r="Z1616" s="405"/>
    </row>
    <row r="1617" ht="14.25" customHeight="1">
      <c r="A1617" s="1134"/>
      <c r="B1617" s="405"/>
      <c r="C1617" s="405"/>
      <c r="D1617" s="1135"/>
      <c r="E1617" s="583"/>
      <c r="F1617" s="583"/>
      <c r="G1617" s="583"/>
      <c r="H1617" s="405"/>
      <c r="I1617" s="405"/>
      <c r="J1617" s="405"/>
      <c r="K1617" s="405"/>
      <c r="L1617" s="405"/>
      <c r="M1617" s="405"/>
      <c r="N1617" s="405"/>
      <c r="O1617" s="405"/>
      <c r="P1617" s="405"/>
      <c r="Q1617" s="405"/>
      <c r="R1617" s="405"/>
      <c r="S1617" s="405"/>
      <c r="T1617" s="405"/>
      <c r="U1617" s="405"/>
      <c r="V1617" s="405"/>
      <c r="W1617" s="405"/>
      <c r="X1617" s="405"/>
      <c r="Y1617" s="405"/>
      <c r="Z1617" s="405"/>
    </row>
    <row r="1618" ht="14.25" customHeight="1">
      <c r="A1618" s="1134"/>
      <c r="B1618" s="405"/>
      <c r="C1618" s="405"/>
      <c r="D1618" s="1135"/>
      <c r="E1618" s="583"/>
      <c r="F1618" s="583"/>
      <c r="G1618" s="583"/>
      <c r="H1618" s="405"/>
      <c r="I1618" s="405"/>
      <c r="J1618" s="405"/>
      <c r="K1618" s="405"/>
      <c r="L1618" s="405"/>
      <c r="M1618" s="405"/>
      <c r="N1618" s="405"/>
      <c r="O1618" s="405"/>
      <c r="P1618" s="405"/>
      <c r="Q1618" s="405"/>
      <c r="R1618" s="405"/>
      <c r="S1618" s="405"/>
      <c r="T1618" s="405"/>
      <c r="U1618" s="405"/>
      <c r="V1618" s="405"/>
      <c r="W1618" s="405"/>
      <c r="X1618" s="405"/>
      <c r="Y1618" s="405"/>
      <c r="Z1618" s="405"/>
    </row>
    <row r="1619" ht="14.25" customHeight="1">
      <c r="A1619" s="1134"/>
      <c r="B1619" s="405"/>
      <c r="C1619" s="405"/>
      <c r="D1619" s="1135"/>
      <c r="E1619" s="583"/>
      <c r="F1619" s="583"/>
      <c r="G1619" s="583"/>
      <c r="H1619" s="405"/>
      <c r="I1619" s="405"/>
      <c r="J1619" s="405"/>
      <c r="K1619" s="405"/>
      <c r="L1619" s="405"/>
      <c r="M1619" s="405"/>
      <c r="N1619" s="405"/>
      <c r="O1619" s="405"/>
      <c r="P1619" s="405"/>
      <c r="Q1619" s="405"/>
      <c r="R1619" s="405"/>
      <c r="S1619" s="405"/>
      <c r="T1619" s="405"/>
      <c r="U1619" s="405"/>
      <c r="V1619" s="405"/>
      <c r="W1619" s="405"/>
      <c r="X1619" s="405"/>
      <c r="Y1619" s="405"/>
      <c r="Z1619" s="405"/>
    </row>
    <row r="1620" ht="14.25" customHeight="1">
      <c r="A1620" s="1134"/>
      <c r="B1620" s="405"/>
      <c r="C1620" s="405"/>
      <c r="D1620" s="1135"/>
      <c r="E1620" s="583"/>
      <c r="F1620" s="583"/>
      <c r="G1620" s="583"/>
      <c r="H1620" s="405"/>
      <c r="I1620" s="405"/>
      <c r="J1620" s="405"/>
      <c r="K1620" s="405"/>
      <c r="L1620" s="405"/>
      <c r="M1620" s="405"/>
      <c r="N1620" s="405"/>
      <c r="O1620" s="405"/>
      <c r="P1620" s="405"/>
      <c r="Q1620" s="405"/>
      <c r="R1620" s="405"/>
      <c r="S1620" s="405"/>
      <c r="T1620" s="405"/>
      <c r="U1620" s="405"/>
      <c r="V1620" s="405"/>
      <c r="W1620" s="405"/>
      <c r="X1620" s="405"/>
      <c r="Y1620" s="405"/>
      <c r="Z1620" s="405"/>
    </row>
    <row r="1621" ht="14.25" customHeight="1">
      <c r="A1621" s="1134"/>
      <c r="B1621" s="405"/>
      <c r="C1621" s="405"/>
      <c r="D1621" s="1135"/>
      <c r="E1621" s="583"/>
      <c r="F1621" s="583"/>
      <c r="G1621" s="583"/>
      <c r="H1621" s="405"/>
      <c r="I1621" s="405"/>
      <c r="J1621" s="405"/>
      <c r="K1621" s="405"/>
      <c r="L1621" s="405"/>
      <c r="M1621" s="405"/>
      <c r="N1621" s="405"/>
      <c r="O1621" s="405"/>
      <c r="P1621" s="405"/>
      <c r="Q1621" s="405"/>
      <c r="R1621" s="405"/>
      <c r="S1621" s="405"/>
      <c r="T1621" s="405"/>
      <c r="U1621" s="405"/>
      <c r="V1621" s="405"/>
      <c r="W1621" s="405"/>
      <c r="X1621" s="405"/>
      <c r="Y1621" s="405"/>
      <c r="Z1621" s="405"/>
    </row>
    <row r="1622" ht="14.25" customHeight="1">
      <c r="A1622" s="1134"/>
      <c r="B1622" s="405"/>
      <c r="C1622" s="405"/>
      <c r="D1622" s="1135"/>
      <c r="E1622" s="583"/>
      <c r="F1622" s="583"/>
      <c r="G1622" s="583"/>
      <c r="H1622" s="405"/>
      <c r="I1622" s="405"/>
      <c r="J1622" s="405"/>
      <c r="K1622" s="405"/>
      <c r="L1622" s="405"/>
      <c r="M1622" s="405"/>
      <c r="N1622" s="405"/>
      <c r="O1622" s="405"/>
      <c r="P1622" s="405"/>
      <c r="Q1622" s="405"/>
      <c r="R1622" s="405"/>
      <c r="S1622" s="405"/>
      <c r="T1622" s="405"/>
      <c r="U1622" s="405"/>
      <c r="V1622" s="405"/>
      <c r="W1622" s="405"/>
      <c r="X1622" s="405"/>
      <c r="Y1622" s="405"/>
      <c r="Z1622" s="405"/>
    </row>
    <row r="1623" ht="14.25" customHeight="1">
      <c r="A1623" s="1134"/>
      <c r="B1623" s="405"/>
      <c r="C1623" s="405"/>
      <c r="D1623" s="1135"/>
      <c r="E1623" s="583"/>
      <c r="F1623" s="583"/>
      <c r="G1623" s="583"/>
      <c r="H1623" s="405"/>
      <c r="I1623" s="405"/>
      <c r="J1623" s="405"/>
      <c r="K1623" s="405"/>
      <c r="L1623" s="405"/>
      <c r="M1623" s="405"/>
      <c r="N1623" s="405"/>
      <c r="O1623" s="405"/>
      <c r="P1623" s="405"/>
      <c r="Q1623" s="405"/>
      <c r="R1623" s="405"/>
      <c r="S1623" s="405"/>
      <c r="T1623" s="405"/>
      <c r="U1623" s="405"/>
      <c r="V1623" s="405"/>
      <c r="W1623" s="405"/>
      <c r="X1623" s="405"/>
      <c r="Y1623" s="405"/>
      <c r="Z1623" s="405"/>
    </row>
    <row r="1624" ht="14.25" customHeight="1">
      <c r="A1624" s="1134"/>
      <c r="B1624" s="405"/>
      <c r="C1624" s="405"/>
      <c r="D1624" s="1135"/>
      <c r="E1624" s="583"/>
      <c r="F1624" s="583"/>
      <c r="G1624" s="583"/>
      <c r="H1624" s="405"/>
      <c r="I1624" s="405"/>
      <c r="J1624" s="405"/>
      <c r="K1624" s="405"/>
      <c r="L1624" s="405"/>
      <c r="M1624" s="405"/>
      <c r="N1624" s="405"/>
      <c r="O1624" s="405"/>
      <c r="P1624" s="405"/>
      <c r="Q1624" s="405"/>
      <c r="R1624" s="405"/>
      <c r="S1624" s="405"/>
      <c r="T1624" s="405"/>
      <c r="U1624" s="405"/>
      <c r="V1624" s="405"/>
      <c r="W1624" s="405"/>
      <c r="X1624" s="405"/>
      <c r="Y1624" s="405"/>
      <c r="Z1624" s="405"/>
    </row>
    <row r="1625" ht="14.25" customHeight="1">
      <c r="A1625" s="1134"/>
      <c r="B1625" s="405"/>
      <c r="C1625" s="405"/>
      <c r="D1625" s="1135"/>
      <c r="E1625" s="583"/>
      <c r="F1625" s="583"/>
      <c r="G1625" s="583"/>
      <c r="H1625" s="405"/>
      <c r="I1625" s="405"/>
      <c r="J1625" s="405"/>
      <c r="K1625" s="405"/>
      <c r="L1625" s="405"/>
      <c r="M1625" s="405"/>
      <c r="N1625" s="405"/>
      <c r="O1625" s="405"/>
      <c r="P1625" s="405"/>
      <c r="Q1625" s="405"/>
      <c r="R1625" s="405"/>
      <c r="S1625" s="405"/>
      <c r="T1625" s="405"/>
      <c r="U1625" s="405"/>
      <c r="V1625" s="405"/>
      <c r="W1625" s="405"/>
      <c r="X1625" s="405"/>
      <c r="Y1625" s="405"/>
      <c r="Z1625" s="405"/>
    </row>
    <row r="1626" ht="14.25" customHeight="1">
      <c r="A1626" s="1134"/>
      <c r="B1626" s="405"/>
      <c r="C1626" s="405"/>
      <c r="D1626" s="1135"/>
      <c r="E1626" s="583"/>
      <c r="F1626" s="583"/>
      <c r="G1626" s="583"/>
      <c r="H1626" s="405"/>
      <c r="I1626" s="405"/>
      <c r="J1626" s="405"/>
      <c r="K1626" s="405"/>
      <c r="L1626" s="405"/>
      <c r="M1626" s="405"/>
      <c r="N1626" s="405"/>
      <c r="O1626" s="405"/>
      <c r="P1626" s="405"/>
      <c r="Q1626" s="405"/>
      <c r="R1626" s="405"/>
      <c r="S1626" s="405"/>
      <c r="T1626" s="405"/>
      <c r="U1626" s="405"/>
      <c r="V1626" s="405"/>
      <c r="W1626" s="405"/>
      <c r="X1626" s="405"/>
      <c r="Y1626" s="405"/>
      <c r="Z1626" s="405"/>
    </row>
    <row r="1627" ht="14.25" customHeight="1">
      <c r="A1627" s="1134"/>
      <c r="B1627" s="405"/>
      <c r="C1627" s="405"/>
      <c r="D1627" s="1135"/>
      <c r="E1627" s="583"/>
      <c r="F1627" s="583"/>
      <c r="G1627" s="583"/>
      <c r="H1627" s="405"/>
      <c r="I1627" s="405"/>
      <c r="J1627" s="405"/>
      <c r="K1627" s="405"/>
      <c r="L1627" s="405"/>
      <c r="M1627" s="405"/>
      <c r="N1627" s="405"/>
      <c r="O1627" s="405"/>
      <c r="P1627" s="405"/>
      <c r="Q1627" s="405"/>
      <c r="R1627" s="405"/>
      <c r="S1627" s="405"/>
      <c r="T1627" s="405"/>
      <c r="U1627" s="405"/>
      <c r="V1627" s="405"/>
      <c r="W1627" s="405"/>
      <c r="X1627" s="405"/>
      <c r="Y1627" s="405"/>
      <c r="Z1627" s="405"/>
    </row>
    <row r="1628" ht="14.25" customHeight="1">
      <c r="A1628" s="1134"/>
      <c r="B1628" s="405"/>
      <c r="C1628" s="405"/>
      <c r="D1628" s="1135"/>
      <c r="E1628" s="583"/>
      <c r="F1628" s="583"/>
      <c r="G1628" s="583"/>
      <c r="H1628" s="405"/>
      <c r="I1628" s="405"/>
      <c r="J1628" s="405"/>
      <c r="K1628" s="405"/>
      <c r="L1628" s="405"/>
      <c r="M1628" s="405"/>
      <c r="N1628" s="405"/>
      <c r="O1628" s="405"/>
      <c r="P1628" s="405"/>
      <c r="Q1628" s="405"/>
      <c r="R1628" s="405"/>
      <c r="S1628" s="405"/>
      <c r="T1628" s="405"/>
      <c r="U1628" s="405"/>
      <c r="V1628" s="405"/>
      <c r="W1628" s="405"/>
      <c r="X1628" s="405"/>
      <c r="Y1628" s="405"/>
      <c r="Z1628" s="405"/>
    </row>
    <row r="1629" ht="14.25" customHeight="1">
      <c r="A1629" s="1134"/>
      <c r="B1629" s="405"/>
      <c r="C1629" s="405"/>
      <c r="D1629" s="1135"/>
      <c r="E1629" s="583"/>
      <c r="F1629" s="583"/>
      <c r="G1629" s="583"/>
      <c r="H1629" s="405"/>
      <c r="I1629" s="405"/>
      <c r="J1629" s="405"/>
      <c r="K1629" s="405"/>
      <c r="L1629" s="405"/>
      <c r="M1629" s="405"/>
      <c r="N1629" s="405"/>
      <c r="O1629" s="405"/>
      <c r="P1629" s="405"/>
      <c r="Q1629" s="405"/>
      <c r="R1629" s="405"/>
      <c r="S1629" s="405"/>
      <c r="T1629" s="405"/>
      <c r="U1629" s="405"/>
      <c r="V1629" s="405"/>
      <c r="W1629" s="405"/>
      <c r="X1629" s="405"/>
      <c r="Y1629" s="405"/>
      <c r="Z1629" s="405"/>
    </row>
    <row r="1630" ht="14.25" customHeight="1">
      <c r="A1630" s="1134"/>
      <c r="B1630" s="405"/>
      <c r="C1630" s="405"/>
      <c r="D1630" s="1135"/>
      <c r="E1630" s="583"/>
      <c r="F1630" s="583"/>
      <c r="G1630" s="583"/>
      <c r="H1630" s="405"/>
      <c r="I1630" s="405"/>
      <c r="J1630" s="405"/>
      <c r="K1630" s="405"/>
      <c r="L1630" s="405"/>
      <c r="M1630" s="405"/>
      <c r="N1630" s="405"/>
      <c r="O1630" s="405"/>
      <c r="P1630" s="405"/>
      <c r="Q1630" s="405"/>
      <c r="R1630" s="405"/>
      <c r="S1630" s="405"/>
      <c r="T1630" s="405"/>
      <c r="U1630" s="405"/>
      <c r="V1630" s="405"/>
      <c r="W1630" s="405"/>
      <c r="X1630" s="405"/>
      <c r="Y1630" s="405"/>
      <c r="Z1630" s="405"/>
    </row>
    <row r="1631" ht="14.25" customHeight="1">
      <c r="A1631" s="1134"/>
      <c r="B1631" s="405"/>
      <c r="C1631" s="405"/>
      <c r="D1631" s="1135"/>
      <c r="E1631" s="583"/>
      <c r="F1631" s="583"/>
      <c r="G1631" s="583"/>
      <c r="H1631" s="405"/>
      <c r="I1631" s="405"/>
      <c r="J1631" s="405"/>
      <c r="K1631" s="405"/>
      <c r="L1631" s="405"/>
      <c r="M1631" s="405"/>
      <c r="N1631" s="405"/>
      <c r="O1631" s="405"/>
      <c r="P1631" s="405"/>
      <c r="Q1631" s="405"/>
      <c r="R1631" s="405"/>
      <c r="S1631" s="405"/>
      <c r="T1631" s="405"/>
      <c r="U1631" s="405"/>
      <c r="V1631" s="405"/>
      <c r="W1631" s="405"/>
      <c r="X1631" s="405"/>
      <c r="Y1631" s="405"/>
      <c r="Z1631" s="405"/>
    </row>
    <row r="1632" ht="14.25" customHeight="1">
      <c r="A1632" s="1134"/>
      <c r="B1632" s="405"/>
      <c r="C1632" s="405"/>
      <c r="D1632" s="1135"/>
      <c r="E1632" s="583"/>
      <c r="F1632" s="583"/>
      <c r="G1632" s="583"/>
      <c r="H1632" s="405"/>
      <c r="I1632" s="405"/>
      <c r="J1632" s="405"/>
      <c r="K1632" s="405"/>
      <c r="L1632" s="405"/>
      <c r="M1632" s="405"/>
      <c r="N1632" s="405"/>
      <c r="O1632" s="405"/>
      <c r="P1632" s="405"/>
      <c r="Q1632" s="405"/>
      <c r="R1632" s="405"/>
      <c r="S1632" s="405"/>
      <c r="T1632" s="405"/>
      <c r="U1632" s="405"/>
      <c r="V1632" s="405"/>
      <c r="W1632" s="405"/>
      <c r="X1632" s="405"/>
      <c r="Y1632" s="405"/>
      <c r="Z1632" s="405"/>
    </row>
    <row r="1633" ht="14.25" customHeight="1">
      <c r="A1633" s="1134"/>
      <c r="B1633" s="405"/>
      <c r="C1633" s="405"/>
      <c r="D1633" s="1135"/>
      <c r="E1633" s="583"/>
      <c r="F1633" s="583"/>
      <c r="G1633" s="583"/>
      <c r="H1633" s="405"/>
      <c r="I1633" s="405"/>
      <c r="J1633" s="405"/>
      <c r="K1633" s="405"/>
      <c r="L1633" s="405"/>
      <c r="M1633" s="405"/>
      <c r="N1633" s="405"/>
      <c r="O1633" s="405"/>
      <c r="P1633" s="405"/>
      <c r="Q1633" s="405"/>
      <c r="R1633" s="405"/>
      <c r="S1633" s="405"/>
      <c r="T1633" s="405"/>
      <c r="U1633" s="405"/>
      <c r="V1633" s="405"/>
      <c r="W1633" s="405"/>
      <c r="X1633" s="405"/>
      <c r="Y1633" s="405"/>
      <c r="Z1633" s="405"/>
    </row>
    <row r="1634" ht="14.25" customHeight="1">
      <c r="A1634" s="1134"/>
      <c r="B1634" s="405"/>
      <c r="C1634" s="405"/>
      <c r="D1634" s="1135"/>
      <c r="E1634" s="583"/>
      <c r="F1634" s="583"/>
      <c r="G1634" s="583"/>
      <c r="H1634" s="405"/>
      <c r="I1634" s="405"/>
      <c r="J1634" s="405"/>
      <c r="K1634" s="405"/>
      <c r="L1634" s="405"/>
      <c r="M1634" s="405"/>
      <c r="N1634" s="405"/>
      <c r="O1634" s="405"/>
      <c r="P1634" s="405"/>
      <c r="Q1634" s="405"/>
      <c r="R1634" s="405"/>
      <c r="S1634" s="405"/>
      <c r="T1634" s="405"/>
      <c r="U1634" s="405"/>
      <c r="V1634" s="405"/>
      <c r="W1634" s="405"/>
      <c r="X1634" s="405"/>
      <c r="Y1634" s="405"/>
      <c r="Z1634" s="405"/>
    </row>
    <row r="1635" ht="14.25" customHeight="1">
      <c r="A1635" s="1134"/>
      <c r="B1635" s="405"/>
      <c r="C1635" s="405"/>
      <c r="D1635" s="1135"/>
      <c r="E1635" s="583"/>
      <c r="F1635" s="583"/>
      <c r="G1635" s="583"/>
      <c r="H1635" s="405"/>
      <c r="I1635" s="405"/>
      <c r="J1635" s="405"/>
      <c r="K1635" s="405"/>
      <c r="L1635" s="405"/>
      <c r="M1635" s="405"/>
      <c r="N1635" s="405"/>
      <c r="O1635" s="405"/>
      <c r="P1635" s="405"/>
      <c r="Q1635" s="405"/>
      <c r="R1635" s="405"/>
      <c r="S1635" s="405"/>
      <c r="T1635" s="405"/>
      <c r="U1635" s="405"/>
      <c r="V1635" s="405"/>
      <c r="W1635" s="405"/>
      <c r="X1635" s="405"/>
      <c r="Y1635" s="405"/>
      <c r="Z1635" s="405"/>
    </row>
    <row r="1636" ht="14.25" customHeight="1">
      <c r="A1636" s="1134"/>
      <c r="B1636" s="405"/>
      <c r="C1636" s="405"/>
      <c r="D1636" s="1135"/>
      <c r="E1636" s="583"/>
      <c r="F1636" s="583"/>
      <c r="G1636" s="583"/>
      <c r="H1636" s="405"/>
      <c r="I1636" s="405"/>
      <c r="J1636" s="405"/>
      <c r="K1636" s="405"/>
      <c r="L1636" s="405"/>
      <c r="M1636" s="405"/>
      <c r="N1636" s="405"/>
      <c r="O1636" s="405"/>
      <c r="P1636" s="405"/>
      <c r="Q1636" s="405"/>
      <c r="R1636" s="405"/>
      <c r="S1636" s="405"/>
      <c r="T1636" s="405"/>
      <c r="U1636" s="405"/>
      <c r="V1636" s="405"/>
      <c r="W1636" s="405"/>
      <c r="X1636" s="405"/>
      <c r="Y1636" s="405"/>
      <c r="Z1636" s="405"/>
    </row>
    <row r="1637" ht="14.25" customHeight="1">
      <c r="A1637" s="1134"/>
      <c r="B1637" s="405"/>
      <c r="C1637" s="405"/>
      <c r="D1637" s="1135"/>
      <c r="E1637" s="583"/>
      <c r="F1637" s="583"/>
      <c r="G1637" s="583"/>
      <c r="H1637" s="405"/>
      <c r="I1637" s="405"/>
      <c r="J1637" s="405"/>
      <c r="K1637" s="405"/>
      <c r="L1637" s="405"/>
      <c r="M1637" s="405"/>
      <c r="N1637" s="405"/>
      <c r="O1637" s="405"/>
      <c r="P1637" s="405"/>
      <c r="Q1637" s="405"/>
      <c r="R1637" s="405"/>
      <c r="S1637" s="405"/>
      <c r="T1637" s="405"/>
      <c r="U1637" s="405"/>
      <c r="V1637" s="405"/>
      <c r="W1637" s="405"/>
      <c r="X1637" s="405"/>
      <c r="Y1637" s="405"/>
      <c r="Z1637" s="405"/>
    </row>
    <row r="1638" ht="14.25" customHeight="1">
      <c r="A1638" s="1134"/>
      <c r="B1638" s="405"/>
      <c r="C1638" s="405"/>
      <c r="D1638" s="1135"/>
      <c r="E1638" s="583"/>
      <c r="F1638" s="583"/>
      <c r="G1638" s="583"/>
      <c r="H1638" s="405"/>
      <c r="I1638" s="405"/>
      <c r="J1638" s="405"/>
      <c r="K1638" s="405"/>
      <c r="L1638" s="405"/>
      <c r="M1638" s="405"/>
      <c r="N1638" s="405"/>
      <c r="O1638" s="405"/>
      <c r="P1638" s="405"/>
      <c r="Q1638" s="405"/>
      <c r="R1638" s="405"/>
      <c r="S1638" s="405"/>
      <c r="T1638" s="405"/>
      <c r="U1638" s="405"/>
      <c r="V1638" s="405"/>
      <c r="W1638" s="405"/>
      <c r="X1638" s="405"/>
      <c r="Y1638" s="405"/>
      <c r="Z1638" s="405"/>
    </row>
    <row r="1639" ht="14.25" customHeight="1">
      <c r="A1639" s="1134"/>
      <c r="B1639" s="405"/>
      <c r="C1639" s="405"/>
      <c r="D1639" s="1135"/>
      <c r="E1639" s="583"/>
      <c r="F1639" s="583"/>
      <c r="G1639" s="583"/>
      <c r="H1639" s="405"/>
      <c r="I1639" s="405"/>
      <c r="J1639" s="405"/>
      <c r="K1639" s="405"/>
      <c r="L1639" s="405"/>
      <c r="M1639" s="405"/>
      <c r="N1639" s="405"/>
      <c r="O1639" s="405"/>
      <c r="P1639" s="405"/>
      <c r="Q1639" s="405"/>
      <c r="R1639" s="405"/>
      <c r="S1639" s="405"/>
      <c r="T1639" s="405"/>
      <c r="U1639" s="405"/>
      <c r="V1639" s="405"/>
      <c r="W1639" s="405"/>
      <c r="X1639" s="405"/>
      <c r="Y1639" s="405"/>
      <c r="Z1639" s="405"/>
    </row>
    <row r="1640" ht="14.25" customHeight="1">
      <c r="A1640" s="1134"/>
      <c r="B1640" s="405"/>
      <c r="C1640" s="405"/>
      <c r="D1640" s="1135"/>
      <c r="E1640" s="583"/>
      <c r="F1640" s="583"/>
      <c r="G1640" s="583"/>
      <c r="H1640" s="405"/>
      <c r="I1640" s="405"/>
      <c r="J1640" s="405"/>
      <c r="K1640" s="405"/>
      <c r="L1640" s="405"/>
      <c r="M1640" s="405"/>
      <c r="N1640" s="405"/>
      <c r="O1640" s="405"/>
      <c r="P1640" s="405"/>
      <c r="Q1640" s="405"/>
      <c r="R1640" s="405"/>
      <c r="S1640" s="405"/>
      <c r="T1640" s="405"/>
      <c r="U1640" s="405"/>
      <c r="V1640" s="405"/>
      <c r="W1640" s="405"/>
      <c r="X1640" s="405"/>
      <c r="Y1640" s="405"/>
      <c r="Z1640" s="405"/>
    </row>
    <row r="1641" ht="14.25" customHeight="1">
      <c r="A1641" s="1134"/>
      <c r="B1641" s="405"/>
      <c r="C1641" s="405"/>
      <c r="D1641" s="1135"/>
      <c r="E1641" s="583"/>
      <c r="F1641" s="583"/>
      <c r="G1641" s="583"/>
      <c r="H1641" s="405"/>
      <c r="I1641" s="405"/>
      <c r="J1641" s="405"/>
      <c r="K1641" s="405"/>
      <c r="L1641" s="405"/>
      <c r="M1641" s="405"/>
      <c r="N1641" s="405"/>
      <c r="O1641" s="405"/>
      <c r="P1641" s="405"/>
      <c r="Q1641" s="405"/>
      <c r="R1641" s="405"/>
      <c r="S1641" s="405"/>
      <c r="T1641" s="405"/>
      <c r="U1641" s="405"/>
      <c r="V1641" s="405"/>
      <c r="W1641" s="405"/>
      <c r="X1641" s="405"/>
      <c r="Y1641" s="405"/>
      <c r="Z1641" s="405"/>
    </row>
    <row r="1642" ht="14.25" customHeight="1">
      <c r="A1642" s="1134"/>
      <c r="B1642" s="405"/>
      <c r="C1642" s="405"/>
      <c r="D1642" s="1135"/>
      <c r="E1642" s="583"/>
      <c r="F1642" s="583"/>
      <c r="G1642" s="583"/>
      <c r="H1642" s="405"/>
      <c r="I1642" s="405"/>
      <c r="J1642" s="405"/>
      <c r="K1642" s="405"/>
      <c r="L1642" s="405"/>
      <c r="M1642" s="405"/>
      <c r="N1642" s="405"/>
      <c r="O1642" s="405"/>
      <c r="P1642" s="405"/>
      <c r="Q1642" s="405"/>
      <c r="R1642" s="405"/>
      <c r="S1642" s="405"/>
      <c r="T1642" s="405"/>
      <c r="U1642" s="405"/>
      <c r="V1642" s="405"/>
      <c r="W1642" s="405"/>
      <c r="X1642" s="405"/>
      <c r="Y1642" s="405"/>
      <c r="Z1642" s="405"/>
    </row>
    <row r="1643" ht="14.25" customHeight="1">
      <c r="A1643" s="1134"/>
      <c r="B1643" s="405"/>
      <c r="C1643" s="405"/>
      <c r="D1643" s="1135"/>
      <c r="E1643" s="583"/>
      <c r="F1643" s="583"/>
      <c r="G1643" s="583"/>
      <c r="H1643" s="405"/>
      <c r="I1643" s="405"/>
      <c r="J1643" s="405"/>
      <c r="K1643" s="405"/>
      <c r="L1643" s="405"/>
      <c r="M1643" s="405"/>
      <c r="N1643" s="405"/>
      <c r="O1643" s="405"/>
      <c r="P1643" s="405"/>
      <c r="Q1643" s="405"/>
      <c r="R1643" s="405"/>
      <c r="S1643" s="405"/>
      <c r="T1643" s="405"/>
      <c r="U1643" s="405"/>
      <c r="V1643" s="405"/>
      <c r="W1643" s="405"/>
      <c r="X1643" s="405"/>
      <c r="Y1643" s="405"/>
      <c r="Z1643" s="405"/>
    </row>
    <row r="1644" ht="14.25" customHeight="1">
      <c r="A1644" s="1134"/>
      <c r="B1644" s="405"/>
      <c r="C1644" s="405"/>
      <c r="D1644" s="1135"/>
      <c r="E1644" s="583"/>
      <c r="F1644" s="583"/>
      <c r="G1644" s="583"/>
      <c r="H1644" s="405"/>
      <c r="I1644" s="405"/>
      <c r="J1644" s="405"/>
      <c r="K1644" s="405"/>
      <c r="L1644" s="405"/>
      <c r="M1644" s="405"/>
      <c r="N1644" s="405"/>
      <c r="O1644" s="405"/>
      <c r="P1644" s="405"/>
      <c r="Q1644" s="405"/>
      <c r="R1644" s="405"/>
      <c r="S1644" s="405"/>
      <c r="T1644" s="405"/>
      <c r="U1644" s="405"/>
      <c r="V1644" s="405"/>
      <c r="W1644" s="405"/>
      <c r="X1644" s="405"/>
      <c r="Y1644" s="405"/>
      <c r="Z1644" s="405"/>
    </row>
    <row r="1645" ht="14.25" customHeight="1">
      <c r="A1645" s="1134"/>
      <c r="B1645" s="405"/>
      <c r="C1645" s="405"/>
      <c r="D1645" s="1135"/>
      <c r="E1645" s="583"/>
      <c r="F1645" s="583"/>
      <c r="G1645" s="583"/>
      <c r="H1645" s="405"/>
      <c r="I1645" s="405"/>
      <c r="J1645" s="405"/>
      <c r="K1645" s="405"/>
      <c r="L1645" s="405"/>
      <c r="M1645" s="405"/>
      <c r="N1645" s="405"/>
      <c r="O1645" s="405"/>
      <c r="P1645" s="405"/>
      <c r="Q1645" s="405"/>
      <c r="R1645" s="405"/>
      <c r="S1645" s="405"/>
      <c r="T1645" s="405"/>
      <c r="U1645" s="405"/>
      <c r="V1645" s="405"/>
      <c r="W1645" s="405"/>
      <c r="X1645" s="405"/>
      <c r="Y1645" s="405"/>
      <c r="Z1645" s="405"/>
    </row>
    <row r="1646" ht="14.25" customHeight="1">
      <c r="A1646" s="1134"/>
      <c r="B1646" s="405"/>
      <c r="C1646" s="405"/>
      <c r="D1646" s="1135"/>
      <c r="E1646" s="583"/>
      <c r="F1646" s="583"/>
      <c r="G1646" s="583"/>
      <c r="H1646" s="405"/>
      <c r="I1646" s="405"/>
      <c r="J1646" s="405"/>
      <c r="K1646" s="405"/>
      <c r="L1646" s="405"/>
      <c r="M1646" s="405"/>
      <c r="N1646" s="405"/>
      <c r="O1646" s="405"/>
      <c r="P1646" s="405"/>
      <c r="Q1646" s="405"/>
      <c r="R1646" s="405"/>
      <c r="S1646" s="405"/>
      <c r="T1646" s="405"/>
      <c r="U1646" s="405"/>
      <c r="V1646" s="405"/>
      <c r="W1646" s="405"/>
      <c r="X1646" s="405"/>
      <c r="Y1646" s="405"/>
      <c r="Z1646" s="405"/>
    </row>
    <row r="1647" ht="14.25" customHeight="1">
      <c r="A1647" s="1134"/>
      <c r="B1647" s="405"/>
      <c r="C1647" s="405"/>
      <c r="D1647" s="1135"/>
      <c r="E1647" s="583"/>
      <c r="F1647" s="583"/>
      <c r="G1647" s="583"/>
      <c r="H1647" s="405"/>
      <c r="I1647" s="405"/>
      <c r="J1647" s="405"/>
      <c r="K1647" s="405"/>
      <c r="L1647" s="405"/>
      <c r="M1647" s="405"/>
      <c r="N1647" s="405"/>
      <c r="O1647" s="405"/>
      <c r="P1647" s="405"/>
      <c r="Q1647" s="405"/>
      <c r="R1647" s="405"/>
      <c r="S1647" s="405"/>
      <c r="T1647" s="405"/>
      <c r="U1647" s="405"/>
      <c r="V1647" s="405"/>
      <c r="W1647" s="405"/>
      <c r="X1647" s="405"/>
      <c r="Y1647" s="405"/>
      <c r="Z1647" s="405"/>
    </row>
    <row r="1648" ht="14.25" customHeight="1">
      <c r="A1648" s="1134"/>
      <c r="B1648" s="405"/>
      <c r="C1648" s="405"/>
      <c r="D1648" s="1135"/>
      <c r="E1648" s="583"/>
      <c r="F1648" s="583"/>
      <c r="G1648" s="583"/>
      <c r="H1648" s="405"/>
      <c r="I1648" s="405"/>
      <c r="J1648" s="405"/>
      <c r="K1648" s="405"/>
      <c r="L1648" s="405"/>
      <c r="M1648" s="405"/>
      <c r="N1648" s="405"/>
      <c r="O1648" s="405"/>
      <c r="P1648" s="405"/>
      <c r="Q1648" s="405"/>
      <c r="R1648" s="405"/>
      <c r="S1648" s="405"/>
      <c r="T1648" s="405"/>
      <c r="U1648" s="405"/>
      <c r="V1648" s="405"/>
      <c r="W1648" s="405"/>
      <c r="X1648" s="405"/>
      <c r="Y1648" s="405"/>
      <c r="Z1648" s="405"/>
    </row>
    <row r="1649" ht="14.25" customHeight="1">
      <c r="A1649" s="1134"/>
      <c r="B1649" s="405"/>
      <c r="C1649" s="405"/>
      <c r="D1649" s="1135"/>
      <c r="E1649" s="583"/>
      <c r="F1649" s="583"/>
      <c r="G1649" s="583"/>
      <c r="H1649" s="405"/>
      <c r="I1649" s="405"/>
      <c r="J1649" s="405"/>
      <c r="K1649" s="405"/>
      <c r="L1649" s="405"/>
      <c r="M1649" s="405"/>
      <c r="N1649" s="405"/>
      <c r="O1649" s="405"/>
      <c r="P1649" s="405"/>
      <c r="Q1649" s="405"/>
      <c r="R1649" s="405"/>
      <c r="S1649" s="405"/>
      <c r="T1649" s="405"/>
      <c r="U1649" s="405"/>
      <c r="V1649" s="405"/>
      <c r="W1649" s="405"/>
      <c r="X1649" s="405"/>
      <c r="Y1649" s="405"/>
      <c r="Z1649" s="405"/>
    </row>
    <row r="1650" ht="14.25" customHeight="1">
      <c r="A1650" s="1134"/>
      <c r="B1650" s="405"/>
      <c r="C1650" s="405"/>
      <c r="D1650" s="1135"/>
      <c r="E1650" s="583"/>
      <c r="F1650" s="583"/>
      <c r="G1650" s="583"/>
      <c r="H1650" s="405"/>
      <c r="I1650" s="405"/>
      <c r="J1650" s="405"/>
      <c r="K1650" s="405"/>
      <c r="L1650" s="405"/>
      <c r="M1650" s="405"/>
      <c r="N1650" s="405"/>
      <c r="O1650" s="405"/>
      <c r="P1650" s="405"/>
      <c r="Q1650" s="405"/>
      <c r="R1650" s="405"/>
      <c r="S1650" s="405"/>
      <c r="T1650" s="405"/>
      <c r="U1650" s="405"/>
      <c r="V1650" s="405"/>
      <c r="W1650" s="405"/>
      <c r="X1650" s="405"/>
      <c r="Y1650" s="405"/>
      <c r="Z1650" s="405"/>
    </row>
    <row r="1651" ht="14.25" customHeight="1">
      <c r="A1651" s="1134"/>
      <c r="B1651" s="405"/>
      <c r="C1651" s="405"/>
      <c r="D1651" s="1135"/>
      <c r="E1651" s="583"/>
      <c r="F1651" s="583"/>
      <c r="G1651" s="583"/>
      <c r="H1651" s="405"/>
      <c r="I1651" s="405"/>
      <c r="J1651" s="405"/>
      <c r="K1651" s="405"/>
      <c r="L1651" s="405"/>
      <c r="M1651" s="405"/>
      <c r="N1651" s="405"/>
      <c r="O1651" s="405"/>
      <c r="P1651" s="405"/>
      <c r="Q1651" s="405"/>
      <c r="R1651" s="405"/>
      <c r="S1651" s="405"/>
      <c r="T1651" s="405"/>
      <c r="U1651" s="405"/>
      <c r="V1651" s="405"/>
      <c r="W1651" s="405"/>
      <c r="X1651" s="405"/>
      <c r="Y1651" s="405"/>
      <c r="Z1651" s="405"/>
    </row>
    <row r="1652" ht="14.25" customHeight="1">
      <c r="A1652" s="1134"/>
      <c r="B1652" s="405"/>
      <c r="C1652" s="405"/>
      <c r="D1652" s="1135"/>
      <c r="E1652" s="583"/>
      <c r="F1652" s="583"/>
      <c r="G1652" s="583"/>
      <c r="H1652" s="405"/>
      <c r="I1652" s="405"/>
      <c r="J1652" s="405"/>
      <c r="K1652" s="405"/>
      <c r="L1652" s="405"/>
      <c r="M1652" s="405"/>
      <c r="N1652" s="405"/>
      <c r="O1652" s="405"/>
      <c r="P1652" s="405"/>
      <c r="Q1652" s="405"/>
      <c r="R1652" s="405"/>
      <c r="S1652" s="405"/>
      <c r="T1652" s="405"/>
      <c r="U1652" s="405"/>
      <c r="V1652" s="405"/>
      <c r="W1652" s="405"/>
      <c r="X1652" s="405"/>
      <c r="Y1652" s="405"/>
      <c r="Z1652" s="405"/>
    </row>
    <row r="1653" ht="14.25" customHeight="1">
      <c r="A1653" s="1134"/>
      <c r="B1653" s="405"/>
      <c r="C1653" s="405"/>
      <c r="D1653" s="1135"/>
      <c r="E1653" s="583"/>
      <c r="F1653" s="583"/>
      <c r="G1653" s="583"/>
      <c r="H1653" s="405"/>
      <c r="I1653" s="405"/>
      <c r="J1653" s="405"/>
      <c r="K1653" s="405"/>
      <c r="L1653" s="405"/>
      <c r="M1653" s="405"/>
      <c r="N1653" s="405"/>
      <c r="O1653" s="405"/>
      <c r="P1653" s="405"/>
      <c r="Q1653" s="405"/>
      <c r="R1653" s="405"/>
      <c r="S1653" s="405"/>
      <c r="T1653" s="405"/>
      <c r="U1653" s="405"/>
      <c r="V1653" s="405"/>
      <c r="W1653" s="405"/>
      <c r="X1653" s="405"/>
      <c r="Y1653" s="405"/>
      <c r="Z1653" s="405"/>
    </row>
    <row r="1654" ht="14.25" customHeight="1">
      <c r="A1654" s="1134"/>
      <c r="B1654" s="405"/>
      <c r="C1654" s="405"/>
      <c r="D1654" s="1135"/>
      <c r="E1654" s="583"/>
      <c r="F1654" s="583"/>
      <c r="G1654" s="583"/>
      <c r="H1654" s="405"/>
      <c r="I1654" s="405"/>
      <c r="J1654" s="405"/>
      <c r="K1654" s="405"/>
      <c r="L1654" s="405"/>
      <c r="M1654" s="405"/>
      <c r="N1654" s="405"/>
      <c r="O1654" s="405"/>
      <c r="P1654" s="405"/>
      <c r="Q1654" s="405"/>
      <c r="R1654" s="405"/>
      <c r="S1654" s="405"/>
      <c r="T1654" s="405"/>
      <c r="U1654" s="405"/>
      <c r="V1654" s="405"/>
      <c r="W1654" s="405"/>
      <c r="X1654" s="405"/>
      <c r="Y1654" s="405"/>
      <c r="Z1654" s="405"/>
    </row>
    <row r="1655" ht="14.25" customHeight="1">
      <c r="A1655" s="1134"/>
      <c r="B1655" s="405"/>
      <c r="C1655" s="405"/>
      <c r="D1655" s="1135"/>
      <c r="E1655" s="583"/>
      <c r="F1655" s="583"/>
      <c r="G1655" s="583"/>
      <c r="H1655" s="405"/>
      <c r="I1655" s="405"/>
      <c r="J1655" s="405"/>
      <c r="K1655" s="405"/>
      <c r="L1655" s="405"/>
      <c r="M1655" s="405"/>
      <c r="N1655" s="405"/>
      <c r="O1655" s="405"/>
      <c r="P1655" s="405"/>
      <c r="Q1655" s="405"/>
      <c r="R1655" s="405"/>
      <c r="S1655" s="405"/>
      <c r="T1655" s="405"/>
      <c r="U1655" s="405"/>
      <c r="V1655" s="405"/>
      <c r="W1655" s="405"/>
      <c r="X1655" s="405"/>
      <c r="Y1655" s="405"/>
      <c r="Z1655" s="405"/>
    </row>
    <row r="1656" ht="14.25" customHeight="1">
      <c r="A1656" s="1134"/>
      <c r="B1656" s="405"/>
      <c r="C1656" s="405"/>
      <c r="D1656" s="1135"/>
      <c r="E1656" s="583"/>
      <c r="F1656" s="583"/>
      <c r="G1656" s="583"/>
      <c r="H1656" s="405"/>
      <c r="I1656" s="405"/>
      <c r="J1656" s="405"/>
      <c r="K1656" s="405"/>
      <c r="L1656" s="405"/>
      <c r="M1656" s="405"/>
      <c r="N1656" s="405"/>
      <c r="O1656" s="405"/>
      <c r="P1656" s="405"/>
      <c r="Q1656" s="405"/>
      <c r="R1656" s="405"/>
      <c r="S1656" s="405"/>
      <c r="T1656" s="405"/>
      <c r="U1656" s="405"/>
      <c r="V1656" s="405"/>
      <c r="W1656" s="405"/>
      <c r="X1656" s="405"/>
      <c r="Y1656" s="405"/>
      <c r="Z1656" s="405"/>
    </row>
    <row r="1657" ht="14.25" customHeight="1">
      <c r="A1657" s="1134"/>
      <c r="B1657" s="405"/>
      <c r="C1657" s="405"/>
      <c r="D1657" s="1135"/>
      <c r="E1657" s="583"/>
      <c r="F1657" s="583"/>
      <c r="G1657" s="583"/>
      <c r="H1657" s="405"/>
      <c r="I1657" s="405"/>
      <c r="J1657" s="405"/>
      <c r="K1657" s="405"/>
      <c r="L1657" s="405"/>
      <c r="M1657" s="405"/>
      <c r="N1657" s="405"/>
      <c r="O1657" s="405"/>
      <c r="P1657" s="405"/>
      <c r="Q1657" s="405"/>
      <c r="R1657" s="405"/>
      <c r="S1657" s="405"/>
      <c r="T1657" s="405"/>
      <c r="U1657" s="405"/>
      <c r="V1657" s="405"/>
      <c r="W1657" s="405"/>
      <c r="X1657" s="405"/>
      <c r="Y1657" s="405"/>
      <c r="Z1657" s="405"/>
    </row>
    <row r="1658" ht="14.25" customHeight="1">
      <c r="A1658" s="1134"/>
      <c r="B1658" s="405"/>
      <c r="C1658" s="405"/>
      <c r="D1658" s="1135"/>
      <c r="E1658" s="583"/>
      <c r="F1658" s="583"/>
      <c r="G1658" s="583"/>
      <c r="H1658" s="405"/>
      <c r="I1658" s="405"/>
      <c r="J1658" s="405"/>
      <c r="K1658" s="405"/>
      <c r="L1658" s="405"/>
      <c r="M1658" s="405"/>
      <c r="N1658" s="405"/>
      <c r="O1658" s="405"/>
      <c r="P1658" s="405"/>
      <c r="Q1658" s="405"/>
      <c r="R1658" s="405"/>
      <c r="S1658" s="405"/>
      <c r="T1658" s="405"/>
      <c r="U1658" s="405"/>
      <c r="V1658" s="405"/>
      <c r="W1658" s="405"/>
      <c r="X1658" s="405"/>
      <c r="Y1658" s="405"/>
      <c r="Z1658" s="405"/>
    </row>
    <row r="1659" ht="14.25" customHeight="1">
      <c r="A1659" s="1134"/>
      <c r="B1659" s="405"/>
      <c r="C1659" s="405"/>
      <c r="D1659" s="1135"/>
      <c r="E1659" s="583"/>
      <c r="F1659" s="583"/>
      <c r="G1659" s="583"/>
      <c r="H1659" s="405"/>
      <c r="I1659" s="405"/>
      <c r="J1659" s="405"/>
      <c r="K1659" s="405"/>
      <c r="L1659" s="405"/>
      <c r="M1659" s="405"/>
      <c r="N1659" s="405"/>
      <c r="O1659" s="405"/>
      <c r="P1659" s="405"/>
      <c r="Q1659" s="405"/>
      <c r="R1659" s="405"/>
      <c r="S1659" s="405"/>
      <c r="T1659" s="405"/>
      <c r="U1659" s="405"/>
      <c r="V1659" s="405"/>
      <c r="W1659" s="405"/>
      <c r="X1659" s="405"/>
      <c r="Y1659" s="405"/>
      <c r="Z1659" s="405"/>
    </row>
    <row r="1660" ht="14.25" customHeight="1">
      <c r="A1660" s="1134"/>
      <c r="B1660" s="405"/>
      <c r="C1660" s="405"/>
      <c r="D1660" s="1135"/>
      <c r="E1660" s="583"/>
      <c r="F1660" s="583"/>
      <c r="G1660" s="583"/>
      <c r="H1660" s="405"/>
      <c r="I1660" s="405"/>
      <c r="J1660" s="405"/>
      <c r="K1660" s="405"/>
      <c r="L1660" s="405"/>
      <c r="M1660" s="405"/>
      <c r="N1660" s="405"/>
      <c r="O1660" s="405"/>
      <c r="P1660" s="405"/>
      <c r="Q1660" s="405"/>
      <c r="R1660" s="405"/>
      <c r="S1660" s="405"/>
      <c r="T1660" s="405"/>
      <c r="U1660" s="405"/>
      <c r="V1660" s="405"/>
      <c r="W1660" s="405"/>
      <c r="X1660" s="405"/>
      <c r="Y1660" s="405"/>
      <c r="Z1660" s="405"/>
    </row>
    <row r="1661" ht="14.25" customHeight="1">
      <c r="A1661" s="1134"/>
      <c r="B1661" s="405"/>
      <c r="C1661" s="405"/>
      <c r="D1661" s="1135"/>
      <c r="E1661" s="583"/>
      <c r="F1661" s="583"/>
      <c r="G1661" s="583"/>
      <c r="H1661" s="405"/>
      <c r="I1661" s="405"/>
      <c r="J1661" s="405"/>
      <c r="K1661" s="405"/>
      <c r="L1661" s="405"/>
      <c r="M1661" s="405"/>
      <c r="N1661" s="405"/>
      <c r="O1661" s="405"/>
      <c r="P1661" s="405"/>
      <c r="Q1661" s="405"/>
      <c r="R1661" s="405"/>
      <c r="S1661" s="405"/>
      <c r="T1661" s="405"/>
      <c r="U1661" s="405"/>
      <c r="V1661" s="405"/>
      <c r="W1661" s="405"/>
      <c r="X1661" s="405"/>
      <c r="Y1661" s="405"/>
      <c r="Z1661" s="405"/>
    </row>
    <row r="1662" ht="14.25" customHeight="1">
      <c r="A1662" s="1134"/>
      <c r="B1662" s="405"/>
      <c r="C1662" s="405"/>
      <c r="D1662" s="1135"/>
      <c r="E1662" s="583"/>
      <c r="F1662" s="583"/>
      <c r="G1662" s="583"/>
      <c r="H1662" s="405"/>
      <c r="I1662" s="405"/>
      <c r="J1662" s="405"/>
      <c r="K1662" s="405"/>
      <c r="L1662" s="405"/>
      <c r="M1662" s="405"/>
      <c r="N1662" s="405"/>
      <c r="O1662" s="405"/>
      <c r="P1662" s="405"/>
      <c r="Q1662" s="405"/>
      <c r="R1662" s="405"/>
      <c r="S1662" s="405"/>
      <c r="T1662" s="405"/>
      <c r="U1662" s="405"/>
      <c r="V1662" s="405"/>
      <c r="W1662" s="405"/>
      <c r="X1662" s="405"/>
      <c r="Y1662" s="405"/>
      <c r="Z1662" s="405"/>
    </row>
    <row r="1663" ht="14.25" customHeight="1">
      <c r="A1663" s="1134"/>
      <c r="B1663" s="405"/>
      <c r="C1663" s="405"/>
      <c r="D1663" s="1135"/>
      <c r="E1663" s="583"/>
      <c r="F1663" s="583"/>
      <c r="G1663" s="583"/>
      <c r="H1663" s="405"/>
      <c r="I1663" s="405"/>
      <c r="J1663" s="405"/>
      <c r="K1663" s="405"/>
      <c r="L1663" s="405"/>
      <c r="M1663" s="405"/>
      <c r="N1663" s="405"/>
      <c r="O1663" s="405"/>
      <c r="P1663" s="405"/>
      <c r="Q1663" s="405"/>
      <c r="R1663" s="405"/>
      <c r="S1663" s="405"/>
      <c r="T1663" s="405"/>
      <c r="U1663" s="405"/>
      <c r="V1663" s="405"/>
      <c r="W1663" s="405"/>
      <c r="X1663" s="405"/>
      <c r="Y1663" s="405"/>
      <c r="Z1663" s="405"/>
    </row>
    <row r="1664" ht="14.25" customHeight="1">
      <c r="A1664" s="1134"/>
      <c r="B1664" s="405"/>
      <c r="C1664" s="405"/>
      <c r="D1664" s="1135"/>
      <c r="E1664" s="583"/>
      <c r="F1664" s="583"/>
      <c r="G1664" s="583"/>
      <c r="H1664" s="405"/>
      <c r="I1664" s="405"/>
      <c r="J1664" s="405"/>
      <c r="K1664" s="405"/>
      <c r="L1664" s="405"/>
      <c r="M1664" s="405"/>
      <c r="N1664" s="405"/>
      <c r="O1664" s="405"/>
      <c r="P1664" s="405"/>
      <c r="Q1664" s="405"/>
      <c r="R1664" s="405"/>
      <c r="S1664" s="405"/>
      <c r="T1664" s="405"/>
      <c r="U1664" s="405"/>
      <c r="V1664" s="405"/>
      <c r="W1664" s="405"/>
      <c r="X1664" s="405"/>
      <c r="Y1664" s="405"/>
      <c r="Z1664" s="405"/>
    </row>
    <row r="1665" ht="14.25" customHeight="1">
      <c r="A1665" s="1134"/>
      <c r="B1665" s="405"/>
      <c r="C1665" s="405"/>
      <c r="D1665" s="1135"/>
      <c r="E1665" s="583"/>
      <c r="F1665" s="583"/>
      <c r="G1665" s="583"/>
      <c r="H1665" s="405"/>
      <c r="I1665" s="405"/>
      <c r="J1665" s="405"/>
      <c r="K1665" s="405"/>
      <c r="L1665" s="405"/>
      <c r="M1665" s="405"/>
      <c r="N1665" s="405"/>
      <c r="O1665" s="405"/>
      <c r="P1665" s="405"/>
      <c r="Q1665" s="405"/>
      <c r="R1665" s="405"/>
      <c r="S1665" s="405"/>
      <c r="T1665" s="405"/>
      <c r="U1665" s="405"/>
      <c r="V1665" s="405"/>
      <c r="W1665" s="405"/>
      <c r="X1665" s="405"/>
      <c r="Y1665" s="405"/>
      <c r="Z1665" s="405"/>
    </row>
    <row r="1666" ht="14.25" customHeight="1">
      <c r="A1666" s="1134"/>
      <c r="B1666" s="405"/>
      <c r="C1666" s="405"/>
      <c r="D1666" s="1135"/>
      <c r="E1666" s="583"/>
      <c r="F1666" s="583"/>
      <c r="G1666" s="583"/>
      <c r="H1666" s="405"/>
      <c r="I1666" s="405"/>
      <c r="J1666" s="405"/>
      <c r="K1666" s="405"/>
      <c r="L1666" s="405"/>
      <c r="M1666" s="405"/>
      <c r="N1666" s="405"/>
      <c r="O1666" s="405"/>
      <c r="P1666" s="405"/>
      <c r="Q1666" s="405"/>
      <c r="R1666" s="405"/>
      <c r="S1666" s="405"/>
      <c r="T1666" s="405"/>
      <c r="U1666" s="405"/>
      <c r="V1666" s="405"/>
      <c r="W1666" s="405"/>
      <c r="X1666" s="405"/>
      <c r="Y1666" s="405"/>
      <c r="Z1666" s="405"/>
    </row>
    <row r="1667" ht="14.25" customHeight="1">
      <c r="A1667" s="1134"/>
      <c r="B1667" s="405"/>
      <c r="C1667" s="405"/>
      <c r="D1667" s="1135"/>
      <c r="E1667" s="583"/>
      <c r="F1667" s="583"/>
      <c r="G1667" s="583"/>
      <c r="H1667" s="405"/>
      <c r="I1667" s="405"/>
      <c r="J1667" s="405"/>
      <c r="K1667" s="405"/>
      <c r="L1667" s="405"/>
      <c r="M1667" s="405"/>
      <c r="N1667" s="405"/>
      <c r="O1667" s="405"/>
      <c r="P1667" s="405"/>
      <c r="Q1667" s="405"/>
      <c r="R1667" s="405"/>
      <c r="S1667" s="405"/>
      <c r="T1667" s="405"/>
      <c r="U1667" s="405"/>
      <c r="V1667" s="405"/>
      <c r="W1667" s="405"/>
      <c r="X1667" s="405"/>
      <c r="Y1667" s="405"/>
      <c r="Z1667" s="405"/>
    </row>
    <row r="1668" ht="14.25" customHeight="1">
      <c r="A1668" s="1134"/>
      <c r="B1668" s="405"/>
      <c r="C1668" s="405"/>
      <c r="D1668" s="1135"/>
      <c r="E1668" s="583"/>
      <c r="F1668" s="583"/>
      <c r="G1668" s="583"/>
      <c r="H1668" s="405"/>
      <c r="I1668" s="405"/>
      <c r="J1668" s="405"/>
      <c r="K1668" s="405"/>
      <c r="L1668" s="405"/>
      <c r="M1668" s="405"/>
      <c r="N1668" s="405"/>
      <c r="O1668" s="405"/>
      <c r="P1668" s="405"/>
      <c r="Q1668" s="405"/>
      <c r="R1668" s="405"/>
      <c r="S1668" s="405"/>
      <c r="T1668" s="405"/>
      <c r="U1668" s="405"/>
      <c r="V1668" s="405"/>
      <c r="W1668" s="405"/>
      <c r="X1668" s="405"/>
      <c r="Y1668" s="405"/>
      <c r="Z1668" s="405"/>
    </row>
    <row r="1669" ht="14.25" customHeight="1">
      <c r="A1669" s="1134"/>
      <c r="B1669" s="405"/>
      <c r="C1669" s="405"/>
      <c r="D1669" s="1135"/>
      <c r="E1669" s="583"/>
      <c r="F1669" s="583"/>
      <c r="G1669" s="583"/>
      <c r="H1669" s="405"/>
      <c r="I1669" s="405"/>
      <c r="J1669" s="405"/>
      <c r="K1669" s="405"/>
      <c r="L1669" s="405"/>
      <c r="M1669" s="405"/>
      <c r="N1669" s="405"/>
      <c r="O1669" s="405"/>
      <c r="P1669" s="405"/>
      <c r="Q1669" s="405"/>
      <c r="R1669" s="405"/>
      <c r="S1669" s="405"/>
      <c r="T1669" s="405"/>
      <c r="U1669" s="405"/>
      <c r="V1669" s="405"/>
      <c r="W1669" s="405"/>
      <c r="X1669" s="405"/>
      <c r="Y1669" s="405"/>
      <c r="Z1669" s="405"/>
    </row>
    <row r="1670" ht="14.25" customHeight="1">
      <c r="A1670" s="1134"/>
      <c r="B1670" s="405"/>
      <c r="C1670" s="405"/>
      <c r="D1670" s="1135"/>
      <c r="E1670" s="583"/>
      <c r="F1670" s="583"/>
      <c r="G1670" s="583"/>
      <c r="H1670" s="405"/>
      <c r="I1670" s="405"/>
      <c r="J1670" s="405"/>
      <c r="K1670" s="405"/>
      <c r="L1670" s="405"/>
      <c r="M1670" s="405"/>
      <c r="N1670" s="405"/>
      <c r="O1670" s="405"/>
      <c r="P1670" s="405"/>
      <c r="Q1670" s="405"/>
      <c r="R1670" s="405"/>
      <c r="S1670" s="405"/>
      <c r="T1670" s="405"/>
      <c r="U1670" s="405"/>
      <c r="V1670" s="405"/>
      <c r="W1670" s="405"/>
      <c r="X1670" s="405"/>
      <c r="Y1670" s="405"/>
      <c r="Z1670" s="405"/>
    </row>
    <row r="1671" ht="14.25" customHeight="1">
      <c r="A1671" s="1134"/>
      <c r="B1671" s="405"/>
      <c r="C1671" s="405"/>
      <c r="D1671" s="1135"/>
      <c r="E1671" s="583"/>
      <c r="F1671" s="583"/>
      <c r="G1671" s="583"/>
      <c r="H1671" s="405"/>
      <c r="I1671" s="405"/>
      <c r="J1671" s="405"/>
      <c r="K1671" s="405"/>
      <c r="L1671" s="405"/>
      <c r="M1671" s="405"/>
      <c r="N1671" s="405"/>
      <c r="O1671" s="405"/>
      <c r="P1671" s="405"/>
      <c r="Q1671" s="405"/>
      <c r="R1671" s="405"/>
      <c r="S1671" s="405"/>
      <c r="T1671" s="405"/>
      <c r="U1671" s="405"/>
      <c r="V1671" s="405"/>
      <c r="W1671" s="405"/>
      <c r="X1671" s="405"/>
      <c r="Y1671" s="405"/>
      <c r="Z1671" s="405"/>
    </row>
    <row r="1672" ht="14.25" customHeight="1">
      <c r="A1672" s="1134"/>
      <c r="B1672" s="405"/>
      <c r="C1672" s="405"/>
      <c r="D1672" s="1135"/>
      <c r="E1672" s="583"/>
      <c r="F1672" s="583"/>
      <c r="G1672" s="583"/>
      <c r="H1672" s="405"/>
      <c r="I1672" s="405"/>
      <c r="J1672" s="405"/>
      <c r="K1672" s="405"/>
      <c r="L1672" s="405"/>
      <c r="M1672" s="405"/>
      <c r="N1672" s="405"/>
      <c r="O1672" s="405"/>
      <c r="P1672" s="405"/>
      <c r="Q1672" s="405"/>
      <c r="R1672" s="405"/>
      <c r="S1672" s="405"/>
      <c r="T1672" s="405"/>
      <c r="U1672" s="405"/>
      <c r="V1672" s="405"/>
      <c r="W1672" s="405"/>
      <c r="X1672" s="405"/>
      <c r="Y1672" s="405"/>
      <c r="Z1672" s="405"/>
    </row>
    <row r="1673" ht="14.25" customHeight="1">
      <c r="A1673" s="1134"/>
      <c r="B1673" s="405"/>
      <c r="C1673" s="405"/>
      <c r="D1673" s="1135"/>
      <c r="E1673" s="583"/>
      <c r="F1673" s="583"/>
      <c r="G1673" s="583"/>
      <c r="H1673" s="405"/>
      <c r="I1673" s="405"/>
      <c r="J1673" s="405"/>
      <c r="K1673" s="405"/>
      <c r="L1673" s="405"/>
      <c r="M1673" s="405"/>
      <c r="N1673" s="405"/>
      <c r="O1673" s="405"/>
      <c r="P1673" s="405"/>
      <c r="Q1673" s="405"/>
      <c r="R1673" s="405"/>
      <c r="S1673" s="405"/>
      <c r="T1673" s="405"/>
      <c r="U1673" s="405"/>
      <c r="V1673" s="405"/>
      <c r="W1673" s="405"/>
      <c r="X1673" s="405"/>
      <c r="Y1673" s="405"/>
      <c r="Z1673" s="405"/>
    </row>
    <row r="1674" ht="14.25" customHeight="1">
      <c r="A1674" s="1134"/>
      <c r="B1674" s="405"/>
      <c r="C1674" s="405"/>
      <c r="D1674" s="1135"/>
      <c r="E1674" s="583"/>
      <c r="F1674" s="583"/>
      <c r="G1674" s="583"/>
      <c r="H1674" s="405"/>
      <c r="I1674" s="405"/>
      <c r="J1674" s="405"/>
      <c r="K1674" s="405"/>
      <c r="L1674" s="405"/>
      <c r="M1674" s="405"/>
      <c r="N1674" s="405"/>
      <c r="O1674" s="405"/>
      <c r="P1674" s="405"/>
      <c r="Q1674" s="405"/>
      <c r="R1674" s="405"/>
      <c r="S1674" s="405"/>
      <c r="T1674" s="405"/>
      <c r="U1674" s="405"/>
      <c r="V1674" s="405"/>
      <c r="W1674" s="405"/>
      <c r="X1674" s="405"/>
      <c r="Y1674" s="405"/>
      <c r="Z1674" s="405"/>
    </row>
    <row r="1675" ht="14.25" customHeight="1">
      <c r="A1675" s="1134"/>
      <c r="B1675" s="405"/>
      <c r="C1675" s="405"/>
      <c r="D1675" s="1135"/>
      <c r="E1675" s="583"/>
      <c r="F1675" s="583"/>
      <c r="G1675" s="583"/>
      <c r="H1675" s="405"/>
      <c r="I1675" s="405"/>
      <c r="J1675" s="405"/>
      <c r="K1675" s="405"/>
      <c r="L1675" s="405"/>
      <c r="M1675" s="405"/>
      <c r="N1675" s="405"/>
      <c r="O1675" s="405"/>
      <c r="P1675" s="405"/>
      <c r="Q1675" s="405"/>
      <c r="R1675" s="405"/>
      <c r="S1675" s="405"/>
      <c r="T1675" s="405"/>
      <c r="U1675" s="405"/>
      <c r="V1675" s="405"/>
      <c r="W1675" s="405"/>
      <c r="X1675" s="405"/>
      <c r="Y1675" s="405"/>
      <c r="Z1675" s="405"/>
    </row>
    <row r="1676" ht="14.25" customHeight="1">
      <c r="A1676" s="1134"/>
      <c r="B1676" s="405"/>
      <c r="C1676" s="405"/>
      <c r="D1676" s="1135"/>
      <c r="E1676" s="583"/>
      <c r="F1676" s="583"/>
      <c r="G1676" s="583"/>
      <c r="H1676" s="405"/>
      <c r="I1676" s="405"/>
      <c r="J1676" s="405"/>
      <c r="K1676" s="405"/>
      <c r="L1676" s="405"/>
      <c r="M1676" s="405"/>
      <c r="N1676" s="405"/>
      <c r="O1676" s="405"/>
      <c r="P1676" s="405"/>
      <c r="Q1676" s="405"/>
      <c r="R1676" s="405"/>
      <c r="S1676" s="405"/>
      <c r="T1676" s="405"/>
      <c r="U1676" s="405"/>
      <c r="V1676" s="405"/>
      <c r="W1676" s="405"/>
      <c r="X1676" s="405"/>
      <c r="Y1676" s="405"/>
      <c r="Z1676" s="405"/>
    </row>
    <row r="1677" ht="14.25" customHeight="1">
      <c r="A1677" s="1134"/>
      <c r="B1677" s="405"/>
      <c r="C1677" s="405"/>
      <c r="D1677" s="1135"/>
      <c r="E1677" s="583"/>
      <c r="F1677" s="583"/>
      <c r="G1677" s="583"/>
      <c r="H1677" s="405"/>
      <c r="I1677" s="405"/>
      <c r="J1677" s="405"/>
      <c r="K1677" s="405"/>
      <c r="L1677" s="405"/>
      <c r="M1677" s="405"/>
      <c r="N1677" s="405"/>
      <c r="O1677" s="405"/>
      <c r="P1677" s="405"/>
      <c r="Q1677" s="405"/>
      <c r="R1677" s="405"/>
      <c r="S1677" s="405"/>
      <c r="T1677" s="405"/>
      <c r="U1677" s="405"/>
      <c r="V1677" s="405"/>
      <c r="W1677" s="405"/>
      <c r="X1677" s="405"/>
      <c r="Y1677" s="405"/>
      <c r="Z1677" s="405"/>
    </row>
    <row r="1678" ht="14.25" customHeight="1">
      <c r="A1678" s="1134"/>
      <c r="B1678" s="405"/>
      <c r="C1678" s="405"/>
      <c r="D1678" s="1135"/>
      <c r="E1678" s="583"/>
      <c r="F1678" s="583"/>
      <c r="G1678" s="583"/>
      <c r="H1678" s="405"/>
      <c r="I1678" s="405"/>
      <c r="J1678" s="405"/>
      <c r="K1678" s="405"/>
      <c r="L1678" s="405"/>
      <c r="M1678" s="405"/>
      <c r="N1678" s="405"/>
      <c r="O1678" s="405"/>
      <c r="P1678" s="405"/>
      <c r="Q1678" s="405"/>
      <c r="R1678" s="405"/>
      <c r="S1678" s="405"/>
      <c r="T1678" s="405"/>
      <c r="U1678" s="405"/>
      <c r="V1678" s="405"/>
      <c r="W1678" s="405"/>
      <c r="X1678" s="405"/>
      <c r="Y1678" s="405"/>
      <c r="Z1678" s="405"/>
    </row>
    <row r="1679" ht="14.25" customHeight="1">
      <c r="A1679" s="1134"/>
      <c r="B1679" s="405"/>
      <c r="C1679" s="405"/>
      <c r="D1679" s="1135"/>
      <c r="E1679" s="583"/>
      <c r="F1679" s="583"/>
      <c r="G1679" s="583"/>
      <c r="H1679" s="405"/>
      <c r="I1679" s="405"/>
      <c r="J1679" s="405"/>
      <c r="K1679" s="405"/>
      <c r="L1679" s="405"/>
      <c r="M1679" s="405"/>
      <c r="N1679" s="405"/>
      <c r="O1679" s="405"/>
      <c r="P1679" s="405"/>
      <c r="Q1679" s="405"/>
      <c r="R1679" s="405"/>
      <c r="S1679" s="405"/>
      <c r="T1679" s="405"/>
      <c r="U1679" s="405"/>
      <c r="V1679" s="405"/>
      <c r="W1679" s="405"/>
      <c r="X1679" s="405"/>
      <c r="Y1679" s="405"/>
      <c r="Z1679" s="405"/>
    </row>
    <row r="1680" ht="14.25" customHeight="1">
      <c r="A1680" s="1134"/>
      <c r="B1680" s="405"/>
      <c r="C1680" s="405"/>
      <c r="D1680" s="1135"/>
      <c r="E1680" s="583"/>
      <c r="F1680" s="583"/>
      <c r="G1680" s="583"/>
      <c r="H1680" s="405"/>
      <c r="I1680" s="405"/>
      <c r="J1680" s="405"/>
      <c r="K1680" s="405"/>
      <c r="L1680" s="405"/>
      <c r="M1680" s="405"/>
      <c r="N1680" s="405"/>
      <c r="O1680" s="405"/>
      <c r="P1680" s="405"/>
      <c r="Q1680" s="405"/>
      <c r="R1680" s="405"/>
      <c r="S1680" s="405"/>
      <c r="T1680" s="405"/>
      <c r="U1680" s="405"/>
      <c r="V1680" s="405"/>
      <c r="W1680" s="405"/>
      <c r="X1680" s="405"/>
      <c r="Y1680" s="405"/>
      <c r="Z1680" s="405"/>
    </row>
    <row r="1681" ht="14.25" customHeight="1">
      <c r="A1681" s="1134"/>
      <c r="B1681" s="405"/>
      <c r="C1681" s="405"/>
      <c r="D1681" s="1135"/>
      <c r="E1681" s="583"/>
      <c r="F1681" s="583"/>
      <c r="G1681" s="583"/>
      <c r="H1681" s="405"/>
      <c r="I1681" s="405"/>
      <c r="J1681" s="405"/>
      <c r="K1681" s="405"/>
      <c r="L1681" s="405"/>
      <c r="M1681" s="405"/>
      <c r="N1681" s="405"/>
      <c r="O1681" s="405"/>
      <c r="P1681" s="405"/>
      <c r="Q1681" s="405"/>
      <c r="R1681" s="405"/>
      <c r="S1681" s="405"/>
      <c r="T1681" s="405"/>
      <c r="U1681" s="405"/>
      <c r="V1681" s="405"/>
      <c r="W1681" s="405"/>
      <c r="X1681" s="405"/>
      <c r="Y1681" s="405"/>
      <c r="Z1681" s="405"/>
    </row>
    <row r="1682" ht="14.25" customHeight="1">
      <c r="A1682" s="1134"/>
      <c r="B1682" s="405"/>
      <c r="C1682" s="405"/>
      <c r="D1682" s="1135"/>
      <c r="E1682" s="583"/>
      <c r="F1682" s="583"/>
      <c r="G1682" s="583"/>
      <c r="H1682" s="405"/>
      <c r="I1682" s="405"/>
      <c r="J1682" s="405"/>
      <c r="K1682" s="405"/>
      <c r="L1682" s="405"/>
      <c r="M1682" s="405"/>
      <c r="N1682" s="405"/>
      <c r="O1682" s="405"/>
      <c r="P1682" s="405"/>
      <c r="Q1682" s="405"/>
      <c r="R1682" s="405"/>
      <c r="S1682" s="405"/>
      <c r="T1682" s="405"/>
      <c r="U1682" s="405"/>
      <c r="V1682" s="405"/>
      <c r="W1682" s="405"/>
      <c r="X1682" s="405"/>
      <c r="Y1682" s="405"/>
      <c r="Z1682" s="405"/>
    </row>
    <row r="1683" ht="14.25" customHeight="1">
      <c r="A1683" s="1134"/>
      <c r="B1683" s="405"/>
      <c r="C1683" s="405"/>
      <c r="D1683" s="1135"/>
      <c r="E1683" s="583"/>
      <c r="F1683" s="583"/>
      <c r="G1683" s="583"/>
      <c r="H1683" s="405"/>
      <c r="I1683" s="405"/>
      <c r="J1683" s="405"/>
      <c r="K1683" s="405"/>
      <c r="L1683" s="405"/>
      <c r="M1683" s="405"/>
      <c r="N1683" s="405"/>
      <c r="O1683" s="405"/>
      <c r="P1683" s="405"/>
      <c r="Q1683" s="405"/>
      <c r="R1683" s="405"/>
      <c r="S1683" s="405"/>
      <c r="T1683" s="405"/>
      <c r="U1683" s="405"/>
      <c r="V1683" s="405"/>
      <c r="W1683" s="405"/>
      <c r="X1683" s="405"/>
      <c r="Y1683" s="405"/>
      <c r="Z1683" s="405"/>
    </row>
    <row r="1684" ht="14.25" customHeight="1">
      <c r="A1684" s="1134"/>
      <c r="B1684" s="405"/>
      <c r="C1684" s="405"/>
      <c r="D1684" s="1135"/>
      <c r="E1684" s="583"/>
      <c r="F1684" s="583"/>
      <c r="G1684" s="583"/>
      <c r="H1684" s="405"/>
      <c r="I1684" s="405"/>
      <c r="J1684" s="405"/>
      <c r="K1684" s="405"/>
      <c r="L1684" s="405"/>
      <c r="M1684" s="405"/>
      <c r="N1684" s="405"/>
      <c r="O1684" s="405"/>
      <c r="P1684" s="405"/>
      <c r="Q1684" s="405"/>
      <c r="R1684" s="405"/>
      <c r="S1684" s="405"/>
      <c r="T1684" s="405"/>
      <c r="U1684" s="405"/>
      <c r="V1684" s="405"/>
      <c r="W1684" s="405"/>
      <c r="X1684" s="405"/>
      <c r="Y1684" s="405"/>
      <c r="Z1684" s="405"/>
    </row>
    <row r="1685" ht="14.25" customHeight="1">
      <c r="A1685" s="1134"/>
      <c r="B1685" s="405"/>
      <c r="C1685" s="405"/>
      <c r="D1685" s="1135"/>
      <c r="E1685" s="583"/>
      <c r="F1685" s="583"/>
      <c r="G1685" s="583"/>
      <c r="H1685" s="405"/>
      <c r="I1685" s="405"/>
      <c r="J1685" s="405"/>
      <c r="K1685" s="405"/>
      <c r="L1685" s="405"/>
      <c r="M1685" s="405"/>
      <c r="N1685" s="405"/>
      <c r="O1685" s="405"/>
      <c r="P1685" s="405"/>
      <c r="Q1685" s="405"/>
      <c r="R1685" s="405"/>
      <c r="S1685" s="405"/>
      <c r="T1685" s="405"/>
      <c r="U1685" s="405"/>
      <c r="V1685" s="405"/>
      <c r="W1685" s="405"/>
      <c r="X1685" s="405"/>
      <c r="Y1685" s="405"/>
      <c r="Z1685" s="405"/>
    </row>
    <row r="1686" ht="14.25" customHeight="1">
      <c r="A1686" s="1134"/>
      <c r="B1686" s="405"/>
      <c r="C1686" s="405"/>
      <c r="D1686" s="1135"/>
      <c r="E1686" s="583"/>
      <c r="F1686" s="583"/>
      <c r="G1686" s="583"/>
      <c r="H1686" s="405"/>
      <c r="I1686" s="405"/>
      <c r="J1686" s="405"/>
      <c r="K1686" s="405"/>
      <c r="L1686" s="405"/>
      <c r="M1686" s="405"/>
      <c r="N1686" s="405"/>
      <c r="O1686" s="405"/>
      <c r="P1686" s="405"/>
      <c r="Q1686" s="405"/>
      <c r="R1686" s="405"/>
      <c r="S1686" s="405"/>
      <c r="T1686" s="405"/>
      <c r="U1686" s="405"/>
      <c r="V1686" s="405"/>
      <c r="W1686" s="405"/>
      <c r="X1686" s="405"/>
      <c r="Y1686" s="405"/>
      <c r="Z1686" s="405"/>
    </row>
    <row r="1687" ht="14.25" customHeight="1">
      <c r="A1687" s="1134"/>
      <c r="B1687" s="405"/>
      <c r="C1687" s="405"/>
      <c r="D1687" s="1135"/>
      <c r="E1687" s="583"/>
      <c r="F1687" s="583"/>
      <c r="G1687" s="583"/>
      <c r="H1687" s="405"/>
      <c r="I1687" s="405"/>
      <c r="J1687" s="405"/>
      <c r="K1687" s="405"/>
      <c r="L1687" s="405"/>
      <c r="M1687" s="405"/>
      <c r="N1687" s="405"/>
      <c r="O1687" s="405"/>
      <c r="P1687" s="405"/>
      <c r="Q1687" s="405"/>
      <c r="R1687" s="405"/>
      <c r="S1687" s="405"/>
      <c r="T1687" s="405"/>
      <c r="U1687" s="405"/>
      <c r="V1687" s="405"/>
      <c r="W1687" s="405"/>
      <c r="X1687" s="405"/>
      <c r="Y1687" s="405"/>
      <c r="Z1687" s="405"/>
    </row>
    <row r="1688" ht="14.25" customHeight="1">
      <c r="A1688" s="1134"/>
      <c r="B1688" s="405"/>
      <c r="C1688" s="405"/>
      <c r="D1688" s="1135"/>
      <c r="E1688" s="583"/>
      <c r="F1688" s="583"/>
      <c r="G1688" s="583"/>
      <c r="H1688" s="405"/>
      <c r="I1688" s="405"/>
      <c r="J1688" s="405"/>
      <c r="K1688" s="405"/>
      <c r="L1688" s="405"/>
      <c r="M1688" s="405"/>
      <c r="N1688" s="405"/>
      <c r="O1688" s="405"/>
      <c r="P1688" s="405"/>
      <c r="Q1688" s="405"/>
      <c r="R1688" s="405"/>
      <c r="S1688" s="405"/>
      <c r="T1688" s="405"/>
      <c r="U1688" s="405"/>
      <c r="V1688" s="405"/>
      <c r="W1688" s="405"/>
      <c r="X1688" s="405"/>
      <c r="Y1688" s="405"/>
      <c r="Z1688" s="405"/>
    </row>
    <row r="1689" ht="14.25" customHeight="1">
      <c r="A1689" s="1134"/>
      <c r="B1689" s="405"/>
      <c r="C1689" s="405"/>
      <c r="D1689" s="1135"/>
      <c r="E1689" s="583"/>
      <c r="F1689" s="583"/>
      <c r="G1689" s="583"/>
      <c r="H1689" s="405"/>
      <c r="I1689" s="405"/>
      <c r="J1689" s="405"/>
      <c r="K1689" s="405"/>
      <c r="L1689" s="405"/>
      <c r="M1689" s="405"/>
      <c r="N1689" s="405"/>
      <c r="O1689" s="405"/>
      <c r="P1689" s="405"/>
      <c r="Q1689" s="405"/>
      <c r="R1689" s="405"/>
      <c r="S1689" s="405"/>
      <c r="T1689" s="405"/>
      <c r="U1689" s="405"/>
      <c r="V1689" s="405"/>
      <c r="W1689" s="405"/>
      <c r="X1689" s="405"/>
      <c r="Y1689" s="405"/>
      <c r="Z1689" s="405"/>
    </row>
    <row r="1690" ht="14.25" customHeight="1">
      <c r="A1690" s="1134"/>
      <c r="B1690" s="405"/>
      <c r="C1690" s="405"/>
      <c r="D1690" s="1135"/>
      <c r="E1690" s="583"/>
      <c r="F1690" s="583"/>
      <c r="G1690" s="583"/>
      <c r="H1690" s="405"/>
      <c r="I1690" s="405"/>
      <c r="J1690" s="405"/>
      <c r="K1690" s="405"/>
      <c r="L1690" s="405"/>
      <c r="M1690" s="405"/>
      <c r="N1690" s="405"/>
      <c r="O1690" s="405"/>
      <c r="P1690" s="405"/>
      <c r="Q1690" s="405"/>
      <c r="R1690" s="405"/>
      <c r="S1690" s="405"/>
      <c r="T1690" s="405"/>
      <c r="U1690" s="405"/>
      <c r="V1690" s="405"/>
      <c r="W1690" s="405"/>
      <c r="X1690" s="405"/>
      <c r="Y1690" s="405"/>
      <c r="Z1690" s="405"/>
    </row>
    <row r="1691" ht="14.25" customHeight="1">
      <c r="A1691" s="1134"/>
      <c r="B1691" s="405"/>
      <c r="C1691" s="405"/>
      <c r="D1691" s="1135"/>
      <c r="E1691" s="583"/>
      <c r="F1691" s="583"/>
      <c r="G1691" s="583"/>
      <c r="H1691" s="405"/>
      <c r="I1691" s="405"/>
      <c r="J1691" s="405"/>
      <c r="K1691" s="405"/>
      <c r="L1691" s="405"/>
      <c r="M1691" s="405"/>
      <c r="N1691" s="405"/>
      <c r="O1691" s="405"/>
      <c r="P1691" s="405"/>
      <c r="Q1691" s="405"/>
      <c r="R1691" s="405"/>
      <c r="S1691" s="405"/>
      <c r="T1691" s="405"/>
      <c r="U1691" s="405"/>
      <c r="V1691" s="405"/>
      <c r="W1691" s="405"/>
      <c r="X1691" s="405"/>
      <c r="Y1691" s="405"/>
      <c r="Z1691" s="405"/>
    </row>
    <row r="1692" ht="14.25" customHeight="1">
      <c r="A1692" s="1134"/>
      <c r="B1692" s="405"/>
      <c r="C1692" s="405"/>
      <c r="D1692" s="1135"/>
      <c r="E1692" s="583"/>
      <c r="F1692" s="583"/>
      <c r="G1692" s="583"/>
      <c r="H1692" s="405"/>
      <c r="I1692" s="405"/>
      <c r="J1692" s="405"/>
      <c r="K1692" s="405"/>
      <c r="L1692" s="405"/>
      <c r="M1692" s="405"/>
      <c r="N1692" s="405"/>
      <c r="O1692" s="405"/>
      <c r="P1692" s="405"/>
      <c r="Q1692" s="405"/>
      <c r="R1692" s="405"/>
      <c r="S1692" s="405"/>
      <c r="T1692" s="405"/>
      <c r="U1692" s="405"/>
      <c r="V1692" s="405"/>
      <c r="W1692" s="405"/>
      <c r="X1692" s="405"/>
      <c r="Y1692" s="405"/>
      <c r="Z1692" s="405"/>
    </row>
    <row r="1693" ht="14.25" customHeight="1">
      <c r="A1693" s="1134"/>
      <c r="B1693" s="405"/>
      <c r="C1693" s="405"/>
      <c r="D1693" s="1135"/>
      <c r="E1693" s="583"/>
      <c r="F1693" s="583"/>
      <c r="G1693" s="583"/>
      <c r="H1693" s="405"/>
      <c r="I1693" s="405"/>
      <c r="J1693" s="405"/>
      <c r="K1693" s="405"/>
      <c r="L1693" s="405"/>
      <c r="M1693" s="405"/>
      <c r="N1693" s="405"/>
      <c r="O1693" s="405"/>
      <c r="P1693" s="405"/>
      <c r="Q1693" s="405"/>
      <c r="R1693" s="405"/>
      <c r="S1693" s="405"/>
      <c r="T1693" s="405"/>
      <c r="U1693" s="405"/>
      <c r="V1693" s="405"/>
      <c r="W1693" s="405"/>
      <c r="X1693" s="405"/>
      <c r="Y1693" s="405"/>
      <c r="Z1693" s="405"/>
    </row>
    <row r="1694" ht="14.25" customHeight="1">
      <c r="A1694" s="1134"/>
      <c r="B1694" s="405"/>
      <c r="C1694" s="405"/>
      <c r="D1694" s="1135"/>
      <c r="E1694" s="583"/>
      <c r="F1694" s="583"/>
      <c r="G1694" s="583"/>
      <c r="H1694" s="405"/>
      <c r="I1694" s="405"/>
      <c r="J1694" s="405"/>
      <c r="K1694" s="405"/>
      <c r="L1694" s="405"/>
      <c r="M1694" s="405"/>
      <c r="N1694" s="405"/>
      <c r="O1694" s="405"/>
      <c r="P1694" s="405"/>
      <c r="Q1694" s="405"/>
      <c r="R1694" s="405"/>
      <c r="S1694" s="405"/>
      <c r="T1694" s="405"/>
      <c r="U1694" s="405"/>
      <c r="V1694" s="405"/>
      <c r="W1694" s="405"/>
      <c r="X1694" s="405"/>
      <c r="Y1694" s="405"/>
      <c r="Z1694" s="405"/>
    </row>
    <row r="1695" ht="14.25" customHeight="1">
      <c r="A1695" s="1134"/>
      <c r="B1695" s="405"/>
      <c r="C1695" s="405"/>
      <c r="D1695" s="1135"/>
      <c r="E1695" s="583"/>
      <c r="F1695" s="583"/>
      <c r="G1695" s="583"/>
      <c r="H1695" s="405"/>
      <c r="I1695" s="405"/>
      <c r="J1695" s="405"/>
      <c r="K1695" s="405"/>
      <c r="L1695" s="405"/>
      <c r="M1695" s="405"/>
      <c r="N1695" s="405"/>
      <c r="O1695" s="405"/>
      <c r="P1695" s="405"/>
      <c r="Q1695" s="405"/>
      <c r="R1695" s="405"/>
      <c r="S1695" s="405"/>
      <c r="T1695" s="405"/>
      <c r="U1695" s="405"/>
      <c r="V1695" s="405"/>
      <c r="W1695" s="405"/>
      <c r="X1695" s="405"/>
      <c r="Y1695" s="405"/>
      <c r="Z1695" s="405"/>
    </row>
    <row r="1696" ht="14.25" customHeight="1">
      <c r="A1696" s="1134"/>
      <c r="B1696" s="405"/>
      <c r="C1696" s="405"/>
      <c r="D1696" s="1135"/>
      <c r="E1696" s="583"/>
      <c r="F1696" s="583"/>
      <c r="G1696" s="583"/>
      <c r="H1696" s="405"/>
      <c r="I1696" s="405"/>
      <c r="J1696" s="405"/>
      <c r="K1696" s="405"/>
      <c r="L1696" s="405"/>
      <c r="M1696" s="405"/>
      <c r="N1696" s="405"/>
      <c r="O1696" s="405"/>
      <c r="P1696" s="405"/>
      <c r="Q1696" s="405"/>
      <c r="R1696" s="405"/>
      <c r="S1696" s="405"/>
      <c r="T1696" s="405"/>
      <c r="U1696" s="405"/>
      <c r="V1696" s="405"/>
      <c r="W1696" s="405"/>
      <c r="X1696" s="405"/>
      <c r="Y1696" s="405"/>
      <c r="Z1696" s="405"/>
    </row>
    <row r="1697" ht="14.25" customHeight="1">
      <c r="A1697" s="1134"/>
      <c r="B1697" s="405"/>
      <c r="C1697" s="405"/>
      <c r="D1697" s="1135"/>
      <c r="E1697" s="583"/>
      <c r="F1697" s="583"/>
      <c r="G1697" s="583"/>
      <c r="H1697" s="405"/>
      <c r="I1697" s="405"/>
      <c r="J1697" s="405"/>
      <c r="K1697" s="405"/>
      <c r="L1697" s="405"/>
      <c r="M1697" s="405"/>
      <c r="N1697" s="405"/>
      <c r="O1697" s="405"/>
      <c r="P1697" s="405"/>
      <c r="Q1697" s="405"/>
      <c r="R1697" s="405"/>
      <c r="S1697" s="405"/>
      <c r="T1697" s="405"/>
      <c r="U1697" s="405"/>
      <c r="V1697" s="405"/>
      <c r="W1697" s="405"/>
      <c r="X1697" s="405"/>
      <c r="Y1697" s="405"/>
      <c r="Z1697" s="405"/>
    </row>
    <row r="1698" ht="14.25" customHeight="1">
      <c r="A1698" s="1134"/>
      <c r="B1698" s="405"/>
      <c r="C1698" s="405"/>
      <c r="D1698" s="1135"/>
      <c r="E1698" s="583"/>
      <c r="F1698" s="583"/>
      <c r="G1698" s="583"/>
      <c r="H1698" s="405"/>
      <c r="I1698" s="405"/>
      <c r="J1698" s="405"/>
      <c r="K1698" s="405"/>
      <c r="L1698" s="405"/>
      <c r="M1698" s="405"/>
      <c r="N1698" s="405"/>
      <c r="O1698" s="405"/>
      <c r="P1698" s="405"/>
      <c r="Q1698" s="405"/>
      <c r="R1698" s="405"/>
      <c r="S1698" s="405"/>
      <c r="T1698" s="405"/>
      <c r="U1698" s="405"/>
      <c r="V1698" s="405"/>
      <c r="W1698" s="405"/>
      <c r="X1698" s="405"/>
      <c r="Y1698" s="405"/>
      <c r="Z1698" s="405"/>
    </row>
    <row r="1699" ht="14.25" customHeight="1">
      <c r="A1699" s="1134"/>
      <c r="B1699" s="405"/>
      <c r="C1699" s="405"/>
      <c r="D1699" s="1135"/>
      <c r="E1699" s="583"/>
      <c r="F1699" s="583"/>
      <c r="G1699" s="583"/>
      <c r="H1699" s="405"/>
      <c r="I1699" s="405"/>
      <c r="J1699" s="405"/>
      <c r="K1699" s="405"/>
      <c r="L1699" s="405"/>
      <c r="M1699" s="405"/>
      <c r="N1699" s="405"/>
      <c r="O1699" s="405"/>
      <c r="P1699" s="405"/>
      <c r="Q1699" s="405"/>
      <c r="R1699" s="405"/>
      <c r="S1699" s="405"/>
      <c r="T1699" s="405"/>
      <c r="U1699" s="405"/>
      <c r="V1699" s="405"/>
      <c r="W1699" s="405"/>
      <c r="X1699" s="405"/>
      <c r="Y1699" s="405"/>
      <c r="Z1699" s="405"/>
    </row>
    <row r="1700" ht="14.25" customHeight="1">
      <c r="A1700" s="1134"/>
      <c r="B1700" s="405"/>
      <c r="C1700" s="405"/>
      <c r="D1700" s="1135"/>
      <c r="E1700" s="583"/>
      <c r="F1700" s="583"/>
      <c r="G1700" s="583"/>
      <c r="H1700" s="405"/>
      <c r="I1700" s="405"/>
      <c r="J1700" s="405"/>
      <c r="K1700" s="405"/>
      <c r="L1700" s="405"/>
      <c r="M1700" s="405"/>
      <c r="N1700" s="405"/>
      <c r="O1700" s="405"/>
      <c r="P1700" s="405"/>
      <c r="Q1700" s="405"/>
      <c r="R1700" s="405"/>
      <c r="S1700" s="405"/>
      <c r="T1700" s="405"/>
      <c r="U1700" s="405"/>
      <c r="V1700" s="405"/>
      <c r="W1700" s="405"/>
      <c r="X1700" s="405"/>
      <c r="Y1700" s="405"/>
      <c r="Z1700" s="405"/>
    </row>
    <row r="1701" ht="14.25" customHeight="1">
      <c r="A1701" s="1134"/>
      <c r="B1701" s="405"/>
      <c r="C1701" s="405"/>
      <c r="D1701" s="1135"/>
      <c r="E1701" s="583"/>
      <c r="F1701" s="583"/>
      <c r="G1701" s="583"/>
      <c r="H1701" s="405"/>
      <c r="I1701" s="405"/>
      <c r="J1701" s="405"/>
      <c r="K1701" s="405"/>
      <c r="L1701" s="405"/>
      <c r="M1701" s="405"/>
      <c r="N1701" s="405"/>
      <c r="O1701" s="405"/>
      <c r="P1701" s="405"/>
      <c r="Q1701" s="405"/>
      <c r="R1701" s="405"/>
      <c r="S1701" s="405"/>
      <c r="T1701" s="405"/>
      <c r="U1701" s="405"/>
      <c r="V1701" s="405"/>
      <c r="W1701" s="405"/>
      <c r="X1701" s="405"/>
      <c r="Y1701" s="405"/>
      <c r="Z1701" s="405"/>
    </row>
    <row r="1702" ht="14.25" customHeight="1">
      <c r="A1702" s="1134"/>
      <c r="B1702" s="405"/>
      <c r="C1702" s="405"/>
      <c r="D1702" s="1135"/>
      <c r="E1702" s="583"/>
      <c r="F1702" s="583"/>
      <c r="G1702" s="583"/>
      <c r="H1702" s="405"/>
      <c r="I1702" s="405"/>
      <c r="J1702" s="405"/>
      <c r="K1702" s="405"/>
      <c r="L1702" s="405"/>
      <c r="M1702" s="405"/>
      <c r="N1702" s="405"/>
      <c r="O1702" s="405"/>
      <c r="P1702" s="405"/>
      <c r="Q1702" s="405"/>
      <c r="R1702" s="405"/>
      <c r="S1702" s="405"/>
      <c r="T1702" s="405"/>
      <c r="U1702" s="405"/>
      <c r="V1702" s="405"/>
      <c r="W1702" s="405"/>
      <c r="X1702" s="405"/>
      <c r="Y1702" s="405"/>
      <c r="Z1702" s="405"/>
    </row>
    <row r="1703" ht="14.25" customHeight="1">
      <c r="A1703" s="1134"/>
      <c r="B1703" s="405"/>
      <c r="C1703" s="405"/>
      <c r="D1703" s="1135"/>
      <c r="E1703" s="583"/>
      <c r="F1703" s="583"/>
      <c r="G1703" s="583"/>
      <c r="H1703" s="405"/>
      <c r="I1703" s="405"/>
      <c r="J1703" s="405"/>
      <c r="K1703" s="405"/>
      <c r="L1703" s="405"/>
      <c r="M1703" s="405"/>
      <c r="N1703" s="405"/>
      <c r="O1703" s="405"/>
      <c r="P1703" s="405"/>
      <c r="Q1703" s="405"/>
      <c r="R1703" s="405"/>
      <c r="S1703" s="405"/>
      <c r="T1703" s="405"/>
      <c r="U1703" s="405"/>
      <c r="V1703" s="405"/>
      <c r="W1703" s="405"/>
      <c r="X1703" s="405"/>
      <c r="Y1703" s="405"/>
      <c r="Z1703" s="405"/>
    </row>
    <row r="1704" ht="14.25" customHeight="1">
      <c r="A1704" s="1134"/>
      <c r="B1704" s="405"/>
      <c r="C1704" s="405"/>
      <c r="D1704" s="1135"/>
      <c r="E1704" s="583"/>
      <c r="F1704" s="583"/>
      <c r="G1704" s="583"/>
      <c r="H1704" s="405"/>
      <c r="I1704" s="405"/>
      <c r="J1704" s="405"/>
      <c r="K1704" s="405"/>
      <c r="L1704" s="405"/>
      <c r="M1704" s="405"/>
      <c r="N1704" s="405"/>
      <c r="O1704" s="405"/>
      <c r="P1704" s="405"/>
      <c r="Q1704" s="405"/>
      <c r="R1704" s="405"/>
      <c r="S1704" s="405"/>
      <c r="T1704" s="405"/>
      <c r="U1704" s="405"/>
      <c r="V1704" s="405"/>
      <c r="W1704" s="405"/>
      <c r="X1704" s="405"/>
      <c r="Y1704" s="405"/>
      <c r="Z1704" s="405"/>
    </row>
    <row r="1705" ht="14.25" customHeight="1">
      <c r="A1705" s="1134"/>
      <c r="B1705" s="405"/>
      <c r="C1705" s="405"/>
      <c r="D1705" s="1135"/>
      <c r="E1705" s="583"/>
      <c r="F1705" s="583"/>
      <c r="G1705" s="583"/>
      <c r="H1705" s="405"/>
      <c r="I1705" s="405"/>
      <c r="J1705" s="405"/>
      <c r="K1705" s="405"/>
      <c r="L1705" s="405"/>
      <c r="M1705" s="405"/>
      <c r="N1705" s="405"/>
      <c r="O1705" s="405"/>
      <c r="P1705" s="405"/>
      <c r="Q1705" s="405"/>
      <c r="R1705" s="405"/>
      <c r="S1705" s="405"/>
      <c r="T1705" s="405"/>
      <c r="U1705" s="405"/>
      <c r="V1705" s="405"/>
      <c r="W1705" s="405"/>
      <c r="X1705" s="405"/>
      <c r="Y1705" s="405"/>
      <c r="Z1705" s="405"/>
    </row>
    <row r="1706" ht="14.25" customHeight="1">
      <c r="A1706" s="1134"/>
      <c r="B1706" s="405"/>
      <c r="C1706" s="405"/>
      <c r="D1706" s="1135"/>
      <c r="E1706" s="583"/>
      <c r="F1706" s="583"/>
      <c r="G1706" s="583"/>
      <c r="H1706" s="405"/>
      <c r="I1706" s="405"/>
      <c r="J1706" s="405"/>
      <c r="K1706" s="405"/>
      <c r="L1706" s="405"/>
      <c r="M1706" s="405"/>
      <c r="N1706" s="405"/>
      <c r="O1706" s="405"/>
      <c r="P1706" s="405"/>
      <c r="Q1706" s="405"/>
      <c r="R1706" s="405"/>
      <c r="S1706" s="405"/>
      <c r="T1706" s="405"/>
      <c r="U1706" s="405"/>
      <c r="V1706" s="405"/>
      <c r="W1706" s="405"/>
      <c r="X1706" s="405"/>
      <c r="Y1706" s="405"/>
      <c r="Z1706" s="405"/>
    </row>
    <row r="1707" ht="14.25" customHeight="1">
      <c r="A1707" s="1134"/>
      <c r="B1707" s="405"/>
      <c r="C1707" s="405"/>
      <c r="D1707" s="1135"/>
      <c r="E1707" s="583"/>
      <c r="F1707" s="583"/>
      <c r="G1707" s="583"/>
      <c r="H1707" s="405"/>
      <c r="I1707" s="405"/>
      <c r="J1707" s="405"/>
      <c r="K1707" s="405"/>
      <c r="L1707" s="405"/>
      <c r="M1707" s="405"/>
      <c r="N1707" s="405"/>
      <c r="O1707" s="405"/>
      <c r="P1707" s="405"/>
      <c r="Q1707" s="405"/>
      <c r="R1707" s="405"/>
      <c r="S1707" s="405"/>
      <c r="T1707" s="405"/>
      <c r="U1707" s="405"/>
      <c r="V1707" s="405"/>
      <c r="W1707" s="405"/>
      <c r="X1707" s="405"/>
      <c r="Y1707" s="405"/>
      <c r="Z1707" s="405"/>
    </row>
    <row r="1708" ht="14.25" customHeight="1">
      <c r="A1708" s="1134"/>
      <c r="B1708" s="405"/>
      <c r="C1708" s="405"/>
      <c r="D1708" s="1135"/>
      <c r="E1708" s="583"/>
      <c r="F1708" s="583"/>
      <c r="G1708" s="583"/>
      <c r="H1708" s="405"/>
      <c r="I1708" s="405"/>
      <c r="J1708" s="405"/>
      <c r="K1708" s="405"/>
      <c r="L1708" s="405"/>
      <c r="M1708" s="405"/>
      <c r="N1708" s="405"/>
      <c r="O1708" s="405"/>
      <c r="P1708" s="405"/>
      <c r="Q1708" s="405"/>
      <c r="R1708" s="405"/>
      <c r="S1708" s="405"/>
      <c r="T1708" s="405"/>
      <c r="U1708" s="405"/>
      <c r="V1708" s="405"/>
      <c r="W1708" s="405"/>
      <c r="X1708" s="405"/>
      <c r="Y1708" s="405"/>
      <c r="Z1708" s="405"/>
    </row>
    <row r="1709" ht="14.25" customHeight="1">
      <c r="A1709" s="1134"/>
      <c r="B1709" s="405"/>
      <c r="C1709" s="405"/>
      <c r="D1709" s="1135"/>
      <c r="E1709" s="583"/>
      <c r="F1709" s="583"/>
      <c r="G1709" s="583"/>
      <c r="H1709" s="405"/>
      <c r="I1709" s="405"/>
      <c r="J1709" s="405"/>
      <c r="K1709" s="405"/>
      <c r="L1709" s="405"/>
      <c r="M1709" s="405"/>
      <c r="N1709" s="405"/>
      <c r="O1709" s="405"/>
      <c r="P1709" s="405"/>
      <c r="Q1709" s="405"/>
      <c r="R1709" s="405"/>
      <c r="S1709" s="405"/>
      <c r="T1709" s="405"/>
      <c r="U1709" s="405"/>
      <c r="V1709" s="405"/>
      <c r="W1709" s="405"/>
      <c r="X1709" s="405"/>
      <c r="Y1709" s="405"/>
      <c r="Z1709" s="405"/>
    </row>
    <row r="1710" ht="14.25" customHeight="1">
      <c r="A1710" s="1134"/>
      <c r="B1710" s="405"/>
      <c r="C1710" s="405"/>
      <c r="D1710" s="1135"/>
      <c r="E1710" s="583"/>
      <c r="F1710" s="583"/>
      <c r="G1710" s="583"/>
      <c r="H1710" s="405"/>
      <c r="I1710" s="405"/>
      <c r="J1710" s="405"/>
      <c r="K1710" s="405"/>
      <c r="L1710" s="405"/>
      <c r="M1710" s="405"/>
      <c r="N1710" s="405"/>
      <c r="O1710" s="405"/>
      <c r="P1710" s="405"/>
      <c r="Q1710" s="405"/>
      <c r="R1710" s="405"/>
      <c r="S1710" s="405"/>
      <c r="T1710" s="405"/>
      <c r="U1710" s="405"/>
      <c r="V1710" s="405"/>
      <c r="W1710" s="405"/>
      <c r="X1710" s="405"/>
      <c r="Y1710" s="405"/>
      <c r="Z1710" s="405"/>
    </row>
    <row r="1711" ht="14.25" customHeight="1">
      <c r="A1711" s="1134"/>
      <c r="B1711" s="405"/>
      <c r="C1711" s="405"/>
      <c r="D1711" s="1135"/>
      <c r="E1711" s="583"/>
      <c r="F1711" s="583"/>
      <c r="G1711" s="583"/>
      <c r="H1711" s="405"/>
      <c r="I1711" s="405"/>
      <c r="J1711" s="405"/>
      <c r="K1711" s="405"/>
      <c r="L1711" s="405"/>
      <c r="M1711" s="405"/>
      <c r="N1711" s="405"/>
      <c r="O1711" s="405"/>
      <c r="P1711" s="405"/>
      <c r="Q1711" s="405"/>
      <c r="R1711" s="405"/>
      <c r="S1711" s="405"/>
      <c r="T1711" s="405"/>
      <c r="U1711" s="405"/>
      <c r="V1711" s="405"/>
      <c r="W1711" s="405"/>
      <c r="X1711" s="405"/>
      <c r="Y1711" s="405"/>
      <c r="Z1711" s="405"/>
    </row>
    <row r="1712" ht="14.25" customHeight="1">
      <c r="A1712" s="1134"/>
      <c r="B1712" s="405"/>
      <c r="C1712" s="405"/>
      <c r="D1712" s="1135"/>
      <c r="E1712" s="583"/>
      <c r="F1712" s="583"/>
      <c r="G1712" s="583"/>
      <c r="H1712" s="405"/>
      <c r="I1712" s="405"/>
      <c r="J1712" s="405"/>
      <c r="K1712" s="405"/>
      <c r="L1712" s="405"/>
      <c r="M1712" s="405"/>
      <c r="N1712" s="405"/>
      <c r="O1712" s="405"/>
      <c r="P1712" s="405"/>
      <c r="Q1712" s="405"/>
      <c r="R1712" s="405"/>
      <c r="S1712" s="405"/>
      <c r="T1712" s="405"/>
      <c r="U1712" s="405"/>
      <c r="V1712" s="405"/>
      <c r="W1712" s="405"/>
      <c r="X1712" s="405"/>
      <c r="Y1712" s="405"/>
      <c r="Z1712" s="405"/>
    </row>
    <row r="1713" ht="14.25" customHeight="1">
      <c r="A1713" s="1134"/>
      <c r="B1713" s="405"/>
      <c r="C1713" s="405"/>
      <c r="D1713" s="1135"/>
      <c r="E1713" s="583"/>
      <c r="F1713" s="583"/>
      <c r="G1713" s="583"/>
      <c r="H1713" s="405"/>
      <c r="I1713" s="405"/>
      <c r="J1713" s="405"/>
      <c r="K1713" s="405"/>
      <c r="L1713" s="405"/>
      <c r="M1713" s="405"/>
      <c r="N1713" s="405"/>
      <c r="O1713" s="405"/>
      <c r="P1713" s="405"/>
      <c r="Q1713" s="405"/>
      <c r="R1713" s="405"/>
      <c r="S1713" s="405"/>
      <c r="T1713" s="405"/>
      <c r="U1713" s="405"/>
      <c r="V1713" s="405"/>
      <c r="W1713" s="405"/>
      <c r="X1713" s="405"/>
      <c r="Y1713" s="405"/>
      <c r="Z1713" s="405"/>
    </row>
    <row r="1714" ht="14.25" customHeight="1">
      <c r="A1714" s="1134"/>
      <c r="B1714" s="405"/>
      <c r="C1714" s="405"/>
      <c r="D1714" s="1135"/>
      <c r="E1714" s="583"/>
      <c r="F1714" s="583"/>
      <c r="G1714" s="583"/>
      <c r="H1714" s="405"/>
      <c r="I1714" s="405"/>
      <c r="J1714" s="405"/>
      <c r="K1714" s="405"/>
      <c r="L1714" s="405"/>
      <c r="M1714" s="405"/>
      <c r="N1714" s="405"/>
      <c r="O1714" s="405"/>
      <c r="P1714" s="405"/>
      <c r="Q1714" s="405"/>
      <c r="R1714" s="405"/>
      <c r="S1714" s="405"/>
      <c r="T1714" s="405"/>
      <c r="U1714" s="405"/>
      <c r="V1714" s="405"/>
      <c r="W1714" s="405"/>
      <c r="X1714" s="405"/>
      <c r="Y1714" s="405"/>
      <c r="Z1714" s="405"/>
    </row>
    <row r="1715" ht="14.25" customHeight="1">
      <c r="A1715" s="1134"/>
      <c r="B1715" s="405"/>
      <c r="C1715" s="405"/>
      <c r="D1715" s="1135"/>
      <c r="E1715" s="583"/>
      <c r="F1715" s="583"/>
      <c r="G1715" s="583"/>
      <c r="H1715" s="405"/>
      <c r="I1715" s="405"/>
      <c r="J1715" s="405"/>
      <c r="K1715" s="405"/>
      <c r="L1715" s="405"/>
      <c r="M1715" s="405"/>
      <c r="N1715" s="405"/>
      <c r="O1715" s="405"/>
      <c r="P1715" s="405"/>
      <c r="Q1715" s="405"/>
      <c r="R1715" s="405"/>
      <c r="S1715" s="405"/>
      <c r="T1715" s="405"/>
      <c r="U1715" s="405"/>
      <c r="V1715" s="405"/>
      <c r="W1715" s="405"/>
      <c r="X1715" s="405"/>
      <c r="Y1715" s="405"/>
      <c r="Z1715" s="405"/>
    </row>
    <row r="1716" ht="14.25" customHeight="1">
      <c r="A1716" s="1134"/>
      <c r="B1716" s="405"/>
      <c r="C1716" s="405"/>
      <c r="D1716" s="1135"/>
      <c r="E1716" s="583"/>
      <c r="F1716" s="583"/>
      <c r="G1716" s="583"/>
      <c r="H1716" s="405"/>
      <c r="I1716" s="405"/>
      <c r="J1716" s="405"/>
      <c r="K1716" s="405"/>
      <c r="L1716" s="405"/>
      <c r="M1716" s="405"/>
      <c r="N1716" s="405"/>
      <c r="O1716" s="405"/>
      <c r="P1716" s="405"/>
      <c r="Q1716" s="405"/>
      <c r="R1716" s="405"/>
      <c r="S1716" s="405"/>
      <c r="T1716" s="405"/>
      <c r="U1716" s="405"/>
      <c r="V1716" s="405"/>
      <c r="W1716" s="405"/>
      <c r="X1716" s="405"/>
      <c r="Y1716" s="405"/>
      <c r="Z1716" s="405"/>
    </row>
    <row r="1717" ht="14.25" customHeight="1">
      <c r="A1717" s="1134"/>
      <c r="B1717" s="405"/>
      <c r="C1717" s="405"/>
      <c r="D1717" s="1135"/>
      <c r="E1717" s="583"/>
      <c r="F1717" s="583"/>
      <c r="G1717" s="583"/>
      <c r="H1717" s="405"/>
      <c r="I1717" s="405"/>
      <c r="J1717" s="405"/>
      <c r="K1717" s="405"/>
      <c r="L1717" s="405"/>
      <c r="M1717" s="405"/>
      <c r="N1717" s="405"/>
      <c r="O1717" s="405"/>
      <c r="P1717" s="405"/>
      <c r="Q1717" s="405"/>
      <c r="R1717" s="405"/>
      <c r="S1717" s="405"/>
      <c r="T1717" s="405"/>
      <c r="U1717" s="405"/>
      <c r="V1717" s="405"/>
      <c r="W1717" s="405"/>
      <c r="X1717" s="405"/>
      <c r="Y1717" s="405"/>
      <c r="Z1717" s="405"/>
    </row>
    <row r="1718" ht="14.25" customHeight="1">
      <c r="A1718" s="1134"/>
      <c r="B1718" s="405"/>
      <c r="C1718" s="405"/>
      <c r="D1718" s="1135"/>
      <c r="E1718" s="583"/>
      <c r="F1718" s="583"/>
      <c r="G1718" s="583"/>
      <c r="H1718" s="405"/>
      <c r="I1718" s="405"/>
      <c r="J1718" s="405"/>
      <c r="K1718" s="405"/>
      <c r="L1718" s="405"/>
      <c r="M1718" s="405"/>
      <c r="N1718" s="405"/>
      <c r="O1718" s="405"/>
      <c r="P1718" s="405"/>
      <c r="Q1718" s="405"/>
      <c r="R1718" s="405"/>
      <c r="S1718" s="405"/>
      <c r="T1718" s="405"/>
      <c r="U1718" s="405"/>
      <c r="V1718" s="405"/>
      <c r="W1718" s="405"/>
      <c r="X1718" s="405"/>
      <c r="Y1718" s="405"/>
      <c r="Z1718" s="405"/>
    </row>
    <row r="1719" ht="14.25" customHeight="1">
      <c r="A1719" s="1134"/>
      <c r="B1719" s="405"/>
      <c r="C1719" s="405"/>
      <c r="D1719" s="1135"/>
      <c r="E1719" s="583"/>
      <c r="F1719" s="583"/>
      <c r="G1719" s="583"/>
      <c r="H1719" s="405"/>
      <c r="I1719" s="405"/>
      <c r="J1719" s="405"/>
      <c r="K1719" s="405"/>
      <c r="L1719" s="405"/>
      <c r="M1719" s="405"/>
      <c r="N1719" s="405"/>
      <c r="O1719" s="405"/>
      <c r="P1719" s="405"/>
      <c r="Q1719" s="405"/>
      <c r="R1719" s="405"/>
      <c r="S1719" s="405"/>
      <c r="T1719" s="405"/>
      <c r="U1719" s="405"/>
      <c r="V1719" s="405"/>
      <c r="W1719" s="405"/>
      <c r="X1719" s="405"/>
      <c r="Y1719" s="405"/>
      <c r="Z1719" s="405"/>
    </row>
    <row r="1720" ht="14.25" customHeight="1">
      <c r="A1720" s="1134"/>
      <c r="B1720" s="405"/>
      <c r="C1720" s="405"/>
      <c r="D1720" s="1135"/>
      <c r="E1720" s="583"/>
      <c r="F1720" s="583"/>
      <c r="G1720" s="583"/>
      <c r="H1720" s="405"/>
      <c r="I1720" s="405"/>
      <c r="J1720" s="405"/>
      <c r="K1720" s="405"/>
      <c r="L1720" s="405"/>
      <c r="M1720" s="405"/>
      <c r="N1720" s="405"/>
      <c r="O1720" s="405"/>
      <c r="P1720" s="405"/>
      <c r="Q1720" s="405"/>
      <c r="R1720" s="405"/>
      <c r="S1720" s="405"/>
      <c r="T1720" s="405"/>
      <c r="U1720" s="405"/>
      <c r="V1720" s="405"/>
      <c r="W1720" s="405"/>
      <c r="X1720" s="405"/>
      <c r="Y1720" s="405"/>
      <c r="Z1720" s="405"/>
    </row>
    <row r="1721" ht="14.25" customHeight="1">
      <c r="A1721" s="1134"/>
      <c r="B1721" s="405"/>
      <c r="C1721" s="405"/>
      <c r="D1721" s="1135"/>
      <c r="E1721" s="583"/>
      <c r="F1721" s="583"/>
      <c r="G1721" s="583"/>
      <c r="H1721" s="405"/>
      <c r="I1721" s="405"/>
      <c r="J1721" s="405"/>
      <c r="K1721" s="405"/>
      <c r="L1721" s="405"/>
      <c r="M1721" s="405"/>
      <c r="N1721" s="405"/>
      <c r="O1721" s="405"/>
      <c r="P1721" s="405"/>
      <c r="Q1721" s="405"/>
      <c r="R1721" s="405"/>
      <c r="S1721" s="405"/>
      <c r="T1721" s="405"/>
      <c r="U1721" s="405"/>
      <c r="V1721" s="405"/>
      <c r="W1721" s="405"/>
      <c r="X1721" s="405"/>
      <c r="Y1721" s="405"/>
      <c r="Z1721" s="405"/>
    </row>
    <row r="1722" ht="14.25" customHeight="1">
      <c r="A1722" s="1134"/>
      <c r="B1722" s="405"/>
      <c r="C1722" s="405"/>
      <c r="D1722" s="1135"/>
      <c r="E1722" s="583"/>
      <c r="F1722" s="583"/>
      <c r="G1722" s="583"/>
      <c r="H1722" s="405"/>
      <c r="I1722" s="405"/>
      <c r="J1722" s="405"/>
      <c r="K1722" s="405"/>
      <c r="L1722" s="405"/>
      <c r="M1722" s="405"/>
      <c r="N1722" s="405"/>
      <c r="O1722" s="405"/>
      <c r="P1722" s="405"/>
      <c r="Q1722" s="405"/>
      <c r="R1722" s="405"/>
      <c r="S1722" s="405"/>
      <c r="T1722" s="405"/>
      <c r="U1722" s="405"/>
      <c r="V1722" s="405"/>
      <c r="W1722" s="405"/>
      <c r="X1722" s="405"/>
      <c r="Y1722" s="405"/>
      <c r="Z1722" s="405"/>
    </row>
    <row r="1723" ht="14.25" customHeight="1">
      <c r="A1723" s="1134"/>
      <c r="B1723" s="405"/>
      <c r="C1723" s="405"/>
      <c r="D1723" s="1135"/>
      <c r="E1723" s="583"/>
      <c r="F1723" s="583"/>
      <c r="G1723" s="583"/>
      <c r="H1723" s="405"/>
      <c r="I1723" s="405"/>
      <c r="J1723" s="405"/>
      <c r="K1723" s="405"/>
      <c r="L1723" s="405"/>
      <c r="M1723" s="405"/>
      <c r="N1723" s="405"/>
      <c r="O1723" s="405"/>
      <c r="P1723" s="405"/>
      <c r="Q1723" s="405"/>
      <c r="R1723" s="405"/>
      <c r="S1723" s="405"/>
      <c r="T1723" s="405"/>
      <c r="U1723" s="405"/>
      <c r="V1723" s="405"/>
      <c r="W1723" s="405"/>
      <c r="X1723" s="405"/>
      <c r="Y1723" s="405"/>
      <c r="Z1723" s="405"/>
    </row>
    <row r="1724" ht="14.25" customHeight="1">
      <c r="A1724" s="1134"/>
      <c r="B1724" s="405"/>
      <c r="C1724" s="405"/>
      <c r="D1724" s="1135"/>
      <c r="E1724" s="583"/>
      <c r="F1724" s="583"/>
      <c r="G1724" s="583"/>
      <c r="H1724" s="405"/>
      <c r="I1724" s="405"/>
      <c r="J1724" s="405"/>
      <c r="K1724" s="405"/>
      <c r="L1724" s="405"/>
      <c r="M1724" s="405"/>
      <c r="N1724" s="405"/>
      <c r="O1724" s="405"/>
      <c r="P1724" s="405"/>
      <c r="Q1724" s="405"/>
      <c r="R1724" s="405"/>
      <c r="S1724" s="405"/>
      <c r="T1724" s="405"/>
      <c r="U1724" s="405"/>
      <c r="V1724" s="405"/>
      <c r="W1724" s="405"/>
      <c r="X1724" s="405"/>
      <c r="Y1724" s="405"/>
      <c r="Z1724" s="405"/>
    </row>
    <row r="1725" ht="14.25" customHeight="1">
      <c r="A1725" s="1134"/>
      <c r="B1725" s="405"/>
      <c r="C1725" s="405"/>
      <c r="D1725" s="1135"/>
      <c r="E1725" s="583"/>
      <c r="F1725" s="583"/>
      <c r="G1725" s="583"/>
      <c r="H1725" s="405"/>
      <c r="I1725" s="405"/>
      <c r="J1725" s="405"/>
      <c r="K1725" s="405"/>
      <c r="L1725" s="405"/>
      <c r="M1725" s="405"/>
      <c r="N1725" s="405"/>
      <c r="O1725" s="405"/>
      <c r="P1725" s="405"/>
      <c r="Q1725" s="405"/>
      <c r="R1725" s="405"/>
      <c r="S1725" s="405"/>
      <c r="T1725" s="405"/>
      <c r="U1725" s="405"/>
      <c r="V1725" s="405"/>
      <c r="W1725" s="405"/>
      <c r="X1725" s="405"/>
      <c r="Y1725" s="405"/>
      <c r="Z1725" s="405"/>
    </row>
    <row r="1726" ht="14.25" customHeight="1">
      <c r="A1726" s="1134"/>
      <c r="B1726" s="405"/>
      <c r="C1726" s="405"/>
      <c r="D1726" s="1135"/>
      <c r="E1726" s="583"/>
      <c r="F1726" s="583"/>
      <c r="G1726" s="583"/>
      <c r="H1726" s="405"/>
      <c r="I1726" s="405"/>
      <c r="J1726" s="405"/>
      <c r="K1726" s="405"/>
      <c r="L1726" s="405"/>
      <c r="M1726" s="405"/>
      <c r="N1726" s="405"/>
      <c r="O1726" s="405"/>
      <c r="P1726" s="405"/>
      <c r="Q1726" s="405"/>
      <c r="R1726" s="405"/>
      <c r="S1726" s="405"/>
      <c r="T1726" s="405"/>
      <c r="U1726" s="405"/>
      <c r="V1726" s="405"/>
      <c r="W1726" s="405"/>
      <c r="X1726" s="405"/>
      <c r="Y1726" s="405"/>
      <c r="Z1726" s="405"/>
    </row>
    <row r="1727" ht="14.25" customHeight="1">
      <c r="A1727" s="1134"/>
      <c r="B1727" s="405"/>
      <c r="C1727" s="405"/>
      <c r="D1727" s="1135"/>
      <c r="E1727" s="583"/>
      <c r="F1727" s="583"/>
      <c r="G1727" s="583"/>
      <c r="H1727" s="405"/>
      <c r="I1727" s="405"/>
      <c r="J1727" s="405"/>
      <c r="K1727" s="405"/>
      <c r="L1727" s="405"/>
      <c r="M1727" s="405"/>
      <c r="N1727" s="405"/>
      <c r="O1727" s="405"/>
      <c r="P1727" s="405"/>
      <c r="Q1727" s="405"/>
      <c r="R1727" s="405"/>
      <c r="S1727" s="405"/>
      <c r="T1727" s="405"/>
      <c r="U1727" s="405"/>
      <c r="V1727" s="405"/>
      <c r="W1727" s="405"/>
      <c r="X1727" s="405"/>
      <c r="Y1727" s="405"/>
      <c r="Z1727" s="405"/>
    </row>
    <row r="1728" ht="14.25" customHeight="1">
      <c r="A1728" s="1134"/>
      <c r="B1728" s="405"/>
      <c r="C1728" s="405"/>
      <c r="D1728" s="1135"/>
      <c r="E1728" s="583"/>
      <c r="F1728" s="583"/>
      <c r="G1728" s="583"/>
      <c r="H1728" s="405"/>
      <c r="I1728" s="405"/>
      <c r="J1728" s="405"/>
      <c r="K1728" s="405"/>
      <c r="L1728" s="405"/>
      <c r="M1728" s="405"/>
      <c r="N1728" s="405"/>
      <c r="O1728" s="405"/>
      <c r="P1728" s="405"/>
      <c r="Q1728" s="405"/>
      <c r="R1728" s="405"/>
      <c r="S1728" s="405"/>
      <c r="T1728" s="405"/>
      <c r="U1728" s="405"/>
      <c r="V1728" s="405"/>
      <c r="W1728" s="405"/>
      <c r="X1728" s="405"/>
      <c r="Y1728" s="405"/>
      <c r="Z1728" s="405"/>
    </row>
    <row r="1729" ht="14.25" customHeight="1">
      <c r="A1729" s="1134"/>
      <c r="B1729" s="405"/>
      <c r="C1729" s="405"/>
      <c r="D1729" s="1135"/>
      <c r="E1729" s="583"/>
      <c r="F1729" s="583"/>
      <c r="G1729" s="583"/>
      <c r="H1729" s="405"/>
      <c r="I1729" s="405"/>
      <c r="J1729" s="405"/>
      <c r="K1729" s="405"/>
      <c r="L1729" s="405"/>
      <c r="M1729" s="405"/>
      <c r="N1729" s="405"/>
      <c r="O1729" s="405"/>
      <c r="P1729" s="405"/>
      <c r="Q1729" s="405"/>
      <c r="R1729" s="405"/>
      <c r="S1729" s="405"/>
      <c r="T1729" s="405"/>
      <c r="U1729" s="405"/>
      <c r="V1729" s="405"/>
      <c r="W1729" s="405"/>
      <c r="X1729" s="405"/>
      <c r="Y1729" s="405"/>
      <c r="Z1729" s="405"/>
    </row>
    <row r="1730" ht="14.25" customHeight="1">
      <c r="A1730" s="1134"/>
      <c r="B1730" s="405"/>
      <c r="C1730" s="405"/>
      <c r="D1730" s="1135"/>
      <c r="E1730" s="583"/>
      <c r="F1730" s="583"/>
      <c r="G1730" s="583"/>
      <c r="H1730" s="405"/>
      <c r="I1730" s="405"/>
      <c r="J1730" s="405"/>
      <c r="K1730" s="405"/>
      <c r="L1730" s="405"/>
      <c r="M1730" s="405"/>
      <c r="N1730" s="405"/>
      <c r="O1730" s="405"/>
      <c r="P1730" s="405"/>
      <c r="Q1730" s="405"/>
      <c r="R1730" s="405"/>
      <c r="S1730" s="405"/>
      <c r="T1730" s="405"/>
      <c r="U1730" s="405"/>
      <c r="V1730" s="405"/>
      <c r="W1730" s="405"/>
      <c r="X1730" s="405"/>
      <c r="Y1730" s="405"/>
      <c r="Z1730" s="405"/>
    </row>
    <row r="1731" ht="14.25" customHeight="1">
      <c r="A1731" s="1134"/>
      <c r="B1731" s="405"/>
      <c r="C1731" s="405"/>
      <c r="D1731" s="1135"/>
      <c r="E1731" s="583"/>
      <c r="F1731" s="583"/>
      <c r="G1731" s="583"/>
      <c r="H1731" s="405"/>
      <c r="I1731" s="405"/>
      <c r="J1731" s="405"/>
      <c r="K1731" s="405"/>
      <c r="L1731" s="405"/>
      <c r="M1731" s="405"/>
      <c r="N1731" s="405"/>
      <c r="O1731" s="405"/>
      <c r="P1731" s="405"/>
      <c r="Q1731" s="405"/>
      <c r="R1731" s="405"/>
      <c r="S1731" s="405"/>
      <c r="T1731" s="405"/>
      <c r="U1731" s="405"/>
      <c r="V1731" s="405"/>
      <c r="W1731" s="405"/>
      <c r="X1731" s="405"/>
      <c r="Y1731" s="405"/>
      <c r="Z1731" s="405"/>
    </row>
    <row r="1732" ht="14.25" customHeight="1">
      <c r="A1732" s="1134"/>
      <c r="B1732" s="405"/>
      <c r="C1732" s="405"/>
      <c r="D1732" s="1135"/>
      <c r="E1732" s="583"/>
      <c r="F1732" s="583"/>
      <c r="G1732" s="583"/>
      <c r="H1732" s="405"/>
      <c r="I1732" s="405"/>
      <c r="J1732" s="405"/>
      <c r="K1732" s="405"/>
      <c r="L1732" s="405"/>
      <c r="M1732" s="405"/>
      <c r="N1732" s="405"/>
      <c r="O1732" s="405"/>
      <c r="P1732" s="405"/>
      <c r="Q1732" s="405"/>
      <c r="R1732" s="405"/>
      <c r="S1732" s="405"/>
      <c r="T1732" s="405"/>
      <c r="U1732" s="405"/>
      <c r="V1732" s="405"/>
      <c r="W1732" s="405"/>
      <c r="X1732" s="405"/>
      <c r="Y1732" s="405"/>
      <c r="Z1732" s="405"/>
    </row>
    <row r="1733" ht="14.25" customHeight="1">
      <c r="A1733" s="1134"/>
      <c r="B1733" s="405"/>
      <c r="C1733" s="405"/>
      <c r="D1733" s="1135"/>
      <c r="E1733" s="583"/>
      <c r="F1733" s="583"/>
      <c r="G1733" s="583"/>
      <c r="H1733" s="405"/>
      <c r="I1733" s="405"/>
      <c r="J1733" s="405"/>
      <c r="K1733" s="405"/>
      <c r="L1733" s="405"/>
      <c r="M1733" s="405"/>
      <c r="N1733" s="405"/>
      <c r="O1733" s="405"/>
      <c r="P1733" s="405"/>
      <c r="Q1733" s="405"/>
      <c r="R1733" s="405"/>
      <c r="S1733" s="405"/>
      <c r="T1733" s="405"/>
      <c r="U1733" s="405"/>
      <c r="V1733" s="405"/>
      <c r="W1733" s="405"/>
      <c r="X1733" s="405"/>
      <c r="Y1733" s="405"/>
      <c r="Z1733" s="405"/>
    </row>
    <row r="1734" ht="14.25" customHeight="1">
      <c r="A1734" s="1134"/>
      <c r="B1734" s="405"/>
      <c r="C1734" s="405"/>
      <c r="D1734" s="1135"/>
      <c r="E1734" s="583"/>
      <c r="F1734" s="583"/>
      <c r="G1734" s="583"/>
      <c r="H1734" s="405"/>
      <c r="I1734" s="405"/>
      <c r="J1734" s="405"/>
      <c r="K1734" s="405"/>
      <c r="L1734" s="405"/>
      <c r="M1734" s="405"/>
      <c r="N1734" s="405"/>
      <c r="O1734" s="405"/>
      <c r="P1734" s="405"/>
      <c r="Q1734" s="405"/>
      <c r="R1734" s="405"/>
      <c r="S1734" s="405"/>
      <c r="T1734" s="405"/>
      <c r="U1734" s="405"/>
      <c r="V1734" s="405"/>
      <c r="W1734" s="405"/>
      <c r="X1734" s="405"/>
      <c r="Y1734" s="405"/>
      <c r="Z1734" s="405"/>
    </row>
    <row r="1735" ht="14.25" customHeight="1">
      <c r="A1735" s="1134"/>
      <c r="B1735" s="405"/>
      <c r="C1735" s="405"/>
      <c r="D1735" s="1135"/>
      <c r="E1735" s="583"/>
      <c r="F1735" s="583"/>
      <c r="G1735" s="583"/>
      <c r="H1735" s="405"/>
      <c r="I1735" s="405"/>
      <c r="J1735" s="405"/>
      <c r="K1735" s="405"/>
      <c r="L1735" s="405"/>
      <c r="M1735" s="405"/>
      <c r="N1735" s="405"/>
      <c r="O1735" s="405"/>
      <c r="P1735" s="405"/>
      <c r="Q1735" s="405"/>
      <c r="R1735" s="405"/>
      <c r="S1735" s="405"/>
      <c r="T1735" s="405"/>
      <c r="U1735" s="405"/>
      <c r="V1735" s="405"/>
      <c r="W1735" s="405"/>
      <c r="X1735" s="405"/>
      <c r="Y1735" s="405"/>
      <c r="Z1735" s="405"/>
    </row>
    <row r="1736" ht="14.25" customHeight="1">
      <c r="A1736" s="1134"/>
      <c r="B1736" s="405"/>
      <c r="C1736" s="405"/>
      <c r="D1736" s="1135"/>
      <c r="E1736" s="583"/>
      <c r="F1736" s="583"/>
      <c r="G1736" s="583"/>
      <c r="H1736" s="405"/>
      <c r="I1736" s="405"/>
      <c r="J1736" s="405"/>
      <c r="K1736" s="405"/>
      <c r="L1736" s="405"/>
      <c r="M1736" s="405"/>
      <c r="N1736" s="405"/>
      <c r="O1736" s="405"/>
      <c r="P1736" s="405"/>
      <c r="Q1736" s="405"/>
      <c r="R1736" s="405"/>
      <c r="S1736" s="405"/>
      <c r="T1736" s="405"/>
      <c r="U1736" s="405"/>
      <c r="V1736" s="405"/>
      <c r="W1736" s="405"/>
      <c r="X1736" s="405"/>
      <c r="Y1736" s="405"/>
      <c r="Z1736" s="405"/>
    </row>
    <row r="1737" ht="14.25" customHeight="1">
      <c r="A1737" s="1134"/>
      <c r="B1737" s="405"/>
      <c r="C1737" s="405"/>
      <c r="D1737" s="1135"/>
      <c r="E1737" s="583"/>
      <c r="F1737" s="583"/>
      <c r="G1737" s="583"/>
      <c r="H1737" s="405"/>
      <c r="I1737" s="405"/>
      <c r="J1737" s="405"/>
      <c r="K1737" s="405"/>
      <c r="L1737" s="405"/>
      <c r="M1737" s="405"/>
      <c r="N1737" s="405"/>
      <c r="O1737" s="405"/>
      <c r="P1737" s="405"/>
      <c r="Q1737" s="405"/>
      <c r="R1737" s="405"/>
      <c r="S1737" s="405"/>
      <c r="T1737" s="405"/>
      <c r="U1737" s="405"/>
      <c r="V1737" s="405"/>
      <c r="W1737" s="405"/>
      <c r="X1737" s="405"/>
      <c r="Y1737" s="405"/>
      <c r="Z1737" s="405"/>
    </row>
    <row r="1738" ht="14.25" customHeight="1">
      <c r="A1738" s="1134"/>
      <c r="B1738" s="405"/>
      <c r="C1738" s="405"/>
      <c r="D1738" s="1135"/>
      <c r="E1738" s="583"/>
      <c r="F1738" s="583"/>
      <c r="G1738" s="583"/>
      <c r="H1738" s="405"/>
      <c r="I1738" s="405"/>
      <c r="J1738" s="405"/>
      <c r="K1738" s="405"/>
      <c r="L1738" s="405"/>
      <c r="M1738" s="405"/>
      <c r="N1738" s="405"/>
      <c r="O1738" s="405"/>
      <c r="P1738" s="405"/>
      <c r="Q1738" s="405"/>
      <c r="R1738" s="405"/>
      <c r="S1738" s="405"/>
      <c r="T1738" s="405"/>
      <c r="U1738" s="405"/>
      <c r="V1738" s="405"/>
      <c r="W1738" s="405"/>
      <c r="X1738" s="405"/>
      <c r="Y1738" s="405"/>
      <c r="Z1738" s="405"/>
    </row>
    <row r="1739" ht="14.25" customHeight="1">
      <c r="A1739" s="1134"/>
      <c r="B1739" s="405"/>
      <c r="C1739" s="405"/>
      <c r="D1739" s="1135"/>
      <c r="E1739" s="583"/>
      <c r="F1739" s="583"/>
      <c r="G1739" s="583"/>
      <c r="H1739" s="405"/>
      <c r="I1739" s="405"/>
      <c r="J1739" s="405"/>
      <c r="K1739" s="405"/>
      <c r="L1739" s="405"/>
      <c r="M1739" s="405"/>
      <c r="N1739" s="405"/>
      <c r="O1739" s="405"/>
      <c r="P1739" s="405"/>
      <c r="Q1739" s="405"/>
      <c r="R1739" s="405"/>
      <c r="S1739" s="405"/>
      <c r="T1739" s="405"/>
      <c r="U1739" s="405"/>
      <c r="V1739" s="405"/>
      <c r="W1739" s="405"/>
      <c r="X1739" s="405"/>
      <c r="Y1739" s="405"/>
      <c r="Z1739" s="405"/>
    </row>
    <row r="1740" ht="14.25" customHeight="1">
      <c r="A1740" s="1134"/>
      <c r="B1740" s="405"/>
      <c r="C1740" s="405"/>
      <c r="D1740" s="1135"/>
      <c r="E1740" s="583"/>
      <c r="F1740" s="583"/>
      <c r="G1740" s="583"/>
      <c r="H1740" s="405"/>
      <c r="I1740" s="405"/>
      <c r="J1740" s="405"/>
      <c r="K1740" s="405"/>
      <c r="L1740" s="405"/>
      <c r="M1740" s="405"/>
      <c r="N1740" s="405"/>
      <c r="O1740" s="405"/>
      <c r="P1740" s="405"/>
      <c r="Q1740" s="405"/>
      <c r="R1740" s="405"/>
      <c r="S1740" s="405"/>
      <c r="T1740" s="405"/>
      <c r="U1740" s="405"/>
      <c r="V1740" s="405"/>
      <c r="W1740" s="405"/>
      <c r="X1740" s="405"/>
      <c r="Y1740" s="405"/>
      <c r="Z1740" s="405"/>
    </row>
    <row r="1741" ht="14.25" customHeight="1">
      <c r="A1741" s="1134"/>
      <c r="B1741" s="405"/>
      <c r="C1741" s="405"/>
      <c r="D1741" s="1135"/>
      <c r="E1741" s="583"/>
      <c r="F1741" s="583"/>
      <c r="G1741" s="583"/>
      <c r="H1741" s="405"/>
      <c r="I1741" s="405"/>
      <c r="J1741" s="405"/>
      <c r="K1741" s="405"/>
      <c r="L1741" s="405"/>
      <c r="M1741" s="405"/>
      <c r="N1741" s="405"/>
      <c r="O1741" s="405"/>
      <c r="P1741" s="405"/>
      <c r="Q1741" s="405"/>
      <c r="R1741" s="405"/>
      <c r="S1741" s="405"/>
      <c r="T1741" s="405"/>
      <c r="U1741" s="405"/>
      <c r="V1741" s="405"/>
      <c r="W1741" s="405"/>
      <c r="X1741" s="405"/>
      <c r="Y1741" s="405"/>
      <c r="Z1741" s="405"/>
    </row>
    <row r="1742" ht="14.25" customHeight="1">
      <c r="A1742" s="1134"/>
      <c r="B1742" s="405"/>
      <c r="C1742" s="405"/>
      <c r="D1742" s="1135"/>
      <c r="E1742" s="583"/>
      <c r="F1742" s="583"/>
      <c r="G1742" s="583"/>
      <c r="H1742" s="405"/>
      <c r="I1742" s="405"/>
      <c r="J1742" s="405"/>
      <c r="K1742" s="405"/>
      <c r="L1742" s="405"/>
      <c r="M1742" s="405"/>
      <c r="N1742" s="405"/>
      <c r="O1742" s="405"/>
      <c r="P1742" s="405"/>
      <c r="Q1742" s="405"/>
      <c r="R1742" s="405"/>
      <c r="S1742" s="405"/>
      <c r="T1742" s="405"/>
      <c r="U1742" s="405"/>
      <c r="V1742" s="405"/>
      <c r="W1742" s="405"/>
      <c r="X1742" s="405"/>
      <c r="Y1742" s="405"/>
      <c r="Z1742" s="405"/>
    </row>
    <row r="1743" ht="14.25" customHeight="1">
      <c r="A1743" s="1134"/>
      <c r="B1743" s="405"/>
      <c r="C1743" s="405"/>
      <c r="D1743" s="1135"/>
      <c r="E1743" s="583"/>
      <c r="F1743" s="583"/>
      <c r="G1743" s="583"/>
      <c r="H1743" s="405"/>
      <c r="I1743" s="405"/>
      <c r="J1743" s="405"/>
      <c r="K1743" s="405"/>
      <c r="L1743" s="405"/>
      <c r="M1743" s="405"/>
      <c r="N1743" s="405"/>
      <c r="O1743" s="405"/>
      <c r="P1743" s="405"/>
      <c r="Q1743" s="405"/>
      <c r="R1743" s="405"/>
      <c r="S1743" s="405"/>
      <c r="T1743" s="405"/>
      <c r="U1743" s="405"/>
      <c r="V1743" s="405"/>
      <c r="W1743" s="405"/>
      <c r="X1743" s="405"/>
      <c r="Y1743" s="405"/>
      <c r="Z1743" s="405"/>
    </row>
    <row r="1744" ht="14.25" customHeight="1">
      <c r="A1744" s="1134"/>
      <c r="B1744" s="405"/>
      <c r="C1744" s="405"/>
      <c r="D1744" s="1135"/>
      <c r="E1744" s="583"/>
      <c r="F1744" s="583"/>
      <c r="G1744" s="583"/>
      <c r="H1744" s="405"/>
      <c r="I1744" s="405"/>
      <c r="J1744" s="405"/>
      <c r="K1744" s="405"/>
      <c r="L1744" s="405"/>
      <c r="M1744" s="405"/>
      <c r="N1744" s="405"/>
      <c r="O1744" s="405"/>
      <c r="P1744" s="405"/>
      <c r="Q1744" s="405"/>
      <c r="R1744" s="405"/>
      <c r="S1744" s="405"/>
      <c r="T1744" s="405"/>
      <c r="U1744" s="405"/>
      <c r="V1744" s="405"/>
      <c r="W1744" s="405"/>
      <c r="X1744" s="405"/>
      <c r="Y1744" s="405"/>
      <c r="Z1744" s="405"/>
    </row>
    <row r="1745" ht="14.25" customHeight="1">
      <c r="A1745" s="1134"/>
      <c r="B1745" s="405"/>
      <c r="C1745" s="405"/>
      <c r="D1745" s="1135"/>
      <c r="E1745" s="583"/>
      <c r="F1745" s="583"/>
      <c r="G1745" s="583"/>
      <c r="H1745" s="405"/>
      <c r="I1745" s="405"/>
      <c r="J1745" s="405"/>
      <c r="K1745" s="405"/>
      <c r="L1745" s="405"/>
      <c r="M1745" s="405"/>
      <c r="N1745" s="405"/>
      <c r="O1745" s="405"/>
      <c r="P1745" s="405"/>
      <c r="Q1745" s="405"/>
      <c r="R1745" s="405"/>
      <c r="S1745" s="405"/>
      <c r="T1745" s="405"/>
      <c r="U1745" s="405"/>
      <c r="V1745" s="405"/>
      <c r="W1745" s="405"/>
      <c r="X1745" s="405"/>
      <c r="Y1745" s="405"/>
      <c r="Z1745" s="405"/>
    </row>
    <row r="1746" ht="14.25" customHeight="1">
      <c r="A1746" s="1134"/>
      <c r="B1746" s="405"/>
      <c r="C1746" s="405"/>
      <c r="D1746" s="1135"/>
      <c r="E1746" s="583"/>
      <c r="F1746" s="583"/>
      <c r="G1746" s="583"/>
      <c r="H1746" s="405"/>
      <c r="I1746" s="405"/>
      <c r="J1746" s="405"/>
      <c r="K1746" s="405"/>
      <c r="L1746" s="405"/>
      <c r="M1746" s="405"/>
      <c r="N1746" s="405"/>
      <c r="O1746" s="405"/>
      <c r="P1746" s="405"/>
      <c r="Q1746" s="405"/>
      <c r="R1746" s="405"/>
      <c r="S1746" s="405"/>
      <c r="T1746" s="405"/>
      <c r="U1746" s="405"/>
      <c r="V1746" s="405"/>
      <c r="W1746" s="405"/>
      <c r="X1746" s="405"/>
      <c r="Y1746" s="405"/>
      <c r="Z1746" s="405"/>
    </row>
    <row r="1747" ht="14.25" customHeight="1">
      <c r="A1747" s="1134"/>
      <c r="B1747" s="405"/>
      <c r="C1747" s="405"/>
      <c r="D1747" s="1135"/>
      <c r="E1747" s="583"/>
      <c r="F1747" s="583"/>
      <c r="G1747" s="583"/>
      <c r="H1747" s="405"/>
      <c r="I1747" s="405"/>
      <c r="J1747" s="405"/>
      <c r="K1747" s="405"/>
      <c r="L1747" s="405"/>
      <c r="M1747" s="405"/>
      <c r="N1747" s="405"/>
      <c r="O1747" s="405"/>
      <c r="P1747" s="405"/>
      <c r="Q1747" s="405"/>
      <c r="R1747" s="405"/>
      <c r="S1747" s="405"/>
      <c r="T1747" s="405"/>
      <c r="U1747" s="405"/>
      <c r="V1747" s="405"/>
      <c r="W1747" s="405"/>
      <c r="X1747" s="405"/>
      <c r="Y1747" s="405"/>
      <c r="Z1747" s="405"/>
    </row>
    <row r="1748" ht="14.25" customHeight="1">
      <c r="A1748" s="1134"/>
      <c r="B1748" s="405"/>
      <c r="C1748" s="405"/>
      <c r="D1748" s="1135"/>
      <c r="E1748" s="583"/>
      <c r="F1748" s="583"/>
      <c r="G1748" s="583"/>
      <c r="H1748" s="405"/>
      <c r="I1748" s="405"/>
      <c r="J1748" s="405"/>
      <c r="K1748" s="405"/>
      <c r="L1748" s="405"/>
      <c r="M1748" s="405"/>
      <c r="N1748" s="405"/>
      <c r="O1748" s="405"/>
      <c r="P1748" s="405"/>
      <c r="Q1748" s="405"/>
      <c r="R1748" s="405"/>
      <c r="S1748" s="405"/>
      <c r="T1748" s="405"/>
      <c r="U1748" s="405"/>
      <c r="V1748" s="405"/>
      <c r="W1748" s="405"/>
      <c r="X1748" s="405"/>
      <c r="Y1748" s="405"/>
      <c r="Z1748" s="405"/>
    </row>
    <row r="1749" ht="14.25" customHeight="1">
      <c r="A1749" s="1134"/>
      <c r="B1749" s="405"/>
      <c r="C1749" s="405"/>
      <c r="D1749" s="1135"/>
      <c r="E1749" s="583"/>
      <c r="F1749" s="583"/>
      <c r="G1749" s="583"/>
      <c r="H1749" s="405"/>
      <c r="I1749" s="405"/>
      <c r="J1749" s="405"/>
      <c r="K1749" s="405"/>
      <c r="L1749" s="405"/>
      <c r="M1749" s="405"/>
      <c r="N1749" s="405"/>
      <c r="O1749" s="405"/>
      <c r="P1749" s="405"/>
      <c r="Q1749" s="405"/>
      <c r="R1749" s="405"/>
      <c r="S1749" s="405"/>
      <c r="T1749" s="405"/>
      <c r="U1749" s="405"/>
      <c r="V1749" s="405"/>
      <c r="W1749" s="405"/>
      <c r="X1749" s="405"/>
      <c r="Y1749" s="405"/>
      <c r="Z1749" s="405"/>
    </row>
    <row r="1750" ht="14.25" customHeight="1">
      <c r="A1750" s="1134"/>
      <c r="B1750" s="405"/>
      <c r="C1750" s="405"/>
      <c r="D1750" s="1135"/>
      <c r="E1750" s="583"/>
      <c r="F1750" s="583"/>
      <c r="G1750" s="583"/>
      <c r="H1750" s="405"/>
      <c r="I1750" s="405"/>
      <c r="J1750" s="405"/>
      <c r="K1750" s="405"/>
      <c r="L1750" s="405"/>
      <c r="M1750" s="405"/>
      <c r="N1750" s="405"/>
      <c r="O1750" s="405"/>
      <c r="P1750" s="405"/>
      <c r="Q1750" s="405"/>
      <c r="R1750" s="405"/>
      <c r="S1750" s="405"/>
      <c r="T1750" s="405"/>
      <c r="U1750" s="405"/>
      <c r="V1750" s="405"/>
      <c r="W1750" s="405"/>
      <c r="X1750" s="405"/>
      <c r="Y1750" s="405"/>
      <c r="Z1750" s="405"/>
    </row>
    <row r="1751" ht="14.25" customHeight="1">
      <c r="A1751" s="1134"/>
      <c r="B1751" s="405"/>
      <c r="C1751" s="405"/>
      <c r="D1751" s="1135"/>
      <c r="E1751" s="583"/>
      <c r="F1751" s="583"/>
      <c r="G1751" s="583"/>
      <c r="H1751" s="405"/>
      <c r="I1751" s="405"/>
      <c r="J1751" s="405"/>
      <c r="K1751" s="405"/>
      <c r="L1751" s="405"/>
      <c r="M1751" s="405"/>
      <c r="N1751" s="405"/>
      <c r="O1751" s="405"/>
      <c r="P1751" s="405"/>
      <c r="Q1751" s="405"/>
      <c r="R1751" s="405"/>
      <c r="S1751" s="405"/>
      <c r="T1751" s="405"/>
      <c r="U1751" s="405"/>
      <c r="V1751" s="405"/>
      <c r="W1751" s="405"/>
      <c r="X1751" s="405"/>
      <c r="Y1751" s="405"/>
      <c r="Z1751" s="405"/>
    </row>
    <row r="1752" ht="14.25" customHeight="1">
      <c r="A1752" s="1134"/>
      <c r="B1752" s="405"/>
      <c r="C1752" s="405"/>
      <c r="D1752" s="1135"/>
      <c r="E1752" s="583"/>
      <c r="F1752" s="583"/>
      <c r="G1752" s="583"/>
      <c r="H1752" s="405"/>
      <c r="I1752" s="405"/>
      <c r="J1752" s="405"/>
      <c r="K1752" s="405"/>
      <c r="L1752" s="405"/>
      <c r="M1752" s="405"/>
      <c r="N1752" s="405"/>
      <c r="O1752" s="405"/>
      <c r="P1752" s="405"/>
      <c r="Q1752" s="405"/>
      <c r="R1752" s="405"/>
      <c r="S1752" s="405"/>
      <c r="T1752" s="405"/>
      <c r="U1752" s="405"/>
      <c r="V1752" s="405"/>
      <c r="W1752" s="405"/>
      <c r="X1752" s="405"/>
      <c r="Y1752" s="405"/>
      <c r="Z1752" s="405"/>
    </row>
    <row r="1753" ht="14.25" customHeight="1">
      <c r="A1753" s="1134"/>
      <c r="B1753" s="405"/>
      <c r="C1753" s="405"/>
      <c r="D1753" s="1135"/>
      <c r="E1753" s="583"/>
      <c r="F1753" s="583"/>
      <c r="G1753" s="583"/>
      <c r="H1753" s="405"/>
      <c r="I1753" s="405"/>
      <c r="J1753" s="405"/>
      <c r="K1753" s="405"/>
      <c r="L1753" s="405"/>
      <c r="M1753" s="405"/>
      <c r="N1753" s="405"/>
      <c r="O1753" s="405"/>
      <c r="P1753" s="405"/>
      <c r="Q1753" s="405"/>
      <c r="R1753" s="405"/>
      <c r="S1753" s="405"/>
      <c r="T1753" s="405"/>
      <c r="U1753" s="405"/>
      <c r="V1753" s="405"/>
      <c r="W1753" s="405"/>
      <c r="X1753" s="405"/>
      <c r="Y1753" s="405"/>
      <c r="Z1753" s="405"/>
    </row>
    <row r="1754" ht="14.25" customHeight="1">
      <c r="A1754" s="1134"/>
      <c r="B1754" s="405"/>
      <c r="C1754" s="405"/>
      <c r="D1754" s="1135"/>
      <c r="E1754" s="583"/>
      <c r="F1754" s="583"/>
      <c r="G1754" s="583"/>
      <c r="H1754" s="405"/>
      <c r="I1754" s="405"/>
      <c r="J1754" s="405"/>
      <c r="K1754" s="405"/>
      <c r="L1754" s="405"/>
      <c r="M1754" s="405"/>
      <c r="N1754" s="405"/>
      <c r="O1754" s="405"/>
      <c r="P1754" s="405"/>
      <c r="Q1754" s="405"/>
      <c r="R1754" s="405"/>
      <c r="S1754" s="405"/>
      <c r="T1754" s="405"/>
      <c r="U1754" s="405"/>
      <c r="V1754" s="405"/>
      <c r="W1754" s="405"/>
      <c r="X1754" s="405"/>
      <c r="Y1754" s="405"/>
      <c r="Z1754" s="405"/>
    </row>
    <row r="1755" ht="14.25" customHeight="1">
      <c r="A1755" s="1134"/>
      <c r="B1755" s="405"/>
      <c r="C1755" s="405"/>
      <c r="D1755" s="1135"/>
      <c r="E1755" s="583"/>
      <c r="F1755" s="583"/>
      <c r="G1755" s="583"/>
      <c r="H1755" s="405"/>
      <c r="I1755" s="405"/>
      <c r="J1755" s="405"/>
      <c r="K1755" s="405"/>
      <c r="L1755" s="405"/>
      <c r="M1755" s="405"/>
      <c r="N1755" s="405"/>
      <c r="O1755" s="405"/>
      <c r="P1755" s="405"/>
      <c r="Q1755" s="405"/>
      <c r="R1755" s="405"/>
      <c r="S1755" s="405"/>
      <c r="T1755" s="405"/>
      <c r="U1755" s="405"/>
      <c r="V1755" s="405"/>
      <c r="W1755" s="405"/>
      <c r="X1755" s="405"/>
      <c r="Y1755" s="405"/>
      <c r="Z1755" s="405"/>
    </row>
    <row r="1756" ht="14.25" customHeight="1">
      <c r="A1756" s="1134"/>
      <c r="B1756" s="405"/>
      <c r="C1756" s="405"/>
      <c r="D1756" s="1135"/>
      <c r="E1756" s="583"/>
      <c r="F1756" s="583"/>
      <c r="G1756" s="583"/>
      <c r="H1756" s="405"/>
      <c r="I1756" s="405"/>
      <c r="J1756" s="405"/>
      <c r="K1756" s="405"/>
      <c r="L1756" s="405"/>
      <c r="M1756" s="405"/>
      <c r="N1756" s="405"/>
      <c r="O1756" s="405"/>
      <c r="P1756" s="405"/>
      <c r="Q1756" s="405"/>
      <c r="R1756" s="405"/>
      <c r="S1756" s="405"/>
      <c r="T1756" s="405"/>
      <c r="U1756" s="405"/>
      <c r="V1756" s="405"/>
      <c r="W1756" s="405"/>
      <c r="X1756" s="405"/>
      <c r="Y1756" s="405"/>
      <c r="Z1756" s="405"/>
    </row>
    <row r="1757" ht="14.25" customHeight="1">
      <c r="A1757" s="1134"/>
      <c r="B1757" s="405"/>
      <c r="C1757" s="405"/>
      <c r="D1757" s="1135"/>
      <c r="E1757" s="583"/>
      <c r="F1757" s="583"/>
      <c r="G1757" s="583"/>
      <c r="H1757" s="405"/>
      <c r="I1757" s="405"/>
      <c r="J1757" s="405"/>
      <c r="K1757" s="405"/>
      <c r="L1757" s="405"/>
      <c r="M1757" s="405"/>
      <c r="N1757" s="405"/>
      <c r="O1757" s="405"/>
      <c r="P1757" s="405"/>
      <c r="Q1757" s="405"/>
      <c r="R1757" s="405"/>
      <c r="S1757" s="405"/>
      <c r="T1757" s="405"/>
      <c r="U1757" s="405"/>
      <c r="V1757" s="405"/>
      <c r="W1757" s="405"/>
      <c r="X1757" s="405"/>
      <c r="Y1757" s="405"/>
      <c r="Z1757" s="405"/>
    </row>
    <row r="1758" ht="14.25" customHeight="1">
      <c r="A1758" s="1134"/>
      <c r="B1758" s="405"/>
      <c r="C1758" s="405"/>
      <c r="D1758" s="1135"/>
      <c r="E1758" s="583"/>
      <c r="F1758" s="583"/>
      <c r="G1758" s="583"/>
      <c r="H1758" s="405"/>
      <c r="I1758" s="405"/>
      <c r="J1758" s="405"/>
      <c r="K1758" s="405"/>
      <c r="L1758" s="405"/>
      <c r="M1758" s="405"/>
      <c r="N1758" s="405"/>
      <c r="O1758" s="405"/>
      <c r="P1758" s="405"/>
      <c r="Q1758" s="405"/>
      <c r="R1758" s="405"/>
      <c r="S1758" s="405"/>
      <c r="T1758" s="405"/>
      <c r="U1758" s="405"/>
      <c r="V1758" s="405"/>
      <c r="W1758" s="405"/>
      <c r="X1758" s="405"/>
      <c r="Y1758" s="405"/>
      <c r="Z1758" s="405"/>
    </row>
    <row r="1759" ht="14.25" customHeight="1">
      <c r="A1759" s="1134"/>
      <c r="B1759" s="405"/>
      <c r="C1759" s="405"/>
      <c r="D1759" s="1135"/>
      <c r="E1759" s="583"/>
      <c r="F1759" s="583"/>
      <c r="G1759" s="583"/>
      <c r="H1759" s="405"/>
      <c r="I1759" s="405"/>
      <c r="J1759" s="405"/>
      <c r="K1759" s="405"/>
      <c r="L1759" s="405"/>
      <c r="M1759" s="405"/>
      <c r="N1759" s="405"/>
      <c r="O1759" s="405"/>
      <c r="P1759" s="405"/>
      <c r="Q1759" s="405"/>
      <c r="R1759" s="405"/>
      <c r="S1759" s="405"/>
      <c r="T1759" s="405"/>
      <c r="U1759" s="405"/>
      <c r="V1759" s="405"/>
      <c r="W1759" s="405"/>
      <c r="X1759" s="405"/>
      <c r="Y1759" s="405"/>
      <c r="Z1759" s="405"/>
    </row>
    <row r="1760" ht="14.25" customHeight="1">
      <c r="A1760" s="1134"/>
      <c r="B1760" s="405"/>
      <c r="C1760" s="405"/>
      <c r="D1760" s="1135"/>
      <c r="E1760" s="583"/>
      <c r="F1760" s="583"/>
      <c r="G1760" s="583"/>
      <c r="H1760" s="405"/>
      <c r="I1760" s="405"/>
      <c r="J1760" s="405"/>
      <c r="K1760" s="405"/>
      <c r="L1760" s="405"/>
      <c r="M1760" s="405"/>
      <c r="N1760" s="405"/>
      <c r="O1760" s="405"/>
      <c r="P1760" s="405"/>
      <c r="Q1760" s="405"/>
      <c r="R1760" s="405"/>
      <c r="S1760" s="405"/>
      <c r="T1760" s="405"/>
      <c r="U1760" s="405"/>
      <c r="V1760" s="405"/>
      <c r="W1760" s="405"/>
      <c r="X1760" s="405"/>
      <c r="Y1760" s="405"/>
      <c r="Z1760" s="405"/>
    </row>
    <row r="1761" ht="14.25" customHeight="1">
      <c r="A1761" s="1134"/>
      <c r="B1761" s="405"/>
      <c r="C1761" s="405"/>
      <c r="D1761" s="1135"/>
      <c r="E1761" s="583"/>
      <c r="F1761" s="583"/>
      <c r="G1761" s="583"/>
      <c r="H1761" s="405"/>
      <c r="I1761" s="405"/>
      <c r="J1761" s="405"/>
      <c r="K1761" s="405"/>
      <c r="L1761" s="405"/>
      <c r="M1761" s="405"/>
      <c r="N1761" s="405"/>
      <c r="O1761" s="405"/>
      <c r="P1761" s="405"/>
      <c r="Q1761" s="405"/>
      <c r="R1761" s="405"/>
      <c r="S1761" s="405"/>
      <c r="T1761" s="405"/>
      <c r="U1761" s="405"/>
      <c r="V1761" s="405"/>
      <c r="W1761" s="405"/>
      <c r="X1761" s="405"/>
      <c r="Y1761" s="405"/>
      <c r="Z1761" s="405"/>
    </row>
    <row r="1762" ht="14.25" customHeight="1">
      <c r="A1762" s="1134"/>
      <c r="B1762" s="405"/>
      <c r="C1762" s="405"/>
      <c r="D1762" s="1135"/>
      <c r="E1762" s="583"/>
      <c r="F1762" s="583"/>
      <c r="G1762" s="583"/>
      <c r="H1762" s="405"/>
      <c r="I1762" s="405"/>
      <c r="J1762" s="405"/>
      <c r="K1762" s="405"/>
      <c r="L1762" s="405"/>
      <c r="M1762" s="405"/>
      <c r="N1762" s="405"/>
      <c r="O1762" s="405"/>
      <c r="P1762" s="405"/>
      <c r="Q1762" s="405"/>
      <c r="R1762" s="405"/>
      <c r="S1762" s="405"/>
      <c r="T1762" s="405"/>
      <c r="U1762" s="405"/>
      <c r="V1762" s="405"/>
      <c r="W1762" s="405"/>
      <c r="X1762" s="405"/>
      <c r="Y1762" s="405"/>
      <c r="Z1762" s="405"/>
    </row>
    <row r="1763" ht="14.25" customHeight="1">
      <c r="A1763" s="1134"/>
      <c r="B1763" s="405"/>
      <c r="C1763" s="405"/>
      <c r="D1763" s="1135"/>
      <c r="E1763" s="583"/>
      <c r="F1763" s="583"/>
      <c r="G1763" s="583"/>
      <c r="H1763" s="405"/>
      <c r="I1763" s="405"/>
      <c r="J1763" s="405"/>
      <c r="K1763" s="405"/>
      <c r="L1763" s="405"/>
      <c r="M1763" s="405"/>
      <c r="N1763" s="405"/>
      <c r="O1763" s="405"/>
      <c r="P1763" s="405"/>
      <c r="Q1763" s="405"/>
      <c r="R1763" s="405"/>
      <c r="S1763" s="405"/>
      <c r="T1763" s="405"/>
      <c r="U1763" s="405"/>
      <c r="V1763" s="405"/>
      <c r="W1763" s="405"/>
      <c r="X1763" s="405"/>
      <c r="Y1763" s="405"/>
      <c r="Z1763" s="405"/>
    </row>
    <row r="1764" ht="14.25" customHeight="1">
      <c r="A1764" s="1134"/>
      <c r="B1764" s="405"/>
      <c r="C1764" s="405"/>
      <c r="D1764" s="1135"/>
      <c r="E1764" s="583"/>
      <c r="F1764" s="583"/>
      <c r="G1764" s="583"/>
      <c r="H1764" s="405"/>
      <c r="I1764" s="405"/>
      <c r="J1764" s="405"/>
      <c r="K1764" s="405"/>
      <c r="L1764" s="405"/>
      <c r="M1764" s="405"/>
      <c r="N1764" s="405"/>
      <c r="O1764" s="405"/>
      <c r="P1764" s="405"/>
      <c r="Q1764" s="405"/>
      <c r="R1764" s="405"/>
      <c r="S1764" s="405"/>
      <c r="T1764" s="405"/>
      <c r="U1764" s="405"/>
      <c r="V1764" s="405"/>
      <c r="W1764" s="405"/>
      <c r="X1764" s="405"/>
      <c r="Y1764" s="405"/>
      <c r="Z1764" s="405"/>
    </row>
    <row r="1765" ht="14.25" customHeight="1">
      <c r="A1765" s="1134"/>
      <c r="B1765" s="405"/>
      <c r="C1765" s="405"/>
      <c r="D1765" s="1135"/>
      <c r="E1765" s="583"/>
      <c r="F1765" s="583"/>
      <c r="G1765" s="583"/>
      <c r="H1765" s="405"/>
      <c r="I1765" s="405"/>
      <c r="J1765" s="405"/>
      <c r="K1765" s="405"/>
      <c r="L1765" s="405"/>
      <c r="M1765" s="405"/>
      <c r="N1765" s="405"/>
      <c r="O1765" s="405"/>
      <c r="P1765" s="405"/>
      <c r="Q1765" s="405"/>
      <c r="R1765" s="405"/>
      <c r="S1765" s="405"/>
      <c r="T1765" s="405"/>
      <c r="U1765" s="405"/>
      <c r="V1765" s="405"/>
      <c r="W1765" s="405"/>
      <c r="X1765" s="405"/>
      <c r="Y1765" s="405"/>
      <c r="Z1765" s="405"/>
    </row>
    <row r="1766" ht="14.25" customHeight="1">
      <c r="A1766" s="1134"/>
      <c r="B1766" s="405"/>
      <c r="C1766" s="405"/>
      <c r="D1766" s="1135"/>
      <c r="E1766" s="583"/>
      <c r="F1766" s="583"/>
      <c r="G1766" s="583"/>
      <c r="H1766" s="405"/>
      <c r="I1766" s="405"/>
      <c r="J1766" s="405"/>
      <c r="K1766" s="405"/>
      <c r="L1766" s="405"/>
      <c r="M1766" s="405"/>
      <c r="N1766" s="405"/>
      <c r="O1766" s="405"/>
      <c r="P1766" s="405"/>
      <c r="Q1766" s="405"/>
      <c r="R1766" s="405"/>
      <c r="S1766" s="405"/>
      <c r="T1766" s="405"/>
      <c r="U1766" s="405"/>
      <c r="V1766" s="405"/>
      <c r="W1766" s="405"/>
      <c r="X1766" s="405"/>
      <c r="Y1766" s="405"/>
      <c r="Z1766" s="405"/>
    </row>
    <row r="1767" ht="14.25" customHeight="1">
      <c r="A1767" s="1134"/>
      <c r="B1767" s="405"/>
      <c r="C1767" s="405"/>
      <c r="D1767" s="1135"/>
      <c r="E1767" s="583"/>
      <c r="F1767" s="583"/>
      <c r="G1767" s="583"/>
      <c r="H1767" s="405"/>
      <c r="I1767" s="405"/>
      <c r="J1767" s="405"/>
      <c r="K1767" s="405"/>
      <c r="L1767" s="405"/>
      <c r="M1767" s="405"/>
      <c r="N1767" s="405"/>
      <c r="O1767" s="405"/>
      <c r="P1767" s="405"/>
      <c r="Q1767" s="405"/>
      <c r="R1767" s="405"/>
      <c r="S1767" s="405"/>
      <c r="T1767" s="405"/>
      <c r="U1767" s="405"/>
      <c r="V1767" s="405"/>
      <c r="W1767" s="405"/>
      <c r="X1767" s="405"/>
      <c r="Y1767" s="405"/>
      <c r="Z1767" s="405"/>
    </row>
    <row r="1768" ht="14.25" customHeight="1">
      <c r="A1768" s="1134"/>
      <c r="B1768" s="405"/>
      <c r="C1768" s="405"/>
      <c r="D1768" s="1135"/>
      <c r="E1768" s="583"/>
      <c r="F1768" s="583"/>
      <c r="G1768" s="583"/>
      <c r="H1768" s="405"/>
      <c r="I1768" s="405"/>
      <c r="J1768" s="405"/>
      <c r="K1768" s="405"/>
      <c r="L1768" s="405"/>
      <c r="M1768" s="405"/>
      <c r="N1768" s="405"/>
      <c r="O1768" s="405"/>
      <c r="P1768" s="405"/>
      <c r="Q1768" s="405"/>
      <c r="R1768" s="405"/>
      <c r="S1768" s="405"/>
      <c r="T1768" s="405"/>
      <c r="U1768" s="405"/>
      <c r="V1768" s="405"/>
      <c r="W1768" s="405"/>
      <c r="X1768" s="405"/>
      <c r="Y1768" s="405"/>
      <c r="Z1768" s="405"/>
    </row>
    <row r="1769" ht="14.25" customHeight="1">
      <c r="A1769" s="1134"/>
      <c r="B1769" s="405"/>
      <c r="C1769" s="405"/>
      <c r="D1769" s="1135"/>
      <c r="E1769" s="583"/>
      <c r="F1769" s="583"/>
      <c r="G1769" s="583"/>
      <c r="H1769" s="405"/>
      <c r="I1769" s="405"/>
      <c r="J1769" s="405"/>
      <c r="K1769" s="405"/>
      <c r="L1769" s="405"/>
      <c r="M1769" s="405"/>
      <c r="N1769" s="405"/>
      <c r="O1769" s="405"/>
      <c r="P1769" s="405"/>
      <c r="Q1769" s="405"/>
      <c r="R1769" s="405"/>
      <c r="S1769" s="405"/>
      <c r="T1769" s="405"/>
      <c r="U1769" s="405"/>
      <c r="V1769" s="405"/>
      <c r="W1769" s="405"/>
      <c r="X1769" s="405"/>
      <c r="Y1769" s="405"/>
      <c r="Z1769" s="405"/>
    </row>
    <row r="1770" ht="14.25" customHeight="1">
      <c r="A1770" s="1134"/>
      <c r="B1770" s="405"/>
      <c r="C1770" s="405"/>
      <c r="D1770" s="1135"/>
      <c r="E1770" s="583"/>
      <c r="F1770" s="583"/>
      <c r="G1770" s="583"/>
      <c r="H1770" s="405"/>
      <c r="I1770" s="405"/>
      <c r="J1770" s="405"/>
      <c r="K1770" s="405"/>
      <c r="L1770" s="405"/>
      <c r="M1770" s="405"/>
      <c r="N1770" s="405"/>
      <c r="O1770" s="405"/>
      <c r="P1770" s="405"/>
      <c r="Q1770" s="405"/>
      <c r="R1770" s="405"/>
      <c r="S1770" s="405"/>
      <c r="T1770" s="405"/>
      <c r="U1770" s="405"/>
      <c r="V1770" s="405"/>
      <c r="W1770" s="405"/>
      <c r="X1770" s="405"/>
      <c r="Y1770" s="405"/>
      <c r="Z1770" s="405"/>
    </row>
    <row r="1771" ht="14.25" customHeight="1">
      <c r="A1771" s="1134"/>
      <c r="B1771" s="405"/>
      <c r="C1771" s="405"/>
      <c r="D1771" s="1135"/>
      <c r="E1771" s="583"/>
      <c r="F1771" s="583"/>
      <c r="G1771" s="583"/>
      <c r="H1771" s="405"/>
      <c r="I1771" s="405"/>
      <c r="J1771" s="405"/>
      <c r="K1771" s="405"/>
      <c r="L1771" s="405"/>
      <c r="M1771" s="405"/>
      <c r="N1771" s="405"/>
      <c r="O1771" s="405"/>
      <c r="P1771" s="405"/>
      <c r="Q1771" s="405"/>
      <c r="R1771" s="405"/>
      <c r="S1771" s="405"/>
      <c r="T1771" s="405"/>
      <c r="U1771" s="405"/>
      <c r="V1771" s="405"/>
      <c r="W1771" s="405"/>
      <c r="X1771" s="405"/>
      <c r="Y1771" s="405"/>
      <c r="Z1771" s="405"/>
    </row>
    <row r="1772" ht="14.25" customHeight="1">
      <c r="A1772" s="1134"/>
      <c r="B1772" s="405"/>
      <c r="C1772" s="405"/>
      <c r="D1772" s="1135"/>
      <c r="E1772" s="583"/>
      <c r="F1772" s="583"/>
      <c r="G1772" s="583"/>
      <c r="H1772" s="405"/>
      <c r="I1772" s="405"/>
      <c r="J1772" s="405"/>
      <c r="K1772" s="405"/>
      <c r="L1772" s="405"/>
      <c r="M1772" s="405"/>
      <c r="N1772" s="405"/>
      <c r="O1772" s="405"/>
      <c r="P1772" s="405"/>
      <c r="Q1772" s="405"/>
      <c r="R1772" s="405"/>
      <c r="S1772" s="405"/>
      <c r="T1772" s="405"/>
      <c r="U1772" s="405"/>
      <c r="V1772" s="405"/>
      <c r="W1772" s="405"/>
      <c r="X1772" s="405"/>
      <c r="Y1772" s="405"/>
      <c r="Z1772" s="405"/>
    </row>
    <row r="1773" ht="14.25" customHeight="1">
      <c r="A1773" s="1134"/>
      <c r="B1773" s="405"/>
      <c r="C1773" s="405"/>
      <c r="D1773" s="1135"/>
      <c r="E1773" s="583"/>
      <c r="F1773" s="583"/>
      <c r="G1773" s="583"/>
      <c r="H1773" s="405"/>
      <c r="I1773" s="405"/>
      <c r="J1773" s="405"/>
      <c r="K1773" s="405"/>
      <c r="L1773" s="405"/>
      <c r="M1773" s="405"/>
      <c r="N1773" s="405"/>
      <c r="O1773" s="405"/>
      <c r="P1773" s="405"/>
      <c r="Q1773" s="405"/>
      <c r="R1773" s="405"/>
      <c r="S1773" s="405"/>
      <c r="T1773" s="405"/>
      <c r="U1773" s="405"/>
      <c r="V1773" s="405"/>
      <c r="W1773" s="405"/>
      <c r="X1773" s="405"/>
      <c r="Y1773" s="405"/>
      <c r="Z1773" s="405"/>
    </row>
    <row r="1774" ht="14.25" customHeight="1">
      <c r="A1774" s="1134"/>
      <c r="B1774" s="405"/>
      <c r="C1774" s="405"/>
      <c r="D1774" s="1135"/>
      <c r="E1774" s="583"/>
      <c r="F1774" s="583"/>
      <c r="G1774" s="583"/>
      <c r="H1774" s="405"/>
      <c r="I1774" s="405"/>
      <c r="J1774" s="405"/>
      <c r="K1774" s="405"/>
      <c r="L1774" s="405"/>
      <c r="M1774" s="405"/>
      <c r="N1774" s="405"/>
      <c r="O1774" s="405"/>
      <c r="P1774" s="405"/>
      <c r="Q1774" s="405"/>
      <c r="R1774" s="405"/>
      <c r="S1774" s="405"/>
      <c r="T1774" s="405"/>
      <c r="U1774" s="405"/>
      <c r="V1774" s="405"/>
      <c r="W1774" s="405"/>
      <c r="X1774" s="405"/>
      <c r="Y1774" s="405"/>
      <c r="Z1774" s="405"/>
    </row>
    <row r="1775" ht="14.25" customHeight="1">
      <c r="A1775" s="1134"/>
      <c r="B1775" s="405"/>
      <c r="C1775" s="405"/>
      <c r="D1775" s="1135"/>
      <c r="E1775" s="583"/>
      <c r="F1775" s="583"/>
      <c r="G1775" s="583"/>
      <c r="H1775" s="405"/>
      <c r="I1775" s="405"/>
      <c r="J1775" s="405"/>
      <c r="K1775" s="405"/>
      <c r="L1775" s="405"/>
      <c r="M1775" s="405"/>
      <c r="N1775" s="405"/>
      <c r="O1775" s="405"/>
      <c r="P1775" s="405"/>
      <c r="Q1775" s="405"/>
      <c r="R1775" s="405"/>
      <c r="S1775" s="405"/>
      <c r="T1775" s="405"/>
      <c r="U1775" s="405"/>
      <c r="V1775" s="405"/>
      <c r="W1775" s="405"/>
      <c r="X1775" s="405"/>
      <c r="Y1775" s="405"/>
      <c r="Z1775" s="405"/>
    </row>
    <row r="1776" ht="14.25" customHeight="1">
      <c r="A1776" s="1134"/>
      <c r="B1776" s="405"/>
      <c r="C1776" s="405"/>
      <c r="D1776" s="1135"/>
      <c r="E1776" s="583"/>
      <c r="F1776" s="583"/>
      <c r="G1776" s="583"/>
      <c r="H1776" s="405"/>
      <c r="I1776" s="405"/>
      <c r="J1776" s="405"/>
      <c r="K1776" s="405"/>
      <c r="L1776" s="405"/>
      <c r="M1776" s="405"/>
      <c r="N1776" s="405"/>
      <c r="O1776" s="405"/>
      <c r="P1776" s="405"/>
      <c r="Q1776" s="405"/>
      <c r="R1776" s="405"/>
      <c r="S1776" s="405"/>
      <c r="T1776" s="405"/>
      <c r="U1776" s="405"/>
      <c r="V1776" s="405"/>
      <c r="W1776" s="405"/>
      <c r="X1776" s="405"/>
      <c r="Y1776" s="405"/>
      <c r="Z1776" s="405"/>
    </row>
    <row r="1777" ht="14.25" customHeight="1">
      <c r="A1777" s="1134"/>
      <c r="B1777" s="405"/>
      <c r="C1777" s="405"/>
      <c r="D1777" s="1135"/>
      <c r="E1777" s="583"/>
      <c r="F1777" s="583"/>
      <c r="G1777" s="583"/>
      <c r="H1777" s="405"/>
      <c r="I1777" s="405"/>
      <c r="J1777" s="405"/>
      <c r="K1777" s="405"/>
      <c r="L1777" s="405"/>
      <c r="M1777" s="405"/>
      <c r="N1777" s="405"/>
      <c r="O1777" s="405"/>
      <c r="P1777" s="405"/>
      <c r="Q1777" s="405"/>
      <c r="R1777" s="405"/>
      <c r="S1777" s="405"/>
      <c r="T1777" s="405"/>
      <c r="U1777" s="405"/>
      <c r="V1777" s="405"/>
      <c r="W1777" s="405"/>
      <c r="X1777" s="405"/>
      <c r="Y1777" s="405"/>
      <c r="Z1777" s="405"/>
    </row>
    <row r="1778" ht="14.25" customHeight="1">
      <c r="A1778" s="1134"/>
      <c r="B1778" s="405"/>
      <c r="C1778" s="405"/>
      <c r="D1778" s="1135"/>
      <c r="E1778" s="583"/>
      <c r="F1778" s="583"/>
      <c r="G1778" s="583"/>
      <c r="H1778" s="405"/>
      <c r="I1778" s="405"/>
      <c r="J1778" s="405"/>
      <c r="K1778" s="405"/>
      <c r="L1778" s="405"/>
      <c r="M1778" s="405"/>
      <c r="N1778" s="405"/>
      <c r="O1778" s="405"/>
      <c r="P1778" s="405"/>
      <c r="Q1778" s="405"/>
      <c r="R1778" s="405"/>
      <c r="S1778" s="405"/>
      <c r="T1778" s="405"/>
      <c r="U1778" s="405"/>
      <c r="V1778" s="405"/>
      <c r="W1778" s="405"/>
      <c r="X1778" s="405"/>
      <c r="Y1778" s="405"/>
      <c r="Z1778" s="405"/>
    </row>
    <row r="1779" ht="14.25" customHeight="1">
      <c r="A1779" s="1134"/>
      <c r="B1779" s="405"/>
      <c r="C1779" s="405"/>
      <c r="D1779" s="1135"/>
      <c r="E1779" s="583"/>
      <c r="F1779" s="583"/>
      <c r="G1779" s="583"/>
      <c r="H1779" s="405"/>
      <c r="I1779" s="405"/>
      <c r="J1779" s="405"/>
      <c r="K1779" s="405"/>
      <c r="L1779" s="405"/>
      <c r="M1779" s="405"/>
      <c r="N1779" s="405"/>
      <c r="O1779" s="405"/>
      <c r="P1779" s="405"/>
      <c r="Q1779" s="405"/>
      <c r="R1779" s="405"/>
      <c r="S1779" s="405"/>
      <c r="T1779" s="405"/>
      <c r="U1779" s="405"/>
      <c r="V1779" s="405"/>
      <c r="W1779" s="405"/>
      <c r="X1779" s="405"/>
      <c r="Y1779" s="405"/>
      <c r="Z1779" s="405"/>
    </row>
    <row r="1780" ht="14.25" customHeight="1">
      <c r="A1780" s="1134"/>
      <c r="B1780" s="405"/>
      <c r="C1780" s="405"/>
      <c r="D1780" s="1135"/>
      <c r="E1780" s="583"/>
      <c r="F1780" s="583"/>
      <c r="G1780" s="583"/>
      <c r="H1780" s="405"/>
      <c r="I1780" s="405"/>
      <c r="J1780" s="405"/>
      <c r="K1780" s="405"/>
      <c r="L1780" s="405"/>
      <c r="M1780" s="405"/>
      <c r="N1780" s="405"/>
      <c r="O1780" s="405"/>
      <c r="P1780" s="405"/>
      <c r="Q1780" s="405"/>
      <c r="R1780" s="405"/>
      <c r="S1780" s="405"/>
      <c r="T1780" s="405"/>
      <c r="U1780" s="405"/>
      <c r="V1780" s="405"/>
      <c r="W1780" s="405"/>
      <c r="X1780" s="405"/>
      <c r="Y1780" s="405"/>
      <c r="Z1780" s="405"/>
    </row>
    <row r="1781" ht="14.25" customHeight="1">
      <c r="A1781" s="1134"/>
      <c r="B1781" s="405"/>
      <c r="C1781" s="405"/>
      <c r="D1781" s="1135"/>
      <c r="E1781" s="583"/>
      <c r="F1781" s="583"/>
      <c r="G1781" s="583"/>
      <c r="H1781" s="405"/>
      <c r="I1781" s="405"/>
      <c r="J1781" s="405"/>
      <c r="K1781" s="405"/>
      <c r="L1781" s="405"/>
      <c r="M1781" s="405"/>
      <c r="N1781" s="405"/>
      <c r="O1781" s="405"/>
      <c r="P1781" s="405"/>
      <c r="Q1781" s="405"/>
      <c r="R1781" s="405"/>
      <c r="S1781" s="405"/>
      <c r="T1781" s="405"/>
      <c r="U1781" s="405"/>
      <c r="V1781" s="405"/>
      <c r="W1781" s="405"/>
      <c r="X1781" s="405"/>
      <c r="Y1781" s="405"/>
      <c r="Z1781" s="405"/>
    </row>
    <row r="1782" ht="14.25" customHeight="1">
      <c r="A1782" s="1134"/>
      <c r="B1782" s="405"/>
      <c r="C1782" s="405"/>
      <c r="D1782" s="1135"/>
      <c r="E1782" s="583"/>
      <c r="F1782" s="583"/>
      <c r="G1782" s="583"/>
      <c r="H1782" s="405"/>
      <c r="I1782" s="405"/>
      <c r="J1782" s="405"/>
      <c r="K1782" s="405"/>
      <c r="L1782" s="405"/>
      <c r="M1782" s="405"/>
      <c r="N1782" s="405"/>
      <c r="O1782" s="405"/>
      <c r="P1782" s="405"/>
      <c r="Q1782" s="405"/>
      <c r="R1782" s="405"/>
      <c r="S1782" s="405"/>
      <c r="T1782" s="405"/>
      <c r="U1782" s="405"/>
      <c r="V1782" s="405"/>
      <c r="W1782" s="405"/>
      <c r="X1782" s="405"/>
      <c r="Y1782" s="405"/>
      <c r="Z1782" s="405"/>
    </row>
    <row r="1783" ht="14.25" customHeight="1">
      <c r="A1783" s="1134"/>
      <c r="B1783" s="405"/>
      <c r="C1783" s="405"/>
      <c r="D1783" s="1135"/>
      <c r="E1783" s="583"/>
      <c r="F1783" s="583"/>
      <c r="G1783" s="583"/>
      <c r="H1783" s="405"/>
      <c r="I1783" s="405"/>
      <c r="J1783" s="405"/>
      <c r="K1783" s="405"/>
      <c r="L1783" s="405"/>
      <c r="M1783" s="405"/>
      <c r="N1783" s="405"/>
      <c r="O1783" s="405"/>
      <c r="P1783" s="405"/>
      <c r="Q1783" s="405"/>
      <c r="R1783" s="405"/>
      <c r="S1783" s="405"/>
      <c r="T1783" s="405"/>
      <c r="U1783" s="405"/>
      <c r="V1783" s="405"/>
      <c r="W1783" s="405"/>
      <c r="X1783" s="405"/>
      <c r="Y1783" s="405"/>
      <c r="Z1783" s="405"/>
    </row>
    <row r="1784" ht="14.25" customHeight="1">
      <c r="A1784" s="1134"/>
      <c r="B1784" s="405"/>
      <c r="C1784" s="405"/>
      <c r="D1784" s="1135"/>
      <c r="E1784" s="583"/>
      <c r="F1784" s="583"/>
      <c r="G1784" s="583"/>
      <c r="H1784" s="405"/>
      <c r="I1784" s="405"/>
      <c r="J1784" s="405"/>
      <c r="K1784" s="405"/>
      <c r="L1784" s="405"/>
      <c r="M1784" s="405"/>
      <c r="N1784" s="405"/>
      <c r="O1784" s="405"/>
      <c r="P1784" s="405"/>
      <c r="Q1784" s="405"/>
      <c r="R1784" s="405"/>
      <c r="S1784" s="405"/>
      <c r="T1784" s="405"/>
      <c r="U1784" s="405"/>
      <c r="V1784" s="405"/>
      <c r="W1784" s="405"/>
      <c r="X1784" s="405"/>
      <c r="Y1784" s="405"/>
      <c r="Z1784" s="405"/>
    </row>
    <row r="1785" ht="14.25" customHeight="1">
      <c r="A1785" s="1134"/>
      <c r="B1785" s="405"/>
      <c r="C1785" s="405"/>
      <c r="D1785" s="1135"/>
      <c r="E1785" s="583"/>
      <c r="F1785" s="583"/>
      <c r="G1785" s="583"/>
      <c r="H1785" s="405"/>
      <c r="I1785" s="405"/>
      <c r="J1785" s="405"/>
      <c r="K1785" s="405"/>
      <c r="L1785" s="405"/>
      <c r="M1785" s="405"/>
      <c r="N1785" s="405"/>
      <c r="O1785" s="405"/>
      <c r="P1785" s="405"/>
      <c r="Q1785" s="405"/>
      <c r="R1785" s="405"/>
      <c r="S1785" s="405"/>
      <c r="T1785" s="405"/>
      <c r="U1785" s="405"/>
      <c r="V1785" s="405"/>
      <c r="W1785" s="405"/>
      <c r="X1785" s="405"/>
      <c r="Y1785" s="405"/>
      <c r="Z1785" s="405"/>
    </row>
    <row r="1786" ht="14.25" customHeight="1">
      <c r="A1786" s="1134"/>
      <c r="B1786" s="405"/>
      <c r="C1786" s="405"/>
      <c r="D1786" s="1135"/>
      <c r="E1786" s="583"/>
      <c r="F1786" s="583"/>
      <c r="G1786" s="583"/>
      <c r="H1786" s="405"/>
      <c r="I1786" s="405"/>
      <c r="J1786" s="405"/>
      <c r="K1786" s="405"/>
      <c r="L1786" s="405"/>
      <c r="M1786" s="405"/>
      <c r="N1786" s="405"/>
      <c r="O1786" s="405"/>
      <c r="P1786" s="405"/>
      <c r="Q1786" s="405"/>
      <c r="R1786" s="405"/>
      <c r="S1786" s="405"/>
      <c r="T1786" s="405"/>
      <c r="U1786" s="405"/>
      <c r="V1786" s="405"/>
      <c r="W1786" s="405"/>
      <c r="X1786" s="405"/>
      <c r="Y1786" s="405"/>
      <c r="Z1786" s="405"/>
    </row>
    <row r="1787" ht="14.25" customHeight="1">
      <c r="A1787" s="1134"/>
      <c r="B1787" s="405"/>
      <c r="C1787" s="405"/>
      <c r="D1787" s="1135"/>
      <c r="E1787" s="583"/>
      <c r="F1787" s="583"/>
      <c r="G1787" s="583"/>
      <c r="H1787" s="405"/>
      <c r="I1787" s="405"/>
      <c r="J1787" s="405"/>
      <c r="K1787" s="405"/>
      <c r="L1787" s="405"/>
      <c r="M1787" s="405"/>
      <c r="N1787" s="405"/>
      <c r="O1787" s="405"/>
      <c r="P1787" s="405"/>
      <c r="Q1787" s="405"/>
      <c r="R1787" s="405"/>
      <c r="S1787" s="405"/>
      <c r="T1787" s="405"/>
      <c r="U1787" s="405"/>
      <c r="V1787" s="405"/>
      <c r="W1787" s="405"/>
      <c r="X1787" s="405"/>
      <c r="Y1787" s="405"/>
      <c r="Z1787" s="405"/>
    </row>
    <row r="1788" ht="14.25" customHeight="1">
      <c r="A1788" s="1134"/>
      <c r="B1788" s="405"/>
      <c r="C1788" s="405"/>
      <c r="D1788" s="1135"/>
      <c r="E1788" s="583"/>
      <c r="F1788" s="583"/>
      <c r="G1788" s="583"/>
      <c r="H1788" s="405"/>
      <c r="I1788" s="405"/>
      <c r="J1788" s="405"/>
      <c r="K1788" s="405"/>
      <c r="L1788" s="405"/>
      <c r="M1788" s="405"/>
      <c r="N1788" s="405"/>
      <c r="O1788" s="405"/>
      <c r="P1788" s="405"/>
      <c r="Q1788" s="405"/>
      <c r="R1788" s="405"/>
      <c r="S1788" s="405"/>
      <c r="T1788" s="405"/>
      <c r="U1788" s="405"/>
      <c r="V1788" s="405"/>
      <c r="W1788" s="405"/>
      <c r="X1788" s="405"/>
      <c r="Y1788" s="405"/>
      <c r="Z1788" s="405"/>
    </row>
    <row r="1789" ht="14.25" customHeight="1">
      <c r="A1789" s="1134"/>
      <c r="B1789" s="405"/>
      <c r="C1789" s="405"/>
      <c r="D1789" s="1135"/>
      <c r="E1789" s="583"/>
      <c r="F1789" s="583"/>
      <c r="G1789" s="583"/>
      <c r="H1789" s="405"/>
      <c r="I1789" s="405"/>
      <c r="J1789" s="405"/>
      <c r="K1789" s="405"/>
      <c r="L1789" s="405"/>
      <c r="M1789" s="405"/>
      <c r="N1789" s="405"/>
      <c r="O1789" s="405"/>
      <c r="P1789" s="405"/>
      <c r="Q1789" s="405"/>
      <c r="R1789" s="405"/>
      <c r="S1789" s="405"/>
      <c r="T1789" s="405"/>
      <c r="U1789" s="405"/>
      <c r="V1789" s="405"/>
      <c r="W1789" s="405"/>
      <c r="X1789" s="405"/>
      <c r="Y1789" s="405"/>
      <c r="Z1789" s="405"/>
    </row>
    <row r="1790" ht="14.25" customHeight="1">
      <c r="A1790" s="1134"/>
      <c r="B1790" s="405"/>
      <c r="C1790" s="405"/>
      <c r="D1790" s="1135"/>
      <c r="E1790" s="583"/>
      <c r="F1790" s="583"/>
      <c r="G1790" s="583"/>
      <c r="H1790" s="405"/>
      <c r="I1790" s="405"/>
      <c r="J1790" s="405"/>
      <c r="K1790" s="405"/>
      <c r="L1790" s="405"/>
      <c r="M1790" s="405"/>
      <c r="N1790" s="405"/>
      <c r="O1790" s="405"/>
      <c r="P1790" s="405"/>
      <c r="Q1790" s="405"/>
      <c r="R1790" s="405"/>
      <c r="S1790" s="405"/>
      <c r="T1790" s="405"/>
      <c r="U1790" s="405"/>
      <c r="V1790" s="405"/>
      <c r="W1790" s="405"/>
      <c r="X1790" s="405"/>
      <c r="Y1790" s="405"/>
      <c r="Z1790" s="405"/>
    </row>
    <row r="1791" ht="14.25" customHeight="1">
      <c r="A1791" s="1134"/>
      <c r="B1791" s="405"/>
      <c r="C1791" s="405"/>
      <c r="D1791" s="1135"/>
      <c r="E1791" s="583"/>
      <c r="F1791" s="583"/>
      <c r="G1791" s="583"/>
      <c r="H1791" s="405"/>
      <c r="I1791" s="405"/>
      <c r="J1791" s="405"/>
      <c r="K1791" s="405"/>
      <c r="L1791" s="405"/>
      <c r="M1791" s="405"/>
      <c r="N1791" s="405"/>
      <c r="O1791" s="405"/>
      <c r="P1791" s="405"/>
      <c r="Q1791" s="405"/>
      <c r="R1791" s="405"/>
      <c r="S1791" s="405"/>
      <c r="T1791" s="405"/>
      <c r="U1791" s="405"/>
      <c r="V1791" s="405"/>
      <c r="W1791" s="405"/>
      <c r="X1791" s="405"/>
      <c r="Y1791" s="405"/>
      <c r="Z1791" s="405"/>
    </row>
    <row r="1792" ht="14.25" customHeight="1">
      <c r="A1792" s="1134"/>
      <c r="B1792" s="405"/>
      <c r="C1792" s="405"/>
      <c r="D1792" s="1135"/>
      <c r="E1792" s="583"/>
      <c r="F1792" s="583"/>
      <c r="G1792" s="583"/>
      <c r="H1792" s="405"/>
      <c r="I1792" s="405"/>
      <c r="J1792" s="405"/>
      <c r="K1792" s="405"/>
      <c r="L1792" s="405"/>
      <c r="M1792" s="405"/>
      <c r="N1792" s="405"/>
      <c r="O1792" s="405"/>
      <c r="P1792" s="405"/>
      <c r="Q1792" s="405"/>
      <c r="R1792" s="405"/>
      <c r="S1792" s="405"/>
      <c r="T1792" s="405"/>
      <c r="U1792" s="405"/>
      <c r="V1792" s="405"/>
      <c r="W1792" s="405"/>
      <c r="X1792" s="405"/>
      <c r="Y1792" s="405"/>
      <c r="Z1792" s="405"/>
    </row>
    <row r="1793" ht="14.25" customHeight="1">
      <c r="A1793" s="1134"/>
      <c r="B1793" s="405"/>
      <c r="C1793" s="405"/>
      <c r="D1793" s="1135"/>
      <c r="E1793" s="583"/>
      <c r="F1793" s="583"/>
      <c r="G1793" s="583"/>
      <c r="H1793" s="405"/>
      <c r="I1793" s="405"/>
      <c r="J1793" s="405"/>
      <c r="K1793" s="405"/>
      <c r="L1793" s="405"/>
      <c r="M1793" s="405"/>
      <c r="N1793" s="405"/>
      <c r="O1793" s="405"/>
      <c r="P1793" s="405"/>
      <c r="Q1793" s="405"/>
      <c r="R1793" s="405"/>
      <c r="S1793" s="405"/>
      <c r="T1793" s="405"/>
      <c r="U1793" s="405"/>
      <c r="V1793" s="405"/>
      <c r="W1793" s="405"/>
      <c r="X1793" s="405"/>
      <c r="Y1793" s="405"/>
      <c r="Z1793" s="405"/>
    </row>
    <row r="1794" ht="14.25" customHeight="1">
      <c r="A1794" s="1134"/>
      <c r="B1794" s="405"/>
      <c r="C1794" s="405"/>
      <c r="D1794" s="1135"/>
      <c r="E1794" s="583"/>
      <c r="F1794" s="583"/>
      <c r="G1794" s="583"/>
      <c r="H1794" s="405"/>
      <c r="I1794" s="405"/>
      <c r="J1794" s="405"/>
      <c r="K1794" s="405"/>
      <c r="L1794" s="405"/>
      <c r="M1794" s="405"/>
      <c r="N1794" s="405"/>
      <c r="O1794" s="405"/>
      <c r="P1794" s="405"/>
      <c r="Q1794" s="405"/>
      <c r="R1794" s="405"/>
      <c r="S1794" s="405"/>
      <c r="T1794" s="405"/>
      <c r="U1794" s="405"/>
      <c r="V1794" s="405"/>
      <c r="W1794" s="405"/>
      <c r="X1794" s="405"/>
      <c r="Y1794" s="405"/>
      <c r="Z1794" s="405"/>
    </row>
    <row r="1795" ht="14.25" customHeight="1">
      <c r="A1795" s="1134"/>
      <c r="B1795" s="405"/>
      <c r="C1795" s="405"/>
      <c r="D1795" s="1135"/>
      <c r="E1795" s="583"/>
      <c r="F1795" s="583"/>
      <c r="G1795" s="583"/>
      <c r="H1795" s="405"/>
      <c r="I1795" s="405"/>
      <c r="J1795" s="405"/>
      <c r="K1795" s="405"/>
      <c r="L1795" s="405"/>
      <c r="M1795" s="405"/>
      <c r="N1795" s="405"/>
      <c r="O1795" s="405"/>
      <c r="P1795" s="405"/>
      <c r="Q1795" s="405"/>
      <c r="R1795" s="405"/>
      <c r="S1795" s="405"/>
      <c r="T1795" s="405"/>
      <c r="U1795" s="405"/>
      <c r="V1795" s="405"/>
      <c r="W1795" s="405"/>
      <c r="X1795" s="405"/>
      <c r="Y1795" s="405"/>
      <c r="Z1795" s="405"/>
    </row>
    <row r="1796" ht="14.25" customHeight="1">
      <c r="A1796" s="1134"/>
      <c r="B1796" s="405"/>
      <c r="C1796" s="405"/>
      <c r="D1796" s="1135"/>
      <c r="E1796" s="583"/>
      <c r="F1796" s="583"/>
      <c r="G1796" s="583"/>
      <c r="H1796" s="405"/>
      <c r="I1796" s="405"/>
      <c r="J1796" s="405"/>
      <c r="K1796" s="405"/>
      <c r="L1796" s="405"/>
      <c r="M1796" s="405"/>
      <c r="N1796" s="405"/>
      <c r="O1796" s="405"/>
      <c r="P1796" s="405"/>
      <c r="Q1796" s="405"/>
      <c r="R1796" s="405"/>
      <c r="S1796" s="405"/>
      <c r="T1796" s="405"/>
      <c r="U1796" s="405"/>
      <c r="V1796" s="405"/>
      <c r="W1796" s="405"/>
      <c r="X1796" s="405"/>
      <c r="Y1796" s="405"/>
      <c r="Z1796" s="405"/>
    </row>
    <row r="1797" ht="14.25" customHeight="1">
      <c r="A1797" s="1134"/>
      <c r="B1797" s="405"/>
      <c r="C1797" s="405"/>
      <c r="D1797" s="1135"/>
      <c r="E1797" s="583"/>
      <c r="F1797" s="583"/>
      <c r="G1797" s="583"/>
      <c r="H1797" s="405"/>
      <c r="I1797" s="405"/>
      <c r="J1797" s="405"/>
      <c r="K1797" s="405"/>
      <c r="L1797" s="405"/>
      <c r="M1797" s="405"/>
      <c r="N1797" s="405"/>
      <c r="O1797" s="405"/>
      <c r="P1797" s="405"/>
      <c r="Q1797" s="405"/>
      <c r="R1797" s="405"/>
      <c r="S1797" s="405"/>
      <c r="T1797" s="405"/>
      <c r="U1797" s="405"/>
      <c r="V1797" s="405"/>
      <c r="W1797" s="405"/>
      <c r="X1797" s="405"/>
      <c r="Y1797" s="405"/>
      <c r="Z1797" s="405"/>
    </row>
    <row r="1798" ht="14.25" customHeight="1">
      <c r="A1798" s="1134"/>
      <c r="B1798" s="405"/>
      <c r="C1798" s="405"/>
      <c r="D1798" s="1135"/>
      <c r="E1798" s="583"/>
      <c r="F1798" s="583"/>
      <c r="G1798" s="583"/>
      <c r="H1798" s="405"/>
      <c r="I1798" s="405"/>
      <c r="J1798" s="405"/>
      <c r="K1798" s="405"/>
      <c r="L1798" s="405"/>
      <c r="M1798" s="405"/>
      <c r="N1798" s="405"/>
      <c r="O1798" s="405"/>
      <c r="P1798" s="405"/>
      <c r="Q1798" s="405"/>
      <c r="R1798" s="405"/>
      <c r="S1798" s="405"/>
      <c r="T1798" s="405"/>
      <c r="U1798" s="405"/>
      <c r="V1798" s="405"/>
      <c r="W1798" s="405"/>
      <c r="X1798" s="405"/>
      <c r="Y1798" s="405"/>
      <c r="Z1798" s="405"/>
    </row>
    <row r="1799" ht="14.25" customHeight="1">
      <c r="A1799" s="1134"/>
      <c r="B1799" s="405"/>
      <c r="C1799" s="405"/>
      <c r="D1799" s="1135"/>
      <c r="E1799" s="583"/>
      <c r="F1799" s="583"/>
      <c r="G1799" s="583"/>
      <c r="H1799" s="405"/>
      <c r="I1799" s="405"/>
      <c r="J1799" s="405"/>
      <c r="K1799" s="405"/>
      <c r="L1799" s="405"/>
      <c r="M1799" s="405"/>
      <c r="N1799" s="405"/>
      <c r="O1799" s="405"/>
      <c r="P1799" s="405"/>
      <c r="Q1799" s="405"/>
      <c r="R1799" s="405"/>
      <c r="S1799" s="405"/>
      <c r="T1799" s="405"/>
      <c r="U1799" s="405"/>
      <c r="V1799" s="405"/>
      <c r="W1799" s="405"/>
      <c r="X1799" s="405"/>
      <c r="Y1799" s="405"/>
      <c r="Z1799" s="405"/>
    </row>
    <row r="1800" ht="14.25" customHeight="1">
      <c r="A1800" s="1134"/>
      <c r="B1800" s="405"/>
      <c r="C1800" s="405"/>
      <c r="D1800" s="1135"/>
      <c r="E1800" s="583"/>
      <c r="F1800" s="583"/>
      <c r="G1800" s="583"/>
      <c r="H1800" s="405"/>
      <c r="I1800" s="405"/>
      <c r="J1800" s="405"/>
      <c r="K1800" s="405"/>
      <c r="L1800" s="405"/>
      <c r="M1800" s="405"/>
      <c r="N1800" s="405"/>
      <c r="O1800" s="405"/>
      <c r="P1800" s="405"/>
      <c r="Q1800" s="405"/>
      <c r="R1800" s="405"/>
      <c r="S1800" s="405"/>
      <c r="T1800" s="405"/>
      <c r="U1800" s="405"/>
      <c r="V1800" s="405"/>
      <c r="W1800" s="405"/>
      <c r="X1800" s="405"/>
      <c r="Y1800" s="405"/>
      <c r="Z1800" s="405"/>
    </row>
    <row r="1801" ht="14.25" customHeight="1">
      <c r="A1801" s="1134"/>
      <c r="B1801" s="405"/>
      <c r="C1801" s="405"/>
      <c r="D1801" s="1135"/>
      <c r="E1801" s="583"/>
      <c r="F1801" s="583"/>
      <c r="G1801" s="583"/>
      <c r="H1801" s="405"/>
      <c r="I1801" s="405"/>
      <c r="J1801" s="405"/>
      <c r="K1801" s="405"/>
      <c r="L1801" s="405"/>
      <c r="M1801" s="405"/>
      <c r="N1801" s="405"/>
      <c r="O1801" s="405"/>
      <c r="P1801" s="405"/>
      <c r="Q1801" s="405"/>
      <c r="R1801" s="405"/>
      <c r="S1801" s="405"/>
      <c r="T1801" s="405"/>
      <c r="U1801" s="405"/>
      <c r="V1801" s="405"/>
      <c r="W1801" s="405"/>
      <c r="X1801" s="405"/>
      <c r="Y1801" s="405"/>
      <c r="Z1801" s="405"/>
    </row>
    <row r="1802" ht="14.25" customHeight="1">
      <c r="A1802" s="1134"/>
      <c r="B1802" s="405"/>
      <c r="C1802" s="405"/>
      <c r="D1802" s="1135"/>
      <c r="E1802" s="583"/>
      <c r="F1802" s="583"/>
      <c r="G1802" s="583"/>
      <c r="H1802" s="405"/>
      <c r="I1802" s="405"/>
      <c r="J1802" s="405"/>
      <c r="K1802" s="405"/>
      <c r="L1802" s="405"/>
      <c r="M1802" s="405"/>
      <c r="N1802" s="405"/>
      <c r="O1802" s="405"/>
      <c r="P1802" s="405"/>
      <c r="Q1802" s="405"/>
      <c r="R1802" s="405"/>
      <c r="S1802" s="405"/>
      <c r="T1802" s="405"/>
      <c r="U1802" s="405"/>
      <c r="V1802" s="405"/>
      <c r="W1802" s="405"/>
      <c r="X1802" s="405"/>
      <c r="Y1802" s="405"/>
      <c r="Z1802" s="405"/>
    </row>
    <row r="1803" ht="14.25" customHeight="1">
      <c r="A1803" s="1134"/>
      <c r="B1803" s="405"/>
      <c r="C1803" s="405"/>
      <c r="D1803" s="1135"/>
      <c r="E1803" s="583"/>
      <c r="F1803" s="583"/>
      <c r="G1803" s="583"/>
      <c r="H1803" s="405"/>
      <c r="I1803" s="405"/>
      <c r="J1803" s="405"/>
      <c r="K1803" s="405"/>
      <c r="L1803" s="405"/>
      <c r="M1803" s="405"/>
      <c r="N1803" s="405"/>
      <c r="O1803" s="405"/>
      <c r="P1803" s="405"/>
      <c r="Q1803" s="405"/>
      <c r="R1803" s="405"/>
      <c r="S1803" s="405"/>
      <c r="T1803" s="405"/>
      <c r="U1803" s="405"/>
      <c r="V1803" s="405"/>
      <c r="W1803" s="405"/>
      <c r="X1803" s="405"/>
      <c r="Y1803" s="405"/>
      <c r="Z1803" s="405"/>
    </row>
    <row r="1804" ht="14.25" customHeight="1">
      <c r="A1804" s="1134"/>
      <c r="B1804" s="405"/>
      <c r="C1804" s="405"/>
      <c r="D1804" s="1135"/>
      <c r="E1804" s="583"/>
      <c r="F1804" s="583"/>
      <c r="G1804" s="583"/>
      <c r="H1804" s="405"/>
      <c r="I1804" s="405"/>
      <c r="J1804" s="405"/>
      <c r="K1804" s="405"/>
      <c r="L1804" s="405"/>
      <c r="M1804" s="405"/>
      <c r="N1804" s="405"/>
      <c r="O1804" s="405"/>
      <c r="P1804" s="405"/>
      <c r="Q1804" s="405"/>
      <c r="R1804" s="405"/>
      <c r="S1804" s="405"/>
      <c r="T1804" s="405"/>
      <c r="U1804" s="405"/>
      <c r="V1804" s="405"/>
      <c r="W1804" s="405"/>
      <c r="X1804" s="405"/>
      <c r="Y1804" s="405"/>
      <c r="Z1804" s="405"/>
    </row>
    <row r="1805" ht="14.25" customHeight="1">
      <c r="A1805" s="1134"/>
      <c r="B1805" s="405"/>
      <c r="C1805" s="405"/>
      <c r="D1805" s="1135"/>
      <c r="E1805" s="583"/>
      <c r="F1805" s="583"/>
      <c r="G1805" s="583"/>
      <c r="H1805" s="405"/>
      <c r="I1805" s="405"/>
      <c r="J1805" s="405"/>
      <c r="K1805" s="405"/>
      <c r="L1805" s="405"/>
      <c r="M1805" s="405"/>
      <c r="N1805" s="405"/>
      <c r="O1805" s="405"/>
      <c r="P1805" s="405"/>
      <c r="Q1805" s="405"/>
      <c r="R1805" s="405"/>
      <c r="S1805" s="405"/>
      <c r="T1805" s="405"/>
      <c r="U1805" s="405"/>
      <c r="V1805" s="405"/>
      <c r="W1805" s="405"/>
      <c r="X1805" s="405"/>
      <c r="Y1805" s="405"/>
      <c r="Z1805" s="405"/>
    </row>
    <row r="1806" ht="14.25" customHeight="1">
      <c r="A1806" s="1134"/>
      <c r="B1806" s="405"/>
      <c r="C1806" s="405"/>
      <c r="D1806" s="1135"/>
      <c r="E1806" s="583"/>
      <c r="F1806" s="583"/>
      <c r="G1806" s="583"/>
      <c r="H1806" s="405"/>
      <c r="I1806" s="405"/>
      <c r="J1806" s="405"/>
      <c r="K1806" s="405"/>
      <c r="L1806" s="405"/>
      <c r="M1806" s="405"/>
      <c r="N1806" s="405"/>
      <c r="O1806" s="405"/>
      <c r="P1806" s="405"/>
      <c r="Q1806" s="405"/>
      <c r="R1806" s="405"/>
      <c r="S1806" s="405"/>
      <c r="T1806" s="405"/>
      <c r="U1806" s="405"/>
      <c r="V1806" s="405"/>
      <c r="W1806" s="405"/>
      <c r="X1806" s="405"/>
      <c r="Y1806" s="405"/>
      <c r="Z1806" s="405"/>
    </row>
    <row r="1807" ht="14.25" customHeight="1">
      <c r="A1807" s="1134"/>
      <c r="B1807" s="405"/>
      <c r="C1807" s="405"/>
      <c r="D1807" s="1135"/>
      <c r="E1807" s="583"/>
      <c r="F1807" s="583"/>
      <c r="G1807" s="583"/>
      <c r="H1807" s="405"/>
      <c r="I1807" s="405"/>
      <c r="J1807" s="405"/>
      <c r="K1807" s="405"/>
      <c r="L1807" s="405"/>
      <c r="M1807" s="405"/>
      <c r="N1807" s="405"/>
      <c r="O1807" s="405"/>
      <c r="P1807" s="405"/>
      <c r="Q1807" s="405"/>
      <c r="R1807" s="405"/>
      <c r="S1807" s="405"/>
      <c r="T1807" s="405"/>
      <c r="U1807" s="405"/>
      <c r="V1807" s="405"/>
      <c r="W1807" s="405"/>
      <c r="X1807" s="405"/>
      <c r="Y1807" s="405"/>
      <c r="Z1807" s="405"/>
    </row>
    <row r="1808" ht="14.25" customHeight="1">
      <c r="A1808" s="1134"/>
      <c r="B1808" s="405"/>
      <c r="C1808" s="405"/>
      <c r="D1808" s="1135"/>
      <c r="E1808" s="583"/>
      <c r="F1808" s="583"/>
      <c r="G1808" s="583"/>
      <c r="H1808" s="405"/>
      <c r="I1808" s="405"/>
      <c r="J1808" s="405"/>
      <c r="K1808" s="405"/>
      <c r="L1808" s="405"/>
      <c r="M1808" s="405"/>
      <c r="N1808" s="405"/>
      <c r="O1808" s="405"/>
      <c r="P1808" s="405"/>
      <c r="Q1808" s="405"/>
      <c r="R1808" s="405"/>
      <c r="S1808" s="405"/>
      <c r="T1808" s="405"/>
      <c r="U1808" s="405"/>
      <c r="V1808" s="405"/>
      <c r="W1808" s="405"/>
      <c r="X1808" s="405"/>
      <c r="Y1808" s="405"/>
      <c r="Z1808" s="405"/>
    </row>
    <row r="1809" ht="14.25" customHeight="1">
      <c r="A1809" s="1134"/>
      <c r="B1809" s="405"/>
      <c r="C1809" s="405"/>
      <c r="D1809" s="1135"/>
      <c r="E1809" s="583"/>
      <c r="F1809" s="583"/>
      <c r="G1809" s="583"/>
      <c r="H1809" s="405"/>
      <c r="I1809" s="405"/>
      <c r="J1809" s="405"/>
      <c r="K1809" s="405"/>
      <c r="L1809" s="405"/>
      <c r="M1809" s="405"/>
      <c r="N1809" s="405"/>
      <c r="O1809" s="405"/>
      <c r="P1809" s="405"/>
      <c r="Q1809" s="405"/>
      <c r="R1809" s="405"/>
      <c r="S1809" s="405"/>
      <c r="T1809" s="405"/>
      <c r="U1809" s="405"/>
      <c r="V1809" s="405"/>
      <c r="W1809" s="405"/>
      <c r="X1809" s="405"/>
      <c r="Y1809" s="405"/>
      <c r="Z1809" s="405"/>
    </row>
    <row r="1810" ht="14.25" customHeight="1">
      <c r="A1810" s="1134"/>
      <c r="B1810" s="405"/>
      <c r="C1810" s="405"/>
      <c r="D1810" s="1135"/>
      <c r="E1810" s="583"/>
      <c r="F1810" s="583"/>
      <c r="G1810" s="583"/>
      <c r="H1810" s="405"/>
      <c r="I1810" s="405"/>
      <c r="J1810" s="405"/>
      <c r="K1810" s="405"/>
      <c r="L1810" s="405"/>
      <c r="M1810" s="405"/>
      <c r="N1810" s="405"/>
      <c r="O1810" s="405"/>
      <c r="P1810" s="405"/>
      <c r="Q1810" s="405"/>
      <c r="R1810" s="405"/>
      <c r="S1810" s="405"/>
      <c r="T1810" s="405"/>
      <c r="U1810" s="405"/>
      <c r="V1810" s="405"/>
      <c r="W1810" s="405"/>
      <c r="X1810" s="405"/>
      <c r="Y1810" s="405"/>
      <c r="Z1810" s="405"/>
    </row>
    <row r="1811" ht="14.25" customHeight="1">
      <c r="A1811" s="1134"/>
      <c r="B1811" s="405"/>
      <c r="C1811" s="405"/>
      <c r="D1811" s="1135"/>
      <c r="E1811" s="583"/>
      <c r="F1811" s="583"/>
      <c r="G1811" s="583"/>
      <c r="H1811" s="405"/>
      <c r="I1811" s="405"/>
      <c r="J1811" s="405"/>
      <c r="K1811" s="405"/>
      <c r="L1811" s="405"/>
      <c r="M1811" s="405"/>
      <c r="N1811" s="405"/>
      <c r="O1811" s="405"/>
      <c r="P1811" s="405"/>
      <c r="Q1811" s="405"/>
      <c r="R1811" s="405"/>
      <c r="S1811" s="405"/>
      <c r="T1811" s="405"/>
      <c r="U1811" s="405"/>
      <c r="V1811" s="405"/>
      <c r="W1811" s="405"/>
      <c r="X1811" s="405"/>
      <c r="Y1811" s="405"/>
      <c r="Z1811" s="405"/>
    </row>
    <row r="1812" ht="14.25" customHeight="1">
      <c r="A1812" s="1134"/>
      <c r="B1812" s="405"/>
      <c r="C1812" s="405"/>
      <c r="D1812" s="1135"/>
      <c r="E1812" s="583"/>
      <c r="F1812" s="583"/>
      <c r="G1812" s="583"/>
      <c r="H1812" s="405"/>
      <c r="I1812" s="405"/>
      <c r="J1812" s="405"/>
      <c r="K1812" s="405"/>
      <c r="L1812" s="405"/>
      <c r="M1812" s="405"/>
      <c r="N1812" s="405"/>
      <c r="O1812" s="405"/>
      <c r="P1812" s="405"/>
      <c r="Q1812" s="405"/>
      <c r="R1812" s="405"/>
      <c r="S1812" s="405"/>
      <c r="T1812" s="405"/>
      <c r="U1812" s="405"/>
      <c r="V1812" s="405"/>
      <c r="W1812" s="405"/>
      <c r="X1812" s="405"/>
      <c r="Y1812" s="405"/>
      <c r="Z1812" s="405"/>
    </row>
    <row r="1813" ht="14.25" customHeight="1">
      <c r="A1813" s="1134"/>
      <c r="B1813" s="405"/>
      <c r="C1813" s="405"/>
      <c r="D1813" s="1135"/>
      <c r="E1813" s="583"/>
      <c r="F1813" s="583"/>
      <c r="G1813" s="583"/>
      <c r="H1813" s="405"/>
      <c r="I1813" s="405"/>
      <c r="J1813" s="405"/>
      <c r="K1813" s="405"/>
      <c r="L1813" s="405"/>
      <c r="M1813" s="405"/>
      <c r="N1813" s="405"/>
      <c r="O1813" s="405"/>
      <c r="P1813" s="405"/>
      <c r="Q1813" s="405"/>
      <c r="R1813" s="405"/>
      <c r="S1813" s="405"/>
      <c r="T1813" s="405"/>
      <c r="U1813" s="405"/>
      <c r="V1813" s="405"/>
      <c r="W1813" s="405"/>
      <c r="X1813" s="405"/>
      <c r="Y1813" s="405"/>
      <c r="Z1813" s="405"/>
    </row>
    <row r="1814" ht="14.25" customHeight="1">
      <c r="A1814" s="1134"/>
      <c r="B1814" s="405"/>
      <c r="C1814" s="405"/>
      <c r="D1814" s="1135"/>
      <c r="E1814" s="583"/>
      <c r="F1814" s="583"/>
      <c r="G1814" s="583"/>
      <c r="H1814" s="405"/>
      <c r="I1814" s="405"/>
      <c r="J1814" s="405"/>
      <c r="K1814" s="405"/>
      <c r="L1814" s="405"/>
      <c r="M1814" s="405"/>
      <c r="N1814" s="405"/>
      <c r="O1814" s="405"/>
      <c r="P1814" s="405"/>
      <c r="Q1814" s="405"/>
      <c r="R1814" s="405"/>
      <c r="S1814" s="405"/>
      <c r="T1814" s="405"/>
      <c r="U1814" s="405"/>
      <c r="V1814" s="405"/>
      <c r="W1814" s="405"/>
      <c r="X1814" s="405"/>
      <c r="Y1814" s="405"/>
      <c r="Z1814" s="405"/>
    </row>
    <row r="1815" ht="14.25" customHeight="1">
      <c r="A1815" s="1134"/>
      <c r="B1815" s="405"/>
      <c r="C1815" s="405"/>
      <c r="D1815" s="1135"/>
      <c r="E1815" s="583"/>
      <c r="F1815" s="583"/>
      <c r="G1815" s="583"/>
      <c r="H1815" s="405"/>
      <c r="I1815" s="405"/>
      <c r="J1815" s="405"/>
      <c r="K1815" s="405"/>
      <c r="L1815" s="405"/>
      <c r="M1815" s="405"/>
      <c r="N1815" s="405"/>
      <c r="O1815" s="405"/>
      <c r="P1815" s="405"/>
      <c r="Q1815" s="405"/>
      <c r="R1815" s="405"/>
      <c r="S1815" s="405"/>
      <c r="T1815" s="405"/>
      <c r="U1815" s="405"/>
      <c r="V1815" s="405"/>
      <c r="W1815" s="405"/>
      <c r="X1815" s="405"/>
      <c r="Y1815" s="405"/>
      <c r="Z1815" s="405"/>
    </row>
    <row r="1816" ht="14.25" customHeight="1">
      <c r="A1816" s="1134"/>
      <c r="B1816" s="405"/>
      <c r="C1816" s="405"/>
      <c r="D1816" s="1135"/>
      <c r="E1816" s="583"/>
      <c r="F1816" s="583"/>
      <c r="G1816" s="583"/>
      <c r="H1816" s="405"/>
      <c r="I1816" s="405"/>
      <c r="J1816" s="405"/>
      <c r="K1816" s="405"/>
      <c r="L1816" s="405"/>
      <c r="M1816" s="405"/>
      <c r="N1816" s="405"/>
      <c r="O1816" s="405"/>
      <c r="P1816" s="405"/>
      <c r="Q1816" s="405"/>
      <c r="R1816" s="405"/>
      <c r="S1816" s="405"/>
      <c r="T1816" s="405"/>
      <c r="U1816" s="405"/>
      <c r="V1816" s="405"/>
      <c r="W1816" s="405"/>
      <c r="X1816" s="405"/>
      <c r="Y1816" s="405"/>
      <c r="Z1816" s="405"/>
    </row>
    <row r="1817" ht="14.25" customHeight="1">
      <c r="A1817" s="1134"/>
      <c r="B1817" s="405"/>
      <c r="C1817" s="405"/>
      <c r="D1817" s="1135"/>
      <c r="E1817" s="583"/>
      <c r="F1817" s="583"/>
      <c r="G1817" s="583"/>
      <c r="H1817" s="405"/>
      <c r="I1817" s="405"/>
      <c r="J1817" s="405"/>
      <c r="K1817" s="405"/>
      <c r="L1817" s="405"/>
      <c r="M1817" s="405"/>
      <c r="N1817" s="405"/>
      <c r="O1817" s="405"/>
      <c r="P1817" s="405"/>
      <c r="Q1817" s="405"/>
      <c r="R1817" s="405"/>
      <c r="S1817" s="405"/>
      <c r="T1817" s="405"/>
      <c r="U1817" s="405"/>
      <c r="V1817" s="405"/>
      <c r="W1817" s="405"/>
      <c r="X1817" s="405"/>
      <c r="Y1817" s="405"/>
      <c r="Z1817" s="405"/>
    </row>
    <row r="1818" ht="14.25" customHeight="1">
      <c r="A1818" s="1134"/>
      <c r="B1818" s="405"/>
      <c r="C1818" s="405"/>
      <c r="D1818" s="1135"/>
      <c r="E1818" s="583"/>
      <c r="F1818" s="583"/>
      <c r="G1818" s="583"/>
      <c r="H1818" s="405"/>
      <c r="I1818" s="405"/>
      <c r="J1818" s="405"/>
      <c r="K1818" s="405"/>
      <c r="L1818" s="405"/>
      <c r="M1818" s="405"/>
      <c r="N1818" s="405"/>
      <c r="O1818" s="405"/>
      <c r="P1818" s="405"/>
      <c r="Q1818" s="405"/>
      <c r="R1818" s="405"/>
      <c r="S1818" s="405"/>
      <c r="T1818" s="405"/>
      <c r="U1818" s="405"/>
      <c r="V1818" s="405"/>
      <c r="W1818" s="405"/>
      <c r="X1818" s="405"/>
      <c r="Y1818" s="405"/>
      <c r="Z1818" s="405"/>
    </row>
    <row r="1819" ht="14.25" customHeight="1">
      <c r="A1819" s="1134"/>
      <c r="B1819" s="405"/>
      <c r="C1819" s="405"/>
      <c r="D1819" s="1135"/>
      <c r="E1819" s="583"/>
      <c r="F1819" s="583"/>
      <c r="G1819" s="583"/>
      <c r="H1819" s="405"/>
      <c r="I1819" s="405"/>
      <c r="J1819" s="405"/>
      <c r="K1819" s="405"/>
      <c r="L1819" s="405"/>
      <c r="M1819" s="405"/>
      <c r="N1819" s="405"/>
      <c r="O1819" s="405"/>
      <c r="P1819" s="405"/>
      <c r="Q1819" s="405"/>
      <c r="R1819" s="405"/>
      <c r="S1819" s="405"/>
      <c r="T1819" s="405"/>
      <c r="U1819" s="405"/>
      <c r="V1819" s="405"/>
      <c r="W1819" s="405"/>
      <c r="X1819" s="405"/>
      <c r="Y1819" s="405"/>
      <c r="Z1819" s="405"/>
    </row>
    <row r="1820" ht="14.25" customHeight="1">
      <c r="A1820" s="1134"/>
      <c r="B1820" s="405"/>
      <c r="C1820" s="405"/>
      <c r="D1820" s="1135"/>
      <c r="E1820" s="583"/>
      <c r="F1820" s="583"/>
      <c r="G1820" s="583"/>
      <c r="H1820" s="405"/>
      <c r="I1820" s="405"/>
      <c r="J1820" s="405"/>
      <c r="K1820" s="405"/>
      <c r="L1820" s="405"/>
      <c r="M1820" s="405"/>
      <c r="N1820" s="405"/>
      <c r="O1820" s="405"/>
      <c r="P1820" s="405"/>
      <c r="Q1820" s="405"/>
      <c r="R1820" s="405"/>
      <c r="S1820" s="405"/>
      <c r="T1820" s="405"/>
      <c r="U1820" s="405"/>
      <c r="V1820" s="405"/>
      <c r="W1820" s="405"/>
      <c r="X1820" s="405"/>
      <c r="Y1820" s="405"/>
      <c r="Z1820" s="405"/>
    </row>
    <row r="1821" ht="14.25" customHeight="1">
      <c r="A1821" s="1134"/>
      <c r="B1821" s="405"/>
      <c r="C1821" s="405"/>
      <c r="D1821" s="1135"/>
      <c r="E1821" s="583"/>
      <c r="F1821" s="583"/>
      <c r="G1821" s="583"/>
      <c r="H1821" s="405"/>
      <c r="I1821" s="405"/>
      <c r="J1821" s="405"/>
      <c r="K1821" s="405"/>
      <c r="L1821" s="405"/>
      <c r="M1821" s="405"/>
      <c r="N1821" s="405"/>
      <c r="O1821" s="405"/>
      <c r="P1821" s="405"/>
      <c r="Q1821" s="405"/>
      <c r="R1821" s="405"/>
      <c r="S1821" s="405"/>
      <c r="T1821" s="405"/>
      <c r="U1821" s="405"/>
      <c r="V1821" s="405"/>
      <c r="W1821" s="405"/>
      <c r="X1821" s="405"/>
      <c r="Y1821" s="405"/>
      <c r="Z1821" s="405"/>
    </row>
    <row r="1822" ht="14.25" customHeight="1">
      <c r="A1822" s="1134"/>
      <c r="B1822" s="405"/>
      <c r="C1822" s="405"/>
      <c r="D1822" s="1135"/>
      <c r="E1822" s="583"/>
      <c r="F1822" s="583"/>
      <c r="G1822" s="583"/>
      <c r="H1822" s="405"/>
      <c r="I1822" s="405"/>
      <c r="J1822" s="405"/>
      <c r="K1822" s="405"/>
      <c r="L1822" s="405"/>
      <c r="M1822" s="405"/>
      <c r="N1822" s="405"/>
      <c r="O1822" s="405"/>
      <c r="P1822" s="405"/>
      <c r="Q1822" s="405"/>
      <c r="R1822" s="405"/>
      <c r="S1822" s="405"/>
      <c r="T1822" s="405"/>
      <c r="U1822" s="405"/>
      <c r="V1822" s="405"/>
      <c r="W1822" s="405"/>
      <c r="X1822" s="405"/>
      <c r="Y1822" s="405"/>
      <c r="Z1822" s="405"/>
    </row>
    <row r="1823" ht="14.25" customHeight="1">
      <c r="A1823" s="1134"/>
      <c r="B1823" s="405"/>
      <c r="C1823" s="405"/>
      <c r="D1823" s="1135"/>
      <c r="E1823" s="583"/>
      <c r="F1823" s="583"/>
      <c r="G1823" s="583"/>
      <c r="H1823" s="405"/>
      <c r="I1823" s="405"/>
      <c r="J1823" s="405"/>
      <c r="K1823" s="405"/>
      <c r="L1823" s="405"/>
      <c r="M1823" s="405"/>
      <c r="N1823" s="405"/>
      <c r="O1823" s="405"/>
      <c r="P1823" s="405"/>
      <c r="Q1823" s="405"/>
      <c r="R1823" s="405"/>
      <c r="S1823" s="405"/>
      <c r="T1823" s="405"/>
      <c r="U1823" s="405"/>
      <c r="V1823" s="405"/>
      <c r="W1823" s="405"/>
      <c r="X1823" s="405"/>
      <c r="Y1823" s="405"/>
      <c r="Z1823" s="405"/>
    </row>
    <row r="1824" ht="14.25" customHeight="1">
      <c r="A1824" s="1134"/>
      <c r="B1824" s="405"/>
      <c r="C1824" s="405"/>
      <c r="D1824" s="1135"/>
      <c r="E1824" s="583"/>
      <c r="F1824" s="583"/>
      <c r="G1824" s="583"/>
      <c r="H1824" s="405"/>
      <c r="I1824" s="405"/>
      <c r="J1824" s="405"/>
      <c r="K1824" s="405"/>
      <c r="L1824" s="405"/>
      <c r="M1824" s="405"/>
      <c r="N1824" s="405"/>
      <c r="O1824" s="405"/>
      <c r="P1824" s="405"/>
      <c r="Q1824" s="405"/>
      <c r="R1824" s="405"/>
      <c r="S1824" s="405"/>
      <c r="T1824" s="405"/>
      <c r="U1824" s="405"/>
      <c r="V1824" s="405"/>
      <c r="W1824" s="405"/>
      <c r="X1824" s="405"/>
      <c r="Y1824" s="405"/>
      <c r="Z1824" s="405"/>
    </row>
    <row r="1825" ht="14.25" customHeight="1">
      <c r="A1825" s="1134"/>
      <c r="B1825" s="405"/>
      <c r="C1825" s="405"/>
      <c r="D1825" s="1135"/>
      <c r="E1825" s="583"/>
      <c r="F1825" s="583"/>
      <c r="G1825" s="583"/>
      <c r="H1825" s="405"/>
      <c r="I1825" s="405"/>
      <c r="J1825" s="405"/>
      <c r="K1825" s="405"/>
      <c r="L1825" s="405"/>
      <c r="M1825" s="405"/>
      <c r="N1825" s="405"/>
      <c r="O1825" s="405"/>
      <c r="P1825" s="405"/>
      <c r="Q1825" s="405"/>
      <c r="R1825" s="405"/>
      <c r="S1825" s="405"/>
      <c r="T1825" s="405"/>
      <c r="U1825" s="405"/>
      <c r="V1825" s="405"/>
      <c r="W1825" s="405"/>
      <c r="X1825" s="405"/>
      <c r="Y1825" s="405"/>
      <c r="Z1825" s="405"/>
    </row>
    <row r="1826" ht="14.25" customHeight="1">
      <c r="A1826" s="1134"/>
      <c r="B1826" s="405"/>
      <c r="C1826" s="405"/>
      <c r="D1826" s="1135"/>
      <c r="E1826" s="583"/>
      <c r="F1826" s="583"/>
      <c r="G1826" s="583"/>
      <c r="H1826" s="405"/>
      <c r="I1826" s="405"/>
      <c r="J1826" s="405"/>
      <c r="K1826" s="405"/>
      <c r="L1826" s="405"/>
      <c r="M1826" s="405"/>
      <c r="N1826" s="405"/>
      <c r="O1826" s="405"/>
      <c r="P1826" s="405"/>
      <c r="Q1826" s="405"/>
      <c r="R1826" s="405"/>
      <c r="S1826" s="405"/>
      <c r="T1826" s="405"/>
      <c r="U1826" s="405"/>
      <c r="V1826" s="405"/>
      <c r="W1826" s="405"/>
      <c r="X1826" s="405"/>
      <c r="Y1826" s="405"/>
      <c r="Z1826" s="405"/>
    </row>
    <row r="1827" ht="14.25" customHeight="1">
      <c r="A1827" s="1134"/>
      <c r="B1827" s="405"/>
      <c r="C1827" s="405"/>
      <c r="D1827" s="1135"/>
      <c r="E1827" s="583"/>
      <c r="F1827" s="583"/>
      <c r="G1827" s="583"/>
      <c r="H1827" s="405"/>
      <c r="I1827" s="405"/>
      <c r="J1827" s="405"/>
      <c r="K1827" s="405"/>
      <c r="L1827" s="405"/>
      <c r="M1827" s="405"/>
      <c r="N1827" s="405"/>
      <c r="O1827" s="405"/>
      <c r="P1827" s="405"/>
      <c r="Q1827" s="405"/>
      <c r="R1827" s="405"/>
      <c r="S1827" s="405"/>
      <c r="T1827" s="405"/>
      <c r="U1827" s="405"/>
      <c r="V1827" s="405"/>
      <c r="W1827" s="405"/>
      <c r="X1827" s="405"/>
      <c r="Y1827" s="405"/>
      <c r="Z1827" s="405"/>
    </row>
    <row r="1828" ht="14.25" customHeight="1">
      <c r="A1828" s="1134"/>
      <c r="B1828" s="405"/>
      <c r="C1828" s="405"/>
      <c r="D1828" s="1135"/>
      <c r="E1828" s="583"/>
      <c r="F1828" s="583"/>
      <c r="G1828" s="583"/>
      <c r="H1828" s="405"/>
      <c r="I1828" s="405"/>
      <c r="J1828" s="405"/>
      <c r="K1828" s="405"/>
      <c r="L1828" s="405"/>
      <c r="M1828" s="405"/>
      <c r="N1828" s="405"/>
      <c r="O1828" s="405"/>
      <c r="P1828" s="405"/>
      <c r="Q1828" s="405"/>
      <c r="R1828" s="405"/>
      <c r="S1828" s="405"/>
      <c r="T1828" s="405"/>
      <c r="U1828" s="405"/>
      <c r="V1828" s="405"/>
      <c r="W1828" s="405"/>
      <c r="X1828" s="405"/>
      <c r="Y1828" s="405"/>
      <c r="Z1828" s="405"/>
    </row>
    <row r="1829" ht="14.25" customHeight="1">
      <c r="A1829" s="1134"/>
      <c r="B1829" s="405"/>
      <c r="C1829" s="405"/>
      <c r="D1829" s="1135"/>
      <c r="E1829" s="583"/>
      <c r="F1829" s="583"/>
      <c r="G1829" s="583"/>
      <c r="H1829" s="405"/>
      <c r="I1829" s="405"/>
      <c r="J1829" s="405"/>
      <c r="K1829" s="405"/>
      <c r="L1829" s="405"/>
      <c r="M1829" s="405"/>
      <c r="N1829" s="405"/>
      <c r="O1829" s="405"/>
      <c r="P1829" s="405"/>
      <c r="Q1829" s="405"/>
      <c r="R1829" s="405"/>
      <c r="S1829" s="405"/>
      <c r="T1829" s="405"/>
      <c r="U1829" s="405"/>
      <c r="V1829" s="405"/>
      <c r="W1829" s="405"/>
      <c r="X1829" s="405"/>
      <c r="Y1829" s="405"/>
      <c r="Z1829" s="405"/>
    </row>
    <row r="1830" ht="14.25" customHeight="1">
      <c r="A1830" s="1134"/>
      <c r="B1830" s="405"/>
      <c r="C1830" s="405"/>
      <c r="D1830" s="1135"/>
      <c r="E1830" s="583"/>
      <c r="F1830" s="583"/>
      <c r="G1830" s="583"/>
      <c r="H1830" s="405"/>
      <c r="I1830" s="405"/>
      <c r="J1830" s="405"/>
      <c r="K1830" s="405"/>
      <c r="L1830" s="405"/>
      <c r="M1830" s="405"/>
      <c r="N1830" s="405"/>
      <c r="O1830" s="405"/>
      <c r="P1830" s="405"/>
      <c r="Q1830" s="405"/>
      <c r="R1830" s="405"/>
      <c r="S1830" s="405"/>
      <c r="T1830" s="405"/>
      <c r="U1830" s="405"/>
      <c r="V1830" s="405"/>
      <c r="W1830" s="405"/>
      <c r="X1830" s="405"/>
      <c r="Y1830" s="405"/>
      <c r="Z1830" s="405"/>
    </row>
    <row r="1831" ht="14.25" customHeight="1">
      <c r="A1831" s="1134"/>
      <c r="B1831" s="405"/>
      <c r="C1831" s="405"/>
      <c r="D1831" s="1135"/>
      <c r="E1831" s="583"/>
      <c r="F1831" s="583"/>
      <c r="G1831" s="583"/>
      <c r="H1831" s="405"/>
      <c r="I1831" s="405"/>
      <c r="J1831" s="405"/>
      <c r="K1831" s="405"/>
      <c r="L1831" s="405"/>
      <c r="M1831" s="405"/>
      <c r="N1831" s="405"/>
      <c r="O1831" s="405"/>
      <c r="P1831" s="405"/>
      <c r="Q1831" s="405"/>
      <c r="R1831" s="405"/>
      <c r="S1831" s="405"/>
      <c r="T1831" s="405"/>
      <c r="U1831" s="405"/>
      <c r="V1831" s="405"/>
      <c r="W1831" s="405"/>
      <c r="X1831" s="405"/>
      <c r="Y1831" s="405"/>
      <c r="Z1831" s="405"/>
    </row>
    <row r="1832" ht="14.25" customHeight="1">
      <c r="A1832" s="1134"/>
      <c r="B1832" s="405"/>
      <c r="C1832" s="405"/>
      <c r="D1832" s="1135"/>
      <c r="E1832" s="583"/>
      <c r="F1832" s="583"/>
      <c r="G1832" s="583"/>
      <c r="H1832" s="405"/>
      <c r="I1832" s="405"/>
      <c r="J1832" s="405"/>
      <c r="K1832" s="405"/>
      <c r="L1832" s="405"/>
      <c r="M1832" s="405"/>
      <c r="N1832" s="405"/>
      <c r="O1832" s="405"/>
      <c r="P1832" s="405"/>
      <c r="Q1832" s="405"/>
      <c r="R1832" s="405"/>
      <c r="S1832" s="405"/>
      <c r="T1832" s="405"/>
      <c r="U1832" s="405"/>
      <c r="V1832" s="405"/>
      <c r="W1832" s="405"/>
      <c r="X1832" s="405"/>
      <c r="Y1832" s="405"/>
      <c r="Z1832" s="405"/>
    </row>
    <row r="1833" ht="14.25" customHeight="1">
      <c r="A1833" s="1134"/>
      <c r="B1833" s="405"/>
      <c r="C1833" s="405"/>
      <c r="D1833" s="1135"/>
      <c r="E1833" s="583"/>
      <c r="F1833" s="583"/>
      <c r="G1833" s="583"/>
      <c r="H1833" s="405"/>
      <c r="I1833" s="405"/>
      <c r="J1833" s="405"/>
      <c r="K1833" s="405"/>
      <c r="L1833" s="405"/>
      <c r="M1833" s="405"/>
      <c r="N1833" s="405"/>
      <c r="O1833" s="405"/>
      <c r="P1833" s="405"/>
      <c r="Q1833" s="405"/>
      <c r="R1833" s="405"/>
      <c r="S1833" s="405"/>
      <c r="T1833" s="405"/>
      <c r="U1833" s="405"/>
      <c r="V1833" s="405"/>
      <c r="W1833" s="405"/>
      <c r="X1833" s="405"/>
      <c r="Y1833" s="405"/>
      <c r="Z1833" s="405"/>
    </row>
    <row r="1834" ht="14.25" customHeight="1">
      <c r="A1834" s="1134"/>
      <c r="B1834" s="405"/>
      <c r="C1834" s="405"/>
      <c r="D1834" s="1135"/>
      <c r="E1834" s="583"/>
      <c r="F1834" s="583"/>
      <c r="G1834" s="583"/>
      <c r="H1834" s="405"/>
      <c r="I1834" s="405"/>
      <c r="J1834" s="405"/>
      <c r="K1834" s="405"/>
      <c r="L1834" s="405"/>
      <c r="M1834" s="405"/>
      <c r="N1834" s="405"/>
      <c r="O1834" s="405"/>
      <c r="P1834" s="405"/>
      <c r="Q1834" s="405"/>
      <c r="R1834" s="405"/>
      <c r="S1834" s="405"/>
      <c r="T1834" s="405"/>
      <c r="U1834" s="405"/>
      <c r="V1834" s="405"/>
      <c r="W1834" s="405"/>
      <c r="X1834" s="405"/>
      <c r="Y1834" s="405"/>
      <c r="Z1834" s="405"/>
    </row>
    <row r="1835" ht="14.25" customHeight="1">
      <c r="A1835" s="1134"/>
      <c r="B1835" s="405"/>
      <c r="C1835" s="405"/>
      <c r="D1835" s="1135"/>
      <c r="E1835" s="583"/>
      <c r="F1835" s="583"/>
      <c r="G1835" s="583"/>
      <c r="H1835" s="405"/>
      <c r="I1835" s="405"/>
      <c r="J1835" s="405"/>
      <c r="K1835" s="405"/>
      <c r="L1835" s="405"/>
      <c r="M1835" s="405"/>
      <c r="N1835" s="405"/>
      <c r="O1835" s="405"/>
      <c r="P1835" s="405"/>
      <c r="Q1835" s="405"/>
      <c r="R1835" s="405"/>
      <c r="S1835" s="405"/>
      <c r="T1835" s="405"/>
      <c r="U1835" s="405"/>
      <c r="V1835" s="405"/>
      <c r="W1835" s="405"/>
      <c r="X1835" s="405"/>
      <c r="Y1835" s="405"/>
      <c r="Z1835" s="405"/>
    </row>
    <row r="1836" ht="14.25" customHeight="1">
      <c r="A1836" s="1134"/>
      <c r="B1836" s="405"/>
      <c r="C1836" s="405"/>
      <c r="D1836" s="1135"/>
      <c r="E1836" s="583"/>
      <c r="F1836" s="583"/>
      <c r="G1836" s="583"/>
      <c r="H1836" s="405"/>
      <c r="I1836" s="405"/>
      <c r="J1836" s="405"/>
      <c r="K1836" s="405"/>
      <c r="L1836" s="405"/>
      <c r="M1836" s="405"/>
      <c r="N1836" s="405"/>
      <c r="O1836" s="405"/>
      <c r="P1836" s="405"/>
      <c r="Q1836" s="405"/>
      <c r="R1836" s="405"/>
      <c r="S1836" s="405"/>
      <c r="T1836" s="405"/>
      <c r="U1836" s="405"/>
      <c r="V1836" s="405"/>
      <c r="W1836" s="405"/>
      <c r="X1836" s="405"/>
      <c r="Y1836" s="405"/>
      <c r="Z1836" s="405"/>
    </row>
    <row r="1837" ht="14.25" customHeight="1">
      <c r="A1837" s="1134"/>
      <c r="B1837" s="405"/>
      <c r="C1837" s="405"/>
      <c r="D1837" s="1135"/>
      <c r="E1837" s="583"/>
      <c r="F1837" s="583"/>
      <c r="G1837" s="583"/>
      <c r="H1837" s="405"/>
      <c r="I1837" s="405"/>
      <c r="J1837" s="405"/>
      <c r="K1837" s="405"/>
      <c r="L1837" s="405"/>
      <c r="M1837" s="405"/>
      <c r="N1837" s="405"/>
      <c r="O1837" s="405"/>
      <c r="P1837" s="405"/>
      <c r="Q1837" s="405"/>
      <c r="R1837" s="405"/>
      <c r="S1837" s="405"/>
      <c r="T1837" s="405"/>
      <c r="U1837" s="405"/>
      <c r="V1837" s="405"/>
      <c r="W1837" s="405"/>
      <c r="X1837" s="405"/>
      <c r="Y1837" s="405"/>
      <c r="Z1837" s="405"/>
    </row>
    <row r="1838" ht="14.25" customHeight="1">
      <c r="A1838" s="1134"/>
      <c r="B1838" s="405"/>
      <c r="C1838" s="405"/>
      <c r="D1838" s="1135"/>
      <c r="E1838" s="583"/>
      <c r="F1838" s="583"/>
      <c r="G1838" s="583"/>
      <c r="H1838" s="405"/>
      <c r="I1838" s="405"/>
      <c r="J1838" s="405"/>
      <c r="K1838" s="405"/>
      <c r="L1838" s="405"/>
      <c r="M1838" s="405"/>
      <c r="N1838" s="405"/>
      <c r="O1838" s="405"/>
      <c r="P1838" s="405"/>
      <c r="Q1838" s="405"/>
      <c r="R1838" s="405"/>
      <c r="S1838" s="405"/>
      <c r="T1838" s="405"/>
      <c r="U1838" s="405"/>
      <c r="V1838" s="405"/>
      <c r="W1838" s="405"/>
      <c r="X1838" s="405"/>
      <c r="Y1838" s="405"/>
      <c r="Z1838" s="405"/>
    </row>
    <row r="1839" ht="14.25" customHeight="1">
      <c r="A1839" s="1134"/>
      <c r="B1839" s="405"/>
      <c r="C1839" s="405"/>
      <c r="D1839" s="1135"/>
      <c r="E1839" s="583"/>
      <c r="F1839" s="583"/>
      <c r="G1839" s="583"/>
      <c r="H1839" s="405"/>
      <c r="I1839" s="405"/>
      <c r="J1839" s="405"/>
      <c r="K1839" s="405"/>
      <c r="L1839" s="405"/>
      <c r="M1839" s="405"/>
      <c r="N1839" s="405"/>
      <c r="O1839" s="405"/>
      <c r="P1839" s="405"/>
      <c r="Q1839" s="405"/>
      <c r="R1839" s="405"/>
      <c r="S1839" s="405"/>
      <c r="T1839" s="405"/>
      <c r="U1839" s="405"/>
      <c r="V1839" s="405"/>
      <c r="W1839" s="405"/>
      <c r="X1839" s="405"/>
      <c r="Y1839" s="405"/>
      <c r="Z1839" s="405"/>
    </row>
    <row r="1840" ht="14.25" customHeight="1">
      <c r="A1840" s="1134"/>
      <c r="B1840" s="405"/>
      <c r="C1840" s="405"/>
      <c r="D1840" s="1135"/>
      <c r="E1840" s="583"/>
      <c r="F1840" s="583"/>
      <c r="G1840" s="583"/>
      <c r="H1840" s="405"/>
      <c r="I1840" s="405"/>
      <c r="J1840" s="405"/>
      <c r="K1840" s="405"/>
      <c r="L1840" s="405"/>
      <c r="M1840" s="405"/>
      <c r="N1840" s="405"/>
      <c r="O1840" s="405"/>
      <c r="P1840" s="405"/>
      <c r="Q1840" s="405"/>
      <c r="R1840" s="405"/>
      <c r="S1840" s="405"/>
      <c r="T1840" s="405"/>
      <c r="U1840" s="405"/>
      <c r="V1840" s="405"/>
      <c r="W1840" s="405"/>
      <c r="X1840" s="405"/>
      <c r="Y1840" s="405"/>
      <c r="Z1840" s="405"/>
    </row>
    <row r="1841" ht="14.25" customHeight="1">
      <c r="A1841" s="1134"/>
      <c r="B1841" s="405"/>
      <c r="C1841" s="405"/>
      <c r="D1841" s="1135"/>
      <c r="E1841" s="583"/>
      <c r="F1841" s="583"/>
      <c r="G1841" s="583"/>
      <c r="H1841" s="405"/>
      <c r="I1841" s="405"/>
      <c r="J1841" s="405"/>
      <c r="K1841" s="405"/>
      <c r="L1841" s="405"/>
      <c r="M1841" s="405"/>
      <c r="N1841" s="405"/>
      <c r="O1841" s="405"/>
      <c r="P1841" s="405"/>
      <c r="Q1841" s="405"/>
      <c r="R1841" s="405"/>
      <c r="S1841" s="405"/>
      <c r="T1841" s="405"/>
      <c r="U1841" s="405"/>
      <c r="V1841" s="405"/>
      <c r="W1841" s="405"/>
      <c r="X1841" s="405"/>
      <c r="Y1841" s="405"/>
      <c r="Z1841" s="405"/>
    </row>
    <row r="1842" ht="14.25" customHeight="1">
      <c r="A1842" s="1134"/>
      <c r="B1842" s="405"/>
      <c r="C1842" s="405"/>
      <c r="D1842" s="1135"/>
      <c r="E1842" s="583"/>
      <c r="F1842" s="583"/>
      <c r="G1842" s="583"/>
      <c r="H1842" s="405"/>
      <c r="I1842" s="405"/>
      <c r="J1842" s="405"/>
      <c r="K1842" s="405"/>
      <c r="L1842" s="405"/>
      <c r="M1842" s="405"/>
      <c r="N1842" s="405"/>
      <c r="O1842" s="405"/>
      <c r="P1842" s="405"/>
      <c r="Q1842" s="405"/>
      <c r="R1842" s="405"/>
      <c r="S1842" s="405"/>
      <c r="T1842" s="405"/>
      <c r="U1842" s="405"/>
      <c r="V1842" s="405"/>
      <c r="W1842" s="405"/>
      <c r="X1842" s="405"/>
      <c r="Y1842" s="405"/>
      <c r="Z1842" s="405"/>
    </row>
    <row r="1843" ht="14.25" customHeight="1">
      <c r="A1843" s="1134"/>
      <c r="B1843" s="405"/>
      <c r="C1843" s="405"/>
      <c r="D1843" s="1135"/>
      <c r="E1843" s="583"/>
      <c r="F1843" s="583"/>
      <c r="G1843" s="583"/>
      <c r="H1843" s="405"/>
      <c r="I1843" s="405"/>
      <c r="J1843" s="405"/>
      <c r="K1843" s="405"/>
      <c r="L1843" s="405"/>
      <c r="M1843" s="405"/>
      <c r="N1843" s="405"/>
      <c r="O1843" s="405"/>
      <c r="P1843" s="405"/>
      <c r="Q1843" s="405"/>
      <c r="R1843" s="405"/>
      <c r="S1843" s="405"/>
      <c r="T1843" s="405"/>
      <c r="U1843" s="405"/>
      <c r="V1843" s="405"/>
      <c r="W1843" s="405"/>
      <c r="X1843" s="405"/>
      <c r="Y1843" s="405"/>
      <c r="Z1843" s="405"/>
    </row>
    <row r="1844" ht="14.25" customHeight="1">
      <c r="A1844" s="1134"/>
      <c r="B1844" s="405"/>
      <c r="C1844" s="405"/>
      <c r="D1844" s="1135"/>
      <c r="E1844" s="583"/>
      <c r="F1844" s="583"/>
      <c r="G1844" s="583"/>
      <c r="H1844" s="405"/>
      <c r="I1844" s="405"/>
      <c r="J1844" s="405"/>
      <c r="K1844" s="405"/>
      <c r="L1844" s="405"/>
      <c r="M1844" s="405"/>
      <c r="N1844" s="405"/>
      <c r="O1844" s="405"/>
      <c r="P1844" s="405"/>
      <c r="Q1844" s="405"/>
      <c r="R1844" s="405"/>
      <c r="S1844" s="405"/>
      <c r="T1844" s="405"/>
      <c r="U1844" s="405"/>
      <c r="V1844" s="405"/>
      <c r="W1844" s="405"/>
      <c r="X1844" s="405"/>
      <c r="Y1844" s="405"/>
      <c r="Z1844" s="405"/>
    </row>
    <row r="1845" ht="14.25" customHeight="1">
      <c r="A1845" s="1134"/>
      <c r="B1845" s="405"/>
      <c r="C1845" s="405"/>
      <c r="D1845" s="1135"/>
      <c r="E1845" s="583"/>
      <c r="F1845" s="583"/>
      <c r="G1845" s="583"/>
      <c r="H1845" s="405"/>
      <c r="I1845" s="405"/>
      <c r="J1845" s="405"/>
      <c r="K1845" s="405"/>
      <c r="L1845" s="405"/>
      <c r="M1845" s="405"/>
      <c r="N1845" s="405"/>
      <c r="O1845" s="405"/>
      <c r="P1845" s="405"/>
      <c r="Q1845" s="405"/>
      <c r="R1845" s="405"/>
      <c r="S1845" s="405"/>
      <c r="T1845" s="405"/>
      <c r="U1845" s="405"/>
      <c r="V1845" s="405"/>
      <c r="W1845" s="405"/>
      <c r="X1845" s="405"/>
      <c r="Y1845" s="405"/>
      <c r="Z1845" s="405"/>
    </row>
    <row r="1846" ht="14.25" customHeight="1">
      <c r="A1846" s="1134"/>
      <c r="B1846" s="405"/>
      <c r="C1846" s="405"/>
      <c r="D1846" s="1135"/>
      <c r="E1846" s="583"/>
      <c r="F1846" s="583"/>
      <c r="G1846" s="583"/>
      <c r="H1846" s="405"/>
      <c r="I1846" s="405"/>
      <c r="J1846" s="405"/>
      <c r="K1846" s="405"/>
      <c r="L1846" s="405"/>
      <c r="M1846" s="405"/>
      <c r="N1846" s="405"/>
      <c r="O1846" s="405"/>
      <c r="P1846" s="405"/>
      <c r="Q1846" s="405"/>
      <c r="R1846" s="405"/>
      <c r="S1846" s="405"/>
      <c r="T1846" s="405"/>
      <c r="U1846" s="405"/>
      <c r="V1846" s="405"/>
      <c r="W1846" s="405"/>
      <c r="X1846" s="405"/>
      <c r="Y1846" s="405"/>
      <c r="Z1846" s="405"/>
    </row>
    <row r="1847" ht="14.25" customHeight="1">
      <c r="A1847" s="1134"/>
      <c r="B1847" s="405"/>
      <c r="C1847" s="405"/>
      <c r="D1847" s="1135"/>
      <c r="E1847" s="583"/>
      <c r="F1847" s="583"/>
      <c r="G1847" s="583"/>
      <c r="H1847" s="405"/>
      <c r="I1847" s="405"/>
      <c r="J1847" s="405"/>
      <c r="K1847" s="405"/>
      <c r="L1847" s="405"/>
      <c r="M1847" s="405"/>
      <c r="N1847" s="405"/>
      <c r="O1847" s="405"/>
      <c r="P1847" s="405"/>
      <c r="Q1847" s="405"/>
      <c r="R1847" s="405"/>
      <c r="S1847" s="405"/>
      <c r="T1847" s="405"/>
      <c r="U1847" s="405"/>
      <c r="V1847" s="405"/>
      <c r="W1847" s="405"/>
      <c r="X1847" s="405"/>
      <c r="Y1847" s="405"/>
      <c r="Z1847" s="405"/>
    </row>
    <row r="1848" ht="14.25" customHeight="1">
      <c r="A1848" s="1134"/>
      <c r="B1848" s="405"/>
      <c r="C1848" s="405"/>
      <c r="D1848" s="1135"/>
      <c r="E1848" s="583"/>
      <c r="F1848" s="583"/>
      <c r="G1848" s="583"/>
      <c r="H1848" s="405"/>
      <c r="I1848" s="405"/>
      <c r="J1848" s="405"/>
      <c r="K1848" s="405"/>
      <c r="L1848" s="405"/>
      <c r="M1848" s="405"/>
      <c r="N1848" s="405"/>
      <c r="O1848" s="405"/>
      <c r="P1848" s="405"/>
      <c r="Q1848" s="405"/>
      <c r="R1848" s="405"/>
      <c r="S1848" s="405"/>
      <c r="T1848" s="405"/>
      <c r="U1848" s="405"/>
      <c r="V1848" s="405"/>
      <c r="W1848" s="405"/>
      <c r="X1848" s="405"/>
      <c r="Y1848" s="405"/>
      <c r="Z1848" s="405"/>
    </row>
    <row r="1849" ht="14.25" customHeight="1">
      <c r="A1849" s="1134"/>
      <c r="B1849" s="405"/>
      <c r="C1849" s="405"/>
      <c r="D1849" s="1135"/>
      <c r="E1849" s="583"/>
      <c r="F1849" s="583"/>
      <c r="G1849" s="583"/>
      <c r="H1849" s="405"/>
      <c r="I1849" s="405"/>
      <c r="J1849" s="405"/>
      <c r="K1849" s="405"/>
      <c r="L1849" s="405"/>
      <c r="M1849" s="405"/>
      <c r="N1849" s="405"/>
      <c r="O1849" s="405"/>
      <c r="P1849" s="405"/>
      <c r="Q1849" s="405"/>
      <c r="R1849" s="405"/>
      <c r="S1849" s="405"/>
      <c r="T1849" s="405"/>
      <c r="U1849" s="405"/>
      <c r="V1849" s="405"/>
      <c r="W1849" s="405"/>
      <c r="X1849" s="405"/>
      <c r="Y1849" s="405"/>
      <c r="Z1849" s="405"/>
    </row>
    <row r="1850" ht="14.25" customHeight="1">
      <c r="A1850" s="1134"/>
      <c r="B1850" s="405"/>
      <c r="C1850" s="405"/>
      <c r="D1850" s="1135"/>
      <c r="E1850" s="583"/>
      <c r="F1850" s="583"/>
      <c r="G1850" s="583"/>
      <c r="H1850" s="405"/>
      <c r="I1850" s="405"/>
      <c r="J1850" s="405"/>
      <c r="K1850" s="405"/>
      <c r="L1850" s="405"/>
      <c r="M1850" s="405"/>
      <c r="N1850" s="405"/>
      <c r="O1850" s="405"/>
      <c r="P1850" s="405"/>
      <c r="Q1850" s="405"/>
      <c r="R1850" s="405"/>
      <c r="S1850" s="405"/>
      <c r="T1850" s="405"/>
      <c r="U1850" s="405"/>
      <c r="V1850" s="405"/>
      <c r="W1850" s="405"/>
      <c r="X1850" s="405"/>
      <c r="Y1850" s="405"/>
      <c r="Z1850" s="405"/>
    </row>
    <row r="1851" ht="14.25" customHeight="1">
      <c r="A1851" s="1134"/>
      <c r="B1851" s="405"/>
      <c r="C1851" s="405"/>
      <c r="D1851" s="1135"/>
      <c r="E1851" s="583"/>
      <c r="F1851" s="583"/>
      <c r="G1851" s="583"/>
      <c r="H1851" s="405"/>
      <c r="I1851" s="405"/>
      <c r="J1851" s="405"/>
      <c r="K1851" s="405"/>
      <c r="L1851" s="405"/>
      <c r="M1851" s="405"/>
      <c r="N1851" s="405"/>
      <c r="O1851" s="405"/>
      <c r="P1851" s="405"/>
      <c r="Q1851" s="405"/>
      <c r="R1851" s="405"/>
      <c r="S1851" s="405"/>
      <c r="T1851" s="405"/>
      <c r="U1851" s="405"/>
      <c r="V1851" s="405"/>
      <c r="W1851" s="405"/>
      <c r="X1851" s="405"/>
      <c r="Y1851" s="405"/>
      <c r="Z1851" s="405"/>
    </row>
    <row r="1852" ht="14.25" customHeight="1">
      <c r="A1852" s="1134"/>
      <c r="B1852" s="405"/>
      <c r="C1852" s="405"/>
      <c r="D1852" s="1135"/>
      <c r="E1852" s="583"/>
      <c r="F1852" s="583"/>
      <c r="G1852" s="583"/>
      <c r="H1852" s="405"/>
      <c r="I1852" s="405"/>
      <c r="J1852" s="405"/>
      <c r="K1852" s="405"/>
      <c r="L1852" s="405"/>
      <c r="M1852" s="405"/>
      <c r="N1852" s="405"/>
      <c r="O1852" s="405"/>
      <c r="P1852" s="405"/>
      <c r="Q1852" s="405"/>
      <c r="R1852" s="405"/>
      <c r="S1852" s="405"/>
      <c r="T1852" s="405"/>
      <c r="U1852" s="405"/>
      <c r="V1852" s="405"/>
      <c r="W1852" s="405"/>
      <c r="X1852" s="405"/>
      <c r="Y1852" s="405"/>
      <c r="Z1852" s="405"/>
    </row>
    <row r="1853" ht="14.25" customHeight="1">
      <c r="A1853" s="1134"/>
      <c r="B1853" s="405"/>
      <c r="C1853" s="405"/>
      <c r="D1853" s="1135"/>
      <c r="E1853" s="583"/>
      <c r="F1853" s="583"/>
      <c r="G1853" s="583"/>
      <c r="H1853" s="405"/>
      <c r="I1853" s="405"/>
      <c r="J1853" s="405"/>
      <c r="K1853" s="405"/>
      <c r="L1853" s="405"/>
      <c r="M1853" s="405"/>
      <c r="N1853" s="405"/>
      <c r="O1853" s="405"/>
      <c r="P1853" s="405"/>
      <c r="Q1853" s="405"/>
      <c r="R1853" s="405"/>
      <c r="S1853" s="405"/>
      <c r="T1853" s="405"/>
      <c r="U1853" s="405"/>
      <c r="V1853" s="405"/>
      <c r="W1853" s="405"/>
      <c r="X1853" s="405"/>
      <c r="Y1853" s="405"/>
      <c r="Z1853" s="405"/>
    </row>
    <row r="1854" ht="14.25" customHeight="1">
      <c r="A1854" s="1134"/>
      <c r="B1854" s="405"/>
      <c r="C1854" s="405"/>
      <c r="D1854" s="1135"/>
      <c r="E1854" s="583"/>
      <c r="F1854" s="583"/>
      <c r="G1854" s="583"/>
      <c r="H1854" s="405"/>
      <c r="I1854" s="405"/>
      <c r="J1854" s="405"/>
      <c r="K1854" s="405"/>
      <c r="L1854" s="405"/>
      <c r="M1854" s="405"/>
      <c r="N1854" s="405"/>
      <c r="O1854" s="405"/>
      <c r="P1854" s="405"/>
      <c r="Q1854" s="405"/>
      <c r="R1854" s="405"/>
      <c r="S1854" s="405"/>
      <c r="T1854" s="405"/>
      <c r="U1854" s="405"/>
      <c r="V1854" s="405"/>
      <c r="W1854" s="405"/>
      <c r="X1854" s="405"/>
      <c r="Y1854" s="405"/>
      <c r="Z1854" s="405"/>
    </row>
    <row r="1855" ht="14.25" customHeight="1">
      <c r="A1855" s="1134"/>
      <c r="B1855" s="405"/>
      <c r="C1855" s="405"/>
      <c r="D1855" s="1135"/>
      <c r="E1855" s="583"/>
      <c r="F1855" s="583"/>
      <c r="G1855" s="583"/>
      <c r="H1855" s="405"/>
      <c r="I1855" s="405"/>
      <c r="J1855" s="405"/>
      <c r="K1855" s="405"/>
      <c r="L1855" s="405"/>
      <c r="M1855" s="405"/>
      <c r="N1855" s="405"/>
      <c r="O1855" s="405"/>
      <c r="P1855" s="405"/>
      <c r="Q1855" s="405"/>
      <c r="R1855" s="405"/>
      <c r="S1855" s="405"/>
      <c r="T1855" s="405"/>
      <c r="U1855" s="405"/>
      <c r="V1855" s="405"/>
      <c r="W1855" s="405"/>
      <c r="X1855" s="405"/>
      <c r="Y1855" s="405"/>
      <c r="Z1855" s="405"/>
    </row>
    <row r="1856" ht="14.25" customHeight="1">
      <c r="A1856" s="1134"/>
      <c r="B1856" s="405"/>
      <c r="C1856" s="405"/>
      <c r="D1856" s="1135"/>
      <c r="E1856" s="583"/>
      <c r="F1856" s="583"/>
      <c r="G1856" s="583"/>
      <c r="H1856" s="405"/>
      <c r="I1856" s="405"/>
      <c r="J1856" s="405"/>
      <c r="K1856" s="405"/>
      <c r="L1856" s="405"/>
      <c r="M1856" s="405"/>
      <c r="N1856" s="405"/>
      <c r="O1856" s="405"/>
      <c r="P1856" s="405"/>
      <c r="Q1856" s="405"/>
      <c r="R1856" s="405"/>
      <c r="S1856" s="405"/>
      <c r="T1856" s="405"/>
      <c r="U1856" s="405"/>
      <c r="V1856" s="405"/>
      <c r="W1856" s="405"/>
      <c r="X1856" s="405"/>
      <c r="Y1856" s="405"/>
      <c r="Z1856" s="405"/>
    </row>
    <row r="1857" ht="14.25" customHeight="1">
      <c r="A1857" s="1134"/>
      <c r="B1857" s="405"/>
      <c r="C1857" s="405"/>
      <c r="D1857" s="1135"/>
      <c r="E1857" s="583"/>
      <c r="F1857" s="583"/>
      <c r="G1857" s="583"/>
      <c r="H1857" s="405"/>
      <c r="I1857" s="405"/>
      <c r="J1857" s="405"/>
      <c r="K1857" s="405"/>
      <c r="L1857" s="405"/>
      <c r="M1857" s="405"/>
      <c r="N1857" s="405"/>
      <c r="O1857" s="405"/>
      <c r="P1857" s="405"/>
      <c r="Q1857" s="405"/>
      <c r="R1857" s="405"/>
      <c r="S1857" s="405"/>
      <c r="T1857" s="405"/>
      <c r="U1857" s="405"/>
      <c r="V1857" s="405"/>
      <c r="W1857" s="405"/>
      <c r="X1857" s="405"/>
      <c r="Y1857" s="405"/>
      <c r="Z1857" s="405"/>
    </row>
    <row r="1858" ht="14.25" customHeight="1">
      <c r="A1858" s="1134"/>
      <c r="B1858" s="405"/>
      <c r="C1858" s="405"/>
      <c r="D1858" s="1135"/>
      <c r="E1858" s="583"/>
      <c r="F1858" s="583"/>
      <c r="G1858" s="583"/>
      <c r="H1858" s="405"/>
      <c r="I1858" s="405"/>
      <c r="J1858" s="405"/>
      <c r="K1858" s="405"/>
      <c r="L1858" s="405"/>
      <c r="M1858" s="405"/>
      <c r="N1858" s="405"/>
      <c r="O1858" s="405"/>
      <c r="P1858" s="405"/>
      <c r="Q1858" s="405"/>
      <c r="R1858" s="405"/>
      <c r="S1858" s="405"/>
      <c r="T1858" s="405"/>
      <c r="U1858" s="405"/>
      <c r="V1858" s="405"/>
      <c r="W1858" s="405"/>
      <c r="X1858" s="405"/>
      <c r="Y1858" s="405"/>
      <c r="Z1858" s="405"/>
    </row>
    <row r="1859" ht="14.25" customHeight="1">
      <c r="A1859" s="1134"/>
      <c r="B1859" s="405"/>
      <c r="C1859" s="405"/>
      <c r="D1859" s="1135"/>
      <c r="E1859" s="583"/>
      <c r="F1859" s="583"/>
      <c r="G1859" s="583"/>
      <c r="H1859" s="405"/>
      <c r="I1859" s="405"/>
      <c r="J1859" s="405"/>
      <c r="K1859" s="405"/>
      <c r="L1859" s="405"/>
      <c r="M1859" s="405"/>
      <c r="N1859" s="405"/>
      <c r="O1859" s="405"/>
      <c r="P1859" s="405"/>
      <c r="Q1859" s="405"/>
      <c r="R1859" s="405"/>
      <c r="S1859" s="405"/>
      <c r="T1859" s="405"/>
      <c r="U1859" s="405"/>
      <c r="V1859" s="405"/>
      <c r="W1859" s="405"/>
      <c r="X1859" s="405"/>
      <c r="Y1859" s="405"/>
      <c r="Z1859" s="405"/>
    </row>
    <row r="1860" ht="14.25" customHeight="1">
      <c r="A1860" s="1134"/>
      <c r="B1860" s="405"/>
      <c r="C1860" s="405"/>
      <c r="D1860" s="1135"/>
      <c r="E1860" s="583"/>
      <c r="F1860" s="583"/>
      <c r="G1860" s="583"/>
      <c r="H1860" s="405"/>
      <c r="I1860" s="405"/>
      <c r="J1860" s="405"/>
      <c r="K1860" s="405"/>
      <c r="L1860" s="405"/>
      <c r="M1860" s="405"/>
      <c r="N1860" s="405"/>
      <c r="O1860" s="405"/>
      <c r="P1860" s="405"/>
      <c r="Q1860" s="405"/>
      <c r="R1860" s="405"/>
      <c r="S1860" s="405"/>
      <c r="T1860" s="405"/>
      <c r="U1860" s="405"/>
      <c r="V1860" s="405"/>
      <c r="W1860" s="405"/>
      <c r="X1860" s="405"/>
      <c r="Y1860" s="405"/>
      <c r="Z1860" s="405"/>
    </row>
    <row r="1861" ht="14.25" customHeight="1">
      <c r="A1861" s="1134"/>
      <c r="B1861" s="405"/>
      <c r="C1861" s="405"/>
      <c r="D1861" s="1135"/>
      <c r="E1861" s="583"/>
      <c r="F1861" s="583"/>
      <c r="G1861" s="583"/>
      <c r="H1861" s="405"/>
      <c r="I1861" s="405"/>
      <c r="J1861" s="405"/>
      <c r="K1861" s="405"/>
      <c r="L1861" s="405"/>
      <c r="M1861" s="405"/>
      <c r="N1861" s="405"/>
      <c r="O1861" s="405"/>
      <c r="P1861" s="405"/>
      <c r="Q1861" s="405"/>
      <c r="R1861" s="405"/>
      <c r="S1861" s="405"/>
      <c r="T1861" s="405"/>
      <c r="U1861" s="405"/>
      <c r="V1861" s="405"/>
      <c r="W1861" s="405"/>
      <c r="X1861" s="405"/>
      <c r="Y1861" s="405"/>
      <c r="Z1861" s="405"/>
    </row>
    <row r="1862" ht="14.25" customHeight="1">
      <c r="A1862" s="1134"/>
      <c r="B1862" s="405"/>
      <c r="C1862" s="405"/>
      <c r="D1862" s="1135"/>
      <c r="E1862" s="583"/>
      <c r="F1862" s="583"/>
      <c r="G1862" s="583"/>
      <c r="H1862" s="405"/>
      <c r="I1862" s="405"/>
      <c r="J1862" s="405"/>
      <c r="K1862" s="405"/>
      <c r="L1862" s="405"/>
      <c r="M1862" s="405"/>
      <c r="N1862" s="405"/>
      <c r="O1862" s="405"/>
      <c r="P1862" s="405"/>
      <c r="Q1862" s="405"/>
      <c r="R1862" s="405"/>
      <c r="S1862" s="405"/>
      <c r="T1862" s="405"/>
      <c r="U1862" s="405"/>
      <c r="V1862" s="405"/>
      <c r="W1862" s="405"/>
      <c r="X1862" s="405"/>
      <c r="Y1862" s="405"/>
      <c r="Z1862" s="405"/>
    </row>
    <row r="1863" ht="14.25" customHeight="1">
      <c r="A1863" s="1134"/>
      <c r="B1863" s="405"/>
      <c r="C1863" s="405"/>
      <c r="D1863" s="1135"/>
      <c r="E1863" s="583"/>
      <c r="F1863" s="583"/>
      <c r="G1863" s="583"/>
      <c r="H1863" s="405"/>
      <c r="I1863" s="405"/>
      <c r="J1863" s="405"/>
      <c r="K1863" s="405"/>
      <c r="L1863" s="405"/>
      <c r="M1863" s="405"/>
      <c r="N1863" s="405"/>
      <c r="O1863" s="405"/>
      <c r="P1863" s="405"/>
      <c r="Q1863" s="405"/>
      <c r="R1863" s="405"/>
      <c r="S1863" s="405"/>
      <c r="T1863" s="405"/>
      <c r="U1863" s="405"/>
      <c r="V1863" s="405"/>
      <c r="W1863" s="405"/>
      <c r="X1863" s="405"/>
      <c r="Y1863" s="405"/>
      <c r="Z1863" s="405"/>
    </row>
    <row r="1864" ht="14.25" customHeight="1">
      <c r="A1864" s="1134"/>
      <c r="B1864" s="405"/>
      <c r="C1864" s="405"/>
      <c r="D1864" s="1135"/>
      <c r="E1864" s="583"/>
      <c r="F1864" s="583"/>
      <c r="G1864" s="583"/>
      <c r="H1864" s="405"/>
      <c r="I1864" s="405"/>
      <c r="J1864" s="405"/>
      <c r="K1864" s="405"/>
      <c r="L1864" s="405"/>
      <c r="M1864" s="405"/>
      <c r="N1864" s="405"/>
      <c r="O1864" s="405"/>
      <c r="P1864" s="405"/>
      <c r="Q1864" s="405"/>
      <c r="R1864" s="405"/>
      <c r="S1864" s="405"/>
      <c r="T1864" s="405"/>
      <c r="U1864" s="405"/>
      <c r="V1864" s="405"/>
      <c r="W1864" s="405"/>
      <c r="X1864" s="405"/>
      <c r="Y1864" s="405"/>
      <c r="Z1864" s="405"/>
    </row>
    <row r="1865" ht="14.25" customHeight="1">
      <c r="A1865" s="1134"/>
      <c r="B1865" s="405"/>
      <c r="C1865" s="405"/>
      <c r="D1865" s="1135"/>
      <c r="E1865" s="583"/>
      <c r="F1865" s="583"/>
      <c r="G1865" s="583"/>
      <c r="H1865" s="405"/>
      <c r="I1865" s="405"/>
      <c r="J1865" s="405"/>
      <c r="K1865" s="405"/>
      <c r="L1865" s="405"/>
      <c r="M1865" s="405"/>
      <c r="N1865" s="405"/>
      <c r="O1865" s="405"/>
      <c r="P1865" s="405"/>
      <c r="Q1865" s="405"/>
      <c r="R1865" s="405"/>
      <c r="S1865" s="405"/>
      <c r="T1865" s="405"/>
      <c r="U1865" s="405"/>
      <c r="V1865" s="405"/>
      <c r="W1865" s="405"/>
      <c r="X1865" s="405"/>
      <c r="Y1865" s="405"/>
      <c r="Z1865" s="405"/>
    </row>
    <row r="1866" ht="14.25" customHeight="1">
      <c r="A1866" s="1134"/>
      <c r="B1866" s="405"/>
      <c r="C1866" s="405"/>
      <c r="D1866" s="1135"/>
      <c r="E1866" s="583"/>
      <c r="F1866" s="583"/>
      <c r="G1866" s="583"/>
      <c r="H1866" s="405"/>
      <c r="I1866" s="405"/>
      <c r="J1866" s="405"/>
      <c r="K1866" s="405"/>
      <c r="L1866" s="405"/>
      <c r="M1866" s="405"/>
      <c r="N1866" s="405"/>
      <c r="O1866" s="405"/>
      <c r="P1866" s="405"/>
      <c r="Q1866" s="405"/>
      <c r="R1866" s="405"/>
      <c r="S1866" s="405"/>
      <c r="T1866" s="405"/>
      <c r="U1866" s="405"/>
      <c r="V1866" s="405"/>
      <c r="W1866" s="405"/>
      <c r="X1866" s="405"/>
      <c r="Y1866" s="405"/>
      <c r="Z1866" s="405"/>
    </row>
    <row r="1867" ht="14.25" customHeight="1">
      <c r="A1867" s="1134"/>
      <c r="B1867" s="405"/>
      <c r="C1867" s="405"/>
      <c r="D1867" s="1135"/>
      <c r="E1867" s="583"/>
      <c r="F1867" s="583"/>
      <c r="G1867" s="583"/>
      <c r="H1867" s="405"/>
      <c r="I1867" s="405"/>
      <c r="J1867" s="405"/>
      <c r="K1867" s="405"/>
      <c r="L1867" s="405"/>
      <c r="M1867" s="405"/>
      <c r="N1867" s="405"/>
      <c r="O1867" s="405"/>
      <c r="P1867" s="405"/>
      <c r="Q1867" s="405"/>
      <c r="R1867" s="405"/>
      <c r="S1867" s="405"/>
      <c r="T1867" s="405"/>
      <c r="U1867" s="405"/>
      <c r="V1867" s="405"/>
      <c r="W1867" s="405"/>
      <c r="X1867" s="405"/>
      <c r="Y1867" s="405"/>
      <c r="Z1867" s="405"/>
    </row>
    <row r="1868" ht="14.25" customHeight="1">
      <c r="A1868" s="1134"/>
      <c r="B1868" s="405"/>
      <c r="C1868" s="405"/>
      <c r="D1868" s="1135"/>
      <c r="E1868" s="583"/>
      <c r="F1868" s="583"/>
      <c r="G1868" s="583"/>
      <c r="H1868" s="405"/>
      <c r="I1868" s="405"/>
      <c r="J1868" s="405"/>
      <c r="K1868" s="405"/>
      <c r="L1868" s="405"/>
      <c r="M1868" s="405"/>
      <c r="N1868" s="405"/>
      <c r="O1868" s="405"/>
      <c r="P1868" s="405"/>
      <c r="Q1868" s="405"/>
      <c r="R1868" s="405"/>
      <c r="S1868" s="405"/>
      <c r="T1868" s="405"/>
      <c r="U1868" s="405"/>
      <c r="V1868" s="405"/>
      <c r="W1868" s="405"/>
      <c r="X1868" s="405"/>
      <c r="Y1868" s="405"/>
      <c r="Z1868" s="405"/>
    </row>
    <row r="1869" ht="14.25" customHeight="1">
      <c r="A1869" s="1134"/>
      <c r="B1869" s="405"/>
      <c r="C1869" s="405"/>
      <c r="D1869" s="1135"/>
      <c r="E1869" s="583"/>
      <c r="F1869" s="583"/>
      <c r="G1869" s="583"/>
      <c r="H1869" s="405"/>
      <c r="I1869" s="405"/>
      <c r="J1869" s="405"/>
      <c r="K1869" s="405"/>
      <c r="L1869" s="405"/>
      <c r="M1869" s="405"/>
      <c r="N1869" s="405"/>
      <c r="O1869" s="405"/>
      <c r="P1869" s="405"/>
      <c r="Q1869" s="405"/>
      <c r="R1869" s="405"/>
      <c r="S1869" s="405"/>
      <c r="T1869" s="405"/>
      <c r="U1869" s="405"/>
      <c r="V1869" s="405"/>
      <c r="W1869" s="405"/>
      <c r="X1869" s="405"/>
      <c r="Y1869" s="405"/>
      <c r="Z1869" s="405"/>
    </row>
    <row r="1870" ht="14.25" customHeight="1">
      <c r="A1870" s="1134"/>
      <c r="B1870" s="405"/>
      <c r="C1870" s="405"/>
      <c r="D1870" s="1135"/>
      <c r="E1870" s="583"/>
      <c r="F1870" s="583"/>
      <c r="G1870" s="583"/>
      <c r="H1870" s="405"/>
      <c r="I1870" s="405"/>
      <c r="J1870" s="405"/>
      <c r="K1870" s="405"/>
      <c r="L1870" s="405"/>
      <c r="M1870" s="405"/>
      <c r="N1870" s="405"/>
      <c r="O1870" s="405"/>
      <c r="P1870" s="405"/>
      <c r="Q1870" s="405"/>
      <c r="R1870" s="405"/>
      <c r="S1870" s="405"/>
      <c r="T1870" s="405"/>
      <c r="U1870" s="405"/>
      <c r="V1870" s="405"/>
      <c r="W1870" s="405"/>
      <c r="X1870" s="405"/>
      <c r="Y1870" s="405"/>
      <c r="Z1870" s="405"/>
    </row>
    <row r="1871" ht="14.25" customHeight="1">
      <c r="A1871" s="1134"/>
      <c r="B1871" s="405"/>
      <c r="C1871" s="405"/>
      <c r="D1871" s="1135"/>
      <c r="E1871" s="583"/>
      <c r="F1871" s="583"/>
      <c r="G1871" s="583"/>
      <c r="H1871" s="405"/>
      <c r="I1871" s="405"/>
      <c r="J1871" s="405"/>
      <c r="K1871" s="405"/>
      <c r="L1871" s="405"/>
      <c r="M1871" s="405"/>
      <c r="N1871" s="405"/>
      <c r="O1871" s="405"/>
      <c r="P1871" s="405"/>
      <c r="Q1871" s="405"/>
      <c r="R1871" s="405"/>
      <c r="S1871" s="405"/>
      <c r="T1871" s="405"/>
      <c r="U1871" s="405"/>
      <c r="V1871" s="405"/>
      <c r="W1871" s="405"/>
      <c r="X1871" s="405"/>
      <c r="Y1871" s="405"/>
      <c r="Z1871" s="405"/>
    </row>
    <row r="1872" ht="14.25" customHeight="1">
      <c r="A1872" s="1134"/>
      <c r="B1872" s="405"/>
      <c r="C1872" s="405"/>
      <c r="D1872" s="1135"/>
      <c r="E1872" s="583"/>
      <c r="F1872" s="583"/>
      <c r="G1872" s="583"/>
      <c r="H1872" s="405"/>
      <c r="I1872" s="405"/>
      <c r="J1872" s="405"/>
      <c r="K1872" s="405"/>
      <c r="L1872" s="405"/>
      <c r="M1872" s="405"/>
      <c r="N1872" s="405"/>
      <c r="O1872" s="405"/>
      <c r="P1872" s="405"/>
      <c r="Q1872" s="405"/>
      <c r="R1872" s="405"/>
      <c r="S1872" s="405"/>
      <c r="T1872" s="405"/>
      <c r="U1872" s="405"/>
      <c r="V1872" s="405"/>
      <c r="W1872" s="405"/>
      <c r="X1872" s="405"/>
      <c r="Y1872" s="405"/>
      <c r="Z1872" s="405"/>
    </row>
    <row r="1873" ht="14.25" customHeight="1">
      <c r="A1873" s="1134"/>
      <c r="B1873" s="405"/>
      <c r="C1873" s="405"/>
      <c r="D1873" s="1135"/>
      <c r="E1873" s="583"/>
      <c r="F1873" s="583"/>
      <c r="G1873" s="583"/>
      <c r="H1873" s="405"/>
      <c r="I1873" s="405"/>
      <c r="J1873" s="405"/>
      <c r="K1873" s="405"/>
      <c r="L1873" s="405"/>
      <c r="M1873" s="405"/>
      <c r="N1873" s="405"/>
      <c r="O1873" s="405"/>
      <c r="P1873" s="405"/>
      <c r="Q1873" s="405"/>
      <c r="R1873" s="405"/>
      <c r="S1873" s="405"/>
      <c r="T1873" s="405"/>
      <c r="U1873" s="405"/>
      <c r="V1873" s="405"/>
      <c r="W1873" s="405"/>
      <c r="X1873" s="405"/>
      <c r="Y1873" s="405"/>
      <c r="Z1873" s="405"/>
    </row>
    <row r="1874" ht="14.25" customHeight="1">
      <c r="A1874" s="1134"/>
      <c r="B1874" s="405"/>
      <c r="C1874" s="405"/>
      <c r="D1874" s="1135"/>
      <c r="E1874" s="583"/>
      <c r="F1874" s="583"/>
      <c r="G1874" s="583"/>
      <c r="H1874" s="405"/>
      <c r="I1874" s="405"/>
      <c r="J1874" s="405"/>
      <c r="K1874" s="405"/>
      <c r="L1874" s="405"/>
      <c r="M1874" s="405"/>
      <c r="N1874" s="405"/>
      <c r="O1874" s="405"/>
      <c r="P1874" s="405"/>
      <c r="Q1874" s="405"/>
      <c r="R1874" s="405"/>
      <c r="S1874" s="405"/>
      <c r="T1874" s="405"/>
      <c r="U1874" s="405"/>
      <c r="V1874" s="405"/>
      <c r="W1874" s="405"/>
      <c r="X1874" s="405"/>
      <c r="Y1874" s="405"/>
      <c r="Z1874" s="405"/>
    </row>
    <row r="1875" ht="14.25" customHeight="1">
      <c r="A1875" s="1134"/>
      <c r="B1875" s="405"/>
      <c r="C1875" s="405"/>
      <c r="D1875" s="1135"/>
      <c r="E1875" s="583"/>
      <c r="F1875" s="583"/>
      <c r="G1875" s="583"/>
      <c r="H1875" s="405"/>
      <c r="I1875" s="405"/>
      <c r="J1875" s="405"/>
      <c r="K1875" s="405"/>
      <c r="L1875" s="405"/>
      <c r="M1875" s="405"/>
      <c r="N1875" s="405"/>
      <c r="O1875" s="405"/>
      <c r="P1875" s="405"/>
      <c r="Q1875" s="405"/>
      <c r="R1875" s="405"/>
      <c r="S1875" s="405"/>
      <c r="T1875" s="405"/>
      <c r="U1875" s="405"/>
      <c r="V1875" s="405"/>
      <c r="W1875" s="405"/>
      <c r="X1875" s="405"/>
      <c r="Y1875" s="405"/>
      <c r="Z1875" s="405"/>
    </row>
    <row r="1876" ht="14.25" customHeight="1">
      <c r="A1876" s="1134"/>
      <c r="B1876" s="405"/>
      <c r="C1876" s="405"/>
      <c r="D1876" s="1135"/>
      <c r="E1876" s="583"/>
      <c r="F1876" s="583"/>
      <c r="G1876" s="583"/>
      <c r="H1876" s="405"/>
      <c r="I1876" s="405"/>
      <c r="J1876" s="405"/>
      <c r="K1876" s="405"/>
      <c r="L1876" s="405"/>
      <c r="M1876" s="405"/>
      <c r="N1876" s="405"/>
      <c r="O1876" s="405"/>
      <c r="P1876" s="405"/>
      <c r="Q1876" s="405"/>
      <c r="R1876" s="405"/>
      <c r="S1876" s="405"/>
      <c r="T1876" s="405"/>
      <c r="U1876" s="405"/>
      <c r="V1876" s="405"/>
      <c r="W1876" s="405"/>
      <c r="X1876" s="405"/>
      <c r="Y1876" s="405"/>
      <c r="Z1876" s="405"/>
    </row>
    <row r="1877" ht="14.25" customHeight="1">
      <c r="A1877" s="1134"/>
      <c r="B1877" s="405"/>
      <c r="C1877" s="405"/>
      <c r="D1877" s="1135"/>
      <c r="E1877" s="583"/>
      <c r="F1877" s="583"/>
      <c r="G1877" s="583"/>
      <c r="H1877" s="405"/>
      <c r="I1877" s="405"/>
      <c r="J1877" s="405"/>
      <c r="K1877" s="405"/>
      <c r="L1877" s="405"/>
      <c r="M1877" s="405"/>
      <c r="N1877" s="405"/>
      <c r="O1877" s="405"/>
      <c r="P1877" s="405"/>
      <c r="Q1877" s="405"/>
      <c r="R1877" s="405"/>
      <c r="S1877" s="405"/>
      <c r="T1877" s="405"/>
      <c r="U1877" s="405"/>
      <c r="V1877" s="405"/>
      <c r="W1877" s="405"/>
      <c r="X1877" s="405"/>
      <c r="Y1877" s="405"/>
      <c r="Z1877" s="405"/>
    </row>
    <row r="1878" ht="14.25" customHeight="1">
      <c r="A1878" s="1134"/>
      <c r="B1878" s="405"/>
      <c r="C1878" s="405"/>
      <c r="D1878" s="1135"/>
      <c r="E1878" s="583"/>
      <c r="F1878" s="583"/>
      <c r="G1878" s="583"/>
      <c r="H1878" s="405"/>
      <c r="I1878" s="405"/>
      <c r="J1878" s="405"/>
      <c r="K1878" s="405"/>
      <c r="L1878" s="405"/>
      <c r="M1878" s="405"/>
      <c r="N1878" s="405"/>
      <c r="O1878" s="405"/>
      <c r="P1878" s="405"/>
      <c r="Q1878" s="405"/>
      <c r="R1878" s="405"/>
      <c r="S1878" s="405"/>
      <c r="T1878" s="405"/>
      <c r="U1878" s="405"/>
      <c r="V1878" s="405"/>
      <c r="W1878" s="405"/>
      <c r="X1878" s="405"/>
      <c r="Y1878" s="405"/>
      <c r="Z1878" s="405"/>
    </row>
    <row r="1879" ht="14.25" customHeight="1">
      <c r="A1879" s="1134"/>
      <c r="B1879" s="405"/>
      <c r="C1879" s="405"/>
      <c r="D1879" s="1135"/>
      <c r="E1879" s="583"/>
      <c r="F1879" s="583"/>
      <c r="G1879" s="583"/>
      <c r="H1879" s="405"/>
      <c r="I1879" s="405"/>
      <c r="J1879" s="405"/>
      <c r="K1879" s="405"/>
      <c r="L1879" s="405"/>
      <c r="M1879" s="405"/>
      <c r="N1879" s="405"/>
      <c r="O1879" s="405"/>
      <c r="P1879" s="405"/>
      <c r="Q1879" s="405"/>
      <c r="R1879" s="405"/>
      <c r="S1879" s="405"/>
      <c r="T1879" s="405"/>
      <c r="U1879" s="405"/>
      <c r="V1879" s="405"/>
      <c r="W1879" s="405"/>
      <c r="X1879" s="405"/>
      <c r="Y1879" s="405"/>
      <c r="Z1879" s="405"/>
    </row>
    <row r="1880" ht="14.25" customHeight="1">
      <c r="A1880" s="1134"/>
      <c r="B1880" s="405"/>
      <c r="C1880" s="405"/>
      <c r="D1880" s="1135"/>
      <c r="E1880" s="583"/>
      <c r="F1880" s="583"/>
      <c r="G1880" s="583"/>
      <c r="H1880" s="405"/>
      <c r="I1880" s="405"/>
      <c r="J1880" s="405"/>
      <c r="K1880" s="405"/>
      <c r="L1880" s="405"/>
      <c r="M1880" s="405"/>
      <c r="N1880" s="405"/>
      <c r="O1880" s="405"/>
      <c r="P1880" s="405"/>
      <c r="Q1880" s="405"/>
      <c r="R1880" s="405"/>
      <c r="S1880" s="405"/>
      <c r="T1880" s="405"/>
      <c r="U1880" s="405"/>
      <c r="V1880" s="405"/>
      <c r="W1880" s="405"/>
      <c r="X1880" s="405"/>
      <c r="Y1880" s="405"/>
      <c r="Z1880" s="405"/>
    </row>
    <row r="1881" ht="14.25" customHeight="1">
      <c r="A1881" s="1134"/>
      <c r="B1881" s="405"/>
      <c r="C1881" s="405"/>
      <c r="D1881" s="1135"/>
      <c r="E1881" s="583"/>
      <c r="F1881" s="583"/>
      <c r="G1881" s="583"/>
      <c r="H1881" s="405"/>
      <c r="I1881" s="405"/>
      <c r="J1881" s="405"/>
      <c r="K1881" s="405"/>
      <c r="L1881" s="405"/>
      <c r="M1881" s="405"/>
      <c r="N1881" s="405"/>
      <c r="O1881" s="405"/>
      <c r="P1881" s="405"/>
      <c r="Q1881" s="405"/>
      <c r="R1881" s="405"/>
      <c r="S1881" s="405"/>
      <c r="T1881" s="405"/>
      <c r="U1881" s="405"/>
      <c r="V1881" s="405"/>
      <c r="W1881" s="405"/>
      <c r="X1881" s="405"/>
      <c r="Y1881" s="405"/>
      <c r="Z1881" s="405"/>
    </row>
    <row r="1882" ht="14.25" customHeight="1">
      <c r="A1882" s="1134"/>
      <c r="B1882" s="405"/>
      <c r="C1882" s="405"/>
      <c r="D1882" s="1135"/>
      <c r="E1882" s="583"/>
      <c r="F1882" s="583"/>
      <c r="G1882" s="583"/>
      <c r="H1882" s="405"/>
      <c r="I1882" s="405"/>
      <c r="J1882" s="405"/>
      <c r="K1882" s="405"/>
      <c r="L1882" s="405"/>
      <c r="M1882" s="405"/>
      <c r="N1882" s="405"/>
      <c r="O1882" s="405"/>
      <c r="P1882" s="405"/>
      <c r="Q1882" s="405"/>
      <c r="R1882" s="405"/>
      <c r="S1882" s="405"/>
      <c r="T1882" s="405"/>
      <c r="U1882" s="405"/>
      <c r="V1882" s="405"/>
      <c r="W1882" s="405"/>
      <c r="X1882" s="405"/>
      <c r="Y1882" s="405"/>
      <c r="Z1882" s="405"/>
    </row>
    <row r="1883" ht="14.25" customHeight="1">
      <c r="A1883" s="1134"/>
      <c r="B1883" s="405"/>
      <c r="C1883" s="405"/>
      <c r="D1883" s="1135"/>
      <c r="E1883" s="583"/>
      <c r="F1883" s="583"/>
      <c r="G1883" s="583"/>
      <c r="H1883" s="405"/>
      <c r="I1883" s="405"/>
      <c r="J1883" s="405"/>
      <c r="K1883" s="405"/>
      <c r="L1883" s="405"/>
      <c r="M1883" s="405"/>
      <c r="N1883" s="405"/>
      <c r="O1883" s="405"/>
      <c r="P1883" s="405"/>
      <c r="Q1883" s="405"/>
      <c r="R1883" s="405"/>
      <c r="S1883" s="405"/>
      <c r="T1883" s="405"/>
      <c r="U1883" s="405"/>
      <c r="V1883" s="405"/>
      <c r="W1883" s="405"/>
      <c r="X1883" s="405"/>
      <c r="Y1883" s="405"/>
      <c r="Z1883" s="405"/>
    </row>
    <row r="1884" ht="14.25" customHeight="1">
      <c r="A1884" s="1134"/>
      <c r="B1884" s="405"/>
      <c r="C1884" s="405"/>
      <c r="D1884" s="1135"/>
      <c r="E1884" s="583"/>
      <c r="F1884" s="583"/>
      <c r="G1884" s="583"/>
      <c r="H1884" s="405"/>
      <c r="I1884" s="405"/>
      <c r="J1884" s="405"/>
      <c r="K1884" s="405"/>
      <c r="L1884" s="405"/>
      <c r="M1884" s="405"/>
      <c r="N1884" s="405"/>
      <c r="O1884" s="405"/>
      <c r="P1884" s="405"/>
      <c r="Q1884" s="405"/>
      <c r="R1884" s="405"/>
      <c r="S1884" s="405"/>
      <c r="T1884" s="405"/>
      <c r="U1884" s="405"/>
      <c r="V1884" s="405"/>
      <c r="W1884" s="405"/>
      <c r="X1884" s="405"/>
      <c r="Y1884" s="405"/>
      <c r="Z1884" s="405"/>
    </row>
    <row r="1885" ht="14.25" customHeight="1">
      <c r="A1885" s="1134"/>
      <c r="B1885" s="405"/>
      <c r="C1885" s="405"/>
      <c r="D1885" s="1135"/>
      <c r="E1885" s="583"/>
      <c r="F1885" s="583"/>
      <c r="G1885" s="583"/>
      <c r="H1885" s="405"/>
      <c r="I1885" s="405"/>
      <c r="J1885" s="405"/>
      <c r="K1885" s="405"/>
      <c r="L1885" s="405"/>
      <c r="M1885" s="405"/>
      <c r="N1885" s="405"/>
      <c r="O1885" s="405"/>
      <c r="P1885" s="405"/>
      <c r="Q1885" s="405"/>
      <c r="R1885" s="405"/>
      <c r="S1885" s="405"/>
      <c r="T1885" s="405"/>
      <c r="U1885" s="405"/>
      <c r="V1885" s="405"/>
      <c r="W1885" s="405"/>
      <c r="X1885" s="405"/>
      <c r="Y1885" s="405"/>
      <c r="Z1885" s="405"/>
    </row>
    <row r="1886" ht="14.25" customHeight="1">
      <c r="A1886" s="1134"/>
      <c r="B1886" s="405"/>
      <c r="C1886" s="405"/>
      <c r="D1886" s="1135"/>
      <c r="E1886" s="583"/>
      <c r="F1886" s="583"/>
      <c r="G1886" s="583"/>
      <c r="H1886" s="405"/>
      <c r="I1886" s="405"/>
      <c r="J1886" s="405"/>
      <c r="K1886" s="405"/>
      <c r="L1886" s="405"/>
      <c r="M1886" s="405"/>
      <c r="N1886" s="405"/>
      <c r="O1886" s="405"/>
      <c r="P1886" s="405"/>
      <c r="Q1886" s="405"/>
      <c r="R1886" s="405"/>
      <c r="S1886" s="405"/>
      <c r="T1886" s="405"/>
      <c r="U1886" s="405"/>
      <c r="V1886" s="405"/>
      <c r="W1886" s="405"/>
      <c r="X1886" s="405"/>
      <c r="Y1886" s="405"/>
      <c r="Z1886" s="405"/>
    </row>
    <row r="1887" ht="14.25" customHeight="1">
      <c r="A1887" s="1134"/>
      <c r="B1887" s="405"/>
      <c r="C1887" s="405"/>
      <c r="D1887" s="1135"/>
      <c r="E1887" s="583"/>
      <c r="F1887" s="583"/>
      <c r="G1887" s="583"/>
      <c r="H1887" s="405"/>
      <c r="I1887" s="405"/>
      <c r="J1887" s="405"/>
      <c r="K1887" s="405"/>
      <c r="L1887" s="405"/>
      <c r="M1887" s="405"/>
      <c r="N1887" s="405"/>
      <c r="O1887" s="405"/>
      <c r="P1887" s="405"/>
      <c r="Q1887" s="405"/>
      <c r="R1887" s="405"/>
      <c r="S1887" s="405"/>
      <c r="T1887" s="405"/>
      <c r="U1887" s="405"/>
      <c r="V1887" s="405"/>
      <c r="W1887" s="405"/>
      <c r="X1887" s="405"/>
      <c r="Y1887" s="405"/>
      <c r="Z1887" s="405"/>
    </row>
    <row r="1888" ht="14.25" customHeight="1">
      <c r="A1888" s="1134"/>
      <c r="B1888" s="405"/>
      <c r="C1888" s="405"/>
      <c r="D1888" s="1135"/>
      <c r="E1888" s="583"/>
      <c r="F1888" s="583"/>
      <c r="G1888" s="583"/>
      <c r="H1888" s="405"/>
      <c r="I1888" s="405"/>
      <c r="J1888" s="405"/>
      <c r="K1888" s="405"/>
      <c r="L1888" s="405"/>
      <c r="M1888" s="405"/>
      <c r="N1888" s="405"/>
      <c r="O1888" s="405"/>
      <c r="P1888" s="405"/>
      <c r="Q1888" s="405"/>
      <c r="R1888" s="405"/>
      <c r="S1888" s="405"/>
      <c r="T1888" s="405"/>
      <c r="U1888" s="405"/>
      <c r="V1888" s="405"/>
      <c r="W1888" s="405"/>
      <c r="X1888" s="405"/>
      <c r="Y1888" s="405"/>
      <c r="Z1888" s="405"/>
    </row>
    <row r="1889" ht="14.25" customHeight="1">
      <c r="A1889" s="1134"/>
      <c r="B1889" s="405"/>
      <c r="C1889" s="405"/>
      <c r="D1889" s="1135"/>
      <c r="E1889" s="583"/>
      <c r="F1889" s="583"/>
      <c r="G1889" s="583"/>
      <c r="H1889" s="405"/>
      <c r="I1889" s="405"/>
      <c r="J1889" s="405"/>
      <c r="K1889" s="405"/>
      <c r="L1889" s="405"/>
      <c r="M1889" s="405"/>
      <c r="N1889" s="405"/>
      <c r="O1889" s="405"/>
      <c r="P1889" s="405"/>
      <c r="Q1889" s="405"/>
      <c r="R1889" s="405"/>
      <c r="S1889" s="405"/>
      <c r="T1889" s="405"/>
      <c r="U1889" s="405"/>
      <c r="V1889" s="405"/>
      <c r="W1889" s="405"/>
      <c r="X1889" s="405"/>
      <c r="Y1889" s="405"/>
      <c r="Z1889" s="405"/>
    </row>
    <row r="1890" ht="14.25" customHeight="1">
      <c r="A1890" s="1134"/>
      <c r="B1890" s="405"/>
      <c r="C1890" s="405"/>
      <c r="D1890" s="1135"/>
      <c r="E1890" s="583"/>
      <c r="F1890" s="583"/>
      <c r="G1890" s="583"/>
      <c r="H1890" s="405"/>
      <c r="I1890" s="405"/>
      <c r="J1890" s="405"/>
      <c r="K1890" s="405"/>
      <c r="L1890" s="405"/>
      <c r="M1890" s="405"/>
      <c r="N1890" s="405"/>
      <c r="O1890" s="405"/>
      <c r="P1890" s="405"/>
      <c r="Q1890" s="405"/>
      <c r="R1890" s="405"/>
      <c r="S1890" s="405"/>
      <c r="T1890" s="405"/>
      <c r="U1890" s="405"/>
      <c r="V1890" s="405"/>
      <c r="W1890" s="405"/>
      <c r="X1890" s="405"/>
      <c r="Y1890" s="405"/>
      <c r="Z1890" s="405"/>
    </row>
    <row r="1891" ht="14.25" customHeight="1">
      <c r="A1891" s="1134"/>
      <c r="B1891" s="405"/>
      <c r="C1891" s="405"/>
      <c r="D1891" s="1135"/>
      <c r="E1891" s="583"/>
      <c r="F1891" s="583"/>
      <c r="G1891" s="583"/>
      <c r="H1891" s="405"/>
      <c r="I1891" s="405"/>
      <c r="J1891" s="405"/>
      <c r="K1891" s="405"/>
      <c r="L1891" s="405"/>
      <c r="M1891" s="405"/>
      <c r="N1891" s="405"/>
      <c r="O1891" s="405"/>
      <c r="P1891" s="405"/>
      <c r="Q1891" s="405"/>
      <c r="R1891" s="405"/>
      <c r="S1891" s="405"/>
      <c r="T1891" s="405"/>
      <c r="U1891" s="405"/>
      <c r="V1891" s="405"/>
      <c r="W1891" s="405"/>
      <c r="X1891" s="405"/>
      <c r="Y1891" s="405"/>
      <c r="Z1891" s="405"/>
    </row>
    <row r="1892" ht="14.25" customHeight="1">
      <c r="A1892" s="1134"/>
      <c r="B1892" s="405"/>
      <c r="C1892" s="405"/>
      <c r="D1892" s="1135"/>
      <c r="E1892" s="583"/>
      <c r="F1892" s="583"/>
      <c r="G1892" s="583"/>
      <c r="H1892" s="405"/>
      <c r="I1892" s="405"/>
      <c r="J1892" s="405"/>
      <c r="K1892" s="405"/>
      <c r="L1892" s="405"/>
      <c r="M1892" s="405"/>
      <c r="N1892" s="405"/>
      <c r="O1892" s="405"/>
      <c r="P1892" s="405"/>
      <c r="Q1892" s="405"/>
      <c r="R1892" s="405"/>
      <c r="S1892" s="405"/>
      <c r="T1892" s="405"/>
      <c r="U1892" s="405"/>
      <c r="V1892" s="405"/>
      <c r="W1892" s="405"/>
      <c r="X1892" s="405"/>
      <c r="Y1892" s="405"/>
      <c r="Z1892" s="405"/>
    </row>
    <row r="1893" ht="14.25" customHeight="1">
      <c r="A1893" s="1134"/>
      <c r="B1893" s="405"/>
      <c r="C1893" s="405"/>
      <c r="D1893" s="1135"/>
      <c r="E1893" s="583"/>
      <c r="F1893" s="583"/>
      <c r="G1893" s="583"/>
      <c r="H1893" s="405"/>
      <c r="I1893" s="405"/>
      <c r="J1893" s="405"/>
      <c r="K1893" s="405"/>
      <c r="L1893" s="405"/>
      <c r="M1893" s="405"/>
      <c r="N1893" s="405"/>
      <c r="O1893" s="405"/>
      <c r="P1893" s="405"/>
      <c r="Q1893" s="405"/>
      <c r="R1893" s="405"/>
      <c r="S1893" s="405"/>
      <c r="T1893" s="405"/>
      <c r="U1893" s="405"/>
      <c r="V1893" s="405"/>
      <c r="W1893" s="405"/>
      <c r="X1893" s="405"/>
      <c r="Y1893" s="405"/>
      <c r="Z1893" s="405"/>
    </row>
    <row r="1894" ht="14.25" customHeight="1">
      <c r="A1894" s="1134"/>
      <c r="B1894" s="405"/>
      <c r="C1894" s="405"/>
      <c r="D1894" s="1135"/>
      <c r="E1894" s="583"/>
      <c r="F1894" s="583"/>
      <c r="G1894" s="583"/>
      <c r="H1894" s="405"/>
      <c r="I1894" s="405"/>
      <c r="J1894" s="405"/>
      <c r="K1894" s="405"/>
      <c r="L1894" s="405"/>
      <c r="M1894" s="405"/>
      <c r="N1894" s="405"/>
      <c r="O1894" s="405"/>
      <c r="P1894" s="405"/>
      <c r="Q1894" s="405"/>
      <c r="R1894" s="405"/>
      <c r="S1894" s="405"/>
      <c r="T1894" s="405"/>
      <c r="U1894" s="405"/>
      <c r="V1894" s="405"/>
      <c r="W1894" s="405"/>
      <c r="X1894" s="405"/>
      <c r="Y1894" s="405"/>
      <c r="Z1894" s="405"/>
    </row>
    <row r="1895" ht="14.25" customHeight="1">
      <c r="A1895" s="1134"/>
      <c r="B1895" s="405"/>
      <c r="C1895" s="405"/>
      <c r="D1895" s="1135"/>
      <c r="E1895" s="583"/>
      <c r="F1895" s="583"/>
      <c r="G1895" s="583"/>
      <c r="H1895" s="405"/>
      <c r="I1895" s="405"/>
      <c r="J1895" s="405"/>
      <c r="K1895" s="405"/>
      <c r="L1895" s="405"/>
      <c r="M1895" s="405"/>
      <c r="N1895" s="405"/>
      <c r="O1895" s="405"/>
      <c r="P1895" s="405"/>
      <c r="Q1895" s="405"/>
      <c r="R1895" s="405"/>
      <c r="S1895" s="405"/>
      <c r="T1895" s="405"/>
      <c r="U1895" s="405"/>
      <c r="V1895" s="405"/>
      <c r="W1895" s="405"/>
      <c r="X1895" s="405"/>
      <c r="Y1895" s="405"/>
      <c r="Z1895" s="405"/>
    </row>
    <row r="1896" ht="14.25" customHeight="1">
      <c r="A1896" s="1134"/>
      <c r="B1896" s="405"/>
      <c r="C1896" s="405"/>
      <c r="D1896" s="1135"/>
      <c r="E1896" s="583"/>
      <c r="F1896" s="583"/>
      <c r="G1896" s="583"/>
      <c r="H1896" s="405"/>
      <c r="I1896" s="405"/>
      <c r="J1896" s="405"/>
      <c r="K1896" s="405"/>
      <c r="L1896" s="405"/>
      <c r="M1896" s="405"/>
      <c r="N1896" s="405"/>
      <c r="O1896" s="405"/>
      <c r="P1896" s="405"/>
      <c r="Q1896" s="405"/>
      <c r="R1896" s="405"/>
      <c r="S1896" s="405"/>
      <c r="T1896" s="405"/>
      <c r="U1896" s="405"/>
      <c r="V1896" s="405"/>
      <c r="W1896" s="405"/>
      <c r="X1896" s="405"/>
      <c r="Y1896" s="405"/>
      <c r="Z1896" s="405"/>
    </row>
    <row r="1897" ht="14.25" customHeight="1">
      <c r="A1897" s="1134"/>
      <c r="B1897" s="405"/>
      <c r="C1897" s="405"/>
      <c r="D1897" s="1135"/>
      <c r="E1897" s="583"/>
      <c r="F1897" s="583"/>
      <c r="G1897" s="583"/>
      <c r="H1897" s="405"/>
      <c r="I1897" s="405"/>
      <c r="J1897" s="405"/>
      <c r="K1897" s="405"/>
      <c r="L1897" s="405"/>
      <c r="M1897" s="405"/>
      <c r="N1897" s="405"/>
      <c r="O1897" s="405"/>
      <c r="P1897" s="405"/>
      <c r="Q1897" s="405"/>
      <c r="R1897" s="405"/>
      <c r="S1897" s="405"/>
      <c r="T1897" s="405"/>
      <c r="U1897" s="405"/>
      <c r="V1897" s="405"/>
      <c r="W1897" s="405"/>
      <c r="X1897" s="405"/>
      <c r="Y1897" s="405"/>
      <c r="Z1897" s="405"/>
    </row>
    <row r="1898" ht="14.25" customHeight="1">
      <c r="A1898" s="1134"/>
      <c r="B1898" s="405"/>
      <c r="C1898" s="405"/>
      <c r="D1898" s="1135"/>
      <c r="E1898" s="583"/>
      <c r="F1898" s="583"/>
      <c r="G1898" s="583"/>
      <c r="H1898" s="405"/>
      <c r="I1898" s="405"/>
      <c r="J1898" s="405"/>
      <c r="K1898" s="405"/>
      <c r="L1898" s="405"/>
      <c r="M1898" s="405"/>
      <c r="N1898" s="405"/>
      <c r="O1898" s="405"/>
      <c r="P1898" s="405"/>
      <c r="Q1898" s="405"/>
      <c r="R1898" s="405"/>
      <c r="S1898" s="405"/>
      <c r="T1898" s="405"/>
      <c r="U1898" s="405"/>
      <c r="V1898" s="405"/>
      <c r="W1898" s="405"/>
      <c r="X1898" s="405"/>
      <c r="Y1898" s="405"/>
      <c r="Z1898" s="405"/>
    </row>
    <row r="1899" ht="14.25" customHeight="1">
      <c r="A1899" s="1134"/>
      <c r="B1899" s="405"/>
      <c r="C1899" s="405"/>
      <c r="D1899" s="1135"/>
      <c r="E1899" s="583"/>
      <c r="F1899" s="583"/>
      <c r="G1899" s="583"/>
      <c r="H1899" s="405"/>
      <c r="I1899" s="405"/>
      <c r="J1899" s="405"/>
      <c r="K1899" s="405"/>
      <c r="L1899" s="405"/>
      <c r="M1899" s="405"/>
      <c r="N1899" s="405"/>
      <c r="O1899" s="405"/>
      <c r="P1899" s="405"/>
      <c r="Q1899" s="405"/>
      <c r="R1899" s="405"/>
      <c r="S1899" s="405"/>
      <c r="T1899" s="405"/>
      <c r="U1899" s="405"/>
      <c r="V1899" s="405"/>
      <c r="W1899" s="405"/>
      <c r="X1899" s="405"/>
      <c r="Y1899" s="405"/>
      <c r="Z1899" s="405"/>
    </row>
    <row r="1900" ht="14.25" customHeight="1">
      <c r="A1900" s="1134"/>
      <c r="B1900" s="405"/>
      <c r="C1900" s="405"/>
      <c r="D1900" s="1135"/>
      <c r="E1900" s="583"/>
      <c r="F1900" s="583"/>
      <c r="G1900" s="583"/>
      <c r="H1900" s="405"/>
      <c r="I1900" s="405"/>
      <c r="J1900" s="405"/>
      <c r="K1900" s="405"/>
      <c r="L1900" s="405"/>
      <c r="M1900" s="405"/>
      <c r="N1900" s="405"/>
      <c r="O1900" s="405"/>
      <c r="P1900" s="405"/>
      <c r="Q1900" s="405"/>
      <c r="R1900" s="405"/>
      <c r="S1900" s="405"/>
      <c r="T1900" s="405"/>
      <c r="U1900" s="405"/>
      <c r="V1900" s="405"/>
      <c r="W1900" s="405"/>
      <c r="X1900" s="405"/>
      <c r="Y1900" s="405"/>
      <c r="Z1900" s="405"/>
    </row>
    <row r="1901" ht="14.25" customHeight="1">
      <c r="A1901" s="1134"/>
      <c r="B1901" s="405"/>
      <c r="C1901" s="405"/>
      <c r="D1901" s="1135"/>
      <c r="E1901" s="583"/>
      <c r="F1901" s="583"/>
      <c r="G1901" s="583"/>
      <c r="H1901" s="405"/>
      <c r="I1901" s="405"/>
      <c r="J1901" s="405"/>
      <c r="K1901" s="405"/>
      <c r="L1901" s="405"/>
      <c r="M1901" s="405"/>
      <c r="N1901" s="405"/>
      <c r="O1901" s="405"/>
      <c r="P1901" s="405"/>
      <c r="Q1901" s="405"/>
      <c r="R1901" s="405"/>
      <c r="S1901" s="405"/>
      <c r="T1901" s="405"/>
      <c r="U1901" s="405"/>
      <c r="V1901" s="405"/>
      <c r="W1901" s="405"/>
      <c r="X1901" s="405"/>
      <c r="Y1901" s="405"/>
      <c r="Z1901" s="405"/>
    </row>
    <row r="1902" ht="14.25" customHeight="1">
      <c r="A1902" s="1134"/>
      <c r="B1902" s="405"/>
      <c r="C1902" s="405"/>
      <c r="D1902" s="1135"/>
      <c r="E1902" s="583"/>
      <c r="F1902" s="583"/>
      <c r="G1902" s="583"/>
      <c r="H1902" s="405"/>
      <c r="I1902" s="405"/>
      <c r="J1902" s="405"/>
      <c r="K1902" s="405"/>
      <c r="L1902" s="405"/>
      <c r="M1902" s="405"/>
      <c r="N1902" s="405"/>
      <c r="O1902" s="405"/>
      <c r="P1902" s="405"/>
      <c r="Q1902" s="405"/>
      <c r="R1902" s="405"/>
      <c r="S1902" s="405"/>
      <c r="T1902" s="405"/>
      <c r="U1902" s="405"/>
      <c r="V1902" s="405"/>
      <c r="W1902" s="405"/>
      <c r="X1902" s="405"/>
      <c r="Y1902" s="405"/>
      <c r="Z1902" s="405"/>
    </row>
    <row r="1903" ht="14.25" customHeight="1">
      <c r="A1903" s="1134"/>
      <c r="B1903" s="405"/>
      <c r="C1903" s="405"/>
      <c r="D1903" s="1135"/>
      <c r="E1903" s="583"/>
      <c r="F1903" s="583"/>
      <c r="G1903" s="583"/>
      <c r="H1903" s="405"/>
      <c r="I1903" s="405"/>
      <c r="J1903" s="405"/>
      <c r="K1903" s="405"/>
      <c r="L1903" s="405"/>
      <c r="M1903" s="405"/>
      <c r="N1903" s="405"/>
      <c r="O1903" s="405"/>
      <c r="P1903" s="405"/>
      <c r="Q1903" s="405"/>
      <c r="R1903" s="405"/>
      <c r="S1903" s="405"/>
      <c r="T1903" s="405"/>
      <c r="U1903" s="405"/>
      <c r="V1903" s="405"/>
      <c r="W1903" s="405"/>
      <c r="X1903" s="405"/>
      <c r="Y1903" s="405"/>
      <c r="Z1903" s="405"/>
    </row>
    <row r="1904" ht="14.25" customHeight="1">
      <c r="A1904" s="1134"/>
      <c r="B1904" s="405"/>
      <c r="C1904" s="405"/>
      <c r="D1904" s="1135"/>
      <c r="E1904" s="583"/>
      <c r="F1904" s="583"/>
      <c r="G1904" s="583"/>
      <c r="H1904" s="405"/>
      <c r="I1904" s="405"/>
      <c r="J1904" s="405"/>
      <c r="K1904" s="405"/>
      <c r="L1904" s="405"/>
      <c r="M1904" s="405"/>
      <c r="N1904" s="405"/>
      <c r="O1904" s="405"/>
      <c r="P1904" s="405"/>
      <c r="Q1904" s="405"/>
      <c r="R1904" s="405"/>
      <c r="S1904" s="405"/>
      <c r="T1904" s="405"/>
      <c r="U1904" s="405"/>
      <c r="V1904" s="405"/>
      <c r="W1904" s="405"/>
      <c r="X1904" s="405"/>
      <c r="Y1904" s="405"/>
      <c r="Z1904" s="405"/>
    </row>
    <row r="1905" ht="14.25" customHeight="1">
      <c r="A1905" s="1134"/>
      <c r="B1905" s="405"/>
      <c r="C1905" s="405"/>
      <c r="D1905" s="1135"/>
      <c r="E1905" s="583"/>
      <c r="F1905" s="583"/>
      <c r="G1905" s="583"/>
      <c r="H1905" s="405"/>
      <c r="I1905" s="405"/>
      <c r="J1905" s="405"/>
      <c r="K1905" s="405"/>
      <c r="L1905" s="405"/>
      <c r="M1905" s="405"/>
      <c r="N1905" s="405"/>
      <c r="O1905" s="405"/>
      <c r="P1905" s="405"/>
      <c r="Q1905" s="405"/>
      <c r="R1905" s="405"/>
      <c r="S1905" s="405"/>
      <c r="T1905" s="405"/>
      <c r="U1905" s="405"/>
      <c r="V1905" s="405"/>
      <c r="W1905" s="405"/>
      <c r="X1905" s="405"/>
      <c r="Y1905" s="405"/>
      <c r="Z1905" s="405"/>
    </row>
    <row r="1906" ht="14.25" customHeight="1">
      <c r="A1906" s="1134"/>
      <c r="B1906" s="405"/>
      <c r="C1906" s="405"/>
      <c r="D1906" s="1135"/>
      <c r="E1906" s="583"/>
      <c r="F1906" s="583"/>
      <c r="G1906" s="583"/>
      <c r="H1906" s="405"/>
      <c r="I1906" s="405"/>
      <c r="J1906" s="405"/>
      <c r="K1906" s="405"/>
      <c r="L1906" s="405"/>
      <c r="M1906" s="405"/>
      <c r="N1906" s="405"/>
      <c r="O1906" s="405"/>
      <c r="P1906" s="405"/>
      <c r="Q1906" s="405"/>
      <c r="R1906" s="405"/>
      <c r="S1906" s="405"/>
      <c r="T1906" s="405"/>
      <c r="U1906" s="405"/>
      <c r="V1906" s="405"/>
      <c r="W1906" s="405"/>
      <c r="X1906" s="405"/>
      <c r="Y1906" s="405"/>
      <c r="Z1906" s="405"/>
    </row>
    <row r="1907" ht="14.25" customHeight="1">
      <c r="A1907" s="1134"/>
      <c r="B1907" s="405"/>
      <c r="C1907" s="405"/>
      <c r="D1907" s="1135"/>
      <c r="E1907" s="583"/>
      <c r="F1907" s="583"/>
      <c r="G1907" s="583"/>
      <c r="H1907" s="405"/>
      <c r="I1907" s="405"/>
      <c r="J1907" s="405"/>
      <c r="K1907" s="405"/>
      <c r="L1907" s="405"/>
      <c r="M1907" s="405"/>
      <c r="N1907" s="405"/>
      <c r="O1907" s="405"/>
      <c r="P1907" s="405"/>
      <c r="Q1907" s="405"/>
      <c r="R1907" s="405"/>
      <c r="S1907" s="405"/>
      <c r="T1907" s="405"/>
      <c r="U1907" s="405"/>
      <c r="V1907" s="405"/>
      <c r="W1907" s="405"/>
      <c r="X1907" s="405"/>
      <c r="Y1907" s="405"/>
      <c r="Z1907" s="405"/>
    </row>
    <row r="1908" ht="14.25" customHeight="1">
      <c r="A1908" s="1134"/>
      <c r="B1908" s="405"/>
      <c r="C1908" s="405"/>
      <c r="D1908" s="1135"/>
      <c r="E1908" s="583"/>
      <c r="F1908" s="583"/>
      <c r="G1908" s="583"/>
      <c r="H1908" s="405"/>
      <c r="I1908" s="405"/>
      <c r="J1908" s="405"/>
      <c r="K1908" s="405"/>
      <c r="L1908" s="405"/>
      <c r="M1908" s="405"/>
      <c r="N1908" s="405"/>
      <c r="O1908" s="405"/>
      <c r="P1908" s="405"/>
      <c r="Q1908" s="405"/>
      <c r="R1908" s="405"/>
      <c r="S1908" s="405"/>
      <c r="T1908" s="405"/>
      <c r="U1908" s="405"/>
      <c r="V1908" s="405"/>
      <c r="W1908" s="405"/>
      <c r="X1908" s="405"/>
      <c r="Y1908" s="405"/>
      <c r="Z1908" s="405"/>
    </row>
    <row r="1909" ht="14.25" customHeight="1">
      <c r="A1909" s="1134"/>
      <c r="B1909" s="405"/>
      <c r="C1909" s="405"/>
      <c r="D1909" s="1135"/>
      <c r="E1909" s="583"/>
      <c r="F1909" s="583"/>
      <c r="G1909" s="583"/>
      <c r="H1909" s="405"/>
      <c r="I1909" s="405"/>
      <c r="J1909" s="405"/>
      <c r="K1909" s="405"/>
      <c r="L1909" s="405"/>
      <c r="M1909" s="405"/>
      <c r="N1909" s="405"/>
      <c r="O1909" s="405"/>
      <c r="P1909" s="405"/>
      <c r="Q1909" s="405"/>
      <c r="R1909" s="405"/>
      <c r="S1909" s="405"/>
      <c r="T1909" s="405"/>
      <c r="U1909" s="405"/>
      <c r="V1909" s="405"/>
      <c r="W1909" s="405"/>
      <c r="X1909" s="405"/>
      <c r="Y1909" s="405"/>
      <c r="Z1909" s="405"/>
    </row>
    <row r="1910" ht="14.25" customHeight="1">
      <c r="A1910" s="1134"/>
      <c r="B1910" s="405"/>
      <c r="C1910" s="405"/>
      <c r="D1910" s="1135"/>
      <c r="E1910" s="583"/>
      <c r="F1910" s="583"/>
      <c r="G1910" s="583"/>
      <c r="H1910" s="405"/>
      <c r="I1910" s="405"/>
      <c r="J1910" s="405"/>
      <c r="K1910" s="405"/>
      <c r="L1910" s="405"/>
      <c r="M1910" s="405"/>
      <c r="N1910" s="405"/>
      <c r="O1910" s="405"/>
      <c r="P1910" s="405"/>
      <c r="Q1910" s="405"/>
      <c r="R1910" s="405"/>
      <c r="S1910" s="405"/>
      <c r="T1910" s="405"/>
      <c r="U1910" s="405"/>
      <c r="V1910" s="405"/>
      <c r="W1910" s="405"/>
      <c r="X1910" s="405"/>
      <c r="Y1910" s="405"/>
      <c r="Z1910" s="405"/>
    </row>
    <row r="1911" ht="14.25" customHeight="1">
      <c r="A1911" s="1134"/>
      <c r="B1911" s="405"/>
      <c r="C1911" s="405"/>
      <c r="D1911" s="1135"/>
      <c r="E1911" s="583"/>
      <c r="F1911" s="583"/>
      <c r="G1911" s="583"/>
      <c r="H1911" s="405"/>
      <c r="I1911" s="405"/>
      <c r="J1911" s="405"/>
      <c r="K1911" s="405"/>
      <c r="L1911" s="405"/>
      <c r="M1911" s="405"/>
      <c r="N1911" s="405"/>
      <c r="O1911" s="405"/>
      <c r="P1911" s="405"/>
      <c r="Q1911" s="405"/>
      <c r="R1911" s="405"/>
      <c r="S1911" s="405"/>
      <c r="T1911" s="405"/>
      <c r="U1911" s="405"/>
      <c r="V1911" s="405"/>
      <c r="W1911" s="405"/>
      <c r="X1911" s="405"/>
      <c r="Y1911" s="405"/>
      <c r="Z1911" s="405"/>
    </row>
    <row r="1912" ht="14.25" customHeight="1">
      <c r="A1912" s="1134"/>
      <c r="B1912" s="405"/>
      <c r="C1912" s="405"/>
      <c r="D1912" s="1135"/>
      <c r="E1912" s="583"/>
      <c r="F1912" s="583"/>
      <c r="G1912" s="583"/>
      <c r="H1912" s="405"/>
      <c r="I1912" s="405"/>
      <c r="J1912" s="405"/>
      <c r="K1912" s="405"/>
      <c r="L1912" s="405"/>
      <c r="M1912" s="405"/>
      <c r="N1912" s="405"/>
      <c r="O1912" s="405"/>
      <c r="P1912" s="405"/>
      <c r="Q1912" s="405"/>
      <c r="R1912" s="405"/>
      <c r="S1912" s="405"/>
      <c r="T1912" s="405"/>
      <c r="U1912" s="405"/>
      <c r="V1912" s="405"/>
      <c r="W1912" s="405"/>
      <c r="X1912" s="405"/>
      <c r="Y1912" s="405"/>
      <c r="Z1912" s="405"/>
    </row>
    <row r="1913" ht="14.25" customHeight="1">
      <c r="A1913" s="1134"/>
      <c r="B1913" s="405"/>
      <c r="C1913" s="405"/>
      <c r="D1913" s="1135"/>
      <c r="E1913" s="583"/>
      <c r="F1913" s="583"/>
      <c r="G1913" s="583"/>
      <c r="H1913" s="405"/>
      <c r="I1913" s="405"/>
      <c r="J1913" s="405"/>
      <c r="K1913" s="405"/>
      <c r="L1913" s="405"/>
      <c r="M1913" s="405"/>
      <c r="N1913" s="405"/>
      <c r="O1913" s="405"/>
      <c r="P1913" s="405"/>
      <c r="Q1913" s="405"/>
      <c r="R1913" s="405"/>
      <c r="S1913" s="405"/>
      <c r="T1913" s="405"/>
      <c r="U1913" s="405"/>
      <c r="V1913" s="405"/>
      <c r="W1913" s="405"/>
      <c r="X1913" s="405"/>
      <c r="Y1913" s="405"/>
      <c r="Z1913" s="405"/>
    </row>
    <row r="1914" ht="14.25" customHeight="1">
      <c r="A1914" s="1134"/>
      <c r="B1914" s="405"/>
      <c r="C1914" s="405"/>
      <c r="D1914" s="1135"/>
      <c r="E1914" s="583"/>
      <c r="F1914" s="583"/>
      <c r="G1914" s="583"/>
      <c r="H1914" s="405"/>
      <c r="I1914" s="405"/>
      <c r="J1914" s="405"/>
      <c r="K1914" s="405"/>
      <c r="L1914" s="405"/>
      <c r="M1914" s="405"/>
      <c r="N1914" s="405"/>
      <c r="O1914" s="405"/>
      <c r="P1914" s="405"/>
      <c r="Q1914" s="405"/>
      <c r="R1914" s="405"/>
      <c r="S1914" s="405"/>
      <c r="T1914" s="405"/>
      <c r="U1914" s="405"/>
      <c r="V1914" s="405"/>
      <c r="W1914" s="405"/>
      <c r="X1914" s="405"/>
      <c r="Y1914" s="405"/>
      <c r="Z1914" s="405"/>
    </row>
    <row r="1915" ht="14.25" customHeight="1">
      <c r="A1915" s="1134"/>
      <c r="B1915" s="405"/>
      <c r="C1915" s="405"/>
      <c r="D1915" s="1135"/>
      <c r="E1915" s="583"/>
      <c r="F1915" s="583"/>
      <c r="G1915" s="583"/>
      <c r="H1915" s="405"/>
      <c r="I1915" s="405"/>
      <c r="J1915" s="405"/>
      <c r="K1915" s="405"/>
      <c r="L1915" s="405"/>
      <c r="M1915" s="405"/>
      <c r="N1915" s="405"/>
      <c r="O1915" s="405"/>
      <c r="P1915" s="405"/>
      <c r="Q1915" s="405"/>
      <c r="R1915" s="405"/>
      <c r="S1915" s="405"/>
      <c r="T1915" s="405"/>
      <c r="U1915" s="405"/>
      <c r="V1915" s="405"/>
      <c r="W1915" s="405"/>
      <c r="X1915" s="405"/>
      <c r="Y1915" s="405"/>
      <c r="Z1915" s="405"/>
    </row>
    <row r="1916" ht="14.25" customHeight="1">
      <c r="A1916" s="1134"/>
      <c r="B1916" s="405"/>
      <c r="C1916" s="405"/>
      <c r="D1916" s="1135"/>
      <c r="E1916" s="583"/>
      <c r="F1916" s="583"/>
      <c r="G1916" s="583"/>
      <c r="H1916" s="405"/>
      <c r="I1916" s="405"/>
      <c r="J1916" s="405"/>
      <c r="K1916" s="405"/>
      <c r="L1916" s="405"/>
      <c r="M1916" s="405"/>
      <c r="N1916" s="405"/>
      <c r="O1916" s="405"/>
      <c r="P1916" s="405"/>
      <c r="Q1916" s="405"/>
      <c r="R1916" s="405"/>
      <c r="S1916" s="405"/>
      <c r="T1916" s="405"/>
      <c r="U1916" s="405"/>
      <c r="V1916" s="405"/>
      <c r="W1916" s="405"/>
      <c r="X1916" s="405"/>
      <c r="Y1916" s="405"/>
      <c r="Z1916" s="405"/>
    </row>
    <row r="1917" ht="14.25" customHeight="1">
      <c r="A1917" s="1134"/>
      <c r="B1917" s="405"/>
      <c r="C1917" s="405"/>
      <c r="D1917" s="1135"/>
      <c r="E1917" s="583"/>
      <c r="F1917" s="583"/>
      <c r="G1917" s="583"/>
      <c r="H1917" s="405"/>
      <c r="I1917" s="405"/>
      <c r="J1917" s="405"/>
      <c r="K1917" s="405"/>
      <c r="L1917" s="405"/>
      <c r="M1917" s="405"/>
      <c r="N1917" s="405"/>
      <c r="O1917" s="405"/>
      <c r="P1917" s="405"/>
      <c r="Q1917" s="405"/>
      <c r="R1917" s="405"/>
      <c r="S1917" s="405"/>
      <c r="T1917" s="405"/>
      <c r="U1917" s="405"/>
      <c r="V1917" s="405"/>
      <c r="W1917" s="405"/>
      <c r="X1917" s="405"/>
      <c r="Y1917" s="405"/>
      <c r="Z1917" s="405"/>
    </row>
    <row r="1918" ht="14.25" customHeight="1">
      <c r="A1918" s="1134"/>
      <c r="B1918" s="405"/>
      <c r="C1918" s="405"/>
      <c r="D1918" s="1135"/>
      <c r="E1918" s="583"/>
      <c r="F1918" s="583"/>
      <c r="G1918" s="583"/>
      <c r="H1918" s="405"/>
      <c r="I1918" s="405"/>
      <c r="J1918" s="405"/>
      <c r="K1918" s="405"/>
      <c r="L1918" s="405"/>
      <c r="M1918" s="405"/>
      <c r="N1918" s="405"/>
      <c r="O1918" s="405"/>
      <c r="P1918" s="405"/>
      <c r="Q1918" s="405"/>
      <c r="R1918" s="405"/>
      <c r="S1918" s="405"/>
      <c r="T1918" s="405"/>
      <c r="U1918" s="405"/>
      <c r="V1918" s="405"/>
      <c r="W1918" s="405"/>
      <c r="X1918" s="405"/>
      <c r="Y1918" s="405"/>
      <c r="Z1918" s="405"/>
    </row>
    <row r="1919" ht="14.25" customHeight="1">
      <c r="A1919" s="1134"/>
      <c r="B1919" s="405"/>
      <c r="C1919" s="405"/>
      <c r="D1919" s="1135"/>
      <c r="E1919" s="583"/>
      <c r="F1919" s="583"/>
      <c r="G1919" s="583"/>
      <c r="H1919" s="405"/>
      <c r="I1919" s="405"/>
      <c r="J1919" s="405"/>
      <c r="K1919" s="405"/>
      <c r="L1919" s="405"/>
      <c r="M1919" s="405"/>
      <c r="N1919" s="405"/>
      <c r="O1919" s="405"/>
      <c r="P1919" s="405"/>
      <c r="Q1919" s="405"/>
      <c r="R1919" s="405"/>
      <c r="S1919" s="405"/>
      <c r="T1919" s="405"/>
      <c r="U1919" s="405"/>
      <c r="V1919" s="405"/>
      <c r="W1919" s="405"/>
      <c r="X1919" s="405"/>
      <c r="Y1919" s="405"/>
      <c r="Z1919" s="405"/>
    </row>
    <row r="1920" ht="14.25" customHeight="1">
      <c r="A1920" s="1134"/>
      <c r="B1920" s="405"/>
      <c r="C1920" s="405"/>
      <c r="D1920" s="1135"/>
      <c r="E1920" s="583"/>
      <c r="F1920" s="583"/>
      <c r="G1920" s="583"/>
      <c r="H1920" s="405"/>
      <c r="I1920" s="405"/>
      <c r="J1920" s="405"/>
      <c r="K1920" s="405"/>
      <c r="L1920" s="405"/>
      <c r="M1920" s="405"/>
      <c r="N1920" s="405"/>
      <c r="O1920" s="405"/>
      <c r="P1920" s="405"/>
      <c r="Q1920" s="405"/>
      <c r="R1920" s="405"/>
      <c r="S1920" s="405"/>
      <c r="T1920" s="405"/>
      <c r="U1920" s="405"/>
      <c r="V1920" s="405"/>
      <c r="W1920" s="405"/>
      <c r="X1920" s="405"/>
      <c r="Y1920" s="405"/>
      <c r="Z1920" s="405"/>
    </row>
    <row r="1921" ht="14.25" customHeight="1">
      <c r="A1921" s="1134"/>
      <c r="B1921" s="405"/>
      <c r="C1921" s="405"/>
      <c r="D1921" s="1135"/>
      <c r="E1921" s="583"/>
      <c r="F1921" s="583"/>
      <c r="G1921" s="583"/>
      <c r="H1921" s="405"/>
      <c r="I1921" s="405"/>
      <c r="J1921" s="405"/>
      <c r="K1921" s="405"/>
      <c r="L1921" s="405"/>
      <c r="M1921" s="405"/>
      <c r="N1921" s="405"/>
      <c r="O1921" s="405"/>
      <c r="P1921" s="405"/>
      <c r="Q1921" s="405"/>
      <c r="R1921" s="405"/>
      <c r="S1921" s="405"/>
      <c r="T1921" s="405"/>
      <c r="U1921" s="405"/>
      <c r="V1921" s="405"/>
      <c r="W1921" s="405"/>
      <c r="X1921" s="405"/>
      <c r="Y1921" s="405"/>
      <c r="Z1921" s="405"/>
    </row>
    <row r="1922" ht="14.25" customHeight="1">
      <c r="A1922" s="1134"/>
      <c r="B1922" s="405"/>
      <c r="C1922" s="405"/>
      <c r="D1922" s="1135"/>
      <c r="E1922" s="583"/>
      <c r="F1922" s="583"/>
      <c r="G1922" s="583"/>
      <c r="H1922" s="405"/>
      <c r="I1922" s="405"/>
      <c r="J1922" s="405"/>
      <c r="K1922" s="405"/>
      <c r="L1922" s="405"/>
      <c r="M1922" s="405"/>
      <c r="N1922" s="405"/>
      <c r="O1922" s="405"/>
      <c r="P1922" s="405"/>
      <c r="Q1922" s="405"/>
      <c r="R1922" s="405"/>
      <c r="S1922" s="405"/>
      <c r="T1922" s="405"/>
      <c r="U1922" s="405"/>
      <c r="V1922" s="405"/>
      <c r="W1922" s="405"/>
      <c r="X1922" s="405"/>
      <c r="Y1922" s="405"/>
      <c r="Z1922" s="405"/>
    </row>
    <row r="1923" ht="14.25" customHeight="1">
      <c r="A1923" s="1134"/>
      <c r="B1923" s="405"/>
      <c r="C1923" s="405"/>
      <c r="D1923" s="1135"/>
      <c r="E1923" s="583"/>
      <c r="F1923" s="583"/>
      <c r="G1923" s="583"/>
      <c r="H1923" s="405"/>
      <c r="I1923" s="405"/>
      <c r="J1923" s="405"/>
      <c r="K1923" s="405"/>
      <c r="L1923" s="405"/>
      <c r="M1923" s="405"/>
      <c r="N1923" s="405"/>
      <c r="O1923" s="405"/>
      <c r="P1923" s="405"/>
      <c r="Q1923" s="405"/>
      <c r="R1923" s="405"/>
      <c r="S1923" s="405"/>
      <c r="T1923" s="405"/>
      <c r="U1923" s="405"/>
      <c r="V1923" s="405"/>
      <c r="W1923" s="405"/>
      <c r="X1923" s="405"/>
      <c r="Y1923" s="405"/>
      <c r="Z1923" s="405"/>
    </row>
    <row r="1924" ht="14.25" customHeight="1">
      <c r="A1924" s="1134"/>
      <c r="B1924" s="405"/>
      <c r="C1924" s="405"/>
      <c r="D1924" s="1135"/>
      <c r="E1924" s="583"/>
      <c r="F1924" s="583"/>
      <c r="G1924" s="583"/>
      <c r="H1924" s="405"/>
      <c r="I1924" s="405"/>
      <c r="J1924" s="405"/>
      <c r="K1924" s="405"/>
      <c r="L1924" s="405"/>
      <c r="M1924" s="405"/>
      <c r="N1924" s="405"/>
      <c r="O1924" s="405"/>
      <c r="P1924" s="405"/>
      <c r="Q1924" s="405"/>
      <c r="R1924" s="405"/>
      <c r="S1924" s="405"/>
      <c r="T1924" s="405"/>
      <c r="U1924" s="405"/>
      <c r="V1924" s="405"/>
      <c r="W1924" s="405"/>
      <c r="X1924" s="405"/>
      <c r="Y1924" s="405"/>
      <c r="Z1924" s="405"/>
    </row>
    <row r="1925" ht="14.25" customHeight="1">
      <c r="A1925" s="1134"/>
      <c r="B1925" s="405"/>
      <c r="C1925" s="405"/>
      <c r="D1925" s="1135"/>
      <c r="E1925" s="583"/>
      <c r="F1925" s="583"/>
      <c r="G1925" s="583"/>
      <c r="H1925" s="405"/>
      <c r="I1925" s="405"/>
      <c r="J1925" s="405"/>
      <c r="K1925" s="405"/>
      <c r="L1925" s="405"/>
      <c r="M1925" s="405"/>
      <c r="N1925" s="405"/>
      <c r="O1925" s="405"/>
      <c r="P1925" s="405"/>
      <c r="Q1925" s="405"/>
      <c r="R1925" s="405"/>
      <c r="S1925" s="405"/>
      <c r="T1925" s="405"/>
      <c r="U1925" s="405"/>
      <c r="V1925" s="405"/>
      <c r="W1925" s="405"/>
      <c r="X1925" s="405"/>
      <c r="Y1925" s="405"/>
      <c r="Z1925" s="405"/>
    </row>
    <row r="1926" ht="14.25" customHeight="1">
      <c r="A1926" s="1134"/>
      <c r="B1926" s="405"/>
      <c r="C1926" s="405"/>
      <c r="D1926" s="1135"/>
      <c r="E1926" s="583"/>
      <c r="F1926" s="583"/>
      <c r="G1926" s="583"/>
      <c r="H1926" s="405"/>
      <c r="I1926" s="405"/>
      <c r="J1926" s="405"/>
      <c r="K1926" s="405"/>
      <c r="L1926" s="405"/>
      <c r="M1926" s="405"/>
      <c r="N1926" s="405"/>
      <c r="O1926" s="405"/>
      <c r="P1926" s="405"/>
      <c r="Q1926" s="405"/>
      <c r="R1926" s="405"/>
      <c r="S1926" s="405"/>
      <c r="T1926" s="405"/>
      <c r="U1926" s="405"/>
      <c r="V1926" s="405"/>
      <c r="W1926" s="405"/>
      <c r="X1926" s="405"/>
      <c r="Y1926" s="405"/>
      <c r="Z1926" s="405"/>
    </row>
    <row r="1927" ht="14.25" customHeight="1">
      <c r="A1927" s="1134"/>
      <c r="B1927" s="405"/>
      <c r="C1927" s="405"/>
      <c r="D1927" s="1135"/>
      <c r="E1927" s="583"/>
      <c r="F1927" s="583"/>
      <c r="G1927" s="583"/>
      <c r="H1927" s="405"/>
      <c r="I1927" s="405"/>
      <c r="J1927" s="405"/>
      <c r="K1927" s="405"/>
      <c r="L1927" s="405"/>
      <c r="M1927" s="405"/>
      <c r="N1927" s="405"/>
      <c r="O1927" s="405"/>
      <c r="P1927" s="405"/>
      <c r="Q1927" s="405"/>
      <c r="R1927" s="405"/>
      <c r="S1927" s="405"/>
      <c r="T1927" s="405"/>
      <c r="U1927" s="405"/>
      <c r="V1927" s="405"/>
      <c r="W1927" s="405"/>
      <c r="X1927" s="405"/>
      <c r="Y1927" s="405"/>
      <c r="Z1927" s="405"/>
    </row>
    <row r="1928" ht="14.25" customHeight="1">
      <c r="A1928" s="1134"/>
      <c r="B1928" s="405"/>
      <c r="C1928" s="405"/>
      <c r="D1928" s="1135"/>
      <c r="E1928" s="583"/>
      <c r="F1928" s="583"/>
      <c r="G1928" s="583"/>
      <c r="H1928" s="405"/>
      <c r="I1928" s="405"/>
      <c r="J1928" s="405"/>
      <c r="K1928" s="405"/>
      <c r="L1928" s="405"/>
      <c r="M1928" s="405"/>
      <c r="N1928" s="405"/>
      <c r="O1928" s="405"/>
      <c r="P1928" s="405"/>
      <c r="Q1928" s="405"/>
      <c r="R1928" s="405"/>
      <c r="S1928" s="405"/>
      <c r="T1928" s="405"/>
      <c r="U1928" s="405"/>
      <c r="V1928" s="405"/>
      <c r="W1928" s="405"/>
      <c r="X1928" s="405"/>
      <c r="Y1928" s="405"/>
      <c r="Z1928" s="405"/>
    </row>
    <row r="1929" ht="14.25" customHeight="1">
      <c r="A1929" s="1134"/>
      <c r="B1929" s="405"/>
      <c r="C1929" s="405"/>
      <c r="D1929" s="1135"/>
      <c r="E1929" s="583"/>
      <c r="F1929" s="583"/>
      <c r="G1929" s="583"/>
      <c r="H1929" s="405"/>
      <c r="I1929" s="405"/>
      <c r="J1929" s="405"/>
      <c r="K1929" s="405"/>
      <c r="L1929" s="405"/>
      <c r="M1929" s="405"/>
      <c r="N1929" s="405"/>
      <c r="O1929" s="405"/>
      <c r="P1929" s="405"/>
      <c r="Q1929" s="405"/>
      <c r="R1929" s="405"/>
      <c r="S1929" s="405"/>
      <c r="T1929" s="405"/>
      <c r="U1929" s="405"/>
      <c r="V1929" s="405"/>
      <c r="W1929" s="405"/>
      <c r="X1929" s="405"/>
      <c r="Y1929" s="405"/>
      <c r="Z1929" s="405"/>
    </row>
    <row r="1930" ht="14.25" customHeight="1">
      <c r="A1930" s="1134"/>
      <c r="B1930" s="405"/>
      <c r="C1930" s="405"/>
      <c r="D1930" s="1135"/>
      <c r="E1930" s="583"/>
      <c r="F1930" s="583"/>
      <c r="G1930" s="583"/>
      <c r="H1930" s="405"/>
      <c r="I1930" s="405"/>
      <c r="J1930" s="405"/>
      <c r="K1930" s="405"/>
      <c r="L1930" s="405"/>
      <c r="M1930" s="405"/>
      <c r="N1930" s="405"/>
      <c r="O1930" s="405"/>
      <c r="P1930" s="405"/>
      <c r="Q1930" s="405"/>
      <c r="R1930" s="405"/>
      <c r="S1930" s="405"/>
      <c r="T1930" s="405"/>
      <c r="U1930" s="405"/>
      <c r="V1930" s="405"/>
      <c r="W1930" s="405"/>
      <c r="X1930" s="405"/>
      <c r="Y1930" s="405"/>
      <c r="Z1930" s="405"/>
    </row>
    <row r="1931" ht="14.25" customHeight="1">
      <c r="A1931" s="1134"/>
      <c r="B1931" s="405"/>
      <c r="C1931" s="405"/>
      <c r="D1931" s="1135"/>
      <c r="E1931" s="583"/>
      <c r="F1931" s="583"/>
      <c r="G1931" s="583"/>
      <c r="H1931" s="405"/>
      <c r="I1931" s="405"/>
      <c r="J1931" s="405"/>
      <c r="K1931" s="405"/>
      <c r="L1931" s="405"/>
      <c r="M1931" s="405"/>
      <c r="N1931" s="405"/>
      <c r="O1931" s="405"/>
      <c r="P1931" s="405"/>
      <c r="Q1931" s="405"/>
      <c r="R1931" s="405"/>
      <c r="S1931" s="405"/>
      <c r="T1931" s="405"/>
      <c r="U1931" s="405"/>
      <c r="V1931" s="405"/>
      <c r="W1931" s="405"/>
      <c r="X1931" s="405"/>
      <c r="Y1931" s="405"/>
      <c r="Z1931" s="405"/>
    </row>
    <row r="1932" ht="14.25" customHeight="1">
      <c r="A1932" s="1134"/>
      <c r="B1932" s="405"/>
      <c r="C1932" s="405"/>
      <c r="D1932" s="1135"/>
      <c r="E1932" s="583"/>
      <c r="F1932" s="583"/>
      <c r="G1932" s="583"/>
      <c r="H1932" s="405"/>
      <c r="I1932" s="405"/>
      <c r="J1932" s="405"/>
      <c r="K1932" s="405"/>
      <c r="L1932" s="405"/>
      <c r="M1932" s="405"/>
      <c r="N1932" s="405"/>
      <c r="O1932" s="405"/>
      <c r="P1932" s="405"/>
      <c r="Q1932" s="405"/>
      <c r="R1932" s="405"/>
      <c r="S1932" s="405"/>
      <c r="T1932" s="405"/>
      <c r="U1932" s="405"/>
      <c r="V1932" s="405"/>
      <c r="W1932" s="405"/>
      <c r="X1932" s="405"/>
      <c r="Y1932" s="405"/>
      <c r="Z1932" s="405"/>
    </row>
    <row r="1933" ht="14.25" customHeight="1">
      <c r="A1933" s="1134"/>
      <c r="B1933" s="405"/>
      <c r="C1933" s="405"/>
      <c r="D1933" s="1135"/>
      <c r="E1933" s="583"/>
      <c r="F1933" s="583"/>
      <c r="G1933" s="583"/>
      <c r="H1933" s="405"/>
      <c r="I1933" s="405"/>
      <c r="J1933" s="405"/>
      <c r="K1933" s="405"/>
      <c r="L1933" s="405"/>
      <c r="M1933" s="405"/>
      <c r="N1933" s="405"/>
      <c r="O1933" s="405"/>
      <c r="P1933" s="405"/>
      <c r="Q1933" s="405"/>
      <c r="R1933" s="405"/>
      <c r="S1933" s="405"/>
      <c r="T1933" s="405"/>
      <c r="U1933" s="405"/>
      <c r="V1933" s="405"/>
      <c r="W1933" s="405"/>
      <c r="X1933" s="405"/>
      <c r="Y1933" s="405"/>
      <c r="Z1933" s="405"/>
    </row>
    <row r="1934" ht="14.25" customHeight="1">
      <c r="A1934" s="1134"/>
      <c r="B1934" s="405"/>
      <c r="C1934" s="405"/>
      <c r="D1934" s="1135"/>
      <c r="E1934" s="583"/>
      <c r="F1934" s="583"/>
      <c r="G1934" s="583"/>
      <c r="H1934" s="405"/>
      <c r="I1934" s="405"/>
      <c r="J1934" s="405"/>
      <c r="K1934" s="405"/>
      <c r="L1934" s="405"/>
      <c r="M1934" s="405"/>
      <c r="N1934" s="405"/>
      <c r="O1934" s="405"/>
      <c r="P1934" s="405"/>
      <c r="Q1934" s="405"/>
      <c r="R1934" s="405"/>
      <c r="S1934" s="405"/>
      <c r="T1934" s="405"/>
      <c r="U1934" s="405"/>
      <c r="V1934" s="405"/>
      <c r="W1934" s="405"/>
      <c r="X1934" s="405"/>
      <c r="Y1934" s="405"/>
      <c r="Z1934" s="405"/>
    </row>
    <row r="1935" ht="14.25" customHeight="1">
      <c r="A1935" s="1134"/>
      <c r="B1935" s="405"/>
      <c r="C1935" s="405"/>
      <c r="D1935" s="1135"/>
      <c r="E1935" s="583"/>
      <c r="F1935" s="583"/>
      <c r="G1935" s="583"/>
      <c r="H1935" s="405"/>
      <c r="I1935" s="405"/>
      <c r="J1935" s="405"/>
      <c r="K1935" s="405"/>
      <c r="L1935" s="405"/>
      <c r="M1935" s="405"/>
      <c r="N1935" s="405"/>
      <c r="O1935" s="405"/>
      <c r="P1935" s="405"/>
      <c r="Q1935" s="405"/>
      <c r="R1935" s="405"/>
      <c r="S1935" s="405"/>
      <c r="T1935" s="405"/>
      <c r="U1935" s="405"/>
      <c r="V1935" s="405"/>
      <c r="W1935" s="405"/>
      <c r="X1935" s="405"/>
      <c r="Y1935" s="405"/>
      <c r="Z1935" s="405"/>
    </row>
    <row r="1936" ht="14.25" customHeight="1">
      <c r="A1936" s="1134"/>
      <c r="B1936" s="405"/>
      <c r="C1936" s="405"/>
      <c r="D1936" s="1135"/>
      <c r="E1936" s="583"/>
      <c r="F1936" s="583"/>
      <c r="G1936" s="583"/>
      <c r="H1936" s="405"/>
      <c r="I1936" s="405"/>
      <c r="J1936" s="405"/>
      <c r="K1936" s="405"/>
      <c r="L1936" s="405"/>
      <c r="M1936" s="405"/>
      <c r="N1936" s="405"/>
      <c r="O1936" s="405"/>
      <c r="P1936" s="405"/>
      <c r="Q1936" s="405"/>
      <c r="R1936" s="405"/>
      <c r="S1936" s="405"/>
      <c r="T1936" s="405"/>
      <c r="U1936" s="405"/>
      <c r="V1936" s="405"/>
      <c r="W1936" s="405"/>
      <c r="X1936" s="405"/>
      <c r="Y1936" s="405"/>
      <c r="Z1936" s="405"/>
    </row>
    <row r="1937" ht="14.25" customHeight="1">
      <c r="A1937" s="1134"/>
      <c r="B1937" s="405"/>
      <c r="C1937" s="405"/>
      <c r="D1937" s="1135"/>
      <c r="E1937" s="583"/>
      <c r="F1937" s="583"/>
      <c r="G1937" s="583"/>
      <c r="H1937" s="405"/>
      <c r="I1937" s="405"/>
      <c r="J1937" s="405"/>
      <c r="K1937" s="405"/>
      <c r="L1937" s="405"/>
      <c r="M1937" s="405"/>
      <c r="N1937" s="405"/>
      <c r="O1937" s="405"/>
      <c r="P1937" s="405"/>
      <c r="Q1937" s="405"/>
      <c r="R1937" s="405"/>
      <c r="S1937" s="405"/>
      <c r="T1937" s="405"/>
      <c r="U1937" s="405"/>
      <c r="V1937" s="405"/>
      <c r="W1937" s="405"/>
      <c r="X1937" s="405"/>
      <c r="Y1937" s="405"/>
      <c r="Z1937" s="405"/>
    </row>
    <row r="1938" ht="14.25" customHeight="1">
      <c r="A1938" s="1134"/>
      <c r="B1938" s="405"/>
      <c r="C1938" s="405"/>
      <c r="D1938" s="1135"/>
      <c r="E1938" s="583"/>
      <c r="F1938" s="583"/>
      <c r="G1938" s="583"/>
      <c r="H1938" s="405"/>
      <c r="I1938" s="405"/>
      <c r="J1938" s="405"/>
      <c r="K1938" s="405"/>
      <c r="L1938" s="405"/>
      <c r="M1938" s="405"/>
      <c r="N1938" s="405"/>
      <c r="O1938" s="405"/>
      <c r="P1938" s="405"/>
      <c r="Q1938" s="405"/>
      <c r="R1938" s="405"/>
      <c r="S1938" s="405"/>
      <c r="T1938" s="405"/>
      <c r="U1938" s="405"/>
      <c r="V1938" s="405"/>
      <c r="W1938" s="405"/>
      <c r="X1938" s="405"/>
      <c r="Y1938" s="405"/>
      <c r="Z1938" s="405"/>
    </row>
    <row r="1939" ht="14.25" customHeight="1">
      <c r="A1939" s="1134"/>
      <c r="B1939" s="405"/>
      <c r="C1939" s="405"/>
      <c r="D1939" s="1135"/>
      <c r="E1939" s="583"/>
      <c r="F1939" s="583"/>
      <c r="G1939" s="583"/>
      <c r="H1939" s="405"/>
      <c r="I1939" s="405"/>
      <c r="J1939" s="405"/>
      <c r="K1939" s="405"/>
      <c r="L1939" s="405"/>
      <c r="M1939" s="405"/>
      <c r="N1939" s="405"/>
      <c r="O1939" s="405"/>
      <c r="P1939" s="405"/>
      <c r="Q1939" s="405"/>
      <c r="R1939" s="405"/>
      <c r="S1939" s="405"/>
      <c r="T1939" s="405"/>
      <c r="U1939" s="405"/>
      <c r="V1939" s="405"/>
      <c r="W1939" s="405"/>
      <c r="X1939" s="405"/>
      <c r="Y1939" s="405"/>
      <c r="Z1939" s="405"/>
    </row>
    <row r="1940" ht="14.25" customHeight="1">
      <c r="A1940" s="1134"/>
      <c r="B1940" s="405"/>
      <c r="C1940" s="405"/>
      <c r="D1940" s="1135"/>
      <c r="E1940" s="583"/>
      <c r="F1940" s="583"/>
      <c r="G1940" s="583"/>
      <c r="H1940" s="405"/>
      <c r="I1940" s="405"/>
      <c r="J1940" s="405"/>
      <c r="K1940" s="405"/>
      <c r="L1940" s="405"/>
      <c r="M1940" s="405"/>
      <c r="N1940" s="405"/>
      <c r="O1940" s="405"/>
      <c r="P1940" s="405"/>
      <c r="Q1940" s="405"/>
      <c r="R1940" s="405"/>
      <c r="S1940" s="405"/>
      <c r="T1940" s="405"/>
      <c r="U1940" s="405"/>
      <c r="V1940" s="405"/>
      <c r="W1940" s="405"/>
      <c r="X1940" s="405"/>
      <c r="Y1940" s="405"/>
      <c r="Z1940" s="405"/>
    </row>
    <row r="1941" ht="14.25" customHeight="1">
      <c r="A1941" s="1134"/>
      <c r="B1941" s="405"/>
      <c r="C1941" s="405"/>
      <c r="D1941" s="1135"/>
      <c r="E1941" s="583"/>
      <c r="F1941" s="583"/>
      <c r="G1941" s="583"/>
      <c r="H1941" s="405"/>
      <c r="I1941" s="405"/>
      <c r="J1941" s="405"/>
      <c r="K1941" s="405"/>
      <c r="L1941" s="405"/>
      <c r="M1941" s="405"/>
      <c r="N1941" s="405"/>
      <c r="O1941" s="405"/>
      <c r="P1941" s="405"/>
      <c r="Q1941" s="405"/>
      <c r="R1941" s="405"/>
      <c r="S1941" s="405"/>
      <c r="T1941" s="405"/>
      <c r="U1941" s="405"/>
      <c r="V1941" s="405"/>
      <c r="W1941" s="405"/>
      <c r="X1941" s="405"/>
      <c r="Y1941" s="405"/>
      <c r="Z1941" s="405"/>
    </row>
    <row r="1942" ht="14.25" customHeight="1">
      <c r="A1942" s="1134"/>
      <c r="B1942" s="405"/>
      <c r="C1942" s="405"/>
      <c r="D1942" s="1135"/>
      <c r="E1942" s="583"/>
      <c r="F1942" s="583"/>
      <c r="G1942" s="583"/>
      <c r="H1942" s="405"/>
      <c r="I1942" s="405"/>
      <c r="J1942" s="405"/>
      <c r="K1942" s="405"/>
      <c r="L1942" s="405"/>
      <c r="M1942" s="405"/>
      <c r="N1942" s="405"/>
      <c r="O1942" s="405"/>
      <c r="P1942" s="405"/>
      <c r="Q1942" s="405"/>
      <c r="R1942" s="405"/>
      <c r="S1942" s="405"/>
      <c r="T1942" s="405"/>
      <c r="U1942" s="405"/>
      <c r="V1942" s="405"/>
      <c r="W1942" s="405"/>
      <c r="X1942" s="405"/>
      <c r="Y1942" s="405"/>
      <c r="Z1942" s="405"/>
    </row>
    <row r="1943" ht="14.25" customHeight="1">
      <c r="A1943" s="1134"/>
      <c r="B1943" s="405"/>
      <c r="C1943" s="405"/>
      <c r="D1943" s="1135"/>
      <c r="E1943" s="583"/>
      <c r="F1943" s="583"/>
      <c r="G1943" s="583"/>
      <c r="H1943" s="405"/>
      <c r="I1943" s="405"/>
      <c r="J1943" s="405"/>
      <c r="K1943" s="405"/>
      <c r="L1943" s="405"/>
      <c r="M1943" s="405"/>
      <c r="N1943" s="405"/>
      <c r="O1943" s="405"/>
      <c r="P1943" s="405"/>
      <c r="Q1943" s="405"/>
      <c r="R1943" s="405"/>
      <c r="S1943" s="405"/>
      <c r="T1943" s="405"/>
      <c r="U1943" s="405"/>
      <c r="V1943" s="405"/>
      <c r="W1943" s="405"/>
      <c r="X1943" s="405"/>
      <c r="Y1943" s="405"/>
      <c r="Z1943" s="405"/>
    </row>
    <row r="1944" ht="14.25" customHeight="1">
      <c r="A1944" s="1134"/>
      <c r="B1944" s="405"/>
      <c r="C1944" s="405"/>
      <c r="D1944" s="1135"/>
      <c r="E1944" s="583"/>
      <c r="F1944" s="583"/>
      <c r="G1944" s="583"/>
      <c r="H1944" s="405"/>
      <c r="I1944" s="405"/>
      <c r="J1944" s="405"/>
      <c r="K1944" s="405"/>
      <c r="L1944" s="405"/>
      <c r="M1944" s="405"/>
      <c r="N1944" s="405"/>
      <c r="O1944" s="405"/>
      <c r="P1944" s="405"/>
      <c r="Q1944" s="405"/>
      <c r="R1944" s="405"/>
      <c r="S1944" s="405"/>
      <c r="T1944" s="405"/>
      <c r="U1944" s="405"/>
      <c r="V1944" s="405"/>
      <c r="W1944" s="405"/>
      <c r="X1944" s="405"/>
      <c r="Y1944" s="405"/>
      <c r="Z1944" s="405"/>
    </row>
    <row r="1945" ht="14.25" customHeight="1">
      <c r="A1945" s="1134"/>
      <c r="B1945" s="405"/>
      <c r="C1945" s="405"/>
      <c r="D1945" s="1135"/>
      <c r="E1945" s="583"/>
      <c r="F1945" s="583"/>
      <c r="G1945" s="583"/>
      <c r="H1945" s="405"/>
      <c r="I1945" s="405"/>
      <c r="J1945" s="405"/>
      <c r="K1945" s="405"/>
      <c r="L1945" s="405"/>
      <c r="M1945" s="405"/>
      <c r="N1945" s="405"/>
      <c r="O1945" s="405"/>
      <c r="P1945" s="405"/>
      <c r="Q1945" s="405"/>
      <c r="R1945" s="405"/>
      <c r="S1945" s="405"/>
      <c r="T1945" s="405"/>
      <c r="U1945" s="405"/>
      <c r="V1945" s="405"/>
      <c r="W1945" s="405"/>
      <c r="X1945" s="405"/>
      <c r="Y1945" s="405"/>
      <c r="Z1945" s="405"/>
    </row>
    <row r="1946" ht="14.25" customHeight="1">
      <c r="A1946" s="1134"/>
      <c r="B1946" s="405"/>
      <c r="C1946" s="405"/>
      <c r="D1946" s="1135"/>
      <c r="E1946" s="583"/>
      <c r="F1946" s="583"/>
      <c r="G1946" s="583"/>
      <c r="H1946" s="405"/>
      <c r="I1946" s="405"/>
      <c r="J1946" s="405"/>
      <c r="K1946" s="405"/>
      <c r="L1946" s="405"/>
      <c r="M1946" s="405"/>
      <c r="N1946" s="405"/>
      <c r="O1946" s="405"/>
      <c r="P1946" s="405"/>
      <c r="Q1946" s="405"/>
      <c r="R1946" s="405"/>
      <c r="S1946" s="405"/>
      <c r="T1946" s="405"/>
      <c r="U1946" s="405"/>
      <c r="V1946" s="405"/>
      <c r="W1946" s="405"/>
      <c r="X1946" s="405"/>
      <c r="Y1946" s="405"/>
      <c r="Z1946" s="405"/>
    </row>
    <row r="1947" ht="14.25" customHeight="1">
      <c r="A1947" s="1134"/>
      <c r="B1947" s="405"/>
      <c r="C1947" s="405"/>
      <c r="D1947" s="1135"/>
      <c r="E1947" s="583"/>
      <c r="F1947" s="583"/>
      <c r="G1947" s="583"/>
      <c r="H1947" s="405"/>
      <c r="I1947" s="405"/>
      <c r="J1947" s="405"/>
      <c r="K1947" s="405"/>
      <c r="L1947" s="405"/>
      <c r="M1947" s="405"/>
      <c r="N1947" s="405"/>
      <c r="O1947" s="405"/>
      <c r="P1947" s="405"/>
      <c r="Q1947" s="405"/>
      <c r="R1947" s="405"/>
      <c r="S1947" s="405"/>
      <c r="T1947" s="405"/>
      <c r="U1947" s="405"/>
      <c r="V1947" s="405"/>
      <c r="W1947" s="405"/>
      <c r="X1947" s="405"/>
      <c r="Y1947" s="405"/>
      <c r="Z1947" s="405"/>
    </row>
    <row r="1948" ht="14.25" customHeight="1">
      <c r="A1948" s="1134"/>
      <c r="B1948" s="405"/>
      <c r="C1948" s="405"/>
      <c r="D1948" s="1135"/>
      <c r="E1948" s="583"/>
      <c r="F1948" s="583"/>
      <c r="G1948" s="583"/>
      <c r="H1948" s="405"/>
      <c r="I1948" s="405"/>
      <c r="J1948" s="405"/>
      <c r="K1948" s="405"/>
      <c r="L1948" s="405"/>
      <c r="M1948" s="405"/>
      <c r="N1948" s="405"/>
      <c r="O1948" s="405"/>
      <c r="P1948" s="405"/>
      <c r="Q1948" s="405"/>
      <c r="R1948" s="405"/>
      <c r="S1948" s="405"/>
      <c r="T1948" s="405"/>
      <c r="U1948" s="405"/>
      <c r="V1948" s="405"/>
      <c r="W1948" s="405"/>
      <c r="X1948" s="405"/>
      <c r="Y1948" s="405"/>
      <c r="Z1948" s="405"/>
    </row>
    <row r="1949" ht="14.25" customHeight="1">
      <c r="A1949" s="1134"/>
      <c r="B1949" s="405"/>
      <c r="C1949" s="405"/>
      <c r="D1949" s="1135"/>
      <c r="E1949" s="583"/>
      <c r="F1949" s="583"/>
      <c r="G1949" s="583"/>
      <c r="H1949" s="405"/>
      <c r="I1949" s="405"/>
      <c r="J1949" s="405"/>
      <c r="K1949" s="405"/>
      <c r="L1949" s="405"/>
      <c r="M1949" s="405"/>
      <c r="N1949" s="405"/>
      <c r="O1949" s="405"/>
      <c r="P1949" s="405"/>
      <c r="Q1949" s="405"/>
      <c r="R1949" s="405"/>
      <c r="S1949" s="405"/>
      <c r="T1949" s="405"/>
      <c r="U1949" s="405"/>
      <c r="V1949" s="405"/>
      <c r="W1949" s="405"/>
      <c r="X1949" s="405"/>
      <c r="Y1949" s="405"/>
      <c r="Z1949" s="405"/>
    </row>
    <row r="1950" ht="14.25" customHeight="1">
      <c r="A1950" s="1134"/>
      <c r="B1950" s="405"/>
      <c r="C1950" s="405"/>
      <c r="D1950" s="1135"/>
      <c r="E1950" s="583"/>
      <c r="F1950" s="583"/>
      <c r="G1950" s="583"/>
      <c r="H1950" s="405"/>
      <c r="I1950" s="405"/>
      <c r="J1950" s="405"/>
      <c r="K1950" s="405"/>
      <c r="L1950" s="405"/>
      <c r="M1950" s="405"/>
      <c r="N1950" s="405"/>
      <c r="O1950" s="405"/>
      <c r="P1950" s="405"/>
      <c r="Q1950" s="405"/>
      <c r="R1950" s="405"/>
      <c r="S1950" s="405"/>
      <c r="T1950" s="405"/>
      <c r="U1950" s="405"/>
      <c r="V1950" s="405"/>
      <c r="W1950" s="405"/>
      <c r="X1950" s="405"/>
      <c r="Y1950" s="405"/>
      <c r="Z1950" s="405"/>
    </row>
    <row r="1951" ht="14.25" customHeight="1">
      <c r="A1951" s="1134"/>
      <c r="B1951" s="405"/>
      <c r="C1951" s="405"/>
      <c r="D1951" s="1135"/>
      <c r="E1951" s="583"/>
      <c r="F1951" s="583"/>
      <c r="G1951" s="583"/>
      <c r="H1951" s="405"/>
      <c r="I1951" s="405"/>
      <c r="J1951" s="405"/>
      <c r="K1951" s="405"/>
      <c r="L1951" s="405"/>
      <c r="M1951" s="405"/>
      <c r="N1951" s="405"/>
      <c r="O1951" s="405"/>
      <c r="P1951" s="405"/>
      <c r="Q1951" s="405"/>
      <c r="R1951" s="405"/>
      <c r="S1951" s="405"/>
      <c r="T1951" s="405"/>
      <c r="U1951" s="405"/>
      <c r="V1951" s="405"/>
      <c r="W1951" s="405"/>
      <c r="X1951" s="405"/>
      <c r="Y1951" s="405"/>
      <c r="Z1951" s="405"/>
    </row>
    <row r="1952" ht="14.25" customHeight="1">
      <c r="A1952" s="1134"/>
      <c r="B1952" s="405"/>
      <c r="C1952" s="405"/>
      <c r="D1952" s="1135"/>
      <c r="E1952" s="583"/>
      <c r="F1952" s="583"/>
      <c r="G1952" s="583"/>
      <c r="H1952" s="405"/>
      <c r="I1952" s="405"/>
      <c r="J1952" s="405"/>
      <c r="K1952" s="405"/>
      <c r="L1952" s="405"/>
      <c r="M1952" s="405"/>
      <c r="N1952" s="405"/>
      <c r="O1952" s="405"/>
      <c r="P1952" s="405"/>
      <c r="Q1952" s="405"/>
      <c r="R1952" s="405"/>
      <c r="S1952" s="405"/>
      <c r="T1952" s="405"/>
      <c r="U1952" s="405"/>
      <c r="V1952" s="405"/>
      <c r="W1952" s="405"/>
      <c r="X1952" s="405"/>
      <c r="Y1952" s="405"/>
      <c r="Z1952" s="405"/>
    </row>
    <row r="1953" ht="14.25" customHeight="1">
      <c r="A1953" s="1134"/>
      <c r="B1953" s="405"/>
      <c r="C1953" s="405"/>
      <c r="D1953" s="1135"/>
      <c r="E1953" s="583"/>
      <c r="F1953" s="583"/>
      <c r="G1953" s="583"/>
      <c r="H1953" s="405"/>
      <c r="I1953" s="405"/>
      <c r="J1953" s="405"/>
      <c r="K1953" s="405"/>
      <c r="L1953" s="405"/>
      <c r="M1953" s="405"/>
      <c r="N1953" s="405"/>
      <c r="O1953" s="405"/>
      <c r="P1953" s="405"/>
      <c r="Q1953" s="405"/>
      <c r="R1953" s="405"/>
      <c r="S1953" s="405"/>
      <c r="T1953" s="405"/>
      <c r="U1953" s="405"/>
      <c r="V1953" s="405"/>
      <c r="W1953" s="405"/>
      <c r="X1953" s="405"/>
      <c r="Y1953" s="405"/>
      <c r="Z1953" s="405"/>
    </row>
    <row r="1954" ht="14.25" customHeight="1">
      <c r="A1954" s="1134"/>
      <c r="B1954" s="405"/>
      <c r="C1954" s="405"/>
      <c r="D1954" s="1135"/>
      <c r="E1954" s="583"/>
      <c r="F1954" s="583"/>
      <c r="G1954" s="583"/>
      <c r="H1954" s="405"/>
      <c r="I1954" s="405"/>
      <c r="J1954" s="405"/>
      <c r="K1954" s="405"/>
      <c r="L1954" s="405"/>
      <c r="M1954" s="405"/>
      <c r="N1954" s="405"/>
      <c r="O1954" s="405"/>
      <c r="P1954" s="405"/>
      <c r="Q1954" s="405"/>
      <c r="R1954" s="405"/>
      <c r="S1954" s="405"/>
      <c r="T1954" s="405"/>
      <c r="U1954" s="405"/>
      <c r="V1954" s="405"/>
      <c r="W1954" s="405"/>
      <c r="X1954" s="405"/>
      <c r="Y1954" s="405"/>
      <c r="Z1954" s="405"/>
    </row>
    <row r="1955" ht="14.25" customHeight="1">
      <c r="A1955" s="1134"/>
      <c r="B1955" s="405"/>
      <c r="C1955" s="405"/>
      <c r="D1955" s="1135"/>
      <c r="E1955" s="583"/>
      <c r="F1955" s="583"/>
      <c r="G1955" s="583"/>
      <c r="H1955" s="405"/>
      <c r="I1955" s="405"/>
      <c r="J1955" s="405"/>
      <c r="K1955" s="405"/>
      <c r="L1955" s="405"/>
      <c r="M1955" s="405"/>
      <c r="N1955" s="405"/>
      <c r="O1955" s="405"/>
      <c r="P1955" s="405"/>
      <c r="Q1955" s="405"/>
      <c r="R1955" s="405"/>
      <c r="S1955" s="405"/>
      <c r="T1955" s="405"/>
      <c r="U1955" s="405"/>
      <c r="V1955" s="405"/>
      <c r="W1955" s="405"/>
      <c r="X1955" s="405"/>
      <c r="Y1955" s="405"/>
      <c r="Z1955" s="405"/>
    </row>
    <row r="1956" ht="14.25" customHeight="1">
      <c r="A1956" s="1134"/>
      <c r="B1956" s="405"/>
      <c r="C1956" s="405"/>
      <c r="D1956" s="1135"/>
      <c r="E1956" s="583"/>
      <c r="F1956" s="583"/>
      <c r="G1956" s="583"/>
      <c r="H1956" s="405"/>
      <c r="I1956" s="405"/>
      <c r="J1956" s="405"/>
      <c r="K1956" s="405"/>
      <c r="L1956" s="405"/>
      <c r="M1956" s="405"/>
      <c r="N1956" s="405"/>
      <c r="O1956" s="405"/>
      <c r="P1956" s="405"/>
      <c r="Q1956" s="405"/>
      <c r="R1956" s="405"/>
      <c r="S1956" s="405"/>
      <c r="T1956" s="405"/>
      <c r="U1956" s="405"/>
      <c r="V1956" s="405"/>
      <c r="W1956" s="405"/>
      <c r="X1956" s="405"/>
      <c r="Y1956" s="405"/>
      <c r="Z1956" s="405"/>
    </row>
    <row r="1957" ht="14.25" customHeight="1">
      <c r="A1957" s="1134"/>
      <c r="B1957" s="405"/>
      <c r="C1957" s="405"/>
      <c r="D1957" s="1135"/>
      <c r="E1957" s="583"/>
      <c r="F1957" s="583"/>
      <c r="G1957" s="583"/>
      <c r="H1957" s="405"/>
      <c r="I1957" s="405"/>
      <c r="J1957" s="405"/>
      <c r="K1957" s="405"/>
      <c r="L1957" s="405"/>
      <c r="M1957" s="405"/>
      <c r="N1957" s="405"/>
      <c r="O1957" s="405"/>
      <c r="P1957" s="405"/>
      <c r="Q1957" s="405"/>
      <c r="R1957" s="405"/>
      <c r="S1957" s="405"/>
      <c r="T1957" s="405"/>
      <c r="U1957" s="405"/>
      <c r="V1957" s="405"/>
      <c r="W1957" s="405"/>
      <c r="X1957" s="405"/>
      <c r="Y1957" s="405"/>
      <c r="Z1957" s="405"/>
    </row>
    <row r="1958" ht="14.25" customHeight="1">
      <c r="A1958" s="1134"/>
      <c r="B1958" s="405"/>
      <c r="C1958" s="405"/>
      <c r="D1958" s="1135"/>
      <c r="E1958" s="583"/>
      <c r="F1958" s="583"/>
      <c r="G1958" s="583"/>
      <c r="H1958" s="405"/>
      <c r="I1958" s="405"/>
      <c r="J1958" s="405"/>
      <c r="K1958" s="405"/>
      <c r="L1958" s="405"/>
      <c r="M1958" s="405"/>
      <c r="N1958" s="405"/>
      <c r="O1958" s="405"/>
      <c r="P1958" s="405"/>
      <c r="Q1958" s="405"/>
      <c r="R1958" s="405"/>
      <c r="S1958" s="405"/>
      <c r="T1958" s="405"/>
      <c r="U1958" s="405"/>
      <c r="V1958" s="405"/>
      <c r="W1958" s="405"/>
      <c r="X1958" s="405"/>
      <c r="Y1958" s="405"/>
      <c r="Z1958" s="405"/>
    </row>
    <row r="1959" ht="14.25" customHeight="1">
      <c r="A1959" s="1134"/>
      <c r="B1959" s="405"/>
      <c r="C1959" s="405"/>
      <c r="D1959" s="1135"/>
      <c r="E1959" s="583"/>
      <c r="F1959" s="583"/>
      <c r="G1959" s="583"/>
      <c r="H1959" s="405"/>
      <c r="I1959" s="405"/>
      <c r="J1959" s="405"/>
      <c r="K1959" s="405"/>
      <c r="L1959" s="405"/>
      <c r="M1959" s="405"/>
      <c r="N1959" s="405"/>
      <c r="O1959" s="405"/>
      <c r="P1959" s="405"/>
      <c r="Q1959" s="405"/>
      <c r="R1959" s="405"/>
      <c r="S1959" s="405"/>
      <c r="T1959" s="405"/>
      <c r="U1959" s="405"/>
      <c r="V1959" s="405"/>
      <c r="W1959" s="405"/>
      <c r="X1959" s="405"/>
      <c r="Y1959" s="405"/>
      <c r="Z1959" s="405"/>
    </row>
    <row r="1960" ht="14.25" customHeight="1">
      <c r="A1960" s="1134"/>
      <c r="B1960" s="405"/>
      <c r="C1960" s="405"/>
      <c r="D1960" s="1135"/>
      <c r="E1960" s="583"/>
      <c r="F1960" s="583"/>
      <c r="G1960" s="583"/>
      <c r="H1960" s="405"/>
      <c r="I1960" s="405"/>
      <c r="J1960" s="405"/>
      <c r="K1960" s="405"/>
      <c r="L1960" s="405"/>
      <c r="M1960" s="405"/>
      <c r="N1960" s="405"/>
      <c r="O1960" s="405"/>
      <c r="P1960" s="405"/>
      <c r="Q1960" s="405"/>
      <c r="R1960" s="405"/>
      <c r="S1960" s="405"/>
      <c r="T1960" s="405"/>
      <c r="U1960" s="405"/>
      <c r="V1960" s="405"/>
      <c r="W1960" s="405"/>
      <c r="X1960" s="405"/>
      <c r="Y1960" s="405"/>
      <c r="Z1960" s="405"/>
    </row>
    <row r="1961" ht="14.25" customHeight="1">
      <c r="A1961" s="1134"/>
      <c r="B1961" s="405"/>
      <c r="C1961" s="405"/>
      <c r="D1961" s="1135"/>
      <c r="E1961" s="583"/>
      <c r="F1961" s="583"/>
      <c r="G1961" s="583"/>
      <c r="H1961" s="405"/>
      <c r="I1961" s="405"/>
      <c r="J1961" s="405"/>
      <c r="K1961" s="405"/>
      <c r="L1961" s="405"/>
      <c r="M1961" s="405"/>
      <c r="N1961" s="405"/>
      <c r="O1961" s="405"/>
      <c r="P1961" s="405"/>
      <c r="Q1961" s="405"/>
      <c r="R1961" s="405"/>
      <c r="S1961" s="405"/>
      <c r="T1961" s="405"/>
      <c r="U1961" s="405"/>
      <c r="V1961" s="405"/>
      <c r="W1961" s="405"/>
      <c r="X1961" s="405"/>
      <c r="Y1961" s="405"/>
      <c r="Z1961" s="405"/>
    </row>
    <row r="1962" ht="14.25" customHeight="1">
      <c r="A1962" s="1134"/>
      <c r="B1962" s="405"/>
      <c r="C1962" s="405"/>
      <c r="D1962" s="1135"/>
      <c r="E1962" s="583"/>
      <c r="F1962" s="583"/>
      <c r="G1962" s="583"/>
      <c r="H1962" s="405"/>
      <c r="I1962" s="405"/>
      <c r="J1962" s="405"/>
      <c r="K1962" s="405"/>
      <c r="L1962" s="405"/>
      <c r="M1962" s="405"/>
      <c r="N1962" s="405"/>
      <c r="O1962" s="405"/>
      <c r="P1962" s="405"/>
      <c r="Q1962" s="405"/>
      <c r="R1962" s="405"/>
      <c r="S1962" s="405"/>
      <c r="T1962" s="405"/>
      <c r="U1962" s="405"/>
      <c r="V1962" s="405"/>
      <c r="W1962" s="405"/>
      <c r="X1962" s="405"/>
      <c r="Y1962" s="405"/>
      <c r="Z1962" s="405"/>
    </row>
    <row r="1963" ht="14.25" customHeight="1">
      <c r="A1963" s="1134"/>
      <c r="B1963" s="405"/>
      <c r="C1963" s="405"/>
      <c r="D1963" s="1135"/>
      <c r="E1963" s="583"/>
      <c r="F1963" s="583"/>
      <c r="G1963" s="583"/>
      <c r="H1963" s="405"/>
      <c r="I1963" s="405"/>
      <c r="J1963" s="405"/>
      <c r="K1963" s="405"/>
      <c r="L1963" s="405"/>
      <c r="M1963" s="405"/>
      <c r="N1963" s="405"/>
      <c r="O1963" s="405"/>
      <c r="P1963" s="405"/>
      <c r="Q1963" s="405"/>
      <c r="R1963" s="405"/>
      <c r="S1963" s="405"/>
      <c r="T1963" s="405"/>
      <c r="U1963" s="405"/>
      <c r="V1963" s="405"/>
      <c r="W1963" s="405"/>
      <c r="X1963" s="405"/>
      <c r="Y1963" s="405"/>
      <c r="Z1963" s="405"/>
    </row>
    <row r="1964" ht="14.25" customHeight="1">
      <c r="A1964" s="1134"/>
      <c r="B1964" s="405"/>
      <c r="C1964" s="405"/>
      <c r="D1964" s="1135"/>
      <c r="E1964" s="583"/>
      <c r="F1964" s="583"/>
      <c r="G1964" s="583"/>
      <c r="H1964" s="405"/>
      <c r="I1964" s="405"/>
      <c r="J1964" s="405"/>
      <c r="K1964" s="405"/>
      <c r="L1964" s="405"/>
      <c r="M1964" s="405"/>
      <c r="N1964" s="405"/>
      <c r="O1964" s="405"/>
      <c r="P1964" s="405"/>
      <c r="Q1964" s="405"/>
      <c r="R1964" s="405"/>
      <c r="S1964" s="405"/>
      <c r="T1964" s="405"/>
      <c r="U1964" s="405"/>
      <c r="V1964" s="405"/>
      <c r="W1964" s="405"/>
      <c r="X1964" s="405"/>
      <c r="Y1964" s="405"/>
      <c r="Z1964" s="405"/>
    </row>
    <row r="1965" ht="14.25" customHeight="1">
      <c r="A1965" s="1134"/>
      <c r="B1965" s="405"/>
      <c r="C1965" s="405"/>
      <c r="D1965" s="1135"/>
      <c r="E1965" s="583"/>
      <c r="F1965" s="583"/>
      <c r="G1965" s="583"/>
      <c r="H1965" s="405"/>
      <c r="I1965" s="405"/>
      <c r="J1965" s="405"/>
      <c r="K1965" s="405"/>
      <c r="L1965" s="405"/>
      <c r="M1965" s="405"/>
      <c r="N1965" s="405"/>
      <c r="O1965" s="405"/>
      <c r="P1965" s="405"/>
      <c r="Q1965" s="405"/>
      <c r="R1965" s="405"/>
      <c r="S1965" s="405"/>
      <c r="T1965" s="405"/>
      <c r="U1965" s="405"/>
      <c r="V1965" s="405"/>
      <c r="W1965" s="405"/>
      <c r="X1965" s="405"/>
      <c r="Y1965" s="405"/>
      <c r="Z1965" s="405"/>
    </row>
    <row r="1966" ht="14.25" customHeight="1">
      <c r="A1966" s="1134"/>
      <c r="B1966" s="405"/>
      <c r="C1966" s="405"/>
      <c r="D1966" s="1135"/>
      <c r="E1966" s="583"/>
      <c r="F1966" s="583"/>
      <c r="G1966" s="583"/>
      <c r="H1966" s="405"/>
      <c r="I1966" s="405"/>
      <c r="J1966" s="405"/>
      <c r="K1966" s="405"/>
      <c r="L1966" s="405"/>
      <c r="M1966" s="405"/>
      <c r="N1966" s="405"/>
      <c r="O1966" s="405"/>
      <c r="P1966" s="405"/>
      <c r="Q1966" s="405"/>
      <c r="R1966" s="405"/>
      <c r="S1966" s="405"/>
      <c r="T1966" s="405"/>
      <c r="U1966" s="405"/>
      <c r="V1966" s="405"/>
      <c r="W1966" s="405"/>
      <c r="X1966" s="405"/>
      <c r="Y1966" s="405"/>
      <c r="Z1966" s="405"/>
    </row>
    <row r="1967" ht="14.25" customHeight="1">
      <c r="A1967" s="1134"/>
      <c r="B1967" s="405"/>
      <c r="C1967" s="405"/>
      <c r="D1967" s="1135"/>
      <c r="E1967" s="583"/>
      <c r="F1967" s="583"/>
      <c r="G1967" s="583"/>
      <c r="H1967" s="405"/>
      <c r="I1967" s="405"/>
      <c r="J1967" s="405"/>
      <c r="K1967" s="405"/>
      <c r="L1967" s="405"/>
      <c r="M1967" s="405"/>
      <c r="N1967" s="405"/>
      <c r="O1967" s="405"/>
      <c r="P1967" s="405"/>
      <c r="Q1967" s="405"/>
      <c r="R1967" s="405"/>
      <c r="S1967" s="405"/>
      <c r="T1967" s="405"/>
      <c r="U1967" s="405"/>
      <c r="V1967" s="405"/>
      <c r="W1967" s="405"/>
      <c r="X1967" s="405"/>
      <c r="Y1967" s="405"/>
      <c r="Z1967" s="405"/>
    </row>
    <row r="1968" ht="14.25" customHeight="1">
      <c r="A1968" s="1134"/>
      <c r="B1968" s="405"/>
      <c r="C1968" s="405"/>
      <c r="D1968" s="1135"/>
      <c r="E1968" s="583"/>
      <c r="F1968" s="583"/>
      <c r="G1968" s="583"/>
      <c r="H1968" s="405"/>
      <c r="I1968" s="405"/>
      <c r="J1968" s="405"/>
      <c r="K1968" s="405"/>
      <c r="L1968" s="405"/>
      <c r="M1968" s="405"/>
      <c r="N1968" s="405"/>
      <c r="O1968" s="405"/>
      <c r="P1968" s="405"/>
      <c r="Q1968" s="405"/>
      <c r="R1968" s="405"/>
      <c r="S1968" s="405"/>
      <c r="T1968" s="405"/>
      <c r="U1968" s="405"/>
      <c r="V1968" s="405"/>
      <c r="W1968" s="405"/>
      <c r="X1968" s="405"/>
      <c r="Y1968" s="405"/>
      <c r="Z1968" s="405"/>
    </row>
    <row r="1969" ht="14.25" customHeight="1">
      <c r="A1969" s="1134"/>
      <c r="B1969" s="405"/>
      <c r="C1969" s="405"/>
      <c r="D1969" s="1135"/>
      <c r="E1969" s="583"/>
      <c r="F1969" s="583"/>
      <c r="G1969" s="583"/>
      <c r="H1969" s="405"/>
      <c r="I1969" s="405"/>
      <c r="J1969" s="405"/>
      <c r="K1969" s="405"/>
      <c r="L1969" s="405"/>
      <c r="M1969" s="405"/>
      <c r="N1969" s="405"/>
      <c r="O1969" s="405"/>
      <c r="P1969" s="405"/>
      <c r="Q1969" s="405"/>
      <c r="R1969" s="405"/>
      <c r="S1969" s="405"/>
      <c r="T1969" s="405"/>
      <c r="U1969" s="405"/>
      <c r="V1969" s="405"/>
      <c r="W1969" s="405"/>
      <c r="X1969" s="405"/>
      <c r="Y1969" s="405"/>
      <c r="Z1969" s="405"/>
    </row>
    <row r="1970" ht="14.25" customHeight="1">
      <c r="A1970" s="1134"/>
      <c r="B1970" s="405"/>
      <c r="C1970" s="405"/>
      <c r="D1970" s="1135"/>
      <c r="E1970" s="583"/>
      <c r="F1970" s="583"/>
      <c r="G1970" s="583"/>
      <c r="H1970" s="405"/>
      <c r="I1970" s="405"/>
      <c r="J1970" s="405"/>
      <c r="K1970" s="405"/>
      <c r="L1970" s="405"/>
      <c r="M1970" s="405"/>
      <c r="N1970" s="405"/>
      <c r="O1970" s="405"/>
      <c r="P1970" s="405"/>
      <c r="Q1970" s="405"/>
      <c r="R1970" s="405"/>
      <c r="S1970" s="405"/>
      <c r="T1970" s="405"/>
      <c r="U1970" s="405"/>
      <c r="V1970" s="405"/>
      <c r="W1970" s="405"/>
      <c r="X1970" s="405"/>
      <c r="Y1970" s="405"/>
      <c r="Z1970" s="405"/>
    </row>
    <row r="1971" ht="14.25" customHeight="1">
      <c r="A1971" s="1134"/>
      <c r="B1971" s="405"/>
      <c r="C1971" s="405"/>
      <c r="D1971" s="1135"/>
      <c r="E1971" s="583"/>
      <c r="F1971" s="583"/>
      <c r="G1971" s="583"/>
      <c r="H1971" s="405"/>
      <c r="I1971" s="405"/>
      <c r="J1971" s="405"/>
      <c r="K1971" s="405"/>
      <c r="L1971" s="405"/>
      <c r="M1971" s="405"/>
      <c r="N1971" s="405"/>
      <c r="O1971" s="405"/>
      <c r="P1971" s="405"/>
      <c r="Q1971" s="405"/>
      <c r="R1971" s="405"/>
      <c r="S1971" s="405"/>
      <c r="T1971" s="405"/>
      <c r="U1971" s="405"/>
      <c r="V1971" s="405"/>
      <c r="W1971" s="405"/>
      <c r="X1971" s="405"/>
      <c r="Y1971" s="405"/>
      <c r="Z1971" s="405"/>
    </row>
    <row r="1972" ht="14.25" customHeight="1">
      <c r="A1972" s="1134"/>
      <c r="B1972" s="405"/>
      <c r="C1972" s="405"/>
      <c r="D1972" s="1135"/>
      <c r="E1972" s="583"/>
      <c r="F1972" s="583"/>
      <c r="G1972" s="583"/>
      <c r="H1972" s="405"/>
      <c r="I1972" s="405"/>
      <c r="J1972" s="405"/>
      <c r="K1972" s="405"/>
      <c r="L1972" s="405"/>
      <c r="M1972" s="405"/>
      <c r="N1972" s="405"/>
      <c r="O1972" s="405"/>
      <c r="P1972" s="405"/>
      <c r="Q1972" s="405"/>
      <c r="R1972" s="405"/>
      <c r="S1972" s="405"/>
      <c r="T1972" s="405"/>
      <c r="U1972" s="405"/>
      <c r="V1972" s="405"/>
      <c r="W1972" s="405"/>
      <c r="X1972" s="405"/>
      <c r="Y1972" s="405"/>
      <c r="Z1972" s="405"/>
    </row>
    <row r="1973" ht="14.25" customHeight="1">
      <c r="A1973" s="1134"/>
      <c r="B1973" s="405"/>
      <c r="C1973" s="405"/>
      <c r="D1973" s="1135"/>
      <c r="E1973" s="583"/>
      <c r="F1973" s="583"/>
      <c r="G1973" s="583"/>
      <c r="H1973" s="405"/>
      <c r="I1973" s="405"/>
      <c r="J1973" s="405"/>
      <c r="K1973" s="405"/>
      <c r="L1973" s="405"/>
      <c r="M1973" s="405"/>
      <c r="N1973" s="405"/>
      <c r="O1973" s="405"/>
      <c r="P1973" s="405"/>
      <c r="Q1973" s="405"/>
      <c r="R1973" s="405"/>
      <c r="S1973" s="405"/>
      <c r="T1973" s="405"/>
      <c r="U1973" s="405"/>
      <c r="V1973" s="405"/>
      <c r="W1973" s="405"/>
      <c r="X1973" s="405"/>
      <c r="Y1973" s="405"/>
      <c r="Z1973" s="405"/>
    </row>
    <row r="1974" ht="14.25" customHeight="1">
      <c r="A1974" s="1134"/>
      <c r="B1974" s="405"/>
      <c r="C1974" s="405"/>
      <c r="D1974" s="1135"/>
      <c r="E1974" s="583"/>
      <c r="F1974" s="583"/>
      <c r="G1974" s="583"/>
      <c r="H1974" s="405"/>
      <c r="I1974" s="405"/>
      <c r="J1974" s="405"/>
      <c r="K1974" s="405"/>
      <c r="L1974" s="405"/>
      <c r="M1974" s="405"/>
      <c r="N1974" s="405"/>
      <c r="O1974" s="405"/>
      <c r="P1974" s="405"/>
      <c r="Q1974" s="405"/>
      <c r="R1974" s="405"/>
      <c r="S1974" s="405"/>
      <c r="T1974" s="405"/>
      <c r="U1974" s="405"/>
      <c r="V1974" s="405"/>
      <c r="W1974" s="405"/>
      <c r="X1974" s="405"/>
      <c r="Y1974" s="405"/>
      <c r="Z1974" s="405"/>
    </row>
    <row r="1975" ht="14.25" customHeight="1">
      <c r="A1975" s="1134"/>
      <c r="B1975" s="405"/>
      <c r="C1975" s="405"/>
      <c r="D1975" s="1135"/>
      <c r="E1975" s="583"/>
      <c r="F1975" s="583"/>
      <c r="G1975" s="583"/>
      <c r="H1975" s="405"/>
      <c r="I1975" s="405"/>
      <c r="J1975" s="405"/>
      <c r="K1975" s="405"/>
      <c r="L1975" s="405"/>
      <c r="M1975" s="405"/>
      <c r="N1975" s="405"/>
      <c r="O1975" s="405"/>
      <c r="P1975" s="405"/>
      <c r="Q1975" s="405"/>
      <c r="R1975" s="405"/>
      <c r="S1975" s="405"/>
      <c r="T1975" s="405"/>
      <c r="U1975" s="405"/>
      <c r="V1975" s="405"/>
      <c r="W1975" s="405"/>
      <c r="X1975" s="405"/>
      <c r="Y1975" s="405"/>
      <c r="Z1975" s="405"/>
    </row>
    <row r="1976" ht="14.25" customHeight="1">
      <c r="A1976" s="1134"/>
      <c r="B1976" s="405"/>
      <c r="C1976" s="405"/>
      <c r="D1976" s="1135"/>
      <c r="E1976" s="583"/>
      <c r="F1976" s="583"/>
      <c r="G1976" s="583"/>
      <c r="H1976" s="405"/>
      <c r="I1976" s="405"/>
      <c r="J1976" s="405"/>
      <c r="K1976" s="405"/>
      <c r="L1976" s="405"/>
      <c r="M1976" s="405"/>
      <c r="N1976" s="405"/>
      <c r="O1976" s="405"/>
      <c r="P1976" s="405"/>
      <c r="Q1976" s="405"/>
      <c r="R1976" s="405"/>
      <c r="S1976" s="405"/>
      <c r="T1976" s="405"/>
      <c r="U1976" s="405"/>
      <c r="V1976" s="405"/>
      <c r="W1976" s="405"/>
      <c r="X1976" s="405"/>
      <c r="Y1976" s="405"/>
      <c r="Z1976" s="405"/>
    </row>
    <row r="1977" ht="14.25" customHeight="1">
      <c r="A1977" s="1134"/>
      <c r="B1977" s="405"/>
      <c r="C1977" s="405"/>
      <c r="D1977" s="1135"/>
      <c r="E1977" s="583"/>
      <c r="F1977" s="583"/>
      <c r="G1977" s="583"/>
      <c r="H1977" s="405"/>
      <c r="I1977" s="405"/>
      <c r="J1977" s="405"/>
      <c r="K1977" s="405"/>
      <c r="L1977" s="405"/>
      <c r="M1977" s="405"/>
      <c r="N1977" s="405"/>
      <c r="O1977" s="405"/>
      <c r="P1977" s="405"/>
      <c r="Q1977" s="405"/>
      <c r="R1977" s="405"/>
      <c r="S1977" s="405"/>
      <c r="T1977" s="405"/>
      <c r="U1977" s="405"/>
      <c r="V1977" s="405"/>
      <c r="W1977" s="405"/>
      <c r="X1977" s="405"/>
      <c r="Y1977" s="405"/>
      <c r="Z1977" s="405"/>
    </row>
    <row r="1978" ht="14.25" customHeight="1">
      <c r="A1978" s="1134"/>
      <c r="B1978" s="405"/>
      <c r="C1978" s="405"/>
      <c r="D1978" s="1135"/>
      <c r="E1978" s="583"/>
      <c r="F1978" s="583"/>
      <c r="G1978" s="583"/>
      <c r="H1978" s="405"/>
      <c r="I1978" s="405"/>
      <c r="J1978" s="405"/>
      <c r="K1978" s="405"/>
      <c r="L1978" s="405"/>
      <c r="M1978" s="405"/>
      <c r="N1978" s="405"/>
      <c r="O1978" s="405"/>
      <c r="P1978" s="405"/>
      <c r="Q1978" s="405"/>
      <c r="R1978" s="405"/>
      <c r="S1978" s="405"/>
      <c r="T1978" s="405"/>
      <c r="U1978" s="405"/>
      <c r="V1978" s="405"/>
      <c r="W1978" s="405"/>
      <c r="X1978" s="405"/>
      <c r="Y1978" s="405"/>
      <c r="Z1978" s="405"/>
    </row>
    <row r="1979" ht="14.25" customHeight="1">
      <c r="A1979" s="1134"/>
      <c r="B1979" s="405"/>
      <c r="C1979" s="405"/>
      <c r="D1979" s="1135"/>
      <c r="E1979" s="583"/>
      <c r="F1979" s="583"/>
      <c r="G1979" s="583"/>
      <c r="H1979" s="405"/>
      <c r="I1979" s="405"/>
      <c r="J1979" s="405"/>
      <c r="K1979" s="405"/>
      <c r="L1979" s="405"/>
      <c r="M1979" s="405"/>
      <c r="N1979" s="405"/>
      <c r="O1979" s="405"/>
      <c r="P1979" s="405"/>
      <c r="Q1979" s="405"/>
      <c r="R1979" s="405"/>
      <c r="S1979" s="405"/>
      <c r="T1979" s="405"/>
      <c r="U1979" s="405"/>
      <c r="V1979" s="405"/>
      <c r="W1979" s="405"/>
      <c r="X1979" s="405"/>
      <c r="Y1979" s="405"/>
      <c r="Z1979" s="405"/>
    </row>
    <row r="1980" ht="14.25" customHeight="1">
      <c r="A1980" s="1134"/>
      <c r="B1980" s="405"/>
      <c r="C1980" s="405"/>
      <c r="D1980" s="1135"/>
      <c r="E1980" s="583"/>
      <c r="F1980" s="583"/>
      <c r="G1980" s="583"/>
      <c r="H1980" s="405"/>
      <c r="I1980" s="405"/>
      <c r="J1980" s="405"/>
      <c r="K1980" s="405"/>
      <c r="L1980" s="405"/>
      <c r="M1980" s="405"/>
      <c r="N1980" s="405"/>
      <c r="O1980" s="405"/>
      <c r="P1980" s="405"/>
      <c r="Q1980" s="405"/>
      <c r="R1980" s="405"/>
      <c r="S1980" s="405"/>
      <c r="T1980" s="405"/>
      <c r="U1980" s="405"/>
      <c r="V1980" s="405"/>
      <c r="W1980" s="405"/>
      <c r="X1980" s="405"/>
      <c r="Y1980" s="405"/>
      <c r="Z1980" s="405"/>
    </row>
    <row r="1981" ht="14.25" customHeight="1">
      <c r="A1981" s="1134"/>
      <c r="B1981" s="405"/>
      <c r="C1981" s="405"/>
      <c r="D1981" s="1135"/>
      <c r="E1981" s="583"/>
      <c r="F1981" s="583"/>
      <c r="G1981" s="583"/>
      <c r="H1981" s="405"/>
      <c r="I1981" s="405"/>
      <c r="J1981" s="405"/>
      <c r="K1981" s="405"/>
      <c r="L1981" s="405"/>
      <c r="M1981" s="405"/>
      <c r="N1981" s="405"/>
      <c r="O1981" s="405"/>
      <c r="P1981" s="405"/>
      <c r="Q1981" s="405"/>
      <c r="R1981" s="405"/>
      <c r="S1981" s="405"/>
      <c r="T1981" s="405"/>
      <c r="U1981" s="405"/>
      <c r="V1981" s="405"/>
      <c r="W1981" s="405"/>
      <c r="X1981" s="405"/>
      <c r="Y1981" s="405"/>
      <c r="Z1981" s="405"/>
    </row>
    <row r="1982" ht="14.25" customHeight="1">
      <c r="A1982" s="1134"/>
      <c r="B1982" s="405"/>
      <c r="C1982" s="405"/>
      <c r="D1982" s="1135"/>
      <c r="E1982" s="583"/>
      <c r="F1982" s="583"/>
      <c r="G1982" s="583"/>
      <c r="H1982" s="405"/>
      <c r="I1982" s="405"/>
      <c r="J1982" s="405"/>
      <c r="K1982" s="405"/>
      <c r="L1982" s="405"/>
      <c r="M1982" s="405"/>
      <c r="N1982" s="405"/>
      <c r="O1982" s="405"/>
      <c r="P1982" s="405"/>
      <c r="Q1982" s="405"/>
      <c r="R1982" s="405"/>
      <c r="S1982" s="405"/>
      <c r="T1982" s="405"/>
      <c r="U1982" s="405"/>
      <c r="V1982" s="405"/>
      <c r="W1982" s="405"/>
      <c r="X1982" s="405"/>
      <c r="Y1982" s="405"/>
      <c r="Z1982" s="405"/>
    </row>
    <row r="1983" ht="14.25" customHeight="1">
      <c r="A1983" s="1134"/>
      <c r="B1983" s="405"/>
      <c r="C1983" s="405"/>
      <c r="D1983" s="1135"/>
      <c r="E1983" s="583"/>
      <c r="F1983" s="583"/>
      <c r="G1983" s="583"/>
      <c r="H1983" s="405"/>
      <c r="I1983" s="405"/>
      <c r="J1983" s="405"/>
      <c r="K1983" s="405"/>
      <c r="L1983" s="405"/>
      <c r="M1983" s="405"/>
      <c r="N1983" s="405"/>
      <c r="O1983" s="405"/>
      <c r="P1983" s="405"/>
      <c r="Q1983" s="405"/>
      <c r="R1983" s="405"/>
      <c r="S1983" s="405"/>
      <c r="T1983" s="405"/>
      <c r="U1983" s="405"/>
      <c r="V1983" s="405"/>
      <c r="W1983" s="405"/>
      <c r="X1983" s="405"/>
      <c r="Y1983" s="405"/>
      <c r="Z1983" s="405"/>
    </row>
    <row r="1984" ht="14.25" customHeight="1">
      <c r="A1984" s="1134"/>
      <c r="B1984" s="405"/>
      <c r="C1984" s="405"/>
      <c r="D1984" s="1135"/>
      <c r="E1984" s="583"/>
      <c r="F1984" s="583"/>
      <c r="G1984" s="583"/>
      <c r="H1984" s="405"/>
      <c r="I1984" s="405"/>
      <c r="J1984" s="405"/>
      <c r="K1984" s="405"/>
      <c r="L1984" s="405"/>
      <c r="M1984" s="405"/>
      <c r="N1984" s="405"/>
      <c r="O1984" s="405"/>
      <c r="P1984" s="405"/>
      <c r="Q1984" s="405"/>
      <c r="R1984" s="405"/>
      <c r="S1984" s="405"/>
      <c r="T1984" s="405"/>
      <c r="U1984" s="405"/>
      <c r="V1984" s="405"/>
      <c r="W1984" s="405"/>
      <c r="X1984" s="405"/>
      <c r="Y1984" s="405"/>
      <c r="Z1984" s="405"/>
    </row>
    <row r="1985" ht="14.25" customHeight="1">
      <c r="A1985" s="1134"/>
      <c r="B1985" s="405"/>
      <c r="C1985" s="405"/>
      <c r="D1985" s="1135"/>
      <c r="E1985" s="583"/>
      <c r="F1985" s="583"/>
      <c r="G1985" s="583"/>
      <c r="H1985" s="405"/>
      <c r="I1985" s="405"/>
      <c r="J1985" s="405"/>
      <c r="K1985" s="405"/>
      <c r="L1985" s="405"/>
      <c r="M1985" s="405"/>
      <c r="N1985" s="405"/>
      <c r="O1985" s="405"/>
      <c r="P1985" s="405"/>
      <c r="Q1985" s="405"/>
      <c r="R1985" s="405"/>
      <c r="S1985" s="405"/>
      <c r="T1985" s="405"/>
      <c r="U1985" s="405"/>
      <c r="V1985" s="405"/>
      <c r="W1985" s="405"/>
      <c r="X1985" s="405"/>
      <c r="Y1985" s="405"/>
      <c r="Z1985" s="405"/>
    </row>
    <row r="1986" ht="14.25" customHeight="1">
      <c r="A1986" s="1134"/>
      <c r="B1986" s="405"/>
      <c r="C1986" s="405"/>
      <c r="D1986" s="1135"/>
      <c r="E1986" s="583"/>
      <c r="F1986" s="583"/>
      <c r="G1986" s="583"/>
      <c r="H1986" s="405"/>
      <c r="I1986" s="405"/>
      <c r="J1986" s="405"/>
      <c r="K1986" s="405"/>
      <c r="L1986" s="405"/>
      <c r="M1986" s="405"/>
      <c r="N1986" s="405"/>
      <c r="O1986" s="405"/>
      <c r="P1986" s="405"/>
      <c r="Q1986" s="405"/>
      <c r="R1986" s="405"/>
      <c r="S1986" s="405"/>
      <c r="T1986" s="405"/>
      <c r="U1986" s="405"/>
      <c r="V1986" s="405"/>
      <c r="W1986" s="405"/>
      <c r="X1986" s="405"/>
      <c r="Y1986" s="405"/>
      <c r="Z1986" s="405"/>
    </row>
    <row r="1987" ht="14.25" customHeight="1">
      <c r="A1987" s="1134"/>
      <c r="B1987" s="405"/>
      <c r="C1987" s="405"/>
      <c r="D1987" s="1135"/>
      <c r="E1987" s="583"/>
      <c r="F1987" s="583"/>
      <c r="G1987" s="583"/>
      <c r="H1987" s="405"/>
      <c r="I1987" s="405"/>
      <c r="J1987" s="405"/>
      <c r="K1987" s="405"/>
      <c r="L1987" s="405"/>
      <c r="M1987" s="405"/>
      <c r="N1987" s="405"/>
      <c r="O1987" s="405"/>
      <c r="P1987" s="405"/>
      <c r="Q1987" s="405"/>
      <c r="R1987" s="405"/>
      <c r="S1987" s="405"/>
      <c r="T1987" s="405"/>
      <c r="U1987" s="405"/>
      <c r="V1987" s="405"/>
      <c r="W1987" s="405"/>
      <c r="X1987" s="405"/>
      <c r="Y1987" s="405"/>
      <c r="Z1987" s="405"/>
    </row>
    <row r="1988" ht="14.25" customHeight="1">
      <c r="A1988" s="1134"/>
      <c r="B1988" s="405"/>
      <c r="C1988" s="405"/>
      <c r="D1988" s="1135"/>
      <c r="E1988" s="583"/>
      <c r="F1988" s="583"/>
      <c r="G1988" s="583"/>
      <c r="H1988" s="405"/>
      <c r="I1988" s="405"/>
      <c r="J1988" s="405"/>
      <c r="K1988" s="405"/>
      <c r="L1988" s="405"/>
      <c r="M1988" s="405"/>
      <c r="N1988" s="405"/>
      <c r="O1988" s="405"/>
      <c r="P1988" s="405"/>
      <c r="Q1988" s="405"/>
      <c r="R1988" s="405"/>
      <c r="S1988" s="405"/>
      <c r="T1988" s="405"/>
      <c r="U1988" s="405"/>
      <c r="V1988" s="405"/>
      <c r="W1988" s="405"/>
      <c r="X1988" s="405"/>
      <c r="Y1988" s="405"/>
      <c r="Z1988" s="405"/>
    </row>
    <row r="1989" ht="14.25" customHeight="1">
      <c r="A1989" s="1134"/>
      <c r="B1989" s="405"/>
      <c r="C1989" s="405"/>
      <c r="D1989" s="1135"/>
      <c r="E1989" s="583"/>
      <c r="F1989" s="583"/>
      <c r="G1989" s="583"/>
      <c r="H1989" s="405"/>
      <c r="I1989" s="405"/>
      <c r="J1989" s="405"/>
      <c r="K1989" s="405"/>
      <c r="L1989" s="405"/>
      <c r="M1989" s="405"/>
      <c r="N1989" s="405"/>
      <c r="O1989" s="405"/>
      <c r="P1989" s="405"/>
      <c r="Q1989" s="405"/>
      <c r="R1989" s="405"/>
      <c r="S1989" s="405"/>
      <c r="T1989" s="405"/>
      <c r="U1989" s="405"/>
      <c r="V1989" s="405"/>
      <c r="W1989" s="405"/>
      <c r="X1989" s="405"/>
      <c r="Y1989" s="405"/>
      <c r="Z1989" s="405"/>
    </row>
    <row r="1990" ht="14.25" customHeight="1">
      <c r="A1990" s="1134"/>
      <c r="B1990" s="405"/>
      <c r="C1990" s="405"/>
      <c r="D1990" s="1135"/>
      <c r="E1990" s="583"/>
      <c r="F1990" s="583"/>
      <c r="G1990" s="583"/>
      <c r="H1990" s="405"/>
      <c r="I1990" s="405"/>
      <c r="J1990" s="405"/>
      <c r="K1990" s="405"/>
      <c r="L1990" s="405"/>
      <c r="M1990" s="405"/>
      <c r="N1990" s="405"/>
      <c r="O1990" s="405"/>
      <c r="P1990" s="405"/>
      <c r="Q1990" s="405"/>
      <c r="R1990" s="405"/>
      <c r="S1990" s="405"/>
      <c r="T1990" s="405"/>
      <c r="U1990" s="405"/>
      <c r="V1990" s="405"/>
      <c r="W1990" s="405"/>
      <c r="X1990" s="405"/>
      <c r="Y1990" s="405"/>
      <c r="Z1990" s="405"/>
    </row>
    <row r="1991" ht="14.25" customHeight="1">
      <c r="A1991" s="1134"/>
      <c r="B1991" s="405"/>
      <c r="C1991" s="405"/>
      <c r="D1991" s="1135"/>
      <c r="E1991" s="583"/>
      <c r="F1991" s="583"/>
      <c r="G1991" s="583"/>
      <c r="H1991" s="405"/>
      <c r="I1991" s="405"/>
      <c r="J1991" s="405"/>
      <c r="K1991" s="405"/>
      <c r="L1991" s="405"/>
      <c r="M1991" s="405"/>
      <c r="N1991" s="405"/>
      <c r="O1991" s="405"/>
      <c r="P1991" s="405"/>
      <c r="Q1991" s="405"/>
      <c r="R1991" s="405"/>
      <c r="S1991" s="405"/>
      <c r="T1991" s="405"/>
      <c r="U1991" s="405"/>
      <c r="V1991" s="405"/>
      <c r="W1991" s="405"/>
      <c r="X1991" s="405"/>
      <c r="Y1991" s="405"/>
      <c r="Z1991" s="405"/>
    </row>
    <row r="1992" ht="14.25" customHeight="1">
      <c r="A1992" s="1134"/>
      <c r="B1992" s="405"/>
      <c r="C1992" s="405"/>
      <c r="D1992" s="1135"/>
      <c r="E1992" s="583"/>
      <c r="F1992" s="583"/>
      <c r="G1992" s="583"/>
      <c r="H1992" s="405"/>
      <c r="I1992" s="405"/>
      <c r="J1992" s="405"/>
      <c r="K1992" s="405"/>
      <c r="L1992" s="405"/>
      <c r="M1992" s="405"/>
      <c r="N1992" s="405"/>
      <c r="O1992" s="405"/>
      <c r="P1992" s="405"/>
      <c r="Q1992" s="405"/>
      <c r="R1992" s="405"/>
      <c r="S1992" s="405"/>
      <c r="T1992" s="405"/>
      <c r="U1992" s="405"/>
      <c r="V1992" s="405"/>
      <c r="W1992" s="405"/>
      <c r="X1992" s="405"/>
      <c r="Y1992" s="405"/>
      <c r="Z1992" s="405"/>
    </row>
    <row r="1993" ht="14.25" customHeight="1">
      <c r="A1993" s="1134"/>
      <c r="B1993" s="405"/>
      <c r="C1993" s="405"/>
      <c r="D1993" s="1135"/>
      <c r="E1993" s="583"/>
      <c r="F1993" s="583"/>
      <c r="G1993" s="583"/>
      <c r="H1993" s="405"/>
      <c r="I1993" s="405"/>
      <c r="J1993" s="405"/>
      <c r="K1993" s="405"/>
      <c r="L1993" s="405"/>
      <c r="M1993" s="405"/>
      <c r="N1993" s="405"/>
      <c r="O1993" s="405"/>
      <c r="P1993" s="405"/>
      <c r="Q1993" s="405"/>
      <c r="R1993" s="405"/>
      <c r="S1993" s="405"/>
      <c r="T1993" s="405"/>
      <c r="U1993" s="405"/>
      <c r="V1993" s="405"/>
      <c r="W1993" s="405"/>
      <c r="X1993" s="405"/>
      <c r="Y1993" s="405"/>
      <c r="Z1993" s="405"/>
    </row>
    <row r="1994" ht="14.25" customHeight="1">
      <c r="A1994" s="1134"/>
      <c r="B1994" s="405"/>
      <c r="C1994" s="405"/>
      <c r="D1994" s="1135"/>
      <c r="E1994" s="583"/>
      <c r="F1994" s="583"/>
      <c r="G1994" s="583"/>
      <c r="H1994" s="405"/>
      <c r="I1994" s="405"/>
      <c r="J1994" s="405"/>
      <c r="K1994" s="405"/>
      <c r="L1994" s="405"/>
      <c r="M1994" s="405"/>
      <c r="N1994" s="405"/>
      <c r="O1994" s="405"/>
      <c r="P1994" s="405"/>
      <c r="Q1994" s="405"/>
      <c r="R1994" s="405"/>
      <c r="S1994" s="405"/>
      <c r="T1994" s="405"/>
      <c r="U1994" s="405"/>
      <c r="V1994" s="405"/>
      <c r="W1994" s="405"/>
      <c r="X1994" s="405"/>
      <c r="Y1994" s="405"/>
      <c r="Z1994" s="405"/>
    </row>
    <row r="1995" ht="14.25" customHeight="1">
      <c r="A1995" s="1134"/>
      <c r="B1995" s="405"/>
      <c r="C1995" s="405"/>
      <c r="D1995" s="1135"/>
      <c r="E1995" s="583"/>
      <c r="F1995" s="583"/>
      <c r="G1995" s="583"/>
      <c r="H1995" s="405"/>
      <c r="I1995" s="405"/>
      <c r="J1995" s="405"/>
      <c r="K1995" s="405"/>
      <c r="L1995" s="405"/>
      <c r="M1995" s="405"/>
      <c r="N1995" s="405"/>
      <c r="O1995" s="405"/>
      <c r="P1995" s="405"/>
      <c r="Q1995" s="405"/>
      <c r="R1995" s="405"/>
      <c r="S1995" s="405"/>
      <c r="T1995" s="405"/>
      <c r="U1995" s="405"/>
      <c r="V1995" s="405"/>
      <c r="W1995" s="405"/>
      <c r="X1995" s="405"/>
      <c r="Y1995" s="405"/>
      <c r="Z1995" s="405"/>
    </row>
    <row r="1996" ht="14.25" customHeight="1">
      <c r="A1996" s="1134"/>
      <c r="B1996" s="405"/>
      <c r="C1996" s="405"/>
      <c r="D1996" s="1135"/>
      <c r="E1996" s="583"/>
      <c r="F1996" s="583"/>
      <c r="G1996" s="583"/>
      <c r="H1996" s="405"/>
      <c r="I1996" s="405"/>
      <c r="J1996" s="405"/>
      <c r="K1996" s="405"/>
      <c r="L1996" s="405"/>
      <c r="M1996" s="405"/>
      <c r="N1996" s="405"/>
      <c r="O1996" s="405"/>
      <c r="P1996" s="405"/>
      <c r="Q1996" s="405"/>
      <c r="R1996" s="405"/>
      <c r="S1996" s="405"/>
      <c r="T1996" s="405"/>
      <c r="U1996" s="405"/>
      <c r="V1996" s="405"/>
      <c r="W1996" s="405"/>
      <c r="X1996" s="405"/>
      <c r="Y1996" s="405"/>
      <c r="Z1996" s="405"/>
    </row>
    <row r="1997" ht="14.25" customHeight="1">
      <c r="A1997" s="1134"/>
      <c r="B1997" s="405"/>
      <c r="C1997" s="405"/>
      <c r="D1997" s="1135"/>
      <c r="E1997" s="583"/>
      <c r="F1997" s="583"/>
      <c r="G1997" s="583"/>
      <c r="H1997" s="405"/>
      <c r="I1997" s="405"/>
      <c r="J1997" s="405"/>
      <c r="K1997" s="405"/>
      <c r="L1997" s="405"/>
      <c r="M1997" s="405"/>
      <c r="N1997" s="405"/>
      <c r="O1997" s="405"/>
      <c r="P1997" s="405"/>
      <c r="Q1997" s="405"/>
      <c r="R1997" s="405"/>
      <c r="S1997" s="405"/>
      <c r="T1997" s="405"/>
      <c r="U1997" s="405"/>
      <c r="V1997" s="405"/>
      <c r="W1997" s="405"/>
      <c r="X1997" s="405"/>
      <c r="Y1997" s="405"/>
      <c r="Z1997" s="405"/>
    </row>
    <row r="1998" ht="14.25" customHeight="1">
      <c r="A1998" s="1134"/>
      <c r="B1998" s="405"/>
      <c r="C1998" s="405"/>
      <c r="D1998" s="1135"/>
      <c r="E1998" s="583"/>
      <c r="F1998" s="583"/>
      <c r="G1998" s="583"/>
      <c r="H1998" s="405"/>
      <c r="I1998" s="405"/>
      <c r="J1998" s="405"/>
      <c r="K1998" s="405"/>
      <c r="L1998" s="405"/>
      <c r="M1998" s="405"/>
      <c r="N1998" s="405"/>
      <c r="O1998" s="405"/>
      <c r="P1998" s="405"/>
      <c r="Q1998" s="405"/>
      <c r="R1998" s="405"/>
      <c r="S1998" s="405"/>
      <c r="T1998" s="405"/>
      <c r="U1998" s="405"/>
      <c r="V1998" s="405"/>
      <c r="W1998" s="405"/>
      <c r="X1998" s="405"/>
      <c r="Y1998" s="405"/>
      <c r="Z1998" s="405"/>
    </row>
    <row r="1999" ht="14.25" customHeight="1">
      <c r="A1999" s="1134"/>
      <c r="B1999" s="405"/>
      <c r="C1999" s="405"/>
      <c r="D1999" s="1135"/>
      <c r="E1999" s="583"/>
      <c r="F1999" s="583"/>
      <c r="G1999" s="583"/>
      <c r="H1999" s="405"/>
      <c r="I1999" s="405"/>
      <c r="J1999" s="405"/>
      <c r="K1999" s="405"/>
      <c r="L1999" s="405"/>
      <c r="M1999" s="405"/>
      <c r="N1999" s="405"/>
      <c r="O1999" s="405"/>
      <c r="P1999" s="405"/>
      <c r="Q1999" s="405"/>
      <c r="R1999" s="405"/>
      <c r="S1999" s="405"/>
      <c r="T1999" s="405"/>
      <c r="U1999" s="405"/>
      <c r="V1999" s="405"/>
      <c r="W1999" s="405"/>
      <c r="X1999" s="405"/>
      <c r="Y1999" s="405"/>
      <c r="Z1999" s="405"/>
    </row>
    <row r="2000" ht="14.25" customHeight="1">
      <c r="A2000" s="1134"/>
      <c r="B2000" s="405"/>
      <c r="C2000" s="405"/>
      <c r="D2000" s="1135"/>
      <c r="E2000" s="583"/>
      <c r="F2000" s="583"/>
      <c r="G2000" s="583"/>
      <c r="H2000" s="405"/>
      <c r="I2000" s="405"/>
      <c r="J2000" s="405"/>
      <c r="K2000" s="405"/>
      <c r="L2000" s="405"/>
      <c r="M2000" s="405"/>
      <c r="N2000" s="405"/>
      <c r="O2000" s="405"/>
      <c r="P2000" s="405"/>
      <c r="Q2000" s="405"/>
      <c r="R2000" s="405"/>
      <c r="S2000" s="405"/>
      <c r="T2000" s="405"/>
      <c r="U2000" s="405"/>
      <c r="V2000" s="405"/>
      <c r="W2000" s="405"/>
      <c r="X2000" s="405"/>
      <c r="Y2000" s="405"/>
      <c r="Z2000" s="405"/>
    </row>
    <row r="2001" ht="14.25" customHeight="1">
      <c r="A2001" s="1134"/>
      <c r="B2001" s="405"/>
      <c r="C2001" s="405"/>
      <c r="D2001" s="1135"/>
      <c r="E2001" s="583"/>
      <c r="F2001" s="583"/>
      <c r="G2001" s="583"/>
      <c r="H2001" s="405"/>
      <c r="I2001" s="405"/>
      <c r="J2001" s="405"/>
      <c r="K2001" s="405"/>
      <c r="L2001" s="405"/>
      <c r="M2001" s="405"/>
      <c r="N2001" s="405"/>
      <c r="O2001" s="405"/>
      <c r="P2001" s="405"/>
      <c r="Q2001" s="405"/>
      <c r="R2001" s="405"/>
      <c r="S2001" s="405"/>
      <c r="T2001" s="405"/>
      <c r="U2001" s="405"/>
      <c r="V2001" s="405"/>
      <c r="W2001" s="405"/>
      <c r="X2001" s="405"/>
      <c r="Y2001" s="405"/>
      <c r="Z2001" s="405"/>
    </row>
    <row r="2002" ht="14.25" customHeight="1">
      <c r="A2002" s="1134"/>
      <c r="B2002" s="405"/>
      <c r="C2002" s="405"/>
      <c r="D2002" s="1135"/>
      <c r="E2002" s="583"/>
      <c r="F2002" s="583"/>
      <c r="G2002" s="583"/>
      <c r="H2002" s="405"/>
      <c r="I2002" s="405"/>
      <c r="J2002" s="405"/>
      <c r="K2002" s="405"/>
      <c r="L2002" s="405"/>
      <c r="M2002" s="405"/>
      <c r="N2002" s="405"/>
      <c r="O2002" s="405"/>
      <c r="P2002" s="405"/>
      <c r="Q2002" s="405"/>
      <c r="R2002" s="405"/>
      <c r="S2002" s="405"/>
      <c r="T2002" s="405"/>
      <c r="U2002" s="405"/>
      <c r="V2002" s="405"/>
      <c r="W2002" s="405"/>
      <c r="X2002" s="405"/>
      <c r="Y2002" s="405"/>
      <c r="Z2002" s="405"/>
    </row>
    <row r="2003" ht="14.25" customHeight="1">
      <c r="A2003" s="1134"/>
      <c r="B2003" s="405"/>
      <c r="C2003" s="405"/>
      <c r="D2003" s="1135"/>
      <c r="E2003" s="583"/>
      <c r="F2003" s="583"/>
      <c r="G2003" s="583"/>
      <c r="H2003" s="405"/>
      <c r="I2003" s="405"/>
      <c r="J2003" s="405"/>
      <c r="K2003" s="405"/>
      <c r="L2003" s="405"/>
      <c r="M2003" s="405"/>
      <c r="N2003" s="405"/>
      <c r="O2003" s="405"/>
      <c r="P2003" s="405"/>
      <c r="Q2003" s="405"/>
      <c r="R2003" s="405"/>
      <c r="S2003" s="405"/>
      <c r="T2003" s="405"/>
      <c r="U2003" s="405"/>
      <c r="V2003" s="405"/>
      <c r="W2003" s="405"/>
      <c r="X2003" s="405"/>
      <c r="Y2003" s="405"/>
      <c r="Z2003" s="405"/>
    </row>
    <row r="2004" ht="14.25" customHeight="1">
      <c r="A2004" s="1134"/>
      <c r="B2004" s="405"/>
      <c r="C2004" s="405"/>
      <c r="D2004" s="1135"/>
      <c r="E2004" s="583"/>
      <c r="F2004" s="583"/>
      <c r="G2004" s="583"/>
      <c r="H2004" s="405"/>
      <c r="I2004" s="405"/>
      <c r="J2004" s="405"/>
      <c r="K2004" s="405"/>
      <c r="L2004" s="405"/>
      <c r="M2004" s="405"/>
      <c r="N2004" s="405"/>
      <c r="O2004" s="405"/>
      <c r="P2004" s="405"/>
      <c r="Q2004" s="405"/>
      <c r="R2004" s="405"/>
      <c r="S2004" s="405"/>
      <c r="T2004" s="405"/>
      <c r="U2004" s="405"/>
      <c r="V2004" s="405"/>
      <c r="W2004" s="405"/>
      <c r="X2004" s="405"/>
      <c r="Y2004" s="405"/>
      <c r="Z2004" s="405"/>
    </row>
    <row r="2005" ht="14.25" customHeight="1">
      <c r="A2005" s="1134"/>
      <c r="B2005" s="405"/>
      <c r="C2005" s="405"/>
      <c r="D2005" s="1135"/>
      <c r="E2005" s="583"/>
      <c r="F2005" s="583"/>
      <c r="G2005" s="583"/>
      <c r="H2005" s="405"/>
      <c r="I2005" s="405"/>
      <c r="J2005" s="405"/>
      <c r="K2005" s="405"/>
      <c r="L2005" s="405"/>
      <c r="M2005" s="405"/>
      <c r="N2005" s="405"/>
      <c r="O2005" s="405"/>
      <c r="P2005" s="405"/>
      <c r="Q2005" s="405"/>
      <c r="R2005" s="405"/>
      <c r="S2005" s="405"/>
      <c r="T2005" s="405"/>
      <c r="U2005" s="405"/>
      <c r="V2005" s="405"/>
      <c r="W2005" s="405"/>
      <c r="X2005" s="405"/>
      <c r="Y2005" s="405"/>
      <c r="Z2005" s="405"/>
    </row>
    <row r="2006" ht="14.25" customHeight="1">
      <c r="A2006" s="1134"/>
      <c r="B2006" s="405"/>
      <c r="C2006" s="405"/>
      <c r="D2006" s="1135"/>
      <c r="E2006" s="583"/>
      <c r="F2006" s="583"/>
      <c r="G2006" s="583"/>
      <c r="H2006" s="405"/>
      <c r="I2006" s="405"/>
      <c r="J2006" s="405"/>
      <c r="K2006" s="405"/>
      <c r="L2006" s="405"/>
      <c r="M2006" s="405"/>
      <c r="N2006" s="405"/>
      <c r="O2006" s="405"/>
      <c r="P2006" s="405"/>
      <c r="Q2006" s="405"/>
      <c r="R2006" s="405"/>
      <c r="S2006" s="405"/>
      <c r="T2006" s="405"/>
      <c r="U2006" s="405"/>
      <c r="V2006" s="405"/>
      <c r="W2006" s="405"/>
      <c r="X2006" s="405"/>
      <c r="Y2006" s="405"/>
      <c r="Z2006" s="405"/>
    </row>
    <row r="2007" ht="14.25" customHeight="1">
      <c r="A2007" s="1134"/>
      <c r="B2007" s="405"/>
      <c r="C2007" s="405"/>
      <c r="D2007" s="1135"/>
      <c r="E2007" s="583"/>
      <c r="F2007" s="583"/>
      <c r="G2007" s="583"/>
      <c r="H2007" s="405"/>
      <c r="I2007" s="405"/>
      <c r="J2007" s="405"/>
      <c r="K2007" s="405"/>
      <c r="L2007" s="405"/>
      <c r="M2007" s="405"/>
      <c r="N2007" s="405"/>
      <c r="O2007" s="405"/>
      <c r="P2007" s="405"/>
      <c r="Q2007" s="405"/>
      <c r="R2007" s="405"/>
      <c r="S2007" s="405"/>
      <c r="T2007" s="405"/>
      <c r="U2007" s="405"/>
      <c r="V2007" s="405"/>
      <c r="W2007" s="405"/>
      <c r="X2007" s="405"/>
      <c r="Y2007" s="405"/>
      <c r="Z2007" s="405"/>
    </row>
    <row r="2008" ht="14.25" customHeight="1">
      <c r="A2008" s="1134"/>
      <c r="B2008" s="405"/>
      <c r="C2008" s="405"/>
      <c r="D2008" s="1135"/>
      <c r="E2008" s="583"/>
      <c r="F2008" s="583"/>
      <c r="G2008" s="583"/>
      <c r="H2008" s="405"/>
      <c r="I2008" s="405"/>
      <c r="J2008" s="405"/>
      <c r="K2008" s="405"/>
      <c r="L2008" s="405"/>
      <c r="M2008" s="405"/>
      <c r="N2008" s="405"/>
      <c r="O2008" s="405"/>
      <c r="P2008" s="405"/>
      <c r="Q2008" s="405"/>
      <c r="R2008" s="405"/>
      <c r="S2008" s="405"/>
      <c r="T2008" s="405"/>
      <c r="U2008" s="405"/>
      <c r="V2008" s="405"/>
      <c r="W2008" s="405"/>
      <c r="X2008" s="405"/>
      <c r="Y2008" s="405"/>
      <c r="Z2008" s="405"/>
    </row>
    <row r="2009" ht="14.25" customHeight="1">
      <c r="A2009" s="1134"/>
      <c r="B2009" s="405"/>
      <c r="C2009" s="405"/>
      <c r="D2009" s="1135"/>
      <c r="E2009" s="583"/>
      <c r="F2009" s="583"/>
      <c r="G2009" s="583"/>
      <c r="H2009" s="405"/>
      <c r="I2009" s="405"/>
      <c r="J2009" s="405"/>
      <c r="K2009" s="405"/>
      <c r="L2009" s="405"/>
      <c r="M2009" s="405"/>
      <c r="N2009" s="405"/>
      <c r="O2009" s="405"/>
      <c r="P2009" s="405"/>
      <c r="Q2009" s="405"/>
      <c r="R2009" s="405"/>
      <c r="S2009" s="405"/>
      <c r="T2009" s="405"/>
      <c r="U2009" s="405"/>
      <c r="V2009" s="405"/>
      <c r="W2009" s="405"/>
      <c r="X2009" s="405"/>
      <c r="Y2009" s="405"/>
      <c r="Z2009" s="405"/>
    </row>
    <row r="2010" ht="14.25" customHeight="1">
      <c r="A2010" s="1134"/>
      <c r="B2010" s="405"/>
      <c r="C2010" s="405"/>
      <c r="D2010" s="1135"/>
      <c r="E2010" s="583"/>
      <c r="F2010" s="583"/>
      <c r="G2010" s="583"/>
      <c r="H2010" s="405"/>
      <c r="I2010" s="405"/>
      <c r="J2010" s="405"/>
      <c r="K2010" s="405"/>
      <c r="L2010" s="405"/>
      <c r="M2010" s="405"/>
      <c r="N2010" s="405"/>
      <c r="O2010" s="405"/>
      <c r="P2010" s="405"/>
      <c r="Q2010" s="405"/>
      <c r="R2010" s="405"/>
      <c r="S2010" s="405"/>
      <c r="T2010" s="405"/>
      <c r="U2010" s="405"/>
      <c r="V2010" s="405"/>
      <c r="W2010" s="405"/>
      <c r="X2010" s="405"/>
      <c r="Y2010" s="405"/>
      <c r="Z2010" s="405"/>
    </row>
    <row r="2011" ht="14.25" customHeight="1">
      <c r="A2011" s="1134"/>
      <c r="B2011" s="405"/>
      <c r="C2011" s="405"/>
      <c r="D2011" s="1135"/>
      <c r="E2011" s="583"/>
      <c r="F2011" s="583"/>
      <c r="G2011" s="583"/>
      <c r="H2011" s="405"/>
      <c r="I2011" s="405"/>
      <c r="J2011" s="405"/>
      <c r="K2011" s="405"/>
      <c r="L2011" s="405"/>
      <c r="M2011" s="405"/>
      <c r="N2011" s="405"/>
      <c r="O2011" s="405"/>
      <c r="P2011" s="405"/>
      <c r="Q2011" s="405"/>
      <c r="R2011" s="405"/>
      <c r="S2011" s="405"/>
      <c r="T2011" s="405"/>
      <c r="U2011" s="405"/>
      <c r="V2011" s="405"/>
      <c r="W2011" s="405"/>
      <c r="X2011" s="405"/>
      <c r="Y2011" s="405"/>
      <c r="Z2011" s="405"/>
    </row>
    <row r="2012" ht="14.25" customHeight="1">
      <c r="A2012" s="1134"/>
      <c r="B2012" s="405"/>
      <c r="C2012" s="405"/>
      <c r="D2012" s="1135"/>
      <c r="E2012" s="583"/>
      <c r="F2012" s="583"/>
      <c r="G2012" s="583"/>
      <c r="H2012" s="405"/>
      <c r="I2012" s="405"/>
      <c r="J2012" s="405"/>
      <c r="K2012" s="405"/>
      <c r="L2012" s="405"/>
      <c r="M2012" s="405"/>
      <c r="N2012" s="405"/>
      <c r="O2012" s="405"/>
      <c r="P2012" s="405"/>
      <c r="Q2012" s="405"/>
      <c r="R2012" s="405"/>
      <c r="S2012" s="405"/>
      <c r="T2012" s="405"/>
      <c r="U2012" s="405"/>
      <c r="V2012" s="405"/>
      <c r="W2012" s="405"/>
      <c r="X2012" s="405"/>
      <c r="Y2012" s="405"/>
      <c r="Z2012" s="405"/>
    </row>
    <row r="2013" ht="14.25" customHeight="1">
      <c r="A2013" s="1134"/>
      <c r="B2013" s="405"/>
      <c r="C2013" s="405"/>
      <c r="D2013" s="1135"/>
      <c r="E2013" s="583"/>
      <c r="F2013" s="583"/>
      <c r="G2013" s="583"/>
      <c r="H2013" s="405"/>
      <c r="I2013" s="405"/>
      <c r="J2013" s="405"/>
      <c r="K2013" s="405"/>
      <c r="L2013" s="405"/>
      <c r="M2013" s="405"/>
      <c r="N2013" s="405"/>
      <c r="O2013" s="405"/>
      <c r="P2013" s="405"/>
      <c r="Q2013" s="405"/>
      <c r="R2013" s="405"/>
      <c r="S2013" s="405"/>
      <c r="T2013" s="405"/>
      <c r="U2013" s="405"/>
      <c r="V2013" s="405"/>
      <c r="W2013" s="405"/>
      <c r="X2013" s="405"/>
      <c r="Y2013" s="405"/>
      <c r="Z2013" s="405"/>
    </row>
    <row r="2014" ht="14.25" customHeight="1">
      <c r="A2014" s="1134"/>
      <c r="B2014" s="405"/>
      <c r="C2014" s="405"/>
      <c r="D2014" s="1135"/>
      <c r="E2014" s="583"/>
      <c r="F2014" s="583"/>
      <c r="G2014" s="583"/>
      <c r="H2014" s="405"/>
      <c r="I2014" s="405"/>
      <c r="J2014" s="405"/>
      <c r="K2014" s="405"/>
      <c r="L2014" s="405"/>
      <c r="M2014" s="405"/>
      <c r="N2014" s="405"/>
      <c r="O2014" s="405"/>
      <c r="P2014" s="405"/>
      <c r="Q2014" s="405"/>
      <c r="R2014" s="405"/>
      <c r="S2014" s="405"/>
      <c r="T2014" s="405"/>
      <c r="U2014" s="405"/>
      <c r="V2014" s="405"/>
      <c r="W2014" s="405"/>
      <c r="X2014" s="405"/>
      <c r="Y2014" s="405"/>
      <c r="Z2014" s="405"/>
    </row>
    <row r="2015" ht="14.25" customHeight="1">
      <c r="A2015" s="1134"/>
      <c r="B2015" s="405"/>
      <c r="C2015" s="405"/>
      <c r="D2015" s="1135"/>
      <c r="E2015" s="583"/>
      <c r="F2015" s="583"/>
      <c r="G2015" s="583"/>
      <c r="H2015" s="405"/>
      <c r="I2015" s="405"/>
      <c r="J2015" s="405"/>
      <c r="K2015" s="405"/>
      <c r="L2015" s="405"/>
      <c r="M2015" s="405"/>
      <c r="N2015" s="405"/>
      <c r="O2015" s="405"/>
      <c r="P2015" s="405"/>
      <c r="Q2015" s="405"/>
      <c r="R2015" s="405"/>
      <c r="S2015" s="405"/>
      <c r="T2015" s="405"/>
      <c r="U2015" s="405"/>
      <c r="V2015" s="405"/>
      <c r="W2015" s="405"/>
      <c r="X2015" s="405"/>
      <c r="Y2015" s="405"/>
      <c r="Z2015" s="405"/>
    </row>
    <row r="2016" ht="14.25" customHeight="1">
      <c r="A2016" s="1134"/>
      <c r="B2016" s="405"/>
      <c r="C2016" s="405"/>
      <c r="D2016" s="1135"/>
      <c r="E2016" s="583"/>
      <c r="F2016" s="583"/>
      <c r="G2016" s="583"/>
      <c r="H2016" s="405"/>
      <c r="I2016" s="405"/>
      <c r="J2016" s="405"/>
      <c r="K2016" s="405"/>
      <c r="L2016" s="405"/>
      <c r="M2016" s="405"/>
      <c r="N2016" s="405"/>
      <c r="O2016" s="405"/>
      <c r="P2016" s="405"/>
      <c r="Q2016" s="405"/>
      <c r="R2016" s="405"/>
      <c r="S2016" s="405"/>
      <c r="T2016" s="405"/>
      <c r="U2016" s="405"/>
      <c r="V2016" s="405"/>
      <c r="W2016" s="405"/>
      <c r="X2016" s="405"/>
      <c r="Y2016" s="405"/>
      <c r="Z2016" s="405"/>
    </row>
    <row r="2017" ht="14.25" customHeight="1">
      <c r="A2017" s="1134"/>
      <c r="B2017" s="405"/>
      <c r="C2017" s="405"/>
      <c r="D2017" s="1135"/>
      <c r="E2017" s="583"/>
      <c r="F2017" s="583"/>
      <c r="G2017" s="583"/>
      <c r="H2017" s="405"/>
      <c r="I2017" s="405"/>
      <c r="J2017" s="405"/>
      <c r="K2017" s="405"/>
      <c r="L2017" s="405"/>
      <c r="M2017" s="405"/>
      <c r="N2017" s="405"/>
      <c r="O2017" s="405"/>
      <c r="P2017" s="405"/>
      <c r="Q2017" s="405"/>
      <c r="R2017" s="405"/>
      <c r="S2017" s="405"/>
      <c r="T2017" s="405"/>
      <c r="U2017" s="405"/>
      <c r="V2017" s="405"/>
      <c r="W2017" s="405"/>
      <c r="X2017" s="405"/>
      <c r="Y2017" s="405"/>
      <c r="Z2017" s="405"/>
    </row>
    <row r="2018" ht="14.25" customHeight="1">
      <c r="A2018" s="1134"/>
      <c r="B2018" s="405"/>
      <c r="C2018" s="405"/>
      <c r="D2018" s="1135"/>
      <c r="E2018" s="583"/>
      <c r="F2018" s="583"/>
      <c r="G2018" s="583"/>
      <c r="H2018" s="405"/>
      <c r="I2018" s="405"/>
      <c r="J2018" s="405"/>
      <c r="K2018" s="405"/>
      <c r="L2018" s="405"/>
      <c r="M2018" s="405"/>
      <c r="N2018" s="405"/>
      <c r="O2018" s="405"/>
      <c r="P2018" s="405"/>
      <c r="Q2018" s="405"/>
      <c r="R2018" s="405"/>
      <c r="S2018" s="405"/>
      <c r="T2018" s="405"/>
      <c r="U2018" s="405"/>
      <c r="V2018" s="405"/>
      <c r="W2018" s="405"/>
      <c r="X2018" s="405"/>
      <c r="Y2018" s="405"/>
      <c r="Z2018" s="405"/>
    </row>
    <row r="2019" ht="14.25" customHeight="1">
      <c r="A2019" s="1134"/>
      <c r="B2019" s="405"/>
      <c r="C2019" s="405"/>
      <c r="D2019" s="1135"/>
      <c r="E2019" s="583"/>
      <c r="F2019" s="583"/>
      <c r="G2019" s="583"/>
      <c r="H2019" s="405"/>
      <c r="I2019" s="405"/>
      <c r="J2019" s="405"/>
      <c r="K2019" s="405"/>
      <c r="L2019" s="405"/>
      <c r="M2019" s="405"/>
      <c r="N2019" s="405"/>
      <c r="O2019" s="405"/>
      <c r="P2019" s="405"/>
      <c r="Q2019" s="405"/>
      <c r="R2019" s="405"/>
      <c r="S2019" s="405"/>
      <c r="T2019" s="405"/>
      <c r="U2019" s="405"/>
      <c r="V2019" s="405"/>
      <c r="W2019" s="405"/>
      <c r="X2019" s="405"/>
      <c r="Y2019" s="405"/>
      <c r="Z2019" s="405"/>
    </row>
    <row r="2020" ht="14.25" customHeight="1">
      <c r="A2020" s="1134"/>
      <c r="B2020" s="405"/>
      <c r="C2020" s="405"/>
      <c r="D2020" s="1135"/>
      <c r="E2020" s="583"/>
      <c r="F2020" s="583"/>
      <c r="G2020" s="583"/>
      <c r="H2020" s="405"/>
      <c r="I2020" s="405"/>
      <c r="J2020" s="405"/>
      <c r="K2020" s="405"/>
      <c r="L2020" s="405"/>
      <c r="M2020" s="405"/>
      <c r="N2020" s="405"/>
      <c r="O2020" s="405"/>
      <c r="P2020" s="405"/>
      <c r="Q2020" s="405"/>
      <c r="R2020" s="405"/>
      <c r="S2020" s="405"/>
      <c r="T2020" s="405"/>
      <c r="U2020" s="405"/>
      <c r="V2020" s="405"/>
      <c r="W2020" s="405"/>
      <c r="X2020" s="405"/>
      <c r="Y2020" s="405"/>
      <c r="Z2020" s="405"/>
    </row>
    <row r="2021" ht="14.25" customHeight="1">
      <c r="A2021" s="1134"/>
      <c r="B2021" s="405"/>
      <c r="C2021" s="405"/>
      <c r="D2021" s="1135"/>
      <c r="E2021" s="583"/>
      <c r="F2021" s="583"/>
      <c r="G2021" s="583"/>
      <c r="H2021" s="405"/>
      <c r="I2021" s="405"/>
      <c r="J2021" s="405"/>
      <c r="K2021" s="405"/>
      <c r="L2021" s="405"/>
      <c r="M2021" s="405"/>
      <c r="N2021" s="405"/>
      <c r="O2021" s="405"/>
      <c r="P2021" s="405"/>
      <c r="Q2021" s="405"/>
      <c r="R2021" s="405"/>
      <c r="S2021" s="405"/>
      <c r="T2021" s="405"/>
      <c r="U2021" s="405"/>
      <c r="V2021" s="405"/>
      <c r="W2021" s="405"/>
      <c r="X2021" s="405"/>
      <c r="Y2021" s="405"/>
      <c r="Z2021" s="405"/>
    </row>
    <row r="2022" ht="14.25" customHeight="1">
      <c r="A2022" s="1134"/>
      <c r="B2022" s="405"/>
      <c r="C2022" s="405"/>
      <c r="D2022" s="1135"/>
      <c r="E2022" s="583"/>
      <c r="F2022" s="583"/>
      <c r="G2022" s="583"/>
      <c r="H2022" s="405"/>
      <c r="I2022" s="405"/>
      <c r="J2022" s="405"/>
      <c r="K2022" s="405"/>
      <c r="L2022" s="405"/>
      <c r="M2022" s="405"/>
      <c r="N2022" s="405"/>
      <c r="O2022" s="405"/>
      <c r="P2022" s="405"/>
      <c r="Q2022" s="405"/>
      <c r="R2022" s="405"/>
      <c r="S2022" s="405"/>
      <c r="T2022" s="405"/>
      <c r="U2022" s="405"/>
      <c r="V2022" s="405"/>
      <c r="W2022" s="405"/>
      <c r="X2022" s="405"/>
      <c r="Y2022" s="405"/>
      <c r="Z2022" s="405"/>
    </row>
    <row r="2023" ht="14.25" customHeight="1">
      <c r="A2023" s="1134"/>
      <c r="B2023" s="405"/>
      <c r="C2023" s="405"/>
      <c r="D2023" s="1135"/>
      <c r="E2023" s="583"/>
      <c r="F2023" s="583"/>
      <c r="G2023" s="583"/>
      <c r="H2023" s="405"/>
      <c r="I2023" s="405"/>
      <c r="J2023" s="405"/>
      <c r="K2023" s="405"/>
      <c r="L2023" s="405"/>
      <c r="M2023" s="405"/>
      <c r="N2023" s="405"/>
      <c r="O2023" s="405"/>
      <c r="P2023" s="405"/>
      <c r="Q2023" s="405"/>
      <c r="R2023" s="405"/>
      <c r="S2023" s="405"/>
      <c r="T2023" s="405"/>
      <c r="U2023" s="405"/>
      <c r="V2023" s="405"/>
      <c r="W2023" s="405"/>
      <c r="X2023" s="405"/>
      <c r="Y2023" s="405"/>
      <c r="Z2023" s="405"/>
    </row>
    <row r="2024" ht="14.25" customHeight="1">
      <c r="A2024" s="1134"/>
      <c r="B2024" s="405"/>
      <c r="C2024" s="405"/>
      <c r="D2024" s="1135"/>
      <c r="E2024" s="583"/>
      <c r="F2024" s="583"/>
      <c r="G2024" s="583"/>
      <c r="H2024" s="405"/>
      <c r="I2024" s="405"/>
      <c r="J2024" s="405"/>
      <c r="K2024" s="405"/>
      <c r="L2024" s="405"/>
      <c r="M2024" s="405"/>
      <c r="N2024" s="405"/>
      <c r="O2024" s="405"/>
      <c r="P2024" s="405"/>
      <c r="Q2024" s="405"/>
      <c r="R2024" s="405"/>
      <c r="S2024" s="405"/>
      <c r="T2024" s="405"/>
      <c r="U2024" s="405"/>
      <c r="V2024" s="405"/>
      <c r="W2024" s="405"/>
      <c r="X2024" s="405"/>
      <c r="Y2024" s="405"/>
      <c r="Z2024" s="405"/>
    </row>
    <row r="2025" ht="14.25" customHeight="1">
      <c r="A2025" s="1134"/>
      <c r="B2025" s="405"/>
      <c r="C2025" s="405"/>
      <c r="D2025" s="1135"/>
      <c r="E2025" s="583"/>
      <c r="F2025" s="583"/>
      <c r="G2025" s="583"/>
      <c r="H2025" s="405"/>
      <c r="I2025" s="405"/>
      <c r="J2025" s="405"/>
      <c r="K2025" s="405"/>
      <c r="L2025" s="405"/>
      <c r="M2025" s="405"/>
      <c r="N2025" s="405"/>
      <c r="O2025" s="405"/>
      <c r="P2025" s="405"/>
      <c r="Q2025" s="405"/>
      <c r="R2025" s="405"/>
      <c r="S2025" s="405"/>
      <c r="T2025" s="405"/>
      <c r="U2025" s="405"/>
      <c r="V2025" s="405"/>
      <c r="W2025" s="405"/>
      <c r="X2025" s="405"/>
      <c r="Y2025" s="405"/>
      <c r="Z2025" s="405"/>
    </row>
    <row r="2026" ht="14.25" customHeight="1">
      <c r="A2026" s="1134"/>
      <c r="B2026" s="405"/>
      <c r="C2026" s="405"/>
      <c r="D2026" s="1135"/>
      <c r="E2026" s="583"/>
      <c r="F2026" s="583"/>
      <c r="G2026" s="583"/>
      <c r="H2026" s="405"/>
      <c r="I2026" s="405"/>
      <c r="J2026" s="405"/>
      <c r="K2026" s="405"/>
      <c r="L2026" s="405"/>
      <c r="M2026" s="405"/>
      <c r="N2026" s="405"/>
      <c r="O2026" s="405"/>
      <c r="P2026" s="405"/>
      <c r="Q2026" s="405"/>
      <c r="R2026" s="405"/>
      <c r="S2026" s="405"/>
      <c r="T2026" s="405"/>
      <c r="U2026" s="405"/>
      <c r="V2026" s="405"/>
      <c r="W2026" s="405"/>
      <c r="X2026" s="405"/>
      <c r="Y2026" s="405"/>
      <c r="Z2026" s="405"/>
    </row>
    <row r="2027" ht="14.25" customHeight="1">
      <c r="A2027" s="1134"/>
      <c r="B2027" s="405"/>
      <c r="C2027" s="405"/>
      <c r="D2027" s="1135"/>
      <c r="E2027" s="583"/>
      <c r="F2027" s="583"/>
      <c r="G2027" s="583"/>
      <c r="H2027" s="405"/>
      <c r="I2027" s="405"/>
      <c r="J2027" s="405"/>
      <c r="K2027" s="405"/>
      <c r="L2027" s="405"/>
      <c r="M2027" s="405"/>
      <c r="N2027" s="405"/>
      <c r="O2027" s="405"/>
      <c r="P2027" s="405"/>
      <c r="Q2027" s="405"/>
      <c r="R2027" s="405"/>
      <c r="S2027" s="405"/>
      <c r="T2027" s="405"/>
      <c r="U2027" s="405"/>
      <c r="V2027" s="405"/>
      <c r="W2027" s="405"/>
      <c r="X2027" s="405"/>
      <c r="Y2027" s="405"/>
      <c r="Z2027" s="405"/>
    </row>
    <row r="2028" ht="14.25" customHeight="1">
      <c r="A2028" s="1134"/>
      <c r="B2028" s="405"/>
      <c r="C2028" s="405"/>
      <c r="D2028" s="1135"/>
      <c r="E2028" s="583"/>
      <c r="F2028" s="583"/>
      <c r="G2028" s="583"/>
      <c r="H2028" s="405"/>
      <c r="I2028" s="405"/>
      <c r="J2028" s="405"/>
      <c r="K2028" s="405"/>
      <c r="L2028" s="405"/>
      <c r="M2028" s="405"/>
      <c r="N2028" s="405"/>
      <c r="O2028" s="405"/>
      <c r="P2028" s="405"/>
      <c r="Q2028" s="405"/>
      <c r="R2028" s="405"/>
      <c r="S2028" s="405"/>
      <c r="T2028" s="405"/>
      <c r="U2028" s="405"/>
      <c r="V2028" s="405"/>
      <c r="W2028" s="405"/>
      <c r="X2028" s="405"/>
      <c r="Y2028" s="405"/>
      <c r="Z2028" s="405"/>
    </row>
    <row r="2029" ht="14.25" customHeight="1">
      <c r="A2029" s="1134"/>
      <c r="B2029" s="405"/>
      <c r="C2029" s="405"/>
      <c r="D2029" s="1135"/>
      <c r="E2029" s="583"/>
      <c r="F2029" s="583"/>
      <c r="G2029" s="583"/>
      <c r="H2029" s="405"/>
      <c r="I2029" s="405"/>
      <c r="J2029" s="405"/>
      <c r="K2029" s="405"/>
      <c r="L2029" s="405"/>
      <c r="M2029" s="405"/>
      <c r="N2029" s="405"/>
      <c r="O2029" s="405"/>
      <c r="P2029" s="405"/>
      <c r="Q2029" s="405"/>
      <c r="R2029" s="405"/>
      <c r="S2029" s="405"/>
      <c r="T2029" s="405"/>
      <c r="U2029" s="405"/>
      <c r="V2029" s="405"/>
      <c r="W2029" s="405"/>
      <c r="X2029" s="405"/>
      <c r="Y2029" s="405"/>
      <c r="Z2029" s="405"/>
    </row>
    <row r="2030" ht="14.25" customHeight="1">
      <c r="A2030" s="1134"/>
      <c r="B2030" s="405"/>
      <c r="C2030" s="405"/>
      <c r="D2030" s="1135"/>
      <c r="E2030" s="583"/>
      <c r="F2030" s="583"/>
      <c r="G2030" s="583"/>
      <c r="H2030" s="405"/>
      <c r="I2030" s="405"/>
      <c r="J2030" s="405"/>
      <c r="K2030" s="405"/>
      <c r="L2030" s="405"/>
      <c r="M2030" s="405"/>
      <c r="N2030" s="405"/>
      <c r="O2030" s="405"/>
      <c r="P2030" s="405"/>
      <c r="Q2030" s="405"/>
      <c r="R2030" s="405"/>
      <c r="S2030" s="405"/>
      <c r="T2030" s="405"/>
      <c r="U2030" s="405"/>
      <c r="V2030" s="405"/>
      <c r="W2030" s="405"/>
      <c r="X2030" s="405"/>
      <c r="Y2030" s="405"/>
      <c r="Z2030" s="405"/>
    </row>
    <row r="2031" ht="14.25" customHeight="1">
      <c r="A2031" s="1134"/>
      <c r="B2031" s="405"/>
      <c r="C2031" s="405"/>
      <c r="D2031" s="1135"/>
      <c r="E2031" s="583"/>
      <c r="F2031" s="583"/>
      <c r="G2031" s="583"/>
      <c r="H2031" s="405"/>
      <c r="I2031" s="405"/>
      <c r="J2031" s="405"/>
      <c r="K2031" s="405"/>
      <c r="L2031" s="405"/>
      <c r="M2031" s="405"/>
      <c r="N2031" s="405"/>
      <c r="O2031" s="405"/>
      <c r="P2031" s="405"/>
      <c r="Q2031" s="405"/>
      <c r="R2031" s="405"/>
      <c r="S2031" s="405"/>
      <c r="T2031" s="405"/>
      <c r="U2031" s="405"/>
      <c r="V2031" s="405"/>
      <c r="W2031" s="405"/>
      <c r="X2031" s="405"/>
      <c r="Y2031" s="405"/>
      <c r="Z2031" s="405"/>
    </row>
    <row r="2032" ht="14.25" customHeight="1">
      <c r="A2032" s="1134"/>
      <c r="B2032" s="405"/>
      <c r="C2032" s="405"/>
      <c r="D2032" s="1135"/>
      <c r="E2032" s="583"/>
      <c r="F2032" s="583"/>
      <c r="G2032" s="583"/>
      <c r="H2032" s="405"/>
      <c r="I2032" s="405"/>
      <c r="J2032" s="405"/>
      <c r="K2032" s="405"/>
      <c r="L2032" s="405"/>
      <c r="M2032" s="405"/>
      <c r="N2032" s="405"/>
      <c r="O2032" s="405"/>
      <c r="P2032" s="405"/>
      <c r="Q2032" s="405"/>
      <c r="R2032" s="405"/>
      <c r="S2032" s="405"/>
      <c r="T2032" s="405"/>
      <c r="U2032" s="405"/>
      <c r="V2032" s="405"/>
      <c r="W2032" s="405"/>
      <c r="X2032" s="405"/>
      <c r="Y2032" s="405"/>
      <c r="Z2032" s="405"/>
    </row>
    <row r="2033" ht="14.25" customHeight="1">
      <c r="A2033" s="1134"/>
      <c r="B2033" s="405"/>
      <c r="C2033" s="405"/>
      <c r="D2033" s="1135"/>
      <c r="E2033" s="583"/>
      <c r="F2033" s="583"/>
      <c r="G2033" s="583"/>
      <c r="H2033" s="405"/>
      <c r="I2033" s="405"/>
      <c r="J2033" s="405"/>
      <c r="K2033" s="405"/>
      <c r="L2033" s="405"/>
      <c r="M2033" s="405"/>
      <c r="N2033" s="405"/>
      <c r="O2033" s="405"/>
      <c r="P2033" s="405"/>
      <c r="Q2033" s="405"/>
      <c r="R2033" s="405"/>
      <c r="S2033" s="405"/>
      <c r="T2033" s="405"/>
      <c r="U2033" s="405"/>
      <c r="V2033" s="405"/>
      <c r="W2033" s="405"/>
      <c r="X2033" s="405"/>
      <c r="Y2033" s="405"/>
      <c r="Z2033" s="405"/>
    </row>
    <row r="2034" ht="14.25" customHeight="1">
      <c r="A2034" s="1134"/>
      <c r="B2034" s="405"/>
      <c r="C2034" s="405"/>
      <c r="D2034" s="1135"/>
      <c r="E2034" s="583"/>
      <c r="F2034" s="583"/>
      <c r="G2034" s="583"/>
      <c r="H2034" s="405"/>
      <c r="I2034" s="405"/>
      <c r="J2034" s="405"/>
      <c r="K2034" s="405"/>
      <c r="L2034" s="405"/>
      <c r="M2034" s="405"/>
      <c r="N2034" s="405"/>
      <c r="O2034" s="405"/>
      <c r="P2034" s="405"/>
      <c r="Q2034" s="405"/>
      <c r="R2034" s="405"/>
      <c r="S2034" s="405"/>
      <c r="T2034" s="405"/>
      <c r="U2034" s="405"/>
      <c r="V2034" s="405"/>
      <c r="W2034" s="405"/>
      <c r="X2034" s="405"/>
      <c r="Y2034" s="405"/>
      <c r="Z2034" s="405"/>
    </row>
    <row r="2035" ht="14.25" customHeight="1">
      <c r="A2035" s="1134"/>
      <c r="B2035" s="405"/>
      <c r="C2035" s="405"/>
      <c r="D2035" s="1135"/>
      <c r="E2035" s="583"/>
      <c r="F2035" s="583"/>
      <c r="G2035" s="583"/>
      <c r="H2035" s="405"/>
      <c r="I2035" s="405"/>
      <c r="J2035" s="405"/>
      <c r="K2035" s="405"/>
      <c r="L2035" s="405"/>
      <c r="M2035" s="405"/>
      <c r="N2035" s="405"/>
      <c r="O2035" s="405"/>
      <c r="P2035" s="405"/>
      <c r="Q2035" s="405"/>
      <c r="R2035" s="405"/>
      <c r="S2035" s="405"/>
      <c r="T2035" s="405"/>
      <c r="U2035" s="405"/>
      <c r="V2035" s="405"/>
      <c r="W2035" s="405"/>
      <c r="X2035" s="405"/>
      <c r="Y2035" s="405"/>
      <c r="Z2035" s="405"/>
    </row>
    <row r="2036" ht="14.25" customHeight="1">
      <c r="A2036" s="1134"/>
      <c r="B2036" s="405"/>
      <c r="C2036" s="405"/>
      <c r="D2036" s="1135"/>
      <c r="E2036" s="583"/>
      <c r="F2036" s="583"/>
      <c r="G2036" s="583"/>
      <c r="H2036" s="405"/>
      <c r="I2036" s="405"/>
      <c r="J2036" s="405"/>
      <c r="K2036" s="405"/>
      <c r="L2036" s="405"/>
      <c r="M2036" s="405"/>
      <c r="N2036" s="405"/>
      <c r="O2036" s="405"/>
      <c r="P2036" s="405"/>
      <c r="Q2036" s="405"/>
      <c r="R2036" s="405"/>
      <c r="S2036" s="405"/>
      <c r="T2036" s="405"/>
      <c r="U2036" s="405"/>
      <c r="V2036" s="405"/>
      <c r="W2036" s="405"/>
      <c r="X2036" s="405"/>
      <c r="Y2036" s="405"/>
      <c r="Z2036" s="405"/>
    </row>
    <row r="2037" ht="14.25" customHeight="1">
      <c r="A2037" s="1134"/>
      <c r="B2037" s="405"/>
      <c r="C2037" s="405"/>
      <c r="D2037" s="1135"/>
      <c r="E2037" s="583"/>
      <c r="F2037" s="583"/>
      <c r="G2037" s="583"/>
      <c r="H2037" s="405"/>
      <c r="I2037" s="405"/>
      <c r="J2037" s="405"/>
      <c r="K2037" s="405"/>
      <c r="L2037" s="405"/>
      <c r="M2037" s="405"/>
      <c r="N2037" s="405"/>
      <c r="O2037" s="405"/>
      <c r="P2037" s="405"/>
      <c r="Q2037" s="405"/>
      <c r="R2037" s="405"/>
      <c r="S2037" s="405"/>
      <c r="T2037" s="405"/>
      <c r="U2037" s="405"/>
      <c r="V2037" s="405"/>
      <c r="W2037" s="405"/>
      <c r="X2037" s="405"/>
      <c r="Y2037" s="405"/>
      <c r="Z2037" s="405"/>
    </row>
    <row r="2038" ht="14.25" customHeight="1">
      <c r="A2038" s="1134"/>
      <c r="B2038" s="405"/>
      <c r="C2038" s="405"/>
      <c r="D2038" s="1135"/>
      <c r="E2038" s="583"/>
      <c r="F2038" s="583"/>
      <c r="G2038" s="583"/>
      <c r="H2038" s="405"/>
      <c r="I2038" s="405"/>
      <c r="J2038" s="405"/>
      <c r="K2038" s="405"/>
      <c r="L2038" s="405"/>
      <c r="M2038" s="405"/>
      <c r="N2038" s="405"/>
      <c r="O2038" s="405"/>
      <c r="P2038" s="405"/>
      <c r="Q2038" s="405"/>
      <c r="R2038" s="405"/>
      <c r="S2038" s="405"/>
      <c r="T2038" s="405"/>
      <c r="U2038" s="405"/>
      <c r="V2038" s="405"/>
      <c r="W2038" s="405"/>
      <c r="X2038" s="405"/>
      <c r="Y2038" s="405"/>
      <c r="Z2038" s="405"/>
    </row>
    <row r="2039" ht="14.25" customHeight="1">
      <c r="A2039" s="1134"/>
      <c r="B2039" s="405"/>
      <c r="C2039" s="405"/>
      <c r="D2039" s="1135"/>
      <c r="E2039" s="583"/>
      <c r="F2039" s="583"/>
      <c r="G2039" s="583"/>
      <c r="H2039" s="405"/>
      <c r="I2039" s="405"/>
      <c r="J2039" s="405"/>
      <c r="K2039" s="405"/>
      <c r="L2039" s="405"/>
      <c r="M2039" s="405"/>
      <c r="N2039" s="405"/>
      <c r="O2039" s="405"/>
      <c r="P2039" s="405"/>
      <c r="Q2039" s="405"/>
      <c r="R2039" s="405"/>
      <c r="S2039" s="405"/>
      <c r="T2039" s="405"/>
      <c r="U2039" s="405"/>
      <c r="V2039" s="405"/>
      <c r="W2039" s="405"/>
      <c r="X2039" s="405"/>
      <c r="Y2039" s="405"/>
      <c r="Z2039" s="405"/>
    </row>
    <row r="2040" ht="14.25" customHeight="1">
      <c r="A2040" s="1134"/>
      <c r="B2040" s="405"/>
      <c r="C2040" s="405"/>
      <c r="D2040" s="1135"/>
      <c r="E2040" s="583"/>
      <c r="F2040" s="583"/>
      <c r="G2040" s="583"/>
      <c r="H2040" s="405"/>
      <c r="I2040" s="405"/>
      <c r="J2040" s="405"/>
      <c r="K2040" s="405"/>
      <c r="L2040" s="405"/>
      <c r="M2040" s="405"/>
      <c r="N2040" s="405"/>
      <c r="O2040" s="405"/>
      <c r="P2040" s="405"/>
      <c r="Q2040" s="405"/>
      <c r="R2040" s="405"/>
      <c r="S2040" s="405"/>
      <c r="T2040" s="405"/>
      <c r="U2040" s="405"/>
      <c r="V2040" s="405"/>
      <c r="W2040" s="405"/>
      <c r="X2040" s="405"/>
      <c r="Y2040" s="405"/>
      <c r="Z2040" s="405"/>
    </row>
    <row r="2041" ht="14.25" customHeight="1">
      <c r="A2041" s="1134"/>
      <c r="B2041" s="405"/>
      <c r="C2041" s="405"/>
      <c r="D2041" s="1135"/>
      <c r="E2041" s="583"/>
      <c r="F2041" s="583"/>
      <c r="G2041" s="583"/>
      <c r="H2041" s="405"/>
      <c r="I2041" s="405"/>
      <c r="J2041" s="405"/>
      <c r="K2041" s="405"/>
      <c r="L2041" s="405"/>
      <c r="M2041" s="405"/>
      <c r="N2041" s="405"/>
      <c r="O2041" s="405"/>
      <c r="P2041" s="405"/>
      <c r="Q2041" s="405"/>
      <c r="R2041" s="405"/>
      <c r="S2041" s="405"/>
      <c r="T2041" s="405"/>
      <c r="U2041" s="405"/>
      <c r="V2041" s="405"/>
      <c r="W2041" s="405"/>
      <c r="X2041" s="405"/>
      <c r="Y2041" s="405"/>
      <c r="Z2041" s="405"/>
    </row>
    <row r="2042" ht="14.25" customHeight="1">
      <c r="A2042" s="1134"/>
      <c r="B2042" s="405"/>
      <c r="C2042" s="405"/>
      <c r="D2042" s="1135"/>
      <c r="E2042" s="583"/>
      <c r="F2042" s="583"/>
      <c r="G2042" s="583"/>
      <c r="H2042" s="405"/>
      <c r="I2042" s="405"/>
      <c r="J2042" s="405"/>
      <c r="K2042" s="405"/>
      <c r="L2042" s="405"/>
      <c r="M2042" s="405"/>
      <c r="N2042" s="405"/>
      <c r="O2042" s="405"/>
      <c r="P2042" s="405"/>
      <c r="Q2042" s="405"/>
      <c r="R2042" s="405"/>
      <c r="S2042" s="405"/>
      <c r="T2042" s="405"/>
      <c r="U2042" s="405"/>
      <c r="V2042" s="405"/>
      <c r="W2042" s="405"/>
      <c r="X2042" s="405"/>
      <c r="Y2042" s="405"/>
      <c r="Z2042" s="405"/>
    </row>
    <row r="2043" ht="14.25" customHeight="1">
      <c r="A2043" s="1134"/>
      <c r="B2043" s="405"/>
      <c r="C2043" s="405"/>
      <c r="D2043" s="1135"/>
      <c r="E2043" s="583"/>
      <c r="F2043" s="583"/>
      <c r="G2043" s="583"/>
      <c r="H2043" s="405"/>
      <c r="I2043" s="405"/>
      <c r="J2043" s="405"/>
      <c r="K2043" s="405"/>
      <c r="L2043" s="405"/>
      <c r="M2043" s="405"/>
      <c r="N2043" s="405"/>
      <c r="O2043" s="405"/>
      <c r="P2043" s="405"/>
      <c r="Q2043" s="405"/>
      <c r="R2043" s="405"/>
      <c r="S2043" s="405"/>
      <c r="T2043" s="405"/>
      <c r="U2043" s="405"/>
      <c r="V2043" s="405"/>
      <c r="W2043" s="405"/>
      <c r="X2043" s="405"/>
      <c r="Y2043" s="405"/>
      <c r="Z2043" s="405"/>
    </row>
    <row r="2044" ht="14.25" customHeight="1">
      <c r="A2044" s="1134"/>
      <c r="B2044" s="405"/>
      <c r="C2044" s="405"/>
      <c r="D2044" s="1135"/>
      <c r="E2044" s="583"/>
      <c r="F2044" s="583"/>
      <c r="G2044" s="583"/>
      <c r="H2044" s="405"/>
      <c r="I2044" s="405"/>
      <c r="J2044" s="405"/>
      <c r="K2044" s="405"/>
      <c r="L2044" s="405"/>
      <c r="M2044" s="405"/>
      <c r="N2044" s="405"/>
      <c r="O2044" s="405"/>
      <c r="P2044" s="405"/>
      <c r="Q2044" s="405"/>
      <c r="R2044" s="405"/>
      <c r="S2044" s="405"/>
      <c r="T2044" s="405"/>
      <c r="U2044" s="405"/>
      <c r="V2044" s="405"/>
      <c r="W2044" s="405"/>
      <c r="X2044" s="405"/>
      <c r="Y2044" s="405"/>
      <c r="Z2044" s="405"/>
    </row>
    <row r="2045" ht="14.25" customHeight="1">
      <c r="A2045" s="1134"/>
      <c r="B2045" s="405"/>
      <c r="C2045" s="405"/>
      <c r="D2045" s="1135"/>
      <c r="E2045" s="583"/>
      <c r="F2045" s="583"/>
      <c r="G2045" s="583"/>
      <c r="H2045" s="405"/>
      <c r="I2045" s="405"/>
      <c r="J2045" s="405"/>
      <c r="K2045" s="405"/>
      <c r="L2045" s="405"/>
      <c r="M2045" s="405"/>
      <c r="N2045" s="405"/>
      <c r="O2045" s="405"/>
      <c r="P2045" s="405"/>
      <c r="Q2045" s="405"/>
      <c r="R2045" s="405"/>
      <c r="S2045" s="405"/>
      <c r="T2045" s="405"/>
      <c r="U2045" s="405"/>
      <c r="V2045" s="405"/>
      <c r="W2045" s="405"/>
      <c r="X2045" s="405"/>
      <c r="Y2045" s="405"/>
      <c r="Z2045" s="405"/>
    </row>
    <row r="2046" ht="14.25" customHeight="1">
      <c r="A2046" s="1134"/>
      <c r="B2046" s="405"/>
      <c r="C2046" s="405"/>
      <c r="D2046" s="1135"/>
      <c r="E2046" s="583"/>
      <c r="F2046" s="583"/>
      <c r="G2046" s="583"/>
      <c r="H2046" s="405"/>
      <c r="I2046" s="405"/>
      <c r="J2046" s="405"/>
      <c r="K2046" s="405"/>
      <c r="L2046" s="405"/>
      <c r="M2046" s="405"/>
      <c r="N2046" s="405"/>
      <c r="O2046" s="405"/>
      <c r="P2046" s="405"/>
      <c r="Q2046" s="405"/>
      <c r="R2046" s="405"/>
      <c r="S2046" s="405"/>
      <c r="T2046" s="405"/>
      <c r="U2046" s="405"/>
      <c r="V2046" s="405"/>
      <c r="W2046" s="405"/>
      <c r="X2046" s="405"/>
      <c r="Y2046" s="405"/>
      <c r="Z2046" s="405"/>
    </row>
    <row r="2047" ht="14.25" customHeight="1">
      <c r="A2047" s="1134"/>
      <c r="B2047" s="405"/>
      <c r="C2047" s="405"/>
      <c r="D2047" s="1135"/>
      <c r="E2047" s="583"/>
      <c r="F2047" s="583"/>
      <c r="G2047" s="583"/>
      <c r="H2047" s="405"/>
      <c r="I2047" s="405"/>
      <c r="J2047" s="405"/>
      <c r="K2047" s="405"/>
      <c r="L2047" s="405"/>
      <c r="M2047" s="405"/>
      <c r="N2047" s="405"/>
      <c r="O2047" s="405"/>
      <c r="P2047" s="405"/>
      <c r="Q2047" s="405"/>
      <c r="R2047" s="405"/>
      <c r="S2047" s="405"/>
      <c r="T2047" s="405"/>
      <c r="U2047" s="405"/>
      <c r="V2047" s="405"/>
      <c r="W2047" s="405"/>
      <c r="X2047" s="405"/>
      <c r="Y2047" s="405"/>
      <c r="Z2047" s="405"/>
    </row>
    <row r="2048" ht="14.25" customHeight="1">
      <c r="A2048" s="1134"/>
      <c r="B2048" s="405"/>
      <c r="C2048" s="405"/>
      <c r="D2048" s="1135"/>
      <c r="E2048" s="583"/>
      <c r="F2048" s="583"/>
      <c r="G2048" s="583"/>
      <c r="H2048" s="405"/>
      <c r="I2048" s="405"/>
      <c r="J2048" s="405"/>
      <c r="K2048" s="405"/>
      <c r="L2048" s="405"/>
      <c r="M2048" s="405"/>
      <c r="N2048" s="405"/>
      <c r="O2048" s="405"/>
      <c r="P2048" s="405"/>
      <c r="Q2048" s="405"/>
      <c r="R2048" s="405"/>
      <c r="S2048" s="405"/>
      <c r="T2048" s="405"/>
      <c r="U2048" s="405"/>
      <c r="V2048" s="405"/>
      <c r="W2048" s="405"/>
      <c r="X2048" s="405"/>
      <c r="Y2048" s="405"/>
      <c r="Z2048" s="405"/>
    </row>
    <row r="2049" ht="14.25" customHeight="1">
      <c r="A2049" s="1134"/>
      <c r="B2049" s="405"/>
      <c r="C2049" s="405"/>
      <c r="D2049" s="1135"/>
      <c r="E2049" s="583"/>
      <c r="F2049" s="583"/>
      <c r="G2049" s="583"/>
      <c r="H2049" s="405"/>
      <c r="I2049" s="405"/>
      <c r="J2049" s="405"/>
      <c r="K2049" s="405"/>
      <c r="L2049" s="405"/>
      <c r="M2049" s="405"/>
      <c r="N2049" s="405"/>
      <c r="O2049" s="405"/>
      <c r="P2049" s="405"/>
      <c r="Q2049" s="405"/>
      <c r="R2049" s="405"/>
      <c r="S2049" s="405"/>
      <c r="T2049" s="405"/>
      <c r="U2049" s="405"/>
      <c r="V2049" s="405"/>
      <c r="W2049" s="405"/>
      <c r="X2049" s="405"/>
      <c r="Y2049" s="405"/>
      <c r="Z2049" s="405"/>
    </row>
    <row r="2050" ht="14.25" customHeight="1">
      <c r="A2050" s="1134"/>
      <c r="B2050" s="405"/>
      <c r="C2050" s="405"/>
      <c r="D2050" s="1135"/>
      <c r="E2050" s="583"/>
      <c r="F2050" s="583"/>
      <c r="G2050" s="583"/>
      <c r="H2050" s="405"/>
      <c r="I2050" s="405"/>
      <c r="J2050" s="405"/>
      <c r="K2050" s="405"/>
      <c r="L2050" s="405"/>
      <c r="M2050" s="405"/>
      <c r="N2050" s="405"/>
      <c r="O2050" s="405"/>
      <c r="P2050" s="405"/>
      <c r="Q2050" s="405"/>
      <c r="R2050" s="405"/>
      <c r="S2050" s="405"/>
      <c r="T2050" s="405"/>
      <c r="U2050" s="405"/>
      <c r="V2050" s="405"/>
      <c r="W2050" s="405"/>
      <c r="X2050" s="405"/>
      <c r="Y2050" s="405"/>
      <c r="Z2050" s="405"/>
    </row>
    <row r="2051" ht="14.25" customHeight="1">
      <c r="A2051" s="1134"/>
      <c r="B2051" s="405"/>
      <c r="C2051" s="405"/>
      <c r="D2051" s="1135"/>
      <c r="E2051" s="583"/>
      <c r="F2051" s="583"/>
      <c r="G2051" s="583"/>
      <c r="H2051" s="405"/>
      <c r="I2051" s="405"/>
      <c r="J2051" s="405"/>
      <c r="K2051" s="405"/>
      <c r="L2051" s="405"/>
      <c r="M2051" s="405"/>
      <c r="N2051" s="405"/>
      <c r="O2051" s="405"/>
      <c r="P2051" s="405"/>
      <c r="Q2051" s="405"/>
      <c r="R2051" s="405"/>
      <c r="S2051" s="405"/>
      <c r="T2051" s="405"/>
      <c r="U2051" s="405"/>
      <c r="V2051" s="405"/>
      <c r="W2051" s="405"/>
      <c r="X2051" s="405"/>
      <c r="Y2051" s="405"/>
      <c r="Z2051" s="405"/>
    </row>
    <row r="2052" ht="14.25" customHeight="1">
      <c r="A2052" s="1134"/>
      <c r="B2052" s="405"/>
      <c r="C2052" s="405"/>
      <c r="D2052" s="1135"/>
      <c r="E2052" s="583"/>
      <c r="F2052" s="583"/>
      <c r="G2052" s="583"/>
      <c r="H2052" s="405"/>
      <c r="I2052" s="405"/>
      <c r="J2052" s="405"/>
      <c r="K2052" s="405"/>
      <c r="L2052" s="405"/>
      <c r="M2052" s="405"/>
      <c r="N2052" s="405"/>
      <c r="O2052" s="405"/>
      <c r="P2052" s="405"/>
      <c r="Q2052" s="405"/>
      <c r="R2052" s="405"/>
      <c r="S2052" s="405"/>
      <c r="T2052" s="405"/>
      <c r="U2052" s="405"/>
      <c r="V2052" s="405"/>
      <c r="W2052" s="405"/>
      <c r="X2052" s="405"/>
      <c r="Y2052" s="405"/>
      <c r="Z2052" s="405"/>
    </row>
    <row r="2053" ht="14.25" customHeight="1">
      <c r="A2053" s="1134"/>
      <c r="B2053" s="405"/>
      <c r="C2053" s="405"/>
      <c r="D2053" s="1135"/>
      <c r="E2053" s="583"/>
      <c r="F2053" s="583"/>
      <c r="G2053" s="583"/>
      <c r="H2053" s="405"/>
      <c r="I2053" s="405"/>
      <c r="J2053" s="405"/>
      <c r="K2053" s="405"/>
      <c r="L2053" s="405"/>
      <c r="M2053" s="405"/>
      <c r="N2053" s="405"/>
      <c r="O2053" s="405"/>
      <c r="P2053" s="405"/>
      <c r="Q2053" s="405"/>
      <c r="R2053" s="405"/>
      <c r="S2053" s="405"/>
      <c r="T2053" s="405"/>
      <c r="U2053" s="405"/>
      <c r="V2053" s="405"/>
      <c r="W2053" s="405"/>
      <c r="X2053" s="405"/>
      <c r="Y2053" s="405"/>
      <c r="Z2053" s="405"/>
    </row>
    <row r="2054" ht="14.25" customHeight="1">
      <c r="A2054" s="1134"/>
      <c r="B2054" s="405"/>
      <c r="C2054" s="405"/>
      <c r="D2054" s="1135"/>
      <c r="E2054" s="583"/>
      <c r="F2054" s="583"/>
      <c r="G2054" s="583"/>
      <c r="H2054" s="405"/>
      <c r="I2054" s="405"/>
      <c r="J2054" s="405"/>
      <c r="K2054" s="405"/>
      <c r="L2054" s="405"/>
      <c r="M2054" s="405"/>
      <c r="N2054" s="405"/>
      <c r="O2054" s="405"/>
      <c r="P2054" s="405"/>
      <c r="Q2054" s="405"/>
      <c r="R2054" s="405"/>
      <c r="S2054" s="405"/>
      <c r="T2054" s="405"/>
      <c r="U2054" s="405"/>
      <c r="V2054" s="405"/>
      <c r="W2054" s="405"/>
      <c r="X2054" s="405"/>
      <c r="Y2054" s="405"/>
      <c r="Z2054" s="405"/>
    </row>
    <row r="2055" ht="14.25" customHeight="1">
      <c r="A2055" s="1134"/>
      <c r="B2055" s="405"/>
      <c r="C2055" s="405"/>
      <c r="D2055" s="1135"/>
      <c r="E2055" s="583"/>
      <c r="F2055" s="583"/>
      <c r="G2055" s="583"/>
      <c r="H2055" s="405"/>
      <c r="I2055" s="405"/>
      <c r="J2055" s="405"/>
      <c r="K2055" s="405"/>
      <c r="L2055" s="405"/>
      <c r="M2055" s="405"/>
      <c r="N2055" s="405"/>
      <c r="O2055" s="405"/>
      <c r="P2055" s="405"/>
      <c r="Q2055" s="405"/>
      <c r="R2055" s="405"/>
      <c r="S2055" s="405"/>
      <c r="T2055" s="405"/>
      <c r="U2055" s="405"/>
      <c r="V2055" s="405"/>
      <c r="W2055" s="405"/>
      <c r="X2055" s="405"/>
      <c r="Y2055" s="405"/>
      <c r="Z2055" s="405"/>
    </row>
    <row r="2056" ht="14.25" customHeight="1">
      <c r="A2056" s="1134"/>
      <c r="B2056" s="405"/>
      <c r="C2056" s="405"/>
      <c r="D2056" s="1135"/>
      <c r="E2056" s="583"/>
      <c r="F2056" s="583"/>
      <c r="G2056" s="583"/>
      <c r="H2056" s="405"/>
      <c r="I2056" s="405"/>
      <c r="J2056" s="405"/>
      <c r="K2056" s="405"/>
      <c r="L2056" s="405"/>
      <c r="M2056" s="405"/>
      <c r="N2056" s="405"/>
      <c r="O2056" s="405"/>
      <c r="P2056" s="405"/>
      <c r="Q2056" s="405"/>
      <c r="R2056" s="405"/>
      <c r="S2056" s="405"/>
      <c r="T2056" s="405"/>
      <c r="U2056" s="405"/>
      <c r="V2056" s="405"/>
      <c r="W2056" s="405"/>
      <c r="X2056" s="405"/>
      <c r="Y2056" s="405"/>
      <c r="Z2056" s="405"/>
    </row>
    <row r="2057" ht="14.25" customHeight="1">
      <c r="A2057" s="1134"/>
      <c r="B2057" s="405"/>
      <c r="C2057" s="405"/>
      <c r="D2057" s="1135"/>
      <c r="E2057" s="583"/>
      <c r="F2057" s="583"/>
      <c r="G2057" s="583"/>
      <c r="H2057" s="405"/>
      <c r="I2057" s="405"/>
      <c r="J2057" s="405"/>
      <c r="K2057" s="405"/>
      <c r="L2057" s="405"/>
      <c r="M2057" s="405"/>
      <c r="N2057" s="405"/>
      <c r="O2057" s="405"/>
      <c r="P2057" s="405"/>
      <c r="Q2057" s="405"/>
      <c r="R2057" s="405"/>
      <c r="S2057" s="405"/>
      <c r="T2057" s="405"/>
      <c r="U2057" s="405"/>
      <c r="V2057" s="405"/>
      <c r="W2057" s="405"/>
      <c r="X2057" s="405"/>
      <c r="Y2057" s="405"/>
      <c r="Z2057" s="405"/>
    </row>
    <row r="2058" ht="14.25" customHeight="1">
      <c r="A2058" s="1134"/>
      <c r="B2058" s="405"/>
      <c r="C2058" s="405"/>
      <c r="D2058" s="1135"/>
      <c r="E2058" s="583"/>
      <c r="F2058" s="583"/>
      <c r="G2058" s="583"/>
      <c r="H2058" s="405"/>
      <c r="I2058" s="405"/>
      <c r="J2058" s="405"/>
      <c r="K2058" s="405"/>
      <c r="L2058" s="405"/>
      <c r="M2058" s="405"/>
      <c r="N2058" s="405"/>
      <c r="O2058" s="405"/>
      <c r="P2058" s="405"/>
      <c r="Q2058" s="405"/>
      <c r="R2058" s="405"/>
      <c r="S2058" s="405"/>
      <c r="T2058" s="405"/>
      <c r="U2058" s="405"/>
      <c r="V2058" s="405"/>
      <c r="W2058" s="405"/>
      <c r="X2058" s="405"/>
      <c r="Y2058" s="405"/>
      <c r="Z2058" s="405"/>
    </row>
    <row r="2059" ht="14.25" customHeight="1">
      <c r="A2059" s="1134"/>
      <c r="B2059" s="405"/>
      <c r="C2059" s="405"/>
      <c r="D2059" s="1135"/>
      <c r="E2059" s="583"/>
      <c r="F2059" s="583"/>
      <c r="G2059" s="583"/>
      <c r="H2059" s="405"/>
      <c r="I2059" s="405"/>
      <c r="J2059" s="405"/>
      <c r="K2059" s="405"/>
      <c r="L2059" s="405"/>
      <c r="M2059" s="405"/>
      <c r="N2059" s="405"/>
      <c r="O2059" s="405"/>
      <c r="P2059" s="405"/>
      <c r="Q2059" s="405"/>
      <c r="R2059" s="405"/>
      <c r="S2059" s="405"/>
      <c r="T2059" s="405"/>
      <c r="U2059" s="405"/>
      <c r="V2059" s="405"/>
      <c r="W2059" s="405"/>
      <c r="X2059" s="405"/>
      <c r="Y2059" s="405"/>
      <c r="Z2059" s="405"/>
    </row>
    <row r="2060" ht="14.25" customHeight="1">
      <c r="A2060" s="1134"/>
      <c r="B2060" s="405"/>
      <c r="C2060" s="405"/>
      <c r="D2060" s="1135"/>
      <c r="E2060" s="583"/>
      <c r="F2060" s="583"/>
      <c r="G2060" s="583"/>
      <c r="H2060" s="405"/>
      <c r="I2060" s="405"/>
      <c r="J2060" s="405"/>
      <c r="K2060" s="405"/>
      <c r="L2060" s="405"/>
      <c r="M2060" s="405"/>
      <c r="N2060" s="405"/>
      <c r="O2060" s="405"/>
      <c r="P2060" s="405"/>
      <c r="Q2060" s="405"/>
      <c r="R2060" s="405"/>
      <c r="S2060" s="405"/>
      <c r="T2060" s="405"/>
      <c r="U2060" s="405"/>
      <c r="V2060" s="405"/>
      <c r="W2060" s="405"/>
      <c r="X2060" s="405"/>
      <c r="Y2060" s="405"/>
      <c r="Z2060" s="405"/>
    </row>
    <row r="2061" ht="14.25" customHeight="1">
      <c r="A2061" s="1134"/>
      <c r="B2061" s="405"/>
      <c r="C2061" s="405"/>
      <c r="D2061" s="1135"/>
      <c r="E2061" s="583"/>
      <c r="F2061" s="583"/>
      <c r="G2061" s="583"/>
      <c r="H2061" s="405"/>
      <c r="I2061" s="405"/>
      <c r="J2061" s="405"/>
      <c r="K2061" s="405"/>
      <c r="L2061" s="405"/>
      <c r="M2061" s="405"/>
      <c r="N2061" s="405"/>
      <c r="O2061" s="405"/>
      <c r="P2061" s="405"/>
      <c r="Q2061" s="405"/>
      <c r="R2061" s="405"/>
      <c r="S2061" s="405"/>
      <c r="T2061" s="405"/>
      <c r="U2061" s="405"/>
      <c r="V2061" s="405"/>
      <c r="W2061" s="405"/>
      <c r="X2061" s="405"/>
      <c r="Y2061" s="405"/>
      <c r="Z2061" s="405"/>
    </row>
    <row r="2062" ht="14.25" customHeight="1">
      <c r="A2062" s="1134"/>
      <c r="B2062" s="405"/>
      <c r="C2062" s="405"/>
      <c r="D2062" s="1135"/>
      <c r="E2062" s="583"/>
      <c r="F2062" s="583"/>
      <c r="G2062" s="583"/>
      <c r="H2062" s="405"/>
      <c r="I2062" s="405"/>
      <c r="J2062" s="405"/>
      <c r="K2062" s="405"/>
      <c r="L2062" s="405"/>
      <c r="M2062" s="405"/>
      <c r="N2062" s="405"/>
      <c r="O2062" s="405"/>
      <c r="P2062" s="405"/>
      <c r="Q2062" s="405"/>
      <c r="R2062" s="405"/>
      <c r="S2062" s="405"/>
      <c r="T2062" s="405"/>
      <c r="U2062" s="405"/>
      <c r="V2062" s="405"/>
      <c r="W2062" s="405"/>
      <c r="X2062" s="405"/>
      <c r="Y2062" s="405"/>
      <c r="Z2062" s="405"/>
    </row>
    <row r="2063" ht="14.25" customHeight="1">
      <c r="A2063" s="1134"/>
      <c r="B2063" s="405"/>
      <c r="C2063" s="405"/>
      <c r="D2063" s="1135"/>
      <c r="E2063" s="583"/>
      <c r="F2063" s="583"/>
      <c r="G2063" s="583"/>
      <c r="H2063" s="405"/>
      <c r="I2063" s="405"/>
      <c r="J2063" s="405"/>
      <c r="K2063" s="405"/>
      <c r="L2063" s="405"/>
      <c r="M2063" s="405"/>
      <c r="N2063" s="405"/>
      <c r="O2063" s="405"/>
      <c r="P2063" s="405"/>
      <c r="Q2063" s="405"/>
      <c r="R2063" s="405"/>
      <c r="S2063" s="405"/>
      <c r="T2063" s="405"/>
      <c r="U2063" s="405"/>
      <c r="V2063" s="405"/>
      <c r="W2063" s="405"/>
      <c r="X2063" s="405"/>
      <c r="Y2063" s="405"/>
      <c r="Z2063" s="405"/>
    </row>
    <row r="2064" ht="14.25" customHeight="1">
      <c r="A2064" s="1134"/>
      <c r="B2064" s="405"/>
      <c r="C2064" s="405"/>
      <c r="D2064" s="1135"/>
      <c r="E2064" s="583"/>
      <c r="F2064" s="583"/>
      <c r="G2064" s="583"/>
      <c r="H2064" s="405"/>
      <c r="I2064" s="405"/>
      <c r="J2064" s="405"/>
      <c r="K2064" s="405"/>
      <c r="L2064" s="405"/>
      <c r="M2064" s="405"/>
      <c r="N2064" s="405"/>
      <c r="O2064" s="405"/>
      <c r="P2064" s="405"/>
      <c r="Q2064" s="405"/>
      <c r="R2064" s="405"/>
      <c r="S2064" s="405"/>
      <c r="T2064" s="405"/>
      <c r="U2064" s="405"/>
      <c r="V2064" s="405"/>
      <c r="W2064" s="405"/>
      <c r="X2064" s="405"/>
      <c r="Y2064" s="405"/>
      <c r="Z2064" s="405"/>
    </row>
    <row r="2065" ht="14.25" customHeight="1">
      <c r="A2065" s="1134"/>
      <c r="B2065" s="405"/>
      <c r="C2065" s="405"/>
      <c r="D2065" s="1135"/>
      <c r="E2065" s="583"/>
      <c r="F2065" s="583"/>
      <c r="G2065" s="583"/>
      <c r="H2065" s="405"/>
      <c r="I2065" s="405"/>
      <c r="J2065" s="405"/>
      <c r="K2065" s="405"/>
      <c r="L2065" s="405"/>
      <c r="M2065" s="405"/>
      <c r="N2065" s="405"/>
      <c r="O2065" s="405"/>
      <c r="P2065" s="405"/>
      <c r="Q2065" s="405"/>
      <c r="R2065" s="405"/>
      <c r="S2065" s="405"/>
      <c r="T2065" s="405"/>
      <c r="U2065" s="405"/>
      <c r="V2065" s="405"/>
      <c r="W2065" s="405"/>
      <c r="X2065" s="405"/>
      <c r="Y2065" s="405"/>
      <c r="Z2065" s="405"/>
    </row>
    <row r="2066" ht="14.25" customHeight="1">
      <c r="A2066" s="1134"/>
      <c r="B2066" s="405"/>
      <c r="C2066" s="405"/>
      <c r="D2066" s="1135"/>
      <c r="E2066" s="583"/>
      <c r="F2066" s="583"/>
      <c r="G2066" s="583"/>
      <c r="H2066" s="405"/>
      <c r="I2066" s="405"/>
      <c r="J2066" s="405"/>
      <c r="K2066" s="405"/>
      <c r="L2066" s="405"/>
      <c r="M2066" s="405"/>
      <c r="N2066" s="405"/>
      <c r="O2066" s="405"/>
      <c r="P2066" s="405"/>
      <c r="Q2066" s="405"/>
      <c r="R2066" s="405"/>
      <c r="S2066" s="405"/>
      <c r="T2066" s="405"/>
      <c r="U2066" s="405"/>
      <c r="V2066" s="405"/>
      <c r="W2066" s="405"/>
      <c r="X2066" s="405"/>
      <c r="Y2066" s="405"/>
      <c r="Z2066" s="405"/>
    </row>
    <row r="2067" ht="14.25" customHeight="1">
      <c r="A2067" s="1134"/>
      <c r="B2067" s="405"/>
      <c r="C2067" s="405"/>
      <c r="D2067" s="1135"/>
      <c r="E2067" s="583"/>
      <c r="F2067" s="583"/>
      <c r="G2067" s="583"/>
      <c r="H2067" s="405"/>
      <c r="I2067" s="405"/>
      <c r="J2067" s="405"/>
      <c r="K2067" s="405"/>
      <c r="L2067" s="405"/>
      <c r="M2067" s="405"/>
      <c r="N2067" s="405"/>
      <c r="O2067" s="405"/>
      <c r="P2067" s="405"/>
      <c r="Q2067" s="405"/>
      <c r="R2067" s="405"/>
      <c r="S2067" s="405"/>
      <c r="T2067" s="405"/>
      <c r="U2067" s="405"/>
      <c r="V2067" s="405"/>
      <c r="W2067" s="405"/>
      <c r="X2067" s="405"/>
      <c r="Y2067" s="405"/>
      <c r="Z2067" s="405"/>
    </row>
    <row r="2068" ht="14.25" customHeight="1">
      <c r="A2068" s="1134"/>
      <c r="B2068" s="405"/>
      <c r="C2068" s="405"/>
      <c r="D2068" s="1135"/>
      <c r="E2068" s="583"/>
      <c r="F2068" s="583"/>
      <c r="G2068" s="583"/>
      <c r="H2068" s="405"/>
      <c r="I2068" s="405"/>
      <c r="J2068" s="405"/>
      <c r="K2068" s="405"/>
      <c r="L2068" s="405"/>
      <c r="M2068" s="405"/>
      <c r="N2068" s="405"/>
      <c r="O2068" s="405"/>
      <c r="P2068" s="405"/>
      <c r="Q2068" s="405"/>
      <c r="R2068" s="405"/>
      <c r="S2068" s="405"/>
      <c r="T2068" s="405"/>
      <c r="U2068" s="405"/>
      <c r="V2068" s="405"/>
      <c r="W2068" s="405"/>
      <c r="X2068" s="405"/>
      <c r="Y2068" s="405"/>
      <c r="Z2068" s="405"/>
    </row>
    <row r="2069" ht="14.25" customHeight="1">
      <c r="A2069" s="1134"/>
      <c r="B2069" s="405"/>
      <c r="C2069" s="405"/>
      <c r="D2069" s="1135"/>
      <c r="E2069" s="583"/>
      <c r="F2069" s="583"/>
      <c r="G2069" s="583"/>
      <c r="H2069" s="405"/>
      <c r="I2069" s="405"/>
      <c r="J2069" s="405"/>
      <c r="K2069" s="405"/>
      <c r="L2069" s="405"/>
      <c r="M2069" s="405"/>
      <c r="N2069" s="405"/>
      <c r="O2069" s="405"/>
      <c r="P2069" s="405"/>
      <c r="Q2069" s="405"/>
      <c r="R2069" s="405"/>
      <c r="S2069" s="405"/>
      <c r="T2069" s="405"/>
      <c r="U2069" s="405"/>
      <c r="V2069" s="405"/>
      <c r="W2069" s="405"/>
      <c r="X2069" s="405"/>
      <c r="Y2069" s="405"/>
      <c r="Z2069" s="405"/>
    </row>
    <row r="2070" ht="14.25" customHeight="1">
      <c r="A2070" s="1134"/>
      <c r="B2070" s="405"/>
      <c r="C2070" s="405"/>
      <c r="D2070" s="1135"/>
      <c r="E2070" s="583"/>
      <c r="F2070" s="583"/>
      <c r="G2070" s="583"/>
      <c r="H2070" s="405"/>
      <c r="I2070" s="405"/>
      <c r="J2070" s="405"/>
      <c r="K2070" s="405"/>
      <c r="L2070" s="405"/>
      <c r="M2070" s="405"/>
      <c r="N2070" s="405"/>
      <c r="O2070" s="405"/>
      <c r="P2070" s="405"/>
      <c r="Q2070" s="405"/>
      <c r="R2070" s="405"/>
      <c r="S2070" s="405"/>
      <c r="T2070" s="405"/>
      <c r="U2070" s="405"/>
      <c r="V2070" s="405"/>
      <c r="W2070" s="405"/>
      <c r="X2070" s="405"/>
      <c r="Y2070" s="405"/>
      <c r="Z2070" s="405"/>
    </row>
    <row r="2071" ht="14.25" customHeight="1">
      <c r="A2071" s="1134"/>
      <c r="B2071" s="405"/>
      <c r="C2071" s="405"/>
      <c r="D2071" s="1135"/>
      <c r="E2071" s="583"/>
      <c r="F2071" s="583"/>
      <c r="G2071" s="583"/>
      <c r="H2071" s="405"/>
      <c r="I2071" s="405"/>
      <c r="J2071" s="405"/>
      <c r="K2071" s="405"/>
      <c r="L2071" s="405"/>
      <c r="M2071" s="405"/>
      <c r="N2071" s="405"/>
      <c r="O2071" s="405"/>
      <c r="P2071" s="405"/>
      <c r="Q2071" s="405"/>
      <c r="R2071" s="405"/>
      <c r="S2071" s="405"/>
      <c r="T2071" s="405"/>
      <c r="U2071" s="405"/>
      <c r="V2071" s="405"/>
      <c r="W2071" s="405"/>
      <c r="X2071" s="405"/>
      <c r="Y2071" s="405"/>
      <c r="Z2071" s="405"/>
    </row>
    <row r="2072" ht="14.25" customHeight="1">
      <c r="A2072" s="1134"/>
      <c r="B2072" s="405"/>
      <c r="C2072" s="405"/>
      <c r="D2072" s="1135"/>
      <c r="E2072" s="583"/>
      <c r="F2072" s="583"/>
      <c r="G2072" s="583"/>
      <c r="H2072" s="405"/>
      <c r="I2072" s="405"/>
      <c r="J2072" s="405"/>
      <c r="K2072" s="405"/>
      <c r="L2072" s="405"/>
      <c r="M2072" s="405"/>
      <c r="N2072" s="405"/>
      <c r="O2072" s="405"/>
      <c r="P2072" s="405"/>
      <c r="Q2072" s="405"/>
      <c r="R2072" s="405"/>
      <c r="S2072" s="405"/>
      <c r="T2072" s="405"/>
      <c r="U2072" s="405"/>
      <c r="V2072" s="405"/>
      <c r="W2072" s="405"/>
      <c r="X2072" s="405"/>
      <c r="Y2072" s="405"/>
      <c r="Z2072" s="405"/>
    </row>
    <row r="2073" ht="14.25" customHeight="1">
      <c r="A2073" s="1134"/>
      <c r="B2073" s="405"/>
      <c r="C2073" s="405"/>
      <c r="D2073" s="1135"/>
      <c r="E2073" s="583"/>
      <c r="F2073" s="583"/>
      <c r="G2073" s="583"/>
      <c r="H2073" s="405"/>
      <c r="I2073" s="405"/>
      <c r="J2073" s="405"/>
      <c r="K2073" s="405"/>
      <c r="L2073" s="405"/>
      <c r="M2073" s="405"/>
      <c r="N2073" s="405"/>
      <c r="O2073" s="405"/>
      <c r="P2073" s="405"/>
      <c r="Q2073" s="405"/>
      <c r="R2073" s="405"/>
      <c r="S2073" s="405"/>
      <c r="T2073" s="405"/>
      <c r="U2073" s="405"/>
      <c r="V2073" s="405"/>
      <c r="W2073" s="405"/>
      <c r="X2073" s="405"/>
      <c r="Y2073" s="405"/>
      <c r="Z2073" s="405"/>
    </row>
    <row r="2074" ht="14.25" customHeight="1">
      <c r="A2074" s="1134"/>
      <c r="B2074" s="405"/>
      <c r="C2074" s="405"/>
      <c r="D2074" s="1135"/>
      <c r="E2074" s="583"/>
      <c r="F2074" s="583"/>
      <c r="G2074" s="583"/>
      <c r="H2074" s="405"/>
      <c r="I2074" s="405"/>
      <c r="J2074" s="405"/>
      <c r="K2074" s="405"/>
      <c r="L2074" s="405"/>
      <c r="M2074" s="405"/>
      <c r="N2074" s="405"/>
      <c r="O2074" s="405"/>
      <c r="P2074" s="405"/>
      <c r="Q2074" s="405"/>
      <c r="R2074" s="405"/>
      <c r="S2074" s="405"/>
      <c r="T2074" s="405"/>
      <c r="U2074" s="405"/>
      <c r="V2074" s="405"/>
      <c r="W2074" s="405"/>
      <c r="X2074" s="405"/>
      <c r="Y2074" s="405"/>
      <c r="Z2074" s="405"/>
    </row>
    <row r="2075" ht="14.25" customHeight="1">
      <c r="A2075" s="1134"/>
      <c r="B2075" s="405"/>
      <c r="C2075" s="405"/>
      <c r="D2075" s="1135"/>
      <c r="E2075" s="583"/>
      <c r="F2075" s="583"/>
      <c r="G2075" s="583"/>
      <c r="H2075" s="405"/>
      <c r="I2075" s="405"/>
      <c r="J2075" s="405"/>
      <c r="K2075" s="405"/>
      <c r="L2075" s="405"/>
      <c r="M2075" s="405"/>
      <c r="N2075" s="405"/>
      <c r="O2075" s="405"/>
      <c r="P2075" s="405"/>
      <c r="Q2075" s="405"/>
      <c r="R2075" s="405"/>
      <c r="S2075" s="405"/>
      <c r="T2075" s="405"/>
      <c r="U2075" s="405"/>
      <c r="V2075" s="405"/>
      <c r="W2075" s="405"/>
      <c r="X2075" s="405"/>
      <c r="Y2075" s="405"/>
      <c r="Z2075" s="405"/>
    </row>
    <row r="2076" ht="14.25" customHeight="1">
      <c r="A2076" s="1134"/>
      <c r="B2076" s="405"/>
      <c r="C2076" s="405"/>
      <c r="D2076" s="1135"/>
      <c r="E2076" s="583"/>
      <c r="F2076" s="583"/>
      <c r="G2076" s="583"/>
      <c r="H2076" s="405"/>
      <c r="I2076" s="405"/>
      <c r="J2076" s="405"/>
      <c r="K2076" s="405"/>
      <c r="L2076" s="405"/>
      <c r="M2076" s="405"/>
      <c r="N2076" s="405"/>
      <c r="O2076" s="405"/>
      <c r="P2076" s="405"/>
      <c r="Q2076" s="405"/>
      <c r="R2076" s="405"/>
      <c r="S2076" s="405"/>
      <c r="T2076" s="405"/>
      <c r="U2076" s="405"/>
      <c r="V2076" s="405"/>
      <c r="W2076" s="405"/>
      <c r="X2076" s="405"/>
      <c r="Y2076" s="405"/>
      <c r="Z2076" s="405"/>
    </row>
    <row r="2077" ht="14.25" customHeight="1">
      <c r="A2077" s="1134"/>
      <c r="B2077" s="405"/>
      <c r="C2077" s="405"/>
      <c r="D2077" s="1135"/>
      <c r="E2077" s="583"/>
      <c r="F2077" s="583"/>
      <c r="G2077" s="583"/>
      <c r="H2077" s="405"/>
      <c r="I2077" s="405"/>
      <c r="J2077" s="405"/>
      <c r="K2077" s="405"/>
      <c r="L2077" s="405"/>
      <c r="M2077" s="405"/>
      <c r="N2077" s="405"/>
      <c r="O2077" s="405"/>
      <c r="P2077" s="405"/>
      <c r="Q2077" s="405"/>
      <c r="R2077" s="405"/>
      <c r="S2077" s="405"/>
      <c r="T2077" s="405"/>
      <c r="U2077" s="405"/>
      <c r="V2077" s="405"/>
      <c r="W2077" s="405"/>
      <c r="X2077" s="405"/>
      <c r="Y2077" s="405"/>
      <c r="Z2077" s="405"/>
    </row>
    <row r="2078" ht="14.25" customHeight="1">
      <c r="A2078" s="1134"/>
      <c r="B2078" s="405"/>
      <c r="C2078" s="405"/>
      <c r="D2078" s="1135"/>
      <c r="E2078" s="583"/>
      <c r="F2078" s="583"/>
      <c r="G2078" s="583"/>
      <c r="H2078" s="405"/>
      <c r="I2078" s="405"/>
      <c r="J2078" s="405"/>
      <c r="K2078" s="405"/>
      <c r="L2078" s="405"/>
      <c r="M2078" s="405"/>
      <c r="N2078" s="405"/>
      <c r="O2078" s="405"/>
      <c r="P2078" s="405"/>
      <c r="Q2078" s="405"/>
      <c r="R2078" s="405"/>
      <c r="S2078" s="405"/>
      <c r="T2078" s="405"/>
      <c r="U2078" s="405"/>
      <c r="V2078" s="405"/>
      <c r="W2078" s="405"/>
      <c r="X2078" s="405"/>
      <c r="Y2078" s="405"/>
      <c r="Z2078" s="405"/>
    </row>
    <row r="2079" ht="14.25" customHeight="1">
      <c r="A2079" s="1134"/>
      <c r="B2079" s="405"/>
      <c r="C2079" s="405"/>
      <c r="D2079" s="1135"/>
      <c r="E2079" s="583"/>
      <c r="F2079" s="583"/>
      <c r="G2079" s="583"/>
      <c r="H2079" s="405"/>
      <c r="I2079" s="405"/>
      <c r="J2079" s="405"/>
      <c r="K2079" s="405"/>
      <c r="L2079" s="405"/>
      <c r="M2079" s="405"/>
      <c r="N2079" s="405"/>
      <c r="O2079" s="405"/>
      <c r="P2079" s="405"/>
      <c r="Q2079" s="405"/>
      <c r="R2079" s="405"/>
      <c r="S2079" s="405"/>
      <c r="T2079" s="405"/>
      <c r="U2079" s="405"/>
      <c r="V2079" s="405"/>
      <c r="W2079" s="405"/>
      <c r="X2079" s="405"/>
      <c r="Y2079" s="405"/>
      <c r="Z2079" s="405"/>
    </row>
    <row r="2080" ht="14.25" customHeight="1">
      <c r="A2080" s="1134"/>
      <c r="B2080" s="405"/>
      <c r="C2080" s="405"/>
      <c r="D2080" s="1135"/>
      <c r="E2080" s="583"/>
      <c r="F2080" s="583"/>
      <c r="G2080" s="583"/>
      <c r="H2080" s="405"/>
      <c r="I2080" s="405"/>
      <c r="J2080" s="405"/>
      <c r="K2080" s="405"/>
      <c r="L2080" s="405"/>
      <c r="M2080" s="405"/>
      <c r="N2080" s="405"/>
      <c r="O2080" s="405"/>
      <c r="P2080" s="405"/>
      <c r="Q2080" s="405"/>
      <c r="R2080" s="405"/>
      <c r="S2080" s="405"/>
      <c r="T2080" s="405"/>
      <c r="U2080" s="405"/>
      <c r="V2080" s="405"/>
      <c r="W2080" s="405"/>
      <c r="X2080" s="405"/>
      <c r="Y2080" s="405"/>
      <c r="Z2080" s="405"/>
    </row>
    <row r="2081" ht="14.25" customHeight="1">
      <c r="A2081" s="1134"/>
      <c r="B2081" s="405"/>
      <c r="C2081" s="405"/>
      <c r="D2081" s="1135"/>
      <c r="E2081" s="583"/>
      <c r="F2081" s="583"/>
      <c r="G2081" s="583"/>
      <c r="H2081" s="405"/>
      <c r="I2081" s="405"/>
      <c r="J2081" s="405"/>
      <c r="K2081" s="405"/>
      <c r="L2081" s="405"/>
      <c r="M2081" s="405"/>
      <c r="N2081" s="405"/>
      <c r="O2081" s="405"/>
      <c r="P2081" s="405"/>
      <c r="Q2081" s="405"/>
      <c r="R2081" s="405"/>
      <c r="S2081" s="405"/>
      <c r="T2081" s="405"/>
      <c r="U2081" s="405"/>
      <c r="V2081" s="405"/>
      <c r="W2081" s="405"/>
      <c r="X2081" s="405"/>
      <c r="Y2081" s="405"/>
      <c r="Z2081" s="405"/>
    </row>
    <row r="2082" ht="14.25" customHeight="1">
      <c r="A2082" s="1134"/>
      <c r="B2082" s="405"/>
      <c r="C2082" s="405"/>
      <c r="D2082" s="1135"/>
      <c r="E2082" s="583"/>
      <c r="F2082" s="583"/>
      <c r="G2082" s="583"/>
      <c r="H2082" s="405"/>
      <c r="I2082" s="405"/>
      <c r="J2082" s="405"/>
      <c r="K2082" s="405"/>
      <c r="L2082" s="405"/>
      <c r="M2082" s="405"/>
      <c r="N2082" s="405"/>
      <c r="O2082" s="405"/>
      <c r="P2082" s="405"/>
      <c r="Q2082" s="405"/>
      <c r="R2082" s="405"/>
      <c r="S2082" s="405"/>
      <c r="T2082" s="405"/>
      <c r="U2082" s="405"/>
      <c r="V2082" s="405"/>
      <c r="W2082" s="405"/>
      <c r="X2082" s="405"/>
      <c r="Y2082" s="405"/>
      <c r="Z2082" s="405"/>
    </row>
    <row r="2083" ht="14.25" customHeight="1">
      <c r="A2083" s="1134"/>
      <c r="B2083" s="405"/>
      <c r="C2083" s="405"/>
      <c r="D2083" s="1135"/>
      <c r="E2083" s="583"/>
      <c r="F2083" s="583"/>
      <c r="G2083" s="583"/>
      <c r="H2083" s="405"/>
      <c r="I2083" s="405"/>
      <c r="J2083" s="405"/>
      <c r="K2083" s="405"/>
      <c r="L2083" s="405"/>
      <c r="M2083" s="405"/>
      <c r="N2083" s="405"/>
      <c r="O2083" s="405"/>
      <c r="P2083" s="405"/>
      <c r="Q2083" s="405"/>
      <c r="R2083" s="405"/>
      <c r="S2083" s="405"/>
      <c r="T2083" s="405"/>
      <c r="U2083" s="405"/>
      <c r="V2083" s="405"/>
      <c r="W2083" s="405"/>
      <c r="X2083" s="405"/>
      <c r="Y2083" s="405"/>
      <c r="Z2083" s="405"/>
    </row>
    <row r="2084" ht="14.25" customHeight="1">
      <c r="A2084" s="1134"/>
      <c r="B2084" s="405"/>
      <c r="C2084" s="405"/>
      <c r="D2084" s="1135"/>
      <c r="E2084" s="583"/>
      <c r="F2084" s="583"/>
      <c r="G2084" s="583"/>
      <c r="H2084" s="405"/>
      <c r="I2084" s="405"/>
      <c r="J2084" s="405"/>
      <c r="K2084" s="405"/>
      <c r="L2084" s="405"/>
      <c r="M2084" s="405"/>
      <c r="N2084" s="405"/>
      <c r="O2084" s="405"/>
      <c r="P2084" s="405"/>
      <c r="Q2084" s="405"/>
      <c r="R2084" s="405"/>
      <c r="S2084" s="405"/>
      <c r="T2084" s="405"/>
      <c r="U2084" s="405"/>
      <c r="V2084" s="405"/>
      <c r="W2084" s="405"/>
      <c r="X2084" s="405"/>
      <c r="Y2084" s="405"/>
      <c r="Z2084" s="405"/>
    </row>
    <row r="2085" ht="14.25" customHeight="1">
      <c r="A2085" s="1134"/>
      <c r="B2085" s="405"/>
      <c r="C2085" s="405"/>
      <c r="D2085" s="1135"/>
      <c r="E2085" s="583"/>
      <c r="F2085" s="583"/>
      <c r="G2085" s="583"/>
      <c r="H2085" s="405"/>
      <c r="I2085" s="405"/>
      <c r="J2085" s="405"/>
      <c r="K2085" s="405"/>
      <c r="L2085" s="405"/>
      <c r="M2085" s="405"/>
      <c r="N2085" s="405"/>
      <c r="O2085" s="405"/>
      <c r="P2085" s="405"/>
      <c r="Q2085" s="405"/>
      <c r="R2085" s="405"/>
      <c r="S2085" s="405"/>
      <c r="T2085" s="405"/>
      <c r="U2085" s="405"/>
      <c r="V2085" s="405"/>
      <c r="W2085" s="405"/>
      <c r="X2085" s="405"/>
      <c r="Y2085" s="405"/>
      <c r="Z2085" s="405"/>
    </row>
    <row r="2086" ht="14.25" customHeight="1">
      <c r="A2086" s="1134"/>
      <c r="B2086" s="405"/>
      <c r="C2086" s="405"/>
      <c r="D2086" s="1135"/>
      <c r="E2086" s="583"/>
      <c r="F2086" s="583"/>
      <c r="G2086" s="583"/>
      <c r="H2086" s="405"/>
      <c r="I2086" s="405"/>
      <c r="J2086" s="405"/>
      <c r="K2086" s="405"/>
      <c r="L2086" s="405"/>
      <c r="M2086" s="405"/>
      <c r="N2086" s="405"/>
      <c r="O2086" s="405"/>
      <c r="P2086" s="405"/>
      <c r="Q2086" s="405"/>
      <c r="R2086" s="405"/>
      <c r="S2086" s="405"/>
      <c r="T2086" s="405"/>
      <c r="U2086" s="405"/>
      <c r="V2086" s="405"/>
      <c r="W2086" s="405"/>
      <c r="X2086" s="405"/>
      <c r="Y2086" s="405"/>
      <c r="Z2086" s="405"/>
    </row>
    <row r="2087" ht="14.25" customHeight="1">
      <c r="A2087" s="1134"/>
      <c r="B2087" s="405"/>
      <c r="C2087" s="405"/>
      <c r="D2087" s="1135"/>
      <c r="E2087" s="583"/>
      <c r="F2087" s="583"/>
      <c r="G2087" s="583"/>
      <c r="H2087" s="405"/>
      <c r="I2087" s="405"/>
      <c r="J2087" s="405"/>
      <c r="K2087" s="405"/>
      <c r="L2087" s="405"/>
      <c r="M2087" s="405"/>
      <c r="N2087" s="405"/>
      <c r="O2087" s="405"/>
      <c r="P2087" s="405"/>
      <c r="Q2087" s="405"/>
      <c r="R2087" s="405"/>
      <c r="S2087" s="405"/>
      <c r="T2087" s="405"/>
      <c r="U2087" s="405"/>
      <c r="V2087" s="405"/>
      <c r="W2087" s="405"/>
      <c r="X2087" s="405"/>
      <c r="Y2087" s="405"/>
      <c r="Z2087" s="405"/>
    </row>
    <row r="2088" ht="14.25" customHeight="1">
      <c r="A2088" s="1134"/>
      <c r="B2088" s="405"/>
      <c r="C2088" s="405"/>
      <c r="D2088" s="1135"/>
      <c r="E2088" s="583"/>
      <c r="F2088" s="583"/>
      <c r="G2088" s="583"/>
      <c r="H2088" s="405"/>
      <c r="I2088" s="405"/>
      <c r="J2088" s="405"/>
      <c r="K2088" s="405"/>
      <c r="L2088" s="405"/>
      <c r="M2088" s="405"/>
      <c r="N2088" s="405"/>
      <c r="O2088" s="405"/>
      <c r="P2088" s="405"/>
      <c r="Q2088" s="405"/>
      <c r="R2088" s="405"/>
      <c r="S2088" s="405"/>
      <c r="T2088" s="405"/>
      <c r="U2088" s="405"/>
      <c r="V2088" s="405"/>
      <c r="W2088" s="405"/>
      <c r="X2088" s="405"/>
      <c r="Y2088" s="405"/>
      <c r="Z2088" s="405"/>
    </row>
    <row r="2089" ht="14.25" customHeight="1">
      <c r="A2089" s="1134"/>
      <c r="B2089" s="405"/>
      <c r="C2089" s="405"/>
      <c r="D2089" s="1135"/>
      <c r="E2089" s="583"/>
      <c r="F2089" s="583"/>
      <c r="G2089" s="583"/>
      <c r="H2089" s="405"/>
      <c r="I2089" s="405"/>
      <c r="J2089" s="405"/>
      <c r="K2089" s="405"/>
      <c r="L2089" s="405"/>
      <c r="M2089" s="405"/>
      <c r="N2089" s="405"/>
      <c r="O2089" s="405"/>
      <c r="P2089" s="405"/>
      <c r="Q2089" s="405"/>
      <c r="R2089" s="405"/>
      <c r="S2089" s="405"/>
      <c r="T2089" s="405"/>
      <c r="U2089" s="405"/>
      <c r="V2089" s="405"/>
      <c r="W2089" s="405"/>
      <c r="X2089" s="405"/>
      <c r="Y2089" s="405"/>
      <c r="Z2089" s="405"/>
    </row>
    <row r="2090" ht="14.25" customHeight="1">
      <c r="A2090" s="1134"/>
      <c r="B2090" s="405"/>
      <c r="C2090" s="405"/>
      <c r="D2090" s="1135"/>
      <c r="E2090" s="583"/>
      <c r="F2090" s="583"/>
      <c r="G2090" s="583"/>
      <c r="H2090" s="405"/>
      <c r="I2090" s="405"/>
      <c r="J2090" s="405"/>
      <c r="K2090" s="405"/>
      <c r="L2090" s="405"/>
      <c r="M2090" s="405"/>
      <c r="N2090" s="405"/>
      <c r="O2090" s="405"/>
      <c r="P2090" s="405"/>
      <c r="Q2090" s="405"/>
      <c r="R2090" s="405"/>
      <c r="S2090" s="405"/>
      <c r="T2090" s="405"/>
      <c r="U2090" s="405"/>
      <c r="V2090" s="405"/>
      <c r="W2090" s="405"/>
      <c r="X2090" s="405"/>
      <c r="Y2090" s="405"/>
      <c r="Z2090" s="405"/>
    </row>
    <row r="2091" ht="14.25" customHeight="1">
      <c r="A2091" s="1134"/>
      <c r="B2091" s="405"/>
      <c r="C2091" s="405"/>
      <c r="D2091" s="1135"/>
      <c r="E2091" s="583"/>
      <c r="F2091" s="583"/>
      <c r="G2091" s="583"/>
      <c r="H2091" s="405"/>
      <c r="I2091" s="405"/>
      <c r="J2091" s="405"/>
      <c r="K2091" s="405"/>
      <c r="L2091" s="405"/>
      <c r="M2091" s="405"/>
      <c r="N2091" s="405"/>
      <c r="O2091" s="405"/>
      <c r="P2091" s="405"/>
      <c r="Q2091" s="405"/>
      <c r="R2091" s="405"/>
      <c r="S2091" s="405"/>
      <c r="T2091" s="405"/>
      <c r="U2091" s="405"/>
      <c r="V2091" s="405"/>
      <c r="W2091" s="405"/>
      <c r="X2091" s="405"/>
      <c r="Y2091" s="405"/>
      <c r="Z2091" s="405"/>
    </row>
    <row r="2092" ht="14.25" customHeight="1">
      <c r="A2092" s="1134"/>
      <c r="B2092" s="405"/>
      <c r="C2092" s="405"/>
      <c r="D2092" s="1135"/>
      <c r="E2092" s="583"/>
      <c r="F2092" s="583"/>
      <c r="G2092" s="583"/>
      <c r="H2092" s="405"/>
      <c r="I2092" s="405"/>
      <c r="J2092" s="405"/>
      <c r="K2092" s="405"/>
      <c r="L2092" s="405"/>
      <c r="M2092" s="405"/>
      <c r="N2092" s="405"/>
      <c r="O2092" s="405"/>
      <c r="P2092" s="405"/>
      <c r="Q2092" s="405"/>
      <c r="R2092" s="405"/>
      <c r="S2092" s="405"/>
      <c r="T2092" s="405"/>
      <c r="U2092" s="405"/>
      <c r="V2092" s="405"/>
      <c r="W2092" s="405"/>
      <c r="X2092" s="405"/>
      <c r="Y2092" s="405"/>
      <c r="Z2092" s="405"/>
    </row>
    <row r="2093" ht="14.25" customHeight="1">
      <c r="A2093" s="1134"/>
      <c r="B2093" s="405"/>
      <c r="C2093" s="405"/>
      <c r="D2093" s="1135"/>
      <c r="E2093" s="583"/>
      <c r="F2093" s="583"/>
      <c r="G2093" s="583"/>
      <c r="H2093" s="405"/>
      <c r="I2093" s="405"/>
      <c r="J2093" s="405"/>
      <c r="K2093" s="405"/>
      <c r="L2093" s="405"/>
      <c r="M2093" s="405"/>
      <c r="N2093" s="405"/>
      <c r="O2093" s="405"/>
      <c r="P2093" s="405"/>
      <c r="Q2093" s="405"/>
      <c r="R2093" s="405"/>
      <c r="S2093" s="405"/>
      <c r="T2093" s="405"/>
      <c r="U2093" s="405"/>
      <c r="V2093" s="405"/>
      <c r="W2093" s="405"/>
      <c r="X2093" s="405"/>
      <c r="Y2093" s="405"/>
      <c r="Z2093" s="405"/>
    </row>
    <row r="2094" ht="14.25" customHeight="1">
      <c r="A2094" s="1134"/>
      <c r="B2094" s="405"/>
      <c r="C2094" s="405"/>
      <c r="D2094" s="1135"/>
      <c r="E2094" s="583"/>
      <c r="F2094" s="583"/>
      <c r="G2094" s="583"/>
      <c r="H2094" s="405"/>
      <c r="I2094" s="405"/>
      <c r="J2094" s="405"/>
      <c r="K2094" s="405"/>
      <c r="L2094" s="405"/>
      <c r="M2094" s="405"/>
      <c r="N2094" s="405"/>
      <c r="O2094" s="405"/>
      <c r="P2094" s="405"/>
      <c r="Q2094" s="405"/>
      <c r="R2094" s="405"/>
      <c r="S2094" s="405"/>
      <c r="T2094" s="405"/>
      <c r="U2094" s="405"/>
      <c r="V2094" s="405"/>
      <c r="W2094" s="405"/>
      <c r="X2094" s="405"/>
      <c r="Y2094" s="405"/>
      <c r="Z2094" s="405"/>
    </row>
    <row r="2095" ht="14.25" customHeight="1">
      <c r="A2095" s="1134"/>
      <c r="B2095" s="405"/>
      <c r="C2095" s="405"/>
      <c r="D2095" s="1135"/>
      <c r="E2095" s="583"/>
      <c r="F2095" s="583"/>
      <c r="G2095" s="583"/>
      <c r="H2095" s="405"/>
      <c r="I2095" s="405"/>
      <c r="J2095" s="405"/>
      <c r="K2095" s="405"/>
      <c r="L2095" s="405"/>
      <c r="M2095" s="405"/>
      <c r="N2095" s="405"/>
      <c r="O2095" s="405"/>
      <c r="P2095" s="405"/>
      <c r="Q2095" s="405"/>
      <c r="R2095" s="405"/>
      <c r="S2095" s="405"/>
      <c r="T2095" s="405"/>
      <c r="U2095" s="405"/>
      <c r="V2095" s="405"/>
      <c r="W2095" s="405"/>
      <c r="X2095" s="405"/>
      <c r="Y2095" s="405"/>
      <c r="Z2095" s="405"/>
    </row>
    <row r="2096" ht="14.25" customHeight="1">
      <c r="A2096" s="1134"/>
      <c r="B2096" s="405"/>
      <c r="C2096" s="405"/>
      <c r="D2096" s="1135"/>
      <c r="E2096" s="583"/>
      <c r="F2096" s="583"/>
      <c r="G2096" s="583"/>
      <c r="H2096" s="405"/>
      <c r="I2096" s="405"/>
      <c r="J2096" s="405"/>
      <c r="K2096" s="405"/>
      <c r="L2096" s="405"/>
      <c r="M2096" s="405"/>
      <c r="N2096" s="405"/>
      <c r="O2096" s="405"/>
      <c r="P2096" s="405"/>
      <c r="Q2096" s="405"/>
      <c r="R2096" s="405"/>
      <c r="S2096" s="405"/>
      <c r="T2096" s="405"/>
      <c r="U2096" s="405"/>
      <c r="V2096" s="405"/>
      <c r="W2096" s="405"/>
      <c r="X2096" s="405"/>
      <c r="Y2096" s="405"/>
      <c r="Z2096" s="405"/>
    </row>
    <row r="2097" ht="14.25" customHeight="1">
      <c r="A2097" s="1134"/>
      <c r="B2097" s="405"/>
      <c r="C2097" s="405"/>
      <c r="D2097" s="1135"/>
      <c r="E2097" s="583"/>
      <c r="F2097" s="583"/>
      <c r="G2097" s="583"/>
      <c r="H2097" s="405"/>
      <c r="I2097" s="405"/>
      <c r="J2097" s="405"/>
      <c r="K2097" s="405"/>
      <c r="L2097" s="405"/>
      <c r="M2097" s="405"/>
      <c r="N2097" s="405"/>
      <c r="O2097" s="405"/>
      <c r="P2097" s="405"/>
      <c r="Q2097" s="405"/>
      <c r="R2097" s="405"/>
      <c r="S2097" s="405"/>
      <c r="T2097" s="405"/>
      <c r="U2097" s="405"/>
      <c r="V2097" s="405"/>
      <c r="W2097" s="405"/>
      <c r="X2097" s="405"/>
      <c r="Y2097" s="405"/>
      <c r="Z2097" s="405"/>
    </row>
    <row r="2098" ht="14.25" customHeight="1">
      <c r="A2098" s="1134"/>
      <c r="B2098" s="405"/>
      <c r="C2098" s="405"/>
      <c r="D2098" s="1135"/>
      <c r="E2098" s="583"/>
      <c r="F2098" s="583"/>
      <c r="G2098" s="583"/>
      <c r="H2098" s="405"/>
      <c r="I2098" s="405"/>
      <c r="J2098" s="405"/>
      <c r="K2098" s="405"/>
      <c r="L2098" s="405"/>
      <c r="M2098" s="405"/>
      <c r="N2098" s="405"/>
      <c r="O2098" s="405"/>
      <c r="P2098" s="405"/>
      <c r="Q2098" s="405"/>
      <c r="R2098" s="405"/>
      <c r="S2098" s="405"/>
      <c r="T2098" s="405"/>
      <c r="U2098" s="405"/>
      <c r="V2098" s="405"/>
      <c r="W2098" s="405"/>
      <c r="X2098" s="405"/>
      <c r="Y2098" s="405"/>
      <c r="Z2098" s="405"/>
    </row>
    <row r="2099" ht="14.25" customHeight="1">
      <c r="A2099" s="1134"/>
      <c r="B2099" s="405"/>
      <c r="C2099" s="405"/>
      <c r="D2099" s="1135"/>
      <c r="E2099" s="583"/>
      <c r="F2099" s="583"/>
      <c r="G2099" s="583"/>
      <c r="H2099" s="405"/>
      <c r="I2099" s="405"/>
      <c r="J2099" s="405"/>
      <c r="K2099" s="405"/>
      <c r="L2099" s="405"/>
      <c r="M2099" s="405"/>
      <c r="N2099" s="405"/>
      <c r="O2099" s="405"/>
      <c r="P2099" s="405"/>
      <c r="Q2099" s="405"/>
      <c r="R2099" s="405"/>
      <c r="S2099" s="405"/>
      <c r="T2099" s="405"/>
      <c r="U2099" s="405"/>
      <c r="V2099" s="405"/>
      <c r="W2099" s="405"/>
      <c r="X2099" s="405"/>
      <c r="Y2099" s="405"/>
      <c r="Z2099" s="405"/>
    </row>
    <row r="2100" ht="14.25" customHeight="1">
      <c r="A2100" s="1134"/>
      <c r="B2100" s="405"/>
      <c r="C2100" s="405"/>
      <c r="D2100" s="1135"/>
      <c r="E2100" s="583"/>
      <c r="F2100" s="583"/>
      <c r="G2100" s="583"/>
      <c r="H2100" s="405"/>
      <c r="I2100" s="405"/>
      <c r="J2100" s="405"/>
      <c r="K2100" s="405"/>
      <c r="L2100" s="405"/>
      <c r="M2100" s="405"/>
      <c r="N2100" s="405"/>
      <c r="O2100" s="405"/>
      <c r="P2100" s="405"/>
      <c r="Q2100" s="405"/>
      <c r="R2100" s="405"/>
      <c r="S2100" s="405"/>
      <c r="T2100" s="405"/>
      <c r="U2100" s="405"/>
      <c r="V2100" s="405"/>
      <c r="W2100" s="405"/>
      <c r="X2100" s="405"/>
      <c r="Y2100" s="405"/>
      <c r="Z2100" s="405"/>
    </row>
    <row r="2101" ht="14.25" customHeight="1">
      <c r="A2101" s="1134"/>
      <c r="B2101" s="405"/>
      <c r="C2101" s="405"/>
      <c r="D2101" s="1135"/>
      <c r="E2101" s="583"/>
      <c r="F2101" s="583"/>
      <c r="G2101" s="583"/>
      <c r="H2101" s="405"/>
      <c r="I2101" s="405"/>
      <c r="J2101" s="405"/>
      <c r="K2101" s="405"/>
      <c r="L2101" s="405"/>
      <c r="M2101" s="405"/>
      <c r="N2101" s="405"/>
      <c r="O2101" s="405"/>
      <c r="P2101" s="405"/>
      <c r="Q2101" s="405"/>
      <c r="R2101" s="405"/>
      <c r="S2101" s="405"/>
      <c r="T2101" s="405"/>
      <c r="U2101" s="405"/>
      <c r="V2101" s="405"/>
      <c r="W2101" s="405"/>
      <c r="X2101" s="405"/>
      <c r="Y2101" s="405"/>
      <c r="Z2101" s="405"/>
    </row>
    <row r="2102" ht="14.25" customHeight="1">
      <c r="A2102" s="1134"/>
      <c r="B2102" s="405"/>
      <c r="C2102" s="405"/>
      <c r="D2102" s="1135"/>
      <c r="E2102" s="583"/>
      <c r="F2102" s="583"/>
      <c r="G2102" s="583"/>
      <c r="H2102" s="405"/>
      <c r="I2102" s="405"/>
      <c r="J2102" s="405"/>
      <c r="K2102" s="405"/>
      <c r="L2102" s="405"/>
      <c r="M2102" s="405"/>
      <c r="N2102" s="405"/>
      <c r="O2102" s="405"/>
      <c r="P2102" s="405"/>
      <c r="Q2102" s="405"/>
      <c r="R2102" s="405"/>
      <c r="S2102" s="405"/>
      <c r="T2102" s="405"/>
      <c r="U2102" s="405"/>
      <c r="V2102" s="405"/>
      <c r="W2102" s="405"/>
      <c r="X2102" s="405"/>
      <c r="Y2102" s="405"/>
      <c r="Z2102" s="405"/>
    </row>
    <row r="2103" ht="14.25" customHeight="1">
      <c r="A2103" s="1134"/>
      <c r="B2103" s="405"/>
      <c r="C2103" s="405"/>
      <c r="D2103" s="1135"/>
      <c r="E2103" s="583"/>
      <c r="F2103" s="583"/>
      <c r="G2103" s="583"/>
      <c r="H2103" s="405"/>
      <c r="I2103" s="405"/>
      <c r="J2103" s="405"/>
      <c r="K2103" s="405"/>
      <c r="L2103" s="405"/>
      <c r="M2103" s="405"/>
      <c r="N2103" s="405"/>
      <c r="O2103" s="405"/>
      <c r="P2103" s="405"/>
      <c r="Q2103" s="405"/>
      <c r="R2103" s="405"/>
      <c r="S2103" s="405"/>
      <c r="T2103" s="405"/>
      <c r="U2103" s="405"/>
      <c r="V2103" s="405"/>
      <c r="W2103" s="405"/>
      <c r="X2103" s="405"/>
      <c r="Y2103" s="405"/>
      <c r="Z2103" s="405"/>
    </row>
    <row r="2104" ht="14.25" customHeight="1">
      <c r="A2104" s="1134"/>
      <c r="B2104" s="405"/>
      <c r="C2104" s="405"/>
      <c r="D2104" s="1135"/>
      <c r="E2104" s="583"/>
      <c r="F2104" s="583"/>
      <c r="G2104" s="583"/>
      <c r="H2104" s="405"/>
      <c r="I2104" s="405"/>
      <c r="J2104" s="405"/>
      <c r="K2104" s="405"/>
      <c r="L2104" s="405"/>
      <c r="M2104" s="405"/>
      <c r="N2104" s="405"/>
      <c r="O2104" s="405"/>
      <c r="P2104" s="405"/>
      <c r="Q2104" s="405"/>
      <c r="R2104" s="405"/>
      <c r="S2104" s="405"/>
      <c r="T2104" s="405"/>
      <c r="U2104" s="405"/>
      <c r="V2104" s="405"/>
      <c r="W2104" s="405"/>
      <c r="X2104" s="405"/>
      <c r="Y2104" s="405"/>
      <c r="Z2104" s="405"/>
    </row>
    <row r="2105" ht="14.25" customHeight="1">
      <c r="A2105" s="1134"/>
      <c r="B2105" s="405"/>
      <c r="C2105" s="405"/>
      <c r="D2105" s="1135"/>
      <c r="E2105" s="583"/>
      <c r="F2105" s="583"/>
      <c r="G2105" s="583"/>
      <c r="H2105" s="405"/>
      <c r="I2105" s="405"/>
      <c r="J2105" s="405"/>
      <c r="K2105" s="405"/>
      <c r="L2105" s="405"/>
      <c r="M2105" s="405"/>
      <c r="N2105" s="405"/>
      <c r="O2105" s="405"/>
      <c r="P2105" s="405"/>
      <c r="Q2105" s="405"/>
      <c r="R2105" s="405"/>
      <c r="S2105" s="405"/>
      <c r="T2105" s="405"/>
      <c r="U2105" s="405"/>
      <c r="V2105" s="405"/>
      <c r="W2105" s="405"/>
      <c r="X2105" s="405"/>
      <c r="Y2105" s="405"/>
      <c r="Z2105" s="405"/>
    </row>
    <row r="2106" ht="14.25" customHeight="1">
      <c r="A2106" s="1134"/>
      <c r="B2106" s="405"/>
      <c r="C2106" s="405"/>
      <c r="D2106" s="1135"/>
      <c r="E2106" s="583"/>
      <c r="F2106" s="583"/>
      <c r="G2106" s="583"/>
      <c r="H2106" s="405"/>
      <c r="I2106" s="405"/>
      <c r="J2106" s="405"/>
      <c r="K2106" s="405"/>
      <c r="L2106" s="405"/>
      <c r="M2106" s="405"/>
      <c r="N2106" s="405"/>
      <c r="O2106" s="405"/>
      <c r="P2106" s="405"/>
      <c r="Q2106" s="405"/>
      <c r="R2106" s="405"/>
      <c r="S2106" s="405"/>
      <c r="T2106" s="405"/>
      <c r="U2106" s="405"/>
      <c r="V2106" s="405"/>
      <c r="W2106" s="405"/>
      <c r="X2106" s="405"/>
      <c r="Y2106" s="405"/>
      <c r="Z2106" s="405"/>
    </row>
    <row r="2107" ht="14.25" customHeight="1">
      <c r="A2107" s="1134"/>
      <c r="B2107" s="405"/>
      <c r="C2107" s="405"/>
      <c r="D2107" s="1135"/>
      <c r="E2107" s="583"/>
      <c r="F2107" s="583"/>
      <c r="G2107" s="583"/>
      <c r="H2107" s="405"/>
      <c r="I2107" s="405"/>
      <c r="J2107" s="405"/>
      <c r="K2107" s="405"/>
      <c r="L2107" s="405"/>
      <c r="M2107" s="405"/>
      <c r="N2107" s="405"/>
      <c r="O2107" s="405"/>
      <c r="P2107" s="405"/>
      <c r="Q2107" s="405"/>
      <c r="R2107" s="405"/>
      <c r="S2107" s="405"/>
      <c r="T2107" s="405"/>
      <c r="U2107" s="405"/>
      <c r="V2107" s="405"/>
      <c r="W2107" s="405"/>
      <c r="X2107" s="405"/>
      <c r="Y2107" s="405"/>
      <c r="Z2107" s="405"/>
    </row>
    <row r="2108" ht="14.25" customHeight="1">
      <c r="A2108" s="1134"/>
      <c r="B2108" s="405"/>
      <c r="C2108" s="405"/>
      <c r="D2108" s="1135"/>
      <c r="E2108" s="583"/>
      <c r="F2108" s="583"/>
      <c r="G2108" s="583"/>
      <c r="H2108" s="405"/>
      <c r="I2108" s="405"/>
      <c r="J2108" s="405"/>
      <c r="K2108" s="405"/>
      <c r="L2108" s="405"/>
      <c r="M2108" s="405"/>
      <c r="N2108" s="405"/>
      <c r="O2108" s="405"/>
      <c r="P2108" s="405"/>
      <c r="Q2108" s="405"/>
      <c r="R2108" s="405"/>
      <c r="S2108" s="405"/>
      <c r="T2108" s="405"/>
      <c r="U2108" s="405"/>
      <c r="V2108" s="405"/>
      <c r="W2108" s="405"/>
      <c r="X2108" s="405"/>
      <c r="Y2108" s="405"/>
      <c r="Z2108" s="405"/>
    </row>
    <row r="2109" ht="14.25" customHeight="1">
      <c r="A2109" s="1134"/>
      <c r="B2109" s="405"/>
      <c r="C2109" s="405"/>
      <c r="D2109" s="1135"/>
      <c r="E2109" s="583"/>
      <c r="F2109" s="583"/>
      <c r="G2109" s="583"/>
      <c r="H2109" s="405"/>
      <c r="I2109" s="405"/>
      <c r="J2109" s="405"/>
      <c r="K2109" s="405"/>
      <c r="L2109" s="405"/>
      <c r="M2109" s="405"/>
      <c r="N2109" s="405"/>
      <c r="O2109" s="405"/>
      <c r="P2109" s="405"/>
      <c r="Q2109" s="405"/>
      <c r="R2109" s="405"/>
      <c r="S2109" s="405"/>
      <c r="T2109" s="405"/>
      <c r="U2109" s="405"/>
      <c r="V2109" s="405"/>
      <c r="W2109" s="405"/>
      <c r="X2109" s="405"/>
      <c r="Y2109" s="405"/>
      <c r="Z2109" s="405"/>
    </row>
    <row r="2110" ht="14.25" customHeight="1">
      <c r="A2110" s="1134"/>
      <c r="B2110" s="405"/>
      <c r="C2110" s="405"/>
      <c r="D2110" s="1135"/>
      <c r="E2110" s="583"/>
      <c r="F2110" s="583"/>
      <c r="G2110" s="583"/>
      <c r="H2110" s="405"/>
      <c r="I2110" s="405"/>
      <c r="J2110" s="405"/>
      <c r="K2110" s="405"/>
      <c r="L2110" s="405"/>
      <c r="M2110" s="405"/>
      <c r="N2110" s="405"/>
      <c r="O2110" s="405"/>
      <c r="P2110" s="405"/>
      <c r="Q2110" s="405"/>
      <c r="R2110" s="405"/>
      <c r="S2110" s="405"/>
      <c r="T2110" s="405"/>
      <c r="U2110" s="405"/>
      <c r="V2110" s="405"/>
      <c r="W2110" s="405"/>
      <c r="X2110" s="405"/>
      <c r="Y2110" s="405"/>
      <c r="Z2110" s="405"/>
    </row>
    <row r="2111" ht="14.25" customHeight="1">
      <c r="A2111" s="1134"/>
      <c r="B2111" s="405"/>
      <c r="C2111" s="405"/>
      <c r="D2111" s="1135"/>
      <c r="E2111" s="583"/>
      <c r="F2111" s="583"/>
      <c r="G2111" s="583"/>
      <c r="H2111" s="405"/>
      <c r="I2111" s="405"/>
      <c r="J2111" s="405"/>
      <c r="K2111" s="405"/>
      <c r="L2111" s="405"/>
      <c r="M2111" s="405"/>
      <c r="N2111" s="405"/>
      <c r="O2111" s="405"/>
      <c r="P2111" s="405"/>
      <c r="Q2111" s="405"/>
      <c r="R2111" s="405"/>
      <c r="S2111" s="405"/>
      <c r="T2111" s="405"/>
      <c r="U2111" s="405"/>
      <c r="V2111" s="405"/>
      <c r="W2111" s="405"/>
      <c r="X2111" s="405"/>
      <c r="Y2111" s="405"/>
      <c r="Z2111" s="405"/>
    </row>
    <row r="2112" ht="14.25" customHeight="1">
      <c r="A2112" s="1134"/>
      <c r="B2112" s="405"/>
      <c r="C2112" s="405"/>
      <c r="D2112" s="1135"/>
      <c r="E2112" s="583"/>
      <c r="F2112" s="583"/>
      <c r="G2112" s="583"/>
      <c r="H2112" s="405"/>
      <c r="I2112" s="405"/>
      <c r="J2112" s="405"/>
      <c r="K2112" s="405"/>
      <c r="L2112" s="405"/>
      <c r="M2112" s="405"/>
      <c r="N2112" s="405"/>
      <c r="O2112" s="405"/>
      <c r="P2112" s="405"/>
      <c r="Q2112" s="405"/>
      <c r="R2112" s="405"/>
      <c r="S2112" s="405"/>
      <c r="T2112" s="405"/>
      <c r="U2112" s="405"/>
      <c r="V2112" s="405"/>
      <c r="W2112" s="405"/>
      <c r="X2112" s="405"/>
      <c r="Y2112" s="405"/>
      <c r="Z2112" s="405"/>
    </row>
    <row r="2113" ht="14.25" customHeight="1">
      <c r="A2113" s="1134"/>
      <c r="B2113" s="405"/>
      <c r="C2113" s="405"/>
      <c r="D2113" s="1135"/>
      <c r="E2113" s="583"/>
      <c r="F2113" s="583"/>
      <c r="G2113" s="583"/>
      <c r="H2113" s="405"/>
      <c r="I2113" s="405"/>
      <c r="J2113" s="405"/>
      <c r="K2113" s="405"/>
      <c r="L2113" s="405"/>
      <c r="M2113" s="405"/>
      <c r="N2113" s="405"/>
      <c r="O2113" s="405"/>
      <c r="P2113" s="405"/>
      <c r="Q2113" s="405"/>
      <c r="R2113" s="405"/>
      <c r="S2113" s="405"/>
      <c r="T2113" s="405"/>
      <c r="U2113" s="405"/>
      <c r="V2113" s="405"/>
      <c r="W2113" s="405"/>
      <c r="X2113" s="405"/>
      <c r="Y2113" s="405"/>
      <c r="Z2113" s="405"/>
    </row>
    <row r="2114" ht="14.25" customHeight="1">
      <c r="A2114" s="1134"/>
      <c r="B2114" s="405"/>
      <c r="C2114" s="405"/>
      <c r="D2114" s="1135"/>
      <c r="E2114" s="583"/>
      <c r="F2114" s="583"/>
      <c r="G2114" s="583"/>
      <c r="H2114" s="405"/>
      <c r="I2114" s="405"/>
      <c r="J2114" s="405"/>
      <c r="K2114" s="405"/>
      <c r="L2114" s="405"/>
      <c r="M2114" s="405"/>
      <c r="N2114" s="405"/>
      <c r="O2114" s="405"/>
      <c r="P2114" s="405"/>
      <c r="Q2114" s="405"/>
      <c r="R2114" s="405"/>
      <c r="S2114" s="405"/>
      <c r="T2114" s="405"/>
      <c r="U2114" s="405"/>
      <c r="V2114" s="405"/>
      <c r="W2114" s="405"/>
      <c r="X2114" s="405"/>
      <c r="Y2114" s="405"/>
      <c r="Z2114" s="405"/>
    </row>
    <row r="2115" ht="14.25" customHeight="1">
      <c r="A2115" s="1134"/>
      <c r="B2115" s="405"/>
      <c r="C2115" s="405"/>
      <c r="D2115" s="1135"/>
      <c r="E2115" s="583"/>
      <c r="F2115" s="583"/>
      <c r="G2115" s="583"/>
      <c r="H2115" s="405"/>
      <c r="I2115" s="405"/>
      <c r="J2115" s="405"/>
      <c r="K2115" s="405"/>
      <c r="L2115" s="405"/>
      <c r="M2115" s="405"/>
      <c r="N2115" s="405"/>
      <c r="O2115" s="405"/>
      <c r="P2115" s="405"/>
      <c r="Q2115" s="405"/>
      <c r="R2115" s="405"/>
      <c r="S2115" s="405"/>
      <c r="T2115" s="405"/>
      <c r="U2115" s="405"/>
      <c r="V2115" s="405"/>
      <c r="W2115" s="405"/>
      <c r="X2115" s="405"/>
      <c r="Y2115" s="405"/>
      <c r="Z2115" s="405"/>
    </row>
    <row r="2116" ht="14.25" customHeight="1">
      <c r="A2116" s="1134"/>
      <c r="B2116" s="405"/>
      <c r="C2116" s="405"/>
      <c r="D2116" s="1135"/>
      <c r="E2116" s="583"/>
      <c r="F2116" s="583"/>
      <c r="G2116" s="583"/>
      <c r="H2116" s="405"/>
      <c r="I2116" s="405"/>
      <c r="J2116" s="405"/>
      <c r="K2116" s="405"/>
      <c r="L2116" s="405"/>
      <c r="M2116" s="405"/>
      <c r="N2116" s="405"/>
      <c r="O2116" s="405"/>
      <c r="P2116" s="405"/>
      <c r="Q2116" s="405"/>
      <c r="R2116" s="405"/>
      <c r="S2116" s="405"/>
      <c r="T2116" s="405"/>
      <c r="U2116" s="405"/>
      <c r="V2116" s="405"/>
      <c r="W2116" s="405"/>
      <c r="X2116" s="405"/>
      <c r="Y2116" s="405"/>
      <c r="Z2116" s="405"/>
    </row>
    <row r="2117" ht="14.25" customHeight="1">
      <c r="A2117" s="1134"/>
      <c r="B2117" s="405"/>
      <c r="C2117" s="405"/>
      <c r="D2117" s="1135"/>
      <c r="E2117" s="583"/>
      <c r="F2117" s="583"/>
      <c r="G2117" s="583"/>
      <c r="H2117" s="405"/>
      <c r="I2117" s="405"/>
      <c r="J2117" s="405"/>
      <c r="K2117" s="405"/>
      <c r="L2117" s="405"/>
      <c r="M2117" s="405"/>
      <c r="N2117" s="405"/>
      <c r="O2117" s="405"/>
      <c r="P2117" s="405"/>
      <c r="Q2117" s="405"/>
      <c r="R2117" s="405"/>
      <c r="S2117" s="405"/>
      <c r="T2117" s="405"/>
      <c r="U2117" s="405"/>
      <c r="V2117" s="405"/>
      <c r="W2117" s="405"/>
      <c r="X2117" s="405"/>
      <c r="Y2117" s="405"/>
      <c r="Z2117" s="405"/>
    </row>
    <row r="2118" ht="14.25" customHeight="1">
      <c r="A2118" s="1134"/>
      <c r="B2118" s="405"/>
      <c r="C2118" s="405"/>
      <c r="D2118" s="1135"/>
      <c r="E2118" s="583"/>
      <c r="F2118" s="583"/>
      <c r="G2118" s="583"/>
      <c r="H2118" s="405"/>
      <c r="I2118" s="405"/>
      <c r="J2118" s="405"/>
      <c r="K2118" s="405"/>
      <c r="L2118" s="405"/>
      <c r="M2118" s="405"/>
      <c r="N2118" s="405"/>
      <c r="O2118" s="405"/>
      <c r="P2118" s="405"/>
      <c r="Q2118" s="405"/>
      <c r="R2118" s="405"/>
      <c r="S2118" s="405"/>
      <c r="T2118" s="405"/>
      <c r="U2118" s="405"/>
      <c r="V2118" s="405"/>
      <c r="W2118" s="405"/>
      <c r="X2118" s="405"/>
      <c r="Y2118" s="405"/>
      <c r="Z2118" s="405"/>
    </row>
    <row r="2119" ht="14.25" customHeight="1">
      <c r="A2119" s="1134"/>
      <c r="B2119" s="405"/>
      <c r="C2119" s="405"/>
      <c r="D2119" s="1135"/>
      <c r="E2119" s="583"/>
      <c r="F2119" s="583"/>
      <c r="G2119" s="583"/>
      <c r="H2119" s="405"/>
      <c r="I2119" s="405"/>
      <c r="J2119" s="405"/>
      <c r="K2119" s="405"/>
      <c r="L2119" s="405"/>
      <c r="M2119" s="405"/>
      <c r="N2119" s="405"/>
      <c r="O2119" s="405"/>
      <c r="P2119" s="405"/>
      <c r="Q2119" s="405"/>
      <c r="R2119" s="405"/>
      <c r="S2119" s="405"/>
      <c r="T2119" s="405"/>
      <c r="U2119" s="405"/>
      <c r="V2119" s="405"/>
      <c r="W2119" s="405"/>
      <c r="X2119" s="405"/>
      <c r="Y2119" s="405"/>
      <c r="Z2119" s="405"/>
    </row>
    <row r="2120" ht="14.25" customHeight="1">
      <c r="A2120" s="1134"/>
      <c r="B2120" s="405"/>
      <c r="C2120" s="405"/>
      <c r="D2120" s="1135"/>
      <c r="E2120" s="583"/>
      <c r="F2120" s="583"/>
      <c r="G2120" s="583"/>
      <c r="H2120" s="405"/>
      <c r="I2120" s="405"/>
      <c r="J2120" s="405"/>
      <c r="K2120" s="405"/>
      <c r="L2120" s="405"/>
      <c r="M2120" s="405"/>
      <c r="N2120" s="405"/>
      <c r="O2120" s="405"/>
      <c r="P2120" s="405"/>
      <c r="Q2120" s="405"/>
      <c r="R2120" s="405"/>
      <c r="S2120" s="405"/>
      <c r="T2120" s="405"/>
      <c r="U2120" s="405"/>
      <c r="V2120" s="405"/>
      <c r="W2120" s="405"/>
      <c r="X2120" s="405"/>
      <c r="Y2120" s="405"/>
      <c r="Z2120" s="405"/>
    </row>
    <row r="2121" ht="14.25" customHeight="1">
      <c r="A2121" s="1134"/>
      <c r="B2121" s="405"/>
      <c r="C2121" s="405"/>
      <c r="D2121" s="1135"/>
      <c r="E2121" s="583"/>
      <c r="F2121" s="583"/>
      <c r="G2121" s="583"/>
      <c r="H2121" s="405"/>
      <c r="I2121" s="405"/>
      <c r="J2121" s="405"/>
      <c r="K2121" s="405"/>
      <c r="L2121" s="405"/>
      <c r="M2121" s="405"/>
      <c r="N2121" s="405"/>
      <c r="O2121" s="405"/>
      <c r="P2121" s="405"/>
      <c r="Q2121" s="405"/>
      <c r="R2121" s="405"/>
      <c r="S2121" s="405"/>
      <c r="T2121" s="405"/>
      <c r="U2121" s="405"/>
      <c r="V2121" s="405"/>
      <c r="W2121" s="405"/>
      <c r="X2121" s="405"/>
      <c r="Y2121" s="405"/>
      <c r="Z2121" s="405"/>
    </row>
    <row r="2122" ht="14.25" customHeight="1">
      <c r="A2122" s="1134"/>
      <c r="B2122" s="405"/>
      <c r="C2122" s="405"/>
      <c r="D2122" s="1135"/>
      <c r="E2122" s="583"/>
      <c r="F2122" s="583"/>
      <c r="G2122" s="583"/>
      <c r="H2122" s="405"/>
      <c r="I2122" s="405"/>
      <c r="J2122" s="405"/>
      <c r="K2122" s="405"/>
      <c r="L2122" s="405"/>
      <c r="M2122" s="405"/>
      <c r="N2122" s="405"/>
      <c r="O2122" s="405"/>
      <c r="P2122" s="405"/>
      <c r="Q2122" s="405"/>
      <c r="R2122" s="405"/>
      <c r="S2122" s="405"/>
      <c r="T2122" s="405"/>
      <c r="U2122" s="405"/>
      <c r="V2122" s="405"/>
      <c r="W2122" s="405"/>
      <c r="X2122" s="405"/>
      <c r="Y2122" s="405"/>
      <c r="Z2122" s="405"/>
    </row>
    <row r="2123" ht="14.25" customHeight="1">
      <c r="A2123" s="1134"/>
      <c r="B2123" s="405"/>
      <c r="C2123" s="405"/>
      <c r="D2123" s="1135"/>
      <c r="E2123" s="583"/>
      <c r="F2123" s="583"/>
      <c r="G2123" s="583"/>
      <c r="H2123" s="405"/>
      <c r="I2123" s="405"/>
      <c r="J2123" s="405"/>
      <c r="K2123" s="405"/>
      <c r="L2123" s="405"/>
      <c r="M2123" s="405"/>
      <c r="N2123" s="405"/>
      <c r="O2123" s="405"/>
      <c r="P2123" s="405"/>
      <c r="Q2123" s="405"/>
      <c r="R2123" s="405"/>
      <c r="S2123" s="405"/>
      <c r="T2123" s="405"/>
      <c r="U2123" s="405"/>
      <c r="V2123" s="405"/>
      <c r="W2123" s="405"/>
      <c r="X2123" s="405"/>
      <c r="Y2123" s="405"/>
      <c r="Z2123" s="405"/>
    </row>
    <row r="2124" ht="14.25" customHeight="1">
      <c r="A2124" s="1134"/>
      <c r="B2124" s="405"/>
      <c r="C2124" s="405"/>
      <c r="D2124" s="1135"/>
      <c r="E2124" s="583"/>
      <c r="F2124" s="583"/>
      <c r="G2124" s="583"/>
      <c r="H2124" s="405"/>
      <c r="I2124" s="405"/>
      <c r="J2124" s="405"/>
      <c r="K2124" s="405"/>
      <c r="L2124" s="405"/>
      <c r="M2124" s="405"/>
      <c r="N2124" s="405"/>
      <c r="O2124" s="405"/>
      <c r="P2124" s="405"/>
      <c r="Q2124" s="405"/>
      <c r="R2124" s="405"/>
      <c r="S2124" s="405"/>
      <c r="T2124" s="405"/>
      <c r="U2124" s="405"/>
      <c r="V2124" s="405"/>
      <c r="W2124" s="405"/>
      <c r="X2124" s="405"/>
      <c r="Y2124" s="405"/>
      <c r="Z2124" s="405"/>
    </row>
    <row r="2125" ht="14.25" customHeight="1">
      <c r="A2125" s="1134"/>
      <c r="B2125" s="405"/>
      <c r="C2125" s="405"/>
      <c r="D2125" s="1135"/>
      <c r="E2125" s="583"/>
      <c r="F2125" s="583"/>
      <c r="G2125" s="583"/>
      <c r="H2125" s="405"/>
      <c r="I2125" s="405"/>
      <c r="J2125" s="405"/>
      <c r="K2125" s="405"/>
      <c r="L2125" s="405"/>
      <c r="M2125" s="405"/>
      <c r="N2125" s="405"/>
      <c r="O2125" s="405"/>
      <c r="P2125" s="405"/>
      <c r="Q2125" s="405"/>
      <c r="R2125" s="405"/>
      <c r="S2125" s="405"/>
      <c r="T2125" s="405"/>
      <c r="U2125" s="405"/>
      <c r="V2125" s="405"/>
      <c r="W2125" s="405"/>
      <c r="X2125" s="405"/>
      <c r="Y2125" s="405"/>
      <c r="Z2125" s="405"/>
    </row>
    <row r="2126" ht="14.25" customHeight="1">
      <c r="A2126" s="1134"/>
      <c r="B2126" s="405"/>
      <c r="C2126" s="405"/>
      <c r="D2126" s="1135"/>
      <c r="E2126" s="583"/>
      <c r="F2126" s="583"/>
      <c r="G2126" s="583"/>
      <c r="H2126" s="405"/>
      <c r="I2126" s="405"/>
      <c r="J2126" s="405"/>
      <c r="K2126" s="405"/>
      <c r="L2126" s="405"/>
      <c r="M2126" s="405"/>
      <c r="N2126" s="405"/>
      <c r="O2126" s="405"/>
      <c r="P2126" s="405"/>
      <c r="Q2126" s="405"/>
      <c r="R2126" s="405"/>
      <c r="S2126" s="405"/>
      <c r="T2126" s="405"/>
      <c r="U2126" s="405"/>
      <c r="V2126" s="405"/>
      <c r="W2126" s="405"/>
      <c r="X2126" s="405"/>
      <c r="Y2126" s="405"/>
      <c r="Z2126" s="405"/>
    </row>
    <row r="2127" ht="14.25" customHeight="1">
      <c r="A2127" s="1134"/>
      <c r="B2127" s="405"/>
      <c r="C2127" s="405"/>
      <c r="D2127" s="1135"/>
      <c r="E2127" s="583"/>
      <c r="F2127" s="583"/>
      <c r="G2127" s="583"/>
      <c r="H2127" s="405"/>
      <c r="I2127" s="405"/>
      <c r="J2127" s="405"/>
      <c r="K2127" s="405"/>
      <c r="L2127" s="405"/>
      <c r="M2127" s="405"/>
      <c r="N2127" s="405"/>
      <c r="O2127" s="405"/>
      <c r="P2127" s="405"/>
      <c r="Q2127" s="405"/>
      <c r="R2127" s="405"/>
      <c r="S2127" s="405"/>
      <c r="T2127" s="405"/>
      <c r="U2127" s="405"/>
      <c r="V2127" s="405"/>
      <c r="W2127" s="405"/>
      <c r="X2127" s="405"/>
      <c r="Y2127" s="405"/>
      <c r="Z2127" s="405"/>
    </row>
    <row r="2128" ht="14.25" customHeight="1">
      <c r="A2128" s="1134"/>
      <c r="B2128" s="405"/>
      <c r="C2128" s="405"/>
      <c r="D2128" s="1135"/>
      <c r="E2128" s="583"/>
      <c r="F2128" s="583"/>
      <c r="G2128" s="583"/>
      <c r="H2128" s="405"/>
      <c r="I2128" s="405"/>
      <c r="J2128" s="405"/>
      <c r="K2128" s="405"/>
      <c r="L2128" s="405"/>
      <c r="M2128" s="405"/>
      <c r="N2128" s="405"/>
      <c r="O2128" s="405"/>
      <c r="P2128" s="405"/>
      <c r="Q2128" s="405"/>
      <c r="R2128" s="405"/>
      <c r="S2128" s="405"/>
      <c r="T2128" s="405"/>
      <c r="U2128" s="405"/>
      <c r="V2128" s="405"/>
      <c r="W2128" s="405"/>
      <c r="X2128" s="405"/>
      <c r="Y2128" s="405"/>
      <c r="Z2128" s="405"/>
    </row>
    <row r="2129" ht="14.25" customHeight="1">
      <c r="A2129" s="1134"/>
      <c r="B2129" s="405"/>
      <c r="C2129" s="405"/>
      <c r="D2129" s="1135"/>
      <c r="E2129" s="583"/>
      <c r="F2129" s="583"/>
      <c r="G2129" s="583"/>
      <c r="H2129" s="405"/>
      <c r="I2129" s="405"/>
      <c r="J2129" s="405"/>
      <c r="K2129" s="405"/>
      <c r="L2129" s="405"/>
      <c r="M2129" s="405"/>
      <c r="N2129" s="405"/>
      <c r="O2129" s="405"/>
      <c r="P2129" s="405"/>
      <c r="Q2129" s="405"/>
      <c r="R2129" s="405"/>
      <c r="S2129" s="405"/>
      <c r="T2129" s="405"/>
      <c r="U2129" s="405"/>
      <c r="V2129" s="405"/>
      <c r="W2129" s="405"/>
      <c r="X2129" s="405"/>
      <c r="Y2129" s="405"/>
      <c r="Z2129" s="405"/>
    </row>
    <row r="2130" ht="14.25" customHeight="1">
      <c r="A2130" s="1134"/>
      <c r="B2130" s="405"/>
      <c r="C2130" s="405"/>
      <c r="D2130" s="1135"/>
      <c r="E2130" s="583"/>
      <c r="F2130" s="583"/>
      <c r="G2130" s="583"/>
      <c r="H2130" s="405"/>
      <c r="I2130" s="405"/>
      <c r="J2130" s="405"/>
      <c r="K2130" s="405"/>
      <c r="L2130" s="405"/>
      <c r="M2130" s="405"/>
      <c r="N2130" s="405"/>
      <c r="O2130" s="405"/>
      <c r="P2130" s="405"/>
      <c r="Q2130" s="405"/>
      <c r="R2130" s="405"/>
      <c r="S2130" s="405"/>
      <c r="T2130" s="405"/>
      <c r="U2130" s="405"/>
      <c r="V2130" s="405"/>
      <c r="W2130" s="405"/>
      <c r="X2130" s="405"/>
      <c r="Y2130" s="405"/>
      <c r="Z2130" s="405"/>
    </row>
    <row r="2131" ht="14.25" customHeight="1">
      <c r="A2131" s="1134"/>
      <c r="B2131" s="405"/>
      <c r="C2131" s="405"/>
      <c r="D2131" s="1135"/>
      <c r="E2131" s="583"/>
      <c r="F2131" s="583"/>
      <c r="G2131" s="583"/>
      <c r="H2131" s="405"/>
      <c r="I2131" s="405"/>
      <c r="J2131" s="405"/>
      <c r="K2131" s="405"/>
      <c r="L2131" s="405"/>
      <c r="M2131" s="405"/>
      <c r="N2131" s="405"/>
      <c r="O2131" s="405"/>
      <c r="P2131" s="405"/>
      <c r="Q2131" s="405"/>
      <c r="R2131" s="405"/>
      <c r="S2131" s="405"/>
      <c r="T2131" s="405"/>
      <c r="U2131" s="405"/>
      <c r="V2131" s="405"/>
      <c r="W2131" s="405"/>
      <c r="X2131" s="405"/>
      <c r="Y2131" s="405"/>
      <c r="Z2131" s="405"/>
    </row>
    <row r="2132" ht="14.25" customHeight="1">
      <c r="A2132" s="1134"/>
      <c r="B2132" s="405"/>
      <c r="C2132" s="405"/>
      <c r="D2132" s="1135"/>
      <c r="E2132" s="583"/>
      <c r="F2132" s="583"/>
      <c r="G2132" s="583"/>
      <c r="H2132" s="405"/>
      <c r="I2132" s="405"/>
      <c r="J2132" s="405"/>
      <c r="K2132" s="405"/>
      <c r="L2132" s="405"/>
      <c r="M2132" s="405"/>
      <c r="N2132" s="405"/>
      <c r="O2132" s="405"/>
      <c r="P2132" s="405"/>
      <c r="Q2132" s="405"/>
      <c r="R2132" s="405"/>
      <c r="S2132" s="405"/>
      <c r="T2132" s="405"/>
      <c r="U2132" s="405"/>
      <c r="V2132" s="405"/>
      <c r="W2132" s="405"/>
      <c r="X2132" s="405"/>
      <c r="Y2132" s="405"/>
      <c r="Z2132" s="405"/>
    </row>
    <row r="2133" ht="14.25" customHeight="1">
      <c r="A2133" s="1134"/>
      <c r="B2133" s="405"/>
      <c r="C2133" s="405"/>
      <c r="D2133" s="1135"/>
      <c r="E2133" s="583"/>
      <c r="F2133" s="583"/>
      <c r="G2133" s="583"/>
      <c r="H2133" s="405"/>
      <c r="I2133" s="405"/>
      <c r="J2133" s="405"/>
      <c r="K2133" s="405"/>
      <c r="L2133" s="405"/>
      <c r="M2133" s="405"/>
      <c r="N2133" s="405"/>
      <c r="O2133" s="405"/>
      <c r="P2133" s="405"/>
      <c r="Q2133" s="405"/>
      <c r="R2133" s="405"/>
      <c r="S2133" s="405"/>
      <c r="T2133" s="405"/>
      <c r="U2133" s="405"/>
      <c r="V2133" s="405"/>
      <c r="W2133" s="405"/>
      <c r="X2133" s="405"/>
      <c r="Y2133" s="405"/>
      <c r="Z2133" s="405"/>
    </row>
    <row r="2134" ht="14.25" customHeight="1">
      <c r="A2134" s="1134"/>
      <c r="B2134" s="405"/>
      <c r="C2134" s="405"/>
      <c r="D2134" s="1135"/>
      <c r="E2134" s="583"/>
      <c r="F2134" s="583"/>
      <c r="G2134" s="583"/>
      <c r="H2134" s="405"/>
      <c r="I2134" s="405"/>
      <c r="J2134" s="405"/>
      <c r="K2134" s="405"/>
      <c r="L2134" s="405"/>
      <c r="M2134" s="405"/>
      <c r="N2134" s="405"/>
      <c r="O2134" s="405"/>
      <c r="P2134" s="405"/>
      <c r="Q2134" s="405"/>
      <c r="R2134" s="405"/>
      <c r="S2134" s="405"/>
      <c r="T2134" s="405"/>
      <c r="U2134" s="405"/>
      <c r="V2134" s="405"/>
      <c r="W2134" s="405"/>
      <c r="X2134" s="405"/>
      <c r="Y2134" s="405"/>
      <c r="Z2134" s="405"/>
    </row>
    <row r="2135" ht="14.25" customHeight="1">
      <c r="A2135" s="1134"/>
      <c r="B2135" s="405"/>
      <c r="C2135" s="405"/>
      <c r="D2135" s="1135"/>
      <c r="E2135" s="583"/>
      <c r="F2135" s="583"/>
      <c r="G2135" s="583"/>
      <c r="H2135" s="405"/>
      <c r="I2135" s="405"/>
      <c r="J2135" s="405"/>
      <c r="K2135" s="405"/>
      <c r="L2135" s="405"/>
      <c r="M2135" s="405"/>
      <c r="N2135" s="405"/>
      <c r="O2135" s="405"/>
      <c r="P2135" s="405"/>
      <c r="Q2135" s="405"/>
      <c r="R2135" s="405"/>
      <c r="S2135" s="405"/>
      <c r="T2135" s="405"/>
      <c r="U2135" s="405"/>
      <c r="V2135" s="405"/>
      <c r="W2135" s="405"/>
      <c r="X2135" s="405"/>
      <c r="Y2135" s="405"/>
      <c r="Z2135" s="405"/>
    </row>
    <row r="2136" ht="14.25" customHeight="1">
      <c r="A2136" s="1134"/>
      <c r="B2136" s="405"/>
      <c r="C2136" s="405"/>
      <c r="D2136" s="1135"/>
      <c r="E2136" s="583"/>
      <c r="F2136" s="583"/>
      <c r="G2136" s="583"/>
      <c r="H2136" s="405"/>
      <c r="I2136" s="405"/>
      <c r="J2136" s="405"/>
      <c r="K2136" s="405"/>
      <c r="L2136" s="405"/>
      <c r="M2136" s="405"/>
      <c r="N2136" s="405"/>
      <c r="O2136" s="405"/>
      <c r="P2136" s="405"/>
      <c r="Q2136" s="405"/>
      <c r="R2136" s="405"/>
      <c r="S2136" s="405"/>
      <c r="T2136" s="405"/>
      <c r="U2136" s="405"/>
      <c r="V2136" s="405"/>
      <c r="W2136" s="405"/>
      <c r="X2136" s="405"/>
      <c r="Y2136" s="405"/>
      <c r="Z2136" s="405"/>
    </row>
    <row r="2137" ht="14.25" customHeight="1">
      <c r="A2137" s="1134"/>
      <c r="B2137" s="405"/>
      <c r="C2137" s="405"/>
      <c r="D2137" s="1135"/>
      <c r="E2137" s="583"/>
      <c r="F2137" s="583"/>
      <c r="G2137" s="583"/>
      <c r="H2137" s="405"/>
      <c r="I2137" s="405"/>
      <c r="J2137" s="405"/>
      <c r="K2137" s="405"/>
      <c r="L2137" s="405"/>
      <c r="M2137" s="405"/>
      <c r="N2137" s="405"/>
      <c r="O2137" s="405"/>
      <c r="P2137" s="405"/>
      <c r="Q2137" s="405"/>
      <c r="R2137" s="405"/>
      <c r="S2137" s="405"/>
      <c r="T2137" s="405"/>
      <c r="U2137" s="405"/>
      <c r="V2137" s="405"/>
      <c r="W2137" s="405"/>
      <c r="X2137" s="405"/>
      <c r="Y2137" s="405"/>
      <c r="Z2137" s="405"/>
    </row>
    <row r="2138" ht="14.25" customHeight="1">
      <c r="A2138" s="1134"/>
      <c r="B2138" s="405"/>
      <c r="C2138" s="405"/>
      <c r="D2138" s="1135"/>
      <c r="E2138" s="583"/>
      <c r="F2138" s="583"/>
      <c r="G2138" s="583"/>
      <c r="H2138" s="405"/>
      <c r="I2138" s="405"/>
      <c r="J2138" s="405"/>
      <c r="K2138" s="405"/>
      <c r="L2138" s="405"/>
      <c r="M2138" s="405"/>
      <c r="N2138" s="405"/>
      <c r="O2138" s="405"/>
      <c r="P2138" s="405"/>
      <c r="Q2138" s="405"/>
      <c r="R2138" s="405"/>
      <c r="S2138" s="405"/>
      <c r="T2138" s="405"/>
      <c r="U2138" s="405"/>
      <c r="V2138" s="405"/>
      <c r="W2138" s="405"/>
      <c r="X2138" s="405"/>
      <c r="Y2138" s="405"/>
      <c r="Z2138" s="405"/>
    </row>
    <row r="2139" ht="14.25" customHeight="1">
      <c r="A2139" s="1134"/>
      <c r="B2139" s="405"/>
      <c r="C2139" s="405"/>
      <c r="D2139" s="1135"/>
      <c r="E2139" s="583"/>
      <c r="F2139" s="583"/>
      <c r="G2139" s="583"/>
      <c r="H2139" s="405"/>
      <c r="I2139" s="405"/>
      <c r="J2139" s="405"/>
      <c r="K2139" s="405"/>
      <c r="L2139" s="405"/>
      <c r="M2139" s="405"/>
      <c r="N2139" s="405"/>
      <c r="O2139" s="405"/>
      <c r="P2139" s="405"/>
      <c r="Q2139" s="405"/>
      <c r="R2139" s="405"/>
      <c r="S2139" s="405"/>
      <c r="T2139" s="405"/>
      <c r="U2139" s="405"/>
      <c r="V2139" s="405"/>
      <c r="W2139" s="405"/>
      <c r="X2139" s="405"/>
      <c r="Y2139" s="405"/>
      <c r="Z2139" s="405"/>
    </row>
    <row r="2140" ht="14.25" customHeight="1">
      <c r="A2140" s="1134"/>
      <c r="B2140" s="405"/>
      <c r="C2140" s="405"/>
      <c r="D2140" s="1135"/>
      <c r="E2140" s="583"/>
      <c r="F2140" s="583"/>
      <c r="G2140" s="583"/>
      <c r="H2140" s="405"/>
      <c r="I2140" s="405"/>
      <c r="J2140" s="405"/>
      <c r="K2140" s="405"/>
      <c r="L2140" s="405"/>
      <c r="M2140" s="405"/>
      <c r="N2140" s="405"/>
      <c r="O2140" s="405"/>
      <c r="P2140" s="405"/>
      <c r="Q2140" s="405"/>
      <c r="R2140" s="405"/>
      <c r="S2140" s="405"/>
      <c r="T2140" s="405"/>
      <c r="U2140" s="405"/>
      <c r="V2140" s="405"/>
      <c r="W2140" s="405"/>
      <c r="X2140" s="405"/>
      <c r="Y2140" s="405"/>
      <c r="Z2140" s="405"/>
    </row>
    <row r="2141" ht="14.25" customHeight="1">
      <c r="A2141" s="1134"/>
      <c r="B2141" s="405"/>
      <c r="C2141" s="405"/>
      <c r="D2141" s="1135"/>
      <c r="E2141" s="583"/>
      <c r="F2141" s="583"/>
      <c r="G2141" s="583"/>
      <c r="H2141" s="405"/>
      <c r="I2141" s="405"/>
      <c r="J2141" s="405"/>
      <c r="K2141" s="405"/>
      <c r="L2141" s="405"/>
      <c r="M2141" s="405"/>
      <c r="N2141" s="405"/>
      <c r="O2141" s="405"/>
      <c r="P2141" s="405"/>
      <c r="Q2141" s="405"/>
      <c r="R2141" s="405"/>
      <c r="S2141" s="405"/>
      <c r="T2141" s="405"/>
      <c r="U2141" s="405"/>
      <c r="V2141" s="405"/>
      <c r="W2141" s="405"/>
      <c r="X2141" s="405"/>
      <c r="Y2141" s="405"/>
      <c r="Z2141" s="405"/>
    </row>
    <row r="2142" ht="14.25" customHeight="1">
      <c r="A2142" s="1134"/>
      <c r="B2142" s="405"/>
      <c r="C2142" s="405"/>
      <c r="D2142" s="1135"/>
      <c r="E2142" s="583"/>
      <c r="F2142" s="583"/>
      <c r="G2142" s="583"/>
      <c r="H2142" s="405"/>
      <c r="I2142" s="405"/>
      <c r="J2142" s="405"/>
      <c r="K2142" s="405"/>
      <c r="L2142" s="405"/>
      <c r="M2142" s="405"/>
      <c r="N2142" s="405"/>
      <c r="O2142" s="405"/>
      <c r="P2142" s="405"/>
      <c r="Q2142" s="405"/>
      <c r="R2142" s="405"/>
      <c r="S2142" s="405"/>
      <c r="T2142" s="405"/>
      <c r="U2142" s="405"/>
      <c r="V2142" s="405"/>
      <c r="W2142" s="405"/>
      <c r="X2142" s="405"/>
      <c r="Y2142" s="405"/>
      <c r="Z2142" s="405"/>
    </row>
    <row r="2143" ht="14.25" customHeight="1">
      <c r="A2143" s="1134"/>
      <c r="B2143" s="405"/>
      <c r="C2143" s="405"/>
      <c r="D2143" s="1135"/>
      <c r="E2143" s="583"/>
      <c r="F2143" s="583"/>
      <c r="G2143" s="583"/>
      <c r="H2143" s="405"/>
      <c r="I2143" s="405"/>
      <c r="J2143" s="405"/>
      <c r="K2143" s="405"/>
      <c r="L2143" s="405"/>
      <c r="M2143" s="405"/>
      <c r="N2143" s="405"/>
      <c r="O2143" s="405"/>
      <c r="P2143" s="405"/>
      <c r="Q2143" s="405"/>
      <c r="R2143" s="405"/>
      <c r="S2143" s="405"/>
      <c r="T2143" s="405"/>
      <c r="U2143" s="405"/>
      <c r="V2143" s="405"/>
      <c r="W2143" s="405"/>
      <c r="X2143" s="405"/>
      <c r="Y2143" s="405"/>
      <c r="Z2143" s="405"/>
    </row>
    <row r="2144" ht="14.25" customHeight="1">
      <c r="A2144" s="1134"/>
      <c r="B2144" s="405"/>
      <c r="C2144" s="405"/>
      <c r="D2144" s="1135"/>
      <c r="E2144" s="583"/>
      <c r="F2144" s="583"/>
      <c r="G2144" s="583"/>
      <c r="H2144" s="405"/>
      <c r="I2144" s="405"/>
      <c r="J2144" s="405"/>
      <c r="K2144" s="405"/>
      <c r="L2144" s="405"/>
      <c r="M2144" s="405"/>
      <c r="N2144" s="405"/>
      <c r="O2144" s="405"/>
      <c r="P2144" s="405"/>
      <c r="Q2144" s="405"/>
      <c r="R2144" s="405"/>
      <c r="S2144" s="405"/>
      <c r="T2144" s="405"/>
      <c r="U2144" s="405"/>
      <c r="V2144" s="405"/>
      <c r="W2144" s="405"/>
      <c r="X2144" s="405"/>
      <c r="Y2144" s="405"/>
      <c r="Z2144" s="405"/>
    </row>
    <row r="2145" ht="14.25" customHeight="1">
      <c r="A2145" s="1134"/>
      <c r="B2145" s="405"/>
      <c r="C2145" s="405"/>
      <c r="D2145" s="1135"/>
      <c r="E2145" s="583"/>
      <c r="F2145" s="583"/>
      <c r="G2145" s="583"/>
      <c r="H2145" s="405"/>
      <c r="I2145" s="405"/>
      <c r="J2145" s="405"/>
      <c r="K2145" s="405"/>
      <c r="L2145" s="405"/>
      <c r="M2145" s="405"/>
      <c r="N2145" s="405"/>
      <c r="O2145" s="405"/>
      <c r="P2145" s="405"/>
      <c r="Q2145" s="405"/>
      <c r="R2145" s="405"/>
      <c r="S2145" s="405"/>
      <c r="T2145" s="405"/>
      <c r="U2145" s="405"/>
      <c r="V2145" s="405"/>
      <c r="W2145" s="405"/>
      <c r="X2145" s="405"/>
      <c r="Y2145" s="405"/>
      <c r="Z2145" s="405"/>
    </row>
    <row r="2146" ht="14.25" customHeight="1">
      <c r="A2146" s="1134"/>
      <c r="B2146" s="405"/>
      <c r="C2146" s="405"/>
      <c r="D2146" s="1135"/>
      <c r="E2146" s="583"/>
      <c r="F2146" s="583"/>
      <c r="G2146" s="583"/>
      <c r="H2146" s="405"/>
      <c r="I2146" s="405"/>
      <c r="J2146" s="405"/>
      <c r="K2146" s="405"/>
      <c r="L2146" s="405"/>
      <c r="M2146" s="405"/>
      <c r="N2146" s="405"/>
      <c r="O2146" s="405"/>
      <c r="P2146" s="405"/>
      <c r="Q2146" s="405"/>
      <c r="R2146" s="405"/>
      <c r="S2146" s="405"/>
      <c r="T2146" s="405"/>
      <c r="U2146" s="405"/>
      <c r="V2146" s="405"/>
      <c r="W2146" s="405"/>
      <c r="X2146" s="405"/>
      <c r="Y2146" s="405"/>
      <c r="Z2146" s="405"/>
    </row>
    <row r="2147" ht="14.25" customHeight="1">
      <c r="A2147" s="1134"/>
      <c r="B2147" s="405"/>
      <c r="C2147" s="405"/>
      <c r="D2147" s="1135"/>
      <c r="E2147" s="583"/>
      <c r="F2147" s="583"/>
      <c r="G2147" s="583"/>
      <c r="H2147" s="405"/>
      <c r="I2147" s="405"/>
      <c r="J2147" s="405"/>
      <c r="K2147" s="405"/>
      <c r="L2147" s="405"/>
      <c r="M2147" s="405"/>
      <c r="N2147" s="405"/>
      <c r="O2147" s="405"/>
      <c r="P2147" s="405"/>
      <c r="Q2147" s="405"/>
      <c r="R2147" s="405"/>
      <c r="S2147" s="405"/>
      <c r="T2147" s="405"/>
      <c r="U2147" s="405"/>
      <c r="V2147" s="405"/>
      <c r="W2147" s="405"/>
      <c r="X2147" s="405"/>
      <c r="Y2147" s="405"/>
      <c r="Z2147" s="405"/>
    </row>
    <row r="2148" ht="14.25" customHeight="1">
      <c r="A2148" s="1134"/>
      <c r="B2148" s="405"/>
      <c r="C2148" s="405"/>
      <c r="D2148" s="1135"/>
      <c r="E2148" s="583"/>
      <c r="F2148" s="583"/>
      <c r="G2148" s="583"/>
      <c r="H2148" s="405"/>
      <c r="I2148" s="405"/>
      <c r="J2148" s="405"/>
      <c r="K2148" s="405"/>
      <c r="L2148" s="405"/>
      <c r="M2148" s="405"/>
      <c r="N2148" s="405"/>
      <c r="O2148" s="405"/>
      <c r="P2148" s="405"/>
      <c r="Q2148" s="405"/>
      <c r="R2148" s="405"/>
      <c r="S2148" s="405"/>
      <c r="T2148" s="405"/>
      <c r="U2148" s="405"/>
      <c r="V2148" s="405"/>
      <c r="W2148" s="405"/>
      <c r="X2148" s="405"/>
      <c r="Y2148" s="405"/>
      <c r="Z2148" s="405"/>
    </row>
    <row r="2149" ht="14.25" customHeight="1">
      <c r="A2149" s="1134"/>
      <c r="B2149" s="405"/>
      <c r="C2149" s="405"/>
      <c r="D2149" s="1135"/>
      <c r="E2149" s="583"/>
      <c r="F2149" s="583"/>
      <c r="G2149" s="583"/>
      <c r="H2149" s="405"/>
      <c r="I2149" s="405"/>
      <c r="J2149" s="405"/>
      <c r="K2149" s="405"/>
      <c r="L2149" s="405"/>
      <c r="M2149" s="405"/>
      <c r="N2149" s="405"/>
      <c r="O2149" s="405"/>
      <c r="P2149" s="405"/>
      <c r="Q2149" s="405"/>
      <c r="R2149" s="405"/>
      <c r="S2149" s="405"/>
      <c r="T2149" s="405"/>
      <c r="U2149" s="405"/>
      <c r="V2149" s="405"/>
      <c r="W2149" s="405"/>
      <c r="X2149" s="405"/>
      <c r="Y2149" s="405"/>
      <c r="Z2149" s="405"/>
    </row>
    <row r="2150" ht="14.25" customHeight="1">
      <c r="A2150" s="1134"/>
      <c r="B2150" s="405"/>
      <c r="C2150" s="405"/>
      <c r="D2150" s="1135"/>
      <c r="E2150" s="583"/>
      <c r="F2150" s="583"/>
      <c r="G2150" s="583"/>
      <c r="H2150" s="405"/>
      <c r="I2150" s="405"/>
      <c r="J2150" s="405"/>
      <c r="K2150" s="405"/>
      <c r="L2150" s="405"/>
      <c r="M2150" s="405"/>
      <c r="N2150" s="405"/>
      <c r="O2150" s="405"/>
      <c r="P2150" s="405"/>
      <c r="Q2150" s="405"/>
      <c r="R2150" s="405"/>
      <c r="S2150" s="405"/>
      <c r="T2150" s="405"/>
      <c r="U2150" s="405"/>
      <c r="V2150" s="405"/>
      <c r="W2150" s="405"/>
      <c r="X2150" s="405"/>
      <c r="Y2150" s="405"/>
      <c r="Z2150" s="405"/>
    </row>
    <row r="2151" ht="14.25" customHeight="1">
      <c r="A2151" s="1134"/>
      <c r="B2151" s="405"/>
      <c r="C2151" s="405"/>
      <c r="D2151" s="1135"/>
      <c r="E2151" s="583"/>
      <c r="F2151" s="583"/>
      <c r="G2151" s="583"/>
      <c r="H2151" s="405"/>
      <c r="I2151" s="405"/>
      <c r="J2151" s="405"/>
      <c r="K2151" s="405"/>
      <c r="L2151" s="405"/>
      <c r="M2151" s="405"/>
      <c r="N2151" s="405"/>
      <c r="O2151" s="405"/>
      <c r="P2151" s="405"/>
      <c r="Q2151" s="405"/>
      <c r="R2151" s="405"/>
      <c r="S2151" s="405"/>
      <c r="T2151" s="405"/>
      <c r="U2151" s="405"/>
      <c r="V2151" s="405"/>
      <c r="W2151" s="405"/>
      <c r="X2151" s="405"/>
      <c r="Y2151" s="405"/>
      <c r="Z2151" s="405"/>
    </row>
    <row r="2152" ht="14.25" customHeight="1">
      <c r="A2152" s="1134"/>
      <c r="B2152" s="405"/>
      <c r="C2152" s="405"/>
      <c r="D2152" s="1135"/>
      <c r="E2152" s="583"/>
      <c r="F2152" s="583"/>
      <c r="G2152" s="583"/>
      <c r="H2152" s="405"/>
      <c r="I2152" s="405"/>
      <c r="J2152" s="405"/>
      <c r="K2152" s="405"/>
      <c r="L2152" s="405"/>
      <c r="M2152" s="405"/>
      <c r="N2152" s="405"/>
      <c r="O2152" s="405"/>
      <c r="P2152" s="405"/>
      <c r="Q2152" s="405"/>
      <c r="R2152" s="405"/>
      <c r="S2152" s="405"/>
      <c r="T2152" s="405"/>
      <c r="U2152" s="405"/>
      <c r="V2152" s="405"/>
      <c r="W2152" s="405"/>
      <c r="X2152" s="405"/>
      <c r="Y2152" s="405"/>
      <c r="Z2152" s="405"/>
    </row>
    <row r="2153" ht="14.25" customHeight="1">
      <c r="A2153" s="1134"/>
      <c r="B2153" s="405"/>
      <c r="C2153" s="405"/>
      <c r="D2153" s="1135"/>
      <c r="E2153" s="583"/>
      <c r="F2153" s="583"/>
      <c r="G2153" s="583"/>
      <c r="H2153" s="405"/>
      <c r="I2153" s="405"/>
      <c r="J2153" s="405"/>
      <c r="K2153" s="405"/>
      <c r="L2153" s="405"/>
      <c r="M2153" s="405"/>
      <c r="N2153" s="405"/>
      <c r="O2153" s="405"/>
      <c r="P2153" s="405"/>
      <c r="Q2153" s="405"/>
      <c r="R2153" s="405"/>
      <c r="S2153" s="405"/>
      <c r="T2153" s="405"/>
      <c r="U2153" s="405"/>
      <c r="V2153" s="405"/>
      <c r="W2153" s="405"/>
      <c r="X2153" s="405"/>
      <c r="Y2153" s="405"/>
      <c r="Z2153" s="405"/>
    </row>
    <row r="2154" ht="14.25" customHeight="1">
      <c r="A2154" s="1134"/>
      <c r="B2154" s="405"/>
      <c r="C2154" s="405"/>
      <c r="D2154" s="1135"/>
      <c r="E2154" s="583"/>
      <c r="F2154" s="583"/>
      <c r="G2154" s="583"/>
      <c r="H2154" s="405"/>
      <c r="I2154" s="405"/>
      <c r="J2154" s="405"/>
      <c r="K2154" s="405"/>
      <c r="L2154" s="405"/>
      <c r="M2154" s="405"/>
      <c r="N2154" s="405"/>
      <c r="O2154" s="405"/>
      <c r="P2154" s="405"/>
      <c r="Q2154" s="405"/>
      <c r="R2154" s="405"/>
      <c r="S2154" s="405"/>
      <c r="T2154" s="405"/>
      <c r="U2154" s="405"/>
      <c r="V2154" s="405"/>
      <c r="W2154" s="405"/>
      <c r="X2154" s="405"/>
      <c r="Y2154" s="405"/>
      <c r="Z2154" s="405"/>
    </row>
    <row r="2155" ht="14.25" customHeight="1">
      <c r="A2155" s="1134"/>
      <c r="B2155" s="405"/>
      <c r="C2155" s="405"/>
      <c r="D2155" s="1135"/>
      <c r="E2155" s="583"/>
      <c r="F2155" s="583"/>
      <c r="G2155" s="583"/>
      <c r="H2155" s="405"/>
      <c r="I2155" s="405"/>
      <c r="J2155" s="405"/>
      <c r="K2155" s="405"/>
      <c r="L2155" s="405"/>
      <c r="M2155" s="405"/>
      <c r="N2155" s="405"/>
      <c r="O2155" s="405"/>
      <c r="P2155" s="405"/>
      <c r="Q2155" s="405"/>
      <c r="R2155" s="405"/>
      <c r="S2155" s="405"/>
      <c r="T2155" s="405"/>
      <c r="U2155" s="405"/>
      <c r="V2155" s="405"/>
      <c r="W2155" s="405"/>
      <c r="X2155" s="405"/>
      <c r="Y2155" s="405"/>
      <c r="Z2155" s="405"/>
    </row>
    <row r="2156" ht="14.25" customHeight="1">
      <c r="A2156" s="1134"/>
      <c r="B2156" s="405"/>
      <c r="C2156" s="405"/>
      <c r="D2156" s="1135"/>
      <c r="E2156" s="583"/>
      <c r="F2156" s="583"/>
      <c r="G2156" s="583"/>
      <c r="H2156" s="405"/>
      <c r="I2156" s="405"/>
      <c r="J2156" s="405"/>
      <c r="K2156" s="405"/>
      <c r="L2156" s="405"/>
      <c r="M2156" s="405"/>
      <c r="N2156" s="405"/>
      <c r="O2156" s="405"/>
      <c r="P2156" s="405"/>
      <c r="Q2156" s="405"/>
      <c r="R2156" s="405"/>
      <c r="S2156" s="405"/>
      <c r="T2156" s="405"/>
      <c r="U2156" s="405"/>
      <c r="V2156" s="405"/>
      <c r="W2156" s="405"/>
      <c r="X2156" s="405"/>
      <c r="Y2156" s="405"/>
      <c r="Z2156" s="405"/>
    </row>
    <row r="2157" ht="14.25" customHeight="1">
      <c r="A2157" s="1134"/>
      <c r="B2157" s="405"/>
      <c r="C2157" s="405"/>
      <c r="D2157" s="1135"/>
      <c r="E2157" s="583"/>
      <c r="F2157" s="583"/>
      <c r="G2157" s="583"/>
      <c r="H2157" s="405"/>
      <c r="I2157" s="405"/>
      <c r="J2157" s="405"/>
      <c r="K2157" s="405"/>
      <c r="L2157" s="405"/>
      <c r="M2157" s="405"/>
      <c r="N2157" s="405"/>
      <c r="O2157" s="405"/>
      <c r="P2157" s="405"/>
      <c r="Q2157" s="405"/>
      <c r="R2157" s="405"/>
      <c r="S2157" s="405"/>
      <c r="T2157" s="405"/>
      <c r="U2157" s="405"/>
      <c r="V2157" s="405"/>
      <c r="W2157" s="405"/>
      <c r="X2157" s="405"/>
      <c r="Y2157" s="405"/>
      <c r="Z2157" s="405"/>
    </row>
    <row r="2158" ht="14.25" customHeight="1">
      <c r="A2158" s="1134"/>
      <c r="B2158" s="405"/>
      <c r="C2158" s="405"/>
      <c r="D2158" s="1135"/>
      <c r="E2158" s="583"/>
      <c r="F2158" s="583"/>
      <c r="G2158" s="583"/>
      <c r="H2158" s="405"/>
      <c r="I2158" s="405"/>
      <c r="J2158" s="405"/>
      <c r="K2158" s="405"/>
      <c r="L2158" s="405"/>
      <c r="M2158" s="405"/>
      <c r="N2158" s="405"/>
      <c r="O2158" s="405"/>
      <c r="P2158" s="405"/>
      <c r="Q2158" s="405"/>
      <c r="R2158" s="405"/>
      <c r="S2158" s="405"/>
      <c r="T2158" s="405"/>
      <c r="U2158" s="405"/>
      <c r="V2158" s="405"/>
      <c r="W2158" s="405"/>
      <c r="X2158" s="405"/>
      <c r="Y2158" s="405"/>
      <c r="Z2158" s="405"/>
    </row>
    <row r="2159" ht="14.25" customHeight="1">
      <c r="A2159" s="1134"/>
      <c r="B2159" s="405"/>
      <c r="C2159" s="405"/>
      <c r="D2159" s="1135"/>
      <c r="E2159" s="583"/>
      <c r="F2159" s="583"/>
      <c r="G2159" s="583"/>
      <c r="H2159" s="405"/>
      <c r="I2159" s="405"/>
      <c r="J2159" s="405"/>
      <c r="K2159" s="405"/>
      <c r="L2159" s="405"/>
      <c r="M2159" s="405"/>
      <c r="N2159" s="405"/>
      <c r="O2159" s="405"/>
      <c r="P2159" s="405"/>
      <c r="Q2159" s="405"/>
      <c r="R2159" s="405"/>
      <c r="S2159" s="405"/>
      <c r="T2159" s="405"/>
      <c r="U2159" s="405"/>
      <c r="V2159" s="405"/>
      <c r="W2159" s="405"/>
      <c r="X2159" s="405"/>
      <c r="Y2159" s="405"/>
      <c r="Z2159" s="405"/>
    </row>
    <row r="2160" ht="14.25" customHeight="1">
      <c r="A2160" s="1134"/>
      <c r="B2160" s="405"/>
      <c r="C2160" s="405"/>
      <c r="D2160" s="1135"/>
      <c r="E2160" s="583"/>
      <c r="F2160" s="583"/>
      <c r="G2160" s="583"/>
      <c r="H2160" s="405"/>
      <c r="I2160" s="405"/>
      <c r="J2160" s="405"/>
      <c r="K2160" s="405"/>
      <c r="L2160" s="405"/>
      <c r="M2160" s="405"/>
      <c r="N2160" s="405"/>
      <c r="O2160" s="405"/>
      <c r="P2160" s="405"/>
      <c r="Q2160" s="405"/>
      <c r="R2160" s="405"/>
      <c r="S2160" s="405"/>
      <c r="T2160" s="405"/>
      <c r="U2160" s="405"/>
      <c r="V2160" s="405"/>
      <c r="W2160" s="405"/>
      <c r="X2160" s="405"/>
      <c r="Y2160" s="405"/>
      <c r="Z2160" s="405"/>
    </row>
    <row r="2161" ht="14.25" customHeight="1">
      <c r="A2161" s="1134"/>
      <c r="B2161" s="405"/>
      <c r="C2161" s="405"/>
      <c r="D2161" s="1135"/>
      <c r="E2161" s="583"/>
      <c r="F2161" s="583"/>
      <c r="G2161" s="583"/>
      <c r="H2161" s="405"/>
      <c r="I2161" s="405"/>
      <c r="J2161" s="405"/>
      <c r="K2161" s="405"/>
      <c r="L2161" s="405"/>
      <c r="M2161" s="405"/>
      <c r="N2161" s="405"/>
      <c r="O2161" s="405"/>
      <c r="P2161" s="405"/>
      <c r="Q2161" s="405"/>
      <c r="R2161" s="405"/>
      <c r="S2161" s="405"/>
      <c r="T2161" s="405"/>
      <c r="U2161" s="405"/>
      <c r="V2161" s="405"/>
      <c r="W2161" s="405"/>
      <c r="X2161" s="405"/>
      <c r="Y2161" s="405"/>
      <c r="Z2161" s="405"/>
    </row>
    <row r="2162" ht="14.25" customHeight="1">
      <c r="A2162" s="1134"/>
      <c r="B2162" s="405"/>
      <c r="C2162" s="405"/>
      <c r="D2162" s="1135"/>
      <c r="E2162" s="583"/>
      <c r="F2162" s="583"/>
      <c r="G2162" s="583"/>
      <c r="H2162" s="405"/>
      <c r="I2162" s="405"/>
      <c r="J2162" s="405"/>
      <c r="K2162" s="405"/>
      <c r="L2162" s="405"/>
      <c r="M2162" s="405"/>
      <c r="N2162" s="405"/>
      <c r="O2162" s="405"/>
      <c r="P2162" s="405"/>
      <c r="Q2162" s="405"/>
      <c r="R2162" s="405"/>
      <c r="S2162" s="405"/>
      <c r="T2162" s="405"/>
      <c r="U2162" s="405"/>
      <c r="V2162" s="405"/>
      <c r="W2162" s="405"/>
      <c r="X2162" s="405"/>
      <c r="Y2162" s="405"/>
      <c r="Z2162" s="405"/>
    </row>
    <row r="2163" ht="14.25" customHeight="1">
      <c r="A2163" s="1134"/>
      <c r="B2163" s="405"/>
      <c r="C2163" s="405"/>
      <c r="D2163" s="1135"/>
      <c r="E2163" s="583"/>
      <c r="F2163" s="583"/>
      <c r="G2163" s="583"/>
      <c r="H2163" s="405"/>
      <c r="I2163" s="405"/>
      <c r="J2163" s="405"/>
      <c r="K2163" s="405"/>
      <c r="L2163" s="405"/>
      <c r="M2163" s="405"/>
      <c r="N2163" s="405"/>
      <c r="O2163" s="405"/>
      <c r="P2163" s="405"/>
      <c r="Q2163" s="405"/>
      <c r="R2163" s="405"/>
      <c r="S2163" s="405"/>
      <c r="T2163" s="405"/>
      <c r="U2163" s="405"/>
      <c r="V2163" s="405"/>
      <c r="W2163" s="405"/>
      <c r="X2163" s="405"/>
      <c r="Y2163" s="405"/>
      <c r="Z2163" s="405"/>
    </row>
    <row r="2164" ht="14.25" customHeight="1">
      <c r="A2164" s="1134"/>
      <c r="B2164" s="405"/>
      <c r="C2164" s="405"/>
      <c r="D2164" s="1135"/>
      <c r="E2164" s="583"/>
      <c r="F2164" s="583"/>
      <c r="G2164" s="583"/>
      <c r="H2164" s="405"/>
      <c r="I2164" s="405"/>
      <c r="J2164" s="405"/>
      <c r="K2164" s="405"/>
      <c r="L2164" s="405"/>
      <c r="M2164" s="405"/>
      <c r="N2164" s="405"/>
      <c r="O2164" s="405"/>
      <c r="P2164" s="405"/>
      <c r="Q2164" s="405"/>
      <c r="R2164" s="405"/>
      <c r="S2164" s="405"/>
      <c r="T2164" s="405"/>
      <c r="U2164" s="405"/>
      <c r="V2164" s="405"/>
      <c r="W2164" s="405"/>
      <c r="X2164" s="405"/>
      <c r="Y2164" s="405"/>
      <c r="Z2164" s="405"/>
    </row>
    <row r="2165" ht="14.25" customHeight="1">
      <c r="A2165" s="1134"/>
      <c r="B2165" s="405"/>
      <c r="C2165" s="405"/>
      <c r="D2165" s="1135"/>
      <c r="E2165" s="583"/>
      <c r="F2165" s="583"/>
      <c r="G2165" s="583"/>
      <c r="H2165" s="405"/>
      <c r="I2165" s="405"/>
      <c r="J2165" s="405"/>
      <c r="K2165" s="405"/>
      <c r="L2165" s="405"/>
      <c r="M2165" s="405"/>
      <c r="N2165" s="405"/>
      <c r="O2165" s="405"/>
      <c r="P2165" s="405"/>
      <c r="Q2165" s="405"/>
      <c r="R2165" s="405"/>
      <c r="S2165" s="405"/>
      <c r="T2165" s="405"/>
      <c r="U2165" s="405"/>
      <c r="V2165" s="405"/>
      <c r="W2165" s="405"/>
      <c r="X2165" s="405"/>
      <c r="Y2165" s="405"/>
      <c r="Z2165" s="405"/>
    </row>
    <row r="2166" ht="14.25" customHeight="1">
      <c r="A2166" s="1134"/>
      <c r="B2166" s="405"/>
      <c r="C2166" s="405"/>
      <c r="D2166" s="1135"/>
      <c r="E2166" s="583"/>
      <c r="F2166" s="583"/>
      <c r="G2166" s="583"/>
      <c r="H2166" s="405"/>
      <c r="I2166" s="405"/>
      <c r="J2166" s="405"/>
      <c r="K2166" s="405"/>
      <c r="L2166" s="405"/>
      <c r="M2166" s="405"/>
      <c r="N2166" s="405"/>
      <c r="O2166" s="405"/>
      <c r="P2166" s="405"/>
      <c r="Q2166" s="405"/>
      <c r="R2166" s="405"/>
      <c r="S2166" s="405"/>
      <c r="T2166" s="405"/>
      <c r="U2166" s="405"/>
      <c r="V2166" s="405"/>
      <c r="W2166" s="405"/>
      <c r="X2166" s="405"/>
      <c r="Y2166" s="405"/>
      <c r="Z2166" s="405"/>
    </row>
    <row r="2167" ht="14.25" customHeight="1">
      <c r="A2167" s="1134"/>
      <c r="B2167" s="405"/>
      <c r="C2167" s="405"/>
      <c r="D2167" s="1135"/>
      <c r="E2167" s="583"/>
      <c r="F2167" s="583"/>
      <c r="G2167" s="583"/>
      <c r="H2167" s="405"/>
      <c r="I2167" s="405"/>
      <c r="J2167" s="405"/>
      <c r="K2167" s="405"/>
      <c r="L2167" s="405"/>
      <c r="M2167" s="405"/>
      <c r="N2167" s="405"/>
      <c r="O2167" s="405"/>
      <c r="P2167" s="405"/>
      <c r="Q2167" s="405"/>
      <c r="R2167" s="405"/>
      <c r="S2167" s="405"/>
      <c r="T2167" s="405"/>
      <c r="U2167" s="405"/>
      <c r="V2167" s="405"/>
      <c r="W2167" s="405"/>
      <c r="X2167" s="405"/>
      <c r="Y2167" s="405"/>
      <c r="Z2167" s="405"/>
    </row>
    <row r="2168" ht="14.25" customHeight="1">
      <c r="A2168" s="1134"/>
      <c r="B2168" s="405"/>
      <c r="C2168" s="405"/>
      <c r="D2168" s="1135"/>
      <c r="E2168" s="583"/>
      <c r="F2168" s="583"/>
      <c r="G2168" s="583"/>
      <c r="H2168" s="405"/>
      <c r="I2168" s="405"/>
      <c r="J2168" s="405"/>
      <c r="K2168" s="405"/>
      <c r="L2168" s="405"/>
      <c r="M2168" s="405"/>
      <c r="N2168" s="405"/>
      <c r="O2168" s="405"/>
      <c r="P2168" s="405"/>
      <c r="Q2168" s="405"/>
      <c r="R2168" s="405"/>
      <c r="S2168" s="405"/>
      <c r="T2168" s="405"/>
      <c r="U2168" s="405"/>
      <c r="V2168" s="405"/>
      <c r="W2168" s="405"/>
      <c r="X2168" s="405"/>
      <c r="Y2168" s="405"/>
      <c r="Z2168" s="405"/>
    </row>
    <row r="2169" ht="14.25" customHeight="1">
      <c r="A2169" s="1134"/>
      <c r="B2169" s="405"/>
      <c r="C2169" s="405"/>
      <c r="D2169" s="1135"/>
      <c r="E2169" s="583"/>
      <c r="F2169" s="583"/>
      <c r="G2169" s="583"/>
      <c r="H2169" s="405"/>
      <c r="I2169" s="405"/>
      <c r="J2169" s="405"/>
      <c r="K2169" s="405"/>
      <c r="L2169" s="405"/>
      <c r="M2169" s="405"/>
      <c r="N2169" s="405"/>
      <c r="O2169" s="405"/>
      <c r="P2169" s="405"/>
      <c r="Q2169" s="405"/>
      <c r="R2169" s="405"/>
      <c r="S2169" s="405"/>
      <c r="T2169" s="405"/>
      <c r="U2169" s="405"/>
      <c r="V2169" s="405"/>
      <c r="W2169" s="405"/>
      <c r="X2169" s="405"/>
      <c r="Y2169" s="405"/>
      <c r="Z2169" s="405"/>
    </row>
    <row r="2170" ht="14.25" customHeight="1">
      <c r="A2170" s="1134"/>
      <c r="B2170" s="405"/>
      <c r="C2170" s="405"/>
      <c r="D2170" s="1135"/>
      <c r="E2170" s="583"/>
      <c r="F2170" s="583"/>
      <c r="G2170" s="583"/>
      <c r="H2170" s="405"/>
      <c r="I2170" s="405"/>
      <c r="J2170" s="405"/>
      <c r="K2170" s="405"/>
      <c r="L2170" s="405"/>
      <c r="M2170" s="405"/>
      <c r="N2170" s="405"/>
      <c r="O2170" s="405"/>
      <c r="P2170" s="405"/>
      <c r="Q2170" s="405"/>
      <c r="R2170" s="405"/>
      <c r="S2170" s="405"/>
      <c r="T2170" s="405"/>
      <c r="U2170" s="405"/>
      <c r="V2170" s="405"/>
      <c r="W2170" s="405"/>
      <c r="X2170" s="405"/>
      <c r="Y2170" s="405"/>
      <c r="Z2170" s="405"/>
    </row>
    <row r="2171" ht="14.25" customHeight="1">
      <c r="A2171" s="1134"/>
      <c r="B2171" s="405"/>
      <c r="C2171" s="405"/>
      <c r="D2171" s="1135"/>
      <c r="E2171" s="583"/>
      <c r="F2171" s="583"/>
      <c r="G2171" s="583"/>
      <c r="H2171" s="405"/>
      <c r="I2171" s="405"/>
      <c r="J2171" s="405"/>
      <c r="K2171" s="405"/>
      <c r="L2171" s="405"/>
      <c r="M2171" s="405"/>
      <c r="N2171" s="405"/>
      <c r="O2171" s="405"/>
      <c r="P2171" s="405"/>
      <c r="Q2171" s="405"/>
      <c r="R2171" s="405"/>
      <c r="S2171" s="405"/>
      <c r="T2171" s="405"/>
      <c r="U2171" s="405"/>
      <c r="V2171" s="405"/>
      <c r="W2171" s="405"/>
      <c r="X2171" s="405"/>
      <c r="Y2171" s="405"/>
      <c r="Z2171" s="405"/>
    </row>
    <row r="2172" ht="14.25" customHeight="1">
      <c r="A2172" s="1134"/>
      <c r="B2172" s="405"/>
      <c r="C2172" s="405"/>
      <c r="D2172" s="1135"/>
      <c r="E2172" s="583"/>
      <c r="F2172" s="583"/>
      <c r="G2172" s="583"/>
      <c r="H2172" s="405"/>
      <c r="I2172" s="405"/>
      <c r="J2172" s="405"/>
      <c r="K2172" s="405"/>
      <c r="L2172" s="405"/>
      <c r="M2172" s="405"/>
      <c r="N2172" s="405"/>
      <c r="O2172" s="405"/>
      <c r="P2172" s="405"/>
      <c r="Q2172" s="405"/>
      <c r="R2172" s="405"/>
      <c r="S2172" s="405"/>
      <c r="T2172" s="405"/>
      <c r="U2172" s="405"/>
      <c r="V2172" s="405"/>
      <c r="W2172" s="405"/>
      <c r="X2172" s="405"/>
      <c r="Y2172" s="405"/>
      <c r="Z2172" s="405"/>
    </row>
    <row r="2173" ht="14.25" customHeight="1">
      <c r="A2173" s="1134"/>
      <c r="B2173" s="405"/>
      <c r="C2173" s="405"/>
      <c r="D2173" s="1135"/>
      <c r="E2173" s="583"/>
      <c r="F2173" s="583"/>
      <c r="G2173" s="583"/>
      <c r="H2173" s="405"/>
      <c r="I2173" s="405"/>
      <c r="J2173" s="405"/>
      <c r="K2173" s="405"/>
      <c r="L2173" s="405"/>
      <c r="M2173" s="405"/>
      <c r="N2173" s="405"/>
      <c r="O2173" s="405"/>
      <c r="P2173" s="405"/>
      <c r="Q2173" s="405"/>
      <c r="R2173" s="405"/>
      <c r="S2173" s="405"/>
      <c r="T2173" s="405"/>
      <c r="U2173" s="405"/>
      <c r="V2173" s="405"/>
      <c r="W2173" s="405"/>
      <c r="X2173" s="405"/>
      <c r="Y2173" s="405"/>
      <c r="Z2173" s="405"/>
    </row>
    <row r="2174" ht="14.25" customHeight="1">
      <c r="A2174" s="1134"/>
      <c r="B2174" s="405"/>
      <c r="C2174" s="405"/>
      <c r="D2174" s="1135"/>
      <c r="E2174" s="583"/>
      <c r="F2174" s="583"/>
      <c r="G2174" s="583"/>
      <c r="H2174" s="405"/>
      <c r="I2174" s="405"/>
      <c r="J2174" s="405"/>
      <c r="K2174" s="405"/>
      <c r="L2174" s="405"/>
      <c r="M2174" s="405"/>
      <c r="N2174" s="405"/>
      <c r="O2174" s="405"/>
      <c r="P2174" s="405"/>
      <c r="Q2174" s="405"/>
      <c r="R2174" s="405"/>
      <c r="S2174" s="405"/>
      <c r="T2174" s="405"/>
      <c r="U2174" s="405"/>
      <c r="V2174" s="405"/>
      <c r="W2174" s="405"/>
      <c r="X2174" s="405"/>
      <c r="Y2174" s="405"/>
      <c r="Z2174" s="405"/>
    </row>
    <row r="2175" ht="14.25" customHeight="1">
      <c r="A2175" s="1134"/>
      <c r="B2175" s="405"/>
      <c r="C2175" s="405"/>
      <c r="D2175" s="1135"/>
      <c r="E2175" s="583"/>
      <c r="F2175" s="583"/>
      <c r="G2175" s="583"/>
      <c r="H2175" s="405"/>
      <c r="I2175" s="405"/>
      <c r="J2175" s="405"/>
      <c r="K2175" s="405"/>
      <c r="L2175" s="405"/>
      <c r="M2175" s="405"/>
      <c r="N2175" s="405"/>
      <c r="O2175" s="405"/>
      <c r="P2175" s="405"/>
      <c r="Q2175" s="405"/>
      <c r="R2175" s="405"/>
      <c r="S2175" s="405"/>
      <c r="T2175" s="405"/>
      <c r="U2175" s="405"/>
      <c r="V2175" s="405"/>
      <c r="W2175" s="405"/>
      <c r="X2175" s="405"/>
      <c r="Y2175" s="405"/>
      <c r="Z2175" s="405"/>
    </row>
    <row r="2176" ht="14.25" customHeight="1">
      <c r="A2176" s="1134"/>
      <c r="B2176" s="405"/>
      <c r="C2176" s="405"/>
      <c r="D2176" s="1135"/>
      <c r="E2176" s="583"/>
      <c r="F2176" s="583"/>
      <c r="G2176" s="583"/>
      <c r="H2176" s="405"/>
      <c r="I2176" s="405"/>
      <c r="J2176" s="405"/>
      <c r="K2176" s="405"/>
      <c r="L2176" s="405"/>
      <c r="M2176" s="405"/>
      <c r="N2176" s="405"/>
      <c r="O2176" s="405"/>
      <c r="P2176" s="405"/>
      <c r="Q2176" s="405"/>
      <c r="R2176" s="405"/>
      <c r="S2176" s="405"/>
      <c r="T2176" s="405"/>
      <c r="U2176" s="405"/>
      <c r="V2176" s="405"/>
      <c r="W2176" s="405"/>
      <c r="X2176" s="405"/>
      <c r="Y2176" s="405"/>
      <c r="Z2176" s="405"/>
    </row>
    <row r="2177" ht="14.25" customHeight="1">
      <c r="A2177" s="1134"/>
      <c r="B2177" s="405"/>
      <c r="C2177" s="405"/>
      <c r="D2177" s="1135"/>
      <c r="E2177" s="583"/>
      <c r="F2177" s="583"/>
      <c r="G2177" s="583"/>
      <c r="H2177" s="405"/>
      <c r="I2177" s="405"/>
      <c r="J2177" s="405"/>
      <c r="K2177" s="405"/>
      <c r="L2177" s="405"/>
      <c r="M2177" s="405"/>
      <c r="N2177" s="405"/>
      <c r="O2177" s="405"/>
      <c r="P2177" s="405"/>
      <c r="Q2177" s="405"/>
      <c r="R2177" s="405"/>
      <c r="S2177" s="405"/>
      <c r="T2177" s="405"/>
      <c r="U2177" s="405"/>
      <c r="V2177" s="405"/>
      <c r="W2177" s="405"/>
      <c r="X2177" s="405"/>
      <c r="Y2177" s="405"/>
      <c r="Z2177" s="405"/>
    </row>
    <row r="2178" ht="14.25" customHeight="1">
      <c r="A2178" s="1134"/>
      <c r="B2178" s="405"/>
      <c r="C2178" s="405"/>
      <c r="D2178" s="1135"/>
      <c r="E2178" s="583"/>
      <c r="F2178" s="583"/>
      <c r="G2178" s="583"/>
      <c r="H2178" s="405"/>
      <c r="I2178" s="405"/>
      <c r="J2178" s="405"/>
      <c r="K2178" s="405"/>
      <c r="L2178" s="405"/>
      <c r="M2178" s="405"/>
      <c r="N2178" s="405"/>
      <c r="O2178" s="405"/>
      <c r="P2178" s="405"/>
      <c r="Q2178" s="405"/>
      <c r="R2178" s="405"/>
      <c r="S2178" s="405"/>
      <c r="T2178" s="405"/>
      <c r="U2178" s="405"/>
      <c r="V2178" s="405"/>
      <c r="W2178" s="405"/>
      <c r="X2178" s="405"/>
      <c r="Y2178" s="405"/>
      <c r="Z2178" s="405"/>
    </row>
    <row r="2179" ht="14.25" customHeight="1">
      <c r="A2179" s="1134"/>
      <c r="B2179" s="405"/>
      <c r="C2179" s="405"/>
      <c r="D2179" s="1135"/>
      <c r="E2179" s="583"/>
      <c r="F2179" s="583"/>
      <c r="G2179" s="583"/>
      <c r="H2179" s="405"/>
      <c r="I2179" s="405"/>
      <c r="J2179" s="405"/>
      <c r="K2179" s="405"/>
      <c r="L2179" s="405"/>
      <c r="M2179" s="405"/>
      <c r="N2179" s="405"/>
      <c r="O2179" s="405"/>
      <c r="P2179" s="405"/>
      <c r="Q2179" s="405"/>
      <c r="R2179" s="405"/>
      <c r="S2179" s="405"/>
      <c r="T2179" s="405"/>
      <c r="U2179" s="405"/>
      <c r="V2179" s="405"/>
      <c r="W2179" s="405"/>
      <c r="X2179" s="405"/>
      <c r="Y2179" s="405"/>
      <c r="Z2179" s="405"/>
    </row>
    <row r="2180" ht="14.25" customHeight="1">
      <c r="A2180" s="1134"/>
      <c r="B2180" s="405"/>
      <c r="C2180" s="405"/>
      <c r="D2180" s="1135"/>
      <c r="E2180" s="583"/>
      <c r="F2180" s="583"/>
      <c r="G2180" s="583"/>
      <c r="H2180" s="405"/>
      <c r="I2180" s="405"/>
      <c r="J2180" s="405"/>
      <c r="K2180" s="405"/>
      <c r="L2180" s="405"/>
      <c r="M2180" s="405"/>
      <c r="N2180" s="405"/>
      <c r="O2180" s="405"/>
      <c r="P2180" s="405"/>
      <c r="Q2180" s="405"/>
      <c r="R2180" s="405"/>
      <c r="S2180" s="405"/>
      <c r="T2180" s="405"/>
      <c r="U2180" s="405"/>
      <c r="V2180" s="405"/>
      <c r="W2180" s="405"/>
      <c r="X2180" s="405"/>
      <c r="Y2180" s="405"/>
      <c r="Z2180" s="405"/>
    </row>
    <row r="2181" ht="14.25" customHeight="1">
      <c r="A2181" s="1134"/>
      <c r="B2181" s="405"/>
      <c r="C2181" s="405"/>
      <c r="D2181" s="1135"/>
      <c r="E2181" s="583"/>
      <c r="F2181" s="583"/>
      <c r="G2181" s="583"/>
      <c r="H2181" s="405"/>
      <c r="I2181" s="405"/>
      <c r="J2181" s="405"/>
      <c r="K2181" s="405"/>
      <c r="L2181" s="405"/>
      <c r="M2181" s="405"/>
      <c r="N2181" s="405"/>
      <c r="O2181" s="405"/>
      <c r="P2181" s="405"/>
      <c r="Q2181" s="405"/>
      <c r="R2181" s="405"/>
      <c r="S2181" s="405"/>
      <c r="T2181" s="405"/>
      <c r="U2181" s="405"/>
      <c r="V2181" s="405"/>
      <c r="W2181" s="405"/>
      <c r="X2181" s="405"/>
      <c r="Y2181" s="405"/>
      <c r="Z2181" s="405"/>
    </row>
    <row r="2182" ht="14.25" customHeight="1">
      <c r="A2182" s="1134"/>
      <c r="B2182" s="405"/>
      <c r="C2182" s="405"/>
      <c r="D2182" s="1135"/>
      <c r="E2182" s="583"/>
      <c r="F2182" s="583"/>
      <c r="G2182" s="583"/>
      <c r="H2182" s="405"/>
      <c r="I2182" s="405"/>
      <c r="J2182" s="405"/>
      <c r="K2182" s="405"/>
      <c r="L2182" s="405"/>
      <c r="M2182" s="405"/>
      <c r="N2182" s="405"/>
      <c r="O2182" s="405"/>
      <c r="P2182" s="405"/>
      <c r="Q2182" s="405"/>
      <c r="R2182" s="405"/>
      <c r="S2182" s="405"/>
      <c r="T2182" s="405"/>
      <c r="U2182" s="405"/>
      <c r="V2182" s="405"/>
      <c r="W2182" s="405"/>
      <c r="X2182" s="405"/>
      <c r="Y2182" s="405"/>
      <c r="Z2182" s="405"/>
    </row>
    <row r="2183" ht="14.25" customHeight="1">
      <c r="A2183" s="1134"/>
      <c r="B2183" s="405"/>
      <c r="C2183" s="405"/>
      <c r="D2183" s="1135"/>
      <c r="E2183" s="583"/>
      <c r="F2183" s="583"/>
      <c r="G2183" s="583"/>
      <c r="H2183" s="405"/>
      <c r="I2183" s="405"/>
      <c r="J2183" s="405"/>
      <c r="K2183" s="405"/>
      <c r="L2183" s="405"/>
      <c r="M2183" s="405"/>
      <c r="N2183" s="405"/>
      <c r="O2183" s="405"/>
      <c r="P2183" s="405"/>
      <c r="Q2183" s="405"/>
      <c r="R2183" s="405"/>
      <c r="S2183" s="405"/>
      <c r="T2183" s="405"/>
      <c r="U2183" s="405"/>
      <c r="V2183" s="405"/>
      <c r="W2183" s="405"/>
      <c r="X2183" s="405"/>
      <c r="Y2183" s="405"/>
      <c r="Z2183" s="405"/>
    </row>
    <row r="2184" ht="14.25" customHeight="1">
      <c r="A2184" s="1134"/>
      <c r="B2184" s="405"/>
      <c r="C2184" s="405"/>
      <c r="D2184" s="1135"/>
      <c r="E2184" s="583"/>
      <c r="F2184" s="583"/>
      <c r="G2184" s="583"/>
      <c r="H2184" s="405"/>
      <c r="I2184" s="405"/>
      <c r="J2184" s="405"/>
      <c r="K2184" s="405"/>
      <c r="L2184" s="405"/>
      <c r="M2184" s="405"/>
      <c r="N2184" s="405"/>
      <c r="O2184" s="405"/>
      <c r="P2184" s="405"/>
      <c r="Q2184" s="405"/>
      <c r="R2184" s="405"/>
      <c r="S2184" s="405"/>
      <c r="T2184" s="405"/>
      <c r="U2184" s="405"/>
      <c r="V2184" s="405"/>
      <c r="W2184" s="405"/>
      <c r="X2184" s="405"/>
      <c r="Y2184" s="405"/>
      <c r="Z2184" s="405"/>
    </row>
    <row r="2185" ht="14.25" customHeight="1">
      <c r="A2185" s="1134"/>
      <c r="B2185" s="405"/>
      <c r="C2185" s="405"/>
      <c r="D2185" s="1135"/>
      <c r="E2185" s="583"/>
      <c r="F2185" s="583"/>
      <c r="G2185" s="583"/>
      <c r="H2185" s="405"/>
      <c r="I2185" s="405"/>
      <c r="J2185" s="405"/>
      <c r="K2185" s="405"/>
      <c r="L2185" s="405"/>
      <c r="M2185" s="405"/>
      <c r="N2185" s="405"/>
      <c r="O2185" s="405"/>
      <c r="P2185" s="405"/>
      <c r="Q2185" s="405"/>
      <c r="R2185" s="405"/>
      <c r="S2185" s="405"/>
      <c r="T2185" s="405"/>
      <c r="U2185" s="405"/>
      <c r="V2185" s="405"/>
      <c r="W2185" s="405"/>
      <c r="X2185" s="405"/>
      <c r="Y2185" s="405"/>
      <c r="Z2185" s="405"/>
    </row>
    <row r="2186" ht="14.25" customHeight="1">
      <c r="A2186" s="1134"/>
      <c r="B2186" s="405"/>
      <c r="C2186" s="405"/>
      <c r="D2186" s="1135"/>
      <c r="E2186" s="583"/>
      <c r="F2186" s="583"/>
      <c r="G2186" s="583"/>
      <c r="H2186" s="405"/>
      <c r="I2186" s="405"/>
      <c r="J2186" s="405"/>
      <c r="K2186" s="405"/>
      <c r="L2186" s="405"/>
      <c r="M2186" s="405"/>
      <c r="N2186" s="405"/>
      <c r="O2186" s="405"/>
      <c r="P2186" s="405"/>
      <c r="Q2186" s="405"/>
      <c r="R2186" s="405"/>
      <c r="S2186" s="405"/>
      <c r="T2186" s="405"/>
      <c r="U2186" s="405"/>
      <c r="V2186" s="405"/>
      <c r="W2186" s="405"/>
      <c r="X2186" s="405"/>
      <c r="Y2186" s="405"/>
      <c r="Z2186" s="405"/>
    </row>
    <row r="2187" ht="14.25" customHeight="1">
      <c r="A2187" s="1134"/>
      <c r="B2187" s="405"/>
      <c r="C2187" s="405"/>
      <c r="D2187" s="1135"/>
      <c r="E2187" s="583"/>
      <c r="F2187" s="583"/>
      <c r="G2187" s="583"/>
      <c r="H2187" s="405"/>
      <c r="I2187" s="405"/>
      <c r="J2187" s="405"/>
      <c r="K2187" s="405"/>
      <c r="L2187" s="405"/>
      <c r="M2187" s="405"/>
      <c r="N2187" s="405"/>
      <c r="O2187" s="405"/>
      <c r="P2187" s="405"/>
      <c r="Q2187" s="405"/>
      <c r="R2187" s="405"/>
      <c r="S2187" s="405"/>
      <c r="T2187" s="405"/>
      <c r="U2187" s="405"/>
      <c r="V2187" s="405"/>
      <c r="W2187" s="405"/>
      <c r="X2187" s="405"/>
      <c r="Y2187" s="405"/>
      <c r="Z2187" s="405"/>
    </row>
    <row r="2188" ht="14.25" customHeight="1">
      <c r="A2188" s="1134"/>
      <c r="B2188" s="405"/>
      <c r="C2188" s="405"/>
      <c r="D2188" s="1135"/>
      <c r="E2188" s="583"/>
      <c r="F2188" s="583"/>
      <c r="G2188" s="583"/>
      <c r="H2188" s="405"/>
      <c r="I2188" s="405"/>
      <c r="J2188" s="405"/>
      <c r="K2188" s="405"/>
      <c r="L2188" s="405"/>
      <c r="M2188" s="405"/>
      <c r="N2188" s="405"/>
      <c r="O2188" s="405"/>
      <c r="P2188" s="405"/>
      <c r="Q2188" s="405"/>
      <c r="R2188" s="405"/>
      <c r="S2188" s="405"/>
      <c r="T2188" s="405"/>
      <c r="U2188" s="405"/>
      <c r="V2188" s="405"/>
      <c r="W2188" s="405"/>
      <c r="X2188" s="405"/>
      <c r="Y2188" s="405"/>
      <c r="Z2188" s="405"/>
    </row>
    <row r="2189" ht="14.25" customHeight="1">
      <c r="A2189" s="1134"/>
      <c r="B2189" s="405"/>
      <c r="C2189" s="405"/>
      <c r="D2189" s="1135"/>
      <c r="E2189" s="583"/>
      <c r="F2189" s="583"/>
      <c r="G2189" s="583"/>
      <c r="H2189" s="405"/>
      <c r="I2189" s="405"/>
      <c r="J2189" s="405"/>
      <c r="K2189" s="405"/>
      <c r="L2189" s="405"/>
      <c r="M2189" s="405"/>
      <c r="N2189" s="405"/>
      <c r="O2189" s="405"/>
      <c r="P2189" s="405"/>
      <c r="Q2189" s="405"/>
      <c r="R2189" s="405"/>
      <c r="S2189" s="405"/>
      <c r="T2189" s="405"/>
      <c r="U2189" s="405"/>
      <c r="V2189" s="405"/>
      <c r="W2189" s="405"/>
      <c r="X2189" s="405"/>
      <c r="Y2189" s="405"/>
      <c r="Z2189" s="405"/>
    </row>
    <row r="2190" ht="14.25" customHeight="1">
      <c r="A2190" s="1134"/>
      <c r="B2190" s="405"/>
      <c r="C2190" s="405"/>
      <c r="D2190" s="1135"/>
      <c r="E2190" s="583"/>
      <c r="F2190" s="583"/>
      <c r="G2190" s="583"/>
      <c r="H2190" s="405"/>
      <c r="I2190" s="405"/>
      <c r="J2190" s="405"/>
      <c r="K2190" s="405"/>
      <c r="L2190" s="405"/>
      <c r="M2190" s="405"/>
      <c r="N2190" s="405"/>
      <c r="O2190" s="405"/>
      <c r="P2190" s="405"/>
      <c r="Q2190" s="405"/>
      <c r="R2190" s="405"/>
      <c r="S2190" s="405"/>
      <c r="T2190" s="405"/>
      <c r="U2190" s="405"/>
      <c r="V2190" s="405"/>
      <c r="W2190" s="405"/>
      <c r="X2190" s="405"/>
      <c r="Y2190" s="405"/>
      <c r="Z2190" s="405"/>
    </row>
    <row r="2191" ht="14.25" customHeight="1">
      <c r="A2191" s="1134"/>
      <c r="B2191" s="405"/>
      <c r="C2191" s="405"/>
      <c r="D2191" s="1135"/>
      <c r="E2191" s="583"/>
      <c r="F2191" s="583"/>
      <c r="G2191" s="583"/>
      <c r="H2191" s="405"/>
      <c r="I2191" s="405"/>
      <c r="J2191" s="405"/>
      <c r="K2191" s="405"/>
      <c r="L2191" s="405"/>
      <c r="M2191" s="405"/>
      <c r="N2191" s="405"/>
      <c r="O2191" s="405"/>
      <c r="P2191" s="405"/>
      <c r="Q2191" s="405"/>
      <c r="R2191" s="405"/>
      <c r="S2191" s="405"/>
      <c r="T2191" s="405"/>
      <c r="U2191" s="405"/>
      <c r="V2191" s="405"/>
      <c r="W2191" s="405"/>
      <c r="X2191" s="405"/>
      <c r="Y2191" s="405"/>
      <c r="Z2191" s="405"/>
    </row>
    <row r="2192" ht="14.25" customHeight="1">
      <c r="A2192" s="1134"/>
      <c r="B2192" s="405"/>
      <c r="C2192" s="405"/>
      <c r="D2192" s="1135"/>
      <c r="E2192" s="583"/>
      <c r="F2192" s="583"/>
      <c r="G2192" s="583"/>
      <c r="H2192" s="405"/>
      <c r="I2192" s="405"/>
      <c r="J2192" s="405"/>
      <c r="K2192" s="405"/>
      <c r="L2192" s="405"/>
      <c r="M2192" s="405"/>
      <c r="N2192" s="405"/>
      <c r="O2192" s="405"/>
      <c r="P2192" s="405"/>
      <c r="Q2192" s="405"/>
      <c r="R2192" s="405"/>
      <c r="S2192" s="405"/>
      <c r="T2192" s="405"/>
      <c r="U2192" s="405"/>
      <c r="V2192" s="405"/>
      <c r="W2192" s="405"/>
      <c r="X2192" s="405"/>
      <c r="Y2192" s="405"/>
      <c r="Z2192" s="405"/>
    </row>
    <row r="2193" ht="14.25" customHeight="1">
      <c r="A2193" s="1134"/>
      <c r="B2193" s="405"/>
      <c r="C2193" s="405"/>
      <c r="D2193" s="1135"/>
      <c r="E2193" s="583"/>
      <c r="F2193" s="583"/>
      <c r="G2193" s="583"/>
      <c r="H2193" s="405"/>
      <c r="I2193" s="405"/>
      <c r="J2193" s="405"/>
      <c r="K2193" s="405"/>
      <c r="L2193" s="405"/>
      <c r="M2193" s="405"/>
      <c r="N2193" s="405"/>
      <c r="O2193" s="405"/>
      <c r="P2193" s="405"/>
      <c r="Q2193" s="405"/>
      <c r="R2193" s="405"/>
      <c r="S2193" s="405"/>
      <c r="T2193" s="405"/>
      <c r="U2193" s="405"/>
      <c r="V2193" s="405"/>
      <c r="W2193" s="405"/>
      <c r="X2193" s="405"/>
      <c r="Y2193" s="405"/>
      <c r="Z2193" s="405"/>
    </row>
    <row r="2194" ht="14.25" customHeight="1">
      <c r="A2194" s="1134"/>
      <c r="B2194" s="405"/>
      <c r="C2194" s="405"/>
      <c r="D2194" s="1135"/>
      <c r="E2194" s="583"/>
      <c r="F2194" s="583"/>
      <c r="G2194" s="583"/>
      <c r="H2194" s="405"/>
      <c r="I2194" s="405"/>
      <c r="J2194" s="405"/>
      <c r="K2194" s="405"/>
      <c r="L2194" s="405"/>
      <c r="M2194" s="405"/>
      <c r="N2194" s="405"/>
      <c r="O2194" s="405"/>
      <c r="P2194" s="405"/>
      <c r="Q2194" s="405"/>
      <c r="R2194" s="405"/>
      <c r="S2194" s="405"/>
      <c r="T2194" s="405"/>
      <c r="U2194" s="405"/>
      <c r="V2194" s="405"/>
      <c r="W2194" s="405"/>
      <c r="X2194" s="405"/>
      <c r="Y2194" s="405"/>
      <c r="Z2194" s="405"/>
    </row>
    <row r="2195" ht="14.25" customHeight="1">
      <c r="A2195" s="1134"/>
      <c r="B2195" s="405"/>
      <c r="C2195" s="405"/>
      <c r="D2195" s="1135"/>
      <c r="E2195" s="583"/>
      <c r="F2195" s="583"/>
      <c r="G2195" s="583"/>
      <c r="H2195" s="405"/>
      <c r="I2195" s="405"/>
      <c r="J2195" s="405"/>
      <c r="K2195" s="405"/>
      <c r="L2195" s="405"/>
      <c r="M2195" s="405"/>
      <c r="N2195" s="405"/>
      <c r="O2195" s="405"/>
      <c r="P2195" s="405"/>
      <c r="Q2195" s="405"/>
      <c r="R2195" s="405"/>
      <c r="S2195" s="405"/>
      <c r="T2195" s="405"/>
      <c r="U2195" s="405"/>
      <c r="V2195" s="405"/>
      <c r="W2195" s="405"/>
      <c r="X2195" s="405"/>
      <c r="Y2195" s="405"/>
      <c r="Z2195" s="405"/>
    </row>
    <row r="2196" ht="14.25" customHeight="1">
      <c r="A2196" s="1134"/>
      <c r="B2196" s="405"/>
      <c r="C2196" s="405"/>
      <c r="D2196" s="1135"/>
      <c r="E2196" s="583"/>
      <c r="F2196" s="583"/>
      <c r="G2196" s="583"/>
      <c r="H2196" s="405"/>
      <c r="I2196" s="405"/>
      <c r="J2196" s="405"/>
      <c r="K2196" s="405"/>
      <c r="L2196" s="405"/>
      <c r="M2196" s="405"/>
      <c r="N2196" s="405"/>
      <c r="O2196" s="405"/>
      <c r="P2196" s="405"/>
      <c r="Q2196" s="405"/>
      <c r="R2196" s="405"/>
      <c r="S2196" s="405"/>
      <c r="T2196" s="405"/>
      <c r="U2196" s="405"/>
      <c r="V2196" s="405"/>
      <c r="W2196" s="405"/>
      <c r="X2196" s="405"/>
      <c r="Y2196" s="405"/>
      <c r="Z2196" s="405"/>
    </row>
    <row r="2197" ht="14.25" customHeight="1">
      <c r="A2197" s="1134"/>
      <c r="B2197" s="405"/>
      <c r="C2197" s="405"/>
      <c r="D2197" s="1135"/>
      <c r="E2197" s="583"/>
      <c r="F2197" s="583"/>
      <c r="G2197" s="583"/>
      <c r="H2197" s="405"/>
      <c r="I2197" s="405"/>
      <c r="J2197" s="405"/>
      <c r="K2197" s="405"/>
      <c r="L2197" s="405"/>
      <c r="M2197" s="405"/>
      <c r="N2197" s="405"/>
      <c r="O2197" s="405"/>
      <c r="P2197" s="405"/>
      <c r="Q2197" s="405"/>
      <c r="R2197" s="405"/>
      <c r="S2197" s="405"/>
      <c r="T2197" s="405"/>
      <c r="U2197" s="405"/>
      <c r="V2197" s="405"/>
      <c r="W2197" s="405"/>
      <c r="X2197" s="405"/>
      <c r="Y2197" s="405"/>
      <c r="Z2197" s="405"/>
    </row>
    <row r="2198" ht="14.25" customHeight="1">
      <c r="A2198" s="1134"/>
      <c r="B2198" s="405"/>
      <c r="C2198" s="405"/>
      <c r="D2198" s="1135"/>
      <c r="E2198" s="583"/>
      <c r="F2198" s="583"/>
      <c r="G2198" s="583"/>
      <c r="H2198" s="405"/>
      <c r="I2198" s="405"/>
      <c r="J2198" s="405"/>
      <c r="K2198" s="405"/>
      <c r="L2198" s="405"/>
      <c r="M2198" s="405"/>
      <c r="N2198" s="405"/>
      <c r="O2198" s="405"/>
      <c r="P2198" s="405"/>
      <c r="Q2198" s="405"/>
      <c r="R2198" s="405"/>
      <c r="S2198" s="405"/>
      <c r="T2198" s="405"/>
      <c r="U2198" s="405"/>
      <c r="V2198" s="405"/>
      <c r="W2198" s="405"/>
      <c r="X2198" s="405"/>
      <c r="Y2198" s="405"/>
      <c r="Z2198" s="405"/>
    </row>
    <row r="2199" ht="14.25" customHeight="1">
      <c r="A2199" s="1134"/>
      <c r="B2199" s="405"/>
      <c r="C2199" s="405"/>
      <c r="D2199" s="1135"/>
      <c r="E2199" s="583"/>
      <c r="F2199" s="583"/>
      <c r="G2199" s="583"/>
      <c r="H2199" s="405"/>
      <c r="I2199" s="405"/>
      <c r="J2199" s="405"/>
      <c r="K2199" s="405"/>
      <c r="L2199" s="405"/>
      <c r="M2199" s="405"/>
      <c r="N2199" s="405"/>
      <c r="O2199" s="405"/>
      <c r="P2199" s="405"/>
      <c r="Q2199" s="405"/>
      <c r="R2199" s="405"/>
      <c r="S2199" s="405"/>
      <c r="T2199" s="405"/>
      <c r="U2199" s="405"/>
      <c r="V2199" s="405"/>
      <c r="W2199" s="405"/>
      <c r="X2199" s="405"/>
      <c r="Y2199" s="405"/>
      <c r="Z2199" s="405"/>
    </row>
    <row r="2200" ht="14.25" customHeight="1">
      <c r="A2200" s="1134"/>
      <c r="B2200" s="405"/>
      <c r="C2200" s="405"/>
      <c r="D2200" s="1135"/>
      <c r="E2200" s="583"/>
      <c r="F2200" s="583"/>
      <c r="G2200" s="583"/>
      <c r="H2200" s="405"/>
      <c r="I2200" s="405"/>
      <c r="J2200" s="405"/>
      <c r="K2200" s="405"/>
      <c r="L2200" s="405"/>
      <c r="M2200" s="405"/>
      <c r="N2200" s="405"/>
      <c r="O2200" s="405"/>
      <c r="P2200" s="405"/>
      <c r="Q2200" s="405"/>
      <c r="R2200" s="405"/>
      <c r="S2200" s="405"/>
      <c r="T2200" s="405"/>
      <c r="U2200" s="405"/>
      <c r="V2200" s="405"/>
      <c r="W2200" s="405"/>
      <c r="X2200" s="405"/>
      <c r="Y2200" s="405"/>
      <c r="Z2200" s="405"/>
    </row>
    <row r="2201" ht="14.25" customHeight="1">
      <c r="A2201" s="1134"/>
      <c r="B2201" s="405"/>
      <c r="C2201" s="405"/>
      <c r="D2201" s="1135"/>
      <c r="E2201" s="583"/>
      <c r="F2201" s="583"/>
      <c r="G2201" s="583"/>
      <c r="H2201" s="405"/>
      <c r="I2201" s="405"/>
      <c r="J2201" s="405"/>
      <c r="K2201" s="405"/>
      <c r="L2201" s="405"/>
      <c r="M2201" s="405"/>
      <c r="N2201" s="405"/>
      <c r="O2201" s="405"/>
      <c r="P2201" s="405"/>
      <c r="Q2201" s="405"/>
      <c r="R2201" s="405"/>
      <c r="S2201" s="405"/>
      <c r="T2201" s="405"/>
      <c r="U2201" s="405"/>
      <c r="V2201" s="405"/>
      <c r="W2201" s="405"/>
      <c r="X2201" s="405"/>
      <c r="Y2201" s="405"/>
      <c r="Z2201" s="405"/>
    </row>
    <row r="2202" ht="14.25" customHeight="1">
      <c r="A2202" s="1134"/>
      <c r="B2202" s="405"/>
      <c r="C2202" s="405"/>
      <c r="D2202" s="1135"/>
      <c r="E2202" s="583"/>
      <c r="F2202" s="583"/>
      <c r="G2202" s="583"/>
      <c r="H2202" s="405"/>
      <c r="I2202" s="405"/>
      <c r="J2202" s="405"/>
      <c r="K2202" s="405"/>
      <c r="L2202" s="405"/>
      <c r="M2202" s="405"/>
      <c r="N2202" s="405"/>
      <c r="O2202" s="405"/>
      <c r="P2202" s="405"/>
      <c r="Q2202" s="405"/>
      <c r="R2202" s="405"/>
      <c r="S2202" s="405"/>
      <c r="T2202" s="405"/>
      <c r="U2202" s="405"/>
      <c r="V2202" s="405"/>
      <c r="W2202" s="405"/>
      <c r="X2202" s="405"/>
      <c r="Y2202" s="405"/>
      <c r="Z2202" s="405"/>
    </row>
    <row r="2203" ht="14.25" customHeight="1">
      <c r="A2203" s="1134"/>
      <c r="B2203" s="405"/>
      <c r="C2203" s="405"/>
      <c r="D2203" s="1135"/>
      <c r="E2203" s="583"/>
      <c r="F2203" s="583"/>
      <c r="G2203" s="583"/>
      <c r="H2203" s="405"/>
      <c r="I2203" s="405"/>
      <c r="J2203" s="405"/>
      <c r="K2203" s="405"/>
      <c r="L2203" s="405"/>
      <c r="M2203" s="405"/>
      <c r="N2203" s="405"/>
      <c r="O2203" s="405"/>
      <c r="P2203" s="405"/>
      <c r="Q2203" s="405"/>
      <c r="R2203" s="405"/>
      <c r="S2203" s="405"/>
      <c r="T2203" s="405"/>
      <c r="U2203" s="405"/>
      <c r="V2203" s="405"/>
      <c r="W2203" s="405"/>
      <c r="X2203" s="405"/>
      <c r="Y2203" s="405"/>
      <c r="Z2203" s="405"/>
    </row>
    <row r="2204" ht="14.25" customHeight="1">
      <c r="A2204" s="1134"/>
      <c r="B2204" s="405"/>
      <c r="C2204" s="405"/>
      <c r="D2204" s="1135"/>
      <c r="E2204" s="583"/>
      <c r="F2204" s="583"/>
      <c r="G2204" s="583"/>
      <c r="H2204" s="405"/>
      <c r="I2204" s="405"/>
      <c r="J2204" s="405"/>
      <c r="K2204" s="405"/>
      <c r="L2204" s="405"/>
      <c r="M2204" s="405"/>
      <c r="N2204" s="405"/>
      <c r="O2204" s="405"/>
      <c r="P2204" s="405"/>
      <c r="Q2204" s="405"/>
      <c r="R2204" s="405"/>
      <c r="S2204" s="405"/>
      <c r="T2204" s="405"/>
      <c r="U2204" s="405"/>
      <c r="V2204" s="405"/>
      <c r="W2204" s="405"/>
      <c r="X2204" s="405"/>
      <c r="Y2204" s="405"/>
      <c r="Z2204" s="405"/>
    </row>
    <row r="2205" ht="14.25" customHeight="1">
      <c r="A2205" s="1134"/>
      <c r="B2205" s="405"/>
      <c r="C2205" s="405"/>
      <c r="D2205" s="1135"/>
      <c r="E2205" s="583"/>
      <c r="F2205" s="583"/>
      <c r="G2205" s="583"/>
      <c r="H2205" s="405"/>
      <c r="I2205" s="405"/>
      <c r="J2205" s="405"/>
      <c r="K2205" s="405"/>
      <c r="L2205" s="405"/>
      <c r="M2205" s="405"/>
      <c r="N2205" s="405"/>
      <c r="O2205" s="405"/>
      <c r="P2205" s="405"/>
      <c r="Q2205" s="405"/>
      <c r="R2205" s="405"/>
      <c r="S2205" s="405"/>
      <c r="T2205" s="405"/>
      <c r="U2205" s="405"/>
      <c r="V2205" s="405"/>
      <c r="W2205" s="405"/>
      <c r="X2205" s="405"/>
      <c r="Y2205" s="405"/>
      <c r="Z2205" s="405"/>
    </row>
    <row r="2206" ht="14.25" customHeight="1">
      <c r="A2206" s="1134"/>
      <c r="B2206" s="405"/>
      <c r="C2206" s="405"/>
      <c r="D2206" s="1135"/>
      <c r="E2206" s="583"/>
      <c r="F2206" s="583"/>
      <c r="G2206" s="583"/>
      <c r="H2206" s="405"/>
      <c r="I2206" s="405"/>
      <c r="J2206" s="405"/>
      <c r="K2206" s="405"/>
      <c r="L2206" s="405"/>
      <c r="M2206" s="405"/>
      <c r="N2206" s="405"/>
      <c r="O2206" s="405"/>
      <c r="P2206" s="405"/>
      <c r="Q2206" s="405"/>
      <c r="R2206" s="405"/>
      <c r="S2206" s="405"/>
      <c r="T2206" s="405"/>
      <c r="U2206" s="405"/>
      <c r="V2206" s="405"/>
      <c r="W2206" s="405"/>
      <c r="X2206" s="405"/>
      <c r="Y2206" s="405"/>
      <c r="Z2206" s="405"/>
    </row>
    <row r="2207" ht="14.25" customHeight="1">
      <c r="A2207" s="1134"/>
      <c r="B2207" s="405"/>
      <c r="C2207" s="405"/>
      <c r="D2207" s="1135"/>
      <c r="E2207" s="583"/>
      <c r="F2207" s="583"/>
      <c r="G2207" s="583"/>
      <c r="H2207" s="405"/>
      <c r="I2207" s="405"/>
      <c r="J2207" s="405"/>
      <c r="K2207" s="405"/>
      <c r="L2207" s="405"/>
      <c r="M2207" s="405"/>
      <c r="N2207" s="405"/>
      <c r="O2207" s="405"/>
      <c r="P2207" s="405"/>
      <c r="Q2207" s="405"/>
      <c r="R2207" s="405"/>
      <c r="S2207" s="405"/>
      <c r="T2207" s="405"/>
      <c r="U2207" s="405"/>
      <c r="V2207" s="405"/>
      <c r="W2207" s="405"/>
      <c r="X2207" s="405"/>
      <c r="Y2207" s="405"/>
      <c r="Z2207" s="405"/>
    </row>
    <row r="2208" ht="14.25" customHeight="1">
      <c r="A2208" s="1134"/>
      <c r="B2208" s="405"/>
      <c r="C2208" s="405"/>
      <c r="D2208" s="1135"/>
      <c r="E2208" s="583"/>
      <c r="F2208" s="583"/>
      <c r="G2208" s="583"/>
      <c r="H2208" s="405"/>
      <c r="I2208" s="405"/>
      <c r="J2208" s="405"/>
      <c r="K2208" s="405"/>
      <c r="L2208" s="405"/>
      <c r="M2208" s="405"/>
      <c r="N2208" s="405"/>
      <c r="O2208" s="405"/>
      <c r="P2208" s="405"/>
      <c r="Q2208" s="405"/>
      <c r="R2208" s="405"/>
      <c r="S2208" s="405"/>
      <c r="T2208" s="405"/>
      <c r="U2208" s="405"/>
      <c r="V2208" s="405"/>
      <c r="W2208" s="405"/>
      <c r="X2208" s="405"/>
      <c r="Y2208" s="405"/>
      <c r="Z2208" s="405"/>
    </row>
    <row r="2209" ht="14.25" customHeight="1">
      <c r="A2209" s="1134"/>
      <c r="B2209" s="405"/>
      <c r="C2209" s="405"/>
      <c r="D2209" s="1135"/>
      <c r="E2209" s="583"/>
      <c r="F2209" s="583"/>
      <c r="G2209" s="583"/>
      <c r="H2209" s="405"/>
      <c r="I2209" s="405"/>
      <c r="J2209" s="405"/>
      <c r="K2209" s="405"/>
      <c r="L2209" s="405"/>
      <c r="M2209" s="405"/>
      <c r="N2209" s="405"/>
      <c r="O2209" s="405"/>
      <c r="P2209" s="405"/>
      <c r="Q2209" s="405"/>
      <c r="R2209" s="405"/>
      <c r="S2209" s="405"/>
      <c r="T2209" s="405"/>
      <c r="U2209" s="405"/>
      <c r="V2209" s="405"/>
      <c r="W2209" s="405"/>
      <c r="X2209" s="405"/>
      <c r="Y2209" s="405"/>
      <c r="Z2209" s="405"/>
    </row>
    <row r="2210" ht="14.25" customHeight="1">
      <c r="A2210" s="1134"/>
      <c r="B2210" s="405"/>
      <c r="C2210" s="405"/>
      <c r="D2210" s="1135"/>
      <c r="E2210" s="583"/>
      <c r="F2210" s="583"/>
      <c r="G2210" s="583"/>
      <c r="H2210" s="405"/>
      <c r="I2210" s="405"/>
      <c r="J2210" s="405"/>
      <c r="K2210" s="405"/>
      <c r="L2210" s="405"/>
      <c r="M2210" s="405"/>
      <c r="N2210" s="405"/>
      <c r="O2210" s="405"/>
      <c r="P2210" s="405"/>
      <c r="Q2210" s="405"/>
      <c r="R2210" s="405"/>
      <c r="S2210" s="405"/>
      <c r="T2210" s="405"/>
      <c r="U2210" s="405"/>
      <c r="V2210" s="405"/>
      <c r="W2210" s="405"/>
      <c r="X2210" s="405"/>
      <c r="Y2210" s="405"/>
      <c r="Z2210" s="405"/>
    </row>
    <row r="2211" ht="14.25" customHeight="1">
      <c r="A2211" s="1134"/>
      <c r="B2211" s="405"/>
      <c r="C2211" s="405"/>
      <c r="D2211" s="1135"/>
      <c r="E2211" s="583"/>
      <c r="F2211" s="583"/>
      <c r="G2211" s="583"/>
      <c r="H2211" s="405"/>
      <c r="I2211" s="405"/>
      <c r="J2211" s="405"/>
      <c r="K2211" s="405"/>
      <c r="L2211" s="405"/>
      <c r="M2211" s="405"/>
      <c r="N2211" s="405"/>
      <c r="O2211" s="405"/>
      <c r="P2211" s="405"/>
      <c r="Q2211" s="405"/>
      <c r="R2211" s="405"/>
      <c r="S2211" s="405"/>
      <c r="T2211" s="405"/>
      <c r="U2211" s="405"/>
      <c r="V2211" s="405"/>
      <c r="W2211" s="405"/>
      <c r="X2211" s="405"/>
      <c r="Y2211" s="405"/>
      <c r="Z2211" s="405"/>
    </row>
    <row r="2212" ht="14.25" customHeight="1">
      <c r="A2212" s="1134"/>
      <c r="B2212" s="405"/>
      <c r="C2212" s="405"/>
      <c r="D2212" s="1135"/>
      <c r="E2212" s="583"/>
      <c r="F2212" s="583"/>
      <c r="G2212" s="583"/>
      <c r="H2212" s="405"/>
      <c r="I2212" s="405"/>
      <c r="J2212" s="405"/>
      <c r="K2212" s="405"/>
      <c r="L2212" s="405"/>
      <c r="M2212" s="405"/>
      <c r="N2212" s="405"/>
      <c r="O2212" s="405"/>
      <c r="P2212" s="405"/>
      <c r="Q2212" s="405"/>
      <c r="R2212" s="405"/>
      <c r="S2212" s="405"/>
      <c r="T2212" s="405"/>
      <c r="U2212" s="405"/>
      <c r="V2212" s="405"/>
      <c r="W2212" s="405"/>
      <c r="X2212" s="405"/>
      <c r="Y2212" s="405"/>
      <c r="Z2212" s="405"/>
    </row>
    <row r="2213" ht="14.25" customHeight="1">
      <c r="A2213" s="1134"/>
      <c r="B2213" s="405"/>
      <c r="C2213" s="405"/>
      <c r="D2213" s="1135"/>
      <c r="E2213" s="583"/>
      <c r="F2213" s="583"/>
      <c r="G2213" s="583"/>
      <c r="H2213" s="405"/>
      <c r="I2213" s="405"/>
      <c r="J2213" s="405"/>
      <c r="K2213" s="405"/>
      <c r="L2213" s="405"/>
      <c r="M2213" s="405"/>
      <c r="N2213" s="405"/>
      <c r="O2213" s="405"/>
      <c r="P2213" s="405"/>
      <c r="Q2213" s="405"/>
      <c r="R2213" s="405"/>
      <c r="S2213" s="405"/>
      <c r="T2213" s="405"/>
      <c r="U2213" s="405"/>
      <c r="V2213" s="405"/>
      <c r="W2213" s="405"/>
      <c r="X2213" s="405"/>
      <c r="Y2213" s="405"/>
      <c r="Z2213" s="405"/>
    </row>
    <row r="2214" ht="14.25" customHeight="1">
      <c r="A2214" s="1134"/>
      <c r="B2214" s="405"/>
      <c r="C2214" s="405"/>
      <c r="D2214" s="1135"/>
      <c r="E2214" s="583"/>
      <c r="F2214" s="583"/>
      <c r="G2214" s="583"/>
      <c r="H2214" s="405"/>
      <c r="I2214" s="405"/>
      <c r="J2214" s="405"/>
      <c r="K2214" s="405"/>
      <c r="L2214" s="405"/>
      <c r="M2214" s="405"/>
      <c r="N2214" s="405"/>
      <c r="O2214" s="405"/>
      <c r="P2214" s="405"/>
      <c r="Q2214" s="405"/>
      <c r="R2214" s="405"/>
      <c r="S2214" s="405"/>
      <c r="T2214" s="405"/>
      <c r="U2214" s="405"/>
      <c r="V2214" s="405"/>
      <c r="W2214" s="405"/>
      <c r="X2214" s="405"/>
      <c r="Y2214" s="405"/>
      <c r="Z2214" s="405"/>
    </row>
    <row r="2215" ht="14.25" customHeight="1">
      <c r="A2215" s="1134"/>
      <c r="B2215" s="405"/>
      <c r="C2215" s="405"/>
      <c r="D2215" s="1135"/>
      <c r="E2215" s="583"/>
      <c r="F2215" s="583"/>
      <c r="G2215" s="583"/>
      <c r="H2215" s="405"/>
      <c r="I2215" s="405"/>
      <c r="J2215" s="405"/>
      <c r="K2215" s="405"/>
      <c r="L2215" s="405"/>
      <c r="M2215" s="405"/>
      <c r="N2215" s="405"/>
      <c r="O2215" s="405"/>
      <c r="P2215" s="405"/>
      <c r="Q2215" s="405"/>
      <c r="R2215" s="405"/>
      <c r="S2215" s="405"/>
      <c r="T2215" s="405"/>
      <c r="U2215" s="405"/>
      <c r="V2215" s="405"/>
      <c r="W2215" s="405"/>
      <c r="X2215" s="405"/>
      <c r="Y2215" s="405"/>
      <c r="Z2215" s="405"/>
    </row>
    <row r="2216" ht="14.25" customHeight="1">
      <c r="A2216" s="1134"/>
      <c r="B2216" s="405"/>
      <c r="C2216" s="405"/>
      <c r="D2216" s="1135"/>
      <c r="E2216" s="583"/>
      <c r="F2216" s="583"/>
      <c r="G2216" s="583"/>
      <c r="H2216" s="405"/>
      <c r="I2216" s="405"/>
      <c r="J2216" s="405"/>
      <c r="K2216" s="405"/>
      <c r="L2216" s="405"/>
      <c r="M2216" s="405"/>
      <c r="N2216" s="405"/>
      <c r="O2216" s="405"/>
      <c r="P2216" s="405"/>
      <c r="Q2216" s="405"/>
      <c r="R2216" s="405"/>
      <c r="S2216" s="405"/>
      <c r="T2216" s="405"/>
      <c r="U2216" s="405"/>
      <c r="V2216" s="405"/>
      <c r="W2216" s="405"/>
      <c r="X2216" s="405"/>
      <c r="Y2216" s="405"/>
      <c r="Z2216" s="405"/>
    </row>
    <row r="2217" ht="14.25" customHeight="1">
      <c r="A2217" s="1134"/>
      <c r="B2217" s="405"/>
      <c r="C2217" s="405"/>
      <c r="D2217" s="1135"/>
      <c r="E2217" s="583"/>
      <c r="F2217" s="583"/>
      <c r="G2217" s="583"/>
      <c r="H2217" s="405"/>
      <c r="I2217" s="405"/>
      <c r="J2217" s="405"/>
      <c r="K2217" s="405"/>
      <c r="L2217" s="405"/>
      <c r="M2217" s="405"/>
      <c r="N2217" s="405"/>
      <c r="O2217" s="405"/>
      <c r="P2217" s="405"/>
      <c r="Q2217" s="405"/>
      <c r="R2217" s="405"/>
      <c r="S2217" s="405"/>
      <c r="T2217" s="405"/>
      <c r="U2217" s="405"/>
      <c r="V2217" s="405"/>
      <c r="W2217" s="405"/>
      <c r="X2217" s="405"/>
      <c r="Y2217" s="405"/>
      <c r="Z2217" s="405"/>
    </row>
    <row r="2218" ht="14.25" customHeight="1">
      <c r="A2218" s="1134"/>
      <c r="B2218" s="405"/>
      <c r="C2218" s="405"/>
      <c r="D2218" s="1135"/>
      <c r="E2218" s="583"/>
      <c r="F2218" s="583"/>
      <c r="G2218" s="583"/>
      <c r="H2218" s="405"/>
      <c r="I2218" s="405"/>
      <c r="J2218" s="405"/>
      <c r="K2218" s="405"/>
      <c r="L2218" s="405"/>
      <c r="M2218" s="405"/>
      <c r="N2218" s="405"/>
      <c r="O2218" s="405"/>
      <c r="P2218" s="405"/>
      <c r="Q2218" s="405"/>
      <c r="R2218" s="405"/>
      <c r="S2218" s="405"/>
      <c r="T2218" s="405"/>
      <c r="U2218" s="405"/>
      <c r="V2218" s="405"/>
      <c r="W2218" s="405"/>
      <c r="X2218" s="405"/>
      <c r="Y2218" s="405"/>
      <c r="Z2218" s="405"/>
    </row>
    <row r="2219" ht="14.25" customHeight="1">
      <c r="A2219" s="1134"/>
      <c r="B2219" s="405"/>
      <c r="C2219" s="405"/>
      <c r="D2219" s="1135"/>
      <c r="E2219" s="583"/>
      <c r="F2219" s="583"/>
      <c r="G2219" s="583"/>
      <c r="H2219" s="405"/>
      <c r="I2219" s="405"/>
      <c r="J2219" s="405"/>
      <c r="K2219" s="405"/>
      <c r="L2219" s="405"/>
      <c r="M2219" s="405"/>
      <c r="N2219" s="405"/>
      <c r="O2219" s="405"/>
      <c r="P2219" s="405"/>
      <c r="Q2219" s="405"/>
      <c r="R2219" s="405"/>
      <c r="S2219" s="405"/>
      <c r="T2219" s="405"/>
      <c r="U2219" s="405"/>
      <c r="V2219" s="405"/>
      <c r="W2219" s="405"/>
      <c r="X2219" s="405"/>
      <c r="Y2219" s="405"/>
      <c r="Z2219" s="405"/>
    </row>
    <row r="2220" ht="14.25" customHeight="1">
      <c r="A2220" s="1134"/>
      <c r="B2220" s="405"/>
      <c r="C2220" s="405"/>
      <c r="D2220" s="1135"/>
      <c r="E2220" s="583"/>
      <c r="F2220" s="583"/>
      <c r="G2220" s="583"/>
      <c r="H2220" s="405"/>
      <c r="I2220" s="405"/>
      <c r="J2220" s="405"/>
      <c r="K2220" s="405"/>
      <c r="L2220" s="405"/>
      <c r="M2220" s="405"/>
      <c r="N2220" s="405"/>
      <c r="O2220" s="405"/>
      <c r="P2220" s="405"/>
      <c r="Q2220" s="405"/>
      <c r="R2220" s="405"/>
      <c r="S2220" s="405"/>
      <c r="T2220" s="405"/>
      <c r="U2220" s="405"/>
      <c r="V2220" s="405"/>
      <c r="W2220" s="405"/>
      <c r="X2220" s="405"/>
      <c r="Y2220" s="405"/>
      <c r="Z2220" s="405"/>
    </row>
    <row r="2221" ht="14.25" customHeight="1">
      <c r="A2221" s="1134"/>
      <c r="B2221" s="405"/>
      <c r="C2221" s="405"/>
      <c r="D2221" s="1135"/>
      <c r="E2221" s="583"/>
      <c r="F2221" s="583"/>
      <c r="G2221" s="583"/>
      <c r="H2221" s="405"/>
      <c r="I2221" s="405"/>
      <c r="J2221" s="405"/>
      <c r="K2221" s="405"/>
      <c r="L2221" s="405"/>
      <c r="M2221" s="405"/>
      <c r="N2221" s="405"/>
      <c r="O2221" s="405"/>
      <c r="P2221" s="405"/>
      <c r="Q2221" s="405"/>
      <c r="R2221" s="405"/>
      <c r="S2221" s="405"/>
      <c r="T2221" s="405"/>
      <c r="U2221" s="405"/>
      <c r="V2221" s="405"/>
      <c r="W2221" s="405"/>
      <c r="X2221" s="405"/>
      <c r="Y2221" s="405"/>
      <c r="Z2221" s="405"/>
    </row>
    <row r="2222" ht="14.25" customHeight="1">
      <c r="A2222" s="1134"/>
      <c r="B2222" s="405"/>
      <c r="C2222" s="405"/>
      <c r="D2222" s="1135"/>
      <c r="E2222" s="583"/>
      <c r="F2222" s="583"/>
      <c r="G2222" s="583"/>
      <c r="H2222" s="405"/>
      <c r="I2222" s="405"/>
      <c r="J2222" s="405"/>
      <c r="K2222" s="405"/>
      <c r="L2222" s="405"/>
      <c r="M2222" s="405"/>
      <c r="N2222" s="405"/>
      <c r="O2222" s="405"/>
      <c r="P2222" s="405"/>
      <c r="Q2222" s="405"/>
      <c r="R2222" s="405"/>
      <c r="S2222" s="405"/>
      <c r="T2222" s="405"/>
      <c r="U2222" s="405"/>
      <c r="V2222" s="405"/>
      <c r="W2222" s="405"/>
      <c r="X2222" s="405"/>
      <c r="Y2222" s="405"/>
      <c r="Z2222" s="405"/>
    </row>
    <row r="2223" ht="14.25" customHeight="1">
      <c r="A2223" s="1134"/>
      <c r="B2223" s="405"/>
      <c r="C2223" s="405"/>
      <c r="D2223" s="1135"/>
      <c r="E2223" s="583"/>
      <c r="F2223" s="583"/>
      <c r="G2223" s="583"/>
      <c r="H2223" s="405"/>
      <c r="I2223" s="405"/>
      <c r="J2223" s="405"/>
      <c r="K2223" s="405"/>
      <c r="L2223" s="405"/>
      <c r="M2223" s="405"/>
      <c r="N2223" s="405"/>
      <c r="O2223" s="405"/>
      <c r="P2223" s="405"/>
      <c r="Q2223" s="405"/>
      <c r="R2223" s="405"/>
      <c r="S2223" s="405"/>
      <c r="T2223" s="405"/>
      <c r="U2223" s="405"/>
      <c r="V2223" s="405"/>
      <c r="W2223" s="405"/>
      <c r="X2223" s="405"/>
      <c r="Y2223" s="405"/>
      <c r="Z2223" s="405"/>
    </row>
    <row r="2224" ht="14.25" customHeight="1">
      <c r="A2224" s="1134"/>
      <c r="B2224" s="405"/>
      <c r="C2224" s="405"/>
      <c r="D2224" s="1135"/>
      <c r="E2224" s="583"/>
      <c r="F2224" s="583"/>
      <c r="G2224" s="583"/>
      <c r="H2224" s="405"/>
      <c r="I2224" s="405"/>
      <c r="J2224" s="405"/>
      <c r="K2224" s="405"/>
      <c r="L2224" s="405"/>
      <c r="M2224" s="405"/>
      <c r="N2224" s="405"/>
      <c r="O2224" s="405"/>
      <c r="P2224" s="405"/>
      <c r="Q2224" s="405"/>
      <c r="R2224" s="405"/>
      <c r="S2224" s="405"/>
      <c r="T2224" s="405"/>
      <c r="U2224" s="405"/>
      <c r="V2224" s="405"/>
      <c r="W2224" s="405"/>
      <c r="X2224" s="405"/>
      <c r="Y2224" s="405"/>
      <c r="Z2224" s="405"/>
    </row>
    <row r="2225" ht="14.25" customHeight="1">
      <c r="A2225" s="1134"/>
      <c r="B2225" s="405"/>
      <c r="C2225" s="405"/>
      <c r="D2225" s="1135"/>
      <c r="E2225" s="583"/>
      <c r="F2225" s="583"/>
      <c r="G2225" s="583"/>
      <c r="H2225" s="405"/>
      <c r="I2225" s="405"/>
      <c r="J2225" s="405"/>
      <c r="K2225" s="405"/>
      <c r="L2225" s="405"/>
      <c r="M2225" s="405"/>
      <c r="N2225" s="405"/>
      <c r="O2225" s="405"/>
      <c r="P2225" s="405"/>
      <c r="Q2225" s="405"/>
      <c r="R2225" s="405"/>
      <c r="S2225" s="405"/>
      <c r="T2225" s="405"/>
      <c r="U2225" s="405"/>
      <c r="V2225" s="405"/>
      <c r="W2225" s="405"/>
      <c r="X2225" s="405"/>
      <c r="Y2225" s="405"/>
      <c r="Z2225" s="405"/>
    </row>
    <row r="2226" ht="14.25" customHeight="1">
      <c r="A2226" s="1134"/>
      <c r="B2226" s="405"/>
      <c r="C2226" s="405"/>
      <c r="D2226" s="1135"/>
      <c r="E2226" s="583"/>
      <c r="F2226" s="583"/>
      <c r="G2226" s="583"/>
      <c r="H2226" s="405"/>
      <c r="I2226" s="405"/>
      <c r="J2226" s="405"/>
      <c r="K2226" s="405"/>
      <c r="L2226" s="405"/>
      <c r="M2226" s="405"/>
      <c r="N2226" s="405"/>
      <c r="O2226" s="405"/>
      <c r="P2226" s="405"/>
      <c r="Q2226" s="405"/>
      <c r="R2226" s="405"/>
      <c r="S2226" s="405"/>
      <c r="T2226" s="405"/>
      <c r="U2226" s="405"/>
      <c r="V2226" s="405"/>
      <c r="W2226" s="405"/>
      <c r="X2226" s="405"/>
      <c r="Y2226" s="405"/>
      <c r="Z2226" s="405"/>
    </row>
    <row r="2227" ht="14.25" customHeight="1">
      <c r="A2227" s="1134"/>
      <c r="B2227" s="405"/>
      <c r="C2227" s="405"/>
      <c r="D2227" s="1135"/>
      <c r="E2227" s="583"/>
      <c r="F2227" s="583"/>
      <c r="G2227" s="583"/>
      <c r="H2227" s="405"/>
      <c r="I2227" s="405"/>
      <c r="J2227" s="405"/>
      <c r="K2227" s="405"/>
      <c r="L2227" s="405"/>
      <c r="M2227" s="405"/>
      <c r="N2227" s="405"/>
      <c r="O2227" s="405"/>
      <c r="P2227" s="405"/>
      <c r="Q2227" s="405"/>
      <c r="R2227" s="405"/>
      <c r="S2227" s="405"/>
      <c r="T2227" s="405"/>
      <c r="U2227" s="405"/>
      <c r="V2227" s="405"/>
      <c r="W2227" s="405"/>
      <c r="X2227" s="405"/>
      <c r="Y2227" s="405"/>
      <c r="Z2227" s="405"/>
    </row>
    <row r="2228" ht="14.25" customHeight="1">
      <c r="A2228" s="1134"/>
      <c r="B2228" s="405"/>
      <c r="C2228" s="405"/>
      <c r="D2228" s="1135"/>
      <c r="E2228" s="583"/>
      <c r="F2228" s="583"/>
      <c r="G2228" s="583"/>
      <c r="H2228" s="405"/>
      <c r="I2228" s="405"/>
      <c r="J2228" s="405"/>
      <c r="K2228" s="405"/>
      <c r="L2228" s="405"/>
      <c r="M2228" s="405"/>
      <c r="N2228" s="405"/>
      <c r="O2228" s="405"/>
      <c r="P2228" s="405"/>
      <c r="Q2228" s="405"/>
      <c r="R2228" s="405"/>
      <c r="S2228" s="405"/>
      <c r="T2228" s="405"/>
      <c r="U2228" s="405"/>
      <c r="V2228" s="405"/>
      <c r="W2228" s="405"/>
      <c r="X2228" s="405"/>
      <c r="Y2228" s="405"/>
      <c r="Z2228" s="405"/>
    </row>
    <row r="2229" ht="14.25" customHeight="1">
      <c r="A2229" s="1134"/>
      <c r="B2229" s="405"/>
      <c r="C2229" s="405"/>
      <c r="D2229" s="1135"/>
      <c r="E2229" s="583"/>
      <c r="F2229" s="583"/>
      <c r="G2229" s="583"/>
      <c r="H2229" s="405"/>
      <c r="I2229" s="405"/>
      <c r="J2229" s="405"/>
      <c r="K2229" s="405"/>
      <c r="L2229" s="405"/>
      <c r="M2229" s="405"/>
      <c r="N2229" s="405"/>
      <c r="O2229" s="405"/>
      <c r="P2229" s="405"/>
      <c r="Q2229" s="405"/>
      <c r="R2229" s="405"/>
      <c r="S2229" s="405"/>
      <c r="T2229" s="405"/>
      <c r="U2229" s="405"/>
      <c r="V2229" s="405"/>
      <c r="W2229" s="405"/>
      <c r="X2229" s="405"/>
      <c r="Y2229" s="405"/>
      <c r="Z2229" s="405"/>
    </row>
    <row r="2230" ht="14.25" customHeight="1">
      <c r="A2230" s="1134"/>
      <c r="B2230" s="405"/>
      <c r="C2230" s="405"/>
      <c r="D2230" s="1135"/>
      <c r="E2230" s="583"/>
      <c r="F2230" s="583"/>
      <c r="G2230" s="583"/>
      <c r="H2230" s="405"/>
      <c r="I2230" s="405"/>
      <c r="J2230" s="405"/>
      <c r="K2230" s="405"/>
      <c r="L2230" s="405"/>
      <c r="M2230" s="405"/>
      <c r="N2230" s="405"/>
      <c r="O2230" s="405"/>
      <c r="P2230" s="405"/>
      <c r="Q2230" s="405"/>
      <c r="R2230" s="405"/>
      <c r="S2230" s="405"/>
      <c r="T2230" s="405"/>
      <c r="U2230" s="405"/>
      <c r="V2230" s="405"/>
      <c r="W2230" s="405"/>
      <c r="X2230" s="405"/>
      <c r="Y2230" s="405"/>
      <c r="Z2230" s="405"/>
    </row>
    <row r="2231" ht="14.25" customHeight="1">
      <c r="A2231" s="1134"/>
      <c r="B2231" s="405"/>
      <c r="C2231" s="405"/>
      <c r="D2231" s="1135"/>
      <c r="E2231" s="583"/>
      <c r="F2231" s="583"/>
      <c r="G2231" s="583"/>
      <c r="H2231" s="405"/>
      <c r="I2231" s="405"/>
      <c r="J2231" s="405"/>
      <c r="K2231" s="405"/>
      <c r="L2231" s="405"/>
      <c r="M2231" s="405"/>
      <c r="N2231" s="405"/>
      <c r="O2231" s="405"/>
      <c r="P2231" s="405"/>
      <c r="Q2231" s="405"/>
      <c r="R2231" s="405"/>
      <c r="S2231" s="405"/>
      <c r="T2231" s="405"/>
      <c r="U2231" s="405"/>
      <c r="V2231" s="405"/>
      <c r="W2231" s="405"/>
      <c r="X2231" s="405"/>
      <c r="Y2231" s="405"/>
      <c r="Z2231" s="405"/>
    </row>
    <row r="2232" ht="14.25" customHeight="1">
      <c r="A2232" s="1134"/>
      <c r="B2232" s="405"/>
      <c r="C2232" s="405"/>
      <c r="D2232" s="1135"/>
      <c r="E2232" s="583"/>
      <c r="F2232" s="583"/>
      <c r="G2232" s="583"/>
      <c r="H2232" s="405"/>
      <c r="I2232" s="405"/>
      <c r="J2232" s="405"/>
      <c r="K2232" s="405"/>
      <c r="L2232" s="405"/>
      <c r="M2232" s="405"/>
      <c r="N2232" s="405"/>
      <c r="O2232" s="405"/>
      <c r="P2232" s="405"/>
      <c r="Q2232" s="405"/>
      <c r="R2232" s="405"/>
      <c r="S2232" s="405"/>
      <c r="T2232" s="405"/>
      <c r="U2232" s="405"/>
      <c r="V2232" s="405"/>
      <c r="W2232" s="405"/>
      <c r="X2232" s="405"/>
      <c r="Y2232" s="405"/>
      <c r="Z2232" s="405"/>
    </row>
    <row r="2233" ht="14.25" customHeight="1">
      <c r="A2233" s="1134"/>
      <c r="B2233" s="405"/>
      <c r="C2233" s="405"/>
      <c r="D2233" s="1135"/>
      <c r="E2233" s="583"/>
      <c r="F2233" s="583"/>
      <c r="G2233" s="583"/>
      <c r="H2233" s="405"/>
      <c r="I2233" s="405"/>
      <c r="J2233" s="405"/>
      <c r="K2233" s="405"/>
      <c r="L2233" s="405"/>
      <c r="M2233" s="405"/>
      <c r="N2233" s="405"/>
      <c r="O2233" s="405"/>
      <c r="P2233" s="405"/>
      <c r="Q2233" s="405"/>
      <c r="R2233" s="405"/>
      <c r="S2233" s="405"/>
      <c r="T2233" s="405"/>
      <c r="U2233" s="405"/>
      <c r="V2233" s="405"/>
      <c r="W2233" s="405"/>
      <c r="X2233" s="405"/>
      <c r="Y2233" s="405"/>
      <c r="Z2233" s="405"/>
    </row>
    <row r="2234" ht="14.25" customHeight="1">
      <c r="A2234" s="1134"/>
      <c r="B2234" s="405"/>
      <c r="C2234" s="405"/>
      <c r="D2234" s="1135"/>
      <c r="E2234" s="583"/>
      <c r="F2234" s="583"/>
      <c r="G2234" s="583"/>
      <c r="H2234" s="405"/>
      <c r="I2234" s="405"/>
      <c r="J2234" s="405"/>
      <c r="K2234" s="405"/>
      <c r="L2234" s="405"/>
      <c r="M2234" s="405"/>
      <c r="N2234" s="405"/>
      <c r="O2234" s="405"/>
      <c r="P2234" s="405"/>
      <c r="Q2234" s="405"/>
      <c r="R2234" s="405"/>
      <c r="S2234" s="405"/>
      <c r="T2234" s="405"/>
      <c r="U2234" s="405"/>
      <c r="V2234" s="405"/>
      <c r="W2234" s="405"/>
      <c r="X2234" s="405"/>
      <c r="Y2234" s="405"/>
      <c r="Z2234" s="405"/>
    </row>
    <row r="2235" ht="14.25" customHeight="1">
      <c r="A2235" s="1134"/>
      <c r="B2235" s="405"/>
      <c r="C2235" s="405"/>
      <c r="D2235" s="1135"/>
      <c r="E2235" s="583"/>
      <c r="F2235" s="583"/>
      <c r="G2235" s="583"/>
      <c r="H2235" s="405"/>
      <c r="I2235" s="405"/>
      <c r="J2235" s="405"/>
      <c r="K2235" s="405"/>
      <c r="L2235" s="405"/>
      <c r="M2235" s="405"/>
      <c r="N2235" s="405"/>
      <c r="O2235" s="405"/>
      <c r="P2235" s="405"/>
      <c r="Q2235" s="405"/>
      <c r="R2235" s="405"/>
      <c r="S2235" s="405"/>
      <c r="T2235" s="405"/>
      <c r="U2235" s="405"/>
      <c r="V2235" s="405"/>
      <c r="W2235" s="405"/>
      <c r="X2235" s="405"/>
      <c r="Y2235" s="405"/>
      <c r="Z2235" s="405"/>
    </row>
    <row r="2236" ht="14.25" customHeight="1">
      <c r="A2236" s="1134"/>
      <c r="B2236" s="405"/>
      <c r="C2236" s="405"/>
      <c r="D2236" s="1135"/>
      <c r="E2236" s="583"/>
      <c r="F2236" s="583"/>
      <c r="G2236" s="583"/>
      <c r="H2236" s="405"/>
      <c r="I2236" s="405"/>
      <c r="J2236" s="405"/>
      <c r="K2236" s="405"/>
      <c r="L2236" s="405"/>
      <c r="M2236" s="405"/>
      <c r="N2236" s="405"/>
      <c r="O2236" s="405"/>
      <c r="P2236" s="405"/>
      <c r="Q2236" s="405"/>
      <c r="R2236" s="405"/>
      <c r="S2236" s="405"/>
      <c r="T2236" s="405"/>
      <c r="U2236" s="405"/>
      <c r="V2236" s="405"/>
      <c r="W2236" s="405"/>
      <c r="X2236" s="405"/>
      <c r="Y2236" s="405"/>
      <c r="Z2236" s="405"/>
    </row>
    <row r="2237" ht="14.25" customHeight="1">
      <c r="A2237" s="1134"/>
      <c r="B2237" s="405"/>
      <c r="C2237" s="405"/>
      <c r="D2237" s="1135"/>
      <c r="E2237" s="583"/>
      <c r="F2237" s="583"/>
      <c r="G2237" s="583"/>
      <c r="H2237" s="405"/>
      <c r="I2237" s="405"/>
      <c r="J2237" s="405"/>
      <c r="K2237" s="405"/>
      <c r="L2237" s="405"/>
      <c r="M2237" s="405"/>
      <c r="N2237" s="405"/>
      <c r="O2237" s="405"/>
      <c r="P2237" s="405"/>
      <c r="Q2237" s="405"/>
      <c r="R2237" s="405"/>
      <c r="S2237" s="405"/>
      <c r="T2237" s="405"/>
      <c r="U2237" s="405"/>
      <c r="V2237" s="405"/>
      <c r="W2237" s="405"/>
      <c r="X2237" s="405"/>
      <c r="Y2237" s="405"/>
      <c r="Z2237" s="405"/>
    </row>
    <row r="2238" ht="14.25" customHeight="1">
      <c r="A2238" s="1134"/>
      <c r="B2238" s="405"/>
      <c r="C2238" s="405"/>
      <c r="D2238" s="1135"/>
      <c r="E2238" s="583"/>
      <c r="F2238" s="583"/>
      <c r="G2238" s="583"/>
      <c r="H2238" s="405"/>
      <c r="I2238" s="405"/>
      <c r="J2238" s="405"/>
      <c r="K2238" s="405"/>
      <c r="L2238" s="405"/>
      <c r="M2238" s="405"/>
      <c r="N2238" s="405"/>
      <c r="O2238" s="405"/>
      <c r="P2238" s="405"/>
      <c r="Q2238" s="405"/>
      <c r="R2238" s="405"/>
      <c r="S2238" s="405"/>
      <c r="T2238" s="405"/>
      <c r="U2238" s="405"/>
      <c r="V2238" s="405"/>
      <c r="W2238" s="405"/>
      <c r="X2238" s="405"/>
      <c r="Y2238" s="405"/>
      <c r="Z2238" s="405"/>
    </row>
    <row r="2239" ht="14.25" customHeight="1">
      <c r="A2239" s="1134"/>
      <c r="B2239" s="405"/>
      <c r="C2239" s="405"/>
      <c r="D2239" s="1135"/>
      <c r="E2239" s="583"/>
      <c r="F2239" s="583"/>
      <c r="G2239" s="583"/>
      <c r="H2239" s="405"/>
      <c r="I2239" s="405"/>
      <c r="J2239" s="405"/>
      <c r="K2239" s="405"/>
      <c r="L2239" s="405"/>
      <c r="M2239" s="405"/>
      <c r="N2239" s="405"/>
      <c r="O2239" s="405"/>
      <c r="P2239" s="405"/>
      <c r="Q2239" s="405"/>
      <c r="R2239" s="405"/>
      <c r="S2239" s="405"/>
      <c r="T2239" s="405"/>
      <c r="U2239" s="405"/>
      <c r="V2239" s="405"/>
      <c r="W2239" s="405"/>
      <c r="X2239" s="405"/>
      <c r="Y2239" s="405"/>
      <c r="Z2239" s="405"/>
    </row>
    <row r="2240" ht="14.25" customHeight="1">
      <c r="A2240" s="1134"/>
      <c r="B2240" s="405"/>
      <c r="C2240" s="405"/>
      <c r="D2240" s="1135"/>
      <c r="E2240" s="583"/>
      <c r="F2240" s="583"/>
      <c r="G2240" s="583"/>
      <c r="H2240" s="405"/>
      <c r="I2240" s="405"/>
      <c r="J2240" s="405"/>
      <c r="K2240" s="405"/>
      <c r="L2240" s="405"/>
      <c r="M2240" s="405"/>
      <c r="N2240" s="405"/>
      <c r="O2240" s="405"/>
      <c r="P2240" s="405"/>
      <c r="Q2240" s="405"/>
      <c r="R2240" s="405"/>
      <c r="S2240" s="405"/>
      <c r="T2240" s="405"/>
      <c r="U2240" s="405"/>
      <c r="V2240" s="405"/>
      <c r="W2240" s="405"/>
      <c r="X2240" s="405"/>
      <c r="Y2240" s="405"/>
      <c r="Z2240" s="405"/>
    </row>
    <row r="2241" ht="14.25" customHeight="1">
      <c r="A2241" s="1134"/>
      <c r="B2241" s="405"/>
      <c r="C2241" s="405"/>
      <c r="D2241" s="1135"/>
      <c r="E2241" s="583"/>
      <c r="F2241" s="583"/>
      <c r="G2241" s="583"/>
      <c r="H2241" s="405"/>
      <c r="I2241" s="405"/>
      <c r="J2241" s="405"/>
      <c r="K2241" s="405"/>
      <c r="L2241" s="405"/>
      <c r="M2241" s="405"/>
      <c r="N2241" s="405"/>
      <c r="O2241" s="405"/>
      <c r="P2241" s="405"/>
      <c r="Q2241" s="405"/>
      <c r="R2241" s="405"/>
      <c r="S2241" s="405"/>
      <c r="T2241" s="405"/>
      <c r="U2241" s="405"/>
      <c r="V2241" s="405"/>
      <c r="W2241" s="405"/>
      <c r="X2241" s="405"/>
      <c r="Y2241" s="405"/>
      <c r="Z2241" s="405"/>
    </row>
    <row r="2242" ht="14.25" customHeight="1">
      <c r="A2242" s="1134"/>
      <c r="B2242" s="405"/>
      <c r="C2242" s="405"/>
      <c r="D2242" s="1135"/>
      <c r="E2242" s="583"/>
      <c r="F2242" s="583"/>
      <c r="G2242" s="583"/>
      <c r="H2242" s="405"/>
      <c r="I2242" s="405"/>
      <c r="J2242" s="405"/>
      <c r="K2242" s="405"/>
      <c r="L2242" s="405"/>
      <c r="M2242" s="405"/>
      <c r="N2242" s="405"/>
      <c r="O2242" s="405"/>
      <c r="P2242" s="405"/>
      <c r="Q2242" s="405"/>
      <c r="R2242" s="405"/>
      <c r="S2242" s="405"/>
      <c r="T2242" s="405"/>
      <c r="U2242" s="405"/>
      <c r="V2242" s="405"/>
      <c r="W2242" s="405"/>
      <c r="X2242" s="405"/>
      <c r="Y2242" s="405"/>
      <c r="Z2242" s="405"/>
    </row>
    <row r="2243" ht="14.25" customHeight="1">
      <c r="A2243" s="1134"/>
      <c r="B2243" s="405"/>
      <c r="C2243" s="405"/>
      <c r="D2243" s="1135"/>
      <c r="E2243" s="583"/>
      <c r="F2243" s="583"/>
      <c r="G2243" s="583"/>
      <c r="H2243" s="405"/>
      <c r="I2243" s="405"/>
      <c r="J2243" s="405"/>
      <c r="K2243" s="405"/>
      <c r="L2243" s="405"/>
      <c r="M2243" s="405"/>
      <c r="N2243" s="405"/>
      <c r="O2243" s="405"/>
      <c r="P2243" s="405"/>
      <c r="Q2243" s="405"/>
      <c r="R2243" s="405"/>
      <c r="S2243" s="405"/>
      <c r="T2243" s="405"/>
      <c r="U2243" s="405"/>
      <c r="V2243" s="405"/>
      <c r="W2243" s="405"/>
      <c r="X2243" s="405"/>
      <c r="Y2243" s="405"/>
      <c r="Z2243" s="405"/>
    </row>
    <row r="2244" ht="14.25" customHeight="1">
      <c r="A2244" s="1134"/>
      <c r="B2244" s="405"/>
      <c r="C2244" s="405"/>
      <c r="D2244" s="1135"/>
      <c r="E2244" s="583"/>
      <c r="F2244" s="583"/>
      <c r="G2244" s="583"/>
      <c r="H2244" s="405"/>
      <c r="I2244" s="405"/>
      <c r="J2244" s="405"/>
      <c r="K2244" s="405"/>
      <c r="L2244" s="405"/>
      <c r="M2244" s="405"/>
      <c r="N2244" s="405"/>
      <c r="O2244" s="405"/>
      <c r="P2244" s="405"/>
      <c r="Q2244" s="405"/>
      <c r="R2244" s="405"/>
      <c r="S2244" s="405"/>
      <c r="T2244" s="405"/>
      <c r="U2244" s="405"/>
      <c r="V2244" s="405"/>
      <c r="W2244" s="405"/>
      <c r="X2244" s="405"/>
      <c r="Y2244" s="405"/>
      <c r="Z2244" s="405"/>
    </row>
    <row r="2245" ht="14.25" customHeight="1">
      <c r="A2245" s="1134"/>
      <c r="B2245" s="405"/>
      <c r="C2245" s="405"/>
      <c r="D2245" s="1135"/>
      <c r="E2245" s="583"/>
      <c r="F2245" s="583"/>
      <c r="G2245" s="583"/>
      <c r="H2245" s="405"/>
      <c r="I2245" s="405"/>
      <c r="J2245" s="405"/>
      <c r="K2245" s="405"/>
      <c r="L2245" s="405"/>
      <c r="M2245" s="405"/>
      <c r="N2245" s="405"/>
      <c r="O2245" s="405"/>
      <c r="P2245" s="405"/>
      <c r="Q2245" s="405"/>
      <c r="R2245" s="405"/>
      <c r="S2245" s="405"/>
      <c r="T2245" s="405"/>
      <c r="U2245" s="405"/>
      <c r="V2245" s="405"/>
      <c r="W2245" s="405"/>
      <c r="X2245" s="405"/>
      <c r="Y2245" s="405"/>
      <c r="Z2245" s="405"/>
    </row>
    <row r="2246" ht="14.25" customHeight="1">
      <c r="A2246" s="1134"/>
      <c r="B2246" s="405"/>
      <c r="C2246" s="405"/>
      <c r="D2246" s="1135"/>
      <c r="E2246" s="583"/>
      <c r="F2246" s="583"/>
      <c r="G2246" s="583"/>
      <c r="H2246" s="405"/>
      <c r="I2246" s="405"/>
      <c r="J2246" s="405"/>
      <c r="K2246" s="405"/>
      <c r="L2246" s="405"/>
      <c r="M2246" s="405"/>
      <c r="N2246" s="405"/>
      <c r="O2246" s="405"/>
      <c r="P2246" s="405"/>
      <c r="Q2246" s="405"/>
      <c r="R2246" s="405"/>
      <c r="S2246" s="405"/>
      <c r="T2246" s="405"/>
      <c r="U2246" s="405"/>
      <c r="V2246" s="405"/>
      <c r="W2246" s="405"/>
      <c r="X2246" s="405"/>
      <c r="Y2246" s="405"/>
      <c r="Z2246" s="405"/>
    </row>
    <row r="2247" ht="14.25" customHeight="1">
      <c r="A2247" s="1134"/>
      <c r="B2247" s="405"/>
      <c r="C2247" s="405"/>
      <c r="D2247" s="1135"/>
      <c r="E2247" s="583"/>
      <c r="F2247" s="583"/>
      <c r="G2247" s="583"/>
      <c r="H2247" s="405"/>
      <c r="I2247" s="405"/>
      <c r="J2247" s="405"/>
      <c r="K2247" s="405"/>
      <c r="L2247" s="405"/>
      <c r="M2247" s="405"/>
      <c r="N2247" s="405"/>
      <c r="O2247" s="405"/>
      <c r="P2247" s="405"/>
      <c r="Q2247" s="405"/>
      <c r="R2247" s="405"/>
      <c r="S2247" s="405"/>
      <c r="T2247" s="405"/>
      <c r="U2247" s="405"/>
      <c r="V2247" s="405"/>
      <c r="W2247" s="405"/>
      <c r="X2247" s="405"/>
      <c r="Y2247" s="405"/>
      <c r="Z2247" s="405"/>
    </row>
    <row r="2248" ht="14.25" customHeight="1">
      <c r="A2248" s="1134"/>
      <c r="B2248" s="405"/>
      <c r="C2248" s="405"/>
      <c r="D2248" s="1135"/>
      <c r="E2248" s="583"/>
      <c r="F2248" s="583"/>
      <c r="G2248" s="583"/>
      <c r="H2248" s="405"/>
      <c r="I2248" s="405"/>
      <c r="J2248" s="405"/>
      <c r="K2248" s="405"/>
      <c r="L2248" s="405"/>
      <c r="M2248" s="405"/>
      <c r="N2248" s="405"/>
      <c r="O2248" s="405"/>
      <c r="P2248" s="405"/>
      <c r="Q2248" s="405"/>
      <c r="R2248" s="405"/>
      <c r="S2248" s="405"/>
      <c r="T2248" s="405"/>
      <c r="U2248" s="405"/>
      <c r="V2248" s="405"/>
      <c r="W2248" s="405"/>
      <c r="X2248" s="405"/>
      <c r="Y2248" s="405"/>
      <c r="Z2248" s="405"/>
    </row>
    <row r="2249" ht="14.25" customHeight="1">
      <c r="A2249" s="1134"/>
      <c r="B2249" s="405"/>
      <c r="C2249" s="405"/>
      <c r="D2249" s="1135"/>
      <c r="E2249" s="583"/>
      <c r="F2249" s="583"/>
      <c r="G2249" s="583"/>
      <c r="H2249" s="405"/>
      <c r="I2249" s="405"/>
      <c r="J2249" s="405"/>
      <c r="K2249" s="405"/>
      <c r="L2249" s="405"/>
      <c r="M2249" s="405"/>
      <c r="N2249" s="405"/>
      <c r="O2249" s="405"/>
      <c r="P2249" s="405"/>
      <c r="Q2249" s="405"/>
      <c r="R2249" s="405"/>
      <c r="S2249" s="405"/>
      <c r="T2249" s="405"/>
      <c r="U2249" s="405"/>
      <c r="V2249" s="405"/>
      <c r="W2249" s="405"/>
      <c r="X2249" s="405"/>
      <c r="Y2249" s="405"/>
      <c r="Z2249" s="405"/>
    </row>
    <row r="2250" ht="14.25" customHeight="1">
      <c r="A2250" s="1134"/>
      <c r="B2250" s="405"/>
      <c r="C2250" s="405"/>
      <c r="D2250" s="1135"/>
      <c r="E2250" s="583"/>
      <c r="F2250" s="583"/>
      <c r="G2250" s="583"/>
      <c r="H2250" s="405"/>
      <c r="I2250" s="405"/>
      <c r="J2250" s="405"/>
      <c r="K2250" s="405"/>
      <c r="L2250" s="405"/>
      <c r="M2250" s="405"/>
      <c r="N2250" s="405"/>
      <c r="O2250" s="405"/>
      <c r="P2250" s="405"/>
      <c r="Q2250" s="405"/>
      <c r="R2250" s="405"/>
      <c r="S2250" s="405"/>
      <c r="T2250" s="405"/>
      <c r="U2250" s="405"/>
      <c r="V2250" s="405"/>
      <c r="W2250" s="405"/>
      <c r="X2250" s="405"/>
      <c r="Y2250" s="405"/>
      <c r="Z2250" s="405"/>
    </row>
    <row r="2251" ht="14.25" customHeight="1">
      <c r="A2251" s="1134"/>
      <c r="B2251" s="405"/>
      <c r="C2251" s="405"/>
      <c r="D2251" s="1135"/>
      <c r="E2251" s="583"/>
      <c r="F2251" s="583"/>
      <c r="G2251" s="583"/>
      <c r="H2251" s="405"/>
      <c r="I2251" s="405"/>
      <c r="J2251" s="405"/>
      <c r="K2251" s="405"/>
      <c r="L2251" s="405"/>
      <c r="M2251" s="405"/>
      <c r="N2251" s="405"/>
      <c r="O2251" s="405"/>
      <c r="P2251" s="405"/>
      <c r="Q2251" s="405"/>
      <c r="R2251" s="405"/>
      <c r="S2251" s="405"/>
      <c r="T2251" s="405"/>
      <c r="U2251" s="405"/>
      <c r="V2251" s="405"/>
      <c r="W2251" s="405"/>
      <c r="X2251" s="405"/>
      <c r="Y2251" s="405"/>
      <c r="Z2251" s="405"/>
    </row>
    <row r="2252" ht="14.25" customHeight="1">
      <c r="A2252" s="1134"/>
      <c r="B2252" s="405"/>
      <c r="C2252" s="405"/>
      <c r="D2252" s="1135"/>
      <c r="E2252" s="583"/>
      <c r="F2252" s="583"/>
      <c r="G2252" s="583"/>
      <c r="H2252" s="405"/>
      <c r="I2252" s="405"/>
      <c r="J2252" s="405"/>
      <c r="K2252" s="405"/>
      <c r="L2252" s="405"/>
      <c r="M2252" s="405"/>
      <c r="N2252" s="405"/>
      <c r="O2252" s="405"/>
      <c r="P2252" s="405"/>
      <c r="Q2252" s="405"/>
      <c r="R2252" s="405"/>
      <c r="S2252" s="405"/>
      <c r="T2252" s="405"/>
      <c r="U2252" s="405"/>
      <c r="V2252" s="405"/>
      <c r="W2252" s="405"/>
      <c r="X2252" s="405"/>
      <c r="Y2252" s="405"/>
      <c r="Z2252" s="405"/>
    </row>
    <row r="2253" ht="14.25" customHeight="1">
      <c r="A2253" s="1134"/>
      <c r="B2253" s="405"/>
      <c r="C2253" s="405"/>
      <c r="D2253" s="1135"/>
      <c r="E2253" s="583"/>
      <c r="F2253" s="583"/>
      <c r="G2253" s="583"/>
      <c r="H2253" s="405"/>
      <c r="I2253" s="405"/>
      <c r="J2253" s="405"/>
      <c r="K2253" s="405"/>
      <c r="L2253" s="405"/>
      <c r="M2253" s="405"/>
      <c r="N2253" s="405"/>
      <c r="O2253" s="405"/>
      <c r="P2253" s="405"/>
      <c r="Q2253" s="405"/>
      <c r="R2253" s="405"/>
      <c r="S2253" s="405"/>
      <c r="T2253" s="405"/>
      <c r="U2253" s="405"/>
      <c r="V2253" s="405"/>
      <c r="W2253" s="405"/>
      <c r="X2253" s="405"/>
      <c r="Y2253" s="405"/>
      <c r="Z2253" s="405"/>
    </row>
    <row r="2254" ht="14.25" customHeight="1">
      <c r="A2254" s="1134"/>
      <c r="B2254" s="405"/>
      <c r="C2254" s="405"/>
      <c r="D2254" s="1135"/>
      <c r="E2254" s="583"/>
      <c r="F2254" s="583"/>
      <c r="G2254" s="583"/>
      <c r="H2254" s="405"/>
      <c r="I2254" s="405"/>
      <c r="J2254" s="405"/>
      <c r="K2254" s="405"/>
      <c r="L2254" s="405"/>
      <c r="M2254" s="405"/>
      <c r="N2254" s="405"/>
      <c r="O2254" s="405"/>
      <c r="P2254" s="405"/>
      <c r="Q2254" s="405"/>
      <c r="R2254" s="405"/>
      <c r="S2254" s="405"/>
      <c r="T2254" s="405"/>
      <c r="U2254" s="405"/>
      <c r="V2254" s="405"/>
      <c r="W2254" s="405"/>
      <c r="X2254" s="405"/>
      <c r="Y2254" s="405"/>
      <c r="Z2254" s="405"/>
    </row>
    <row r="2255" ht="14.25" customHeight="1">
      <c r="A2255" s="1134"/>
      <c r="B2255" s="405"/>
      <c r="C2255" s="405"/>
      <c r="D2255" s="1135"/>
      <c r="E2255" s="583"/>
      <c r="F2255" s="583"/>
      <c r="G2255" s="583"/>
      <c r="H2255" s="405"/>
      <c r="I2255" s="405"/>
      <c r="J2255" s="405"/>
      <c r="K2255" s="405"/>
      <c r="L2255" s="405"/>
      <c r="M2255" s="405"/>
      <c r="N2255" s="405"/>
      <c r="O2255" s="405"/>
      <c r="P2255" s="405"/>
      <c r="Q2255" s="405"/>
      <c r="R2255" s="405"/>
      <c r="S2255" s="405"/>
      <c r="T2255" s="405"/>
      <c r="U2255" s="405"/>
      <c r="V2255" s="405"/>
      <c r="W2255" s="405"/>
      <c r="X2255" s="405"/>
      <c r="Y2255" s="405"/>
      <c r="Z2255" s="405"/>
    </row>
    <row r="2256" ht="14.25" customHeight="1">
      <c r="A2256" s="1134"/>
      <c r="B2256" s="405"/>
      <c r="C2256" s="405"/>
      <c r="D2256" s="1135"/>
      <c r="E2256" s="583"/>
      <c r="F2256" s="583"/>
      <c r="G2256" s="583"/>
      <c r="H2256" s="405"/>
      <c r="I2256" s="405"/>
      <c r="J2256" s="405"/>
      <c r="K2256" s="405"/>
      <c r="L2256" s="405"/>
      <c r="M2256" s="405"/>
      <c r="N2256" s="405"/>
      <c r="O2256" s="405"/>
      <c r="P2256" s="405"/>
      <c r="Q2256" s="405"/>
      <c r="R2256" s="405"/>
      <c r="S2256" s="405"/>
      <c r="T2256" s="405"/>
      <c r="U2256" s="405"/>
      <c r="V2256" s="405"/>
      <c r="W2256" s="405"/>
      <c r="X2256" s="405"/>
      <c r="Y2256" s="405"/>
      <c r="Z2256" s="405"/>
    </row>
    <row r="2257" ht="14.25" customHeight="1">
      <c r="A2257" s="1134"/>
      <c r="B2257" s="405"/>
      <c r="C2257" s="405"/>
      <c r="D2257" s="1135"/>
      <c r="E2257" s="583"/>
      <c r="F2257" s="583"/>
      <c r="G2257" s="583"/>
      <c r="H2257" s="405"/>
      <c r="I2257" s="405"/>
      <c r="J2257" s="405"/>
      <c r="K2257" s="405"/>
      <c r="L2257" s="405"/>
      <c r="M2257" s="405"/>
      <c r="N2257" s="405"/>
      <c r="O2257" s="405"/>
      <c r="P2257" s="405"/>
      <c r="Q2257" s="405"/>
      <c r="R2257" s="405"/>
      <c r="S2257" s="405"/>
      <c r="T2257" s="405"/>
      <c r="U2257" s="405"/>
      <c r="V2257" s="405"/>
      <c r="W2257" s="405"/>
      <c r="X2257" s="405"/>
      <c r="Y2257" s="405"/>
      <c r="Z2257" s="405"/>
    </row>
    <row r="2258" ht="14.25" customHeight="1">
      <c r="A2258" s="1134"/>
      <c r="B2258" s="405"/>
      <c r="C2258" s="405"/>
      <c r="D2258" s="1135"/>
      <c r="E2258" s="583"/>
      <c r="F2258" s="583"/>
      <c r="G2258" s="583"/>
      <c r="H2258" s="405"/>
      <c r="I2258" s="405"/>
      <c r="J2258" s="405"/>
      <c r="K2258" s="405"/>
      <c r="L2258" s="405"/>
      <c r="M2258" s="405"/>
      <c r="N2258" s="405"/>
      <c r="O2258" s="405"/>
      <c r="P2258" s="405"/>
      <c r="Q2258" s="405"/>
      <c r="R2258" s="405"/>
      <c r="S2258" s="405"/>
      <c r="T2258" s="405"/>
      <c r="U2258" s="405"/>
      <c r="V2258" s="405"/>
      <c r="W2258" s="405"/>
      <c r="X2258" s="405"/>
      <c r="Y2258" s="405"/>
      <c r="Z2258" s="405"/>
    </row>
    <row r="2259" ht="14.25" customHeight="1">
      <c r="A2259" s="1134"/>
      <c r="B2259" s="405"/>
      <c r="C2259" s="405"/>
      <c r="D2259" s="1135"/>
      <c r="E2259" s="583"/>
      <c r="F2259" s="583"/>
      <c r="G2259" s="583"/>
      <c r="H2259" s="405"/>
      <c r="I2259" s="405"/>
      <c r="J2259" s="405"/>
      <c r="K2259" s="405"/>
      <c r="L2259" s="405"/>
      <c r="M2259" s="405"/>
      <c r="N2259" s="405"/>
      <c r="O2259" s="405"/>
      <c r="P2259" s="405"/>
      <c r="Q2259" s="405"/>
      <c r="R2259" s="405"/>
      <c r="S2259" s="405"/>
      <c r="T2259" s="405"/>
      <c r="U2259" s="405"/>
      <c r="V2259" s="405"/>
      <c r="W2259" s="405"/>
      <c r="X2259" s="405"/>
      <c r="Y2259" s="405"/>
      <c r="Z2259" s="405"/>
    </row>
    <row r="2260" ht="14.25" customHeight="1">
      <c r="A2260" s="1134"/>
      <c r="B2260" s="405"/>
      <c r="C2260" s="405"/>
      <c r="D2260" s="1135"/>
      <c r="E2260" s="583"/>
      <c r="F2260" s="583"/>
      <c r="G2260" s="583"/>
      <c r="H2260" s="405"/>
      <c r="I2260" s="405"/>
      <c r="J2260" s="405"/>
      <c r="K2260" s="405"/>
      <c r="L2260" s="405"/>
      <c r="M2260" s="405"/>
      <c r="N2260" s="405"/>
      <c r="O2260" s="405"/>
      <c r="P2260" s="405"/>
      <c r="Q2260" s="405"/>
      <c r="R2260" s="405"/>
      <c r="S2260" s="405"/>
      <c r="T2260" s="405"/>
      <c r="U2260" s="405"/>
      <c r="V2260" s="405"/>
      <c r="W2260" s="405"/>
      <c r="X2260" s="405"/>
      <c r="Y2260" s="405"/>
      <c r="Z2260" s="405"/>
    </row>
    <row r="2261" ht="14.25" customHeight="1">
      <c r="A2261" s="1134"/>
      <c r="B2261" s="405"/>
      <c r="C2261" s="405"/>
      <c r="D2261" s="1135"/>
      <c r="E2261" s="583"/>
      <c r="F2261" s="583"/>
      <c r="G2261" s="583"/>
      <c r="H2261" s="405"/>
      <c r="I2261" s="405"/>
      <c r="J2261" s="405"/>
      <c r="K2261" s="405"/>
      <c r="L2261" s="405"/>
      <c r="M2261" s="405"/>
      <c r="N2261" s="405"/>
      <c r="O2261" s="405"/>
      <c r="P2261" s="405"/>
      <c r="Q2261" s="405"/>
      <c r="R2261" s="405"/>
      <c r="S2261" s="405"/>
      <c r="T2261" s="405"/>
      <c r="U2261" s="405"/>
      <c r="V2261" s="405"/>
      <c r="W2261" s="405"/>
      <c r="X2261" s="405"/>
      <c r="Y2261" s="405"/>
      <c r="Z2261" s="405"/>
    </row>
    <row r="2262" ht="14.25" customHeight="1">
      <c r="A2262" s="1134"/>
      <c r="B2262" s="405"/>
      <c r="C2262" s="405"/>
      <c r="D2262" s="1135"/>
      <c r="E2262" s="583"/>
      <c r="F2262" s="583"/>
      <c r="G2262" s="583"/>
      <c r="H2262" s="405"/>
      <c r="I2262" s="405"/>
      <c r="J2262" s="405"/>
      <c r="K2262" s="405"/>
      <c r="L2262" s="405"/>
      <c r="M2262" s="405"/>
      <c r="N2262" s="405"/>
      <c r="O2262" s="405"/>
      <c r="P2262" s="405"/>
      <c r="Q2262" s="405"/>
      <c r="R2262" s="405"/>
      <c r="S2262" s="405"/>
      <c r="T2262" s="405"/>
      <c r="U2262" s="405"/>
      <c r="V2262" s="405"/>
      <c r="W2262" s="405"/>
      <c r="X2262" s="405"/>
      <c r="Y2262" s="405"/>
      <c r="Z2262" s="405"/>
    </row>
    <row r="2263" ht="14.25" customHeight="1">
      <c r="A2263" s="1134"/>
      <c r="B2263" s="405"/>
      <c r="C2263" s="405"/>
      <c r="D2263" s="1135"/>
      <c r="E2263" s="583"/>
      <c r="F2263" s="583"/>
      <c r="G2263" s="583"/>
      <c r="H2263" s="405"/>
      <c r="I2263" s="405"/>
      <c r="J2263" s="405"/>
      <c r="K2263" s="405"/>
      <c r="L2263" s="405"/>
      <c r="M2263" s="405"/>
      <c r="N2263" s="405"/>
      <c r="O2263" s="405"/>
      <c r="P2263" s="405"/>
      <c r="Q2263" s="405"/>
      <c r="R2263" s="405"/>
      <c r="S2263" s="405"/>
      <c r="T2263" s="405"/>
      <c r="U2263" s="405"/>
      <c r="V2263" s="405"/>
      <c r="W2263" s="405"/>
      <c r="X2263" s="405"/>
      <c r="Y2263" s="405"/>
      <c r="Z2263" s="405"/>
    </row>
    <row r="2264" ht="14.25" customHeight="1">
      <c r="A2264" s="1134"/>
      <c r="B2264" s="405"/>
      <c r="C2264" s="405"/>
      <c r="D2264" s="1135"/>
      <c r="E2264" s="583"/>
      <c r="F2264" s="583"/>
      <c r="G2264" s="583"/>
      <c r="H2264" s="405"/>
      <c r="I2264" s="405"/>
      <c r="J2264" s="405"/>
      <c r="K2264" s="405"/>
      <c r="L2264" s="405"/>
      <c r="M2264" s="405"/>
      <c r="N2264" s="405"/>
      <c r="O2264" s="405"/>
      <c r="P2264" s="405"/>
      <c r="Q2264" s="405"/>
      <c r="R2264" s="405"/>
      <c r="S2264" s="405"/>
      <c r="T2264" s="405"/>
      <c r="U2264" s="405"/>
      <c r="V2264" s="405"/>
      <c r="W2264" s="405"/>
      <c r="X2264" s="405"/>
      <c r="Y2264" s="405"/>
      <c r="Z2264" s="405"/>
    </row>
    <row r="2265" ht="14.25" customHeight="1">
      <c r="A2265" s="1134"/>
      <c r="B2265" s="405"/>
      <c r="C2265" s="405"/>
      <c r="D2265" s="1135"/>
      <c r="E2265" s="583"/>
      <c r="F2265" s="583"/>
      <c r="G2265" s="583"/>
      <c r="H2265" s="405"/>
      <c r="I2265" s="405"/>
      <c r="J2265" s="405"/>
      <c r="K2265" s="405"/>
      <c r="L2265" s="405"/>
      <c r="M2265" s="405"/>
      <c r="N2265" s="405"/>
      <c r="O2265" s="405"/>
      <c r="P2265" s="405"/>
      <c r="Q2265" s="405"/>
      <c r="R2265" s="405"/>
      <c r="S2265" s="405"/>
      <c r="T2265" s="405"/>
      <c r="U2265" s="405"/>
      <c r="V2265" s="405"/>
      <c r="W2265" s="405"/>
      <c r="X2265" s="405"/>
      <c r="Y2265" s="405"/>
      <c r="Z2265" s="405"/>
    </row>
    <row r="2266" ht="14.25" customHeight="1">
      <c r="A2266" s="1134"/>
      <c r="B2266" s="405"/>
      <c r="C2266" s="405"/>
      <c r="D2266" s="1135"/>
      <c r="E2266" s="583"/>
      <c r="F2266" s="583"/>
      <c r="G2266" s="583"/>
      <c r="H2266" s="405"/>
      <c r="I2266" s="405"/>
      <c r="J2266" s="405"/>
      <c r="K2266" s="405"/>
      <c r="L2266" s="405"/>
      <c r="M2266" s="405"/>
      <c r="N2266" s="405"/>
      <c r="O2266" s="405"/>
      <c r="P2266" s="405"/>
      <c r="Q2266" s="405"/>
      <c r="R2266" s="405"/>
      <c r="S2266" s="405"/>
      <c r="T2266" s="405"/>
      <c r="U2266" s="405"/>
      <c r="V2266" s="405"/>
      <c r="W2266" s="405"/>
      <c r="X2266" s="405"/>
      <c r="Y2266" s="405"/>
      <c r="Z2266" s="405"/>
    </row>
    <row r="2267" ht="14.25" customHeight="1">
      <c r="A2267" s="1134"/>
      <c r="B2267" s="405"/>
      <c r="C2267" s="405"/>
      <c r="D2267" s="1135"/>
      <c r="E2267" s="583"/>
      <c r="F2267" s="583"/>
      <c r="G2267" s="583"/>
      <c r="H2267" s="405"/>
      <c r="I2267" s="405"/>
      <c r="J2267" s="405"/>
      <c r="K2267" s="405"/>
      <c r="L2267" s="405"/>
      <c r="M2267" s="405"/>
      <c r="N2267" s="405"/>
      <c r="O2267" s="405"/>
      <c r="P2267" s="405"/>
      <c r="Q2267" s="405"/>
      <c r="R2267" s="405"/>
      <c r="S2267" s="405"/>
      <c r="T2267" s="405"/>
      <c r="U2267" s="405"/>
      <c r="V2267" s="405"/>
      <c r="W2267" s="405"/>
      <c r="X2267" s="405"/>
      <c r="Y2267" s="405"/>
      <c r="Z2267" s="405"/>
    </row>
    <row r="2268" ht="14.25" customHeight="1">
      <c r="A2268" s="1134"/>
      <c r="B2268" s="405"/>
      <c r="C2268" s="405"/>
      <c r="D2268" s="1135"/>
      <c r="E2268" s="583"/>
      <c r="F2268" s="583"/>
      <c r="G2268" s="583"/>
      <c r="H2268" s="405"/>
      <c r="I2268" s="405"/>
      <c r="J2268" s="405"/>
      <c r="K2268" s="405"/>
      <c r="L2268" s="405"/>
      <c r="M2268" s="405"/>
      <c r="N2268" s="405"/>
      <c r="O2268" s="405"/>
      <c r="P2268" s="405"/>
      <c r="Q2268" s="405"/>
      <c r="R2268" s="405"/>
      <c r="S2268" s="405"/>
      <c r="T2268" s="405"/>
      <c r="U2268" s="405"/>
      <c r="V2268" s="405"/>
      <c r="W2268" s="405"/>
      <c r="X2268" s="405"/>
      <c r="Y2268" s="405"/>
      <c r="Z2268" s="405"/>
    </row>
    <row r="2269" ht="14.25" customHeight="1">
      <c r="A2269" s="1134"/>
      <c r="B2269" s="405"/>
      <c r="C2269" s="405"/>
      <c r="D2269" s="1135"/>
      <c r="E2269" s="583"/>
      <c r="F2269" s="583"/>
      <c r="G2269" s="583"/>
      <c r="H2269" s="405"/>
      <c r="I2269" s="405"/>
      <c r="J2269" s="405"/>
      <c r="K2269" s="405"/>
      <c r="L2269" s="405"/>
      <c r="M2269" s="405"/>
      <c r="N2269" s="405"/>
      <c r="O2269" s="405"/>
      <c r="P2269" s="405"/>
      <c r="Q2269" s="405"/>
      <c r="R2269" s="405"/>
      <c r="S2269" s="405"/>
      <c r="T2269" s="405"/>
      <c r="U2269" s="405"/>
      <c r="V2269" s="405"/>
      <c r="W2269" s="405"/>
      <c r="X2269" s="405"/>
      <c r="Y2269" s="405"/>
      <c r="Z2269" s="405"/>
    </row>
    <row r="2270" ht="14.25" customHeight="1">
      <c r="A2270" s="1134"/>
      <c r="B2270" s="405"/>
      <c r="C2270" s="405"/>
      <c r="D2270" s="1135"/>
      <c r="E2270" s="583"/>
      <c r="F2270" s="583"/>
      <c r="G2270" s="583"/>
      <c r="H2270" s="405"/>
      <c r="I2270" s="405"/>
      <c r="J2270" s="405"/>
      <c r="K2270" s="405"/>
      <c r="L2270" s="405"/>
      <c r="M2270" s="405"/>
      <c r="N2270" s="405"/>
      <c r="O2270" s="405"/>
      <c r="P2270" s="405"/>
      <c r="Q2270" s="405"/>
      <c r="R2270" s="405"/>
      <c r="S2270" s="405"/>
      <c r="T2270" s="405"/>
      <c r="U2270" s="405"/>
      <c r="V2270" s="405"/>
      <c r="W2270" s="405"/>
      <c r="X2270" s="405"/>
      <c r="Y2270" s="405"/>
      <c r="Z2270" s="405"/>
    </row>
    <row r="2271" ht="14.25" customHeight="1">
      <c r="A2271" s="1134"/>
      <c r="B2271" s="405"/>
      <c r="C2271" s="405"/>
      <c r="D2271" s="1135"/>
      <c r="E2271" s="583"/>
      <c r="F2271" s="583"/>
      <c r="G2271" s="583"/>
      <c r="H2271" s="405"/>
      <c r="I2271" s="405"/>
      <c r="J2271" s="405"/>
      <c r="K2271" s="405"/>
      <c r="L2271" s="405"/>
      <c r="M2271" s="405"/>
      <c r="N2271" s="405"/>
      <c r="O2271" s="405"/>
      <c r="P2271" s="405"/>
      <c r="Q2271" s="405"/>
      <c r="R2271" s="405"/>
      <c r="S2271" s="405"/>
      <c r="T2271" s="405"/>
      <c r="U2271" s="405"/>
      <c r="V2271" s="405"/>
      <c r="W2271" s="405"/>
      <c r="X2271" s="405"/>
      <c r="Y2271" s="405"/>
      <c r="Z2271" s="405"/>
    </row>
    <row r="2272" ht="14.25" customHeight="1">
      <c r="A2272" s="1134"/>
      <c r="B2272" s="405"/>
      <c r="C2272" s="405"/>
      <c r="D2272" s="1135"/>
      <c r="E2272" s="583"/>
      <c r="F2272" s="583"/>
      <c r="G2272" s="583"/>
      <c r="H2272" s="405"/>
      <c r="I2272" s="405"/>
      <c r="J2272" s="405"/>
      <c r="K2272" s="405"/>
      <c r="L2272" s="405"/>
      <c r="M2272" s="405"/>
      <c r="N2272" s="405"/>
      <c r="O2272" s="405"/>
      <c r="P2272" s="405"/>
      <c r="Q2272" s="405"/>
      <c r="R2272" s="405"/>
      <c r="S2272" s="405"/>
      <c r="T2272" s="405"/>
      <c r="U2272" s="405"/>
      <c r="V2272" s="405"/>
      <c r="W2272" s="405"/>
      <c r="X2272" s="405"/>
      <c r="Y2272" s="405"/>
      <c r="Z2272" s="405"/>
    </row>
    <row r="2273" ht="14.25" customHeight="1">
      <c r="A2273" s="1134"/>
      <c r="B2273" s="405"/>
      <c r="C2273" s="405"/>
      <c r="D2273" s="1135"/>
      <c r="E2273" s="583"/>
      <c r="F2273" s="583"/>
      <c r="G2273" s="583"/>
      <c r="H2273" s="405"/>
      <c r="I2273" s="405"/>
      <c r="J2273" s="405"/>
      <c r="K2273" s="405"/>
      <c r="L2273" s="405"/>
      <c r="M2273" s="405"/>
      <c r="N2273" s="405"/>
      <c r="O2273" s="405"/>
      <c r="P2273" s="405"/>
      <c r="Q2273" s="405"/>
      <c r="R2273" s="405"/>
      <c r="S2273" s="405"/>
      <c r="T2273" s="405"/>
      <c r="U2273" s="405"/>
      <c r="V2273" s="405"/>
      <c r="W2273" s="405"/>
      <c r="X2273" s="405"/>
      <c r="Y2273" s="405"/>
      <c r="Z2273" s="405"/>
    </row>
    <row r="2274" ht="14.25" customHeight="1">
      <c r="A2274" s="1134"/>
      <c r="B2274" s="405"/>
      <c r="C2274" s="405"/>
      <c r="D2274" s="1135"/>
      <c r="E2274" s="583"/>
      <c r="F2274" s="583"/>
      <c r="G2274" s="583"/>
      <c r="H2274" s="405"/>
      <c r="I2274" s="405"/>
      <c r="J2274" s="405"/>
      <c r="K2274" s="405"/>
      <c r="L2274" s="405"/>
      <c r="M2274" s="405"/>
      <c r="N2274" s="405"/>
      <c r="O2274" s="405"/>
      <c r="P2274" s="405"/>
      <c r="Q2274" s="405"/>
      <c r="R2274" s="405"/>
      <c r="S2274" s="405"/>
      <c r="T2274" s="405"/>
      <c r="U2274" s="405"/>
      <c r="V2274" s="405"/>
      <c r="W2274" s="405"/>
      <c r="X2274" s="405"/>
      <c r="Y2274" s="405"/>
      <c r="Z2274" s="405"/>
    </row>
    <row r="2275" ht="14.25" customHeight="1">
      <c r="A2275" s="1134"/>
      <c r="B2275" s="405"/>
      <c r="C2275" s="405"/>
      <c r="D2275" s="1135"/>
      <c r="E2275" s="583"/>
      <c r="F2275" s="583"/>
      <c r="G2275" s="583"/>
      <c r="H2275" s="405"/>
      <c r="I2275" s="405"/>
      <c r="J2275" s="405"/>
      <c r="K2275" s="405"/>
      <c r="L2275" s="405"/>
      <c r="M2275" s="405"/>
      <c r="N2275" s="405"/>
      <c r="O2275" s="405"/>
      <c r="P2275" s="405"/>
      <c r="Q2275" s="405"/>
      <c r="R2275" s="405"/>
      <c r="S2275" s="405"/>
      <c r="T2275" s="405"/>
      <c r="U2275" s="405"/>
      <c r="V2275" s="405"/>
      <c r="W2275" s="405"/>
      <c r="X2275" s="405"/>
      <c r="Y2275" s="405"/>
      <c r="Z2275" s="405"/>
    </row>
    <row r="2276" ht="14.25" customHeight="1">
      <c r="A2276" s="1134"/>
      <c r="B2276" s="405"/>
      <c r="C2276" s="405"/>
      <c r="D2276" s="1135"/>
      <c r="E2276" s="583"/>
      <c r="F2276" s="583"/>
      <c r="G2276" s="583"/>
      <c r="H2276" s="405"/>
      <c r="I2276" s="405"/>
      <c r="J2276" s="405"/>
      <c r="K2276" s="405"/>
      <c r="L2276" s="405"/>
      <c r="M2276" s="405"/>
      <c r="N2276" s="405"/>
      <c r="O2276" s="405"/>
      <c r="P2276" s="405"/>
      <c r="Q2276" s="405"/>
      <c r="R2276" s="405"/>
      <c r="S2276" s="405"/>
      <c r="T2276" s="405"/>
      <c r="U2276" s="405"/>
      <c r="V2276" s="405"/>
      <c r="W2276" s="405"/>
      <c r="X2276" s="405"/>
      <c r="Y2276" s="405"/>
      <c r="Z2276" s="405"/>
    </row>
    <row r="2277" ht="14.25" customHeight="1">
      <c r="A2277" s="1134"/>
      <c r="B2277" s="405"/>
      <c r="C2277" s="405"/>
      <c r="D2277" s="1135"/>
      <c r="E2277" s="583"/>
      <c r="F2277" s="583"/>
      <c r="G2277" s="583"/>
      <c r="H2277" s="405"/>
      <c r="I2277" s="405"/>
      <c r="J2277" s="405"/>
      <c r="K2277" s="405"/>
      <c r="L2277" s="405"/>
      <c r="M2277" s="405"/>
      <c r="N2277" s="405"/>
      <c r="O2277" s="405"/>
      <c r="P2277" s="405"/>
      <c r="Q2277" s="405"/>
      <c r="R2277" s="405"/>
      <c r="S2277" s="405"/>
      <c r="T2277" s="405"/>
      <c r="U2277" s="405"/>
      <c r="V2277" s="405"/>
      <c r="W2277" s="405"/>
      <c r="X2277" s="405"/>
      <c r="Y2277" s="405"/>
      <c r="Z2277" s="405"/>
    </row>
    <row r="2278" ht="14.25" customHeight="1">
      <c r="A2278" s="1134"/>
      <c r="B2278" s="405"/>
      <c r="C2278" s="405"/>
      <c r="D2278" s="1135"/>
      <c r="E2278" s="583"/>
      <c r="F2278" s="583"/>
      <c r="G2278" s="583"/>
      <c r="H2278" s="405"/>
      <c r="I2278" s="405"/>
      <c r="J2278" s="405"/>
      <c r="K2278" s="405"/>
      <c r="L2278" s="405"/>
      <c r="M2278" s="405"/>
      <c r="N2278" s="405"/>
      <c r="O2278" s="405"/>
      <c r="P2278" s="405"/>
      <c r="Q2278" s="405"/>
      <c r="R2278" s="405"/>
      <c r="S2278" s="405"/>
      <c r="T2278" s="405"/>
      <c r="U2278" s="405"/>
      <c r="V2278" s="405"/>
      <c r="W2278" s="405"/>
      <c r="X2278" s="405"/>
      <c r="Y2278" s="405"/>
      <c r="Z2278" s="405"/>
    </row>
    <row r="2279" ht="14.25" customHeight="1">
      <c r="A2279" s="1134"/>
      <c r="B2279" s="405"/>
      <c r="C2279" s="405"/>
      <c r="D2279" s="1135"/>
      <c r="E2279" s="583"/>
      <c r="F2279" s="583"/>
      <c r="G2279" s="583"/>
      <c r="H2279" s="405"/>
      <c r="I2279" s="405"/>
      <c r="J2279" s="405"/>
      <c r="K2279" s="405"/>
      <c r="L2279" s="405"/>
      <c r="M2279" s="405"/>
      <c r="N2279" s="405"/>
      <c r="O2279" s="405"/>
      <c r="P2279" s="405"/>
      <c r="Q2279" s="405"/>
      <c r="R2279" s="405"/>
      <c r="S2279" s="405"/>
      <c r="T2279" s="405"/>
      <c r="U2279" s="405"/>
      <c r="V2279" s="405"/>
      <c r="W2279" s="405"/>
      <c r="X2279" s="405"/>
      <c r="Y2279" s="405"/>
      <c r="Z2279" s="405"/>
    </row>
    <row r="2280" ht="14.25" customHeight="1">
      <c r="A2280" s="1134"/>
      <c r="B2280" s="405"/>
      <c r="C2280" s="405"/>
      <c r="D2280" s="1135"/>
      <c r="E2280" s="583"/>
      <c r="F2280" s="583"/>
      <c r="G2280" s="583"/>
      <c r="H2280" s="405"/>
      <c r="I2280" s="405"/>
      <c r="J2280" s="405"/>
      <c r="K2280" s="405"/>
      <c r="L2280" s="405"/>
      <c r="M2280" s="405"/>
      <c r="N2280" s="405"/>
      <c r="O2280" s="405"/>
      <c r="P2280" s="405"/>
      <c r="Q2280" s="405"/>
      <c r="R2280" s="405"/>
      <c r="S2280" s="405"/>
      <c r="T2280" s="405"/>
      <c r="U2280" s="405"/>
      <c r="V2280" s="405"/>
      <c r="W2280" s="405"/>
      <c r="X2280" s="405"/>
      <c r="Y2280" s="405"/>
      <c r="Z2280" s="405"/>
    </row>
    <row r="2281" ht="14.25" customHeight="1">
      <c r="A2281" s="1134"/>
      <c r="B2281" s="405"/>
      <c r="C2281" s="405"/>
      <c r="D2281" s="1135"/>
      <c r="E2281" s="583"/>
      <c r="F2281" s="583"/>
      <c r="G2281" s="583"/>
      <c r="H2281" s="405"/>
      <c r="I2281" s="405"/>
      <c r="J2281" s="405"/>
      <c r="K2281" s="405"/>
      <c r="L2281" s="405"/>
      <c r="M2281" s="405"/>
      <c r="N2281" s="405"/>
      <c r="O2281" s="405"/>
      <c r="P2281" s="405"/>
      <c r="Q2281" s="405"/>
      <c r="R2281" s="405"/>
      <c r="S2281" s="405"/>
      <c r="T2281" s="405"/>
      <c r="U2281" s="405"/>
      <c r="V2281" s="405"/>
      <c r="W2281" s="405"/>
      <c r="X2281" s="405"/>
      <c r="Y2281" s="405"/>
      <c r="Z2281" s="405"/>
    </row>
    <row r="2282" ht="14.25" customHeight="1">
      <c r="A2282" s="1134"/>
      <c r="B2282" s="405"/>
      <c r="C2282" s="405"/>
      <c r="D2282" s="1135"/>
      <c r="E2282" s="583"/>
      <c r="F2282" s="583"/>
      <c r="G2282" s="583"/>
      <c r="H2282" s="405"/>
      <c r="I2282" s="405"/>
      <c r="J2282" s="405"/>
      <c r="K2282" s="405"/>
      <c r="L2282" s="405"/>
      <c r="M2282" s="405"/>
      <c r="N2282" s="405"/>
      <c r="O2282" s="405"/>
      <c r="P2282" s="405"/>
      <c r="Q2282" s="405"/>
      <c r="R2282" s="405"/>
      <c r="S2282" s="405"/>
      <c r="T2282" s="405"/>
      <c r="U2282" s="405"/>
      <c r="V2282" s="405"/>
      <c r="W2282" s="405"/>
      <c r="X2282" s="405"/>
      <c r="Y2282" s="405"/>
      <c r="Z2282" s="405"/>
    </row>
    <row r="2283" ht="14.25" customHeight="1">
      <c r="A2283" s="1134"/>
      <c r="B2283" s="405"/>
      <c r="C2283" s="405"/>
      <c r="D2283" s="1135"/>
      <c r="E2283" s="583"/>
      <c r="F2283" s="583"/>
      <c r="G2283" s="583"/>
      <c r="H2283" s="405"/>
      <c r="I2283" s="405"/>
      <c r="J2283" s="405"/>
      <c r="K2283" s="405"/>
      <c r="L2283" s="405"/>
      <c r="M2283" s="405"/>
      <c r="N2283" s="405"/>
      <c r="O2283" s="405"/>
      <c r="P2283" s="405"/>
      <c r="Q2283" s="405"/>
      <c r="R2283" s="405"/>
      <c r="S2283" s="405"/>
      <c r="T2283" s="405"/>
      <c r="U2283" s="405"/>
      <c r="V2283" s="405"/>
      <c r="W2283" s="405"/>
      <c r="X2283" s="405"/>
      <c r="Y2283" s="405"/>
      <c r="Z2283" s="405"/>
    </row>
    <row r="2284" ht="14.25" customHeight="1">
      <c r="A2284" s="1134"/>
      <c r="B2284" s="405"/>
      <c r="C2284" s="405"/>
      <c r="D2284" s="1135"/>
      <c r="E2284" s="583"/>
      <c r="F2284" s="583"/>
      <c r="G2284" s="583"/>
      <c r="H2284" s="405"/>
      <c r="I2284" s="405"/>
      <c r="J2284" s="405"/>
      <c r="K2284" s="405"/>
      <c r="L2284" s="405"/>
      <c r="M2284" s="405"/>
      <c r="N2284" s="405"/>
      <c r="O2284" s="405"/>
      <c r="P2284" s="405"/>
      <c r="Q2284" s="405"/>
      <c r="R2284" s="405"/>
      <c r="S2284" s="405"/>
      <c r="T2284" s="405"/>
      <c r="U2284" s="405"/>
      <c r="V2284" s="405"/>
      <c r="W2284" s="405"/>
      <c r="X2284" s="405"/>
      <c r="Y2284" s="405"/>
      <c r="Z2284" s="405"/>
    </row>
    <row r="2285" ht="14.25" customHeight="1">
      <c r="A2285" s="1134"/>
      <c r="B2285" s="405"/>
      <c r="C2285" s="405"/>
      <c r="D2285" s="1135"/>
      <c r="E2285" s="583"/>
      <c r="F2285" s="583"/>
      <c r="G2285" s="583"/>
      <c r="H2285" s="405"/>
      <c r="I2285" s="405"/>
      <c r="J2285" s="405"/>
      <c r="K2285" s="405"/>
      <c r="L2285" s="405"/>
      <c r="M2285" s="405"/>
      <c r="N2285" s="405"/>
      <c r="O2285" s="405"/>
      <c r="P2285" s="405"/>
      <c r="Q2285" s="405"/>
      <c r="R2285" s="405"/>
      <c r="S2285" s="405"/>
      <c r="T2285" s="405"/>
      <c r="U2285" s="405"/>
      <c r="V2285" s="405"/>
      <c r="W2285" s="405"/>
      <c r="X2285" s="405"/>
      <c r="Y2285" s="405"/>
      <c r="Z2285" s="405"/>
    </row>
    <row r="2286" ht="14.25" customHeight="1">
      <c r="A2286" s="1134"/>
      <c r="B2286" s="405"/>
      <c r="C2286" s="405"/>
      <c r="D2286" s="1135"/>
      <c r="E2286" s="583"/>
      <c r="F2286" s="583"/>
      <c r="G2286" s="583"/>
      <c r="H2286" s="405"/>
      <c r="I2286" s="405"/>
      <c r="J2286" s="405"/>
      <c r="K2286" s="405"/>
      <c r="L2286" s="405"/>
      <c r="M2286" s="405"/>
      <c r="N2286" s="405"/>
      <c r="O2286" s="405"/>
      <c r="P2286" s="405"/>
      <c r="Q2286" s="405"/>
      <c r="R2286" s="405"/>
      <c r="S2286" s="405"/>
      <c r="T2286" s="405"/>
      <c r="U2286" s="405"/>
      <c r="V2286" s="405"/>
      <c r="W2286" s="405"/>
      <c r="X2286" s="405"/>
      <c r="Y2286" s="405"/>
      <c r="Z2286" s="405"/>
    </row>
    <row r="2287" ht="14.25" customHeight="1">
      <c r="A2287" s="1134"/>
      <c r="B2287" s="405"/>
      <c r="C2287" s="405"/>
      <c r="D2287" s="1135"/>
      <c r="E2287" s="583"/>
      <c r="F2287" s="583"/>
      <c r="G2287" s="583"/>
      <c r="H2287" s="405"/>
      <c r="I2287" s="405"/>
      <c r="J2287" s="405"/>
      <c r="K2287" s="405"/>
      <c r="L2287" s="405"/>
      <c r="M2287" s="405"/>
      <c r="N2287" s="405"/>
      <c r="O2287" s="405"/>
      <c r="P2287" s="405"/>
      <c r="Q2287" s="405"/>
      <c r="R2287" s="405"/>
      <c r="S2287" s="405"/>
      <c r="T2287" s="405"/>
      <c r="U2287" s="405"/>
      <c r="V2287" s="405"/>
      <c r="W2287" s="405"/>
      <c r="X2287" s="405"/>
      <c r="Y2287" s="405"/>
      <c r="Z2287" s="405"/>
    </row>
    <row r="2288" ht="14.25" customHeight="1">
      <c r="A2288" s="1134"/>
      <c r="B2288" s="405"/>
      <c r="C2288" s="405"/>
      <c r="D2288" s="1135"/>
      <c r="E2288" s="583"/>
      <c r="F2288" s="583"/>
      <c r="G2288" s="583"/>
      <c r="H2288" s="405"/>
      <c r="I2288" s="405"/>
      <c r="J2288" s="405"/>
      <c r="K2288" s="405"/>
      <c r="L2288" s="405"/>
      <c r="M2288" s="405"/>
      <c r="N2288" s="405"/>
      <c r="O2288" s="405"/>
      <c r="P2288" s="405"/>
      <c r="Q2288" s="405"/>
      <c r="R2288" s="405"/>
      <c r="S2288" s="405"/>
      <c r="T2288" s="405"/>
      <c r="U2288" s="405"/>
      <c r="V2288" s="405"/>
      <c r="W2288" s="405"/>
      <c r="X2288" s="405"/>
      <c r="Y2288" s="405"/>
      <c r="Z2288" s="405"/>
    </row>
    <row r="2289" ht="14.25" customHeight="1">
      <c r="A2289" s="1134"/>
      <c r="B2289" s="405"/>
      <c r="C2289" s="405"/>
      <c r="D2289" s="1135"/>
      <c r="E2289" s="583"/>
      <c r="F2289" s="583"/>
      <c r="G2289" s="583"/>
      <c r="H2289" s="405"/>
      <c r="I2289" s="405"/>
      <c r="J2289" s="405"/>
      <c r="K2289" s="405"/>
      <c r="L2289" s="405"/>
      <c r="M2289" s="405"/>
      <c r="N2289" s="405"/>
      <c r="O2289" s="405"/>
      <c r="P2289" s="405"/>
      <c r="Q2289" s="405"/>
      <c r="R2289" s="405"/>
      <c r="S2289" s="405"/>
      <c r="T2289" s="405"/>
      <c r="U2289" s="405"/>
      <c r="V2289" s="405"/>
      <c r="W2289" s="405"/>
      <c r="X2289" s="405"/>
      <c r="Y2289" s="405"/>
      <c r="Z2289" s="405"/>
    </row>
    <row r="2290" ht="14.25" customHeight="1">
      <c r="A2290" s="1134"/>
      <c r="B2290" s="405"/>
      <c r="C2290" s="405"/>
      <c r="D2290" s="1135"/>
      <c r="E2290" s="583"/>
      <c r="F2290" s="583"/>
      <c r="G2290" s="583"/>
      <c r="H2290" s="405"/>
      <c r="I2290" s="405"/>
      <c r="J2290" s="405"/>
      <c r="K2290" s="405"/>
      <c r="L2290" s="405"/>
      <c r="M2290" s="405"/>
      <c r="N2290" s="405"/>
      <c r="O2290" s="405"/>
      <c r="P2290" s="405"/>
      <c r="Q2290" s="405"/>
      <c r="R2290" s="405"/>
      <c r="S2290" s="405"/>
      <c r="T2290" s="405"/>
      <c r="U2290" s="405"/>
      <c r="V2290" s="405"/>
      <c r="W2290" s="405"/>
      <c r="X2290" s="405"/>
      <c r="Y2290" s="405"/>
      <c r="Z2290" s="405"/>
    </row>
    <row r="2291" ht="14.25" customHeight="1">
      <c r="A2291" s="1134"/>
      <c r="B2291" s="405"/>
      <c r="C2291" s="405"/>
      <c r="D2291" s="1135"/>
      <c r="E2291" s="583"/>
      <c r="F2291" s="583"/>
      <c r="G2291" s="583"/>
      <c r="H2291" s="405"/>
      <c r="I2291" s="405"/>
      <c r="J2291" s="405"/>
      <c r="K2291" s="405"/>
      <c r="L2291" s="405"/>
      <c r="M2291" s="405"/>
      <c r="N2291" s="405"/>
      <c r="O2291" s="405"/>
      <c r="P2291" s="405"/>
      <c r="Q2291" s="405"/>
      <c r="R2291" s="405"/>
      <c r="S2291" s="405"/>
      <c r="T2291" s="405"/>
      <c r="U2291" s="405"/>
      <c r="V2291" s="405"/>
      <c r="W2291" s="405"/>
      <c r="X2291" s="405"/>
      <c r="Y2291" s="405"/>
      <c r="Z2291" s="405"/>
    </row>
    <row r="2292" ht="14.25" customHeight="1">
      <c r="A2292" s="1134"/>
      <c r="B2292" s="405"/>
      <c r="C2292" s="405"/>
      <c r="D2292" s="1135"/>
      <c r="E2292" s="583"/>
      <c r="F2292" s="583"/>
      <c r="G2292" s="583"/>
      <c r="H2292" s="405"/>
      <c r="I2292" s="405"/>
      <c r="J2292" s="405"/>
      <c r="K2292" s="405"/>
      <c r="L2292" s="405"/>
      <c r="M2292" s="405"/>
      <c r="N2292" s="405"/>
      <c r="O2292" s="405"/>
      <c r="P2292" s="405"/>
      <c r="Q2292" s="405"/>
      <c r="R2292" s="405"/>
      <c r="S2292" s="405"/>
      <c r="T2292" s="405"/>
      <c r="U2292" s="405"/>
      <c r="V2292" s="405"/>
      <c r="W2292" s="405"/>
      <c r="X2292" s="405"/>
      <c r="Y2292" s="405"/>
      <c r="Z2292" s="405"/>
    </row>
    <row r="2293" ht="14.25" customHeight="1">
      <c r="A2293" s="1134"/>
      <c r="B2293" s="405"/>
      <c r="C2293" s="405"/>
      <c r="D2293" s="1135"/>
      <c r="E2293" s="583"/>
      <c r="F2293" s="583"/>
      <c r="G2293" s="583"/>
      <c r="H2293" s="405"/>
      <c r="I2293" s="405"/>
      <c r="J2293" s="405"/>
      <c r="K2293" s="405"/>
      <c r="L2293" s="405"/>
      <c r="M2293" s="405"/>
      <c r="N2293" s="405"/>
      <c r="O2293" s="405"/>
      <c r="P2293" s="405"/>
      <c r="Q2293" s="405"/>
      <c r="R2293" s="405"/>
      <c r="S2293" s="405"/>
      <c r="T2293" s="405"/>
      <c r="U2293" s="405"/>
      <c r="V2293" s="405"/>
      <c r="W2293" s="405"/>
      <c r="X2293" s="405"/>
      <c r="Y2293" s="405"/>
      <c r="Z2293" s="405"/>
    </row>
    <row r="2294" ht="14.25" customHeight="1">
      <c r="A2294" s="1134"/>
      <c r="B2294" s="405"/>
      <c r="C2294" s="405"/>
      <c r="D2294" s="1135"/>
      <c r="E2294" s="583"/>
      <c r="F2294" s="583"/>
      <c r="G2294" s="583"/>
      <c r="H2294" s="405"/>
      <c r="I2294" s="405"/>
      <c r="J2294" s="405"/>
      <c r="K2294" s="405"/>
      <c r="L2294" s="405"/>
      <c r="M2294" s="405"/>
      <c r="N2294" s="405"/>
      <c r="O2294" s="405"/>
      <c r="P2294" s="405"/>
      <c r="Q2294" s="405"/>
      <c r="R2294" s="405"/>
      <c r="S2294" s="405"/>
      <c r="T2294" s="405"/>
      <c r="U2294" s="405"/>
      <c r="V2294" s="405"/>
      <c r="W2294" s="405"/>
      <c r="X2294" s="405"/>
      <c r="Y2294" s="405"/>
      <c r="Z2294" s="405"/>
    </row>
    <row r="2295" ht="14.25" customHeight="1">
      <c r="A2295" s="1134"/>
      <c r="B2295" s="405"/>
      <c r="C2295" s="405"/>
      <c r="D2295" s="1135"/>
      <c r="E2295" s="583"/>
      <c r="F2295" s="583"/>
      <c r="G2295" s="583"/>
      <c r="H2295" s="405"/>
      <c r="I2295" s="405"/>
      <c r="J2295" s="405"/>
      <c r="K2295" s="405"/>
      <c r="L2295" s="405"/>
      <c r="M2295" s="405"/>
      <c r="N2295" s="405"/>
      <c r="O2295" s="405"/>
      <c r="P2295" s="405"/>
      <c r="Q2295" s="405"/>
      <c r="R2295" s="405"/>
      <c r="S2295" s="405"/>
      <c r="T2295" s="405"/>
      <c r="U2295" s="405"/>
      <c r="V2295" s="405"/>
      <c r="W2295" s="405"/>
      <c r="X2295" s="405"/>
      <c r="Y2295" s="405"/>
      <c r="Z2295" s="405"/>
    </row>
    <row r="2296" ht="14.25" customHeight="1">
      <c r="A2296" s="1134"/>
      <c r="B2296" s="405"/>
      <c r="C2296" s="405"/>
      <c r="D2296" s="1135"/>
      <c r="E2296" s="583"/>
      <c r="F2296" s="583"/>
      <c r="G2296" s="583"/>
      <c r="H2296" s="405"/>
      <c r="I2296" s="405"/>
      <c r="J2296" s="405"/>
      <c r="K2296" s="405"/>
      <c r="L2296" s="405"/>
      <c r="M2296" s="405"/>
      <c r="N2296" s="405"/>
      <c r="O2296" s="405"/>
      <c r="P2296" s="405"/>
      <c r="Q2296" s="405"/>
      <c r="R2296" s="405"/>
      <c r="S2296" s="405"/>
      <c r="T2296" s="405"/>
      <c r="U2296" s="405"/>
      <c r="V2296" s="405"/>
      <c r="W2296" s="405"/>
      <c r="X2296" s="405"/>
      <c r="Y2296" s="405"/>
      <c r="Z2296" s="405"/>
    </row>
    <row r="2297" ht="14.25" customHeight="1">
      <c r="A2297" s="1134"/>
      <c r="B2297" s="405"/>
      <c r="C2297" s="405"/>
      <c r="D2297" s="1135"/>
      <c r="E2297" s="583"/>
      <c r="F2297" s="583"/>
      <c r="G2297" s="583"/>
      <c r="H2297" s="405"/>
      <c r="I2297" s="405"/>
      <c r="J2297" s="405"/>
      <c r="K2297" s="405"/>
      <c r="L2297" s="405"/>
      <c r="M2297" s="405"/>
      <c r="N2297" s="405"/>
      <c r="O2297" s="405"/>
      <c r="P2297" s="405"/>
      <c r="Q2297" s="405"/>
      <c r="R2297" s="405"/>
      <c r="S2297" s="405"/>
      <c r="T2297" s="405"/>
      <c r="U2297" s="405"/>
      <c r="V2297" s="405"/>
      <c r="W2297" s="405"/>
      <c r="X2297" s="405"/>
      <c r="Y2297" s="405"/>
      <c r="Z2297" s="405"/>
    </row>
    <row r="2298" ht="14.25" customHeight="1">
      <c r="A2298" s="1134"/>
      <c r="B2298" s="405"/>
      <c r="C2298" s="405"/>
      <c r="D2298" s="1135"/>
      <c r="E2298" s="583"/>
      <c r="F2298" s="583"/>
      <c r="G2298" s="583"/>
      <c r="H2298" s="405"/>
      <c r="I2298" s="405"/>
      <c r="J2298" s="405"/>
      <c r="K2298" s="405"/>
      <c r="L2298" s="405"/>
      <c r="M2298" s="405"/>
      <c r="N2298" s="405"/>
      <c r="O2298" s="405"/>
      <c r="P2298" s="405"/>
      <c r="Q2298" s="405"/>
      <c r="R2298" s="405"/>
      <c r="S2298" s="405"/>
      <c r="T2298" s="405"/>
      <c r="U2298" s="405"/>
      <c r="V2298" s="405"/>
      <c r="W2298" s="405"/>
      <c r="X2298" s="405"/>
      <c r="Y2298" s="405"/>
      <c r="Z2298" s="405"/>
    </row>
    <row r="2299" ht="14.25" customHeight="1">
      <c r="A2299" s="1134"/>
      <c r="B2299" s="405"/>
      <c r="C2299" s="405"/>
      <c r="D2299" s="1135"/>
      <c r="E2299" s="583"/>
      <c r="F2299" s="583"/>
      <c r="G2299" s="583"/>
      <c r="H2299" s="405"/>
      <c r="I2299" s="405"/>
      <c r="J2299" s="405"/>
      <c r="K2299" s="405"/>
      <c r="L2299" s="405"/>
      <c r="M2299" s="405"/>
      <c r="N2299" s="405"/>
      <c r="O2299" s="405"/>
      <c r="P2299" s="405"/>
      <c r="Q2299" s="405"/>
      <c r="R2299" s="405"/>
      <c r="S2299" s="405"/>
      <c r="T2299" s="405"/>
      <c r="U2299" s="405"/>
      <c r="V2299" s="405"/>
      <c r="W2299" s="405"/>
      <c r="X2299" s="405"/>
      <c r="Y2299" s="405"/>
      <c r="Z2299" s="405"/>
    </row>
    <row r="2300" ht="14.25" customHeight="1">
      <c r="A2300" s="1134"/>
      <c r="B2300" s="405"/>
      <c r="C2300" s="405"/>
      <c r="D2300" s="1135"/>
      <c r="E2300" s="583"/>
      <c r="F2300" s="583"/>
      <c r="G2300" s="583"/>
      <c r="H2300" s="405"/>
      <c r="I2300" s="405"/>
      <c r="J2300" s="405"/>
      <c r="K2300" s="405"/>
      <c r="L2300" s="405"/>
      <c r="M2300" s="405"/>
      <c r="N2300" s="405"/>
      <c r="O2300" s="405"/>
      <c r="P2300" s="405"/>
      <c r="Q2300" s="405"/>
      <c r="R2300" s="405"/>
      <c r="S2300" s="405"/>
      <c r="T2300" s="405"/>
      <c r="U2300" s="405"/>
      <c r="V2300" s="405"/>
      <c r="W2300" s="405"/>
      <c r="X2300" s="405"/>
      <c r="Y2300" s="405"/>
      <c r="Z2300" s="405"/>
    </row>
    <row r="2301" ht="14.25" customHeight="1">
      <c r="A2301" s="1134"/>
      <c r="B2301" s="405"/>
      <c r="C2301" s="405"/>
      <c r="D2301" s="1135"/>
      <c r="E2301" s="583"/>
      <c r="F2301" s="583"/>
      <c r="G2301" s="583"/>
      <c r="H2301" s="405"/>
      <c r="I2301" s="405"/>
      <c r="J2301" s="405"/>
      <c r="K2301" s="405"/>
      <c r="L2301" s="405"/>
      <c r="M2301" s="405"/>
      <c r="N2301" s="405"/>
      <c r="O2301" s="405"/>
      <c r="P2301" s="405"/>
      <c r="Q2301" s="405"/>
      <c r="R2301" s="405"/>
      <c r="S2301" s="405"/>
      <c r="T2301" s="405"/>
      <c r="U2301" s="405"/>
      <c r="V2301" s="405"/>
      <c r="W2301" s="405"/>
      <c r="X2301" s="405"/>
      <c r="Y2301" s="405"/>
      <c r="Z2301" s="405"/>
    </row>
    <row r="2302" ht="14.25" customHeight="1">
      <c r="A2302" s="1134"/>
      <c r="B2302" s="405"/>
      <c r="C2302" s="405"/>
      <c r="D2302" s="1135"/>
      <c r="E2302" s="583"/>
      <c r="F2302" s="583"/>
      <c r="G2302" s="583"/>
      <c r="H2302" s="405"/>
      <c r="I2302" s="405"/>
      <c r="J2302" s="405"/>
      <c r="K2302" s="405"/>
      <c r="L2302" s="405"/>
      <c r="M2302" s="405"/>
      <c r="N2302" s="405"/>
      <c r="O2302" s="405"/>
      <c r="P2302" s="405"/>
      <c r="Q2302" s="405"/>
      <c r="R2302" s="405"/>
      <c r="S2302" s="405"/>
      <c r="T2302" s="405"/>
      <c r="U2302" s="405"/>
      <c r="V2302" s="405"/>
      <c r="W2302" s="405"/>
      <c r="X2302" s="405"/>
      <c r="Y2302" s="405"/>
      <c r="Z2302" s="405"/>
    </row>
    <row r="2303" ht="14.25" customHeight="1">
      <c r="A2303" s="1134"/>
      <c r="B2303" s="405"/>
      <c r="C2303" s="405"/>
      <c r="D2303" s="1135"/>
      <c r="E2303" s="583"/>
      <c r="F2303" s="583"/>
      <c r="G2303" s="583"/>
      <c r="H2303" s="405"/>
      <c r="I2303" s="405"/>
      <c r="J2303" s="405"/>
      <c r="K2303" s="405"/>
      <c r="L2303" s="405"/>
      <c r="M2303" s="405"/>
      <c r="N2303" s="405"/>
      <c r="O2303" s="405"/>
      <c r="P2303" s="405"/>
      <c r="Q2303" s="405"/>
      <c r="R2303" s="405"/>
      <c r="S2303" s="405"/>
      <c r="T2303" s="405"/>
      <c r="U2303" s="405"/>
      <c r="V2303" s="405"/>
      <c r="W2303" s="405"/>
      <c r="X2303" s="405"/>
      <c r="Y2303" s="405"/>
      <c r="Z2303" s="405"/>
    </row>
    <row r="2304" ht="14.25" customHeight="1">
      <c r="A2304" s="1134"/>
      <c r="B2304" s="405"/>
      <c r="C2304" s="405"/>
      <c r="D2304" s="1135"/>
      <c r="E2304" s="583"/>
      <c r="F2304" s="583"/>
      <c r="G2304" s="583"/>
      <c r="H2304" s="405"/>
      <c r="I2304" s="405"/>
      <c r="J2304" s="405"/>
      <c r="K2304" s="405"/>
      <c r="L2304" s="405"/>
      <c r="M2304" s="405"/>
      <c r="N2304" s="405"/>
      <c r="O2304" s="405"/>
      <c r="P2304" s="405"/>
      <c r="Q2304" s="405"/>
      <c r="R2304" s="405"/>
      <c r="S2304" s="405"/>
      <c r="T2304" s="405"/>
      <c r="U2304" s="405"/>
      <c r="V2304" s="405"/>
      <c r="W2304" s="405"/>
      <c r="X2304" s="405"/>
      <c r="Y2304" s="405"/>
      <c r="Z2304" s="405"/>
    </row>
    <row r="2305" ht="14.25" customHeight="1">
      <c r="A2305" s="1134"/>
      <c r="B2305" s="405"/>
      <c r="C2305" s="405"/>
      <c r="D2305" s="1135"/>
      <c r="E2305" s="583"/>
      <c r="F2305" s="583"/>
      <c r="G2305" s="583"/>
      <c r="H2305" s="405"/>
      <c r="I2305" s="405"/>
      <c r="J2305" s="405"/>
      <c r="K2305" s="405"/>
      <c r="L2305" s="405"/>
      <c r="M2305" s="405"/>
      <c r="N2305" s="405"/>
      <c r="O2305" s="405"/>
      <c r="P2305" s="405"/>
      <c r="Q2305" s="405"/>
      <c r="R2305" s="405"/>
      <c r="S2305" s="405"/>
      <c r="T2305" s="405"/>
      <c r="U2305" s="405"/>
      <c r="V2305" s="405"/>
      <c r="W2305" s="405"/>
      <c r="X2305" s="405"/>
      <c r="Y2305" s="405"/>
      <c r="Z2305" s="405"/>
    </row>
    <row r="2306" ht="14.25" customHeight="1">
      <c r="A2306" s="1134"/>
      <c r="B2306" s="405"/>
      <c r="C2306" s="405"/>
      <c r="D2306" s="1135"/>
      <c r="E2306" s="583"/>
      <c r="F2306" s="583"/>
      <c r="G2306" s="583"/>
      <c r="H2306" s="405"/>
      <c r="I2306" s="405"/>
      <c r="J2306" s="405"/>
      <c r="K2306" s="405"/>
      <c r="L2306" s="405"/>
      <c r="M2306" s="405"/>
      <c r="N2306" s="405"/>
      <c r="O2306" s="405"/>
      <c r="P2306" s="405"/>
      <c r="Q2306" s="405"/>
      <c r="R2306" s="405"/>
      <c r="S2306" s="405"/>
      <c r="T2306" s="405"/>
      <c r="U2306" s="405"/>
      <c r="V2306" s="405"/>
      <c r="W2306" s="405"/>
      <c r="X2306" s="405"/>
      <c r="Y2306" s="405"/>
      <c r="Z2306" s="405"/>
    </row>
    <row r="2307" ht="14.25" customHeight="1">
      <c r="A2307" s="1134"/>
      <c r="B2307" s="405"/>
      <c r="C2307" s="405"/>
      <c r="D2307" s="1135"/>
      <c r="E2307" s="583"/>
      <c r="F2307" s="583"/>
      <c r="G2307" s="583"/>
      <c r="H2307" s="405"/>
      <c r="I2307" s="405"/>
      <c r="J2307" s="405"/>
      <c r="K2307" s="405"/>
      <c r="L2307" s="405"/>
      <c r="M2307" s="405"/>
      <c r="N2307" s="405"/>
      <c r="O2307" s="405"/>
      <c r="P2307" s="405"/>
      <c r="Q2307" s="405"/>
      <c r="R2307" s="405"/>
      <c r="S2307" s="405"/>
      <c r="T2307" s="405"/>
      <c r="U2307" s="405"/>
      <c r="V2307" s="405"/>
      <c r="W2307" s="405"/>
      <c r="X2307" s="405"/>
      <c r="Y2307" s="405"/>
      <c r="Z2307" s="405"/>
    </row>
    <row r="2308" ht="14.25" customHeight="1">
      <c r="A2308" s="1134"/>
      <c r="B2308" s="405"/>
      <c r="C2308" s="405"/>
      <c r="D2308" s="1135"/>
      <c r="E2308" s="583"/>
      <c r="F2308" s="583"/>
      <c r="G2308" s="583"/>
      <c r="H2308" s="405"/>
      <c r="I2308" s="405"/>
      <c r="J2308" s="405"/>
      <c r="K2308" s="405"/>
      <c r="L2308" s="405"/>
      <c r="M2308" s="405"/>
      <c r="N2308" s="405"/>
      <c r="O2308" s="405"/>
      <c r="P2308" s="405"/>
      <c r="Q2308" s="405"/>
      <c r="R2308" s="405"/>
      <c r="S2308" s="405"/>
      <c r="T2308" s="405"/>
      <c r="U2308" s="405"/>
      <c r="V2308" s="405"/>
      <c r="W2308" s="405"/>
      <c r="X2308" s="405"/>
      <c r="Y2308" s="405"/>
      <c r="Z2308" s="405"/>
    </row>
    <row r="2309" ht="14.25" customHeight="1">
      <c r="A2309" s="1134"/>
      <c r="B2309" s="405"/>
      <c r="C2309" s="405"/>
      <c r="D2309" s="1135"/>
      <c r="E2309" s="583"/>
      <c r="F2309" s="583"/>
      <c r="G2309" s="583"/>
      <c r="H2309" s="405"/>
      <c r="I2309" s="405"/>
      <c r="J2309" s="405"/>
      <c r="K2309" s="405"/>
      <c r="L2309" s="405"/>
      <c r="M2309" s="405"/>
      <c r="N2309" s="405"/>
      <c r="O2309" s="405"/>
      <c r="P2309" s="405"/>
      <c r="Q2309" s="405"/>
      <c r="R2309" s="405"/>
      <c r="S2309" s="405"/>
      <c r="T2309" s="405"/>
      <c r="U2309" s="405"/>
      <c r="V2309" s="405"/>
      <c r="W2309" s="405"/>
      <c r="X2309" s="405"/>
      <c r="Y2309" s="405"/>
      <c r="Z2309" s="405"/>
    </row>
    <row r="2310" ht="14.25" customHeight="1">
      <c r="A2310" s="1134"/>
      <c r="B2310" s="405"/>
      <c r="C2310" s="405"/>
      <c r="D2310" s="1135"/>
      <c r="E2310" s="583"/>
      <c r="F2310" s="583"/>
      <c r="G2310" s="583"/>
      <c r="H2310" s="405"/>
      <c r="I2310" s="405"/>
      <c r="J2310" s="405"/>
      <c r="K2310" s="405"/>
      <c r="L2310" s="405"/>
      <c r="M2310" s="405"/>
      <c r="N2310" s="405"/>
      <c r="O2310" s="405"/>
      <c r="P2310" s="405"/>
      <c r="Q2310" s="405"/>
      <c r="R2310" s="405"/>
      <c r="S2310" s="405"/>
      <c r="T2310" s="405"/>
      <c r="U2310" s="405"/>
      <c r="V2310" s="405"/>
      <c r="W2310" s="405"/>
      <c r="X2310" s="405"/>
      <c r="Y2310" s="405"/>
      <c r="Z2310" s="405"/>
    </row>
    <row r="2311" ht="14.25" customHeight="1">
      <c r="A2311" s="1134"/>
      <c r="B2311" s="405"/>
      <c r="C2311" s="405"/>
      <c r="D2311" s="1135"/>
      <c r="E2311" s="583"/>
      <c r="F2311" s="583"/>
      <c r="G2311" s="583"/>
      <c r="H2311" s="405"/>
      <c r="I2311" s="405"/>
      <c r="J2311" s="405"/>
      <c r="K2311" s="405"/>
      <c r="L2311" s="405"/>
      <c r="M2311" s="405"/>
      <c r="N2311" s="405"/>
      <c r="O2311" s="405"/>
      <c r="P2311" s="405"/>
      <c r="Q2311" s="405"/>
      <c r="R2311" s="405"/>
      <c r="S2311" s="405"/>
      <c r="T2311" s="405"/>
      <c r="U2311" s="405"/>
      <c r="V2311" s="405"/>
      <c r="W2311" s="405"/>
      <c r="X2311" s="405"/>
      <c r="Y2311" s="405"/>
      <c r="Z2311" s="405"/>
    </row>
    <row r="2312" ht="14.25" customHeight="1">
      <c r="A2312" s="1134"/>
      <c r="B2312" s="405"/>
      <c r="C2312" s="405"/>
      <c r="D2312" s="1135"/>
      <c r="E2312" s="583"/>
      <c r="F2312" s="583"/>
      <c r="G2312" s="583"/>
      <c r="H2312" s="405"/>
      <c r="I2312" s="405"/>
      <c r="J2312" s="405"/>
      <c r="K2312" s="405"/>
      <c r="L2312" s="405"/>
      <c r="M2312" s="405"/>
      <c r="N2312" s="405"/>
      <c r="O2312" s="405"/>
      <c r="P2312" s="405"/>
      <c r="Q2312" s="405"/>
      <c r="R2312" s="405"/>
      <c r="S2312" s="405"/>
      <c r="T2312" s="405"/>
      <c r="U2312" s="405"/>
      <c r="V2312" s="405"/>
      <c r="W2312" s="405"/>
      <c r="X2312" s="405"/>
      <c r="Y2312" s="405"/>
      <c r="Z2312" s="405"/>
    </row>
    <row r="2313" ht="14.25" customHeight="1">
      <c r="A2313" s="1134"/>
      <c r="B2313" s="405"/>
      <c r="C2313" s="405"/>
      <c r="D2313" s="1135"/>
      <c r="E2313" s="583"/>
      <c r="F2313" s="583"/>
      <c r="G2313" s="583"/>
      <c r="H2313" s="405"/>
      <c r="I2313" s="405"/>
      <c r="J2313" s="405"/>
      <c r="K2313" s="405"/>
      <c r="L2313" s="405"/>
      <c r="M2313" s="405"/>
      <c r="N2313" s="405"/>
      <c r="O2313" s="405"/>
      <c r="P2313" s="405"/>
      <c r="Q2313" s="405"/>
      <c r="R2313" s="405"/>
      <c r="S2313" s="405"/>
      <c r="T2313" s="405"/>
      <c r="U2313" s="405"/>
      <c r="V2313" s="405"/>
      <c r="W2313" s="405"/>
      <c r="X2313" s="405"/>
      <c r="Y2313" s="405"/>
      <c r="Z2313" s="405"/>
    </row>
    <row r="2314" ht="14.25" customHeight="1">
      <c r="A2314" s="1134"/>
      <c r="B2314" s="405"/>
      <c r="C2314" s="405"/>
      <c r="D2314" s="1135"/>
      <c r="E2314" s="583"/>
      <c r="F2314" s="583"/>
      <c r="G2314" s="583"/>
      <c r="H2314" s="405"/>
      <c r="I2314" s="405"/>
      <c r="J2314" s="405"/>
      <c r="K2314" s="405"/>
      <c r="L2314" s="405"/>
      <c r="M2314" s="405"/>
      <c r="N2314" s="405"/>
      <c r="O2314" s="405"/>
      <c r="P2314" s="405"/>
      <c r="Q2314" s="405"/>
      <c r="R2314" s="405"/>
      <c r="S2314" s="405"/>
      <c r="T2314" s="405"/>
      <c r="U2314" s="405"/>
      <c r="V2314" s="405"/>
      <c r="W2314" s="405"/>
      <c r="X2314" s="405"/>
      <c r="Y2314" s="405"/>
      <c r="Z2314" s="405"/>
    </row>
    <row r="2315" ht="14.25" customHeight="1">
      <c r="A2315" s="1134"/>
      <c r="B2315" s="405"/>
      <c r="C2315" s="405"/>
      <c r="D2315" s="1135"/>
      <c r="E2315" s="583"/>
      <c r="F2315" s="583"/>
      <c r="G2315" s="583"/>
      <c r="H2315" s="405"/>
      <c r="I2315" s="405"/>
      <c r="J2315" s="405"/>
      <c r="K2315" s="405"/>
      <c r="L2315" s="405"/>
      <c r="M2315" s="405"/>
      <c r="N2315" s="405"/>
      <c r="O2315" s="405"/>
      <c r="P2315" s="405"/>
      <c r="Q2315" s="405"/>
      <c r="R2315" s="405"/>
      <c r="S2315" s="405"/>
      <c r="T2315" s="405"/>
      <c r="U2315" s="405"/>
      <c r="V2315" s="405"/>
      <c r="W2315" s="405"/>
      <c r="X2315" s="405"/>
      <c r="Y2315" s="405"/>
      <c r="Z2315" s="405"/>
    </row>
    <row r="2316" ht="14.25" customHeight="1">
      <c r="A2316" s="1134"/>
      <c r="B2316" s="405"/>
      <c r="C2316" s="405"/>
      <c r="D2316" s="1135"/>
      <c r="E2316" s="583"/>
      <c r="F2316" s="583"/>
      <c r="G2316" s="583"/>
      <c r="H2316" s="405"/>
      <c r="I2316" s="405"/>
      <c r="J2316" s="405"/>
      <c r="K2316" s="405"/>
      <c r="L2316" s="405"/>
      <c r="M2316" s="405"/>
      <c r="N2316" s="405"/>
      <c r="O2316" s="405"/>
      <c r="P2316" s="405"/>
      <c r="Q2316" s="405"/>
      <c r="R2316" s="405"/>
      <c r="S2316" s="405"/>
      <c r="T2316" s="405"/>
      <c r="U2316" s="405"/>
      <c r="V2316" s="405"/>
      <c r="W2316" s="405"/>
      <c r="X2316" s="405"/>
      <c r="Y2316" s="405"/>
      <c r="Z2316" s="405"/>
    </row>
    <row r="2317" ht="14.25" customHeight="1">
      <c r="A2317" s="1134"/>
      <c r="B2317" s="405"/>
      <c r="C2317" s="405"/>
      <c r="D2317" s="1135"/>
      <c r="E2317" s="583"/>
      <c r="F2317" s="583"/>
      <c r="G2317" s="583"/>
      <c r="H2317" s="405"/>
      <c r="I2317" s="405"/>
      <c r="J2317" s="405"/>
      <c r="K2317" s="405"/>
      <c r="L2317" s="405"/>
      <c r="M2317" s="405"/>
      <c r="N2317" s="405"/>
      <c r="O2317" s="405"/>
      <c r="P2317" s="405"/>
      <c r="Q2317" s="405"/>
      <c r="R2317" s="405"/>
      <c r="S2317" s="405"/>
      <c r="T2317" s="405"/>
      <c r="U2317" s="405"/>
      <c r="V2317" s="405"/>
      <c r="W2317" s="405"/>
      <c r="X2317" s="405"/>
      <c r="Y2317" s="405"/>
      <c r="Z2317" s="405"/>
    </row>
    <row r="2318" ht="14.25" customHeight="1">
      <c r="A2318" s="1134"/>
      <c r="B2318" s="405"/>
      <c r="C2318" s="405"/>
      <c r="D2318" s="1135"/>
      <c r="E2318" s="583"/>
      <c r="F2318" s="583"/>
      <c r="G2318" s="583"/>
      <c r="H2318" s="405"/>
      <c r="I2318" s="405"/>
      <c r="J2318" s="405"/>
      <c r="K2318" s="405"/>
      <c r="L2318" s="405"/>
      <c r="M2318" s="405"/>
      <c r="N2318" s="405"/>
      <c r="O2318" s="405"/>
      <c r="P2318" s="405"/>
      <c r="Q2318" s="405"/>
      <c r="R2318" s="405"/>
      <c r="S2318" s="405"/>
      <c r="T2318" s="405"/>
      <c r="U2318" s="405"/>
      <c r="V2318" s="405"/>
      <c r="W2318" s="405"/>
      <c r="X2318" s="405"/>
      <c r="Y2318" s="405"/>
      <c r="Z2318" s="405"/>
    </row>
    <row r="2319" ht="14.25" customHeight="1">
      <c r="A2319" s="1134"/>
      <c r="B2319" s="405"/>
      <c r="C2319" s="405"/>
      <c r="D2319" s="1135"/>
      <c r="E2319" s="583"/>
      <c r="F2319" s="583"/>
      <c r="G2319" s="583"/>
      <c r="H2319" s="405"/>
      <c r="I2319" s="405"/>
      <c r="J2319" s="405"/>
      <c r="K2319" s="405"/>
      <c r="L2319" s="405"/>
      <c r="M2319" s="405"/>
      <c r="N2319" s="405"/>
      <c r="O2319" s="405"/>
      <c r="P2319" s="405"/>
      <c r="Q2319" s="405"/>
      <c r="R2319" s="405"/>
      <c r="S2319" s="405"/>
      <c r="T2319" s="405"/>
      <c r="U2319" s="405"/>
      <c r="V2319" s="405"/>
      <c r="W2319" s="405"/>
      <c r="X2319" s="405"/>
      <c r="Y2319" s="405"/>
      <c r="Z2319" s="405"/>
    </row>
    <row r="2320" ht="14.25" customHeight="1">
      <c r="A2320" s="1134"/>
      <c r="B2320" s="405"/>
      <c r="C2320" s="405"/>
      <c r="D2320" s="1135"/>
      <c r="E2320" s="583"/>
      <c r="F2320" s="583"/>
      <c r="G2320" s="583"/>
      <c r="H2320" s="405"/>
      <c r="I2320" s="405"/>
      <c r="J2320" s="405"/>
      <c r="K2320" s="405"/>
      <c r="L2320" s="405"/>
      <c r="M2320" s="405"/>
      <c r="N2320" s="405"/>
      <c r="O2320" s="405"/>
      <c r="P2320" s="405"/>
      <c r="Q2320" s="405"/>
      <c r="R2320" s="405"/>
      <c r="S2320" s="405"/>
      <c r="T2320" s="405"/>
      <c r="U2320" s="405"/>
      <c r="V2320" s="405"/>
      <c r="W2320" s="405"/>
      <c r="X2320" s="405"/>
      <c r="Y2320" s="405"/>
      <c r="Z2320" s="405"/>
    </row>
    <row r="2321" ht="14.25" customHeight="1">
      <c r="A2321" s="1134"/>
      <c r="B2321" s="405"/>
      <c r="C2321" s="405"/>
      <c r="D2321" s="1135"/>
      <c r="E2321" s="583"/>
      <c r="F2321" s="583"/>
      <c r="G2321" s="583"/>
      <c r="H2321" s="405"/>
      <c r="I2321" s="405"/>
      <c r="J2321" s="405"/>
      <c r="K2321" s="405"/>
      <c r="L2321" s="405"/>
      <c r="M2321" s="405"/>
      <c r="N2321" s="405"/>
      <c r="O2321" s="405"/>
      <c r="P2321" s="405"/>
      <c r="Q2321" s="405"/>
      <c r="R2321" s="405"/>
      <c r="S2321" s="405"/>
      <c r="T2321" s="405"/>
      <c r="U2321" s="405"/>
      <c r="V2321" s="405"/>
      <c r="W2321" s="405"/>
      <c r="X2321" s="405"/>
      <c r="Y2321" s="405"/>
      <c r="Z2321" s="405"/>
    </row>
    <row r="2322" ht="14.25" customHeight="1">
      <c r="A2322" s="1134"/>
      <c r="B2322" s="405"/>
      <c r="C2322" s="405"/>
      <c r="D2322" s="1135"/>
      <c r="E2322" s="583"/>
      <c r="F2322" s="583"/>
      <c r="G2322" s="583"/>
      <c r="H2322" s="405"/>
      <c r="I2322" s="405"/>
      <c r="J2322" s="405"/>
      <c r="K2322" s="405"/>
      <c r="L2322" s="405"/>
      <c r="M2322" s="405"/>
      <c r="N2322" s="405"/>
      <c r="O2322" s="405"/>
      <c r="P2322" s="405"/>
      <c r="Q2322" s="405"/>
      <c r="R2322" s="405"/>
      <c r="S2322" s="405"/>
      <c r="T2322" s="405"/>
      <c r="U2322" s="405"/>
      <c r="V2322" s="405"/>
      <c r="W2322" s="405"/>
      <c r="X2322" s="405"/>
      <c r="Y2322" s="405"/>
      <c r="Z2322" s="405"/>
    </row>
    <row r="2323" ht="14.25" customHeight="1">
      <c r="A2323" s="1134"/>
      <c r="B2323" s="405"/>
      <c r="C2323" s="405"/>
      <c r="D2323" s="1135"/>
      <c r="E2323" s="583"/>
      <c r="F2323" s="583"/>
      <c r="G2323" s="583"/>
      <c r="H2323" s="405"/>
      <c r="I2323" s="405"/>
      <c r="J2323" s="405"/>
      <c r="K2323" s="405"/>
      <c r="L2323" s="405"/>
      <c r="M2323" s="405"/>
      <c r="N2323" s="405"/>
      <c r="O2323" s="405"/>
      <c r="P2323" s="405"/>
      <c r="Q2323" s="405"/>
      <c r="R2323" s="405"/>
      <c r="S2323" s="405"/>
      <c r="T2323" s="405"/>
      <c r="U2323" s="405"/>
      <c r="V2323" s="405"/>
      <c r="W2323" s="405"/>
      <c r="X2323" s="405"/>
      <c r="Y2323" s="405"/>
      <c r="Z2323" s="405"/>
    </row>
    <row r="2324" ht="14.25" customHeight="1">
      <c r="A2324" s="1134"/>
      <c r="B2324" s="405"/>
      <c r="C2324" s="405"/>
      <c r="D2324" s="1135"/>
      <c r="E2324" s="583"/>
      <c r="F2324" s="583"/>
      <c r="G2324" s="583"/>
      <c r="H2324" s="405"/>
      <c r="I2324" s="405"/>
      <c r="J2324" s="405"/>
      <c r="K2324" s="405"/>
      <c r="L2324" s="405"/>
      <c r="M2324" s="405"/>
      <c r="N2324" s="405"/>
      <c r="O2324" s="405"/>
      <c r="P2324" s="405"/>
      <c r="Q2324" s="405"/>
      <c r="R2324" s="405"/>
      <c r="S2324" s="405"/>
      <c r="T2324" s="405"/>
      <c r="U2324" s="405"/>
      <c r="V2324" s="405"/>
      <c r="W2324" s="405"/>
      <c r="X2324" s="405"/>
      <c r="Y2324" s="405"/>
      <c r="Z2324" s="405"/>
    </row>
    <row r="2325" ht="14.25" customHeight="1">
      <c r="A2325" s="1134"/>
      <c r="B2325" s="405"/>
      <c r="C2325" s="405"/>
      <c r="D2325" s="1135"/>
      <c r="E2325" s="583"/>
      <c r="F2325" s="583"/>
      <c r="G2325" s="583"/>
      <c r="H2325" s="405"/>
      <c r="I2325" s="405"/>
      <c r="J2325" s="405"/>
      <c r="K2325" s="405"/>
      <c r="L2325" s="405"/>
      <c r="M2325" s="405"/>
      <c r="N2325" s="405"/>
      <c r="O2325" s="405"/>
      <c r="P2325" s="405"/>
      <c r="Q2325" s="405"/>
      <c r="R2325" s="405"/>
      <c r="S2325" s="405"/>
      <c r="T2325" s="405"/>
      <c r="U2325" s="405"/>
      <c r="V2325" s="405"/>
      <c r="W2325" s="405"/>
      <c r="X2325" s="405"/>
      <c r="Y2325" s="405"/>
      <c r="Z2325" s="405"/>
    </row>
    <row r="2326" ht="14.25" customHeight="1">
      <c r="A2326" s="1134"/>
      <c r="B2326" s="405"/>
      <c r="C2326" s="405"/>
      <c r="D2326" s="1135"/>
      <c r="E2326" s="583"/>
      <c r="F2326" s="583"/>
      <c r="G2326" s="583"/>
      <c r="H2326" s="405"/>
      <c r="I2326" s="405"/>
      <c r="J2326" s="405"/>
      <c r="K2326" s="405"/>
      <c r="L2326" s="405"/>
      <c r="M2326" s="405"/>
      <c r="N2326" s="405"/>
      <c r="O2326" s="405"/>
      <c r="P2326" s="405"/>
      <c r="Q2326" s="405"/>
      <c r="R2326" s="405"/>
      <c r="S2326" s="405"/>
      <c r="T2326" s="405"/>
      <c r="U2326" s="405"/>
      <c r="V2326" s="405"/>
      <c r="W2326" s="405"/>
      <c r="X2326" s="405"/>
      <c r="Y2326" s="405"/>
      <c r="Z2326" s="405"/>
    </row>
    <row r="2327" ht="14.25" customHeight="1">
      <c r="A2327" s="1134"/>
      <c r="B2327" s="405"/>
      <c r="C2327" s="405"/>
      <c r="D2327" s="1135"/>
      <c r="E2327" s="583"/>
      <c r="F2327" s="583"/>
      <c r="G2327" s="583"/>
      <c r="H2327" s="405"/>
      <c r="I2327" s="405"/>
      <c r="J2327" s="405"/>
      <c r="K2327" s="405"/>
      <c r="L2327" s="405"/>
      <c r="M2327" s="405"/>
      <c r="N2327" s="405"/>
      <c r="O2327" s="405"/>
      <c r="P2327" s="405"/>
      <c r="Q2327" s="405"/>
      <c r="R2327" s="405"/>
      <c r="S2327" s="405"/>
      <c r="T2327" s="405"/>
      <c r="U2327" s="405"/>
      <c r="V2327" s="405"/>
      <c r="W2327" s="405"/>
      <c r="X2327" s="405"/>
      <c r="Y2327" s="405"/>
      <c r="Z2327" s="405"/>
    </row>
    <row r="2328" ht="14.25" customHeight="1">
      <c r="A2328" s="1134"/>
      <c r="B2328" s="405"/>
      <c r="C2328" s="405"/>
      <c r="D2328" s="1135"/>
      <c r="E2328" s="583"/>
      <c r="F2328" s="583"/>
      <c r="G2328" s="583"/>
      <c r="H2328" s="405"/>
      <c r="I2328" s="405"/>
      <c r="J2328" s="405"/>
      <c r="K2328" s="405"/>
      <c r="L2328" s="405"/>
      <c r="M2328" s="405"/>
      <c r="N2328" s="405"/>
      <c r="O2328" s="405"/>
      <c r="P2328" s="405"/>
      <c r="Q2328" s="405"/>
      <c r="R2328" s="405"/>
      <c r="S2328" s="405"/>
      <c r="T2328" s="405"/>
      <c r="U2328" s="405"/>
      <c r="V2328" s="405"/>
      <c r="W2328" s="405"/>
      <c r="X2328" s="405"/>
      <c r="Y2328" s="405"/>
      <c r="Z2328" s="405"/>
    </row>
    <row r="2329" ht="14.25" customHeight="1">
      <c r="A2329" s="1134"/>
      <c r="B2329" s="405"/>
      <c r="C2329" s="405"/>
      <c r="D2329" s="1135"/>
      <c r="E2329" s="583"/>
      <c r="F2329" s="583"/>
      <c r="G2329" s="583"/>
      <c r="H2329" s="405"/>
      <c r="I2329" s="405"/>
      <c r="J2329" s="405"/>
      <c r="K2329" s="405"/>
      <c r="L2329" s="405"/>
      <c r="M2329" s="405"/>
      <c r="N2329" s="405"/>
      <c r="O2329" s="405"/>
      <c r="P2329" s="405"/>
      <c r="Q2329" s="405"/>
      <c r="R2329" s="405"/>
      <c r="S2329" s="405"/>
      <c r="T2329" s="405"/>
      <c r="U2329" s="405"/>
      <c r="V2329" s="405"/>
      <c r="W2329" s="405"/>
      <c r="X2329" s="405"/>
      <c r="Y2329" s="405"/>
      <c r="Z2329" s="405"/>
    </row>
    <row r="2330" ht="14.25" customHeight="1">
      <c r="A2330" s="1134"/>
      <c r="B2330" s="405"/>
      <c r="C2330" s="405"/>
      <c r="D2330" s="1135"/>
      <c r="E2330" s="583"/>
      <c r="F2330" s="583"/>
      <c r="G2330" s="583"/>
      <c r="H2330" s="405"/>
      <c r="I2330" s="405"/>
      <c r="J2330" s="405"/>
      <c r="K2330" s="405"/>
      <c r="L2330" s="405"/>
      <c r="M2330" s="405"/>
      <c r="N2330" s="405"/>
      <c r="O2330" s="405"/>
      <c r="P2330" s="405"/>
      <c r="Q2330" s="405"/>
      <c r="R2330" s="405"/>
      <c r="S2330" s="405"/>
      <c r="T2330" s="405"/>
      <c r="U2330" s="405"/>
      <c r="V2330" s="405"/>
      <c r="W2330" s="405"/>
      <c r="X2330" s="405"/>
      <c r="Y2330" s="405"/>
      <c r="Z2330" s="405"/>
    </row>
    <row r="2331" ht="14.25" customHeight="1">
      <c r="A2331" s="1134"/>
      <c r="B2331" s="405"/>
      <c r="C2331" s="405"/>
      <c r="D2331" s="1135"/>
      <c r="E2331" s="583"/>
      <c r="F2331" s="583"/>
      <c r="G2331" s="583"/>
      <c r="H2331" s="405"/>
      <c r="I2331" s="405"/>
      <c r="J2331" s="405"/>
      <c r="K2331" s="405"/>
      <c r="L2331" s="405"/>
      <c r="M2331" s="405"/>
      <c r="N2331" s="405"/>
      <c r="O2331" s="405"/>
      <c r="P2331" s="405"/>
      <c r="Q2331" s="405"/>
      <c r="R2331" s="405"/>
      <c r="S2331" s="405"/>
      <c r="T2331" s="405"/>
      <c r="U2331" s="405"/>
      <c r="V2331" s="405"/>
      <c r="W2331" s="405"/>
      <c r="X2331" s="405"/>
      <c r="Y2331" s="405"/>
      <c r="Z2331" s="405"/>
    </row>
    <row r="2332" ht="14.25" customHeight="1">
      <c r="A2332" s="1134"/>
      <c r="B2332" s="405"/>
      <c r="C2332" s="405"/>
      <c r="D2332" s="1135"/>
      <c r="E2332" s="583"/>
      <c r="F2332" s="583"/>
      <c r="G2332" s="583"/>
      <c r="H2332" s="405"/>
      <c r="I2332" s="405"/>
      <c r="J2332" s="405"/>
      <c r="K2332" s="405"/>
      <c r="L2332" s="405"/>
      <c r="M2332" s="405"/>
      <c r="N2332" s="405"/>
      <c r="O2332" s="405"/>
      <c r="P2332" s="405"/>
      <c r="Q2332" s="405"/>
      <c r="R2332" s="405"/>
      <c r="S2332" s="405"/>
      <c r="T2332" s="405"/>
      <c r="U2332" s="405"/>
      <c r="V2332" s="405"/>
      <c r="W2332" s="405"/>
      <c r="X2332" s="405"/>
      <c r="Y2332" s="405"/>
      <c r="Z2332" s="405"/>
    </row>
    <row r="2333" ht="14.25" customHeight="1">
      <c r="A2333" s="1134"/>
      <c r="B2333" s="405"/>
      <c r="C2333" s="405"/>
      <c r="D2333" s="1135"/>
      <c r="E2333" s="583"/>
      <c r="F2333" s="583"/>
      <c r="G2333" s="583"/>
      <c r="H2333" s="405"/>
      <c r="I2333" s="405"/>
      <c r="J2333" s="405"/>
      <c r="K2333" s="405"/>
      <c r="L2333" s="405"/>
      <c r="M2333" s="405"/>
      <c r="N2333" s="405"/>
      <c r="O2333" s="405"/>
      <c r="P2333" s="405"/>
      <c r="Q2333" s="405"/>
      <c r="R2333" s="405"/>
      <c r="S2333" s="405"/>
      <c r="T2333" s="405"/>
      <c r="U2333" s="405"/>
      <c r="V2333" s="405"/>
      <c r="W2333" s="405"/>
      <c r="X2333" s="405"/>
      <c r="Y2333" s="405"/>
      <c r="Z2333" s="405"/>
    </row>
    <row r="2334" ht="14.25" customHeight="1">
      <c r="A2334" s="1134"/>
      <c r="B2334" s="405"/>
      <c r="C2334" s="405"/>
      <c r="D2334" s="1135"/>
      <c r="E2334" s="583"/>
      <c r="F2334" s="583"/>
      <c r="G2334" s="583"/>
      <c r="H2334" s="405"/>
      <c r="I2334" s="405"/>
      <c r="J2334" s="405"/>
      <c r="K2334" s="405"/>
      <c r="L2334" s="405"/>
      <c r="M2334" s="405"/>
      <c r="N2334" s="405"/>
      <c r="O2334" s="405"/>
      <c r="P2334" s="405"/>
      <c r="Q2334" s="405"/>
      <c r="R2334" s="405"/>
      <c r="S2334" s="405"/>
      <c r="T2334" s="405"/>
      <c r="U2334" s="405"/>
      <c r="V2334" s="405"/>
      <c r="W2334" s="405"/>
      <c r="X2334" s="405"/>
      <c r="Y2334" s="405"/>
      <c r="Z2334" s="405"/>
    </row>
    <row r="2335" ht="14.25" customHeight="1">
      <c r="A2335" s="1134"/>
      <c r="B2335" s="405"/>
      <c r="C2335" s="405"/>
      <c r="D2335" s="1135"/>
      <c r="E2335" s="583"/>
      <c r="F2335" s="583"/>
      <c r="G2335" s="583"/>
      <c r="H2335" s="405"/>
      <c r="I2335" s="405"/>
      <c r="J2335" s="405"/>
      <c r="K2335" s="405"/>
      <c r="L2335" s="405"/>
      <c r="M2335" s="405"/>
      <c r="N2335" s="405"/>
      <c r="O2335" s="405"/>
      <c r="P2335" s="405"/>
      <c r="Q2335" s="405"/>
      <c r="R2335" s="405"/>
      <c r="S2335" s="405"/>
      <c r="T2335" s="405"/>
      <c r="U2335" s="405"/>
      <c r="V2335" s="405"/>
      <c r="W2335" s="405"/>
      <c r="X2335" s="405"/>
      <c r="Y2335" s="405"/>
      <c r="Z2335" s="405"/>
    </row>
    <row r="2336" ht="14.25" customHeight="1">
      <c r="A2336" s="1134"/>
      <c r="B2336" s="405"/>
      <c r="C2336" s="405"/>
      <c r="D2336" s="1135"/>
      <c r="E2336" s="583"/>
      <c r="F2336" s="583"/>
      <c r="G2336" s="583"/>
      <c r="H2336" s="405"/>
      <c r="I2336" s="405"/>
      <c r="J2336" s="405"/>
      <c r="K2336" s="405"/>
      <c r="L2336" s="405"/>
      <c r="M2336" s="405"/>
      <c r="N2336" s="405"/>
      <c r="O2336" s="405"/>
      <c r="P2336" s="405"/>
      <c r="Q2336" s="405"/>
      <c r="R2336" s="405"/>
      <c r="S2336" s="405"/>
      <c r="T2336" s="405"/>
      <c r="U2336" s="405"/>
      <c r="V2336" s="405"/>
      <c r="W2336" s="405"/>
      <c r="X2336" s="405"/>
      <c r="Y2336" s="405"/>
      <c r="Z2336" s="405"/>
    </row>
    <row r="2337" ht="14.25" customHeight="1">
      <c r="A2337" s="1134"/>
      <c r="B2337" s="405"/>
      <c r="C2337" s="405"/>
      <c r="D2337" s="1135"/>
      <c r="E2337" s="583"/>
      <c r="F2337" s="583"/>
      <c r="G2337" s="583"/>
      <c r="H2337" s="405"/>
      <c r="I2337" s="405"/>
      <c r="J2337" s="405"/>
      <c r="K2337" s="405"/>
      <c r="L2337" s="405"/>
      <c r="M2337" s="405"/>
      <c r="N2337" s="405"/>
      <c r="O2337" s="405"/>
      <c r="P2337" s="405"/>
      <c r="Q2337" s="405"/>
      <c r="R2337" s="405"/>
      <c r="S2337" s="405"/>
      <c r="T2337" s="405"/>
      <c r="U2337" s="405"/>
      <c r="V2337" s="405"/>
      <c r="W2337" s="405"/>
      <c r="X2337" s="405"/>
      <c r="Y2337" s="405"/>
      <c r="Z2337" s="405"/>
    </row>
    <row r="2338" ht="14.25" customHeight="1">
      <c r="A2338" s="1134"/>
      <c r="B2338" s="405"/>
      <c r="C2338" s="405"/>
      <c r="D2338" s="1135"/>
      <c r="E2338" s="583"/>
      <c r="F2338" s="583"/>
      <c r="G2338" s="583"/>
      <c r="H2338" s="405"/>
      <c r="I2338" s="405"/>
      <c r="J2338" s="405"/>
      <c r="K2338" s="405"/>
      <c r="L2338" s="405"/>
      <c r="M2338" s="405"/>
      <c r="N2338" s="405"/>
      <c r="O2338" s="405"/>
      <c r="P2338" s="405"/>
      <c r="Q2338" s="405"/>
      <c r="R2338" s="405"/>
      <c r="S2338" s="405"/>
      <c r="T2338" s="405"/>
      <c r="U2338" s="405"/>
      <c r="V2338" s="405"/>
      <c r="W2338" s="405"/>
      <c r="X2338" s="405"/>
      <c r="Y2338" s="405"/>
      <c r="Z2338" s="405"/>
    </row>
    <row r="2339" ht="14.25" customHeight="1">
      <c r="A2339" s="1134"/>
      <c r="B2339" s="405"/>
      <c r="C2339" s="405"/>
      <c r="D2339" s="1135"/>
      <c r="E2339" s="583"/>
      <c r="F2339" s="583"/>
      <c r="G2339" s="583"/>
      <c r="H2339" s="405"/>
      <c r="I2339" s="405"/>
      <c r="J2339" s="405"/>
      <c r="K2339" s="405"/>
      <c r="L2339" s="405"/>
      <c r="M2339" s="405"/>
      <c r="N2339" s="405"/>
      <c r="O2339" s="405"/>
      <c r="P2339" s="405"/>
      <c r="Q2339" s="405"/>
      <c r="R2339" s="405"/>
      <c r="S2339" s="405"/>
      <c r="T2339" s="405"/>
      <c r="U2339" s="405"/>
      <c r="V2339" s="405"/>
      <c r="W2339" s="405"/>
      <c r="X2339" s="405"/>
      <c r="Y2339" s="405"/>
      <c r="Z2339" s="405"/>
    </row>
    <row r="2340" ht="14.25" customHeight="1">
      <c r="A2340" s="1134"/>
      <c r="B2340" s="405"/>
      <c r="C2340" s="405"/>
      <c r="D2340" s="1135"/>
      <c r="E2340" s="583"/>
      <c r="F2340" s="583"/>
      <c r="G2340" s="583"/>
      <c r="H2340" s="405"/>
      <c r="I2340" s="405"/>
      <c r="J2340" s="405"/>
      <c r="K2340" s="405"/>
      <c r="L2340" s="405"/>
      <c r="M2340" s="405"/>
      <c r="N2340" s="405"/>
      <c r="O2340" s="405"/>
      <c r="P2340" s="405"/>
      <c r="Q2340" s="405"/>
      <c r="R2340" s="405"/>
      <c r="S2340" s="405"/>
      <c r="T2340" s="405"/>
      <c r="U2340" s="405"/>
      <c r="V2340" s="405"/>
      <c r="W2340" s="405"/>
      <c r="X2340" s="405"/>
      <c r="Y2340" s="405"/>
      <c r="Z2340" s="405"/>
    </row>
    <row r="2341" ht="14.25" customHeight="1">
      <c r="A2341" s="1134"/>
      <c r="B2341" s="405"/>
      <c r="C2341" s="405"/>
      <c r="D2341" s="1135"/>
      <c r="E2341" s="583"/>
      <c r="F2341" s="583"/>
      <c r="G2341" s="583"/>
      <c r="H2341" s="405"/>
      <c r="I2341" s="405"/>
      <c r="J2341" s="405"/>
      <c r="K2341" s="405"/>
      <c r="L2341" s="405"/>
      <c r="M2341" s="405"/>
      <c r="N2341" s="405"/>
      <c r="O2341" s="405"/>
      <c r="P2341" s="405"/>
      <c r="Q2341" s="405"/>
      <c r="R2341" s="405"/>
      <c r="S2341" s="405"/>
      <c r="T2341" s="405"/>
      <c r="U2341" s="405"/>
      <c r="V2341" s="405"/>
      <c r="W2341" s="405"/>
      <c r="X2341" s="405"/>
      <c r="Y2341" s="405"/>
      <c r="Z2341" s="405"/>
    </row>
    <row r="2342" ht="14.25" customHeight="1">
      <c r="A2342" s="1134"/>
      <c r="B2342" s="405"/>
      <c r="C2342" s="405"/>
      <c r="D2342" s="1135"/>
      <c r="E2342" s="583"/>
      <c r="F2342" s="583"/>
      <c r="G2342" s="583"/>
      <c r="H2342" s="405"/>
      <c r="I2342" s="405"/>
      <c r="J2342" s="405"/>
      <c r="K2342" s="405"/>
      <c r="L2342" s="405"/>
      <c r="M2342" s="405"/>
      <c r="N2342" s="405"/>
      <c r="O2342" s="405"/>
      <c r="P2342" s="405"/>
      <c r="Q2342" s="405"/>
      <c r="R2342" s="405"/>
      <c r="S2342" s="405"/>
      <c r="T2342" s="405"/>
      <c r="U2342" s="405"/>
      <c r="V2342" s="405"/>
      <c r="W2342" s="405"/>
      <c r="X2342" s="405"/>
      <c r="Y2342" s="405"/>
      <c r="Z2342" s="405"/>
    </row>
    <row r="2343" ht="14.25" customHeight="1">
      <c r="A2343" s="1134"/>
      <c r="B2343" s="405"/>
      <c r="C2343" s="405"/>
      <c r="D2343" s="1135"/>
      <c r="E2343" s="583"/>
      <c r="F2343" s="583"/>
      <c r="G2343" s="583"/>
      <c r="H2343" s="405"/>
      <c r="I2343" s="405"/>
      <c r="J2343" s="405"/>
      <c r="K2343" s="405"/>
      <c r="L2343" s="405"/>
      <c r="M2343" s="405"/>
      <c r="N2343" s="405"/>
      <c r="O2343" s="405"/>
      <c r="P2343" s="405"/>
      <c r="Q2343" s="405"/>
      <c r="R2343" s="405"/>
      <c r="S2343" s="405"/>
      <c r="T2343" s="405"/>
      <c r="U2343" s="405"/>
      <c r="V2343" s="405"/>
      <c r="W2343" s="405"/>
      <c r="X2343" s="405"/>
      <c r="Y2343" s="405"/>
      <c r="Z2343" s="405"/>
    </row>
    <row r="2344" ht="14.25" customHeight="1">
      <c r="A2344" s="1134"/>
      <c r="B2344" s="405"/>
      <c r="C2344" s="405"/>
      <c r="D2344" s="1135"/>
      <c r="E2344" s="583"/>
      <c r="F2344" s="583"/>
      <c r="G2344" s="583"/>
      <c r="H2344" s="405"/>
      <c r="I2344" s="405"/>
      <c r="J2344" s="405"/>
      <c r="K2344" s="405"/>
      <c r="L2344" s="405"/>
      <c r="M2344" s="405"/>
      <c r="N2344" s="405"/>
      <c r="O2344" s="405"/>
      <c r="P2344" s="405"/>
      <c r="Q2344" s="405"/>
      <c r="R2344" s="405"/>
      <c r="S2344" s="405"/>
      <c r="T2344" s="405"/>
      <c r="U2344" s="405"/>
      <c r="V2344" s="405"/>
      <c r="W2344" s="405"/>
      <c r="X2344" s="405"/>
      <c r="Y2344" s="405"/>
      <c r="Z2344" s="405"/>
    </row>
    <row r="2345" ht="14.25" customHeight="1">
      <c r="A2345" s="1134"/>
      <c r="B2345" s="405"/>
      <c r="C2345" s="405"/>
      <c r="D2345" s="1135"/>
      <c r="E2345" s="583"/>
      <c r="F2345" s="583"/>
      <c r="G2345" s="583"/>
      <c r="H2345" s="405"/>
      <c r="I2345" s="405"/>
      <c r="J2345" s="405"/>
      <c r="K2345" s="405"/>
      <c r="L2345" s="405"/>
      <c r="M2345" s="405"/>
      <c r="N2345" s="405"/>
      <c r="O2345" s="405"/>
      <c r="P2345" s="405"/>
      <c r="Q2345" s="405"/>
      <c r="R2345" s="405"/>
      <c r="S2345" s="405"/>
      <c r="T2345" s="405"/>
      <c r="U2345" s="405"/>
      <c r="V2345" s="405"/>
      <c r="W2345" s="405"/>
      <c r="X2345" s="405"/>
      <c r="Y2345" s="405"/>
      <c r="Z2345" s="405"/>
    </row>
    <row r="2346" ht="14.25" customHeight="1">
      <c r="A2346" s="1134"/>
      <c r="B2346" s="405"/>
      <c r="C2346" s="405"/>
      <c r="D2346" s="1135"/>
      <c r="E2346" s="583"/>
      <c r="F2346" s="583"/>
      <c r="G2346" s="583"/>
      <c r="H2346" s="405"/>
      <c r="I2346" s="405"/>
      <c r="J2346" s="405"/>
      <c r="K2346" s="405"/>
      <c r="L2346" s="405"/>
      <c r="M2346" s="405"/>
      <c r="N2346" s="405"/>
      <c r="O2346" s="405"/>
      <c r="P2346" s="405"/>
      <c r="Q2346" s="405"/>
      <c r="R2346" s="405"/>
      <c r="S2346" s="405"/>
      <c r="T2346" s="405"/>
      <c r="U2346" s="405"/>
      <c r="V2346" s="405"/>
      <c r="W2346" s="405"/>
      <c r="X2346" s="405"/>
      <c r="Y2346" s="405"/>
      <c r="Z2346" s="405"/>
    </row>
    <row r="2347" ht="14.25" customHeight="1">
      <c r="A2347" s="1134"/>
      <c r="B2347" s="405"/>
      <c r="C2347" s="405"/>
      <c r="D2347" s="1135"/>
      <c r="E2347" s="583"/>
      <c r="F2347" s="583"/>
      <c r="G2347" s="583"/>
      <c r="H2347" s="405"/>
      <c r="I2347" s="405"/>
      <c r="J2347" s="405"/>
      <c r="K2347" s="405"/>
      <c r="L2347" s="405"/>
      <c r="M2347" s="405"/>
      <c r="N2347" s="405"/>
      <c r="O2347" s="405"/>
      <c r="P2347" s="405"/>
      <c r="Q2347" s="405"/>
      <c r="R2347" s="405"/>
      <c r="S2347" s="405"/>
      <c r="T2347" s="405"/>
      <c r="U2347" s="405"/>
      <c r="V2347" s="405"/>
      <c r="W2347" s="405"/>
      <c r="X2347" s="405"/>
      <c r="Y2347" s="405"/>
      <c r="Z2347" s="405"/>
    </row>
    <row r="2348" ht="14.25" customHeight="1">
      <c r="A2348" s="1134"/>
      <c r="B2348" s="405"/>
      <c r="C2348" s="405"/>
      <c r="D2348" s="1135"/>
      <c r="E2348" s="583"/>
      <c r="F2348" s="583"/>
      <c r="G2348" s="583"/>
      <c r="H2348" s="405"/>
      <c r="I2348" s="405"/>
      <c r="J2348" s="405"/>
      <c r="K2348" s="405"/>
      <c r="L2348" s="405"/>
      <c r="M2348" s="405"/>
      <c r="N2348" s="405"/>
      <c r="O2348" s="405"/>
      <c r="P2348" s="405"/>
      <c r="Q2348" s="405"/>
      <c r="R2348" s="405"/>
      <c r="S2348" s="405"/>
      <c r="T2348" s="405"/>
      <c r="U2348" s="405"/>
      <c r="V2348" s="405"/>
      <c r="W2348" s="405"/>
      <c r="X2348" s="405"/>
      <c r="Y2348" s="405"/>
      <c r="Z2348" s="405"/>
    </row>
    <row r="2349" ht="14.25" customHeight="1">
      <c r="A2349" s="1134"/>
      <c r="B2349" s="405"/>
      <c r="C2349" s="405"/>
      <c r="D2349" s="1135"/>
      <c r="E2349" s="583"/>
      <c r="F2349" s="583"/>
      <c r="G2349" s="583"/>
      <c r="H2349" s="405"/>
      <c r="I2349" s="405"/>
      <c r="J2349" s="405"/>
      <c r="K2349" s="405"/>
      <c r="L2349" s="405"/>
      <c r="M2349" s="405"/>
      <c r="N2349" s="405"/>
      <c r="O2349" s="405"/>
      <c r="P2349" s="405"/>
      <c r="Q2349" s="405"/>
      <c r="R2349" s="405"/>
      <c r="S2349" s="405"/>
      <c r="T2349" s="405"/>
      <c r="U2349" s="405"/>
      <c r="V2349" s="405"/>
      <c r="W2349" s="405"/>
      <c r="X2349" s="405"/>
      <c r="Y2349" s="405"/>
      <c r="Z2349" s="405"/>
    </row>
    <row r="2350" ht="14.25" customHeight="1">
      <c r="A2350" s="1134"/>
      <c r="B2350" s="405"/>
      <c r="C2350" s="405"/>
      <c r="D2350" s="1135"/>
      <c r="E2350" s="583"/>
      <c r="F2350" s="583"/>
      <c r="G2350" s="583"/>
      <c r="H2350" s="405"/>
      <c r="I2350" s="405"/>
      <c r="J2350" s="405"/>
      <c r="K2350" s="405"/>
      <c r="L2350" s="405"/>
      <c r="M2350" s="405"/>
      <c r="N2350" s="405"/>
      <c r="O2350" s="405"/>
      <c r="P2350" s="405"/>
      <c r="Q2350" s="405"/>
      <c r="R2350" s="405"/>
      <c r="S2350" s="405"/>
      <c r="T2350" s="405"/>
      <c r="U2350" s="405"/>
      <c r="V2350" s="405"/>
      <c r="W2350" s="405"/>
      <c r="X2350" s="405"/>
      <c r="Y2350" s="405"/>
      <c r="Z2350" s="405"/>
    </row>
    <row r="2351" ht="14.25" customHeight="1">
      <c r="A2351" s="1134"/>
      <c r="B2351" s="405"/>
      <c r="C2351" s="405"/>
      <c r="D2351" s="1135"/>
      <c r="E2351" s="583"/>
      <c r="F2351" s="583"/>
      <c r="G2351" s="583"/>
      <c r="H2351" s="405"/>
      <c r="I2351" s="405"/>
      <c r="J2351" s="405"/>
      <c r="K2351" s="405"/>
      <c r="L2351" s="405"/>
      <c r="M2351" s="405"/>
      <c r="N2351" s="405"/>
      <c r="O2351" s="405"/>
      <c r="P2351" s="405"/>
      <c r="Q2351" s="405"/>
      <c r="R2351" s="405"/>
      <c r="S2351" s="405"/>
      <c r="T2351" s="405"/>
      <c r="U2351" s="405"/>
      <c r="V2351" s="405"/>
      <c r="W2351" s="405"/>
      <c r="X2351" s="405"/>
      <c r="Y2351" s="405"/>
      <c r="Z2351" s="405"/>
    </row>
    <row r="2352" ht="14.25" customHeight="1">
      <c r="A2352" s="1134"/>
      <c r="B2352" s="405"/>
      <c r="C2352" s="405"/>
      <c r="D2352" s="1135"/>
      <c r="E2352" s="583"/>
      <c r="F2352" s="583"/>
      <c r="G2352" s="583"/>
      <c r="H2352" s="405"/>
      <c r="I2352" s="405"/>
      <c r="J2352" s="405"/>
      <c r="K2352" s="405"/>
      <c r="L2352" s="405"/>
      <c r="M2352" s="405"/>
      <c r="N2352" s="405"/>
      <c r="O2352" s="405"/>
      <c r="P2352" s="405"/>
      <c r="Q2352" s="405"/>
      <c r="R2352" s="405"/>
      <c r="S2352" s="405"/>
      <c r="T2352" s="405"/>
      <c r="U2352" s="405"/>
      <c r="V2352" s="405"/>
      <c r="W2352" s="405"/>
      <c r="X2352" s="405"/>
      <c r="Y2352" s="405"/>
      <c r="Z2352" s="405"/>
    </row>
    <row r="2353" ht="14.25" customHeight="1">
      <c r="A2353" s="1134"/>
      <c r="B2353" s="405"/>
      <c r="C2353" s="405"/>
      <c r="D2353" s="1135"/>
      <c r="E2353" s="583"/>
      <c r="F2353" s="583"/>
      <c r="G2353" s="583"/>
      <c r="H2353" s="405"/>
      <c r="I2353" s="405"/>
      <c r="J2353" s="405"/>
      <c r="K2353" s="405"/>
      <c r="L2353" s="405"/>
      <c r="M2353" s="405"/>
      <c r="N2353" s="405"/>
      <c r="O2353" s="405"/>
      <c r="P2353" s="405"/>
      <c r="Q2353" s="405"/>
      <c r="R2353" s="405"/>
      <c r="S2353" s="405"/>
      <c r="T2353" s="405"/>
      <c r="U2353" s="405"/>
      <c r="V2353" s="405"/>
      <c r="W2353" s="405"/>
      <c r="X2353" s="405"/>
      <c r="Y2353" s="405"/>
      <c r="Z2353" s="405"/>
    </row>
    <row r="2354" ht="14.25" customHeight="1">
      <c r="A2354" s="1134"/>
      <c r="B2354" s="405"/>
      <c r="C2354" s="405"/>
      <c r="D2354" s="1135"/>
      <c r="E2354" s="583"/>
      <c r="F2354" s="583"/>
      <c r="G2354" s="583"/>
      <c r="H2354" s="405"/>
      <c r="I2354" s="405"/>
      <c r="J2354" s="405"/>
      <c r="K2354" s="405"/>
      <c r="L2354" s="405"/>
      <c r="M2354" s="405"/>
      <c r="N2354" s="405"/>
      <c r="O2354" s="405"/>
      <c r="P2354" s="405"/>
      <c r="Q2354" s="405"/>
      <c r="R2354" s="405"/>
      <c r="S2354" s="405"/>
      <c r="T2354" s="405"/>
      <c r="U2354" s="405"/>
      <c r="V2354" s="405"/>
      <c r="W2354" s="405"/>
      <c r="X2354" s="405"/>
      <c r="Y2354" s="405"/>
      <c r="Z2354" s="405"/>
    </row>
    <row r="2355" ht="14.25" customHeight="1">
      <c r="A2355" s="1134"/>
      <c r="B2355" s="405"/>
      <c r="C2355" s="405"/>
      <c r="D2355" s="1135"/>
      <c r="E2355" s="583"/>
      <c r="F2355" s="583"/>
      <c r="G2355" s="583"/>
      <c r="H2355" s="405"/>
      <c r="I2355" s="405"/>
      <c r="J2355" s="405"/>
      <c r="K2355" s="405"/>
      <c r="L2355" s="405"/>
      <c r="M2355" s="405"/>
      <c r="N2355" s="405"/>
      <c r="O2355" s="405"/>
      <c r="P2355" s="405"/>
      <c r="Q2355" s="405"/>
      <c r="R2355" s="405"/>
      <c r="S2355" s="405"/>
      <c r="T2355" s="405"/>
      <c r="U2355" s="405"/>
      <c r="V2355" s="405"/>
      <c r="W2355" s="405"/>
      <c r="X2355" s="405"/>
      <c r="Y2355" s="405"/>
      <c r="Z2355" s="405"/>
    </row>
    <row r="2356" ht="14.25" customHeight="1">
      <c r="A2356" s="1134"/>
      <c r="B2356" s="405"/>
      <c r="C2356" s="405"/>
      <c r="D2356" s="1135"/>
      <c r="E2356" s="583"/>
      <c r="F2356" s="583"/>
      <c r="G2356" s="583"/>
      <c r="H2356" s="405"/>
      <c r="I2356" s="405"/>
      <c r="J2356" s="405"/>
      <c r="K2356" s="405"/>
      <c r="L2356" s="405"/>
      <c r="M2356" s="405"/>
      <c r="N2356" s="405"/>
      <c r="O2356" s="405"/>
      <c r="P2356" s="405"/>
      <c r="Q2356" s="405"/>
      <c r="R2356" s="405"/>
      <c r="S2356" s="405"/>
      <c r="T2356" s="405"/>
      <c r="U2356" s="405"/>
      <c r="V2356" s="405"/>
      <c r="W2356" s="405"/>
      <c r="X2356" s="405"/>
      <c r="Y2356" s="405"/>
      <c r="Z2356" s="405"/>
    </row>
    <row r="2357" ht="14.25" customHeight="1">
      <c r="A2357" s="1134"/>
      <c r="B2357" s="405"/>
      <c r="C2357" s="405"/>
      <c r="D2357" s="1135"/>
      <c r="E2357" s="583"/>
      <c r="F2357" s="583"/>
      <c r="G2357" s="583"/>
      <c r="H2357" s="405"/>
      <c r="I2357" s="405"/>
      <c r="J2357" s="405"/>
      <c r="K2357" s="405"/>
      <c r="L2357" s="405"/>
      <c r="M2357" s="405"/>
      <c r="N2357" s="405"/>
      <c r="O2357" s="405"/>
      <c r="P2357" s="405"/>
      <c r="Q2357" s="405"/>
      <c r="R2357" s="405"/>
      <c r="S2357" s="405"/>
      <c r="T2357" s="405"/>
      <c r="U2357" s="405"/>
      <c r="V2357" s="405"/>
      <c r="W2357" s="405"/>
      <c r="X2357" s="405"/>
      <c r="Y2357" s="405"/>
      <c r="Z2357" s="405"/>
    </row>
    <row r="2358" ht="14.25" customHeight="1">
      <c r="A2358" s="1134"/>
      <c r="B2358" s="405"/>
      <c r="C2358" s="405"/>
      <c r="D2358" s="1135"/>
      <c r="E2358" s="583"/>
      <c r="F2358" s="583"/>
      <c r="G2358" s="583"/>
      <c r="H2358" s="405"/>
      <c r="I2358" s="405"/>
      <c r="J2358" s="405"/>
      <c r="K2358" s="405"/>
      <c r="L2358" s="405"/>
      <c r="M2358" s="405"/>
      <c r="N2358" s="405"/>
      <c r="O2358" s="405"/>
      <c r="P2358" s="405"/>
      <c r="Q2358" s="405"/>
      <c r="R2358" s="405"/>
      <c r="S2358" s="405"/>
      <c r="T2358" s="405"/>
      <c r="U2358" s="405"/>
      <c r="V2358" s="405"/>
      <c r="W2358" s="405"/>
      <c r="X2358" s="405"/>
      <c r="Y2358" s="405"/>
      <c r="Z2358" s="405"/>
    </row>
    <row r="2359" ht="14.25" customHeight="1">
      <c r="A2359" s="1134"/>
      <c r="B2359" s="405"/>
      <c r="C2359" s="405"/>
      <c r="D2359" s="1135"/>
      <c r="E2359" s="583"/>
      <c r="F2359" s="583"/>
      <c r="G2359" s="583"/>
      <c r="H2359" s="405"/>
      <c r="I2359" s="405"/>
      <c r="J2359" s="405"/>
      <c r="K2359" s="405"/>
      <c r="L2359" s="405"/>
      <c r="M2359" s="405"/>
      <c r="N2359" s="405"/>
      <c r="O2359" s="405"/>
      <c r="P2359" s="405"/>
      <c r="Q2359" s="405"/>
      <c r="R2359" s="405"/>
      <c r="S2359" s="405"/>
      <c r="T2359" s="405"/>
      <c r="U2359" s="405"/>
      <c r="V2359" s="405"/>
      <c r="W2359" s="405"/>
      <c r="X2359" s="405"/>
      <c r="Y2359" s="405"/>
      <c r="Z2359" s="405"/>
    </row>
    <row r="2360" ht="14.25" customHeight="1">
      <c r="A2360" s="1134"/>
      <c r="B2360" s="405"/>
      <c r="C2360" s="405"/>
      <c r="D2360" s="1135"/>
      <c r="E2360" s="583"/>
      <c r="F2360" s="583"/>
      <c r="G2360" s="583"/>
      <c r="H2360" s="405"/>
      <c r="I2360" s="405"/>
      <c r="J2360" s="405"/>
      <c r="K2360" s="405"/>
      <c r="L2360" s="405"/>
      <c r="M2360" s="405"/>
      <c r="N2360" s="405"/>
      <c r="O2360" s="405"/>
      <c r="P2360" s="405"/>
      <c r="Q2360" s="405"/>
      <c r="R2360" s="405"/>
      <c r="S2360" s="405"/>
      <c r="T2360" s="405"/>
      <c r="U2360" s="405"/>
      <c r="V2360" s="405"/>
      <c r="W2360" s="405"/>
      <c r="X2360" s="405"/>
      <c r="Y2360" s="405"/>
      <c r="Z2360" s="405"/>
    </row>
    <row r="2361" ht="14.25" customHeight="1">
      <c r="A2361" s="1134"/>
      <c r="B2361" s="405"/>
      <c r="C2361" s="405"/>
      <c r="D2361" s="1135"/>
      <c r="E2361" s="583"/>
      <c r="F2361" s="583"/>
      <c r="G2361" s="583"/>
      <c r="H2361" s="405"/>
      <c r="I2361" s="405"/>
      <c r="J2361" s="405"/>
      <c r="K2361" s="405"/>
      <c r="L2361" s="405"/>
      <c r="M2361" s="405"/>
      <c r="N2361" s="405"/>
      <c r="O2361" s="405"/>
      <c r="P2361" s="405"/>
      <c r="Q2361" s="405"/>
      <c r="R2361" s="405"/>
      <c r="S2361" s="405"/>
      <c r="T2361" s="405"/>
      <c r="U2361" s="405"/>
      <c r="V2361" s="405"/>
      <c r="W2361" s="405"/>
      <c r="X2361" s="405"/>
      <c r="Y2361" s="405"/>
      <c r="Z2361" s="405"/>
    </row>
    <row r="2362" ht="14.25" customHeight="1">
      <c r="A2362" s="1134"/>
      <c r="B2362" s="405"/>
      <c r="C2362" s="405"/>
      <c r="D2362" s="1135"/>
      <c r="E2362" s="583"/>
      <c r="F2362" s="583"/>
      <c r="G2362" s="583"/>
      <c r="H2362" s="405"/>
      <c r="I2362" s="405"/>
      <c r="J2362" s="405"/>
      <c r="K2362" s="405"/>
      <c r="L2362" s="405"/>
      <c r="M2362" s="405"/>
      <c r="N2362" s="405"/>
      <c r="O2362" s="405"/>
      <c r="P2362" s="405"/>
      <c r="Q2362" s="405"/>
      <c r="R2362" s="405"/>
      <c r="S2362" s="405"/>
      <c r="T2362" s="405"/>
      <c r="U2362" s="405"/>
      <c r="V2362" s="405"/>
      <c r="W2362" s="405"/>
      <c r="X2362" s="405"/>
      <c r="Y2362" s="405"/>
      <c r="Z2362" s="405"/>
    </row>
    <row r="2363" ht="14.25" customHeight="1">
      <c r="A2363" s="1134"/>
      <c r="B2363" s="405"/>
      <c r="C2363" s="405"/>
      <c r="D2363" s="1135"/>
      <c r="E2363" s="583"/>
      <c r="F2363" s="583"/>
      <c r="G2363" s="583"/>
      <c r="H2363" s="405"/>
      <c r="I2363" s="405"/>
      <c r="J2363" s="405"/>
      <c r="K2363" s="405"/>
      <c r="L2363" s="405"/>
      <c r="M2363" s="405"/>
      <c r="N2363" s="405"/>
      <c r="O2363" s="405"/>
      <c r="P2363" s="405"/>
      <c r="Q2363" s="405"/>
      <c r="R2363" s="405"/>
      <c r="S2363" s="405"/>
      <c r="T2363" s="405"/>
      <c r="U2363" s="405"/>
      <c r="V2363" s="405"/>
      <c r="W2363" s="405"/>
      <c r="X2363" s="405"/>
      <c r="Y2363" s="405"/>
      <c r="Z2363" s="405"/>
    </row>
    <row r="2364" ht="14.25" customHeight="1">
      <c r="A2364" s="1134"/>
      <c r="B2364" s="405"/>
      <c r="C2364" s="405"/>
      <c r="D2364" s="1135"/>
      <c r="E2364" s="583"/>
      <c r="F2364" s="583"/>
      <c r="G2364" s="583"/>
      <c r="H2364" s="405"/>
      <c r="I2364" s="405"/>
      <c r="J2364" s="405"/>
      <c r="K2364" s="405"/>
      <c r="L2364" s="405"/>
      <c r="M2364" s="405"/>
      <c r="N2364" s="405"/>
      <c r="O2364" s="405"/>
      <c r="P2364" s="405"/>
      <c r="Q2364" s="405"/>
      <c r="R2364" s="405"/>
      <c r="S2364" s="405"/>
      <c r="T2364" s="405"/>
      <c r="U2364" s="405"/>
      <c r="V2364" s="405"/>
      <c r="W2364" s="405"/>
      <c r="X2364" s="405"/>
      <c r="Y2364" s="405"/>
      <c r="Z2364" s="405"/>
    </row>
    <row r="2365" ht="14.25" customHeight="1">
      <c r="A2365" s="1134"/>
      <c r="B2365" s="405"/>
      <c r="C2365" s="405"/>
      <c r="D2365" s="1135"/>
      <c r="E2365" s="583"/>
      <c r="F2365" s="583"/>
      <c r="G2365" s="583"/>
      <c r="H2365" s="405"/>
      <c r="I2365" s="405"/>
      <c r="J2365" s="405"/>
      <c r="K2365" s="405"/>
      <c r="L2365" s="405"/>
      <c r="M2365" s="405"/>
      <c r="N2365" s="405"/>
      <c r="O2365" s="405"/>
      <c r="P2365" s="405"/>
      <c r="Q2365" s="405"/>
      <c r="R2365" s="405"/>
      <c r="S2365" s="405"/>
      <c r="T2365" s="405"/>
      <c r="U2365" s="405"/>
      <c r="V2365" s="405"/>
      <c r="W2365" s="405"/>
      <c r="X2365" s="405"/>
      <c r="Y2365" s="405"/>
      <c r="Z2365" s="405"/>
    </row>
    <row r="2366" ht="14.25" customHeight="1">
      <c r="A2366" s="1134"/>
      <c r="B2366" s="405"/>
      <c r="C2366" s="405"/>
      <c r="D2366" s="1135"/>
      <c r="E2366" s="583"/>
      <c r="F2366" s="583"/>
      <c r="G2366" s="583"/>
      <c r="H2366" s="405"/>
      <c r="I2366" s="405"/>
      <c r="J2366" s="405"/>
      <c r="K2366" s="405"/>
      <c r="L2366" s="405"/>
      <c r="M2366" s="405"/>
      <c r="N2366" s="405"/>
      <c r="O2366" s="405"/>
      <c r="P2366" s="405"/>
      <c r="Q2366" s="405"/>
      <c r="R2366" s="405"/>
      <c r="S2366" s="405"/>
      <c r="T2366" s="405"/>
      <c r="U2366" s="405"/>
      <c r="V2366" s="405"/>
      <c r="W2366" s="405"/>
      <c r="X2366" s="405"/>
      <c r="Y2366" s="405"/>
      <c r="Z2366" s="405"/>
    </row>
    <row r="2367" ht="14.25" customHeight="1">
      <c r="A2367" s="1134"/>
      <c r="B2367" s="405"/>
      <c r="C2367" s="405"/>
      <c r="D2367" s="1135"/>
      <c r="E2367" s="583"/>
      <c r="F2367" s="583"/>
      <c r="G2367" s="583"/>
      <c r="H2367" s="405"/>
      <c r="I2367" s="405"/>
      <c r="J2367" s="405"/>
      <c r="K2367" s="405"/>
      <c r="L2367" s="405"/>
      <c r="M2367" s="405"/>
      <c r="N2367" s="405"/>
      <c r="O2367" s="405"/>
      <c r="P2367" s="405"/>
      <c r="Q2367" s="405"/>
      <c r="R2367" s="405"/>
      <c r="S2367" s="405"/>
      <c r="T2367" s="405"/>
      <c r="U2367" s="405"/>
      <c r="V2367" s="405"/>
      <c r="W2367" s="405"/>
      <c r="X2367" s="405"/>
      <c r="Y2367" s="405"/>
      <c r="Z2367" s="405"/>
    </row>
    <row r="2368" ht="14.25" customHeight="1">
      <c r="A2368" s="1134"/>
      <c r="B2368" s="405"/>
      <c r="C2368" s="405"/>
      <c r="D2368" s="1135"/>
      <c r="E2368" s="583"/>
      <c r="F2368" s="583"/>
      <c r="G2368" s="583"/>
      <c r="H2368" s="405"/>
      <c r="I2368" s="405"/>
      <c r="J2368" s="405"/>
      <c r="K2368" s="405"/>
      <c r="L2368" s="405"/>
      <c r="M2368" s="405"/>
      <c r="N2368" s="405"/>
      <c r="O2368" s="405"/>
      <c r="P2368" s="405"/>
      <c r="Q2368" s="405"/>
      <c r="R2368" s="405"/>
      <c r="S2368" s="405"/>
      <c r="T2368" s="405"/>
      <c r="U2368" s="405"/>
      <c r="V2368" s="405"/>
      <c r="W2368" s="405"/>
      <c r="X2368" s="405"/>
      <c r="Y2368" s="405"/>
      <c r="Z2368" s="405"/>
    </row>
    <row r="2369" ht="14.25" customHeight="1">
      <c r="A2369" s="1134"/>
      <c r="B2369" s="405"/>
      <c r="C2369" s="405"/>
      <c r="D2369" s="1135"/>
      <c r="E2369" s="583"/>
      <c r="F2369" s="583"/>
      <c r="G2369" s="583"/>
      <c r="H2369" s="405"/>
      <c r="I2369" s="405"/>
      <c r="J2369" s="405"/>
      <c r="K2369" s="405"/>
      <c r="L2369" s="405"/>
      <c r="M2369" s="405"/>
      <c r="N2369" s="405"/>
      <c r="O2369" s="405"/>
      <c r="P2369" s="405"/>
      <c r="Q2369" s="405"/>
      <c r="R2369" s="405"/>
      <c r="S2369" s="405"/>
      <c r="T2369" s="405"/>
      <c r="U2369" s="405"/>
      <c r="V2369" s="405"/>
      <c r="W2369" s="405"/>
      <c r="X2369" s="405"/>
      <c r="Y2369" s="405"/>
      <c r="Z2369" s="405"/>
    </row>
    <row r="2370" ht="14.25" customHeight="1">
      <c r="A2370" s="1134"/>
      <c r="B2370" s="405"/>
      <c r="C2370" s="405"/>
      <c r="D2370" s="1135"/>
      <c r="E2370" s="583"/>
      <c r="F2370" s="583"/>
      <c r="G2370" s="583"/>
      <c r="H2370" s="405"/>
      <c r="I2370" s="405"/>
      <c r="J2370" s="405"/>
      <c r="K2370" s="405"/>
      <c r="L2370" s="405"/>
      <c r="M2370" s="405"/>
      <c r="N2370" s="405"/>
      <c r="O2370" s="405"/>
      <c r="P2370" s="405"/>
      <c r="Q2370" s="405"/>
      <c r="R2370" s="405"/>
      <c r="S2370" s="405"/>
      <c r="T2370" s="405"/>
      <c r="U2370" s="405"/>
      <c r="V2370" s="405"/>
      <c r="W2370" s="405"/>
      <c r="X2370" s="405"/>
      <c r="Y2370" s="405"/>
      <c r="Z2370" s="405"/>
    </row>
    <row r="2371" ht="14.25" customHeight="1">
      <c r="A2371" s="1134"/>
      <c r="B2371" s="405"/>
      <c r="C2371" s="405"/>
      <c r="D2371" s="1135"/>
      <c r="E2371" s="583"/>
      <c r="F2371" s="583"/>
      <c r="G2371" s="583"/>
      <c r="H2371" s="405"/>
      <c r="I2371" s="405"/>
      <c r="J2371" s="405"/>
      <c r="K2371" s="405"/>
      <c r="L2371" s="405"/>
      <c r="M2371" s="405"/>
      <c r="N2371" s="405"/>
      <c r="O2371" s="405"/>
      <c r="P2371" s="405"/>
      <c r="Q2371" s="405"/>
      <c r="R2371" s="405"/>
      <c r="S2371" s="405"/>
      <c r="T2371" s="405"/>
      <c r="U2371" s="405"/>
      <c r="V2371" s="405"/>
      <c r="W2371" s="405"/>
      <c r="X2371" s="405"/>
      <c r="Y2371" s="405"/>
      <c r="Z2371" s="405"/>
    </row>
    <row r="2372" ht="14.25" customHeight="1">
      <c r="A2372" s="1134"/>
      <c r="B2372" s="405"/>
      <c r="C2372" s="405"/>
      <c r="D2372" s="1135"/>
      <c r="E2372" s="583"/>
      <c r="F2372" s="583"/>
      <c r="G2372" s="583"/>
      <c r="H2372" s="405"/>
      <c r="I2372" s="405"/>
      <c r="J2372" s="405"/>
      <c r="K2372" s="405"/>
      <c r="L2372" s="405"/>
      <c r="M2372" s="405"/>
      <c r="N2372" s="405"/>
      <c r="O2372" s="405"/>
      <c r="P2372" s="405"/>
      <c r="Q2372" s="405"/>
      <c r="R2372" s="405"/>
      <c r="S2372" s="405"/>
      <c r="T2372" s="405"/>
      <c r="U2372" s="405"/>
      <c r="V2372" s="405"/>
      <c r="W2372" s="405"/>
      <c r="X2372" s="405"/>
      <c r="Y2372" s="405"/>
      <c r="Z2372" s="405"/>
    </row>
    <row r="2373" ht="14.25" customHeight="1">
      <c r="A2373" s="1134"/>
      <c r="B2373" s="405"/>
      <c r="C2373" s="405"/>
      <c r="D2373" s="1135"/>
      <c r="E2373" s="583"/>
      <c r="F2373" s="583"/>
      <c r="G2373" s="583"/>
      <c r="H2373" s="405"/>
      <c r="I2373" s="405"/>
      <c r="J2373" s="405"/>
      <c r="K2373" s="405"/>
      <c r="L2373" s="405"/>
      <c r="M2373" s="405"/>
      <c r="N2373" s="405"/>
      <c r="O2373" s="405"/>
      <c r="P2373" s="405"/>
      <c r="Q2373" s="405"/>
      <c r="R2373" s="405"/>
      <c r="S2373" s="405"/>
      <c r="T2373" s="405"/>
      <c r="U2373" s="405"/>
      <c r="V2373" s="405"/>
      <c r="W2373" s="405"/>
      <c r="X2373" s="405"/>
      <c r="Y2373" s="405"/>
      <c r="Z2373" s="405"/>
    </row>
    <row r="2374" ht="14.25" customHeight="1">
      <c r="A2374" s="1134"/>
      <c r="B2374" s="405"/>
      <c r="C2374" s="405"/>
      <c r="D2374" s="1135"/>
      <c r="E2374" s="583"/>
      <c r="F2374" s="583"/>
      <c r="G2374" s="583"/>
      <c r="H2374" s="405"/>
      <c r="I2374" s="405"/>
      <c r="J2374" s="405"/>
      <c r="K2374" s="405"/>
      <c r="L2374" s="405"/>
      <c r="M2374" s="405"/>
      <c r="N2374" s="405"/>
      <c r="O2374" s="405"/>
      <c r="P2374" s="405"/>
      <c r="Q2374" s="405"/>
      <c r="R2374" s="405"/>
      <c r="S2374" s="405"/>
      <c r="T2374" s="405"/>
      <c r="U2374" s="405"/>
      <c r="V2374" s="405"/>
      <c r="W2374" s="405"/>
      <c r="X2374" s="405"/>
      <c r="Y2374" s="405"/>
      <c r="Z2374" s="405"/>
    </row>
    <row r="2375" ht="14.25" customHeight="1">
      <c r="A2375" s="1134"/>
      <c r="B2375" s="405"/>
      <c r="C2375" s="405"/>
      <c r="D2375" s="1135"/>
      <c r="E2375" s="583"/>
      <c r="F2375" s="583"/>
      <c r="G2375" s="583"/>
      <c r="H2375" s="405"/>
      <c r="I2375" s="405"/>
      <c r="J2375" s="405"/>
      <c r="K2375" s="405"/>
      <c r="L2375" s="405"/>
      <c r="M2375" s="405"/>
      <c r="N2375" s="405"/>
      <c r="O2375" s="405"/>
      <c r="P2375" s="405"/>
      <c r="Q2375" s="405"/>
      <c r="R2375" s="405"/>
      <c r="S2375" s="405"/>
      <c r="T2375" s="405"/>
      <c r="U2375" s="405"/>
      <c r="V2375" s="405"/>
      <c r="W2375" s="405"/>
      <c r="X2375" s="405"/>
      <c r="Y2375" s="405"/>
      <c r="Z2375" s="405"/>
    </row>
    <row r="2376" ht="14.25" customHeight="1">
      <c r="A2376" s="1134"/>
      <c r="B2376" s="405"/>
      <c r="C2376" s="405"/>
      <c r="D2376" s="1135"/>
      <c r="E2376" s="583"/>
      <c r="F2376" s="583"/>
      <c r="G2376" s="583"/>
      <c r="H2376" s="405"/>
      <c r="I2376" s="405"/>
      <c r="J2376" s="405"/>
      <c r="K2376" s="405"/>
      <c r="L2376" s="405"/>
      <c r="M2376" s="405"/>
      <c r="N2376" s="405"/>
      <c r="O2376" s="405"/>
      <c r="P2376" s="405"/>
      <c r="Q2376" s="405"/>
      <c r="R2376" s="405"/>
      <c r="S2376" s="405"/>
      <c r="T2376" s="405"/>
      <c r="U2376" s="405"/>
      <c r="V2376" s="405"/>
      <c r="W2376" s="405"/>
      <c r="X2376" s="405"/>
      <c r="Y2376" s="405"/>
      <c r="Z2376" s="405"/>
    </row>
    <row r="2377" ht="14.25" customHeight="1">
      <c r="A2377" s="1134"/>
      <c r="B2377" s="405"/>
      <c r="C2377" s="405"/>
      <c r="D2377" s="1135"/>
      <c r="E2377" s="583"/>
      <c r="F2377" s="583"/>
      <c r="G2377" s="583"/>
      <c r="H2377" s="405"/>
      <c r="I2377" s="405"/>
      <c r="J2377" s="405"/>
      <c r="K2377" s="405"/>
      <c r="L2377" s="405"/>
      <c r="M2377" s="405"/>
      <c r="N2377" s="405"/>
      <c r="O2377" s="405"/>
      <c r="P2377" s="405"/>
      <c r="Q2377" s="405"/>
      <c r="R2377" s="405"/>
      <c r="S2377" s="405"/>
      <c r="T2377" s="405"/>
      <c r="U2377" s="405"/>
      <c r="V2377" s="405"/>
      <c r="W2377" s="405"/>
      <c r="X2377" s="405"/>
      <c r="Y2377" s="405"/>
      <c r="Z2377" s="405"/>
    </row>
    <row r="2378" ht="14.25" customHeight="1">
      <c r="A2378" s="1134"/>
      <c r="B2378" s="405"/>
      <c r="C2378" s="405"/>
      <c r="D2378" s="1135"/>
      <c r="E2378" s="583"/>
      <c r="F2378" s="583"/>
      <c r="G2378" s="583"/>
      <c r="H2378" s="405"/>
      <c r="I2378" s="405"/>
      <c r="J2378" s="405"/>
      <c r="K2378" s="405"/>
      <c r="L2378" s="405"/>
      <c r="M2378" s="405"/>
      <c r="N2378" s="405"/>
      <c r="O2378" s="405"/>
      <c r="P2378" s="405"/>
      <c r="Q2378" s="405"/>
      <c r="R2378" s="405"/>
      <c r="S2378" s="405"/>
      <c r="T2378" s="405"/>
      <c r="U2378" s="405"/>
      <c r="V2378" s="405"/>
      <c r="W2378" s="405"/>
      <c r="X2378" s="405"/>
      <c r="Y2378" s="405"/>
      <c r="Z2378" s="405"/>
    </row>
    <row r="2379" ht="14.25" customHeight="1">
      <c r="A2379" s="1134"/>
      <c r="B2379" s="405"/>
      <c r="C2379" s="405"/>
      <c r="D2379" s="1135"/>
      <c r="E2379" s="583"/>
      <c r="F2379" s="583"/>
      <c r="G2379" s="583"/>
      <c r="H2379" s="405"/>
      <c r="I2379" s="405"/>
      <c r="J2379" s="405"/>
      <c r="K2379" s="405"/>
      <c r="L2379" s="405"/>
      <c r="M2379" s="405"/>
      <c r="N2379" s="405"/>
      <c r="O2379" s="405"/>
      <c r="P2379" s="405"/>
      <c r="Q2379" s="405"/>
      <c r="R2379" s="405"/>
      <c r="S2379" s="405"/>
      <c r="T2379" s="405"/>
      <c r="U2379" s="405"/>
      <c r="V2379" s="405"/>
      <c r="W2379" s="405"/>
      <c r="X2379" s="405"/>
      <c r="Y2379" s="405"/>
      <c r="Z2379" s="405"/>
    </row>
    <row r="2380" ht="14.25" customHeight="1">
      <c r="A2380" s="1134"/>
      <c r="B2380" s="405"/>
      <c r="C2380" s="405"/>
      <c r="D2380" s="1135"/>
      <c r="E2380" s="583"/>
      <c r="F2380" s="583"/>
      <c r="G2380" s="583"/>
      <c r="H2380" s="405"/>
      <c r="I2380" s="405"/>
      <c r="J2380" s="405"/>
      <c r="K2380" s="405"/>
      <c r="L2380" s="405"/>
      <c r="M2380" s="405"/>
      <c r="N2380" s="405"/>
      <c r="O2380" s="405"/>
      <c r="P2380" s="405"/>
      <c r="Q2380" s="405"/>
      <c r="R2380" s="405"/>
      <c r="S2380" s="405"/>
      <c r="T2380" s="405"/>
      <c r="U2380" s="405"/>
      <c r="V2380" s="405"/>
      <c r="W2380" s="405"/>
      <c r="X2380" s="405"/>
      <c r="Y2380" s="405"/>
      <c r="Z2380" s="405"/>
    </row>
    <row r="2381" ht="14.25" customHeight="1">
      <c r="A2381" s="1134"/>
      <c r="B2381" s="405"/>
      <c r="C2381" s="405"/>
      <c r="D2381" s="1135"/>
      <c r="E2381" s="583"/>
      <c r="F2381" s="583"/>
      <c r="G2381" s="583"/>
      <c r="H2381" s="405"/>
      <c r="I2381" s="405"/>
      <c r="J2381" s="405"/>
      <c r="K2381" s="405"/>
      <c r="L2381" s="405"/>
      <c r="M2381" s="405"/>
      <c r="N2381" s="405"/>
      <c r="O2381" s="405"/>
      <c r="P2381" s="405"/>
      <c r="Q2381" s="405"/>
      <c r="R2381" s="405"/>
      <c r="S2381" s="405"/>
      <c r="T2381" s="405"/>
      <c r="U2381" s="405"/>
      <c r="V2381" s="405"/>
      <c r="W2381" s="405"/>
      <c r="X2381" s="405"/>
      <c r="Y2381" s="405"/>
      <c r="Z2381" s="405"/>
    </row>
    <row r="2382" ht="14.25" customHeight="1">
      <c r="A2382" s="1134"/>
      <c r="B2382" s="405"/>
      <c r="C2382" s="405"/>
      <c r="D2382" s="1135"/>
      <c r="E2382" s="583"/>
      <c r="F2382" s="583"/>
      <c r="G2382" s="583"/>
      <c r="H2382" s="405"/>
      <c r="I2382" s="405"/>
      <c r="J2382" s="405"/>
      <c r="K2382" s="405"/>
      <c r="L2382" s="405"/>
      <c r="M2382" s="405"/>
      <c r="N2382" s="405"/>
      <c r="O2382" s="405"/>
      <c r="P2382" s="405"/>
      <c r="Q2382" s="405"/>
      <c r="R2382" s="405"/>
      <c r="S2382" s="405"/>
      <c r="T2382" s="405"/>
      <c r="U2382" s="405"/>
      <c r="V2382" s="405"/>
      <c r="W2382" s="405"/>
      <c r="X2382" s="405"/>
      <c r="Y2382" s="405"/>
      <c r="Z2382" s="405"/>
    </row>
    <row r="2383" ht="14.25" customHeight="1">
      <c r="A2383" s="1134"/>
      <c r="B2383" s="405"/>
      <c r="C2383" s="405"/>
      <c r="D2383" s="1135"/>
      <c r="E2383" s="583"/>
      <c r="F2383" s="583"/>
      <c r="G2383" s="583"/>
      <c r="H2383" s="405"/>
      <c r="I2383" s="405"/>
      <c r="J2383" s="405"/>
      <c r="K2383" s="405"/>
      <c r="L2383" s="405"/>
      <c r="M2383" s="405"/>
      <c r="N2383" s="405"/>
      <c r="O2383" s="405"/>
      <c r="P2383" s="405"/>
      <c r="Q2383" s="405"/>
      <c r="R2383" s="405"/>
      <c r="S2383" s="405"/>
      <c r="T2383" s="405"/>
      <c r="U2383" s="405"/>
      <c r="V2383" s="405"/>
      <c r="W2383" s="405"/>
      <c r="X2383" s="405"/>
      <c r="Y2383" s="405"/>
      <c r="Z2383" s="405"/>
    </row>
    <row r="2384" ht="14.25" customHeight="1">
      <c r="A2384" s="1134"/>
      <c r="B2384" s="405"/>
      <c r="C2384" s="405"/>
      <c r="D2384" s="1135"/>
      <c r="E2384" s="583"/>
      <c r="F2384" s="583"/>
      <c r="G2384" s="583"/>
      <c r="H2384" s="405"/>
      <c r="I2384" s="405"/>
      <c r="J2384" s="405"/>
      <c r="K2384" s="405"/>
      <c r="L2384" s="405"/>
      <c r="M2384" s="405"/>
      <c r="N2384" s="405"/>
      <c r="O2384" s="405"/>
      <c r="P2384" s="405"/>
      <c r="Q2384" s="405"/>
      <c r="R2384" s="405"/>
      <c r="S2384" s="405"/>
      <c r="T2384" s="405"/>
      <c r="U2384" s="405"/>
      <c r="V2384" s="405"/>
      <c r="W2384" s="405"/>
      <c r="X2384" s="405"/>
      <c r="Y2384" s="405"/>
      <c r="Z2384" s="405"/>
    </row>
    <row r="2385" ht="14.25" customHeight="1">
      <c r="A2385" s="1134"/>
      <c r="B2385" s="405"/>
      <c r="C2385" s="405"/>
      <c r="D2385" s="1135"/>
      <c r="E2385" s="583"/>
      <c r="F2385" s="583"/>
      <c r="G2385" s="583"/>
      <c r="H2385" s="405"/>
      <c r="I2385" s="405"/>
      <c r="J2385" s="405"/>
      <c r="K2385" s="405"/>
      <c r="L2385" s="405"/>
      <c r="M2385" s="405"/>
      <c r="N2385" s="405"/>
      <c r="O2385" s="405"/>
      <c r="P2385" s="405"/>
      <c r="Q2385" s="405"/>
      <c r="R2385" s="405"/>
      <c r="S2385" s="405"/>
      <c r="T2385" s="405"/>
      <c r="U2385" s="405"/>
      <c r="V2385" s="405"/>
      <c r="W2385" s="405"/>
      <c r="X2385" s="405"/>
      <c r="Y2385" s="405"/>
      <c r="Z2385" s="405"/>
    </row>
    <row r="2386" ht="14.25" customHeight="1">
      <c r="A2386" s="1134"/>
      <c r="B2386" s="405"/>
      <c r="C2386" s="405"/>
      <c r="D2386" s="1135"/>
      <c r="E2386" s="583"/>
      <c r="F2386" s="583"/>
      <c r="G2386" s="583"/>
      <c r="H2386" s="405"/>
      <c r="I2386" s="405"/>
      <c r="J2386" s="405"/>
      <c r="K2386" s="405"/>
      <c r="L2386" s="405"/>
      <c r="M2386" s="405"/>
      <c r="N2386" s="405"/>
      <c r="O2386" s="405"/>
      <c r="P2386" s="405"/>
      <c r="Q2386" s="405"/>
      <c r="R2386" s="405"/>
      <c r="S2386" s="405"/>
      <c r="T2386" s="405"/>
      <c r="U2386" s="405"/>
      <c r="V2386" s="405"/>
      <c r="W2386" s="405"/>
      <c r="X2386" s="405"/>
      <c r="Y2386" s="405"/>
      <c r="Z2386" s="405"/>
    </row>
    <row r="2387" ht="14.25" customHeight="1">
      <c r="A2387" s="1134"/>
      <c r="B2387" s="405"/>
      <c r="C2387" s="405"/>
      <c r="D2387" s="1135"/>
      <c r="E2387" s="583"/>
      <c r="F2387" s="583"/>
      <c r="G2387" s="583"/>
      <c r="H2387" s="405"/>
      <c r="I2387" s="405"/>
      <c r="J2387" s="405"/>
      <c r="K2387" s="405"/>
      <c r="L2387" s="405"/>
      <c r="M2387" s="405"/>
      <c r="N2387" s="405"/>
      <c r="O2387" s="405"/>
      <c r="P2387" s="405"/>
      <c r="Q2387" s="405"/>
      <c r="R2387" s="405"/>
      <c r="S2387" s="405"/>
      <c r="T2387" s="405"/>
      <c r="U2387" s="405"/>
      <c r="V2387" s="405"/>
      <c r="W2387" s="405"/>
      <c r="X2387" s="405"/>
      <c r="Y2387" s="405"/>
      <c r="Z2387" s="405"/>
    </row>
    <row r="2388" ht="14.25" customHeight="1">
      <c r="A2388" s="1134"/>
      <c r="B2388" s="405"/>
      <c r="C2388" s="405"/>
      <c r="D2388" s="1135"/>
      <c r="E2388" s="583"/>
      <c r="F2388" s="583"/>
      <c r="G2388" s="583"/>
      <c r="H2388" s="405"/>
      <c r="I2388" s="405"/>
      <c r="J2388" s="405"/>
      <c r="K2388" s="405"/>
      <c r="L2388" s="405"/>
      <c r="M2388" s="405"/>
      <c r="N2388" s="405"/>
      <c r="O2388" s="405"/>
      <c r="P2388" s="405"/>
      <c r="Q2388" s="405"/>
      <c r="R2388" s="405"/>
      <c r="S2388" s="405"/>
      <c r="T2388" s="405"/>
      <c r="U2388" s="405"/>
      <c r="V2388" s="405"/>
      <c r="W2388" s="405"/>
      <c r="X2388" s="405"/>
      <c r="Y2388" s="405"/>
      <c r="Z2388" s="405"/>
    </row>
    <row r="2389" ht="14.25" customHeight="1">
      <c r="A2389" s="1134"/>
      <c r="B2389" s="405"/>
      <c r="C2389" s="405"/>
      <c r="D2389" s="1135"/>
      <c r="E2389" s="583"/>
      <c r="F2389" s="583"/>
      <c r="G2389" s="583"/>
      <c r="H2389" s="405"/>
      <c r="I2389" s="405"/>
      <c r="J2389" s="405"/>
      <c r="K2389" s="405"/>
      <c r="L2389" s="405"/>
      <c r="M2389" s="405"/>
      <c r="N2389" s="405"/>
      <c r="O2389" s="405"/>
      <c r="P2389" s="405"/>
      <c r="Q2389" s="405"/>
      <c r="R2389" s="405"/>
      <c r="S2389" s="405"/>
      <c r="T2389" s="405"/>
      <c r="U2389" s="405"/>
      <c r="V2389" s="405"/>
      <c r="W2389" s="405"/>
      <c r="X2389" s="405"/>
      <c r="Y2389" s="405"/>
      <c r="Z2389" s="405"/>
    </row>
    <row r="2390" ht="14.25" customHeight="1">
      <c r="A2390" s="1134"/>
      <c r="B2390" s="405"/>
      <c r="C2390" s="405"/>
      <c r="D2390" s="1135"/>
      <c r="E2390" s="583"/>
      <c r="F2390" s="583"/>
      <c r="G2390" s="583"/>
      <c r="H2390" s="405"/>
      <c r="I2390" s="405"/>
      <c r="J2390" s="405"/>
      <c r="K2390" s="405"/>
      <c r="L2390" s="405"/>
      <c r="M2390" s="405"/>
      <c r="N2390" s="405"/>
      <c r="O2390" s="405"/>
      <c r="P2390" s="405"/>
      <c r="Q2390" s="405"/>
      <c r="R2390" s="405"/>
      <c r="S2390" s="405"/>
      <c r="T2390" s="405"/>
      <c r="U2390" s="405"/>
      <c r="V2390" s="405"/>
      <c r="W2390" s="405"/>
      <c r="X2390" s="405"/>
      <c r="Y2390" s="405"/>
      <c r="Z2390" s="405"/>
    </row>
    <row r="2391" ht="14.25" customHeight="1">
      <c r="A2391" s="1134"/>
      <c r="B2391" s="405"/>
      <c r="C2391" s="405"/>
      <c r="D2391" s="1135"/>
      <c r="E2391" s="583"/>
      <c r="F2391" s="583"/>
      <c r="G2391" s="583"/>
      <c r="H2391" s="405"/>
      <c r="I2391" s="405"/>
      <c r="J2391" s="405"/>
      <c r="K2391" s="405"/>
      <c r="L2391" s="405"/>
      <c r="M2391" s="405"/>
      <c r="N2391" s="405"/>
      <c r="O2391" s="405"/>
      <c r="P2391" s="405"/>
      <c r="Q2391" s="405"/>
      <c r="R2391" s="405"/>
      <c r="S2391" s="405"/>
      <c r="T2391" s="405"/>
      <c r="U2391" s="405"/>
      <c r="V2391" s="405"/>
      <c r="W2391" s="405"/>
      <c r="X2391" s="405"/>
      <c r="Y2391" s="405"/>
      <c r="Z2391" s="405"/>
    </row>
    <row r="2392" ht="14.25" customHeight="1">
      <c r="A2392" s="1134"/>
      <c r="B2392" s="405"/>
      <c r="C2392" s="405"/>
      <c r="D2392" s="1135"/>
      <c r="E2392" s="583"/>
      <c r="F2392" s="583"/>
      <c r="G2392" s="583"/>
      <c r="H2392" s="405"/>
      <c r="I2392" s="405"/>
      <c r="J2392" s="405"/>
      <c r="K2392" s="405"/>
      <c r="L2392" s="405"/>
      <c r="M2392" s="405"/>
      <c r="N2392" s="405"/>
      <c r="O2392" s="405"/>
      <c r="P2392" s="405"/>
      <c r="Q2392" s="405"/>
      <c r="R2392" s="405"/>
      <c r="S2392" s="405"/>
      <c r="T2392" s="405"/>
      <c r="U2392" s="405"/>
      <c r="V2392" s="405"/>
      <c r="W2392" s="405"/>
      <c r="X2392" s="405"/>
      <c r="Y2392" s="405"/>
      <c r="Z2392" s="405"/>
    </row>
    <row r="2393" ht="14.25" customHeight="1">
      <c r="A2393" s="1134"/>
      <c r="B2393" s="405"/>
      <c r="C2393" s="405"/>
      <c r="D2393" s="1135"/>
      <c r="E2393" s="583"/>
      <c r="F2393" s="583"/>
      <c r="G2393" s="583"/>
      <c r="H2393" s="405"/>
      <c r="I2393" s="405"/>
      <c r="J2393" s="405"/>
      <c r="K2393" s="405"/>
      <c r="L2393" s="405"/>
      <c r="M2393" s="405"/>
      <c r="N2393" s="405"/>
      <c r="O2393" s="405"/>
      <c r="P2393" s="405"/>
      <c r="Q2393" s="405"/>
      <c r="R2393" s="405"/>
      <c r="S2393" s="405"/>
      <c r="T2393" s="405"/>
      <c r="U2393" s="405"/>
      <c r="V2393" s="405"/>
      <c r="W2393" s="405"/>
      <c r="X2393" s="405"/>
      <c r="Y2393" s="405"/>
      <c r="Z2393" s="405"/>
    </row>
    <row r="2394" ht="14.25" customHeight="1">
      <c r="A2394" s="1134"/>
      <c r="B2394" s="405"/>
      <c r="C2394" s="405"/>
      <c r="D2394" s="1135"/>
      <c r="E2394" s="583"/>
      <c r="F2394" s="583"/>
      <c r="G2394" s="583"/>
      <c r="H2394" s="405"/>
      <c r="I2394" s="405"/>
      <c r="J2394" s="405"/>
      <c r="K2394" s="405"/>
      <c r="L2394" s="405"/>
      <c r="M2394" s="405"/>
      <c r="N2394" s="405"/>
      <c r="O2394" s="405"/>
      <c r="P2394" s="405"/>
      <c r="Q2394" s="405"/>
      <c r="R2394" s="405"/>
      <c r="S2394" s="405"/>
      <c r="T2394" s="405"/>
      <c r="U2394" s="405"/>
      <c r="V2394" s="405"/>
      <c r="W2394" s="405"/>
      <c r="X2394" s="405"/>
      <c r="Y2394" s="405"/>
      <c r="Z2394" s="405"/>
    </row>
    <row r="2395" ht="14.25" customHeight="1">
      <c r="A2395" s="1134"/>
      <c r="B2395" s="405"/>
      <c r="C2395" s="405"/>
      <c r="D2395" s="1135"/>
      <c r="E2395" s="583"/>
      <c r="F2395" s="583"/>
      <c r="G2395" s="583"/>
      <c r="H2395" s="405"/>
      <c r="I2395" s="405"/>
      <c r="J2395" s="405"/>
      <c r="K2395" s="405"/>
      <c r="L2395" s="405"/>
      <c r="M2395" s="405"/>
      <c r="N2395" s="405"/>
      <c r="O2395" s="405"/>
      <c r="P2395" s="405"/>
      <c r="Q2395" s="405"/>
      <c r="R2395" s="405"/>
      <c r="S2395" s="405"/>
      <c r="T2395" s="405"/>
      <c r="U2395" s="405"/>
      <c r="V2395" s="405"/>
      <c r="W2395" s="405"/>
      <c r="X2395" s="405"/>
      <c r="Y2395" s="405"/>
      <c r="Z2395" s="405"/>
    </row>
    <row r="2396" ht="14.25" customHeight="1">
      <c r="A2396" s="1134"/>
      <c r="B2396" s="405"/>
      <c r="C2396" s="405"/>
      <c r="D2396" s="1135"/>
      <c r="E2396" s="583"/>
      <c r="F2396" s="583"/>
      <c r="G2396" s="583"/>
      <c r="H2396" s="405"/>
      <c r="I2396" s="405"/>
      <c r="J2396" s="405"/>
      <c r="K2396" s="405"/>
      <c r="L2396" s="405"/>
      <c r="M2396" s="405"/>
      <c r="N2396" s="405"/>
      <c r="O2396" s="405"/>
      <c r="P2396" s="405"/>
      <c r="Q2396" s="405"/>
      <c r="R2396" s="405"/>
      <c r="S2396" s="405"/>
      <c r="T2396" s="405"/>
      <c r="U2396" s="405"/>
      <c r="V2396" s="405"/>
      <c r="W2396" s="405"/>
      <c r="X2396" s="405"/>
      <c r="Y2396" s="405"/>
      <c r="Z2396" s="405"/>
    </row>
    <row r="2397" ht="14.25" customHeight="1">
      <c r="A2397" s="1134"/>
      <c r="B2397" s="405"/>
      <c r="C2397" s="405"/>
      <c r="D2397" s="1135"/>
      <c r="E2397" s="583"/>
      <c r="F2397" s="583"/>
      <c r="G2397" s="583"/>
      <c r="H2397" s="405"/>
      <c r="I2397" s="405"/>
      <c r="J2397" s="405"/>
      <c r="K2397" s="405"/>
      <c r="L2397" s="405"/>
      <c r="M2397" s="405"/>
      <c r="N2397" s="405"/>
      <c r="O2397" s="405"/>
      <c r="P2397" s="405"/>
      <c r="Q2397" s="405"/>
      <c r="R2397" s="405"/>
      <c r="S2397" s="405"/>
      <c r="T2397" s="405"/>
      <c r="U2397" s="405"/>
      <c r="V2397" s="405"/>
      <c r="W2397" s="405"/>
      <c r="X2397" s="405"/>
      <c r="Y2397" s="405"/>
      <c r="Z2397" s="405"/>
    </row>
    <row r="2398" ht="14.25" customHeight="1">
      <c r="A2398" s="1134"/>
      <c r="B2398" s="405"/>
      <c r="C2398" s="405"/>
      <c r="D2398" s="1135"/>
      <c r="E2398" s="583"/>
      <c r="F2398" s="583"/>
      <c r="G2398" s="583"/>
      <c r="H2398" s="405"/>
      <c r="I2398" s="405"/>
      <c r="J2398" s="405"/>
      <c r="K2398" s="405"/>
      <c r="L2398" s="405"/>
      <c r="M2398" s="405"/>
      <c r="N2398" s="405"/>
      <c r="O2398" s="405"/>
      <c r="P2398" s="405"/>
      <c r="Q2398" s="405"/>
      <c r="R2398" s="405"/>
      <c r="S2398" s="405"/>
      <c r="T2398" s="405"/>
      <c r="U2398" s="405"/>
      <c r="V2398" s="405"/>
      <c r="W2398" s="405"/>
      <c r="X2398" s="405"/>
      <c r="Y2398" s="405"/>
      <c r="Z2398" s="405"/>
    </row>
    <row r="2399" ht="14.25" customHeight="1">
      <c r="A2399" s="1134"/>
      <c r="B2399" s="405"/>
      <c r="C2399" s="405"/>
      <c r="D2399" s="1135"/>
      <c r="E2399" s="583"/>
      <c r="F2399" s="583"/>
      <c r="G2399" s="583"/>
      <c r="H2399" s="405"/>
      <c r="I2399" s="405"/>
      <c r="J2399" s="405"/>
      <c r="K2399" s="405"/>
      <c r="L2399" s="405"/>
      <c r="M2399" s="405"/>
      <c r="N2399" s="405"/>
      <c r="O2399" s="405"/>
      <c r="P2399" s="405"/>
      <c r="Q2399" s="405"/>
      <c r="R2399" s="405"/>
      <c r="S2399" s="405"/>
      <c r="T2399" s="405"/>
      <c r="U2399" s="405"/>
      <c r="V2399" s="405"/>
      <c r="W2399" s="405"/>
      <c r="X2399" s="405"/>
      <c r="Y2399" s="405"/>
      <c r="Z2399" s="405"/>
    </row>
    <row r="2400" ht="14.25" customHeight="1">
      <c r="A2400" s="1134"/>
      <c r="B2400" s="405"/>
      <c r="C2400" s="405"/>
      <c r="D2400" s="1135"/>
      <c r="E2400" s="583"/>
      <c r="F2400" s="583"/>
      <c r="G2400" s="583"/>
      <c r="H2400" s="405"/>
      <c r="I2400" s="405"/>
      <c r="J2400" s="405"/>
      <c r="K2400" s="405"/>
      <c r="L2400" s="405"/>
      <c r="M2400" s="405"/>
      <c r="N2400" s="405"/>
      <c r="O2400" s="405"/>
      <c r="P2400" s="405"/>
      <c r="Q2400" s="405"/>
      <c r="R2400" s="405"/>
      <c r="S2400" s="405"/>
      <c r="T2400" s="405"/>
      <c r="U2400" s="405"/>
      <c r="V2400" s="405"/>
      <c r="W2400" s="405"/>
      <c r="X2400" s="405"/>
      <c r="Y2400" s="405"/>
      <c r="Z2400" s="405"/>
    </row>
    <row r="2401" ht="14.25" customHeight="1">
      <c r="A2401" s="1134"/>
      <c r="B2401" s="405"/>
      <c r="C2401" s="405"/>
      <c r="D2401" s="1135"/>
      <c r="E2401" s="583"/>
      <c r="F2401" s="583"/>
      <c r="G2401" s="583"/>
      <c r="H2401" s="405"/>
      <c r="I2401" s="405"/>
      <c r="J2401" s="405"/>
      <c r="K2401" s="405"/>
      <c r="L2401" s="405"/>
      <c r="M2401" s="405"/>
      <c r="N2401" s="405"/>
      <c r="O2401" s="405"/>
      <c r="P2401" s="405"/>
      <c r="Q2401" s="405"/>
      <c r="R2401" s="405"/>
      <c r="S2401" s="405"/>
      <c r="T2401" s="405"/>
      <c r="U2401" s="405"/>
      <c r="V2401" s="405"/>
      <c r="W2401" s="405"/>
      <c r="X2401" s="405"/>
      <c r="Y2401" s="405"/>
      <c r="Z2401" s="405"/>
    </row>
    <row r="2402" ht="14.25" customHeight="1">
      <c r="A2402" s="1134"/>
      <c r="B2402" s="405"/>
      <c r="C2402" s="405"/>
      <c r="D2402" s="1135"/>
      <c r="E2402" s="583"/>
      <c r="F2402" s="583"/>
      <c r="G2402" s="583"/>
      <c r="H2402" s="405"/>
      <c r="I2402" s="405"/>
      <c r="J2402" s="405"/>
      <c r="K2402" s="405"/>
      <c r="L2402" s="405"/>
      <c r="M2402" s="405"/>
      <c r="N2402" s="405"/>
      <c r="O2402" s="405"/>
      <c r="P2402" s="405"/>
      <c r="Q2402" s="405"/>
      <c r="R2402" s="405"/>
      <c r="S2402" s="405"/>
      <c r="T2402" s="405"/>
      <c r="U2402" s="405"/>
      <c r="V2402" s="405"/>
      <c r="W2402" s="405"/>
      <c r="X2402" s="405"/>
      <c r="Y2402" s="405"/>
      <c r="Z2402" s="405"/>
    </row>
    <row r="2403" ht="14.25" customHeight="1">
      <c r="A2403" s="1134"/>
      <c r="B2403" s="405"/>
      <c r="C2403" s="405"/>
      <c r="D2403" s="1135"/>
      <c r="E2403" s="583"/>
      <c r="F2403" s="583"/>
      <c r="G2403" s="583"/>
      <c r="H2403" s="405"/>
      <c r="I2403" s="405"/>
      <c r="J2403" s="405"/>
      <c r="K2403" s="405"/>
      <c r="L2403" s="405"/>
      <c r="M2403" s="405"/>
      <c r="N2403" s="405"/>
      <c r="O2403" s="405"/>
      <c r="P2403" s="405"/>
      <c r="Q2403" s="405"/>
      <c r="R2403" s="405"/>
      <c r="S2403" s="405"/>
      <c r="T2403" s="405"/>
      <c r="U2403" s="405"/>
      <c r="V2403" s="405"/>
      <c r="W2403" s="405"/>
      <c r="X2403" s="405"/>
      <c r="Y2403" s="405"/>
      <c r="Z2403" s="405"/>
    </row>
    <row r="2404" ht="14.25" customHeight="1">
      <c r="A2404" s="1134"/>
      <c r="B2404" s="405"/>
      <c r="C2404" s="405"/>
      <c r="D2404" s="1135"/>
      <c r="E2404" s="583"/>
      <c r="F2404" s="583"/>
      <c r="G2404" s="583"/>
      <c r="H2404" s="405"/>
      <c r="I2404" s="405"/>
      <c r="J2404" s="405"/>
      <c r="K2404" s="405"/>
      <c r="L2404" s="405"/>
      <c r="M2404" s="405"/>
      <c r="N2404" s="405"/>
      <c r="O2404" s="405"/>
      <c r="P2404" s="405"/>
      <c r="Q2404" s="405"/>
      <c r="R2404" s="405"/>
      <c r="S2404" s="405"/>
      <c r="T2404" s="405"/>
      <c r="U2404" s="405"/>
      <c r="V2404" s="405"/>
      <c r="W2404" s="405"/>
      <c r="X2404" s="405"/>
      <c r="Y2404" s="405"/>
      <c r="Z2404" s="405"/>
    </row>
    <row r="2405" ht="14.25" customHeight="1">
      <c r="A2405" s="1134"/>
      <c r="B2405" s="405"/>
      <c r="C2405" s="405"/>
      <c r="D2405" s="1135"/>
      <c r="E2405" s="583"/>
      <c r="F2405" s="583"/>
      <c r="G2405" s="583"/>
      <c r="H2405" s="405"/>
      <c r="I2405" s="405"/>
      <c r="J2405" s="405"/>
      <c r="K2405" s="405"/>
      <c r="L2405" s="405"/>
      <c r="M2405" s="405"/>
      <c r="N2405" s="405"/>
      <c r="O2405" s="405"/>
      <c r="P2405" s="405"/>
      <c r="Q2405" s="405"/>
      <c r="R2405" s="405"/>
      <c r="S2405" s="405"/>
      <c r="T2405" s="405"/>
      <c r="U2405" s="405"/>
      <c r="V2405" s="405"/>
      <c r="W2405" s="405"/>
      <c r="X2405" s="405"/>
      <c r="Y2405" s="405"/>
      <c r="Z2405" s="405"/>
    </row>
    <row r="2406" ht="14.25" customHeight="1">
      <c r="A2406" s="1134"/>
      <c r="B2406" s="405"/>
      <c r="C2406" s="405"/>
      <c r="D2406" s="1135"/>
      <c r="E2406" s="583"/>
      <c r="F2406" s="583"/>
      <c r="G2406" s="583"/>
      <c r="H2406" s="405"/>
      <c r="I2406" s="405"/>
      <c r="J2406" s="405"/>
      <c r="K2406" s="405"/>
      <c r="L2406" s="405"/>
      <c r="M2406" s="405"/>
      <c r="N2406" s="405"/>
      <c r="O2406" s="405"/>
      <c r="P2406" s="405"/>
      <c r="Q2406" s="405"/>
      <c r="R2406" s="405"/>
      <c r="S2406" s="405"/>
      <c r="T2406" s="405"/>
      <c r="U2406" s="405"/>
      <c r="V2406" s="405"/>
      <c r="W2406" s="405"/>
      <c r="X2406" s="405"/>
      <c r="Y2406" s="405"/>
      <c r="Z2406" s="405"/>
    </row>
    <row r="2407" ht="14.25" customHeight="1">
      <c r="A2407" s="1134"/>
      <c r="B2407" s="405"/>
      <c r="C2407" s="405"/>
      <c r="D2407" s="1135"/>
      <c r="E2407" s="583"/>
      <c r="F2407" s="583"/>
      <c r="G2407" s="583"/>
      <c r="H2407" s="405"/>
      <c r="I2407" s="405"/>
      <c r="J2407" s="405"/>
      <c r="K2407" s="405"/>
      <c r="L2407" s="405"/>
      <c r="M2407" s="405"/>
      <c r="N2407" s="405"/>
      <c r="O2407" s="405"/>
      <c r="P2407" s="405"/>
      <c r="Q2407" s="405"/>
      <c r="R2407" s="405"/>
      <c r="S2407" s="405"/>
      <c r="T2407" s="405"/>
      <c r="U2407" s="405"/>
      <c r="V2407" s="405"/>
      <c r="W2407" s="405"/>
      <c r="X2407" s="405"/>
      <c r="Y2407" s="405"/>
      <c r="Z2407" s="405"/>
    </row>
    <row r="2408" ht="14.25" customHeight="1">
      <c r="A2408" s="1134"/>
      <c r="B2408" s="405"/>
      <c r="C2408" s="405"/>
      <c r="D2408" s="1135"/>
      <c r="E2408" s="583"/>
      <c r="F2408" s="583"/>
      <c r="G2408" s="583"/>
      <c r="H2408" s="405"/>
      <c r="I2408" s="405"/>
      <c r="J2408" s="405"/>
      <c r="K2408" s="405"/>
      <c r="L2408" s="405"/>
      <c r="M2408" s="405"/>
      <c r="N2408" s="405"/>
      <c r="O2408" s="405"/>
      <c r="P2408" s="405"/>
      <c r="Q2408" s="405"/>
      <c r="R2408" s="405"/>
      <c r="S2408" s="405"/>
      <c r="T2408" s="405"/>
      <c r="U2408" s="405"/>
      <c r="V2408" s="405"/>
      <c r="W2408" s="405"/>
      <c r="X2408" s="405"/>
      <c r="Y2408" s="405"/>
      <c r="Z2408" s="405"/>
    </row>
    <row r="2409" ht="14.25" customHeight="1">
      <c r="A2409" s="1134"/>
      <c r="B2409" s="405"/>
      <c r="C2409" s="405"/>
      <c r="D2409" s="1135"/>
      <c r="E2409" s="583"/>
      <c r="F2409" s="583"/>
      <c r="G2409" s="583"/>
      <c r="H2409" s="405"/>
      <c r="I2409" s="405"/>
      <c r="J2409" s="405"/>
      <c r="K2409" s="405"/>
      <c r="L2409" s="405"/>
      <c r="M2409" s="405"/>
      <c r="N2409" s="405"/>
      <c r="O2409" s="405"/>
      <c r="P2409" s="405"/>
      <c r="Q2409" s="405"/>
      <c r="R2409" s="405"/>
      <c r="S2409" s="405"/>
      <c r="T2409" s="405"/>
      <c r="U2409" s="405"/>
      <c r="V2409" s="405"/>
      <c r="W2409" s="405"/>
      <c r="X2409" s="405"/>
      <c r="Y2409" s="405"/>
      <c r="Z2409" s="405"/>
    </row>
    <row r="2410" ht="14.25" customHeight="1">
      <c r="A2410" s="1134"/>
      <c r="B2410" s="405"/>
      <c r="C2410" s="405"/>
      <c r="D2410" s="1135"/>
      <c r="E2410" s="583"/>
      <c r="F2410" s="583"/>
      <c r="G2410" s="583"/>
      <c r="H2410" s="405"/>
      <c r="I2410" s="405"/>
      <c r="J2410" s="405"/>
      <c r="K2410" s="405"/>
      <c r="L2410" s="405"/>
      <c r="M2410" s="405"/>
      <c r="N2410" s="405"/>
      <c r="O2410" s="405"/>
      <c r="P2410" s="405"/>
      <c r="Q2410" s="405"/>
      <c r="R2410" s="405"/>
      <c r="S2410" s="405"/>
      <c r="T2410" s="405"/>
      <c r="U2410" s="405"/>
      <c r="V2410" s="405"/>
      <c r="W2410" s="405"/>
      <c r="X2410" s="405"/>
      <c r="Y2410" s="405"/>
      <c r="Z2410" s="405"/>
    </row>
    <row r="2411" ht="14.25" customHeight="1">
      <c r="A2411" s="1134"/>
      <c r="B2411" s="405"/>
      <c r="C2411" s="405"/>
      <c r="D2411" s="1135"/>
      <c r="E2411" s="583"/>
      <c r="F2411" s="583"/>
      <c r="G2411" s="583"/>
      <c r="H2411" s="405"/>
      <c r="I2411" s="405"/>
      <c r="J2411" s="405"/>
      <c r="K2411" s="405"/>
      <c r="L2411" s="405"/>
      <c r="M2411" s="405"/>
      <c r="N2411" s="405"/>
      <c r="O2411" s="405"/>
      <c r="P2411" s="405"/>
      <c r="Q2411" s="405"/>
      <c r="R2411" s="405"/>
      <c r="S2411" s="405"/>
      <c r="T2411" s="405"/>
      <c r="U2411" s="405"/>
      <c r="V2411" s="405"/>
      <c r="W2411" s="405"/>
      <c r="X2411" s="405"/>
      <c r="Y2411" s="405"/>
      <c r="Z2411" s="405"/>
    </row>
    <row r="2412" ht="14.25" customHeight="1">
      <c r="A2412" s="1134"/>
      <c r="B2412" s="405"/>
      <c r="C2412" s="405"/>
      <c r="D2412" s="1135"/>
      <c r="E2412" s="583"/>
      <c r="F2412" s="583"/>
      <c r="G2412" s="583"/>
      <c r="H2412" s="405"/>
      <c r="I2412" s="405"/>
      <c r="J2412" s="405"/>
      <c r="K2412" s="405"/>
      <c r="L2412" s="405"/>
      <c r="M2412" s="405"/>
      <c r="N2412" s="405"/>
      <c r="O2412" s="405"/>
      <c r="P2412" s="405"/>
      <c r="Q2412" s="405"/>
      <c r="R2412" s="405"/>
      <c r="S2412" s="405"/>
      <c r="T2412" s="405"/>
      <c r="U2412" s="405"/>
      <c r="V2412" s="405"/>
      <c r="W2412" s="405"/>
      <c r="X2412" s="405"/>
      <c r="Y2412" s="405"/>
      <c r="Z2412" s="405"/>
    </row>
    <row r="2413" ht="14.25" customHeight="1">
      <c r="A2413" s="1134"/>
      <c r="B2413" s="405"/>
      <c r="C2413" s="405"/>
      <c r="D2413" s="1135"/>
      <c r="E2413" s="583"/>
      <c r="F2413" s="583"/>
      <c r="G2413" s="583"/>
      <c r="H2413" s="405"/>
      <c r="I2413" s="405"/>
      <c r="J2413" s="405"/>
      <c r="K2413" s="405"/>
      <c r="L2413" s="405"/>
      <c r="M2413" s="405"/>
      <c r="N2413" s="405"/>
      <c r="O2413" s="405"/>
      <c r="P2413" s="405"/>
      <c r="Q2413" s="405"/>
      <c r="R2413" s="405"/>
      <c r="S2413" s="405"/>
      <c r="T2413" s="405"/>
      <c r="U2413" s="405"/>
      <c r="V2413" s="405"/>
      <c r="W2413" s="405"/>
      <c r="X2413" s="405"/>
      <c r="Y2413" s="405"/>
      <c r="Z2413" s="405"/>
    </row>
    <row r="2414" ht="14.25" customHeight="1">
      <c r="A2414" s="1134"/>
      <c r="B2414" s="405"/>
      <c r="C2414" s="405"/>
      <c r="D2414" s="1135"/>
      <c r="E2414" s="583"/>
      <c r="F2414" s="583"/>
      <c r="G2414" s="583"/>
      <c r="H2414" s="405"/>
      <c r="I2414" s="405"/>
      <c r="J2414" s="405"/>
      <c r="K2414" s="405"/>
      <c r="L2414" s="405"/>
      <c r="M2414" s="405"/>
      <c r="N2414" s="405"/>
      <c r="O2414" s="405"/>
      <c r="P2414" s="405"/>
      <c r="Q2414" s="405"/>
      <c r="R2414" s="405"/>
      <c r="S2414" s="405"/>
      <c r="T2414" s="405"/>
      <c r="U2414" s="405"/>
      <c r="V2414" s="405"/>
      <c r="W2414" s="405"/>
      <c r="X2414" s="405"/>
      <c r="Y2414" s="405"/>
      <c r="Z2414" s="405"/>
    </row>
    <row r="2415" ht="14.25" customHeight="1">
      <c r="A2415" s="1134"/>
      <c r="B2415" s="405"/>
      <c r="C2415" s="405"/>
      <c r="D2415" s="1135"/>
      <c r="E2415" s="583"/>
      <c r="F2415" s="583"/>
      <c r="G2415" s="583"/>
      <c r="H2415" s="405"/>
      <c r="I2415" s="405"/>
      <c r="J2415" s="405"/>
      <c r="K2415" s="405"/>
      <c r="L2415" s="405"/>
      <c r="M2415" s="405"/>
      <c r="N2415" s="405"/>
      <c r="O2415" s="405"/>
      <c r="P2415" s="405"/>
      <c r="Q2415" s="405"/>
      <c r="R2415" s="405"/>
      <c r="S2415" s="405"/>
      <c r="T2415" s="405"/>
      <c r="U2415" s="405"/>
      <c r="V2415" s="405"/>
      <c r="W2415" s="405"/>
      <c r="X2415" s="405"/>
      <c r="Y2415" s="405"/>
      <c r="Z2415" s="405"/>
    </row>
    <row r="2416" ht="14.25" customHeight="1">
      <c r="A2416" s="1134"/>
      <c r="B2416" s="405"/>
      <c r="C2416" s="405"/>
      <c r="D2416" s="1135"/>
      <c r="E2416" s="583"/>
      <c r="F2416" s="583"/>
      <c r="G2416" s="583"/>
      <c r="H2416" s="405"/>
      <c r="I2416" s="405"/>
      <c r="J2416" s="405"/>
      <c r="K2416" s="405"/>
      <c r="L2416" s="405"/>
      <c r="M2416" s="405"/>
      <c r="N2416" s="405"/>
      <c r="O2416" s="405"/>
      <c r="P2416" s="405"/>
      <c r="Q2416" s="405"/>
      <c r="R2416" s="405"/>
      <c r="S2416" s="405"/>
      <c r="T2416" s="405"/>
      <c r="U2416" s="405"/>
      <c r="V2416" s="405"/>
      <c r="W2416" s="405"/>
      <c r="X2416" s="405"/>
      <c r="Y2416" s="405"/>
      <c r="Z2416" s="405"/>
    </row>
    <row r="2417" ht="14.25" customHeight="1">
      <c r="A2417" s="1134"/>
      <c r="B2417" s="405"/>
      <c r="C2417" s="405"/>
      <c r="D2417" s="1135"/>
      <c r="E2417" s="583"/>
      <c r="F2417" s="583"/>
      <c r="G2417" s="583"/>
      <c r="H2417" s="405"/>
      <c r="I2417" s="405"/>
      <c r="J2417" s="405"/>
      <c r="K2417" s="405"/>
      <c r="L2417" s="405"/>
      <c r="M2417" s="405"/>
      <c r="N2417" s="405"/>
      <c r="O2417" s="405"/>
      <c r="P2417" s="405"/>
      <c r="Q2417" s="405"/>
      <c r="R2417" s="405"/>
      <c r="S2417" s="405"/>
      <c r="T2417" s="405"/>
      <c r="U2417" s="405"/>
      <c r="V2417" s="405"/>
      <c r="W2417" s="405"/>
      <c r="X2417" s="405"/>
      <c r="Y2417" s="405"/>
      <c r="Z2417" s="405"/>
    </row>
    <row r="2418" ht="14.25" customHeight="1">
      <c r="A2418" s="1134"/>
      <c r="B2418" s="405"/>
      <c r="C2418" s="405"/>
      <c r="D2418" s="1135"/>
      <c r="E2418" s="583"/>
      <c r="F2418" s="583"/>
      <c r="G2418" s="583"/>
      <c r="H2418" s="405"/>
      <c r="I2418" s="405"/>
      <c r="J2418" s="405"/>
      <c r="K2418" s="405"/>
      <c r="L2418" s="405"/>
      <c r="M2418" s="405"/>
      <c r="N2418" s="405"/>
      <c r="O2418" s="405"/>
      <c r="P2418" s="405"/>
      <c r="Q2418" s="405"/>
      <c r="R2418" s="405"/>
      <c r="S2418" s="405"/>
      <c r="T2418" s="405"/>
      <c r="U2418" s="405"/>
      <c r="V2418" s="405"/>
      <c r="W2418" s="405"/>
      <c r="X2418" s="405"/>
      <c r="Y2418" s="405"/>
      <c r="Z2418" s="405"/>
    </row>
    <row r="2419" ht="14.25" customHeight="1">
      <c r="A2419" s="1134"/>
      <c r="B2419" s="405"/>
      <c r="C2419" s="405"/>
      <c r="D2419" s="1135"/>
      <c r="E2419" s="583"/>
      <c r="F2419" s="583"/>
      <c r="G2419" s="583"/>
      <c r="H2419" s="405"/>
      <c r="I2419" s="405"/>
      <c r="J2419" s="405"/>
      <c r="K2419" s="405"/>
      <c r="L2419" s="405"/>
      <c r="M2419" s="405"/>
      <c r="N2419" s="405"/>
      <c r="O2419" s="405"/>
      <c r="P2419" s="405"/>
      <c r="Q2419" s="405"/>
      <c r="R2419" s="405"/>
      <c r="S2419" s="405"/>
      <c r="T2419" s="405"/>
      <c r="U2419" s="405"/>
      <c r="V2419" s="405"/>
      <c r="W2419" s="405"/>
      <c r="X2419" s="405"/>
      <c r="Y2419" s="405"/>
      <c r="Z2419" s="405"/>
    </row>
    <row r="2420" ht="14.25" customHeight="1">
      <c r="A2420" s="1134"/>
      <c r="B2420" s="405"/>
      <c r="C2420" s="405"/>
      <c r="D2420" s="1135"/>
      <c r="E2420" s="583"/>
      <c r="F2420" s="583"/>
      <c r="G2420" s="583"/>
      <c r="H2420" s="405"/>
      <c r="I2420" s="405"/>
      <c r="J2420" s="405"/>
      <c r="K2420" s="405"/>
      <c r="L2420" s="405"/>
      <c r="M2420" s="405"/>
      <c r="N2420" s="405"/>
      <c r="O2420" s="405"/>
      <c r="P2420" s="405"/>
      <c r="Q2420" s="405"/>
      <c r="R2420" s="405"/>
      <c r="S2420" s="405"/>
      <c r="T2420" s="405"/>
      <c r="U2420" s="405"/>
      <c r="V2420" s="405"/>
      <c r="W2420" s="405"/>
      <c r="X2420" s="405"/>
      <c r="Y2420" s="405"/>
      <c r="Z2420" s="405"/>
    </row>
    <row r="2421" ht="14.25" customHeight="1">
      <c r="A2421" s="1134"/>
      <c r="B2421" s="405"/>
      <c r="C2421" s="405"/>
      <c r="D2421" s="1135"/>
      <c r="E2421" s="583"/>
      <c r="F2421" s="583"/>
      <c r="G2421" s="583"/>
      <c r="H2421" s="405"/>
      <c r="I2421" s="405"/>
      <c r="J2421" s="405"/>
      <c r="K2421" s="405"/>
      <c r="L2421" s="405"/>
      <c r="M2421" s="405"/>
      <c r="N2421" s="405"/>
      <c r="O2421" s="405"/>
      <c r="P2421" s="405"/>
      <c r="Q2421" s="405"/>
      <c r="R2421" s="405"/>
      <c r="S2421" s="405"/>
      <c r="T2421" s="405"/>
      <c r="U2421" s="405"/>
      <c r="V2421" s="405"/>
      <c r="W2421" s="405"/>
      <c r="X2421" s="405"/>
      <c r="Y2421" s="405"/>
      <c r="Z2421" s="405"/>
    </row>
    <row r="2422" ht="14.25" customHeight="1">
      <c r="A2422" s="1134"/>
      <c r="B2422" s="405"/>
      <c r="C2422" s="405"/>
      <c r="D2422" s="1135"/>
      <c r="E2422" s="583"/>
      <c r="F2422" s="583"/>
      <c r="G2422" s="583"/>
      <c r="H2422" s="405"/>
      <c r="I2422" s="405"/>
      <c r="J2422" s="405"/>
      <c r="K2422" s="405"/>
      <c r="L2422" s="405"/>
      <c r="M2422" s="405"/>
      <c r="N2422" s="405"/>
      <c r="O2422" s="405"/>
      <c r="P2422" s="405"/>
      <c r="Q2422" s="405"/>
      <c r="R2422" s="405"/>
      <c r="S2422" s="405"/>
      <c r="T2422" s="405"/>
      <c r="U2422" s="405"/>
      <c r="V2422" s="405"/>
      <c r="W2422" s="405"/>
      <c r="X2422" s="405"/>
      <c r="Y2422" s="405"/>
      <c r="Z2422" s="405"/>
    </row>
    <row r="2423" ht="14.25" customHeight="1">
      <c r="A2423" s="1134"/>
      <c r="B2423" s="405"/>
      <c r="C2423" s="405"/>
      <c r="D2423" s="1135"/>
      <c r="E2423" s="583"/>
      <c r="F2423" s="583"/>
      <c r="G2423" s="583"/>
      <c r="H2423" s="405"/>
      <c r="I2423" s="405"/>
      <c r="J2423" s="405"/>
      <c r="K2423" s="405"/>
      <c r="L2423" s="405"/>
      <c r="M2423" s="405"/>
      <c r="N2423" s="405"/>
      <c r="O2423" s="405"/>
      <c r="P2423" s="405"/>
      <c r="Q2423" s="405"/>
      <c r="R2423" s="405"/>
      <c r="S2423" s="405"/>
      <c r="T2423" s="405"/>
      <c r="U2423" s="405"/>
      <c r="V2423" s="405"/>
      <c r="W2423" s="405"/>
      <c r="X2423" s="405"/>
      <c r="Y2423" s="405"/>
      <c r="Z2423" s="405"/>
    </row>
    <row r="2424" ht="14.25" customHeight="1">
      <c r="A2424" s="1134"/>
      <c r="B2424" s="405"/>
      <c r="C2424" s="405"/>
      <c r="D2424" s="1135"/>
      <c r="E2424" s="583"/>
      <c r="F2424" s="583"/>
      <c r="G2424" s="583"/>
      <c r="H2424" s="405"/>
      <c r="I2424" s="405"/>
      <c r="J2424" s="405"/>
      <c r="K2424" s="405"/>
      <c r="L2424" s="405"/>
      <c r="M2424" s="405"/>
      <c r="N2424" s="405"/>
      <c r="O2424" s="405"/>
      <c r="P2424" s="405"/>
      <c r="Q2424" s="405"/>
      <c r="R2424" s="405"/>
      <c r="S2424" s="405"/>
      <c r="T2424" s="405"/>
      <c r="U2424" s="405"/>
      <c r="V2424" s="405"/>
      <c r="W2424" s="405"/>
      <c r="X2424" s="405"/>
      <c r="Y2424" s="405"/>
      <c r="Z2424" s="405"/>
    </row>
    <row r="2425" ht="14.25" customHeight="1">
      <c r="A2425" s="1134"/>
      <c r="B2425" s="405"/>
      <c r="C2425" s="405"/>
      <c r="D2425" s="1135"/>
      <c r="E2425" s="583"/>
      <c r="F2425" s="583"/>
      <c r="G2425" s="583"/>
      <c r="H2425" s="405"/>
      <c r="I2425" s="405"/>
      <c r="J2425" s="405"/>
      <c r="K2425" s="405"/>
      <c r="L2425" s="405"/>
      <c r="M2425" s="405"/>
      <c r="N2425" s="405"/>
      <c r="O2425" s="405"/>
      <c r="P2425" s="405"/>
      <c r="Q2425" s="405"/>
      <c r="R2425" s="405"/>
      <c r="S2425" s="405"/>
      <c r="T2425" s="405"/>
      <c r="U2425" s="405"/>
      <c r="V2425" s="405"/>
      <c r="W2425" s="405"/>
      <c r="X2425" s="405"/>
      <c r="Y2425" s="405"/>
      <c r="Z2425" s="405"/>
    </row>
    <row r="2426" ht="14.25" customHeight="1">
      <c r="A2426" s="1134"/>
      <c r="B2426" s="405"/>
      <c r="C2426" s="405"/>
      <c r="D2426" s="1135"/>
      <c r="E2426" s="583"/>
      <c r="F2426" s="583"/>
      <c r="G2426" s="583"/>
      <c r="H2426" s="405"/>
      <c r="I2426" s="405"/>
      <c r="J2426" s="405"/>
      <c r="K2426" s="405"/>
      <c r="L2426" s="405"/>
      <c r="M2426" s="405"/>
      <c r="N2426" s="405"/>
      <c r="O2426" s="405"/>
      <c r="P2426" s="405"/>
      <c r="Q2426" s="405"/>
      <c r="R2426" s="405"/>
      <c r="S2426" s="405"/>
      <c r="T2426" s="405"/>
      <c r="U2426" s="405"/>
      <c r="V2426" s="405"/>
      <c r="W2426" s="405"/>
      <c r="X2426" s="405"/>
      <c r="Y2426" s="405"/>
      <c r="Z2426" s="405"/>
    </row>
    <row r="2427" ht="14.25" customHeight="1">
      <c r="A2427" s="1134"/>
      <c r="B2427" s="405"/>
      <c r="C2427" s="405"/>
      <c r="D2427" s="1135"/>
      <c r="E2427" s="583"/>
      <c r="F2427" s="583"/>
      <c r="G2427" s="583"/>
      <c r="H2427" s="405"/>
      <c r="I2427" s="405"/>
      <c r="J2427" s="405"/>
      <c r="K2427" s="405"/>
      <c r="L2427" s="405"/>
      <c r="M2427" s="405"/>
      <c r="N2427" s="405"/>
      <c r="O2427" s="405"/>
      <c r="P2427" s="405"/>
      <c r="Q2427" s="405"/>
      <c r="R2427" s="405"/>
      <c r="S2427" s="405"/>
      <c r="T2427" s="405"/>
      <c r="U2427" s="405"/>
      <c r="V2427" s="405"/>
      <c r="W2427" s="405"/>
      <c r="X2427" s="405"/>
      <c r="Y2427" s="405"/>
      <c r="Z2427" s="405"/>
    </row>
    <row r="2428" ht="14.25" customHeight="1">
      <c r="A2428" s="1134"/>
      <c r="B2428" s="405"/>
      <c r="C2428" s="405"/>
      <c r="D2428" s="1135"/>
      <c r="E2428" s="583"/>
      <c r="F2428" s="583"/>
      <c r="G2428" s="583"/>
      <c r="H2428" s="405"/>
      <c r="I2428" s="405"/>
      <c r="J2428" s="405"/>
      <c r="K2428" s="405"/>
      <c r="L2428" s="405"/>
      <c r="M2428" s="405"/>
      <c r="N2428" s="405"/>
      <c r="O2428" s="405"/>
      <c r="P2428" s="405"/>
      <c r="Q2428" s="405"/>
      <c r="R2428" s="405"/>
      <c r="S2428" s="405"/>
      <c r="T2428" s="405"/>
      <c r="U2428" s="405"/>
      <c r="V2428" s="405"/>
      <c r="W2428" s="405"/>
      <c r="X2428" s="405"/>
      <c r="Y2428" s="405"/>
      <c r="Z2428" s="405"/>
    </row>
    <row r="2429" ht="14.25" customHeight="1">
      <c r="A2429" s="1134"/>
      <c r="B2429" s="405"/>
      <c r="C2429" s="405"/>
      <c r="D2429" s="1135"/>
      <c r="E2429" s="583"/>
      <c r="F2429" s="583"/>
      <c r="G2429" s="583"/>
      <c r="H2429" s="405"/>
      <c r="I2429" s="405"/>
      <c r="J2429" s="405"/>
      <c r="K2429" s="405"/>
      <c r="L2429" s="405"/>
      <c r="M2429" s="405"/>
      <c r="N2429" s="405"/>
      <c r="O2429" s="405"/>
      <c r="P2429" s="405"/>
      <c r="Q2429" s="405"/>
      <c r="R2429" s="405"/>
      <c r="S2429" s="405"/>
      <c r="T2429" s="405"/>
      <c r="U2429" s="405"/>
      <c r="V2429" s="405"/>
      <c r="W2429" s="405"/>
      <c r="X2429" s="405"/>
      <c r="Y2429" s="405"/>
      <c r="Z2429" s="405"/>
    </row>
    <row r="2430" ht="14.25" customHeight="1">
      <c r="A2430" s="1134"/>
      <c r="B2430" s="405"/>
      <c r="C2430" s="405"/>
      <c r="D2430" s="1135"/>
      <c r="E2430" s="583"/>
      <c r="F2430" s="583"/>
      <c r="G2430" s="583"/>
      <c r="H2430" s="405"/>
      <c r="I2430" s="405"/>
      <c r="J2430" s="405"/>
      <c r="K2430" s="405"/>
      <c r="L2430" s="405"/>
      <c r="M2430" s="405"/>
      <c r="N2430" s="405"/>
      <c r="O2430" s="405"/>
      <c r="P2430" s="405"/>
      <c r="Q2430" s="405"/>
      <c r="R2430" s="405"/>
      <c r="S2430" s="405"/>
      <c r="T2430" s="405"/>
      <c r="U2430" s="405"/>
      <c r="V2430" s="405"/>
      <c r="W2430" s="405"/>
      <c r="X2430" s="405"/>
      <c r="Y2430" s="405"/>
      <c r="Z2430" s="405"/>
    </row>
    <row r="2431" ht="14.25" customHeight="1">
      <c r="A2431" s="1134"/>
      <c r="B2431" s="405"/>
      <c r="C2431" s="405"/>
      <c r="D2431" s="1135"/>
      <c r="E2431" s="583"/>
      <c r="F2431" s="583"/>
      <c r="G2431" s="583"/>
      <c r="H2431" s="405"/>
      <c r="I2431" s="405"/>
      <c r="J2431" s="405"/>
      <c r="K2431" s="405"/>
      <c r="L2431" s="405"/>
      <c r="M2431" s="405"/>
      <c r="N2431" s="405"/>
      <c r="O2431" s="405"/>
      <c r="P2431" s="405"/>
      <c r="Q2431" s="405"/>
      <c r="R2431" s="405"/>
      <c r="S2431" s="405"/>
      <c r="T2431" s="405"/>
      <c r="U2431" s="405"/>
      <c r="V2431" s="405"/>
      <c r="W2431" s="405"/>
      <c r="X2431" s="405"/>
      <c r="Y2431" s="405"/>
      <c r="Z2431" s="405"/>
    </row>
    <row r="2432" ht="14.25" customHeight="1">
      <c r="A2432" s="1134"/>
      <c r="B2432" s="405"/>
      <c r="C2432" s="405"/>
      <c r="D2432" s="1135"/>
      <c r="E2432" s="583"/>
      <c r="F2432" s="583"/>
      <c r="G2432" s="583"/>
      <c r="H2432" s="405"/>
      <c r="I2432" s="405"/>
      <c r="J2432" s="405"/>
      <c r="K2432" s="405"/>
      <c r="L2432" s="405"/>
      <c r="M2432" s="405"/>
      <c r="N2432" s="405"/>
      <c r="O2432" s="405"/>
      <c r="P2432" s="405"/>
      <c r="Q2432" s="405"/>
      <c r="R2432" s="405"/>
      <c r="S2432" s="405"/>
      <c r="T2432" s="405"/>
      <c r="U2432" s="405"/>
      <c r="V2432" s="405"/>
      <c r="W2432" s="405"/>
      <c r="X2432" s="405"/>
      <c r="Y2432" s="405"/>
      <c r="Z2432" s="405"/>
    </row>
    <row r="2433" ht="14.25" customHeight="1">
      <c r="A2433" s="1134"/>
      <c r="B2433" s="405"/>
      <c r="C2433" s="405"/>
      <c r="D2433" s="1135"/>
      <c r="E2433" s="583"/>
      <c r="F2433" s="583"/>
      <c r="G2433" s="583"/>
      <c r="H2433" s="405"/>
      <c r="I2433" s="405"/>
      <c r="J2433" s="405"/>
      <c r="K2433" s="405"/>
      <c r="L2433" s="405"/>
      <c r="M2433" s="405"/>
      <c r="N2433" s="405"/>
      <c r="O2433" s="405"/>
      <c r="P2433" s="405"/>
      <c r="Q2433" s="405"/>
      <c r="R2433" s="405"/>
      <c r="S2433" s="405"/>
      <c r="T2433" s="405"/>
      <c r="U2433" s="405"/>
      <c r="V2433" s="405"/>
      <c r="W2433" s="405"/>
      <c r="X2433" s="405"/>
      <c r="Y2433" s="405"/>
      <c r="Z2433" s="405"/>
    </row>
    <row r="2434" ht="14.25" customHeight="1">
      <c r="A2434" s="1134"/>
      <c r="B2434" s="405"/>
      <c r="C2434" s="405"/>
      <c r="D2434" s="1135"/>
      <c r="E2434" s="583"/>
      <c r="F2434" s="583"/>
      <c r="G2434" s="583"/>
      <c r="H2434" s="405"/>
      <c r="I2434" s="405"/>
      <c r="J2434" s="405"/>
      <c r="K2434" s="405"/>
      <c r="L2434" s="405"/>
      <c r="M2434" s="405"/>
      <c r="N2434" s="405"/>
      <c r="O2434" s="405"/>
      <c r="P2434" s="405"/>
      <c r="Q2434" s="405"/>
      <c r="R2434" s="405"/>
      <c r="S2434" s="405"/>
      <c r="T2434" s="405"/>
      <c r="U2434" s="405"/>
      <c r="V2434" s="405"/>
      <c r="W2434" s="405"/>
      <c r="X2434" s="405"/>
      <c r="Y2434" s="405"/>
      <c r="Z2434" s="405"/>
    </row>
    <row r="2435" ht="14.25" customHeight="1">
      <c r="A2435" s="1134"/>
      <c r="B2435" s="405"/>
      <c r="C2435" s="405"/>
      <c r="D2435" s="1135"/>
      <c r="E2435" s="583"/>
      <c r="F2435" s="583"/>
      <c r="G2435" s="583"/>
      <c r="H2435" s="405"/>
      <c r="I2435" s="405"/>
      <c r="J2435" s="405"/>
      <c r="K2435" s="405"/>
      <c r="L2435" s="405"/>
      <c r="M2435" s="405"/>
      <c r="N2435" s="405"/>
      <c r="O2435" s="405"/>
      <c r="P2435" s="405"/>
      <c r="Q2435" s="405"/>
      <c r="R2435" s="405"/>
      <c r="S2435" s="405"/>
      <c r="T2435" s="405"/>
      <c r="U2435" s="405"/>
      <c r="V2435" s="405"/>
      <c r="W2435" s="405"/>
      <c r="X2435" s="405"/>
      <c r="Y2435" s="405"/>
      <c r="Z2435" s="405"/>
    </row>
    <row r="2436" ht="14.25" customHeight="1">
      <c r="A2436" s="1134"/>
      <c r="B2436" s="405"/>
      <c r="C2436" s="405"/>
      <c r="D2436" s="1135"/>
      <c r="E2436" s="583"/>
      <c r="F2436" s="583"/>
      <c r="G2436" s="583"/>
      <c r="H2436" s="405"/>
      <c r="I2436" s="405"/>
      <c r="J2436" s="405"/>
      <c r="K2436" s="405"/>
      <c r="L2436" s="405"/>
      <c r="M2436" s="405"/>
      <c r="N2436" s="405"/>
      <c r="O2436" s="405"/>
      <c r="P2436" s="405"/>
      <c r="Q2436" s="405"/>
      <c r="R2436" s="405"/>
      <c r="S2436" s="405"/>
      <c r="T2436" s="405"/>
      <c r="U2436" s="405"/>
      <c r="V2436" s="405"/>
      <c r="W2436" s="405"/>
      <c r="X2436" s="405"/>
      <c r="Y2436" s="405"/>
      <c r="Z2436" s="405"/>
    </row>
    <row r="2437" ht="14.25" customHeight="1">
      <c r="A2437" s="1134"/>
      <c r="B2437" s="405"/>
      <c r="C2437" s="405"/>
      <c r="D2437" s="1135"/>
      <c r="E2437" s="583"/>
      <c r="F2437" s="583"/>
      <c r="G2437" s="583"/>
      <c r="H2437" s="405"/>
      <c r="I2437" s="405"/>
      <c r="J2437" s="405"/>
      <c r="K2437" s="405"/>
      <c r="L2437" s="405"/>
      <c r="M2437" s="405"/>
      <c r="N2437" s="405"/>
      <c r="O2437" s="405"/>
      <c r="P2437" s="405"/>
      <c r="Q2437" s="405"/>
      <c r="R2437" s="405"/>
      <c r="S2437" s="405"/>
      <c r="T2437" s="405"/>
      <c r="U2437" s="405"/>
      <c r="V2437" s="405"/>
      <c r="W2437" s="405"/>
      <c r="X2437" s="405"/>
      <c r="Y2437" s="405"/>
      <c r="Z2437" s="405"/>
    </row>
    <row r="2438" ht="14.25" customHeight="1">
      <c r="A2438" s="1134"/>
      <c r="B2438" s="405"/>
      <c r="C2438" s="405"/>
      <c r="D2438" s="1135"/>
      <c r="E2438" s="583"/>
      <c r="F2438" s="583"/>
      <c r="G2438" s="583"/>
      <c r="H2438" s="405"/>
      <c r="I2438" s="405"/>
      <c r="J2438" s="405"/>
      <c r="K2438" s="405"/>
      <c r="L2438" s="405"/>
      <c r="M2438" s="405"/>
      <c r="N2438" s="405"/>
      <c r="O2438" s="405"/>
      <c r="P2438" s="405"/>
      <c r="Q2438" s="405"/>
      <c r="R2438" s="405"/>
      <c r="S2438" s="405"/>
      <c r="T2438" s="405"/>
      <c r="U2438" s="405"/>
      <c r="V2438" s="405"/>
      <c r="W2438" s="405"/>
      <c r="X2438" s="405"/>
      <c r="Y2438" s="405"/>
      <c r="Z2438" s="405"/>
    </row>
    <row r="2439" ht="14.25" customHeight="1">
      <c r="A2439" s="1134"/>
      <c r="B2439" s="405"/>
      <c r="C2439" s="405"/>
      <c r="D2439" s="1135"/>
      <c r="E2439" s="583"/>
      <c r="F2439" s="583"/>
      <c r="G2439" s="583"/>
      <c r="H2439" s="405"/>
      <c r="I2439" s="405"/>
      <c r="J2439" s="405"/>
      <c r="K2439" s="405"/>
      <c r="L2439" s="405"/>
      <c r="M2439" s="405"/>
      <c r="N2439" s="405"/>
      <c r="O2439" s="405"/>
      <c r="P2439" s="405"/>
      <c r="Q2439" s="405"/>
      <c r="R2439" s="405"/>
      <c r="S2439" s="405"/>
      <c r="T2439" s="405"/>
      <c r="U2439" s="405"/>
      <c r="V2439" s="405"/>
      <c r="W2439" s="405"/>
      <c r="X2439" s="405"/>
      <c r="Y2439" s="405"/>
      <c r="Z2439" s="405"/>
    </row>
    <row r="2440" ht="14.25" customHeight="1">
      <c r="A2440" s="1134"/>
      <c r="B2440" s="405"/>
      <c r="C2440" s="405"/>
      <c r="D2440" s="1135"/>
      <c r="E2440" s="583"/>
      <c r="F2440" s="583"/>
      <c r="G2440" s="583"/>
      <c r="H2440" s="405"/>
      <c r="I2440" s="405"/>
      <c r="J2440" s="405"/>
      <c r="K2440" s="405"/>
      <c r="L2440" s="405"/>
      <c r="M2440" s="405"/>
      <c r="N2440" s="405"/>
      <c r="O2440" s="405"/>
      <c r="P2440" s="405"/>
      <c r="Q2440" s="405"/>
      <c r="R2440" s="405"/>
      <c r="S2440" s="405"/>
      <c r="T2440" s="405"/>
      <c r="U2440" s="405"/>
      <c r="V2440" s="405"/>
      <c r="W2440" s="405"/>
      <c r="X2440" s="405"/>
      <c r="Y2440" s="405"/>
      <c r="Z2440" s="405"/>
    </row>
    <row r="2441" ht="14.25" customHeight="1">
      <c r="A2441" s="1134"/>
      <c r="B2441" s="405"/>
      <c r="C2441" s="405"/>
      <c r="D2441" s="1135"/>
      <c r="E2441" s="583"/>
      <c r="F2441" s="583"/>
      <c r="G2441" s="583"/>
      <c r="H2441" s="405"/>
      <c r="I2441" s="405"/>
      <c r="J2441" s="405"/>
      <c r="K2441" s="405"/>
      <c r="L2441" s="405"/>
      <c r="M2441" s="405"/>
      <c r="N2441" s="405"/>
      <c r="O2441" s="405"/>
      <c r="P2441" s="405"/>
      <c r="Q2441" s="405"/>
      <c r="R2441" s="405"/>
      <c r="S2441" s="405"/>
      <c r="T2441" s="405"/>
      <c r="U2441" s="405"/>
      <c r="V2441" s="405"/>
      <c r="W2441" s="405"/>
      <c r="X2441" s="405"/>
      <c r="Y2441" s="405"/>
      <c r="Z2441" s="405"/>
    </row>
    <row r="2442" ht="14.25" customHeight="1">
      <c r="A2442" s="1134"/>
      <c r="B2442" s="405"/>
      <c r="C2442" s="405"/>
      <c r="D2442" s="1135"/>
      <c r="E2442" s="583"/>
      <c r="F2442" s="583"/>
      <c r="G2442" s="583"/>
      <c r="H2442" s="405"/>
      <c r="I2442" s="405"/>
      <c r="J2442" s="405"/>
      <c r="K2442" s="405"/>
      <c r="L2442" s="405"/>
      <c r="M2442" s="405"/>
      <c r="N2442" s="405"/>
      <c r="O2442" s="405"/>
      <c r="P2442" s="405"/>
      <c r="Q2442" s="405"/>
      <c r="R2442" s="405"/>
      <c r="S2442" s="405"/>
      <c r="T2442" s="405"/>
      <c r="U2442" s="405"/>
      <c r="V2442" s="405"/>
      <c r="W2442" s="405"/>
      <c r="X2442" s="405"/>
      <c r="Y2442" s="405"/>
      <c r="Z2442" s="405"/>
    </row>
    <row r="2443" ht="14.25" customHeight="1">
      <c r="A2443" s="1134"/>
      <c r="B2443" s="405"/>
      <c r="C2443" s="405"/>
      <c r="D2443" s="1135"/>
      <c r="E2443" s="583"/>
      <c r="F2443" s="583"/>
      <c r="G2443" s="583"/>
      <c r="H2443" s="405"/>
      <c r="I2443" s="405"/>
      <c r="J2443" s="405"/>
      <c r="K2443" s="405"/>
      <c r="L2443" s="405"/>
      <c r="M2443" s="405"/>
      <c r="N2443" s="405"/>
      <c r="O2443" s="405"/>
      <c r="P2443" s="405"/>
      <c r="Q2443" s="405"/>
      <c r="R2443" s="405"/>
      <c r="S2443" s="405"/>
      <c r="T2443" s="405"/>
      <c r="U2443" s="405"/>
      <c r="V2443" s="405"/>
      <c r="W2443" s="405"/>
      <c r="X2443" s="405"/>
      <c r="Y2443" s="405"/>
      <c r="Z2443" s="405"/>
    </row>
    <row r="2444" ht="14.25" customHeight="1">
      <c r="A2444" s="1134"/>
      <c r="B2444" s="405"/>
      <c r="C2444" s="405"/>
      <c r="D2444" s="1135"/>
      <c r="E2444" s="583"/>
      <c r="F2444" s="583"/>
      <c r="G2444" s="583"/>
      <c r="H2444" s="405"/>
      <c r="I2444" s="405"/>
      <c r="J2444" s="405"/>
      <c r="K2444" s="405"/>
      <c r="L2444" s="405"/>
      <c r="M2444" s="405"/>
      <c r="N2444" s="405"/>
      <c r="O2444" s="405"/>
      <c r="P2444" s="405"/>
      <c r="Q2444" s="405"/>
      <c r="R2444" s="405"/>
      <c r="S2444" s="405"/>
      <c r="T2444" s="405"/>
      <c r="U2444" s="405"/>
      <c r="V2444" s="405"/>
      <c r="W2444" s="405"/>
      <c r="X2444" s="405"/>
      <c r="Y2444" s="405"/>
      <c r="Z2444" s="405"/>
    </row>
    <row r="2445" ht="14.25" customHeight="1">
      <c r="A2445" s="1134"/>
      <c r="B2445" s="405"/>
      <c r="C2445" s="405"/>
      <c r="D2445" s="1135"/>
      <c r="E2445" s="583"/>
      <c r="F2445" s="583"/>
      <c r="G2445" s="583"/>
      <c r="H2445" s="405"/>
      <c r="I2445" s="405"/>
      <c r="J2445" s="405"/>
      <c r="K2445" s="405"/>
      <c r="L2445" s="405"/>
      <c r="M2445" s="405"/>
      <c r="N2445" s="405"/>
      <c r="O2445" s="405"/>
      <c r="P2445" s="405"/>
      <c r="Q2445" s="405"/>
      <c r="R2445" s="405"/>
      <c r="S2445" s="405"/>
      <c r="T2445" s="405"/>
      <c r="U2445" s="405"/>
      <c r="V2445" s="405"/>
      <c r="W2445" s="405"/>
      <c r="X2445" s="405"/>
      <c r="Y2445" s="405"/>
      <c r="Z2445" s="405"/>
    </row>
    <row r="2446" ht="14.25" customHeight="1">
      <c r="A2446" s="1134"/>
      <c r="B2446" s="405"/>
      <c r="C2446" s="405"/>
      <c r="D2446" s="1135"/>
      <c r="E2446" s="583"/>
      <c r="F2446" s="583"/>
      <c r="G2446" s="583"/>
      <c r="H2446" s="405"/>
      <c r="I2446" s="405"/>
      <c r="J2446" s="405"/>
      <c r="K2446" s="405"/>
      <c r="L2446" s="405"/>
      <c r="M2446" s="405"/>
      <c r="N2446" s="405"/>
      <c r="O2446" s="405"/>
      <c r="P2446" s="405"/>
      <c r="Q2446" s="405"/>
      <c r="R2446" s="405"/>
      <c r="S2446" s="405"/>
      <c r="T2446" s="405"/>
      <c r="U2446" s="405"/>
      <c r="V2446" s="405"/>
      <c r="W2446" s="405"/>
      <c r="X2446" s="405"/>
      <c r="Y2446" s="405"/>
      <c r="Z2446" s="405"/>
    </row>
    <row r="2447" ht="14.25" customHeight="1">
      <c r="A2447" s="1134"/>
      <c r="B2447" s="405"/>
      <c r="C2447" s="405"/>
      <c r="D2447" s="1135"/>
      <c r="E2447" s="583"/>
      <c r="F2447" s="583"/>
      <c r="G2447" s="583"/>
      <c r="H2447" s="405"/>
      <c r="I2447" s="405"/>
      <c r="J2447" s="405"/>
      <c r="K2447" s="405"/>
      <c r="L2447" s="405"/>
      <c r="M2447" s="405"/>
      <c r="N2447" s="405"/>
      <c r="O2447" s="405"/>
      <c r="P2447" s="405"/>
      <c r="Q2447" s="405"/>
      <c r="R2447" s="405"/>
      <c r="S2447" s="405"/>
      <c r="T2447" s="405"/>
      <c r="U2447" s="405"/>
      <c r="V2447" s="405"/>
      <c r="W2447" s="405"/>
      <c r="X2447" s="405"/>
      <c r="Y2447" s="405"/>
      <c r="Z2447" s="405"/>
    </row>
    <row r="2448" ht="14.25" customHeight="1">
      <c r="A2448" s="1134"/>
      <c r="B2448" s="405"/>
      <c r="C2448" s="405"/>
      <c r="D2448" s="1135"/>
      <c r="E2448" s="583"/>
      <c r="F2448" s="583"/>
      <c r="G2448" s="583"/>
      <c r="H2448" s="405"/>
      <c r="I2448" s="405"/>
      <c r="J2448" s="405"/>
      <c r="K2448" s="405"/>
      <c r="L2448" s="405"/>
      <c r="M2448" s="405"/>
      <c r="N2448" s="405"/>
      <c r="O2448" s="405"/>
      <c r="P2448" s="405"/>
      <c r="Q2448" s="405"/>
      <c r="R2448" s="405"/>
      <c r="S2448" s="405"/>
      <c r="T2448" s="405"/>
      <c r="U2448" s="405"/>
      <c r="V2448" s="405"/>
      <c r="W2448" s="405"/>
      <c r="X2448" s="405"/>
      <c r="Y2448" s="405"/>
      <c r="Z2448" s="405"/>
    </row>
    <row r="2449" ht="14.25" customHeight="1">
      <c r="A2449" s="1134"/>
      <c r="B2449" s="405"/>
      <c r="C2449" s="405"/>
      <c r="D2449" s="1135"/>
      <c r="E2449" s="583"/>
      <c r="F2449" s="583"/>
      <c r="G2449" s="583"/>
      <c r="H2449" s="405"/>
      <c r="I2449" s="405"/>
      <c r="J2449" s="405"/>
      <c r="K2449" s="405"/>
      <c r="L2449" s="405"/>
      <c r="M2449" s="405"/>
      <c r="N2449" s="405"/>
      <c r="O2449" s="405"/>
      <c r="P2449" s="405"/>
      <c r="Q2449" s="405"/>
      <c r="R2449" s="405"/>
      <c r="S2449" s="405"/>
      <c r="T2449" s="405"/>
      <c r="U2449" s="405"/>
      <c r="V2449" s="405"/>
      <c r="W2449" s="405"/>
      <c r="X2449" s="405"/>
      <c r="Y2449" s="405"/>
      <c r="Z2449" s="405"/>
    </row>
    <row r="2450" ht="14.25" customHeight="1">
      <c r="A2450" s="1134"/>
      <c r="B2450" s="405"/>
      <c r="C2450" s="405"/>
      <c r="D2450" s="1135"/>
      <c r="E2450" s="583"/>
      <c r="F2450" s="583"/>
      <c r="G2450" s="583"/>
      <c r="H2450" s="405"/>
      <c r="I2450" s="405"/>
      <c r="J2450" s="405"/>
      <c r="K2450" s="405"/>
      <c r="L2450" s="405"/>
      <c r="M2450" s="405"/>
      <c r="N2450" s="405"/>
      <c r="O2450" s="405"/>
      <c r="P2450" s="405"/>
      <c r="Q2450" s="405"/>
      <c r="R2450" s="405"/>
      <c r="S2450" s="405"/>
      <c r="T2450" s="405"/>
      <c r="U2450" s="405"/>
      <c r="V2450" s="405"/>
      <c r="W2450" s="405"/>
      <c r="X2450" s="405"/>
      <c r="Y2450" s="405"/>
      <c r="Z2450" s="405"/>
    </row>
    <row r="2451" ht="14.25" customHeight="1">
      <c r="A2451" s="1134"/>
      <c r="B2451" s="405"/>
      <c r="C2451" s="405"/>
      <c r="D2451" s="1135"/>
      <c r="E2451" s="583"/>
      <c r="F2451" s="583"/>
      <c r="G2451" s="583"/>
      <c r="H2451" s="405"/>
      <c r="I2451" s="405"/>
      <c r="J2451" s="405"/>
      <c r="K2451" s="405"/>
      <c r="L2451" s="405"/>
      <c r="M2451" s="405"/>
      <c r="N2451" s="405"/>
      <c r="O2451" s="405"/>
      <c r="P2451" s="405"/>
      <c r="Q2451" s="405"/>
      <c r="R2451" s="405"/>
      <c r="S2451" s="405"/>
      <c r="T2451" s="405"/>
      <c r="U2451" s="405"/>
      <c r="V2451" s="405"/>
      <c r="W2451" s="405"/>
      <c r="X2451" s="405"/>
      <c r="Y2451" s="405"/>
      <c r="Z2451" s="405"/>
    </row>
    <row r="2452" ht="14.25" customHeight="1">
      <c r="A2452" s="1134"/>
      <c r="B2452" s="405"/>
      <c r="C2452" s="405"/>
      <c r="D2452" s="1135"/>
      <c r="E2452" s="583"/>
      <c r="F2452" s="583"/>
      <c r="G2452" s="583"/>
      <c r="H2452" s="405"/>
      <c r="I2452" s="405"/>
      <c r="J2452" s="405"/>
      <c r="K2452" s="405"/>
      <c r="L2452" s="405"/>
      <c r="M2452" s="405"/>
      <c r="N2452" s="405"/>
      <c r="O2452" s="405"/>
      <c r="P2452" s="405"/>
      <c r="Q2452" s="405"/>
      <c r="R2452" s="405"/>
      <c r="S2452" s="405"/>
      <c r="T2452" s="405"/>
      <c r="U2452" s="405"/>
      <c r="V2452" s="405"/>
      <c r="W2452" s="405"/>
      <c r="X2452" s="405"/>
      <c r="Y2452" s="405"/>
      <c r="Z2452" s="405"/>
    </row>
    <row r="2453" ht="14.25" customHeight="1">
      <c r="A2453" s="1134"/>
      <c r="B2453" s="405"/>
      <c r="C2453" s="405"/>
      <c r="D2453" s="1135"/>
      <c r="E2453" s="583"/>
      <c r="F2453" s="583"/>
      <c r="G2453" s="583"/>
      <c r="H2453" s="405"/>
      <c r="I2453" s="405"/>
      <c r="J2453" s="405"/>
      <c r="K2453" s="405"/>
      <c r="L2453" s="405"/>
      <c r="M2453" s="405"/>
      <c r="N2453" s="405"/>
      <c r="O2453" s="405"/>
      <c r="P2453" s="405"/>
      <c r="Q2453" s="405"/>
      <c r="R2453" s="405"/>
      <c r="S2453" s="405"/>
      <c r="T2453" s="405"/>
      <c r="U2453" s="405"/>
      <c r="V2453" s="405"/>
      <c r="W2453" s="405"/>
      <c r="X2453" s="405"/>
      <c r="Y2453" s="405"/>
      <c r="Z2453" s="405"/>
    </row>
    <row r="2454" ht="14.25" customHeight="1">
      <c r="A2454" s="1134"/>
      <c r="B2454" s="405"/>
      <c r="C2454" s="405"/>
      <c r="D2454" s="1135"/>
      <c r="E2454" s="583"/>
      <c r="F2454" s="583"/>
      <c r="G2454" s="583"/>
      <c r="H2454" s="405"/>
      <c r="I2454" s="405"/>
      <c r="J2454" s="405"/>
      <c r="K2454" s="405"/>
      <c r="L2454" s="405"/>
      <c r="M2454" s="405"/>
      <c r="N2454" s="405"/>
      <c r="O2454" s="405"/>
      <c r="P2454" s="405"/>
      <c r="Q2454" s="405"/>
      <c r="R2454" s="405"/>
      <c r="S2454" s="405"/>
      <c r="T2454" s="405"/>
      <c r="U2454" s="405"/>
      <c r="V2454" s="405"/>
      <c r="W2454" s="405"/>
      <c r="X2454" s="405"/>
      <c r="Y2454" s="405"/>
      <c r="Z2454" s="405"/>
    </row>
    <row r="2455" ht="14.25" customHeight="1">
      <c r="A2455" s="1134"/>
      <c r="B2455" s="405"/>
      <c r="C2455" s="405"/>
      <c r="D2455" s="1135"/>
      <c r="E2455" s="583"/>
      <c r="F2455" s="583"/>
      <c r="G2455" s="583"/>
      <c r="H2455" s="405"/>
      <c r="I2455" s="405"/>
      <c r="J2455" s="405"/>
      <c r="K2455" s="405"/>
      <c r="L2455" s="405"/>
      <c r="M2455" s="405"/>
      <c r="N2455" s="405"/>
      <c r="O2455" s="405"/>
      <c r="P2455" s="405"/>
      <c r="Q2455" s="405"/>
      <c r="R2455" s="405"/>
      <c r="S2455" s="405"/>
      <c r="T2455" s="405"/>
      <c r="U2455" s="405"/>
      <c r="V2455" s="405"/>
      <c r="W2455" s="405"/>
      <c r="X2455" s="405"/>
      <c r="Y2455" s="405"/>
      <c r="Z2455" s="405"/>
    </row>
    <row r="2456" ht="14.25" customHeight="1">
      <c r="A2456" s="1134"/>
      <c r="B2456" s="405"/>
      <c r="C2456" s="405"/>
      <c r="D2456" s="1135"/>
      <c r="E2456" s="583"/>
      <c r="F2456" s="583"/>
      <c r="G2456" s="583"/>
      <c r="H2456" s="405"/>
      <c r="I2456" s="405"/>
      <c r="J2456" s="405"/>
      <c r="K2456" s="405"/>
      <c r="L2456" s="405"/>
      <c r="M2456" s="405"/>
      <c r="N2456" s="405"/>
      <c r="O2456" s="405"/>
      <c r="P2456" s="405"/>
      <c r="Q2456" s="405"/>
      <c r="R2456" s="405"/>
      <c r="S2456" s="405"/>
      <c r="T2456" s="405"/>
      <c r="U2456" s="405"/>
      <c r="V2456" s="405"/>
      <c r="W2456" s="405"/>
      <c r="X2456" s="405"/>
      <c r="Y2456" s="405"/>
      <c r="Z2456" s="405"/>
    </row>
    <row r="2457" ht="14.25" customHeight="1">
      <c r="A2457" s="1134"/>
      <c r="B2457" s="405"/>
      <c r="C2457" s="405"/>
      <c r="D2457" s="1135"/>
      <c r="E2457" s="583"/>
      <c r="F2457" s="583"/>
      <c r="G2457" s="583"/>
      <c r="H2457" s="405"/>
      <c r="I2457" s="405"/>
      <c r="J2457" s="405"/>
      <c r="K2457" s="405"/>
      <c r="L2457" s="405"/>
      <c r="M2457" s="405"/>
      <c r="N2457" s="405"/>
      <c r="O2457" s="405"/>
      <c r="P2457" s="405"/>
      <c r="Q2457" s="405"/>
      <c r="R2457" s="405"/>
      <c r="S2457" s="405"/>
      <c r="T2457" s="405"/>
      <c r="U2457" s="405"/>
      <c r="V2457" s="405"/>
      <c r="W2457" s="405"/>
      <c r="X2457" s="405"/>
      <c r="Y2457" s="405"/>
      <c r="Z2457" s="405"/>
    </row>
    <row r="2458" ht="14.25" customHeight="1">
      <c r="A2458" s="1134"/>
      <c r="B2458" s="405"/>
      <c r="C2458" s="405"/>
      <c r="D2458" s="1135"/>
      <c r="E2458" s="583"/>
      <c r="F2458" s="583"/>
      <c r="G2458" s="583"/>
      <c r="H2458" s="405"/>
      <c r="I2458" s="405"/>
      <c r="J2458" s="405"/>
      <c r="K2458" s="405"/>
      <c r="L2458" s="405"/>
      <c r="M2458" s="405"/>
      <c r="N2458" s="405"/>
      <c r="O2458" s="405"/>
      <c r="P2458" s="405"/>
      <c r="Q2458" s="405"/>
      <c r="R2458" s="405"/>
      <c r="S2458" s="405"/>
      <c r="T2458" s="405"/>
      <c r="U2458" s="405"/>
      <c r="V2458" s="405"/>
      <c r="W2458" s="405"/>
      <c r="X2458" s="405"/>
      <c r="Y2458" s="405"/>
      <c r="Z2458" s="405"/>
    </row>
    <row r="2459" ht="14.25" customHeight="1">
      <c r="A2459" s="1134"/>
      <c r="B2459" s="405"/>
      <c r="C2459" s="405"/>
      <c r="D2459" s="1135"/>
      <c r="E2459" s="583"/>
      <c r="F2459" s="583"/>
      <c r="G2459" s="583"/>
      <c r="H2459" s="405"/>
      <c r="I2459" s="405"/>
      <c r="J2459" s="405"/>
      <c r="K2459" s="405"/>
      <c r="L2459" s="405"/>
      <c r="M2459" s="405"/>
      <c r="N2459" s="405"/>
      <c r="O2459" s="405"/>
      <c r="P2459" s="405"/>
      <c r="Q2459" s="405"/>
      <c r="R2459" s="405"/>
      <c r="S2459" s="405"/>
      <c r="T2459" s="405"/>
      <c r="U2459" s="405"/>
      <c r="V2459" s="405"/>
      <c r="W2459" s="405"/>
      <c r="X2459" s="405"/>
      <c r="Y2459" s="405"/>
      <c r="Z2459" s="405"/>
    </row>
    <row r="2460" ht="14.25" customHeight="1">
      <c r="A2460" s="1134"/>
      <c r="B2460" s="405"/>
      <c r="C2460" s="405"/>
      <c r="D2460" s="1135"/>
      <c r="E2460" s="583"/>
      <c r="F2460" s="583"/>
      <c r="G2460" s="583"/>
      <c r="H2460" s="405"/>
      <c r="I2460" s="405"/>
      <c r="J2460" s="405"/>
      <c r="K2460" s="405"/>
      <c r="L2460" s="405"/>
      <c r="M2460" s="405"/>
      <c r="N2460" s="405"/>
      <c r="O2460" s="405"/>
      <c r="P2460" s="405"/>
      <c r="Q2460" s="405"/>
      <c r="R2460" s="405"/>
      <c r="S2460" s="405"/>
      <c r="T2460" s="405"/>
      <c r="U2460" s="405"/>
      <c r="V2460" s="405"/>
      <c r="W2460" s="405"/>
      <c r="X2460" s="405"/>
      <c r="Y2460" s="405"/>
      <c r="Z2460" s="405"/>
    </row>
    <row r="2461" ht="14.25" customHeight="1">
      <c r="A2461" s="1134"/>
      <c r="B2461" s="405"/>
      <c r="C2461" s="405"/>
      <c r="D2461" s="1135"/>
      <c r="E2461" s="583"/>
      <c r="F2461" s="583"/>
      <c r="G2461" s="583"/>
      <c r="H2461" s="405"/>
      <c r="I2461" s="405"/>
      <c r="J2461" s="405"/>
      <c r="K2461" s="405"/>
      <c r="L2461" s="405"/>
      <c r="M2461" s="405"/>
      <c r="N2461" s="405"/>
      <c r="O2461" s="405"/>
      <c r="P2461" s="405"/>
      <c r="Q2461" s="405"/>
      <c r="R2461" s="405"/>
      <c r="S2461" s="405"/>
      <c r="T2461" s="405"/>
      <c r="U2461" s="405"/>
      <c r="V2461" s="405"/>
      <c r="W2461" s="405"/>
      <c r="X2461" s="405"/>
      <c r="Y2461" s="405"/>
      <c r="Z2461" s="405"/>
    </row>
    <row r="2462" ht="14.25" customHeight="1">
      <c r="A2462" s="1134"/>
      <c r="B2462" s="405"/>
      <c r="C2462" s="405"/>
      <c r="D2462" s="1135"/>
      <c r="E2462" s="583"/>
      <c r="F2462" s="583"/>
      <c r="G2462" s="583"/>
      <c r="H2462" s="405"/>
      <c r="I2462" s="405"/>
      <c r="J2462" s="405"/>
      <c r="K2462" s="405"/>
      <c r="L2462" s="405"/>
      <c r="M2462" s="405"/>
      <c r="N2462" s="405"/>
      <c r="O2462" s="405"/>
      <c r="P2462" s="405"/>
      <c r="Q2462" s="405"/>
      <c r="R2462" s="405"/>
      <c r="S2462" s="405"/>
      <c r="T2462" s="405"/>
      <c r="U2462" s="405"/>
      <c r="V2462" s="405"/>
      <c r="W2462" s="405"/>
      <c r="X2462" s="405"/>
      <c r="Y2462" s="405"/>
      <c r="Z2462" s="405"/>
    </row>
    <row r="2463" ht="14.25" customHeight="1">
      <c r="A2463" s="1134"/>
      <c r="B2463" s="405"/>
      <c r="C2463" s="405"/>
      <c r="D2463" s="1135"/>
      <c r="E2463" s="583"/>
      <c r="F2463" s="583"/>
      <c r="G2463" s="583"/>
      <c r="H2463" s="405"/>
      <c r="I2463" s="405"/>
      <c r="J2463" s="405"/>
      <c r="K2463" s="405"/>
      <c r="L2463" s="405"/>
      <c r="M2463" s="405"/>
      <c r="N2463" s="405"/>
      <c r="O2463" s="405"/>
      <c r="P2463" s="405"/>
      <c r="Q2463" s="405"/>
      <c r="R2463" s="405"/>
      <c r="S2463" s="405"/>
      <c r="T2463" s="405"/>
      <c r="U2463" s="405"/>
      <c r="V2463" s="405"/>
      <c r="W2463" s="405"/>
      <c r="X2463" s="405"/>
      <c r="Y2463" s="405"/>
      <c r="Z2463" s="405"/>
    </row>
    <row r="2464" ht="14.25" customHeight="1">
      <c r="A2464" s="1134"/>
      <c r="B2464" s="405"/>
      <c r="C2464" s="405"/>
      <c r="D2464" s="1135"/>
      <c r="E2464" s="583"/>
      <c r="F2464" s="583"/>
      <c r="G2464" s="583"/>
      <c r="H2464" s="405"/>
      <c r="I2464" s="405"/>
      <c r="J2464" s="405"/>
      <c r="K2464" s="405"/>
      <c r="L2464" s="405"/>
      <c r="M2464" s="405"/>
      <c r="N2464" s="405"/>
      <c r="O2464" s="405"/>
      <c r="P2464" s="405"/>
      <c r="Q2464" s="405"/>
      <c r="R2464" s="405"/>
      <c r="S2464" s="405"/>
      <c r="T2464" s="405"/>
      <c r="U2464" s="405"/>
      <c r="V2464" s="405"/>
      <c r="W2464" s="405"/>
      <c r="X2464" s="405"/>
      <c r="Y2464" s="405"/>
      <c r="Z2464" s="405"/>
    </row>
    <row r="2465" ht="14.25" customHeight="1">
      <c r="A2465" s="1134"/>
      <c r="B2465" s="405"/>
      <c r="C2465" s="405"/>
      <c r="D2465" s="1135"/>
      <c r="E2465" s="583"/>
      <c r="F2465" s="583"/>
      <c r="G2465" s="583"/>
      <c r="H2465" s="405"/>
      <c r="I2465" s="405"/>
      <c r="J2465" s="405"/>
      <c r="K2465" s="405"/>
      <c r="L2465" s="405"/>
      <c r="M2465" s="405"/>
      <c r="N2465" s="405"/>
      <c r="O2465" s="405"/>
      <c r="P2465" s="405"/>
      <c r="Q2465" s="405"/>
      <c r="R2465" s="405"/>
      <c r="S2465" s="405"/>
      <c r="T2465" s="405"/>
      <c r="U2465" s="405"/>
      <c r="V2465" s="405"/>
      <c r="W2465" s="405"/>
      <c r="X2465" s="405"/>
      <c r="Y2465" s="405"/>
      <c r="Z2465" s="405"/>
    </row>
    <row r="2466" ht="14.25" customHeight="1">
      <c r="A2466" s="1134"/>
      <c r="B2466" s="405"/>
      <c r="C2466" s="405"/>
      <c r="D2466" s="1135"/>
      <c r="E2466" s="583"/>
      <c r="F2466" s="583"/>
      <c r="G2466" s="583"/>
      <c r="H2466" s="405"/>
      <c r="I2466" s="405"/>
      <c r="J2466" s="405"/>
      <c r="K2466" s="405"/>
      <c r="L2466" s="405"/>
      <c r="M2466" s="405"/>
      <c r="N2466" s="405"/>
      <c r="O2466" s="405"/>
      <c r="P2466" s="405"/>
      <c r="Q2466" s="405"/>
      <c r="R2466" s="405"/>
      <c r="S2466" s="405"/>
      <c r="T2466" s="405"/>
      <c r="U2466" s="405"/>
      <c r="V2466" s="405"/>
      <c r="W2466" s="405"/>
      <c r="X2466" s="405"/>
      <c r="Y2466" s="405"/>
      <c r="Z2466" s="405"/>
    </row>
    <row r="2467" ht="14.25" customHeight="1">
      <c r="A2467" s="1134"/>
      <c r="B2467" s="405"/>
      <c r="C2467" s="405"/>
      <c r="D2467" s="1135"/>
      <c r="E2467" s="583"/>
      <c r="F2467" s="583"/>
      <c r="G2467" s="583"/>
      <c r="H2467" s="405"/>
      <c r="I2467" s="405"/>
      <c r="J2467" s="405"/>
      <c r="K2467" s="405"/>
      <c r="L2467" s="405"/>
      <c r="M2467" s="405"/>
      <c r="N2467" s="405"/>
      <c r="O2467" s="405"/>
      <c r="P2467" s="405"/>
      <c r="Q2467" s="405"/>
      <c r="R2467" s="405"/>
      <c r="S2467" s="405"/>
      <c r="T2467" s="405"/>
      <c r="U2467" s="405"/>
      <c r="V2467" s="405"/>
      <c r="W2467" s="405"/>
      <c r="X2467" s="405"/>
      <c r="Y2467" s="405"/>
      <c r="Z2467" s="405"/>
    </row>
    <row r="2468" ht="14.25" customHeight="1">
      <c r="A2468" s="1134"/>
      <c r="B2468" s="405"/>
      <c r="C2468" s="405"/>
      <c r="D2468" s="1135"/>
      <c r="E2468" s="583"/>
      <c r="F2468" s="583"/>
      <c r="G2468" s="583"/>
      <c r="H2468" s="405"/>
      <c r="I2468" s="405"/>
      <c r="J2468" s="405"/>
      <c r="K2468" s="405"/>
      <c r="L2468" s="405"/>
      <c r="M2468" s="405"/>
      <c r="N2468" s="405"/>
      <c r="O2468" s="405"/>
      <c r="P2468" s="405"/>
      <c r="Q2468" s="405"/>
      <c r="R2468" s="405"/>
      <c r="S2468" s="405"/>
      <c r="T2468" s="405"/>
      <c r="U2468" s="405"/>
      <c r="V2468" s="405"/>
      <c r="W2468" s="405"/>
      <c r="X2468" s="405"/>
      <c r="Y2468" s="405"/>
      <c r="Z2468" s="405"/>
    </row>
    <row r="2469" ht="14.25" customHeight="1">
      <c r="A2469" s="1134"/>
      <c r="B2469" s="405"/>
      <c r="C2469" s="405"/>
      <c r="D2469" s="1135"/>
      <c r="E2469" s="583"/>
      <c r="F2469" s="583"/>
      <c r="G2469" s="583"/>
      <c r="H2469" s="405"/>
      <c r="I2469" s="405"/>
      <c r="J2469" s="405"/>
      <c r="K2469" s="405"/>
      <c r="L2469" s="405"/>
      <c r="M2469" s="405"/>
      <c r="N2469" s="405"/>
      <c r="O2469" s="405"/>
      <c r="P2469" s="405"/>
      <c r="Q2469" s="405"/>
      <c r="R2469" s="405"/>
      <c r="S2469" s="405"/>
      <c r="T2469" s="405"/>
      <c r="U2469" s="405"/>
      <c r="V2469" s="405"/>
      <c r="W2469" s="405"/>
      <c r="X2469" s="405"/>
      <c r="Y2469" s="405"/>
      <c r="Z2469" s="405"/>
    </row>
    <row r="2470" ht="14.25" customHeight="1">
      <c r="A2470" s="1134"/>
      <c r="B2470" s="405"/>
      <c r="C2470" s="405"/>
      <c r="D2470" s="1135"/>
      <c r="E2470" s="583"/>
      <c r="F2470" s="583"/>
      <c r="G2470" s="583"/>
      <c r="H2470" s="405"/>
      <c r="I2470" s="405"/>
      <c r="J2470" s="405"/>
      <c r="K2470" s="405"/>
      <c r="L2470" s="405"/>
      <c r="M2470" s="405"/>
      <c r="N2470" s="405"/>
      <c r="O2470" s="405"/>
      <c r="P2470" s="405"/>
      <c r="Q2470" s="405"/>
      <c r="R2470" s="405"/>
      <c r="S2470" s="405"/>
      <c r="T2470" s="405"/>
      <c r="U2470" s="405"/>
      <c r="V2470" s="405"/>
      <c r="W2470" s="405"/>
      <c r="X2470" s="405"/>
      <c r="Y2470" s="405"/>
      <c r="Z2470" s="405"/>
    </row>
    <row r="2471" ht="14.25" customHeight="1">
      <c r="A2471" s="1134"/>
      <c r="B2471" s="405"/>
      <c r="C2471" s="405"/>
      <c r="D2471" s="1135"/>
      <c r="E2471" s="583"/>
      <c r="F2471" s="583"/>
      <c r="G2471" s="583"/>
      <c r="H2471" s="405"/>
      <c r="I2471" s="405"/>
      <c r="J2471" s="405"/>
      <c r="K2471" s="405"/>
      <c r="L2471" s="405"/>
      <c r="M2471" s="405"/>
      <c r="N2471" s="405"/>
      <c r="O2471" s="405"/>
      <c r="P2471" s="405"/>
      <c r="Q2471" s="405"/>
      <c r="R2471" s="405"/>
      <c r="S2471" s="405"/>
      <c r="T2471" s="405"/>
      <c r="U2471" s="405"/>
      <c r="V2471" s="405"/>
      <c r="W2471" s="405"/>
      <c r="X2471" s="405"/>
      <c r="Y2471" s="405"/>
      <c r="Z2471" s="405"/>
    </row>
    <row r="2472" ht="14.25" customHeight="1">
      <c r="A2472" s="1134"/>
      <c r="B2472" s="405"/>
      <c r="C2472" s="405"/>
      <c r="D2472" s="1135"/>
      <c r="E2472" s="583"/>
      <c r="F2472" s="583"/>
      <c r="G2472" s="583"/>
      <c r="H2472" s="405"/>
      <c r="I2472" s="405"/>
      <c r="J2472" s="405"/>
      <c r="K2472" s="405"/>
      <c r="L2472" s="405"/>
      <c r="M2472" s="405"/>
      <c r="N2472" s="405"/>
      <c r="O2472" s="405"/>
      <c r="P2472" s="405"/>
      <c r="Q2472" s="405"/>
      <c r="R2472" s="405"/>
      <c r="S2472" s="405"/>
      <c r="T2472" s="405"/>
      <c r="U2472" s="405"/>
      <c r="V2472" s="405"/>
      <c r="W2472" s="405"/>
      <c r="X2472" s="405"/>
      <c r="Y2472" s="405"/>
      <c r="Z2472" s="405"/>
    </row>
    <row r="2473" ht="14.25" customHeight="1">
      <c r="A2473" s="1134"/>
      <c r="B2473" s="405"/>
      <c r="C2473" s="405"/>
      <c r="D2473" s="1135"/>
      <c r="E2473" s="583"/>
      <c r="F2473" s="583"/>
      <c r="G2473" s="583"/>
      <c r="H2473" s="405"/>
      <c r="I2473" s="405"/>
      <c r="J2473" s="405"/>
      <c r="K2473" s="405"/>
      <c r="L2473" s="405"/>
      <c r="M2473" s="405"/>
      <c r="N2473" s="405"/>
      <c r="O2473" s="405"/>
      <c r="P2473" s="405"/>
      <c r="Q2473" s="405"/>
      <c r="R2473" s="405"/>
      <c r="S2473" s="405"/>
      <c r="T2473" s="405"/>
      <c r="U2473" s="405"/>
      <c r="V2473" s="405"/>
      <c r="W2473" s="405"/>
      <c r="X2473" s="405"/>
      <c r="Y2473" s="405"/>
      <c r="Z2473" s="405"/>
    </row>
    <row r="2474" ht="14.25" customHeight="1">
      <c r="A2474" s="1134"/>
      <c r="B2474" s="405"/>
      <c r="C2474" s="405"/>
      <c r="D2474" s="1135"/>
      <c r="E2474" s="583"/>
      <c r="F2474" s="583"/>
      <c r="G2474" s="583"/>
      <c r="H2474" s="405"/>
      <c r="I2474" s="405"/>
      <c r="J2474" s="405"/>
      <c r="K2474" s="405"/>
      <c r="L2474" s="405"/>
      <c r="M2474" s="405"/>
      <c r="N2474" s="405"/>
      <c r="O2474" s="405"/>
      <c r="P2474" s="405"/>
      <c r="Q2474" s="405"/>
      <c r="R2474" s="405"/>
      <c r="S2474" s="405"/>
      <c r="T2474" s="405"/>
      <c r="U2474" s="405"/>
      <c r="V2474" s="405"/>
      <c r="W2474" s="405"/>
      <c r="X2474" s="405"/>
      <c r="Y2474" s="405"/>
      <c r="Z2474" s="405"/>
    </row>
    <row r="2475" ht="14.25" customHeight="1">
      <c r="A2475" s="1134"/>
      <c r="B2475" s="405"/>
      <c r="C2475" s="405"/>
      <c r="D2475" s="1135"/>
      <c r="E2475" s="583"/>
      <c r="F2475" s="583"/>
      <c r="G2475" s="583"/>
      <c r="H2475" s="405"/>
      <c r="I2475" s="405"/>
      <c r="J2475" s="405"/>
      <c r="K2475" s="405"/>
      <c r="L2475" s="405"/>
      <c r="M2475" s="405"/>
      <c r="N2475" s="405"/>
      <c r="O2475" s="405"/>
      <c r="P2475" s="405"/>
      <c r="Q2475" s="405"/>
      <c r="R2475" s="405"/>
      <c r="S2475" s="405"/>
      <c r="T2475" s="405"/>
      <c r="U2475" s="405"/>
      <c r="V2475" s="405"/>
      <c r="W2475" s="405"/>
      <c r="X2475" s="405"/>
      <c r="Y2475" s="405"/>
      <c r="Z2475" s="405"/>
    </row>
    <row r="2476" ht="14.25" customHeight="1">
      <c r="A2476" s="1134"/>
      <c r="B2476" s="405"/>
      <c r="C2476" s="405"/>
      <c r="D2476" s="1135"/>
      <c r="E2476" s="583"/>
      <c r="F2476" s="583"/>
      <c r="G2476" s="583"/>
      <c r="H2476" s="405"/>
      <c r="I2476" s="405"/>
      <c r="J2476" s="405"/>
      <c r="K2476" s="405"/>
      <c r="L2476" s="405"/>
      <c r="M2476" s="405"/>
      <c r="N2476" s="405"/>
      <c r="O2476" s="405"/>
      <c r="P2476" s="405"/>
      <c r="Q2476" s="405"/>
      <c r="R2476" s="405"/>
      <c r="S2476" s="405"/>
      <c r="T2476" s="405"/>
      <c r="U2476" s="405"/>
      <c r="V2476" s="405"/>
      <c r="W2476" s="405"/>
      <c r="X2476" s="405"/>
      <c r="Y2476" s="405"/>
      <c r="Z2476" s="405"/>
    </row>
    <row r="2477" ht="14.25" customHeight="1">
      <c r="A2477" s="1134"/>
      <c r="B2477" s="405"/>
      <c r="C2477" s="405"/>
      <c r="D2477" s="1135"/>
      <c r="E2477" s="583"/>
      <c r="F2477" s="583"/>
      <c r="G2477" s="583"/>
      <c r="H2477" s="405"/>
      <c r="I2477" s="405"/>
      <c r="J2477" s="405"/>
      <c r="K2477" s="405"/>
      <c r="L2477" s="405"/>
      <c r="M2477" s="405"/>
      <c r="N2477" s="405"/>
      <c r="O2477" s="405"/>
      <c r="P2477" s="405"/>
      <c r="Q2477" s="405"/>
      <c r="R2477" s="405"/>
      <c r="S2477" s="405"/>
      <c r="T2477" s="405"/>
      <c r="U2477" s="405"/>
      <c r="V2477" s="405"/>
      <c r="W2477" s="405"/>
      <c r="X2477" s="405"/>
      <c r="Y2477" s="405"/>
      <c r="Z2477" s="405"/>
    </row>
    <row r="2478" ht="14.25" customHeight="1">
      <c r="A2478" s="1134"/>
      <c r="B2478" s="405"/>
      <c r="C2478" s="405"/>
      <c r="D2478" s="1135"/>
      <c r="E2478" s="583"/>
      <c r="F2478" s="583"/>
      <c r="G2478" s="583"/>
      <c r="H2478" s="405"/>
      <c r="I2478" s="405"/>
      <c r="J2478" s="405"/>
      <c r="K2478" s="405"/>
      <c r="L2478" s="405"/>
      <c r="M2478" s="405"/>
      <c r="N2478" s="405"/>
      <c r="O2478" s="405"/>
      <c r="P2478" s="405"/>
      <c r="Q2478" s="405"/>
      <c r="R2478" s="405"/>
      <c r="S2478" s="405"/>
      <c r="T2478" s="405"/>
      <c r="U2478" s="405"/>
      <c r="V2478" s="405"/>
      <c r="W2478" s="405"/>
      <c r="X2478" s="405"/>
      <c r="Y2478" s="405"/>
      <c r="Z2478" s="405"/>
    </row>
    <row r="2479" ht="14.25" customHeight="1">
      <c r="A2479" s="1134"/>
      <c r="B2479" s="405"/>
      <c r="C2479" s="405"/>
      <c r="D2479" s="1135"/>
      <c r="E2479" s="583"/>
      <c r="F2479" s="583"/>
      <c r="G2479" s="583"/>
      <c r="H2479" s="405"/>
      <c r="I2479" s="405"/>
      <c r="J2479" s="405"/>
      <c r="K2479" s="405"/>
      <c r="L2479" s="405"/>
      <c r="M2479" s="405"/>
      <c r="N2479" s="405"/>
      <c r="O2479" s="405"/>
      <c r="P2479" s="405"/>
      <c r="Q2479" s="405"/>
      <c r="R2479" s="405"/>
      <c r="S2479" s="405"/>
      <c r="T2479" s="405"/>
      <c r="U2479" s="405"/>
      <c r="V2479" s="405"/>
      <c r="W2479" s="405"/>
      <c r="X2479" s="405"/>
      <c r="Y2479" s="405"/>
      <c r="Z2479" s="405"/>
    </row>
    <row r="2480" ht="14.25" customHeight="1">
      <c r="A2480" s="1134"/>
      <c r="B2480" s="405"/>
      <c r="C2480" s="405"/>
      <c r="D2480" s="1135"/>
      <c r="E2480" s="583"/>
      <c r="F2480" s="583"/>
      <c r="G2480" s="583"/>
      <c r="H2480" s="405"/>
      <c r="I2480" s="405"/>
      <c r="J2480" s="405"/>
      <c r="K2480" s="405"/>
      <c r="L2480" s="405"/>
      <c r="M2480" s="405"/>
      <c r="N2480" s="405"/>
      <c r="O2480" s="405"/>
      <c r="P2480" s="405"/>
      <c r="Q2480" s="405"/>
      <c r="R2480" s="405"/>
      <c r="S2480" s="405"/>
      <c r="T2480" s="405"/>
      <c r="U2480" s="405"/>
      <c r="V2480" s="405"/>
      <c r="W2480" s="405"/>
      <c r="X2480" s="405"/>
      <c r="Y2480" s="405"/>
      <c r="Z2480" s="405"/>
    </row>
  </sheetData>
  <mergeCells count="2">
    <mergeCell ref="B640:C640"/>
    <mergeCell ref="C641:D641"/>
  </mergeCells>
  <hyperlinks>
    <hyperlink r:id="rId1" ref="H419"/>
  </hyperlinks>
  <printOptions/>
  <pageMargins bottom="0.75" footer="0.0" header="0.0" left="0.7" right="0.7" top="0.75"/>
  <pageSetup orientation="landscape"/>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8.86"/>
    <col customWidth="1" min="2" max="2" width="19.43"/>
    <col customWidth="1" min="3" max="3" width="21.86"/>
    <col customWidth="1" min="4" max="4" width="37.86"/>
    <col customWidth="1" min="5" max="5" width="38.71"/>
    <col customWidth="1" min="6" max="6" width="26.86"/>
    <col customWidth="1" min="7" max="7" width="18.43"/>
  </cols>
  <sheetData>
    <row r="1">
      <c r="A1" s="1136" t="s">
        <v>1</v>
      </c>
      <c r="B1" s="1136" t="s">
        <v>6936</v>
      </c>
      <c r="C1" s="1136" t="s">
        <v>6937</v>
      </c>
      <c r="D1" s="1137" t="s">
        <v>6938</v>
      </c>
      <c r="E1" s="1136" t="s">
        <v>6939</v>
      </c>
      <c r="F1" s="1137" t="s">
        <v>6940</v>
      </c>
      <c r="G1" s="1137" t="s">
        <v>6941</v>
      </c>
      <c r="H1" s="1138"/>
      <c r="I1" s="1138"/>
      <c r="J1" s="1138"/>
      <c r="K1" s="1138"/>
      <c r="L1" s="1138"/>
      <c r="M1" s="1138"/>
      <c r="N1" s="1138"/>
      <c r="O1" s="1138"/>
      <c r="P1" s="1138"/>
      <c r="Q1" s="1138"/>
      <c r="R1" s="1138"/>
      <c r="S1" s="1138"/>
      <c r="T1" s="1138"/>
      <c r="U1" s="1138"/>
      <c r="V1" s="1138"/>
      <c r="W1" s="1138"/>
    </row>
    <row r="2">
      <c r="A2" s="1136" t="s">
        <v>10</v>
      </c>
      <c r="B2" s="1139">
        <v>3.8023754E7</v>
      </c>
      <c r="C2" s="1139">
        <v>8.7177518888E8</v>
      </c>
      <c r="D2" s="1139">
        <v>3.7654216E7</v>
      </c>
      <c r="E2" s="1139">
        <f t="shared" ref="E2:E3" si="1">F2-D2</f>
        <v>707941</v>
      </c>
      <c r="F2" s="1139">
        <v>3.8362157E7</v>
      </c>
      <c r="G2" s="1140"/>
      <c r="H2" s="1138"/>
      <c r="I2" s="1138"/>
      <c r="J2" s="1138"/>
      <c r="K2" s="1138"/>
      <c r="L2" s="1138"/>
      <c r="M2" s="1138"/>
      <c r="N2" s="1138"/>
      <c r="O2" s="1138"/>
      <c r="P2" s="1138"/>
      <c r="Q2" s="1138"/>
      <c r="R2" s="1138"/>
      <c r="S2" s="1138"/>
      <c r="T2" s="1138"/>
      <c r="U2" s="1138"/>
      <c r="V2" s="1138"/>
      <c r="W2" s="1138"/>
    </row>
    <row r="3">
      <c r="A3" s="1136" t="s">
        <v>24</v>
      </c>
      <c r="B3" s="1141">
        <v>4.8125169099999994E7</v>
      </c>
      <c r="C3" s="1139">
        <v>6.5099845067E8</v>
      </c>
      <c r="D3" s="1139">
        <v>4.5257651E7</v>
      </c>
      <c r="E3" s="1139">
        <f t="shared" si="1"/>
        <v>2595830</v>
      </c>
      <c r="F3" s="1139">
        <v>4.7853481E7</v>
      </c>
      <c r="G3" s="1142"/>
      <c r="H3" s="1138"/>
      <c r="I3" s="1138"/>
      <c r="J3" s="1138"/>
      <c r="K3" s="1138"/>
      <c r="L3" s="1138"/>
      <c r="M3" s="1138"/>
      <c r="N3" s="1138"/>
      <c r="O3" s="1138"/>
      <c r="P3" s="1138"/>
      <c r="Q3" s="1138"/>
      <c r="R3" s="1138"/>
      <c r="S3" s="1138"/>
      <c r="T3" s="1138"/>
      <c r="U3" s="1138"/>
      <c r="V3" s="1138"/>
      <c r="W3" s="1138"/>
    </row>
    <row r="4">
      <c r="A4" s="1136" t="s">
        <v>18</v>
      </c>
      <c r="B4" s="1141">
        <f>SUMIFS(KISUMU!F:F,KISUMU!A:A,"7/11/24")</f>
        <v>0</v>
      </c>
      <c r="C4" s="1139">
        <v>9.407589092E7</v>
      </c>
      <c r="D4" s="1139">
        <v>65000.0</v>
      </c>
      <c r="E4" s="1139">
        <v>238912.0</v>
      </c>
      <c r="F4" s="1139">
        <f>D4+E4</f>
        <v>303912</v>
      </c>
      <c r="G4" s="1143"/>
      <c r="H4" s="1138"/>
      <c r="I4" s="1138"/>
      <c r="J4" s="1138"/>
      <c r="K4" s="1138"/>
      <c r="L4" s="1138"/>
      <c r="M4" s="1138"/>
      <c r="N4" s="1138"/>
      <c r="O4" s="1138"/>
      <c r="P4" s="1138"/>
      <c r="Q4" s="1138"/>
      <c r="R4" s="1138"/>
      <c r="S4" s="1138"/>
      <c r="T4" s="1138"/>
      <c r="U4" s="1138"/>
      <c r="V4" s="1138"/>
      <c r="W4" s="1138"/>
    </row>
    <row r="5">
      <c r="A5" s="1136" t="s">
        <v>20</v>
      </c>
      <c r="B5" s="1139">
        <v>310978.05</v>
      </c>
      <c r="C5" s="1139">
        <v>6.785021309E7</v>
      </c>
      <c r="D5" s="1139">
        <v>0.0</v>
      </c>
      <c r="E5" s="1139">
        <v>501568.0</v>
      </c>
      <c r="F5" s="1139">
        <v>501568.0</v>
      </c>
      <c r="G5" s="1143"/>
      <c r="H5" s="1138"/>
      <c r="I5" s="1138"/>
      <c r="J5" s="1138"/>
      <c r="K5" s="1138"/>
      <c r="L5" s="1138"/>
      <c r="M5" s="1138"/>
      <c r="N5" s="1138"/>
      <c r="O5" s="1138"/>
      <c r="P5" s="1138"/>
      <c r="Q5" s="1138"/>
      <c r="R5" s="1138"/>
      <c r="S5" s="1138"/>
      <c r="T5" s="1138"/>
      <c r="U5" s="1138"/>
      <c r="V5" s="1138"/>
      <c r="W5" s="1138"/>
    </row>
    <row r="6">
      <c r="A6" s="1136" t="s">
        <v>15</v>
      </c>
      <c r="B6" s="1139">
        <v>98000.0</v>
      </c>
      <c r="C6" s="1139">
        <v>1.753534955E7</v>
      </c>
      <c r="D6" s="1139">
        <v>27500.0</v>
      </c>
      <c r="E6" s="1139">
        <f t="shared" ref="E6:E7" si="2">F6-D6</f>
        <v>0</v>
      </c>
      <c r="F6" s="1139">
        <v>27500.0</v>
      </c>
      <c r="G6" s="1143"/>
      <c r="H6" s="1138"/>
      <c r="I6" s="1138"/>
      <c r="J6" s="1138"/>
      <c r="K6" s="1138"/>
      <c r="L6" s="1138"/>
      <c r="M6" s="1138"/>
      <c r="N6" s="1138"/>
      <c r="O6" s="1138"/>
      <c r="P6" s="1138"/>
      <c r="Q6" s="1138"/>
      <c r="R6" s="1138"/>
      <c r="S6" s="1138"/>
      <c r="T6" s="1138"/>
      <c r="U6" s="1138"/>
      <c r="V6" s="1138"/>
      <c r="W6" s="1138"/>
    </row>
    <row r="7">
      <c r="A7" s="1136" t="s">
        <v>12</v>
      </c>
      <c r="B7" s="1139">
        <v>3970715.0</v>
      </c>
      <c r="C7" s="1139">
        <v>2.8110849706E8</v>
      </c>
      <c r="D7" s="1139">
        <v>2129000.0</v>
      </c>
      <c r="E7" s="1139">
        <f t="shared" si="2"/>
        <v>315647</v>
      </c>
      <c r="F7" s="1139">
        <v>2444647.0</v>
      </c>
      <c r="G7" s="1143"/>
      <c r="H7" s="1138"/>
      <c r="I7" s="1138"/>
      <c r="J7" s="1138"/>
      <c r="K7" s="1138"/>
      <c r="L7" s="1138"/>
      <c r="M7" s="1138"/>
      <c r="N7" s="1138"/>
      <c r="O7" s="1138"/>
      <c r="P7" s="1138"/>
      <c r="Q7" s="1138"/>
      <c r="R7" s="1138"/>
      <c r="S7" s="1138"/>
      <c r="T7" s="1138"/>
      <c r="U7" s="1138"/>
      <c r="V7" s="1138"/>
      <c r="W7" s="1138"/>
    </row>
    <row r="8">
      <c r="A8" s="1136" t="s">
        <v>19</v>
      </c>
      <c r="B8" s="1139">
        <v>102891.0</v>
      </c>
      <c r="C8" s="1139">
        <v>7082542.7</v>
      </c>
      <c r="D8" s="1144">
        <v>0.0</v>
      </c>
      <c r="E8" s="1145">
        <v>8600.0</v>
      </c>
      <c r="F8" s="1146">
        <v>8600.0</v>
      </c>
      <c r="G8" s="1143"/>
      <c r="H8" s="1138"/>
      <c r="I8" s="1138"/>
      <c r="J8" s="1138"/>
      <c r="K8" s="1138"/>
      <c r="L8" s="1138"/>
      <c r="M8" s="1138"/>
      <c r="N8" s="1138"/>
      <c r="O8" s="1138"/>
      <c r="P8" s="1138"/>
      <c r="Q8" s="1138"/>
      <c r="R8" s="1138"/>
      <c r="S8" s="1138"/>
      <c r="T8" s="1138"/>
      <c r="U8" s="1138"/>
      <c r="V8" s="1138"/>
      <c r="W8" s="1138"/>
    </row>
    <row r="9">
      <c r="A9" s="1136" t="s">
        <v>13</v>
      </c>
      <c r="B9" s="1139">
        <v>4424374.11</v>
      </c>
      <c r="C9" s="1139">
        <v>1.1551064569E8</v>
      </c>
      <c r="D9" s="1139">
        <v>1431867.0</v>
      </c>
      <c r="E9" s="1139">
        <f t="shared" ref="E9:E10" si="3">F9-D9</f>
        <v>162148</v>
      </c>
      <c r="F9" s="1139">
        <v>1594015.0</v>
      </c>
      <c r="G9" s="1143"/>
      <c r="H9" s="1138"/>
      <c r="I9" s="1138"/>
      <c r="J9" s="1138"/>
      <c r="K9" s="1138"/>
      <c r="L9" s="1138"/>
      <c r="M9" s="1138"/>
      <c r="N9" s="1138"/>
      <c r="O9" s="1138"/>
      <c r="P9" s="1138"/>
      <c r="Q9" s="1138"/>
      <c r="R9" s="1138"/>
      <c r="S9" s="1138"/>
      <c r="T9" s="1138"/>
      <c r="U9" s="1138"/>
      <c r="V9" s="1138"/>
      <c r="W9" s="1138"/>
    </row>
    <row r="10">
      <c r="A10" s="1136" t="s">
        <v>17</v>
      </c>
      <c r="B10" s="1139">
        <v>1636717.51</v>
      </c>
      <c r="C10" s="1139">
        <v>2.04176602E8</v>
      </c>
      <c r="D10" s="1139">
        <v>417016.0</v>
      </c>
      <c r="E10" s="1139">
        <f t="shared" si="3"/>
        <v>118280</v>
      </c>
      <c r="F10" s="1139">
        <v>535296.0</v>
      </c>
      <c r="G10" s="1143"/>
      <c r="H10" s="1138"/>
      <c r="I10" s="1138"/>
      <c r="J10" s="1138"/>
      <c r="K10" s="1138"/>
      <c r="L10" s="1138"/>
      <c r="M10" s="1138"/>
      <c r="N10" s="1138"/>
      <c r="O10" s="1138"/>
      <c r="P10" s="1138"/>
      <c r="Q10" s="1138"/>
      <c r="R10" s="1138"/>
      <c r="S10" s="1138"/>
      <c r="T10" s="1138"/>
      <c r="U10" s="1138"/>
      <c r="V10" s="1138"/>
      <c r="W10" s="1138"/>
    </row>
    <row r="11">
      <c r="A11" s="1136" t="s">
        <v>21</v>
      </c>
      <c r="B11" s="1139">
        <v>52360.35</v>
      </c>
      <c r="C11" s="1139">
        <v>1585481.02</v>
      </c>
      <c r="D11" s="1139">
        <v>0.0</v>
      </c>
      <c r="E11" s="1145">
        <v>9172.0</v>
      </c>
      <c r="F11" s="1146">
        <v>9172.0</v>
      </c>
      <c r="G11" s="1143"/>
      <c r="H11" s="1138"/>
      <c r="I11" s="1138"/>
      <c r="J11" s="1138"/>
      <c r="K11" s="1138"/>
      <c r="L11" s="1138"/>
      <c r="M11" s="1138"/>
      <c r="N11" s="1138"/>
      <c r="O11" s="1138"/>
      <c r="P11" s="1138"/>
      <c r="Q11" s="1138"/>
      <c r="R11" s="1138"/>
      <c r="S11" s="1138"/>
      <c r="T11" s="1138"/>
      <c r="U11" s="1138"/>
      <c r="V11" s="1138"/>
      <c r="W11" s="1138"/>
    </row>
    <row r="12">
      <c r="A12" s="1136" t="s">
        <v>14</v>
      </c>
      <c r="B12" s="1139">
        <v>528475.51</v>
      </c>
      <c r="C12" s="1139">
        <v>1.6684030545E8</v>
      </c>
      <c r="D12" s="1139">
        <v>204132.5</v>
      </c>
      <c r="E12" s="1139">
        <f t="shared" ref="E12:E13" si="4">F12-D12</f>
        <v>10000</v>
      </c>
      <c r="F12" s="1139">
        <v>214132.5</v>
      </c>
      <c r="G12" s="1143"/>
      <c r="H12" s="1138"/>
      <c r="I12" s="1138"/>
      <c r="J12" s="1138"/>
      <c r="K12" s="1138"/>
      <c r="L12" s="1138"/>
      <c r="M12" s="1138"/>
      <c r="N12" s="1138"/>
      <c r="O12" s="1138"/>
      <c r="P12" s="1138"/>
      <c r="Q12" s="1138"/>
      <c r="R12" s="1138"/>
      <c r="S12" s="1138"/>
      <c r="T12" s="1138"/>
      <c r="U12" s="1138"/>
      <c r="V12" s="1138"/>
      <c r="W12" s="1138"/>
    </row>
    <row r="13">
      <c r="A13" s="1136" t="s">
        <v>16</v>
      </c>
      <c r="B13" s="1139">
        <v>29147.0</v>
      </c>
      <c r="C13" s="1139">
        <v>1.53174179E7</v>
      </c>
      <c r="D13" s="1139">
        <v>29147.0</v>
      </c>
      <c r="E13" s="1139">
        <f t="shared" si="4"/>
        <v>19250</v>
      </c>
      <c r="F13" s="1139">
        <v>48397.0</v>
      </c>
      <c r="G13" s="1143"/>
      <c r="H13" s="1138"/>
      <c r="I13" s="1138"/>
      <c r="J13" s="1138"/>
      <c r="K13" s="1138"/>
      <c r="L13" s="1138"/>
      <c r="M13" s="1138"/>
      <c r="N13" s="1138"/>
      <c r="O13" s="1138"/>
      <c r="P13" s="1138"/>
      <c r="Q13" s="1138"/>
      <c r="R13" s="1138"/>
      <c r="S13" s="1138"/>
      <c r="T13" s="1138"/>
      <c r="U13" s="1138"/>
      <c r="V13" s="1138"/>
      <c r="W13" s="1138"/>
    </row>
    <row r="14">
      <c r="A14" s="1136" t="s">
        <v>22</v>
      </c>
      <c r="B14" s="1139">
        <v>39423.39</v>
      </c>
      <c r="C14" s="1139">
        <v>68892.59</v>
      </c>
      <c r="D14" s="1139">
        <v>1000.0</v>
      </c>
      <c r="E14" s="1145">
        <v>11700.0</v>
      </c>
      <c r="F14" s="1139">
        <f>D14+E14</f>
        <v>12700</v>
      </c>
      <c r="G14" s="1143"/>
      <c r="H14" s="1138"/>
      <c r="I14" s="1138"/>
      <c r="J14" s="1138"/>
      <c r="K14" s="1138"/>
      <c r="L14" s="1138"/>
      <c r="M14" s="1138"/>
      <c r="N14" s="1138"/>
      <c r="O14" s="1138"/>
      <c r="P14" s="1138"/>
      <c r="Q14" s="1138"/>
      <c r="R14" s="1138"/>
      <c r="S14" s="1138"/>
      <c r="T14" s="1138"/>
      <c r="U14" s="1138"/>
      <c r="V14" s="1138"/>
      <c r="W14" s="1138"/>
    </row>
    <row r="15">
      <c r="A15" s="1136" t="s">
        <v>23</v>
      </c>
      <c r="B15" s="1137">
        <f t="shared" ref="B15:F15" si="5">SUM(B2:B14)</f>
        <v>97342005.02</v>
      </c>
      <c r="C15" s="1137">
        <f t="shared" si="5"/>
        <v>2493925478</v>
      </c>
      <c r="D15" s="1137">
        <f t="shared" si="5"/>
        <v>87216529.5</v>
      </c>
      <c r="E15" s="1137">
        <f t="shared" si="5"/>
        <v>4699048</v>
      </c>
      <c r="F15" s="1137">
        <f t="shared" si="5"/>
        <v>91915577.5</v>
      </c>
      <c r="G15" s="1143"/>
      <c r="H15" s="1138"/>
      <c r="I15" s="1138"/>
      <c r="J15" s="1138"/>
      <c r="K15" s="1138"/>
      <c r="L15" s="1138"/>
      <c r="M15" s="1138"/>
      <c r="N15" s="1138"/>
      <c r="O15" s="1138"/>
      <c r="P15" s="1138"/>
      <c r="Q15" s="1138"/>
      <c r="R15" s="1138"/>
      <c r="S15" s="1138"/>
      <c r="T15" s="1138"/>
      <c r="U15" s="1138"/>
      <c r="V15" s="1138"/>
      <c r="W15" s="1138"/>
    </row>
    <row r="16">
      <c r="A16" s="1142"/>
      <c r="B16" s="1142"/>
      <c r="C16" s="1142"/>
      <c r="D16" s="1143"/>
      <c r="E16" s="1142"/>
      <c r="F16" s="1143"/>
      <c r="G16" s="1143"/>
      <c r="H16" s="1138"/>
      <c r="I16" s="1138"/>
      <c r="J16" s="1138"/>
      <c r="K16" s="1138"/>
      <c r="L16" s="1138"/>
      <c r="M16" s="1138"/>
      <c r="N16" s="1138"/>
      <c r="O16" s="1138"/>
      <c r="P16" s="1138"/>
      <c r="Q16" s="1138"/>
      <c r="R16" s="1138"/>
      <c r="S16" s="1138"/>
      <c r="T16" s="1138"/>
      <c r="U16" s="1138"/>
      <c r="V16" s="1138"/>
      <c r="W16" s="1138"/>
    </row>
    <row r="17">
      <c r="A17" s="1138"/>
      <c r="B17" s="1138"/>
      <c r="C17" s="1138"/>
      <c r="D17" s="1147"/>
      <c r="E17" s="1138"/>
      <c r="F17" s="1147"/>
      <c r="G17" s="1147"/>
      <c r="H17" s="1138"/>
      <c r="I17" s="1138"/>
      <c r="J17" s="1138"/>
      <c r="K17" s="1138"/>
      <c r="L17" s="1138"/>
      <c r="M17" s="1138"/>
      <c r="N17" s="1138"/>
      <c r="O17" s="1138"/>
      <c r="P17" s="1138"/>
      <c r="Q17" s="1138"/>
      <c r="R17" s="1138"/>
      <c r="S17" s="1138"/>
      <c r="T17" s="1138"/>
      <c r="U17" s="1138"/>
      <c r="V17" s="1138"/>
      <c r="W17" s="1138"/>
    </row>
    <row r="18">
      <c r="A18" s="1138"/>
      <c r="B18" s="1148" t="s">
        <v>6942</v>
      </c>
      <c r="C18" s="1138"/>
      <c r="D18" s="1147"/>
      <c r="E18" s="1138"/>
      <c r="F18" s="1147"/>
      <c r="G18" s="1147"/>
      <c r="H18" s="1138"/>
      <c r="I18" s="1138"/>
      <c r="J18" s="1138"/>
      <c r="K18" s="1138"/>
      <c r="L18" s="1138"/>
      <c r="M18" s="1138"/>
      <c r="N18" s="1138"/>
      <c r="O18" s="1138"/>
      <c r="P18" s="1138"/>
      <c r="Q18" s="1138"/>
      <c r="R18" s="1138"/>
      <c r="S18" s="1138"/>
      <c r="T18" s="1138"/>
      <c r="U18" s="1138"/>
      <c r="V18" s="1138"/>
      <c r="W18" s="1138"/>
    </row>
    <row r="19">
      <c r="A19" s="1136" t="s">
        <v>1</v>
      </c>
      <c r="B19" s="1136" t="s">
        <v>6936</v>
      </c>
      <c r="C19" s="1136" t="s">
        <v>6937</v>
      </c>
      <c r="D19" s="1137" t="s">
        <v>6938</v>
      </c>
      <c r="E19" s="1136" t="s">
        <v>6939</v>
      </c>
      <c r="F19" s="1137" t="s">
        <v>6940</v>
      </c>
      <c r="G19" s="1147"/>
      <c r="H19" s="1138"/>
      <c r="I19" s="1138"/>
      <c r="J19" s="1138"/>
      <c r="K19" s="1138"/>
      <c r="L19" s="1138"/>
      <c r="M19" s="1138"/>
      <c r="N19" s="1138"/>
      <c r="O19" s="1138"/>
      <c r="P19" s="1138"/>
      <c r="Q19" s="1138"/>
      <c r="R19" s="1138"/>
      <c r="S19" s="1138"/>
      <c r="T19" s="1138"/>
      <c r="U19" s="1138"/>
      <c r="V19" s="1138"/>
      <c r="W19" s="1138"/>
    </row>
    <row r="20">
      <c r="A20" s="1136" t="s">
        <v>10</v>
      </c>
      <c r="B20" s="1139">
        <v>1.199852899E7</v>
      </c>
      <c r="C20" s="1139">
        <v>8.7261517227E8</v>
      </c>
      <c r="D20" s="1139">
        <v>754182.0</v>
      </c>
      <c r="E20" s="1139">
        <f t="shared" ref="E20:E21" si="6">F20-D20</f>
        <v>2915001</v>
      </c>
      <c r="F20" s="1139">
        <v>3669183.0</v>
      </c>
      <c r="G20" s="1149"/>
      <c r="H20" s="1138"/>
      <c r="I20" s="1138"/>
      <c r="J20" s="1138"/>
      <c r="K20" s="1138"/>
      <c r="L20" s="1138"/>
      <c r="M20" s="1138"/>
      <c r="N20" s="1138"/>
      <c r="O20" s="1138"/>
      <c r="P20" s="1138"/>
      <c r="Q20" s="1138"/>
      <c r="R20" s="1138"/>
      <c r="S20" s="1138"/>
      <c r="T20" s="1138"/>
      <c r="U20" s="1138"/>
      <c r="V20" s="1138"/>
      <c r="W20" s="1138"/>
    </row>
    <row r="21">
      <c r="A21" s="1136" t="s">
        <v>24</v>
      </c>
      <c r="B21" s="1141">
        <v>1.234135298E7</v>
      </c>
      <c r="C21" s="1139">
        <v>6.5099845067E8</v>
      </c>
      <c r="D21" s="1139">
        <v>301919.0</v>
      </c>
      <c r="E21" s="1139">
        <f t="shared" si="6"/>
        <v>11878543</v>
      </c>
      <c r="F21" s="1139">
        <v>1.2180462E7</v>
      </c>
      <c r="G21" s="1147"/>
      <c r="H21" s="1138"/>
      <c r="I21" s="1138"/>
      <c r="J21" s="1138"/>
      <c r="K21" s="1138"/>
      <c r="L21" s="1138"/>
      <c r="M21" s="1138"/>
      <c r="N21" s="1138"/>
      <c r="O21" s="1138"/>
      <c r="P21" s="1138"/>
      <c r="Q21" s="1138"/>
      <c r="R21" s="1138"/>
      <c r="S21" s="1138"/>
      <c r="T21" s="1138"/>
      <c r="U21" s="1138"/>
      <c r="V21" s="1138"/>
      <c r="W21" s="1138"/>
    </row>
    <row r="22">
      <c r="A22" s="1136" t="s">
        <v>18</v>
      </c>
      <c r="B22" s="1141">
        <v>1808555.0</v>
      </c>
      <c r="C22" s="1139">
        <v>9.411499311E7</v>
      </c>
      <c r="D22" s="1139">
        <v>149494.0</v>
      </c>
      <c r="E22" s="1139">
        <v>237115.0</v>
      </c>
      <c r="F22" s="1139">
        <f>D22+E22</f>
        <v>386609</v>
      </c>
      <c r="G22" s="1147"/>
      <c r="H22" s="1138"/>
      <c r="I22" s="1138"/>
      <c r="J22" s="1138"/>
      <c r="K22" s="1138"/>
      <c r="L22" s="1138"/>
      <c r="M22" s="1138"/>
      <c r="N22" s="1138"/>
      <c r="O22" s="1138"/>
      <c r="P22" s="1138"/>
      <c r="Q22" s="1138"/>
      <c r="R22" s="1138"/>
      <c r="S22" s="1138"/>
      <c r="T22" s="1138"/>
      <c r="U22" s="1138"/>
      <c r="V22" s="1138"/>
      <c r="W22" s="1138"/>
    </row>
    <row r="23">
      <c r="A23" s="1136" t="s">
        <v>20</v>
      </c>
      <c r="B23" s="1139">
        <v>1083249.43</v>
      </c>
      <c r="C23" s="1139">
        <v>6.775107111E7</v>
      </c>
      <c r="D23" s="1139">
        <v>43428.0</v>
      </c>
      <c r="E23" s="1139">
        <f t="shared" ref="E23:E25" si="7">F23-D23</f>
        <v>106200</v>
      </c>
      <c r="F23" s="1139">
        <v>149628.0</v>
      </c>
      <c r="G23" s="1147"/>
      <c r="H23" s="1138"/>
      <c r="I23" s="1138"/>
      <c r="J23" s="1138"/>
      <c r="K23" s="1138"/>
      <c r="L23" s="1138"/>
      <c r="M23" s="1138"/>
      <c r="N23" s="1138"/>
      <c r="O23" s="1138"/>
      <c r="P23" s="1138"/>
      <c r="Q23" s="1138"/>
      <c r="R23" s="1138"/>
      <c r="S23" s="1138"/>
      <c r="T23" s="1138"/>
      <c r="U23" s="1138"/>
      <c r="V23" s="1138"/>
      <c r="W23" s="1138"/>
    </row>
    <row r="24">
      <c r="A24" s="1136" t="s">
        <v>15</v>
      </c>
      <c r="B24" s="1139">
        <v>414962.0</v>
      </c>
      <c r="C24" s="1139">
        <v>1.7535349E7</v>
      </c>
      <c r="D24" s="1139">
        <v>170110.0</v>
      </c>
      <c r="E24" s="1139">
        <f t="shared" si="7"/>
        <v>0</v>
      </c>
      <c r="F24" s="1139">
        <v>170110.0</v>
      </c>
      <c r="G24" s="1147"/>
      <c r="H24" s="1138"/>
      <c r="I24" s="1138"/>
      <c r="J24" s="1138"/>
      <c r="K24" s="1138"/>
      <c r="L24" s="1138"/>
      <c r="M24" s="1138"/>
      <c r="N24" s="1138"/>
      <c r="O24" s="1138"/>
      <c r="P24" s="1138"/>
      <c r="Q24" s="1138"/>
      <c r="R24" s="1138"/>
      <c r="S24" s="1138"/>
      <c r="T24" s="1138"/>
      <c r="U24" s="1138"/>
      <c r="V24" s="1138"/>
      <c r="W24" s="1138"/>
    </row>
    <row r="25">
      <c r="A25" s="1136" t="s">
        <v>12</v>
      </c>
      <c r="B25" s="1139">
        <v>5302741.57</v>
      </c>
      <c r="C25" s="1139">
        <v>2.7602248333E8</v>
      </c>
      <c r="D25" s="1139">
        <v>2396055.0</v>
      </c>
      <c r="E25" s="1139">
        <f t="shared" si="7"/>
        <v>1064092</v>
      </c>
      <c r="F25" s="1146">
        <v>3460147.0</v>
      </c>
      <c r="G25" s="1149"/>
      <c r="H25" s="1138"/>
      <c r="I25" s="1138"/>
      <c r="J25" s="1138"/>
      <c r="K25" s="1138"/>
      <c r="L25" s="1138"/>
      <c r="M25" s="1138"/>
      <c r="N25" s="1138"/>
      <c r="O25" s="1138"/>
      <c r="P25" s="1138"/>
      <c r="Q25" s="1138"/>
      <c r="R25" s="1138"/>
      <c r="S25" s="1138"/>
      <c r="T25" s="1138"/>
      <c r="U25" s="1138"/>
      <c r="V25" s="1138"/>
      <c r="W25" s="1138"/>
    </row>
    <row r="26">
      <c r="A26" s="1136" t="s">
        <v>19</v>
      </c>
      <c r="B26" s="1141">
        <f>SUMIFS(VOI!F:F,VOI!A:A,"7/12/24")</f>
        <v>0</v>
      </c>
      <c r="C26" s="1139">
        <v>7082542.7</v>
      </c>
      <c r="D26" s="1150">
        <v>4000.0</v>
      </c>
      <c r="E26" s="1145">
        <v>0.0</v>
      </c>
      <c r="F26" s="1146">
        <v>4000.0</v>
      </c>
      <c r="G26" s="1147"/>
      <c r="H26" s="1138"/>
      <c r="I26" s="1138"/>
      <c r="J26" s="1138"/>
      <c r="K26" s="1138"/>
      <c r="L26" s="1138"/>
      <c r="M26" s="1138"/>
      <c r="N26" s="1138"/>
      <c r="O26" s="1138"/>
      <c r="P26" s="1138"/>
      <c r="Q26" s="1138"/>
      <c r="R26" s="1138"/>
      <c r="S26" s="1138"/>
      <c r="T26" s="1138"/>
      <c r="U26" s="1138"/>
      <c r="V26" s="1138"/>
      <c r="W26" s="1138"/>
    </row>
    <row r="27">
      <c r="A27" s="1136" t="s">
        <v>13</v>
      </c>
      <c r="B27" s="1141">
        <v>3319305.8500000006</v>
      </c>
      <c r="C27" s="1139">
        <v>1.126064036E8</v>
      </c>
      <c r="D27" s="1139">
        <v>424277.25</v>
      </c>
      <c r="E27" s="1139">
        <f>F27-D27</f>
        <v>276450</v>
      </c>
      <c r="F27" s="1139">
        <v>700727.25</v>
      </c>
      <c r="G27" s="1147"/>
      <c r="H27" s="1138"/>
      <c r="I27" s="1138"/>
      <c r="J27" s="1138"/>
      <c r="K27" s="1138"/>
      <c r="L27" s="1138"/>
      <c r="M27" s="1138"/>
      <c r="N27" s="1138"/>
      <c r="O27" s="1138"/>
      <c r="P27" s="1138"/>
      <c r="Q27" s="1138"/>
      <c r="R27" s="1138"/>
      <c r="S27" s="1138"/>
      <c r="T27" s="1138"/>
      <c r="U27" s="1138"/>
      <c r="V27" s="1138"/>
      <c r="W27" s="1138"/>
    </row>
    <row r="28">
      <c r="A28" s="1136" t="s">
        <v>17</v>
      </c>
      <c r="B28" s="1141">
        <v>2095510.0</v>
      </c>
      <c r="C28" s="1139">
        <v>2.0372078061E8</v>
      </c>
      <c r="D28" s="1139">
        <v>822218.0</v>
      </c>
      <c r="E28" s="1139">
        <v>0.0</v>
      </c>
      <c r="F28" s="1139">
        <v>822218.0</v>
      </c>
      <c r="G28" s="1147"/>
      <c r="H28" s="1138"/>
      <c r="I28" s="1138"/>
      <c r="J28" s="1138"/>
      <c r="K28" s="1138"/>
      <c r="L28" s="1138"/>
      <c r="M28" s="1138"/>
      <c r="N28" s="1138"/>
      <c r="O28" s="1138"/>
      <c r="P28" s="1138"/>
      <c r="Q28" s="1138"/>
      <c r="R28" s="1138"/>
      <c r="S28" s="1138"/>
      <c r="T28" s="1138"/>
      <c r="U28" s="1138"/>
      <c r="V28" s="1138"/>
      <c r="W28" s="1138"/>
    </row>
    <row r="29">
      <c r="A29" s="1136" t="s">
        <v>21</v>
      </c>
      <c r="B29" s="1141">
        <f>SUMIFS(KITUI!F:F,KITUI!A:A,"7/12/24")</f>
        <v>0</v>
      </c>
      <c r="C29" s="1139">
        <v>1585481.02</v>
      </c>
      <c r="D29" s="1139">
        <v>0.0</v>
      </c>
      <c r="E29" s="1145">
        <v>0.0</v>
      </c>
      <c r="F29" s="1146">
        <v>0.0</v>
      </c>
      <c r="G29" s="1147"/>
      <c r="H29" s="1138"/>
      <c r="I29" s="1138"/>
      <c r="J29" s="1138"/>
      <c r="K29" s="1138"/>
      <c r="L29" s="1138"/>
      <c r="M29" s="1138"/>
      <c r="N29" s="1138"/>
      <c r="O29" s="1138"/>
      <c r="P29" s="1138"/>
      <c r="Q29" s="1138"/>
      <c r="R29" s="1138"/>
      <c r="S29" s="1138"/>
      <c r="T29" s="1138"/>
      <c r="U29" s="1138"/>
      <c r="V29" s="1138"/>
      <c r="W29" s="1138"/>
    </row>
    <row r="30">
      <c r="A30" s="1136" t="s">
        <v>14</v>
      </c>
      <c r="B30" s="1139">
        <v>2243740.0</v>
      </c>
      <c r="C30" s="1139">
        <v>1.6762320092E8</v>
      </c>
      <c r="D30" s="1139">
        <v>251068.0</v>
      </c>
      <c r="E30" s="1139">
        <f t="shared" ref="E30:E31" si="8">F30-D30</f>
        <v>0</v>
      </c>
      <c r="F30" s="1139">
        <v>251068.0</v>
      </c>
      <c r="G30" s="1147"/>
      <c r="H30" s="1138"/>
      <c r="I30" s="1138"/>
      <c r="J30" s="1138"/>
      <c r="K30" s="1138"/>
      <c r="L30" s="1138"/>
      <c r="M30" s="1138"/>
      <c r="N30" s="1138"/>
      <c r="O30" s="1138"/>
      <c r="P30" s="1138"/>
      <c r="Q30" s="1138"/>
      <c r="R30" s="1138"/>
      <c r="S30" s="1138"/>
      <c r="T30" s="1138"/>
      <c r="U30" s="1138"/>
      <c r="V30" s="1138"/>
      <c r="W30" s="1138"/>
    </row>
    <row r="31">
      <c r="A31" s="1136" t="s">
        <v>16</v>
      </c>
      <c r="B31" s="1139">
        <v>197203.0</v>
      </c>
      <c r="C31" s="1139">
        <v>1.540697411E7</v>
      </c>
      <c r="D31" s="1139">
        <v>127160.0</v>
      </c>
      <c r="E31" s="1139">
        <f t="shared" si="8"/>
        <v>49000</v>
      </c>
      <c r="F31" s="1139">
        <v>176160.0</v>
      </c>
      <c r="G31" s="1147"/>
      <c r="H31" s="1138"/>
      <c r="I31" s="1138"/>
      <c r="J31" s="1138"/>
      <c r="K31" s="1138"/>
      <c r="L31" s="1138"/>
      <c r="M31" s="1138"/>
      <c r="N31" s="1138"/>
      <c r="O31" s="1138"/>
      <c r="P31" s="1138"/>
      <c r="Q31" s="1138"/>
      <c r="R31" s="1138"/>
      <c r="S31" s="1138"/>
      <c r="T31" s="1138"/>
      <c r="U31" s="1138"/>
      <c r="V31" s="1138"/>
      <c r="W31" s="1138"/>
    </row>
    <row r="32">
      <c r="A32" s="1136" t="s">
        <v>22</v>
      </c>
      <c r="B32" s="1141">
        <f>SUMIFS(MACHAKOS!F:F,MACHAKOS!A:A,"7/12/24")</f>
        <v>0</v>
      </c>
      <c r="C32" s="1139">
        <v>68892.59</v>
      </c>
      <c r="D32" s="1139">
        <v>0.0</v>
      </c>
      <c r="E32" s="1151">
        <v>2575000.0</v>
      </c>
      <c r="F32" s="1139">
        <v>2575000.0</v>
      </c>
      <c r="G32" s="1147"/>
      <c r="H32" s="1138"/>
      <c r="I32" s="1138"/>
      <c r="J32" s="1138"/>
      <c r="K32" s="1138"/>
      <c r="L32" s="1138"/>
      <c r="M32" s="1138"/>
      <c r="N32" s="1138"/>
      <c r="O32" s="1138"/>
      <c r="P32" s="1138"/>
      <c r="Q32" s="1138"/>
      <c r="R32" s="1138"/>
      <c r="S32" s="1138"/>
      <c r="T32" s="1138"/>
      <c r="U32" s="1138"/>
      <c r="V32" s="1138"/>
      <c r="W32" s="1138"/>
    </row>
    <row r="33">
      <c r="A33" s="1136" t="s">
        <v>23</v>
      </c>
      <c r="B33" s="1152">
        <f t="shared" ref="B33:F33" si="9">SUM(B20:B32)</f>
        <v>40805148.82</v>
      </c>
      <c r="C33" s="1137">
        <f t="shared" si="9"/>
        <v>2487131795</v>
      </c>
      <c r="D33" s="1137">
        <f t="shared" si="9"/>
        <v>5443911.25</v>
      </c>
      <c r="E33" s="1137">
        <f t="shared" si="9"/>
        <v>19101401</v>
      </c>
      <c r="F33" s="1137">
        <f t="shared" si="9"/>
        <v>24545312.25</v>
      </c>
      <c r="G33" s="1147"/>
      <c r="H33" s="1138"/>
      <c r="I33" s="1138"/>
      <c r="J33" s="1138"/>
      <c r="K33" s="1138"/>
      <c r="L33" s="1138"/>
      <c r="M33" s="1138"/>
      <c r="N33" s="1138"/>
      <c r="O33" s="1138"/>
      <c r="P33" s="1138"/>
      <c r="Q33" s="1138"/>
      <c r="R33" s="1138"/>
      <c r="S33" s="1138"/>
      <c r="T33" s="1138"/>
      <c r="U33" s="1138"/>
      <c r="V33" s="1138"/>
      <c r="W33" s="1138"/>
    </row>
    <row r="34">
      <c r="A34" s="1138"/>
      <c r="B34" s="1138"/>
      <c r="C34" s="1138"/>
      <c r="D34" s="1147"/>
      <c r="E34" s="1138"/>
      <c r="F34" s="1147"/>
      <c r="G34" s="1147"/>
      <c r="H34" s="1138"/>
      <c r="I34" s="1138"/>
      <c r="J34" s="1138"/>
      <c r="K34" s="1138"/>
      <c r="L34" s="1138"/>
      <c r="M34" s="1138"/>
      <c r="N34" s="1138"/>
      <c r="O34" s="1138"/>
      <c r="P34" s="1138"/>
      <c r="Q34" s="1138"/>
      <c r="R34" s="1138"/>
      <c r="S34" s="1138"/>
      <c r="T34" s="1138"/>
      <c r="U34" s="1138"/>
      <c r="V34" s="1138"/>
      <c r="W34" s="1138"/>
    </row>
    <row r="35">
      <c r="A35" s="1138"/>
      <c r="B35" s="1138"/>
      <c r="C35" s="1138"/>
      <c r="D35" s="1147"/>
      <c r="E35" s="1138"/>
      <c r="F35" s="1147"/>
      <c r="G35" s="1147"/>
      <c r="H35" s="1138"/>
      <c r="I35" s="1138"/>
      <c r="J35" s="1138"/>
      <c r="K35" s="1138"/>
      <c r="L35" s="1138"/>
      <c r="M35" s="1138"/>
      <c r="N35" s="1138"/>
      <c r="O35" s="1138"/>
      <c r="P35" s="1138"/>
      <c r="Q35" s="1138"/>
      <c r="R35" s="1138"/>
      <c r="S35" s="1138"/>
      <c r="T35" s="1138"/>
      <c r="U35" s="1138"/>
      <c r="V35" s="1138"/>
      <c r="W35" s="1138"/>
    </row>
    <row r="36">
      <c r="A36" s="1138"/>
      <c r="B36" s="1138"/>
      <c r="C36" s="1138"/>
      <c r="D36" s="1147"/>
      <c r="E36" s="1138"/>
      <c r="F36" s="1147"/>
      <c r="G36" s="1147"/>
      <c r="H36" s="1138"/>
      <c r="I36" s="1138"/>
      <c r="J36" s="1138"/>
      <c r="K36" s="1138"/>
      <c r="L36" s="1138"/>
      <c r="M36" s="1138"/>
      <c r="N36" s="1138"/>
      <c r="O36" s="1138"/>
      <c r="P36" s="1138"/>
      <c r="Q36" s="1138"/>
      <c r="R36" s="1138"/>
      <c r="S36" s="1138"/>
      <c r="T36" s="1138"/>
      <c r="U36" s="1138"/>
      <c r="V36" s="1138"/>
      <c r="W36" s="1138"/>
    </row>
    <row r="37">
      <c r="A37" s="1138"/>
      <c r="B37" s="1148" t="s">
        <v>6943</v>
      </c>
      <c r="C37" s="1138"/>
      <c r="D37" s="1147"/>
      <c r="E37" s="1138"/>
      <c r="F37" s="1147"/>
      <c r="G37" s="1147"/>
      <c r="H37" s="1138"/>
      <c r="I37" s="1138"/>
      <c r="J37" s="1138"/>
      <c r="K37" s="1138"/>
      <c r="L37" s="1138"/>
      <c r="M37" s="1138"/>
      <c r="N37" s="1138"/>
      <c r="O37" s="1138"/>
      <c r="P37" s="1138"/>
      <c r="Q37" s="1138"/>
      <c r="R37" s="1138"/>
      <c r="S37" s="1138"/>
      <c r="T37" s="1138"/>
      <c r="U37" s="1138"/>
      <c r="V37" s="1138"/>
      <c r="W37" s="1138"/>
    </row>
    <row r="38" ht="24.75" customHeight="1">
      <c r="A38" s="1153" t="s">
        <v>1</v>
      </c>
      <c r="B38" s="1153" t="s">
        <v>6936</v>
      </c>
      <c r="C38" s="1153" t="s">
        <v>6937</v>
      </c>
      <c r="D38" s="1154" t="s">
        <v>6938</v>
      </c>
      <c r="E38" s="1153" t="s">
        <v>6939</v>
      </c>
      <c r="F38" s="1154" t="s">
        <v>6940</v>
      </c>
      <c r="G38" s="1147"/>
      <c r="H38" s="1138"/>
      <c r="I38" s="1138"/>
      <c r="J38" s="1138"/>
      <c r="K38" s="1138"/>
      <c r="L38" s="1138"/>
      <c r="M38" s="1138"/>
      <c r="N38" s="1138"/>
      <c r="O38" s="1138"/>
      <c r="P38" s="1138"/>
      <c r="Q38" s="1138"/>
      <c r="R38" s="1138"/>
      <c r="S38" s="1138"/>
      <c r="T38" s="1138"/>
      <c r="U38" s="1138"/>
      <c r="V38" s="1138"/>
      <c r="W38" s="1138"/>
    </row>
    <row r="39">
      <c r="A39" s="1136" t="s">
        <v>10</v>
      </c>
      <c r="B39" s="1141">
        <v>2930793.0700000003</v>
      </c>
      <c r="C39" s="1139">
        <v>8.7414740449E8</v>
      </c>
      <c r="D39" s="1139">
        <v>45000.0</v>
      </c>
      <c r="E39" s="1139">
        <f t="shared" ref="E39:E40" si="10">F39-D39</f>
        <v>29349</v>
      </c>
      <c r="F39" s="1139">
        <v>74349.0</v>
      </c>
      <c r="G39" s="1147"/>
      <c r="H39" s="1138"/>
      <c r="I39" s="1138"/>
      <c r="J39" s="1138"/>
      <c r="K39" s="1138"/>
      <c r="L39" s="1138"/>
      <c r="M39" s="1138"/>
      <c r="N39" s="1138"/>
      <c r="O39" s="1138"/>
      <c r="P39" s="1138"/>
      <c r="Q39" s="1138"/>
      <c r="R39" s="1138"/>
      <c r="S39" s="1138"/>
      <c r="T39" s="1138"/>
      <c r="U39" s="1138"/>
      <c r="V39" s="1138"/>
      <c r="W39" s="1138"/>
    </row>
    <row r="40">
      <c r="A40" s="1136" t="s">
        <v>24</v>
      </c>
      <c r="B40" s="1141">
        <v>5398830.75</v>
      </c>
      <c r="C40" s="1139">
        <v>6.5096275042E8</v>
      </c>
      <c r="D40" s="1141">
        <v>135230.0</v>
      </c>
      <c r="E40" s="1139">
        <f t="shared" si="10"/>
        <v>27100</v>
      </c>
      <c r="F40" s="1139">
        <v>162330.0</v>
      </c>
      <c r="G40" s="1147"/>
      <c r="H40" s="1138"/>
      <c r="I40" s="1138"/>
      <c r="J40" s="1138"/>
      <c r="K40" s="1138"/>
      <c r="L40" s="1138"/>
      <c r="M40" s="1138"/>
      <c r="N40" s="1138"/>
      <c r="O40" s="1138"/>
      <c r="P40" s="1138"/>
      <c r="Q40" s="1138"/>
      <c r="R40" s="1138"/>
      <c r="S40" s="1138"/>
      <c r="T40" s="1138"/>
      <c r="U40" s="1138"/>
      <c r="V40" s="1138"/>
      <c r="W40" s="1138"/>
    </row>
    <row r="41">
      <c r="A41" s="1136" t="s">
        <v>18</v>
      </c>
      <c r="B41" s="1155">
        <v>575749.0</v>
      </c>
      <c r="C41" s="1139">
        <v>9.444280754E7</v>
      </c>
      <c r="D41" s="1139">
        <v>148000.0</v>
      </c>
      <c r="E41" s="1139">
        <v>52467.0</v>
      </c>
      <c r="F41" s="1139">
        <f>D41+E41</f>
        <v>200467</v>
      </c>
      <c r="G41" s="1147"/>
      <c r="H41" s="1138"/>
      <c r="I41" s="1138"/>
      <c r="J41" s="1138"/>
      <c r="K41" s="1138"/>
      <c r="L41" s="1138"/>
      <c r="M41" s="1138"/>
      <c r="N41" s="1138"/>
      <c r="O41" s="1138"/>
      <c r="P41" s="1138"/>
      <c r="Q41" s="1138"/>
      <c r="R41" s="1138"/>
      <c r="S41" s="1138"/>
      <c r="T41" s="1138"/>
      <c r="U41" s="1138"/>
      <c r="V41" s="1138"/>
      <c r="W41" s="1138"/>
    </row>
    <row r="42">
      <c r="A42" s="1136" t="s">
        <v>20</v>
      </c>
      <c r="B42" s="1139">
        <v>2934973.0</v>
      </c>
      <c r="C42" s="1139">
        <v>6.775107111E7</v>
      </c>
      <c r="D42" s="1139">
        <v>86429.0</v>
      </c>
      <c r="E42" s="1139">
        <f>F42-D42</f>
        <v>0</v>
      </c>
      <c r="F42" s="1139">
        <v>86429.0</v>
      </c>
      <c r="G42" s="1147"/>
      <c r="H42" s="1138"/>
      <c r="I42" s="1138"/>
      <c r="J42" s="1138"/>
      <c r="K42" s="1138"/>
      <c r="L42" s="1138"/>
      <c r="M42" s="1138"/>
      <c r="N42" s="1138"/>
      <c r="O42" s="1138"/>
      <c r="P42" s="1138"/>
      <c r="Q42" s="1138"/>
      <c r="R42" s="1138"/>
      <c r="S42" s="1138"/>
      <c r="T42" s="1138"/>
      <c r="U42" s="1138"/>
      <c r="V42" s="1138"/>
      <c r="W42" s="1138"/>
    </row>
    <row r="43">
      <c r="A43" s="1136" t="s">
        <v>15</v>
      </c>
      <c r="B43" s="1139">
        <v>359642.0</v>
      </c>
      <c r="C43" s="1139">
        <v>1.8807576E7</v>
      </c>
      <c r="D43" s="1139">
        <v>0.0</v>
      </c>
      <c r="E43" s="1139">
        <v>0.0</v>
      </c>
      <c r="F43" s="1139">
        <v>0.0</v>
      </c>
      <c r="G43" s="1147"/>
      <c r="H43" s="1138"/>
      <c r="I43" s="1138"/>
      <c r="J43" s="1138"/>
      <c r="K43" s="1138"/>
      <c r="L43" s="1138"/>
      <c r="M43" s="1138"/>
      <c r="N43" s="1138"/>
      <c r="O43" s="1138"/>
      <c r="P43" s="1138"/>
      <c r="Q43" s="1138"/>
      <c r="R43" s="1138"/>
      <c r="S43" s="1138"/>
      <c r="T43" s="1138"/>
      <c r="U43" s="1138"/>
      <c r="V43" s="1138"/>
      <c r="W43" s="1138"/>
    </row>
    <row r="44">
      <c r="A44" s="1136" t="s">
        <v>12</v>
      </c>
      <c r="B44" s="1139">
        <v>5735770.6</v>
      </c>
      <c r="C44" s="1139">
        <v>2.7718236037E8</v>
      </c>
      <c r="D44" s="1139">
        <v>3307731.0</v>
      </c>
      <c r="E44" s="1139">
        <f>F44-D44</f>
        <v>330600</v>
      </c>
      <c r="F44" s="1145">
        <v>3638331.0</v>
      </c>
      <c r="G44" s="1147"/>
      <c r="H44" s="1138"/>
      <c r="I44" s="1138"/>
      <c r="J44" s="1138"/>
      <c r="K44" s="1138"/>
      <c r="L44" s="1138"/>
      <c r="M44" s="1138"/>
      <c r="N44" s="1138"/>
      <c r="O44" s="1138"/>
      <c r="P44" s="1138"/>
      <c r="Q44" s="1138"/>
      <c r="R44" s="1138"/>
      <c r="S44" s="1138"/>
      <c r="T44" s="1138"/>
      <c r="U44" s="1138"/>
      <c r="V44" s="1138"/>
      <c r="W44" s="1138"/>
    </row>
    <row r="45">
      <c r="A45" s="1136" t="s">
        <v>19</v>
      </c>
      <c r="B45" s="1139">
        <v>67000.0</v>
      </c>
      <c r="C45" s="1139">
        <v>7142280.92</v>
      </c>
      <c r="D45" s="1150">
        <v>0.0</v>
      </c>
      <c r="E45" s="1145">
        <v>0.0</v>
      </c>
      <c r="F45" s="1146">
        <v>0.0</v>
      </c>
      <c r="G45" s="1147"/>
      <c r="H45" s="1138"/>
      <c r="I45" s="1138"/>
      <c r="J45" s="1138"/>
      <c r="K45" s="1138"/>
      <c r="L45" s="1138"/>
      <c r="M45" s="1138"/>
      <c r="N45" s="1138"/>
      <c r="O45" s="1138"/>
      <c r="P45" s="1138"/>
      <c r="Q45" s="1138"/>
      <c r="R45" s="1138"/>
      <c r="S45" s="1138"/>
      <c r="T45" s="1138"/>
      <c r="U45" s="1138"/>
      <c r="V45" s="1138"/>
      <c r="W45" s="1138"/>
    </row>
    <row r="46">
      <c r="A46" s="1136" t="s">
        <v>13</v>
      </c>
      <c r="B46" s="1141" t="str">
        <f>SUM(#REF!)</f>
        <v>#REF!</v>
      </c>
      <c r="C46" s="1139">
        <v>1.1262866193E8</v>
      </c>
      <c r="D46" s="1139" t="str">
        <f t="shared" ref="D46:D47" si="11">SUM(#REF!)</f>
        <v>#REF!</v>
      </c>
      <c r="E46" s="1139" t="str">
        <f t="shared" ref="E46:E47" si="12">F46-D46</f>
        <v>#REF!</v>
      </c>
      <c r="F46" s="1139">
        <v>102089.0</v>
      </c>
      <c r="G46" s="1147"/>
      <c r="H46" s="1138"/>
      <c r="I46" s="1138"/>
      <c r="J46" s="1138"/>
      <c r="K46" s="1138"/>
      <c r="L46" s="1138"/>
      <c r="M46" s="1138"/>
      <c r="N46" s="1138"/>
      <c r="O46" s="1138"/>
      <c r="P46" s="1138"/>
      <c r="Q46" s="1138"/>
      <c r="R46" s="1138"/>
      <c r="S46" s="1138"/>
      <c r="T46" s="1138"/>
      <c r="U46" s="1138"/>
      <c r="V46" s="1138"/>
      <c r="W46" s="1138"/>
    </row>
    <row r="47">
      <c r="A47" s="1136" t="s">
        <v>17</v>
      </c>
      <c r="B47" s="1155">
        <v>0.0</v>
      </c>
      <c r="C47" s="1139">
        <v>2.0373522614E8</v>
      </c>
      <c r="D47" s="1139" t="str">
        <f t="shared" si="11"/>
        <v>#REF!</v>
      </c>
      <c r="E47" s="1139" t="str">
        <f t="shared" si="12"/>
        <v>#REF!</v>
      </c>
      <c r="F47" s="1139">
        <v>331149.0</v>
      </c>
      <c r="G47" s="1147"/>
      <c r="H47" s="1138"/>
      <c r="I47" s="1138"/>
      <c r="J47" s="1138"/>
      <c r="K47" s="1138"/>
      <c r="L47" s="1138"/>
      <c r="M47" s="1138"/>
      <c r="N47" s="1138"/>
      <c r="O47" s="1138"/>
      <c r="P47" s="1138"/>
      <c r="Q47" s="1138"/>
      <c r="R47" s="1138"/>
      <c r="S47" s="1138"/>
      <c r="T47" s="1138"/>
      <c r="U47" s="1138"/>
      <c r="V47" s="1138"/>
      <c r="W47" s="1138"/>
    </row>
    <row r="48">
      <c r="A48" s="1136" t="s">
        <v>21</v>
      </c>
      <c r="B48" s="1139">
        <v>52360.35</v>
      </c>
      <c r="C48" s="1139">
        <v>1667180.07</v>
      </c>
      <c r="D48" s="1139">
        <v>0.0</v>
      </c>
      <c r="E48" s="1145">
        <v>908000.0</v>
      </c>
      <c r="F48" s="1146">
        <v>908000.0</v>
      </c>
      <c r="G48" s="1147"/>
      <c r="H48" s="1138"/>
      <c r="I48" s="1138"/>
      <c r="J48" s="1138"/>
      <c r="K48" s="1138"/>
      <c r="L48" s="1138"/>
      <c r="M48" s="1138"/>
      <c r="N48" s="1138"/>
      <c r="O48" s="1138"/>
      <c r="P48" s="1138"/>
      <c r="Q48" s="1138"/>
      <c r="R48" s="1138"/>
      <c r="S48" s="1138"/>
      <c r="T48" s="1138"/>
      <c r="U48" s="1138"/>
      <c r="V48" s="1138"/>
      <c r="W48" s="1138"/>
    </row>
    <row r="49">
      <c r="A49" s="1136" t="s">
        <v>14</v>
      </c>
      <c r="B49" s="1139">
        <v>1998922.0</v>
      </c>
      <c r="C49" s="1139">
        <v>1.6762320092E8</v>
      </c>
      <c r="D49" s="1139">
        <v>197238.0</v>
      </c>
      <c r="E49" s="1139">
        <f t="shared" ref="E49:E50" si="13">F49-D49</f>
        <v>95262</v>
      </c>
      <c r="F49" s="1139">
        <v>292500.0</v>
      </c>
      <c r="G49" s="1147"/>
      <c r="H49" s="1138"/>
      <c r="I49" s="1138"/>
      <c r="J49" s="1138"/>
      <c r="K49" s="1138"/>
      <c r="L49" s="1138"/>
      <c r="M49" s="1138"/>
      <c r="N49" s="1138"/>
      <c r="O49" s="1138"/>
      <c r="P49" s="1138"/>
      <c r="Q49" s="1138"/>
      <c r="R49" s="1138"/>
      <c r="S49" s="1138"/>
      <c r="T49" s="1138"/>
      <c r="U49" s="1138"/>
      <c r="V49" s="1138"/>
      <c r="W49" s="1138"/>
    </row>
    <row r="50">
      <c r="A50" s="1136" t="s">
        <v>16</v>
      </c>
      <c r="B50" s="1139">
        <v>5000.0</v>
      </c>
      <c r="C50" s="1139">
        <v>1.5354547E7</v>
      </c>
      <c r="D50" s="1139">
        <v>2000.0</v>
      </c>
      <c r="E50" s="1139">
        <f t="shared" si="13"/>
        <v>0</v>
      </c>
      <c r="F50" s="1139">
        <v>2000.0</v>
      </c>
      <c r="G50" s="1147"/>
      <c r="H50" s="1138"/>
      <c r="I50" s="1138"/>
      <c r="J50" s="1138"/>
      <c r="K50" s="1138"/>
      <c r="L50" s="1138"/>
      <c r="M50" s="1138"/>
      <c r="N50" s="1138"/>
      <c r="O50" s="1138"/>
      <c r="P50" s="1138"/>
      <c r="Q50" s="1138"/>
      <c r="R50" s="1138"/>
      <c r="S50" s="1138"/>
      <c r="T50" s="1138"/>
      <c r="U50" s="1138"/>
      <c r="V50" s="1138"/>
      <c r="W50" s="1138"/>
    </row>
    <row r="51">
      <c r="A51" s="1136" t="s">
        <v>22</v>
      </c>
      <c r="B51" s="1139">
        <v>39423.39</v>
      </c>
      <c r="C51" s="1139">
        <v>75516.59</v>
      </c>
      <c r="D51" s="1139">
        <v>0.0</v>
      </c>
      <c r="E51" s="1151">
        <v>0.0</v>
      </c>
      <c r="F51" s="1139">
        <v>0.0</v>
      </c>
      <c r="G51" s="1147"/>
      <c r="H51" s="1138"/>
      <c r="I51" s="1138"/>
      <c r="J51" s="1138"/>
      <c r="K51" s="1138"/>
      <c r="L51" s="1138"/>
      <c r="M51" s="1138"/>
      <c r="N51" s="1138"/>
      <c r="O51" s="1138"/>
      <c r="P51" s="1138"/>
      <c r="Q51" s="1138"/>
      <c r="R51" s="1138"/>
      <c r="S51" s="1138"/>
      <c r="T51" s="1138"/>
      <c r="U51" s="1138"/>
      <c r="V51" s="1138"/>
      <c r="W51" s="1138"/>
    </row>
    <row r="52">
      <c r="A52" s="1136" t="s">
        <v>23</v>
      </c>
      <c r="B52" s="1152" t="str">
        <f t="shared" ref="B52:F52" si="14">SUM(B39:B51)</f>
        <v>#REF!</v>
      </c>
      <c r="C52" s="1137">
        <f t="shared" si="14"/>
        <v>2491520584</v>
      </c>
      <c r="D52" s="1137" t="str">
        <f t="shared" si="14"/>
        <v>#REF!</v>
      </c>
      <c r="E52" s="1137" t="str">
        <f t="shared" si="14"/>
        <v>#REF!</v>
      </c>
      <c r="F52" s="1137">
        <f t="shared" si="14"/>
        <v>5797644</v>
      </c>
      <c r="G52" s="1147"/>
      <c r="H52" s="1138"/>
      <c r="I52" s="1138"/>
      <c r="J52" s="1138"/>
      <c r="K52" s="1138"/>
      <c r="L52" s="1138"/>
      <c r="M52" s="1138"/>
      <c r="N52" s="1138"/>
      <c r="O52" s="1138"/>
      <c r="P52" s="1138"/>
      <c r="Q52" s="1138"/>
      <c r="R52" s="1138"/>
      <c r="S52" s="1138"/>
      <c r="T52" s="1138"/>
      <c r="U52" s="1138"/>
      <c r="V52" s="1138"/>
      <c r="W52" s="1138"/>
    </row>
    <row r="53">
      <c r="A53" s="1138"/>
      <c r="B53" s="1138"/>
      <c r="C53" s="1138"/>
      <c r="D53" s="1147"/>
      <c r="E53" s="1138"/>
      <c r="F53" s="1147"/>
      <c r="G53" s="1147"/>
      <c r="H53" s="1138"/>
      <c r="I53" s="1138"/>
      <c r="J53" s="1138"/>
      <c r="K53" s="1138"/>
      <c r="L53" s="1138"/>
      <c r="M53" s="1138"/>
      <c r="N53" s="1138"/>
      <c r="O53" s="1138"/>
      <c r="P53" s="1138"/>
      <c r="Q53" s="1138"/>
      <c r="R53" s="1138"/>
      <c r="S53" s="1138"/>
      <c r="T53" s="1138"/>
      <c r="U53" s="1138"/>
      <c r="V53" s="1138"/>
      <c r="W53" s="1138"/>
    </row>
    <row r="54">
      <c r="A54" s="1138"/>
      <c r="B54" s="1138"/>
      <c r="C54" s="1138"/>
      <c r="D54" s="1147"/>
      <c r="E54" s="1138"/>
      <c r="F54" s="1147"/>
      <c r="G54" s="1147"/>
      <c r="H54" s="1138"/>
      <c r="I54" s="1138"/>
      <c r="J54" s="1138"/>
      <c r="K54" s="1138"/>
      <c r="L54" s="1138"/>
      <c r="M54" s="1138"/>
      <c r="N54" s="1138"/>
      <c r="O54" s="1138"/>
      <c r="P54" s="1138"/>
      <c r="Q54" s="1138"/>
      <c r="R54" s="1138"/>
      <c r="S54" s="1138"/>
      <c r="T54" s="1138"/>
      <c r="U54" s="1138"/>
      <c r="V54" s="1138"/>
      <c r="W54" s="1138"/>
    </row>
    <row r="55">
      <c r="A55" s="1138"/>
      <c r="B55" s="1138"/>
      <c r="C55" s="1138"/>
      <c r="D55" s="1156" t="s">
        <v>6944</v>
      </c>
      <c r="E55" s="1138"/>
      <c r="F55" s="1147"/>
      <c r="G55" s="1147"/>
      <c r="H55" s="1138"/>
      <c r="I55" s="1138"/>
      <c r="J55" s="1138"/>
      <c r="K55" s="1138"/>
      <c r="L55" s="1138"/>
      <c r="M55" s="1138"/>
      <c r="N55" s="1138"/>
      <c r="O55" s="1138"/>
      <c r="P55" s="1138"/>
      <c r="Q55" s="1138"/>
      <c r="R55" s="1138"/>
      <c r="S55" s="1138"/>
      <c r="T55" s="1138"/>
      <c r="U55" s="1138"/>
      <c r="V55" s="1138"/>
      <c r="W55" s="1138"/>
    </row>
    <row r="56">
      <c r="A56" s="1138"/>
      <c r="B56" s="1138"/>
      <c r="C56" s="1138"/>
      <c r="D56" s="1147"/>
      <c r="E56" s="1138"/>
      <c r="F56" s="1147"/>
      <c r="G56" s="1147"/>
      <c r="H56" s="1138"/>
      <c r="I56" s="1138"/>
      <c r="J56" s="1138"/>
      <c r="K56" s="1138"/>
      <c r="L56" s="1138"/>
      <c r="M56" s="1138"/>
      <c r="N56" s="1138"/>
      <c r="O56" s="1138"/>
      <c r="P56" s="1138"/>
      <c r="Q56" s="1138"/>
      <c r="R56" s="1138"/>
      <c r="S56" s="1138"/>
      <c r="T56" s="1138"/>
      <c r="U56" s="1138"/>
      <c r="V56" s="1138"/>
      <c r="W56" s="1138"/>
    </row>
    <row r="57">
      <c r="A57" s="1138"/>
      <c r="B57" s="1138"/>
      <c r="C57" s="1138"/>
      <c r="D57" s="1147"/>
      <c r="E57" s="1138"/>
      <c r="F57" s="1147"/>
      <c r="G57" s="1147"/>
      <c r="H57" s="1138"/>
      <c r="I57" s="1138"/>
      <c r="J57" s="1138"/>
      <c r="K57" s="1138"/>
      <c r="L57" s="1138"/>
      <c r="M57" s="1138"/>
      <c r="N57" s="1138"/>
      <c r="O57" s="1138"/>
      <c r="P57" s="1138"/>
      <c r="Q57" s="1138"/>
      <c r="R57" s="1138"/>
      <c r="S57" s="1138"/>
      <c r="T57" s="1138"/>
      <c r="U57" s="1138"/>
      <c r="V57" s="1138"/>
      <c r="W57" s="1138"/>
    </row>
    <row r="58">
      <c r="A58" s="1138"/>
      <c r="B58" s="1148" t="s">
        <v>6945</v>
      </c>
      <c r="C58" s="1138"/>
      <c r="D58" s="1147"/>
      <c r="E58" s="1138"/>
      <c r="F58" s="1147"/>
      <c r="G58" s="1147"/>
      <c r="H58" s="1138"/>
      <c r="I58" s="1138"/>
      <c r="J58" s="1138"/>
      <c r="K58" s="1138"/>
      <c r="L58" s="1138"/>
      <c r="M58" s="1138"/>
      <c r="N58" s="1138"/>
      <c r="O58" s="1138"/>
      <c r="P58" s="1138"/>
      <c r="Q58" s="1138"/>
      <c r="R58" s="1138"/>
      <c r="S58" s="1138"/>
      <c r="T58" s="1138"/>
      <c r="U58" s="1138"/>
      <c r="V58" s="1138"/>
      <c r="W58" s="1138"/>
    </row>
    <row r="59">
      <c r="A59" s="1153" t="s">
        <v>1</v>
      </c>
      <c r="B59" s="1153" t="s">
        <v>6936</v>
      </c>
      <c r="C59" s="1153" t="s">
        <v>6937</v>
      </c>
      <c r="D59" s="1154" t="s">
        <v>6938</v>
      </c>
      <c r="E59" s="1153" t="s">
        <v>6939</v>
      </c>
      <c r="F59" s="1154" t="s">
        <v>6940</v>
      </c>
      <c r="G59" s="1147"/>
      <c r="H59" s="1138"/>
      <c r="I59" s="1138"/>
      <c r="J59" s="1138"/>
      <c r="K59" s="1138"/>
      <c r="L59" s="1138"/>
      <c r="M59" s="1138"/>
      <c r="N59" s="1138"/>
      <c r="O59" s="1138"/>
      <c r="P59" s="1138"/>
      <c r="Q59" s="1138"/>
      <c r="R59" s="1138"/>
      <c r="S59" s="1138"/>
      <c r="T59" s="1138"/>
      <c r="U59" s="1138"/>
      <c r="V59" s="1138"/>
      <c r="W59" s="1138"/>
    </row>
    <row r="60">
      <c r="A60" s="1157" t="s">
        <v>10</v>
      </c>
      <c r="B60" s="1141">
        <f>SUMIFS(ECOBANK!F:F,ECOBANK!A:A,"7/15/24")</f>
        <v>0</v>
      </c>
      <c r="C60" s="1139">
        <v>8.769502849E8</v>
      </c>
      <c r="D60" s="1139">
        <v>9422051.0</v>
      </c>
      <c r="E60" s="1139">
        <f t="shared" ref="E60:E64" si="15">F60-D60</f>
        <v>1411759</v>
      </c>
      <c r="F60" s="1139">
        <v>1.083381E7</v>
      </c>
      <c r="G60" s="1151">
        <v>1.083381E7</v>
      </c>
      <c r="H60" s="1138"/>
      <c r="I60" s="1138"/>
      <c r="J60" s="1138"/>
      <c r="K60" s="1138"/>
      <c r="L60" s="1138"/>
      <c r="M60" s="1138"/>
      <c r="N60" s="1138"/>
      <c r="O60" s="1138"/>
      <c r="P60" s="1138"/>
      <c r="Q60" s="1138"/>
      <c r="R60" s="1138"/>
      <c r="S60" s="1138"/>
      <c r="T60" s="1138"/>
      <c r="U60" s="1138"/>
      <c r="V60" s="1138"/>
      <c r="W60" s="1138"/>
    </row>
    <row r="61">
      <c r="A61" s="1157" t="s">
        <v>24</v>
      </c>
      <c r="B61" s="1141">
        <f>SUMIFS('TRADE CENTER'!F:F,'TRADE CENTER'!A:A,"7/15/24")</f>
        <v>0</v>
      </c>
      <c r="C61" s="1139">
        <v>6.5581172428E8</v>
      </c>
      <c r="D61" s="1155">
        <v>1404255.0</v>
      </c>
      <c r="E61" s="1139">
        <f t="shared" si="15"/>
        <v>6959000</v>
      </c>
      <c r="F61" s="1139">
        <v>8363255.0</v>
      </c>
      <c r="G61" s="1147"/>
      <c r="H61" s="1138"/>
      <c r="I61" s="1138"/>
      <c r="J61" s="1138"/>
      <c r="K61" s="1138"/>
      <c r="L61" s="1138"/>
      <c r="M61" s="1138"/>
      <c r="N61" s="1138"/>
      <c r="O61" s="1138"/>
      <c r="P61" s="1138"/>
      <c r="Q61" s="1138"/>
      <c r="R61" s="1138"/>
      <c r="S61" s="1138"/>
      <c r="T61" s="1138"/>
      <c r="U61" s="1138"/>
      <c r="V61" s="1138"/>
      <c r="W61" s="1138"/>
    </row>
    <row r="62">
      <c r="A62" s="1157" t="s">
        <v>12</v>
      </c>
      <c r="B62" s="1141">
        <f>SUMIFS(PENSION!F:F,PENSION!A:A,"7/15/2024")</f>
        <v>0</v>
      </c>
      <c r="C62" s="1139">
        <v>2.7577138941E8</v>
      </c>
      <c r="D62" s="1139">
        <v>553064.0</v>
      </c>
      <c r="E62" s="1139">
        <f t="shared" si="15"/>
        <v>3146532.35</v>
      </c>
      <c r="F62" s="1139">
        <v>3699596.35</v>
      </c>
      <c r="G62" s="1147"/>
      <c r="H62" s="1138"/>
      <c r="I62" s="1138"/>
      <c r="J62" s="1138"/>
      <c r="K62" s="1138"/>
      <c r="L62" s="1138"/>
      <c r="M62" s="1138"/>
      <c r="N62" s="1138"/>
      <c r="O62" s="1138"/>
      <c r="P62" s="1138"/>
      <c r="Q62" s="1138"/>
      <c r="R62" s="1138"/>
      <c r="S62" s="1138"/>
      <c r="T62" s="1138"/>
      <c r="U62" s="1138"/>
      <c r="V62" s="1138"/>
      <c r="W62" s="1138"/>
    </row>
    <row r="63">
      <c r="A63" s="1157" t="s">
        <v>13</v>
      </c>
      <c r="B63" s="1141">
        <f>SUMIFS(KITENGELA!F:F,KITENGELA!A:A,"7/15/24")</f>
        <v>0</v>
      </c>
      <c r="C63" s="1139">
        <v>1.1371231154E8</v>
      </c>
      <c r="D63" s="1139" t="str">
        <f>SUM(#REF!)</f>
        <v>#REF!</v>
      </c>
      <c r="E63" s="1139" t="str">
        <f t="shared" si="15"/>
        <v>#REF!</v>
      </c>
      <c r="F63" s="1139">
        <v>797405.0</v>
      </c>
      <c r="G63" s="1147"/>
      <c r="H63" s="1138"/>
      <c r="I63" s="1138"/>
      <c r="J63" s="1138"/>
      <c r="K63" s="1138"/>
      <c r="L63" s="1138"/>
      <c r="M63" s="1138"/>
      <c r="N63" s="1138"/>
      <c r="O63" s="1138"/>
      <c r="P63" s="1138"/>
      <c r="Q63" s="1138"/>
      <c r="R63" s="1138"/>
      <c r="S63" s="1138"/>
      <c r="T63" s="1138"/>
      <c r="U63" s="1138"/>
      <c r="V63" s="1138"/>
      <c r="W63" s="1138"/>
    </row>
    <row r="64">
      <c r="A64" s="1157" t="s">
        <v>14</v>
      </c>
      <c r="B64" s="1141">
        <f>SUMIFS(ELDORET!F:F,ELDORET!A:A,"7/15/24")</f>
        <v>0</v>
      </c>
      <c r="C64" s="1139">
        <v>1.6780004435E8</v>
      </c>
      <c r="D64" s="1139">
        <v>268314.0</v>
      </c>
      <c r="E64" s="1139">
        <f t="shared" si="15"/>
        <v>0</v>
      </c>
      <c r="F64" s="1139">
        <v>268314.0</v>
      </c>
      <c r="G64" s="1147"/>
      <c r="H64" s="1138"/>
      <c r="I64" s="1138"/>
      <c r="J64" s="1138"/>
      <c r="K64" s="1138"/>
      <c r="L64" s="1138"/>
      <c r="M64" s="1138"/>
      <c r="N64" s="1138"/>
      <c r="O64" s="1138"/>
      <c r="P64" s="1138"/>
      <c r="Q64" s="1138"/>
      <c r="R64" s="1138"/>
      <c r="S64" s="1138"/>
      <c r="T64" s="1138"/>
      <c r="U64" s="1138"/>
      <c r="V64" s="1138"/>
      <c r="W64" s="1138"/>
    </row>
    <row r="65">
      <c r="A65" s="1157" t="s">
        <v>15</v>
      </c>
      <c r="B65" s="1141">
        <f>SUMIFS(NAKURU!F:F,NAKURU!A:A,"7/15/24")</f>
        <v>0</v>
      </c>
      <c r="C65" s="1139">
        <v>1.8951519E7</v>
      </c>
      <c r="D65" s="1139">
        <v>51330.0</v>
      </c>
      <c r="E65" s="1139">
        <v>90000.0</v>
      </c>
      <c r="F65" s="1145">
        <v>141330.0</v>
      </c>
      <c r="G65" s="1147"/>
      <c r="H65" s="1138"/>
      <c r="I65" s="1138"/>
      <c r="J65" s="1138"/>
      <c r="K65" s="1138"/>
      <c r="L65" s="1138"/>
      <c r="M65" s="1138"/>
      <c r="N65" s="1138"/>
      <c r="O65" s="1138"/>
      <c r="P65" s="1138"/>
      <c r="Q65" s="1138"/>
      <c r="R65" s="1138"/>
      <c r="S65" s="1138"/>
      <c r="T65" s="1138"/>
      <c r="U65" s="1138"/>
      <c r="V65" s="1138"/>
      <c r="W65" s="1138"/>
    </row>
    <row r="66">
      <c r="A66" s="1157" t="s">
        <v>16</v>
      </c>
      <c r="B66" s="1141">
        <f>SUMIFS(HOMABAY!F:F,HOMABAY!A:A,"7/15/24")</f>
        <v>0</v>
      </c>
      <c r="C66" s="1139">
        <v>1.5401864E7</v>
      </c>
      <c r="D66" s="1150">
        <v>2000.0</v>
      </c>
      <c r="E66" s="1145">
        <f>F66-D66</f>
        <v>26002</v>
      </c>
      <c r="F66" s="1145">
        <v>28002.0</v>
      </c>
      <c r="G66" s="1147"/>
      <c r="H66" s="1138"/>
      <c r="I66" s="1138"/>
      <c r="J66" s="1138"/>
      <c r="K66" s="1138"/>
      <c r="L66" s="1138"/>
      <c r="M66" s="1138"/>
      <c r="N66" s="1138"/>
      <c r="O66" s="1138"/>
      <c r="P66" s="1138"/>
      <c r="Q66" s="1138"/>
      <c r="R66" s="1138"/>
      <c r="S66" s="1138"/>
      <c r="T66" s="1138"/>
      <c r="U66" s="1138"/>
      <c r="V66" s="1138"/>
      <c r="W66" s="1138"/>
    </row>
    <row r="67">
      <c r="A67" s="1157" t="s">
        <v>17</v>
      </c>
      <c r="B67" s="1141">
        <f>SUMIFS(MOMBASA!F:F,MOMBASA!A:A,"7/15/24")</f>
        <v>0</v>
      </c>
      <c r="C67" s="1139">
        <v>2.0441944421E8</v>
      </c>
      <c r="D67" s="1139" t="str">
        <f>SUM(#REF!)</f>
        <v>#REF!</v>
      </c>
      <c r="E67" s="1139">
        <v>16629.0</v>
      </c>
      <c r="F67" s="1139">
        <v>668353.0</v>
      </c>
      <c r="G67" s="1147"/>
      <c r="H67" s="1138"/>
      <c r="I67" s="1138"/>
      <c r="J67" s="1138"/>
      <c r="K67" s="1138"/>
      <c r="L67" s="1138"/>
      <c r="M67" s="1138"/>
      <c r="N67" s="1138"/>
      <c r="O67" s="1138"/>
      <c r="P67" s="1138"/>
      <c r="Q67" s="1138"/>
      <c r="R67" s="1138"/>
      <c r="S67" s="1138"/>
      <c r="T67" s="1138"/>
      <c r="U67" s="1138"/>
      <c r="V67" s="1138"/>
      <c r="W67" s="1138"/>
    </row>
    <row r="68">
      <c r="A68" s="1158" t="s">
        <v>18</v>
      </c>
      <c r="B68" s="1141">
        <f>SUMIFS(KISUMU!F:F,KISUMU!A:A,"7/15/24")</f>
        <v>0</v>
      </c>
      <c r="C68" s="1139">
        <v>9.400440337E7</v>
      </c>
      <c r="D68" s="1139">
        <v>112810.0</v>
      </c>
      <c r="E68" s="1139">
        <v>542882.95</v>
      </c>
      <c r="F68" s="1139">
        <f>D68+E68</f>
        <v>655692.95</v>
      </c>
      <c r="G68" s="1147"/>
      <c r="H68" s="1138"/>
      <c r="I68" s="1138"/>
      <c r="J68" s="1138"/>
      <c r="K68" s="1138"/>
      <c r="L68" s="1138"/>
      <c r="M68" s="1138"/>
      <c r="N68" s="1138"/>
      <c r="O68" s="1138"/>
      <c r="P68" s="1138"/>
      <c r="Q68" s="1138"/>
      <c r="R68" s="1138"/>
      <c r="S68" s="1138"/>
      <c r="T68" s="1138"/>
      <c r="U68" s="1138"/>
      <c r="V68" s="1138"/>
      <c r="W68" s="1138"/>
    </row>
    <row r="69">
      <c r="A69" s="1157" t="s">
        <v>19</v>
      </c>
      <c r="B69" s="1141">
        <f>SUMIFS(VOI!F:F,VOI!A:A,"7/15/24")</f>
        <v>0</v>
      </c>
      <c r="C69" s="1159">
        <v>7286267.33</v>
      </c>
      <c r="D69" s="1141">
        <v>43000.0</v>
      </c>
      <c r="E69" s="1145">
        <v>0.0</v>
      </c>
      <c r="F69" s="1160">
        <v>43000.0</v>
      </c>
      <c r="G69" s="1147"/>
      <c r="H69" s="1138"/>
      <c r="I69" s="1138"/>
      <c r="J69" s="1138"/>
      <c r="K69" s="1138"/>
      <c r="L69" s="1138"/>
      <c r="M69" s="1138"/>
      <c r="N69" s="1138"/>
      <c r="O69" s="1138"/>
      <c r="P69" s="1138"/>
      <c r="Q69" s="1138"/>
      <c r="R69" s="1138"/>
      <c r="S69" s="1138"/>
      <c r="T69" s="1138"/>
      <c r="U69" s="1138"/>
      <c r="V69" s="1138"/>
      <c r="W69" s="1138"/>
    </row>
    <row r="70">
      <c r="A70" s="1157" t="s">
        <v>20</v>
      </c>
      <c r="B70" s="1141">
        <f>SUMIFS(THIKA!F:F,THIKA!A:A,"7/15/24")</f>
        <v>0</v>
      </c>
      <c r="C70" s="1139">
        <v>6.905624269E7</v>
      </c>
      <c r="D70" s="1139">
        <v>2223700.0</v>
      </c>
      <c r="E70" s="1139">
        <f>F70-D70</f>
        <v>366161</v>
      </c>
      <c r="F70" s="1139">
        <v>2589861.0</v>
      </c>
      <c r="G70" s="1147"/>
      <c r="H70" s="1138"/>
      <c r="I70" s="1138"/>
      <c r="J70" s="1138"/>
      <c r="K70" s="1138"/>
      <c r="L70" s="1138"/>
      <c r="M70" s="1138"/>
      <c r="N70" s="1138"/>
      <c r="O70" s="1138"/>
      <c r="P70" s="1138"/>
      <c r="Q70" s="1138"/>
      <c r="R70" s="1138"/>
      <c r="S70" s="1138"/>
      <c r="T70" s="1138"/>
      <c r="U70" s="1138"/>
      <c r="V70" s="1138"/>
      <c r="W70" s="1138"/>
    </row>
    <row r="71">
      <c r="A71" s="1157" t="s">
        <v>21</v>
      </c>
      <c r="B71" s="1141">
        <f>SUMIFS(KITUI!F:F,KITUI!A:A,"7/15/24")</f>
        <v>0</v>
      </c>
      <c r="C71" s="1139">
        <v>1719424.15</v>
      </c>
      <c r="D71" s="1139">
        <v>0.0</v>
      </c>
      <c r="E71" s="1161">
        <v>0.0</v>
      </c>
      <c r="F71" s="1139">
        <v>0.0</v>
      </c>
      <c r="G71" s="1147"/>
      <c r="H71" s="1138"/>
      <c r="I71" s="1138"/>
      <c r="J71" s="1138"/>
      <c r="K71" s="1138"/>
      <c r="L71" s="1138"/>
      <c r="M71" s="1138"/>
      <c r="N71" s="1138"/>
      <c r="O71" s="1138"/>
      <c r="P71" s="1138"/>
      <c r="Q71" s="1138"/>
      <c r="R71" s="1138"/>
      <c r="S71" s="1138"/>
      <c r="T71" s="1138"/>
      <c r="U71" s="1138"/>
      <c r="V71" s="1138"/>
      <c r="W71" s="1138"/>
    </row>
    <row r="72">
      <c r="A72" s="1157" t="s">
        <v>22</v>
      </c>
      <c r="B72" s="1141">
        <f>SUMIFS(MACHAKOS!F:F,MACHAKOS!A:A,"7/15/24")</f>
        <v>0</v>
      </c>
      <c r="C72" s="1139">
        <v>75516.59</v>
      </c>
      <c r="D72" s="1139">
        <v>32511.0</v>
      </c>
      <c r="E72" s="1151">
        <v>0.0</v>
      </c>
      <c r="F72" s="1139">
        <v>32511.0</v>
      </c>
      <c r="G72" s="1147"/>
      <c r="H72" s="1138"/>
      <c r="I72" s="1138"/>
      <c r="J72" s="1138"/>
      <c r="K72" s="1138"/>
      <c r="L72" s="1138"/>
      <c r="M72" s="1138"/>
      <c r="N72" s="1138"/>
      <c r="O72" s="1138"/>
      <c r="P72" s="1138"/>
      <c r="Q72" s="1138"/>
      <c r="R72" s="1138"/>
      <c r="S72" s="1138"/>
      <c r="T72" s="1138"/>
      <c r="U72" s="1138"/>
      <c r="V72" s="1138"/>
      <c r="W72" s="1138"/>
    </row>
    <row r="73">
      <c r="A73" s="1162" t="s">
        <v>23</v>
      </c>
      <c r="B73" s="1163">
        <f>SUM(B60:B72)</f>
        <v>0</v>
      </c>
      <c r="C73" s="1137">
        <f t="shared" ref="C73:F73" si="16">SUM(C59:C72)</f>
        <v>2500960436</v>
      </c>
      <c r="D73" s="1137" t="str">
        <f t="shared" si="16"/>
        <v>#REF!</v>
      </c>
      <c r="E73" s="1137" t="str">
        <f t="shared" si="16"/>
        <v>#REF!</v>
      </c>
      <c r="F73" s="1137">
        <f t="shared" si="16"/>
        <v>28121130.3</v>
      </c>
      <c r="G73" s="1147"/>
      <c r="H73" s="1138"/>
      <c r="I73" s="1138"/>
      <c r="J73" s="1138"/>
      <c r="K73" s="1138"/>
      <c r="L73" s="1138"/>
      <c r="M73" s="1138"/>
      <c r="N73" s="1138"/>
      <c r="O73" s="1138"/>
      <c r="P73" s="1138"/>
      <c r="Q73" s="1138"/>
      <c r="R73" s="1138"/>
      <c r="S73" s="1138"/>
      <c r="T73" s="1138"/>
      <c r="U73" s="1138"/>
      <c r="V73" s="1138"/>
      <c r="W73" s="1138"/>
    </row>
    <row r="74">
      <c r="A74" s="1138"/>
      <c r="B74" s="1138"/>
      <c r="C74" s="1138"/>
      <c r="D74" s="1147"/>
      <c r="E74" s="1138"/>
      <c r="F74" s="1147"/>
      <c r="G74" s="1147"/>
      <c r="H74" s="1138"/>
      <c r="I74" s="1138"/>
      <c r="J74" s="1138"/>
      <c r="K74" s="1138"/>
      <c r="L74" s="1138"/>
      <c r="M74" s="1138"/>
      <c r="N74" s="1138"/>
      <c r="O74" s="1138"/>
      <c r="P74" s="1138"/>
      <c r="Q74" s="1138"/>
      <c r="R74" s="1138"/>
      <c r="S74" s="1138"/>
      <c r="T74" s="1138"/>
      <c r="U74" s="1138"/>
      <c r="V74" s="1138"/>
      <c r="W74" s="1138"/>
    </row>
    <row r="75">
      <c r="A75" s="1138"/>
      <c r="B75" s="1138"/>
      <c r="C75" s="1138"/>
      <c r="D75" s="1147"/>
      <c r="E75" s="1138"/>
      <c r="F75" s="1147"/>
      <c r="G75" s="1147"/>
      <c r="H75" s="1138"/>
      <c r="I75" s="1138"/>
      <c r="J75" s="1138"/>
      <c r="K75" s="1138"/>
      <c r="L75" s="1138"/>
      <c r="M75" s="1138"/>
      <c r="N75" s="1138"/>
      <c r="O75" s="1138"/>
      <c r="P75" s="1138"/>
      <c r="Q75" s="1138"/>
      <c r="R75" s="1138"/>
      <c r="S75" s="1138"/>
      <c r="T75" s="1138"/>
      <c r="U75" s="1138"/>
      <c r="V75" s="1138"/>
      <c r="W75" s="1138"/>
    </row>
    <row r="76">
      <c r="A76" s="1138"/>
      <c r="B76" s="1148" t="s">
        <v>6946</v>
      </c>
      <c r="C76" s="1138"/>
      <c r="D76" s="1147"/>
      <c r="E76" s="1138"/>
      <c r="F76" s="1147"/>
      <c r="G76" s="1147"/>
      <c r="H76" s="1138"/>
      <c r="I76" s="1138"/>
      <c r="J76" s="1138"/>
      <c r="K76" s="1138"/>
      <c r="L76" s="1138"/>
      <c r="M76" s="1138"/>
      <c r="N76" s="1138"/>
      <c r="O76" s="1138"/>
      <c r="P76" s="1138"/>
      <c r="Q76" s="1138"/>
      <c r="R76" s="1138"/>
      <c r="S76" s="1138"/>
      <c r="T76" s="1138"/>
      <c r="U76" s="1138"/>
      <c r="V76" s="1138"/>
      <c r="W76" s="1138"/>
    </row>
    <row r="77">
      <c r="A77" s="1153" t="s">
        <v>1</v>
      </c>
      <c r="B77" s="1153" t="s">
        <v>6936</v>
      </c>
      <c r="C77" s="1153" t="s">
        <v>6937</v>
      </c>
      <c r="D77" s="1154" t="s">
        <v>6938</v>
      </c>
      <c r="E77" s="1153" t="s">
        <v>6939</v>
      </c>
      <c r="F77" s="1154" t="s">
        <v>6940</v>
      </c>
      <c r="G77" s="1147"/>
      <c r="H77" s="1138"/>
      <c r="I77" s="1138"/>
      <c r="J77" s="1138"/>
      <c r="K77" s="1138"/>
      <c r="L77" s="1138"/>
      <c r="M77" s="1138"/>
      <c r="N77" s="1138"/>
      <c r="O77" s="1138"/>
      <c r="P77" s="1138"/>
      <c r="Q77" s="1138"/>
      <c r="R77" s="1138"/>
      <c r="S77" s="1138"/>
      <c r="T77" s="1138"/>
      <c r="U77" s="1138"/>
      <c r="V77" s="1138"/>
      <c r="W77" s="1138"/>
    </row>
    <row r="78">
      <c r="A78" s="1157" t="s">
        <v>10</v>
      </c>
      <c r="B78" s="1164">
        <f>SUMIFS(ECOBANK!F:F,ECOBANK!A:A,"7/16/24")</f>
        <v>0</v>
      </c>
      <c r="C78" s="1139">
        <v>8.769502849E8</v>
      </c>
      <c r="D78" s="1139">
        <v>1790800.0</v>
      </c>
      <c r="E78" s="1139">
        <f t="shared" ref="E78:E91" si="17">F78-D78</f>
        <v>1218000</v>
      </c>
      <c r="F78" s="1139">
        <v>3008800.0</v>
      </c>
      <c r="G78" s="1147"/>
      <c r="H78" s="1138"/>
      <c r="I78" s="1138"/>
      <c r="J78" s="1138"/>
      <c r="K78" s="1138"/>
      <c r="L78" s="1138"/>
      <c r="M78" s="1138"/>
      <c r="N78" s="1138"/>
      <c r="O78" s="1138"/>
      <c r="P78" s="1138"/>
      <c r="Q78" s="1138"/>
      <c r="R78" s="1138"/>
      <c r="S78" s="1138"/>
      <c r="T78" s="1138"/>
      <c r="U78" s="1138"/>
      <c r="V78" s="1138"/>
      <c r="W78" s="1138"/>
    </row>
    <row r="79">
      <c r="A79" s="1157" t="s">
        <v>24</v>
      </c>
      <c r="B79" s="1164">
        <f>SUMIFS('TRADE CENTER'!F:F,'TRADE CENTER'!A:A,"7/16/24")</f>
        <v>0</v>
      </c>
      <c r="C79" s="1139">
        <v>6.5523855426E8</v>
      </c>
      <c r="D79" s="1155">
        <v>93200.0</v>
      </c>
      <c r="E79" s="1139">
        <f t="shared" si="17"/>
        <v>251207</v>
      </c>
      <c r="F79" s="1139">
        <v>344407.0</v>
      </c>
      <c r="G79" s="1147"/>
      <c r="H79" s="1138"/>
      <c r="I79" s="1138"/>
      <c r="J79" s="1138"/>
      <c r="K79" s="1138"/>
      <c r="L79" s="1138"/>
      <c r="M79" s="1138"/>
      <c r="N79" s="1138"/>
      <c r="O79" s="1138"/>
      <c r="P79" s="1138"/>
      <c r="Q79" s="1138"/>
      <c r="R79" s="1138"/>
      <c r="S79" s="1138"/>
      <c r="T79" s="1138"/>
      <c r="U79" s="1138"/>
      <c r="V79" s="1138"/>
      <c r="W79" s="1138"/>
    </row>
    <row r="80">
      <c r="A80" s="1157" t="s">
        <v>12</v>
      </c>
      <c r="B80" s="1164">
        <f>SUMIFS(PENSION!F:F,PENSION!A:A,"7/16/2024")</f>
        <v>0</v>
      </c>
      <c r="C80" s="1139">
        <v>2.7397662794E8</v>
      </c>
      <c r="D80" s="1139">
        <v>516949.0</v>
      </c>
      <c r="E80" s="1139">
        <f t="shared" si="17"/>
        <v>152015</v>
      </c>
      <c r="F80" s="1139">
        <v>668964.0</v>
      </c>
      <c r="G80" s="1147"/>
      <c r="H80" s="1138"/>
      <c r="I80" s="1138"/>
      <c r="J80" s="1138"/>
      <c r="K80" s="1138"/>
      <c r="L80" s="1138"/>
      <c r="M80" s="1138"/>
      <c r="N80" s="1138"/>
      <c r="O80" s="1138"/>
      <c r="P80" s="1138"/>
      <c r="Q80" s="1138"/>
      <c r="R80" s="1138"/>
      <c r="S80" s="1138"/>
      <c r="T80" s="1138"/>
      <c r="U80" s="1138"/>
      <c r="V80" s="1138"/>
      <c r="W80" s="1138"/>
    </row>
    <row r="81">
      <c r="A81" s="1157" t="s">
        <v>13</v>
      </c>
      <c r="B81" s="1164">
        <f>SUMIFS(KITENGELA!F:F,KITENGELA!A:A,"7/16/24")</f>
        <v>0</v>
      </c>
      <c r="C81" s="1139">
        <v>1.1269834825E8</v>
      </c>
      <c r="D81" s="1139">
        <v>733000.0</v>
      </c>
      <c r="E81" s="1139">
        <f t="shared" si="17"/>
        <v>508621</v>
      </c>
      <c r="F81" s="1139">
        <v>1241621.0</v>
      </c>
      <c r="G81" s="1147"/>
      <c r="H81" s="1138"/>
      <c r="I81" s="1138"/>
      <c r="J81" s="1138"/>
      <c r="K81" s="1138"/>
      <c r="L81" s="1138"/>
      <c r="M81" s="1138"/>
      <c r="N81" s="1138"/>
      <c r="O81" s="1138"/>
      <c r="P81" s="1138"/>
      <c r="Q81" s="1138"/>
      <c r="R81" s="1138"/>
      <c r="S81" s="1138"/>
      <c r="T81" s="1138"/>
      <c r="U81" s="1138"/>
      <c r="V81" s="1138"/>
      <c r="W81" s="1138"/>
    </row>
    <row r="82">
      <c r="A82" s="1157" t="s">
        <v>14</v>
      </c>
      <c r="B82" s="1164">
        <f>SUMIFS(ELDORET!F:F,ELDORET!A:A,"7/16/24")</f>
        <v>0</v>
      </c>
      <c r="C82" s="1139">
        <v>1.679311804E8</v>
      </c>
      <c r="D82" s="1139">
        <v>39023.0</v>
      </c>
      <c r="E82" s="1139">
        <f t="shared" si="17"/>
        <v>7000</v>
      </c>
      <c r="F82" s="1139">
        <v>46023.0</v>
      </c>
      <c r="G82" s="1147"/>
      <c r="H82" s="1138"/>
      <c r="I82" s="1138"/>
      <c r="J82" s="1138"/>
      <c r="K82" s="1138"/>
      <c r="L82" s="1138"/>
      <c r="M82" s="1138"/>
      <c r="N82" s="1138"/>
      <c r="O82" s="1138"/>
      <c r="P82" s="1138"/>
      <c r="Q82" s="1138"/>
      <c r="R82" s="1138"/>
      <c r="S82" s="1138"/>
      <c r="T82" s="1138"/>
      <c r="U82" s="1138"/>
      <c r="V82" s="1138"/>
      <c r="W82" s="1138"/>
    </row>
    <row r="83">
      <c r="A83" s="1157" t="s">
        <v>15</v>
      </c>
      <c r="B83" s="1164">
        <f>SUMIFS(NAKURU!F:F,NAKURU!A:A,"7/16/24")</f>
        <v>0</v>
      </c>
      <c r="C83" s="1139">
        <v>1.8958518E7</v>
      </c>
      <c r="D83" s="1139">
        <v>205000.0</v>
      </c>
      <c r="E83" s="1139">
        <f t="shared" si="17"/>
        <v>70487</v>
      </c>
      <c r="F83" s="1145">
        <v>275487.0</v>
      </c>
      <c r="G83" s="1147"/>
      <c r="H83" s="1138"/>
      <c r="I83" s="1138"/>
      <c r="J83" s="1138"/>
      <c r="K83" s="1138"/>
      <c r="L83" s="1138"/>
      <c r="M83" s="1138"/>
      <c r="N83" s="1138"/>
      <c r="O83" s="1138"/>
      <c r="P83" s="1138"/>
      <c r="Q83" s="1138"/>
      <c r="R83" s="1138"/>
      <c r="S83" s="1138"/>
      <c r="T83" s="1138"/>
      <c r="U83" s="1138"/>
      <c r="V83" s="1138"/>
      <c r="W83" s="1138"/>
    </row>
    <row r="84">
      <c r="A84" s="1157" t="s">
        <v>16</v>
      </c>
      <c r="B84" s="1164">
        <f>SUMIFS(HOMABAY!F:F,HOMABAY!A:A,"7/16/24")</f>
        <v>0</v>
      </c>
      <c r="C84" s="1139">
        <v>1.537416898E7</v>
      </c>
      <c r="D84" s="1150">
        <v>0.0</v>
      </c>
      <c r="E84" s="1139">
        <f t="shared" si="17"/>
        <v>0</v>
      </c>
      <c r="F84" s="1145">
        <v>0.0</v>
      </c>
      <c r="G84" s="1147"/>
      <c r="H84" s="1138"/>
      <c r="I84" s="1138"/>
      <c r="J84" s="1138"/>
      <c r="K84" s="1138"/>
      <c r="L84" s="1138"/>
      <c r="M84" s="1138"/>
      <c r="N84" s="1138"/>
      <c r="O84" s="1138"/>
      <c r="P84" s="1138"/>
      <c r="Q84" s="1138"/>
      <c r="R84" s="1138"/>
      <c r="S84" s="1138"/>
      <c r="T84" s="1138"/>
      <c r="U84" s="1138"/>
      <c r="V84" s="1138"/>
      <c r="W84" s="1138"/>
    </row>
    <row r="85">
      <c r="A85" s="1157" t="s">
        <v>17</v>
      </c>
      <c r="B85" s="1164">
        <f>SUMIFS(MOMBASA!F:F,MOMBASA!A:A,"7/16/24")</f>
        <v>0</v>
      </c>
      <c r="C85" s="1139">
        <v>2.0443296327E8</v>
      </c>
      <c r="D85" s="1139">
        <v>169505.0</v>
      </c>
      <c r="E85" s="1139">
        <f t="shared" si="17"/>
        <v>0</v>
      </c>
      <c r="F85" s="1139">
        <v>169505.0</v>
      </c>
      <c r="G85" s="1147"/>
      <c r="H85" s="1138"/>
      <c r="I85" s="1138"/>
      <c r="J85" s="1138"/>
      <c r="K85" s="1138"/>
      <c r="L85" s="1138"/>
      <c r="M85" s="1138"/>
      <c r="N85" s="1138"/>
      <c r="O85" s="1138"/>
      <c r="P85" s="1138"/>
      <c r="Q85" s="1138"/>
      <c r="R85" s="1138"/>
      <c r="S85" s="1138"/>
      <c r="T85" s="1138"/>
      <c r="U85" s="1138"/>
      <c r="V85" s="1138"/>
      <c r="W85" s="1138"/>
    </row>
    <row r="86">
      <c r="A86" s="1158" t="s">
        <v>18</v>
      </c>
      <c r="B86" s="1164">
        <f>SUMIFS(KISUMU!F:F,KISUMU!A:A,"7/16/24")</f>
        <v>0</v>
      </c>
      <c r="C86" s="1139">
        <v>9.422650962E7</v>
      </c>
      <c r="D86" s="1139">
        <v>24000.0</v>
      </c>
      <c r="E86" s="1139">
        <f t="shared" si="17"/>
        <v>6000</v>
      </c>
      <c r="F86" s="1139">
        <v>30000.0</v>
      </c>
      <c r="G86" s="1147"/>
      <c r="H86" s="1138"/>
      <c r="I86" s="1138"/>
      <c r="J86" s="1138"/>
      <c r="K86" s="1138"/>
      <c r="L86" s="1138"/>
      <c r="M86" s="1138"/>
      <c r="N86" s="1138"/>
      <c r="O86" s="1138"/>
      <c r="P86" s="1138"/>
      <c r="Q86" s="1138"/>
      <c r="R86" s="1138"/>
      <c r="S86" s="1138"/>
      <c r="T86" s="1138"/>
      <c r="U86" s="1138"/>
      <c r="V86" s="1138"/>
      <c r="W86" s="1138"/>
    </row>
    <row r="87">
      <c r="A87" s="1157" t="s">
        <v>19</v>
      </c>
      <c r="B87" s="1164">
        <f>SUMIFS(VOI!F:F,VOI!A:A,"7/16/24")</f>
        <v>0</v>
      </c>
      <c r="C87" s="1159">
        <v>7286267.33</v>
      </c>
      <c r="D87" s="1145">
        <v>30300.0</v>
      </c>
      <c r="E87" s="1139">
        <f t="shared" si="17"/>
        <v>0</v>
      </c>
      <c r="F87" s="1145">
        <v>30300.0</v>
      </c>
      <c r="G87" s="1147"/>
      <c r="H87" s="1138"/>
      <c r="I87" s="1138"/>
      <c r="J87" s="1138"/>
      <c r="K87" s="1138"/>
      <c r="L87" s="1138"/>
      <c r="M87" s="1138"/>
      <c r="N87" s="1138"/>
      <c r="O87" s="1138"/>
      <c r="P87" s="1138"/>
      <c r="Q87" s="1138"/>
      <c r="R87" s="1138"/>
      <c r="S87" s="1138"/>
      <c r="T87" s="1138"/>
      <c r="U87" s="1138"/>
      <c r="V87" s="1138"/>
      <c r="W87" s="1138"/>
    </row>
    <row r="88">
      <c r="A88" s="1157" t="s">
        <v>20</v>
      </c>
      <c r="B88" s="1164">
        <f>SUMIFS(THIKA!F:F,THIKA!A:A,"7/16/24")</f>
        <v>0</v>
      </c>
      <c r="C88" s="1139">
        <v>6.828079621E7</v>
      </c>
      <c r="D88" s="1139">
        <v>693807.0</v>
      </c>
      <c r="E88" s="1139">
        <f t="shared" si="17"/>
        <v>161006.78</v>
      </c>
      <c r="F88" s="1145">
        <v>854813.78</v>
      </c>
      <c r="G88" s="1147"/>
      <c r="H88" s="1138"/>
      <c r="I88" s="1138"/>
      <c r="J88" s="1138"/>
      <c r="K88" s="1138"/>
      <c r="L88" s="1138"/>
      <c r="M88" s="1138"/>
      <c r="N88" s="1138"/>
      <c r="O88" s="1138"/>
      <c r="P88" s="1138"/>
      <c r="Q88" s="1138"/>
      <c r="R88" s="1138"/>
      <c r="S88" s="1138"/>
      <c r="T88" s="1138"/>
      <c r="U88" s="1138"/>
      <c r="V88" s="1138"/>
      <c r="W88" s="1138"/>
    </row>
    <row r="89">
      <c r="A89" s="1157" t="s">
        <v>21</v>
      </c>
      <c r="B89" s="1164">
        <f>SUMIFS(KITUI!F:F,KITUI!A:A,"7/16/24")</f>
        <v>0</v>
      </c>
      <c r="C89" s="1139">
        <v>1719424.15</v>
      </c>
      <c r="D89" s="1139">
        <v>0.0</v>
      </c>
      <c r="E89" s="1139">
        <f t="shared" si="17"/>
        <v>0</v>
      </c>
      <c r="F89" s="1139">
        <v>0.0</v>
      </c>
      <c r="G89" s="1147"/>
      <c r="H89" s="1138"/>
      <c r="I89" s="1138"/>
      <c r="J89" s="1138"/>
      <c r="K89" s="1138"/>
      <c r="L89" s="1138"/>
      <c r="M89" s="1138"/>
      <c r="N89" s="1138"/>
      <c r="O89" s="1138"/>
      <c r="P89" s="1138"/>
      <c r="Q89" s="1138"/>
      <c r="R89" s="1138"/>
      <c r="S89" s="1138"/>
      <c r="T89" s="1138"/>
      <c r="U89" s="1138"/>
      <c r="V89" s="1138"/>
      <c r="W89" s="1138"/>
    </row>
    <row r="90">
      <c r="A90" s="1157" t="s">
        <v>22</v>
      </c>
      <c r="B90" s="1164">
        <f>SUMIFS(MACHAKOS!F:F,MACHAKOS!A:A,"7/16/24")</f>
        <v>0</v>
      </c>
      <c r="C90" s="1139">
        <v>75516.59</v>
      </c>
      <c r="D90" s="1139">
        <v>0.0</v>
      </c>
      <c r="E90" s="1139">
        <f t="shared" si="17"/>
        <v>0</v>
      </c>
      <c r="F90" s="1139">
        <v>0.0</v>
      </c>
      <c r="G90" s="1147"/>
      <c r="H90" s="1138"/>
      <c r="I90" s="1138"/>
      <c r="J90" s="1138"/>
      <c r="K90" s="1138"/>
      <c r="L90" s="1138"/>
      <c r="M90" s="1138"/>
      <c r="N90" s="1138"/>
      <c r="O90" s="1138"/>
      <c r="P90" s="1138"/>
      <c r="Q90" s="1138"/>
      <c r="R90" s="1138"/>
      <c r="S90" s="1138"/>
      <c r="T90" s="1138"/>
      <c r="U90" s="1138"/>
      <c r="V90" s="1138"/>
      <c r="W90" s="1138"/>
    </row>
    <row r="91">
      <c r="A91" s="1165" t="s">
        <v>23</v>
      </c>
      <c r="B91" s="1166">
        <f t="shared" ref="B91:D91" si="18">SUM(B78:B90)</f>
        <v>0</v>
      </c>
      <c r="C91" s="1166">
        <f t="shared" si="18"/>
        <v>2497149160</v>
      </c>
      <c r="D91" s="1166">
        <f t="shared" si="18"/>
        <v>4295584</v>
      </c>
      <c r="E91" s="1167">
        <f t="shared" si="17"/>
        <v>2374336.78</v>
      </c>
      <c r="F91" s="1166">
        <f>SUM(F78:F90)</f>
        <v>6669920.78</v>
      </c>
      <c r="G91" s="1147"/>
      <c r="H91" s="1138"/>
      <c r="I91" s="1138"/>
      <c r="J91" s="1138"/>
      <c r="K91" s="1138"/>
      <c r="L91" s="1138"/>
      <c r="M91" s="1138"/>
      <c r="N91" s="1138"/>
      <c r="O91" s="1138"/>
      <c r="P91" s="1138"/>
      <c r="Q91" s="1138"/>
      <c r="R91" s="1138"/>
      <c r="S91" s="1138"/>
      <c r="T91" s="1138"/>
      <c r="U91" s="1138"/>
      <c r="V91" s="1138"/>
      <c r="W91" s="1138"/>
    </row>
    <row r="92">
      <c r="A92" s="1138"/>
      <c r="B92" s="1138"/>
      <c r="C92" s="1138"/>
      <c r="D92" s="1147"/>
      <c r="E92" s="1138"/>
      <c r="F92" s="1147"/>
      <c r="G92" s="1147"/>
      <c r="H92" s="1138"/>
      <c r="I92" s="1138"/>
      <c r="J92" s="1138"/>
      <c r="K92" s="1138"/>
      <c r="L92" s="1138"/>
      <c r="M92" s="1138"/>
      <c r="N92" s="1138"/>
      <c r="O92" s="1138"/>
      <c r="P92" s="1138"/>
      <c r="Q92" s="1138"/>
      <c r="R92" s="1138"/>
      <c r="S92" s="1138"/>
      <c r="T92" s="1138"/>
      <c r="U92" s="1138"/>
      <c r="V92" s="1138"/>
      <c r="W92" s="1138"/>
    </row>
    <row r="93">
      <c r="A93" s="1138"/>
      <c r="B93" s="1138"/>
      <c r="C93" s="1138"/>
      <c r="D93" s="1147"/>
      <c r="E93" s="1138"/>
      <c r="F93" s="1147"/>
      <c r="G93" s="1147"/>
      <c r="H93" s="1138"/>
      <c r="I93" s="1138"/>
      <c r="J93" s="1138"/>
      <c r="K93" s="1138"/>
      <c r="L93" s="1138"/>
      <c r="M93" s="1138"/>
      <c r="N93" s="1138"/>
      <c r="O93" s="1138"/>
      <c r="P93" s="1138"/>
      <c r="Q93" s="1138"/>
      <c r="R93" s="1138"/>
      <c r="S93" s="1138"/>
      <c r="T93" s="1138"/>
      <c r="U93" s="1138"/>
      <c r="V93" s="1138"/>
      <c r="W93" s="1138"/>
    </row>
    <row r="94">
      <c r="A94" s="1138"/>
      <c r="B94" s="1138"/>
      <c r="C94" s="1138"/>
      <c r="D94" s="1147"/>
      <c r="E94" s="1138"/>
      <c r="F94" s="1147"/>
      <c r="G94" s="1147"/>
      <c r="H94" s="1138"/>
      <c r="I94" s="1138"/>
      <c r="J94" s="1138"/>
      <c r="K94" s="1138"/>
      <c r="L94" s="1138"/>
      <c r="M94" s="1138"/>
      <c r="N94" s="1138"/>
      <c r="O94" s="1138"/>
      <c r="P94" s="1138"/>
      <c r="Q94" s="1138"/>
      <c r="R94" s="1138"/>
      <c r="S94" s="1138"/>
      <c r="T94" s="1138"/>
      <c r="U94" s="1138"/>
      <c r="V94" s="1138"/>
      <c r="W94" s="1138"/>
    </row>
    <row r="95">
      <c r="A95" s="1138"/>
      <c r="B95" s="1148" t="s">
        <v>6947</v>
      </c>
      <c r="C95" s="1138"/>
      <c r="D95" s="1147"/>
      <c r="E95" s="1138"/>
      <c r="F95" s="1147"/>
      <c r="G95" s="1147"/>
      <c r="H95" s="1138"/>
      <c r="I95" s="1138"/>
      <c r="J95" s="1138"/>
      <c r="K95" s="1138"/>
      <c r="L95" s="1138"/>
      <c r="M95" s="1138"/>
      <c r="N95" s="1138"/>
      <c r="O95" s="1138"/>
      <c r="P95" s="1138"/>
      <c r="Q95" s="1138"/>
      <c r="R95" s="1138"/>
      <c r="S95" s="1138"/>
      <c r="T95" s="1138"/>
      <c r="U95" s="1138"/>
      <c r="V95" s="1138"/>
      <c r="W95" s="1138"/>
    </row>
    <row r="96">
      <c r="A96" s="1153" t="s">
        <v>1</v>
      </c>
      <c r="B96" s="1153" t="s">
        <v>6936</v>
      </c>
      <c r="C96" s="1153" t="s">
        <v>6937</v>
      </c>
      <c r="D96" s="1154" t="s">
        <v>6938</v>
      </c>
      <c r="E96" s="1153" t="s">
        <v>6939</v>
      </c>
      <c r="F96" s="1154" t="s">
        <v>6940</v>
      </c>
      <c r="G96" s="1147"/>
      <c r="H96" s="1138"/>
      <c r="I96" s="1138"/>
      <c r="J96" s="1138"/>
      <c r="K96" s="1138"/>
      <c r="L96" s="1138"/>
      <c r="M96" s="1138"/>
      <c r="N96" s="1138"/>
      <c r="O96" s="1138"/>
      <c r="P96" s="1138"/>
      <c r="Q96" s="1138"/>
      <c r="R96" s="1138"/>
      <c r="S96" s="1138"/>
      <c r="T96" s="1138"/>
      <c r="U96" s="1138"/>
      <c r="V96" s="1138"/>
      <c r="W96" s="1138"/>
    </row>
    <row r="97">
      <c r="A97" s="1168" t="s">
        <v>10</v>
      </c>
      <c r="B97" s="1164">
        <f>SUMIFS(ECOBANK!F:F,ECOBANK!A:A,"7/17/24")</f>
        <v>0</v>
      </c>
      <c r="C97" s="1139">
        <v>8.7731308842E8</v>
      </c>
      <c r="D97" s="1143">
        <v>105311.0</v>
      </c>
      <c r="E97" s="1139">
        <f t="shared" ref="E97:E99" si="19">F97-D97</f>
        <v>72102</v>
      </c>
      <c r="F97" s="1139">
        <v>177413.0</v>
      </c>
      <c r="G97" s="1147"/>
      <c r="H97" s="1138"/>
      <c r="I97" s="1138"/>
      <c r="J97" s="1138"/>
      <c r="K97" s="1138"/>
      <c r="L97" s="1138"/>
      <c r="M97" s="1138"/>
      <c r="N97" s="1138"/>
      <c r="O97" s="1138"/>
      <c r="P97" s="1138"/>
      <c r="Q97" s="1138"/>
      <c r="R97" s="1138"/>
      <c r="S97" s="1138"/>
      <c r="T97" s="1138"/>
      <c r="U97" s="1138"/>
      <c r="V97" s="1138"/>
      <c r="W97" s="1138"/>
    </row>
    <row r="98">
      <c r="A98" s="1168" t="s">
        <v>24</v>
      </c>
      <c r="B98" s="1164">
        <f>SUMIFS('TRADE CENTER'!F:F,'TRADE CENTER'!A:A,"7/17/24")</f>
        <v>0</v>
      </c>
      <c r="C98" s="1139">
        <v>6.5558219669E8</v>
      </c>
      <c r="D98" s="1155">
        <v>207244.0</v>
      </c>
      <c r="E98" s="1139">
        <f t="shared" si="19"/>
        <v>30174</v>
      </c>
      <c r="F98" s="1139">
        <v>237418.0</v>
      </c>
      <c r="G98" s="1147"/>
      <c r="H98" s="1138"/>
      <c r="I98" s="1138"/>
      <c r="J98" s="1138"/>
      <c r="K98" s="1138"/>
      <c r="L98" s="1138"/>
      <c r="M98" s="1138"/>
      <c r="N98" s="1138"/>
      <c r="O98" s="1138"/>
      <c r="P98" s="1138"/>
      <c r="Q98" s="1138"/>
      <c r="R98" s="1138"/>
      <c r="S98" s="1138"/>
      <c r="T98" s="1138"/>
      <c r="U98" s="1138"/>
      <c r="V98" s="1138"/>
      <c r="W98" s="1138"/>
    </row>
    <row r="99">
      <c r="A99" s="1168" t="s">
        <v>12</v>
      </c>
      <c r="B99" s="1164">
        <f>SUMIFS(PENSION!F:F,PENSION!A:A,"7/17/2024")</f>
        <v>0</v>
      </c>
      <c r="C99" s="1139">
        <v>2.7446051971E8</v>
      </c>
      <c r="D99" s="1139">
        <v>1510986.0</v>
      </c>
      <c r="E99" s="1139">
        <f t="shared" si="19"/>
        <v>795375</v>
      </c>
      <c r="F99" s="1139">
        <v>2306361.0</v>
      </c>
      <c r="G99" s="1147"/>
      <c r="H99" s="1138"/>
      <c r="I99" s="1138"/>
      <c r="J99" s="1138"/>
      <c r="K99" s="1138"/>
      <c r="L99" s="1138"/>
      <c r="M99" s="1138"/>
      <c r="N99" s="1138"/>
      <c r="O99" s="1138"/>
      <c r="P99" s="1138"/>
      <c r="Q99" s="1138"/>
      <c r="R99" s="1138"/>
      <c r="S99" s="1138"/>
      <c r="T99" s="1138"/>
      <c r="U99" s="1138"/>
      <c r="V99" s="1138"/>
      <c r="W99" s="1138"/>
    </row>
    <row r="100">
      <c r="A100" s="1168" t="s">
        <v>13</v>
      </c>
      <c r="B100" s="1164">
        <f>SUMIFS(KITENGELA!F:F,KITENGELA!A:A,"7/17/24")</f>
        <v>0</v>
      </c>
      <c r="C100" s="1139">
        <v>1.1290516528E8</v>
      </c>
      <c r="D100" s="1139" t="str">
        <f>SUM(#REF!)</f>
        <v>#REF!</v>
      </c>
      <c r="E100" s="1139">
        <v>0.0</v>
      </c>
      <c r="F100" s="1139">
        <v>76683.0</v>
      </c>
      <c r="G100" s="1147"/>
      <c r="H100" s="1138"/>
      <c r="I100" s="1138"/>
      <c r="J100" s="1138"/>
      <c r="K100" s="1138"/>
      <c r="L100" s="1138"/>
      <c r="M100" s="1138"/>
      <c r="N100" s="1138"/>
      <c r="O100" s="1138"/>
      <c r="P100" s="1138"/>
      <c r="Q100" s="1138"/>
      <c r="R100" s="1138"/>
      <c r="S100" s="1138"/>
      <c r="T100" s="1138"/>
      <c r="U100" s="1138"/>
      <c r="V100" s="1138"/>
      <c r="W100" s="1138"/>
    </row>
    <row r="101">
      <c r="A101" s="1168" t="s">
        <v>14</v>
      </c>
      <c r="B101" s="1164">
        <f>SUMIFS(ELDORET!F:F,ELDORET!A:A,"7/17/24")</f>
        <v>0</v>
      </c>
      <c r="C101" s="1139">
        <v>1.6843847644E8</v>
      </c>
      <c r="D101" s="1139">
        <v>426075.0</v>
      </c>
      <c r="E101" s="1139">
        <f>F101-D101</f>
        <v>21500</v>
      </c>
      <c r="F101" s="1139">
        <v>447575.0</v>
      </c>
      <c r="G101" s="1147"/>
      <c r="H101" s="1138"/>
      <c r="I101" s="1138"/>
      <c r="J101" s="1138"/>
      <c r="K101" s="1138"/>
      <c r="L101" s="1138"/>
      <c r="M101" s="1138"/>
      <c r="N101" s="1138"/>
      <c r="O101" s="1138"/>
      <c r="P101" s="1138"/>
      <c r="Q101" s="1138"/>
      <c r="R101" s="1138"/>
      <c r="S101" s="1138"/>
      <c r="T101" s="1138"/>
      <c r="U101" s="1138"/>
      <c r="V101" s="1138"/>
      <c r="W101" s="1138"/>
    </row>
    <row r="102">
      <c r="A102" s="1168" t="s">
        <v>15</v>
      </c>
      <c r="B102" s="1164">
        <f>SUMIFS(NAKURU!F:F,NAKURU!A:A,"7/17/24")</f>
        <v>0</v>
      </c>
      <c r="C102" s="1139">
        <v>1.894766662E7</v>
      </c>
      <c r="D102" s="1139">
        <v>55699.0</v>
      </c>
      <c r="E102" s="1139">
        <v>187762.0</v>
      </c>
      <c r="F102" s="1146">
        <f>D102+E102</f>
        <v>243461</v>
      </c>
      <c r="G102" s="1147"/>
      <c r="H102" s="1138"/>
      <c r="I102" s="1138"/>
      <c r="J102" s="1138"/>
      <c r="K102" s="1138"/>
      <c r="L102" s="1138"/>
      <c r="M102" s="1138"/>
      <c r="N102" s="1138"/>
      <c r="O102" s="1138"/>
      <c r="P102" s="1138"/>
      <c r="Q102" s="1138"/>
      <c r="R102" s="1138"/>
      <c r="S102" s="1138"/>
      <c r="T102" s="1138"/>
      <c r="U102" s="1138"/>
      <c r="V102" s="1138"/>
      <c r="W102" s="1138"/>
    </row>
    <row r="103">
      <c r="A103" s="1168" t="s">
        <v>16</v>
      </c>
      <c r="B103" s="1164">
        <f>SUMIFS(HOMABAY!F:F,HOMABAY!A:A,"7/17/24")</f>
        <v>0</v>
      </c>
      <c r="C103" s="1139">
        <v>1.547175174E7</v>
      </c>
      <c r="D103" s="1150">
        <v>0.0</v>
      </c>
      <c r="E103" s="1139">
        <v>0.0</v>
      </c>
      <c r="F103" s="1146">
        <v>0.0</v>
      </c>
      <c r="G103" s="1147"/>
      <c r="H103" s="1138"/>
      <c r="I103" s="1138"/>
      <c r="J103" s="1138"/>
      <c r="K103" s="1138"/>
      <c r="L103" s="1138"/>
      <c r="M103" s="1138"/>
      <c r="N103" s="1138"/>
      <c r="O103" s="1138"/>
      <c r="P103" s="1138"/>
      <c r="Q103" s="1138"/>
      <c r="R103" s="1138"/>
      <c r="S103" s="1138"/>
      <c r="T103" s="1138"/>
      <c r="U103" s="1138"/>
      <c r="V103" s="1138"/>
      <c r="W103" s="1138"/>
    </row>
    <row r="104">
      <c r="A104" s="1168" t="s">
        <v>17</v>
      </c>
      <c r="B104" s="1164">
        <f>SUMIFS(MOMBASA!F:F,MOMBASA!A:A,"7/17/24")</f>
        <v>0</v>
      </c>
      <c r="C104" s="1139">
        <v>2.0489942807E8</v>
      </c>
      <c r="D104" s="1139">
        <v>29000.0</v>
      </c>
      <c r="E104" s="1139">
        <f>F104-D104</f>
        <v>503200</v>
      </c>
      <c r="F104" s="1139">
        <v>532200.0</v>
      </c>
      <c r="G104" s="1147"/>
      <c r="H104" s="1138"/>
      <c r="I104" s="1138"/>
      <c r="J104" s="1138"/>
      <c r="K104" s="1138"/>
      <c r="L104" s="1138"/>
      <c r="M104" s="1138"/>
      <c r="N104" s="1138"/>
      <c r="O104" s="1138"/>
      <c r="P104" s="1138"/>
      <c r="Q104" s="1138"/>
      <c r="R104" s="1138"/>
      <c r="S104" s="1138"/>
      <c r="T104" s="1138"/>
      <c r="U104" s="1138"/>
      <c r="V104" s="1138"/>
      <c r="W104" s="1138"/>
    </row>
    <row r="105">
      <c r="A105" s="1168" t="s">
        <v>18</v>
      </c>
      <c r="B105" s="1164">
        <f>SUMIFS(KISUMU!F:F,KISUMU!A:A,"7/17/24")</f>
        <v>0</v>
      </c>
      <c r="C105" s="1139">
        <v>9.451401844E7</v>
      </c>
      <c r="D105" s="1139">
        <v>133000.0</v>
      </c>
      <c r="E105" s="1139">
        <v>204799.0</v>
      </c>
      <c r="F105" s="1169">
        <f>D105+E105</f>
        <v>337799</v>
      </c>
      <c r="G105" s="1147"/>
      <c r="H105" s="1138"/>
      <c r="I105" s="1138"/>
      <c r="J105" s="1138"/>
      <c r="K105" s="1138"/>
      <c r="L105" s="1138"/>
      <c r="M105" s="1138"/>
      <c r="N105" s="1138"/>
      <c r="O105" s="1138"/>
      <c r="P105" s="1138"/>
      <c r="Q105" s="1138"/>
      <c r="R105" s="1138"/>
      <c r="S105" s="1138"/>
      <c r="T105" s="1138"/>
      <c r="U105" s="1138"/>
      <c r="V105" s="1138"/>
      <c r="W105" s="1138"/>
    </row>
    <row r="106">
      <c r="A106" s="1168" t="s">
        <v>19</v>
      </c>
      <c r="B106" s="1164">
        <f>SUMIFS(VOI!F:F,VOI!A:A,"7/17/24")</f>
        <v>0</v>
      </c>
      <c r="C106" s="1159">
        <v>7313538.1</v>
      </c>
      <c r="D106" s="1146">
        <v>0.0</v>
      </c>
      <c r="E106" s="1139">
        <v>0.0</v>
      </c>
      <c r="F106" s="1170">
        <v>0.0</v>
      </c>
      <c r="G106" s="1147"/>
      <c r="H106" s="1138"/>
      <c r="I106" s="1138"/>
      <c r="J106" s="1138"/>
      <c r="K106" s="1138"/>
      <c r="L106" s="1138"/>
      <c r="M106" s="1138"/>
      <c r="N106" s="1138"/>
      <c r="O106" s="1138"/>
      <c r="P106" s="1138"/>
      <c r="Q106" s="1138"/>
      <c r="R106" s="1138"/>
      <c r="S106" s="1138"/>
      <c r="T106" s="1138"/>
      <c r="U106" s="1138"/>
      <c r="V106" s="1138"/>
      <c r="W106" s="1138"/>
    </row>
    <row r="107">
      <c r="A107" s="1168" t="s">
        <v>20</v>
      </c>
      <c r="B107" s="1164">
        <f>SUMIFS(THIKA!F:F,THIKA!A:A,"7/17/24")</f>
        <v>0</v>
      </c>
      <c r="C107" s="1139">
        <v>6.796815766E7</v>
      </c>
      <c r="D107" s="1139">
        <v>37650.0</v>
      </c>
      <c r="E107" s="1139">
        <f>F107-D107</f>
        <v>6005</v>
      </c>
      <c r="F107" s="1170">
        <v>43655.0</v>
      </c>
      <c r="G107" s="1147"/>
      <c r="H107" s="1138"/>
      <c r="I107" s="1138"/>
      <c r="J107" s="1138"/>
      <c r="K107" s="1138"/>
      <c r="L107" s="1138"/>
      <c r="M107" s="1138"/>
      <c r="N107" s="1138"/>
      <c r="O107" s="1138"/>
      <c r="P107" s="1138"/>
      <c r="Q107" s="1138"/>
      <c r="R107" s="1138"/>
      <c r="S107" s="1138"/>
      <c r="T107" s="1138"/>
      <c r="U107" s="1138"/>
      <c r="V107" s="1138"/>
      <c r="W107" s="1138"/>
    </row>
    <row r="108">
      <c r="A108" s="1168" t="s">
        <v>21</v>
      </c>
      <c r="B108" s="1164">
        <f>SUMIFS(KITUI!F:F,KITUI!A:A,"7/17/24")</f>
        <v>0</v>
      </c>
      <c r="C108" s="1150">
        <v>1710246.34</v>
      </c>
      <c r="D108" s="1139">
        <v>0.0</v>
      </c>
      <c r="E108" s="1139">
        <v>0.0</v>
      </c>
      <c r="F108" s="1169">
        <v>0.0</v>
      </c>
      <c r="G108" s="1147"/>
      <c r="H108" s="1138"/>
      <c r="I108" s="1138"/>
      <c r="J108" s="1138"/>
      <c r="K108" s="1138"/>
      <c r="L108" s="1138"/>
      <c r="M108" s="1138"/>
      <c r="N108" s="1138"/>
      <c r="O108" s="1138"/>
      <c r="P108" s="1138"/>
      <c r="Q108" s="1138"/>
      <c r="R108" s="1138"/>
      <c r="S108" s="1138"/>
      <c r="T108" s="1138"/>
      <c r="U108" s="1138"/>
      <c r="V108" s="1138"/>
      <c r="W108" s="1138"/>
    </row>
    <row r="109">
      <c r="A109" s="1171" t="s">
        <v>22</v>
      </c>
      <c r="B109" s="1164">
        <f>SUMIFS(MACHAKOS!F:F,MACHAKOS!A:A,"7/17/24")</f>
        <v>0</v>
      </c>
      <c r="C109" s="1150">
        <v>75516.59</v>
      </c>
      <c r="D109" s="1139">
        <v>0.0</v>
      </c>
      <c r="E109" s="1139">
        <v>0.0</v>
      </c>
      <c r="F109" s="1169">
        <v>0.0</v>
      </c>
      <c r="G109" s="1147"/>
      <c r="H109" s="1138"/>
      <c r="I109" s="1138"/>
      <c r="J109" s="1138"/>
      <c r="K109" s="1138"/>
      <c r="L109" s="1138"/>
      <c r="M109" s="1138"/>
      <c r="N109" s="1138"/>
      <c r="O109" s="1138"/>
      <c r="P109" s="1138"/>
      <c r="Q109" s="1138"/>
      <c r="R109" s="1138"/>
      <c r="S109" s="1138"/>
      <c r="T109" s="1138"/>
      <c r="U109" s="1138"/>
      <c r="V109" s="1138"/>
      <c r="W109" s="1138"/>
    </row>
    <row r="110">
      <c r="A110" s="1172" t="s">
        <v>23</v>
      </c>
      <c r="B110" s="1166">
        <f t="shared" ref="B110:F110" si="20">SUM(B97:B109)</f>
        <v>0</v>
      </c>
      <c r="C110" s="1166">
        <f t="shared" si="20"/>
        <v>2499599770</v>
      </c>
      <c r="D110" s="1166" t="str">
        <f t="shared" si="20"/>
        <v>#REF!</v>
      </c>
      <c r="E110" s="1166">
        <f t="shared" si="20"/>
        <v>1820917</v>
      </c>
      <c r="F110" s="1173">
        <f t="shared" si="20"/>
        <v>4402565</v>
      </c>
      <c r="G110" s="1147"/>
      <c r="H110" s="1138"/>
      <c r="I110" s="1138"/>
      <c r="J110" s="1138"/>
      <c r="K110" s="1138"/>
      <c r="L110" s="1138"/>
      <c r="M110" s="1138"/>
      <c r="N110" s="1138"/>
      <c r="O110" s="1138"/>
      <c r="P110" s="1138"/>
      <c r="Q110" s="1138"/>
      <c r="R110" s="1138"/>
      <c r="S110" s="1138"/>
      <c r="T110" s="1138"/>
      <c r="U110" s="1138"/>
      <c r="V110" s="1138"/>
      <c r="W110" s="1138"/>
    </row>
    <row r="111">
      <c r="A111" s="1138"/>
      <c r="B111" s="1138"/>
      <c r="C111" s="1138"/>
      <c r="D111" s="1147"/>
      <c r="E111" s="1138"/>
      <c r="F111" s="1147"/>
      <c r="G111" s="1147"/>
      <c r="H111" s="1138"/>
      <c r="I111" s="1138"/>
      <c r="J111" s="1138"/>
      <c r="K111" s="1138"/>
      <c r="L111" s="1138"/>
      <c r="M111" s="1138"/>
      <c r="N111" s="1138"/>
      <c r="O111" s="1138"/>
      <c r="P111" s="1138"/>
      <c r="Q111" s="1138"/>
      <c r="R111" s="1138"/>
      <c r="S111" s="1138"/>
      <c r="T111" s="1138"/>
      <c r="U111" s="1138"/>
      <c r="V111" s="1138"/>
      <c r="W111" s="1138"/>
    </row>
    <row r="112">
      <c r="A112" s="1138"/>
      <c r="B112" s="1138"/>
      <c r="C112" s="1138"/>
      <c r="D112" s="1147"/>
      <c r="E112" s="1138"/>
      <c r="F112" s="1147"/>
      <c r="G112" s="1147"/>
      <c r="H112" s="1138"/>
      <c r="I112" s="1138"/>
      <c r="J112" s="1138"/>
      <c r="K112" s="1138"/>
      <c r="L112" s="1138"/>
      <c r="M112" s="1138"/>
      <c r="N112" s="1138"/>
      <c r="O112" s="1138"/>
      <c r="P112" s="1138"/>
      <c r="Q112" s="1138"/>
      <c r="R112" s="1138"/>
      <c r="S112" s="1138"/>
      <c r="T112" s="1138"/>
      <c r="U112" s="1138"/>
      <c r="V112" s="1138"/>
      <c r="W112" s="1138"/>
    </row>
    <row r="113">
      <c r="A113" s="1174"/>
      <c r="B113" s="1175" t="s">
        <v>6948</v>
      </c>
      <c r="C113" s="1174"/>
      <c r="D113" s="1176"/>
      <c r="E113" s="1174"/>
      <c r="F113" s="1176"/>
      <c r="G113" s="1147"/>
      <c r="H113" s="1138"/>
      <c r="I113" s="1138"/>
      <c r="J113" s="1138"/>
      <c r="K113" s="1138"/>
      <c r="L113" s="1138"/>
      <c r="M113" s="1138"/>
      <c r="N113" s="1138"/>
      <c r="O113" s="1138"/>
      <c r="P113" s="1138"/>
      <c r="Q113" s="1138"/>
      <c r="R113" s="1138"/>
      <c r="S113" s="1138"/>
      <c r="T113" s="1138"/>
      <c r="U113" s="1138"/>
      <c r="V113" s="1138"/>
      <c r="W113" s="1138"/>
    </row>
    <row r="114">
      <c r="A114" s="1177" t="s">
        <v>1</v>
      </c>
      <c r="B114" s="1178" t="s">
        <v>6936</v>
      </c>
      <c r="C114" s="1178" t="s">
        <v>6937</v>
      </c>
      <c r="D114" s="1179" t="s">
        <v>6938</v>
      </c>
      <c r="E114" s="1180" t="s">
        <v>6939</v>
      </c>
      <c r="F114" s="1179" t="s">
        <v>6940</v>
      </c>
      <c r="G114" s="1147"/>
      <c r="H114" s="1138"/>
      <c r="I114" s="1138"/>
      <c r="J114" s="1138"/>
      <c r="K114" s="1138"/>
      <c r="L114" s="1138"/>
      <c r="M114" s="1138"/>
      <c r="N114" s="1138"/>
      <c r="O114" s="1138"/>
      <c r="P114" s="1138"/>
      <c r="Q114" s="1138"/>
      <c r="R114" s="1138"/>
      <c r="S114" s="1138"/>
      <c r="T114" s="1138"/>
      <c r="U114" s="1138"/>
      <c r="V114" s="1138"/>
      <c r="W114" s="1138"/>
    </row>
    <row r="115">
      <c r="A115" s="1181" t="s">
        <v>10</v>
      </c>
      <c r="B115" s="1164">
        <f>SUMIFS(ECOBANK!F:F,ECOBANK!A:A,"7/18/24")</f>
        <v>0</v>
      </c>
      <c r="C115" s="1182">
        <v>8.7731308842E8</v>
      </c>
      <c r="D115" s="1183">
        <v>693257.0</v>
      </c>
      <c r="E115" s="1184">
        <f t="shared" ref="E115:E127" si="21">F115-D115</f>
        <v>887951</v>
      </c>
      <c r="F115" s="1185">
        <v>1581208.0</v>
      </c>
      <c r="G115" s="1149"/>
      <c r="H115" s="1138"/>
      <c r="I115" s="1138"/>
      <c r="J115" s="1138"/>
      <c r="K115" s="1138"/>
      <c r="L115" s="1138"/>
      <c r="M115" s="1138"/>
      <c r="N115" s="1138"/>
      <c r="O115" s="1138"/>
      <c r="P115" s="1138"/>
      <c r="Q115" s="1138"/>
      <c r="R115" s="1138"/>
      <c r="S115" s="1138"/>
      <c r="T115" s="1138"/>
      <c r="U115" s="1138"/>
      <c r="V115" s="1138"/>
      <c r="W115" s="1138"/>
    </row>
    <row r="116">
      <c r="A116" s="1181" t="s">
        <v>24</v>
      </c>
      <c r="B116" s="1186">
        <v>1.670942583E7</v>
      </c>
      <c r="C116" s="1182">
        <v>6.5644750966E8</v>
      </c>
      <c r="D116" s="1187">
        <v>3555293.0</v>
      </c>
      <c r="E116" s="1184">
        <f t="shared" si="21"/>
        <v>670670</v>
      </c>
      <c r="F116" s="1183">
        <v>4225963.0</v>
      </c>
      <c r="G116" s="1147"/>
      <c r="H116" s="1138"/>
      <c r="I116" s="1138"/>
      <c r="J116" s="1138"/>
      <c r="K116" s="1138"/>
      <c r="L116" s="1138"/>
      <c r="M116" s="1138"/>
      <c r="N116" s="1138"/>
      <c r="O116" s="1138"/>
      <c r="P116" s="1138"/>
      <c r="Q116" s="1138"/>
      <c r="R116" s="1138"/>
      <c r="S116" s="1138"/>
      <c r="T116" s="1138"/>
      <c r="U116" s="1138"/>
      <c r="V116" s="1138"/>
      <c r="W116" s="1138"/>
    </row>
    <row r="117">
      <c r="A117" s="1181" t="s">
        <v>12</v>
      </c>
      <c r="B117" s="1164">
        <f>SUMIFS(PENSION!F:F,PENSION!A:A,"7/18/2024")</f>
        <v>0</v>
      </c>
      <c r="C117" s="1182">
        <v>2.7403230744E8</v>
      </c>
      <c r="D117" s="1183">
        <v>553657.0</v>
      </c>
      <c r="E117" s="1184">
        <f t="shared" si="21"/>
        <v>1585614</v>
      </c>
      <c r="F117" s="1183">
        <v>2139271.0</v>
      </c>
      <c r="G117" s="1147"/>
      <c r="H117" s="1138"/>
      <c r="I117" s="1138"/>
      <c r="J117" s="1138"/>
      <c r="K117" s="1138"/>
      <c r="L117" s="1138"/>
      <c r="M117" s="1138"/>
      <c r="N117" s="1138"/>
      <c r="O117" s="1138"/>
      <c r="P117" s="1138"/>
      <c r="Q117" s="1138"/>
      <c r="R117" s="1138"/>
      <c r="S117" s="1138"/>
      <c r="T117" s="1138"/>
      <c r="U117" s="1138"/>
      <c r="V117" s="1138"/>
      <c r="W117" s="1138"/>
    </row>
    <row r="118">
      <c r="A118" s="1181" t="s">
        <v>13</v>
      </c>
      <c r="B118" s="1164">
        <f>SUMIFS(KITENGELA!F:F,KITENGELA!A:A,"7/18/24")</f>
        <v>0</v>
      </c>
      <c r="C118" s="1182">
        <v>1.1323469872E8</v>
      </c>
      <c r="D118" s="1183">
        <v>416201.0</v>
      </c>
      <c r="E118" s="1184">
        <f t="shared" si="21"/>
        <v>657827</v>
      </c>
      <c r="F118" s="1183">
        <v>1074028.0</v>
      </c>
      <c r="G118" s="1147"/>
      <c r="H118" s="1138"/>
      <c r="I118" s="1138"/>
      <c r="J118" s="1138"/>
      <c r="K118" s="1138"/>
      <c r="L118" s="1138"/>
      <c r="M118" s="1138"/>
      <c r="N118" s="1138"/>
      <c r="O118" s="1138"/>
      <c r="P118" s="1138"/>
      <c r="Q118" s="1138"/>
      <c r="R118" s="1138"/>
      <c r="S118" s="1138"/>
      <c r="T118" s="1138"/>
      <c r="U118" s="1138"/>
      <c r="V118" s="1138"/>
      <c r="W118" s="1138"/>
    </row>
    <row r="119">
      <c r="A119" s="1181" t="s">
        <v>14</v>
      </c>
      <c r="B119" s="1164">
        <f>SUMIFS(ELDORET!F:F,ELDORET!A:A,"7/18/24")</f>
        <v>0</v>
      </c>
      <c r="C119" s="1182">
        <v>1.6837268226E8</v>
      </c>
      <c r="D119" s="1183">
        <v>20800.0</v>
      </c>
      <c r="E119" s="1184">
        <f t="shared" si="21"/>
        <v>15355</v>
      </c>
      <c r="F119" s="1183">
        <v>36155.0</v>
      </c>
      <c r="G119" s="1149"/>
      <c r="H119" s="1138"/>
      <c r="I119" s="1138"/>
      <c r="J119" s="1138"/>
      <c r="K119" s="1138"/>
      <c r="L119" s="1138"/>
      <c r="M119" s="1138"/>
      <c r="N119" s="1138"/>
      <c r="O119" s="1138"/>
      <c r="P119" s="1138"/>
      <c r="Q119" s="1138"/>
      <c r="R119" s="1138"/>
      <c r="S119" s="1138"/>
      <c r="T119" s="1138"/>
      <c r="U119" s="1138"/>
      <c r="V119" s="1138"/>
      <c r="W119" s="1138"/>
    </row>
    <row r="120">
      <c r="A120" s="1181" t="s">
        <v>15</v>
      </c>
      <c r="B120" s="1164">
        <f>SUMIFS(NAKURU!F:F,NAKURU!A:A,"7/18/24")</f>
        <v>0</v>
      </c>
      <c r="C120" s="1139">
        <v>1.905508491E7</v>
      </c>
      <c r="D120" s="1183">
        <v>100000.0</v>
      </c>
      <c r="E120" s="1184">
        <f t="shared" si="21"/>
        <v>18396</v>
      </c>
      <c r="F120" s="1188">
        <v>118396.0</v>
      </c>
      <c r="G120" s="1147"/>
      <c r="H120" s="1138"/>
      <c r="I120" s="1138"/>
      <c r="J120" s="1138"/>
      <c r="K120" s="1138"/>
      <c r="L120" s="1138"/>
      <c r="M120" s="1138"/>
      <c r="N120" s="1138"/>
      <c r="O120" s="1138"/>
      <c r="P120" s="1138"/>
      <c r="Q120" s="1138"/>
      <c r="R120" s="1138"/>
      <c r="S120" s="1138"/>
      <c r="T120" s="1138"/>
      <c r="U120" s="1138"/>
      <c r="V120" s="1138"/>
      <c r="W120" s="1138"/>
    </row>
    <row r="121">
      <c r="A121" s="1181" t="s">
        <v>16</v>
      </c>
      <c r="B121" s="1164">
        <f>SUMIFS(HOMABAY!F:F,HOMABAY!A:A,"7/18/24")</f>
        <v>0</v>
      </c>
      <c r="C121" s="1182">
        <v>1.547175174E7</v>
      </c>
      <c r="D121" s="1189">
        <v>0.0</v>
      </c>
      <c r="E121" s="1184">
        <f t="shared" si="21"/>
        <v>4000</v>
      </c>
      <c r="F121" s="1188">
        <v>4000.0</v>
      </c>
      <c r="G121" s="1147"/>
      <c r="H121" s="1138"/>
      <c r="I121" s="1138"/>
      <c r="J121" s="1138"/>
      <c r="K121" s="1138"/>
      <c r="L121" s="1138"/>
      <c r="M121" s="1138"/>
      <c r="N121" s="1138"/>
      <c r="O121" s="1138"/>
      <c r="P121" s="1138"/>
      <c r="Q121" s="1138"/>
      <c r="R121" s="1138"/>
      <c r="S121" s="1138"/>
      <c r="T121" s="1138"/>
      <c r="U121" s="1138"/>
      <c r="V121" s="1138"/>
      <c r="W121" s="1138"/>
    </row>
    <row r="122">
      <c r="A122" s="1181" t="s">
        <v>17</v>
      </c>
      <c r="B122" s="1164">
        <f>SUMIFS(MOMBASA!F:F,MOMBASA!A:A,"7/18/24")</f>
        <v>0</v>
      </c>
      <c r="C122" s="1182">
        <v>2.0563109542E8</v>
      </c>
      <c r="D122" s="1183">
        <v>840688.0</v>
      </c>
      <c r="E122" s="1184">
        <f t="shared" si="21"/>
        <v>3601</v>
      </c>
      <c r="F122" s="1183">
        <v>844289.0</v>
      </c>
      <c r="G122" s="1149"/>
      <c r="H122" s="1138"/>
      <c r="I122" s="1138"/>
      <c r="J122" s="1138"/>
      <c r="K122" s="1138"/>
      <c r="L122" s="1138"/>
      <c r="M122" s="1138"/>
      <c r="N122" s="1138"/>
      <c r="O122" s="1138"/>
      <c r="P122" s="1138"/>
      <c r="Q122" s="1138"/>
      <c r="R122" s="1138"/>
      <c r="S122" s="1138"/>
      <c r="T122" s="1138"/>
      <c r="U122" s="1138"/>
      <c r="V122" s="1138"/>
      <c r="W122" s="1138"/>
    </row>
    <row r="123">
      <c r="A123" s="1181" t="s">
        <v>18</v>
      </c>
      <c r="B123" s="1164">
        <f>SUMIFS(KISUMU!F:F,KISUMU!A:A,"7/18/24")</f>
        <v>0</v>
      </c>
      <c r="C123" s="1182">
        <v>9.478714119E7</v>
      </c>
      <c r="D123" s="1183">
        <v>898564.0</v>
      </c>
      <c r="E123" s="1184">
        <f t="shared" si="21"/>
        <v>346306</v>
      </c>
      <c r="F123" s="1183">
        <v>1244870.0</v>
      </c>
      <c r="G123" s="1147"/>
      <c r="H123" s="1138"/>
      <c r="I123" s="1138"/>
      <c r="J123" s="1138"/>
      <c r="K123" s="1138"/>
      <c r="L123" s="1138"/>
      <c r="M123" s="1138"/>
      <c r="N123" s="1138"/>
      <c r="O123" s="1138"/>
      <c r="P123" s="1138"/>
      <c r="Q123" s="1138"/>
      <c r="R123" s="1138"/>
      <c r="S123" s="1138"/>
      <c r="T123" s="1138"/>
      <c r="U123" s="1138"/>
      <c r="V123" s="1138"/>
      <c r="W123" s="1138"/>
    </row>
    <row r="124">
      <c r="A124" s="1181" t="s">
        <v>19</v>
      </c>
      <c r="B124" s="1164">
        <f>SUMIFS(VOI!F:F,VOI!A:A,"7/18/24")</f>
        <v>0</v>
      </c>
      <c r="C124" s="1190">
        <v>7313538.1</v>
      </c>
      <c r="D124" s="1188">
        <v>0.0</v>
      </c>
      <c r="E124" s="1184">
        <f t="shared" si="21"/>
        <v>0</v>
      </c>
      <c r="F124" s="1188">
        <v>0.0</v>
      </c>
      <c r="G124" s="1147"/>
      <c r="H124" s="1138"/>
      <c r="I124" s="1138"/>
      <c r="J124" s="1138"/>
      <c r="K124" s="1138"/>
      <c r="L124" s="1138"/>
      <c r="M124" s="1138"/>
      <c r="N124" s="1138"/>
      <c r="O124" s="1138"/>
      <c r="P124" s="1138"/>
      <c r="Q124" s="1138"/>
      <c r="R124" s="1138"/>
      <c r="S124" s="1138"/>
      <c r="T124" s="1138"/>
      <c r="U124" s="1138"/>
      <c r="V124" s="1138"/>
      <c r="W124" s="1138"/>
    </row>
    <row r="125">
      <c r="A125" s="1181" t="s">
        <v>20</v>
      </c>
      <c r="B125" s="1164">
        <f>SUMIFS(THIKA!F:F,THIKA!A:A,"7/18/24")</f>
        <v>0</v>
      </c>
      <c r="C125" s="1182">
        <v>6.815931214E7</v>
      </c>
      <c r="D125" s="1183">
        <v>36337.0</v>
      </c>
      <c r="E125" s="1184">
        <f t="shared" si="21"/>
        <v>454523</v>
      </c>
      <c r="F125" s="1188">
        <v>490860.0</v>
      </c>
      <c r="G125" s="1149"/>
      <c r="H125" s="1138"/>
      <c r="I125" s="1138"/>
      <c r="J125" s="1138"/>
      <c r="K125" s="1138"/>
      <c r="L125" s="1138"/>
      <c r="M125" s="1138"/>
      <c r="N125" s="1138"/>
      <c r="O125" s="1138"/>
      <c r="P125" s="1138"/>
      <c r="Q125" s="1138"/>
      <c r="R125" s="1138"/>
      <c r="S125" s="1138"/>
      <c r="T125" s="1138"/>
      <c r="U125" s="1138"/>
      <c r="V125" s="1138"/>
      <c r="W125" s="1138"/>
    </row>
    <row r="126">
      <c r="A126" s="1181" t="s">
        <v>21</v>
      </c>
      <c r="B126" s="1164">
        <f>SUMIFS(KITUI!F:F,KITUI!A:A,"7/18/24")</f>
        <v>0</v>
      </c>
      <c r="C126" s="1191">
        <v>1710246.34</v>
      </c>
      <c r="D126" s="1183">
        <v>0.0</v>
      </c>
      <c r="E126" s="1184">
        <f t="shared" si="21"/>
        <v>0</v>
      </c>
      <c r="F126" s="1183">
        <v>0.0</v>
      </c>
      <c r="G126" s="1147"/>
      <c r="H126" s="1138"/>
      <c r="I126" s="1138"/>
      <c r="J126" s="1138"/>
      <c r="K126" s="1138"/>
      <c r="L126" s="1138"/>
      <c r="M126" s="1138"/>
      <c r="N126" s="1138"/>
      <c r="O126" s="1138"/>
      <c r="P126" s="1138"/>
      <c r="Q126" s="1138"/>
      <c r="R126" s="1138"/>
      <c r="S126" s="1138"/>
      <c r="T126" s="1138"/>
      <c r="U126" s="1138"/>
      <c r="V126" s="1138"/>
      <c r="W126" s="1138"/>
    </row>
    <row r="127">
      <c r="A127" s="1192" t="s">
        <v>23</v>
      </c>
      <c r="B127" s="1193">
        <v>4.21203308E7</v>
      </c>
      <c r="C127" s="1194">
        <f>SUM(C114:C126)</f>
        <v>2501528456</v>
      </c>
      <c r="D127" s="1195">
        <v>7114797.0</v>
      </c>
      <c r="E127" s="1196">
        <f t="shared" si="21"/>
        <v>4644243</v>
      </c>
      <c r="F127" s="1197">
        <v>1.175904E7</v>
      </c>
      <c r="G127" s="1147"/>
      <c r="H127" s="1138"/>
      <c r="I127" s="1138"/>
      <c r="J127" s="1138"/>
      <c r="K127" s="1138"/>
      <c r="L127" s="1138"/>
      <c r="M127" s="1138"/>
      <c r="N127" s="1138"/>
      <c r="O127" s="1138"/>
      <c r="P127" s="1138"/>
      <c r="Q127" s="1138"/>
      <c r="R127" s="1138"/>
      <c r="S127" s="1138"/>
      <c r="T127" s="1138"/>
      <c r="U127" s="1138"/>
      <c r="V127" s="1138"/>
      <c r="W127" s="1138"/>
    </row>
    <row r="128">
      <c r="A128" s="1198"/>
      <c r="B128" s="1198"/>
      <c r="C128" s="1198"/>
      <c r="D128" s="1199"/>
      <c r="E128" s="1198"/>
      <c r="F128" s="1199"/>
      <c r="G128" s="1147"/>
      <c r="H128" s="1138"/>
      <c r="I128" s="1138"/>
      <c r="J128" s="1138"/>
      <c r="K128" s="1138"/>
      <c r="L128" s="1138"/>
      <c r="M128" s="1138"/>
      <c r="N128" s="1138"/>
      <c r="O128" s="1138"/>
      <c r="P128" s="1138"/>
      <c r="Q128" s="1138"/>
      <c r="R128" s="1138"/>
      <c r="S128" s="1138"/>
      <c r="T128" s="1138"/>
      <c r="U128" s="1138"/>
      <c r="V128" s="1138"/>
      <c r="W128" s="1138"/>
    </row>
    <row r="129">
      <c r="A129" s="1138"/>
      <c r="B129" s="1138"/>
      <c r="C129" s="1138"/>
      <c r="D129" s="1147"/>
      <c r="E129" s="1138"/>
      <c r="F129" s="1147"/>
      <c r="G129" s="1147"/>
      <c r="H129" s="1138"/>
      <c r="I129" s="1138"/>
      <c r="J129" s="1138"/>
      <c r="K129" s="1138"/>
      <c r="L129" s="1138"/>
      <c r="M129" s="1138"/>
      <c r="N129" s="1138"/>
      <c r="O129" s="1138"/>
      <c r="P129" s="1138"/>
      <c r="Q129" s="1138"/>
      <c r="R129" s="1138"/>
      <c r="S129" s="1138"/>
      <c r="T129" s="1138"/>
      <c r="U129" s="1138"/>
      <c r="V129" s="1138"/>
      <c r="W129" s="1138"/>
    </row>
    <row r="130">
      <c r="A130" s="1174"/>
      <c r="B130" s="1175" t="s">
        <v>6949</v>
      </c>
      <c r="C130" s="1174"/>
      <c r="D130" s="1176"/>
      <c r="E130" s="1174"/>
      <c r="F130" s="1176"/>
      <c r="G130" s="1147"/>
      <c r="H130" s="1138"/>
      <c r="I130" s="1138"/>
      <c r="J130" s="1138"/>
      <c r="K130" s="1138"/>
      <c r="L130" s="1138"/>
      <c r="M130" s="1138"/>
      <c r="N130" s="1138"/>
      <c r="O130" s="1138"/>
      <c r="P130" s="1138"/>
      <c r="Q130" s="1138"/>
      <c r="R130" s="1138"/>
      <c r="S130" s="1138"/>
      <c r="T130" s="1138"/>
      <c r="U130" s="1138"/>
      <c r="V130" s="1138"/>
      <c r="W130" s="1138"/>
    </row>
    <row r="131">
      <c r="A131" s="1177" t="s">
        <v>1</v>
      </c>
      <c r="B131" s="1178" t="s">
        <v>6936</v>
      </c>
      <c r="C131" s="1200" t="s">
        <v>6950</v>
      </c>
      <c r="D131" s="1179" t="s">
        <v>6938</v>
      </c>
      <c r="E131" s="1180" t="s">
        <v>6939</v>
      </c>
      <c r="F131" s="1179" t="s">
        <v>6940</v>
      </c>
      <c r="G131" s="1147"/>
      <c r="H131" s="1138"/>
      <c r="I131" s="1138"/>
      <c r="J131" s="1138"/>
      <c r="K131" s="1138"/>
      <c r="L131" s="1138"/>
      <c r="M131" s="1138"/>
      <c r="N131" s="1138"/>
      <c r="O131" s="1138"/>
      <c r="P131" s="1138"/>
      <c r="Q131" s="1138"/>
      <c r="R131" s="1138"/>
      <c r="S131" s="1138"/>
      <c r="T131" s="1138"/>
      <c r="U131" s="1138"/>
      <c r="V131" s="1138"/>
      <c r="W131" s="1138"/>
    </row>
    <row r="132">
      <c r="A132" s="1201" t="s">
        <v>10</v>
      </c>
      <c r="B132" s="1164">
        <f>SUMIFS(ECOBANK!F:F,ECOBANK!A:A,"7/19/24")</f>
        <v>0</v>
      </c>
      <c r="C132" s="1182">
        <v>8.7738223879E8</v>
      </c>
      <c r="D132" s="1183">
        <v>318717.0</v>
      </c>
      <c r="E132" s="1183">
        <f t="shared" ref="E132:E145" si="22">F132-D132</f>
        <v>10000</v>
      </c>
      <c r="F132" s="1146">
        <v>328717.0</v>
      </c>
      <c r="G132" s="1202"/>
      <c r="H132" s="1138"/>
      <c r="I132" s="1138"/>
      <c r="J132" s="1138"/>
      <c r="K132" s="1138"/>
      <c r="L132" s="1138"/>
      <c r="M132" s="1138"/>
      <c r="N132" s="1138"/>
      <c r="O132" s="1138"/>
      <c r="P132" s="1138"/>
      <c r="Q132" s="1138"/>
      <c r="R132" s="1138"/>
      <c r="S132" s="1138"/>
      <c r="T132" s="1138"/>
      <c r="U132" s="1138"/>
      <c r="V132" s="1138"/>
      <c r="W132" s="1138"/>
    </row>
    <row r="133">
      <c r="A133" s="1201" t="s">
        <v>24</v>
      </c>
      <c r="B133" s="1164">
        <f>SUMIFS('TRADE CENTER'!F:F,'TRADE CENTER'!A:A,"7/19/24")</f>
        <v>0</v>
      </c>
      <c r="C133" s="1182">
        <v>6.5553685101E8</v>
      </c>
      <c r="D133" s="1187">
        <v>1087598.35</v>
      </c>
      <c r="E133" s="1183">
        <f t="shared" si="22"/>
        <v>27660</v>
      </c>
      <c r="F133" s="1183">
        <v>1115258.35</v>
      </c>
      <c r="G133" s="1151"/>
      <c r="H133" s="1138"/>
      <c r="I133" s="1138"/>
      <c r="J133" s="1138"/>
      <c r="K133" s="1138"/>
      <c r="L133" s="1138"/>
      <c r="M133" s="1138"/>
      <c r="N133" s="1138"/>
      <c r="O133" s="1138"/>
      <c r="P133" s="1138"/>
      <c r="Q133" s="1138"/>
      <c r="R133" s="1138"/>
      <c r="S133" s="1138"/>
      <c r="T133" s="1138"/>
      <c r="U133" s="1138"/>
      <c r="V133" s="1138"/>
      <c r="W133" s="1138"/>
    </row>
    <row r="134">
      <c r="A134" s="1201" t="s">
        <v>12</v>
      </c>
      <c r="B134" s="1164">
        <f>SUMIFS(PENSION!F:F,PENSION!A:A,"7/19/2024")</f>
        <v>0</v>
      </c>
      <c r="C134" s="1182">
        <v>2.7419075841E8</v>
      </c>
      <c r="D134" s="1183">
        <v>1368904.0</v>
      </c>
      <c r="E134" s="1183">
        <f t="shared" si="22"/>
        <v>1259113.7</v>
      </c>
      <c r="F134" s="1183">
        <v>2628017.7</v>
      </c>
      <c r="G134" s="1151"/>
      <c r="H134" s="1138"/>
      <c r="I134" s="1138"/>
      <c r="J134" s="1138"/>
      <c r="K134" s="1138"/>
      <c r="L134" s="1138"/>
      <c r="M134" s="1138"/>
      <c r="N134" s="1138"/>
      <c r="O134" s="1138"/>
      <c r="P134" s="1138"/>
      <c r="Q134" s="1138"/>
      <c r="R134" s="1138"/>
      <c r="S134" s="1138"/>
      <c r="T134" s="1138"/>
      <c r="U134" s="1138"/>
      <c r="V134" s="1138"/>
      <c r="W134" s="1138"/>
    </row>
    <row r="135">
      <c r="A135" s="1201" t="s">
        <v>13</v>
      </c>
      <c r="B135" s="1164">
        <f>SUMIFS(KITENGELA!F:F,KITENGELA!A:A,"7/19/24")</f>
        <v>0</v>
      </c>
      <c r="C135" s="1182">
        <v>1.1308709627E8</v>
      </c>
      <c r="D135" s="1183">
        <v>282912.0</v>
      </c>
      <c r="E135" s="1183">
        <f t="shared" si="22"/>
        <v>91745</v>
      </c>
      <c r="F135" s="1183">
        <v>374657.0</v>
      </c>
      <c r="G135" s="1147"/>
      <c r="H135" s="1138"/>
      <c r="I135" s="1138"/>
      <c r="J135" s="1138"/>
      <c r="K135" s="1138"/>
      <c r="L135" s="1138"/>
      <c r="M135" s="1138"/>
      <c r="N135" s="1138"/>
      <c r="O135" s="1138"/>
      <c r="P135" s="1138"/>
      <c r="Q135" s="1138"/>
      <c r="R135" s="1138"/>
      <c r="S135" s="1138"/>
      <c r="T135" s="1138"/>
      <c r="U135" s="1138"/>
      <c r="V135" s="1138"/>
      <c r="W135" s="1138"/>
    </row>
    <row r="136">
      <c r="A136" s="1201" t="s">
        <v>14</v>
      </c>
      <c r="B136" s="1164">
        <f>SUMIFS(ELDORET!F:F,ELDORET!A:A,"7/19/24")</f>
        <v>0</v>
      </c>
      <c r="C136" s="1182">
        <v>1.679875187E8</v>
      </c>
      <c r="D136" s="1183">
        <v>27000.0</v>
      </c>
      <c r="E136" s="1183">
        <f t="shared" si="22"/>
        <v>50000</v>
      </c>
      <c r="F136" s="1183">
        <v>77000.0</v>
      </c>
      <c r="G136" s="1147"/>
      <c r="H136" s="1138"/>
      <c r="I136" s="1138"/>
      <c r="J136" s="1138"/>
      <c r="K136" s="1138"/>
      <c r="L136" s="1138"/>
      <c r="M136" s="1138"/>
      <c r="N136" s="1138"/>
      <c r="O136" s="1138"/>
      <c r="P136" s="1138"/>
      <c r="Q136" s="1138"/>
      <c r="R136" s="1138"/>
      <c r="S136" s="1138"/>
      <c r="T136" s="1138"/>
      <c r="U136" s="1138"/>
      <c r="V136" s="1138"/>
      <c r="W136" s="1138"/>
    </row>
    <row r="137">
      <c r="A137" s="1201" t="s">
        <v>15</v>
      </c>
      <c r="B137" s="1164">
        <f>SUMIFS(NAKURU!F:F,NAKURU!A:A,"7/19/24")</f>
        <v>0</v>
      </c>
      <c r="C137" s="1139">
        <v>1.897580638E7</v>
      </c>
      <c r="D137" s="1183">
        <v>28084.0</v>
      </c>
      <c r="E137" s="1183">
        <f t="shared" si="22"/>
        <v>1584545</v>
      </c>
      <c r="F137" s="1188">
        <v>1612629.0</v>
      </c>
      <c r="G137" s="1151"/>
      <c r="H137" s="1138"/>
      <c r="I137" s="1138"/>
      <c r="J137" s="1138"/>
      <c r="K137" s="1138"/>
      <c r="L137" s="1138"/>
      <c r="M137" s="1138"/>
      <c r="N137" s="1138"/>
      <c r="O137" s="1138"/>
      <c r="P137" s="1138"/>
      <c r="Q137" s="1138"/>
      <c r="R137" s="1138"/>
      <c r="S137" s="1138"/>
      <c r="T137" s="1138"/>
      <c r="U137" s="1138"/>
      <c r="V137" s="1138"/>
      <c r="W137" s="1138"/>
    </row>
    <row r="138">
      <c r="A138" s="1201" t="s">
        <v>16</v>
      </c>
      <c r="B138" s="1164">
        <f>SUMIFS(HOMABAY!F:F,HOMABAY!A:A,"7/19/24")</f>
        <v>0</v>
      </c>
      <c r="C138" s="1182">
        <v>1.553753071E7</v>
      </c>
      <c r="D138" s="1189">
        <v>0.0</v>
      </c>
      <c r="E138" s="1183">
        <f t="shared" si="22"/>
        <v>364044</v>
      </c>
      <c r="F138" s="1188">
        <v>364044.0</v>
      </c>
      <c r="G138" s="1147"/>
      <c r="H138" s="1138"/>
      <c r="I138" s="1138"/>
      <c r="J138" s="1138"/>
      <c r="K138" s="1138"/>
      <c r="L138" s="1138"/>
      <c r="M138" s="1138"/>
      <c r="N138" s="1138"/>
      <c r="O138" s="1138"/>
      <c r="P138" s="1138"/>
      <c r="Q138" s="1138"/>
      <c r="R138" s="1138"/>
      <c r="S138" s="1138"/>
      <c r="T138" s="1138"/>
      <c r="U138" s="1138"/>
      <c r="V138" s="1138"/>
      <c r="W138" s="1138"/>
    </row>
    <row r="139">
      <c r="A139" s="1201" t="s">
        <v>17</v>
      </c>
      <c r="B139" s="1164">
        <f>SUMIFS(MOMBASA!F:F,MOMBASA!A:A,"7/19/24")</f>
        <v>0</v>
      </c>
      <c r="C139" s="1182">
        <v>2.0881697052E8</v>
      </c>
      <c r="D139" s="1183">
        <v>203540.0</v>
      </c>
      <c r="E139" s="1183">
        <f t="shared" si="22"/>
        <v>4200</v>
      </c>
      <c r="F139" s="1183">
        <v>207740.0</v>
      </c>
      <c r="G139" s="1147"/>
      <c r="H139" s="1138"/>
      <c r="I139" s="1138"/>
      <c r="J139" s="1138"/>
      <c r="K139" s="1138"/>
      <c r="L139" s="1138"/>
      <c r="M139" s="1138"/>
      <c r="N139" s="1138"/>
      <c r="O139" s="1138"/>
      <c r="P139" s="1138"/>
      <c r="Q139" s="1138"/>
      <c r="R139" s="1138"/>
      <c r="S139" s="1138"/>
      <c r="T139" s="1138"/>
      <c r="U139" s="1138"/>
      <c r="V139" s="1138"/>
      <c r="W139" s="1138"/>
    </row>
    <row r="140">
      <c r="A140" s="1201" t="s">
        <v>18</v>
      </c>
      <c r="B140" s="1164">
        <f>SUMIFS(KISUMU!F:F,KISUMU!A:A,"7/19/24")</f>
        <v>0</v>
      </c>
      <c r="C140" s="1182">
        <v>9.49180703E7</v>
      </c>
      <c r="D140" s="1183">
        <v>112590.0</v>
      </c>
      <c r="E140" s="1183">
        <f t="shared" si="22"/>
        <v>10168</v>
      </c>
      <c r="F140" s="1183">
        <v>122758.0</v>
      </c>
      <c r="G140" s="1147"/>
      <c r="H140" s="1138"/>
      <c r="I140" s="1138"/>
      <c r="J140" s="1138"/>
      <c r="K140" s="1138"/>
      <c r="L140" s="1138"/>
      <c r="M140" s="1138"/>
      <c r="N140" s="1138"/>
      <c r="O140" s="1138"/>
      <c r="P140" s="1138"/>
      <c r="Q140" s="1138"/>
      <c r="R140" s="1138"/>
      <c r="S140" s="1138"/>
      <c r="T140" s="1138"/>
      <c r="U140" s="1138"/>
      <c r="V140" s="1138"/>
      <c r="W140" s="1138"/>
    </row>
    <row r="141">
      <c r="A141" s="1201" t="s">
        <v>19</v>
      </c>
      <c r="B141" s="1164">
        <f>SUMIFS(VOI!F:F,VOI!A:A,"7/19/24")</f>
        <v>0</v>
      </c>
      <c r="C141" s="1190">
        <v>7313538.1</v>
      </c>
      <c r="D141" s="1190">
        <v>10000.0</v>
      </c>
      <c r="E141" s="1183">
        <f t="shared" si="22"/>
        <v>1900</v>
      </c>
      <c r="F141" s="1188">
        <v>11900.0</v>
      </c>
      <c r="G141" s="1147"/>
      <c r="H141" s="1138"/>
      <c r="I141" s="1138"/>
      <c r="J141" s="1138"/>
      <c r="K141" s="1138"/>
      <c r="L141" s="1138"/>
      <c r="M141" s="1138"/>
      <c r="N141" s="1138"/>
      <c r="O141" s="1138"/>
      <c r="P141" s="1138"/>
      <c r="Q141" s="1138"/>
      <c r="R141" s="1138"/>
      <c r="S141" s="1138"/>
      <c r="T141" s="1138"/>
      <c r="U141" s="1138"/>
      <c r="V141" s="1138"/>
      <c r="W141" s="1138"/>
    </row>
    <row r="142">
      <c r="A142" s="1201" t="s">
        <v>20</v>
      </c>
      <c r="B142" s="1164">
        <f>SUMIFS(THIKA!F:F,THIKA!A:A,"7/19/24")</f>
        <v>0</v>
      </c>
      <c r="C142" s="1182">
        <v>6.890274597E7</v>
      </c>
      <c r="D142" s="1183">
        <v>334029.0</v>
      </c>
      <c r="E142" s="1183">
        <f t="shared" si="22"/>
        <v>48721</v>
      </c>
      <c r="F142" s="1188">
        <v>382750.0</v>
      </c>
      <c r="G142" s="1147"/>
      <c r="H142" s="1138"/>
      <c r="I142" s="1138"/>
      <c r="J142" s="1138"/>
      <c r="K142" s="1138"/>
      <c r="L142" s="1138"/>
      <c r="M142" s="1138"/>
      <c r="N142" s="1138"/>
      <c r="O142" s="1138"/>
      <c r="P142" s="1138"/>
      <c r="Q142" s="1138"/>
      <c r="R142" s="1138"/>
      <c r="S142" s="1138"/>
      <c r="T142" s="1138"/>
      <c r="U142" s="1138"/>
      <c r="V142" s="1138"/>
      <c r="W142" s="1138"/>
    </row>
    <row r="143">
      <c r="A143" s="1201" t="s">
        <v>21</v>
      </c>
      <c r="B143" s="1164">
        <f>SUMIFS(KITUI!F:F,KITUI!A:A,"7/19/24")</f>
        <v>0</v>
      </c>
      <c r="C143" s="1191">
        <v>1710246.34</v>
      </c>
      <c r="D143" s="1183">
        <v>0.0</v>
      </c>
      <c r="E143" s="1183">
        <f t="shared" si="22"/>
        <v>0</v>
      </c>
      <c r="F143" s="1183">
        <v>0.0</v>
      </c>
      <c r="G143" s="1147"/>
      <c r="H143" s="1138"/>
      <c r="I143" s="1138"/>
      <c r="J143" s="1138"/>
      <c r="K143" s="1138"/>
      <c r="L143" s="1138"/>
      <c r="M143" s="1138"/>
      <c r="N143" s="1138"/>
      <c r="O143" s="1138"/>
      <c r="P143" s="1138"/>
      <c r="Q143" s="1138"/>
      <c r="R143" s="1138"/>
      <c r="S143" s="1138"/>
      <c r="T143" s="1138"/>
      <c r="U143" s="1138"/>
      <c r="V143" s="1138"/>
      <c r="W143" s="1138"/>
    </row>
    <row r="144">
      <c r="A144" s="1203" t="s">
        <v>22</v>
      </c>
      <c r="B144" s="1164">
        <f>SUMIFS(MACHAKOS!F:F,MACHAKOS!A:A,"7/19/24")</f>
        <v>0</v>
      </c>
      <c r="C144" s="1150">
        <v>75516.59</v>
      </c>
      <c r="D144" s="1204">
        <v>0.0</v>
      </c>
      <c r="E144" s="1183">
        <f t="shared" si="22"/>
        <v>0</v>
      </c>
      <c r="F144" s="1205">
        <v>0.0</v>
      </c>
      <c r="G144" s="1147"/>
      <c r="H144" s="1138"/>
      <c r="I144" s="1138"/>
      <c r="J144" s="1138"/>
      <c r="K144" s="1138"/>
      <c r="L144" s="1138"/>
      <c r="M144" s="1138"/>
      <c r="N144" s="1138"/>
      <c r="O144" s="1138"/>
      <c r="P144" s="1138"/>
      <c r="Q144" s="1138"/>
      <c r="R144" s="1138"/>
      <c r="S144" s="1138"/>
      <c r="T144" s="1138"/>
      <c r="U144" s="1138"/>
      <c r="V144" s="1138"/>
      <c r="W144" s="1138"/>
    </row>
    <row r="145">
      <c r="A145" s="1206" t="s">
        <v>23</v>
      </c>
      <c r="B145" s="1207">
        <f t="shared" ref="B145:C145" si="23">SUM(B132:B144)</f>
        <v>0</v>
      </c>
      <c r="C145" s="1207">
        <f t="shared" si="23"/>
        <v>2504434888</v>
      </c>
      <c r="D145" s="1207">
        <v>3773374.35</v>
      </c>
      <c r="E145" s="1208">
        <f t="shared" si="22"/>
        <v>3452096.7</v>
      </c>
      <c r="F145" s="1207">
        <v>7225471.050000001</v>
      </c>
      <c r="G145" s="1147"/>
      <c r="H145" s="1138"/>
      <c r="I145" s="1138"/>
      <c r="J145" s="1138"/>
      <c r="K145" s="1138"/>
      <c r="L145" s="1138"/>
      <c r="M145" s="1138"/>
      <c r="N145" s="1138"/>
      <c r="O145" s="1138"/>
      <c r="P145" s="1138"/>
      <c r="Q145" s="1138"/>
      <c r="R145" s="1138"/>
      <c r="S145" s="1138"/>
      <c r="T145" s="1138"/>
      <c r="U145" s="1138"/>
      <c r="V145" s="1138"/>
      <c r="W145" s="1138"/>
    </row>
    <row r="146">
      <c r="A146" s="1138"/>
      <c r="B146" s="1138"/>
      <c r="C146" s="1138"/>
      <c r="D146" s="1147"/>
      <c r="E146" s="1138"/>
      <c r="F146" s="1147"/>
      <c r="G146" s="1147"/>
      <c r="H146" s="1138"/>
      <c r="I146" s="1138"/>
      <c r="J146" s="1138"/>
      <c r="K146" s="1138"/>
      <c r="L146" s="1138"/>
      <c r="M146" s="1138"/>
      <c r="N146" s="1138"/>
      <c r="O146" s="1138"/>
      <c r="P146" s="1138"/>
      <c r="Q146" s="1138"/>
      <c r="R146" s="1138"/>
      <c r="S146" s="1138"/>
      <c r="T146" s="1138"/>
      <c r="U146" s="1138"/>
      <c r="V146" s="1138"/>
      <c r="W146" s="1138"/>
    </row>
    <row r="147">
      <c r="A147" s="1138"/>
      <c r="B147" s="1209" t="s">
        <v>6951</v>
      </c>
      <c r="C147" s="1138"/>
      <c r="D147" s="1147"/>
      <c r="E147" s="1138"/>
      <c r="F147" s="1151">
        <v>7225471.05</v>
      </c>
      <c r="G147" s="1147"/>
      <c r="H147" s="1138"/>
      <c r="I147" s="1138"/>
      <c r="J147" s="1138"/>
      <c r="K147" s="1138"/>
      <c r="L147" s="1138"/>
      <c r="M147" s="1138"/>
      <c r="N147" s="1138"/>
      <c r="O147" s="1138"/>
      <c r="P147" s="1138"/>
      <c r="Q147" s="1138"/>
      <c r="R147" s="1138"/>
      <c r="S147" s="1138"/>
      <c r="T147" s="1138"/>
      <c r="U147" s="1138"/>
      <c r="V147" s="1138"/>
      <c r="W147" s="1138"/>
    </row>
    <row r="148">
      <c r="A148" s="1177" t="s">
        <v>1</v>
      </c>
      <c r="B148" s="1178" t="s">
        <v>6936</v>
      </c>
      <c r="C148" s="1200" t="s">
        <v>6950</v>
      </c>
      <c r="D148" s="1179" t="s">
        <v>6938</v>
      </c>
      <c r="E148" s="1180" t="s">
        <v>6939</v>
      </c>
      <c r="F148" s="1179" t="s">
        <v>6940</v>
      </c>
      <c r="G148" s="1147"/>
      <c r="H148" s="1138"/>
      <c r="I148" s="1138"/>
      <c r="J148" s="1138"/>
      <c r="K148" s="1138"/>
      <c r="L148" s="1138"/>
      <c r="M148" s="1138"/>
      <c r="N148" s="1138"/>
      <c r="O148" s="1138"/>
      <c r="P148" s="1138"/>
      <c r="Q148" s="1138"/>
      <c r="R148" s="1138"/>
      <c r="S148" s="1138"/>
      <c r="T148" s="1138"/>
      <c r="U148" s="1138"/>
      <c r="V148" s="1138"/>
      <c r="W148" s="1138"/>
    </row>
    <row r="149">
      <c r="A149" s="1201" t="s">
        <v>10</v>
      </c>
      <c r="B149" s="1164">
        <f>SUMIFS(ECOBANK!F:F,ECOBANK!A:A,"7/20/24")</f>
        <v>0</v>
      </c>
      <c r="C149" s="1139">
        <v>8.7738223879E8</v>
      </c>
      <c r="D149" s="1139">
        <v>195000.0</v>
      </c>
      <c r="E149" s="1143">
        <f t="shared" ref="E149:E162" si="24">F149-D149</f>
        <v>0</v>
      </c>
      <c r="F149" s="1139">
        <v>195000.0</v>
      </c>
      <c r="G149" s="1147"/>
      <c r="H149" s="1138"/>
      <c r="I149" s="1138"/>
      <c r="J149" s="1138"/>
      <c r="K149" s="1138"/>
      <c r="L149" s="1138"/>
      <c r="M149" s="1138"/>
      <c r="N149" s="1138"/>
      <c r="O149" s="1138"/>
      <c r="P149" s="1138"/>
      <c r="Q149" s="1138"/>
      <c r="R149" s="1138"/>
      <c r="S149" s="1138"/>
      <c r="T149" s="1138"/>
      <c r="U149" s="1138"/>
      <c r="V149" s="1138"/>
      <c r="W149" s="1138"/>
    </row>
    <row r="150">
      <c r="A150" s="1201" t="s">
        <v>24</v>
      </c>
      <c r="B150" s="1164">
        <f>SUMIFS('TRADE CENTER'!F:F,'TRADE CENTER'!A:A,"7/20/24")</f>
        <v>0</v>
      </c>
      <c r="C150" s="1139">
        <v>6.5478652667E8</v>
      </c>
      <c r="D150" s="1139">
        <v>1331016.0</v>
      </c>
      <c r="E150" s="1143">
        <f t="shared" si="24"/>
        <v>0</v>
      </c>
      <c r="F150" s="1139">
        <v>1331016.0</v>
      </c>
      <c r="G150" s="1147"/>
      <c r="H150" s="1138"/>
      <c r="I150" s="1138"/>
      <c r="J150" s="1138"/>
      <c r="K150" s="1138"/>
      <c r="L150" s="1138"/>
      <c r="M150" s="1138"/>
      <c r="N150" s="1138"/>
      <c r="O150" s="1138"/>
      <c r="P150" s="1138"/>
      <c r="Q150" s="1138"/>
      <c r="R150" s="1138"/>
      <c r="S150" s="1138"/>
      <c r="T150" s="1138"/>
      <c r="U150" s="1138"/>
      <c r="V150" s="1138"/>
      <c r="W150" s="1138"/>
    </row>
    <row r="151">
      <c r="A151" s="1201" t="s">
        <v>12</v>
      </c>
      <c r="B151" s="1164">
        <f>SUMIFS(PENSION!F:F,PENSION!A:A,"7/20/2024")</f>
        <v>0</v>
      </c>
      <c r="C151" s="1182">
        <v>2.7419075841E8</v>
      </c>
      <c r="D151" s="1143">
        <v>3646667.0</v>
      </c>
      <c r="E151" s="1143">
        <f t="shared" si="24"/>
        <v>120343</v>
      </c>
      <c r="F151" s="1139">
        <v>3767010.0</v>
      </c>
      <c r="G151" s="1147"/>
      <c r="H151" s="1138"/>
      <c r="I151" s="1138"/>
      <c r="J151" s="1138"/>
      <c r="K151" s="1138"/>
      <c r="L151" s="1138"/>
      <c r="M151" s="1138"/>
      <c r="N151" s="1138"/>
      <c r="O151" s="1138"/>
      <c r="P151" s="1138"/>
      <c r="Q151" s="1138"/>
      <c r="R151" s="1138"/>
      <c r="S151" s="1138"/>
      <c r="T151" s="1138"/>
      <c r="U151" s="1138"/>
      <c r="V151" s="1138"/>
      <c r="W151" s="1138"/>
    </row>
    <row r="152">
      <c r="A152" s="1201" t="s">
        <v>13</v>
      </c>
      <c r="B152" s="1164">
        <f>SUMIFS(KITENGELA!F:F,KITENGELA!A:A,"7/20/24")</f>
        <v>0</v>
      </c>
      <c r="C152" s="1139">
        <v>1.1141173016E8</v>
      </c>
      <c r="D152" s="1143">
        <v>414709.0</v>
      </c>
      <c r="E152" s="1143">
        <f t="shared" si="24"/>
        <v>52695</v>
      </c>
      <c r="F152" s="1143">
        <v>467404.0</v>
      </c>
      <c r="G152" s="1147"/>
      <c r="H152" s="1138"/>
      <c r="I152" s="1138"/>
      <c r="J152" s="1138"/>
      <c r="K152" s="1138"/>
      <c r="L152" s="1138"/>
      <c r="M152" s="1138"/>
      <c r="N152" s="1138"/>
      <c r="O152" s="1138"/>
      <c r="P152" s="1138"/>
      <c r="Q152" s="1138"/>
      <c r="R152" s="1138"/>
      <c r="S152" s="1138"/>
      <c r="T152" s="1138"/>
      <c r="U152" s="1138"/>
      <c r="V152" s="1138"/>
      <c r="W152" s="1138"/>
    </row>
    <row r="153">
      <c r="A153" s="1201" t="s">
        <v>14</v>
      </c>
      <c r="B153" s="1164">
        <f>SUMIFS(ELDORET!F:F,ELDORET!A:A,"7/20/24")</f>
        <v>0</v>
      </c>
      <c r="C153" s="1139">
        <v>1.6840928157E8</v>
      </c>
      <c r="D153" s="1139">
        <v>0.0</v>
      </c>
      <c r="E153" s="1143">
        <f t="shared" si="24"/>
        <v>130000</v>
      </c>
      <c r="F153" s="1139">
        <v>130000.0</v>
      </c>
      <c r="G153" s="1147"/>
      <c r="H153" s="1138"/>
      <c r="I153" s="1138"/>
      <c r="J153" s="1138"/>
      <c r="K153" s="1138"/>
      <c r="L153" s="1138"/>
      <c r="M153" s="1138"/>
      <c r="N153" s="1138"/>
      <c r="O153" s="1138"/>
      <c r="P153" s="1138"/>
      <c r="Q153" s="1138"/>
      <c r="R153" s="1138"/>
      <c r="S153" s="1138"/>
      <c r="T153" s="1138"/>
      <c r="U153" s="1138"/>
      <c r="V153" s="1138"/>
      <c r="W153" s="1138"/>
    </row>
    <row r="154">
      <c r="A154" s="1201" t="s">
        <v>15</v>
      </c>
      <c r="B154" s="1164">
        <f>SUMIFS(NAKURU!F:F,NAKURU!A:A,"7/20/24")</f>
        <v>0</v>
      </c>
      <c r="C154" s="1139">
        <v>1.931389541E7</v>
      </c>
      <c r="D154" s="1139">
        <v>253758.0</v>
      </c>
      <c r="E154" s="1143">
        <f t="shared" si="24"/>
        <v>0</v>
      </c>
      <c r="F154" s="1139">
        <v>253758.0</v>
      </c>
      <c r="G154" s="1147"/>
      <c r="H154" s="1138"/>
      <c r="I154" s="1138"/>
      <c r="J154" s="1138"/>
      <c r="K154" s="1138"/>
      <c r="L154" s="1138"/>
      <c r="M154" s="1138"/>
      <c r="N154" s="1138"/>
      <c r="O154" s="1138"/>
      <c r="P154" s="1138"/>
      <c r="Q154" s="1138"/>
      <c r="R154" s="1138"/>
      <c r="S154" s="1138"/>
      <c r="T154" s="1138"/>
      <c r="U154" s="1138"/>
      <c r="V154" s="1138"/>
      <c r="W154" s="1138"/>
    </row>
    <row r="155">
      <c r="A155" s="1201" t="s">
        <v>16</v>
      </c>
      <c r="B155" s="1164">
        <f>SUMIFS(HOMABAY!F:F,HOMABAY!A:A,"7/20/24")</f>
        <v>0</v>
      </c>
      <c r="C155" s="1139">
        <v>1.553753071E7</v>
      </c>
      <c r="D155" s="1210">
        <v>4000.0</v>
      </c>
      <c r="E155" s="1143">
        <f t="shared" si="24"/>
        <v>15094</v>
      </c>
      <c r="F155" s="1145">
        <v>19094.0</v>
      </c>
      <c r="G155" s="1147"/>
      <c r="H155" s="1138"/>
      <c r="I155" s="1138"/>
      <c r="J155" s="1138"/>
      <c r="K155" s="1138"/>
      <c r="L155" s="1138"/>
      <c r="M155" s="1138"/>
      <c r="N155" s="1138"/>
      <c r="O155" s="1138"/>
      <c r="P155" s="1138"/>
      <c r="Q155" s="1138"/>
      <c r="R155" s="1138"/>
      <c r="S155" s="1138"/>
      <c r="T155" s="1138"/>
      <c r="U155" s="1138"/>
      <c r="V155" s="1138"/>
      <c r="W155" s="1138"/>
    </row>
    <row r="156">
      <c r="A156" s="1201" t="s">
        <v>17</v>
      </c>
      <c r="B156" s="1164">
        <f>SUMIFS(MOMBASA!F:F,MOMBASA!A:A,"7/20/24")</f>
        <v>0</v>
      </c>
      <c r="C156" s="1139">
        <v>2.0559828623E8</v>
      </c>
      <c r="D156" s="1143">
        <v>317156.0</v>
      </c>
      <c r="E156" s="1143">
        <f t="shared" si="24"/>
        <v>0</v>
      </c>
      <c r="F156" s="1143">
        <v>317156.0</v>
      </c>
      <c r="G156" s="1147"/>
      <c r="H156" s="1138"/>
      <c r="I156" s="1138"/>
      <c r="J156" s="1138"/>
      <c r="K156" s="1138"/>
      <c r="L156" s="1138"/>
      <c r="M156" s="1138"/>
      <c r="N156" s="1138"/>
      <c r="O156" s="1138"/>
      <c r="P156" s="1138"/>
      <c r="Q156" s="1138"/>
      <c r="R156" s="1138"/>
      <c r="S156" s="1138"/>
      <c r="T156" s="1138"/>
      <c r="U156" s="1138"/>
      <c r="V156" s="1138"/>
      <c r="W156" s="1138"/>
    </row>
    <row r="157">
      <c r="A157" s="1201" t="s">
        <v>18</v>
      </c>
      <c r="B157" s="1164">
        <f>SUMIFS(KISUMU!F:F,KISUMU!A:A,"7/20/24")</f>
        <v>0</v>
      </c>
      <c r="C157" s="1139">
        <v>9.49785071E7</v>
      </c>
      <c r="D157" s="1139">
        <v>21000.0</v>
      </c>
      <c r="E157" s="1143">
        <f t="shared" si="24"/>
        <v>99168.8</v>
      </c>
      <c r="F157" s="1143">
        <v>120168.8</v>
      </c>
      <c r="G157" s="1147"/>
      <c r="H157" s="1138"/>
      <c r="I157" s="1138"/>
      <c r="J157" s="1138"/>
      <c r="K157" s="1138"/>
      <c r="L157" s="1138"/>
      <c r="M157" s="1138"/>
      <c r="N157" s="1138"/>
      <c r="O157" s="1138"/>
      <c r="P157" s="1138"/>
      <c r="Q157" s="1138"/>
      <c r="R157" s="1138"/>
      <c r="S157" s="1138"/>
      <c r="T157" s="1138"/>
      <c r="U157" s="1138"/>
      <c r="V157" s="1138"/>
      <c r="W157" s="1138"/>
    </row>
    <row r="158">
      <c r="A158" s="1201" t="s">
        <v>19</v>
      </c>
      <c r="B158" s="1164">
        <f>SUMIFS(VOI!F:F,VOI!A:A,"7/20/24")</f>
        <v>0</v>
      </c>
      <c r="C158" s="1155">
        <v>7313538.1</v>
      </c>
      <c r="D158" s="1143"/>
      <c r="E158" s="1143">
        <f t="shared" si="24"/>
        <v>0</v>
      </c>
      <c r="F158" s="1143"/>
      <c r="G158" s="1147"/>
      <c r="H158" s="1138"/>
      <c r="I158" s="1138"/>
      <c r="J158" s="1138"/>
      <c r="K158" s="1138"/>
      <c r="L158" s="1138"/>
      <c r="M158" s="1138"/>
      <c r="N158" s="1138"/>
      <c r="O158" s="1138"/>
      <c r="P158" s="1138"/>
      <c r="Q158" s="1138"/>
      <c r="R158" s="1138"/>
      <c r="S158" s="1138"/>
      <c r="T158" s="1138"/>
      <c r="U158" s="1138"/>
      <c r="V158" s="1138"/>
      <c r="W158" s="1138"/>
    </row>
    <row r="159">
      <c r="A159" s="1201" t="s">
        <v>20</v>
      </c>
      <c r="B159" s="1164">
        <f>SUMIFS(THIKA!F:F,THIKA!A:A,"7/20/24")</f>
        <v>0</v>
      </c>
      <c r="C159" s="1139">
        <v>6.894646612E7</v>
      </c>
      <c r="D159" s="1139">
        <v>94250.0</v>
      </c>
      <c r="E159" s="1143">
        <f t="shared" si="24"/>
        <v>77500</v>
      </c>
      <c r="F159" s="1145">
        <v>171750.0</v>
      </c>
      <c r="G159" s="1147"/>
      <c r="H159" s="1138"/>
      <c r="I159" s="1138"/>
      <c r="J159" s="1138"/>
      <c r="K159" s="1138"/>
      <c r="L159" s="1138"/>
      <c r="M159" s="1138"/>
      <c r="N159" s="1138"/>
      <c r="O159" s="1138"/>
      <c r="P159" s="1138"/>
      <c r="Q159" s="1138"/>
      <c r="R159" s="1138"/>
      <c r="S159" s="1138"/>
      <c r="T159" s="1138"/>
      <c r="U159" s="1138"/>
      <c r="V159" s="1138"/>
      <c r="W159" s="1138"/>
    </row>
    <row r="160">
      <c r="A160" s="1201" t="s">
        <v>21</v>
      </c>
      <c r="B160" s="1164">
        <f>SUMIFS(KITUI!F:F,KITUI!A:A,"7/20/24")</f>
        <v>0</v>
      </c>
      <c r="C160" s="1191">
        <v>1710246.34</v>
      </c>
      <c r="D160" s="1139">
        <v>0.0</v>
      </c>
      <c r="E160" s="1143">
        <f t="shared" si="24"/>
        <v>0</v>
      </c>
      <c r="F160" s="1139">
        <v>0.0</v>
      </c>
      <c r="G160" s="1147"/>
      <c r="H160" s="1138"/>
      <c r="I160" s="1138"/>
      <c r="J160" s="1138"/>
      <c r="K160" s="1138"/>
      <c r="L160" s="1138"/>
      <c r="M160" s="1138"/>
      <c r="N160" s="1138"/>
      <c r="O160" s="1138"/>
      <c r="P160" s="1138"/>
      <c r="Q160" s="1138"/>
      <c r="R160" s="1138"/>
      <c r="S160" s="1138"/>
      <c r="T160" s="1138"/>
      <c r="U160" s="1138"/>
      <c r="V160" s="1138"/>
      <c r="W160" s="1138"/>
    </row>
    <row r="161">
      <c r="A161" s="1203" t="s">
        <v>22</v>
      </c>
      <c r="B161" s="1164">
        <f>SUMIFS(MACHAKOS!F:F,MACHAKOS!A:A,"7/20/24")</f>
        <v>0</v>
      </c>
      <c r="C161" s="1150">
        <v>75516.59</v>
      </c>
      <c r="D161" s="1139">
        <v>0.0</v>
      </c>
      <c r="E161" s="1143">
        <f t="shared" si="24"/>
        <v>0</v>
      </c>
      <c r="F161" s="1139">
        <v>0.0</v>
      </c>
      <c r="G161" s="1147"/>
      <c r="H161" s="1138"/>
      <c r="I161" s="1138"/>
      <c r="J161" s="1138"/>
      <c r="K161" s="1138"/>
      <c r="L161" s="1138"/>
      <c r="M161" s="1138"/>
      <c r="N161" s="1138"/>
      <c r="O161" s="1138"/>
      <c r="P161" s="1138"/>
      <c r="Q161" s="1138"/>
      <c r="R161" s="1138"/>
      <c r="S161" s="1138"/>
      <c r="T161" s="1138"/>
      <c r="U161" s="1138"/>
      <c r="V161" s="1138"/>
      <c r="W161" s="1138"/>
    </row>
    <row r="162">
      <c r="A162" s="1211" t="s">
        <v>23</v>
      </c>
      <c r="B162" s="1212">
        <f>SUM(B149:B161)</f>
        <v>0</v>
      </c>
      <c r="C162" s="1143">
        <f>SUM(C148:C161)</f>
        <v>2499654522</v>
      </c>
      <c r="D162" s="1143">
        <v>6277556.0</v>
      </c>
      <c r="E162" s="1143">
        <f t="shared" si="24"/>
        <v>494800.8</v>
      </c>
      <c r="F162" s="1143">
        <v>6772356.8</v>
      </c>
      <c r="G162" s="1147"/>
      <c r="H162" s="1138"/>
      <c r="I162" s="1138"/>
      <c r="J162" s="1138"/>
      <c r="K162" s="1138"/>
      <c r="L162" s="1138"/>
      <c r="M162" s="1138"/>
      <c r="N162" s="1138"/>
      <c r="O162" s="1138"/>
      <c r="P162" s="1138"/>
      <c r="Q162" s="1138"/>
      <c r="R162" s="1138"/>
      <c r="S162" s="1138"/>
      <c r="T162" s="1138"/>
      <c r="U162" s="1138"/>
      <c r="V162" s="1138"/>
      <c r="W162" s="1138"/>
    </row>
    <row r="163">
      <c r="A163" s="1138"/>
      <c r="B163" s="1138"/>
      <c r="C163" s="1147"/>
      <c r="D163" s="1147"/>
      <c r="E163" s="1147"/>
      <c r="F163" s="1147"/>
      <c r="G163" s="1147"/>
      <c r="H163" s="1138"/>
      <c r="I163" s="1138"/>
      <c r="J163" s="1138"/>
      <c r="K163" s="1138"/>
      <c r="L163" s="1138"/>
      <c r="M163" s="1138"/>
      <c r="N163" s="1138"/>
      <c r="O163" s="1138"/>
      <c r="P163" s="1138"/>
      <c r="Q163" s="1138"/>
      <c r="R163" s="1138"/>
      <c r="S163" s="1138"/>
      <c r="T163" s="1138"/>
      <c r="U163" s="1138"/>
      <c r="V163" s="1138"/>
      <c r="W163" s="1138"/>
    </row>
    <row r="164">
      <c r="A164" s="1138"/>
      <c r="B164" s="1138"/>
      <c r="C164" s="1138"/>
      <c r="D164" s="1147"/>
      <c r="E164" s="1138"/>
      <c r="F164" s="1147"/>
      <c r="G164" s="1147"/>
      <c r="H164" s="1138"/>
      <c r="I164" s="1138"/>
      <c r="J164" s="1138"/>
      <c r="K164" s="1138"/>
      <c r="L164" s="1138"/>
      <c r="M164" s="1138"/>
      <c r="N164" s="1138"/>
      <c r="O164" s="1138"/>
      <c r="P164" s="1138"/>
      <c r="Q164" s="1138"/>
      <c r="R164" s="1138"/>
      <c r="S164" s="1138"/>
      <c r="T164" s="1138"/>
      <c r="U164" s="1138"/>
      <c r="V164" s="1138"/>
      <c r="W164" s="1138"/>
    </row>
    <row r="165">
      <c r="A165" s="1138"/>
      <c r="B165" s="1138"/>
      <c r="C165" s="1138"/>
      <c r="D165" s="1147"/>
      <c r="E165" s="1138"/>
      <c r="F165" s="1151">
        <v>6772356.8</v>
      </c>
      <c r="G165" s="1147"/>
      <c r="H165" s="1138"/>
      <c r="I165" s="1138"/>
      <c r="J165" s="1138"/>
      <c r="K165" s="1138"/>
      <c r="L165" s="1138"/>
      <c r="M165" s="1138"/>
      <c r="N165" s="1138"/>
      <c r="O165" s="1138"/>
      <c r="P165" s="1138"/>
      <c r="Q165" s="1138"/>
      <c r="R165" s="1138"/>
      <c r="S165" s="1138"/>
      <c r="T165" s="1138"/>
      <c r="U165" s="1138"/>
      <c r="V165" s="1138"/>
      <c r="W165" s="1138"/>
    </row>
    <row r="166">
      <c r="A166" s="1138"/>
      <c r="B166" s="1138"/>
      <c r="C166" s="1138"/>
      <c r="D166" s="1147"/>
      <c r="E166" s="1138"/>
      <c r="F166" s="1147"/>
      <c r="G166" s="1147"/>
      <c r="H166" s="1138"/>
      <c r="I166" s="1138"/>
      <c r="J166" s="1138"/>
      <c r="K166" s="1138"/>
      <c r="L166" s="1138"/>
      <c r="M166" s="1138"/>
      <c r="N166" s="1138"/>
      <c r="O166" s="1138"/>
      <c r="P166" s="1138"/>
      <c r="Q166" s="1138"/>
      <c r="R166" s="1138"/>
      <c r="S166" s="1138"/>
      <c r="T166" s="1138"/>
      <c r="U166" s="1138"/>
      <c r="V166" s="1138"/>
      <c r="W166" s="1138"/>
    </row>
    <row r="167">
      <c r="A167" s="1209" t="s">
        <v>6952</v>
      </c>
      <c r="B167" s="1138"/>
      <c r="C167" s="1138"/>
      <c r="D167" s="1147"/>
      <c r="E167" s="1138"/>
      <c r="F167" s="1147"/>
      <c r="G167" s="1147"/>
      <c r="H167" s="1138"/>
      <c r="I167" s="1138"/>
      <c r="J167" s="1138"/>
      <c r="K167" s="1138"/>
      <c r="L167" s="1138"/>
      <c r="M167" s="1138"/>
      <c r="N167" s="1138"/>
      <c r="O167" s="1138"/>
      <c r="P167" s="1138"/>
      <c r="Q167" s="1138"/>
      <c r="R167" s="1138"/>
      <c r="S167" s="1138"/>
      <c r="T167" s="1138"/>
      <c r="U167" s="1138"/>
      <c r="V167" s="1138"/>
      <c r="W167" s="1138"/>
    </row>
    <row r="168">
      <c r="A168" s="1177" t="s">
        <v>1</v>
      </c>
      <c r="B168" s="1178" t="s">
        <v>6936</v>
      </c>
      <c r="C168" s="1200" t="s">
        <v>6950</v>
      </c>
      <c r="D168" s="1179" t="s">
        <v>6938</v>
      </c>
      <c r="E168" s="1180" t="s">
        <v>6939</v>
      </c>
      <c r="F168" s="1179" t="s">
        <v>6940</v>
      </c>
      <c r="G168" s="1147"/>
      <c r="H168" s="1138"/>
      <c r="I168" s="1138"/>
      <c r="J168" s="1138"/>
      <c r="K168" s="1138"/>
      <c r="L168" s="1138"/>
      <c r="M168" s="1138"/>
      <c r="N168" s="1138"/>
      <c r="O168" s="1138"/>
      <c r="P168" s="1138"/>
      <c r="Q168" s="1138"/>
      <c r="R168" s="1138"/>
      <c r="S168" s="1138"/>
      <c r="T168" s="1138"/>
      <c r="U168" s="1138"/>
      <c r="V168" s="1138"/>
      <c r="W168" s="1138"/>
    </row>
    <row r="169">
      <c r="A169" s="1201" t="s">
        <v>10</v>
      </c>
      <c r="B169" s="1164">
        <f>SUMIFS(ECOBANK!F:F,ECOBANK!A:A,"7/22/24")</f>
        <v>8491125.28</v>
      </c>
      <c r="C169" s="1139">
        <v>8.827241475E8</v>
      </c>
      <c r="D169" s="1139">
        <v>935158.0</v>
      </c>
      <c r="E169" s="1143">
        <f t="shared" ref="E169:E173" si="25">F169-D169</f>
        <v>379784</v>
      </c>
      <c r="F169" s="1139">
        <v>1314942.0</v>
      </c>
      <c r="G169" s="1147"/>
      <c r="H169" s="1138"/>
      <c r="I169" s="1138"/>
      <c r="J169" s="1138"/>
      <c r="K169" s="1138"/>
      <c r="L169" s="1138"/>
      <c r="M169" s="1138"/>
      <c r="N169" s="1138"/>
      <c r="O169" s="1138"/>
      <c r="P169" s="1138"/>
      <c r="Q169" s="1138"/>
      <c r="R169" s="1138"/>
      <c r="S169" s="1138"/>
      <c r="T169" s="1138"/>
      <c r="U169" s="1138"/>
      <c r="V169" s="1138"/>
      <c r="W169" s="1138"/>
    </row>
    <row r="170">
      <c r="A170" s="1201" t="s">
        <v>24</v>
      </c>
      <c r="B170" s="1164">
        <f>SUMIFS('TRADE CENTER'!F:F,'TRADE CENTER'!A:A,"7/22/24")</f>
        <v>10027493.74</v>
      </c>
      <c r="C170" s="1139">
        <v>6.6035773944E8</v>
      </c>
      <c r="D170" s="1139">
        <v>487069.0</v>
      </c>
      <c r="E170" s="1143">
        <f t="shared" si="25"/>
        <v>506770</v>
      </c>
      <c r="F170" s="1139">
        <v>993839.0</v>
      </c>
      <c r="G170" s="1147"/>
      <c r="H170" s="1138"/>
      <c r="I170" s="1138"/>
      <c r="J170" s="1138"/>
      <c r="K170" s="1138"/>
      <c r="L170" s="1138"/>
      <c r="M170" s="1138"/>
      <c r="N170" s="1138"/>
      <c r="O170" s="1138"/>
      <c r="P170" s="1138"/>
      <c r="Q170" s="1138"/>
      <c r="R170" s="1138"/>
      <c r="S170" s="1138"/>
      <c r="T170" s="1138"/>
      <c r="U170" s="1138"/>
      <c r="V170" s="1138"/>
      <c r="W170" s="1138"/>
    </row>
    <row r="171">
      <c r="A171" s="1201" t="s">
        <v>12</v>
      </c>
      <c r="B171" s="1164">
        <f>SUMIFS(PENSION!F:F,PENSION!A:A,"7/22/2024")</f>
        <v>11286835.89</v>
      </c>
      <c r="C171" s="1182">
        <v>2.6855425782E8</v>
      </c>
      <c r="D171" s="1139">
        <v>9211000.0</v>
      </c>
      <c r="E171" s="1143">
        <f t="shared" si="25"/>
        <v>1315593</v>
      </c>
      <c r="F171" s="1139">
        <v>1.0526593E7</v>
      </c>
      <c r="G171" s="1147"/>
      <c r="H171" s="1138"/>
      <c r="I171" s="1138"/>
      <c r="J171" s="1138"/>
      <c r="K171" s="1138"/>
      <c r="L171" s="1138"/>
      <c r="M171" s="1138"/>
      <c r="N171" s="1138"/>
      <c r="O171" s="1138"/>
      <c r="P171" s="1138"/>
      <c r="Q171" s="1138"/>
      <c r="R171" s="1138"/>
      <c r="S171" s="1138"/>
      <c r="T171" s="1138"/>
      <c r="U171" s="1138"/>
      <c r="V171" s="1138"/>
      <c r="W171" s="1138"/>
    </row>
    <row r="172">
      <c r="A172" s="1201" t="s">
        <v>13</v>
      </c>
      <c r="B172" s="1164">
        <f>SUMIFS(KITENGELA!F:F,KITENGELA!A:A,"7/22/24")</f>
        <v>3437769.99</v>
      </c>
      <c r="C172" s="1139">
        <v>1.1239661346E8</v>
      </c>
      <c r="D172" s="1143">
        <f>SUM(KITENGELA!G2:G38)</f>
        <v>465168</v>
      </c>
      <c r="E172" s="1143">
        <f t="shared" si="25"/>
        <v>107830</v>
      </c>
      <c r="F172" s="1139">
        <v>572998.0</v>
      </c>
      <c r="G172" s="1147"/>
      <c r="H172" s="1138"/>
      <c r="I172" s="1138"/>
      <c r="J172" s="1138"/>
      <c r="K172" s="1138"/>
      <c r="L172" s="1138"/>
      <c r="M172" s="1138"/>
      <c r="N172" s="1138"/>
      <c r="O172" s="1138"/>
      <c r="P172" s="1138"/>
      <c r="Q172" s="1138"/>
      <c r="R172" s="1138"/>
      <c r="S172" s="1138"/>
      <c r="T172" s="1138"/>
      <c r="U172" s="1138"/>
      <c r="V172" s="1138"/>
      <c r="W172" s="1138"/>
    </row>
    <row r="173">
      <c r="A173" s="1201" t="s">
        <v>14</v>
      </c>
      <c r="B173" s="1164">
        <f>SUMIFS(ELDORET!F:F,ELDORET!A:A,"7/22/24")</f>
        <v>798423</v>
      </c>
      <c r="C173" s="1139">
        <v>1.6841914061E8</v>
      </c>
      <c r="D173" s="1139">
        <v>41235.0</v>
      </c>
      <c r="E173" s="1143">
        <f t="shared" si="25"/>
        <v>20000</v>
      </c>
      <c r="F173" s="1139">
        <v>61235.0</v>
      </c>
      <c r="G173" s="1147"/>
      <c r="H173" s="1138"/>
      <c r="I173" s="1138"/>
      <c r="J173" s="1138"/>
      <c r="K173" s="1138"/>
      <c r="L173" s="1138"/>
      <c r="M173" s="1138"/>
      <c r="N173" s="1138"/>
      <c r="O173" s="1138"/>
      <c r="P173" s="1138"/>
      <c r="Q173" s="1138"/>
      <c r="R173" s="1138"/>
      <c r="S173" s="1138"/>
      <c r="T173" s="1138"/>
      <c r="U173" s="1138"/>
      <c r="V173" s="1138"/>
      <c r="W173" s="1138"/>
    </row>
    <row r="174">
      <c r="A174" s="1201" t="s">
        <v>15</v>
      </c>
      <c r="B174" s="1164">
        <f>SUMIFS(NAKURU!F:F,NAKURU!A:A,"7/22/24")</f>
        <v>3488642</v>
      </c>
      <c r="C174" s="1139">
        <v>1.940378236E7</v>
      </c>
      <c r="D174" s="1139">
        <v>37500.0</v>
      </c>
      <c r="E174" s="1139">
        <v>20900.0</v>
      </c>
      <c r="F174" s="1139">
        <f>D174+E174</f>
        <v>58400</v>
      </c>
      <c r="G174" s="1147"/>
      <c r="H174" s="1138"/>
      <c r="I174" s="1138"/>
      <c r="J174" s="1138"/>
      <c r="K174" s="1138"/>
      <c r="L174" s="1138"/>
      <c r="M174" s="1138"/>
      <c r="N174" s="1138"/>
      <c r="O174" s="1138"/>
      <c r="P174" s="1138"/>
      <c r="Q174" s="1138"/>
      <c r="R174" s="1138"/>
      <c r="S174" s="1138"/>
      <c r="T174" s="1138"/>
      <c r="U174" s="1138"/>
      <c r="V174" s="1138"/>
      <c r="W174" s="1138"/>
    </row>
    <row r="175">
      <c r="A175" s="1201" t="s">
        <v>16</v>
      </c>
      <c r="B175" s="1164">
        <f>SUMIFS(HOMABAY!F:F,HOMABAY!A:A,"7/22/24")</f>
        <v>308936</v>
      </c>
      <c r="C175" s="1139">
        <v>1.579113858E7</v>
      </c>
      <c r="D175" s="1210">
        <v>0.0</v>
      </c>
      <c r="E175" s="1139">
        <v>0.0</v>
      </c>
      <c r="F175" s="1145">
        <v>0.0</v>
      </c>
      <c r="G175" s="1147"/>
      <c r="H175" s="1138"/>
      <c r="I175" s="1138"/>
      <c r="J175" s="1138"/>
      <c r="K175" s="1138"/>
      <c r="L175" s="1138"/>
      <c r="M175" s="1138"/>
      <c r="N175" s="1138"/>
      <c r="O175" s="1138"/>
      <c r="P175" s="1138"/>
      <c r="Q175" s="1138"/>
      <c r="R175" s="1138"/>
      <c r="S175" s="1138"/>
      <c r="T175" s="1138"/>
      <c r="U175" s="1138"/>
      <c r="V175" s="1138"/>
      <c r="W175" s="1138"/>
    </row>
    <row r="176">
      <c r="A176" s="1201" t="s">
        <v>17</v>
      </c>
      <c r="B176" s="1164">
        <f>SUMIFS(MOMBASA!F:F,MOMBASA!A:A,"7/22/24")</f>
        <v>2301265.4</v>
      </c>
      <c r="C176" s="1139">
        <v>2.0614834765E8</v>
      </c>
      <c r="D176" s="1143">
        <f>SUM(MOMBASA!G4:G20)</f>
        <v>825200</v>
      </c>
      <c r="E176" s="1139">
        <v>0.0</v>
      </c>
      <c r="F176" s="1143">
        <f>D176</f>
        <v>825200</v>
      </c>
      <c r="G176" s="1147"/>
      <c r="H176" s="1138"/>
      <c r="I176" s="1138"/>
      <c r="J176" s="1138"/>
      <c r="K176" s="1138"/>
      <c r="L176" s="1138"/>
      <c r="M176" s="1138"/>
      <c r="N176" s="1138"/>
      <c r="O176" s="1138"/>
      <c r="P176" s="1138"/>
      <c r="Q176" s="1138"/>
      <c r="R176" s="1138"/>
      <c r="S176" s="1138"/>
      <c r="T176" s="1138"/>
      <c r="U176" s="1138"/>
      <c r="V176" s="1138"/>
      <c r="W176" s="1138"/>
    </row>
    <row r="177">
      <c r="A177" s="1201" t="s">
        <v>18</v>
      </c>
      <c r="B177" s="1164">
        <f>SUMIFS(KISUMU!F:F,KISUMU!A:A,"7/22/24")</f>
        <v>834640</v>
      </c>
      <c r="C177" s="1139">
        <v>9.565245141E7</v>
      </c>
      <c r="D177" s="1139">
        <v>293755.0</v>
      </c>
      <c r="E177" s="1139">
        <v>469689.0</v>
      </c>
      <c r="F177" s="1143">
        <f>D177+E177</f>
        <v>763444</v>
      </c>
      <c r="G177" s="1147"/>
      <c r="H177" s="1138"/>
      <c r="I177" s="1138"/>
      <c r="J177" s="1138"/>
      <c r="K177" s="1138"/>
      <c r="L177" s="1138"/>
      <c r="M177" s="1138"/>
      <c r="N177" s="1138"/>
      <c r="O177" s="1138"/>
      <c r="P177" s="1138"/>
      <c r="Q177" s="1138"/>
      <c r="R177" s="1138"/>
      <c r="S177" s="1138"/>
      <c r="T177" s="1138"/>
      <c r="U177" s="1138"/>
      <c r="V177" s="1138"/>
      <c r="W177" s="1138"/>
    </row>
    <row r="178">
      <c r="A178" s="1201" t="s">
        <v>19</v>
      </c>
      <c r="B178" s="1164">
        <f>SUMIFS(VOI!F:F,VOI!A:A,"7/22/24")</f>
        <v>292923</v>
      </c>
      <c r="C178" s="1155">
        <v>7518273.56</v>
      </c>
      <c r="D178" s="1139">
        <v>4000.0</v>
      </c>
      <c r="E178" s="1139">
        <v>0.0</v>
      </c>
      <c r="F178" s="1139">
        <v>4000.0</v>
      </c>
      <c r="G178" s="1147"/>
      <c r="H178" s="1138"/>
      <c r="I178" s="1138"/>
      <c r="J178" s="1138"/>
      <c r="K178" s="1138"/>
      <c r="L178" s="1138"/>
      <c r="M178" s="1138"/>
      <c r="N178" s="1138"/>
      <c r="O178" s="1138"/>
      <c r="P178" s="1138"/>
      <c r="Q178" s="1138"/>
      <c r="R178" s="1138"/>
      <c r="S178" s="1138"/>
      <c r="T178" s="1138"/>
      <c r="U178" s="1138"/>
      <c r="V178" s="1138"/>
      <c r="W178" s="1138"/>
    </row>
    <row r="179">
      <c r="A179" s="1201" t="s">
        <v>20</v>
      </c>
      <c r="B179" s="1164">
        <f>SUMIFS(THIKA!F:F,THIKA!A:A,"7/22/24")</f>
        <v>1779935</v>
      </c>
      <c r="C179" s="1139">
        <v>7.009164877E7</v>
      </c>
      <c r="D179" s="1139">
        <v>771825.0</v>
      </c>
      <c r="E179" s="1143">
        <f>F179-D179</f>
        <v>8000</v>
      </c>
      <c r="F179" s="1145">
        <v>779825.0</v>
      </c>
      <c r="G179" s="1147"/>
      <c r="H179" s="1138"/>
      <c r="I179" s="1138"/>
      <c r="J179" s="1138"/>
      <c r="K179" s="1138"/>
      <c r="L179" s="1138"/>
      <c r="M179" s="1138"/>
      <c r="N179" s="1138"/>
      <c r="O179" s="1138"/>
      <c r="P179" s="1138"/>
      <c r="Q179" s="1138"/>
      <c r="R179" s="1138"/>
      <c r="S179" s="1138"/>
      <c r="T179" s="1138"/>
      <c r="U179" s="1138"/>
      <c r="V179" s="1138"/>
      <c r="W179" s="1138"/>
    </row>
    <row r="180">
      <c r="A180" s="1201" t="s">
        <v>21</v>
      </c>
      <c r="B180" s="1164">
        <f>SUMIFS(KITUI!F:F,KITUI!A:A,"7/22/24")</f>
        <v>176476</v>
      </c>
      <c r="C180" s="1191">
        <v>1953053.82</v>
      </c>
      <c r="D180" s="1139">
        <v>50000.0</v>
      </c>
      <c r="E180" s="1139">
        <v>0.0</v>
      </c>
      <c r="F180" s="1139">
        <v>50000.0</v>
      </c>
      <c r="G180" s="1147"/>
      <c r="H180" s="1138"/>
      <c r="I180" s="1138"/>
      <c r="J180" s="1138"/>
      <c r="K180" s="1138"/>
      <c r="L180" s="1138"/>
      <c r="M180" s="1138"/>
      <c r="N180" s="1138"/>
      <c r="O180" s="1138"/>
      <c r="P180" s="1138"/>
      <c r="Q180" s="1138"/>
      <c r="R180" s="1138"/>
      <c r="S180" s="1138"/>
      <c r="T180" s="1138"/>
      <c r="U180" s="1138"/>
      <c r="V180" s="1138"/>
      <c r="W180" s="1138"/>
    </row>
    <row r="181">
      <c r="A181" s="1203" t="s">
        <v>22</v>
      </c>
      <c r="B181" s="1164">
        <f>SUMIFS(MACHAKOS!F:F,MACHAKOS!A:A,"7/22/24")</f>
        <v>127487</v>
      </c>
      <c r="C181" s="1150">
        <v>283775.54</v>
      </c>
      <c r="D181" s="1139">
        <v>0.0</v>
      </c>
      <c r="E181" s="1139">
        <v>0.0</v>
      </c>
      <c r="F181" s="1139">
        <v>0.0</v>
      </c>
      <c r="G181" s="1147"/>
      <c r="H181" s="1138"/>
      <c r="I181" s="1138"/>
      <c r="J181" s="1138"/>
      <c r="K181" s="1138"/>
      <c r="L181" s="1138"/>
      <c r="M181" s="1138"/>
      <c r="N181" s="1138"/>
      <c r="O181" s="1138"/>
      <c r="P181" s="1138"/>
      <c r="Q181" s="1138"/>
      <c r="R181" s="1138"/>
      <c r="S181" s="1138"/>
      <c r="T181" s="1138"/>
      <c r="U181" s="1138"/>
      <c r="V181" s="1138"/>
      <c r="W181" s="1138"/>
    </row>
    <row r="182">
      <c r="A182" s="1213" t="s">
        <v>23</v>
      </c>
      <c r="B182" s="1214">
        <f t="shared" ref="B182:F182" si="26">SUM(B168:B181)</f>
        <v>43351952.3</v>
      </c>
      <c r="C182" s="1214">
        <f t="shared" si="26"/>
        <v>2509294371</v>
      </c>
      <c r="D182" s="1214">
        <f t="shared" si="26"/>
        <v>13121910</v>
      </c>
      <c r="E182" s="1214">
        <f t="shared" si="26"/>
        <v>2828566</v>
      </c>
      <c r="F182" s="1214">
        <f t="shared" si="26"/>
        <v>15950476</v>
      </c>
      <c r="G182" s="1147"/>
      <c r="H182" s="1138"/>
      <c r="I182" s="1138"/>
      <c r="J182" s="1138"/>
      <c r="K182" s="1138"/>
      <c r="L182" s="1138"/>
      <c r="M182" s="1138"/>
      <c r="N182" s="1138"/>
      <c r="O182" s="1138"/>
      <c r="P182" s="1138"/>
      <c r="Q182" s="1138"/>
      <c r="R182" s="1138"/>
      <c r="S182" s="1138"/>
      <c r="T182" s="1138"/>
      <c r="U182" s="1138"/>
      <c r="V182" s="1138"/>
      <c r="W182" s="1138"/>
    </row>
    <row r="183">
      <c r="A183" s="1138"/>
      <c r="B183" s="1138"/>
      <c r="C183" s="1138"/>
      <c r="D183" s="1147"/>
      <c r="E183" s="1138"/>
      <c r="F183" s="1147"/>
      <c r="G183" s="1147"/>
      <c r="H183" s="1138"/>
      <c r="I183" s="1138"/>
      <c r="J183" s="1138"/>
      <c r="K183" s="1138"/>
      <c r="L183" s="1138"/>
      <c r="M183" s="1138"/>
      <c r="N183" s="1138"/>
      <c r="O183" s="1138"/>
      <c r="P183" s="1138"/>
      <c r="Q183" s="1138"/>
      <c r="R183" s="1138"/>
      <c r="S183" s="1138"/>
      <c r="T183" s="1138"/>
      <c r="U183" s="1138"/>
      <c r="V183" s="1138"/>
      <c r="W183" s="1138"/>
    </row>
    <row r="184">
      <c r="A184" s="1138"/>
      <c r="B184" s="1138"/>
      <c r="C184" s="1138"/>
      <c r="D184" s="1147"/>
      <c r="E184" s="1138"/>
      <c r="F184" s="1147"/>
      <c r="G184" s="1147"/>
      <c r="H184" s="1138"/>
      <c r="I184" s="1138"/>
      <c r="J184" s="1138"/>
      <c r="K184" s="1138"/>
      <c r="L184" s="1138"/>
      <c r="M184" s="1138"/>
      <c r="N184" s="1138"/>
      <c r="O184" s="1138"/>
      <c r="P184" s="1138"/>
      <c r="Q184" s="1138"/>
      <c r="R184" s="1138"/>
      <c r="S184" s="1138"/>
      <c r="T184" s="1138"/>
      <c r="U184" s="1138"/>
      <c r="V184" s="1138"/>
      <c r="W184" s="1138"/>
    </row>
    <row r="185">
      <c r="A185" s="1209" t="s">
        <v>6953</v>
      </c>
      <c r="B185" s="1138"/>
      <c r="C185" s="1138"/>
      <c r="D185" s="1147"/>
      <c r="E185" s="1138"/>
      <c r="F185" s="1147"/>
      <c r="G185" s="1147"/>
      <c r="H185" s="1138"/>
      <c r="I185" s="1138"/>
      <c r="J185" s="1138"/>
      <c r="K185" s="1138"/>
      <c r="L185" s="1138"/>
      <c r="M185" s="1138"/>
      <c r="N185" s="1138"/>
      <c r="O185" s="1138"/>
      <c r="P185" s="1138"/>
      <c r="Q185" s="1138"/>
      <c r="R185" s="1138"/>
      <c r="S185" s="1138"/>
      <c r="T185" s="1138"/>
      <c r="U185" s="1138"/>
      <c r="V185" s="1138"/>
      <c r="W185" s="1138"/>
    </row>
    <row r="186">
      <c r="A186" s="1177" t="s">
        <v>1</v>
      </c>
      <c r="B186" s="1178" t="s">
        <v>6936</v>
      </c>
      <c r="C186" s="1200" t="s">
        <v>6950</v>
      </c>
      <c r="D186" s="1179" t="s">
        <v>6938</v>
      </c>
      <c r="E186" s="1180" t="s">
        <v>6939</v>
      </c>
      <c r="F186" s="1179" t="s">
        <v>6940</v>
      </c>
      <c r="G186" s="1147"/>
      <c r="H186" s="1138"/>
      <c r="I186" s="1138"/>
      <c r="J186" s="1138"/>
      <c r="K186" s="1138"/>
      <c r="L186" s="1138"/>
      <c r="M186" s="1138"/>
      <c r="N186" s="1138"/>
      <c r="O186" s="1138"/>
      <c r="P186" s="1138"/>
      <c r="Q186" s="1138"/>
      <c r="R186" s="1138"/>
      <c r="S186" s="1138"/>
      <c r="T186" s="1138"/>
      <c r="U186" s="1138"/>
      <c r="V186" s="1138"/>
      <c r="W186" s="1138"/>
    </row>
    <row r="187">
      <c r="A187" s="1201" t="s">
        <v>10</v>
      </c>
      <c r="B187" s="1164">
        <f>SUMIFS(ECOBANK!F:F,ECOBANK!A:A,"7/23/24")</f>
        <v>12723509.29</v>
      </c>
      <c r="C187" s="1139">
        <v>8.8738035052E8</v>
      </c>
      <c r="D187" s="1139">
        <v>450000.0</v>
      </c>
      <c r="E187" s="1139">
        <f t="shared" ref="E187:E200" si="27">F187-D187</f>
        <v>0</v>
      </c>
      <c r="F187" s="1139">
        <v>450000.0</v>
      </c>
      <c r="G187" s="1147"/>
      <c r="H187" s="1138"/>
      <c r="I187" s="1138"/>
      <c r="J187" s="1138"/>
      <c r="K187" s="1138"/>
      <c r="L187" s="1138"/>
      <c r="M187" s="1138"/>
      <c r="N187" s="1138"/>
      <c r="O187" s="1138"/>
      <c r="P187" s="1138"/>
      <c r="Q187" s="1138"/>
      <c r="R187" s="1138"/>
      <c r="S187" s="1138"/>
      <c r="T187" s="1138"/>
      <c r="U187" s="1138"/>
      <c r="V187" s="1138"/>
      <c r="W187" s="1138"/>
    </row>
    <row r="188">
      <c r="A188" s="1201" t="s">
        <v>24</v>
      </c>
      <c r="B188" s="1164">
        <f>SUMIFS('TRADE CENTER'!F:F,'TRADE CENTER'!A:A,"7/23/24")</f>
        <v>14168889.55</v>
      </c>
      <c r="C188" s="1139">
        <v>6.5605408992E8</v>
      </c>
      <c r="D188" s="1141">
        <v>375077.0</v>
      </c>
      <c r="E188" s="1139">
        <f t="shared" si="27"/>
        <v>58500</v>
      </c>
      <c r="F188" s="1139">
        <v>433577.0</v>
      </c>
      <c r="G188" s="1147"/>
      <c r="H188" s="1138"/>
      <c r="I188" s="1138"/>
      <c r="J188" s="1138"/>
      <c r="K188" s="1138"/>
      <c r="L188" s="1138"/>
      <c r="M188" s="1138"/>
      <c r="N188" s="1138"/>
      <c r="O188" s="1138"/>
      <c r="P188" s="1138"/>
      <c r="Q188" s="1138"/>
      <c r="R188" s="1138"/>
      <c r="S188" s="1138"/>
      <c r="T188" s="1138"/>
      <c r="U188" s="1138"/>
      <c r="V188" s="1138"/>
      <c r="W188" s="1138"/>
    </row>
    <row r="189">
      <c r="A189" s="1201" t="s">
        <v>12</v>
      </c>
      <c r="B189" s="1164">
        <f>SUMIFS(PENSION!F:F,PENSION!A:A,"7/23/2024")</f>
        <v>4316693.31</v>
      </c>
      <c r="C189" s="1182">
        <v>2.676224328E8</v>
      </c>
      <c r="D189" s="1182">
        <v>1978113.0</v>
      </c>
      <c r="E189" s="1139">
        <f t="shared" si="27"/>
        <v>545842</v>
      </c>
      <c r="F189" s="1139">
        <v>2523955.0</v>
      </c>
      <c r="G189" s="1151">
        <v>2523955.0</v>
      </c>
      <c r="H189" s="1138"/>
      <c r="I189" s="1138"/>
      <c r="J189" s="1138"/>
      <c r="K189" s="1138"/>
      <c r="L189" s="1138"/>
      <c r="M189" s="1138"/>
      <c r="N189" s="1138"/>
      <c r="O189" s="1138"/>
      <c r="P189" s="1138"/>
      <c r="Q189" s="1138"/>
      <c r="R189" s="1138"/>
      <c r="S189" s="1138"/>
      <c r="T189" s="1138"/>
      <c r="U189" s="1138"/>
      <c r="V189" s="1138"/>
      <c r="W189" s="1138"/>
    </row>
    <row r="190">
      <c r="A190" s="1201" t="s">
        <v>13</v>
      </c>
      <c r="B190" s="1164">
        <f>SUMIFS(KITENGELA!F:F,KITENGELA!A:A,"7/23/24")</f>
        <v>2562270.72</v>
      </c>
      <c r="C190" s="1139">
        <v>1.1252522647E8</v>
      </c>
      <c r="D190" s="1143">
        <f>SUM(KITENGELA!G42:G73)</f>
        <v>269901</v>
      </c>
      <c r="E190" s="1139">
        <f t="shared" si="27"/>
        <v>0</v>
      </c>
      <c r="F190" s="1143">
        <v>269901.0</v>
      </c>
      <c r="G190" s="1147"/>
      <c r="H190" s="1138"/>
      <c r="I190" s="1138"/>
      <c r="J190" s="1138"/>
      <c r="K190" s="1138"/>
      <c r="L190" s="1138"/>
      <c r="M190" s="1138"/>
      <c r="N190" s="1138"/>
      <c r="O190" s="1138"/>
      <c r="P190" s="1138"/>
      <c r="Q190" s="1138"/>
      <c r="R190" s="1138"/>
      <c r="S190" s="1138"/>
      <c r="T190" s="1138"/>
      <c r="U190" s="1138"/>
      <c r="V190" s="1138"/>
      <c r="W190" s="1138"/>
    </row>
    <row r="191">
      <c r="A191" s="1201" t="s">
        <v>14</v>
      </c>
      <c r="B191" s="1164">
        <f>SUMIFS(ELDORET!F:F,ELDORET!A:A,"7/23/24")</f>
        <v>1159258</v>
      </c>
      <c r="C191" s="1139">
        <v>1.6850842619E8</v>
      </c>
      <c r="D191" s="1139">
        <v>21000.0</v>
      </c>
      <c r="E191" s="1139">
        <f t="shared" si="27"/>
        <v>0</v>
      </c>
      <c r="F191" s="1139">
        <v>21000.0</v>
      </c>
      <c r="G191" s="1147"/>
      <c r="H191" s="1138"/>
      <c r="I191" s="1138"/>
      <c r="J191" s="1138"/>
      <c r="K191" s="1138"/>
      <c r="L191" s="1138"/>
      <c r="M191" s="1138"/>
      <c r="N191" s="1138"/>
      <c r="O191" s="1138"/>
      <c r="P191" s="1138"/>
      <c r="Q191" s="1138"/>
      <c r="R191" s="1138"/>
      <c r="S191" s="1138"/>
      <c r="T191" s="1138"/>
      <c r="U191" s="1138"/>
      <c r="V191" s="1138"/>
      <c r="W191" s="1138"/>
    </row>
    <row r="192">
      <c r="A192" s="1201" t="s">
        <v>15</v>
      </c>
      <c r="B192" s="1164">
        <f>SUMIFS(NAKURU!F:F,NAKURU!A:A,"7/23/24")</f>
        <v>290000</v>
      </c>
      <c r="C192" s="1139">
        <v>1.9160553E7</v>
      </c>
      <c r="D192" s="1139">
        <v>301472.0</v>
      </c>
      <c r="E192" s="1139">
        <f t="shared" si="27"/>
        <v>5500</v>
      </c>
      <c r="F192" s="1139">
        <v>306972.0</v>
      </c>
      <c r="G192" s="1147"/>
      <c r="H192" s="1138"/>
      <c r="I192" s="1138"/>
      <c r="J192" s="1138"/>
      <c r="K192" s="1138"/>
      <c r="L192" s="1138"/>
      <c r="M192" s="1138"/>
      <c r="N192" s="1138"/>
      <c r="O192" s="1138"/>
      <c r="P192" s="1138"/>
      <c r="Q192" s="1138"/>
      <c r="R192" s="1138"/>
      <c r="S192" s="1138"/>
      <c r="T192" s="1138"/>
      <c r="U192" s="1138"/>
      <c r="V192" s="1138"/>
      <c r="W192" s="1138"/>
    </row>
    <row r="193">
      <c r="A193" s="1201" t="s">
        <v>16</v>
      </c>
      <c r="B193" s="1164">
        <f>SUMIFS(HOMABAY!F:F,HOMABAY!A:A,"7/23/24")</f>
        <v>232000</v>
      </c>
      <c r="C193" s="1139">
        <v>1.638569101E7</v>
      </c>
      <c r="D193" s="1210">
        <v>0.0</v>
      </c>
      <c r="E193" s="1139">
        <f t="shared" si="27"/>
        <v>0</v>
      </c>
      <c r="F193" s="1145">
        <v>0.0</v>
      </c>
      <c r="G193" s="1147"/>
      <c r="H193" s="1138"/>
      <c r="I193" s="1138"/>
      <c r="J193" s="1138"/>
      <c r="K193" s="1138"/>
      <c r="L193" s="1138"/>
      <c r="M193" s="1138"/>
      <c r="N193" s="1138"/>
      <c r="O193" s="1138"/>
      <c r="P193" s="1138"/>
      <c r="Q193" s="1138"/>
      <c r="R193" s="1138"/>
      <c r="S193" s="1138"/>
      <c r="T193" s="1138"/>
      <c r="U193" s="1138"/>
      <c r="V193" s="1138"/>
      <c r="W193" s="1138"/>
    </row>
    <row r="194">
      <c r="A194" s="1201" t="s">
        <v>17</v>
      </c>
      <c r="B194" s="1164">
        <f>SUMIFS(MOMBASA!F:F,MOMBASA!A:A,"7/23/24")</f>
        <v>1740248.65</v>
      </c>
      <c r="C194" s="1139">
        <v>2.0610744625E8</v>
      </c>
      <c r="D194" s="1139">
        <v>56767.0</v>
      </c>
      <c r="E194" s="1139">
        <f t="shared" si="27"/>
        <v>0</v>
      </c>
      <c r="F194" s="1139">
        <v>56767.0</v>
      </c>
      <c r="G194" s="1147"/>
      <c r="H194" s="1138"/>
      <c r="I194" s="1138"/>
      <c r="J194" s="1138"/>
      <c r="K194" s="1138"/>
      <c r="L194" s="1138"/>
      <c r="M194" s="1138"/>
      <c r="N194" s="1138"/>
      <c r="O194" s="1138"/>
      <c r="P194" s="1138"/>
      <c r="Q194" s="1138"/>
      <c r="R194" s="1138"/>
      <c r="S194" s="1138"/>
      <c r="T194" s="1138"/>
      <c r="U194" s="1138"/>
      <c r="V194" s="1138"/>
      <c r="W194" s="1138"/>
    </row>
    <row r="195">
      <c r="A195" s="1201" t="s">
        <v>18</v>
      </c>
      <c r="B195" s="1164">
        <f>SUMIFS(KISUMU!F:F,KISUMU!A:A,"7/23/24")</f>
        <v>950900.1</v>
      </c>
      <c r="C195" s="1139">
        <v>9.560272308E7</v>
      </c>
      <c r="D195" s="1139">
        <v>63183.0</v>
      </c>
      <c r="E195" s="1139">
        <f t="shared" si="27"/>
        <v>10000</v>
      </c>
      <c r="F195" s="1143">
        <v>73183.0</v>
      </c>
      <c r="G195" s="1147"/>
      <c r="H195" s="1138"/>
      <c r="I195" s="1138"/>
      <c r="J195" s="1138"/>
      <c r="K195" s="1138"/>
      <c r="L195" s="1138"/>
      <c r="M195" s="1138"/>
      <c r="N195" s="1138"/>
      <c r="O195" s="1138"/>
      <c r="P195" s="1138"/>
      <c r="Q195" s="1138"/>
      <c r="R195" s="1138"/>
      <c r="S195" s="1138"/>
      <c r="T195" s="1138"/>
      <c r="U195" s="1138"/>
      <c r="V195" s="1138"/>
      <c r="W195" s="1138"/>
    </row>
    <row r="196">
      <c r="A196" s="1201" t="s">
        <v>19</v>
      </c>
      <c r="B196" s="1164">
        <f>SUMIFS(VOI!F:F,VOI!A:A,"7/23/24")</f>
        <v>364960</v>
      </c>
      <c r="C196" s="1155">
        <v>7518273.56</v>
      </c>
      <c r="D196" s="1139">
        <v>13000.0</v>
      </c>
      <c r="E196" s="1139">
        <f t="shared" si="27"/>
        <v>0</v>
      </c>
      <c r="F196" s="1145">
        <v>13000.0</v>
      </c>
      <c r="G196" s="1147"/>
      <c r="H196" s="1138"/>
      <c r="I196" s="1138"/>
      <c r="J196" s="1138"/>
      <c r="K196" s="1138"/>
      <c r="L196" s="1138"/>
      <c r="M196" s="1138"/>
      <c r="N196" s="1138"/>
      <c r="O196" s="1138"/>
      <c r="P196" s="1138"/>
      <c r="Q196" s="1138"/>
      <c r="R196" s="1138"/>
      <c r="S196" s="1138"/>
      <c r="T196" s="1138"/>
      <c r="U196" s="1138"/>
      <c r="V196" s="1138"/>
      <c r="W196" s="1138"/>
    </row>
    <row r="197">
      <c r="A197" s="1201" t="s">
        <v>20</v>
      </c>
      <c r="B197" s="1164">
        <f>SUMIFS(THIKA!F:F,THIKA!A:A,"7/23/24")</f>
        <v>1762523.24</v>
      </c>
      <c r="C197" s="1139">
        <v>6.951824685E7</v>
      </c>
      <c r="D197" s="1139">
        <v>50283.0</v>
      </c>
      <c r="E197" s="1139">
        <f t="shared" si="27"/>
        <v>0</v>
      </c>
      <c r="F197" s="1139">
        <v>50283.0</v>
      </c>
      <c r="G197" s="1147"/>
      <c r="H197" s="1138"/>
      <c r="I197" s="1138"/>
      <c r="J197" s="1138"/>
      <c r="K197" s="1138"/>
      <c r="L197" s="1138"/>
      <c r="M197" s="1138"/>
      <c r="N197" s="1138"/>
      <c r="O197" s="1138"/>
      <c r="P197" s="1138"/>
      <c r="Q197" s="1138"/>
      <c r="R197" s="1138"/>
      <c r="S197" s="1138"/>
      <c r="T197" s="1138"/>
      <c r="U197" s="1138"/>
      <c r="V197" s="1138"/>
      <c r="W197" s="1138"/>
    </row>
    <row r="198">
      <c r="A198" s="1201" t="s">
        <v>21</v>
      </c>
      <c r="B198" s="1164">
        <f>SUMIFS(KITUI!F:F,KITUI!A:A,"7/23/24")</f>
        <v>136200</v>
      </c>
      <c r="C198" s="1191">
        <v>1953053.82</v>
      </c>
      <c r="D198" s="1139">
        <v>0.0</v>
      </c>
      <c r="E198" s="1139">
        <f t="shared" si="27"/>
        <v>0</v>
      </c>
      <c r="F198" s="1139">
        <v>0.0</v>
      </c>
      <c r="G198" s="1147"/>
      <c r="H198" s="1138"/>
      <c r="I198" s="1138"/>
      <c r="J198" s="1138"/>
      <c r="K198" s="1138"/>
      <c r="L198" s="1138"/>
      <c r="M198" s="1138"/>
      <c r="N198" s="1138"/>
      <c r="O198" s="1138"/>
      <c r="P198" s="1138"/>
      <c r="Q198" s="1138"/>
      <c r="R198" s="1138"/>
      <c r="S198" s="1138"/>
      <c r="T198" s="1138"/>
      <c r="U198" s="1138"/>
      <c r="V198" s="1138"/>
      <c r="W198" s="1138"/>
    </row>
    <row r="199">
      <c r="A199" s="1203" t="s">
        <v>22</v>
      </c>
      <c r="B199" s="1164">
        <f>SUMIFS(MACHAKOS!F:F,MACHAKOS!A:A,"7/23/24")</f>
        <v>166910.39</v>
      </c>
      <c r="C199" s="1150">
        <v>283775.54</v>
      </c>
      <c r="D199" s="1139">
        <v>0.0</v>
      </c>
      <c r="E199" s="1139">
        <f t="shared" si="27"/>
        <v>0</v>
      </c>
      <c r="F199" s="1139">
        <v>0.0</v>
      </c>
      <c r="G199" s="1147"/>
      <c r="H199" s="1138"/>
      <c r="I199" s="1138"/>
      <c r="J199" s="1138"/>
      <c r="K199" s="1138"/>
      <c r="L199" s="1138"/>
      <c r="M199" s="1138"/>
      <c r="N199" s="1138"/>
      <c r="O199" s="1138"/>
      <c r="P199" s="1138"/>
      <c r="Q199" s="1138"/>
      <c r="R199" s="1138"/>
      <c r="S199" s="1138"/>
      <c r="T199" s="1138"/>
      <c r="U199" s="1138"/>
      <c r="V199" s="1138"/>
      <c r="W199" s="1138"/>
    </row>
    <row r="200">
      <c r="A200" s="1215" t="s">
        <v>23</v>
      </c>
      <c r="B200" s="1207">
        <f>SUM(B187:B199)</f>
        <v>40574363.25</v>
      </c>
      <c r="C200" s="1216">
        <f t="shared" ref="C200:D200" si="28">SUM(C186:C199)</f>
        <v>2508620289</v>
      </c>
      <c r="D200" s="1216">
        <f t="shared" si="28"/>
        <v>3578796</v>
      </c>
      <c r="E200" s="1167">
        <f t="shared" si="27"/>
        <v>619842</v>
      </c>
      <c r="F200" s="1216">
        <f>SUM(F186:F199)</f>
        <v>4198638</v>
      </c>
      <c r="G200" s="1147"/>
      <c r="H200" s="1138"/>
      <c r="I200" s="1138"/>
      <c r="J200" s="1138"/>
      <c r="K200" s="1138"/>
      <c r="L200" s="1138"/>
      <c r="M200" s="1138"/>
      <c r="N200" s="1138"/>
      <c r="O200" s="1138"/>
      <c r="P200" s="1138"/>
      <c r="Q200" s="1138"/>
      <c r="R200" s="1138"/>
      <c r="S200" s="1138"/>
      <c r="T200" s="1138"/>
      <c r="U200" s="1138"/>
      <c r="V200" s="1138"/>
      <c r="W200" s="1138"/>
    </row>
    <row r="201">
      <c r="A201" s="1138"/>
      <c r="B201" s="1138"/>
      <c r="C201" s="1138"/>
      <c r="D201" s="1147"/>
      <c r="E201" s="1138"/>
      <c r="F201" s="1147"/>
      <c r="G201" s="1147"/>
      <c r="H201" s="1138"/>
      <c r="I201" s="1138"/>
      <c r="J201" s="1138"/>
      <c r="K201" s="1138"/>
      <c r="L201" s="1138"/>
      <c r="M201" s="1138"/>
      <c r="N201" s="1138"/>
      <c r="O201" s="1138"/>
      <c r="P201" s="1138"/>
      <c r="Q201" s="1138"/>
      <c r="R201" s="1138"/>
      <c r="S201" s="1138"/>
      <c r="T201" s="1138"/>
      <c r="U201" s="1138"/>
      <c r="V201" s="1138"/>
      <c r="W201" s="1138"/>
    </row>
    <row r="202">
      <c r="A202" s="1138"/>
      <c r="B202" s="1138"/>
      <c r="C202" s="1138"/>
      <c r="D202" s="1147"/>
      <c r="E202" s="1138"/>
      <c r="F202" s="1147"/>
      <c r="G202" s="1147"/>
      <c r="H202" s="1138"/>
      <c r="I202" s="1138"/>
      <c r="J202" s="1138"/>
      <c r="K202" s="1138"/>
      <c r="L202" s="1138"/>
      <c r="M202" s="1138"/>
      <c r="N202" s="1138"/>
      <c r="O202" s="1138"/>
      <c r="P202" s="1138"/>
      <c r="Q202" s="1138"/>
      <c r="R202" s="1138"/>
      <c r="S202" s="1138"/>
      <c r="T202" s="1138"/>
      <c r="U202" s="1138"/>
      <c r="V202" s="1138"/>
      <c r="W202" s="1138"/>
    </row>
    <row r="203">
      <c r="A203" s="1217">
        <v>45497.0</v>
      </c>
      <c r="B203" s="1138"/>
      <c r="C203" s="1138"/>
      <c r="D203" s="1147"/>
      <c r="E203" s="1138"/>
      <c r="F203" s="1147"/>
      <c r="G203" s="1147"/>
      <c r="H203" s="1138"/>
      <c r="I203" s="1138"/>
      <c r="J203" s="1138"/>
      <c r="K203" s="1138"/>
      <c r="L203" s="1138"/>
      <c r="M203" s="1138"/>
      <c r="N203" s="1138"/>
      <c r="O203" s="1138"/>
      <c r="P203" s="1138"/>
      <c r="Q203" s="1138"/>
      <c r="R203" s="1138"/>
      <c r="S203" s="1138"/>
      <c r="T203" s="1138"/>
      <c r="U203" s="1138"/>
      <c r="V203" s="1138"/>
      <c r="W203" s="1138"/>
    </row>
    <row r="204">
      <c r="A204" s="1177" t="s">
        <v>1</v>
      </c>
      <c r="B204" s="1178" t="s">
        <v>6936</v>
      </c>
      <c r="C204" s="1200" t="s">
        <v>6950</v>
      </c>
      <c r="D204" s="1179" t="s">
        <v>6938</v>
      </c>
      <c r="E204" s="1180" t="s">
        <v>6939</v>
      </c>
      <c r="F204" s="1179" t="s">
        <v>6940</v>
      </c>
      <c r="G204" s="1147"/>
      <c r="H204" s="1138"/>
      <c r="I204" s="1138"/>
      <c r="J204" s="1138"/>
      <c r="K204" s="1138"/>
      <c r="L204" s="1138"/>
      <c r="M204" s="1138"/>
      <c r="N204" s="1138"/>
      <c r="O204" s="1138"/>
      <c r="P204" s="1138"/>
      <c r="Q204" s="1138"/>
      <c r="R204" s="1138"/>
      <c r="S204" s="1138"/>
      <c r="T204" s="1138"/>
      <c r="U204" s="1138"/>
      <c r="V204" s="1138"/>
      <c r="W204" s="1138"/>
    </row>
    <row r="205">
      <c r="A205" s="1201" t="s">
        <v>10</v>
      </c>
      <c r="B205" s="1164">
        <f>SUMIFS(ECOBANK!F:F,ECOBANK!A:A,"7/24/24")</f>
        <v>10669742</v>
      </c>
      <c r="C205" s="1139">
        <v>8.8835022093E8</v>
      </c>
      <c r="D205" s="1139">
        <v>0.0</v>
      </c>
      <c r="E205" s="1139">
        <f t="shared" ref="E205:E218" si="29">F205-D205</f>
        <v>3100</v>
      </c>
      <c r="F205" s="1139">
        <v>3100.0</v>
      </c>
      <c r="G205" s="1147"/>
      <c r="H205" s="1138"/>
      <c r="I205" s="1138"/>
      <c r="J205" s="1138"/>
      <c r="K205" s="1138"/>
      <c r="L205" s="1138"/>
      <c r="M205" s="1138"/>
      <c r="N205" s="1138"/>
      <c r="O205" s="1138"/>
      <c r="P205" s="1138"/>
      <c r="Q205" s="1138"/>
      <c r="R205" s="1138"/>
      <c r="S205" s="1138"/>
      <c r="T205" s="1138"/>
      <c r="U205" s="1138"/>
      <c r="V205" s="1138"/>
      <c r="W205" s="1138"/>
    </row>
    <row r="206">
      <c r="A206" s="1201" t="s">
        <v>24</v>
      </c>
      <c r="B206" s="1164">
        <f>SUMIFS('TRADE CENTER'!F:F,'TRADE CENTER'!A:A,"7/24/24")</f>
        <v>11270062.07</v>
      </c>
      <c r="C206" s="1139">
        <v>6.5659615696E8</v>
      </c>
      <c r="D206" s="1155">
        <v>256757.0</v>
      </c>
      <c r="E206" s="1139">
        <f t="shared" si="29"/>
        <v>7219306</v>
      </c>
      <c r="F206" s="1139">
        <v>7476063.0</v>
      </c>
      <c r="G206" s="1147"/>
      <c r="H206" s="1138"/>
      <c r="I206" s="1138"/>
      <c r="J206" s="1138"/>
      <c r="K206" s="1138"/>
      <c r="L206" s="1138"/>
      <c r="M206" s="1138"/>
      <c r="N206" s="1138"/>
      <c r="O206" s="1138"/>
      <c r="P206" s="1138"/>
      <c r="Q206" s="1138"/>
      <c r="R206" s="1138"/>
      <c r="S206" s="1138"/>
      <c r="T206" s="1138"/>
      <c r="U206" s="1138"/>
      <c r="V206" s="1138"/>
      <c r="W206" s="1138"/>
    </row>
    <row r="207">
      <c r="A207" s="1201" t="s">
        <v>12</v>
      </c>
      <c r="B207" s="1164">
        <f>SUMIFS(PENSION!F:F,PENSION!A:A,"7/24/2024")</f>
        <v>5068038.43</v>
      </c>
      <c r="C207" s="1182">
        <v>2.6477257823E8</v>
      </c>
      <c r="D207" s="1182">
        <v>1130080.0</v>
      </c>
      <c r="E207" s="1139">
        <f t="shared" si="29"/>
        <v>389574</v>
      </c>
      <c r="F207" s="1139">
        <v>1519654.0</v>
      </c>
      <c r="G207" s="1147"/>
      <c r="H207" s="1138"/>
      <c r="I207" s="1138"/>
      <c r="J207" s="1138"/>
      <c r="K207" s="1138"/>
      <c r="L207" s="1138"/>
      <c r="M207" s="1138"/>
      <c r="N207" s="1138"/>
      <c r="O207" s="1138"/>
      <c r="P207" s="1138"/>
      <c r="Q207" s="1138"/>
      <c r="R207" s="1138"/>
      <c r="S207" s="1138"/>
      <c r="T207" s="1138"/>
      <c r="U207" s="1138"/>
      <c r="V207" s="1138"/>
      <c r="W207" s="1138"/>
    </row>
    <row r="208">
      <c r="A208" s="1201" t="s">
        <v>13</v>
      </c>
      <c r="B208" s="1164">
        <f>SUMIFS(KITENGELA!F:F,KITENGELA!A:A,"7/24/24")</f>
        <v>2352719.51</v>
      </c>
      <c r="C208" s="1139">
        <v>1.1258977978E8</v>
      </c>
      <c r="D208" s="1143">
        <f>SUM(KITENGELA!G77:G103)</f>
        <v>475701</v>
      </c>
      <c r="E208" s="1139">
        <f t="shared" si="29"/>
        <v>69000</v>
      </c>
      <c r="F208" s="1139">
        <v>544701.0</v>
      </c>
      <c r="G208" s="1147"/>
      <c r="H208" s="1138"/>
      <c r="I208" s="1138"/>
      <c r="J208" s="1138"/>
      <c r="K208" s="1138"/>
      <c r="L208" s="1138"/>
      <c r="M208" s="1138"/>
      <c r="N208" s="1138"/>
      <c r="O208" s="1138"/>
      <c r="P208" s="1138"/>
      <c r="Q208" s="1138"/>
      <c r="R208" s="1138"/>
      <c r="S208" s="1138"/>
      <c r="T208" s="1138"/>
      <c r="U208" s="1138"/>
      <c r="V208" s="1138"/>
      <c r="W208" s="1138"/>
    </row>
    <row r="209">
      <c r="A209" s="1201" t="s">
        <v>14</v>
      </c>
      <c r="B209" s="1164">
        <f>SUMIFS(ELDORET!F:F,ELDORET!A:A,"7/24/24")</f>
        <v>1074278</v>
      </c>
      <c r="C209" s="1139">
        <v>1.6869848588E8</v>
      </c>
      <c r="D209" s="1139">
        <v>68823.0</v>
      </c>
      <c r="E209" s="1139">
        <f t="shared" si="29"/>
        <v>0</v>
      </c>
      <c r="F209" s="1139">
        <v>68823.0</v>
      </c>
      <c r="G209" s="1147"/>
      <c r="H209" s="1138"/>
      <c r="I209" s="1138"/>
      <c r="J209" s="1138"/>
      <c r="K209" s="1138"/>
      <c r="L209" s="1138"/>
      <c r="M209" s="1138"/>
      <c r="N209" s="1138"/>
      <c r="O209" s="1138"/>
      <c r="P209" s="1138"/>
      <c r="Q209" s="1138"/>
      <c r="R209" s="1138"/>
      <c r="S209" s="1138"/>
      <c r="T209" s="1138"/>
      <c r="U209" s="1138"/>
      <c r="V209" s="1138"/>
      <c r="W209" s="1138"/>
    </row>
    <row r="210">
      <c r="A210" s="1201" t="s">
        <v>15</v>
      </c>
      <c r="B210" s="1164">
        <f>SUMIFS(NAKURU!F:F,NAKURU!A:A,"7/24/24")</f>
        <v>50500</v>
      </c>
      <c r="C210" s="1139">
        <v>1.9179705E7</v>
      </c>
      <c r="D210" s="1139">
        <v>11570.0</v>
      </c>
      <c r="E210" s="1139">
        <f t="shared" si="29"/>
        <v>0</v>
      </c>
      <c r="F210" s="1139">
        <v>11570.0</v>
      </c>
      <c r="G210" s="1147"/>
      <c r="H210" s="1138"/>
      <c r="I210" s="1138"/>
      <c r="J210" s="1138"/>
      <c r="K210" s="1138"/>
      <c r="L210" s="1138"/>
      <c r="M210" s="1138"/>
      <c r="N210" s="1138"/>
      <c r="O210" s="1138"/>
      <c r="P210" s="1138"/>
      <c r="Q210" s="1138"/>
      <c r="R210" s="1138"/>
      <c r="S210" s="1138"/>
      <c r="T210" s="1138"/>
      <c r="U210" s="1138"/>
      <c r="V210" s="1138"/>
      <c r="W210" s="1138"/>
    </row>
    <row r="211">
      <c r="A211" s="1201" t="s">
        <v>16</v>
      </c>
      <c r="B211" s="1164">
        <f>SUMIFS(HOMABAY!F:F,HOMABAY!A:A,"7/24/24")</f>
        <v>119000</v>
      </c>
      <c r="C211" s="1139">
        <v>1.50811459E7</v>
      </c>
      <c r="D211" s="1210">
        <v>92000.0</v>
      </c>
      <c r="E211" s="1139">
        <f t="shared" si="29"/>
        <v>0</v>
      </c>
      <c r="F211" s="1145">
        <v>92000.0</v>
      </c>
      <c r="G211" s="1147"/>
      <c r="H211" s="1138"/>
      <c r="I211" s="1138"/>
      <c r="J211" s="1138"/>
      <c r="K211" s="1138"/>
      <c r="L211" s="1138"/>
      <c r="M211" s="1138"/>
      <c r="N211" s="1138"/>
      <c r="O211" s="1138"/>
      <c r="P211" s="1138"/>
      <c r="Q211" s="1138"/>
      <c r="R211" s="1138"/>
      <c r="S211" s="1138"/>
      <c r="T211" s="1138"/>
      <c r="U211" s="1138"/>
      <c r="V211" s="1138"/>
      <c r="W211" s="1138"/>
    </row>
    <row r="212">
      <c r="A212" s="1201" t="s">
        <v>17</v>
      </c>
      <c r="B212" s="1164">
        <f>SUMIFS(MOMBASA!F:F,MOMBASA!A:A,"7/24/24")</f>
        <v>3341485.48</v>
      </c>
      <c r="C212" s="1139">
        <v>2.0539996418E8</v>
      </c>
      <c r="D212" s="1139">
        <f>SUM(MOMBASA!G50:G69)</f>
        <v>1524228</v>
      </c>
      <c r="E212" s="1139">
        <f t="shared" si="29"/>
        <v>0</v>
      </c>
      <c r="F212" s="1139">
        <v>1524228.0</v>
      </c>
      <c r="G212" s="1147"/>
      <c r="H212" s="1138"/>
      <c r="I212" s="1138"/>
      <c r="J212" s="1138"/>
      <c r="K212" s="1138"/>
      <c r="L212" s="1138"/>
      <c r="M212" s="1138"/>
      <c r="N212" s="1138"/>
      <c r="O212" s="1138"/>
      <c r="P212" s="1138"/>
      <c r="Q212" s="1138"/>
      <c r="R212" s="1138"/>
      <c r="S212" s="1138"/>
      <c r="T212" s="1138"/>
      <c r="U212" s="1138"/>
      <c r="V212" s="1138"/>
      <c r="W212" s="1138"/>
    </row>
    <row r="213">
      <c r="A213" s="1201" t="s">
        <v>18</v>
      </c>
      <c r="B213" s="1164">
        <f>SUMIFS(KISUMU!F:F,KISUMU!A:A,"7/24/24")</f>
        <v>1684357.94</v>
      </c>
      <c r="C213" s="1139">
        <v>9.555009279E7</v>
      </c>
      <c r="D213" s="1139">
        <v>98773.0</v>
      </c>
      <c r="E213" s="1139">
        <f t="shared" si="29"/>
        <v>10000</v>
      </c>
      <c r="F213" s="1139">
        <v>108773.0</v>
      </c>
      <c r="G213" s="1147"/>
      <c r="H213" s="1138"/>
      <c r="I213" s="1138"/>
      <c r="J213" s="1138"/>
      <c r="K213" s="1138"/>
      <c r="L213" s="1138"/>
      <c r="M213" s="1138"/>
      <c r="N213" s="1138"/>
      <c r="O213" s="1138"/>
      <c r="P213" s="1138"/>
      <c r="Q213" s="1138"/>
      <c r="R213" s="1138"/>
      <c r="S213" s="1138"/>
      <c r="T213" s="1138"/>
      <c r="U213" s="1138"/>
      <c r="V213" s="1138"/>
      <c r="W213" s="1138"/>
    </row>
    <row r="214">
      <c r="A214" s="1201" t="s">
        <v>19</v>
      </c>
      <c r="B214" s="1164">
        <f>SUMIFS(VOI!F:F,VOI!A:A,"7/24/24")</f>
        <v>391960</v>
      </c>
      <c r="C214" s="1155">
        <v>7518273.56</v>
      </c>
      <c r="D214" s="1145">
        <v>103667.0</v>
      </c>
      <c r="E214" s="1139">
        <f t="shared" si="29"/>
        <v>0</v>
      </c>
      <c r="F214" s="1145">
        <v>103667.0</v>
      </c>
      <c r="G214" s="1147"/>
      <c r="H214" s="1138"/>
      <c r="I214" s="1138"/>
      <c r="J214" s="1138"/>
      <c r="K214" s="1138"/>
      <c r="L214" s="1138"/>
      <c r="M214" s="1138"/>
      <c r="N214" s="1138"/>
      <c r="O214" s="1138"/>
      <c r="P214" s="1138"/>
      <c r="Q214" s="1138"/>
      <c r="R214" s="1138"/>
      <c r="S214" s="1138"/>
      <c r="T214" s="1138"/>
      <c r="U214" s="1138"/>
      <c r="V214" s="1138"/>
      <c r="W214" s="1138"/>
    </row>
    <row r="215">
      <c r="A215" s="1201" t="s">
        <v>20</v>
      </c>
      <c r="B215" s="1164">
        <f>SUMIFS(THIKA!F:F,THIKA!A:A,"7/24/24")</f>
        <v>5245141</v>
      </c>
      <c r="C215" s="1139">
        <v>6.764991167E7</v>
      </c>
      <c r="D215" s="1139">
        <v>143500.0</v>
      </c>
      <c r="E215" s="1139">
        <f t="shared" si="29"/>
        <v>264892</v>
      </c>
      <c r="F215" s="1139">
        <v>408392.0</v>
      </c>
      <c r="G215" s="1147"/>
      <c r="H215" s="1138"/>
      <c r="I215" s="1138"/>
      <c r="J215" s="1138"/>
      <c r="K215" s="1138"/>
      <c r="L215" s="1138"/>
      <c r="M215" s="1138"/>
      <c r="N215" s="1138"/>
      <c r="O215" s="1138"/>
      <c r="P215" s="1138"/>
      <c r="Q215" s="1138"/>
      <c r="R215" s="1138"/>
      <c r="S215" s="1138"/>
      <c r="T215" s="1138"/>
      <c r="U215" s="1138"/>
      <c r="V215" s="1138"/>
      <c r="W215" s="1138"/>
    </row>
    <row r="216">
      <c r="A216" s="1201" t="s">
        <v>21</v>
      </c>
      <c r="B216" s="1164">
        <f>SUMIFS(KITUI!F:F,KITUI!A:A,"7/24/24")</f>
        <v>136200</v>
      </c>
      <c r="C216" s="1150">
        <v>2057309.31</v>
      </c>
      <c r="D216" s="1139">
        <v>90000.0</v>
      </c>
      <c r="E216" s="1139">
        <f t="shared" si="29"/>
        <v>8000</v>
      </c>
      <c r="F216" s="1145">
        <v>98000.0</v>
      </c>
      <c r="G216" s="1147"/>
      <c r="H216" s="1138"/>
      <c r="I216" s="1138"/>
      <c r="J216" s="1138"/>
      <c r="K216" s="1138"/>
      <c r="L216" s="1138"/>
      <c r="M216" s="1138"/>
      <c r="N216" s="1138"/>
      <c r="O216" s="1138"/>
      <c r="P216" s="1138"/>
      <c r="Q216" s="1138"/>
      <c r="R216" s="1138"/>
      <c r="S216" s="1138"/>
      <c r="T216" s="1138"/>
      <c r="U216" s="1138"/>
      <c r="V216" s="1138"/>
      <c r="W216" s="1138"/>
    </row>
    <row r="217">
      <c r="A217" s="1203" t="s">
        <v>22</v>
      </c>
      <c r="B217" s="1164">
        <f>SUMIFS(MACHAKOS!F:F,MACHAKOS!A:A,"7/24/24")</f>
        <v>166910.39</v>
      </c>
      <c r="C217" s="1150">
        <v>279256.14</v>
      </c>
      <c r="D217" s="1139">
        <v>20000.0</v>
      </c>
      <c r="E217" s="1139">
        <f t="shared" si="29"/>
        <v>0</v>
      </c>
      <c r="F217" s="1139">
        <v>20000.0</v>
      </c>
      <c r="G217" s="1147"/>
      <c r="H217" s="1138"/>
      <c r="I217" s="1138"/>
      <c r="J217" s="1138"/>
      <c r="K217" s="1138"/>
      <c r="L217" s="1138"/>
      <c r="M217" s="1138"/>
      <c r="N217" s="1138"/>
      <c r="O217" s="1138"/>
      <c r="P217" s="1138"/>
      <c r="Q217" s="1138"/>
      <c r="R217" s="1138"/>
      <c r="S217" s="1138"/>
      <c r="T217" s="1138"/>
      <c r="U217" s="1138"/>
      <c r="V217" s="1138"/>
      <c r="W217" s="1138"/>
    </row>
    <row r="218">
      <c r="A218" s="1218" t="s">
        <v>23</v>
      </c>
      <c r="B218" s="1207">
        <f t="shared" ref="B218:C218" si="30">SUM(B205:B217)</f>
        <v>41570394.82</v>
      </c>
      <c r="C218" s="1193">
        <f t="shared" si="30"/>
        <v>2503722880</v>
      </c>
      <c r="D218" s="1193">
        <f>SUM(D204:D217)</f>
        <v>4015099</v>
      </c>
      <c r="E218" s="1219">
        <f t="shared" si="29"/>
        <v>7963872</v>
      </c>
      <c r="F218" s="1220">
        <v>1.1978971E7</v>
      </c>
      <c r="G218" s="1221"/>
      <c r="H218" s="1222"/>
      <c r="I218" s="1222"/>
      <c r="J218" s="1222"/>
      <c r="K218" s="1222"/>
      <c r="L218" s="1222"/>
      <c r="M218" s="1222"/>
      <c r="N218" s="1222"/>
      <c r="O218" s="1222"/>
      <c r="P218" s="1222"/>
      <c r="Q218" s="1222"/>
      <c r="R218" s="1222"/>
      <c r="S218" s="1222"/>
      <c r="T218" s="1222"/>
      <c r="U218" s="1222"/>
      <c r="V218" s="1222"/>
      <c r="W218" s="1222"/>
    </row>
    <row r="219">
      <c r="A219" s="1138"/>
      <c r="B219" s="1138"/>
      <c r="C219" s="1138"/>
      <c r="D219" s="1147"/>
      <c r="E219" s="1138"/>
      <c r="F219" s="1147"/>
      <c r="G219" s="1147"/>
      <c r="H219" s="1138"/>
      <c r="I219" s="1138"/>
      <c r="J219" s="1138"/>
      <c r="K219" s="1138"/>
      <c r="L219" s="1138"/>
      <c r="M219" s="1138"/>
      <c r="N219" s="1138"/>
      <c r="O219" s="1138"/>
      <c r="P219" s="1138"/>
      <c r="Q219" s="1138"/>
      <c r="R219" s="1138"/>
      <c r="S219" s="1138"/>
      <c r="T219" s="1138"/>
      <c r="U219" s="1138"/>
      <c r="V219" s="1138"/>
      <c r="W219" s="1138"/>
    </row>
    <row r="220">
      <c r="A220" s="1138"/>
      <c r="B220" s="1138"/>
      <c r="C220" s="1138"/>
      <c r="D220" s="1147"/>
      <c r="E220" s="1138"/>
      <c r="F220" s="1147"/>
      <c r="G220" s="1147"/>
      <c r="H220" s="1138"/>
      <c r="I220" s="1138"/>
      <c r="J220" s="1138"/>
      <c r="K220" s="1138"/>
      <c r="L220" s="1138"/>
      <c r="M220" s="1138"/>
      <c r="N220" s="1138"/>
      <c r="O220" s="1138"/>
      <c r="P220" s="1138"/>
      <c r="Q220" s="1138"/>
      <c r="R220" s="1138"/>
      <c r="S220" s="1138"/>
      <c r="T220" s="1138"/>
      <c r="U220" s="1138"/>
      <c r="V220" s="1138"/>
      <c r="W220" s="1138"/>
    </row>
    <row r="221">
      <c r="A221" s="1209" t="s">
        <v>6954</v>
      </c>
      <c r="B221" s="1138"/>
      <c r="C221" s="1138"/>
      <c r="D221" s="1147"/>
      <c r="E221" s="1138"/>
      <c r="F221" s="1147"/>
      <c r="G221" s="1147"/>
      <c r="H221" s="1138"/>
      <c r="I221" s="1138"/>
      <c r="J221" s="1138"/>
      <c r="K221" s="1138"/>
      <c r="L221" s="1138"/>
      <c r="M221" s="1138"/>
      <c r="N221" s="1138"/>
      <c r="O221" s="1138"/>
      <c r="P221" s="1138"/>
      <c r="Q221" s="1138"/>
      <c r="R221" s="1138"/>
      <c r="S221" s="1138"/>
      <c r="T221" s="1138"/>
      <c r="U221" s="1138"/>
      <c r="V221" s="1138"/>
      <c r="W221" s="1138"/>
    </row>
    <row r="222">
      <c r="A222" s="1177" t="s">
        <v>1</v>
      </c>
      <c r="B222" s="1178" t="s">
        <v>6936</v>
      </c>
      <c r="C222" s="1200" t="s">
        <v>6950</v>
      </c>
      <c r="D222" s="1179" t="s">
        <v>6938</v>
      </c>
      <c r="E222" s="1180" t="s">
        <v>6939</v>
      </c>
      <c r="F222" s="1179" t="s">
        <v>6940</v>
      </c>
      <c r="G222" s="1147"/>
      <c r="H222" s="1138"/>
      <c r="I222" s="1138"/>
      <c r="J222" s="1138"/>
      <c r="K222" s="1138"/>
      <c r="L222" s="1138"/>
      <c r="M222" s="1138"/>
      <c r="N222" s="1138"/>
      <c r="O222" s="1138"/>
      <c r="P222" s="1138"/>
      <c r="Q222" s="1138"/>
      <c r="R222" s="1138"/>
      <c r="S222" s="1138"/>
      <c r="T222" s="1138"/>
      <c r="U222" s="1138"/>
      <c r="V222" s="1138"/>
      <c r="W222" s="1138"/>
    </row>
    <row r="223">
      <c r="A223" s="1223" t="s">
        <v>10</v>
      </c>
      <c r="B223" s="1164">
        <f>SUMIFS(ECOBANK!F:F,ECOBANK!A:A,"7/25/24")</f>
        <v>9551518</v>
      </c>
      <c r="C223" s="1139">
        <v>8.8835022093E8</v>
      </c>
      <c r="D223" s="1139">
        <v>362862.0</v>
      </c>
      <c r="E223" s="1139">
        <f t="shared" ref="E223:E227" si="31">F223-D223</f>
        <v>0</v>
      </c>
      <c r="F223" s="1139">
        <v>362862.0</v>
      </c>
      <c r="G223" s="1147"/>
      <c r="H223" s="1138"/>
      <c r="I223" s="1138"/>
      <c r="J223" s="1138"/>
      <c r="K223" s="1138"/>
      <c r="L223" s="1138"/>
      <c r="M223" s="1138"/>
      <c r="N223" s="1138"/>
      <c r="O223" s="1138"/>
      <c r="P223" s="1138"/>
      <c r="Q223" s="1138"/>
      <c r="R223" s="1138"/>
      <c r="S223" s="1138"/>
      <c r="T223" s="1138"/>
      <c r="U223" s="1138"/>
      <c r="V223" s="1138"/>
      <c r="W223" s="1138"/>
    </row>
    <row r="224">
      <c r="A224" s="1223" t="s">
        <v>24</v>
      </c>
      <c r="B224" s="1164">
        <f>SUMIFS('TRADE CENTER'!F:F,'TRADE CENTER'!A:A,"7/25/24")</f>
        <v>15459940.33</v>
      </c>
      <c r="C224" s="1139">
        <v>6.5095643315E8</v>
      </c>
      <c r="D224" s="1155">
        <v>1042256.0</v>
      </c>
      <c r="E224" s="1139">
        <f t="shared" si="31"/>
        <v>20000</v>
      </c>
      <c r="F224" s="1139">
        <v>1062256.0</v>
      </c>
      <c r="G224" s="1147"/>
      <c r="H224" s="1138"/>
      <c r="I224" s="1138"/>
      <c r="J224" s="1138"/>
      <c r="K224" s="1138"/>
      <c r="L224" s="1138"/>
      <c r="M224" s="1138"/>
      <c r="N224" s="1138"/>
      <c r="O224" s="1138"/>
      <c r="P224" s="1138"/>
      <c r="Q224" s="1138"/>
      <c r="R224" s="1138"/>
      <c r="S224" s="1138"/>
      <c r="T224" s="1138"/>
      <c r="U224" s="1138"/>
      <c r="V224" s="1138"/>
      <c r="W224" s="1138"/>
    </row>
    <row r="225">
      <c r="A225" s="1223" t="s">
        <v>12</v>
      </c>
      <c r="B225" s="1164">
        <f>SUMIFS(PENSION!F:F,PENSION!A:A,"7/25/2024")</f>
        <v>5244013.45</v>
      </c>
      <c r="C225" s="1182">
        <v>2.6532808693E8</v>
      </c>
      <c r="D225" s="1182">
        <v>3108850.0</v>
      </c>
      <c r="E225" s="1139">
        <f t="shared" si="31"/>
        <v>2998923</v>
      </c>
      <c r="F225" s="1139">
        <v>6107773.0</v>
      </c>
      <c r="G225" s="1147"/>
      <c r="H225" s="1138"/>
      <c r="I225" s="1138"/>
      <c r="J225" s="1138"/>
      <c r="K225" s="1138"/>
      <c r="L225" s="1138"/>
      <c r="M225" s="1138"/>
      <c r="N225" s="1138"/>
      <c r="O225" s="1138"/>
      <c r="P225" s="1138"/>
      <c r="Q225" s="1138"/>
      <c r="R225" s="1138"/>
      <c r="S225" s="1138"/>
      <c r="T225" s="1138"/>
      <c r="U225" s="1138"/>
      <c r="V225" s="1138"/>
      <c r="W225" s="1138"/>
    </row>
    <row r="226">
      <c r="A226" s="1223" t="s">
        <v>13</v>
      </c>
      <c r="B226" s="1164">
        <f>SUMIFS(KITENGELA!F:F,KITENGELA!A:A,"7/25/24")</f>
        <v>2417849.5</v>
      </c>
      <c r="C226" s="1139">
        <v>1.1259628009E8</v>
      </c>
      <c r="D226" s="1143">
        <f>SUMIFS(KITENGELA!G:G,KITENGELA!A:A,"7/25/2024")</f>
        <v>386818</v>
      </c>
      <c r="E226" s="1139">
        <f t="shared" si="31"/>
        <v>0</v>
      </c>
      <c r="F226" s="1143">
        <v>386818.0</v>
      </c>
      <c r="G226" s="1147"/>
      <c r="H226" s="1138"/>
      <c r="I226" s="1138"/>
      <c r="J226" s="1138"/>
      <c r="K226" s="1138"/>
      <c r="L226" s="1138"/>
      <c r="M226" s="1138"/>
      <c r="N226" s="1138"/>
      <c r="O226" s="1138"/>
      <c r="P226" s="1138"/>
      <c r="Q226" s="1138"/>
      <c r="R226" s="1138"/>
      <c r="S226" s="1138"/>
      <c r="T226" s="1138"/>
      <c r="U226" s="1138"/>
      <c r="V226" s="1138"/>
      <c r="W226" s="1138"/>
    </row>
    <row r="227">
      <c r="A227" s="1223" t="s">
        <v>14</v>
      </c>
      <c r="B227" s="1164">
        <f>SUMIFS(ELDORET!F:F,ELDORET!A:A,"7/25/24")</f>
        <v>408650</v>
      </c>
      <c r="C227" s="1139">
        <v>1.6867808122E8</v>
      </c>
      <c r="D227" s="1139">
        <v>6000.0</v>
      </c>
      <c r="E227" s="1139">
        <f t="shared" si="31"/>
        <v>0</v>
      </c>
      <c r="F227" s="1139">
        <v>6000.0</v>
      </c>
      <c r="G227" s="1147"/>
      <c r="H227" s="1138"/>
      <c r="I227" s="1138"/>
      <c r="J227" s="1138"/>
      <c r="K227" s="1138"/>
      <c r="L227" s="1138"/>
      <c r="M227" s="1138"/>
      <c r="N227" s="1138"/>
      <c r="O227" s="1138"/>
      <c r="P227" s="1138"/>
      <c r="Q227" s="1138"/>
      <c r="R227" s="1138"/>
      <c r="S227" s="1138"/>
      <c r="T227" s="1138"/>
      <c r="U227" s="1138"/>
      <c r="V227" s="1138"/>
      <c r="W227" s="1138"/>
    </row>
    <row r="228">
      <c r="A228" s="1223" t="s">
        <v>15</v>
      </c>
      <c r="B228" s="1164">
        <f>SUMIFS(NAKURU!F:F,NAKURU!A:A,"7/25/24")</f>
        <v>594000</v>
      </c>
      <c r="C228" s="1139">
        <v>1.923418065E7</v>
      </c>
      <c r="D228" s="1139">
        <v>0.0</v>
      </c>
      <c r="E228" s="1139">
        <v>150000.0</v>
      </c>
      <c r="F228" s="1139">
        <f t="shared" ref="F228:F229" si="32">D228+E228</f>
        <v>150000</v>
      </c>
      <c r="G228" s="1147"/>
      <c r="H228" s="1138"/>
      <c r="I228" s="1138"/>
      <c r="J228" s="1138"/>
      <c r="K228" s="1138"/>
      <c r="L228" s="1138"/>
      <c r="M228" s="1138"/>
      <c r="N228" s="1138"/>
      <c r="O228" s="1138"/>
      <c r="P228" s="1138"/>
      <c r="Q228" s="1138"/>
      <c r="R228" s="1138"/>
      <c r="S228" s="1138"/>
      <c r="T228" s="1138"/>
      <c r="U228" s="1138"/>
      <c r="V228" s="1138"/>
      <c r="W228" s="1138"/>
    </row>
    <row r="229">
      <c r="A229" s="1223" t="s">
        <v>16</v>
      </c>
      <c r="B229" s="1164">
        <f>SUMIFS(HOMABAY!F:F,HOMABAY!A:A,"7/25/24")</f>
        <v>105000</v>
      </c>
      <c r="C229" s="1139">
        <v>1.504913006E7</v>
      </c>
      <c r="D229" s="1210">
        <v>6000.0</v>
      </c>
      <c r="E229" s="1139">
        <v>21500.0</v>
      </c>
      <c r="F229" s="1145">
        <f t="shared" si="32"/>
        <v>27500</v>
      </c>
      <c r="G229" s="1147"/>
      <c r="H229" s="1138"/>
      <c r="I229" s="1138"/>
      <c r="J229" s="1138"/>
      <c r="K229" s="1138"/>
      <c r="L229" s="1138"/>
      <c r="M229" s="1138"/>
      <c r="N229" s="1138"/>
      <c r="O229" s="1138"/>
      <c r="P229" s="1138"/>
      <c r="Q229" s="1138"/>
      <c r="R229" s="1138"/>
      <c r="S229" s="1138"/>
      <c r="T229" s="1138"/>
      <c r="U229" s="1138"/>
      <c r="V229" s="1138"/>
      <c r="W229" s="1138"/>
    </row>
    <row r="230">
      <c r="A230" s="1223" t="s">
        <v>17</v>
      </c>
      <c r="B230" s="1164">
        <f>SUMIFS(MOMBASA!F:F,MOMBASA!A:A,"7/25/24")</f>
        <v>2219034.3</v>
      </c>
      <c r="C230" s="1139">
        <v>1.1259628009E8</v>
      </c>
      <c r="D230" s="1143">
        <f>SUMIFS(MOMBASA!G:G,MOMBASA!A:A,"7/25/2024")</f>
        <v>254174</v>
      </c>
      <c r="E230" s="1139">
        <f>F230-D230</f>
        <v>1000</v>
      </c>
      <c r="F230" s="1139">
        <v>255174.0</v>
      </c>
      <c r="G230" s="1147"/>
      <c r="H230" s="1138"/>
      <c r="I230" s="1138"/>
      <c r="J230" s="1138"/>
      <c r="K230" s="1138"/>
      <c r="L230" s="1138"/>
      <c r="M230" s="1138"/>
      <c r="N230" s="1138"/>
      <c r="O230" s="1138"/>
      <c r="P230" s="1138"/>
      <c r="Q230" s="1138"/>
      <c r="R230" s="1138"/>
      <c r="S230" s="1138"/>
      <c r="T230" s="1138"/>
      <c r="U230" s="1138"/>
      <c r="V230" s="1138"/>
      <c r="W230" s="1138"/>
    </row>
    <row r="231">
      <c r="A231" s="1223" t="s">
        <v>18</v>
      </c>
      <c r="B231" s="1164">
        <f>SUMIFS(KISUMU!F:F,KISUMU!A:A,"7/25/24")</f>
        <v>1899697.73</v>
      </c>
      <c r="C231" s="1139">
        <v>9.56789662E7</v>
      </c>
      <c r="D231" s="1139">
        <v>310750.0</v>
      </c>
      <c r="E231" s="1139">
        <v>51000.0</v>
      </c>
      <c r="F231" s="1139">
        <f>D231+E231</f>
        <v>361750</v>
      </c>
      <c r="G231" s="1147"/>
      <c r="H231" s="1138"/>
      <c r="I231" s="1138"/>
      <c r="J231" s="1138"/>
      <c r="K231" s="1138"/>
      <c r="L231" s="1138"/>
      <c r="M231" s="1138"/>
      <c r="N231" s="1138"/>
      <c r="O231" s="1138"/>
      <c r="P231" s="1138"/>
      <c r="Q231" s="1138"/>
      <c r="R231" s="1138"/>
      <c r="S231" s="1138"/>
      <c r="T231" s="1138"/>
      <c r="U231" s="1138"/>
      <c r="V231" s="1138"/>
      <c r="W231" s="1138"/>
    </row>
    <row r="232">
      <c r="A232" s="1223" t="s">
        <v>19</v>
      </c>
      <c r="B232" s="1164">
        <f>SUMIFS(VOI!F:F,VOI!A:A,"7/25/24")</f>
        <v>273480</v>
      </c>
      <c r="C232" s="1155">
        <v>7518273.56</v>
      </c>
      <c r="D232" s="1145">
        <v>0.0</v>
      </c>
      <c r="E232" s="1139">
        <v>0.0</v>
      </c>
      <c r="F232" s="1145">
        <v>0.0</v>
      </c>
      <c r="G232" s="1147"/>
      <c r="H232" s="1138"/>
      <c r="I232" s="1138"/>
      <c r="J232" s="1138"/>
      <c r="K232" s="1138"/>
      <c r="L232" s="1138"/>
      <c r="M232" s="1138"/>
      <c r="N232" s="1138"/>
      <c r="O232" s="1138"/>
      <c r="P232" s="1138"/>
      <c r="Q232" s="1138"/>
      <c r="R232" s="1138"/>
      <c r="S232" s="1138"/>
      <c r="T232" s="1138"/>
      <c r="U232" s="1138"/>
      <c r="V232" s="1138"/>
      <c r="W232" s="1138"/>
    </row>
    <row r="233">
      <c r="A233" s="1223" t="s">
        <v>20</v>
      </c>
      <c r="B233" s="1164">
        <f>SUMIFS(THIKA!F:F,THIKA!A:A,"7/25/24")</f>
        <v>3582506</v>
      </c>
      <c r="C233" s="1139">
        <v>7.031348E7</v>
      </c>
      <c r="D233" s="1139">
        <v>796443.0</v>
      </c>
      <c r="E233" s="1139">
        <f>F233-D233</f>
        <v>49800</v>
      </c>
      <c r="F233" s="1139">
        <v>846243.0</v>
      </c>
      <c r="G233" s="1147"/>
      <c r="H233" s="1138"/>
      <c r="I233" s="1138"/>
      <c r="J233" s="1138"/>
      <c r="K233" s="1138"/>
      <c r="L233" s="1138"/>
      <c r="M233" s="1138"/>
      <c r="N233" s="1138"/>
      <c r="O233" s="1138"/>
      <c r="P233" s="1138"/>
      <c r="Q233" s="1138"/>
      <c r="R233" s="1138"/>
      <c r="S233" s="1138"/>
      <c r="T233" s="1138"/>
      <c r="U233" s="1138"/>
      <c r="V233" s="1138"/>
      <c r="W233" s="1138"/>
    </row>
    <row r="234">
      <c r="A234" s="1223" t="s">
        <v>21</v>
      </c>
      <c r="B234" s="1164">
        <f>SUMIFS(KITUI!F:F,KITUI!A:A,"7/25/24")</f>
        <v>123253</v>
      </c>
      <c r="C234" s="1150">
        <v>2057309.31</v>
      </c>
      <c r="D234" s="1139">
        <v>0.0</v>
      </c>
      <c r="E234" s="1139">
        <v>0.0</v>
      </c>
      <c r="F234" s="1145">
        <v>0.0</v>
      </c>
      <c r="G234" s="1147"/>
      <c r="H234" s="1138"/>
      <c r="I234" s="1138"/>
      <c r="J234" s="1138"/>
      <c r="K234" s="1138"/>
      <c r="L234" s="1138"/>
      <c r="M234" s="1138"/>
      <c r="N234" s="1138"/>
      <c r="O234" s="1138"/>
      <c r="P234" s="1138"/>
      <c r="Q234" s="1138"/>
      <c r="R234" s="1138"/>
      <c r="S234" s="1138"/>
      <c r="T234" s="1138"/>
      <c r="U234" s="1138"/>
      <c r="V234" s="1138"/>
      <c r="W234" s="1138"/>
    </row>
    <row r="235">
      <c r="A235" s="1224" t="s">
        <v>22</v>
      </c>
      <c r="B235" s="1164">
        <f>SUMIFS(MACHAKOS!F:F,MACHAKOS!A:A,"7/25/24")</f>
        <v>146910.39</v>
      </c>
      <c r="C235" s="1150">
        <v>279256.14</v>
      </c>
      <c r="D235" s="1139">
        <v>0.0</v>
      </c>
      <c r="E235" s="1139">
        <v>14400.0</v>
      </c>
      <c r="F235" s="1139">
        <v>14400.0</v>
      </c>
      <c r="G235" s="1147"/>
      <c r="H235" s="1138"/>
      <c r="I235" s="1138"/>
      <c r="J235" s="1138"/>
      <c r="K235" s="1138"/>
      <c r="L235" s="1138"/>
      <c r="M235" s="1138"/>
      <c r="N235" s="1138"/>
      <c r="O235" s="1138"/>
      <c r="P235" s="1138"/>
      <c r="Q235" s="1138"/>
      <c r="R235" s="1138"/>
      <c r="S235" s="1138"/>
      <c r="T235" s="1138"/>
      <c r="U235" s="1138"/>
      <c r="V235" s="1138"/>
      <c r="W235" s="1138"/>
    </row>
    <row r="236">
      <c r="A236" s="1218" t="s">
        <v>23</v>
      </c>
      <c r="B236" s="1216">
        <f t="shared" ref="B236:F236" si="33">SUM(B223:B235)</f>
        <v>42025852.7</v>
      </c>
      <c r="C236" s="1193">
        <f t="shared" si="33"/>
        <v>2408635978</v>
      </c>
      <c r="D236" s="1193">
        <f t="shared" si="33"/>
        <v>6274153</v>
      </c>
      <c r="E236" s="1219">
        <f t="shared" si="33"/>
        <v>3306623</v>
      </c>
      <c r="F236" s="1220">
        <f t="shared" si="33"/>
        <v>9580776</v>
      </c>
      <c r="G236" s="1147"/>
      <c r="H236" s="1138"/>
      <c r="I236" s="1138"/>
      <c r="J236" s="1138"/>
      <c r="K236" s="1138"/>
      <c r="L236" s="1138"/>
      <c r="M236" s="1138"/>
      <c r="N236" s="1138"/>
      <c r="O236" s="1138"/>
      <c r="P236" s="1138"/>
      <c r="Q236" s="1138"/>
      <c r="R236" s="1138"/>
      <c r="S236" s="1138"/>
      <c r="T236" s="1138"/>
      <c r="U236" s="1138"/>
      <c r="V236" s="1138"/>
      <c r="W236" s="1138"/>
    </row>
    <row r="237">
      <c r="A237" s="1138"/>
      <c r="B237" s="1138"/>
      <c r="C237" s="1138"/>
      <c r="D237" s="1147"/>
      <c r="E237" s="1138"/>
      <c r="F237" s="1147"/>
      <c r="G237" s="1147"/>
      <c r="H237" s="1138"/>
      <c r="I237" s="1138"/>
      <c r="J237" s="1138"/>
      <c r="K237" s="1138"/>
      <c r="L237" s="1138"/>
      <c r="M237" s="1138"/>
      <c r="N237" s="1138"/>
      <c r="O237" s="1138"/>
      <c r="P237" s="1138"/>
      <c r="Q237" s="1138"/>
      <c r="R237" s="1138"/>
      <c r="S237" s="1138"/>
      <c r="T237" s="1138"/>
      <c r="U237" s="1138"/>
      <c r="V237" s="1138"/>
      <c r="W237" s="1138"/>
    </row>
    <row r="238">
      <c r="A238" s="1138"/>
      <c r="B238" s="1138"/>
      <c r="C238" s="1138"/>
      <c r="D238" s="1147"/>
      <c r="E238" s="1138"/>
      <c r="F238" s="1147"/>
      <c r="G238" s="1147"/>
      <c r="H238" s="1138"/>
      <c r="I238" s="1138"/>
      <c r="J238" s="1138"/>
      <c r="K238" s="1138"/>
      <c r="L238" s="1138"/>
      <c r="M238" s="1138"/>
      <c r="N238" s="1138"/>
      <c r="O238" s="1138"/>
      <c r="P238" s="1138"/>
      <c r="Q238" s="1138"/>
      <c r="R238" s="1138"/>
      <c r="S238" s="1138"/>
      <c r="T238" s="1138"/>
      <c r="U238" s="1138"/>
      <c r="V238" s="1138"/>
      <c r="W238" s="1138"/>
    </row>
    <row r="239">
      <c r="A239" s="1209" t="s">
        <v>6955</v>
      </c>
      <c r="B239" s="1138"/>
      <c r="C239" s="1138"/>
      <c r="D239" s="1147"/>
      <c r="E239" s="1138"/>
      <c r="F239" s="1147"/>
      <c r="G239" s="1147"/>
      <c r="H239" s="1138"/>
      <c r="I239" s="1138"/>
      <c r="J239" s="1138"/>
      <c r="K239" s="1138"/>
      <c r="L239" s="1138"/>
      <c r="M239" s="1138"/>
      <c r="N239" s="1138"/>
      <c r="O239" s="1138"/>
      <c r="P239" s="1138"/>
      <c r="Q239" s="1138"/>
      <c r="R239" s="1138"/>
      <c r="S239" s="1138"/>
      <c r="T239" s="1138"/>
      <c r="U239" s="1138"/>
      <c r="V239" s="1138"/>
      <c r="W239" s="1138"/>
    </row>
    <row r="240">
      <c r="A240" s="1177" t="s">
        <v>1</v>
      </c>
      <c r="B240" s="1178" t="s">
        <v>6936</v>
      </c>
      <c r="C240" s="1200" t="s">
        <v>6950</v>
      </c>
      <c r="D240" s="1179" t="s">
        <v>6938</v>
      </c>
      <c r="E240" s="1180" t="s">
        <v>6939</v>
      </c>
      <c r="F240" s="1179" t="s">
        <v>6940</v>
      </c>
      <c r="G240" s="1147"/>
      <c r="H240" s="1138"/>
      <c r="I240" s="1138"/>
      <c r="J240" s="1138"/>
      <c r="K240" s="1138"/>
      <c r="L240" s="1138"/>
      <c r="M240" s="1138"/>
      <c r="N240" s="1138"/>
      <c r="O240" s="1138"/>
      <c r="P240" s="1138"/>
      <c r="Q240" s="1138"/>
      <c r="R240" s="1138"/>
      <c r="S240" s="1138"/>
      <c r="T240" s="1138"/>
      <c r="U240" s="1138"/>
      <c r="V240" s="1138"/>
      <c r="W240" s="1138"/>
    </row>
    <row r="241">
      <c r="A241" s="1223" t="s">
        <v>10</v>
      </c>
      <c r="B241" s="1164">
        <f>SUMIFS(ECOBANK!F:F,ECOBANK!A:A,"7/26/24")</f>
        <v>8502572</v>
      </c>
      <c r="C241" s="1139">
        <v>8.9092512238E8</v>
      </c>
      <c r="D241" s="1139">
        <v>1069640.0</v>
      </c>
      <c r="E241" s="1139">
        <f t="shared" ref="E241:E245" si="34">F241-D241</f>
        <v>100000</v>
      </c>
      <c r="F241" s="1139">
        <v>1169640.0</v>
      </c>
      <c r="G241" s="1151"/>
      <c r="H241" s="1138"/>
      <c r="I241" s="1138"/>
      <c r="J241" s="1138"/>
      <c r="K241" s="1138"/>
      <c r="L241" s="1138"/>
      <c r="M241" s="1138"/>
      <c r="N241" s="1138"/>
      <c r="O241" s="1138"/>
      <c r="P241" s="1138"/>
      <c r="Q241" s="1138"/>
      <c r="R241" s="1138"/>
      <c r="S241" s="1138"/>
      <c r="T241" s="1138"/>
      <c r="U241" s="1138"/>
      <c r="V241" s="1138"/>
      <c r="W241" s="1138"/>
    </row>
    <row r="242">
      <c r="A242" s="1223" t="s">
        <v>24</v>
      </c>
      <c r="B242" s="1164">
        <f>SUMIFS('TRADE CENTER'!F:F,'TRADE CENTER'!A:A,"7/26/24")</f>
        <v>10367331.07</v>
      </c>
      <c r="C242" s="1139">
        <v>6.5133188951E8</v>
      </c>
      <c r="D242" s="1155">
        <v>1437331.0</v>
      </c>
      <c r="E242" s="1139">
        <f t="shared" si="34"/>
        <v>118033</v>
      </c>
      <c r="F242" s="1139">
        <v>1555364.0</v>
      </c>
      <c r="G242" s="1151"/>
      <c r="H242" s="1138"/>
      <c r="I242" s="1138"/>
      <c r="J242" s="1138"/>
      <c r="K242" s="1138"/>
      <c r="L242" s="1138"/>
      <c r="M242" s="1138"/>
      <c r="N242" s="1138"/>
      <c r="O242" s="1138"/>
      <c r="P242" s="1138"/>
      <c r="Q242" s="1138"/>
      <c r="R242" s="1138"/>
      <c r="S242" s="1138"/>
      <c r="T242" s="1138"/>
      <c r="U242" s="1138"/>
      <c r="V242" s="1138"/>
      <c r="W242" s="1138"/>
    </row>
    <row r="243">
      <c r="A243" s="1223" t="s">
        <v>12</v>
      </c>
      <c r="B243" s="1164">
        <f>SUMIFS(PENSION!F:F,PENSION!A:A,"7/26/2024")</f>
        <v>3605000.19</v>
      </c>
      <c r="C243" s="1182">
        <v>2.6831930182E8</v>
      </c>
      <c r="D243" s="1182">
        <v>2567178.0</v>
      </c>
      <c r="E243" s="1139">
        <f t="shared" si="34"/>
        <v>540933</v>
      </c>
      <c r="F243" s="1139">
        <v>3108111.0</v>
      </c>
      <c r="G243" s="1147"/>
      <c r="H243" s="1138"/>
      <c r="I243" s="1138"/>
      <c r="J243" s="1138"/>
      <c r="K243" s="1138"/>
      <c r="L243" s="1138"/>
      <c r="M243" s="1138"/>
      <c r="N243" s="1138"/>
      <c r="O243" s="1138"/>
      <c r="P243" s="1138"/>
      <c r="Q243" s="1138"/>
      <c r="R243" s="1138"/>
      <c r="S243" s="1138"/>
      <c r="T243" s="1138"/>
      <c r="U243" s="1138"/>
      <c r="V243" s="1138"/>
      <c r="W243" s="1138"/>
    </row>
    <row r="244">
      <c r="A244" s="1223" t="s">
        <v>13</v>
      </c>
      <c r="B244" s="1164">
        <f>SUMIFS(KITENGELA!F:F,KITENGELA!A:A,"7/26/24")</f>
        <v>4357080.53</v>
      </c>
      <c r="C244" s="1139">
        <v>1.141563563E8</v>
      </c>
      <c r="D244" s="1143">
        <f>SUMIFS(KITENGELA!G:G,KITENGELA!A:A,"7/26/2024")</f>
        <v>2470025</v>
      </c>
      <c r="E244" s="1139">
        <f t="shared" si="34"/>
        <v>22000</v>
      </c>
      <c r="F244" s="1139">
        <v>2492025.0</v>
      </c>
      <c r="G244" s="1147"/>
      <c r="H244" s="1138"/>
      <c r="I244" s="1138"/>
      <c r="J244" s="1138"/>
      <c r="K244" s="1138"/>
      <c r="L244" s="1138"/>
      <c r="M244" s="1138"/>
      <c r="N244" s="1138"/>
      <c r="O244" s="1138"/>
      <c r="P244" s="1138"/>
      <c r="Q244" s="1138"/>
      <c r="R244" s="1138"/>
      <c r="S244" s="1138"/>
      <c r="T244" s="1138"/>
      <c r="U244" s="1138"/>
      <c r="V244" s="1138"/>
      <c r="W244" s="1138"/>
    </row>
    <row r="245">
      <c r="A245" s="1223" t="s">
        <v>14</v>
      </c>
      <c r="B245" s="1164">
        <f>SUMIFS(ELDORET!F:F,ELDORET!A:A,"7/26/24")</f>
        <v>543082.13</v>
      </c>
      <c r="C245" s="1139">
        <v>1.6867808122E8</v>
      </c>
      <c r="D245" s="1139">
        <v>250560.0</v>
      </c>
      <c r="E245" s="1139">
        <f t="shared" si="34"/>
        <v>0</v>
      </c>
      <c r="F245" s="1139">
        <v>250560.0</v>
      </c>
      <c r="G245" s="1147"/>
      <c r="H245" s="1138"/>
      <c r="I245" s="1138"/>
      <c r="J245" s="1138"/>
      <c r="K245" s="1138"/>
      <c r="L245" s="1138"/>
      <c r="M245" s="1138"/>
      <c r="N245" s="1138"/>
      <c r="O245" s="1138"/>
      <c r="P245" s="1138"/>
      <c r="Q245" s="1138"/>
      <c r="R245" s="1138"/>
      <c r="S245" s="1138"/>
      <c r="T245" s="1138"/>
      <c r="U245" s="1138"/>
      <c r="V245" s="1138"/>
      <c r="W245" s="1138"/>
    </row>
    <row r="246">
      <c r="A246" s="1223" t="s">
        <v>15</v>
      </c>
      <c r="B246" s="1164">
        <f>SUMIFS(NAKURU!F:F,NAKURU!A:A,"7/26/24")</f>
        <v>2938500</v>
      </c>
      <c r="C246" s="1139">
        <v>1.92104364E7</v>
      </c>
      <c r="D246" s="1139">
        <v>2657500.0</v>
      </c>
      <c r="E246" s="1139">
        <v>11500.0</v>
      </c>
      <c r="F246" s="1139">
        <f t="shared" ref="F246:F247" si="35">D246+E246</f>
        <v>2669000</v>
      </c>
      <c r="G246" s="1147"/>
      <c r="H246" s="1138"/>
      <c r="I246" s="1138"/>
      <c r="J246" s="1138"/>
      <c r="K246" s="1138"/>
      <c r="L246" s="1138"/>
      <c r="M246" s="1138"/>
      <c r="N246" s="1138"/>
      <c r="O246" s="1138"/>
      <c r="P246" s="1138"/>
      <c r="Q246" s="1138"/>
      <c r="R246" s="1138"/>
      <c r="S246" s="1138"/>
      <c r="T246" s="1138"/>
      <c r="U246" s="1138"/>
      <c r="V246" s="1138"/>
      <c r="W246" s="1138"/>
    </row>
    <row r="247">
      <c r="A247" s="1223" t="s">
        <v>16</v>
      </c>
      <c r="B247" s="1164">
        <f>SUMIFS(HOMABAY!F:F,HOMABAY!A:A,"7/26/24")</f>
        <v>91000</v>
      </c>
      <c r="C247" s="1139">
        <v>1.51026862E7</v>
      </c>
      <c r="D247" s="1210">
        <v>34000.0</v>
      </c>
      <c r="E247" s="1139">
        <v>0.0</v>
      </c>
      <c r="F247" s="1145">
        <f t="shared" si="35"/>
        <v>34000</v>
      </c>
      <c r="G247" s="1147"/>
      <c r="H247" s="1138"/>
      <c r="I247" s="1138"/>
      <c r="J247" s="1138"/>
      <c r="K247" s="1138"/>
      <c r="L247" s="1138"/>
      <c r="M247" s="1138"/>
      <c r="N247" s="1138"/>
      <c r="O247" s="1138"/>
      <c r="P247" s="1138"/>
      <c r="Q247" s="1138"/>
      <c r="R247" s="1138"/>
      <c r="S247" s="1138"/>
      <c r="T247" s="1138"/>
      <c r="U247" s="1138"/>
      <c r="V247" s="1138"/>
      <c r="W247" s="1138"/>
    </row>
    <row r="248">
      <c r="A248" s="1223" t="s">
        <v>17</v>
      </c>
      <c r="B248" s="1164">
        <f>SUMIFS(MOMBASA!F:F,MOMBASA!A:A,"7/26/24")</f>
        <v>2145437.65</v>
      </c>
      <c r="C248" s="1139">
        <v>2.0547832526E8</v>
      </c>
      <c r="D248" s="1143">
        <f>SUMIFS(MOMBASA!G:G,MOMBASA!A:A,"7/26/2024")</f>
        <v>251284</v>
      </c>
      <c r="E248" s="1139">
        <v>0.0</v>
      </c>
      <c r="F248" s="1139">
        <v>251284.0</v>
      </c>
      <c r="G248" s="1147"/>
      <c r="H248" s="1138"/>
      <c r="I248" s="1138"/>
      <c r="J248" s="1138"/>
      <c r="K248" s="1138"/>
      <c r="L248" s="1138"/>
      <c r="M248" s="1138"/>
      <c r="N248" s="1138"/>
      <c r="O248" s="1138"/>
      <c r="P248" s="1138"/>
      <c r="Q248" s="1138"/>
      <c r="R248" s="1138"/>
      <c r="S248" s="1138"/>
      <c r="T248" s="1138"/>
      <c r="U248" s="1138"/>
      <c r="V248" s="1138"/>
      <c r="W248" s="1138"/>
    </row>
    <row r="249">
      <c r="A249" s="1223" t="s">
        <v>18</v>
      </c>
      <c r="B249" s="1164">
        <f>SUMIFS(KISUMU!F:F,KISUMU!A:A,"7/26/24")</f>
        <v>873904.53</v>
      </c>
      <c r="C249" s="1139">
        <v>9.578351297E7</v>
      </c>
      <c r="D249" s="1139">
        <v>13000.0</v>
      </c>
      <c r="E249" s="1139">
        <v>43000.0</v>
      </c>
      <c r="F249" s="1139">
        <f>D249+E249</f>
        <v>56000</v>
      </c>
      <c r="G249" s="1147"/>
      <c r="H249" s="1138"/>
      <c r="I249" s="1138"/>
      <c r="J249" s="1138"/>
      <c r="K249" s="1138"/>
      <c r="L249" s="1138"/>
      <c r="M249" s="1138"/>
      <c r="N249" s="1138"/>
      <c r="O249" s="1138"/>
      <c r="P249" s="1138"/>
      <c r="Q249" s="1138"/>
      <c r="R249" s="1138"/>
      <c r="S249" s="1138"/>
      <c r="T249" s="1138"/>
      <c r="U249" s="1138"/>
      <c r="V249" s="1138"/>
      <c r="W249" s="1138"/>
    </row>
    <row r="250">
      <c r="A250" s="1223" t="s">
        <v>19</v>
      </c>
      <c r="B250" s="1164">
        <f>SUMIFS(VOI!F:F,VOI!A:A,"7/26/24")</f>
        <v>271051</v>
      </c>
      <c r="C250" s="1225">
        <v>7551432.04</v>
      </c>
      <c r="D250" s="1145">
        <v>0.0</v>
      </c>
      <c r="E250" s="1139">
        <v>0.0</v>
      </c>
      <c r="F250" s="1145">
        <v>0.0</v>
      </c>
      <c r="G250" s="1147"/>
      <c r="H250" s="1138"/>
      <c r="I250" s="1138"/>
      <c r="J250" s="1138"/>
      <c r="K250" s="1138"/>
      <c r="L250" s="1138"/>
      <c r="M250" s="1138"/>
      <c r="N250" s="1138"/>
      <c r="O250" s="1138"/>
      <c r="P250" s="1138"/>
      <c r="Q250" s="1138"/>
      <c r="R250" s="1138"/>
      <c r="S250" s="1138"/>
      <c r="T250" s="1138"/>
      <c r="U250" s="1138"/>
      <c r="V250" s="1138"/>
      <c r="W250" s="1138"/>
    </row>
    <row r="251">
      <c r="A251" s="1223" t="s">
        <v>20</v>
      </c>
      <c r="B251" s="1164">
        <f>SUMIFS(THIKA!F:F,THIKA!A:A,"7/26/24")</f>
        <v>3033871</v>
      </c>
      <c r="C251" s="1139">
        <v>7.031348E7</v>
      </c>
      <c r="D251" s="1139">
        <v>2043082.0</v>
      </c>
      <c r="E251" s="1139">
        <f>F251-D251</f>
        <v>57500</v>
      </c>
      <c r="F251" s="1139">
        <v>2100582.0</v>
      </c>
      <c r="G251" s="1151"/>
      <c r="H251" s="1138"/>
      <c r="I251" s="1138"/>
      <c r="J251" s="1138"/>
      <c r="K251" s="1138"/>
      <c r="L251" s="1138"/>
      <c r="M251" s="1138"/>
      <c r="N251" s="1138"/>
      <c r="O251" s="1138"/>
      <c r="P251" s="1138"/>
      <c r="Q251" s="1138"/>
      <c r="R251" s="1138"/>
      <c r="S251" s="1138"/>
      <c r="T251" s="1138"/>
      <c r="U251" s="1138"/>
      <c r="V251" s="1138"/>
      <c r="W251" s="1138"/>
    </row>
    <row r="252">
      <c r="A252" s="1223" t="s">
        <v>21</v>
      </c>
      <c r="B252" s="1164">
        <f>SUMIFS(KITUI!F:F,KITUI!A:A,"7/26/24")</f>
        <v>123253</v>
      </c>
      <c r="C252" s="1225">
        <v>2092540.61</v>
      </c>
      <c r="D252" s="1139">
        <v>0.0</v>
      </c>
      <c r="E252" s="1139">
        <v>0.0</v>
      </c>
      <c r="F252" s="1145">
        <v>0.0</v>
      </c>
      <c r="G252" s="1147"/>
      <c r="H252" s="1138"/>
      <c r="I252" s="1138"/>
      <c r="J252" s="1138"/>
      <c r="K252" s="1138"/>
      <c r="L252" s="1138"/>
      <c r="M252" s="1138"/>
      <c r="N252" s="1138"/>
      <c r="O252" s="1138"/>
      <c r="P252" s="1138"/>
      <c r="Q252" s="1138"/>
      <c r="R252" s="1138"/>
      <c r="S252" s="1138"/>
      <c r="T252" s="1138"/>
      <c r="U252" s="1138"/>
      <c r="V252" s="1138"/>
      <c r="W252" s="1138"/>
    </row>
    <row r="253">
      <c r="A253" s="1224" t="s">
        <v>22</v>
      </c>
      <c r="B253" s="1164">
        <f>SUMIFS(MACHAKOS!F:F,MACHAKOS!A:A,"7/26/24")</f>
        <v>146910.39</v>
      </c>
      <c r="C253" s="1150">
        <v>302631.11</v>
      </c>
      <c r="D253" s="1139">
        <v>0.0</v>
      </c>
      <c r="E253" s="1139">
        <v>0.0</v>
      </c>
      <c r="F253" s="1139">
        <v>0.0</v>
      </c>
      <c r="G253" s="1147"/>
      <c r="H253" s="1138"/>
      <c r="I253" s="1138"/>
      <c r="J253" s="1138"/>
      <c r="K253" s="1138"/>
      <c r="L253" s="1138"/>
      <c r="M253" s="1138"/>
      <c r="N253" s="1138"/>
      <c r="O253" s="1138"/>
      <c r="P253" s="1138"/>
      <c r="Q253" s="1138"/>
      <c r="R253" s="1138"/>
      <c r="S253" s="1138"/>
      <c r="T253" s="1138"/>
      <c r="U253" s="1138"/>
      <c r="V253" s="1138"/>
      <c r="W253" s="1138"/>
    </row>
    <row r="254">
      <c r="A254" s="1218" t="s">
        <v>23</v>
      </c>
      <c r="B254" s="1166">
        <v>4.013482649E7</v>
      </c>
      <c r="C254" s="1193">
        <f t="shared" ref="C254:F254" si="36">SUM(C240:C253)</f>
        <v>2509245796</v>
      </c>
      <c r="D254" s="1193">
        <f t="shared" si="36"/>
        <v>12793600</v>
      </c>
      <c r="E254" s="1219">
        <f t="shared" si="36"/>
        <v>892966</v>
      </c>
      <c r="F254" s="1220">
        <f t="shared" si="36"/>
        <v>13686566</v>
      </c>
      <c r="G254" s="1147"/>
      <c r="H254" s="1138"/>
      <c r="I254" s="1138"/>
      <c r="J254" s="1138"/>
      <c r="K254" s="1138"/>
      <c r="L254" s="1138"/>
      <c r="M254" s="1138"/>
      <c r="N254" s="1138"/>
      <c r="O254" s="1138"/>
      <c r="P254" s="1138"/>
      <c r="Q254" s="1138"/>
      <c r="R254" s="1138"/>
      <c r="S254" s="1138"/>
      <c r="T254" s="1138"/>
      <c r="U254" s="1138"/>
      <c r="V254" s="1138"/>
      <c r="W254" s="1138"/>
    </row>
    <row r="255">
      <c r="A255" s="1138"/>
      <c r="B255" s="1138"/>
      <c r="C255" s="1138"/>
      <c r="D255" s="1147"/>
      <c r="E255" s="1138"/>
      <c r="F255" s="1147"/>
      <c r="G255" s="1147"/>
      <c r="H255" s="1138"/>
      <c r="I255" s="1138"/>
      <c r="J255" s="1138"/>
      <c r="K255" s="1138"/>
      <c r="L255" s="1138"/>
      <c r="M255" s="1138"/>
      <c r="N255" s="1138"/>
      <c r="O255" s="1138"/>
      <c r="P255" s="1138"/>
      <c r="Q255" s="1138"/>
      <c r="R255" s="1138"/>
      <c r="S255" s="1138"/>
      <c r="T255" s="1138"/>
      <c r="U255" s="1138"/>
      <c r="V255" s="1138"/>
      <c r="W255" s="1138"/>
    </row>
    <row r="256">
      <c r="A256" s="1138"/>
      <c r="B256" s="1138"/>
      <c r="C256" s="1138"/>
      <c r="D256" s="1147"/>
      <c r="E256" s="1138"/>
      <c r="F256" s="1147"/>
      <c r="G256" s="1147"/>
      <c r="H256" s="1138"/>
      <c r="I256" s="1138"/>
      <c r="J256" s="1138"/>
      <c r="K256" s="1138"/>
      <c r="L256" s="1138"/>
      <c r="M256" s="1138"/>
      <c r="N256" s="1138"/>
      <c r="O256" s="1138"/>
      <c r="P256" s="1138"/>
      <c r="Q256" s="1138"/>
      <c r="R256" s="1138"/>
      <c r="S256" s="1138"/>
      <c r="T256" s="1138"/>
      <c r="U256" s="1138"/>
      <c r="V256" s="1138"/>
      <c r="W256" s="1138"/>
    </row>
    <row r="257">
      <c r="A257" s="1138"/>
      <c r="B257" s="1138"/>
      <c r="C257" s="1138"/>
      <c r="D257" s="1147"/>
      <c r="E257" s="1138"/>
      <c r="F257" s="1147"/>
      <c r="G257" s="1147"/>
      <c r="H257" s="1138"/>
      <c r="I257" s="1138"/>
      <c r="J257" s="1138"/>
      <c r="K257" s="1138"/>
      <c r="L257" s="1138"/>
      <c r="M257" s="1138"/>
      <c r="N257" s="1138"/>
      <c r="O257" s="1138"/>
      <c r="P257" s="1138"/>
      <c r="Q257" s="1138"/>
      <c r="R257" s="1138"/>
      <c r="S257" s="1138"/>
      <c r="T257" s="1138"/>
      <c r="U257" s="1138"/>
      <c r="V257" s="1138"/>
      <c r="W257" s="1138"/>
    </row>
    <row r="258">
      <c r="A258" s="1209" t="s">
        <v>6956</v>
      </c>
      <c r="B258" s="1138"/>
      <c r="C258" s="1138"/>
      <c r="D258" s="1147"/>
      <c r="E258" s="1138"/>
      <c r="F258" s="1147"/>
      <c r="G258" s="1147"/>
      <c r="H258" s="1138"/>
      <c r="I258" s="1138"/>
      <c r="J258" s="1138"/>
      <c r="K258" s="1138"/>
      <c r="L258" s="1138"/>
      <c r="M258" s="1138"/>
      <c r="N258" s="1138"/>
      <c r="O258" s="1138"/>
      <c r="P258" s="1138"/>
      <c r="Q258" s="1138"/>
      <c r="R258" s="1138"/>
      <c r="S258" s="1138"/>
      <c r="T258" s="1138"/>
      <c r="U258" s="1138"/>
      <c r="V258" s="1138"/>
      <c r="W258" s="1138"/>
    </row>
    <row r="259">
      <c r="A259" s="1177" t="s">
        <v>1</v>
      </c>
      <c r="B259" s="1178" t="s">
        <v>6936</v>
      </c>
      <c r="C259" s="1200" t="s">
        <v>6950</v>
      </c>
      <c r="D259" s="1179" t="s">
        <v>6938</v>
      </c>
      <c r="E259" s="1180" t="s">
        <v>6939</v>
      </c>
      <c r="F259" s="1179" t="s">
        <v>6940</v>
      </c>
      <c r="G259" s="1147"/>
      <c r="H259" s="1138"/>
      <c r="I259" s="1138"/>
      <c r="J259" s="1138"/>
      <c r="K259" s="1138"/>
      <c r="L259" s="1138"/>
      <c r="M259" s="1138"/>
      <c r="N259" s="1138"/>
      <c r="O259" s="1138"/>
      <c r="P259" s="1138"/>
      <c r="Q259" s="1138"/>
      <c r="R259" s="1138"/>
      <c r="S259" s="1138"/>
      <c r="T259" s="1138"/>
      <c r="U259" s="1138"/>
      <c r="V259" s="1138"/>
      <c r="W259" s="1138"/>
    </row>
    <row r="260">
      <c r="A260" s="1223" t="s">
        <v>10</v>
      </c>
      <c r="B260" s="1164">
        <v>7228246.0</v>
      </c>
      <c r="C260" s="1139">
        <v>8.9092512238E8</v>
      </c>
      <c r="D260" s="1139">
        <v>112877.0</v>
      </c>
      <c r="E260" s="1139">
        <v>0.0</v>
      </c>
      <c r="F260" s="1139">
        <v>112877.0</v>
      </c>
      <c r="G260" s="1147"/>
      <c r="H260" s="1138"/>
      <c r="I260" s="1138"/>
      <c r="J260" s="1138"/>
      <c r="K260" s="1138"/>
      <c r="L260" s="1138"/>
      <c r="M260" s="1138"/>
      <c r="N260" s="1138"/>
      <c r="O260" s="1138"/>
      <c r="P260" s="1138"/>
      <c r="Q260" s="1138"/>
      <c r="R260" s="1138"/>
      <c r="S260" s="1138"/>
      <c r="T260" s="1138"/>
      <c r="U260" s="1138"/>
      <c r="V260" s="1138"/>
      <c r="W260" s="1138"/>
    </row>
    <row r="261">
      <c r="A261" s="1223" t="s">
        <v>24</v>
      </c>
      <c r="B261" s="1164">
        <v>9477098.84</v>
      </c>
      <c r="C261" s="1139">
        <v>6.5133188951E8</v>
      </c>
      <c r="D261" s="1155">
        <v>90000.0</v>
      </c>
      <c r="E261" s="1139">
        <f t="shared" ref="E261:E263" si="37">F261-D261</f>
        <v>23000</v>
      </c>
      <c r="F261" s="1139">
        <v>113000.0</v>
      </c>
      <c r="G261" s="1147"/>
      <c r="H261" s="1138"/>
      <c r="I261" s="1138"/>
      <c r="J261" s="1138"/>
      <c r="K261" s="1138"/>
      <c r="L261" s="1138"/>
      <c r="M261" s="1138"/>
      <c r="N261" s="1138"/>
      <c r="O261" s="1138"/>
      <c r="P261" s="1138"/>
      <c r="Q261" s="1138"/>
      <c r="R261" s="1138"/>
      <c r="S261" s="1138"/>
      <c r="T261" s="1138"/>
      <c r="U261" s="1138"/>
      <c r="V261" s="1138"/>
      <c r="W261" s="1138"/>
    </row>
    <row r="262">
      <c r="A262" s="1223" t="s">
        <v>12</v>
      </c>
      <c r="B262" s="1164">
        <v>3181676.17</v>
      </c>
      <c r="C262" s="1182">
        <v>2.6888957292E8</v>
      </c>
      <c r="D262" s="1182">
        <v>1321947.0</v>
      </c>
      <c r="E262" s="1139">
        <f t="shared" si="37"/>
        <v>84027</v>
      </c>
      <c r="F262" s="1139">
        <v>1405974.0</v>
      </c>
      <c r="G262" s="1147"/>
      <c r="H262" s="1138"/>
      <c r="I262" s="1138"/>
      <c r="J262" s="1138"/>
      <c r="K262" s="1138"/>
      <c r="L262" s="1138"/>
      <c r="M262" s="1138"/>
      <c r="N262" s="1138"/>
      <c r="O262" s="1138"/>
      <c r="P262" s="1138"/>
      <c r="Q262" s="1138"/>
      <c r="R262" s="1138"/>
      <c r="S262" s="1138"/>
      <c r="T262" s="1138"/>
      <c r="U262" s="1138"/>
      <c r="V262" s="1138"/>
      <c r="W262" s="1138"/>
    </row>
    <row r="263">
      <c r="A263" s="1223" t="s">
        <v>13</v>
      </c>
      <c r="B263" s="1164">
        <v>1852050.8599999999</v>
      </c>
      <c r="C263" s="1139">
        <v>1.141563563E8</v>
      </c>
      <c r="D263" s="1141">
        <v>287500.0</v>
      </c>
      <c r="E263" s="1139">
        <f t="shared" si="37"/>
        <v>90154</v>
      </c>
      <c r="F263" s="1139">
        <v>377654.0</v>
      </c>
      <c r="G263" s="1151">
        <v>377654.0</v>
      </c>
      <c r="H263" s="1138"/>
      <c r="I263" s="1138"/>
      <c r="J263" s="1138"/>
      <c r="K263" s="1138"/>
      <c r="L263" s="1138"/>
      <c r="M263" s="1138"/>
      <c r="N263" s="1138"/>
      <c r="O263" s="1138"/>
      <c r="P263" s="1138"/>
      <c r="Q263" s="1138"/>
      <c r="R263" s="1138"/>
      <c r="S263" s="1138"/>
      <c r="T263" s="1138"/>
      <c r="U263" s="1138"/>
      <c r="V263" s="1138"/>
      <c r="W263" s="1138"/>
    </row>
    <row r="264">
      <c r="A264" s="1223" t="s">
        <v>14</v>
      </c>
      <c r="B264" s="1164">
        <v>498195.0</v>
      </c>
      <c r="C264" s="1139">
        <v>1.6867808122E8</v>
      </c>
      <c r="D264" s="1139">
        <f>F264-E264</f>
        <v>33110</v>
      </c>
      <c r="E264" s="1139">
        <v>40800.0</v>
      </c>
      <c r="F264" s="1145">
        <v>73910.0</v>
      </c>
      <c r="G264" s="1151">
        <v>73910.0</v>
      </c>
      <c r="H264" s="1138"/>
      <c r="I264" s="1138"/>
      <c r="J264" s="1138"/>
      <c r="K264" s="1138"/>
      <c r="L264" s="1138"/>
      <c r="M264" s="1138"/>
      <c r="N264" s="1138"/>
      <c r="O264" s="1138"/>
      <c r="P264" s="1138"/>
      <c r="Q264" s="1138"/>
      <c r="R264" s="1138"/>
      <c r="S264" s="1138"/>
      <c r="T264" s="1138"/>
      <c r="U264" s="1138"/>
      <c r="V264" s="1138"/>
      <c r="W264" s="1138"/>
    </row>
    <row r="265">
      <c r="A265" s="1223" t="s">
        <v>15</v>
      </c>
      <c r="B265" s="1164">
        <v>145000.0</v>
      </c>
      <c r="C265" s="1139">
        <v>1.92104364E7</v>
      </c>
      <c r="D265" s="1139">
        <v>13000.0</v>
      </c>
      <c r="E265" s="1139">
        <v>0.0</v>
      </c>
      <c r="F265" s="1139">
        <f>D265+E265</f>
        <v>13000</v>
      </c>
      <c r="G265" s="1147"/>
      <c r="H265" s="1138"/>
      <c r="I265" s="1138"/>
      <c r="J265" s="1138"/>
      <c r="K265" s="1138"/>
      <c r="L265" s="1138"/>
      <c r="M265" s="1138"/>
      <c r="N265" s="1138"/>
      <c r="O265" s="1138"/>
      <c r="P265" s="1138"/>
      <c r="Q265" s="1138"/>
      <c r="R265" s="1138"/>
      <c r="S265" s="1138"/>
      <c r="T265" s="1138"/>
      <c r="U265" s="1138"/>
      <c r="V265" s="1138"/>
      <c r="W265" s="1138"/>
    </row>
    <row r="266">
      <c r="A266" s="1223" t="s">
        <v>16</v>
      </c>
      <c r="B266" s="1164">
        <v>40000.0</v>
      </c>
      <c r="C266" s="1139">
        <v>1.51026862E7</v>
      </c>
      <c r="D266" s="1210">
        <v>5000.0</v>
      </c>
      <c r="E266" s="1139">
        <v>0.0</v>
      </c>
      <c r="F266" s="1145">
        <v>5000.0</v>
      </c>
      <c r="G266" s="1147"/>
      <c r="H266" s="1138"/>
      <c r="I266" s="1138"/>
      <c r="J266" s="1138"/>
      <c r="K266" s="1138"/>
      <c r="L266" s="1138"/>
      <c r="M266" s="1138"/>
      <c r="N266" s="1138"/>
      <c r="O266" s="1138"/>
      <c r="P266" s="1138"/>
      <c r="Q266" s="1138"/>
      <c r="R266" s="1138"/>
      <c r="S266" s="1138"/>
      <c r="T266" s="1138"/>
      <c r="U266" s="1138"/>
      <c r="V266" s="1138"/>
      <c r="W266" s="1138"/>
    </row>
    <row r="267">
      <c r="A267" s="1223" t="s">
        <v>17</v>
      </c>
      <c r="B267" s="1164">
        <v>1085011.51</v>
      </c>
      <c r="C267" s="1139">
        <v>2.0547832526E8</v>
      </c>
      <c r="D267" s="1139">
        <v>151000.0</v>
      </c>
      <c r="E267" s="1139">
        <v>248000.0</v>
      </c>
      <c r="F267" s="1139">
        <f>D267+E267</f>
        <v>399000</v>
      </c>
      <c r="G267" s="1147"/>
      <c r="H267" s="1138"/>
      <c r="I267" s="1138"/>
      <c r="J267" s="1138"/>
      <c r="K267" s="1138"/>
      <c r="L267" s="1138"/>
      <c r="M267" s="1138"/>
      <c r="N267" s="1138"/>
      <c r="O267" s="1138"/>
      <c r="P267" s="1138"/>
      <c r="Q267" s="1138"/>
      <c r="R267" s="1138"/>
      <c r="S267" s="1138"/>
      <c r="T267" s="1138"/>
      <c r="U267" s="1138"/>
      <c r="V267" s="1138"/>
      <c r="W267" s="1138"/>
    </row>
    <row r="268">
      <c r="A268" s="1223" t="s">
        <v>18</v>
      </c>
      <c r="B268" s="1186">
        <v>854034.53</v>
      </c>
      <c r="C268" s="1139">
        <v>9.594937061E7</v>
      </c>
      <c r="D268" s="1139">
        <v>0.0</v>
      </c>
      <c r="E268" s="1139">
        <v>0.0</v>
      </c>
      <c r="F268" s="1139">
        <v>0.0</v>
      </c>
      <c r="G268" s="1147"/>
      <c r="H268" s="1138"/>
      <c r="I268" s="1138"/>
      <c r="J268" s="1138"/>
      <c r="K268" s="1138"/>
      <c r="L268" s="1138"/>
      <c r="M268" s="1138"/>
      <c r="N268" s="1138"/>
      <c r="O268" s="1138"/>
      <c r="P268" s="1138"/>
      <c r="Q268" s="1138"/>
      <c r="R268" s="1138"/>
      <c r="S268" s="1138"/>
      <c r="T268" s="1138"/>
      <c r="U268" s="1138"/>
      <c r="V268" s="1138"/>
      <c r="W268" s="1138"/>
    </row>
    <row r="269">
      <c r="A269" s="1223" t="s">
        <v>19</v>
      </c>
      <c r="B269" s="1164">
        <v>271051.0</v>
      </c>
      <c r="C269" s="1225">
        <v>7551432.04</v>
      </c>
      <c r="D269" s="1145">
        <v>0.0</v>
      </c>
      <c r="E269" s="1139">
        <v>0.0</v>
      </c>
      <c r="F269" s="1145">
        <v>0.0</v>
      </c>
      <c r="G269" s="1147"/>
      <c r="H269" s="1138"/>
      <c r="I269" s="1138"/>
      <c r="J269" s="1138"/>
      <c r="K269" s="1138"/>
      <c r="L269" s="1138"/>
      <c r="M269" s="1138"/>
      <c r="N269" s="1138"/>
      <c r="O269" s="1138"/>
      <c r="P269" s="1138"/>
      <c r="Q269" s="1138"/>
      <c r="R269" s="1138"/>
      <c r="S269" s="1138"/>
      <c r="T269" s="1138"/>
      <c r="U269" s="1138"/>
      <c r="V269" s="1138"/>
      <c r="W269" s="1138"/>
    </row>
    <row r="270">
      <c r="A270" s="1223" t="s">
        <v>20</v>
      </c>
      <c r="B270" s="1164">
        <v>446897.0</v>
      </c>
      <c r="C270" s="1139">
        <v>7.031348E7</v>
      </c>
      <c r="D270" s="1139">
        <v>0.0</v>
      </c>
      <c r="E270" s="1139">
        <v>46000.0</v>
      </c>
      <c r="F270" s="1139">
        <v>46000.0</v>
      </c>
      <c r="G270" s="1147"/>
      <c r="H270" s="1138"/>
      <c r="I270" s="1138"/>
      <c r="J270" s="1138"/>
      <c r="K270" s="1138"/>
      <c r="L270" s="1138"/>
      <c r="M270" s="1138"/>
      <c r="N270" s="1138"/>
      <c r="O270" s="1138"/>
      <c r="P270" s="1138"/>
      <c r="Q270" s="1138"/>
      <c r="R270" s="1138"/>
      <c r="S270" s="1138"/>
      <c r="T270" s="1138"/>
      <c r="U270" s="1138"/>
      <c r="V270" s="1138"/>
      <c r="W270" s="1138"/>
    </row>
    <row r="271">
      <c r="A271" s="1223" t="s">
        <v>21</v>
      </c>
      <c r="B271" s="1164">
        <v>43633.0</v>
      </c>
      <c r="C271" s="1225">
        <v>2092540.61</v>
      </c>
      <c r="D271" s="1139">
        <v>0.0</v>
      </c>
      <c r="E271" s="1139">
        <v>0.0</v>
      </c>
      <c r="F271" s="1145">
        <v>0.0</v>
      </c>
      <c r="G271" s="1147"/>
      <c r="H271" s="1138"/>
      <c r="I271" s="1138"/>
      <c r="J271" s="1138"/>
      <c r="K271" s="1138"/>
      <c r="L271" s="1138"/>
      <c r="M271" s="1138"/>
      <c r="N271" s="1138"/>
      <c r="O271" s="1138"/>
      <c r="P271" s="1138"/>
      <c r="Q271" s="1138"/>
      <c r="R271" s="1138"/>
      <c r="S271" s="1138"/>
      <c r="T271" s="1138"/>
      <c r="U271" s="1138"/>
      <c r="V271" s="1138"/>
      <c r="W271" s="1138"/>
    </row>
    <row r="272">
      <c r="A272" s="1224" t="s">
        <v>22</v>
      </c>
      <c r="B272" s="1164">
        <v>146910.39</v>
      </c>
      <c r="C272" s="1150">
        <v>302631.11</v>
      </c>
      <c r="D272" s="1139">
        <v>0.0</v>
      </c>
      <c r="E272" s="1139">
        <v>0.0</v>
      </c>
      <c r="F272" s="1139">
        <v>0.0</v>
      </c>
      <c r="G272" s="1147"/>
      <c r="H272" s="1138"/>
      <c r="I272" s="1138"/>
      <c r="J272" s="1138"/>
      <c r="K272" s="1138"/>
      <c r="L272" s="1138"/>
      <c r="M272" s="1138"/>
      <c r="N272" s="1138"/>
      <c r="O272" s="1138"/>
      <c r="P272" s="1138"/>
      <c r="Q272" s="1138"/>
      <c r="R272" s="1138"/>
      <c r="S272" s="1138"/>
      <c r="T272" s="1138"/>
      <c r="U272" s="1138"/>
      <c r="V272" s="1138"/>
      <c r="W272" s="1138"/>
    </row>
    <row r="273">
      <c r="A273" s="1218" t="s">
        <v>23</v>
      </c>
      <c r="B273" s="1193">
        <f t="shared" ref="B273:F273" si="38">B260+B261+B262+B263+B264+B265+B266+B267+B268+B269+B270+B271+B272</f>
        <v>25269804.3</v>
      </c>
      <c r="C273" s="1193">
        <f t="shared" si="38"/>
        <v>2509981925</v>
      </c>
      <c r="D273" s="1193">
        <f t="shared" si="38"/>
        <v>2014434</v>
      </c>
      <c r="E273" s="1193">
        <f t="shared" si="38"/>
        <v>531981</v>
      </c>
      <c r="F273" s="1193">
        <f t="shared" si="38"/>
        <v>2546415</v>
      </c>
      <c r="G273" s="1147"/>
      <c r="H273" s="1138"/>
      <c r="I273" s="1138"/>
      <c r="J273" s="1138"/>
      <c r="K273" s="1138"/>
      <c r="L273" s="1138"/>
      <c r="M273" s="1138"/>
      <c r="N273" s="1138"/>
      <c r="O273" s="1138"/>
      <c r="P273" s="1138"/>
      <c r="Q273" s="1138"/>
      <c r="R273" s="1138"/>
      <c r="S273" s="1138"/>
      <c r="T273" s="1138"/>
      <c r="U273" s="1138"/>
      <c r="V273" s="1138"/>
      <c r="W273" s="1138"/>
    </row>
    <row r="274">
      <c r="A274" s="1138"/>
      <c r="B274" s="1138"/>
      <c r="C274" s="1138"/>
      <c r="D274" s="1147"/>
      <c r="E274" s="1138"/>
      <c r="F274" s="1147"/>
      <c r="G274" s="1147"/>
      <c r="H274" s="1138"/>
      <c r="I274" s="1138"/>
      <c r="J274" s="1138"/>
      <c r="K274" s="1138"/>
      <c r="L274" s="1138"/>
      <c r="M274" s="1138"/>
      <c r="N274" s="1138"/>
      <c r="O274" s="1138"/>
      <c r="P274" s="1138"/>
      <c r="Q274" s="1138"/>
      <c r="R274" s="1138"/>
      <c r="S274" s="1138"/>
      <c r="T274" s="1138"/>
      <c r="U274" s="1138"/>
      <c r="V274" s="1138"/>
      <c r="W274" s="1138"/>
    </row>
    <row r="275">
      <c r="A275" s="1138"/>
      <c r="B275" s="1138"/>
      <c r="C275" s="1138"/>
      <c r="D275" s="1147"/>
      <c r="E275" s="1138"/>
      <c r="F275" s="1147"/>
      <c r="G275" s="1147"/>
      <c r="H275" s="1138"/>
      <c r="I275" s="1138"/>
      <c r="J275" s="1138"/>
      <c r="K275" s="1138"/>
      <c r="L275" s="1138"/>
      <c r="M275" s="1138"/>
      <c r="N275" s="1138"/>
      <c r="O275" s="1138"/>
      <c r="P275" s="1138"/>
      <c r="Q275" s="1138"/>
      <c r="R275" s="1138"/>
      <c r="S275" s="1138"/>
      <c r="T275" s="1138"/>
      <c r="U275" s="1138"/>
      <c r="V275" s="1138"/>
      <c r="W275" s="1138"/>
    </row>
    <row r="276">
      <c r="A276" s="1226">
        <v>45502.0</v>
      </c>
      <c r="B276" s="1138"/>
      <c r="C276" s="1138"/>
      <c r="D276" s="1147"/>
      <c r="E276" s="1138"/>
      <c r="F276" s="1147"/>
      <c r="G276" s="1147"/>
      <c r="H276" s="1138"/>
      <c r="I276" s="1138"/>
      <c r="J276" s="1138"/>
      <c r="K276" s="1138"/>
      <c r="L276" s="1138"/>
      <c r="M276" s="1138"/>
      <c r="N276" s="1138"/>
      <c r="O276" s="1138"/>
      <c r="P276" s="1138"/>
      <c r="Q276" s="1138"/>
      <c r="R276" s="1138"/>
      <c r="S276" s="1138"/>
      <c r="T276" s="1138"/>
      <c r="U276" s="1138"/>
      <c r="V276" s="1138"/>
      <c r="W276" s="1138"/>
    </row>
    <row r="277">
      <c r="A277" s="1177" t="s">
        <v>1</v>
      </c>
      <c r="B277" s="1178" t="s">
        <v>6936</v>
      </c>
      <c r="C277" s="1200" t="s">
        <v>6950</v>
      </c>
      <c r="D277" s="1179" t="s">
        <v>6938</v>
      </c>
      <c r="E277" s="1180" t="s">
        <v>6939</v>
      </c>
      <c r="F277" s="1179" t="s">
        <v>6940</v>
      </c>
      <c r="G277" s="1147"/>
      <c r="H277" s="1138"/>
      <c r="I277" s="1138"/>
      <c r="J277" s="1138"/>
      <c r="K277" s="1138"/>
      <c r="L277" s="1138"/>
      <c r="M277" s="1138"/>
      <c r="N277" s="1138"/>
      <c r="O277" s="1138"/>
      <c r="P277" s="1138"/>
      <c r="Q277" s="1138"/>
      <c r="R277" s="1138"/>
      <c r="S277" s="1138"/>
      <c r="T277" s="1138"/>
      <c r="U277" s="1138"/>
      <c r="V277" s="1138"/>
      <c r="W277" s="1138"/>
    </row>
    <row r="278">
      <c r="A278" s="1223" t="s">
        <v>10</v>
      </c>
      <c r="B278" s="1164">
        <f>SUMIFS(ECOBANK!F:F,ECOBANK!A:A,"7/29/24")</f>
        <v>9299838.86</v>
      </c>
      <c r="C278" s="1139">
        <v>8.8947057248E8</v>
      </c>
      <c r="D278" s="1139">
        <v>585872.0</v>
      </c>
      <c r="E278" s="1139">
        <f t="shared" ref="E278:E285" si="39">F278-D278</f>
        <v>501161</v>
      </c>
      <c r="F278" s="1139">
        <v>1087033.0</v>
      </c>
      <c r="G278" s="1147"/>
      <c r="H278" s="1138"/>
      <c r="I278" s="1138"/>
      <c r="J278" s="1138"/>
      <c r="K278" s="1138"/>
      <c r="L278" s="1138"/>
      <c r="M278" s="1138"/>
      <c r="N278" s="1138"/>
      <c r="O278" s="1138"/>
      <c r="P278" s="1138"/>
      <c r="Q278" s="1138"/>
      <c r="R278" s="1138"/>
      <c r="S278" s="1138"/>
      <c r="T278" s="1138"/>
      <c r="U278" s="1138"/>
      <c r="V278" s="1138"/>
      <c r="W278" s="1138"/>
    </row>
    <row r="279">
      <c r="A279" s="1223" t="s">
        <v>24</v>
      </c>
      <c r="B279" s="1164">
        <f>SUMIFS('TRADE CENTER'!F:F,'TRADE CENTER'!A:A,"7/29/24")</f>
        <v>9709449.22</v>
      </c>
      <c r="C279" s="1139">
        <v>6.5516636146E8</v>
      </c>
      <c r="D279" s="1155">
        <v>4005670.0</v>
      </c>
      <c r="E279" s="1139">
        <f t="shared" si="39"/>
        <v>318895</v>
      </c>
      <c r="F279" s="1139">
        <v>4324565.0</v>
      </c>
      <c r="G279" s="1147"/>
      <c r="H279" s="1138"/>
      <c r="I279" s="1138"/>
      <c r="J279" s="1138"/>
      <c r="K279" s="1138"/>
      <c r="L279" s="1138"/>
      <c r="M279" s="1138"/>
      <c r="N279" s="1138"/>
      <c r="O279" s="1138"/>
      <c r="P279" s="1138"/>
      <c r="Q279" s="1138"/>
      <c r="R279" s="1138"/>
      <c r="S279" s="1138"/>
      <c r="T279" s="1138"/>
      <c r="U279" s="1138"/>
      <c r="V279" s="1138"/>
      <c r="W279" s="1138"/>
    </row>
    <row r="280">
      <c r="A280" s="1223" t="s">
        <v>12</v>
      </c>
      <c r="B280" s="1164">
        <f>SUMIFS(PENSION!F:F,PENSION!A:A,"7/29/2024")</f>
        <v>7884899.12</v>
      </c>
      <c r="C280" s="1182">
        <v>2.7782214726E8</v>
      </c>
      <c r="D280" s="1182">
        <v>5047775.0</v>
      </c>
      <c r="E280" s="1139">
        <f t="shared" si="39"/>
        <v>405879</v>
      </c>
      <c r="F280" s="1139">
        <v>5453654.0</v>
      </c>
      <c r="G280" s="1147"/>
      <c r="H280" s="1138"/>
      <c r="I280" s="1138"/>
      <c r="J280" s="1138"/>
      <c r="K280" s="1138"/>
      <c r="L280" s="1138"/>
      <c r="M280" s="1138"/>
      <c r="N280" s="1138"/>
      <c r="O280" s="1138"/>
      <c r="P280" s="1138"/>
      <c r="Q280" s="1138"/>
      <c r="R280" s="1138"/>
      <c r="S280" s="1138"/>
      <c r="T280" s="1138"/>
      <c r="U280" s="1138"/>
      <c r="V280" s="1138"/>
      <c r="W280" s="1138"/>
    </row>
    <row r="281">
      <c r="A281" s="1223" t="s">
        <v>13</v>
      </c>
      <c r="B281" s="1164">
        <f>SUMIFS(KITENGELA!F:F,KITENGELA!A:A,"7/29/24")</f>
        <v>3348752.49</v>
      </c>
      <c r="C281" s="1139">
        <v>1.1424207576E8</v>
      </c>
      <c r="D281" s="1139">
        <v>202045.0</v>
      </c>
      <c r="E281" s="1139">
        <f t="shared" si="39"/>
        <v>0</v>
      </c>
      <c r="F281" s="1139">
        <v>202045.0</v>
      </c>
      <c r="G281" s="1147"/>
      <c r="H281" s="1138"/>
      <c r="I281" s="1138"/>
      <c r="J281" s="1138"/>
      <c r="K281" s="1138"/>
      <c r="L281" s="1138"/>
      <c r="M281" s="1138"/>
      <c r="N281" s="1138"/>
      <c r="O281" s="1138"/>
      <c r="P281" s="1138"/>
      <c r="Q281" s="1138"/>
      <c r="R281" s="1138"/>
      <c r="S281" s="1138"/>
      <c r="T281" s="1138"/>
      <c r="U281" s="1138"/>
      <c r="V281" s="1138"/>
      <c r="W281" s="1138"/>
    </row>
    <row r="282">
      <c r="A282" s="1223" t="s">
        <v>14</v>
      </c>
      <c r="B282" s="1164">
        <f>SUMIFS(ELDORET!F:F,ELDORET!A:A,"7/29/24")</f>
        <v>667115</v>
      </c>
      <c r="C282" s="1139">
        <v>1.6920408606E8</v>
      </c>
      <c r="D282" s="1139">
        <v>340885.0</v>
      </c>
      <c r="E282" s="1139">
        <f t="shared" si="39"/>
        <v>0</v>
      </c>
      <c r="F282" s="1145">
        <v>340885.0</v>
      </c>
      <c r="G282" s="1147"/>
      <c r="H282" s="1138"/>
      <c r="I282" s="1138"/>
      <c r="J282" s="1138"/>
      <c r="K282" s="1138"/>
      <c r="L282" s="1138"/>
      <c r="M282" s="1138"/>
      <c r="N282" s="1138"/>
      <c r="O282" s="1138"/>
      <c r="P282" s="1138"/>
      <c r="Q282" s="1138"/>
      <c r="R282" s="1138"/>
      <c r="S282" s="1138"/>
      <c r="T282" s="1138"/>
      <c r="U282" s="1138"/>
      <c r="V282" s="1138"/>
      <c r="W282" s="1138"/>
    </row>
    <row r="283">
      <c r="A283" s="1223" t="s">
        <v>15</v>
      </c>
      <c r="B283" s="1164">
        <f>SUMIFS(NAKURU!F:F,NAKURU!A:A,"7/29/24")</f>
        <v>349000</v>
      </c>
      <c r="C283" s="1139">
        <v>1.7542953E7</v>
      </c>
      <c r="D283" s="1139">
        <v>0.0</v>
      </c>
      <c r="E283" s="1139">
        <f t="shared" si="39"/>
        <v>0</v>
      </c>
      <c r="F283" s="1139">
        <v>0.0</v>
      </c>
      <c r="G283" s="1147"/>
      <c r="H283" s="1138"/>
      <c r="I283" s="1138"/>
      <c r="J283" s="1138"/>
      <c r="K283" s="1138"/>
      <c r="L283" s="1138"/>
      <c r="M283" s="1138"/>
      <c r="N283" s="1138"/>
      <c r="O283" s="1138"/>
      <c r="P283" s="1138"/>
      <c r="Q283" s="1138"/>
      <c r="R283" s="1138"/>
      <c r="S283" s="1138"/>
      <c r="T283" s="1138"/>
      <c r="U283" s="1138"/>
      <c r="V283" s="1138"/>
      <c r="W283" s="1138"/>
    </row>
    <row r="284">
      <c r="A284" s="1223" t="s">
        <v>16</v>
      </c>
      <c r="B284" s="1164">
        <f>SUMIFS(HOMABAY!F:F,HOMABAY!A:A,"7/29/24")</f>
        <v>197000</v>
      </c>
      <c r="C284" s="1139">
        <v>1.54430477E7</v>
      </c>
      <c r="D284" s="1210">
        <v>97000.0</v>
      </c>
      <c r="E284" s="1139">
        <f t="shared" si="39"/>
        <v>0</v>
      </c>
      <c r="F284" s="1145">
        <v>97000.0</v>
      </c>
      <c r="G284" s="1147"/>
      <c r="H284" s="1138"/>
      <c r="I284" s="1138"/>
      <c r="J284" s="1138"/>
      <c r="K284" s="1138"/>
      <c r="L284" s="1138"/>
      <c r="M284" s="1138"/>
      <c r="N284" s="1138"/>
      <c r="O284" s="1138"/>
      <c r="P284" s="1138"/>
      <c r="Q284" s="1138"/>
      <c r="R284" s="1138"/>
      <c r="S284" s="1138"/>
      <c r="T284" s="1138"/>
      <c r="U284" s="1138"/>
      <c r="V284" s="1138"/>
      <c r="W284" s="1138"/>
    </row>
    <row r="285">
      <c r="A285" s="1223" t="s">
        <v>17</v>
      </c>
      <c r="B285" s="1164">
        <f>SUMIFS(MOMBASA!F:F,MOMBASA!A:A,"7/29/24")</f>
        <v>2790929.51</v>
      </c>
      <c r="C285" s="1139">
        <v>2.06018899E8</v>
      </c>
      <c r="D285" s="1143">
        <f>SUM(MOMBASA!G132:G152)</f>
        <v>1195078</v>
      </c>
      <c r="E285" s="1139">
        <f t="shared" si="39"/>
        <v>24267</v>
      </c>
      <c r="F285" s="1139">
        <v>1219345.0</v>
      </c>
      <c r="G285" s="1147"/>
      <c r="H285" s="1138"/>
      <c r="I285" s="1138"/>
      <c r="J285" s="1138"/>
      <c r="K285" s="1138"/>
      <c r="L285" s="1138"/>
      <c r="M285" s="1138"/>
      <c r="N285" s="1138"/>
      <c r="O285" s="1138"/>
      <c r="P285" s="1138"/>
      <c r="Q285" s="1138"/>
      <c r="R285" s="1138"/>
      <c r="S285" s="1138"/>
      <c r="T285" s="1138"/>
      <c r="U285" s="1138"/>
      <c r="V285" s="1138"/>
      <c r="W285" s="1138"/>
    </row>
    <row r="286">
      <c r="A286" s="1223" t="s">
        <v>18</v>
      </c>
      <c r="B286" s="1164">
        <f>SUMIFS(KISUMU!F:F,KISUMU!A:A,"7/29/24")</f>
        <v>1189601.53</v>
      </c>
      <c r="C286" s="1139">
        <v>9.614979065E7</v>
      </c>
      <c r="D286" s="1139">
        <v>245000.0</v>
      </c>
      <c r="E286" s="1139">
        <v>0.0</v>
      </c>
      <c r="F286" s="1139">
        <f>D286+E286</f>
        <v>245000</v>
      </c>
      <c r="G286" s="1147"/>
      <c r="H286" s="1138"/>
      <c r="I286" s="1138"/>
      <c r="J286" s="1138"/>
      <c r="K286" s="1138"/>
      <c r="L286" s="1138"/>
      <c r="M286" s="1138"/>
      <c r="N286" s="1138"/>
      <c r="O286" s="1138"/>
      <c r="P286" s="1138"/>
      <c r="Q286" s="1138"/>
      <c r="R286" s="1138"/>
      <c r="S286" s="1138"/>
      <c r="T286" s="1138"/>
      <c r="U286" s="1138"/>
      <c r="V286" s="1138"/>
      <c r="W286" s="1138"/>
    </row>
    <row r="287">
      <c r="A287" s="1223" t="s">
        <v>19</v>
      </c>
      <c r="B287" s="1164">
        <f>SUMIFS(VOI!F:F,VOI!A:A,"7/29/24")</f>
        <v>271051</v>
      </c>
      <c r="C287" s="1225">
        <v>7551432.04</v>
      </c>
      <c r="D287" s="1145">
        <v>19000.0</v>
      </c>
      <c r="E287" s="1139">
        <f t="shared" ref="E287:E291" si="40">F287-D287</f>
        <v>0</v>
      </c>
      <c r="F287" s="1227">
        <v>19000.0</v>
      </c>
      <c r="G287" s="1147"/>
      <c r="H287" s="1138"/>
      <c r="I287" s="1228"/>
      <c r="J287" s="1138"/>
      <c r="K287" s="1138"/>
      <c r="L287" s="1138"/>
      <c r="M287" s="1138"/>
      <c r="N287" s="1138"/>
      <c r="O287" s="1138"/>
      <c r="P287" s="1138"/>
      <c r="Q287" s="1138"/>
      <c r="R287" s="1138"/>
      <c r="S287" s="1138"/>
      <c r="T287" s="1138"/>
      <c r="U287" s="1138"/>
      <c r="V287" s="1138"/>
      <c r="W287" s="1138"/>
    </row>
    <row r="288">
      <c r="A288" s="1223" t="s">
        <v>20</v>
      </c>
      <c r="B288" s="1164">
        <f>SUMIFS(THIKA!F:F,THIKA!A:A,"7/29/24")</f>
        <v>1493133</v>
      </c>
      <c r="C288" s="1139">
        <v>7.331802537E7</v>
      </c>
      <c r="D288" s="1139">
        <v>300000.0</v>
      </c>
      <c r="E288" s="1139">
        <f t="shared" si="40"/>
        <v>1000</v>
      </c>
      <c r="F288" s="1139">
        <v>301000.0</v>
      </c>
      <c r="G288" s="1147"/>
      <c r="H288" s="1138"/>
      <c r="I288" s="1138"/>
      <c r="J288" s="1138"/>
      <c r="K288" s="1138"/>
      <c r="L288" s="1138"/>
      <c r="M288" s="1138"/>
      <c r="N288" s="1138"/>
      <c r="O288" s="1138"/>
      <c r="P288" s="1138"/>
      <c r="Q288" s="1138"/>
      <c r="R288" s="1138"/>
      <c r="S288" s="1138"/>
      <c r="T288" s="1138"/>
      <c r="U288" s="1138"/>
      <c r="V288" s="1138"/>
      <c r="W288" s="1138"/>
    </row>
    <row r="289">
      <c r="A289" s="1223" t="s">
        <v>21</v>
      </c>
      <c r="B289" s="1164">
        <f>SUMIFS(KITUI!F:F,KITUI!A:A,"7/29/24")</f>
        <v>175400</v>
      </c>
      <c r="C289" s="1229">
        <v>2092540.61</v>
      </c>
      <c r="D289" s="1145">
        <v>30000.0</v>
      </c>
      <c r="E289" s="1139">
        <f t="shared" si="40"/>
        <v>0</v>
      </c>
      <c r="F289" s="1145">
        <v>30000.0</v>
      </c>
      <c r="G289" s="1147"/>
      <c r="H289" s="1138"/>
      <c r="I289" s="1138"/>
      <c r="J289" s="1138"/>
      <c r="K289" s="1138"/>
      <c r="L289" s="1138"/>
      <c r="M289" s="1138"/>
      <c r="N289" s="1138"/>
      <c r="O289" s="1138"/>
      <c r="P289" s="1138"/>
      <c r="Q289" s="1138"/>
      <c r="R289" s="1138"/>
      <c r="S289" s="1138"/>
      <c r="T289" s="1138"/>
      <c r="U289" s="1138"/>
      <c r="V289" s="1138"/>
      <c r="W289" s="1138"/>
    </row>
    <row r="290">
      <c r="A290" s="1224" t="s">
        <v>22</v>
      </c>
      <c r="B290" s="1164">
        <f>SUMIFS(MACHAKOS!F:F,MACHAKOS!A:A,"7/29/24")</f>
        <v>161243.39</v>
      </c>
      <c r="C290" s="1150">
        <v>302631.11</v>
      </c>
      <c r="D290" s="1139">
        <v>0.0</v>
      </c>
      <c r="E290" s="1139">
        <f t="shared" si="40"/>
        <v>19500</v>
      </c>
      <c r="F290" s="1139">
        <v>19500.0</v>
      </c>
      <c r="G290" s="1147"/>
      <c r="H290" s="1138"/>
      <c r="I290" s="1138"/>
      <c r="J290" s="1138"/>
      <c r="K290" s="1138"/>
      <c r="L290" s="1138"/>
      <c r="M290" s="1138"/>
      <c r="N290" s="1138"/>
      <c r="O290" s="1138"/>
      <c r="P290" s="1138"/>
      <c r="Q290" s="1138"/>
      <c r="R290" s="1138"/>
      <c r="S290" s="1138"/>
      <c r="T290" s="1138"/>
      <c r="U290" s="1138"/>
      <c r="V290" s="1138"/>
      <c r="W290" s="1138"/>
    </row>
    <row r="291">
      <c r="A291" s="1218" t="s">
        <v>23</v>
      </c>
      <c r="B291" s="1166">
        <v>4.0312670370000005E7</v>
      </c>
      <c r="C291" s="1193">
        <f>C278+C279+C280+C281+C282+C283+C284+C285+C286+C287+C288+C289+C290</f>
        <v>2524324563</v>
      </c>
      <c r="D291" s="1193">
        <v>8949906.0</v>
      </c>
      <c r="E291" s="1220">
        <f t="shared" si="40"/>
        <v>4389121</v>
      </c>
      <c r="F291" s="1193">
        <f>SUM(F278:F290)</f>
        <v>13339027</v>
      </c>
      <c r="G291" s="1147"/>
      <c r="H291" s="1138"/>
      <c r="I291" s="1138"/>
      <c r="J291" s="1138"/>
      <c r="K291" s="1138"/>
      <c r="L291" s="1138"/>
      <c r="M291" s="1138"/>
      <c r="N291" s="1138"/>
      <c r="O291" s="1138"/>
      <c r="P291" s="1138"/>
      <c r="Q291" s="1138"/>
      <c r="R291" s="1138"/>
      <c r="S291" s="1138"/>
      <c r="T291" s="1138"/>
      <c r="U291" s="1138"/>
      <c r="V291" s="1138"/>
      <c r="W291" s="1138"/>
    </row>
    <row r="292">
      <c r="A292" s="1138"/>
      <c r="B292" s="1138"/>
      <c r="C292" s="1138"/>
      <c r="D292" s="1147"/>
      <c r="E292" s="1138"/>
      <c r="F292" s="1147"/>
      <c r="G292" s="1147"/>
      <c r="H292" s="1138"/>
      <c r="I292" s="1138"/>
      <c r="J292" s="1138"/>
      <c r="K292" s="1138"/>
      <c r="L292" s="1138"/>
      <c r="M292" s="1138"/>
      <c r="N292" s="1138"/>
      <c r="O292" s="1138"/>
      <c r="P292" s="1138"/>
      <c r="Q292" s="1138"/>
      <c r="R292" s="1138"/>
      <c r="S292" s="1138"/>
      <c r="T292" s="1138"/>
      <c r="U292" s="1138"/>
      <c r="V292" s="1138"/>
      <c r="W292" s="1138"/>
    </row>
    <row r="293">
      <c r="A293" s="1138"/>
      <c r="B293" s="1138"/>
      <c r="C293" s="1138"/>
      <c r="D293" s="1147"/>
      <c r="E293" s="1138"/>
      <c r="F293" s="1147"/>
      <c r="G293" s="1147"/>
      <c r="H293" s="1138"/>
      <c r="I293" s="1138"/>
      <c r="J293" s="1138"/>
      <c r="K293" s="1138"/>
      <c r="L293" s="1138"/>
      <c r="M293" s="1138"/>
      <c r="N293" s="1138"/>
      <c r="O293" s="1138"/>
      <c r="P293" s="1138"/>
      <c r="Q293" s="1138"/>
      <c r="R293" s="1138"/>
      <c r="S293" s="1138"/>
      <c r="T293" s="1138"/>
      <c r="U293" s="1138"/>
      <c r="V293" s="1138"/>
      <c r="W293" s="1138"/>
    </row>
    <row r="294">
      <c r="A294" s="1138"/>
      <c r="B294" s="1138"/>
      <c r="C294" s="1138"/>
      <c r="D294" s="1147"/>
      <c r="E294" s="1138"/>
      <c r="F294" s="1147"/>
      <c r="G294" s="1147"/>
      <c r="H294" s="1138"/>
      <c r="I294" s="1138"/>
      <c r="J294" s="1138"/>
      <c r="K294" s="1138"/>
      <c r="L294" s="1138"/>
      <c r="M294" s="1138"/>
      <c r="N294" s="1138"/>
      <c r="O294" s="1138"/>
      <c r="P294" s="1138"/>
      <c r="Q294" s="1138"/>
      <c r="R294" s="1138"/>
      <c r="S294" s="1138"/>
      <c r="T294" s="1138"/>
      <c r="U294" s="1138"/>
      <c r="V294" s="1138"/>
      <c r="W294" s="1138"/>
    </row>
    <row r="295">
      <c r="A295" s="1138"/>
      <c r="B295" s="1136" t="s">
        <v>6957</v>
      </c>
      <c r="C295" s="1142"/>
      <c r="D295" s="1147"/>
      <c r="E295" s="1138"/>
      <c r="F295" s="1147"/>
      <c r="G295" s="1147"/>
      <c r="H295" s="1138"/>
      <c r="I295" s="1138"/>
      <c r="J295" s="1138"/>
      <c r="K295" s="1138"/>
      <c r="L295" s="1138"/>
      <c r="M295" s="1138"/>
      <c r="N295" s="1138"/>
      <c r="O295" s="1138"/>
      <c r="P295" s="1138"/>
      <c r="Q295" s="1138"/>
      <c r="R295" s="1138"/>
      <c r="S295" s="1138"/>
      <c r="T295" s="1138"/>
      <c r="U295" s="1138"/>
      <c r="V295" s="1138"/>
      <c r="W295" s="1138"/>
    </row>
    <row r="296">
      <c r="A296" s="1138"/>
      <c r="B296" s="1136" t="s">
        <v>6958</v>
      </c>
      <c r="C296" s="1230" t="s">
        <v>6959</v>
      </c>
      <c r="D296" s="1147"/>
      <c r="E296" s="1138"/>
      <c r="F296" s="1147"/>
      <c r="G296" s="1147"/>
      <c r="H296" s="1138"/>
      <c r="I296" s="1138"/>
      <c r="J296" s="1138"/>
      <c r="K296" s="1138"/>
      <c r="L296" s="1138"/>
      <c r="M296" s="1138"/>
      <c r="N296" s="1138"/>
      <c r="O296" s="1138"/>
      <c r="P296" s="1138"/>
      <c r="Q296" s="1138"/>
      <c r="R296" s="1138"/>
      <c r="S296" s="1138"/>
      <c r="T296" s="1138"/>
      <c r="U296" s="1138"/>
      <c r="V296" s="1138"/>
      <c r="W296" s="1138"/>
    </row>
    <row r="297">
      <c r="A297" s="1138"/>
      <c r="B297" s="1136" t="s">
        <v>6960</v>
      </c>
      <c r="C297" s="1137">
        <v>1637584.34</v>
      </c>
      <c r="D297" s="1147"/>
      <c r="E297" s="1138"/>
      <c r="F297" s="1147"/>
      <c r="G297" s="1147"/>
      <c r="H297" s="1138"/>
      <c r="I297" s="1138"/>
      <c r="J297" s="1138"/>
      <c r="K297" s="1138"/>
      <c r="L297" s="1138"/>
      <c r="M297" s="1138"/>
      <c r="N297" s="1138"/>
      <c r="O297" s="1138"/>
      <c r="P297" s="1138"/>
      <c r="Q297" s="1138"/>
      <c r="R297" s="1138"/>
      <c r="S297" s="1138"/>
      <c r="T297" s="1138"/>
      <c r="U297" s="1138"/>
      <c r="V297" s="1138"/>
      <c r="W297" s="1138"/>
    </row>
    <row r="298">
      <c r="A298" s="1138"/>
      <c r="B298" s="1136" t="s">
        <v>6961</v>
      </c>
      <c r="C298" s="1137">
        <v>199179.85</v>
      </c>
      <c r="D298" s="1147"/>
      <c r="E298" s="1138"/>
      <c r="F298" s="1147"/>
      <c r="G298" s="1147"/>
      <c r="H298" s="1138"/>
      <c r="I298" s="1138"/>
      <c r="J298" s="1138"/>
      <c r="K298" s="1138"/>
      <c r="L298" s="1138"/>
      <c r="M298" s="1138"/>
      <c r="N298" s="1138"/>
      <c r="O298" s="1138"/>
      <c r="P298" s="1138"/>
      <c r="Q298" s="1138"/>
      <c r="R298" s="1138"/>
      <c r="S298" s="1138"/>
      <c r="T298" s="1138"/>
      <c r="U298" s="1138"/>
      <c r="V298" s="1138"/>
      <c r="W298" s="1138"/>
    </row>
    <row r="299">
      <c r="A299" s="1138"/>
      <c r="B299" s="1136" t="s">
        <v>6962</v>
      </c>
      <c r="C299" s="1140">
        <f>SUM(C297:C298)</f>
        <v>1836764.19</v>
      </c>
      <c r="D299" s="1147"/>
      <c r="E299" s="1138"/>
      <c r="F299" s="1147"/>
      <c r="G299" s="1147"/>
      <c r="H299" s="1138"/>
      <c r="I299" s="1138"/>
      <c r="J299" s="1138"/>
      <c r="K299" s="1138"/>
      <c r="L299" s="1138"/>
      <c r="M299" s="1138"/>
      <c r="N299" s="1138"/>
      <c r="O299" s="1138"/>
      <c r="P299" s="1138"/>
      <c r="Q299" s="1138"/>
      <c r="R299" s="1138"/>
      <c r="S299" s="1138"/>
      <c r="T299" s="1138"/>
      <c r="U299" s="1138"/>
      <c r="V299" s="1138"/>
      <c r="W299" s="1138"/>
    </row>
    <row r="300">
      <c r="A300" s="1138"/>
      <c r="B300" s="1136" t="s">
        <v>6963</v>
      </c>
      <c r="C300" s="1231">
        <v>2486435.0</v>
      </c>
      <c r="D300" s="1147"/>
      <c r="E300" s="1138"/>
      <c r="F300" s="1147"/>
      <c r="G300" s="1147"/>
      <c r="H300" s="1138"/>
      <c r="I300" s="1138"/>
      <c r="J300" s="1138"/>
      <c r="K300" s="1138"/>
      <c r="L300" s="1138"/>
      <c r="M300" s="1138"/>
      <c r="N300" s="1138"/>
      <c r="O300" s="1138"/>
      <c r="P300" s="1138"/>
      <c r="Q300" s="1138"/>
      <c r="R300" s="1138"/>
      <c r="S300" s="1138"/>
      <c r="T300" s="1138"/>
      <c r="U300" s="1138"/>
      <c r="V300" s="1138"/>
      <c r="W300" s="1138"/>
    </row>
    <row r="301">
      <c r="A301" s="1138"/>
      <c r="B301" s="1136" t="s">
        <v>6964</v>
      </c>
      <c r="C301" s="1232">
        <f>C299-C300</f>
        <v>-649670.81</v>
      </c>
      <c r="D301" s="1147"/>
      <c r="E301" s="1138"/>
      <c r="F301" s="1147"/>
      <c r="G301" s="1147"/>
      <c r="H301" s="1138"/>
      <c r="I301" s="1138"/>
      <c r="J301" s="1138"/>
      <c r="K301" s="1138"/>
      <c r="L301" s="1138"/>
      <c r="M301" s="1138"/>
      <c r="N301" s="1138"/>
      <c r="O301" s="1138"/>
      <c r="P301" s="1138"/>
      <c r="Q301" s="1138"/>
      <c r="R301" s="1138"/>
      <c r="S301" s="1138"/>
      <c r="T301" s="1138"/>
      <c r="U301" s="1138"/>
      <c r="V301" s="1138"/>
      <c r="W301" s="1138"/>
    </row>
    <row r="302">
      <c r="A302" s="1138"/>
      <c r="B302" s="1142"/>
      <c r="C302" s="1142"/>
      <c r="D302" s="1147"/>
      <c r="E302" s="1138"/>
      <c r="F302" s="1147"/>
      <c r="G302" s="1147"/>
      <c r="H302" s="1138"/>
      <c r="I302" s="1138"/>
      <c r="J302" s="1138"/>
      <c r="K302" s="1138"/>
      <c r="L302" s="1138"/>
      <c r="M302" s="1138"/>
      <c r="N302" s="1138"/>
      <c r="O302" s="1138"/>
      <c r="P302" s="1138"/>
      <c r="Q302" s="1138"/>
      <c r="R302" s="1138"/>
      <c r="S302" s="1138"/>
      <c r="T302" s="1138"/>
      <c r="U302" s="1138"/>
      <c r="V302" s="1138"/>
      <c r="W302" s="1138"/>
    </row>
    <row r="303">
      <c r="A303" s="1138"/>
      <c r="B303" s="1136" t="s">
        <v>6940</v>
      </c>
      <c r="C303" s="1233">
        <v>1.3339027E7</v>
      </c>
      <c r="D303" s="1147"/>
      <c r="E303" s="1138"/>
      <c r="F303" s="1147"/>
      <c r="G303" s="1147"/>
      <c r="H303" s="1138"/>
      <c r="I303" s="1138"/>
      <c r="J303" s="1138"/>
      <c r="K303" s="1138"/>
      <c r="L303" s="1138"/>
      <c r="M303" s="1138"/>
      <c r="N303" s="1138"/>
      <c r="O303" s="1138"/>
      <c r="P303" s="1138"/>
      <c r="Q303" s="1138"/>
      <c r="R303" s="1138"/>
      <c r="S303" s="1138"/>
      <c r="T303" s="1138"/>
      <c r="U303" s="1138"/>
      <c r="V303" s="1138"/>
      <c r="W303" s="1138"/>
    </row>
    <row r="304">
      <c r="A304" s="1138"/>
      <c r="B304" s="1164"/>
      <c r="C304" s="1138"/>
      <c r="D304" s="1147"/>
      <c r="E304" s="1138"/>
      <c r="F304" s="1147"/>
      <c r="G304" s="1147"/>
      <c r="H304" s="1138"/>
      <c r="I304" s="1138"/>
      <c r="J304" s="1138"/>
      <c r="K304" s="1138"/>
      <c r="L304" s="1138"/>
      <c r="M304" s="1138"/>
      <c r="N304" s="1138"/>
      <c r="O304" s="1138"/>
      <c r="P304" s="1138"/>
      <c r="Q304" s="1138"/>
      <c r="R304" s="1138"/>
      <c r="S304" s="1138"/>
      <c r="T304" s="1138"/>
      <c r="U304" s="1138"/>
      <c r="V304" s="1138"/>
      <c r="W304" s="1138"/>
    </row>
    <row r="305">
      <c r="A305" s="1138"/>
      <c r="B305" s="1138"/>
      <c r="C305" s="1138"/>
      <c r="D305" s="1147"/>
      <c r="E305" s="1138"/>
      <c r="F305" s="1147"/>
      <c r="G305" s="1147"/>
      <c r="H305" s="1138"/>
      <c r="I305" s="1138"/>
      <c r="J305" s="1138"/>
      <c r="K305" s="1138"/>
      <c r="L305" s="1138"/>
      <c r="M305" s="1138"/>
      <c r="N305" s="1138"/>
      <c r="O305" s="1138"/>
      <c r="P305" s="1138"/>
      <c r="Q305" s="1138"/>
      <c r="R305" s="1138"/>
      <c r="S305" s="1138"/>
      <c r="T305" s="1138"/>
      <c r="U305" s="1138"/>
      <c r="V305" s="1138"/>
      <c r="W305" s="1138"/>
    </row>
    <row r="306">
      <c r="A306" s="1209" t="s">
        <v>6965</v>
      </c>
      <c r="B306" s="1138"/>
      <c r="C306" s="1138"/>
      <c r="D306" s="1147"/>
      <c r="E306" s="1138"/>
      <c r="F306" s="1147"/>
      <c r="G306" s="1147"/>
      <c r="H306" s="1138"/>
      <c r="I306" s="1138"/>
      <c r="J306" s="1138"/>
      <c r="K306" s="1138"/>
      <c r="L306" s="1138"/>
      <c r="M306" s="1138"/>
      <c r="N306" s="1138"/>
      <c r="O306" s="1138"/>
      <c r="P306" s="1138"/>
      <c r="Q306" s="1138"/>
      <c r="R306" s="1138"/>
      <c r="S306" s="1138"/>
      <c r="T306" s="1138"/>
      <c r="U306" s="1138"/>
      <c r="V306" s="1138"/>
      <c r="W306" s="1138"/>
    </row>
    <row r="307">
      <c r="A307" s="1177" t="s">
        <v>1</v>
      </c>
      <c r="B307" s="1178" t="s">
        <v>6936</v>
      </c>
      <c r="C307" s="1200" t="s">
        <v>6950</v>
      </c>
      <c r="D307" s="1179" t="s">
        <v>6938</v>
      </c>
      <c r="E307" s="1180" t="s">
        <v>6939</v>
      </c>
      <c r="F307" s="1179" t="s">
        <v>6940</v>
      </c>
      <c r="G307" s="1147"/>
      <c r="H307" s="1138"/>
      <c r="I307" s="1138"/>
      <c r="J307" s="1138"/>
      <c r="K307" s="1138"/>
      <c r="L307" s="1138"/>
      <c r="M307" s="1138"/>
      <c r="N307" s="1138"/>
      <c r="O307" s="1138"/>
      <c r="P307" s="1138"/>
      <c r="Q307" s="1138"/>
      <c r="R307" s="1138"/>
      <c r="S307" s="1138"/>
      <c r="T307" s="1138"/>
      <c r="U307" s="1138"/>
      <c r="V307" s="1138"/>
      <c r="W307" s="1138"/>
    </row>
    <row r="308">
      <c r="A308" s="1223" t="s">
        <v>10</v>
      </c>
      <c r="B308" s="1164">
        <f>SUMIFS(ECOBANK!F:F,ECOBANK!A:A,"7/30/24")</f>
        <v>14160277.07</v>
      </c>
      <c r="C308" s="1139">
        <v>8.8947057248E8</v>
      </c>
      <c r="D308" s="1139">
        <v>651058.0</v>
      </c>
      <c r="E308" s="1139">
        <f t="shared" ref="E308:E321" si="41">F308-D308</f>
        <v>46675</v>
      </c>
      <c r="F308" s="1139">
        <v>697733.0</v>
      </c>
      <c r="G308" s="1202"/>
      <c r="H308" s="1138"/>
      <c r="I308" s="1138"/>
      <c r="J308" s="1138"/>
      <c r="K308" s="1138"/>
      <c r="L308" s="1138"/>
      <c r="M308" s="1138"/>
      <c r="N308" s="1138"/>
      <c r="O308" s="1138"/>
      <c r="P308" s="1138"/>
      <c r="Q308" s="1138"/>
      <c r="R308" s="1138"/>
      <c r="S308" s="1138"/>
      <c r="T308" s="1138"/>
      <c r="U308" s="1138"/>
      <c r="V308" s="1138"/>
      <c r="W308" s="1138"/>
    </row>
    <row r="309">
      <c r="A309" s="1223" t="s">
        <v>24</v>
      </c>
      <c r="B309" s="1164">
        <f>SUMIFS('TRADE CENTER'!F:F,'TRADE CENTER'!A:A,"7/30/24")</f>
        <v>6619743.54</v>
      </c>
      <c r="C309" s="1139">
        <v>6.5516636146E8</v>
      </c>
      <c r="D309" s="1155">
        <v>1598250.0</v>
      </c>
      <c r="E309" s="1139">
        <f t="shared" si="41"/>
        <v>221384</v>
      </c>
      <c r="F309" s="1139">
        <v>1819634.0</v>
      </c>
      <c r="G309" s="1147"/>
      <c r="H309" s="1138"/>
      <c r="I309" s="1138"/>
      <c r="J309" s="1138"/>
      <c r="K309" s="1138"/>
      <c r="L309" s="1138"/>
      <c r="M309" s="1138"/>
      <c r="N309" s="1138"/>
      <c r="O309" s="1138"/>
      <c r="P309" s="1138"/>
      <c r="Q309" s="1138"/>
      <c r="R309" s="1138"/>
      <c r="S309" s="1138"/>
      <c r="T309" s="1138"/>
      <c r="U309" s="1138"/>
      <c r="V309" s="1138"/>
      <c r="W309" s="1138"/>
    </row>
    <row r="310">
      <c r="A310" s="1223" t="s">
        <v>12</v>
      </c>
      <c r="B310" s="1164">
        <f>SUMIFS(PENSION!F:F,PENSION!A:A,"7/30/2024")</f>
        <v>5285451.44</v>
      </c>
      <c r="C310" s="1182">
        <v>2.7782214726E8</v>
      </c>
      <c r="D310" s="1182">
        <v>1183352.0</v>
      </c>
      <c r="E310" s="1139">
        <f t="shared" si="41"/>
        <v>564855</v>
      </c>
      <c r="F310" s="1139">
        <v>1748207.0</v>
      </c>
      <c r="G310" s="1147"/>
      <c r="H310" s="1138"/>
      <c r="I310" s="1138"/>
      <c r="J310" s="1138"/>
      <c r="K310" s="1138"/>
      <c r="L310" s="1138"/>
      <c r="M310" s="1138"/>
      <c r="N310" s="1138"/>
      <c r="O310" s="1138"/>
      <c r="P310" s="1138"/>
      <c r="Q310" s="1138"/>
      <c r="R310" s="1138"/>
      <c r="S310" s="1138"/>
      <c r="T310" s="1138"/>
      <c r="U310" s="1138"/>
      <c r="V310" s="1138"/>
      <c r="W310" s="1138"/>
    </row>
    <row r="311">
      <c r="A311" s="1223" t="s">
        <v>13</v>
      </c>
      <c r="B311" s="1164">
        <f>SUMIFS(KITENGELA!F:F,KITENGELA!A:A,"7/30/2024")</f>
        <v>4077278.33</v>
      </c>
      <c r="C311" s="1139">
        <v>1.1546901175E8</v>
      </c>
      <c r="D311" s="1139">
        <v>89700.0</v>
      </c>
      <c r="E311" s="1139">
        <f t="shared" si="41"/>
        <v>27510</v>
      </c>
      <c r="F311" s="1139">
        <v>117210.0</v>
      </c>
      <c r="G311" s="1147"/>
      <c r="H311" s="1138"/>
      <c r="I311" s="1138"/>
      <c r="J311" s="1138"/>
      <c r="K311" s="1138"/>
      <c r="L311" s="1138"/>
      <c r="M311" s="1138"/>
      <c r="N311" s="1138"/>
      <c r="O311" s="1138"/>
      <c r="P311" s="1138"/>
      <c r="Q311" s="1138"/>
      <c r="R311" s="1138"/>
      <c r="S311" s="1138"/>
      <c r="T311" s="1138"/>
      <c r="U311" s="1138"/>
      <c r="V311" s="1138"/>
      <c r="W311" s="1138"/>
    </row>
    <row r="312">
      <c r="A312" s="1223" t="s">
        <v>14</v>
      </c>
      <c r="B312" s="1164">
        <f>SUMIFS(ELDORET!F:F,ELDORET!A:A,"7/30/24")</f>
        <v>1140008</v>
      </c>
      <c r="C312" s="1139">
        <v>1.6941618838E8</v>
      </c>
      <c r="D312" s="1139">
        <v>233930.0</v>
      </c>
      <c r="E312" s="1139">
        <f t="shared" si="41"/>
        <v>33160</v>
      </c>
      <c r="F312" s="1139">
        <v>267090.0</v>
      </c>
      <c r="G312" s="1147"/>
      <c r="H312" s="1138"/>
      <c r="I312" s="1138"/>
      <c r="J312" s="1138"/>
      <c r="K312" s="1138"/>
      <c r="L312" s="1138"/>
      <c r="M312" s="1138"/>
      <c r="N312" s="1138"/>
      <c r="O312" s="1138"/>
      <c r="P312" s="1138"/>
      <c r="Q312" s="1138"/>
      <c r="R312" s="1138"/>
      <c r="S312" s="1138"/>
      <c r="T312" s="1138"/>
      <c r="U312" s="1138"/>
      <c r="V312" s="1138"/>
      <c r="W312" s="1138"/>
    </row>
    <row r="313">
      <c r="A313" s="1223" t="s">
        <v>15</v>
      </c>
      <c r="B313" s="1164">
        <f>SUMIFS(NAKURU!F:F,NAKURU!A:A,"7/30/24")</f>
        <v>343000</v>
      </c>
      <c r="C313" s="1139">
        <v>1.760653061E7</v>
      </c>
      <c r="D313" s="1139">
        <v>45670.0</v>
      </c>
      <c r="E313" s="1139">
        <f t="shared" si="41"/>
        <v>16075</v>
      </c>
      <c r="F313" s="1139">
        <v>61745.0</v>
      </c>
      <c r="G313" s="1147"/>
      <c r="H313" s="1138"/>
      <c r="I313" s="1138"/>
      <c r="J313" s="1138"/>
      <c r="K313" s="1138"/>
      <c r="L313" s="1138"/>
      <c r="M313" s="1138"/>
      <c r="N313" s="1138"/>
      <c r="O313" s="1138"/>
      <c r="P313" s="1138"/>
      <c r="Q313" s="1138"/>
      <c r="R313" s="1138"/>
      <c r="S313" s="1138"/>
      <c r="T313" s="1138"/>
      <c r="U313" s="1138"/>
      <c r="V313" s="1138"/>
      <c r="W313" s="1138"/>
    </row>
    <row r="314">
      <c r="A314" s="1223" t="s">
        <v>16</v>
      </c>
      <c r="B314" s="1164">
        <f>SUMIFS(HOMABAY!F:F,HOMABAY!A:A,"7/30/24")</f>
        <v>69115</v>
      </c>
      <c r="C314" s="1139">
        <v>1.542348482E7</v>
      </c>
      <c r="D314" s="1234">
        <v>30000.0</v>
      </c>
      <c r="E314" s="1139">
        <f t="shared" si="41"/>
        <v>0</v>
      </c>
      <c r="F314" s="1145">
        <v>30000.0</v>
      </c>
      <c r="G314" s="1147"/>
      <c r="H314" s="1138"/>
      <c r="I314" s="1138"/>
      <c r="J314" s="1138"/>
      <c r="K314" s="1138"/>
      <c r="L314" s="1138"/>
      <c r="M314" s="1138"/>
      <c r="N314" s="1138"/>
      <c r="O314" s="1138"/>
      <c r="P314" s="1138"/>
      <c r="Q314" s="1138"/>
      <c r="R314" s="1138"/>
      <c r="S314" s="1138"/>
      <c r="T314" s="1138"/>
      <c r="U314" s="1138"/>
      <c r="V314" s="1138"/>
      <c r="W314" s="1138"/>
    </row>
    <row r="315">
      <c r="A315" s="1223" t="s">
        <v>17</v>
      </c>
      <c r="B315" s="1164">
        <f>SUMIFS(MOMBASA!F:F,MOMBASA!A:A,"7/30/24")</f>
        <v>3126757.51</v>
      </c>
      <c r="C315" s="1139">
        <v>2.0649936699E8</v>
      </c>
      <c r="D315" s="1143">
        <v>500190.0</v>
      </c>
      <c r="E315" s="1139">
        <f t="shared" si="41"/>
        <v>25167</v>
      </c>
      <c r="F315" s="1139">
        <v>525357.0</v>
      </c>
      <c r="G315" s="1147"/>
      <c r="H315" s="1138"/>
      <c r="I315" s="1138"/>
      <c r="J315" s="1138"/>
      <c r="K315" s="1138"/>
      <c r="L315" s="1138"/>
      <c r="M315" s="1138"/>
      <c r="N315" s="1138"/>
      <c r="O315" s="1138"/>
      <c r="P315" s="1138"/>
      <c r="Q315" s="1138"/>
      <c r="R315" s="1138"/>
      <c r="S315" s="1138"/>
      <c r="T315" s="1138"/>
      <c r="U315" s="1138"/>
      <c r="V315" s="1138"/>
      <c r="W315" s="1138"/>
    </row>
    <row r="316">
      <c r="A316" s="1223" t="s">
        <v>18</v>
      </c>
      <c r="B316" s="1164">
        <f>SUMIFS(KISUMU!F:F,KISUMU!A:A,"7/30/24")</f>
        <v>1079872.53</v>
      </c>
      <c r="C316" s="1139">
        <v>9.61156576E7</v>
      </c>
      <c r="D316" s="1139">
        <v>48200.0</v>
      </c>
      <c r="E316" s="1139">
        <f t="shared" si="41"/>
        <v>20000</v>
      </c>
      <c r="F316" s="1139">
        <v>68200.0</v>
      </c>
      <c r="G316" s="1147"/>
      <c r="H316" s="1138"/>
      <c r="I316" s="1138"/>
      <c r="J316" s="1138"/>
      <c r="K316" s="1138"/>
      <c r="L316" s="1138"/>
      <c r="M316" s="1138"/>
      <c r="N316" s="1138"/>
      <c r="O316" s="1138"/>
      <c r="P316" s="1138"/>
      <c r="Q316" s="1138"/>
      <c r="R316" s="1138"/>
      <c r="S316" s="1138"/>
      <c r="T316" s="1138"/>
      <c r="U316" s="1138"/>
      <c r="V316" s="1138"/>
      <c r="W316" s="1138"/>
    </row>
    <row r="317">
      <c r="A317" s="1223" t="s">
        <v>19</v>
      </c>
      <c r="B317" s="1164">
        <f>SUMIFS(VOI!F:F,VOI!A:A,"7/30/24")</f>
        <v>330294</v>
      </c>
      <c r="C317" s="1225">
        <v>7551432.04</v>
      </c>
      <c r="D317" s="1145">
        <v>0.0</v>
      </c>
      <c r="E317" s="1139">
        <f t="shared" si="41"/>
        <v>13900</v>
      </c>
      <c r="F317" s="1234">
        <v>13900.0</v>
      </c>
      <c r="G317" s="1147"/>
      <c r="H317" s="1138"/>
      <c r="I317" s="1138"/>
      <c r="J317" s="1138"/>
      <c r="K317" s="1138"/>
      <c r="L317" s="1138"/>
      <c r="M317" s="1138"/>
      <c r="N317" s="1138"/>
      <c r="O317" s="1138"/>
      <c r="P317" s="1138"/>
      <c r="Q317" s="1138"/>
      <c r="R317" s="1138"/>
      <c r="S317" s="1138"/>
      <c r="T317" s="1138"/>
      <c r="U317" s="1138"/>
      <c r="V317" s="1138"/>
      <c r="W317" s="1138"/>
    </row>
    <row r="318">
      <c r="A318" s="1223" t="s">
        <v>20</v>
      </c>
      <c r="B318" s="1164">
        <f>SUMIFS(THIKA!F:F,THIKA!A:A,"7/30/24")</f>
        <v>2186760</v>
      </c>
      <c r="C318" s="1139">
        <v>7.119524127E7</v>
      </c>
      <c r="D318" s="1139">
        <v>426558.0</v>
      </c>
      <c r="E318" s="1139">
        <f t="shared" si="41"/>
        <v>-65531</v>
      </c>
      <c r="F318" s="1139">
        <v>361027.0</v>
      </c>
      <c r="G318" s="1147"/>
      <c r="H318" s="1138"/>
      <c r="I318" s="1138"/>
      <c r="J318" s="1138"/>
      <c r="K318" s="1138"/>
      <c r="L318" s="1138"/>
      <c r="M318" s="1138"/>
      <c r="N318" s="1138"/>
      <c r="O318" s="1138"/>
      <c r="P318" s="1138"/>
      <c r="Q318" s="1138"/>
      <c r="R318" s="1138"/>
      <c r="S318" s="1138"/>
      <c r="T318" s="1138"/>
      <c r="U318" s="1138"/>
      <c r="V318" s="1138"/>
      <c r="W318" s="1138"/>
    </row>
    <row r="319">
      <c r="A319" s="1223" t="s">
        <v>21</v>
      </c>
      <c r="B319" s="1164">
        <f>SUMIFS(KITUI!F:F,KITUI!A:A,"7/30/24")</f>
        <v>199142</v>
      </c>
      <c r="C319" s="1229">
        <v>2092540.61</v>
      </c>
      <c r="D319" s="1145">
        <v>0.0</v>
      </c>
      <c r="E319" s="1139">
        <f t="shared" si="41"/>
        <v>0</v>
      </c>
      <c r="F319" s="1145">
        <v>0.0</v>
      </c>
      <c r="G319" s="1147"/>
      <c r="H319" s="1138"/>
      <c r="I319" s="1138"/>
      <c r="J319" s="1138"/>
      <c r="K319" s="1138"/>
      <c r="L319" s="1138"/>
      <c r="M319" s="1138"/>
      <c r="N319" s="1138"/>
      <c r="O319" s="1138"/>
      <c r="P319" s="1138"/>
      <c r="Q319" s="1138"/>
      <c r="R319" s="1138"/>
      <c r="S319" s="1138"/>
      <c r="T319" s="1138"/>
      <c r="U319" s="1138"/>
      <c r="V319" s="1138"/>
      <c r="W319" s="1138"/>
    </row>
    <row r="320">
      <c r="A320" s="1224" t="s">
        <v>22</v>
      </c>
      <c r="B320" s="1164">
        <f>SUMIFS(MACHAKOS!F:F,MACHAKOS!A:A,"7/30/24")</f>
        <v>127487</v>
      </c>
      <c r="C320" s="1150">
        <v>302631.11</v>
      </c>
      <c r="D320" s="1139">
        <v>0.0</v>
      </c>
      <c r="E320" s="1139">
        <f t="shared" si="41"/>
        <v>0</v>
      </c>
      <c r="F320" s="1139">
        <v>0.0</v>
      </c>
      <c r="G320" s="1147"/>
      <c r="H320" s="1138"/>
      <c r="I320" s="1138"/>
      <c r="J320" s="1138"/>
      <c r="K320" s="1138"/>
      <c r="L320" s="1138"/>
      <c r="M320" s="1138"/>
      <c r="N320" s="1138"/>
      <c r="O320" s="1138"/>
      <c r="P320" s="1138"/>
      <c r="Q320" s="1138"/>
      <c r="R320" s="1138"/>
      <c r="S320" s="1138"/>
      <c r="T320" s="1138"/>
      <c r="U320" s="1138"/>
      <c r="V320" s="1138"/>
      <c r="W320" s="1138"/>
    </row>
    <row r="321">
      <c r="A321" s="1218" t="s">
        <v>23</v>
      </c>
      <c r="B321" s="1166">
        <f t="shared" ref="B321:C321" si="42">sum(B308:B320)</f>
        <v>38745186.42</v>
      </c>
      <c r="C321" s="1166">
        <f t="shared" si="42"/>
        <v>2524131166</v>
      </c>
      <c r="D321" s="1166">
        <v>4806908.0</v>
      </c>
      <c r="E321" s="1219">
        <f t="shared" si="41"/>
        <v>903195</v>
      </c>
      <c r="F321" s="1166">
        <v>5710103.0</v>
      </c>
      <c r="G321" s="1147"/>
      <c r="H321" s="1138"/>
      <c r="I321" s="1138"/>
      <c r="J321" s="1138"/>
      <c r="K321" s="1138"/>
      <c r="L321" s="1138"/>
      <c r="M321" s="1138"/>
      <c r="N321" s="1138"/>
      <c r="O321" s="1138"/>
      <c r="P321" s="1138"/>
      <c r="Q321" s="1138"/>
      <c r="R321" s="1138"/>
      <c r="S321" s="1138"/>
      <c r="T321" s="1138"/>
      <c r="U321" s="1138"/>
      <c r="V321" s="1138"/>
      <c r="W321" s="1138"/>
    </row>
    <row r="322">
      <c r="A322" s="1138"/>
      <c r="B322" s="1138"/>
      <c r="C322" s="1138"/>
      <c r="D322" s="1147"/>
      <c r="E322" s="1138"/>
      <c r="F322" s="1147"/>
      <c r="G322" s="1147"/>
      <c r="H322" s="1138"/>
      <c r="I322" s="1138"/>
      <c r="J322" s="1138"/>
      <c r="K322" s="1138"/>
      <c r="L322" s="1138"/>
      <c r="M322" s="1138"/>
      <c r="N322" s="1138"/>
      <c r="O322" s="1138"/>
      <c r="P322" s="1138"/>
      <c r="Q322" s="1138"/>
      <c r="R322" s="1138"/>
      <c r="S322" s="1138"/>
      <c r="T322" s="1138"/>
      <c r="U322" s="1138"/>
      <c r="V322" s="1138"/>
      <c r="W322" s="1138"/>
    </row>
    <row r="323">
      <c r="A323" s="1138"/>
      <c r="B323" s="1138"/>
      <c r="C323" s="1138"/>
      <c r="D323" s="1147"/>
      <c r="E323" s="1138"/>
      <c r="F323" s="1147"/>
      <c r="G323" s="1147"/>
      <c r="H323" s="1138"/>
      <c r="I323" s="1138"/>
      <c r="J323" s="1138"/>
      <c r="K323" s="1138"/>
      <c r="L323" s="1138"/>
      <c r="M323" s="1138"/>
      <c r="N323" s="1138"/>
      <c r="O323" s="1138"/>
      <c r="P323" s="1138"/>
      <c r="Q323" s="1138"/>
      <c r="R323" s="1138"/>
      <c r="S323" s="1138"/>
      <c r="T323" s="1138"/>
      <c r="U323" s="1138"/>
      <c r="V323" s="1138"/>
      <c r="W323" s="1138"/>
    </row>
    <row r="324">
      <c r="A324" s="1138"/>
      <c r="B324" s="1138"/>
      <c r="C324" s="1138"/>
      <c r="D324" s="1147"/>
      <c r="E324" s="1138"/>
      <c r="F324" s="1147"/>
      <c r="G324" s="1147"/>
      <c r="H324" s="1138"/>
      <c r="I324" s="1138"/>
      <c r="J324" s="1138"/>
      <c r="K324" s="1138"/>
      <c r="L324" s="1138"/>
      <c r="M324" s="1138"/>
      <c r="N324" s="1138"/>
      <c r="O324" s="1138"/>
      <c r="P324" s="1138"/>
      <c r="Q324" s="1138"/>
      <c r="R324" s="1138"/>
      <c r="S324" s="1138"/>
      <c r="T324" s="1138"/>
      <c r="U324" s="1138"/>
      <c r="V324" s="1138"/>
      <c r="W324" s="1138"/>
    </row>
    <row r="325">
      <c r="A325" s="1138"/>
      <c r="B325" s="1136" t="s">
        <v>6957</v>
      </c>
      <c r="C325" s="1142"/>
      <c r="D325" s="1147"/>
      <c r="E325" s="1138"/>
      <c r="F325" s="1147"/>
      <c r="G325" s="1147"/>
      <c r="H325" s="1138"/>
      <c r="I325" s="1138"/>
      <c r="J325" s="1138"/>
      <c r="K325" s="1138"/>
      <c r="L325" s="1138"/>
      <c r="M325" s="1138"/>
      <c r="N325" s="1138"/>
      <c r="O325" s="1138"/>
      <c r="P325" s="1138"/>
      <c r="Q325" s="1138"/>
      <c r="R325" s="1138"/>
      <c r="S325" s="1138"/>
      <c r="T325" s="1138"/>
      <c r="U325" s="1138"/>
      <c r="V325" s="1138"/>
      <c r="W325" s="1138"/>
    </row>
    <row r="326">
      <c r="A326" s="1138"/>
      <c r="B326" s="1136" t="s">
        <v>6958</v>
      </c>
      <c r="C326" s="1230" t="s">
        <v>6959</v>
      </c>
      <c r="D326" s="1147"/>
      <c r="E326" s="1138"/>
      <c r="F326" s="1147"/>
      <c r="G326" s="1147"/>
      <c r="H326" s="1138"/>
      <c r="I326" s="1138"/>
      <c r="J326" s="1138"/>
      <c r="K326" s="1138"/>
      <c r="L326" s="1138"/>
      <c r="M326" s="1138"/>
      <c r="N326" s="1138"/>
      <c r="O326" s="1138"/>
      <c r="P326" s="1138"/>
      <c r="Q326" s="1138"/>
      <c r="R326" s="1138"/>
      <c r="S326" s="1138"/>
      <c r="T326" s="1138"/>
      <c r="U326" s="1138"/>
      <c r="V326" s="1138"/>
      <c r="W326" s="1138"/>
    </row>
    <row r="327">
      <c r="A327" s="1138"/>
      <c r="B327" s="1136" t="s">
        <v>6960</v>
      </c>
      <c r="C327" s="1235">
        <v>2000649.4</v>
      </c>
      <c r="D327" s="1147"/>
      <c r="E327" s="1138"/>
      <c r="F327" s="1236">
        <v>5710103.0</v>
      </c>
      <c r="G327" s="1147"/>
      <c r="H327" s="1138"/>
      <c r="I327" s="1138"/>
      <c r="J327" s="1138"/>
      <c r="K327" s="1138"/>
      <c r="L327" s="1138"/>
      <c r="M327" s="1138"/>
      <c r="N327" s="1138"/>
      <c r="O327" s="1138"/>
      <c r="P327" s="1138"/>
      <c r="Q327" s="1138"/>
      <c r="R327" s="1138"/>
      <c r="S327" s="1138"/>
      <c r="T327" s="1138"/>
      <c r="U327" s="1138"/>
      <c r="V327" s="1138"/>
      <c r="W327" s="1138"/>
    </row>
    <row r="328">
      <c r="A328" s="1138"/>
      <c r="B328" s="1136" t="s">
        <v>6961</v>
      </c>
      <c r="C328" s="1235">
        <v>358856.77</v>
      </c>
      <c r="D328" s="1147"/>
      <c r="E328" s="1138"/>
      <c r="F328" s="1147"/>
      <c r="G328" s="1147"/>
      <c r="H328" s="1138"/>
      <c r="I328" s="1138"/>
      <c r="J328" s="1138"/>
      <c r="K328" s="1138"/>
      <c r="L328" s="1138"/>
      <c r="M328" s="1138"/>
      <c r="N328" s="1138"/>
      <c r="O328" s="1138"/>
      <c r="P328" s="1138"/>
      <c r="Q328" s="1138"/>
      <c r="R328" s="1138"/>
      <c r="S328" s="1138"/>
      <c r="T328" s="1138"/>
      <c r="U328" s="1138"/>
      <c r="V328" s="1138"/>
      <c r="W328" s="1138"/>
    </row>
    <row r="329">
      <c r="A329" s="1138"/>
      <c r="B329" s="1136" t="s">
        <v>6962</v>
      </c>
      <c r="C329" s="1140">
        <f>SUM(C327:C328)</f>
        <v>2359506.17</v>
      </c>
      <c r="D329" s="1147"/>
      <c r="E329" s="1138"/>
      <c r="F329" s="1147"/>
      <c r="G329" s="1147"/>
      <c r="H329" s="1138"/>
      <c r="I329" s="1138"/>
      <c r="J329" s="1138"/>
      <c r="K329" s="1138"/>
      <c r="L329" s="1138"/>
      <c r="M329" s="1138"/>
      <c r="N329" s="1138"/>
      <c r="O329" s="1138"/>
      <c r="P329" s="1138"/>
      <c r="Q329" s="1138"/>
      <c r="R329" s="1138"/>
      <c r="S329" s="1138"/>
      <c r="T329" s="1138"/>
      <c r="U329" s="1138"/>
      <c r="V329" s="1138"/>
      <c r="W329" s="1138"/>
    </row>
    <row r="330">
      <c r="A330" s="1138"/>
      <c r="B330" s="1136" t="s">
        <v>6963</v>
      </c>
      <c r="C330" s="1231">
        <v>0.0</v>
      </c>
      <c r="D330" s="1147"/>
      <c r="E330" s="1138"/>
      <c r="F330" s="1147"/>
      <c r="G330" s="1147"/>
      <c r="H330" s="1138"/>
      <c r="I330" s="1138"/>
      <c r="J330" s="1138"/>
      <c r="K330" s="1138"/>
      <c r="L330" s="1138"/>
      <c r="M330" s="1138"/>
      <c r="N330" s="1138"/>
      <c r="O330" s="1138"/>
      <c r="P330" s="1138"/>
      <c r="Q330" s="1138"/>
      <c r="R330" s="1138"/>
      <c r="S330" s="1138"/>
      <c r="T330" s="1138"/>
      <c r="U330" s="1138"/>
      <c r="V330" s="1138"/>
      <c r="W330" s="1138"/>
    </row>
    <row r="331">
      <c r="A331" s="1138"/>
      <c r="B331" s="1136" t="s">
        <v>6964</v>
      </c>
      <c r="C331" s="1232">
        <f>C329-C330</f>
        <v>2359506.17</v>
      </c>
      <c r="D331" s="1147"/>
      <c r="E331" s="1138"/>
      <c r="F331" s="1147"/>
      <c r="G331" s="1147"/>
      <c r="H331" s="1138"/>
      <c r="I331" s="1138"/>
      <c r="J331" s="1138"/>
      <c r="K331" s="1138"/>
      <c r="L331" s="1138"/>
      <c r="M331" s="1138"/>
      <c r="N331" s="1138"/>
      <c r="O331" s="1138"/>
      <c r="P331" s="1138"/>
      <c r="Q331" s="1138"/>
      <c r="R331" s="1138"/>
      <c r="S331" s="1138"/>
      <c r="T331" s="1138"/>
      <c r="U331" s="1138"/>
      <c r="V331" s="1138"/>
      <c r="W331" s="1138"/>
    </row>
    <row r="332">
      <c r="A332" s="1138"/>
      <c r="B332" s="1142"/>
      <c r="C332" s="1142"/>
      <c r="D332" s="1147"/>
      <c r="E332" s="1138"/>
      <c r="F332" s="1147"/>
      <c r="G332" s="1147"/>
      <c r="H332" s="1138"/>
      <c r="I332" s="1138"/>
      <c r="J332" s="1138"/>
      <c r="K332" s="1138"/>
      <c r="L332" s="1138"/>
      <c r="M332" s="1138"/>
      <c r="N332" s="1138"/>
      <c r="O332" s="1138"/>
      <c r="P332" s="1138"/>
      <c r="Q332" s="1138"/>
      <c r="R332" s="1138"/>
      <c r="S332" s="1138"/>
      <c r="T332" s="1138"/>
      <c r="U332" s="1138"/>
      <c r="V332" s="1138"/>
      <c r="W332" s="1138"/>
    </row>
    <row r="333">
      <c r="A333" s="1138"/>
      <c r="B333" s="1136" t="s">
        <v>6940</v>
      </c>
      <c r="C333" s="1232">
        <v>5710103.0</v>
      </c>
      <c r="D333" s="1147"/>
      <c r="E333" s="1138"/>
      <c r="F333" s="1147"/>
      <c r="G333" s="1147"/>
      <c r="H333" s="1138"/>
      <c r="I333" s="1138"/>
      <c r="J333" s="1138"/>
      <c r="K333" s="1138"/>
      <c r="L333" s="1138"/>
      <c r="M333" s="1138"/>
      <c r="N333" s="1138"/>
      <c r="O333" s="1138"/>
      <c r="P333" s="1138"/>
      <c r="Q333" s="1138"/>
      <c r="R333" s="1138"/>
      <c r="S333" s="1138"/>
      <c r="T333" s="1138"/>
      <c r="U333" s="1138"/>
      <c r="V333" s="1138"/>
      <c r="W333" s="1138"/>
    </row>
    <row r="334">
      <c r="A334" s="1138"/>
      <c r="B334" s="1138"/>
      <c r="C334" s="1138"/>
      <c r="D334" s="1147"/>
      <c r="E334" s="1138"/>
      <c r="F334" s="1147"/>
      <c r="G334" s="1147"/>
      <c r="H334" s="1138"/>
      <c r="I334" s="1138"/>
      <c r="J334" s="1138"/>
      <c r="K334" s="1138"/>
      <c r="L334" s="1138"/>
      <c r="M334" s="1138"/>
      <c r="N334" s="1138"/>
      <c r="O334" s="1138"/>
      <c r="P334" s="1138"/>
      <c r="Q334" s="1138"/>
      <c r="R334" s="1138"/>
      <c r="S334" s="1138"/>
      <c r="T334" s="1138"/>
      <c r="U334" s="1138"/>
      <c r="V334" s="1138"/>
      <c r="W334" s="1138"/>
    </row>
    <row r="335">
      <c r="A335" s="1209" t="s">
        <v>6966</v>
      </c>
      <c r="B335" s="1138"/>
      <c r="C335" s="1138"/>
      <c r="D335" s="1148"/>
      <c r="E335" s="1138"/>
      <c r="F335" s="1147"/>
      <c r="G335" s="1147"/>
      <c r="H335" s="1138"/>
      <c r="I335" s="1138"/>
      <c r="J335" s="1138"/>
      <c r="K335" s="1138"/>
      <c r="L335" s="1138"/>
      <c r="M335" s="1138"/>
      <c r="N335" s="1138"/>
      <c r="O335" s="1138"/>
      <c r="P335" s="1138"/>
      <c r="Q335" s="1138"/>
      <c r="R335" s="1138"/>
      <c r="S335" s="1138"/>
      <c r="T335" s="1138"/>
      <c r="U335" s="1138"/>
      <c r="V335" s="1138"/>
      <c r="W335" s="1138"/>
    </row>
    <row r="336">
      <c r="A336" s="1177" t="s">
        <v>1</v>
      </c>
      <c r="B336" s="1178" t="s">
        <v>6936</v>
      </c>
      <c r="C336" s="1200" t="s">
        <v>6950</v>
      </c>
      <c r="D336" s="1179" t="s">
        <v>6938</v>
      </c>
      <c r="E336" s="1180" t="s">
        <v>6939</v>
      </c>
      <c r="F336" s="1179" t="s">
        <v>6940</v>
      </c>
      <c r="G336" s="1138"/>
      <c r="H336" s="1138"/>
      <c r="I336" s="1138"/>
      <c r="J336" s="1138"/>
      <c r="K336" s="1138"/>
      <c r="L336" s="1138"/>
      <c r="M336" s="1138"/>
      <c r="N336" s="1138"/>
      <c r="O336" s="1138"/>
      <c r="P336" s="1138"/>
      <c r="Q336" s="1138"/>
      <c r="R336" s="1138"/>
      <c r="S336" s="1138"/>
      <c r="T336" s="1138"/>
      <c r="U336" s="1138"/>
      <c r="V336" s="1138"/>
      <c r="W336" s="1138"/>
    </row>
    <row r="337">
      <c r="A337" s="1223" t="s">
        <v>10</v>
      </c>
      <c r="B337" s="1186">
        <v>1.473450157E7</v>
      </c>
      <c r="C337" s="1139">
        <v>8.964850262E8</v>
      </c>
      <c r="D337" s="1139">
        <v>5695000.0</v>
      </c>
      <c r="E337" s="1139">
        <f t="shared" ref="E337:E339" si="43">F337-D337</f>
        <v>115483</v>
      </c>
      <c r="F337" s="1139">
        <v>5810483.0</v>
      </c>
      <c r="G337" s="1138"/>
      <c r="H337" s="1237"/>
      <c r="I337" s="1138"/>
      <c r="J337" s="1138"/>
      <c r="K337" s="1138"/>
      <c r="L337" s="1138"/>
      <c r="M337" s="1138"/>
      <c r="N337" s="1138"/>
      <c r="O337" s="1138"/>
      <c r="P337" s="1138"/>
      <c r="Q337" s="1138"/>
      <c r="R337" s="1138"/>
      <c r="S337" s="1138"/>
      <c r="T337" s="1138"/>
      <c r="U337" s="1138"/>
      <c r="V337" s="1138"/>
      <c r="W337" s="1138"/>
    </row>
    <row r="338">
      <c r="A338" s="1223" t="s">
        <v>24</v>
      </c>
      <c r="B338" s="1186">
        <v>8120111.08</v>
      </c>
      <c r="C338" s="1139">
        <v>6.5516636146E8</v>
      </c>
      <c r="D338" s="1155">
        <v>2731953.0</v>
      </c>
      <c r="E338" s="1139">
        <f t="shared" si="43"/>
        <v>320927</v>
      </c>
      <c r="F338" s="1139">
        <v>3052880.0</v>
      </c>
      <c r="G338" s="1138"/>
      <c r="H338" s="1237"/>
      <c r="I338" s="1138"/>
      <c r="J338" s="1138"/>
      <c r="K338" s="1138"/>
      <c r="L338" s="1138"/>
      <c r="M338" s="1138"/>
      <c r="N338" s="1138"/>
      <c r="O338" s="1138"/>
      <c r="P338" s="1138"/>
      <c r="Q338" s="1138"/>
      <c r="R338" s="1138"/>
      <c r="S338" s="1138"/>
      <c r="T338" s="1138"/>
      <c r="U338" s="1138"/>
      <c r="V338" s="1138"/>
      <c r="W338" s="1138"/>
    </row>
    <row r="339">
      <c r="A339" s="1223" t="s">
        <v>12</v>
      </c>
      <c r="B339" s="1186">
        <v>5613532.7</v>
      </c>
      <c r="C339" s="1182">
        <v>2.7517755378E8</v>
      </c>
      <c r="D339" s="1182">
        <v>1196338.0</v>
      </c>
      <c r="E339" s="1139">
        <f t="shared" si="43"/>
        <v>257566</v>
      </c>
      <c r="F339" s="1139">
        <v>1453904.0</v>
      </c>
      <c r="G339" s="1138"/>
      <c r="H339" s="1237"/>
      <c r="I339" s="1138"/>
      <c r="J339" s="1138"/>
      <c r="K339" s="1138"/>
      <c r="L339" s="1138"/>
      <c r="M339" s="1138"/>
      <c r="N339" s="1138"/>
      <c r="O339" s="1138"/>
      <c r="P339" s="1138"/>
      <c r="Q339" s="1138"/>
      <c r="R339" s="1138"/>
      <c r="S339" s="1138"/>
      <c r="T339" s="1138"/>
      <c r="U339" s="1138"/>
      <c r="V339" s="1138"/>
      <c r="W339" s="1138"/>
    </row>
    <row r="340">
      <c r="A340" s="1223" t="s">
        <v>13</v>
      </c>
      <c r="B340" s="1186">
        <v>4077278.33</v>
      </c>
      <c r="C340" s="1139">
        <v>1.157304181E8</v>
      </c>
      <c r="D340" s="1139">
        <v>192856.0</v>
      </c>
      <c r="E340" s="1139">
        <v>33954.0</v>
      </c>
      <c r="F340" s="1139">
        <v>226810.0</v>
      </c>
      <c r="G340" s="1138"/>
      <c r="H340" s="1238"/>
      <c r="I340" s="1138"/>
      <c r="J340" s="1138"/>
      <c r="K340" s="1138"/>
      <c r="L340" s="1138"/>
      <c r="M340" s="1138"/>
      <c r="N340" s="1138"/>
      <c r="O340" s="1138"/>
      <c r="P340" s="1138"/>
      <c r="Q340" s="1138"/>
      <c r="R340" s="1138"/>
      <c r="S340" s="1138"/>
      <c r="T340" s="1138"/>
      <c r="U340" s="1138"/>
      <c r="V340" s="1138"/>
      <c r="W340" s="1138"/>
    </row>
    <row r="341">
      <c r="A341" s="1223" t="s">
        <v>14</v>
      </c>
      <c r="B341" s="1186">
        <v>356548.0</v>
      </c>
      <c r="C341" s="1139">
        <v>1.6938022006E8</v>
      </c>
      <c r="D341" s="1139">
        <v>6000.0</v>
      </c>
      <c r="E341" s="1139">
        <f>F341-D341</f>
        <v>36772</v>
      </c>
      <c r="F341" s="1139">
        <v>42772.0</v>
      </c>
      <c r="G341" s="1138"/>
      <c r="H341" s="1237"/>
      <c r="I341" s="1138"/>
      <c r="J341" s="1138"/>
      <c r="K341" s="1138"/>
      <c r="L341" s="1138"/>
      <c r="M341" s="1138"/>
      <c r="N341" s="1138"/>
      <c r="O341" s="1138"/>
      <c r="P341" s="1138"/>
      <c r="Q341" s="1138"/>
      <c r="R341" s="1138"/>
      <c r="S341" s="1138"/>
      <c r="T341" s="1138"/>
      <c r="U341" s="1138"/>
      <c r="V341" s="1138"/>
      <c r="W341" s="1138"/>
    </row>
    <row r="342">
      <c r="A342" s="1223" t="s">
        <v>15</v>
      </c>
      <c r="B342" s="1186">
        <v>418500.0</v>
      </c>
      <c r="C342" s="1139">
        <v>1.8303606E7</v>
      </c>
      <c r="D342" s="1139">
        <v>199335.0</v>
      </c>
      <c r="E342" s="1139">
        <v>0.0</v>
      </c>
      <c r="F342" s="1139">
        <v>199335.0</v>
      </c>
      <c r="G342" s="1138"/>
      <c r="H342" s="1237"/>
      <c r="I342" s="1138"/>
      <c r="J342" s="1138"/>
      <c r="K342" s="1138"/>
      <c r="L342" s="1138"/>
      <c r="M342" s="1138"/>
      <c r="N342" s="1138"/>
      <c r="O342" s="1138"/>
      <c r="P342" s="1138"/>
      <c r="Q342" s="1138"/>
      <c r="R342" s="1138"/>
      <c r="S342" s="1138"/>
      <c r="T342" s="1138"/>
      <c r="U342" s="1138"/>
      <c r="V342" s="1138"/>
      <c r="W342" s="1138"/>
    </row>
    <row r="343">
      <c r="A343" s="1223" t="s">
        <v>16</v>
      </c>
      <c r="B343" s="1186">
        <v>65000.0</v>
      </c>
      <c r="C343" s="1139">
        <v>1.5405459E7</v>
      </c>
      <c r="D343" s="1234">
        <v>11000.0</v>
      </c>
      <c r="E343" s="1139">
        <v>4010.0</v>
      </c>
      <c r="F343" s="1139">
        <f>E343+D343</f>
        <v>15010</v>
      </c>
      <c r="G343" s="1138"/>
      <c r="H343" s="1237"/>
      <c r="I343" s="1138"/>
      <c r="J343" s="1138"/>
      <c r="K343" s="1138"/>
      <c r="L343" s="1138"/>
      <c r="M343" s="1138"/>
      <c r="N343" s="1138"/>
      <c r="O343" s="1138"/>
      <c r="P343" s="1138"/>
      <c r="Q343" s="1138"/>
      <c r="R343" s="1138"/>
      <c r="S343" s="1138"/>
      <c r="T343" s="1138"/>
      <c r="U343" s="1138"/>
      <c r="V343" s="1138"/>
      <c r="W343" s="1138"/>
    </row>
    <row r="344">
      <c r="A344" s="1223" t="s">
        <v>17</v>
      </c>
      <c r="B344" s="1186">
        <v>2561914.61</v>
      </c>
      <c r="C344" s="1139">
        <v>2.0683324561E8</v>
      </c>
      <c r="D344" s="1139">
        <v>207476.0</v>
      </c>
      <c r="E344" s="1139">
        <v>0.0</v>
      </c>
      <c r="F344" s="1139">
        <v>207476.0</v>
      </c>
      <c r="G344" s="1138"/>
      <c r="H344" s="1237"/>
      <c r="I344" s="1138"/>
      <c r="J344" s="1138"/>
      <c r="K344" s="1138"/>
      <c r="L344" s="1138"/>
      <c r="M344" s="1138"/>
      <c r="N344" s="1138"/>
      <c r="O344" s="1138"/>
      <c r="P344" s="1138"/>
      <c r="Q344" s="1138"/>
      <c r="R344" s="1138"/>
      <c r="S344" s="1138"/>
      <c r="T344" s="1138"/>
      <c r="U344" s="1138"/>
      <c r="V344" s="1138"/>
      <c r="W344" s="1138"/>
    </row>
    <row r="345">
      <c r="A345" s="1223" t="s">
        <v>18</v>
      </c>
      <c r="B345" s="1186">
        <v>1303468.61</v>
      </c>
      <c r="C345" s="1139">
        <v>9.620053151E7</v>
      </c>
      <c r="D345" s="1139">
        <v>73201.0</v>
      </c>
      <c r="E345" s="1139">
        <v>0.0</v>
      </c>
      <c r="F345" s="1139">
        <v>84359.0</v>
      </c>
      <c r="G345" s="1138"/>
      <c r="H345" s="1237"/>
      <c r="I345" s="1138"/>
      <c r="J345" s="1138"/>
      <c r="K345" s="1138"/>
      <c r="L345" s="1138"/>
      <c r="M345" s="1138"/>
      <c r="N345" s="1138"/>
      <c r="O345" s="1138"/>
      <c r="P345" s="1138"/>
      <c r="Q345" s="1138"/>
      <c r="R345" s="1138"/>
      <c r="S345" s="1138"/>
      <c r="T345" s="1138"/>
      <c r="U345" s="1138"/>
      <c r="V345" s="1138"/>
      <c r="W345" s="1138"/>
    </row>
    <row r="346">
      <c r="A346" s="1223" t="s">
        <v>19</v>
      </c>
      <c r="B346" s="1186">
        <v>279244.0</v>
      </c>
      <c r="C346" s="1225">
        <v>7651180.48</v>
      </c>
      <c r="D346" s="1145">
        <v>20000.0</v>
      </c>
      <c r="E346" s="1139">
        <v>28667.0</v>
      </c>
      <c r="F346" s="1234">
        <f>D346+E346</f>
        <v>48667</v>
      </c>
      <c r="G346" s="1138"/>
      <c r="H346" s="1237"/>
      <c r="I346" s="1138"/>
      <c r="J346" s="1138"/>
      <c r="K346" s="1138"/>
      <c r="L346" s="1138"/>
      <c r="M346" s="1138"/>
      <c r="N346" s="1138"/>
      <c r="O346" s="1138"/>
      <c r="P346" s="1138"/>
      <c r="Q346" s="1138"/>
      <c r="R346" s="1138"/>
      <c r="S346" s="1138"/>
      <c r="T346" s="1138"/>
      <c r="U346" s="1138"/>
      <c r="V346" s="1138"/>
      <c r="W346" s="1138"/>
    </row>
    <row r="347">
      <c r="A347" s="1223" t="s">
        <v>20</v>
      </c>
      <c r="B347" s="1186">
        <v>1485619.0</v>
      </c>
      <c r="C347" s="1139">
        <v>6.888694628E7</v>
      </c>
      <c r="D347" s="1139">
        <v>278631.0</v>
      </c>
      <c r="E347" s="1139">
        <f>F347-D347</f>
        <v>23830</v>
      </c>
      <c r="F347" s="1139">
        <v>302461.0</v>
      </c>
      <c r="G347" s="1138"/>
      <c r="H347" s="1237"/>
      <c r="I347" s="1138"/>
      <c r="J347" s="1138"/>
      <c r="K347" s="1138"/>
      <c r="L347" s="1138"/>
      <c r="M347" s="1138"/>
      <c r="N347" s="1138"/>
      <c r="O347" s="1138"/>
      <c r="P347" s="1138"/>
      <c r="Q347" s="1138"/>
      <c r="R347" s="1138"/>
      <c r="S347" s="1138"/>
      <c r="T347" s="1138"/>
      <c r="U347" s="1138"/>
      <c r="V347" s="1138"/>
      <c r="W347" s="1138"/>
    </row>
    <row r="348">
      <c r="A348" s="1223" t="s">
        <v>21</v>
      </c>
      <c r="B348" s="1186">
        <v>189142.0</v>
      </c>
      <c r="C348" s="1229">
        <v>2359643.71</v>
      </c>
      <c r="D348" s="1145">
        <v>3000.0</v>
      </c>
      <c r="E348" s="1139">
        <v>0.0</v>
      </c>
      <c r="F348" s="1145">
        <v>74466.0</v>
      </c>
      <c r="G348" s="1138"/>
      <c r="H348" s="1237"/>
      <c r="I348" s="1138"/>
      <c r="J348" s="1138"/>
      <c r="K348" s="1138"/>
      <c r="L348" s="1138"/>
      <c r="M348" s="1138"/>
      <c r="N348" s="1138"/>
      <c r="O348" s="1138"/>
      <c r="P348" s="1138"/>
      <c r="Q348" s="1138"/>
      <c r="R348" s="1138"/>
      <c r="S348" s="1138"/>
      <c r="T348" s="1138"/>
      <c r="U348" s="1138"/>
      <c r="V348" s="1138"/>
      <c r="W348" s="1138"/>
    </row>
    <row r="349">
      <c r="A349" s="1224" t="s">
        <v>22</v>
      </c>
      <c r="B349" s="1186">
        <v>127487.0</v>
      </c>
      <c r="C349" s="1150">
        <v>304987.3</v>
      </c>
      <c r="D349" s="1139">
        <v>0.0</v>
      </c>
      <c r="E349" s="1139">
        <v>0.0</v>
      </c>
      <c r="F349" s="1139">
        <v>168.0</v>
      </c>
      <c r="G349" s="1138"/>
      <c r="H349" s="1237"/>
      <c r="I349" s="1138"/>
      <c r="J349" s="1138"/>
      <c r="K349" s="1138"/>
      <c r="L349" s="1138"/>
      <c r="M349" s="1138"/>
      <c r="N349" s="1138"/>
      <c r="O349" s="1138"/>
      <c r="P349" s="1138"/>
      <c r="Q349" s="1138"/>
      <c r="R349" s="1138"/>
      <c r="S349" s="1138"/>
      <c r="T349" s="1138"/>
      <c r="U349" s="1138"/>
      <c r="V349" s="1138"/>
      <c r="W349" s="1138"/>
    </row>
    <row r="350">
      <c r="A350" s="1218" t="s">
        <v>23</v>
      </c>
      <c r="B350" s="1166">
        <f t="shared" ref="B350:F350" si="44">sum(B337:B349)</f>
        <v>39332346.9</v>
      </c>
      <c r="C350" s="1166">
        <f t="shared" si="44"/>
        <v>2527885179</v>
      </c>
      <c r="D350" s="1166">
        <f t="shared" si="44"/>
        <v>10614790</v>
      </c>
      <c r="E350" s="1166">
        <f t="shared" si="44"/>
        <v>821209</v>
      </c>
      <c r="F350" s="1166">
        <f t="shared" si="44"/>
        <v>11518791</v>
      </c>
      <c r="G350" s="1237"/>
      <c r="H350" s="1138"/>
      <c r="I350" s="1138"/>
      <c r="J350" s="1138"/>
      <c r="K350" s="1138"/>
      <c r="L350" s="1138"/>
      <c r="M350" s="1138"/>
      <c r="N350" s="1138"/>
      <c r="O350" s="1138"/>
      <c r="P350" s="1138"/>
      <c r="Q350" s="1138"/>
      <c r="R350" s="1138"/>
      <c r="S350" s="1138"/>
      <c r="T350" s="1138"/>
      <c r="U350" s="1138"/>
      <c r="V350" s="1138"/>
      <c r="W350" s="1138"/>
    </row>
    <row r="351">
      <c r="A351" s="1138"/>
      <c r="B351" s="1138"/>
      <c r="C351" s="1138"/>
      <c r="D351" s="1147"/>
      <c r="E351" s="1138"/>
      <c r="F351" s="1147"/>
      <c r="G351" s="1147"/>
      <c r="H351" s="1138"/>
      <c r="I351" s="1138"/>
      <c r="J351" s="1138"/>
      <c r="K351" s="1138"/>
      <c r="L351" s="1138"/>
      <c r="M351" s="1138"/>
      <c r="N351" s="1138"/>
      <c r="O351" s="1138"/>
      <c r="P351" s="1138"/>
      <c r="Q351" s="1138"/>
      <c r="R351" s="1138"/>
      <c r="S351" s="1138"/>
      <c r="T351" s="1138"/>
      <c r="U351" s="1138"/>
      <c r="V351" s="1138"/>
      <c r="W351" s="1138"/>
    </row>
    <row r="352">
      <c r="A352" s="1138"/>
      <c r="B352" s="1138"/>
      <c r="C352" s="1138"/>
      <c r="D352" s="1147"/>
      <c r="E352" s="1138"/>
      <c r="F352" s="1147"/>
      <c r="G352" s="1147"/>
      <c r="H352" s="1138"/>
      <c r="I352" s="1138"/>
      <c r="J352" s="1138"/>
      <c r="K352" s="1138"/>
      <c r="L352" s="1138"/>
      <c r="M352" s="1138"/>
      <c r="N352" s="1138"/>
      <c r="O352" s="1138"/>
      <c r="P352" s="1138"/>
      <c r="Q352" s="1138"/>
      <c r="R352" s="1138"/>
      <c r="S352" s="1138"/>
      <c r="T352" s="1138"/>
      <c r="U352" s="1138"/>
      <c r="V352" s="1138"/>
      <c r="W352" s="1138"/>
    </row>
    <row r="353">
      <c r="A353" s="1138"/>
      <c r="B353" s="1138"/>
      <c r="C353" s="1138"/>
      <c r="D353" s="1147"/>
      <c r="E353" s="1138"/>
      <c r="F353" s="1147"/>
      <c r="G353" s="1147"/>
      <c r="H353" s="1138"/>
      <c r="I353" s="1138"/>
      <c r="J353" s="1138"/>
      <c r="K353" s="1138"/>
      <c r="L353" s="1138"/>
      <c r="M353" s="1138"/>
      <c r="N353" s="1138"/>
      <c r="O353" s="1138"/>
      <c r="P353" s="1138"/>
      <c r="Q353" s="1138"/>
      <c r="R353" s="1138"/>
      <c r="S353" s="1138"/>
      <c r="T353" s="1138"/>
      <c r="U353" s="1138"/>
      <c r="V353" s="1138"/>
      <c r="W353" s="1138"/>
    </row>
    <row r="354">
      <c r="A354" s="1138"/>
      <c r="B354" s="1138"/>
      <c r="C354" s="1138"/>
      <c r="D354" s="1147"/>
      <c r="E354" s="1138"/>
      <c r="F354" s="1147"/>
      <c r="G354" s="1147"/>
      <c r="H354" s="1138"/>
      <c r="I354" s="1138"/>
      <c r="J354" s="1138"/>
      <c r="K354" s="1138"/>
      <c r="L354" s="1138"/>
      <c r="M354" s="1138"/>
      <c r="N354" s="1138"/>
      <c r="O354" s="1138"/>
      <c r="P354" s="1138"/>
      <c r="Q354" s="1138"/>
      <c r="R354" s="1138"/>
      <c r="S354" s="1138"/>
      <c r="T354" s="1138"/>
      <c r="U354" s="1138"/>
      <c r="V354" s="1138"/>
      <c r="W354" s="1138"/>
    </row>
    <row r="355">
      <c r="A355" s="1138"/>
      <c r="B355" s="1138"/>
      <c r="C355" s="1138"/>
      <c r="D355" s="1147"/>
      <c r="E355" s="1138"/>
      <c r="F355" s="1147"/>
      <c r="G355" s="1147"/>
      <c r="H355" s="1138"/>
      <c r="I355" s="1138"/>
      <c r="J355" s="1138"/>
      <c r="K355" s="1138"/>
      <c r="L355" s="1138"/>
      <c r="M355" s="1138"/>
      <c r="N355" s="1138"/>
      <c r="O355" s="1138"/>
      <c r="P355" s="1138"/>
      <c r="Q355" s="1138"/>
      <c r="R355" s="1138"/>
      <c r="S355" s="1138"/>
      <c r="T355" s="1138"/>
      <c r="U355" s="1138"/>
      <c r="V355" s="1138"/>
      <c r="W355" s="1138"/>
    </row>
    <row r="356">
      <c r="A356" s="1239">
        <v>45299.0</v>
      </c>
      <c r="B356" s="1138"/>
      <c r="C356" s="1138"/>
      <c r="D356" s="1148"/>
      <c r="E356" s="1138"/>
      <c r="F356" s="1147"/>
      <c r="G356" s="1147"/>
      <c r="H356" s="1138"/>
      <c r="I356" s="1138"/>
      <c r="J356" s="1138"/>
      <c r="K356" s="1138"/>
      <c r="L356" s="1138"/>
      <c r="M356" s="1138"/>
      <c r="N356" s="1138"/>
      <c r="O356" s="1138"/>
      <c r="P356" s="1138"/>
      <c r="Q356" s="1138"/>
      <c r="R356" s="1138"/>
      <c r="S356" s="1138"/>
      <c r="T356" s="1138"/>
      <c r="U356" s="1138"/>
      <c r="V356" s="1138"/>
      <c r="W356" s="1138"/>
    </row>
    <row r="357">
      <c r="A357" s="1177" t="s">
        <v>1</v>
      </c>
      <c r="B357" s="1178" t="s">
        <v>6936</v>
      </c>
      <c r="C357" s="1200" t="s">
        <v>6950</v>
      </c>
      <c r="D357" s="1179" t="s">
        <v>6938</v>
      </c>
      <c r="E357" s="1180" t="s">
        <v>6939</v>
      </c>
      <c r="F357" s="1179" t="s">
        <v>6940</v>
      </c>
      <c r="G357" s="1147"/>
      <c r="H357" s="1138"/>
      <c r="I357" s="1138"/>
      <c r="J357" s="1138"/>
      <c r="K357" s="1138"/>
      <c r="L357" s="1138"/>
      <c r="M357" s="1138"/>
      <c r="N357" s="1138"/>
      <c r="O357" s="1138"/>
      <c r="P357" s="1138"/>
      <c r="Q357" s="1138"/>
      <c r="R357" s="1138"/>
      <c r="S357" s="1138"/>
      <c r="T357" s="1138"/>
      <c r="U357" s="1138"/>
      <c r="V357" s="1138"/>
      <c r="W357" s="1138"/>
    </row>
    <row r="358">
      <c r="A358" s="1223" t="s">
        <v>10</v>
      </c>
      <c r="B358" s="1240">
        <v>1.45599915E7</v>
      </c>
      <c r="C358" s="1241">
        <v>8.9143311137E8</v>
      </c>
      <c r="D358" s="1240">
        <v>803325.0</v>
      </c>
      <c r="E358" s="1240">
        <f t="shared" ref="E358:E371" si="45">F358-D358</f>
        <v>532065</v>
      </c>
      <c r="F358" s="1241">
        <v>1335390.0</v>
      </c>
      <c r="G358" s="1237"/>
      <c r="H358" s="1138"/>
      <c r="I358" s="1138"/>
      <c r="J358" s="1138"/>
      <c r="K358" s="1138"/>
      <c r="L358" s="1138"/>
      <c r="M358" s="1138"/>
      <c r="N358" s="1138"/>
      <c r="O358" s="1138"/>
      <c r="P358" s="1138"/>
      <c r="Q358" s="1138"/>
      <c r="R358" s="1138"/>
      <c r="S358" s="1138"/>
      <c r="T358" s="1138"/>
      <c r="U358" s="1138"/>
      <c r="V358" s="1138"/>
      <c r="W358" s="1138"/>
    </row>
    <row r="359">
      <c r="A359" s="1223" t="s">
        <v>24</v>
      </c>
      <c r="B359" s="1240">
        <v>8034464.909999999</v>
      </c>
      <c r="C359" s="1241">
        <v>6.5177995284E8</v>
      </c>
      <c r="D359" s="1240">
        <v>1905938.0</v>
      </c>
      <c r="E359" s="1240">
        <f t="shared" si="45"/>
        <v>144190</v>
      </c>
      <c r="F359" s="1241">
        <v>2050128.0</v>
      </c>
      <c r="G359" s="1237"/>
      <c r="H359" s="1138"/>
      <c r="I359" s="1138"/>
      <c r="J359" s="1138"/>
      <c r="K359" s="1138"/>
      <c r="L359" s="1138"/>
      <c r="M359" s="1138"/>
      <c r="N359" s="1138"/>
      <c r="O359" s="1138"/>
      <c r="P359" s="1138"/>
      <c r="Q359" s="1138"/>
      <c r="R359" s="1138"/>
      <c r="S359" s="1138"/>
      <c r="T359" s="1138"/>
      <c r="U359" s="1138"/>
      <c r="V359" s="1138"/>
      <c r="W359" s="1138"/>
    </row>
    <row r="360">
      <c r="A360" s="1223" t="s">
        <v>12</v>
      </c>
      <c r="B360" s="1240">
        <v>5117227.29</v>
      </c>
      <c r="C360" s="1241">
        <v>2.7720824375E8</v>
      </c>
      <c r="D360" s="1240">
        <v>2330081.0</v>
      </c>
      <c r="E360" s="1240">
        <f t="shared" si="45"/>
        <v>364367</v>
      </c>
      <c r="F360" s="1241">
        <v>2694448.0</v>
      </c>
      <c r="G360" s="1237"/>
      <c r="H360" s="1151"/>
      <c r="I360" s="1138"/>
      <c r="J360" s="1138"/>
      <c r="K360" s="1138"/>
      <c r="L360" s="1138"/>
      <c r="M360" s="1138"/>
      <c r="N360" s="1138"/>
      <c r="O360" s="1138"/>
      <c r="P360" s="1138"/>
      <c r="Q360" s="1138"/>
      <c r="R360" s="1138"/>
      <c r="S360" s="1138"/>
      <c r="T360" s="1138"/>
      <c r="U360" s="1138"/>
      <c r="V360" s="1138"/>
      <c r="W360" s="1138"/>
    </row>
    <row r="361">
      <c r="A361" s="1223" t="s">
        <v>13</v>
      </c>
      <c r="B361" s="1240">
        <v>4904468.36</v>
      </c>
      <c r="C361" s="1241">
        <v>1.1596291607E8</v>
      </c>
      <c r="D361" s="1240">
        <v>457533.0</v>
      </c>
      <c r="E361" s="1240">
        <f t="shared" si="45"/>
        <v>251495</v>
      </c>
      <c r="F361" s="1241">
        <v>709028.0</v>
      </c>
      <c r="G361" s="1237"/>
      <c r="H361" s="1138"/>
      <c r="I361" s="1138"/>
      <c r="J361" s="1138"/>
      <c r="K361" s="1138"/>
      <c r="L361" s="1138"/>
      <c r="M361" s="1138"/>
      <c r="N361" s="1138"/>
      <c r="O361" s="1138"/>
      <c r="P361" s="1138"/>
      <c r="Q361" s="1138"/>
      <c r="R361" s="1138"/>
      <c r="S361" s="1138"/>
      <c r="T361" s="1138"/>
      <c r="U361" s="1138"/>
      <c r="V361" s="1138"/>
      <c r="W361" s="1138"/>
    </row>
    <row r="362">
      <c r="A362" s="1223" t="s">
        <v>14</v>
      </c>
      <c r="B362" s="1240">
        <v>409978.0</v>
      </c>
      <c r="C362" s="1137">
        <v>1.6938022006E8</v>
      </c>
      <c r="D362" s="1240">
        <v>6000.0</v>
      </c>
      <c r="E362" s="1240">
        <f t="shared" si="45"/>
        <v>422595</v>
      </c>
      <c r="F362" s="1241">
        <v>428595.0</v>
      </c>
      <c r="G362" s="1237"/>
      <c r="H362" s="1151"/>
      <c r="I362" s="1138"/>
      <c r="J362" s="1138"/>
      <c r="K362" s="1138"/>
      <c r="L362" s="1138"/>
      <c r="M362" s="1138"/>
      <c r="N362" s="1138"/>
      <c r="O362" s="1138"/>
      <c r="P362" s="1138"/>
      <c r="Q362" s="1138"/>
      <c r="R362" s="1138"/>
      <c r="S362" s="1138"/>
      <c r="T362" s="1138"/>
      <c r="U362" s="1138"/>
      <c r="V362" s="1138"/>
      <c r="W362" s="1138"/>
    </row>
    <row r="363">
      <c r="A363" s="1223" t="s">
        <v>15</v>
      </c>
      <c r="B363" s="1240">
        <v>350000.0</v>
      </c>
      <c r="C363" s="1241">
        <v>1.7693312E7</v>
      </c>
      <c r="D363" s="1240">
        <v>0.0</v>
      </c>
      <c r="E363" s="1240">
        <f t="shared" si="45"/>
        <v>143917</v>
      </c>
      <c r="F363" s="1241">
        <v>143917.0</v>
      </c>
      <c r="G363" s="1237"/>
      <c r="H363" s="1138"/>
      <c r="I363" s="1138"/>
      <c r="J363" s="1138"/>
      <c r="K363" s="1138"/>
      <c r="L363" s="1138"/>
      <c r="M363" s="1138"/>
      <c r="N363" s="1138"/>
      <c r="O363" s="1138"/>
      <c r="P363" s="1138"/>
      <c r="Q363" s="1138"/>
      <c r="R363" s="1138"/>
      <c r="S363" s="1138"/>
      <c r="T363" s="1138"/>
      <c r="U363" s="1138"/>
      <c r="V363" s="1138"/>
      <c r="W363" s="1138"/>
    </row>
    <row r="364">
      <c r="A364" s="1223" t="s">
        <v>16</v>
      </c>
      <c r="B364" s="1240">
        <v>55000.0</v>
      </c>
      <c r="C364" s="1241">
        <v>1.5337358E7</v>
      </c>
      <c r="D364" s="1240">
        <v>25000.0</v>
      </c>
      <c r="E364" s="1240">
        <f t="shared" si="45"/>
        <v>143620</v>
      </c>
      <c r="F364" s="1241">
        <v>168620.0</v>
      </c>
      <c r="G364" s="1237"/>
      <c r="H364" s="1151"/>
      <c r="I364" s="1138"/>
      <c r="J364" s="1138"/>
      <c r="K364" s="1138"/>
      <c r="L364" s="1138"/>
      <c r="M364" s="1138"/>
      <c r="N364" s="1138"/>
      <c r="O364" s="1138"/>
      <c r="P364" s="1138"/>
      <c r="Q364" s="1138"/>
      <c r="R364" s="1138"/>
      <c r="S364" s="1138"/>
      <c r="T364" s="1138"/>
      <c r="U364" s="1138"/>
      <c r="V364" s="1138"/>
      <c r="W364" s="1138"/>
    </row>
    <row r="365">
      <c r="A365" s="1223" t="s">
        <v>17</v>
      </c>
      <c r="B365" s="1240">
        <v>3002551.94</v>
      </c>
      <c r="C365" s="1242">
        <v>2.0683324561E8</v>
      </c>
      <c r="D365" s="1240">
        <v>306500.0</v>
      </c>
      <c r="E365" s="1240">
        <f t="shared" si="45"/>
        <v>323568</v>
      </c>
      <c r="F365" s="1241">
        <v>630068.0</v>
      </c>
      <c r="G365" s="1237"/>
      <c r="H365" s="1151"/>
      <c r="I365" s="1138"/>
      <c r="J365" s="1138"/>
      <c r="K365" s="1138"/>
      <c r="L365" s="1138"/>
      <c r="M365" s="1138"/>
      <c r="N365" s="1138"/>
      <c r="O365" s="1138"/>
      <c r="P365" s="1138"/>
      <c r="Q365" s="1138"/>
      <c r="R365" s="1138"/>
      <c r="S365" s="1138"/>
      <c r="T365" s="1138"/>
      <c r="U365" s="1138"/>
      <c r="V365" s="1138"/>
      <c r="W365" s="1138"/>
    </row>
    <row r="366">
      <c r="A366" s="1223" t="s">
        <v>18</v>
      </c>
      <c r="B366" s="1240">
        <v>1570816.08</v>
      </c>
      <c r="C366" s="1241">
        <v>9.674140308E7</v>
      </c>
      <c r="D366" s="1240">
        <v>157900.0</v>
      </c>
      <c r="E366" s="1240">
        <f t="shared" si="45"/>
        <v>250406</v>
      </c>
      <c r="F366" s="1240">
        <v>408306.0</v>
      </c>
      <c r="G366" s="1237"/>
      <c r="H366" s="1138"/>
      <c r="I366" s="1138"/>
      <c r="J366" s="1138"/>
      <c r="K366" s="1138"/>
      <c r="L366" s="1138"/>
      <c r="M366" s="1138"/>
      <c r="N366" s="1138"/>
      <c r="O366" s="1138"/>
      <c r="P366" s="1138"/>
      <c r="Q366" s="1138"/>
      <c r="R366" s="1138"/>
      <c r="S366" s="1138"/>
      <c r="T366" s="1138"/>
      <c r="U366" s="1138"/>
      <c r="V366" s="1138"/>
      <c r="W366" s="1138"/>
    </row>
    <row r="367">
      <c r="A367" s="1223" t="s">
        <v>19</v>
      </c>
      <c r="B367" s="1240">
        <v>261756.0</v>
      </c>
      <c r="C367" s="1243">
        <v>7646179.46</v>
      </c>
      <c r="D367" s="1240">
        <v>0.0</v>
      </c>
      <c r="E367" s="1240">
        <f t="shared" si="45"/>
        <v>10128</v>
      </c>
      <c r="F367" s="1241">
        <v>10128.0</v>
      </c>
      <c r="G367" s="1237"/>
      <c r="H367" s="1138"/>
      <c r="I367" s="1138"/>
      <c r="J367" s="1138"/>
      <c r="K367" s="1138"/>
      <c r="L367" s="1138"/>
      <c r="M367" s="1138"/>
      <c r="N367" s="1138"/>
      <c r="O367" s="1138"/>
      <c r="P367" s="1138"/>
      <c r="Q367" s="1138"/>
      <c r="R367" s="1138"/>
      <c r="S367" s="1138"/>
      <c r="T367" s="1138"/>
      <c r="U367" s="1138"/>
      <c r="V367" s="1138"/>
      <c r="W367" s="1138"/>
    </row>
    <row r="368">
      <c r="A368" s="1223" t="s">
        <v>20</v>
      </c>
      <c r="B368" s="1240">
        <v>1794411.24</v>
      </c>
      <c r="C368" s="1243">
        <v>6.786151071E7</v>
      </c>
      <c r="D368" s="1240">
        <v>27107.0</v>
      </c>
      <c r="E368" s="1240">
        <f t="shared" si="45"/>
        <v>326876</v>
      </c>
      <c r="F368" s="1241">
        <v>353983.0</v>
      </c>
      <c r="G368" s="1237"/>
      <c r="H368" s="1138"/>
      <c r="I368" s="1138"/>
      <c r="J368" s="1138"/>
      <c r="K368" s="1138"/>
      <c r="L368" s="1138"/>
      <c r="M368" s="1138"/>
      <c r="N368" s="1138"/>
      <c r="O368" s="1138"/>
      <c r="P368" s="1138"/>
      <c r="Q368" s="1138"/>
      <c r="R368" s="1138"/>
      <c r="S368" s="1138"/>
      <c r="T368" s="1138"/>
      <c r="U368" s="1138"/>
      <c r="V368" s="1138"/>
      <c r="W368" s="1138"/>
    </row>
    <row r="369">
      <c r="A369" s="1223" t="s">
        <v>21</v>
      </c>
      <c r="B369" s="1240">
        <v>136960.0</v>
      </c>
      <c r="C369" s="1243">
        <v>2323362.5</v>
      </c>
      <c r="D369" s="1240">
        <v>27127.0</v>
      </c>
      <c r="E369" s="1240">
        <f t="shared" si="45"/>
        <v>36823</v>
      </c>
      <c r="F369" s="1241">
        <v>63950.0</v>
      </c>
      <c r="G369" s="1237"/>
      <c r="H369" s="1138"/>
      <c r="I369" s="1138"/>
      <c r="J369" s="1138"/>
      <c r="K369" s="1138"/>
      <c r="L369" s="1138"/>
      <c r="M369" s="1138"/>
      <c r="N369" s="1138"/>
      <c r="O369" s="1138"/>
      <c r="P369" s="1138"/>
      <c r="Q369" s="1138"/>
      <c r="R369" s="1138"/>
      <c r="S369" s="1138"/>
      <c r="T369" s="1138"/>
      <c r="U369" s="1138"/>
      <c r="V369" s="1138"/>
      <c r="W369" s="1138"/>
    </row>
    <row r="370">
      <c r="A370" s="1224" t="s">
        <v>22</v>
      </c>
      <c r="B370" s="1240">
        <v>127487.0</v>
      </c>
      <c r="C370" s="1241">
        <v>303987.3</v>
      </c>
      <c r="D370" s="1240">
        <v>0.0</v>
      </c>
      <c r="E370" s="1240">
        <f t="shared" si="45"/>
        <v>0</v>
      </c>
      <c r="F370" s="1241">
        <v>0.0</v>
      </c>
      <c r="G370" s="1237"/>
      <c r="H370" s="1138"/>
      <c r="I370" s="1138"/>
      <c r="J370" s="1138"/>
      <c r="K370" s="1138"/>
      <c r="L370" s="1138"/>
      <c r="M370" s="1138"/>
      <c r="N370" s="1138"/>
      <c r="O370" s="1138"/>
      <c r="P370" s="1138"/>
      <c r="Q370" s="1138"/>
      <c r="R370" s="1138"/>
      <c r="S370" s="1138"/>
      <c r="T370" s="1138"/>
      <c r="U370" s="1138"/>
      <c r="V370" s="1138"/>
      <c r="W370" s="1138"/>
    </row>
    <row r="371">
      <c r="A371" s="1218" t="s">
        <v>23</v>
      </c>
      <c r="B371" s="1166">
        <f t="shared" ref="B371:C371" si="46">SUM(B357:B370)</f>
        <v>40325112.32</v>
      </c>
      <c r="C371" s="1166">
        <f t="shared" si="46"/>
        <v>2520504803</v>
      </c>
      <c r="D371" s="1166">
        <v>6046511.0</v>
      </c>
      <c r="E371" s="1166">
        <f t="shared" si="45"/>
        <v>2950050</v>
      </c>
      <c r="F371" s="1166">
        <v>8996561.0</v>
      </c>
      <c r="G371" s="1237"/>
      <c r="H371" s="1138"/>
      <c r="I371" s="1138"/>
      <c r="J371" s="1138"/>
      <c r="K371" s="1138"/>
      <c r="L371" s="1138"/>
      <c r="M371" s="1138"/>
      <c r="N371" s="1138"/>
      <c r="O371" s="1138"/>
      <c r="P371" s="1138"/>
      <c r="Q371" s="1138"/>
      <c r="R371" s="1138"/>
      <c r="S371" s="1138"/>
      <c r="T371" s="1138"/>
      <c r="U371" s="1138"/>
      <c r="V371" s="1138"/>
      <c r="W371" s="1138"/>
    </row>
    <row r="372">
      <c r="A372" s="1138"/>
      <c r="B372" s="1138"/>
      <c r="C372" s="1138"/>
      <c r="D372" s="1147"/>
      <c r="E372" s="1138"/>
      <c r="F372" s="1147"/>
      <c r="G372" s="1147"/>
      <c r="H372" s="1138"/>
      <c r="I372" s="1138"/>
      <c r="J372" s="1138"/>
      <c r="K372" s="1138"/>
      <c r="L372" s="1138"/>
      <c r="M372" s="1138"/>
      <c r="N372" s="1138"/>
      <c r="O372" s="1138"/>
      <c r="P372" s="1138"/>
      <c r="Q372" s="1138"/>
      <c r="R372" s="1138"/>
      <c r="S372" s="1138"/>
      <c r="T372" s="1138"/>
      <c r="U372" s="1138"/>
      <c r="V372" s="1138"/>
      <c r="W372" s="1138"/>
    </row>
    <row r="373">
      <c r="A373" s="1138"/>
      <c r="B373" s="1138"/>
      <c r="C373" s="1138"/>
      <c r="D373" s="1147"/>
      <c r="E373" s="1138"/>
      <c r="F373" s="1147"/>
      <c r="G373" s="1147"/>
      <c r="H373" s="1138"/>
      <c r="I373" s="1138"/>
      <c r="J373" s="1138"/>
      <c r="K373" s="1138"/>
      <c r="L373" s="1138"/>
      <c r="M373" s="1138"/>
      <c r="N373" s="1138"/>
      <c r="O373" s="1138"/>
      <c r="P373" s="1138"/>
      <c r="Q373" s="1138"/>
      <c r="R373" s="1138"/>
      <c r="S373" s="1138"/>
      <c r="T373" s="1138"/>
      <c r="U373" s="1138"/>
      <c r="V373" s="1138"/>
      <c r="W373" s="1138"/>
    </row>
    <row r="374">
      <c r="A374" s="1239">
        <v>45359.0</v>
      </c>
      <c r="B374" s="1138"/>
      <c r="C374" s="1138"/>
      <c r="D374" s="1148"/>
      <c r="E374" s="1138"/>
      <c r="F374" s="1147"/>
      <c r="G374" s="1147"/>
      <c r="H374" s="1138"/>
      <c r="I374" s="1138"/>
      <c r="J374" s="1138"/>
      <c r="K374" s="1138"/>
      <c r="L374" s="1138"/>
      <c r="M374" s="1138"/>
      <c r="N374" s="1138"/>
      <c r="O374" s="1138"/>
      <c r="P374" s="1138"/>
      <c r="Q374" s="1138"/>
      <c r="R374" s="1138"/>
      <c r="S374" s="1138"/>
      <c r="T374" s="1138"/>
      <c r="U374" s="1138"/>
      <c r="V374" s="1138"/>
      <c r="W374" s="1138"/>
    </row>
    <row r="375">
      <c r="A375" s="1244" t="s">
        <v>1</v>
      </c>
      <c r="B375" s="1245" t="s">
        <v>6936</v>
      </c>
      <c r="C375" s="1246" t="s">
        <v>6950</v>
      </c>
      <c r="D375" s="1247" t="s">
        <v>6938</v>
      </c>
      <c r="E375" s="1248" t="s">
        <v>6939</v>
      </c>
      <c r="F375" s="1247" t="s">
        <v>6940</v>
      </c>
      <c r="G375" s="1147"/>
      <c r="H375" s="1138"/>
      <c r="I375" s="1138"/>
      <c r="J375" s="1138"/>
      <c r="K375" s="1138"/>
      <c r="L375" s="1138"/>
      <c r="M375" s="1138"/>
      <c r="N375" s="1138"/>
      <c r="O375" s="1138"/>
      <c r="P375" s="1138"/>
      <c r="Q375" s="1138"/>
      <c r="R375" s="1138"/>
      <c r="S375" s="1138"/>
      <c r="T375" s="1138"/>
      <c r="U375" s="1138"/>
      <c r="V375" s="1138"/>
      <c r="W375" s="1138"/>
    </row>
    <row r="376">
      <c r="A376" s="1223" t="s">
        <v>10</v>
      </c>
      <c r="B376" s="1164">
        <v>9743433.86</v>
      </c>
      <c r="C376" s="1186">
        <v>8.8598616241E8</v>
      </c>
      <c r="D376" s="1186">
        <v>0.0</v>
      </c>
      <c r="E376" s="1186">
        <v>3310.0</v>
      </c>
      <c r="F376" s="1186">
        <v>3310.0</v>
      </c>
      <c r="G376" s="1147"/>
      <c r="H376" s="1237"/>
      <c r="I376" s="1138"/>
      <c r="J376" s="1138"/>
      <c r="K376" s="1138"/>
      <c r="L376" s="1138"/>
      <c r="M376" s="1138"/>
      <c r="N376" s="1138"/>
      <c r="O376" s="1138"/>
      <c r="P376" s="1138"/>
      <c r="Q376" s="1138"/>
      <c r="R376" s="1138"/>
      <c r="S376" s="1138"/>
      <c r="T376" s="1138"/>
      <c r="U376" s="1138"/>
      <c r="V376" s="1138"/>
      <c r="W376" s="1138"/>
    </row>
    <row r="377">
      <c r="A377" s="1223" t="s">
        <v>24</v>
      </c>
      <c r="B377" s="1164">
        <v>7666806.86</v>
      </c>
      <c r="C377" s="1186">
        <v>6.52135953E8</v>
      </c>
      <c r="D377" s="1249">
        <v>999786.0</v>
      </c>
      <c r="E377" s="1164">
        <f t="shared" ref="E377:E378" si="47">F377-D377</f>
        <v>1350</v>
      </c>
      <c r="F377" s="1250">
        <v>1001136.0</v>
      </c>
      <c r="G377" s="1147"/>
      <c r="H377" s="1237"/>
      <c r="I377" s="1138"/>
      <c r="J377" s="1138"/>
      <c r="K377" s="1138"/>
      <c r="L377" s="1138"/>
      <c r="M377" s="1138"/>
      <c r="N377" s="1138"/>
      <c r="O377" s="1138"/>
      <c r="P377" s="1138"/>
      <c r="Q377" s="1138"/>
      <c r="R377" s="1138"/>
      <c r="S377" s="1138"/>
      <c r="T377" s="1138"/>
      <c r="U377" s="1138"/>
      <c r="V377" s="1138"/>
      <c r="W377" s="1138"/>
    </row>
    <row r="378">
      <c r="A378" s="1223" t="s">
        <v>12</v>
      </c>
      <c r="B378" s="1164">
        <v>3932773.7600000002</v>
      </c>
      <c r="C378" s="1186">
        <v>2.8292895577E8</v>
      </c>
      <c r="D378" s="1186">
        <v>2015916.0</v>
      </c>
      <c r="E378" s="1164">
        <f t="shared" si="47"/>
        <v>156526</v>
      </c>
      <c r="F378" s="1186">
        <v>2172442.0</v>
      </c>
      <c r="G378" s="1147"/>
      <c r="H378" s="1237"/>
      <c r="I378" s="1138"/>
      <c r="J378" s="1138"/>
      <c r="K378" s="1138"/>
      <c r="L378" s="1138"/>
      <c r="M378" s="1138"/>
      <c r="N378" s="1138"/>
      <c r="O378" s="1138"/>
      <c r="P378" s="1138"/>
      <c r="Q378" s="1138"/>
      <c r="R378" s="1138"/>
      <c r="S378" s="1138"/>
      <c r="T378" s="1138"/>
      <c r="U378" s="1138"/>
      <c r="V378" s="1138"/>
      <c r="W378" s="1138"/>
    </row>
    <row r="379">
      <c r="A379" s="1223" t="s">
        <v>13</v>
      </c>
      <c r="B379" s="1164">
        <v>2690594.71</v>
      </c>
      <c r="C379" s="1186">
        <v>1.1624710893E8</v>
      </c>
      <c r="D379" s="1164">
        <f>SUM(KITENGELA!G386:G412)</f>
        <v>429500</v>
      </c>
      <c r="E379" s="1186">
        <v>0.0</v>
      </c>
      <c r="F379" s="1164">
        <v>429500.0</v>
      </c>
      <c r="G379" s="1147"/>
      <c r="H379" s="1237"/>
      <c r="I379" s="1138"/>
      <c r="J379" s="1138"/>
      <c r="K379" s="1138"/>
      <c r="L379" s="1138"/>
      <c r="M379" s="1138"/>
      <c r="N379" s="1138"/>
      <c r="O379" s="1138"/>
      <c r="P379" s="1138"/>
      <c r="Q379" s="1138"/>
      <c r="R379" s="1138"/>
      <c r="S379" s="1138"/>
      <c r="T379" s="1138"/>
      <c r="U379" s="1138"/>
      <c r="V379" s="1138"/>
      <c r="W379" s="1138"/>
    </row>
    <row r="380">
      <c r="A380" s="1223" t="s">
        <v>14</v>
      </c>
      <c r="B380" s="1164">
        <v>458167.0</v>
      </c>
      <c r="C380" s="1139">
        <v>1.6937331873E8</v>
      </c>
      <c r="D380" s="1186">
        <v>6000.0</v>
      </c>
      <c r="E380" s="1164">
        <f>F380-D380</f>
        <v>0</v>
      </c>
      <c r="F380" s="1186">
        <v>6000.0</v>
      </c>
      <c r="G380" s="1147"/>
      <c r="H380" s="1237"/>
      <c r="I380" s="1151"/>
      <c r="J380" s="1138"/>
      <c r="K380" s="1138"/>
      <c r="L380" s="1138"/>
      <c r="M380" s="1138"/>
      <c r="N380" s="1138"/>
      <c r="O380" s="1138"/>
      <c r="P380" s="1138"/>
      <c r="Q380" s="1138"/>
      <c r="R380" s="1138"/>
      <c r="S380" s="1138"/>
      <c r="T380" s="1138"/>
      <c r="U380" s="1138"/>
      <c r="V380" s="1138"/>
      <c r="W380" s="1138"/>
    </row>
    <row r="381">
      <c r="A381" s="1223" t="s">
        <v>15</v>
      </c>
      <c r="B381" s="1164">
        <v>666000.0</v>
      </c>
      <c r="C381" s="1186">
        <v>1.7820808E7</v>
      </c>
      <c r="D381" s="1186">
        <v>25500.0</v>
      </c>
      <c r="E381" s="1186">
        <v>0.0</v>
      </c>
      <c r="F381" s="1186">
        <v>25500.0</v>
      </c>
      <c r="G381" s="1147"/>
      <c r="H381" s="1237"/>
      <c r="I381" s="1138"/>
      <c r="J381" s="1138"/>
      <c r="K381" s="1138"/>
      <c r="L381" s="1138"/>
      <c r="M381" s="1138"/>
      <c r="N381" s="1138"/>
      <c r="O381" s="1138"/>
      <c r="P381" s="1138"/>
      <c r="Q381" s="1138"/>
      <c r="R381" s="1138"/>
      <c r="S381" s="1138"/>
      <c r="T381" s="1138"/>
      <c r="U381" s="1138"/>
      <c r="V381" s="1138"/>
      <c r="W381" s="1138"/>
    </row>
    <row r="382">
      <c r="A382" s="1223" t="s">
        <v>16</v>
      </c>
      <c r="B382" s="1164">
        <v>75000.0</v>
      </c>
      <c r="C382" s="1186">
        <v>1.569141013E7</v>
      </c>
      <c r="D382" s="1186">
        <v>3000.0</v>
      </c>
      <c r="E382" s="1186">
        <v>0.0</v>
      </c>
      <c r="F382" s="1186">
        <v>3000.0</v>
      </c>
      <c r="G382" s="1147"/>
      <c r="H382" s="1237"/>
      <c r="I382" s="1138"/>
      <c r="J382" s="1138"/>
      <c r="K382" s="1138"/>
      <c r="L382" s="1138"/>
      <c r="M382" s="1138"/>
      <c r="N382" s="1138"/>
      <c r="O382" s="1138"/>
      <c r="P382" s="1138"/>
      <c r="Q382" s="1138"/>
      <c r="R382" s="1138"/>
      <c r="S382" s="1138"/>
      <c r="T382" s="1138"/>
      <c r="U382" s="1138"/>
      <c r="V382" s="1138"/>
      <c r="W382" s="1138"/>
    </row>
    <row r="383">
      <c r="A383" s="1223" t="s">
        <v>17</v>
      </c>
      <c r="B383" s="1164">
        <v>1103628.64</v>
      </c>
      <c r="C383" s="1182">
        <v>2.0933372041E8</v>
      </c>
      <c r="D383" s="1251">
        <v>157961.0</v>
      </c>
      <c r="E383" s="1186">
        <v>0.0</v>
      </c>
      <c r="F383" s="1251">
        <v>157961.0</v>
      </c>
      <c r="G383" s="1147"/>
      <c r="H383" s="1237"/>
      <c r="I383" s="1138"/>
      <c r="J383" s="1138"/>
      <c r="K383" s="1138"/>
      <c r="L383" s="1138"/>
      <c r="M383" s="1138"/>
      <c r="N383" s="1138"/>
      <c r="O383" s="1138"/>
      <c r="P383" s="1138"/>
      <c r="Q383" s="1138"/>
      <c r="R383" s="1138"/>
      <c r="S383" s="1138"/>
      <c r="T383" s="1138"/>
      <c r="U383" s="1138"/>
      <c r="V383" s="1138"/>
      <c r="W383" s="1138"/>
    </row>
    <row r="384">
      <c r="A384" s="1223" t="s">
        <v>18</v>
      </c>
      <c r="B384" s="1164">
        <v>1495260.08</v>
      </c>
      <c r="C384" s="1186">
        <v>9.699059679E7</v>
      </c>
      <c r="D384" s="1186">
        <v>126500.0</v>
      </c>
      <c r="E384" s="1186">
        <v>24000.0</v>
      </c>
      <c r="F384" s="1164">
        <f>D384+E384</f>
        <v>150500</v>
      </c>
      <c r="G384" s="1147"/>
      <c r="H384" s="1237"/>
      <c r="I384" s="1138"/>
      <c r="J384" s="1138"/>
      <c r="K384" s="1138"/>
      <c r="L384" s="1138"/>
      <c r="M384" s="1138"/>
      <c r="N384" s="1138"/>
      <c r="O384" s="1138"/>
      <c r="P384" s="1138"/>
      <c r="Q384" s="1138"/>
      <c r="R384" s="1138"/>
      <c r="S384" s="1138"/>
      <c r="T384" s="1138"/>
      <c r="U384" s="1138"/>
      <c r="V384" s="1138"/>
      <c r="W384" s="1138"/>
    </row>
    <row r="385">
      <c r="A385" s="1223" t="s">
        <v>19</v>
      </c>
      <c r="B385" s="1164">
        <v>259717.97</v>
      </c>
      <c r="C385" s="1225">
        <v>7646179.46</v>
      </c>
      <c r="D385" s="1186">
        <v>3000.0</v>
      </c>
      <c r="E385" s="1164"/>
      <c r="F385" s="1186">
        <v>3000.0</v>
      </c>
      <c r="G385" s="1147"/>
      <c r="H385" s="1237"/>
      <c r="I385" s="1138"/>
      <c r="J385" s="1138"/>
      <c r="K385" s="1138"/>
      <c r="L385" s="1138"/>
      <c r="M385" s="1138"/>
      <c r="N385" s="1138"/>
      <c r="O385" s="1138"/>
      <c r="P385" s="1138"/>
      <c r="Q385" s="1138"/>
      <c r="R385" s="1138"/>
      <c r="S385" s="1138"/>
      <c r="T385" s="1138"/>
      <c r="U385" s="1138"/>
      <c r="V385" s="1138"/>
      <c r="W385" s="1138"/>
    </row>
    <row r="386">
      <c r="A386" s="1223" t="s">
        <v>20</v>
      </c>
      <c r="B386" s="1164">
        <v>1017609.75</v>
      </c>
      <c r="C386" s="1225">
        <v>6.797347266E7</v>
      </c>
      <c r="D386" s="1164">
        <f>F386-E386</f>
        <v>194425</v>
      </c>
      <c r="E386" s="1186">
        <v>70000.0</v>
      </c>
      <c r="F386" s="1186">
        <v>264425.0</v>
      </c>
      <c r="G386" s="1147"/>
      <c r="H386" s="1237"/>
      <c r="I386" s="1138"/>
      <c r="J386" s="1138"/>
      <c r="K386" s="1138"/>
      <c r="L386" s="1138"/>
      <c r="M386" s="1138"/>
      <c r="N386" s="1138"/>
      <c r="O386" s="1138"/>
      <c r="P386" s="1138"/>
      <c r="Q386" s="1138"/>
      <c r="R386" s="1138"/>
      <c r="S386" s="1138"/>
      <c r="T386" s="1138"/>
      <c r="U386" s="1138"/>
      <c r="V386" s="1138"/>
      <c r="W386" s="1138"/>
    </row>
    <row r="387">
      <c r="A387" s="1223" t="s">
        <v>21</v>
      </c>
      <c r="B387" s="1164">
        <v>63000.0</v>
      </c>
      <c r="C387" s="1225">
        <v>2323362.5</v>
      </c>
      <c r="D387" s="1186">
        <v>0.0</v>
      </c>
      <c r="E387" s="1164"/>
      <c r="F387" s="1186">
        <v>0.0</v>
      </c>
      <c r="G387" s="1147"/>
      <c r="H387" s="1237"/>
      <c r="I387" s="1138"/>
      <c r="J387" s="1138"/>
      <c r="K387" s="1138"/>
      <c r="L387" s="1138"/>
      <c r="M387" s="1138"/>
      <c r="N387" s="1138"/>
      <c r="O387" s="1138"/>
      <c r="P387" s="1138"/>
      <c r="Q387" s="1138"/>
      <c r="R387" s="1138"/>
      <c r="S387" s="1138"/>
      <c r="T387" s="1138"/>
      <c r="U387" s="1138"/>
      <c r="V387" s="1138"/>
      <c r="W387" s="1138"/>
    </row>
    <row r="388">
      <c r="A388" s="1224" t="s">
        <v>22</v>
      </c>
      <c r="B388" s="1164">
        <v>178960.0</v>
      </c>
      <c r="C388" s="1186">
        <v>303987.3</v>
      </c>
      <c r="D388" s="1186">
        <v>0.0</v>
      </c>
      <c r="E388" s="1164"/>
      <c r="F388" s="1186">
        <v>0.0</v>
      </c>
      <c r="G388" s="1147"/>
      <c r="H388" s="1237"/>
      <c r="I388" s="1138"/>
      <c r="J388" s="1138"/>
      <c r="K388" s="1138"/>
      <c r="L388" s="1138"/>
      <c r="M388" s="1138"/>
      <c r="N388" s="1138"/>
      <c r="O388" s="1138"/>
      <c r="P388" s="1138"/>
      <c r="Q388" s="1138"/>
      <c r="R388" s="1138"/>
      <c r="S388" s="1138"/>
      <c r="T388" s="1138"/>
      <c r="U388" s="1138"/>
      <c r="V388" s="1138"/>
      <c r="W388" s="1138"/>
    </row>
    <row r="389">
      <c r="A389" s="1218" t="s">
        <v>23</v>
      </c>
      <c r="B389" s="1166">
        <v>2.9350952630000003E7</v>
      </c>
      <c r="C389" s="1166">
        <f t="shared" ref="C389:F389" si="48">SUM(C376:C388)</f>
        <v>2524755036</v>
      </c>
      <c r="D389" s="1166">
        <f t="shared" si="48"/>
        <v>3961588</v>
      </c>
      <c r="E389" s="1166">
        <f t="shared" si="48"/>
        <v>255186</v>
      </c>
      <c r="F389" s="1166">
        <f t="shared" si="48"/>
        <v>4216774</v>
      </c>
      <c r="G389" s="1147"/>
      <c r="H389" s="1237"/>
      <c r="I389" s="1138"/>
      <c r="J389" s="1138"/>
      <c r="K389" s="1138"/>
      <c r="L389" s="1138"/>
      <c r="M389" s="1138"/>
      <c r="N389" s="1138"/>
      <c r="O389" s="1138"/>
      <c r="P389" s="1138"/>
      <c r="Q389" s="1138"/>
      <c r="R389" s="1138"/>
      <c r="S389" s="1138"/>
      <c r="T389" s="1138"/>
      <c r="U389" s="1138"/>
      <c r="V389" s="1138"/>
      <c r="W389" s="1138"/>
    </row>
    <row r="390">
      <c r="A390" s="1138"/>
      <c r="B390" s="1138"/>
      <c r="C390" s="1138"/>
      <c r="D390" s="1147"/>
      <c r="E390" s="1138"/>
      <c r="F390" s="1151">
        <v>1.562784882E7</v>
      </c>
      <c r="G390" s="1147"/>
      <c r="H390" s="1138"/>
      <c r="I390" s="1138"/>
      <c r="J390" s="1138"/>
      <c r="K390" s="1138"/>
      <c r="L390" s="1138"/>
      <c r="M390" s="1138"/>
      <c r="N390" s="1138"/>
      <c r="O390" s="1138"/>
      <c r="P390" s="1138"/>
      <c r="Q390" s="1138"/>
      <c r="R390" s="1138"/>
      <c r="S390" s="1138"/>
      <c r="T390" s="1138"/>
      <c r="U390" s="1138"/>
      <c r="V390" s="1138"/>
      <c r="W390" s="1138"/>
    </row>
    <row r="391">
      <c r="A391" s="1138"/>
      <c r="B391" s="1138"/>
      <c r="C391" s="1138"/>
      <c r="D391" s="1147"/>
      <c r="E391" s="1138"/>
      <c r="F391" s="1147"/>
      <c r="G391" s="1147"/>
      <c r="H391" s="1138"/>
      <c r="I391" s="1138"/>
      <c r="J391" s="1138"/>
      <c r="K391" s="1138"/>
      <c r="L391" s="1138"/>
      <c r="M391" s="1138"/>
      <c r="N391" s="1138"/>
      <c r="O391" s="1138"/>
      <c r="P391" s="1138"/>
      <c r="Q391" s="1138"/>
      <c r="R391" s="1138"/>
      <c r="S391" s="1138"/>
      <c r="T391" s="1138"/>
      <c r="U391" s="1138"/>
      <c r="V391" s="1138"/>
      <c r="W391" s="1138"/>
    </row>
    <row r="392">
      <c r="A392" s="1138"/>
      <c r="B392" s="1138"/>
      <c r="C392" s="1138"/>
      <c r="D392" s="1147"/>
      <c r="E392" s="1138"/>
      <c r="F392" s="1147"/>
      <c r="G392" s="1147"/>
      <c r="H392" s="1138"/>
      <c r="I392" s="1138"/>
      <c r="J392" s="1138"/>
      <c r="K392" s="1138"/>
      <c r="L392" s="1138"/>
      <c r="M392" s="1138"/>
      <c r="N392" s="1138"/>
      <c r="O392" s="1138"/>
      <c r="P392" s="1138"/>
      <c r="Q392" s="1138"/>
      <c r="R392" s="1138"/>
      <c r="S392" s="1138"/>
      <c r="T392" s="1138"/>
      <c r="U392" s="1138"/>
      <c r="V392" s="1138"/>
      <c r="W392" s="1138"/>
    </row>
    <row r="393">
      <c r="A393" s="1138"/>
      <c r="B393" s="1138"/>
      <c r="C393" s="1138"/>
      <c r="D393" s="1147"/>
      <c r="E393" s="1138"/>
      <c r="F393" s="1147"/>
      <c r="G393" s="1147"/>
      <c r="H393" s="1138"/>
      <c r="I393" s="1138"/>
      <c r="J393" s="1138"/>
      <c r="K393" s="1138"/>
      <c r="L393" s="1138"/>
      <c r="M393" s="1138"/>
      <c r="N393" s="1138"/>
      <c r="O393" s="1138"/>
      <c r="P393" s="1138"/>
      <c r="Q393" s="1138"/>
      <c r="R393" s="1138"/>
      <c r="S393" s="1138"/>
      <c r="T393" s="1138"/>
      <c r="U393" s="1138"/>
      <c r="V393" s="1138"/>
      <c r="W393" s="1138"/>
    </row>
    <row r="394">
      <c r="A394" s="1138"/>
      <c r="B394" s="1138"/>
      <c r="C394" s="1138"/>
      <c r="D394" s="1147"/>
      <c r="E394" s="1138"/>
      <c r="F394" s="1147"/>
      <c r="G394" s="1147"/>
      <c r="H394" s="1138"/>
      <c r="I394" s="1138"/>
      <c r="J394" s="1138"/>
      <c r="K394" s="1138"/>
      <c r="L394" s="1138"/>
      <c r="M394" s="1138"/>
      <c r="N394" s="1138"/>
      <c r="O394" s="1138"/>
      <c r="P394" s="1138"/>
      <c r="Q394" s="1138"/>
      <c r="R394" s="1138"/>
      <c r="S394" s="1138"/>
      <c r="T394" s="1138"/>
      <c r="U394" s="1138"/>
      <c r="V394" s="1138"/>
      <c r="W394" s="1138"/>
    </row>
    <row r="395">
      <c r="A395" s="1239">
        <v>45420.0</v>
      </c>
      <c r="B395" s="1138"/>
      <c r="C395" s="1138"/>
      <c r="D395" s="1148"/>
      <c r="E395" s="1138"/>
      <c r="F395" s="1147"/>
      <c r="G395" s="1147"/>
      <c r="H395" s="1138"/>
      <c r="I395" s="1138"/>
      <c r="J395" s="1138"/>
      <c r="K395" s="1138"/>
      <c r="L395" s="1138"/>
      <c r="M395" s="1138"/>
      <c r="N395" s="1138"/>
      <c r="O395" s="1138"/>
      <c r="P395" s="1138"/>
      <c r="Q395" s="1138"/>
      <c r="R395" s="1138"/>
      <c r="S395" s="1138"/>
      <c r="T395" s="1138"/>
      <c r="U395" s="1138"/>
      <c r="V395" s="1138"/>
      <c r="W395" s="1138"/>
    </row>
    <row r="396">
      <c r="A396" s="1244" t="s">
        <v>1</v>
      </c>
      <c r="B396" s="1245" t="s">
        <v>6936</v>
      </c>
      <c r="C396" s="1246" t="s">
        <v>6950</v>
      </c>
      <c r="D396" s="1247" t="s">
        <v>6938</v>
      </c>
      <c r="E396" s="1248" t="s">
        <v>6939</v>
      </c>
      <c r="F396" s="1247" t="s">
        <v>6940</v>
      </c>
      <c r="G396" s="1147"/>
      <c r="H396" s="1138"/>
      <c r="I396" s="1138"/>
      <c r="J396" s="1138"/>
      <c r="K396" s="1138"/>
      <c r="L396" s="1138"/>
      <c r="M396" s="1138"/>
      <c r="N396" s="1138"/>
      <c r="O396" s="1138"/>
      <c r="P396" s="1138"/>
      <c r="Q396" s="1138"/>
      <c r="R396" s="1138"/>
      <c r="S396" s="1138"/>
      <c r="T396" s="1138"/>
      <c r="U396" s="1138"/>
      <c r="V396" s="1138"/>
      <c r="W396" s="1138"/>
    </row>
    <row r="397">
      <c r="A397" s="1223" t="s">
        <v>10</v>
      </c>
      <c r="B397" s="1186">
        <f>SUMIFS(ECOBANK!F:F,ECOBANK!A:A,"8/5/24")</f>
        <v>7339677.57</v>
      </c>
      <c r="C397" s="1186">
        <v>8.8860744641E8</v>
      </c>
      <c r="D397" s="1186">
        <v>762425.0</v>
      </c>
      <c r="E397" s="1186">
        <f t="shared" ref="E397:E410" si="49">F397-D397</f>
        <v>146933</v>
      </c>
      <c r="F397" s="1186">
        <v>909358.0</v>
      </c>
      <c r="G397" s="1237">
        <v>762425.0</v>
      </c>
      <c r="H397" s="1202">
        <v>909358.0</v>
      </c>
      <c r="I397" s="1138"/>
      <c r="J397" s="1138"/>
      <c r="K397" s="1138"/>
      <c r="L397" s="1138"/>
      <c r="M397" s="1138"/>
      <c r="N397" s="1138"/>
      <c r="O397" s="1138"/>
      <c r="P397" s="1138"/>
      <c r="Q397" s="1138"/>
      <c r="R397" s="1138"/>
      <c r="S397" s="1138"/>
      <c r="T397" s="1138"/>
      <c r="U397" s="1138"/>
      <c r="V397" s="1138"/>
      <c r="W397" s="1138"/>
    </row>
    <row r="398">
      <c r="A398" s="1223" t="s">
        <v>24</v>
      </c>
      <c r="B398" s="1164">
        <f>SUMIFS('TRADE CENTER'!F:F,'TRADE CENTER'!A:A,"8/5/24")</f>
        <v>7212491.1</v>
      </c>
      <c r="C398" s="1186">
        <v>6.52135953E8</v>
      </c>
      <c r="D398" s="1250">
        <v>1194235.0</v>
      </c>
      <c r="E398" s="1186">
        <f t="shared" si="49"/>
        <v>26203</v>
      </c>
      <c r="F398" s="1250">
        <v>1220438.0</v>
      </c>
      <c r="G398" s="1237">
        <v>1194235.0</v>
      </c>
      <c r="H398" s="1202">
        <v>1220438.0</v>
      </c>
      <c r="I398" s="1138"/>
      <c r="J398" s="1138"/>
      <c r="K398" s="1138"/>
      <c r="L398" s="1138"/>
      <c r="M398" s="1138"/>
      <c r="N398" s="1138"/>
      <c r="O398" s="1138"/>
      <c r="P398" s="1138"/>
      <c r="Q398" s="1138"/>
      <c r="R398" s="1138"/>
      <c r="S398" s="1138"/>
      <c r="T398" s="1138"/>
      <c r="U398" s="1138"/>
      <c r="V398" s="1138"/>
      <c r="W398" s="1138"/>
    </row>
    <row r="399">
      <c r="A399" s="1223" t="s">
        <v>12</v>
      </c>
      <c r="B399" s="1164">
        <f>SUMIFS(PENSION!F:F,PENSION!A:A,"8/5/2024")</f>
        <v>8983803.08</v>
      </c>
      <c r="C399" s="1186">
        <v>2.8123644615E8</v>
      </c>
      <c r="D399" s="1186">
        <v>1668297.0</v>
      </c>
      <c r="E399" s="1186">
        <f t="shared" si="49"/>
        <v>199255</v>
      </c>
      <c r="F399" s="1186">
        <v>1867552.0</v>
      </c>
      <c r="G399" s="1237">
        <v>1127584.0</v>
      </c>
      <c r="H399" s="1202">
        <v>1867552.0</v>
      </c>
      <c r="I399" s="1138"/>
      <c r="J399" s="1151">
        <v>1867552.0</v>
      </c>
      <c r="K399" s="1138"/>
      <c r="L399" s="1138"/>
      <c r="M399" s="1138"/>
      <c r="N399" s="1138"/>
      <c r="O399" s="1138"/>
      <c r="P399" s="1138"/>
      <c r="Q399" s="1138"/>
      <c r="R399" s="1138"/>
      <c r="S399" s="1138"/>
      <c r="T399" s="1138"/>
      <c r="U399" s="1138"/>
      <c r="V399" s="1138"/>
      <c r="W399" s="1138"/>
    </row>
    <row r="400">
      <c r="A400" s="1223" t="s">
        <v>13</v>
      </c>
      <c r="B400" s="1164">
        <f>SUMIFS(KITENGELA!F:F,KITENGELA!A:A,"8/5/2024")</f>
        <v>5274444.42</v>
      </c>
      <c r="C400" s="1186">
        <v>1.1729654412E8</v>
      </c>
      <c r="D400" s="1164">
        <v>1798683.0</v>
      </c>
      <c r="E400" s="1186">
        <f t="shared" si="49"/>
        <v>121305</v>
      </c>
      <c r="F400" s="1186">
        <v>1919988.0</v>
      </c>
      <c r="G400" s="1237">
        <v>1798683.0</v>
      </c>
      <c r="H400" s="1202">
        <v>1919988.0</v>
      </c>
      <c r="I400" s="1138"/>
      <c r="J400" s="1138"/>
      <c r="K400" s="1138"/>
      <c r="L400" s="1138"/>
      <c r="M400" s="1138"/>
      <c r="N400" s="1138"/>
      <c r="O400" s="1138"/>
      <c r="P400" s="1138"/>
      <c r="Q400" s="1138"/>
      <c r="R400" s="1138"/>
      <c r="S400" s="1138"/>
      <c r="T400" s="1138"/>
      <c r="U400" s="1138"/>
      <c r="V400" s="1138"/>
      <c r="W400" s="1138"/>
    </row>
    <row r="401">
      <c r="A401" s="1223" t="s">
        <v>14</v>
      </c>
      <c r="B401" s="1164">
        <f>SUMIFS(ELDORET!F:F,ELDORET!A:A,"8/5/24")</f>
        <v>1057026</v>
      </c>
      <c r="C401" s="1139">
        <v>1.7007670275E8</v>
      </c>
      <c r="D401" s="1186">
        <v>67200.0</v>
      </c>
      <c r="E401" s="1186">
        <f t="shared" si="49"/>
        <v>68956</v>
      </c>
      <c r="F401" s="1186">
        <v>136156.0</v>
      </c>
      <c r="G401" s="1237">
        <v>67200.0</v>
      </c>
      <c r="H401" s="1202">
        <v>136156.0</v>
      </c>
      <c r="I401" s="1138"/>
      <c r="J401" s="1138"/>
      <c r="K401" s="1138"/>
      <c r="L401" s="1138"/>
      <c r="M401" s="1138"/>
      <c r="N401" s="1138"/>
      <c r="O401" s="1138"/>
      <c r="P401" s="1138"/>
      <c r="Q401" s="1138"/>
      <c r="R401" s="1138"/>
      <c r="S401" s="1138"/>
      <c r="T401" s="1138"/>
      <c r="U401" s="1138"/>
      <c r="V401" s="1138"/>
      <c r="W401" s="1138"/>
    </row>
    <row r="402">
      <c r="A402" s="1223" t="s">
        <v>15</v>
      </c>
      <c r="B402" s="1164">
        <f>SUMIFS(NAKURU!F:F,NAKURU!A:A,"8/5/24")</f>
        <v>632000</v>
      </c>
      <c r="C402" s="1186">
        <v>1.804180861E7</v>
      </c>
      <c r="D402" s="1186">
        <v>130000.0</v>
      </c>
      <c r="E402" s="1186">
        <f t="shared" si="49"/>
        <v>51604</v>
      </c>
      <c r="F402" s="1186">
        <v>181604.0</v>
      </c>
      <c r="G402" s="1237">
        <v>130000.0</v>
      </c>
      <c r="H402" s="1202">
        <v>181604.0</v>
      </c>
      <c r="I402" s="1151">
        <v>181604.0</v>
      </c>
      <c r="J402" s="1138"/>
      <c r="K402" s="1138"/>
      <c r="L402" s="1138"/>
      <c r="M402" s="1138"/>
      <c r="N402" s="1138"/>
      <c r="O402" s="1138"/>
      <c r="P402" s="1138"/>
      <c r="Q402" s="1138"/>
      <c r="R402" s="1138"/>
      <c r="S402" s="1138"/>
      <c r="T402" s="1138"/>
      <c r="U402" s="1138"/>
      <c r="V402" s="1138"/>
      <c r="W402" s="1138"/>
    </row>
    <row r="403">
      <c r="A403" s="1223" t="s">
        <v>16</v>
      </c>
      <c r="B403" s="1164">
        <f>SUMIFS(HOMABAY!F:F,HOMABAY!A:A,"8/5/24")</f>
        <v>163734</v>
      </c>
      <c r="C403" s="1186">
        <v>1.580338388E7</v>
      </c>
      <c r="D403" s="1186">
        <v>57700.0</v>
      </c>
      <c r="E403" s="1186">
        <f t="shared" si="49"/>
        <v>668502</v>
      </c>
      <c r="F403" s="1186">
        <v>726202.0</v>
      </c>
      <c r="G403" s="1237">
        <v>57700.0</v>
      </c>
      <c r="H403" s="1202">
        <v>726202.0</v>
      </c>
      <c r="I403" s="1151">
        <v>726202.0</v>
      </c>
      <c r="J403" s="1138"/>
      <c r="K403" s="1138"/>
      <c r="L403" s="1138"/>
      <c r="M403" s="1138"/>
      <c r="N403" s="1138"/>
      <c r="O403" s="1138"/>
      <c r="P403" s="1138"/>
      <c r="Q403" s="1138"/>
      <c r="R403" s="1138"/>
      <c r="S403" s="1138"/>
      <c r="T403" s="1138"/>
      <c r="U403" s="1138"/>
      <c r="V403" s="1138"/>
      <c r="W403" s="1138"/>
    </row>
    <row r="404">
      <c r="A404" s="1223" t="s">
        <v>17</v>
      </c>
      <c r="B404" s="1164">
        <f>SUMIFS(MOMBASA!F:F,MOMBASA!A:A,"8/5/24")</f>
        <v>1761821.37</v>
      </c>
      <c r="C404" s="1182">
        <v>2.0960012982E8</v>
      </c>
      <c r="D404" s="1182">
        <v>427040.0</v>
      </c>
      <c r="E404" s="1186">
        <f t="shared" si="49"/>
        <v>73576</v>
      </c>
      <c r="F404" s="1182">
        <v>500616.0</v>
      </c>
      <c r="G404" s="1237">
        <v>427040.0</v>
      </c>
      <c r="H404" s="1202">
        <v>500616.0</v>
      </c>
      <c r="I404" s="1138"/>
      <c r="J404" s="1138"/>
      <c r="K404" s="1138"/>
      <c r="L404" s="1138"/>
      <c r="M404" s="1138"/>
      <c r="N404" s="1138"/>
      <c r="O404" s="1138"/>
      <c r="P404" s="1138"/>
      <c r="Q404" s="1138"/>
      <c r="R404" s="1138"/>
      <c r="S404" s="1138"/>
      <c r="T404" s="1138"/>
      <c r="U404" s="1138"/>
      <c r="V404" s="1138"/>
      <c r="W404" s="1138"/>
    </row>
    <row r="405">
      <c r="A405" s="1223" t="s">
        <v>18</v>
      </c>
      <c r="B405" s="1164">
        <f>SUMIFS(KISUMU!F:F,KISUMU!A:A,"8/5/24")</f>
        <v>1916677.05</v>
      </c>
      <c r="C405" s="1186">
        <v>9.784904898E7</v>
      </c>
      <c r="D405" s="1186">
        <v>419882.0</v>
      </c>
      <c r="E405" s="1186">
        <f t="shared" si="49"/>
        <v>276285</v>
      </c>
      <c r="F405" s="1164">
        <v>696167.0</v>
      </c>
      <c r="G405" s="1237">
        <v>419882.0</v>
      </c>
      <c r="H405" s="1202">
        <v>696167.0</v>
      </c>
      <c r="I405" s="1151">
        <v>696167.0</v>
      </c>
      <c r="J405" s="1138"/>
      <c r="K405" s="1138"/>
      <c r="L405" s="1138"/>
      <c r="M405" s="1138"/>
      <c r="N405" s="1138"/>
      <c r="O405" s="1138"/>
      <c r="P405" s="1138"/>
      <c r="Q405" s="1138"/>
      <c r="R405" s="1138"/>
      <c r="S405" s="1138"/>
      <c r="T405" s="1138"/>
      <c r="U405" s="1138"/>
      <c r="V405" s="1138"/>
      <c r="W405" s="1138"/>
    </row>
    <row r="406">
      <c r="A406" s="1223" t="s">
        <v>19</v>
      </c>
      <c r="B406" s="1164">
        <f>SUMIFS(VOI!F:F,VOI!A:A,"8/5/24")</f>
        <v>272340.97</v>
      </c>
      <c r="C406" s="1225">
        <v>7646179.46</v>
      </c>
      <c r="D406" s="1186">
        <v>18000.0</v>
      </c>
      <c r="E406" s="1186">
        <f t="shared" si="49"/>
        <v>9800</v>
      </c>
      <c r="F406" s="1186">
        <v>27800.0</v>
      </c>
      <c r="G406" s="1237">
        <v>18000.0</v>
      </c>
      <c r="H406" s="1202">
        <v>27800.0</v>
      </c>
      <c r="I406" s="1138"/>
      <c r="J406" s="1138"/>
      <c r="K406" s="1138"/>
      <c r="L406" s="1138"/>
      <c r="M406" s="1138"/>
      <c r="N406" s="1138"/>
      <c r="O406" s="1138"/>
      <c r="P406" s="1138"/>
      <c r="Q406" s="1138"/>
      <c r="R406" s="1138"/>
      <c r="S406" s="1138"/>
      <c r="T406" s="1138"/>
      <c r="U406" s="1138"/>
      <c r="V406" s="1138"/>
      <c r="W406" s="1138"/>
    </row>
    <row r="407">
      <c r="A407" s="1223" t="s">
        <v>20</v>
      </c>
      <c r="B407" s="1164">
        <f>SUMIFS(THIKA!F:F,THIKA!A:A,"8/5/24")</f>
        <v>1308146</v>
      </c>
      <c r="C407" s="1225">
        <v>6.859928511E7</v>
      </c>
      <c r="D407" s="1164">
        <v>74879.0</v>
      </c>
      <c r="E407" s="1186">
        <f t="shared" si="49"/>
        <v>117180</v>
      </c>
      <c r="F407" s="1186">
        <v>192059.0</v>
      </c>
      <c r="G407" s="1237">
        <v>74879.0</v>
      </c>
      <c r="H407" s="1202">
        <v>192059.0</v>
      </c>
      <c r="I407" s="1151">
        <v>192059.0</v>
      </c>
      <c r="J407" s="1138"/>
      <c r="K407" s="1138"/>
      <c r="L407" s="1138"/>
      <c r="M407" s="1138"/>
      <c r="N407" s="1138"/>
      <c r="O407" s="1138"/>
      <c r="P407" s="1138"/>
      <c r="Q407" s="1138"/>
      <c r="R407" s="1138"/>
      <c r="S407" s="1138"/>
      <c r="T407" s="1138"/>
      <c r="U407" s="1138"/>
      <c r="V407" s="1138"/>
      <c r="W407" s="1138"/>
    </row>
    <row r="408">
      <c r="A408" s="1223" t="s">
        <v>21</v>
      </c>
      <c r="B408" s="1164">
        <f>SUMIFS(KITUI!F:F,KITUI!A:A,"8/5/24")</f>
        <v>63000</v>
      </c>
      <c r="C408" s="1225">
        <v>2323362.5</v>
      </c>
      <c r="D408" s="1186">
        <v>67000.0</v>
      </c>
      <c r="E408" s="1186">
        <f t="shared" si="49"/>
        <v>7193</v>
      </c>
      <c r="F408" s="1186">
        <v>74193.0</v>
      </c>
      <c r="G408" s="1237">
        <v>67000.0</v>
      </c>
      <c r="H408" s="1202">
        <v>74193.0</v>
      </c>
      <c r="I408" s="1138"/>
      <c r="J408" s="1138"/>
      <c r="K408" s="1138"/>
      <c r="L408" s="1138"/>
      <c r="M408" s="1138"/>
      <c r="N408" s="1138"/>
      <c r="O408" s="1138"/>
      <c r="P408" s="1138"/>
      <c r="Q408" s="1138"/>
      <c r="R408" s="1138"/>
      <c r="S408" s="1138"/>
      <c r="T408" s="1138"/>
      <c r="U408" s="1138"/>
      <c r="V408" s="1138"/>
      <c r="W408" s="1138"/>
    </row>
    <row r="409">
      <c r="A409" s="1224" t="s">
        <v>22</v>
      </c>
      <c r="B409" s="1164">
        <f>SUMIFS(MACHAKOS!F:F,MACHAKOS!A:A,"8/5/24")</f>
        <v>178960</v>
      </c>
      <c r="C409" s="1186">
        <v>303987.3</v>
      </c>
      <c r="D409" s="1186">
        <v>0.0</v>
      </c>
      <c r="E409" s="1186">
        <f t="shared" si="49"/>
        <v>51316</v>
      </c>
      <c r="F409" s="1186">
        <v>51316.0</v>
      </c>
      <c r="G409" s="1237">
        <v>0.0</v>
      </c>
      <c r="H409" s="1202">
        <v>51316.0</v>
      </c>
      <c r="I409" s="1138"/>
      <c r="J409" s="1138"/>
      <c r="K409" s="1138"/>
      <c r="L409" s="1138"/>
      <c r="M409" s="1138"/>
      <c r="N409" s="1138"/>
      <c r="O409" s="1138"/>
      <c r="P409" s="1138"/>
      <c r="Q409" s="1138"/>
      <c r="R409" s="1138"/>
      <c r="S409" s="1138"/>
      <c r="T409" s="1138"/>
      <c r="U409" s="1138"/>
      <c r="V409" s="1138"/>
      <c r="W409" s="1138"/>
    </row>
    <row r="410">
      <c r="A410" s="1218" t="s">
        <v>23</v>
      </c>
      <c r="B410" s="1166">
        <f t="shared" ref="B410:C410" si="50">SUM(B396:B409)</f>
        <v>36164121.56</v>
      </c>
      <c r="C410" s="1166">
        <f t="shared" si="50"/>
        <v>2529520278</v>
      </c>
      <c r="D410" s="1166">
        <v>6685341.0</v>
      </c>
      <c r="E410" s="1252">
        <f t="shared" si="49"/>
        <v>1818108</v>
      </c>
      <c r="F410" s="1166">
        <f>SUM(F396:F409)</f>
        <v>8503449</v>
      </c>
      <c r="G410" s="1147"/>
      <c r="H410" s="1138"/>
      <c r="I410" s="1138"/>
      <c r="J410" s="1138"/>
      <c r="K410" s="1138"/>
      <c r="L410" s="1138"/>
      <c r="M410" s="1138"/>
      <c r="N410" s="1138"/>
      <c r="O410" s="1138"/>
      <c r="P410" s="1138"/>
      <c r="Q410" s="1138"/>
      <c r="R410" s="1138"/>
      <c r="S410" s="1138"/>
      <c r="T410" s="1138"/>
      <c r="U410" s="1138"/>
      <c r="V410" s="1138"/>
      <c r="W410" s="1138"/>
    </row>
    <row r="411">
      <c r="A411" s="1138"/>
      <c r="B411" s="1138"/>
      <c r="C411" s="1138"/>
      <c r="D411" s="1147"/>
      <c r="E411" s="1138"/>
      <c r="F411" s="1147"/>
      <c r="G411" s="1147"/>
      <c r="H411" s="1138"/>
      <c r="I411" s="1138"/>
      <c r="J411" s="1138"/>
      <c r="K411" s="1138"/>
      <c r="L411" s="1138"/>
      <c r="M411" s="1138"/>
      <c r="N411" s="1138"/>
      <c r="O411" s="1138"/>
      <c r="P411" s="1138"/>
      <c r="Q411" s="1138"/>
      <c r="R411" s="1138"/>
      <c r="S411" s="1138"/>
      <c r="T411" s="1138"/>
      <c r="U411" s="1138"/>
      <c r="V411" s="1138"/>
      <c r="W411" s="1138"/>
    </row>
    <row r="412">
      <c r="A412" s="1138"/>
      <c r="B412" s="1138"/>
      <c r="C412" s="1138"/>
      <c r="D412" s="1147"/>
      <c r="E412" s="1138"/>
      <c r="F412" s="1147"/>
      <c r="G412" s="1147"/>
      <c r="H412" s="1138"/>
      <c r="I412" s="1138"/>
      <c r="J412" s="1138"/>
      <c r="K412" s="1138"/>
      <c r="L412" s="1138"/>
      <c r="M412" s="1138"/>
      <c r="N412" s="1138"/>
      <c r="O412" s="1138"/>
      <c r="P412" s="1138"/>
      <c r="Q412" s="1138"/>
      <c r="R412" s="1138"/>
      <c r="S412" s="1138"/>
      <c r="T412" s="1138"/>
      <c r="U412" s="1138"/>
      <c r="V412" s="1138"/>
      <c r="W412" s="1138"/>
    </row>
    <row r="413">
      <c r="A413" s="1138"/>
      <c r="B413" s="1138"/>
      <c r="C413" s="1138"/>
      <c r="D413" s="1147"/>
      <c r="E413" s="1138"/>
      <c r="F413" s="1147"/>
      <c r="G413" s="1147"/>
      <c r="H413" s="1138"/>
      <c r="I413" s="1138"/>
      <c r="J413" s="1138"/>
      <c r="K413" s="1138"/>
      <c r="L413" s="1138"/>
      <c r="M413" s="1138"/>
      <c r="N413" s="1138"/>
      <c r="O413" s="1138"/>
      <c r="P413" s="1138"/>
      <c r="Q413" s="1138"/>
      <c r="R413" s="1138"/>
      <c r="S413" s="1138"/>
      <c r="T413" s="1138"/>
      <c r="U413" s="1138"/>
      <c r="V413" s="1138"/>
      <c r="W413" s="1138"/>
    </row>
    <row r="414">
      <c r="A414" s="1253">
        <v>45440.0</v>
      </c>
      <c r="B414" s="1138"/>
      <c r="C414" s="1138"/>
      <c r="D414" s="1147"/>
      <c r="E414" s="1138"/>
      <c r="F414" s="1147"/>
      <c r="G414" s="1147"/>
      <c r="H414" s="1138"/>
      <c r="I414" s="1138"/>
      <c r="J414" s="1138"/>
      <c r="K414" s="1138"/>
      <c r="L414" s="1138"/>
      <c r="M414" s="1138"/>
      <c r="N414" s="1138"/>
      <c r="O414" s="1138"/>
      <c r="P414" s="1138"/>
      <c r="Q414" s="1138"/>
      <c r="R414" s="1138"/>
      <c r="S414" s="1138"/>
      <c r="T414" s="1138"/>
      <c r="U414" s="1138"/>
      <c r="V414" s="1138"/>
      <c r="W414" s="1138"/>
    </row>
    <row r="415">
      <c r="A415" s="1244" t="s">
        <v>1</v>
      </c>
      <c r="B415" s="1245" t="s">
        <v>6936</v>
      </c>
      <c r="C415" s="1246" t="s">
        <v>6950</v>
      </c>
      <c r="D415" s="1247" t="s">
        <v>6938</v>
      </c>
      <c r="E415" s="1248" t="s">
        <v>6939</v>
      </c>
      <c r="F415" s="1247" t="s">
        <v>6940</v>
      </c>
      <c r="G415" s="1147"/>
      <c r="H415" s="1138"/>
      <c r="I415" s="1138"/>
      <c r="J415" s="1138"/>
      <c r="K415" s="1138"/>
      <c r="L415" s="1138"/>
      <c r="M415" s="1138"/>
      <c r="N415" s="1138"/>
      <c r="O415" s="1138"/>
      <c r="P415" s="1138"/>
      <c r="Q415" s="1138"/>
      <c r="R415" s="1138"/>
      <c r="S415" s="1138"/>
      <c r="T415" s="1138"/>
      <c r="U415" s="1138"/>
      <c r="V415" s="1138"/>
      <c r="W415" s="1138"/>
    </row>
    <row r="416">
      <c r="A416" s="1201" t="s">
        <v>10</v>
      </c>
      <c r="B416" s="1164">
        <f>SUMIFS(ECOBANK!F:F,ECOBANK!A:A,"8/6/24")</f>
        <v>7714710.07</v>
      </c>
      <c r="C416" s="1186">
        <v>8.8975598381E8</v>
      </c>
      <c r="D416" s="1186">
        <v>686000.0</v>
      </c>
      <c r="E416" s="1186">
        <f t="shared" ref="E416:E429" si="51">F416-D416</f>
        <v>599243</v>
      </c>
      <c r="F416" s="1186">
        <v>1285243.0</v>
      </c>
      <c r="G416" s="1147"/>
      <c r="H416" s="1138"/>
      <c r="I416" s="1138"/>
      <c r="J416" s="1138"/>
      <c r="K416" s="1138"/>
      <c r="L416" s="1138"/>
      <c r="M416" s="1138"/>
      <c r="N416" s="1138"/>
      <c r="O416" s="1138"/>
      <c r="P416" s="1138"/>
      <c r="Q416" s="1138"/>
      <c r="R416" s="1138"/>
      <c r="S416" s="1138"/>
      <c r="T416" s="1138"/>
      <c r="U416" s="1138"/>
      <c r="V416" s="1138"/>
      <c r="W416" s="1138"/>
    </row>
    <row r="417">
      <c r="A417" s="1201" t="s">
        <v>24</v>
      </c>
      <c r="B417" s="1164">
        <f>SUMIFS('TRADE CENTER'!F:F,'TRADE CENTER'!A:A,"8/6/24")</f>
        <v>6192642.5</v>
      </c>
      <c r="C417" s="1186">
        <v>6.5278633026E8</v>
      </c>
      <c r="D417" s="1249">
        <v>785597.0</v>
      </c>
      <c r="E417" s="1186">
        <f t="shared" si="51"/>
        <v>45670</v>
      </c>
      <c r="F417" s="1250">
        <v>831267.0</v>
      </c>
      <c r="G417" s="1147"/>
      <c r="H417" s="1138"/>
      <c r="I417" s="1138"/>
      <c r="J417" s="1138"/>
      <c r="K417" s="1138"/>
      <c r="L417" s="1138"/>
      <c r="M417" s="1138"/>
      <c r="N417" s="1138"/>
      <c r="O417" s="1138"/>
      <c r="P417" s="1138"/>
      <c r="Q417" s="1138"/>
      <c r="R417" s="1138"/>
      <c r="S417" s="1138"/>
      <c r="T417" s="1138"/>
      <c r="U417" s="1138"/>
      <c r="V417" s="1138"/>
      <c r="W417" s="1138"/>
    </row>
    <row r="418">
      <c r="A418" s="1201" t="s">
        <v>12</v>
      </c>
      <c r="B418" s="1164">
        <f>SUMIFS(PENSION!F:F,PENSION!A:A,"8/6/2024")</f>
        <v>10329347.49</v>
      </c>
      <c r="C418" s="1186">
        <v>2.8123644615E8</v>
      </c>
      <c r="D418" s="1186">
        <v>1595594.0</v>
      </c>
      <c r="E418" s="1186">
        <f t="shared" si="51"/>
        <v>241630</v>
      </c>
      <c r="F418" s="1186">
        <v>1837224.0</v>
      </c>
      <c r="G418" s="1147"/>
      <c r="H418" s="1138"/>
      <c r="I418" s="1138"/>
      <c r="J418" s="1138"/>
      <c r="K418" s="1138"/>
      <c r="L418" s="1138"/>
      <c r="M418" s="1138"/>
      <c r="N418" s="1138"/>
      <c r="O418" s="1138"/>
      <c r="P418" s="1138"/>
      <c r="Q418" s="1138"/>
      <c r="R418" s="1138"/>
      <c r="S418" s="1138"/>
      <c r="T418" s="1138"/>
      <c r="U418" s="1138"/>
      <c r="V418" s="1138"/>
      <c r="W418" s="1138"/>
    </row>
    <row r="419">
      <c r="A419" s="1201" t="s">
        <v>13</v>
      </c>
      <c r="B419" s="1164">
        <f>SUMIFS(KITENGELA!F:F,KITENGELA!A:A,"8/5/2024")</f>
        <v>5274444.42</v>
      </c>
      <c r="C419" s="1186">
        <v>1.1718968876E8</v>
      </c>
      <c r="D419" s="1164">
        <v>579821.0</v>
      </c>
      <c r="E419" s="1186">
        <f t="shared" si="51"/>
        <v>45595</v>
      </c>
      <c r="F419" s="1186">
        <v>625416.0</v>
      </c>
      <c r="G419" s="1147"/>
      <c r="H419" s="1138"/>
      <c r="I419" s="1138"/>
      <c r="J419" s="1138"/>
      <c r="K419" s="1138"/>
      <c r="L419" s="1138"/>
      <c r="M419" s="1138"/>
      <c r="N419" s="1138"/>
      <c r="O419" s="1138"/>
      <c r="P419" s="1138"/>
      <c r="Q419" s="1138"/>
      <c r="R419" s="1138"/>
      <c r="S419" s="1138"/>
      <c r="T419" s="1138"/>
      <c r="U419" s="1138"/>
      <c r="V419" s="1138"/>
      <c r="W419" s="1138"/>
    </row>
    <row r="420">
      <c r="A420" s="1201" t="s">
        <v>14</v>
      </c>
      <c r="B420" s="1164">
        <f>SUMIFS(ELDORET!F:F,ELDORET!A:A,"8/6/24")</f>
        <v>1247084.26</v>
      </c>
      <c r="C420" s="1139">
        <v>1.7028334092E8</v>
      </c>
      <c r="D420" s="1186">
        <v>190015.0</v>
      </c>
      <c r="E420" s="1186">
        <f t="shared" si="51"/>
        <v>42783.35</v>
      </c>
      <c r="F420" s="1186">
        <v>232798.35</v>
      </c>
      <c r="G420" s="1147"/>
      <c r="H420" s="1138"/>
      <c r="I420" s="1138"/>
      <c r="J420" s="1138"/>
      <c r="K420" s="1138"/>
      <c r="L420" s="1138"/>
      <c r="M420" s="1138"/>
      <c r="N420" s="1138"/>
      <c r="O420" s="1138"/>
      <c r="P420" s="1138"/>
      <c r="Q420" s="1138"/>
      <c r="R420" s="1138"/>
      <c r="S420" s="1138"/>
      <c r="T420" s="1138"/>
      <c r="U420" s="1138"/>
      <c r="V420" s="1138"/>
      <c r="W420" s="1138"/>
    </row>
    <row r="421">
      <c r="A421" s="1201" t="s">
        <v>15</v>
      </c>
      <c r="B421" s="1164">
        <f>SUMIFS(NAKURU!F:F,NAKURU!A:A,"8/6/24")</f>
        <v>587436</v>
      </c>
      <c r="C421" s="1186">
        <v>1.810093008E7</v>
      </c>
      <c r="D421" s="1186">
        <v>123156.0</v>
      </c>
      <c r="E421" s="1186">
        <f t="shared" si="51"/>
        <v>52817</v>
      </c>
      <c r="F421" s="1186">
        <v>175973.0</v>
      </c>
      <c r="G421" s="1147"/>
      <c r="H421" s="1138"/>
      <c r="I421" s="1138"/>
      <c r="J421" s="1138"/>
      <c r="K421" s="1138"/>
      <c r="L421" s="1138"/>
      <c r="M421" s="1138"/>
      <c r="N421" s="1138"/>
      <c r="O421" s="1138"/>
      <c r="P421" s="1138"/>
      <c r="Q421" s="1138"/>
      <c r="R421" s="1138"/>
      <c r="S421" s="1138"/>
      <c r="T421" s="1138"/>
      <c r="U421" s="1138"/>
      <c r="V421" s="1138"/>
      <c r="W421" s="1138"/>
    </row>
    <row r="422">
      <c r="A422" s="1201" t="s">
        <v>16</v>
      </c>
      <c r="B422" s="1164">
        <f>SUMIFS(HOMABAY!F:F,HOMABAY!A:A,"8/6/24")</f>
        <v>72000</v>
      </c>
      <c r="C422" s="1186">
        <v>1.518609068E7</v>
      </c>
      <c r="D422" s="1186">
        <v>62000.0</v>
      </c>
      <c r="E422" s="1186">
        <f t="shared" si="51"/>
        <v>0</v>
      </c>
      <c r="F422" s="1186">
        <v>62000.0</v>
      </c>
      <c r="G422" s="1147"/>
      <c r="H422" s="1138"/>
      <c r="I422" s="1138"/>
      <c r="J422" s="1138"/>
      <c r="K422" s="1138"/>
      <c r="L422" s="1138"/>
      <c r="M422" s="1138"/>
      <c r="N422" s="1138"/>
      <c r="O422" s="1138"/>
      <c r="P422" s="1138"/>
      <c r="Q422" s="1138"/>
      <c r="R422" s="1138"/>
      <c r="S422" s="1138"/>
      <c r="T422" s="1138"/>
      <c r="U422" s="1138"/>
      <c r="V422" s="1138"/>
      <c r="W422" s="1138"/>
    </row>
    <row r="423">
      <c r="A423" s="1201" t="s">
        <v>17</v>
      </c>
      <c r="B423" s="1164">
        <f>SUMIFS(MOMBASA!F:F,MOMBASA!A:A,"8/6/24")</f>
        <v>1270388.86</v>
      </c>
      <c r="C423" s="1182">
        <v>2.0959912982E8</v>
      </c>
      <c r="D423" s="1182">
        <v>327286.0</v>
      </c>
      <c r="E423" s="1186">
        <f t="shared" si="51"/>
        <v>95407</v>
      </c>
      <c r="F423" s="1182">
        <v>422693.0</v>
      </c>
      <c r="G423" s="1147"/>
      <c r="H423" s="1138"/>
      <c r="I423" s="1138"/>
      <c r="J423" s="1138"/>
      <c r="K423" s="1138"/>
      <c r="L423" s="1138"/>
      <c r="M423" s="1138"/>
      <c r="N423" s="1138"/>
      <c r="O423" s="1138"/>
      <c r="P423" s="1138"/>
      <c r="Q423" s="1138"/>
      <c r="R423" s="1138"/>
      <c r="S423" s="1138"/>
      <c r="T423" s="1138"/>
      <c r="U423" s="1138"/>
      <c r="V423" s="1138"/>
      <c r="W423" s="1138"/>
    </row>
    <row r="424">
      <c r="A424" s="1201" t="s">
        <v>18</v>
      </c>
      <c r="B424" s="1164">
        <f>SUMIFS(KISUMU!F:F,KISUMU!A:A,"8/6/24")</f>
        <v>1588877.2</v>
      </c>
      <c r="C424" s="1186">
        <v>9.776900542E7</v>
      </c>
      <c r="D424" s="1187">
        <v>104550.0</v>
      </c>
      <c r="E424" s="1186">
        <f t="shared" si="51"/>
        <v>50968</v>
      </c>
      <c r="F424" s="1164">
        <v>155518.0</v>
      </c>
      <c r="G424" s="1147"/>
      <c r="H424" s="1138"/>
      <c r="I424" s="1138"/>
      <c r="J424" s="1138"/>
      <c r="K424" s="1138"/>
      <c r="L424" s="1138"/>
      <c r="M424" s="1138"/>
      <c r="N424" s="1138"/>
      <c r="O424" s="1138"/>
      <c r="P424" s="1138"/>
      <c r="Q424" s="1138"/>
      <c r="R424" s="1138"/>
      <c r="S424" s="1138"/>
      <c r="T424" s="1138"/>
      <c r="U424" s="1138"/>
      <c r="V424" s="1138"/>
      <c r="W424" s="1138"/>
    </row>
    <row r="425">
      <c r="A425" s="1201" t="s">
        <v>19</v>
      </c>
      <c r="B425" s="1164">
        <f>SUMIFS(VOI!F:F,VOI!A:A,"8/6/24")</f>
        <v>222681</v>
      </c>
      <c r="C425" s="1225">
        <v>8215923.62</v>
      </c>
      <c r="D425" s="1161">
        <v>40000.0</v>
      </c>
      <c r="E425" s="1186">
        <f t="shared" si="51"/>
        <v>-15200</v>
      </c>
      <c r="F425" s="1186">
        <v>24800.0</v>
      </c>
      <c r="G425" s="1147"/>
      <c r="H425" s="1138"/>
      <c r="I425" s="1138"/>
      <c r="J425" s="1138"/>
      <c r="K425" s="1138"/>
      <c r="L425" s="1138"/>
      <c r="M425" s="1138"/>
      <c r="N425" s="1138"/>
      <c r="O425" s="1138"/>
      <c r="P425" s="1138"/>
      <c r="Q425" s="1138"/>
      <c r="R425" s="1138"/>
      <c r="S425" s="1138"/>
      <c r="T425" s="1138"/>
      <c r="U425" s="1138"/>
      <c r="V425" s="1138"/>
      <c r="W425" s="1138"/>
    </row>
    <row r="426">
      <c r="A426" s="1201" t="s">
        <v>20</v>
      </c>
      <c r="B426" s="1164">
        <f>SUMIFS(THIKA!F:F,THIKA!A:A,"8/6/24")</f>
        <v>1798309</v>
      </c>
      <c r="C426" s="1225">
        <v>6.871756165E7</v>
      </c>
      <c r="D426" s="1187">
        <v>39167.0</v>
      </c>
      <c r="E426" s="1186">
        <f t="shared" si="51"/>
        <v>33434</v>
      </c>
      <c r="F426" s="1186">
        <v>72601.0</v>
      </c>
      <c r="G426" s="1147"/>
      <c r="H426" s="1138"/>
      <c r="I426" s="1138"/>
      <c r="J426" s="1138"/>
      <c r="K426" s="1138"/>
      <c r="L426" s="1138"/>
      <c r="M426" s="1138"/>
      <c r="N426" s="1138"/>
      <c r="O426" s="1138"/>
      <c r="P426" s="1138"/>
      <c r="Q426" s="1138"/>
      <c r="R426" s="1138"/>
      <c r="S426" s="1138"/>
      <c r="T426" s="1138"/>
      <c r="U426" s="1138"/>
      <c r="V426" s="1138"/>
      <c r="W426" s="1138"/>
    </row>
    <row r="427">
      <c r="A427" s="1201" t="s">
        <v>21</v>
      </c>
      <c r="B427" s="1164">
        <f>SUMIFS(KITUI!F:F,KITUI!A:A,"8/6/24")</f>
        <v>0</v>
      </c>
      <c r="C427" s="1225">
        <v>2754123.87</v>
      </c>
      <c r="D427" s="1187">
        <v>0.0</v>
      </c>
      <c r="E427" s="1186">
        <f t="shared" si="51"/>
        <v>0</v>
      </c>
      <c r="F427" s="1186">
        <v>0.0</v>
      </c>
      <c r="G427" s="1147"/>
      <c r="H427" s="1138"/>
      <c r="I427" s="1138"/>
      <c r="J427" s="1138"/>
      <c r="K427" s="1138"/>
      <c r="L427" s="1138"/>
      <c r="M427" s="1138"/>
      <c r="N427" s="1138"/>
      <c r="O427" s="1138"/>
      <c r="P427" s="1138"/>
      <c r="Q427" s="1138"/>
      <c r="R427" s="1138"/>
      <c r="S427" s="1138"/>
      <c r="T427" s="1138"/>
      <c r="U427" s="1138"/>
      <c r="V427" s="1138"/>
      <c r="W427" s="1138"/>
    </row>
    <row r="428">
      <c r="A428" s="1203" t="s">
        <v>22</v>
      </c>
      <c r="B428" s="1164">
        <f>SUMIFS(MACHAKOS!F:F,MACHAKOS!A:A,"8/6/24")</f>
        <v>198427.08</v>
      </c>
      <c r="C428" s="1186">
        <v>386081.67</v>
      </c>
      <c r="D428" s="1186">
        <v>0.0</v>
      </c>
      <c r="E428" s="1186">
        <f t="shared" si="51"/>
        <v>661</v>
      </c>
      <c r="F428" s="1186">
        <v>661.0</v>
      </c>
      <c r="G428" s="1147"/>
      <c r="H428" s="1138"/>
      <c r="I428" s="1138"/>
      <c r="J428" s="1138"/>
      <c r="K428" s="1138"/>
      <c r="L428" s="1138"/>
      <c r="M428" s="1138"/>
      <c r="N428" s="1138"/>
      <c r="O428" s="1138"/>
      <c r="P428" s="1138"/>
      <c r="Q428" s="1138"/>
      <c r="R428" s="1138"/>
      <c r="S428" s="1138"/>
      <c r="T428" s="1138"/>
      <c r="U428" s="1138"/>
      <c r="V428" s="1138"/>
      <c r="W428" s="1138"/>
    </row>
    <row r="429">
      <c r="A429" s="1254" t="s">
        <v>23</v>
      </c>
      <c r="B429" s="1255">
        <f>SUM(B416:B428)</f>
        <v>36496347.88</v>
      </c>
      <c r="C429" s="1255">
        <f>SUM(C415:C428)</f>
        <v>2531980637</v>
      </c>
      <c r="D429" s="1255">
        <v>4533186.0</v>
      </c>
      <c r="E429" s="1252">
        <f t="shared" si="51"/>
        <v>1193008.35</v>
      </c>
      <c r="F429" s="1255">
        <v>5726194.35</v>
      </c>
      <c r="G429" s="1147"/>
      <c r="H429" s="1138"/>
      <c r="I429" s="1138"/>
      <c r="J429" s="1138"/>
      <c r="K429" s="1138"/>
      <c r="L429" s="1138"/>
      <c r="M429" s="1138"/>
      <c r="N429" s="1138"/>
      <c r="O429" s="1138"/>
      <c r="P429" s="1138"/>
      <c r="Q429" s="1138"/>
      <c r="R429" s="1138"/>
      <c r="S429" s="1138"/>
      <c r="T429" s="1138"/>
      <c r="U429" s="1138"/>
      <c r="V429" s="1138"/>
      <c r="W429" s="1138"/>
    </row>
    <row r="430">
      <c r="A430" s="1209"/>
      <c r="B430" s="1138"/>
      <c r="C430" s="1138"/>
      <c r="D430" s="1147"/>
      <c r="E430" s="1138"/>
      <c r="F430" s="1147"/>
      <c r="G430" s="1147"/>
      <c r="H430" s="1138"/>
      <c r="I430" s="1138"/>
      <c r="J430" s="1138"/>
      <c r="K430" s="1138"/>
      <c r="L430" s="1138"/>
      <c r="M430" s="1138"/>
      <c r="N430" s="1138"/>
      <c r="O430" s="1138"/>
      <c r="P430" s="1138"/>
      <c r="Q430" s="1138"/>
      <c r="R430" s="1138"/>
      <c r="S430" s="1138"/>
      <c r="T430" s="1138"/>
      <c r="U430" s="1138"/>
      <c r="V430" s="1138"/>
      <c r="W430" s="1138"/>
    </row>
    <row r="431">
      <c r="A431" s="1253">
        <v>45512.0</v>
      </c>
      <c r="B431" s="1138"/>
      <c r="C431" s="1138"/>
      <c r="D431" s="1147"/>
      <c r="E431" s="1138"/>
      <c r="F431" s="1147"/>
      <c r="G431" s="1147"/>
      <c r="H431" s="1138"/>
      <c r="I431" s="1138"/>
      <c r="J431" s="1138"/>
      <c r="K431" s="1138"/>
      <c r="L431" s="1138"/>
      <c r="M431" s="1138"/>
      <c r="N431" s="1138"/>
      <c r="O431" s="1138"/>
      <c r="P431" s="1138"/>
      <c r="Q431" s="1138"/>
      <c r="R431" s="1138"/>
      <c r="S431" s="1138"/>
      <c r="T431" s="1138"/>
      <c r="U431" s="1138"/>
      <c r="V431" s="1138"/>
      <c r="W431" s="1138"/>
    </row>
    <row r="432">
      <c r="A432" s="1244" t="s">
        <v>1</v>
      </c>
      <c r="B432" s="1245" t="s">
        <v>6936</v>
      </c>
      <c r="C432" s="1246" t="s">
        <v>6950</v>
      </c>
      <c r="D432" s="1247" t="s">
        <v>6938</v>
      </c>
      <c r="E432" s="1248" t="s">
        <v>6939</v>
      </c>
      <c r="F432" s="1247" t="s">
        <v>6940</v>
      </c>
      <c r="G432" s="1147"/>
      <c r="H432" s="1138"/>
      <c r="I432" s="1138"/>
      <c r="J432" s="1138"/>
      <c r="K432" s="1138"/>
      <c r="L432" s="1138"/>
      <c r="M432" s="1138"/>
      <c r="N432" s="1138"/>
      <c r="O432" s="1138"/>
      <c r="P432" s="1138"/>
      <c r="Q432" s="1138"/>
      <c r="R432" s="1138"/>
      <c r="S432" s="1138"/>
      <c r="T432" s="1138"/>
      <c r="U432" s="1138"/>
      <c r="V432" s="1138"/>
      <c r="W432" s="1138"/>
    </row>
    <row r="433">
      <c r="A433" s="1201" t="s">
        <v>10</v>
      </c>
      <c r="B433" s="1164">
        <f>SUMIFS(ECOBANK!F:F,ECOBANK!A:A,"8/8/24")</f>
        <v>6168941.57</v>
      </c>
      <c r="C433" s="1186">
        <v>8.8875598381E8</v>
      </c>
      <c r="D433" s="1186">
        <v>172000.0</v>
      </c>
      <c r="E433" s="1186">
        <f t="shared" ref="E433:E446" si="52">F433-D433</f>
        <v>27010</v>
      </c>
      <c r="F433" s="1186">
        <v>199010.0</v>
      </c>
      <c r="G433" s="1147"/>
      <c r="H433" s="1138"/>
      <c r="I433" s="1138"/>
      <c r="J433" s="1138"/>
      <c r="K433" s="1138"/>
      <c r="L433" s="1138"/>
      <c r="M433" s="1138"/>
      <c r="N433" s="1138"/>
      <c r="O433" s="1138"/>
      <c r="P433" s="1138"/>
      <c r="Q433" s="1138"/>
      <c r="R433" s="1138"/>
      <c r="S433" s="1138"/>
      <c r="T433" s="1138"/>
      <c r="U433" s="1138"/>
      <c r="V433" s="1138"/>
      <c r="W433" s="1138"/>
    </row>
    <row r="434">
      <c r="A434" s="1201" t="s">
        <v>24</v>
      </c>
      <c r="B434" s="1164">
        <f>SUMIFS('TRADE CENTER'!F:F,'TRADE CENTER'!A:A,"8/8/24")</f>
        <v>3311157.74</v>
      </c>
      <c r="C434" s="1186">
        <v>6.5278633026E8</v>
      </c>
      <c r="D434" s="1250">
        <v>141303.0</v>
      </c>
      <c r="E434" s="1186">
        <f t="shared" si="52"/>
        <v>0</v>
      </c>
      <c r="F434" s="1250">
        <v>141303.0</v>
      </c>
      <c r="G434" s="1147"/>
      <c r="H434" s="1138"/>
      <c r="I434" s="1138"/>
      <c r="J434" s="1138"/>
      <c r="K434" s="1138"/>
      <c r="L434" s="1138"/>
      <c r="M434" s="1138"/>
      <c r="N434" s="1138"/>
      <c r="O434" s="1138"/>
      <c r="P434" s="1138"/>
      <c r="Q434" s="1138"/>
      <c r="R434" s="1138"/>
      <c r="S434" s="1138"/>
      <c r="T434" s="1138"/>
      <c r="U434" s="1138"/>
      <c r="V434" s="1138"/>
      <c r="W434" s="1138"/>
    </row>
    <row r="435">
      <c r="A435" s="1201" t="s">
        <v>12</v>
      </c>
      <c r="B435" s="1164">
        <f>SUMIFS(PENSION!F:F,PENSION!A:A,"8/8/2024")</f>
        <v>9099436.12</v>
      </c>
      <c r="C435" s="1186">
        <v>2.8123644615E8</v>
      </c>
      <c r="D435" s="1186">
        <v>321310.0</v>
      </c>
      <c r="E435" s="1186">
        <f t="shared" si="52"/>
        <v>289661</v>
      </c>
      <c r="F435" s="1186">
        <v>610971.0</v>
      </c>
      <c r="G435" s="1147"/>
      <c r="H435" s="1138"/>
      <c r="I435" s="1138"/>
      <c r="J435" s="1138"/>
      <c r="K435" s="1138"/>
      <c r="L435" s="1138"/>
      <c r="M435" s="1138"/>
      <c r="N435" s="1138"/>
      <c r="O435" s="1138"/>
      <c r="P435" s="1138"/>
      <c r="Q435" s="1138"/>
      <c r="R435" s="1138"/>
      <c r="S435" s="1138"/>
      <c r="T435" s="1138"/>
      <c r="U435" s="1138"/>
      <c r="V435" s="1138"/>
      <c r="W435" s="1138"/>
    </row>
    <row r="436">
      <c r="A436" s="1201" t="s">
        <v>13</v>
      </c>
      <c r="B436" s="1164">
        <f>SUMIFS(KITENGELA!F:F,KITENGELA!A:A,"8/8/2024")</f>
        <v>5239333.33</v>
      </c>
      <c r="C436" s="1186">
        <v>1.1718968876E8</v>
      </c>
      <c r="D436" s="1164">
        <v>7000.0</v>
      </c>
      <c r="E436" s="1186">
        <f t="shared" si="52"/>
        <v>0</v>
      </c>
      <c r="F436" s="1186">
        <v>7000.0</v>
      </c>
      <c r="G436" s="1147"/>
      <c r="H436" s="1138"/>
      <c r="I436" s="1138"/>
      <c r="J436" s="1138"/>
      <c r="K436" s="1138"/>
      <c r="L436" s="1138"/>
      <c r="M436" s="1138"/>
      <c r="N436" s="1138"/>
      <c r="O436" s="1138"/>
      <c r="P436" s="1138"/>
      <c r="Q436" s="1138"/>
      <c r="R436" s="1138"/>
      <c r="S436" s="1138"/>
      <c r="T436" s="1138"/>
      <c r="U436" s="1138"/>
      <c r="V436" s="1138"/>
      <c r="W436" s="1138"/>
    </row>
    <row r="437">
      <c r="A437" s="1201" t="s">
        <v>14</v>
      </c>
      <c r="B437" s="1164">
        <f>SUMIFS(ELDORET!F:F,ELDORET!A:A,"8/8/24")</f>
        <v>1000797.26</v>
      </c>
      <c r="C437" s="1139">
        <v>1.7032423341E8</v>
      </c>
      <c r="D437" s="1186">
        <v>358000.0</v>
      </c>
      <c r="E437" s="1186">
        <f t="shared" si="52"/>
        <v>10453</v>
      </c>
      <c r="F437" s="1186">
        <v>368453.0</v>
      </c>
      <c r="G437" s="1147"/>
      <c r="H437" s="1256"/>
      <c r="I437" s="1138"/>
      <c r="J437" s="1138"/>
      <c r="K437" s="1138"/>
      <c r="L437" s="1138"/>
      <c r="M437" s="1138"/>
      <c r="N437" s="1138"/>
      <c r="O437" s="1138"/>
      <c r="P437" s="1138"/>
      <c r="Q437" s="1138"/>
      <c r="R437" s="1138"/>
      <c r="S437" s="1138"/>
      <c r="T437" s="1138"/>
      <c r="U437" s="1138"/>
      <c r="V437" s="1138"/>
      <c r="W437" s="1138"/>
    </row>
    <row r="438">
      <c r="A438" s="1201" t="s">
        <v>15</v>
      </c>
      <c r="B438" s="1164">
        <f>SUMIFS(NAKURU!F:F,NAKURU!A:A,"8/8/24")</f>
        <v>490936</v>
      </c>
      <c r="C438" s="1186">
        <v>1.810093008E7</v>
      </c>
      <c r="D438" s="1186">
        <v>0.0</v>
      </c>
      <c r="E438" s="1186">
        <f t="shared" si="52"/>
        <v>22033</v>
      </c>
      <c r="F438" s="1186">
        <v>22033.0</v>
      </c>
      <c r="G438" s="1147"/>
      <c r="H438" s="1138"/>
      <c r="I438" s="1138"/>
      <c r="J438" s="1138"/>
      <c r="K438" s="1138"/>
      <c r="L438" s="1138"/>
      <c r="M438" s="1138"/>
      <c r="N438" s="1138"/>
      <c r="O438" s="1138"/>
      <c r="P438" s="1138"/>
      <c r="Q438" s="1138"/>
      <c r="R438" s="1138"/>
      <c r="S438" s="1138"/>
      <c r="T438" s="1138"/>
      <c r="U438" s="1138"/>
      <c r="V438" s="1138"/>
      <c r="W438" s="1138"/>
    </row>
    <row r="439">
      <c r="A439" s="1201" t="s">
        <v>16</v>
      </c>
      <c r="B439" s="1164">
        <f>SUMIFS(HOMABAY!F:F,HOMABAY!A:A,"8/8/24")</f>
        <v>64000</v>
      </c>
      <c r="C439" s="1186">
        <v>1.518609068E7</v>
      </c>
      <c r="D439" s="1186">
        <v>6000.0</v>
      </c>
      <c r="E439" s="1186">
        <f t="shared" si="52"/>
        <v>121564</v>
      </c>
      <c r="F439" s="1186">
        <v>127564.0</v>
      </c>
      <c r="G439" s="1147"/>
      <c r="H439" s="1138"/>
      <c r="I439" s="1138"/>
      <c r="J439" s="1138"/>
      <c r="K439" s="1138"/>
      <c r="L439" s="1138"/>
      <c r="M439" s="1138"/>
      <c r="N439" s="1138"/>
      <c r="O439" s="1138"/>
      <c r="P439" s="1138"/>
      <c r="Q439" s="1138"/>
      <c r="R439" s="1138"/>
      <c r="S439" s="1138"/>
      <c r="T439" s="1138"/>
      <c r="U439" s="1138"/>
      <c r="V439" s="1138"/>
      <c r="W439" s="1138"/>
    </row>
    <row r="440">
      <c r="A440" s="1201" t="s">
        <v>17</v>
      </c>
      <c r="B440" s="1164">
        <f>SUMIFS(MOMBASA!F:F,MOMBASA!A:A,"8/8/24")</f>
        <v>3402701.1</v>
      </c>
      <c r="C440" s="1182">
        <v>2.0959912982E8</v>
      </c>
      <c r="D440" s="1182">
        <v>398350.0</v>
      </c>
      <c r="E440" s="1186">
        <f t="shared" si="52"/>
        <v>6611</v>
      </c>
      <c r="F440" s="1182">
        <v>404961.0</v>
      </c>
      <c r="G440" s="1147"/>
      <c r="H440" s="1138"/>
      <c r="I440" s="1138"/>
      <c r="J440" s="1138"/>
      <c r="K440" s="1138"/>
      <c r="L440" s="1138"/>
      <c r="M440" s="1138"/>
      <c r="N440" s="1138"/>
      <c r="O440" s="1138"/>
      <c r="P440" s="1138"/>
      <c r="Q440" s="1138"/>
      <c r="R440" s="1138"/>
      <c r="S440" s="1138"/>
      <c r="T440" s="1138"/>
      <c r="U440" s="1138"/>
      <c r="V440" s="1138"/>
      <c r="W440" s="1138"/>
    </row>
    <row r="441">
      <c r="A441" s="1201" t="s">
        <v>18</v>
      </c>
      <c r="B441" s="1164">
        <f>SUMIFS(KISUMU!F:F,KISUMU!A:A,"8/8/24")</f>
        <v>1590738.53</v>
      </c>
      <c r="C441" s="1186">
        <v>9.84548045E7</v>
      </c>
      <c r="D441" s="1187">
        <v>28900.0</v>
      </c>
      <c r="E441" s="1186">
        <f t="shared" si="52"/>
        <v>12229</v>
      </c>
      <c r="F441" s="1164">
        <v>41129.0</v>
      </c>
      <c r="G441" s="1147"/>
      <c r="H441" s="1138"/>
      <c r="I441" s="1138"/>
      <c r="J441" s="1138"/>
      <c r="K441" s="1138"/>
      <c r="L441" s="1138"/>
      <c r="M441" s="1138"/>
      <c r="N441" s="1138"/>
      <c r="O441" s="1138"/>
      <c r="P441" s="1138"/>
      <c r="Q441" s="1138"/>
      <c r="R441" s="1138"/>
      <c r="S441" s="1138"/>
      <c r="T441" s="1138"/>
      <c r="U441" s="1138"/>
      <c r="V441" s="1138"/>
      <c r="W441" s="1138"/>
    </row>
    <row r="442">
      <c r="A442" s="1201" t="s">
        <v>19</v>
      </c>
      <c r="B442" s="1164">
        <f>SUMIFS(VOI!F:F,VOI!A:A,"8/8/24")</f>
        <v>150522</v>
      </c>
      <c r="C442" s="1225">
        <v>8215923.62</v>
      </c>
      <c r="D442" s="1257">
        <v>19536.0</v>
      </c>
      <c r="E442" s="1186">
        <f t="shared" si="52"/>
        <v>51355</v>
      </c>
      <c r="F442" s="1186">
        <v>70891.0</v>
      </c>
      <c r="G442" s="1147"/>
      <c r="H442" s="1138"/>
      <c r="I442" s="1138"/>
      <c r="J442" s="1138"/>
      <c r="K442" s="1138"/>
      <c r="L442" s="1138"/>
      <c r="M442" s="1138"/>
      <c r="N442" s="1138"/>
      <c r="O442" s="1138"/>
      <c r="P442" s="1138"/>
      <c r="Q442" s="1138"/>
      <c r="R442" s="1138"/>
      <c r="S442" s="1138"/>
      <c r="T442" s="1138"/>
      <c r="U442" s="1138"/>
      <c r="V442" s="1138"/>
      <c r="W442" s="1138"/>
    </row>
    <row r="443">
      <c r="A443" s="1201" t="s">
        <v>20</v>
      </c>
      <c r="B443" s="1164">
        <f>SUMIFS(THIKA!F:F,THIKA!A:A,"8/8/24")</f>
        <v>1661583.64</v>
      </c>
      <c r="C443" s="1225">
        <v>6.842007646E7</v>
      </c>
      <c r="D443" s="1258">
        <v>10000.0</v>
      </c>
      <c r="E443" s="1186">
        <f t="shared" si="52"/>
        <v>51461</v>
      </c>
      <c r="F443" s="1186">
        <v>61461.0</v>
      </c>
      <c r="G443" s="1147"/>
      <c r="H443" s="1256"/>
      <c r="I443" s="1138"/>
      <c r="J443" s="1138"/>
      <c r="K443" s="1138"/>
      <c r="L443" s="1138"/>
      <c r="M443" s="1138"/>
      <c r="N443" s="1138"/>
      <c r="O443" s="1138"/>
      <c r="P443" s="1138"/>
      <c r="Q443" s="1138"/>
      <c r="R443" s="1138"/>
      <c r="S443" s="1138"/>
      <c r="T443" s="1138"/>
      <c r="U443" s="1138"/>
      <c r="V443" s="1138"/>
      <c r="W443" s="1138"/>
    </row>
    <row r="444">
      <c r="A444" s="1201" t="s">
        <v>21</v>
      </c>
      <c r="B444" s="1164">
        <f>SUMIFS(KITUI!F:F,KITUI!A:A,"8/8/24")</f>
        <v>147395</v>
      </c>
      <c r="C444" s="1225">
        <v>2754123.87</v>
      </c>
      <c r="D444" s="1187">
        <v>0.0</v>
      </c>
      <c r="E444" s="1186">
        <f t="shared" si="52"/>
        <v>14301</v>
      </c>
      <c r="F444" s="1229">
        <v>14301.0</v>
      </c>
      <c r="G444" s="1147"/>
      <c r="H444" s="1138"/>
      <c r="I444" s="1138"/>
      <c r="J444" s="1138"/>
      <c r="K444" s="1138"/>
      <c r="L444" s="1138"/>
      <c r="M444" s="1138"/>
      <c r="N444" s="1138"/>
      <c r="O444" s="1138"/>
      <c r="P444" s="1138"/>
      <c r="Q444" s="1138"/>
      <c r="R444" s="1138"/>
      <c r="S444" s="1138"/>
      <c r="T444" s="1138"/>
      <c r="U444" s="1138"/>
      <c r="V444" s="1138"/>
      <c r="W444" s="1138"/>
    </row>
    <row r="445">
      <c r="A445" s="1203" t="s">
        <v>22</v>
      </c>
      <c r="B445" s="1164">
        <f>SUMIFS(MACHAKOS!F:F,MACHAKOS!A:A,"8/8/24")</f>
        <v>215953.97</v>
      </c>
      <c r="C445" s="1186">
        <v>386081.67</v>
      </c>
      <c r="D445" s="1186">
        <v>0.0</v>
      </c>
      <c r="E445" s="1186">
        <f t="shared" si="52"/>
        <v>0</v>
      </c>
      <c r="F445" s="1186">
        <v>0.0</v>
      </c>
      <c r="G445" s="1147"/>
      <c r="H445" s="1256"/>
      <c r="I445" s="1138"/>
      <c r="J445" s="1138"/>
      <c r="K445" s="1138"/>
      <c r="L445" s="1138"/>
      <c r="M445" s="1138"/>
      <c r="N445" s="1138"/>
      <c r="O445" s="1138"/>
      <c r="P445" s="1138"/>
      <c r="Q445" s="1138"/>
      <c r="R445" s="1138"/>
      <c r="S445" s="1138"/>
      <c r="T445" s="1138"/>
      <c r="U445" s="1138"/>
      <c r="V445" s="1138"/>
      <c r="W445" s="1138"/>
    </row>
    <row r="446">
      <c r="A446" s="1254" t="s">
        <v>23</v>
      </c>
      <c r="B446" s="1255">
        <f t="shared" ref="B446:C446" si="53">SUM(B433:B445)</f>
        <v>32543496.26</v>
      </c>
      <c r="C446" s="1255">
        <f t="shared" si="53"/>
        <v>2531409843</v>
      </c>
      <c r="D446" s="1255">
        <v>1462399.0</v>
      </c>
      <c r="E446" s="1252">
        <f t="shared" si="52"/>
        <v>606678</v>
      </c>
      <c r="F446" s="1255">
        <v>2069077.0</v>
      </c>
      <c r="G446" s="1147"/>
      <c r="H446" s="1138"/>
      <c r="I446" s="1138"/>
      <c r="J446" s="1138"/>
      <c r="K446" s="1138"/>
      <c r="L446" s="1138"/>
      <c r="M446" s="1138"/>
      <c r="N446" s="1138"/>
      <c r="O446" s="1138"/>
      <c r="P446" s="1138"/>
      <c r="Q446" s="1138"/>
      <c r="R446" s="1138"/>
      <c r="S446" s="1138"/>
      <c r="T446" s="1138"/>
      <c r="U446" s="1138"/>
      <c r="V446" s="1138"/>
      <c r="W446" s="1138"/>
    </row>
    <row r="447">
      <c r="A447" s="1138"/>
      <c r="B447" s="1138"/>
      <c r="C447" s="1138"/>
      <c r="D447" s="1138"/>
      <c r="E447" s="1138"/>
      <c r="F447" s="1138"/>
      <c r="G447" s="1147"/>
      <c r="H447" s="1138"/>
      <c r="I447" s="1138"/>
      <c r="J447" s="1138"/>
      <c r="K447" s="1138"/>
      <c r="L447" s="1138"/>
      <c r="M447" s="1138"/>
      <c r="N447" s="1138"/>
      <c r="O447" s="1138"/>
      <c r="P447" s="1138"/>
      <c r="Q447" s="1138"/>
      <c r="R447" s="1138"/>
      <c r="S447" s="1138"/>
      <c r="T447" s="1138"/>
      <c r="U447" s="1138"/>
      <c r="V447" s="1138"/>
      <c r="W447" s="1138"/>
    </row>
    <row r="448">
      <c r="A448" s="1253">
        <v>45543.0</v>
      </c>
      <c r="B448" s="1138"/>
      <c r="C448" s="1138"/>
      <c r="D448" s="1138"/>
      <c r="E448" s="1138"/>
      <c r="F448" s="1138"/>
      <c r="G448" s="1147"/>
      <c r="H448" s="1138"/>
      <c r="I448" s="1138"/>
      <c r="J448" s="1138"/>
      <c r="K448" s="1138"/>
      <c r="L448" s="1138"/>
      <c r="M448" s="1138"/>
      <c r="N448" s="1138"/>
      <c r="O448" s="1138"/>
      <c r="P448" s="1138"/>
      <c r="Q448" s="1138"/>
      <c r="R448" s="1138"/>
      <c r="S448" s="1138"/>
      <c r="T448" s="1138"/>
      <c r="U448" s="1138"/>
      <c r="V448" s="1138"/>
      <c r="W448" s="1138"/>
    </row>
    <row r="449">
      <c r="A449" s="1248" t="s">
        <v>1</v>
      </c>
      <c r="B449" s="1248" t="s">
        <v>6936</v>
      </c>
      <c r="C449" s="1259" t="s">
        <v>6950</v>
      </c>
      <c r="D449" s="1247" t="s">
        <v>6938</v>
      </c>
      <c r="E449" s="1248" t="s">
        <v>6939</v>
      </c>
      <c r="F449" s="1247" t="s">
        <v>6940</v>
      </c>
      <c r="G449" s="1147"/>
      <c r="H449" s="1138"/>
      <c r="I449" s="1138"/>
      <c r="J449" s="1138"/>
      <c r="K449" s="1138"/>
      <c r="L449" s="1138"/>
      <c r="M449" s="1138"/>
      <c r="N449" s="1138"/>
      <c r="O449" s="1138"/>
      <c r="P449" s="1138"/>
      <c r="Q449" s="1138"/>
      <c r="R449" s="1138"/>
      <c r="S449" s="1138"/>
      <c r="T449" s="1138"/>
      <c r="U449" s="1138"/>
      <c r="V449" s="1138"/>
      <c r="W449" s="1138"/>
    </row>
    <row r="450">
      <c r="A450" s="1260" t="s">
        <v>10</v>
      </c>
      <c r="B450" s="1261">
        <v>6940482.57</v>
      </c>
      <c r="C450" s="1187">
        <v>8.8861646444E8</v>
      </c>
      <c r="D450" s="1187">
        <v>411024.0</v>
      </c>
      <c r="E450" s="1187">
        <f t="shared" ref="E450:E463" si="54">F450-D450</f>
        <v>3197909</v>
      </c>
      <c r="F450" s="1229">
        <v>3608933.0</v>
      </c>
      <c r="G450" s="1151">
        <v>3608933.0</v>
      </c>
      <c r="H450" s="1138"/>
      <c r="I450" s="1138"/>
      <c r="J450" s="1138"/>
      <c r="K450" s="1138"/>
      <c r="L450" s="1138"/>
      <c r="M450" s="1138"/>
      <c r="N450" s="1138"/>
      <c r="O450" s="1138"/>
      <c r="P450" s="1138"/>
      <c r="Q450" s="1138"/>
      <c r="R450" s="1138"/>
      <c r="S450" s="1138"/>
      <c r="T450" s="1138"/>
      <c r="U450" s="1138"/>
      <c r="V450" s="1138"/>
      <c r="W450" s="1138"/>
    </row>
    <row r="451">
      <c r="A451" s="1260" t="s">
        <v>24</v>
      </c>
      <c r="B451" s="1261">
        <v>5760510.93</v>
      </c>
      <c r="C451" s="1187">
        <v>6.46973429E8</v>
      </c>
      <c r="D451" s="1250">
        <v>193650.0</v>
      </c>
      <c r="E451" s="1187">
        <f t="shared" si="54"/>
        <v>492871</v>
      </c>
      <c r="F451" s="1250">
        <v>686521.0</v>
      </c>
      <c r="G451" s="1147"/>
      <c r="H451" s="1138"/>
      <c r="I451" s="1138"/>
      <c r="J451" s="1138"/>
      <c r="K451" s="1138"/>
      <c r="L451" s="1138"/>
      <c r="M451" s="1138"/>
      <c r="N451" s="1138"/>
      <c r="O451" s="1138"/>
      <c r="P451" s="1138"/>
      <c r="Q451" s="1138"/>
      <c r="R451" s="1138"/>
      <c r="S451" s="1138"/>
      <c r="T451" s="1138"/>
      <c r="U451" s="1138"/>
      <c r="V451" s="1138"/>
      <c r="W451" s="1138"/>
    </row>
    <row r="452">
      <c r="A452" s="1260" t="s">
        <v>12</v>
      </c>
      <c r="B452" s="1261">
        <v>7440347.92</v>
      </c>
      <c r="C452" s="1187">
        <v>2.7691826127E8</v>
      </c>
      <c r="D452" s="1187">
        <v>1086425.0</v>
      </c>
      <c r="E452" s="1187">
        <f t="shared" si="54"/>
        <v>946619</v>
      </c>
      <c r="F452" s="1187">
        <v>2033044.0</v>
      </c>
      <c r="G452" s="1151">
        <v>2033044.0</v>
      </c>
      <c r="H452" s="1138"/>
      <c r="I452" s="1138"/>
      <c r="J452" s="1138"/>
      <c r="K452" s="1138"/>
      <c r="L452" s="1138"/>
      <c r="M452" s="1138"/>
      <c r="N452" s="1138"/>
      <c r="O452" s="1138"/>
      <c r="P452" s="1138"/>
      <c r="Q452" s="1138"/>
      <c r="R452" s="1138"/>
      <c r="S452" s="1138"/>
      <c r="T452" s="1138"/>
      <c r="U452" s="1138"/>
      <c r="V452" s="1138"/>
      <c r="W452" s="1138"/>
    </row>
    <row r="453">
      <c r="A453" s="1260" t="s">
        <v>13</v>
      </c>
      <c r="B453" s="1261">
        <v>5274444.419999999</v>
      </c>
      <c r="C453" s="1187">
        <v>1.1718968876E8</v>
      </c>
      <c r="D453" s="1261">
        <v>1421080.0</v>
      </c>
      <c r="E453" s="1187">
        <f t="shared" si="54"/>
        <v>893354</v>
      </c>
      <c r="F453" s="1187">
        <v>2314434.0</v>
      </c>
      <c r="G453" s="1147"/>
      <c r="H453" s="1237">
        <f>F453-F472</f>
        <v>1650199</v>
      </c>
      <c r="I453" s="1138"/>
      <c r="J453" s="1138"/>
      <c r="K453" s="1138"/>
      <c r="L453" s="1138"/>
      <c r="M453" s="1138"/>
      <c r="N453" s="1138"/>
      <c r="O453" s="1138"/>
      <c r="P453" s="1138"/>
      <c r="Q453" s="1138"/>
      <c r="R453" s="1138"/>
      <c r="S453" s="1138"/>
      <c r="T453" s="1138"/>
      <c r="U453" s="1138"/>
      <c r="V453" s="1138"/>
      <c r="W453" s="1138"/>
    </row>
    <row r="454">
      <c r="A454" s="1260" t="s">
        <v>14</v>
      </c>
      <c r="B454" s="1261">
        <v>1080585.26</v>
      </c>
      <c r="C454" s="1139">
        <v>1.7032423341E8</v>
      </c>
      <c r="D454" s="1187">
        <v>19500.0</v>
      </c>
      <c r="E454" s="1187">
        <f t="shared" si="54"/>
        <v>718986</v>
      </c>
      <c r="F454" s="1187">
        <v>738486.0</v>
      </c>
      <c r="G454" s="1147"/>
      <c r="H454" s="1138"/>
      <c r="I454" s="1138"/>
      <c r="J454" s="1138"/>
      <c r="K454" s="1138"/>
      <c r="L454" s="1138"/>
      <c r="M454" s="1138"/>
      <c r="N454" s="1138"/>
      <c r="O454" s="1138"/>
      <c r="P454" s="1138"/>
      <c r="Q454" s="1138"/>
      <c r="R454" s="1138"/>
      <c r="S454" s="1138"/>
      <c r="T454" s="1138"/>
      <c r="U454" s="1138"/>
      <c r="V454" s="1138"/>
      <c r="W454" s="1138"/>
    </row>
    <row r="455">
      <c r="A455" s="1260" t="s">
        <v>15</v>
      </c>
      <c r="B455" s="1261">
        <v>297640.0</v>
      </c>
      <c r="C455" s="1187">
        <v>1.756518529E7</v>
      </c>
      <c r="D455" s="1187">
        <v>61750.0</v>
      </c>
      <c r="E455" s="1187">
        <f t="shared" si="54"/>
        <v>777282</v>
      </c>
      <c r="F455" s="1187">
        <v>839032.0</v>
      </c>
      <c r="G455" s="1147"/>
      <c r="H455" s="1138"/>
      <c r="I455" s="1138"/>
      <c r="J455" s="1138"/>
      <c r="K455" s="1138"/>
      <c r="L455" s="1138"/>
      <c r="M455" s="1138"/>
      <c r="N455" s="1138"/>
      <c r="O455" s="1138"/>
      <c r="P455" s="1138"/>
      <c r="Q455" s="1138"/>
      <c r="R455" s="1138"/>
      <c r="S455" s="1138"/>
      <c r="T455" s="1138"/>
      <c r="U455" s="1138"/>
      <c r="V455" s="1138"/>
      <c r="W455" s="1138"/>
    </row>
    <row r="456">
      <c r="A456" s="1260" t="s">
        <v>16</v>
      </c>
      <c r="B456" s="1261">
        <v>165000.0</v>
      </c>
      <c r="C456" s="1187">
        <v>1.524244119E7</v>
      </c>
      <c r="D456" s="1187">
        <v>95000.0</v>
      </c>
      <c r="E456" s="1187">
        <f t="shared" si="54"/>
        <v>123610</v>
      </c>
      <c r="F456" s="1187">
        <v>218610.0</v>
      </c>
      <c r="G456" s="1147"/>
      <c r="H456" s="1138"/>
      <c r="I456" s="1138"/>
      <c r="J456" s="1138"/>
      <c r="K456" s="1138"/>
      <c r="L456" s="1138"/>
      <c r="M456" s="1138"/>
      <c r="N456" s="1138"/>
      <c r="O456" s="1138"/>
      <c r="P456" s="1138"/>
      <c r="Q456" s="1138"/>
      <c r="R456" s="1138"/>
      <c r="S456" s="1138"/>
      <c r="T456" s="1138"/>
      <c r="U456" s="1138"/>
      <c r="V456" s="1138"/>
      <c r="W456" s="1138"/>
    </row>
    <row r="457">
      <c r="A457" s="1260" t="s">
        <v>17</v>
      </c>
      <c r="B457" s="1261">
        <v>1156983.41</v>
      </c>
      <c r="C457" s="1183">
        <v>2.0880234602E8</v>
      </c>
      <c r="D457" s="1184">
        <v>244760.0</v>
      </c>
      <c r="E457" s="1187">
        <f t="shared" si="54"/>
        <v>533644</v>
      </c>
      <c r="F457" s="1183">
        <v>778404.0</v>
      </c>
      <c r="G457" s="1151">
        <v>778404.0</v>
      </c>
      <c r="H457" s="1138"/>
      <c r="I457" s="1138"/>
      <c r="J457" s="1138"/>
      <c r="K457" s="1138"/>
      <c r="L457" s="1138"/>
      <c r="M457" s="1138"/>
      <c r="N457" s="1138"/>
      <c r="O457" s="1138"/>
      <c r="P457" s="1138"/>
      <c r="Q457" s="1138"/>
      <c r="R457" s="1138"/>
      <c r="S457" s="1138"/>
      <c r="T457" s="1138"/>
      <c r="U457" s="1138"/>
      <c r="V457" s="1138"/>
      <c r="W457" s="1138"/>
    </row>
    <row r="458">
      <c r="A458" s="1260" t="s">
        <v>18</v>
      </c>
      <c r="B458" s="1261">
        <v>1511170.2</v>
      </c>
      <c r="C458" s="1187">
        <v>9.833679214E7</v>
      </c>
      <c r="D458" s="1187">
        <v>800.0</v>
      </c>
      <c r="E458" s="1187">
        <f t="shared" si="54"/>
        <v>676011</v>
      </c>
      <c r="F458" s="1261">
        <v>676811.0</v>
      </c>
      <c r="G458" s="1147"/>
      <c r="H458" s="1138"/>
      <c r="I458" s="1138"/>
      <c r="J458" s="1138"/>
      <c r="K458" s="1138"/>
      <c r="L458" s="1138"/>
      <c r="M458" s="1138"/>
      <c r="N458" s="1138"/>
      <c r="O458" s="1138"/>
      <c r="P458" s="1138"/>
      <c r="Q458" s="1138"/>
      <c r="R458" s="1138"/>
      <c r="S458" s="1138"/>
      <c r="T458" s="1138"/>
      <c r="U458" s="1138"/>
      <c r="V458" s="1138"/>
      <c r="W458" s="1138"/>
    </row>
    <row r="459">
      <c r="A459" s="1260" t="s">
        <v>19</v>
      </c>
      <c r="B459" s="1261">
        <v>131522.0</v>
      </c>
      <c r="C459" s="1225">
        <v>8215923.62</v>
      </c>
      <c r="D459" s="1143">
        <v>9500.0</v>
      </c>
      <c r="E459" s="1187">
        <f t="shared" si="54"/>
        <v>150080</v>
      </c>
      <c r="F459" s="1183">
        <v>159580.0</v>
      </c>
      <c r="G459" s="1147"/>
      <c r="H459" s="1151">
        <v>159580.0</v>
      </c>
      <c r="I459" s="1147">
        <f>H459-F459</f>
        <v>0</v>
      </c>
      <c r="J459" s="1138"/>
      <c r="K459" s="1138"/>
      <c r="L459" s="1138"/>
      <c r="M459" s="1138"/>
      <c r="N459" s="1138"/>
      <c r="O459" s="1138"/>
      <c r="P459" s="1138"/>
      <c r="Q459" s="1138"/>
      <c r="R459" s="1138"/>
      <c r="S459" s="1138"/>
      <c r="T459" s="1138"/>
      <c r="U459" s="1138"/>
      <c r="V459" s="1138"/>
      <c r="W459" s="1138"/>
    </row>
    <row r="460">
      <c r="A460" s="1260" t="s">
        <v>20</v>
      </c>
      <c r="B460" s="1261">
        <v>1153544.0</v>
      </c>
      <c r="C460" s="1225">
        <v>6.842007646E7</v>
      </c>
      <c r="D460" s="1183">
        <v>64744.0</v>
      </c>
      <c r="E460" s="1187">
        <f t="shared" si="54"/>
        <v>1078501</v>
      </c>
      <c r="F460" s="1187">
        <v>1143245.0</v>
      </c>
      <c r="G460" s="1147"/>
      <c r="H460" s="1138"/>
      <c r="I460" s="1138"/>
      <c r="J460" s="1138"/>
      <c r="K460" s="1138"/>
      <c r="L460" s="1138"/>
      <c r="M460" s="1138"/>
      <c r="N460" s="1138"/>
      <c r="O460" s="1138"/>
      <c r="P460" s="1138"/>
      <c r="Q460" s="1138"/>
      <c r="R460" s="1138"/>
      <c r="S460" s="1138"/>
      <c r="T460" s="1138"/>
      <c r="U460" s="1138"/>
      <c r="V460" s="1138"/>
      <c r="W460" s="1138"/>
    </row>
    <row r="461">
      <c r="A461" s="1260" t="s">
        <v>21</v>
      </c>
      <c r="B461" s="1261">
        <v>775.0</v>
      </c>
      <c r="C461" s="1225">
        <v>2754123.87</v>
      </c>
      <c r="D461" s="1187">
        <v>0.0</v>
      </c>
      <c r="E461" s="1187">
        <f t="shared" si="54"/>
        <v>139242</v>
      </c>
      <c r="F461" s="1262">
        <v>139242.0</v>
      </c>
      <c r="G461" s="1147"/>
      <c r="H461" s="1151">
        <v>139242.0</v>
      </c>
      <c r="I461" s="1138"/>
      <c r="J461" s="1138"/>
      <c r="K461" s="1138"/>
      <c r="L461" s="1138"/>
      <c r="M461" s="1138"/>
      <c r="N461" s="1138"/>
      <c r="O461" s="1138"/>
      <c r="P461" s="1138"/>
      <c r="Q461" s="1138"/>
      <c r="R461" s="1138"/>
      <c r="S461" s="1138"/>
      <c r="T461" s="1138"/>
      <c r="U461" s="1138"/>
      <c r="V461" s="1138"/>
      <c r="W461" s="1138"/>
    </row>
    <row r="462">
      <c r="A462" s="1263" t="s">
        <v>22</v>
      </c>
      <c r="B462" s="1261">
        <v>237461.97</v>
      </c>
      <c r="C462" s="1187">
        <v>386081.67</v>
      </c>
      <c r="D462" s="1187">
        <v>0.0</v>
      </c>
      <c r="E462" s="1187">
        <f t="shared" si="54"/>
        <v>14978</v>
      </c>
      <c r="F462" s="1187">
        <v>14978.0</v>
      </c>
      <c r="G462" s="1147"/>
      <c r="H462" s="1138"/>
      <c r="I462" s="1138"/>
      <c r="J462" s="1138"/>
      <c r="K462" s="1138"/>
      <c r="L462" s="1138"/>
      <c r="M462" s="1138"/>
      <c r="N462" s="1138"/>
      <c r="O462" s="1138"/>
      <c r="P462" s="1138"/>
      <c r="Q462" s="1138"/>
      <c r="R462" s="1138"/>
      <c r="S462" s="1138"/>
      <c r="T462" s="1138"/>
      <c r="U462" s="1138"/>
      <c r="V462" s="1138"/>
      <c r="W462" s="1138"/>
    </row>
    <row r="463">
      <c r="A463" s="1264" t="s">
        <v>6967</v>
      </c>
      <c r="B463" s="1197">
        <f t="shared" ref="B463:D463" si="55">SUM(B449:B462)</f>
        <v>31150467.68</v>
      </c>
      <c r="C463" s="1197">
        <f t="shared" si="55"/>
        <v>2519745047</v>
      </c>
      <c r="D463" s="1197">
        <f t="shared" si="55"/>
        <v>3608233</v>
      </c>
      <c r="E463" s="1265">
        <f t="shared" si="54"/>
        <v>9813475</v>
      </c>
      <c r="F463" s="1266">
        <v>1.3421708E7</v>
      </c>
      <c r="G463" s="1147"/>
      <c r="H463" s="1138"/>
      <c r="I463" s="1138"/>
      <c r="J463" s="1138"/>
      <c r="K463" s="1138"/>
      <c r="L463" s="1138"/>
      <c r="M463" s="1138"/>
      <c r="N463" s="1138"/>
      <c r="O463" s="1138"/>
      <c r="P463" s="1138"/>
      <c r="Q463" s="1138"/>
      <c r="R463" s="1138"/>
      <c r="S463" s="1138"/>
      <c r="T463" s="1138"/>
      <c r="U463" s="1138"/>
      <c r="V463" s="1138"/>
      <c r="W463" s="1138"/>
    </row>
    <row r="464">
      <c r="A464" s="1161" t="s">
        <v>32</v>
      </c>
      <c r="B464" s="1137">
        <v>3000000.0</v>
      </c>
      <c r="C464" s="1142"/>
      <c r="D464" s="1143"/>
      <c r="E464" s="1142"/>
      <c r="F464" s="1143"/>
      <c r="G464" s="1147"/>
      <c r="H464" s="1138"/>
      <c r="I464" s="1138"/>
      <c r="J464" s="1138"/>
      <c r="K464" s="1138"/>
      <c r="L464" s="1138"/>
      <c r="M464" s="1138"/>
      <c r="N464" s="1138"/>
      <c r="O464" s="1138"/>
      <c r="P464" s="1138"/>
      <c r="Q464" s="1138"/>
      <c r="R464" s="1138"/>
      <c r="S464" s="1138"/>
      <c r="T464" s="1138"/>
      <c r="U464" s="1138"/>
      <c r="V464" s="1138"/>
      <c r="W464" s="1138"/>
    </row>
    <row r="465">
      <c r="A465" s="1161" t="s">
        <v>31</v>
      </c>
      <c r="B465" s="1137">
        <v>1.1E7</v>
      </c>
      <c r="C465" s="1142"/>
      <c r="D465" s="1143"/>
      <c r="E465" s="1142"/>
      <c r="F465" s="1143"/>
      <c r="G465" s="1147"/>
      <c r="H465" s="1138"/>
      <c r="I465" s="1138"/>
      <c r="J465" s="1138"/>
      <c r="K465" s="1138"/>
      <c r="L465" s="1138"/>
      <c r="M465" s="1138"/>
      <c r="N465" s="1138"/>
      <c r="O465" s="1138"/>
      <c r="P465" s="1138"/>
      <c r="Q465" s="1138"/>
      <c r="R465" s="1138"/>
      <c r="S465" s="1138"/>
      <c r="T465" s="1138"/>
      <c r="U465" s="1138"/>
      <c r="V465" s="1138"/>
      <c r="W465" s="1138"/>
    </row>
    <row r="466">
      <c r="A466" s="1267" t="s">
        <v>23</v>
      </c>
      <c r="B466" s="1268">
        <v>4.54529969E7</v>
      </c>
      <c r="C466" s="1269"/>
      <c r="D466" s="1270"/>
      <c r="E466" s="1269"/>
      <c r="F466" s="1270"/>
      <c r="G466" s="1147"/>
      <c r="H466" s="1138"/>
      <c r="I466" s="1138"/>
      <c r="J466" s="1138"/>
      <c r="K466" s="1138"/>
      <c r="L466" s="1138"/>
      <c r="M466" s="1138"/>
      <c r="N466" s="1138"/>
      <c r="O466" s="1138"/>
      <c r="P466" s="1138"/>
      <c r="Q466" s="1138"/>
      <c r="R466" s="1138"/>
      <c r="S466" s="1138"/>
      <c r="T466" s="1138"/>
      <c r="U466" s="1138"/>
      <c r="V466" s="1138"/>
      <c r="W466" s="1138"/>
    </row>
    <row r="467">
      <c r="A467" s="1138"/>
      <c r="B467" s="1138"/>
      <c r="C467" s="1138"/>
      <c r="D467" s="1147"/>
      <c r="E467" s="1138"/>
      <c r="F467" s="1147"/>
      <c r="G467" s="1147"/>
      <c r="H467" s="1138"/>
      <c r="I467" s="1138"/>
      <c r="J467" s="1138"/>
      <c r="K467" s="1138"/>
      <c r="L467" s="1138"/>
      <c r="M467" s="1138"/>
      <c r="N467" s="1138"/>
      <c r="O467" s="1138"/>
      <c r="P467" s="1138"/>
      <c r="Q467" s="1138"/>
      <c r="R467" s="1138"/>
      <c r="S467" s="1138"/>
      <c r="T467" s="1138"/>
      <c r="U467" s="1138"/>
      <c r="V467" s="1138"/>
      <c r="W467" s="1138"/>
    </row>
    <row r="468">
      <c r="A468" s="1138"/>
      <c r="B468" s="1138"/>
      <c r="C468" s="1138"/>
      <c r="D468" s="1147"/>
      <c r="E468" s="1138"/>
      <c r="F468" s="1151">
        <v>1.3421708E7</v>
      </c>
      <c r="G468" s="1147"/>
      <c r="H468" s="1138"/>
      <c r="I468" s="1138"/>
      <c r="J468" s="1138"/>
      <c r="K468" s="1138"/>
      <c r="L468" s="1138"/>
      <c r="M468" s="1138"/>
      <c r="N468" s="1138"/>
      <c r="O468" s="1138"/>
      <c r="P468" s="1138"/>
      <c r="Q468" s="1138"/>
      <c r="R468" s="1138"/>
      <c r="S468" s="1138"/>
      <c r="T468" s="1138"/>
      <c r="U468" s="1138"/>
      <c r="V468" s="1138"/>
      <c r="W468" s="1138"/>
    </row>
    <row r="469">
      <c r="A469" s="1239">
        <v>45573.0</v>
      </c>
      <c r="B469" s="1138"/>
      <c r="C469" s="1138"/>
      <c r="D469" s="1147"/>
      <c r="E469" s="1138"/>
      <c r="F469" s="1147"/>
      <c r="G469" s="1147" t="str">
        <f>I4681,161,344.00
</f>
        <v>#ERROR!</v>
      </c>
      <c r="H469" s="1138"/>
      <c r="I469" s="1138"/>
      <c r="J469" s="1138"/>
      <c r="K469" s="1138"/>
      <c r="L469" s="1138"/>
      <c r="M469" s="1138"/>
      <c r="N469" s="1138"/>
      <c r="O469" s="1138"/>
      <c r="P469" s="1138"/>
      <c r="Q469" s="1138"/>
      <c r="R469" s="1138"/>
      <c r="S469" s="1138"/>
      <c r="T469" s="1138"/>
      <c r="U469" s="1138"/>
      <c r="V469" s="1138"/>
      <c r="W469" s="1138"/>
    </row>
    <row r="470">
      <c r="A470" s="1248" t="s">
        <v>1</v>
      </c>
      <c r="B470" s="1248" t="s">
        <v>6936</v>
      </c>
      <c r="C470" s="1259" t="s">
        <v>6950</v>
      </c>
      <c r="D470" s="1247" t="s">
        <v>6938</v>
      </c>
      <c r="E470" s="1248" t="s">
        <v>6939</v>
      </c>
      <c r="F470" s="1247" t="s">
        <v>6940</v>
      </c>
      <c r="G470" s="1147"/>
      <c r="H470" s="1138"/>
      <c r="I470" s="1138"/>
      <c r="J470" s="1138"/>
      <c r="K470" s="1138"/>
      <c r="L470" s="1138"/>
      <c r="M470" s="1138"/>
      <c r="N470" s="1138"/>
      <c r="O470" s="1138"/>
      <c r="P470" s="1138"/>
      <c r="Q470" s="1138"/>
      <c r="R470" s="1138"/>
      <c r="S470" s="1138"/>
      <c r="T470" s="1138"/>
      <c r="U470" s="1138"/>
      <c r="V470" s="1138"/>
      <c r="W470" s="1138"/>
    </row>
    <row r="471">
      <c r="A471" s="1260" t="s">
        <v>10</v>
      </c>
      <c r="B471" s="1164">
        <f>SUMIFS(ECOBANK!F:F,ECOBANK!A:A,"8/10/24")</f>
        <v>5897921.86</v>
      </c>
      <c r="C471" s="1187">
        <v>8.8861646444E8</v>
      </c>
      <c r="D471" s="1187">
        <v>59456.0</v>
      </c>
      <c r="E471" s="1187">
        <f t="shared" ref="E471:E478" si="56">F471-D471</f>
        <v>23856</v>
      </c>
      <c r="F471" s="1229">
        <v>83312.0</v>
      </c>
      <c r="G471" s="1147"/>
      <c r="H471" s="1138"/>
      <c r="I471" s="1138"/>
      <c r="J471" s="1138"/>
      <c r="K471" s="1138"/>
      <c r="L471" s="1138"/>
      <c r="M471" s="1138"/>
      <c r="N471" s="1138"/>
      <c r="O471" s="1138"/>
      <c r="P471" s="1138"/>
      <c r="Q471" s="1138"/>
      <c r="R471" s="1138"/>
      <c r="S471" s="1138"/>
      <c r="T471" s="1138"/>
      <c r="U471" s="1138"/>
      <c r="V471" s="1138"/>
      <c r="W471" s="1138"/>
    </row>
    <row r="472">
      <c r="A472" s="1260" t="s">
        <v>24</v>
      </c>
      <c r="B472" s="1164">
        <f>SUMIFS('TRADE CENTER'!F:F,'TRADE CENTER'!A:A,"8/10/24")</f>
        <v>5823181.91</v>
      </c>
      <c r="C472" s="1187">
        <v>6.4648881764E8</v>
      </c>
      <c r="D472" s="1271">
        <f>SUMIFS('TRADE CENTER'!G:G,'TRADE CENTER'!A:A,"8/10/24")</f>
        <v>664235</v>
      </c>
      <c r="E472" s="1187">
        <f t="shared" si="56"/>
        <v>0</v>
      </c>
      <c r="F472" s="1250">
        <v>664235.0</v>
      </c>
      <c r="G472" s="1147"/>
      <c r="H472" s="1138"/>
      <c r="I472" s="1138"/>
      <c r="J472" s="1138"/>
      <c r="K472" s="1138"/>
      <c r="L472" s="1138"/>
      <c r="M472" s="1138"/>
      <c r="N472" s="1138"/>
      <c r="O472" s="1138"/>
      <c r="P472" s="1138"/>
      <c r="Q472" s="1138"/>
      <c r="R472" s="1138"/>
      <c r="S472" s="1138"/>
      <c r="T472" s="1138"/>
      <c r="U472" s="1138"/>
      <c r="V472" s="1138"/>
      <c r="W472" s="1138"/>
    </row>
    <row r="473">
      <c r="A473" s="1260" t="s">
        <v>12</v>
      </c>
      <c r="B473" s="1164">
        <f>SUMIFS(PENSION!F:F,PENSION!A:A,"8/10/2024")</f>
        <v>2075764.51</v>
      </c>
      <c r="C473" s="1187">
        <v>2.7654438761E8</v>
      </c>
      <c r="D473" s="1187">
        <v>326000.0</v>
      </c>
      <c r="E473" s="1187">
        <f t="shared" si="56"/>
        <v>289919</v>
      </c>
      <c r="F473" s="1187">
        <v>615919.0</v>
      </c>
      <c r="G473" s="1147"/>
      <c r="H473" s="1138"/>
      <c r="I473" s="1138"/>
      <c r="J473" s="1138"/>
      <c r="K473" s="1138"/>
      <c r="L473" s="1138"/>
      <c r="M473" s="1138"/>
      <c r="N473" s="1138"/>
      <c r="O473" s="1138"/>
      <c r="P473" s="1138"/>
      <c r="Q473" s="1138"/>
      <c r="R473" s="1138"/>
      <c r="S473" s="1138"/>
      <c r="T473" s="1138"/>
      <c r="U473" s="1138"/>
      <c r="V473" s="1138"/>
      <c r="W473" s="1138"/>
    </row>
    <row r="474">
      <c r="A474" s="1260" t="s">
        <v>13</v>
      </c>
      <c r="B474" s="1164">
        <f>SUMIFS(KITENGELA!F:F,KITENGELA!A:A,"8/5/2024")</f>
        <v>5274444.42</v>
      </c>
      <c r="C474" s="1187">
        <v>1.1911765268E8</v>
      </c>
      <c r="D474" s="1261">
        <f>SUM(KITENGELA!G664:G684)</f>
        <v>205113</v>
      </c>
      <c r="E474" s="1187">
        <f t="shared" si="56"/>
        <v>800</v>
      </c>
      <c r="F474" s="1187">
        <v>205913.0</v>
      </c>
      <c r="G474" s="1147"/>
      <c r="H474" s="1138"/>
      <c r="I474" s="1138"/>
      <c r="J474" s="1138"/>
      <c r="K474" s="1138"/>
      <c r="L474" s="1138"/>
      <c r="M474" s="1138"/>
      <c r="N474" s="1138"/>
      <c r="O474" s="1138"/>
      <c r="P474" s="1138"/>
      <c r="Q474" s="1138"/>
      <c r="R474" s="1138"/>
      <c r="S474" s="1138"/>
      <c r="T474" s="1138"/>
      <c r="U474" s="1138"/>
      <c r="V474" s="1138"/>
      <c r="W474" s="1138"/>
    </row>
    <row r="475">
      <c r="A475" s="1260" t="s">
        <v>14</v>
      </c>
      <c r="B475" s="1164">
        <f>SUMIFS(ELDORET!F:F,ELDORET!A:A,"8/10/24")</f>
        <v>1070125.26</v>
      </c>
      <c r="C475" s="1139">
        <v>1.7032423341E8</v>
      </c>
      <c r="D475" s="1187">
        <v>14000.0</v>
      </c>
      <c r="E475" s="1187">
        <f t="shared" si="56"/>
        <v>0</v>
      </c>
      <c r="F475" s="1187">
        <v>14000.0</v>
      </c>
      <c r="G475" s="1147"/>
      <c r="H475" s="1138"/>
      <c r="I475" s="1138"/>
      <c r="J475" s="1138"/>
      <c r="K475" s="1138"/>
      <c r="L475" s="1138"/>
      <c r="M475" s="1138"/>
      <c r="N475" s="1138"/>
      <c r="O475" s="1138"/>
      <c r="P475" s="1138"/>
      <c r="Q475" s="1138"/>
      <c r="R475" s="1138"/>
      <c r="S475" s="1138"/>
      <c r="T475" s="1138"/>
      <c r="U475" s="1138"/>
      <c r="V475" s="1138"/>
      <c r="W475" s="1138"/>
    </row>
    <row r="476">
      <c r="A476" s="1260" t="s">
        <v>15</v>
      </c>
      <c r="B476" s="1164">
        <f>SUMIFS(NAKURU!F:F,NAKURU!A:A,"8/10/24")</f>
        <v>264000</v>
      </c>
      <c r="C476" s="1187">
        <v>1.756518529E7</v>
      </c>
      <c r="D476" s="1187">
        <v>60000.0</v>
      </c>
      <c r="E476" s="1187">
        <f t="shared" si="56"/>
        <v>179784</v>
      </c>
      <c r="F476" s="1187">
        <v>239784.0</v>
      </c>
      <c r="G476" s="1147"/>
      <c r="H476" s="1138"/>
      <c r="I476" s="1138"/>
      <c r="J476" s="1138"/>
      <c r="K476" s="1138"/>
      <c r="L476" s="1138"/>
      <c r="M476" s="1138"/>
      <c r="N476" s="1138"/>
      <c r="O476" s="1138"/>
      <c r="P476" s="1138"/>
      <c r="Q476" s="1138"/>
      <c r="R476" s="1138"/>
      <c r="S476" s="1138"/>
      <c r="T476" s="1138"/>
      <c r="U476" s="1138"/>
      <c r="V476" s="1138"/>
      <c r="W476" s="1138"/>
    </row>
    <row r="477">
      <c r="A477" s="1260" t="s">
        <v>16</v>
      </c>
      <c r="B477" s="1164">
        <f>SUMIFS(HOMABAY!F:F,HOMABAY!A:A,"8/10/24")</f>
        <v>131200</v>
      </c>
      <c r="C477" s="1187">
        <v>1.524244119E7</v>
      </c>
      <c r="D477" s="1187">
        <v>10750.0</v>
      </c>
      <c r="E477" s="1187">
        <f t="shared" si="56"/>
        <v>-10750</v>
      </c>
      <c r="F477" s="1187">
        <v>0.0</v>
      </c>
      <c r="G477" s="1147"/>
      <c r="H477" s="1138"/>
      <c r="I477" s="1138"/>
      <c r="J477" s="1138"/>
      <c r="K477" s="1138"/>
      <c r="L477" s="1138"/>
      <c r="M477" s="1138"/>
      <c r="N477" s="1138"/>
      <c r="O477" s="1138"/>
      <c r="P477" s="1138"/>
      <c r="Q477" s="1138"/>
      <c r="R477" s="1138"/>
      <c r="S477" s="1138"/>
      <c r="T477" s="1138"/>
      <c r="U477" s="1138"/>
      <c r="V477" s="1138"/>
      <c r="W477" s="1138"/>
    </row>
    <row r="478">
      <c r="A478" s="1260" t="s">
        <v>17</v>
      </c>
      <c r="B478" s="1164">
        <f>SUMIFS(MOMBASA!F:F,MOMBASA!A:A,"8/10/24")</f>
        <v>1011823.26</v>
      </c>
      <c r="C478" s="1183">
        <v>2.0884105696E8</v>
      </c>
      <c r="D478" s="1183">
        <v>0.0</v>
      </c>
      <c r="E478" s="1187">
        <f t="shared" si="56"/>
        <v>0</v>
      </c>
      <c r="F478" s="1183">
        <v>0.0</v>
      </c>
      <c r="G478" s="1147"/>
      <c r="H478" s="1138"/>
      <c r="I478" s="1138"/>
      <c r="J478" s="1138"/>
      <c r="K478" s="1138"/>
      <c r="L478" s="1138"/>
      <c r="M478" s="1138"/>
      <c r="N478" s="1138"/>
      <c r="O478" s="1138"/>
      <c r="P478" s="1138"/>
      <c r="Q478" s="1138"/>
      <c r="R478" s="1138"/>
      <c r="S478" s="1138"/>
      <c r="T478" s="1138"/>
      <c r="U478" s="1138"/>
      <c r="V478" s="1138"/>
      <c r="W478" s="1138"/>
    </row>
    <row r="479">
      <c r="A479" s="1260" t="s">
        <v>18</v>
      </c>
      <c r="B479" s="1164">
        <f>SUMIFS(KISUMU!F:F,KISUMU!A:A,"8/10/24")</f>
        <v>0</v>
      </c>
      <c r="C479" s="1187">
        <v>9.821892451E7</v>
      </c>
      <c r="D479" s="1187">
        <v>0.0</v>
      </c>
      <c r="E479" s="1187">
        <v>21700.0</v>
      </c>
      <c r="F479" s="1187">
        <v>21700.0</v>
      </c>
      <c r="G479" s="1147"/>
      <c r="H479" s="1138"/>
      <c r="I479" s="1138"/>
      <c r="J479" s="1138"/>
      <c r="K479" s="1138"/>
      <c r="L479" s="1138"/>
      <c r="M479" s="1138"/>
      <c r="N479" s="1138"/>
      <c r="O479" s="1138"/>
      <c r="P479" s="1138"/>
      <c r="Q479" s="1138"/>
      <c r="R479" s="1138"/>
      <c r="S479" s="1138"/>
      <c r="T479" s="1138"/>
      <c r="U479" s="1138"/>
      <c r="V479" s="1138"/>
      <c r="W479" s="1138"/>
    </row>
    <row r="480">
      <c r="A480" s="1260" t="s">
        <v>19</v>
      </c>
      <c r="B480" s="1164">
        <f>SUMIFS(VOI!F:F,VOI!A:A,"8/10/24")</f>
        <v>269669</v>
      </c>
      <c r="C480" s="1225">
        <v>8215923.62</v>
      </c>
      <c r="D480" s="1234">
        <v>101050.0</v>
      </c>
      <c r="E480" s="1272">
        <f t="shared" ref="E480:E483" si="57">F480-D480</f>
        <v>0</v>
      </c>
      <c r="F480" s="1234">
        <v>101050.0</v>
      </c>
      <c r="G480" s="1147"/>
      <c r="H480" s="1138"/>
      <c r="I480" s="1138"/>
      <c r="J480" s="1138"/>
      <c r="K480" s="1138"/>
      <c r="L480" s="1138"/>
      <c r="M480" s="1138"/>
      <c r="N480" s="1138"/>
      <c r="O480" s="1138"/>
      <c r="P480" s="1138"/>
      <c r="Q480" s="1138"/>
      <c r="R480" s="1138"/>
      <c r="S480" s="1138"/>
      <c r="T480" s="1138"/>
      <c r="U480" s="1138"/>
      <c r="V480" s="1138"/>
      <c r="W480" s="1138"/>
    </row>
    <row r="481">
      <c r="A481" s="1260" t="s">
        <v>20</v>
      </c>
      <c r="B481" s="1164">
        <f>SUMIFS(THIKA!F:F,THIKA!A:A,"8/10/24")</f>
        <v>478098.79</v>
      </c>
      <c r="C481" s="1225">
        <v>6.842007646E7</v>
      </c>
      <c r="D481" s="1183">
        <v>31800.0</v>
      </c>
      <c r="E481" s="1187">
        <f t="shared" si="57"/>
        <v>74400</v>
      </c>
      <c r="F481" s="1187">
        <v>106200.0</v>
      </c>
      <c r="G481" s="1147"/>
      <c r="H481" s="1138"/>
      <c r="I481" s="1138"/>
      <c r="J481" s="1138"/>
      <c r="K481" s="1138"/>
      <c r="L481" s="1138"/>
      <c r="M481" s="1138"/>
      <c r="N481" s="1138"/>
      <c r="O481" s="1138"/>
      <c r="P481" s="1138"/>
      <c r="Q481" s="1138"/>
      <c r="R481" s="1138"/>
      <c r="S481" s="1138"/>
      <c r="T481" s="1138"/>
      <c r="U481" s="1138"/>
      <c r="V481" s="1138"/>
      <c r="W481" s="1138"/>
    </row>
    <row r="482">
      <c r="A482" s="1260" t="s">
        <v>21</v>
      </c>
      <c r="B482" s="1164">
        <f>SUMIFS(KITUI!F:F,KITUI!A:A,"8/10/24")</f>
        <v>0</v>
      </c>
      <c r="C482" s="1225">
        <v>2754123.87</v>
      </c>
      <c r="D482" s="1187">
        <v>0.0</v>
      </c>
      <c r="E482" s="1187">
        <f t="shared" si="57"/>
        <v>0</v>
      </c>
      <c r="F482" s="1262">
        <v>0.0</v>
      </c>
      <c r="G482" s="1147"/>
      <c r="H482" s="1138"/>
      <c r="I482" s="1138"/>
      <c r="J482" s="1138"/>
      <c r="K482" s="1138"/>
      <c r="L482" s="1138"/>
      <c r="M482" s="1138"/>
      <c r="N482" s="1138"/>
      <c r="O482" s="1138"/>
      <c r="P482" s="1138"/>
      <c r="Q482" s="1138"/>
      <c r="R482" s="1138"/>
      <c r="S482" s="1138"/>
      <c r="T482" s="1138"/>
      <c r="U482" s="1138"/>
      <c r="V482" s="1138"/>
      <c r="W482" s="1138"/>
    </row>
    <row r="483">
      <c r="A483" s="1263" t="s">
        <v>22</v>
      </c>
      <c r="B483" s="1164">
        <f>SUMIFS(MACHAKOS!F:F,MACHAKOS!A:A,"8/10/24")</f>
        <v>229931.43</v>
      </c>
      <c r="C483" s="1187">
        <v>386081.67</v>
      </c>
      <c r="D483" s="1187">
        <v>0.0</v>
      </c>
      <c r="E483" s="1187">
        <f t="shared" si="57"/>
        <v>0</v>
      </c>
      <c r="F483" s="1187">
        <v>0.0</v>
      </c>
      <c r="G483" s="1147"/>
      <c r="H483" s="1138"/>
      <c r="I483" s="1138"/>
      <c r="J483" s="1138"/>
      <c r="K483" s="1138"/>
      <c r="L483" s="1138"/>
      <c r="M483" s="1138"/>
      <c r="N483" s="1138"/>
      <c r="O483" s="1138"/>
      <c r="P483" s="1138"/>
      <c r="Q483" s="1138"/>
      <c r="R483" s="1138"/>
      <c r="S483" s="1138"/>
      <c r="T483" s="1138"/>
      <c r="U483" s="1138"/>
      <c r="V483" s="1138"/>
      <c r="W483" s="1138"/>
    </row>
    <row r="484">
      <c r="A484" s="1264" t="s">
        <v>6967</v>
      </c>
      <c r="B484" s="1197">
        <f t="shared" ref="B484:F484" si="58">SUM(B471:B483)</f>
        <v>22526160.44</v>
      </c>
      <c r="C484" s="1197">
        <f t="shared" si="58"/>
        <v>2520735369</v>
      </c>
      <c r="D484" s="1197">
        <f t="shared" si="58"/>
        <v>1472404</v>
      </c>
      <c r="E484" s="1197">
        <f t="shared" si="58"/>
        <v>579709</v>
      </c>
      <c r="F484" s="1197">
        <f t="shared" si="58"/>
        <v>2052113</v>
      </c>
      <c r="G484" s="1147"/>
      <c r="H484" s="1138"/>
      <c r="I484" s="1138"/>
      <c r="J484" s="1138"/>
      <c r="K484" s="1138"/>
      <c r="L484" s="1138"/>
      <c r="M484" s="1138"/>
      <c r="N484" s="1138"/>
      <c r="O484" s="1138"/>
      <c r="P484" s="1138"/>
      <c r="Q484" s="1138"/>
      <c r="R484" s="1138"/>
      <c r="S484" s="1138"/>
      <c r="T484" s="1138"/>
      <c r="U484" s="1138"/>
      <c r="V484" s="1138"/>
      <c r="W484" s="1138"/>
    </row>
    <row r="485">
      <c r="A485" s="1138"/>
      <c r="B485" s="1138"/>
      <c r="C485" s="1138"/>
      <c r="D485" s="1147"/>
      <c r="E485" s="1138"/>
      <c r="F485" s="1147"/>
      <c r="G485" s="1147"/>
      <c r="H485" s="1138"/>
      <c r="I485" s="1138"/>
      <c r="J485" s="1138"/>
      <c r="K485" s="1138"/>
      <c r="L485" s="1138"/>
      <c r="M485" s="1138"/>
      <c r="N485" s="1138"/>
      <c r="O485" s="1138"/>
      <c r="P485" s="1138"/>
      <c r="Q485" s="1138"/>
      <c r="R485" s="1138"/>
      <c r="S485" s="1138"/>
      <c r="T485" s="1138"/>
      <c r="U485" s="1138"/>
      <c r="V485" s="1138"/>
      <c r="W485" s="1138"/>
    </row>
    <row r="486">
      <c r="A486" s="1138"/>
      <c r="B486" s="1138"/>
      <c r="C486" s="1138"/>
      <c r="D486" s="1147"/>
      <c r="E486" s="1138"/>
      <c r="F486" s="1147"/>
      <c r="G486" s="1147"/>
      <c r="H486" s="1138"/>
      <c r="I486" s="1138"/>
      <c r="J486" s="1138"/>
      <c r="K486" s="1138"/>
      <c r="L486" s="1138"/>
      <c r="M486" s="1138"/>
      <c r="N486" s="1138"/>
      <c r="O486" s="1138"/>
      <c r="P486" s="1138"/>
      <c r="Q486" s="1138"/>
      <c r="R486" s="1138"/>
      <c r="S486" s="1138"/>
      <c r="T486" s="1138"/>
      <c r="U486" s="1138"/>
      <c r="V486" s="1138"/>
      <c r="W486" s="1138"/>
    </row>
    <row r="487">
      <c r="A487" s="1138"/>
      <c r="B487" s="1138"/>
      <c r="C487" s="1138"/>
      <c r="D487" s="1147"/>
      <c r="E487" s="1138"/>
      <c r="F487" s="1147"/>
      <c r="G487" s="1147"/>
      <c r="H487" s="1138"/>
      <c r="I487" s="1138"/>
      <c r="J487" s="1138"/>
      <c r="K487" s="1138"/>
      <c r="L487" s="1138"/>
      <c r="M487" s="1138"/>
      <c r="N487" s="1138"/>
      <c r="O487" s="1138"/>
      <c r="P487" s="1138"/>
      <c r="Q487" s="1138"/>
      <c r="R487" s="1138"/>
      <c r="S487" s="1138"/>
      <c r="T487" s="1138"/>
      <c r="U487" s="1138"/>
      <c r="V487" s="1138"/>
      <c r="W487" s="1138"/>
    </row>
    <row r="488">
      <c r="A488" s="1138"/>
      <c r="B488" s="1138"/>
      <c r="C488" s="1138"/>
      <c r="D488" s="1147"/>
      <c r="E488" s="1138"/>
      <c r="F488" s="1147"/>
      <c r="G488" s="1147"/>
      <c r="H488" s="1138"/>
      <c r="I488" s="1138"/>
      <c r="J488" s="1138"/>
      <c r="K488" s="1138"/>
      <c r="L488" s="1138"/>
      <c r="M488" s="1138"/>
      <c r="N488" s="1138"/>
      <c r="O488" s="1138"/>
      <c r="P488" s="1138"/>
      <c r="Q488" s="1138"/>
      <c r="R488" s="1138"/>
      <c r="S488" s="1138"/>
      <c r="T488" s="1138"/>
      <c r="U488" s="1138"/>
      <c r="V488" s="1138"/>
      <c r="W488" s="1138"/>
    </row>
    <row r="489">
      <c r="A489" s="1239">
        <v>45634.0</v>
      </c>
      <c r="B489" s="1138"/>
      <c r="C489" s="1138"/>
      <c r="D489" s="1147"/>
      <c r="E489" s="1138"/>
      <c r="F489" s="1147"/>
      <c r="G489" s="1147"/>
      <c r="H489" s="1138"/>
      <c r="I489" s="1138"/>
      <c r="J489" s="1138"/>
      <c r="K489" s="1138"/>
      <c r="L489" s="1138"/>
      <c r="M489" s="1138"/>
      <c r="N489" s="1138"/>
      <c r="O489" s="1138"/>
      <c r="P489" s="1138"/>
      <c r="Q489" s="1138"/>
      <c r="R489" s="1138"/>
      <c r="S489" s="1138"/>
      <c r="T489" s="1138"/>
      <c r="U489" s="1138"/>
      <c r="V489" s="1138"/>
      <c r="W489" s="1138"/>
    </row>
    <row r="490">
      <c r="A490" s="1248" t="s">
        <v>1</v>
      </c>
      <c r="B490" s="1248" t="s">
        <v>6936</v>
      </c>
      <c r="C490" s="1259" t="s">
        <v>6950</v>
      </c>
      <c r="D490" s="1247" t="s">
        <v>6938</v>
      </c>
      <c r="E490" s="1248" t="s">
        <v>6939</v>
      </c>
      <c r="F490" s="1247" t="s">
        <v>6940</v>
      </c>
      <c r="G490" s="1147"/>
      <c r="H490" s="1138"/>
      <c r="I490" s="1138"/>
      <c r="J490" s="1138"/>
      <c r="K490" s="1138"/>
      <c r="L490" s="1138"/>
      <c r="M490" s="1138"/>
      <c r="N490" s="1138"/>
      <c r="O490" s="1138"/>
      <c r="P490" s="1138"/>
      <c r="Q490" s="1138"/>
      <c r="R490" s="1138"/>
      <c r="S490" s="1138"/>
      <c r="T490" s="1138"/>
      <c r="U490" s="1138"/>
      <c r="V490" s="1138"/>
      <c r="W490" s="1138"/>
    </row>
    <row r="491">
      <c r="A491" s="1168" t="s">
        <v>10</v>
      </c>
      <c r="B491" s="1240">
        <v>7623904.57</v>
      </c>
      <c r="C491" s="1273">
        <v>8.9183102545E8</v>
      </c>
      <c r="D491" s="1273">
        <v>1186116.02</v>
      </c>
      <c r="E491" s="1274">
        <f t="shared" ref="E491:E503" si="59">F491-D491</f>
        <v>799836.65</v>
      </c>
      <c r="F491" s="1275">
        <v>1985952.67</v>
      </c>
      <c r="G491" s="1202"/>
      <c r="H491" s="1138"/>
      <c r="I491" s="1138"/>
      <c r="J491" s="1138"/>
      <c r="K491" s="1138"/>
      <c r="L491" s="1138"/>
      <c r="M491" s="1138"/>
      <c r="N491" s="1138"/>
      <c r="O491" s="1138"/>
      <c r="P491" s="1138"/>
      <c r="Q491" s="1138"/>
      <c r="R491" s="1138"/>
      <c r="S491" s="1138"/>
      <c r="T491" s="1138"/>
      <c r="U491" s="1138"/>
      <c r="V491" s="1138"/>
      <c r="W491" s="1138"/>
    </row>
    <row r="492">
      <c r="A492" s="1168" t="s">
        <v>24</v>
      </c>
      <c r="B492" s="1240">
        <v>7197344.26</v>
      </c>
      <c r="C492" s="1273">
        <v>6.4769024219E8</v>
      </c>
      <c r="D492" s="1276">
        <v>636379.0</v>
      </c>
      <c r="E492" s="1274">
        <f t="shared" si="59"/>
        <v>852204</v>
      </c>
      <c r="F492" s="1277">
        <v>1488583.0</v>
      </c>
      <c r="G492" s="1147"/>
      <c r="H492" s="1138"/>
      <c r="I492" s="1138"/>
      <c r="J492" s="1138"/>
      <c r="K492" s="1138"/>
      <c r="L492" s="1138"/>
      <c r="M492" s="1138"/>
      <c r="N492" s="1138"/>
      <c r="O492" s="1138"/>
      <c r="P492" s="1138"/>
      <c r="Q492" s="1138"/>
      <c r="R492" s="1138"/>
      <c r="S492" s="1138"/>
      <c r="T492" s="1138"/>
      <c r="U492" s="1138"/>
      <c r="V492" s="1138"/>
      <c r="W492" s="1138"/>
    </row>
    <row r="493">
      <c r="A493" s="1168" t="s">
        <v>12</v>
      </c>
      <c r="B493" s="1240">
        <v>4493460.609999999</v>
      </c>
      <c r="C493" s="1273">
        <v>2.7675441279E8</v>
      </c>
      <c r="D493" s="1273">
        <v>1538443.0</v>
      </c>
      <c r="E493" s="1274">
        <f t="shared" si="59"/>
        <v>1445970</v>
      </c>
      <c r="F493" s="1273">
        <v>2984413.0</v>
      </c>
      <c r="G493" s="1147"/>
      <c r="H493" s="1138"/>
      <c r="I493" s="1138"/>
      <c r="J493" s="1138"/>
      <c r="K493" s="1138"/>
      <c r="L493" s="1138"/>
      <c r="M493" s="1138"/>
      <c r="N493" s="1138"/>
      <c r="O493" s="1138"/>
      <c r="P493" s="1138"/>
      <c r="Q493" s="1138"/>
      <c r="R493" s="1138"/>
      <c r="S493" s="1138"/>
      <c r="T493" s="1138"/>
      <c r="U493" s="1138"/>
      <c r="V493" s="1138"/>
      <c r="W493" s="1138"/>
    </row>
    <row r="494">
      <c r="A494" s="1168" t="s">
        <v>13</v>
      </c>
      <c r="B494" s="1240">
        <v>5274444.419999999</v>
      </c>
      <c r="C494" s="1273">
        <v>1.1918624889E8</v>
      </c>
      <c r="D494" s="1274">
        <v>1172661.0</v>
      </c>
      <c r="E494" s="1274">
        <f t="shared" si="59"/>
        <v>406350</v>
      </c>
      <c r="F494" s="1273">
        <v>1579011.0</v>
      </c>
      <c r="G494" s="1147"/>
      <c r="H494" s="1138"/>
      <c r="I494" s="1138"/>
      <c r="J494" s="1138"/>
      <c r="K494" s="1138"/>
      <c r="L494" s="1138"/>
      <c r="M494" s="1138"/>
      <c r="N494" s="1138"/>
      <c r="O494" s="1138"/>
      <c r="P494" s="1138"/>
      <c r="Q494" s="1138"/>
      <c r="R494" s="1138"/>
      <c r="S494" s="1138"/>
      <c r="T494" s="1138"/>
      <c r="U494" s="1138"/>
      <c r="V494" s="1138"/>
      <c r="W494" s="1138"/>
    </row>
    <row r="495">
      <c r="A495" s="1168" t="s">
        <v>14</v>
      </c>
      <c r="B495" s="1240">
        <v>1252569.1500000001</v>
      </c>
      <c r="C495" s="1137">
        <v>1.7032423341E8</v>
      </c>
      <c r="D495" s="1273">
        <v>394818.0</v>
      </c>
      <c r="E495" s="1274">
        <f t="shared" si="59"/>
        <v>368910</v>
      </c>
      <c r="F495" s="1273">
        <v>763728.0</v>
      </c>
      <c r="G495" s="1147"/>
      <c r="H495" s="1138"/>
      <c r="I495" s="1138"/>
      <c r="J495" s="1138"/>
      <c r="K495" s="1138"/>
      <c r="L495" s="1138"/>
      <c r="M495" s="1138"/>
      <c r="N495" s="1138"/>
      <c r="O495" s="1138"/>
      <c r="P495" s="1138"/>
      <c r="Q495" s="1138"/>
      <c r="R495" s="1138"/>
      <c r="S495" s="1138"/>
      <c r="T495" s="1138"/>
      <c r="U495" s="1138"/>
      <c r="V495" s="1138"/>
      <c r="W495" s="1138"/>
    </row>
    <row r="496">
      <c r="A496" s="1168" t="s">
        <v>15</v>
      </c>
      <c r="B496" s="1240">
        <v>622356.5800000001</v>
      </c>
      <c r="C496" s="1273">
        <v>1.756518529E7</v>
      </c>
      <c r="D496" s="1273">
        <v>175000.0</v>
      </c>
      <c r="E496" s="1274">
        <f t="shared" si="59"/>
        <v>189784</v>
      </c>
      <c r="F496" s="1273">
        <v>364784.0</v>
      </c>
      <c r="G496" s="1147"/>
      <c r="H496" s="1138"/>
      <c r="I496" s="1138"/>
      <c r="J496" s="1138"/>
      <c r="K496" s="1138"/>
      <c r="L496" s="1138"/>
      <c r="M496" s="1138"/>
      <c r="N496" s="1138"/>
      <c r="O496" s="1138"/>
      <c r="P496" s="1138"/>
      <c r="Q496" s="1138"/>
      <c r="R496" s="1138"/>
      <c r="S496" s="1138"/>
      <c r="T496" s="1138"/>
      <c r="U496" s="1138"/>
      <c r="V496" s="1138"/>
      <c r="W496" s="1138"/>
    </row>
    <row r="497">
      <c r="A497" s="1168" t="s">
        <v>16</v>
      </c>
      <c r="B497" s="1240">
        <v>275780.0</v>
      </c>
      <c r="C497" s="1273">
        <v>1.524244119E7</v>
      </c>
      <c r="D497" s="1273">
        <v>10750.0</v>
      </c>
      <c r="E497" s="1274">
        <f t="shared" si="59"/>
        <v>61573</v>
      </c>
      <c r="F497" s="1273">
        <v>72323.0</v>
      </c>
      <c r="G497" s="1147"/>
      <c r="H497" s="1138"/>
      <c r="I497" s="1138"/>
      <c r="J497" s="1138"/>
      <c r="K497" s="1138"/>
      <c r="L497" s="1138"/>
      <c r="M497" s="1138"/>
      <c r="N497" s="1138"/>
      <c r="O497" s="1138"/>
      <c r="P497" s="1138"/>
      <c r="Q497" s="1138"/>
      <c r="R497" s="1138"/>
      <c r="S497" s="1138"/>
      <c r="T497" s="1138"/>
      <c r="U497" s="1138"/>
      <c r="V497" s="1138"/>
      <c r="W497" s="1138"/>
    </row>
    <row r="498">
      <c r="A498" s="1168" t="s">
        <v>17</v>
      </c>
      <c r="B498" s="1240">
        <v>1577877.75</v>
      </c>
      <c r="C498" s="1278">
        <v>2.0947803404E8</v>
      </c>
      <c r="D498" s="1278">
        <v>379458.0</v>
      </c>
      <c r="E498" s="1274">
        <f t="shared" si="59"/>
        <v>462440</v>
      </c>
      <c r="F498" s="1278">
        <v>841898.0</v>
      </c>
      <c r="G498" s="1147"/>
      <c r="H498" s="1138"/>
      <c r="I498" s="1138"/>
      <c r="J498" s="1138"/>
      <c r="K498" s="1138"/>
      <c r="L498" s="1138"/>
      <c r="M498" s="1138"/>
      <c r="N498" s="1138"/>
      <c r="O498" s="1138"/>
      <c r="P498" s="1138"/>
      <c r="Q498" s="1138"/>
      <c r="R498" s="1138"/>
      <c r="S498" s="1138"/>
      <c r="T498" s="1138"/>
      <c r="U498" s="1138"/>
      <c r="V498" s="1138"/>
      <c r="W498" s="1138"/>
    </row>
    <row r="499">
      <c r="A499" s="1168" t="s">
        <v>18</v>
      </c>
      <c r="B499" s="1240">
        <v>1615399.2</v>
      </c>
      <c r="C499" s="1273">
        <v>9.838803829E7</v>
      </c>
      <c r="D499" s="1273">
        <v>153089.0</v>
      </c>
      <c r="E499" s="1274">
        <f t="shared" si="59"/>
        <v>434980</v>
      </c>
      <c r="F499" s="1273">
        <v>588069.0</v>
      </c>
      <c r="G499" s="1147"/>
      <c r="H499" s="1138"/>
      <c r="I499" s="1138"/>
      <c r="J499" s="1138"/>
      <c r="K499" s="1138"/>
      <c r="L499" s="1138"/>
      <c r="M499" s="1138"/>
      <c r="N499" s="1138"/>
      <c r="O499" s="1138"/>
      <c r="P499" s="1138"/>
      <c r="Q499" s="1138"/>
      <c r="R499" s="1138"/>
      <c r="S499" s="1138"/>
      <c r="T499" s="1138"/>
      <c r="U499" s="1138"/>
      <c r="V499" s="1138"/>
      <c r="W499" s="1138"/>
    </row>
    <row r="500">
      <c r="A500" s="1168" t="s">
        <v>19</v>
      </c>
      <c r="B500" s="1240">
        <v>193617.0</v>
      </c>
      <c r="C500" s="1243">
        <v>8215923.62</v>
      </c>
      <c r="D500" s="1236">
        <v>15000.0</v>
      </c>
      <c r="E500" s="1274">
        <f t="shared" si="59"/>
        <v>205714</v>
      </c>
      <c r="F500" s="1236">
        <v>220714.0</v>
      </c>
      <c r="G500" s="1147"/>
      <c r="H500" s="1138"/>
      <c r="I500" s="1138"/>
      <c r="J500" s="1138"/>
      <c r="K500" s="1138"/>
      <c r="L500" s="1138"/>
      <c r="M500" s="1138"/>
      <c r="N500" s="1138"/>
      <c r="O500" s="1138"/>
      <c r="P500" s="1138"/>
      <c r="Q500" s="1138"/>
      <c r="R500" s="1138"/>
      <c r="S500" s="1138"/>
      <c r="T500" s="1138"/>
      <c r="U500" s="1138"/>
      <c r="V500" s="1138"/>
      <c r="W500" s="1138"/>
    </row>
    <row r="501">
      <c r="A501" s="1168" t="s">
        <v>20</v>
      </c>
      <c r="B501" s="1240">
        <v>888202.78</v>
      </c>
      <c r="C501" s="1243">
        <v>6.771726946E7</v>
      </c>
      <c r="D501" s="1278">
        <v>31000.0</v>
      </c>
      <c r="E501" s="1274">
        <f t="shared" si="59"/>
        <v>475785</v>
      </c>
      <c r="F501" s="1273">
        <v>506785.0</v>
      </c>
      <c r="G501" s="1147"/>
      <c r="H501" s="1138"/>
      <c r="I501" s="1138"/>
      <c r="J501" s="1138"/>
      <c r="K501" s="1138"/>
      <c r="L501" s="1138"/>
      <c r="M501" s="1138"/>
      <c r="N501" s="1138"/>
      <c r="O501" s="1138"/>
      <c r="P501" s="1138"/>
      <c r="Q501" s="1138"/>
      <c r="R501" s="1138"/>
      <c r="S501" s="1138"/>
      <c r="T501" s="1138"/>
      <c r="U501" s="1138"/>
      <c r="V501" s="1138"/>
      <c r="W501" s="1138"/>
    </row>
    <row r="502">
      <c r="A502" s="1168" t="s">
        <v>21</v>
      </c>
      <c r="B502" s="1240">
        <v>55775.0</v>
      </c>
      <c r="C502" s="1243">
        <v>2754123.87</v>
      </c>
      <c r="D502" s="1275">
        <v>1000.0</v>
      </c>
      <c r="E502" s="1274">
        <f t="shared" si="59"/>
        <v>162813</v>
      </c>
      <c r="F502" s="1279">
        <v>163813.0</v>
      </c>
      <c r="G502" s="1147"/>
      <c r="H502" s="1138"/>
      <c r="I502" s="1138"/>
      <c r="J502" s="1138"/>
      <c r="K502" s="1138"/>
      <c r="L502" s="1138"/>
      <c r="M502" s="1138"/>
      <c r="N502" s="1138"/>
      <c r="O502" s="1138"/>
      <c r="P502" s="1138"/>
      <c r="Q502" s="1138"/>
      <c r="R502" s="1138"/>
      <c r="S502" s="1138"/>
      <c r="T502" s="1138"/>
      <c r="U502" s="1138"/>
      <c r="V502" s="1138"/>
      <c r="W502" s="1138"/>
    </row>
    <row r="503">
      <c r="A503" s="1171" t="s">
        <v>22</v>
      </c>
      <c r="B503" s="1240">
        <v>273354.0</v>
      </c>
      <c r="C503" s="1273">
        <v>386081.67</v>
      </c>
      <c r="D503" s="1275">
        <v>4021.0</v>
      </c>
      <c r="E503" s="1274">
        <f t="shared" si="59"/>
        <v>46368</v>
      </c>
      <c r="F503" s="1275">
        <v>50389.0</v>
      </c>
      <c r="G503" s="1147"/>
      <c r="H503" s="1138"/>
      <c r="I503" s="1138"/>
      <c r="J503" s="1138"/>
      <c r="K503" s="1138"/>
      <c r="L503" s="1138"/>
      <c r="M503" s="1138"/>
      <c r="N503" s="1138"/>
      <c r="O503" s="1138"/>
      <c r="P503" s="1138"/>
      <c r="Q503" s="1138"/>
      <c r="R503" s="1138"/>
      <c r="S503" s="1138"/>
      <c r="T503" s="1138"/>
      <c r="U503" s="1138"/>
      <c r="V503" s="1138"/>
      <c r="W503" s="1138"/>
    </row>
    <row r="504">
      <c r="A504" s="1264" t="s">
        <v>6967</v>
      </c>
      <c r="B504" s="1197">
        <f t="shared" ref="B504:F504" si="60">SUM(B490:B503)</f>
        <v>31344085.32</v>
      </c>
      <c r="C504" s="1197">
        <f t="shared" si="60"/>
        <v>2525533260</v>
      </c>
      <c r="D504" s="1197">
        <f t="shared" si="60"/>
        <v>5697735.02</v>
      </c>
      <c r="E504" s="1197">
        <f t="shared" si="60"/>
        <v>5912727.65</v>
      </c>
      <c r="F504" s="1197">
        <f t="shared" si="60"/>
        <v>11610462.67</v>
      </c>
      <c r="G504" s="1147"/>
      <c r="H504" s="1138"/>
      <c r="I504" s="1138"/>
      <c r="J504" s="1138"/>
      <c r="K504" s="1138"/>
      <c r="L504" s="1138"/>
      <c r="M504" s="1138"/>
      <c r="N504" s="1138"/>
      <c r="O504" s="1138"/>
      <c r="P504" s="1138"/>
      <c r="Q504" s="1138"/>
      <c r="R504" s="1138"/>
      <c r="S504" s="1138"/>
      <c r="T504" s="1138"/>
      <c r="U504" s="1138"/>
      <c r="V504" s="1138"/>
      <c r="W504" s="1138"/>
    </row>
    <row r="505">
      <c r="A505" s="1138"/>
      <c r="B505" s="1138"/>
      <c r="C505" s="1138"/>
      <c r="D505" s="1147"/>
      <c r="E505" s="1138"/>
      <c r="F505" s="1147"/>
      <c r="G505" s="1147"/>
      <c r="H505" s="1138"/>
      <c r="I505" s="1138"/>
      <c r="J505" s="1138"/>
      <c r="K505" s="1138"/>
      <c r="L505" s="1138"/>
      <c r="M505" s="1138"/>
      <c r="N505" s="1138"/>
      <c r="O505" s="1138"/>
      <c r="P505" s="1138"/>
      <c r="Q505" s="1138"/>
      <c r="R505" s="1138"/>
      <c r="S505" s="1138"/>
      <c r="T505" s="1138"/>
      <c r="U505" s="1138"/>
      <c r="V505" s="1138"/>
      <c r="W505" s="1138"/>
    </row>
    <row r="506">
      <c r="A506" s="1209" t="s">
        <v>6968</v>
      </c>
      <c r="B506" s="1138"/>
      <c r="C506" s="1138"/>
      <c r="D506" s="1147"/>
      <c r="E506" s="1138"/>
      <c r="F506" s="1147"/>
      <c r="G506" s="1147"/>
      <c r="H506" s="1138"/>
      <c r="I506" s="1138"/>
      <c r="J506" s="1138"/>
      <c r="K506" s="1138"/>
      <c r="L506" s="1138"/>
      <c r="M506" s="1138"/>
      <c r="N506" s="1138"/>
      <c r="O506" s="1138"/>
      <c r="P506" s="1138"/>
      <c r="Q506" s="1138"/>
      <c r="R506" s="1138"/>
      <c r="S506" s="1138"/>
      <c r="T506" s="1138"/>
      <c r="U506" s="1138"/>
      <c r="V506" s="1138"/>
      <c r="W506" s="1138"/>
    </row>
    <row r="507">
      <c r="A507" s="1180" t="s">
        <v>1</v>
      </c>
      <c r="B507" s="1180" t="s">
        <v>6936</v>
      </c>
      <c r="C507" s="1280" t="s">
        <v>6950</v>
      </c>
      <c r="D507" s="1179" t="s">
        <v>6938</v>
      </c>
      <c r="E507" s="1180" t="s">
        <v>6939</v>
      </c>
      <c r="F507" s="1179" t="s">
        <v>6940</v>
      </c>
      <c r="G507" s="1221"/>
      <c r="H507" s="1222"/>
      <c r="I507" s="1222"/>
      <c r="J507" s="1222"/>
      <c r="K507" s="1222"/>
      <c r="L507" s="1222"/>
      <c r="M507" s="1222"/>
      <c r="N507" s="1222"/>
      <c r="O507" s="1222"/>
      <c r="P507" s="1222"/>
      <c r="Q507" s="1222"/>
      <c r="R507" s="1222"/>
      <c r="S507" s="1222"/>
      <c r="T507" s="1222"/>
      <c r="U507" s="1222"/>
      <c r="V507" s="1222"/>
      <c r="W507" s="1222"/>
    </row>
    <row r="508">
      <c r="A508" s="1168" t="s">
        <v>10</v>
      </c>
      <c r="B508" s="1240">
        <f>SUMIFS(ECOBANK!F:F,ECOBANK!A:A,"8/13/24")</f>
        <v>6526106.07</v>
      </c>
      <c r="C508" s="1187">
        <v>8.9183102545E8</v>
      </c>
      <c r="D508" s="1261">
        <v>172512.0</v>
      </c>
      <c r="E508" s="1261">
        <f t="shared" ref="E508:E521" si="61">F508-D508</f>
        <v>1749642</v>
      </c>
      <c r="F508" s="1229">
        <v>1922154.0</v>
      </c>
      <c r="G508" s="1202"/>
      <c r="H508" s="1138"/>
      <c r="I508" s="1138"/>
      <c r="J508" s="1138"/>
      <c r="K508" s="1138"/>
      <c r="L508" s="1138"/>
      <c r="M508" s="1138"/>
      <c r="N508" s="1138"/>
      <c r="O508" s="1138"/>
      <c r="P508" s="1138"/>
      <c r="Q508" s="1138"/>
      <c r="R508" s="1138"/>
      <c r="S508" s="1138"/>
      <c r="T508" s="1138"/>
      <c r="U508" s="1138"/>
      <c r="V508" s="1138"/>
      <c r="W508" s="1138"/>
    </row>
    <row r="509">
      <c r="A509" s="1168" t="s">
        <v>24</v>
      </c>
      <c r="B509" s="1240">
        <f>SUMIFS('TRADE CENTER'!F:F,'TRADE CENTER'!A:A,"8/13/24")</f>
        <v>9285990.59</v>
      </c>
      <c r="C509" s="1187">
        <v>6.4769024219E8</v>
      </c>
      <c r="D509" s="1271">
        <v>1.5421448E7</v>
      </c>
      <c r="E509" s="1261">
        <f t="shared" si="61"/>
        <v>137557</v>
      </c>
      <c r="F509" s="1250">
        <v>1.5559005E7</v>
      </c>
      <c r="G509" s="1151">
        <v>1.5559005E7</v>
      </c>
      <c r="H509" s="1138"/>
      <c r="I509" s="1138"/>
      <c r="J509" s="1138"/>
      <c r="K509" s="1138"/>
      <c r="L509" s="1138"/>
      <c r="M509" s="1138"/>
      <c r="N509" s="1138"/>
      <c r="O509" s="1138"/>
      <c r="P509" s="1138"/>
      <c r="Q509" s="1138"/>
      <c r="R509" s="1138"/>
      <c r="S509" s="1138"/>
      <c r="T509" s="1138"/>
      <c r="U509" s="1138"/>
      <c r="V509" s="1138"/>
      <c r="W509" s="1138"/>
    </row>
    <row r="510">
      <c r="A510" s="1168" t="s">
        <v>12</v>
      </c>
      <c r="B510" s="1240">
        <f>SUMIFS(PENSION!F:F,PENSION!A:A,"8/13/2024")</f>
        <v>10143121.62</v>
      </c>
      <c r="C510" s="1187">
        <f>279910048.28-F510</f>
        <v>277782965.6</v>
      </c>
      <c r="D510" s="1261">
        <v>753751.0</v>
      </c>
      <c r="E510" s="1261">
        <f t="shared" si="61"/>
        <v>1373331.7</v>
      </c>
      <c r="F510" s="1187">
        <v>2127082.7</v>
      </c>
      <c r="G510" s="1151">
        <v>2127082.7</v>
      </c>
      <c r="H510" s="1138"/>
      <c r="I510" s="1138"/>
      <c r="J510" s="1138"/>
      <c r="K510" s="1138"/>
      <c r="L510" s="1138"/>
      <c r="M510" s="1138"/>
      <c r="N510" s="1138"/>
      <c r="O510" s="1138"/>
      <c r="P510" s="1138"/>
      <c r="Q510" s="1138"/>
      <c r="R510" s="1138"/>
      <c r="S510" s="1138"/>
      <c r="T510" s="1138"/>
      <c r="U510" s="1138"/>
      <c r="V510" s="1138"/>
      <c r="W510" s="1138"/>
    </row>
    <row r="511">
      <c r="A511" s="1168" t="s">
        <v>13</v>
      </c>
      <c r="B511" s="1240">
        <f>SUMIFS(KITENGELA!F:F,KITENGELA!A:A,"8/13/2024")</f>
        <v>6176611.96</v>
      </c>
      <c r="C511" s="1187">
        <v>1.1946670301E8</v>
      </c>
      <c r="D511" s="1261">
        <v>189937.0</v>
      </c>
      <c r="E511" s="1261">
        <f t="shared" si="61"/>
        <v>27759</v>
      </c>
      <c r="F511" s="1187">
        <v>217696.0</v>
      </c>
      <c r="G511" s="1147"/>
      <c r="H511" s="1138"/>
      <c r="I511" s="1138"/>
      <c r="J511" s="1138"/>
      <c r="K511" s="1138"/>
      <c r="L511" s="1138"/>
      <c r="M511" s="1138"/>
      <c r="N511" s="1138"/>
      <c r="O511" s="1138"/>
      <c r="P511" s="1138"/>
      <c r="Q511" s="1138"/>
      <c r="R511" s="1138"/>
      <c r="S511" s="1138"/>
      <c r="T511" s="1138"/>
      <c r="U511" s="1138"/>
      <c r="V511" s="1138"/>
      <c r="W511" s="1138"/>
    </row>
    <row r="512">
      <c r="A512" s="1168" t="s">
        <v>14</v>
      </c>
      <c r="B512" s="1240">
        <f>SUMIFS(ELDORET!F:F,ELDORET!A:A,"8/13/24")</f>
        <v>853601.15</v>
      </c>
      <c r="C512" s="1139">
        <v>1.7032423341E8</v>
      </c>
      <c r="D512" s="1261">
        <v>41000.0</v>
      </c>
      <c r="E512" s="1261">
        <f t="shared" si="61"/>
        <v>58373</v>
      </c>
      <c r="F512" s="1187">
        <v>99373.0</v>
      </c>
      <c r="G512" s="1151">
        <v>99373.0</v>
      </c>
      <c r="H512" s="1138"/>
      <c r="I512" s="1138"/>
      <c r="J512" s="1138"/>
      <c r="K512" s="1138"/>
      <c r="L512" s="1138"/>
      <c r="M512" s="1138"/>
      <c r="N512" s="1138"/>
      <c r="O512" s="1138"/>
      <c r="P512" s="1138"/>
      <c r="Q512" s="1138"/>
      <c r="R512" s="1138"/>
      <c r="S512" s="1138"/>
      <c r="T512" s="1138"/>
      <c r="U512" s="1138"/>
      <c r="V512" s="1138"/>
      <c r="W512" s="1138"/>
    </row>
    <row r="513">
      <c r="A513" s="1168" t="s">
        <v>15</v>
      </c>
      <c r="B513" s="1240">
        <f>SUMIFS(NAKURU!F:F,NAKURU!A:A,"8/13/24")</f>
        <v>392830</v>
      </c>
      <c r="C513" s="1187">
        <v>1.76910637E7</v>
      </c>
      <c r="D513" s="1261">
        <v>24500.0</v>
      </c>
      <c r="E513" s="1261">
        <f t="shared" si="61"/>
        <v>13486</v>
      </c>
      <c r="F513" s="1187">
        <v>37986.0</v>
      </c>
      <c r="G513" s="1151">
        <v>37986.0</v>
      </c>
      <c r="H513" s="1138"/>
      <c r="I513" s="1138"/>
      <c r="J513" s="1138"/>
      <c r="K513" s="1138"/>
      <c r="L513" s="1138"/>
      <c r="M513" s="1138"/>
      <c r="N513" s="1138"/>
      <c r="O513" s="1138"/>
      <c r="P513" s="1138"/>
      <c r="Q513" s="1138"/>
      <c r="R513" s="1138"/>
      <c r="S513" s="1138"/>
      <c r="T513" s="1138"/>
      <c r="U513" s="1138"/>
      <c r="V513" s="1138"/>
      <c r="W513" s="1138"/>
    </row>
    <row r="514">
      <c r="A514" s="1168" t="s">
        <v>16</v>
      </c>
      <c r="B514" s="1240">
        <f>SUMIFS(HOMABAY!F:F,HOMABAY!A:A,"8/13/24")</f>
        <v>255000</v>
      </c>
      <c r="C514" s="1187">
        <v>1.548237334E7</v>
      </c>
      <c r="D514" s="1261">
        <v>106200.0</v>
      </c>
      <c r="E514" s="1261">
        <f t="shared" si="61"/>
        <v>127160</v>
      </c>
      <c r="F514" s="1187">
        <v>233360.0</v>
      </c>
      <c r="G514" s="1151">
        <v>233360.0</v>
      </c>
      <c r="H514" s="1138"/>
      <c r="I514" s="1138"/>
      <c r="J514" s="1138"/>
      <c r="K514" s="1138"/>
      <c r="L514" s="1138"/>
      <c r="M514" s="1138"/>
      <c r="N514" s="1138"/>
      <c r="O514" s="1138"/>
      <c r="P514" s="1138"/>
      <c r="Q514" s="1138"/>
      <c r="R514" s="1138"/>
      <c r="S514" s="1138"/>
      <c r="T514" s="1138"/>
      <c r="U514" s="1138"/>
      <c r="V514" s="1138"/>
      <c r="W514" s="1138"/>
    </row>
    <row r="515">
      <c r="A515" s="1168" t="s">
        <v>17</v>
      </c>
      <c r="B515" s="1240">
        <f>SUMIFS(MOMBASA!F:F,MOMBASA!A:A,"8/13/24")</f>
        <v>1423673.95</v>
      </c>
      <c r="C515" s="1183">
        <v>2.0916874348E8</v>
      </c>
      <c r="D515" s="1184">
        <v>565750.0</v>
      </c>
      <c r="E515" s="1261">
        <f t="shared" si="61"/>
        <v>32456</v>
      </c>
      <c r="F515" s="1183">
        <v>598206.0</v>
      </c>
      <c r="G515" s="1151">
        <v>598206.0</v>
      </c>
      <c r="H515" s="1138"/>
      <c r="I515" s="1138"/>
      <c r="J515" s="1138"/>
      <c r="K515" s="1138"/>
      <c r="L515" s="1138"/>
      <c r="M515" s="1138"/>
      <c r="N515" s="1138"/>
      <c r="O515" s="1138"/>
      <c r="P515" s="1138"/>
      <c r="Q515" s="1138"/>
      <c r="R515" s="1138"/>
      <c r="S515" s="1138"/>
      <c r="T515" s="1138"/>
      <c r="U515" s="1138"/>
      <c r="V515" s="1138"/>
      <c r="W515" s="1138"/>
    </row>
    <row r="516">
      <c r="A516" s="1168" t="s">
        <v>18</v>
      </c>
      <c r="B516" s="1240">
        <f>SUMIFS(KISUMU!F:F,KISUMU!A:A,"8/13/24")</f>
        <v>2311434.93</v>
      </c>
      <c r="C516" s="1187">
        <v>9.872625833E7</v>
      </c>
      <c r="D516" s="1183">
        <v>248000.0</v>
      </c>
      <c r="E516" s="1261">
        <f t="shared" si="61"/>
        <v>100748</v>
      </c>
      <c r="F516" s="1187">
        <v>348748.0</v>
      </c>
      <c r="G516" s="1147"/>
      <c r="H516" s="1138"/>
      <c r="I516" s="1138"/>
      <c r="J516" s="1138"/>
      <c r="K516" s="1138"/>
      <c r="L516" s="1138"/>
      <c r="M516" s="1138"/>
      <c r="N516" s="1138"/>
      <c r="O516" s="1138"/>
      <c r="P516" s="1138"/>
      <c r="Q516" s="1138"/>
      <c r="R516" s="1138"/>
      <c r="S516" s="1138"/>
      <c r="T516" s="1138"/>
      <c r="U516" s="1138"/>
      <c r="V516" s="1138"/>
      <c r="W516" s="1138"/>
    </row>
    <row r="517">
      <c r="A517" s="1168" t="s">
        <v>19</v>
      </c>
      <c r="B517" s="1240">
        <f>SUMIFS(VOI!F:F,VOI!A:A,"8/13/24")</f>
        <v>173459</v>
      </c>
      <c r="C517" s="1225">
        <v>8256223.19</v>
      </c>
      <c r="D517" s="1281">
        <v>69614.0</v>
      </c>
      <c r="E517" s="1261">
        <f t="shared" si="61"/>
        <v>0</v>
      </c>
      <c r="F517" s="1151">
        <v>69614.0</v>
      </c>
      <c r="G517" s="1147"/>
      <c r="H517" s="1138"/>
      <c r="I517" s="1138"/>
      <c r="J517" s="1138"/>
      <c r="K517" s="1138"/>
      <c r="L517" s="1138"/>
      <c r="M517" s="1138"/>
      <c r="N517" s="1138"/>
      <c r="O517" s="1138"/>
      <c r="P517" s="1138"/>
      <c r="Q517" s="1138"/>
      <c r="R517" s="1138"/>
      <c r="S517" s="1138"/>
      <c r="T517" s="1138"/>
      <c r="U517" s="1138"/>
      <c r="V517" s="1138"/>
      <c r="W517" s="1138"/>
    </row>
    <row r="518">
      <c r="A518" s="1168" t="s">
        <v>20</v>
      </c>
      <c r="B518" s="1240">
        <f>SUMIFS(THIKA!F:F,THIKA!A:A,"8/13/24")</f>
        <v>983152.46</v>
      </c>
      <c r="C518" s="1225">
        <v>6.771726946E7</v>
      </c>
      <c r="D518" s="1184">
        <v>94274.0</v>
      </c>
      <c r="E518" s="1261">
        <f t="shared" si="61"/>
        <v>86528</v>
      </c>
      <c r="F518" s="1187">
        <v>180802.0</v>
      </c>
      <c r="G518" s="1151">
        <v>180802.0</v>
      </c>
      <c r="H518" s="1138"/>
      <c r="I518" s="1138"/>
      <c r="J518" s="1138"/>
      <c r="K518" s="1138"/>
      <c r="L518" s="1138"/>
      <c r="M518" s="1138"/>
      <c r="N518" s="1138"/>
      <c r="O518" s="1138"/>
      <c r="P518" s="1138"/>
      <c r="Q518" s="1138"/>
      <c r="R518" s="1138"/>
      <c r="S518" s="1138"/>
      <c r="T518" s="1138"/>
      <c r="U518" s="1138"/>
      <c r="V518" s="1138"/>
      <c r="W518" s="1138"/>
    </row>
    <row r="519">
      <c r="A519" s="1168" t="s">
        <v>21</v>
      </c>
      <c r="B519" s="1240">
        <f>SUMIFS(KITUI!F:F,KITUI!A:A,"8/13/24")</f>
        <v>120000</v>
      </c>
      <c r="C519" s="1225">
        <v>2649178.21</v>
      </c>
      <c r="D519" s="1282">
        <v>48000.0</v>
      </c>
      <c r="E519" s="1261">
        <f t="shared" si="61"/>
        <v>6390</v>
      </c>
      <c r="F519" s="1262">
        <v>54390.0</v>
      </c>
      <c r="G519" s="1151">
        <v>54390.0</v>
      </c>
      <c r="H519" s="1138"/>
      <c r="I519" s="1138"/>
      <c r="J519" s="1138"/>
      <c r="K519" s="1138"/>
      <c r="L519" s="1138"/>
      <c r="M519" s="1138"/>
      <c r="N519" s="1138"/>
      <c r="O519" s="1138"/>
      <c r="P519" s="1138"/>
      <c r="Q519" s="1138"/>
      <c r="R519" s="1138"/>
      <c r="S519" s="1138"/>
      <c r="T519" s="1138"/>
      <c r="U519" s="1138"/>
      <c r="V519" s="1138"/>
      <c r="W519" s="1138"/>
    </row>
    <row r="520">
      <c r="A520" s="1171" t="s">
        <v>22</v>
      </c>
      <c r="B520" s="1240">
        <f>SUMIFS(MACHAKOS!F:F,MACHAKOS!A:A,"8/13/24")</f>
        <v>233514</v>
      </c>
      <c r="C520" s="1187">
        <v>386081.67</v>
      </c>
      <c r="D520" s="1282">
        <v>0.0</v>
      </c>
      <c r="E520" s="1261">
        <f t="shared" si="61"/>
        <v>26223</v>
      </c>
      <c r="F520" s="1229">
        <v>26223.0</v>
      </c>
      <c r="G520" s="1147"/>
      <c r="H520" s="1138"/>
      <c r="I520" s="1138"/>
      <c r="J520" s="1138"/>
      <c r="K520" s="1138"/>
      <c r="L520" s="1138"/>
      <c r="M520" s="1138"/>
      <c r="N520" s="1138"/>
      <c r="O520" s="1138"/>
      <c r="P520" s="1138"/>
      <c r="Q520" s="1138"/>
      <c r="R520" s="1138"/>
      <c r="S520" s="1138"/>
      <c r="T520" s="1138"/>
      <c r="U520" s="1138"/>
      <c r="V520" s="1138"/>
      <c r="W520" s="1138"/>
    </row>
    <row r="521">
      <c r="A521" s="1264" t="s">
        <v>6967</v>
      </c>
      <c r="B521" s="1197">
        <f t="shared" ref="B521:C521" si="62">SUM(B508:B520)</f>
        <v>38878495.73</v>
      </c>
      <c r="C521" s="1197">
        <f t="shared" si="62"/>
        <v>2527172361</v>
      </c>
      <c r="D521" s="1197">
        <v>1.8052736E7</v>
      </c>
      <c r="E521" s="1197">
        <f t="shared" si="61"/>
        <v>3421903.7</v>
      </c>
      <c r="F521" s="1197">
        <v>2.14746397E7</v>
      </c>
      <c r="G521" s="1147"/>
      <c r="H521" s="1138"/>
      <c r="I521" s="1138"/>
      <c r="J521" s="1138"/>
      <c r="K521" s="1138"/>
      <c r="L521" s="1138"/>
      <c r="M521" s="1138"/>
      <c r="N521" s="1138"/>
      <c r="O521" s="1138"/>
      <c r="P521" s="1138"/>
      <c r="Q521" s="1138"/>
      <c r="R521" s="1138"/>
      <c r="S521" s="1138"/>
      <c r="T521" s="1138"/>
      <c r="U521" s="1138"/>
      <c r="V521" s="1138"/>
      <c r="W521" s="1138"/>
    </row>
    <row r="522">
      <c r="A522" s="1138"/>
      <c r="B522" s="1138"/>
      <c r="C522" s="1138"/>
      <c r="D522" s="1147"/>
      <c r="E522" s="1138"/>
      <c r="F522" s="1147"/>
      <c r="G522" s="1147"/>
      <c r="H522" s="1138"/>
      <c r="I522" s="1138"/>
      <c r="J522" s="1138"/>
      <c r="K522" s="1138"/>
      <c r="L522" s="1138"/>
      <c r="M522" s="1138"/>
      <c r="N522" s="1138"/>
      <c r="O522" s="1138"/>
      <c r="P522" s="1138"/>
      <c r="Q522" s="1138"/>
      <c r="R522" s="1138"/>
      <c r="S522" s="1138"/>
      <c r="T522" s="1138"/>
      <c r="U522" s="1138"/>
      <c r="V522" s="1138"/>
      <c r="W522" s="1138"/>
    </row>
    <row r="523">
      <c r="A523" s="1138"/>
      <c r="B523" s="1138"/>
      <c r="C523" s="1138"/>
      <c r="D523" s="1147"/>
      <c r="E523" s="1138"/>
      <c r="F523" s="1147"/>
      <c r="G523" s="1147"/>
      <c r="H523" s="1138"/>
      <c r="I523" s="1138"/>
      <c r="J523" s="1138"/>
      <c r="K523" s="1138"/>
      <c r="L523" s="1138"/>
      <c r="M523" s="1138"/>
      <c r="N523" s="1138"/>
      <c r="O523" s="1138"/>
      <c r="P523" s="1138"/>
      <c r="Q523" s="1138"/>
      <c r="R523" s="1138"/>
      <c r="S523" s="1138"/>
      <c r="T523" s="1138"/>
      <c r="U523" s="1138"/>
      <c r="V523" s="1138"/>
      <c r="W523" s="1138"/>
    </row>
    <row r="524">
      <c r="A524" s="1209" t="s">
        <v>6969</v>
      </c>
      <c r="B524" s="1138"/>
      <c r="C524" s="1138"/>
      <c r="D524" s="1147"/>
      <c r="E524" s="1138"/>
      <c r="F524" s="1147"/>
      <c r="G524" s="1147"/>
      <c r="H524" s="1138"/>
      <c r="I524" s="1138"/>
      <c r="J524" s="1138"/>
      <c r="K524" s="1138"/>
      <c r="L524" s="1138"/>
      <c r="M524" s="1138"/>
      <c r="N524" s="1138"/>
      <c r="O524" s="1138"/>
      <c r="P524" s="1138"/>
      <c r="Q524" s="1138"/>
      <c r="R524" s="1138"/>
      <c r="S524" s="1138"/>
      <c r="T524" s="1138"/>
      <c r="U524" s="1138"/>
      <c r="V524" s="1138"/>
      <c r="W524" s="1138"/>
    </row>
    <row r="525">
      <c r="A525" s="1180" t="s">
        <v>1</v>
      </c>
      <c r="B525" s="1180" t="s">
        <v>6936</v>
      </c>
      <c r="C525" s="1280" t="s">
        <v>6950</v>
      </c>
      <c r="D525" s="1179" t="s">
        <v>6938</v>
      </c>
      <c r="E525" s="1180" t="s">
        <v>6939</v>
      </c>
      <c r="F525" s="1179" t="s">
        <v>6940</v>
      </c>
      <c r="G525" s="1147"/>
      <c r="H525" s="1138"/>
      <c r="I525" s="1138"/>
      <c r="J525" s="1138"/>
      <c r="K525" s="1138"/>
      <c r="L525" s="1138"/>
      <c r="M525" s="1138"/>
      <c r="N525" s="1138"/>
      <c r="O525" s="1138"/>
      <c r="P525" s="1138"/>
      <c r="Q525" s="1138"/>
      <c r="R525" s="1138"/>
      <c r="S525" s="1138"/>
      <c r="T525" s="1138"/>
      <c r="U525" s="1138"/>
      <c r="V525" s="1138"/>
      <c r="W525" s="1138"/>
    </row>
    <row r="526">
      <c r="A526" s="1168" t="s">
        <v>10</v>
      </c>
      <c r="B526" s="1240">
        <v>4899917.07</v>
      </c>
      <c r="C526" s="1187">
        <v>8.9183102545E8</v>
      </c>
      <c r="D526" s="1187">
        <v>612263.0</v>
      </c>
      <c r="E526" s="1187">
        <f t="shared" ref="E526:E530" si="63">F526-D526</f>
        <v>288730</v>
      </c>
      <c r="F526" s="1229">
        <v>900993.0</v>
      </c>
      <c r="G526" s="1147"/>
      <c r="H526" s="1138"/>
      <c r="I526" s="1138"/>
      <c r="J526" s="1138"/>
      <c r="K526" s="1138"/>
      <c r="L526" s="1138"/>
      <c r="M526" s="1138"/>
      <c r="N526" s="1138"/>
      <c r="O526" s="1138"/>
      <c r="P526" s="1138"/>
      <c r="Q526" s="1138"/>
      <c r="R526" s="1138"/>
      <c r="S526" s="1138"/>
      <c r="T526" s="1138"/>
      <c r="U526" s="1138"/>
      <c r="V526" s="1138"/>
      <c r="W526" s="1138"/>
    </row>
    <row r="527">
      <c r="A527" s="1168" t="s">
        <v>24</v>
      </c>
      <c r="B527" s="1240">
        <v>1.391143486E7</v>
      </c>
      <c r="C527" s="1187">
        <v>6.4769024219E8</v>
      </c>
      <c r="D527" s="1190">
        <v>1144310.0</v>
      </c>
      <c r="E527" s="1187">
        <f t="shared" si="63"/>
        <v>79813</v>
      </c>
      <c r="F527" s="1250">
        <v>1224123.0</v>
      </c>
      <c r="G527" s="1147"/>
      <c r="H527" s="1138"/>
      <c r="I527" s="1138"/>
      <c r="J527" s="1138"/>
      <c r="K527" s="1138"/>
      <c r="L527" s="1138"/>
      <c r="M527" s="1138"/>
      <c r="N527" s="1138"/>
      <c r="O527" s="1138"/>
      <c r="P527" s="1138"/>
      <c r="Q527" s="1138"/>
      <c r="R527" s="1138"/>
      <c r="S527" s="1138"/>
      <c r="T527" s="1138"/>
      <c r="U527" s="1138"/>
      <c r="V527" s="1138"/>
      <c r="W527" s="1138"/>
    </row>
    <row r="528">
      <c r="A528" s="1168" t="s">
        <v>12</v>
      </c>
      <c r="B528" s="1240">
        <v>5826707.199999999</v>
      </c>
      <c r="C528" s="1187">
        <f>276713585.09-F528</f>
        <v>274947413.1</v>
      </c>
      <c r="D528" s="1187">
        <v>1237514.0</v>
      </c>
      <c r="E528" s="1261">
        <f t="shared" si="63"/>
        <v>528658</v>
      </c>
      <c r="F528" s="1187">
        <v>1766172.0</v>
      </c>
      <c r="G528" s="1151">
        <v>1766172.0</v>
      </c>
      <c r="H528" s="1138"/>
      <c r="I528" s="1138"/>
      <c r="J528" s="1138"/>
      <c r="K528" s="1138"/>
      <c r="L528" s="1138"/>
      <c r="M528" s="1138"/>
      <c r="N528" s="1138"/>
      <c r="O528" s="1138"/>
      <c r="P528" s="1138"/>
      <c r="Q528" s="1138"/>
      <c r="R528" s="1138"/>
      <c r="S528" s="1138"/>
      <c r="T528" s="1138"/>
      <c r="U528" s="1138"/>
      <c r="V528" s="1138"/>
      <c r="W528" s="1138"/>
    </row>
    <row r="529">
      <c r="A529" s="1168" t="s">
        <v>13</v>
      </c>
      <c r="B529" s="1240">
        <v>4713393.209999999</v>
      </c>
      <c r="C529" s="1187">
        <v>1.19463608E8</v>
      </c>
      <c r="D529" s="1261">
        <f>SUM(KITENGELA!G784:G813)</f>
        <v>591945</v>
      </c>
      <c r="E529" s="1261">
        <f t="shared" si="63"/>
        <v>13600</v>
      </c>
      <c r="F529" s="1187">
        <v>605545.0</v>
      </c>
      <c r="G529" s="1147"/>
      <c r="H529" s="1138"/>
      <c r="I529" s="1138"/>
      <c r="J529" s="1138"/>
      <c r="K529" s="1138"/>
      <c r="L529" s="1138"/>
      <c r="M529" s="1138"/>
      <c r="N529" s="1138"/>
      <c r="O529" s="1138"/>
      <c r="P529" s="1138"/>
      <c r="Q529" s="1138"/>
      <c r="R529" s="1138"/>
      <c r="S529" s="1138"/>
      <c r="T529" s="1138"/>
      <c r="U529" s="1138"/>
      <c r="V529" s="1138"/>
      <c r="W529" s="1138"/>
    </row>
    <row r="530">
      <c r="A530" s="1168" t="s">
        <v>14</v>
      </c>
      <c r="B530" s="1240">
        <v>1369274.1500000001</v>
      </c>
      <c r="C530" s="1139">
        <v>1.7136430449E8</v>
      </c>
      <c r="D530" s="1187">
        <v>32000.0</v>
      </c>
      <c r="E530" s="1261">
        <f t="shared" si="63"/>
        <v>0</v>
      </c>
      <c r="F530" s="1187">
        <v>32000.0</v>
      </c>
      <c r="G530" s="1147"/>
      <c r="H530" s="1138"/>
      <c r="I530" s="1138"/>
      <c r="J530" s="1138"/>
      <c r="K530" s="1138"/>
      <c r="L530" s="1138"/>
      <c r="M530" s="1138"/>
      <c r="N530" s="1138"/>
      <c r="O530" s="1138"/>
      <c r="P530" s="1138"/>
      <c r="Q530" s="1138"/>
      <c r="R530" s="1138"/>
      <c r="S530" s="1138"/>
      <c r="T530" s="1138"/>
      <c r="U530" s="1138"/>
      <c r="V530" s="1138"/>
      <c r="W530" s="1138"/>
    </row>
    <row r="531">
      <c r="A531" s="1168" t="s">
        <v>15</v>
      </c>
      <c r="B531" s="1240">
        <v>210600.0</v>
      </c>
      <c r="C531" s="1187">
        <v>1.76910637E7</v>
      </c>
      <c r="D531" s="1187">
        <v>26084.0</v>
      </c>
      <c r="E531" s="1187">
        <v>4492.0</v>
      </c>
      <c r="F531" s="1187">
        <v>30576.0</v>
      </c>
      <c r="G531" s="1147"/>
      <c r="H531" s="1138"/>
      <c r="I531" s="1138"/>
      <c r="J531" s="1138"/>
      <c r="K531" s="1138"/>
      <c r="L531" s="1138"/>
      <c r="M531" s="1138"/>
      <c r="N531" s="1138"/>
      <c r="O531" s="1138"/>
      <c r="P531" s="1138"/>
      <c r="Q531" s="1138"/>
      <c r="R531" s="1138"/>
      <c r="S531" s="1138"/>
      <c r="T531" s="1138"/>
      <c r="U531" s="1138"/>
      <c r="V531" s="1138"/>
      <c r="W531" s="1138"/>
    </row>
    <row r="532">
      <c r="A532" s="1168" t="s">
        <v>16</v>
      </c>
      <c r="B532" s="1240">
        <v>203500.0</v>
      </c>
      <c r="C532" s="1187">
        <v>1.548237334E7</v>
      </c>
      <c r="D532" s="1187">
        <v>0.0</v>
      </c>
      <c r="E532" s="1187">
        <v>0.0</v>
      </c>
      <c r="F532" s="1187">
        <v>0.0</v>
      </c>
      <c r="G532" s="1147"/>
      <c r="H532" s="1138"/>
      <c r="I532" s="1138"/>
      <c r="J532" s="1138"/>
      <c r="K532" s="1138"/>
      <c r="L532" s="1138"/>
      <c r="M532" s="1138"/>
      <c r="N532" s="1138"/>
      <c r="O532" s="1138"/>
      <c r="P532" s="1138"/>
      <c r="Q532" s="1138"/>
      <c r="R532" s="1138"/>
      <c r="S532" s="1138"/>
      <c r="T532" s="1138"/>
      <c r="U532" s="1138"/>
      <c r="V532" s="1138"/>
      <c r="W532" s="1138"/>
    </row>
    <row r="533">
      <c r="A533" s="1168" t="s">
        <v>17</v>
      </c>
      <c r="B533" s="1240">
        <v>1525135.0099999998</v>
      </c>
      <c r="C533" s="1183">
        <v>2.0986467012E8</v>
      </c>
      <c r="D533" s="1184">
        <v>1910932.0</v>
      </c>
      <c r="E533" s="1261">
        <f>F533-D533</f>
        <v>16701</v>
      </c>
      <c r="F533" s="1183">
        <v>1927633.0</v>
      </c>
      <c r="G533" s="1147"/>
      <c r="H533" s="1138"/>
      <c r="I533" s="1138"/>
      <c r="J533" s="1138"/>
      <c r="K533" s="1138"/>
      <c r="L533" s="1138"/>
      <c r="M533" s="1138"/>
      <c r="N533" s="1138"/>
      <c r="O533" s="1138"/>
      <c r="P533" s="1138"/>
      <c r="Q533" s="1138"/>
      <c r="R533" s="1138"/>
      <c r="S533" s="1138"/>
      <c r="T533" s="1138"/>
      <c r="U533" s="1138"/>
      <c r="V533" s="1138"/>
      <c r="W533" s="1138"/>
    </row>
    <row r="534">
      <c r="A534" s="1168" t="s">
        <v>18</v>
      </c>
      <c r="B534" s="1240">
        <v>1882202.8699999999</v>
      </c>
      <c r="C534" s="1187">
        <v>9.903209283E7</v>
      </c>
      <c r="D534" s="1183">
        <v>111100.0</v>
      </c>
      <c r="E534" s="1187">
        <v>29544.0</v>
      </c>
      <c r="F534" s="1187">
        <f>D534+E534</f>
        <v>140644</v>
      </c>
      <c r="G534" s="1147"/>
      <c r="H534" s="1138"/>
      <c r="I534" s="1138"/>
      <c r="J534" s="1138"/>
      <c r="K534" s="1138"/>
      <c r="L534" s="1138"/>
      <c r="M534" s="1138"/>
      <c r="N534" s="1138"/>
      <c r="O534" s="1138"/>
      <c r="P534" s="1138"/>
      <c r="Q534" s="1138"/>
      <c r="R534" s="1138"/>
      <c r="S534" s="1138"/>
      <c r="T534" s="1138"/>
      <c r="U534" s="1138"/>
      <c r="V534" s="1138"/>
      <c r="W534" s="1138"/>
    </row>
    <row r="535">
      <c r="A535" s="1168" t="s">
        <v>19</v>
      </c>
      <c r="B535" s="1240">
        <v>275037.0</v>
      </c>
      <c r="C535" s="1225">
        <v>8256223.19</v>
      </c>
      <c r="D535" s="1234">
        <v>0.0</v>
      </c>
      <c r="E535" s="1187">
        <v>0.0</v>
      </c>
      <c r="F535" s="1145">
        <v>0.0</v>
      </c>
      <c r="G535" s="1147"/>
      <c r="H535" s="1138"/>
      <c r="I535" s="1138"/>
      <c r="J535" s="1138"/>
      <c r="K535" s="1138"/>
      <c r="L535" s="1138"/>
      <c r="M535" s="1138"/>
      <c r="N535" s="1138"/>
      <c r="O535" s="1138"/>
      <c r="P535" s="1138"/>
      <c r="Q535" s="1138"/>
      <c r="R535" s="1138"/>
      <c r="S535" s="1138"/>
      <c r="T535" s="1138"/>
      <c r="U535" s="1138"/>
      <c r="V535" s="1138"/>
      <c r="W535" s="1138"/>
    </row>
    <row r="536">
      <c r="A536" s="1168" t="s">
        <v>20</v>
      </c>
      <c r="B536" s="1240">
        <v>870084.46</v>
      </c>
      <c r="C536" s="1225">
        <v>6.787385241E7</v>
      </c>
      <c r="D536" s="1183">
        <v>252597.0</v>
      </c>
      <c r="E536" s="1261">
        <f>F536-D536</f>
        <v>95422</v>
      </c>
      <c r="F536" s="1187">
        <v>348019.0</v>
      </c>
      <c r="G536" s="1147"/>
      <c r="H536" s="1138"/>
      <c r="I536" s="1138"/>
      <c r="J536" s="1138"/>
      <c r="K536" s="1138"/>
      <c r="L536" s="1138"/>
      <c r="M536" s="1138"/>
      <c r="N536" s="1138"/>
      <c r="O536" s="1138"/>
      <c r="P536" s="1138"/>
      <c r="Q536" s="1138"/>
      <c r="R536" s="1138"/>
      <c r="S536" s="1138"/>
      <c r="T536" s="1138"/>
      <c r="U536" s="1138"/>
      <c r="V536" s="1138"/>
      <c r="W536" s="1138"/>
    </row>
    <row r="537">
      <c r="A537" s="1168" t="s">
        <v>21</v>
      </c>
      <c r="B537" s="1240">
        <v>47808.0</v>
      </c>
      <c r="C537" s="1225">
        <v>2668570.31</v>
      </c>
      <c r="D537" s="1229">
        <v>0.0</v>
      </c>
      <c r="E537" s="1187">
        <v>5419.0</v>
      </c>
      <c r="F537" s="1262">
        <v>5419.0</v>
      </c>
      <c r="G537" s="1147"/>
      <c r="H537" s="1138"/>
      <c r="I537" s="1138"/>
      <c r="J537" s="1138"/>
      <c r="K537" s="1138"/>
      <c r="L537" s="1138"/>
      <c r="M537" s="1138"/>
      <c r="N537" s="1138"/>
      <c r="O537" s="1138"/>
      <c r="P537" s="1138"/>
      <c r="Q537" s="1138"/>
      <c r="R537" s="1138"/>
      <c r="S537" s="1138"/>
      <c r="T537" s="1138"/>
      <c r="U537" s="1138"/>
      <c r="V537" s="1138"/>
      <c r="W537" s="1138"/>
    </row>
    <row r="538">
      <c r="A538" s="1171" t="s">
        <v>22</v>
      </c>
      <c r="B538" s="1240">
        <v>233514.0</v>
      </c>
      <c r="C538" s="1187">
        <v>386081.67</v>
      </c>
      <c r="D538" s="1229">
        <v>0.0</v>
      </c>
      <c r="E538" s="1229">
        <v>10000.0</v>
      </c>
      <c r="F538" s="1229">
        <v>10000.0</v>
      </c>
      <c r="G538" s="1147"/>
      <c r="H538" s="1138"/>
      <c r="I538" s="1138"/>
      <c r="J538" s="1138"/>
      <c r="K538" s="1138"/>
      <c r="L538" s="1138"/>
      <c r="M538" s="1138"/>
      <c r="N538" s="1138"/>
      <c r="O538" s="1138"/>
      <c r="P538" s="1138"/>
      <c r="Q538" s="1138"/>
      <c r="R538" s="1138"/>
      <c r="S538" s="1138"/>
      <c r="T538" s="1138"/>
      <c r="U538" s="1138"/>
      <c r="V538" s="1138"/>
      <c r="W538" s="1138"/>
    </row>
    <row r="539">
      <c r="A539" s="1264" t="s">
        <v>6967</v>
      </c>
      <c r="B539" s="1197">
        <f t="shared" ref="B539:F539" si="64">SUM(B525:B538)</f>
        <v>35968607.83</v>
      </c>
      <c r="C539" s="1197">
        <f t="shared" si="64"/>
        <v>2526551521</v>
      </c>
      <c r="D539" s="1197">
        <f t="shared" si="64"/>
        <v>5918745</v>
      </c>
      <c r="E539" s="1197">
        <f t="shared" si="64"/>
        <v>1072379</v>
      </c>
      <c r="F539" s="1197">
        <f t="shared" si="64"/>
        <v>6991124</v>
      </c>
      <c r="G539" s="1147"/>
      <c r="H539" s="1138"/>
      <c r="I539" s="1138"/>
      <c r="J539" s="1138"/>
      <c r="K539" s="1138"/>
      <c r="L539" s="1138"/>
      <c r="M539" s="1138"/>
      <c r="N539" s="1138"/>
      <c r="O539" s="1138"/>
      <c r="P539" s="1138"/>
      <c r="Q539" s="1138"/>
      <c r="R539" s="1138"/>
      <c r="S539" s="1138"/>
      <c r="T539" s="1138"/>
      <c r="U539" s="1138"/>
      <c r="V539" s="1138"/>
      <c r="W539" s="1138"/>
    </row>
    <row r="540">
      <c r="A540" s="1138"/>
      <c r="B540" s="1138"/>
      <c r="C540" s="1138"/>
      <c r="D540" s="1147"/>
      <c r="E540" s="1138"/>
      <c r="F540" s="1147"/>
      <c r="G540" s="1147"/>
      <c r="H540" s="1138"/>
      <c r="I540" s="1138"/>
      <c r="J540" s="1138"/>
      <c r="K540" s="1138"/>
      <c r="L540" s="1138"/>
      <c r="M540" s="1138"/>
      <c r="N540" s="1138"/>
      <c r="O540" s="1138"/>
      <c r="P540" s="1138"/>
      <c r="Q540" s="1138"/>
      <c r="R540" s="1138"/>
      <c r="S540" s="1138"/>
      <c r="T540" s="1138"/>
      <c r="U540" s="1138"/>
      <c r="V540" s="1138"/>
      <c r="W540" s="1138"/>
    </row>
    <row r="541">
      <c r="A541" s="1138"/>
      <c r="B541" s="1138"/>
      <c r="C541" s="1138"/>
      <c r="D541" s="1147"/>
      <c r="E541" s="1138"/>
      <c r="F541" s="1147"/>
      <c r="G541" s="1147"/>
      <c r="H541" s="1138"/>
      <c r="I541" s="1138"/>
      <c r="J541" s="1138"/>
      <c r="K541" s="1138"/>
      <c r="L541" s="1138"/>
      <c r="M541" s="1138"/>
      <c r="N541" s="1138"/>
      <c r="O541" s="1138"/>
      <c r="P541" s="1138"/>
      <c r="Q541" s="1138"/>
      <c r="R541" s="1138"/>
      <c r="S541" s="1138"/>
      <c r="T541" s="1138"/>
      <c r="U541" s="1138"/>
      <c r="V541" s="1138"/>
      <c r="W541" s="1138"/>
    </row>
    <row r="542">
      <c r="A542" s="1209" t="s">
        <v>1548</v>
      </c>
      <c r="B542" s="1138"/>
      <c r="C542" s="1138"/>
      <c r="D542" s="1147"/>
      <c r="E542" s="1138"/>
      <c r="F542" s="1147"/>
      <c r="G542" s="1147"/>
      <c r="H542" s="1138"/>
      <c r="I542" s="1138"/>
      <c r="J542" s="1138"/>
      <c r="K542" s="1138"/>
      <c r="L542" s="1138"/>
      <c r="M542" s="1138"/>
      <c r="N542" s="1138"/>
      <c r="O542" s="1138"/>
      <c r="P542" s="1138"/>
      <c r="Q542" s="1138"/>
      <c r="R542" s="1138"/>
      <c r="S542" s="1138"/>
      <c r="T542" s="1138"/>
      <c r="U542" s="1138"/>
      <c r="V542" s="1138"/>
      <c r="W542" s="1138"/>
    </row>
    <row r="543">
      <c r="A543" s="1180" t="s">
        <v>1</v>
      </c>
      <c r="B543" s="1180" t="s">
        <v>6936</v>
      </c>
      <c r="C543" s="1280" t="s">
        <v>6950</v>
      </c>
      <c r="D543" s="1179" t="s">
        <v>6938</v>
      </c>
      <c r="E543" s="1180" t="s">
        <v>6939</v>
      </c>
      <c r="F543" s="1179" t="s">
        <v>6940</v>
      </c>
      <c r="G543" s="1147"/>
      <c r="H543" s="1138"/>
      <c r="I543" s="1138"/>
      <c r="J543" s="1138"/>
      <c r="K543" s="1138"/>
      <c r="L543" s="1138"/>
      <c r="M543" s="1138"/>
      <c r="N543" s="1138"/>
      <c r="O543" s="1138"/>
      <c r="P543" s="1138"/>
      <c r="Q543" s="1138"/>
      <c r="R543" s="1138"/>
      <c r="S543" s="1138"/>
      <c r="T543" s="1138"/>
      <c r="U543" s="1138"/>
      <c r="V543" s="1138"/>
      <c r="W543" s="1138"/>
    </row>
    <row r="544">
      <c r="A544" s="1168" t="s">
        <v>10</v>
      </c>
      <c r="B544" s="1164">
        <v>6899584.07</v>
      </c>
      <c r="C544" s="1187">
        <v>8.9171167504E8</v>
      </c>
      <c r="D544" s="1187">
        <v>715263.0</v>
      </c>
      <c r="E544" s="1261">
        <f t="shared" ref="E544:E557" si="65">F544-D544</f>
        <v>407851</v>
      </c>
      <c r="F544" s="1229">
        <v>1123114.0</v>
      </c>
      <c r="G544" s="1151">
        <v>1123114.0</v>
      </c>
      <c r="H544" s="1138"/>
      <c r="I544" s="1138"/>
      <c r="J544" s="1138"/>
      <c r="K544" s="1138"/>
      <c r="L544" s="1138"/>
      <c r="M544" s="1138"/>
      <c r="N544" s="1138"/>
      <c r="O544" s="1138"/>
      <c r="P544" s="1138"/>
      <c r="Q544" s="1138"/>
      <c r="R544" s="1138"/>
      <c r="S544" s="1138"/>
      <c r="T544" s="1138"/>
      <c r="U544" s="1138"/>
      <c r="V544" s="1138"/>
      <c r="W544" s="1138"/>
    </row>
    <row r="545">
      <c r="A545" s="1168" t="s">
        <v>24</v>
      </c>
      <c r="B545" s="1164">
        <v>1.4114584069999998E7</v>
      </c>
      <c r="C545" s="1187">
        <v>6.4769024219E8</v>
      </c>
      <c r="D545" s="1190">
        <v>4210025.0</v>
      </c>
      <c r="E545" s="1261">
        <f t="shared" si="65"/>
        <v>202083</v>
      </c>
      <c r="F545" s="1250">
        <v>4412108.0</v>
      </c>
      <c r="G545" s="1147"/>
      <c r="H545" s="1138"/>
      <c r="I545" s="1138"/>
      <c r="J545" s="1138"/>
      <c r="K545" s="1138"/>
      <c r="L545" s="1138"/>
      <c r="M545" s="1138"/>
      <c r="N545" s="1138"/>
      <c r="O545" s="1138"/>
      <c r="P545" s="1138"/>
      <c r="Q545" s="1138"/>
      <c r="R545" s="1138"/>
      <c r="S545" s="1138"/>
      <c r="T545" s="1138"/>
      <c r="U545" s="1138"/>
      <c r="V545" s="1138"/>
      <c r="W545" s="1138"/>
    </row>
    <row r="546">
      <c r="A546" s="1168" t="s">
        <v>12</v>
      </c>
      <c r="B546" s="1164">
        <v>9261227.8</v>
      </c>
      <c r="C546" s="1187">
        <f>276713585.09-F546</f>
        <v>271114204.1</v>
      </c>
      <c r="D546" s="1187">
        <v>5312587.0</v>
      </c>
      <c r="E546" s="1261">
        <f t="shared" si="65"/>
        <v>286794</v>
      </c>
      <c r="F546" s="1187">
        <v>5599381.0</v>
      </c>
      <c r="G546" s="1147"/>
      <c r="H546" s="1138"/>
      <c r="I546" s="1138"/>
      <c r="J546" s="1138"/>
      <c r="K546" s="1138"/>
      <c r="L546" s="1138"/>
      <c r="M546" s="1138"/>
      <c r="N546" s="1138"/>
      <c r="O546" s="1138"/>
      <c r="P546" s="1138"/>
      <c r="Q546" s="1138"/>
      <c r="R546" s="1138"/>
      <c r="S546" s="1138"/>
      <c r="T546" s="1138"/>
      <c r="U546" s="1138"/>
      <c r="V546" s="1138"/>
      <c r="W546" s="1138"/>
    </row>
    <row r="547">
      <c r="A547" s="1168" t="s">
        <v>13</v>
      </c>
      <c r="B547" s="1164">
        <v>4949305.930000001</v>
      </c>
      <c r="C547" s="1187">
        <v>1.19463608E8</v>
      </c>
      <c r="D547" s="1261">
        <v>541430.0</v>
      </c>
      <c r="E547" s="1261">
        <f t="shared" si="65"/>
        <v>15070</v>
      </c>
      <c r="F547" s="1187">
        <v>556500.0</v>
      </c>
      <c r="G547" s="1147"/>
      <c r="H547" s="1138"/>
      <c r="I547" s="1138"/>
      <c r="J547" s="1138"/>
      <c r="K547" s="1138"/>
      <c r="L547" s="1138"/>
      <c r="M547" s="1138"/>
      <c r="N547" s="1138"/>
      <c r="O547" s="1138"/>
      <c r="P547" s="1138"/>
      <c r="Q547" s="1138"/>
      <c r="R547" s="1138"/>
      <c r="S547" s="1138"/>
      <c r="T547" s="1138"/>
      <c r="U547" s="1138"/>
      <c r="V547" s="1138"/>
      <c r="W547" s="1138"/>
    </row>
    <row r="548">
      <c r="A548" s="1168" t="s">
        <v>14</v>
      </c>
      <c r="B548" s="1164">
        <v>1350461.1500000001</v>
      </c>
      <c r="C548" s="1139">
        <v>1.7136430449E8</v>
      </c>
      <c r="D548" s="1187">
        <v>249818.0</v>
      </c>
      <c r="E548" s="1261">
        <f t="shared" si="65"/>
        <v>104172</v>
      </c>
      <c r="F548" s="1187">
        <v>353990.0</v>
      </c>
      <c r="G548" s="1147"/>
      <c r="H548" s="1138"/>
      <c r="I548" s="1138"/>
      <c r="J548" s="1138"/>
      <c r="K548" s="1138"/>
      <c r="L548" s="1138"/>
      <c r="M548" s="1138"/>
      <c r="N548" s="1138"/>
      <c r="O548" s="1138"/>
      <c r="P548" s="1138"/>
      <c r="Q548" s="1138"/>
      <c r="R548" s="1138"/>
      <c r="S548" s="1138"/>
      <c r="T548" s="1138"/>
      <c r="U548" s="1138"/>
      <c r="V548" s="1138"/>
      <c r="W548" s="1138"/>
    </row>
    <row r="549">
      <c r="A549" s="1168" t="s">
        <v>15</v>
      </c>
      <c r="B549" s="1164">
        <v>211925.0</v>
      </c>
      <c r="C549" s="1187">
        <v>1.770694593E7</v>
      </c>
      <c r="D549" s="1187">
        <v>51330.0</v>
      </c>
      <c r="E549" s="1261">
        <f t="shared" si="65"/>
        <v>40340</v>
      </c>
      <c r="F549" s="1187">
        <v>91670.0</v>
      </c>
      <c r="G549" s="1147"/>
      <c r="H549" s="1138"/>
      <c r="I549" s="1138"/>
      <c r="J549" s="1138"/>
      <c r="K549" s="1138"/>
      <c r="L549" s="1138"/>
      <c r="M549" s="1138"/>
      <c r="N549" s="1138"/>
      <c r="O549" s="1138"/>
      <c r="P549" s="1138"/>
      <c r="Q549" s="1138"/>
      <c r="R549" s="1138"/>
      <c r="S549" s="1138"/>
      <c r="T549" s="1138"/>
      <c r="U549" s="1138"/>
      <c r="V549" s="1138"/>
      <c r="W549" s="1138"/>
    </row>
    <row r="550">
      <c r="A550" s="1168" t="s">
        <v>16</v>
      </c>
      <c r="B550" s="1164">
        <v>180000.0</v>
      </c>
      <c r="C550" s="1187">
        <v>1.542835895E7</v>
      </c>
      <c r="D550" s="1187">
        <v>4000.0</v>
      </c>
      <c r="E550" s="1261">
        <f t="shared" si="65"/>
        <v>0</v>
      </c>
      <c r="F550" s="1187">
        <v>4000.0</v>
      </c>
      <c r="G550" s="1147"/>
      <c r="H550" s="1138"/>
      <c r="I550" s="1138"/>
      <c r="J550" s="1138"/>
      <c r="K550" s="1138"/>
      <c r="L550" s="1138"/>
      <c r="M550" s="1138"/>
      <c r="N550" s="1138"/>
      <c r="O550" s="1138"/>
      <c r="P550" s="1138"/>
      <c r="Q550" s="1138"/>
      <c r="R550" s="1138"/>
      <c r="S550" s="1138"/>
      <c r="T550" s="1138"/>
      <c r="U550" s="1138"/>
      <c r="V550" s="1138"/>
      <c r="W550" s="1138"/>
    </row>
    <row r="551">
      <c r="A551" s="1168" t="s">
        <v>17</v>
      </c>
      <c r="B551" s="1164">
        <v>1963827.33</v>
      </c>
      <c r="C551" s="1183">
        <v>2.0986467012E8</v>
      </c>
      <c r="D551" s="1184">
        <v>1379619.0</v>
      </c>
      <c r="E551" s="1261">
        <f t="shared" si="65"/>
        <v>0</v>
      </c>
      <c r="F551" s="1187">
        <v>1379619.0</v>
      </c>
      <c r="G551" s="1147"/>
      <c r="H551" s="1138"/>
      <c r="I551" s="1138"/>
      <c r="J551" s="1138"/>
      <c r="K551" s="1138"/>
      <c r="L551" s="1138"/>
      <c r="M551" s="1138"/>
      <c r="N551" s="1138"/>
      <c r="O551" s="1138"/>
      <c r="P551" s="1138"/>
      <c r="Q551" s="1138"/>
      <c r="R551" s="1138"/>
      <c r="S551" s="1138"/>
      <c r="T551" s="1138"/>
      <c r="U551" s="1138"/>
      <c r="V551" s="1138"/>
      <c r="W551" s="1138"/>
    </row>
    <row r="552">
      <c r="A552" s="1168" t="s">
        <v>18</v>
      </c>
      <c r="B552" s="1164">
        <v>1522622.95</v>
      </c>
      <c r="C552" s="1187">
        <v>9.887517913E7</v>
      </c>
      <c r="D552" s="1183">
        <v>158620.0</v>
      </c>
      <c r="E552" s="1261">
        <f t="shared" si="65"/>
        <v>50613</v>
      </c>
      <c r="F552" s="1187">
        <v>209233.0</v>
      </c>
      <c r="G552" s="1147"/>
      <c r="H552" s="1138"/>
      <c r="I552" s="1138"/>
      <c r="J552" s="1138"/>
      <c r="K552" s="1138"/>
      <c r="L552" s="1138"/>
      <c r="M552" s="1138"/>
      <c r="N552" s="1138"/>
      <c r="O552" s="1138"/>
      <c r="P552" s="1138"/>
      <c r="Q552" s="1138"/>
      <c r="R552" s="1138"/>
      <c r="S552" s="1138"/>
      <c r="T552" s="1138"/>
      <c r="U552" s="1138"/>
      <c r="V552" s="1138"/>
      <c r="W552" s="1138"/>
    </row>
    <row r="553">
      <c r="A553" s="1168" t="s">
        <v>19</v>
      </c>
      <c r="B553" s="1164">
        <v>198037.0</v>
      </c>
      <c r="C553" s="1225">
        <v>8256223.19</v>
      </c>
      <c r="D553" s="1145">
        <v>39045.0</v>
      </c>
      <c r="E553" s="1261">
        <f t="shared" si="65"/>
        <v>18000</v>
      </c>
      <c r="F553" s="1145">
        <v>57045.0</v>
      </c>
      <c r="G553" s="1147"/>
      <c r="H553" s="1138"/>
      <c r="I553" s="1138"/>
      <c r="J553" s="1138"/>
      <c r="K553" s="1138"/>
      <c r="L553" s="1138"/>
      <c r="M553" s="1138"/>
      <c r="N553" s="1138"/>
      <c r="O553" s="1138"/>
      <c r="P553" s="1138"/>
      <c r="Q553" s="1138"/>
      <c r="R553" s="1138"/>
      <c r="S553" s="1138"/>
      <c r="T553" s="1138"/>
      <c r="U553" s="1138"/>
      <c r="V553" s="1138"/>
      <c r="W553" s="1138"/>
    </row>
    <row r="554">
      <c r="A554" s="1168" t="s">
        <v>20</v>
      </c>
      <c r="B554" s="1164">
        <v>1004346.4600000001</v>
      </c>
      <c r="C554" s="1225">
        <v>6.787385241E7</v>
      </c>
      <c r="D554" s="1183">
        <v>6500.0</v>
      </c>
      <c r="E554" s="1261">
        <f t="shared" si="65"/>
        <v>2202</v>
      </c>
      <c r="F554" s="1187">
        <v>8702.0</v>
      </c>
      <c r="G554" s="1147"/>
      <c r="H554" s="1138"/>
      <c r="I554" s="1138"/>
      <c r="J554" s="1138"/>
      <c r="K554" s="1138"/>
      <c r="L554" s="1138"/>
      <c r="M554" s="1138"/>
      <c r="N554" s="1138"/>
      <c r="O554" s="1138"/>
      <c r="P554" s="1138"/>
      <c r="Q554" s="1138"/>
      <c r="R554" s="1138"/>
      <c r="S554" s="1138"/>
      <c r="T554" s="1138"/>
      <c r="U554" s="1138"/>
      <c r="V554" s="1138"/>
      <c r="W554" s="1138"/>
    </row>
    <row r="555">
      <c r="A555" s="1168" t="s">
        <v>21</v>
      </c>
      <c r="B555" s="1164">
        <v>32939.0</v>
      </c>
      <c r="C555" s="1225">
        <v>2668570.31</v>
      </c>
      <c r="D555" s="1229">
        <v>0.0</v>
      </c>
      <c r="E555" s="1261">
        <f t="shared" si="65"/>
        <v>0</v>
      </c>
      <c r="F555" s="1262">
        <v>0.0</v>
      </c>
      <c r="G555" s="1147"/>
      <c r="H555" s="1138"/>
      <c r="I555" s="1138"/>
      <c r="J555" s="1138"/>
      <c r="K555" s="1138"/>
      <c r="L555" s="1138"/>
      <c r="M555" s="1138"/>
      <c r="N555" s="1138"/>
      <c r="O555" s="1138"/>
      <c r="P555" s="1138"/>
      <c r="Q555" s="1138"/>
      <c r="R555" s="1138"/>
      <c r="S555" s="1138"/>
      <c r="T555" s="1138"/>
      <c r="U555" s="1138"/>
      <c r="V555" s="1138"/>
      <c r="W555" s="1138"/>
    </row>
    <row r="556">
      <c r="A556" s="1171" t="s">
        <v>22</v>
      </c>
      <c r="B556" s="1164">
        <v>233514.0</v>
      </c>
      <c r="C556" s="1187">
        <v>386081.67</v>
      </c>
      <c r="D556" s="1229">
        <v>0.0</v>
      </c>
      <c r="E556" s="1261">
        <f t="shared" si="65"/>
        <v>0</v>
      </c>
      <c r="F556" s="1229">
        <v>0.0</v>
      </c>
      <c r="G556" s="1147"/>
      <c r="H556" s="1138"/>
      <c r="I556" s="1138"/>
      <c r="J556" s="1138"/>
      <c r="K556" s="1138"/>
      <c r="L556" s="1138"/>
      <c r="M556" s="1138"/>
      <c r="N556" s="1138"/>
      <c r="O556" s="1138"/>
      <c r="P556" s="1138"/>
      <c r="Q556" s="1138"/>
      <c r="R556" s="1138"/>
      <c r="S556" s="1138"/>
      <c r="T556" s="1138"/>
      <c r="U556" s="1138"/>
      <c r="V556" s="1138"/>
      <c r="W556" s="1138"/>
    </row>
    <row r="557">
      <c r="A557" s="1264" t="s">
        <v>6967</v>
      </c>
      <c r="B557" s="1197">
        <f t="shared" ref="B557:C557" si="66">SUM(B543:B556)</f>
        <v>41922374.76</v>
      </c>
      <c r="C557" s="1197">
        <f t="shared" si="66"/>
        <v>2522403916</v>
      </c>
      <c r="D557" s="1197">
        <v>1.2668237E7</v>
      </c>
      <c r="E557" s="1195">
        <f t="shared" si="65"/>
        <v>1127125</v>
      </c>
      <c r="F557" s="1197">
        <v>1.3795362E7</v>
      </c>
      <c r="G557" s="1147"/>
      <c r="H557" s="1138"/>
      <c r="I557" s="1138"/>
      <c r="J557" s="1138"/>
      <c r="K557" s="1138"/>
      <c r="L557" s="1138"/>
      <c r="M557" s="1138"/>
      <c r="N557" s="1138"/>
      <c r="O557" s="1138"/>
      <c r="P557" s="1138"/>
      <c r="Q557" s="1138"/>
      <c r="R557" s="1138"/>
      <c r="S557" s="1138"/>
      <c r="T557" s="1138"/>
      <c r="U557" s="1138"/>
      <c r="V557" s="1138"/>
      <c r="W557" s="1138"/>
    </row>
    <row r="558">
      <c r="A558" s="1138"/>
      <c r="B558" s="1138"/>
      <c r="C558" s="1138"/>
      <c r="D558" s="1147"/>
      <c r="E558" s="1138"/>
      <c r="F558" s="1147"/>
      <c r="G558" s="1147"/>
      <c r="H558" s="1138"/>
      <c r="I558" s="1138"/>
      <c r="J558" s="1138"/>
      <c r="K558" s="1138"/>
      <c r="L558" s="1138"/>
      <c r="M558" s="1138"/>
      <c r="N558" s="1138"/>
      <c r="O558" s="1138"/>
      <c r="P558" s="1138"/>
      <c r="Q558" s="1138"/>
      <c r="R558" s="1138"/>
      <c r="S558" s="1138"/>
      <c r="T558" s="1138"/>
      <c r="U558" s="1138"/>
      <c r="V558" s="1138"/>
      <c r="W558" s="1138"/>
    </row>
    <row r="559">
      <c r="A559" s="1138"/>
      <c r="B559" s="1138"/>
      <c r="C559" s="1138"/>
      <c r="D559" s="1147"/>
      <c r="E559" s="1138"/>
      <c r="F559" s="1147"/>
      <c r="G559" s="1147"/>
      <c r="H559" s="1138"/>
      <c r="I559" s="1138"/>
      <c r="J559" s="1138"/>
      <c r="K559" s="1138"/>
      <c r="L559" s="1138"/>
      <c r="M559" s="1138"/>
      <c r="N559" s="1138"/>
      <c r="O559" s="1138"/>
      <c r="P559" s="1138"/>
      <c r="Q559" s="1138"/>
      <c r="R559" s="1138"/>
      <c r="S559" s="1138"/>
      <c r="T559" s="1138"/>
      <c r="U559" s="1138"/>
      <c r="V559" s="1138"/>
      <c r="W559" s="1138"/>
    </row>
    <row r="560">
      <c r="A560" s="1138"/>
      <c r="B560" s="1138"/>
      <c r="C560" s="1138"/>
      <c r="D560" s="1147"/>
      <c r="E560" s="1138"/>
      <c r="F560" s="1147"/>
      <c r="G560" s="1147"/>
      <c r="H560" s="1138"/>
      <c r="I560" s="1138"/>
      <c r="J560" s="1138"/>
      <c r="K560" s="1138"/>
      <c r="L560" s="1138"/>
      <c r="M560" s="1138"/>
      <c r="N560" s="1138"/>
      <c r="O560" s="1138"/>
      <c r="P560" s="1138"/>
      <c r="Q560" s="1138"/>
      <c r="R560" s="1138"/>
      <c r="S560" s="1138"/>
      <c r="T560" s="1138"/>
      <c r="U560" s="1138"/>
      <c r="V560" s="1138"/>
      <c r="W560" s="1138"/>
    </row>
    <row r="561">
      <c r="A561" s="1138"/>
      <c r="B561" s="1138"/>
      <c r="C561" s="1138"/>
      <c r="D561" s="1147"/>
      <c r="E561" s="1138"/>
      <c r="F561" s="1147"/>
      <c r="G561" s="1147"/>
      <c r="H561" s="1138"/>
      <c r="I561" s="1138"/>
      <c r="J561" s="1138"/>
      <c r="K561" s="1138"/>
      <c r="L561" s="1138"/>
      <c r="M561" s="1138"/>
      <c r="N561" s="1138"/>
      <c r="O561" s="1138"/>
      <c r="P561" s="1138"/>
      <c r="Q561" s="1138"/>
      <c r="R561" s="1138"/>
      <c r="S561" s="1138"/>
      <c r="T561" s="1138"/>
      <c r="U561" s="1138"/>
      <c r="V561" s="1138"/>
      <c r="W561" s="1138"/>
    </row>
    <row r="562">
      <c r="A562" s="1138"/>
      <c r="B562" s="1138"/>
      <c r="C562" s="1138"/>
      <c r="D562" s="1147"/>
      <c r="E562" s="1138"/>
      <c r="F562" s="1147"/>
      <c r="G562" s="1147"/>
      <c r="H562" s="1138"/>
      <c r="I562" s="1138"/>
      <c r="J562" s="1138"/>
      <c r="K562" s="1138"/>
      <c r="L562" s="1138"/>
      <c r="M562" s="1138"/>
      <c r="N562" s="1138"/>
      <c r="O562" s="1138"/>
      <c r="P562" s="1138"/>
      <c r="Q562" s="1138"/>
      <c r="R562" s="1138"/>
      <c r="S562" s="1138"/>
      <c r="T562" s="1138"/>
      <c r="U562" s="1138"/>
      <c r="V562" s="1138"/>
      <c r="W562" s="1138"/>
    </row>
    <row r="563">
      <c r="A563" s="1209" t="s">
        <v>1583</v>
      </c>
      <c r="B563" s="1138"/>
      <c r="C563" s="1138"/>
      <c r="D563" s="1147"/>
      <c r="E563" s="1138"/>
      <c r="F563" s="1147"/>
      <c r="G563" s="1147"/>
      <c r="H563" s="1138"/>
      <c r="I563" s="1138"/>
      <c r="J563" s="1138"/>
      <c r="K563" s="1138"/>
      <c r="L563" s="1138"/>
      <c r="M563" s="1138"/>
      <c r="N563" s="1138"/>
      <c r="O563" s="1138"/>
      <c r="P563" s="1138"/>
      <c r="Q563" s="1138"/>
      <c r="R563" s="1138"/>
      <c r="S563" s="1138"/>
      <c r="T563" s="1138"/>
      <c r="U563" s="1138"/>
      <c r="V563" s="1138"/>
      <c r="W563" s="1138"/>
    </row>
    <row r="564">
      <c r="A564" s="1180" t="s">
        <v>1</v>
      </c>
      <c r="B564" s="1180" t="s">
        <v>6936</v>
      </c>
      <c r="C564" s="1280" t="s">
        <v>6950</v>
      </c>
      <c r="D564" s="1179" t="s">
        <v>6938</v>
      </c>
      <c r="E564" s="1180" t="s">
        <v>6939</v>
      </c>
      <c r="F564" s="1179" t="s">
        <v>6940</v>
      </c>
      <c r="G564" s="1147"/>
      <c r="H564" s="1138"/>
      <c r="I564" s="1138"/>
      <c r="J564" s="1138"/>
      <c r="K564" s="1138"/>
      <c r="L564" s="1138"/>
      <c r="M564" s="1138"/>
      <c r="N564" s="1138"/>
      <c r="O564" s="1138"/>
      <c r="P564" s="1138"/>
      <c r="Q564" s="1138"/>
      <c r="R564" s="1138"/>
      <c r="S564" s="1138"/>
      <c r="T564" s="1138"/>
      <c r="U564" s="1138"/>
      <c r="V564" s="1138"/>
      <c r="W564" s="1138"/>
    </row>
    <row r="565">
      <c r="A565" s="1168" t="s">
        <v>10</v>
      </c>
      <c r="B565" s="1164">
        <v>5177375.07</v>
      </c>
      <c r="C565" s="1187">
        <v>8.9171167504E8</v>
      </c>
      <c r="D565" s="1187">
        <v>2000138.0</v>
      </c>
      <c r="E565" s="1261">
        <f t="shared" ref="E565:E578" si="67">F565-D565</f>
        <v>238497</v>
      </c>
      <c r="F565" s="1229">
        <v>2238635.0</v>
      </c>
      <c r="G565" s="1147"/>
      <c r="H565" s="1138"/>
      <c r="I565" s="1138"/>
      <c r="J565" s="1138"/>
      <c r="K565" s="1138"/>
      <c r="L565" s="1138"/>
      <c r="M565" s="1138"/>
      <c r="N565" s="1138"/>
      <c r="O565" s="1138"/>
      <c r="P565" s="1138"/>
      <c r="Q565" s="1138"/>
      <c r="R565" s="1138"/>
      <c r="S565" s="1138"/>
      <c r="T565" s="1138"/>
      <c r="U565" s="1138"/>
      <c r="V565" s="1138"/>
      <c r="W565" s="1138"/>
    </row>
    <row r="566">
      <c r="A566" s="1168" t="s">
        <v>24</v>
      </c>
      <c r="B566" s="1164">
        <v>8584408.27</v>
      </c>
      <c r="C566" s="1187">
        <v>6.4769024219E8</v>
      </c>
      <c r="D566" s="1190">
        <v>1024050.0</v>
      </c>
      <c r="E566" s="1261">
        <f t="shared" si="67"/>
        <v>95851</v>
      </c>
      <c r="F566" s="1250">
        <v>1119901.0</v>
      </c>
      <c r="G566" s="1147"/>
      <c r="H566" s="1138"/>
      <c r="I566" s="1138"/>
      <c r="J566" s="1138"/>
      <c r="K566" s="1138"/>
      <c r="L566" s="1138"/>
      <c r="M566" s="1138"/>
      <c r="N566" s="1138"/>
      <c r="O566" s="1138"/>
      <c r="P566" s="1138"/>
      <c r="Q566" s="1138"/>
      <c r="R566" s="1138"/>
      <c r="S566" s="1138"/>
      <c r="T566" s="1138"/>
      <c r="U566" s="1138"/>
      <c r="V566" s="1138"/>
      <c r="W566" s="1138"/>
    </row>
    <row r="567">
      <c r="A567" s="1168" t="s">
        <v>12</v>
      </c>
      <c r="B567" s="1164">
        <v>7995089.03</v>
      </c>
      <c r="C567" s="1187">
        <f>276242294.09-F567</f>
        <v>275003144.1</v>
      </c>
      <c r="D567" s="1187">
        <v>1010682.0</v>
      </c>
      <c r="E567" s="1261">
        <f t="shared" si="67"/>
        <v>228468</v>
      </c>
      <c r="F567" s="1187">
        <v>1239150.0</v>
      </c>
      <c r="G567" s="1147"/>
      <c r="H567" s="1138"/>
      <c r="I567" s="1138"/>
      <c r="J567" s="1138"/>
      <c r="K567" s="1138"/>
      <c r="L567" s="1138"/>
      <c r="M567" s="1138"/>
      <c r="N567" s="1138"/>
      <c r="O567" s="1138"/>
      <c r="P567" s="1138"/>
      <c r="Q567" s="1138"/>
      <c r="R567" s="1138"/>
      <c r="S567" s="1138"/>
      <c r="T567" s="1138"/>
      <c r="U567" s="1138"/>
      <c r="V567" s="1138"/>
      <c r="W567" s="1138"/>
    </row>
    <row r="568">
      <c r="A568" s="1168" t="s">
        <v>13</v>
      </c>
      <c r="B568" s="1164">
        <v>5872383.72</v>
      </c>
      <c r="C568" s="1187">
        <v>1.19463608E8</v>
      </c>
      <c r="D568" s="1261">
        <v>314563.0</v>
      </c>
      <c r="E568" s="1261">
        <f t="shared" si="67"/>
        <v>505467</v>
      </c>
      <c r="F568" s="1187">
        <v>820030.0</v>
      </c>
      <c r="G568" s="1147"/>
      <c r="H568" s="1138"/>
      <c r="I568" s="1138"/>
      <c r="J568" s="1138"/>
      <c r="K568" s="1138"/>
      <c r="L568" s="1138"/>
      <c r="M568" s="1138"/>
      <c r="N568" s="1138"/>
      <c r="O568" s="1138"/>
      <c r="P568" s="1138"/>
      <c r="Q568" s="1138"/>
      <c r="R568" s="1138"/>
      <c r="S568" s="1138"/>
      <c r="T568" s="1138"/>
      <c r="U568" s="1138"/>
      <c r="V568" s="1138"/>
      <c r="W568" s="1138"/>
    </row>
    <row r="569">
      <c r="A569" s="1168" t="s">
        <v>14</v>
      </c>
      <c r="B569" s="1164">
        <v>1208658.15</v>
      </c>
      <c r="C569" s="1139">
        <v>1.7136430449E8</v>
      </c>
      <c r="D569" s="1187">
        <v>51333.0</v>
      </c>
      <c r="E569" s="1261">
        <f t="shared" si="67"/>
        <v>85394</v>
      </c>
      <c r="F569" s="1187">
        <v>136727.0</v>
      </c>
      <c r="G569" s="1147"/>
      <c r="H569" s="1138"/>
      <c r="I569" s="1138"/>
      <c r="J569" s="1138"/>
      <c r="K569" s="1138"/>
      <c r="L569" s="1138"/>
      <c r="M569" s="1138"/>
      <c r="N569" s="1138"/>
      <c r="O569" s="1138"/>
      <c r="P569" s="1138"/>
      <c r="Q569" s="1138"/>
      <c r="R569" s="1138"/>
      <c r="S569" s="1138"/>
      <c r="T569" s="1138"/>
      <c r="U569" s="1138"/>
      <c r="V569" s="1138"/>
      <c r="W569" s="1138"/>
    </row>
    <row r="570">
      <c r="A570" s="1168" t="s">
        <v>15</v>
      </c>
      <c r="B570" s="1164">
        <v>162925.0</v>
      </c>
      <c r="C570" s="1187">
        <v>1.770694593E7</v>
      </c>
      <c r="D570" s="1187">
        <v>0.0</v>
      </c>
      <c r="E570" s="1261" t="str">
        <f t="shared" si="67"/>
        <v>#VALUE!</v>
      </c>
      <c r="F570" s="1187" t="s">
        <v>6970</v>
      </c>
      <c r="G570" s="1147"/>
      <c r="H570" s="1138"/>
      <c r="I570" s="1138"/>
      <c r="J570" s="1138"/>
      <c r="K570" s="1138"/>
      <c r="L570" s="1138"/>
      <c r="M570" s="1138"/>
      <c r="N570" s="1138"/>
      <c r="O570" s="1138"/>
      <c r="P570" s="1138"/>
      <c r="Q570" s="1138"/>
      <c r="R570" s="1138"/>
      <c r="S570" s="1138"/>
      <c r="T570" s="1138"/>
      <c r="U570" s="1138"/>
      <c r="V570" s="1138"/>
      <c r="W570" s="1138"/>
    </row>
    <row r="571">
      <c r="A571" s="1168" t="s">
        <v>16</v>
      </c>
      <c r="B571" s="1164">
        <v>332050.0</v>
      </c>
      <c r="C571" s="1187">
        <v>1.542835895E7</v>
      </c>
      <c r="D571" s="1187">
        <v>272808.0</v>
      </c>
      <c r="E571" s="1261">
        <f t="shared" si="67"/>
        <v>134945</v>
      </c>
      <c r="F571" s="1187">
        <v>407753.0</v>
      </c>
      <c r="G571" s="1147"/>
      <c r="H571" s="1138"/>
      <c r="I571" s="1138"/>
      <c r="J571" s="1138"/>
      <c r="K571" s="1138"/>
      <c r="L571" s="1138"/>
      <c r="M571" s="1138"/>
      <c r="N571" s="1138"/>
      <c r="O571" s="1138"/>
      <c r="P571" s="1138"/>
      <c r="Q571" s="1138"/>
      <c r="R571" s="1138"/>
      <c r="S571" s="1138"/>
      <c r="T571" s="1138"/>
      <c r="U571" s="1138"/>
      <c r="V571" s="1138"/>
      <c r="W571" s="1138"/>
    </row>
    <row r="572">
      <c r="A572" s="1168" t="s">
        <v>17</v>
      </c>
      <c r="B572" s="1164">
        <v>1805659.7500000002</v>
      </c>
      <c r="C572" s="1183">
        <v>2.0986467012E8</v>
      </c>
      <c r="D572" s="1184">
        <v>1970684.0</v>
      </c>
      <c r="E572" s="1261">
        <f t="shared" si="67"/>
        <v>0</v>
      </c>
      <c r="F572" s="1183">
        <v>1970684.0</v>
      </c>
      <c r="G572" s="1147"/>
      <c r="H572" s="1138"/>
      <c r="I572" s="1138"/>
      <c r="J572" s="1138"/>
      <c r="K572" s="1138"/>
      <c r="L572" s="1138"/>
      <c r="M572" s="1138"/>
      <c r="N572" s="1138"/>
      <c r="O572" s="1138"/>
      <c r="P572" s="1138"/>
      <c r="Q572" s="1138"/>
      <c r="R572" s="1138"/>
      <c r="S572" s="1138"/>
      <c r="T572" s="1138"/>
      <c r="U572" s="1138"/>
      <c r="V572" s="1138"/>
      <c r="W572" s="1138"/>
    </row>
    <row r="573">
      <c r="A573" s="1168" t="s">
        <v>18</v>
      </c>
      <c r="B573" s="1164">
        <v>1509912.95</v>
      </c>
      <c r="C573" s="1187">
        <v>9.916675984E7</v>
      </c>
      <c r="D573" s="1183">
        <v>74615.0</v>
      </c>
      <c r="E573" s="1261">
        <f t="shared" si="67"/>
        <v>54730</v>
      </c>
      <c r="F573" s="1187">
        <v>129345.0</v>
      </c>
      <c r="G573" s="1147"/>
      <c r="H573" s="1138"/>
      <c r="I573" s="1138"/>
      <c r="J573" s="1138"/>
      <c r="K573" s="1138"/>
      <c r="L573" s="1138"/>
      <c r="M573" s="1138"/>
      <c r="N573" s="1138"/>
      <c r="O573" s="1138"/>
      <c r="P573" s="1138"/>
      <c r="Q573" s="1138"/>
      <c r="R573" s="1138"/>
      <c r="S573" s="1138"/>
      <c r="T573" s="1138"/>
      <c r="U573" s="1138"/>
      <c r="V573" s="1138"/>
      <c r="W573" s="1138"/>
    </row>
    <row r="574">
      <c r="A574" s="1168" t="s">
        <v>19</v>
      </c>
      <c r="B574" s="1164">
        <v>165071.0</v>
      </c>
      <c r="C574" s="1225">
        <v>8256223.19</v>
      </c>
      <c r="D574" s="1145">
        <v>16000.0</v>
      </c>
      <c r="E574" s="1261">
        <f t="shared" si="67"/>
        <v>0</v>
      </c>
      <c r="F574" s="1145">
        <v>16000.0</v>
      </c>
      <c r="G574" s="1147"/>
      <c r="H574" s="1138"/>
      <c r="I574" s="1138"/>
      <c r="J574" s="1138"/>
      <c r="K574" s="1138"/>
      <c r="L574" s="1138"/>
      <c r="M574" s="1138"/>
      <c r="N574" s="1138"/>
      <c r="O574" s="1138"/>
      <c r="P574" s="1138"/>
      <c r="Q574" s="1138"/>
      <c r="R574" s="1138"/>
      <c r="S574" s="1138"/>
      <c r="T574" s="1138"/>
      <c r="U574" s="1138"/>
      <c r="V574" s="1138"/>
      <c r="W574" s="1138"/>
    </row>
    <row r="575">
      <c r="A575" s="1168" t="s">
        <v>20</v>
      </c>
      <c r="B575" s="1164">
        <v>2691280.67</v>
      </c>
      <c r="C575" s="1225">
        <v>6.787385241E7</v>
      </c>
      <c r="D575" s="1183">
        <v>1395810.0</v>
      </c>
      <c r="E575" s="1261">
        <f t="shared" si="67"/>
        <v>364844.5</v>
      </c>
      <c r="F575" s="1187">
        <v>1760654.5</v>
      </c>
      <c r="G575" s="1147"/>
      <c r="H575" s="1138"/>
      <c r="I575" s="1138"/>
      <c r="J575" s="1138"/>
      <c r="K575" s="1138"/>
      <c r="L575" s="1138"/>
      <c r="M575" s="1138"/>
      <c r="N575" s="1138"/>
      <c r="O575" s="1138"/>
      <c r="P575" s="1138"/>
      <c r="Q575" s="1138"/>
      <c r="R575" s="1138"/>
      <c r="S575" s="1138"/>
      <c r="T575" s="1138"/>
      <c r="U575" s="1138"/>
      <c r="V575" s="1138"/>
      <c r="W575" s="1138"/>
    </row>
    <row r="576">
      <c r="A576" s="1168" t="s">
        <v>21</v>
      </c>
      <c r="B576" s="1164">
        <v>159064.0</v>
      </c>
      <c r="C576" s="1225">
        <v>2668570.31</v>
      </c>
      <c r="D576" s="1229">
        <v>50000.0</v>
      </c>
      <c r="E576" s="1261">
        <f t="shared" si="67"/>
        <v>380541.55</v>
      </c>
      <c r="F576" s="1262">
        <v>430541.55</v>
      </c>
      <c r="G576" s="1147"/>
      <c r="H576" s="1151">
        <v>430541.55</v>
      </c>
      <c r="I576" s="1138"/>
      <c r="J576" s="1138"/>
      <c r="K576" s="1138"/>
      <c r="L576" s="1138"/>
      <c r="M576" s="1138"/>
      <c r="N576" s="1138"/>
      <c r="O576" s="1138"/>
      <c r="P576" s="1138"/>
      <c r="Q576" s="1138"/>
      <c r="R576" s="1138"/>
      <c r="S576" s="1138"/>
      <c r="T576" s="1138"/>
      <c r="U576" s="1138"/>
      <c r="V576" s="1138"/>
      <c r="W576" s="1138"/>
    </row>
    <row r="577">
      <c r="A577" s="1171" t="s">
        <v>22</v>
      </c>
      <c r="B577" s="1164">
        <v>245057.0</v>
      </c>
      <c r="C577" s="1187">
        <v>386081.67</v>
      </c>
      <c r="D577" s="1229">
        <v>0.0</v>
      </c>
      <c r="E577" s="1261">
        <f t="shared" si="67"/>
        <v>0</v>
      </c>
      <c r="F577" s="1229">
        <v>0.0</v>
      </c>
      <c r="G577" s="1147"/>
      <c r="H577" s="1138"/>
      <c r="I577" s="1138"/>
      <c r="J577" s="1138"/>
      <c r="K577" s="1138"/>
      <c r="L577" s="1138"/>
      <c r="M577" s="1138"/>
      <c r="N577" s="1138"/>
      <c r="O577" s="1138"/>
      <c r="P577" s="1138"/>
      <c r="Q577" s="1138"/>
      <c r="R577" s="1138"/>
      <c r="S577" s="1138"/>
      <c r="T577" s="1138"/>
      <c r="U577" s="1138"/>
      <c r="V577" s="1138"/>
      <c r="W577" s="1138"/>
    </row>
    <row r="578">
      <c r="A578" s="1264" t="s">
        <v>6967</v>
      </c>
      <c r="B578" s="1283">
        <f t="shared" ref="B578:C578" si="68">B565+B566+B567+B568+B569+B570+B571+B572+B573+B574+B575+B576+B577</f>
        <v>35908934.61</v>
      </c>
      <c r="C578" s="1283">
        <f t="shared" si="68"/>
        <v>2526584436</v>
      </c>
      <c r="D578" s="1283">
        <v>8180683.0</v>
      </c>
      <c r="E578" s="1195">
        <f t="shared" si="67"/>
        <v>2342273.05</v>
      </c>
      <c r="F578" s="1283">
        <v>1.052295605E7</v>
      </c>
      <c r="G578" s="1147"/>
      <c r="H578" s="1138"/>
      <c r="I578" s="1138"/>
      <c r="J578" s="1138"/>
      <c r="K578" s="1138"/>
      <c r="L578" s="1138"/>
      <c r="M578" s="1138"/>
      <c r="N578" s="1138"/>
      <c r="O578" s="1138"/>
      <c r="P578" s="1138"/>
      <c r="Q578" s="1138"/>
      <c r="R578" s="1138"/>
      <c r="S578" s="1138"/>
      <c r="T578" s="1138"/>
      <c r="U578" s="1138"/>
      <c r="V578" s="1138"/>
      <c r="W578" s="1138"/>
    </row>
    <row r="579">
      <c r="A579" s="1138"/>
      <c r="B579" s="1138"/>
      <c r="C579" s="1138"/>
      <c r="D579" s="1147"/>
      <c r="E579" s="1138"/>
      <c r="F579" s="1147"/>
      <c r="G579" s="1147"/>
      <c r="H579" s="1138"/>
      <c r="I579" s="1138"/>
      <c r="J579" s="1138"/>
      <c r="K579" s="1138"/>
      <c r="L579" s="1138"/>
      <c r="M579" s="1138"/>
      <c r="N579" s="1138"/>
      <c r="O579" s="1138"/>
      <c r="P579" s="1138"/>
      <c r="Q579" s="1138"/>
      <c r="R579" s="1138"/>
      <c r="S579" s="1138"/>
      <c r="T579" s="1138"/>
      <c r="U579" s="1138"/>
      <c r="V579" s="1138"/>
      <c r="W579" s="1138"/>
    </row>
    <row r="580">
      <c r="A580" s="1148" t="s">
        <v>6971</v>
      </c>
      <c r="B580" s="1284"/>
      <c r="C580" s="1222"/>
      <c r="D580" s="1221"/>
      <c r="E580" s="1222"/>
      <c r="F580" s="1221"/>
      <c r="G580" s="1221"/>
      <c r="H580" s="1222"/>
      <c r="I580" s="1222"/>
      <c r="J580" s="1222"/>
      <c r="K580" s="1222"/>
      <c r="L580" s="1222"/>
      <c r="M580" s="1222"/>
      <c r="N580" s="1222"/>
      <c r="O580" s="1222"/>
      <c r="P580" s="1222"/>
      <c r="Q580" s="1222"/>
      <c r="R580" s="1222"/>
      <c r="S580" s="1222"/>
      <c r="T580" s="1222"/>
      <c r="U580" s="1222"/>
      <c r="V580" s="1222"/>
      <c r="W580" s="1222"/>
    </row>
    <row r="581">
      <c r="A581" s="1138"/>
      <c r="B581" s="1139"/>
      <c r="C581" s="1138"/>
      <c r="D581" s="1147"/>
      <c r="E581" s="1138"/>
      <c r="F581" s="1151"/>
      <c r="G581" s="1147"/>
      <c r="H581" s="1138"/>
      <c r="I581" s="1138"/>
      <c r="J581" s="1138"/>
      <c r="K581" s="1138"/>
      <c r="L581" s="1138"/>
      <c r="M581" s="1138"/>
      <c r="N581" s="1138"/>
      <c r="O581" s="1138"/>
      <c r="P581" s="1138"/>
      <c r="Q581" s="1138"/>
      <c r="R581" s="1138"/>
      <c r="S581" s="1138"/>
      <c r="T581" s="1138"/>
      <c r="U581" s="1138"/>
      <c r="V581" s="1138"/>
      <c r="W581" s="1138"/>
    </row>
    <row r="582">
      <c r="A582" s="1138"/>
      <c r="B582" s="1138"/>
      <c r="C582" s="1138"/>
      <c r="D582" s="1285"/>
      <c r="E582" s="1138"/>
      <c r="F582" s="1147"/>
      <c r="G582" s="1147"/>
      <c r="H582" s="1138"/>
      <c r="I582" s="1138"/>
      <c r="J582" s="1138"/>
      <c r="K582" s="1138"/>
      <c r="L582" s="1138"/>
      <c r="M582" s="1138"/>
      <c r="N582" s="1138"/>
      <c r="O582" s="1138"/>
      <c r="P582" s="1138"/>
      <c r="Q582" s="1138"/>
      <c r="R582" s="1138"/>
      <c r="S582" s="1138"/>
      <c r="T582" s="1138"/>
      <c r="U582" s="1138"/>
      <c r="V582" s="1138"/>
      <c r="W582" s="1138"/>
    </row>
    <row r="583">
      <c r="A583" s="1138"/>
      <c r="B583" s="1138"/>
      <c r="C583" s="1138"/>
      <c r="D583" s="1285"/>
      <c r="E583" s="1138"/>
      <c r="F583" s="1147"/>
      <c r="G583" s="1147"/>
      <c r="H583" s="1138"/>
      <c r="I583" s="1138"/>
      <c r="J583" s="1138"/>
      <c r="K583" s="1138"/>
      <c r="L583" s="1138"/>
      <c r="M583" s="1138"/>
      <c r="N583" s="1138"/>
      <c r="O583" s="1138"/>
      <c r="P583" s="1138"/>
      <c r="Q583" s="1138"/>
      <c r="R583" s="1138"/>
      <c r="S583" s="1138"/>
      <c r="T583" s="1138"/>
      <c r="U583" s="1138"/>
      <c r="V583" s="1138"/>
      <c r="W583" s="1138"/>
    </row>
    <row r="584">
      <c r="A584" s="1138"/>
      <c r="B584" s="1138"/>
      <c r="C584" s="1138"/>
      <c r="D584" s="1285"/>
      <c r="E584" s="1138"/>
      <c r="F584" s="1147"/>
      <c r="G584" s="1147"/>
      <c r="H584" s="1138"/>
      <c r="I584" s="1138"/>
      <c r="J584" s="1138"/>
      <c r="K584" s="1138"/>
      <c r="L584" s="1138"/>
      <c r="M584" s="1138"/>
      <c r="N584" s="1138"/>
      <c r="O584" s="1138"/>
      <c r="P584" s="1138"/>
      <c r="Q584" s="1138"/>
      <c r="R584" s="1138"/>
      <c r="S584" s="1138"/>
      <c r="T584" s="1138"/>
      <c r="U584" s="1138"/>
      <c r="V584" s="1138"/>
      <c r="W584" s="1138"/>
    </row>
    <row r="585">
      <c r="A585" s="1209" t="s">
        <v>1605</v>
      </c>
      <c r="B585" s="1138"/>
      <c r="C585" s="1138"/>
      <c r="D585" s="1285"/>
      <c r="E585" s="1138"/>
      <c r="F585" s="1147"/>
      <c r="G585" s="1147"/>
      <c r="H585" s="1138"/>
      <c r="I585" s="1138"/>
      <c r="J585" s="1138"/>
      <c r="K585" s="1138"/>
      <c r="L585" s="1138"/>
      <c r="M585" s="1138"/>
      <c r="N585" s="1138"/>
      <c r="O585" s="1138"/>
      <c r="P585" s="1138"/>
      <c r="Q585" s="1138"/>
      <c r="R585" s="1138"/>
      <c r="S585" s="1138"/>
      <c r="T585" s="1138"/>
      <c r="U585" s="1138"/>
      <c r="V585" s="1138"/>
      <c r="W585" s="1138"/>
    </row>
    <row r="586">
      <c r="A586" s="1180" t="s">
        <v>1</v>
      </c>
      <c r="B586" s="1180" t="s">
        <v>6936</v>
      </c>
      <c r="C586" s="1280" t="s">
        <v>6950</v>
      </c>
      <c r="D586" s="1286" t="s">
        <v>6938</v>
      </c>
      <c r="E586" s="1180" t="s">
        <v>6939</v>
      </c>
      <c r="F586" s="1179" t="s">
        <v>6940</v>
      </c>
      <c r="G586" s="1147"/>
      <c r="H586" s="1138"/>
      <c r="I586" s="1138"/>
      <c r="J586" s="1138"/>
      <c r="K586" s="1138"/>
      <c r="L586" s="1138"/>
      <c r="M586" s="1138"/>
      <c r="N586" s="1138"/>
      <c r="O586" s="1138"/>
      <c r="P586" s="1138"/>
      <c r="Q586" s="1138"/>
      <c r="R586" s="1138"/>
      <c r="S586" s="1138"/>
      <c r="T586" s="1138"/>
      <c r="U586" s="1138"/>
      <c r="V586" s="1138"/>
      <c r="W586" s="1138"/>
    </row>
    <row r="587">
      <c r="A587" s="1168" t="s">
        <v>10</v>
      </c>
      <c r="B587" s="1164">
        <v>4402874.62</v>
      </c>
      <c r="C587" s="1187">
        <v>8.9228228252E8</v>
      </c>
      <c r="D587" s="1261">
        <v>915000.0</v>
      </c>
      <c r="E587" s="1261">
        <f t="shared" ref="E587:E602" si="69">F587-D587</f>
        <v>40700000</v>
      </c>
      <c r="F587" s="1229">
        <v>4.1615E7</v>
      </c>
      <c r="G587" s="1147"/>
      <c r="H587" s="1138"/>
      <c r="I587" s="1138"/>
      <c r="J587" s="1138"/>
      <c r="K587" s="1138"/>
      <c r="L587" s="1138"/>
      <c r="M587" s="1138"/>
      <c r="N587" s="1138"/>
      <c r="O587" s="1138"/>
      <c r="P587" s="1138"/>
      <c r="Q587" s="1138"/>
      <c r="R587" s="1138"/>
      <c r="S587" s="1138"/>
      <c r="T587" s="1138"/>
      <c r="U587" s="1138"/>
      <c r="V587" s="1138"/>
      <c r="W587" s="1138"/>
    </row>
    <row r="588">
      <c r="A588" s="1168" t="s">
        <v>24</v>
      </c>
      <c r="B588" s="1164">
        <v>7836231.649999999</v>
      </c>
      <c r="C588" s="1187">
        <v>6.4769024219E8</v>
      </c>
      <c r="D588" s="1271">
        <v>80376.0</v>
      </c>
      <c r="E588" s="1261">
        <f t="shared" si="69"/>
        <v>10000</v>
      </c>
      <c r="F588" s="1250">
        <v>90376.0</v>
      </c>
      <c r="G588" s="1147"/>
      <c r="H588" s="1138"/>
      <c r="I588" s="1138"/>
      <c r="J588" s="1138"/>
      <c r="K588" s="1138"/>
      <c r="L588" s="1138"/>
      <c r="M588" s="1138"/>
      <c r="N588" s="1138"/>
      <c r="O588" s="1138"/>
      <c r="P588" s="1138"/>
      <c r="Q588" s="1138"/>
      <c r="R588" s="1138"/>
      <c r="S588" s="1138"/>
      <c r="T588" s="1138"/>
      <c r="U588" s="1138"/>
      <c r="V588" s="1138"/>
      <c r="W588" s="1138"/>
    </row>
    <row r="589">
      <c r="A589" s="1168" t="s">
        <v>12</v>
      </c>
      <c r="B589" s="1164">
        <v>2592566.4299999997</v>
      </c>
      <c r="C589" s="1187">
        <f>276242294.09-F589</f>
        <v>275840794.1</v>
      </c>
      <c r="D589" s="1261">
        <v>272500.0</v>
      </c>
      <c r="E589" s="1261">
        <f t="shared" si="69"/>
        <v>129000</v>
      </c>
      <c r="F589" s="1187">
        <v>401500.0</v>
      </c>
      <c r="G589" s="1147"/>
      <c r="H589" s="1138"/>
      <c r="I589" s="1138"/>
      <c r="J589" s="1138"/>
      <c r="K589" s="1138"/>
      <c r="L589" s="1138"/>
      <c r="M589" s="1138"/>
      <c r="N589" s="1138"/>
      <c r="O589" s="1138"/>
      <c r="P589" s="1138"/>
      <c r="Q589" s="1138"/>
      <c r="R589" s="1138"/>
      <c r="S589" s="1138"/>
      <c r="T589" s="1138"/>
      <c r="U589" s="1138"/>
      <c r="V589" s="1138"/>
      <c r="W589" s="1138"/>
    </row>
    <row r="590">
      <c r="A590" s="1168" t="s">
        <v>13</v>
      </c>
      <c r="B590" s="1164">
        <v>4780977.35</v>
      </c>
      <c r="C590" s="1187">
        <v>1.20985851E8</v>
      </c>
      <c r="D590" s="1261">
        <v>115250.0</v>
      </c>
      <c r="E590" s="1261">
        <f t="shared" si="69"/>
        <v>12588</v>
      </c>
      <c r="F590" s="1187">
        <v>127838.0</v>
      </c>
      <c r="G590" s="1147"/>
      <c r="H590" s="1138"/>
      <c r="I590" s="1138"/>
      <c r="J590" s="1138"/>
      <c r="K590" s="1138"/>
      <c r="L590" s="1138"/>
      <c r="M590" s="1138"/>
      <c r="N590" s="1138"/>
      <c r="O590" s="1138"/>
      <c r="P590" s="1138"/>
      <c r="Q590" s="1138"/>
      <c r="R590" s="1138"/>
      <c r="S590" s="1138"/>
      <c r="T590" s="1138"/>
      <c r="U590" s="1138"/>
      <c r="V590" s="1138"/>
      <c r="W590" s="1138"/>
    </row>
    <row r="591">
      <c r="A591" s="1168" t="s">
        <v>14</v>
      </c>
      <c r="B591" s="1164">
        <v>1256004.14</v>
      </c>
      <c r="C591" s="1139">
        <v>1.7136430449E8</v>
      </c>
      <c r="D591" s="1261">
        <v>75630.0</v>
      </c>
      <c r="E591" s="1261">
        <f t="shared" si="69"/>
        <v>-270</v>
      </c>
      <c r="F591" s="1187">
        <v>75360.0</v>
      </c>
      <c r="G591" s="1151">
        <v>75360.0</v>
      </c>
      <c r="H591" s="1138"/>
      <c r="I591" s="1138"/>
      <c r="J591" s="1138"/>
      <c r="K591" s="1138"/>
      <c r="L591" s="1138"/>
      <c r="M591" s="1138"/>
      <c r="N591" s="1138"/>
      <c r="O591" s="1138"/>
      <c r="P591" s="1138"/>
      <c r="Q591" s="1138"/>
      <c r="R591" s="1138"/>
      <c r="S591" s="1138"/>
      <c r="T591" s="1138"/>
      <c r="U591" s="1138"/>
      <c r="V591" s="1138"/>
      <c r="W591" s="1138"/>
    </row>
    <row r="592">
      <c r="A592" s="1168" t="s">
        <v>15</v>
      </c>
      <c r="B592" s="1164">
        <v>163750.0</v>
      </c>
      <c r="C592" s="1187">
        <v>1.770694593E7</v>
      </c>
      <c r="D592" s="1261">
        <v>0.0</v>
      </c>
      <c r="E592" s="1261">
        <f t="shared" si="69"/>
        <v>20000</v>
      </c>
      <c r="F592" s="1187">
        <v>20000.0</v>
      </c>
      <c r="G592" s="1147"/>
      <c r="H592" s="1138"/>
      <c r="I592" s="1138"/>
      <c r="J592" s="1138"/>
      <c r="K592" s="1138"/>
      <c r="L592" s="1138"/>
      <c r="M592" s="1138"/>
      <c r="N592" s="1138"/>
      <c r="O592" s="1138"/>
      <c r="P592" s="1138"/>
      <c r="Q592" s="1138"/>
      <c r="R592" s="1138"/>
      <c r="S592" s="1138"/>
      <c r="T592" s="1138"/>
      <c r="U592" s="1138"/>
      <c r="V592" s="1138"/>
      <c r="W592" s="1138"/>
    </row>
    <row r="593">
      <c r="A593" s="1168" t="s">
        <v>16</v>
      </c>
      <c r="B593" s="1164">
        <v>193500.0</v>
      </c>
      <c r="C593" s="1187">
        <v>1.542835895E7</v>
      </c>
      <c r="D593" s="1261">
        <v>0.0</v>
      </c>
      <c r="E593" s="1261">
        <f t="shared" si="69"/>
        <v>0</v>
      </c>
      <c r="F593" s="1187">
        <v>0.0</v>
      </c>
      <c r="G593" s="1147"/>
      <c r="H593" s="1138"/>
      <c r="I593" s="1138"/>
      <c r="J593" s="1138"/>
      <c r="K593" s="1138"/>
      <c r="L593" s="1138"/>
      <c r="M593" s="1138"/>
      <c r="N593" s="1138"/>
      <c r="O593" s="1138"/>
      <c r="P593" s="1138"/>
      <c r="Q593" s="1138"/>
      <c r="R593" s="1138"/>
      <c r="S593" s="1138"/>
      <c r="T593" s="1138"/>
      <c r="U593" s="1138"/>
      <c r="V593" s="1138"/>
      <c r="W593" s="1138"/>
    </row>
    <row r="594">
      <c r="A594" s="1168" t="s">
        <v>17</v>
      </c>
      <c r="B594" s="1164">
        <v>1003561.8</v>
      </c>
      <c r="C594" s="1183">
        <v>2.0784263289E8</v>
      </c>
      <c r="D594" s="1184">
        <v>333934.0</v>
      </c>
      <c r="E594" s="1261">
        <f t="shared" si="69"/>
        <v>0</v>
      </c>
      <c r="F594" s="1183">
        <v>333934.0</v>
      </c>
      <c r="G594" s="1147"/>
      <c r="H594" s="1138"/>
      <c r="I594" s="1138"/>
      <c r="J594" s="1138"/>
      <c r="K594" s="1138"/>
      <c r="L594" s="1138"/>
      <c r="M594" s="1138"/>
      <c r="N594" s="1138"/>
      <c r="O594" s="1138"/>
      <c r="P594" s="1138"/>
      <c r="Q594" s="1138"/>
      <c r="R594" s="1138"/>
      <c r="S594" s="1138"/>
      <c r="T594" s="1138"/>
      <c r="U594" s="1138"/>
      <c r="V594" s="1138"/>
      <c r="W594" s="1138"/>
    </row>
    <row r="595">
      <c r="A595" s="1168" t="s">
        <v>18</v>
      </c>
      <c r="B595" s="1164">
        <v>1529111.0</v>
      </c>
      <c r="C595" s="1187">
        <v>9.962802189E7</v>
      </c>
      <c r="D595" s="1184">
        <v>66863.0</v>
      </c>
      <c r="E595" s="1261">
        <f t="shared" si="69"/>
        <v>60800</v>
      </c>
      <c r="F595" s="1187">
        <v>127663.0</v>
      </c>
      <c r="G595" s="1147"/>
      <c r="H595" s="1138"/>
      <c r="I595" s="1138"/>
      <c r="J595" s="1138"/>
      <c r="K595" s="1138"/>
      <c r="L595" s="1138"/>
      <c r="M595" s="1138"/>
      <c r="N595" s="1138"/>
      <c r="O595" s="1138"/>
      <c r="P595" s="1138"/>
      <c r="Q595" s="1138"/>
      <c r="R595" s="1138"/>
      <c r="S595" s="1138"/>
      <c r="T595" s="1138"/>
      <c r="U595" s="1138"/>
      <c r="V595" s="1138"/>
      <c r="W595" s="1138"/>
    </row>
    <row r="596">
      <c r="A596" s="1168" t="s">
        <v>19</v>
      </c>
      <c r="B596" s="1164">
        <v>166073.0</v>
      </c>
      <c r="C596" s="1225">
        <v>8256223.19</v>
      </c>
      <c r="D596" s="1287">
        <v>0.0</v>
      </c>
      <c r="E596" s="1261">
        <f t="shared" si="69"/>
        <v>3000</v>
      </c>
      <c r="F596" s="1145">
        <v>3000.0</v>
      </c>
      <c r="G596" s="1147"/>
      <c r="H596" s="1138"/>
      <c r="I596" s="1151">
        <v>4.2853521E7</v>
      </c>
      <c r="J596" s="1138"/>
      <c r="K596" s="1138"/>
      <c r="L596" s="1138"/>
      <c r="M596" s="1138"/>
      <c r="N596" s="1138"/>
      <c r="O596" s="1138"/>
      <c r="P596" s="1138"/>
      <c r="Q596" s="1138"/>
      <c r="R596" s="1138"/>
      <c r="S596" s="1138"/>
      <c r="T596" s="1138"/>
      <c r="U596" s="1138"/>
      <c r="V596" s="1138"/>
      <c r="W596" s="1138"/>
    </row>
    <row r="597">
      <c r="A597" s="1168" t="s">
        <v>20</v>
      </c>
      <c r="B597" s="1164">
        <v>965289.6699999999</v>
      </c>
      <c r="C597" s="1225">
        <v>6.787385241E7</v>
      </c>
      <c r="D597" s="1184">
        <v>50000.0</v>
      </c>
      <c r="E597" s="1261">
        <f t="shared" si="69"/>
        <v>8850</v>
      </c>
      <c r="F597" s="1187">
        <v>58850.0</v>
      </c>
      <c r="G597" s="1147"/>
      <c r="H597" s="1138"/>
      <c r="I597" s="1138"/>
      <c r="J597" s="1138"/>
      <c r="K597" s="1138"/>
      <c r="L597" s="1138"/>
      <c r="M597" s="1138"/>
      <c r="N597" s="1138"/>
      <c r="O597" s="1138"/>
      <c r="P597" s="1138"/>
      <c r="Q597" s="1138"/>
      <c r="R597" s="1138"/>
      <c r="S597" s="1138"/>
      <c r="T597" s="1138"/>
      <c r="U597" s="1138"/>
      <c r="V597" s="1138"/>
      <c r="W597" s="1138"/>
    </row>
    <row r="598">
      <c r="A598" s="1168" t="s">
        <v>21</v>
      </c>
      <c r="B598" s="1164">
        <v>0.0</v>
      </c>
      <c r="C598" s="1225">
        <v>2668570.31</v>
      </c>
      <c r="D598" s="1282">
        <v>0.0</v>
      </c>
      <c r="E598" s="1261">
        <f t="shared" si="69"/>
        <v>0</v>
      </c>
      <c r="F598" s="1262">
        <v>0.0</v>
      </c>
      <c r="G598" s="1147"/>
      <c r="H598" s="1138"/>
      <c r="I598" s="1138"/>
      <c r="J598" s="1138"/>
      <c r="K598" s="1138"/>
      <c r="L598" s="1138"/>
      <c r="M598" s="1138"/>
      <c r="N598" s="1138"/>
      <c r="O598" s="1138"/>
      <c r="P598" s="1138"/>
      <c r="Q598" s="1138"/>
      <c r="R598" s="1138"/>
      <c r="S598" s="1138"/>
      <c r="T598" s="1138"/>
      <c r="U598" s="1138"/>
      <c r="V598" s="1138"/>
      <c r="W598" s="1138"/>
    </row>
    <row r="599">
      <c r="A599" s="1171" t="s">
        <v>22</v>
      </c>
      <c r="B599" s="1164">
        <v>245057.0</v>
      </c>
      <c r="C599" s="1187">
        <v>386081.67</v>
      </c>
      <c r="D599" s="1282">
        <v>0.0</v>
      </c>
      <c r="E599" s="1261">
        <f t="shared" si="69"/>
        <v>0</v>
      </c>
      <c r="F599" s="1229">
        <v>0.0</v>
      </c>
      <c r="G599" s="1147"/>
      <c r="H599" s="1138"/>
      <c r="I599" s="1138"/>
      <c r="J599" s="1138"/>
      <c r="K599" s="1138"/>
      <c r="L599" s="1138"/>
      <c r="M599" s="1138"/>
      <c r="N599" s="1138"/>
      <c r="O599" s="1138"/>
      <c r="P599" s="1138"/>
      <c r="Q599" s="1138"/>
      <c r="R599" s="1138"/>
      <c r="S599" s="1138"/>
      <c r="T599" s="1138"/>
      <c r="U599" s="1138"/>
      <c r="V599" s="1138"/>
      <c r="W599" s="1138"/>
    </row>
    <row r="600">
      <c r="A600" s="1161" t="s">
        <v>32</v>
      </c>
      <c r="B600" s="1288">
        <v>2250000.0</v>
      </c>
      <c r="C600" s="1289"/>
      <c r="D600" s="1290"/>
      <c r="E600" s="1261">
        <f t="shared" si="69"/>
        <v>0</v>
      </c>
      <c r="F600" s="1291">
        <v>0.0</v>
      </c>
      <c r="G600" s="1147"/>
      <c r="H600" s="1138"/>
      <c r="I600" s="1138"/>
      <c r="J600" s="1138"/>
      <c r="K600" s="1138"/>
      <c r="L600" s="1138"/>
      <c r="M600" s="1138"/>
      <c r="N600" s="1138"/>
      <c r="O600" s="1138"/>
      <c r="P600" s="1138"/>
      <c r="Q600" s="1138"/>
      <c r="R600" s="1138"/>
      <c r="S600" s="1138"/>
      <c r="T600" s="1138"/>
      <c r="U600" s="1138"/>
      <c r="V600" s="1138"/>
      <c r="W600" s="1138"/>
    </row>
    <row r="601">
      <c r="A601" s="1161" t="s">
        <v>31</v>
      </c>
      <c r="B601" s="1139">
        <v>2200000.0</v>
      </c>
      <c r="C601" s="1289"/>
      <c r="D601" s="1290"/>
      <c r="E601" s="1261">
        <f t="shared" si="69"/>
        <v>0</v>
      </c>
      <c r="F601" s="1291">
        <v>0.0</v>
      </c>
      <c r="G601" s="1147"/>
      <c r="H601" s="1138"/>
      <c r="I601" s="1138"/>
      <c r="J601" s="1138"/>
      <c r="K601" s="1138"/>
      <c r="L601" s="1138"/>
      <c r="M601" s="1138"/>
      <c r="N601" s="1138"/>
      <c r="O601" s="1138"/>
      <c r="P601" s="1138"/>
      <c r="Q601" s="1138"/>
      <c r="R601" s="1138"/>
      <c r="S601" s="1138"/>
      <c r="T601" s="1138"/>
      <c r="U601" s="1138"/>
      <c r="V601" s="1138"/>
      <c r="W601" s="1138"/>
    </row>
    <row r="602">
      <c r="A602" s="1264" t="s">
        <v>6967</v>
      </c>
      <c r="B602" s="1292">
        <f t="shared" ref="B602:C602" si="70">SUM(B581:B601)</f>
        <v>29584996.66</v>
      </c>
      <c r="C602" s="1292">
        <f t="shared" si="70"/>
        <v>2527954162</v>
      </c>
      <c r="D602" s="1293">
        <v>3895949.0</v>
      </c>
      <c r="E602" s="1294">
        <f t="shared" si="69"/>
        <v>38957572</v>
      </c>
      <c r="F602" s="1292">
        <v>4.2853521E7</v>
      </c>
      <c r="G602" s="1147"/>
      <c r="H602" s="1138"/>
      <c r="I602" s="1138"/>
      <c r="J602" s="1138"/>
      <c r="K602" s="1138"/>
      <c r="L602" s="1138"/>
      <c r="M602" s="1138"/>
      <c r="N602" s="1138"/>
      <c r="O602" s="1138"/>
      <c r="P602" s="1138"/>
      <c r="Q602" s="1138"/>
      <c r="R602" s="1138"/>
      <c r="S602" s="1138"/>
      <c r="T602" s="1138"/>
      <c r="U602" s="1138"/>
      <c r="V602" s="1138"/>
      <c r="W602" s="1138"/>
    </row>
    <row r="603">
      <c r="A603" s="1138"/>
      <c r="B603" s="1202"/>
      <c r="C603" s="1138"/>
      <c r="D603" s="1147"/>
      <c r="E603" s="1138"/>
      <c r="F603" s="1147"/>
      <c r="G603" s="1147"/>
      <c r="H603" s="1138"/>
      <c r="I603" s="1138"/>
      <c r="J603" s="1138"/>
      <c r="K603" s="1138"/>
      <c r="L603" s="1138"/>
      <c r="M603" s="1138"/>
      <c r="N603" s="1138"/>
      <c r="O603" s="1138"/>
      <c r="P603" s="1138"/>
      <c r="Q603" s="1138"/>
      <c r="R603" s="1138"/>
      <c r="S603" s="1138"/>
      <c r="T603" s="1138"/>
      <c r="U603" s="1138"/>
      <c r="V603" s="1138"/>
      <c r="W603" s="1138"/>
    </row>
    <row r="604">
      <c r="A604" s="1138"/>
      <c r="B604" s="1138"/>
      <c r="C604" s="1138"/>
      <c r="D604" s="1147"/>
      <c r="E604" s="1138"/>
      <c r="F604" s="1147"/>
      <c r="G604" s="1147"/>
      <c r="H604" s="1138"/>
      <c r="I604" s="1138"/>
      <c r="J604" s="1138"/>
      <c r="K604" s="1138"/>
      <c r="L604" s="1138"/>
      <c r="M604" s="1138"/>
      <c r="N604" s="1138"/>
      <c r="O604" s="1138"/>
      <c r="P604" s="1138"/>
      <c r="Q604" s="1138"/>
      <c r="R604" s="1138"/>
      <c r="S604" s="1138"/>
      <c r="T604" s="1138"/>
      <c r="U604" s="1138"/>
      <c r="V604" s="1138"/>
      <c r="W604" s="1138"/>
    </row>
    <row r="605">
      <c r="A605" s="1209" t="s">
        <v>6972</v>
      </c>
      <c r="B605" s="1138"/>
      <c r="C605" s="1138"/>
      <c r="D605" s="1285"/>
      <c r="E605" s="1138"/>
      <c r="F605" s="1147"/>
      <c r="G605" s="1147"/>
      <c r="H605" s="1138"/>
      <c r="I605" s="1138"/>
      <c r="J605" s="1138"/>
      <c r="K605" s="1138"/>
      <c r="L605" s="1138"/>
      <c r="M605" s="1138"/>
      <c r="N605" s="1138"/>
      <c r="O605" s="1138"/>
      <c r="P605" s="1138"/>
      <c r="Q605" s="1138"/>
      <c r="R605" s="1138"/>
      <c r="S605" s="1138"/>
      <c r="T605" s="1138"/>
      <c r="U605" s="1138"/>
      <c r="V605" s="1138"/>
      <c r="W605" s="1138"/>
    </row>
    <row r="606">
      <c r="A606" s="1180" t="s">
        <v>1</v>
      </c>
      <c r="B606" s="1295" t="s">
        <v>6936</v>
      </c>
      <c r="C606" s="1280" t="s">
        <v>6950</v>
      </c>
      <c r="D606" s="1286" t="s">
        <v>6938</v>
      </c>
      <c r="E606" s="1180" t="s">
        <v>6939</v>
      </c>
      <c r="F606" s="1179" t="s">
        <v>6940</v>
      </c>
      <c r="G606" s="1147"/>
      <c r="H606" s="1138"/>
      <c r="I606" s="1138"/>
      <c r="J606" s="1138"/>
      <c r="K606" s="1138"/>
      <c r="L606" s="1138"/>
      <c r="M606" s="1138"/>
      <c r="N606" s="1138"/>
      <c r="O606" s="1138"/>
      <c r="P606" s="1138"/>
      <c r="Q606" s="1138"/>
      <c r="R606" s="1138"/>
      <c r="S606" s="1138"/>
      <c r="T606" s="1138"/>
      <c r="U606" s="1138"/>
      <c r="V606" s="1138"/>
      <c r="W606" s="1138"/>
    </row>
    <row r="607">
      <c r="A607" s="1168" t="s">
        <v>10</v>
      </c>
      <c r="B607" s="1261">
        <v>4887984.97</v>
      </c>
      <c r="C607" s="1187">
        <v>8.9228228252E8</v>
      </c>
      <c r="D607" s="1187">
        <v>440000.0</v>
      </c>
      <c r="E607" s="1261">
        <f t="shared" ref="E607:E621" si="71">F607-D607</f>
        <v>1145160</v>
      </c>
      <c r="F607" s="1229">
        <v>1585160.0</v>
      </c>
      <c r="G607" s="1151">
        <v>1585160.0</v>
      </c>
      <c r="H607" s="1138"/>
      <c r="I607" s="1138"/>
      <c r="J607" s="1138"/>
      <c r="K607" s="1138"/>
      <c r="L607" s="1138"/>
      <c r="M607" s="1138"/>
      <c r="N607" s="1138"/>
      <c r="O607" s="1138"/>
      <c r="P607" s="1138"/>
      <c r="Q607" s="1138"/>
      <c r="R607" s="1138"/>
      <c r="S607" s="1138"/>
      <c r="T607" s="1138"/>
      <c r="U607" s="1138"/>
      <c r="V607" s="1138"/>
      <c r="W607" s="1138"/>
    </row>
    <row r="608">
      <c r="A608" s="1168" t="s">
        <v>24</v>
      </c>
      <c r="B608" s="1261">
        <v>9771294.99</v>
      </c>
      <c r="C608" s="1187">
        <v>6.4769024219E8</v>
      </c>
      <c r="D608" s="1190">
        <v>3848299.0</v>
      </c>
      <c r="E608" s="1261">
        <f t="shared" si="71"/>
        <v>555349</v>
      </c>
      <c r="F608" s="1250">
        <v>4403648.0</v>
      </c>
      <c r="G608" s="1151">
        <v>4403648.0</v>
      </c>
      <c r="H608" s="1138"/>
      <c r="I608" s="1138"/>
      <c r="J608" s="1138"/>
      <c r="K608" s="1138"/>
      <c r="L608" s="1138"/>
      <c r="M608" s="1138"/>
      <c r="N608" s="1138"/>
      <c r="O608" s="1138"/>
      <c r="P608" s="1138"/>
      <c r="Q608" s="1138"/>
      <c r="R608" s="1138"/>
      <c r="S608" s="1138"/>
      <c r="T608" s="1138"/>
      <c r="U608" s="1138"/>
      <c r="V608" s="1138"/>
      <c r="W608" s="1138"/>
    </row>
    <row r="609">
      <c r="A609" s="1168" t="s">
        <v>12</v>
      </c>
      <c r="B609" s="1261">
        <v>6867431.66</v>
      </c>
      <c r="C609" s="1187">
        <f>271599756.58-F609</f>
        <v>264929745.6</v>
      </c>
      <c r="D609" s="1187">
        <v>5251638.0</v>
      </c>
      <c r="E609" s="1261">
        <f t="shared" si="71"/>
        <v>1418373</v>
      </c>
      <c r="F609" s="1187">
        <v>6670011.0</v>
      </c>
      <c r="G609" s="1147"/>
      <c r="H609" s="1138"/>
      <c r="I609" s="1138"/>
      <c r="J609" s="1138"/>
      <c r="K609" s="1138"/>
      <c r="L609" s="1138"/>
      <c r="M609" s="1138"/>
      <c r="N609" s="1138"/>
      <c r="O609" s="1138"/>
      <c r="P609" s="1138"/>
      <c r="Q609" s="1138"/>
      <c r="R609" s="1138"/>
      <c r="S609" s="1138"/>
      <c r="T609" s="1138"/>
      <c r="U609" s="1138"/>
      <c r="V609" s="1138"/>
      <c r="W609" s="1138"/>
    </row>
    <row r="610">
      <c r="A610" s="1168" t="s">
        <v>13</v>
      </c>
      <c r="B610" s="1261">
        <v>5303572.3</v>
      </c>
      <c r="C610" s="1187">
        <v>1.20008498E8</v>
      </c>
      <c r="D610" s="1187">
        <v>925721.0</v>
      </c>
      <c r="E610" s="1261">
        <f t="shared" si="71"/>
        <v>2910245</v>
      </c>
      <c r="F610" s="1184">
        <v>3835966.0</v>
      </c>
      <c r="G610" s="1147"/>
      <c r="H610" s="1138"/>
      <c r="I610" s="1138"/>
      <c r="J610" s="1138"/>
      <c r="K610" s="1138"/>
      <c r="L610" s="1138"/>
      <c r="M610" s="1138"/>
      <c r="N610" s="1138"/>
      <c r="O610" s="1138"/>
      <c r="P610" s="1138"/>
      <c r="Q610" s="1138"/>
      <c r="R610" s="1138"/>
      <c r="S610" s="1138"/>
      <c r="T610" s="1138"/>
      <c r="U610" s="1138"/>
      <c r="V610" s="1138"/>
      <c r="W610" s="1138"/>
    </row>
    <row r="611">
      <c r="A611" s="1168" t="s">
        <v>14</v>
      </c>
      <c r="B611" s="1261">
        <v>1167343.72</v>
      </c>
      <c r="C611" s="1139">
        <v>1.7136430449E8</v>
      </c>
      <c r="D611" s="1187">
        <v>50455.0</v>
      </c>
      <c r="E611" s="1261">
        <f t="shared" si="71"/>
        <v>1044215</v>
      </c>
      <c r="F611" s="1187">
        <v>1094670.0</v>
      </c>
      <c r="G611" s="1151">
        <v>1094670.0</v>
      </c>
      <c r="H611" s="1138"/>
      <c r="I611" s="1138"/>
      <c r="J611" s="1138"/>
      <c r="K611" s="1138"/>
      <c r="L611" s="1138"/>
      <c r="M611" s="1138"/>
      <c r="N611" s="1138"/>
      <c r="O611" s="1138"/>
      <c r="P611" s="1138"/>
      <c r="Q611" s="1138"/>
      <c r="R611" s="1138"/>
      <c r="S611" s="1138"/>
      <c r="T611" s="1138"/>
      <c r="U611" s="1138"/>
      <c r="V611" s="1138"/>
      <c r="W611" s="1138"/>
    </row>
    <row r="612">
      <c r="A612" s="1168" t="s">
        <v>15</v>
      </c>
      <c r="B612" s="1261">
        <v>197000.0</v>
      </c>
      <c r="C612" s="1187">
        <v>1.772428703E7</v>
      </c>
      <c r="D612" s="1187">
        <v>147560.0</v>
      </c>
      <c r="E612" s="1261">
        <f t="shared" si="71"/>
        <v>700963</v>
      </c>
      <c r="F612" s="1187">
        <v>848523.0</v>
      </c>
      <c r="G612" s="1151">
        <v>848523.0</v>
      </c>
      <c r="H612" s="1138"/>
      <c r="I612" s="1138"/>
      <c r="J612" s="1138"/>
      <c r="K612" s="1138"/>
      <c r="L612" s="1138"/>
      <c r="M612" s="1138"/>
      <c r="N612" s="1138"/>
      <c r="O612" s="1138"/>
      <c r="P612" s="1138"/>
      <c r="Q612" s="1138"/>
      <c r="R612" s="1138"/>
      <c r="S612" s="1138"/>
      <c r="T612" s="1138"/>
      <c r="U612" s="1138"/>
      <c r="V612" s="1138"/>
      <c r="W612" s="1138"/>
    </row>
    <row r="613">
      <c r="A613" s="1168" t="s">
        <v>16</v>
      </c>
      <c r="B613" s="1261">
        <v>200000.0</v>
      </c>
      <c r="C613" s="1187">
        <v>1.563413042E7</v>
      </c>
      <c r="D613" s="1187">
        <v>0.0</v>
      </c>
      <c r="E613" s="1261">
        <f t="shared" si="71"/>
        <v>856558</v>
      </c>
      <c r="F613" s="1187">
        <v>856558.0</v>
      </c>
      <c r="G613" s="1147"/>
      <c r="H613" s="1138"/>
      <c r="I613" s="1138"/>
      <c r="J613" s="1138"/>
      <c r="K613" s="1138"/>
      <c r="L613" s="1138"/>
      <c r="M613" s="1138"/>
      <c r="N613" s="1138"/>
      <c r="O613" s="1138"/>
      <c r="P613" s="1138"/>
      <c r="Q613" s="1138"/>
      <c r="R613" s="1138"/>
      <c r="S613" s="1138"/>
      <c r="T613" s="1138"/>
      <c r="U613" s="1138"/>
      <c r="V613" s="1138"/>
      <c r="W613" s="1138"/>
    </row>
    <row r="614">
      <c r="A614" s="1168" t="s">
        <v>17</v>
      </c>
      <c r="B614" s="1261">
        <v>1939908.5999999999</v>
      </c>
      <c r="C614" s="1183">
        <v>2.0894565196E8</v>
      </c>
      <c r="D614" s="1184">
        <v>480298.0</v>
      </c>
      <c r="E614" s="1261">
        <f t="shared" si="71"/>
        <v>856205</v>
      </c>
      <c r="F614" s="1183">
        <v>1336503.0</v>
      </c>
      <c r="G614" s="1151">
        <v>1336503.0</v>
      </c>
      <c r="H614" s="1138"/>
      <c r="I614" s="1138"/>
      <c r="J614" s="1138"/>
      <c r="K614" s="1138"/>
      <c r="L614" s="1138"/>
      <c r="M614" s="1138"/>
      <c r="N614" s="1138"/>
      <c r="O614" s="1138"/>
      <c r="P614" s="1138"/>
      <c r="Q614" s="1138"/>
      <c r="R614" s="1138"/>
      <c r="S614" s="1138"/>
      <c r="T614" s="1138"/>
      <c r="U614" s="1138"/>
      <c r="V614" s="1138"/>
      <c r="W614" s="1138"/>
    </row>
    <row r="615">
      <c r="A615" s="1168" t="s">
        <v>18</v>
      </c>
      <c r="B615" s="1261">
        <v>1667656.6800000002</v>
      </c>
      <c r="C615" s="1187">
        <v>9.817478121E7</v>
      </c>
      <c r="D615" s="1183">
        <v>131145.0</v>
      </c>
      <c r="E615" s="1261">
        <f t="shared" si="71"/>
        <v>3095376</v>
      </c>
      <c r="F615" s="1187">
        <v>3226521.0</v>
      </c>
      <c r="G615" s="1151">
        <v>3226521.0</v>
      </c>
      <c r="H615" s="1138"/>
      <c r="I615" s="1138"/>
      <c r="J615" s="1138"/>
      <c r="K615" s="1138"/>
      <c r="L615" s="1138"/>
      <c r="M615" s="1138"/>
      <c r="N615" s="1138"/>
      <c r="O615" s="1138"/>
      <c r="P615" s="1138"/>
      <c r="Q615" s="1138"/>
      <c r="R615" s="1138"/>
      <c r="S615" s="1138"/>
      <c r="T615" s="1138"/>
      <c r="U615" s="1138"/>
      <c r="V615" s="1138"/>
      <c r="W615" s="1138"/>
    </row>
    <row r="616">
      <c r="A616" s="1168" t="s">
        <v>19</v>
      </c>
      <c r="B616" s="1261">
        <v>166073.0</v>
      </c>
      <c r="C616" s="1225">
        <v>8256223.19</v>
      </c>
      <c r="D616" s="1145">
        <v>0.0</v>
      </c>
      <c r="E616" s="1261">
        <f t="shared" si="71"/>
        <v>153962</v>
      </c>
      <c r="F616" s="1145">
        <v>153962.0</v>
      </c>
      <c r="G616" s="1151">
        <v>153962.0</v>
      </c>
      <c r="H616" s="1138"/>
      <c r="I616" s="1138"/>
      <c r="J616" s="1138"/>
      <c r="K616" s="1138"/>
      <c r="L616" s="1138"/>
      <c r="M616" s="1138"/>
      <c r="N616" s="1138"/>
      <c r="O616" s="1138"/>
      <c r="P616" s="1138"/>
      <c r="Q616" s="1138"/>
      <c r="R616" s="1138"/>
      <c r="S616" s="1138"/>
      <c r="T616" s="1138"/>
      <c r="U616" s="1138"/>
      <c r="V616" s="1138"/>
      <c r="W616" s="1138"/>
    </row>
    <row r="617">
      <c r="A617" s="1168" t="s">
        <v>20</v>
      </c>
      <c r="B617" s="1261">
        <v>1036593.0</v>
      </c>
      <c r="C617" s="1225">
        <v>6.787385241E7</v>
      </c>
      <c r="D617" s="1183">
        <v>311000.0</v>
      </c>
      <c r="E617" s="1261">
        <f t="shared" si="71"/>
        <v>2599929</v>
      </c>
      <c r="F617" s="1187">
        <v>2910929.0</v>
      </c>
      <c r="G617" s="1151">
        <v>2910929.0</v>
      </c>
      <c r="H617" s="1138"/>
      <c r="I617" s="1138"/>
      <c r="J617" s="1138"/>
      <c r="K617" s="1138"/>
      <c r="L617" s="1138"/>
      <c r="M617" s="1138"/>
      <c r="N617" s="1138"/>
      <c r="O617" s="1138"/>
      <c r="P617" s="1138"/>
      <c r="Q617" s="1138"/>
      <c r="R617" s="1138"/>
      <c r="S617" s="1138"/>
      <c r="T617" s="1138"/>
      <c r="U617" s="1138"/>
      <c r="V617" s="1138"/>
      <c r="W617" s="1138"/>
    </row>
    <row r="618">
      <c r="A618" s="1168" t="s">
        <v>21</v>
      </c>
      <c r="B618" s="1261">
        <v>76125.0</v>
      </c>
      <c r="C618" s="1225">
        <v>2668570.31</v>
      </c>
      <c r="D618" s="1229">
        <v>0.0</v>
      </c>
      <c r="E618" s="1261">
        <f t="shared" si="71"/>
        <v>764938</v>
      </c>
      <c r="F618" s="1262">
        <v>764938.0</v>
      </c>
      <c r="G618" s="1147"/>
      <c r="H618" s="1138"/>
      <c r="I618" s="1138"/>
      <c r="J618" s="1138"/>
      <c r="K618" s="1138"/>
      <c r="L618" s="1138"/>
      <c r="M618" s="1138"/>
      <c r="N618" s="1138"/>
      <c r="O618" s="1138"/>
      <c r="P618" s="1138"/>
      <c r="Q618" s="1138"/>
      <c r="R618" s="1138"/>
      <c r="S618" s="1138"/>
      <c r="T618" s="1138"/>
      <c r="U618" s="1138"/>
      <c r="V618" s="1138"/>
      <c r="W618" s="1138"/>
    </row>
    <row r="619">
      <c r="A619" s="1171" t="s">
        <v>22</v>
      </c>
      <c r="B619" s="1261">
        <v>842288.0</v>
      </c>
      <c r="C619" s="1187">
        <v>386081.67</v>
      </c>
      <c r="D619" s="1229">
        <v>0.0</v>
      </c>
      <c r="E619" s="1261">
        <f t="shared" si="71"/>
        <v>229264</v>
      </c>
      <c r="F619" s="1229">
        <v>229264.0</v>
      </c>
      <c r="G619" s="1147"/>
      <c r="H619" s="1138"/>
      <c r="I619" s="1138"/>
      <c r="J619" s="1138"/>
      <c r="K619" s="1138"/>
      <c r="L619" s="1138"/>
      <c r="M619" s="1138"/>
      <c r="N619" s="1138"/>
      <c r="O619" s="1138"/>
      <c r="P619" s="1138"/>
      <c r="Q619" s="1138"/>
      <c r="R619" s="1138"/>
      <c r="S619" s="1138"/>
      <c r="T619" s="1138"/>
      <c r="U619" s="1138"/>
      <c r="V619" s="1138"/>
      <c r="W619" s="1138"/>
    </row>
    <row r="620">
      <c r="A620" s="1161" t="s">
        <v>32</v>
      </c>
      <c r="B620" s="1288">
        <v>2000000.0</v>
      </c>
      <c r="C620" s="1289"/>
      <c r="D620" s="1290"/>
      <c r="E620" s="1261">
        <f t="shared" si="71"/>
        <v>0</v>
      </c>
      <c r="F620" s="1291"/>
      <c r="G620" s="1147"/>
      <c r="H620" s="1138"/>
      <c r="I620" s="1138"/>
      <c r="J620" s="1138"/>
      <c r="K620" s="1138"/>
      <c r="L620" s="1138"/>
      <c r="M620" s="1138"/>
      <c r="N620" s="1138"/>
      <c r="O620" s="1138"/>
      <c r="P620" s="1138"/>
      <c r="Q620" s="1138"/>
      <c r="R620" s="1138"/>
      <c r="S620" s="1138"/>
      <c r="T620" s="1138"/>
      <c r="U620" s="1138"/>
      <c r="V620" s="1138"/>
      <c r="W620" s="1138"/>
    </row>
    <row r="621">
      <c r="A621" s="1161" t="s">
        <v>31</v>
      </c>
      <c r="B621" s="1139">
        <v>1.2E7</v>
      </c>
      <c r="C621" s="1289"/>
      <c r="D621" s="1290"/>
      <c r="E621" s="1261">
        <f t="shared" si="71"/>
        <v>0</v>
      </c>
      <c r="F621" s="1291"/>
      <c r="G621" s="1147"/>
      <c r="H621" s="1138"/>
      <c r="I621" s="1138"/>
      <c r="J621" s="1138"/>
      <c r="K621" s="1138"/>
      <c r="L621" s="1138"/>
      <c r="M621" s="1138"/>
      <c r="N621" s="1138"/>
      <c r="O621" s="1138"/>
      <c r="P621" s="1138"/>
      <c r="Q621" s="1138"/>
      <c r="R621" s="1138"/>
      <c r="S621" s="1138"/>
      <c r="T621" s="1138"/>
      <c r="U621" s="1138"/>
      <c r="V621" s="1138"/>
      <c r="W621" s="1138"/>
    </row>
    <row r="622">
      <c r="A622" s="1264" t="s">
        <v>6967</v>
      </c>
      <c r="B622" s="1296">
        <f t="shared" ref="B622:G622" si="72">SUM(B607:B621)</f>
        <v>48123271.92</v>
      </c>
      <c r="C622" s="1296">
        <f t="shared" si="72"/>
        <v>2515938651</v>
      </c>
      <c r="D622" s="1296">
        <f t="shared" si="72"/>
        <v>11586116</v>
      </c>
      <c r="E622" s="1296">
        <f t="shared" si="72"/>
        <v>16330537</v>
      </c>
      <c r="F622" s="1296">
        <f t="shared" si="72"/>
        <v>27916653</v>
      </c>
      <c r="G622" s="1296">
        <f t="shared" si="72"/>
        <v>15559916</v>
      </c>
      <c r="H622" s="1138"/>
      <c r="I622" s="1138"/>
      <c r="J622" s="1138"/>
      <c r="K622" s="1138"/>
      <c r="L622" s="1138"/>
      <c r="M622" s="1138"/>
      <c r="N622" s="1138"/>
      <c r="O622" s="1138"/>
      <c r="P622" s="1138"/>
      <c r="Q622" s="1138"/>
      <c r="R622" s="1138"/>
      <c r="S622" s="1138"/>
      <c r="T622" s="1138"/>
      <c r="U622" s="1138"/>
      <c r="V622" s="1138"/>
      <c r="W622" s="1138"/>
    </row>
    <row r="623">
      <c r="A623" s="1138"/>
      <c r="B623" s="1138"/>
      <c r="C623" s="1138"/>
      <c r="D623" s="1147"/>
      <c r="E623" s="1138"/>
      <c r="F623" s="1147"/>
      <c r="G623" s="1147"/>
      <c r="H623" s="1138"/>
      <c r="I623" s="1138"/>
      <c r="J623" s="1138"/>
      <c r="K623" s="1138"/>
      <c r="L623" s="1138"/>
      <c r="M623" s="1138"/>
      <c r="N623" s="1138"/>
      <c r="O623" s="1138"/>
      <c r="P623" s="1138"/>
      <c r="Q623" s="1138"/>
      <c r="R623" s="1138"/>
      <c r="S623" s="1138"/>
      <c r="T623" s="1138"/>
      <c r="U623" s="1138"/>
      <c r="V623" s="1138"/>
      <c r="W623" s="1138"/>
    </row>
    <row r="624">
      <c r="A624" s="1138"/>
      <c r="B624" s="1138"/>
      <c r="C624" s="1138"/>
      <c r="D624" s="1147"/>
      <c r="E624" s="1138"/>
      <c r="F624" s="1151">
        <v>2.7916653E7</v>
      </c>
      <c r="G624" s="1147"/>
      <c r="H624" s="1138"/>
      <c r="I624" s="1138"/>
      <c r="J624" s="1138"/>
      <c r="K624" s="1138"/>
      <c r="L624" s="1138"/>
      <c r="M624" s="1138"/>
      <c r="N624" s="1138"/>
      <c r="O624" s="1138"/>
      <c r="P624" s="1138"/>
      <c r="Q624" s="1138"/>
      <c r="R624" s="1138"/>
      <c r="S624" s="1138"/>
      <c r="T624" s="1138"/>
      <c r="U624" s="1138"/>
      <c r="V624" s="1138"/>
      <c r="W624" s="1138"/>
    </row>
    <row r="625">
      <c r="A625" s="1148" t="s">
        <v>6973</v>
      </c>
      <c r="B625" s="1138"/>
      <c r="C625" s="1138"/>
      <c r="D625" s="1285"/>
      <c r="E625" s="1138"/>
      <c r="F625" s="1147"/>
      <c r="G625" s="1147"/>
      <c r="H625" s="1147" t="str">
        <f>F626+F610</f>
        <v>#VALUE!</v>
      </c>
      <c r="I625" s="1138"/>
      <c r="J625" s="1138"/>
      <c r="K625" s="1138"/>
      <c r="L625" s="1138"/>
      <c r="M625" s="1138"/>
      <c r="N625" s="1138"/>
      <c r="O625" s="1138"/>
      <c r="P625" s="1138"/>
      <c r="Q625" s="1138"/>
      <c r="R625" s="1138"/>
      <c r="S625" s="1138"/>
      <c r="T625" s="1138"/>
      <c r="U625" s="1138"/>
      <c r="V625" s="1138"/>
      <c r="W625" s="1138"/>
    </row>
    <row r="626">
      <c r="A626" s="1180" t="s">
        <v>1</v>
      </c>
      <c r="B626" s="1295" t="s">
        <v>6936</v>
      </c>
      <c r="C626" s="1280" t="s">
        <v>6950</v>
      </c>
      <c r="D626" s="1286" t="s">
        <v>6938</v>
      </c>
      <c r="E626" s="1180" t="s">
        <v>6939</v>
      </c>
      <c r="F626" s="1179" t="s">
        <v>6940</v>
      </c>
      <c r="G626" s="1147"/>
      <c r="H626" s="1138"/>
      <c r="I626" s="1138"/>
      <c r="J626" s="1138"/>
      <c r="K626" s="1138"/>
      <c r="L626" s="1138"/>
      <c r="M626" s="1138"/>
      <c r="N626" s="1138"/>
      <c r="O626" s="1138"/>
      <c r="P626" s="1138"/>
      <c r="Q626" s="1138"/>
      <c r="R626" s="1138"/>
      <c r="S626" s="1138"/>
      <c r="T626" s="1138"/>
      <c r="U626" s="1138"/>
      <c r="V626" s="1138"/>
      <c r="W626" s="1138"/>
    </row>
    <row r="627">
      <c r="A627" s="1168" t="s">
        <v>10</v>
      </c>
      <c r="B627" s="1261">
        <v>1.334608392E7</v>
      </c>
      <c r="C627" s="1187">
        <v>8.9228228252E8</v>
      </c>
      <c r="D627" s="1187">
        <v>595238.0</v>
      </c>
      <c r="E627" s="1261">
        <f t="shared" ref="E627:E642" si="73">F627-D627</f>
        <v>21092</v>
      </c>
      <c r="F627" s="1229">
        <v>616330.0</v>
      </c>
      <c r="G627" s="1147"/>
      <c r="H627" s="1138"/>
      <c r="I627" s="1138"/>
      <c r="J627" s="1138"/>
      <c r="K627" s="1138"/>
      <c r="L627" s="1138"/>
      <c r="M627" s="1138"/>
      <c r="N627" s="1138"/>
      <c r="O627" s="1138"/>
      <c r="P627" s="1138"/>
      <c r="Q627" s="1138"/>
      <c r="R627" s="1138"/>
      <c r="S627" s="1138"/>
      <c r="T627" s="1138"/>
      <c r="U627" s="1138"/>
      <c r="V627" s="1138"/>
      <c r="W627" s="1138"/>
    </row>
    <row r="628">
      <c r="A628" s="1168" t="s">
        <v>24</v>
      </c>
      <c r="B628" s="1261">
        <v>7146852.77</v>
      </c>
      <c r="C628" s="1187">
        <v>6.4769024219E8</v>
      </c>
      <c r="D628" s="1190">
        <v>3373510.0</v>
      </c>
      <c r="E628" s="1261">
        <f t="shared" si="73"/>
        <v>1606</v>
      </c>
      <c r="F628" s="1250">
        <v>3375116.0</v>
      </c>
      <c r="G628" s="1147"/>
      <c r="H628" s="1138"/>
      <c r="I628" s="1138"/>
      <c r="J628" s="1138"/>
      <c r="K628" s="1138"/>
      <c r="L628" s="1138"/>
      <c r="M628" s="1138"/>
      <c r="N628" s="1138"/>
      <c r="O628" s="1138"/>
      <c r="P628" s="1138"/>
      <c r="Q628" s="1138"/>
      <c r="R628" s="1138"/>
      <c r="S628" s="1138"/>
      <c r="T628" s="1138"/>
      <c r="U628" s="1138"/>
      <c r="V628" s="1138"/>
      <c r="W628" s="1138"/>
    </row>
    <row r="629">
      <c r="A629" s="1168" t="s">
        <v>12</v>
      </c>
      <c r="B629" s="1261">
        <v>1710930.4700000002</v>
      </c>
      <c r="C629" s="1187">
        <v>2.6818975262E8</v>
      </c>
      <c r="D629" s="1187">
        <v>439032.0</v>
      </c>
      <c r="E629" s="1261">
        <f t="shared" si="73"/>
        <v>1143110</v>
      </c>
      <c r="F629" s="1187">
        <v>1582142.0</v>
      </c>
      <c r="G629" s="1147"/>
      <c r="H629" s="1138"/>
      <c r="I629" s="1138"/>
      <c r="J629" s="1138"/>
      <c r="K629" s="1138"/>
      <c r="L629" s="1138"/>
      <c r="M629" s="1138"/>
      <c r="N629" s="1138"/>
      <c r="O629" s="1138"/>
      <c r="P629" s="1138"/>
      <c r="Q629" s="1138"/>
      <c r="R629" s="1138"/>
      <c r="S629" s="1138"/>
      <c r="T629" s="1138"/>
      <c r="U629" s="1138"/>
      <c r="V629" s="1138"/>
      <c r="W629" s="1138"/>
    </row>
    <row r="630">
      <c r="A630" s="1168" t="s">
        <v>13</v>
      </c>
      <c r="B630" s="1261">
        <v>7141550.830000001</v>
      </c>
      <c r="C630" s="1187">
        <v>1.20657006E8</v>
      </c>
      <c r="D630" s="1187">
        <v>764958.0</v>
      </c>
      <c r="E630" s="1261">
        <f t="shared" si="73"/>
        <v>0</v>
      </c>
      <c r="F630" s="1187">
        <v>764958.0</v>
      </c>
      <c r="G630" s="1147"/>
      <c r="H630" s="1138"/>
      <c r="I630" s="1138"/>
      <c r="J630" s="1138"/>
      <c r="K630" s="1138"/>
      <c r="L630" s="1138"/>
      <c r="M630" s="1138"/>
      <c r="N630" s="1138"/>
      <c r="O630" s="1138"/>
      <c r="P630" s="1138"/>
      <c r="Q630" s="1138"/>
      <c r="R630" s="1138"/>
      <c r="S630" s="1138"/>
      <c r="T630" s="1138"/>
      <c r="U630" s="1138"/>
      <c r="V630" s="1138"/>
      <c r="W630" s="1138"/>
    </row>
    <row r="631">
      <c r="A631" s="1168" t="s">
        <v>14</v>
      </c>
      <c r="B631" s="1261">
        <v>1194289.55</v>
      </c>
      <c r="C631" s="1139">
        <v>1.7171012567E8</v>
      </c>
      <c r="D631" s="1187">
        <v>157500.0</v>
      </c>
      <c r="E631" s="1261">
        <f t="shared" si="73"/>
        <v>340820</v>
      </c>
      <c r="F631" s="1187">
        <v>498320.0</v>
      </c>
      <c r="G631" s="1147"/>
      <c r="H631" s="1138"/>
      <c r="I631" s="1138"/>
      <c r="J631" s="1138"/>
      <c r="K631" s="1138"/>
      <c r="L631" s="1138"/>
      <c r="M631" s="1138"/>
      <c r="N631" s="1138"/>
      <c r="O631" s="1138"/>
      <c r="P631" s="1138"/>
      <c r="Q631" s="1138"/>
      <c r="R631" s="1138"/>
      <c r="S631" s="1138"/>
      <c r="T631" s="1138"/>
      <c r="U631" s="1138"/>
      <c r="V631" s="1138"/>
      <c r="W631" s="1138"/>
    </row>
    <row r="632">
      <c r="A632" s="1168" t="s">
        <v>15</v>
      </c>
      <c r="B632" s="1261">
        <v>519000.0</v>
      </c>
      <c r="C632" s="1187">
        <v>1.772428703E7</v>
      </c>
      <c r="D632" s="1187">
        <v>253758.0</v>
      </c>
      <c r="E632" s="1261">
        <f t="shared" si="73"/>
        <v>21041</v>
      </c>
      <c r="F632" s="1187">
        <v>274799.0</v>
      </c>
      <c r="G632" s="1147"/>
      <c r="H632" s="1138"/>
      <c r="I632" s="1138"/>
      <c r="J632" s="1138"/>
      <c r="K632" s="1138"/>
      <c r="L632" s="1138"/>
      <c r="M632" s="1138"/>
      <c r="N632" s="1138"/>
      <c r="O632" s="1138"/>
      <c r="P632" s="1138"/>
      <c r="Q632" s="1138"/>
      <c r="R632" s="1138"/>
      <c r="S632" s="1138"/>
      <c r="T632" s="1138"/>
      <c r="U632" s="1138"/>
      <c r="V632" s="1138"/>
      <c r="W632" s="1138"/>
    </row>
    <row r="633">
      <c r="A633" s="1168" t="s">
        <v>16</v>
      </c>
      <c r="B633" s="1261">
        <v>131000.0</v>
      </c>
      <c r="C633" s="1187">
        <v>1.563413042E7</v>
      </c>
      <c r="D633" s="1187">
        <v>0.0</v>
      </c>
      <c r="E633" s="1261">
        <f t="shared" si="73"/>
        <v>680737</v>
      </c>
      <c r="F633" s="1229">
        <v>680737.0</v>
      </c>
      <c r="G633" s="1147"/>
      <c r="H633" s="1138"/>
      <c r="I633" s="1138"/>
      <c r="J633" s="1138"/>
      <c r="K633" s="1138"/>
      <c r="L633" s="1138"/>
      <c r="M633" s="1138"/>
      <c r="N633" s="1138"/>
      <c r="O633" s="1138"/>
      <c r="P633" s="1138"/>
      <c r="Q633" s="1138"/>
      <c r="R633" s="1138"/>
      <c r="S633" s="1138"/>
      <c r="T633" s="1138"/>
      <c r="U633" s="1138"/>
      <c r="V633" s="1138"/>
      <c r="W633" s="1138"/>
    </row>
    <row r="634">
      <c r="A634" s="1168" t="s">
        <v>17</v>
      </c>
      <c r="B634" s="1261">
        <v>1406968.26</v>
      </c>
      <c r="C634" s="1183">
        <v>2.0874067636E8</v>
      </c>
      <c r="D634" s="1183">
        <v>101573.0</v>
      </c>
      <c r="E634" s="1261">
        <f t="shared" si="73"/>
        <v>2532833</v>
      </c>
      <c r="F634" s="1183">
        <v>2634406.0</v>
      </c>
      <c r="G634" s="1147"/>
      <c r="H634" s="1138"/>
      <c r="I634" s="1138"/>
      <c r="J634" s="1138"/>
      <c r="K634" s="1138"/>
      <c r="L634" s="1138"/>
      <c r="M634" s="1138"/>
      <c r="N634" s="1138"/>
      <c r="O634" s="1138"/>
      <c r="P634" s="1138"/>
      <c r="Q634" s="1138"/>
      <c r="R634" s="1138"/>
      <c r="S634" s="1138"/>
      <c r="T634" s="1138"/>
      <c r="U634" s="1138"/>
      <c r="V634" s="1138"/>
      <c r="W634" s="1138"/>
    </row>
    <row r="635">
      <c r="A635" s="1168" t="s">
        <v>18</v>
      </c>
      <c r="B635" s="1261">
        <v>1229611.6800000002</v>
      </c>
      <c r="C635" s="1187">
        <v>9.811435437E7</v>
      </c>
      <c r="D635" s="1183">
        <v>20950.0</v>
      </c>
      <c r="E635" s="1261">
        <f t="shared" si="73"/>
        <v>146644</v>
      </c>
      <c r="F635" s="1187">
        <v>167594.0</v>
      </c>
      <c r="G635" s="1147"/>
      <c r="H635" s="1138"/>
      <c r="I635" s="1138"/>
      <c r="J635" s="1138"/>
      <c r="K635" s="1138"/>
      <c r="L635" s="1138"/>
      <c r="M635" s="1138"/>
      <c r="N635" s="1138"/>
      <c r="O635" s="1138"/>
      <c r="P635" s="1138"/>
      <c r="Q635" s="1138"/>
      <c r="R635" s="1138"/>
      <c r="S635" s="1138"/>
      <c r="T635" s="1138"/>
      <c r="U635" s="1138"/>
      <c r="V635" s="1138"/>
      <c r="W635" s="1138"/>
    </row>
    <row r="636">
      <c r="A636" s="1168" t="s">
        <v>19</v>
      </c>
      <c r="B636" s="1261">
        <v>377161.5</v>
      </c>
      <c r="C636" s="1225">
        <v>8552134.44</v>
      </c>
      <c r="D636" s="1145">
        <v>4000.0</v>
      </c>
      <c r="E636" s="1261">
        <f t="shared" si="73"/>
        <v>0</v>
      </c>
      <c r="F636" s="1145">
        <v>4000.0</v>
      </c>
      <c r="G636" s="1147"/>
      <c r="H636" s="1138"/>
      <c r="I636" s="1138"/>
      <c r="J636" s="1138"/>
      <c r="K636" s="1138"/>
      <c r="L636" s="1138"/>
      <c r="M636" s="1138"/>
      <c r="N636" s="1138"/>
      <c r="O636" s="1138"/>
      <c r="P636" s="1138"/>
      <c r="Q636" s="1138"/>
      <c r="R636" s="1138"/>
      <c r="S636" s="1138"/>
      <c r="T636" s="1138"/>
      <c r="U636" s="1138"/>
      <c r="V636" s="1138"/>
      <c r="W636" s="1138"/>
    </row>
    <row r="637">
      <c r="A637" s="1168" t="s">
        <v>20</v>
      </c>
      <c r="B637" s="1261">
        <v>785570.0</v>
      </c>
      <c r="C637" s="1225">
        <v>6.827151238E7</v>
      </c>
      <c r="D637" s="1183">
        <v>42333.0</v>
      </c>
      <c r="E637" s="1261">
        <f t="shared" si="73"/>
        <v>5000</v>
      </c>
      <c r="F637" s="1187">
        <v>47333.0</v>
      </c>
      <c r="G637" s="1147"/>
      <c r="H637" s="1138"/>
      <c r="I637" s="1138"/>
      <c r="J637" s="1138"/>
      <c r="K637" s="1138"/>
      <c r="L637" s="1138"/>
      <c r="M637" s="1138"/>
      <c r="N637" s="1138"/>
      <c r="O637" s="1138"/>
      <c r="P637" s="1138"/>
      <c r="Q637" s="1138"/>
      <c r="R637" s="1138"/>
      <c r="S637" s="1138"/>
      <c r="T637" s="1138"/>
      <c r="U637" s="1138"/>
      <c r="V637" s="1138"/>
      <c r="W637" s="1138"/>
    </row>
    <row r="638">
      <c r="A638" s="1168" t="s">
        <v>21</v>
      </c>
      <c r="B638" s="1261">
        <v>121941.0</v>
      </c>
      <c r="C638" s="1225">
        <v>2178917.1</v>
      </c>
      <c r="D638" s="1229">
        <v>0.0</v>
      </c>
      <c r="E638" s="1261">
        <f t="shared" si="73"/>
        <v>0</v>
      </c>
      <c r="F638" s="1262">
        <v>0.0</v>
      </c>
      <c r="G638" s="1147"/>
      <c r="H638" s="1138"/>
      <c r="I638" s="1138"/>
      <c r="J638" s="1138"/>
      <c r="K638" s="1138"/>
      <c r="L638" s="1138"/>
      <c r="M638" s="1138"/>
      <c r="N638" s="1138"/>
      <c r="O638" s="1138"/>
      <c r="P638" s="1138"/>
      <c r="Q638" s="1138"/>
      <c r="R638" s="1138"/>
      <c r="S638" s="1138"/>
      <c r="T638" s="1138"/>
      <c r="U638" s="1138"/>
      <c r="V638" s="1138"/>
      <c r="W638" s="1138"/>
    </row>
    <row r="639">
      <c r="A639" s="1171" t="s">
        <v>22</v>
      </c>
      <c r="B639" s="1261">
        <v>880649.37</v>
      </c>
      <c r="C639" s="1187">
        <v>1033742.27</v>
      </c>
      <c r="D639" s="1229">
        <v>11000.0</v>
      </c>
      <c r="E639" s="1261">
        <f t="shared" si="73"/>
        <v>0</v>
      </c>
      <c r="F639" s="1229">
        <v>11000.0</v>
      </c>
      <c r="G639" s="1147"/>
      <c r="H639" s="1138"/>
      <c r="I639" s="1138"/>
      <c r="J639" s="1138"/>
      <c r="K639" s="1138"/>
      <c r="L639" s="1138"/>
      <c r="M639" s="1138"/>
      <c r="N639" s="1138"/>
      <c r="O639" s="1138"/>
      <c r="P639" s="1138"/>
      <c r="Q639" s="1138"/>
      <c r="R639" s="1138"/>
      <c r="S639" s="1138"/>
      <c r="T639" s="1138"/>
      <c r="U639" s="1138"/>
      <c r="V639" s="1138"/>
      <c r="W639" s="1138"/>
    </row>
    <row r="640">
      <c r="A640" s="1161" t="s">
        <v>32</v>
      </c>
      <c r="B640" s="1297">
        <v>3100000.0</v>
      </c>
      <c r="C640" s="1298"/>
      <c r="D640" s="1299"/>
      <c r="E640" s="1261">
        <f t="shared" si="73"/>
        <v>0</v>
      </c>
      <c r="F640" s="1300"/>
      <c r="G640" s="1147"/>
      <c r="H640" s="1138"/>
      <c r="I640" s="1138"/>
      <c r="J640" s="1138"/>
      <c r="K640" s="1138"/>
      <c r="L640" s="1138"/>
      <c r="M640" s="1138"/>
      <c r="N640" s="1138"/>
      <c r="O640" s="1138"/>
      <c r="P640" s="1138"/>
      <c r="Q640" s="1138"/>
      <c r="R640" s="1138"/>
      <c r="S640" s="1138"/>
      <c r="T640" s="1138"/>
      <c r="U640" s="1138"/>
      <c r="V640" s="1138"/>
      <c r="W640" s="1138"/>
    </row>
    <row r="641">
      <c r="A641" s="1161" t="s">
        <v>31</v>
      </c>
      <c r="B641" s="1139">
        <v>1000000.0</v>
      </c>
      <c r="C641" s="1298"/>
      <c r="D641" s="1299"/>
      <c r="E641" s="1261">
        <f t="shared" si="73"/>
        <v>0</v>
      </c>
      <c r="F641" s="1300"/>
      <c r="G641" s="1147"/>
      <c r="H641" s="1138"/>
      <c r="I641" s="1138"/>
      <c r="J641" s="1138"/>
      <c r="K641" s="1138"/>
      <c r="L641" s="1138"/>
      <c r="M641" s="1138"/>
      <c r="N641" s="1138"/>
      <c r="O641" s="1138"/>
      <c r="P641" s="1138"/>
      <c r="Q641" s="1138"/>
      <c r="R641" s="1138"/>
      <c r="S641" s="1138"/>
      <c r="T641" s="1138"/>
      <c r="U641" s="1138"/>
      <c r="V641" s="1138"/>
      <c r="W641" s="1138"/>
    </row>
    <row r="642">
      <c r="A642" s="1264" t="s">
        <v>6967</v>
      </c>
      <c r="B642" s="1296">
        <v>4.009160935E7</v>
      </c>
      <c r="C642" s="1296">
        <f>SUM(C625:C641)</f>
        <v>2520779163</v>
      </c>
      <c r="D642" s="1296">
        <v>5763852.0</v>
      </c>
      <c r="E642" s="1195">
        <f t="shared" si="73"/>
        <v>4892883</v>
      </c>
      <c r="F642" s="1296">
        <v>1.0656735E7</v>
      </c>
      <c r="G642" s="1147"/>
      <c r="H642" s="1138"/>
      <c r="I642" s="1138"/>
      <c r="J642" s="1138"/>
      <c r="K642" s="1138"/>
      <c r="L642" s="1138"/>
      <c r="M642" s="1138"/>
      <c r="N642" s="1138"/>
      <c r="O642" s="1138"/>
      <c r="P642" s="1138"/>
      <c r="Q642" s="1138"/>
      <c r="R642" s="1138"/>
      <c r="S642" s="1138"/>
      <c r="T642" s="1138"/>
      <c r="U642" s="1138"/>
      <c r="V642" s="1138"/>
      <c r="W642" s="1138"/>
    </row>
    <row r="643">
      <c r="A643" s="1138"/>
      <c r="B643" s="1138"/>
      <c r="C643" s="1138"/>
      <c r="D643" s="1147"/>
      <c r="E643" s="1138"/>
      <c r="F643" s="1147"/>
      <c r="G643" s="1147"/>
      <c r="H643" s="1138"/>
      <c r="I643" s="1138"/>
      <c r="J643" s="1138"/>
      <c r="K643" s="1138"/>
      <c r="L643" s="1138"/>
      <c r="M643" s="1138"/>
      <c r="N643" s="1138"/>
      <c r="O643" s="1138"/>
      <c r="P643" s="1138"/>
      <c r="Q643" s="1138"/>
      <c r="R643" s="1138"/>
      <c r="S643" s="1138"/>
      <c r="T643" s="1138"/>
      <c r="U643" s="1138"/>
      <c r="V643" s="1138"/>
      <c r="W643" s="1138"/>
    </row>
    <row r="644">
      <c r="A644" s="1138"/>
      <c r="B644" s="1138"/>
      <c r="C644" s="1138"/>
      <c r="D644" s="1147"/>
      <c r="E644" s="1138"/>
      <c r="F644" s="1151">
        <v>1.0656735E7</v>
      </c>
      <c r="G644" s="1147"/>
      <c r="H644" s="1138"/>
      <c r="I644" s="1138"/>
      <c r="J644" s="1138"/>
      <c r="K644" s="1138"/>
      <c r="L644" s="1138"/>
      <c r="M644" s="1138"/>
      <c r="N644" s="1138"/>
      <c r="O644" s="1138"/>
      <c r="P644" s="1138"/>
      <c r="Q644" s="1138"/>
      <c r="R644" s="1138"/>
      <c r="S644" s="1138"/>
      <c r="T644" s="1138"/>
      <c r="U644" s="1138"/>
      <c r="V644" s="1138"/>
      <c r="W644" s="1138"/>
    </row>
    <row r="645">
      <c r="A645" s="1138"/>
      <c r="B645" s="1138"/>
      <c r="C645" s="1138"/>
      <c r="D645" s="1147"/>
      <c r="E645" s="1138"/>
      <c r="F645" s="1147"/>
      <c r="G645" s="1147"/>
      <c r="H645" s="1138"/>
      <c r="I645" s="1138"/>
      <c r="J645" s="1138"/>
      <c r="K645" s="1138"/>
      <c r="L645" s="1138"/>
      <c r="M645" s="1138"/>
      <c r="N645" s="1138"/>
      <c r="O645" s="1138"/>
      <c r="P645" s="1138"/>
      <c r="Q645" s="1138"/>
      <c r="R645" s="1138"/>
      <c r="S645" s="1138"/>
      <c r="T645" s="1138"/>
      <c r="U645" s="1138"/>
      <c r="V645" s="1138"/>
      <c r="W645" s="1138"/>
    </row>
    <row r="646">
      <c r="A646" s="1138"/>
      <c r="B646" s="1138"/>
      <c r="C646" s="1138"/>
      <c r="D646" s="1147"/>
      <c r="E646" s="1138"/>
      <c r="F646" s="1147">
        <f>F644-F642</f>
        <v>0</v>
      </c>
      <c r="G646" s="1147"/>
      <c r="H646" s="1138"/>
      <c r="I646" s="1138"/>
      <c r="J646" s="1138"/>
      <c r="K646" s="1138"/>
      <c r="L646" s="1138"/>
      <c r="M646" s="1138"/>
      <c r="N646" s="1138"/>
      <c r="O646" s="1138"/>
      <c r="P646" s="1138"/>
      <c r="Q646" s="1138"/>
      <c r="R646" s="1138"/>
      <c r="S646" s="1138"/>
      <c r="T646" s="1138"/>
      <c r="U646" s="1138"/>
      <c r="V646" s="1138"/>
      <c r="W646" s="1138"/>
    </row>
    <row r="647">
      <c r="A647" s="1138"/>
      <c r="B647" s="1138"/>
      <c r="C647" s="1138"/>
      <c r="D647" s="1147"/>
      <c r="E647" s="1138"/>
      <c r="F647" s="1147"/>
      <c r="G647" s="1147"/>
      <c r="H647" s="1138"/>
      <c r="I647" s="1138"/>
      <c r="J647" s="1138"/>
      <c r="K647" s="1138"/>
      <c r="L647" s="1138"/>
      <c r="M647" s="1138"/>
      <c r="N647" s="1138"/>
      <c r="O647" s="1138"/>
      <c r="P647" s="1138"/>
      <c r="Q647" s="1138"/>
      <c r="R647" s="1138"/>
      <c r="S647" s="1138"/>
      <c r="T647" s="1138"/>
      <c r="U647" s="1138"/>
      <c r="V647" s="1138"/>
      <c r="W647" s="1138"/>
    </row>
    <row r="648">
      <c r="A648" s="1138"/>
      <c r="B648" s="1138"/>
      <c r="C648" s="1138"/>
      <c r="D648" s="1147"/>
      <c r="E648" s="1138"/>
      <c r="F648" s="1147"/>
      <c r="G648" s="1147"/>
      <c r="H648" s="1138"/>
      <c r="I648" s="1138"/>
      <c r="J648" s="1138"/>
      <c r="K648" s="1138"/>
      <c r="L648" s="1138"/>
      <c r="M648" s="1138"/>
      <c r="N648" s="1138"/>
      <c r="O648" s="1138"/>
      <c r="P648" s="1138"/>
      <c r="Q648" s="1138"/>
      <c r="R648" s="1138"/>
      <c r="S648" s="1138"/>
      <c r="T648" s="1138"/>
      <c r="U648" s="1138"/>
      <c r="V648" s="1138"/>
      <c r="W648" s="1138"/>
    </row>
    <row r="649">
      <c r="A649" s="1138"/>
      <c r="B649" s="1138"/>
      <c r="C649" s="1138"/>
      <c r="D649" s="1147"/>
      <c r="E649" s="1138"/>
      <c r="F649" s="1147"/>
      <c r="G649" s="1147"/>
      <c r="H649" s="1138"/>
      <c r="I649" s="1138"/>
      <c r="J649" s="1138"/>
      <c r="K649" s="1138"/>
      <c r="L649" s="1138"/>
      <c r="M649" s="1138"/>
      <c r="N649" s="1138"/>
      <c r="O649" s="1138"/>
      <c r="P649" s="1138"/>
      <c r="Q649" s="1138"/>
      <c r="R649" s="1138"/>
      <c r="S649" s="1138"/>
      <c r="T649" s="1138"/>
      <c r="U649" s="1138"/>
      <c r="V649" s="1138"/>
      <c r="W649" s="1138"/>
    </row>
    <row r="650">
      <c r="A650" s="1138"/>
      <c r="B650" s="1138"/>
      <c r="C650" s="1138"/>
      <c r="D650" s="1147"/>
      <c r="E650" s="1138"/>
      <c r="F650" s="1147"/>
      <c r="G650" s="1147"/>
      <c r="H650" s="1138"/>
      <c r="I650" s="1138"/>
      <c r="J650" s="1138"/>
      <c r="K650" s="1138"/>
      <c r="L650" s="1138"/>
      <c r="M650" s="1138"/>
      <c r="N650" s="1138"/>
      <c r="O650" s="1138"/>
      <c r="P650" s="1138"/>
      <c r="Q650" s="1138"/>
      <c r="R650" s="1138"/>
      <c r="S650" s="1138"/>
      <c r="T650" s="1138"/>
      <c r="U650" s="1138"/>
      <c r="V650" s="1138"/>
      <c r="W650" s="1138"/>
    </row>
    <row r="651">
      <c r="A651" s="1148" t="s">
        <v>6974</v>
      </c>
      <c r="B651" s="1138"/>
      <c r="C651" s="1138"/>
      <c r="D651" s="1285"/>
      <c r="E651" s="1138"/>
      <c r="F651" s="1147"/>
      <c r="G651" s="1147"/>
      <c r="H651" s="1138"/>
      <c r="I651" s="1138"/>
      <c r="J651" s="1138"/>
      <c r="K651" s="1138"/>
      <c r="L651" s="1138"/>
      <c r="M651" s="1138"/>
      <c r="N651" s="1138"/>
      <c r="O651" s="1138"/>
      <c r="P651" s="1138"/>
      <c r="Q651" s="1138"/>
      <c r="R651" s="1138"/>
      <c r="S651" s="1138"/>
      <c r="T651" s="1138"/>
      <c r="U651" s="1138"/>
      <c r="V651" s="1138"/>
      <c r="W651" s="1138"/>
    </row>
    <row r="652">
      <c r="A652" s="1180" t="s">
        <v>1</v>
      </c>
      <c r="B652" s="1295" t="s">
        <v>6936</v>
      </c>
      <c r="C652" s="1301" t="s">
        <v>6950</v>
      </c>
      <c r="D652" s="1286" t="s">
        <v>6938</v>
      </c>
      <c r="E652" s="1180" t="s">
        <v>6939</v>
      </c>
      <c r="F652" s="1179" t="s">
        <v>6940</v>
      </c>
      <c r="G652" s="1147"/>
      <c r="H652" s="1138"/>
      <c r="I652" s="1138"/>
      <c r="J652" s="1138"/>
      <c r="K652" s="1138"/>
      <c r="L652" s="1138"/>
      <c r="M652" s="1138"/>
      <c r="N652" s="1138"/>
      <c r="O652" s="1138"/>
      <c r="P652" s="1138"/>
      <c r="Q652" s="1138"/>
      <c r="R652" s="1138"/>
      <c r="S652" s="1138"/>
      <c r="T652" s="1138"/>
      <c r="U652" s="1138"/>
      <c r="V652" s="1138"/>
      <c r="W652" s="1138"/>
    </row>
    <row r="653">
      <c r="A653" s="1168" t="s">
        <v>10</v>
      </c>
      <c r="B653" s="1261">
        <v>4590521.11</v>
      </c>
      <c r="C653" s="1261">
        <v>8.8582603348E8</v>
      </c>
      <c r="D653" s="1187">
        <v>70106.0</v>
      </c>
      <c r="E653" s="1261">
        <f t="shared" ref="E653:E668" si="74">F653-D653</f>
        <v>96265</v>
      </c>
      <c r="F653" s="1302">
        <v>166371.0</v>
      </c>
      <c r="G653" s="1147"/>
      <c r="H653" s="1138"/>
      <c r="I653" s="1138"/>
      <c r="J653" s="1138"/>
      <c r="K653" s="1138"/>
      <c r="L653" s="1138"/>
      <c r="M653" s="1138"/>
      <c r="N653" s="1138"/>
      <c r="O653" s="1138"/>
      <c r="P653" s="1138"/>
      <c r="Q653" s="1138"/>
      <c r="R653" s="1138"/>
      <c r="S653" s="1138"/>
      <c r="T653" s="1138"/>
      <c r="U653" s="1138"/>
      <c r="V653" s="1138"/>
      <c r="W653" s="1138"/>
    </row>
    <row r="654">
      <c r="A654" s="1168" t="s">
        <v>24</v>
      </c>
      <c r="B654" s="1261">
        <v>1.3910632729999999E7</v>
      </c>
      <c r="C654" s="1261">
        <v>6.3978569846E8</v>
      </c>
      <c r="D654" s="1190">
        <v>143557.0</v>
      </c>
      <c r="E654" s="1261">
        <f t="shared" si="74"/>
        <v>277239</v>
      </c>
      <c r="F654" s="1187">
        <v>420796.0</v>
      </c>
      <c r="G654" s="1147"/>
      <c r="H654" s="1138"/>
      <c r="I654" s="1138"/>
      <c r="J654" s="1138"/>
      <c r="K654" s="1138"/>
      <c r="L654" s="1138"/>
      <c r="M654" s="1138"/>
      <c r="N654" s="1138"/>
      <c r="O654" s="1138"/>
      <c r="P654" s="1138"/>
      <c r="Q654" s="1138"/>
      <c r="R654" s="1138"/>
      <c r="S654" s="1138"/>
      <c r="T654" s="1138"/>
      <c r="U654" s="1138"/>
      <c r="V654" s="1138"/>
      <c r="W654" s="1138"/>
    </row>
    <row r="655">
      <c r="A655" s="1168" t="s">
        <v>12</v>
      </c>
      <c r="B655" s="1261">
        <v>6883651.36</v>
      </c>
      <c r="C655" s="1187">
        <v>2.6852527381E8</v>
      </c>
      <c r="D655" s="1187">
        <v>1936572.0</v>
      </c>
      <c r="E655" s="1261">
        <f t="shared" si="74"/>
        <v>102859</v>
      </c>
      <c r="F655" s="1187">
        <v>2039431.0</v>
      </c>
      <c r="G655" s="1147"/>
      <c r="H655" s="1138"/>
      <c r="I655" s="1138"/>
      <c r="J655" s="1138"/>
      <c r="K655" s="1138"/>
      <c r="L655" s="1138"/>
      <c r="M655" s="1138"/>
      <c r="N655" s="1138"/>
      <c r="O655" s="1138"/>
      <c r="P655" s="1138"/>
      <c r="Q655" s="1138"/>
      <c r="R655" s="1138"/>
      <c r="S655" s="1138"/>
      <c r="T655" s="1138"/>
      <c r="U655" s="1138"/>
      <c r="V655" s="1138"/>
      <c r="W655" s="1138"/>
    </row>
    <row r="656">
      <c r="A656" s="1168" t="s">
        <v>13</v>
      </c>
      <c r="B656" s="1261">
        <v>6436461.15</v>
      </c>
      <c r="C656" s="1187">
        <v>1.2022153289E8</v>
      </c>
      <c r="D656" s="1183">
        <v>422187.0</v>
      </c>
      <c r="E656" s="1261">
        <f t="shared" si="74"/>
        <v>13500</v>
      </c>
      <c r="F656" s="1187">
        <v>435687.0</v>
      </c>
      <c r="G656" s="1147"/>
      <c r="H656" s="1138"/>
      <c r="I656" s="1138"/>
      <c r="J656" s="1138"/>
      <c r="K656" s="1138"/>
      <c r="L656" s="1138"/>
      <c r="M656" s="1138"/>
      <c r="N656" s="1138"/>
      <c r="O656" s="1138"/>
      <c r="P656" s="1138"/>
      <c r="Q656" s="1138"/>
      <c r="R656" s="1138"/>
      <c r="S656" s="1138"/>
      <c r="T656" s="1138"/>
      <c r="U656" s="1138"/>
      <c r="V656" s="1138"/>
      <c r="W656" s="1138"/>
    </row>
    <row r="657">
      <c r="A657" s="1168" t="s">
        <v>14</v>
      </c>
      <c r="B657" s="1261">
        <v>1166468.67</v>
      </c>
      <c r="C657" s="1184">
        <v>1.7171012567E8</v>
      </c>
      <c r="D657" s="1187">
        <v>41000.0</v>
      </c>
      <c r="E657" s="1261">
        <f t="shared" si="74"/>
        <v>286676</v>
      </c>
      <c r="F657" s="1187">
        <v>327676.0</v>
      </c>
      <c r="G657" s="1303">
        <v>327676.0</v>
      </c>
      <c r="H657" s="1138"/>
      <c r="I657" s="1138"/>
      <c r="J657" s="1138"/>
      <c r="K657" s="1138"/>
      <c r="L657" s="1138"/>
      <c r="M657" s="1138"/>
      <c r="N657" s="1138"/>
      <c r="O657" s="1138"/>
      <c r="P657" s="1138"/>
      <c r="Q657" s="1138"/>
      <c r="R657" s="1138"/>
      <c r="S657" s="1138"/>
      <c r="T657" s="1138"/>
      <c r="U657" s="1138"/>
      <c r="V657" s="1138"/>
      <c r="W657" s="1138"/>
    </row>
    <row r="658">
      <c r="A658" s="1168" t="s">
        <v>15</v>
      </c>
      <c r="B658" s="1261">
        <v>162580.0</v>
      </c>
      <c r="C658" s="1261">
        <v>1.794595016E7</v>
      </c>
      <c r="D658" s="1261">
        <v>59600.0</v>
      </c>
      <c r="E658" s="1261">
        <f t="shared" si="74"/>
        <v>5700</v>
      </c>
      <c r="F658" s="1187">
        <v>65300.0</v>
      </c>
      <c r="G658" s="1147"/>
      <c r="H658" s="1138"/>
      <c r="I658" s="1138"/>
      <c r="J658" s="1138"/>
      <c r="K658" s="1138"/>
      <c r="L658" s="1138"/>
      <c r="M658" s="1138"/>
      <c r="N658" s="1138"/>
      <c r="O658" s="1138"/>
      <c r="P658" s="1138"/>
      <c r="Q658" s="1138"/>
      <c r="R658" s="1138"/>
      <c r="S658" s="1138"/>
      <c r="T658" s="1138"/>
      <c r="U658" s="1138"/>
      <c r="V658" s="1138"/>
      <c r="W658" s="1138"/>
    </row>
    <row r="659">
      <c r="A659" s="1168" t="s">
        <v>16</v>
      </c>
      <c r="B659" s="1261">
        <v>289494.0</v>
      </c>
      <c r="C659" s="1261">
        <v>1.537561275E7</v>
      </c>
      <c r="D659" s="1304">
        <v>0.0</v>
      </c>
      <c r="E659" s="1261">
        <f t="shared" si="74"/>
        <v>7217</v>
      </c>
      <c r="F659" s="1305">
        <v>7217.0</v>
      </c>
      <c r="G659" s="1147"/>
      <c r="H659" s="1138"/>
      <c r="I659" s="1138"/>
      <c r="J659" s="1138"/>
      <c r="K659" s="1138"/>
      <c r="L659" s="1138"/>
      <c r="M659" s="1138"/>
      <c r="N659" s="1138"/>
      <c r="O659" s="1138"/>
      <c r="P659" s="1138"/>
      <c r="Q659" s="1138"/>
      <c r="R659" s="1138"/>
      <c r="S659" s="1138"/>
      <c r="T659" s="1138"/>
      <c r="U659" s="1138"/>
      <c r="V659" s="1138"/>
      <c r="W659" s="1138"/>
    </row>
    <row r="660">
      <c r="A660" s="1168" t="s">
        <v>17</v>
      </c>
      <c r="B660" s="1261">
        <v>1857485.65</v>
      </c>
      <c r="C660" s="1183">
        <v>2.0947694654E8</v>
      </c>
      <c r="D660" s="668">
        <v>1178747.0</v>
      </c>
      <c r="E660" s="1261">
        <f t="shared" si="74"/>
        <v>12712</v>
      </c>
      <c r="F660" s="679">
        <v>1191459.0</v>
      </c>
      <c r="G660" s="1147"/>
      <c r="H660" s="1138"/>
      <c r="I660" s="1138"/>
      <c r="J660" s="1138"/>
      <c r="K660" s="1138"/>
      <c r="L660" s="1138"/>
      <c r="M660" s="1138"/>
      <c r="N660" s="1138"/>
      <c r="O660" s="1138"/>
      <c r="P660" s="1138"/>
      <c r="Q660" s="1138"/>
      <c r="R660" s="1138"/>
      <c r="S660" s="1138"/>
      <c r="T660" s="1138"/>
      <c r="U660" s="1138"/>
      <c r="V660" s="1138"/>
      <c r="W660" s="1138"/>
    </row>
    <row r="661">
      <c r="A661" s="1168" t="s">
        <v>18</v>
      </c>
      <c r="B661" s="1261">
        <v>1428926.6800000002</v>
      </c>
      <c r="C661" s="1187">
        <v>9.784603737E7</v>
      </c>
      <c r="D661" s="1183">
        <v>42000.0</v>
      </c>
      <c r="E661" s="1261">
        <f t="shared" si="74"/>
        <v>239921</v>
      </c>
      <c r="F661" s="1187">
        <v>281921.0</v>
      </c>
      <c r="G661" s="1147"/>
      <c r="H661" s="1138"/>
      <c r="I661" s="1138"/>
      <c r="J661" s="1138"/>
      <c r="K661" s="1138"/>
      <c r="L661" s="1138"/>
      <c r="M661" s="1138"/>
      <c r="N661" s="1138"/>
      <c r="O661" s="1138"/>
      <c r="P661" s="1138"/>
      <c r="Q661" s="1138"/>
      <c r="R661" s="1138"/>
      <c r="S661" s="1138"/>
      <c r="T661" s="1138"/>
      <c r="U661" s="1138"/>
      <c r="V661" s="1138"/>
      <c r="W661" s="1138"/>
    </row>
    <row r="662">
      <c r="A662" s="1168" t="s">
        <v>19</v>
      </c>
      <c r="B662" s="1261">
        <v>338161.5</v>
      </c>
      <c r="C662" s="1306">
        <v>8552134.44</v>
      </c>
      <c r="D662" s="1307">
        <v>43667.0</v>
      </c>
      <c r="E662" s="1261">
        <f t="shared" si="74"/>
        <v>119519</v>
      </c>
      <c r="F662" s="852">
        <v>163186.0</v>
      </c>
      <c r="G662" s="1147"/>
      <c r="H662" s="1138"/>
      <c r="I662" s="1138"/>
      <c r="J662" s="1138"/>
      <c r="K662" s="1138"/>
      <c r="L662" s="1138"/>
      <c r="M662" s="1138"/>
      <c r="N662" s="1138"/>
      <c r="O662" s="1138"/>
      <c r="P662" s="1138"/>
      <c r="Q662" s="1138"/>
      <c r="R662" s="1138"/>
      <c r="S662" s="1138"/>
      <c r="T662" s="1138"/>
      <c r="U662" s="1138"/>
      <c r="V662" s="1138"/>
      <c r="W662" s="1138"/>
    </row>
    <row r="663">
      <c r="A663" s="1168" t="s">
        <v>20</v>
      </c>
      <c r="B663" s="1261">
        <v>680822.79</v>
      </c>
      <c r="C663" s="1306">
        <v>6.827151238E7</v>
      </c>
      <c r="D663" s="1183">
        <v>372777.0</v>
      </c>
      <c r="E663" s="1261">
        <f t="shared" si="74"/>
        <v>810312</v>
      </c>
      <c r="F663" s="1187">
        <v>1183089.0</v>
      </c>
      <c r="G663" s="1303">
        <v>1183089.0</v>
      </c>
      <c r="H663" s="1138"/>
      <c r="I663" s="1138"/>
      <c r="J663" s="1138"/>
      <c r="K663" s="1138"/>
      <c r="L663" s="1138"/>
      <c r="M663" s="1138"/>
      <c r="N663" s="1138"/>
      <c r="O663" s="1138"/>
      <c r="P663" s="1138"/>
      <c r="Q663" s="1138"/>
      <c r="R663" s="1138"/>
      <c r="S663" s="1138"/>
      <c r="T663" s="1138"/>
      <c r="U663" s="1138"/>
      <c r="V663" s="1138"/>
      <c r="W663" s="1138"/>
    </row>
    <row r="664">
      <c r="A664" s="1168" t="s">
        <v>21</v>
      </c>
      <c r="B664" s="1261">
        <v>76125.0</v>
      </c>
      <c r="C664" s="1306">
        <v>2178917.1</v>
      </c>
      <c r="D664" s="1305">
        <v>0.0</v>
      </c>
      <c r="E664" s="1261">
        <f t="shared" si="74"/>
        <v>1016</v>
      </c>
      <c r="F664" s="1308">
        <v>1016.0</v>
      </c>
      <c r="G664" s="1147"/>
      <c r="H664" s="1138"/>
      <c r="I664" s="1138"/>
      <c r="J664" s="1138"/>
      <c r="K664" s="1138"/>
      <c r="L664" s="1138"/>
      <c r="M664" s="1138"/>
      <c r="N664" s="1138"/>
      <c r="O664" s="1138"/>
      <c r="P664" s="1138"/>
      <c r="Q664" s="1138"/>
      <c r="R664" s="1138"/>
      <c r="S664" s="1138"/>
      <c r="T664" s="1138"/>
      <c r="U664" s="1138"/>
      <c r="V664" s="1138"/>
      <c r="W664" s="1138"/>
    </row>
    <row r="665">
      <c r="A665" s="1171" t="s">
        <v>22</v>
      </c>
      <c r="B665" s="1261">
        <v>793927.9100000001</v>
      </c>
      <c r="C665" s="1261">
        <v>1033742.27</v>
      </c>
      <c r="D665" s="1305">
        <v>0.0</v>
      </c>
      <c r="E665" s="1261">
        <f t="shared" si="74"/>
        <v>0</v>
      </c>
      <c r="F665" s="1302">
        <v>0.0</v>
      </c>
      <c r="G665" s="1147"/>
      <c r="H665" s="1138"/>
      <c r="I665" s="1138"/>
      <c r="J665" s="1138"/>
      <c r="K665" s="1138"/>
      <c r="L665" s="1138"/>
      <c r="M665" s="1138"/>
      <c r="N665" s="1138"/>
      <c r="O665" s="1138"/>
      <c r="P665" s="1138"/>
      <c r="Q665" s="1138"/>
      <c r="R665" s="1138"/>
      <c r="S665" s="1138"/>
      <c r="T665" s="1138"/>
      <c r="U665" s="1138"/>
      <c r="V665" s="1138"/>
      <c r="W665" s="1138"/>
    </row>
    <row r="666">
      <c r="A666" s="1309" t="s">
        <v>32</v>
      </c>
      <c r="B666" s="1310">
        <v>1800000.0</v>
      </c>
      <c r="C666" s="1311">
        <v>1033742.27</v>
      </c>
      <c r="D666" s="1312"/>
      <c r="E666" s="1261">
        <f t="shared" si="74"/>
        <v>0</v>
      </c>
      <c r="F666" s="1312"/>
      <c r="G666" s="1147"/>
      <c r="H666" s="1138"/>
      <c r="I666" s="1138"/>
      <c r="J666" s="1138"/>
      <c r="K666" s="1138"/>
      <c r="L666" s="1138"/>
      <c r="M666" s="1138"/>
      <c r="N666" s="1138"/>
      <c r="O666" s="1138"/>
      <c r="P666" s="1138"/>
      <c r="Q666" s="1138"/>
      <c r="R666" s="1138"/>
      <c r="S666" s="1138"/>
      <c r="T666" s="1138"/>
      <c r="U666" s="1138"/>
      <c r="V666" s="1138"/>
      <c r="W666" s="1138"/>
    </row>
    <row r="667">
      <c r="A667" s="1309" t="s">
        <v>31</v>
      </c>
      <c r="B667" s="1184">
        <v>1000000.0</v>
      </c>
      <c r="C667" s="1313"/>
      <c r="D667" s="1312"/>
      <c r="E667" s="1261">
        <f t="shared" si="74"/>
        <v>0</v>
      </c>
      <c r="F667" s="1312"/>
      <c r="G667" s="1147"/>
      <c r="H667" s="1138"/>
      <c r="I667" s="1138"/>
      <c r="J667" s="1138"/>
      <c r="K667" s="1138"/>
      <c r="L667" s="1138"/>
      <c r="M667" s="1138"/>
      <c r="N667" s="1138"/>
      <c r="O667" s="1138"/>
      <c r="P667" s="1138"/>
      <c r="Q667" s="1138"/>
      <c r="R667" s="1138"/>
      <c r="S667" s="1138"/>
      <c r="T667" s="1138"/>
      <c r="U667" s="1138"/>
      <c r="V667" s="1138"/>
      <c r="W667" s="1138"/>
    </row>
    <row r="668">
      <c r="A668" s="1314" t="s">
        <v>6967</v>
      </c>
      <c r="B668" s="1294">
        <v>4.141525855E7</v>
      </c>
      <c r="C668" s="1294">
        <f>SUM(C651:C667)</f>
        <v>2507783260</v>
      </c>
      <c r="D668" s="1195">
        <f>SUM(D652:D667)</f>
        <v>4310213</v>
      </c>
      <c r="E668" s="1195">
        <f t="shared" si="74"/>
        <v>1972936</v>
      </c>
      <c r="F668" s="1195">
        <f>SUM(F652:F667)</f>
        <v>6283149</v>
      </c>
      <c r="G668" s="1147"/>
      <c r="H668" s="1138"/>
      <c r="I668" s="1138"/>
      <c r="J668" s="1138"/>
      <c r="K668" s="1138"/>
      <c r="L668" s="1138"/>
      <c r="M668" s="1138"/>
      <c r="N668" s="1138"/>
      <c r="O668" s="1138"/>
      <c r="P668" s="1138"/>
      <c r="Q668" s="1138"/>
      <c r="R668" s="1138"/>
      <c r="S668" s="1138"/>
      <c r="T668" s="1138"/>
      <c r="U668" s="1138"/>
      <c r="V668" s="1138"/>
      <c r="W668" s="1138"/>
    </row>
    <row r="669">
      <c r="A669" s="1138"/>
      <c r="B669" s="1138"/>
      <c r="C669" s="1138"/>
      <c r="D669" s="1147"/>
      <c r="E669" s="1138"/>
      <c r="F669" s="1147"/>
      <c r="G669" s="1147"/>
      <c r="H669" s="1138"/>
      <c r="I669" s="1138"/>
      <c r="J669" s="1138"/>
      <c r="K669" s="1138"/>
      <c r="L669" s="1138"/>
      <c r="M669" s="1138"/>
      <c r="N669" s="1138"/>
      <c r="O669" s="1138"/>
      <c r="P669" s="1138"/>
      <c r="Q669" s="1138"/>
      <c r="R669" s="1138"/>
      <c r="S669" s="1138"/>
      <c r="T669" s="1138"/>
      <c r="U669" s="1138"/>
      <c r="V669" s="1138"/>
      <c r="W669" s="1138"/>
    </row>
    <row r="670">
      <c r="A670" s="1138"/>
      <c r="B670" s="1138"/>
      <c r="C670" s="1138"/>
      <c r="D670" s="1147"/>
      <c r="E670" s="1138"/>
      <c r="F670" s="1151"/>
      <c r="G670" s="1147"/>
      <c r="H670" s="1138"/>
      <c r="I670" s="1138"/>
      <c r="J670" s="1138"/>
      <c r="K670" s="1138"/>
      <c r="L670" s="1138"/>
      <c r="M670" s="1138"/>
      <c r="N670" s="1138"/>
      <c r="O670" s="1138"/>
      <c r="P670" s="1138"/>
      <c r="Q670" s="1138"/>
      <c r="R670" s="1138"/>
      <c r="S670" s="1138"/>
      <c r="T670" s="1138"/>
      <c r="U670" s="1138"/>
      <c r="V670" s="1138"/>
      <c r="W670" s="1138"/>
    </row>
    <row r="671">
      <c r="A671" s="1138"/>
      <c r="B671" s="1138"/>
      <c r="C671" s="1138"/>
      <c r="D671" s="1147"/>
      <c r="E671" s="1138"/>
      <c r="F671" s="1303">
        <v>1.287029005E7</v>
      </c>
      <c r="G671" s="1147">
        <f>F671-F668</f>
        <v>6587141.05</v>
      </c>
      <c r="H671" s="1138"/>
      <c r="I671" s="1138"/>
      <c r="J671" s="1138"/>
      <c r="K671" s="1138"/>
      <c r="L671" s="1138"/>
      <c r="M671" s="1138"/>
      <c r="N671" s="1138"/>
      <c r="O671" s="1138"/>
      <c r="P671" s="1138"/>
      <c r="Q671" s="1138"/>
      <c r="R671" s="1138"/>
      <c r="S671" s="1138"/>
      <c r="T671" s="1138"/>
      <c r="U671" s="1138"/>
      <c r="V671" s="1138"/>
      <c r="W671" s="1138"/>
    </row>
    <row r="672">
      <c r="A672" s="1138"/>
      <c r="B672" s="1138"/>
      <c r="C672" s="1138"/>
      <c r="D672" s="1147"/>
      <c r="E672" s="1138"/>
      <c r="F672" s="1147"/>
      <c r="G672" s="1147"/>
      <c r="H672" s="1138"/>
      <c r="I672" s="1138"/>
      <c r="J672" s="1138"/>
      <c r="K672" s="1138"/>
      <c r="L672" s="1138"/>
      <c r="M672" s="1138"/>
      <c r="N672" s="1138"/>
      <c r="O672" s="1138"/>
      <c r="P672" s="1138"/>
      <c r="Q672" s="1138"/>
      <c r="R672" s="1138"/>
      <c r="S672" s="1138"/>
      <c r="T672" s="1138"/>
      <c r="U672" s="1138"/>
      <c r="V672" s="1138"/>
      <c r="W672" s="1138"/>
    </row>
    <row r="673">
      <c r="A673" s="1138"/>
      <c r="B673" s="1138"/>
      <c r="C673" s="1138"/>
      <c r="D673" s="1147"/>
      <c r="E673" s="1138"/>
      <c r="F673" s="1303">
        <v>2367942.05</v>
      </c>
      <c r="G673" s="1147"/>
      <c r="H673" s="1138"/>
      <c r="I673" s="1138"/>
      <c r="J673" s="1138"/>
      <c r="K673" s="1138"/>
      <c r="L673" s="1138"/>
      <c r="M673" s="1138"/>
      <c r="N673" s="1138"/>
      <c r="O673" s="1138"/>
      <c r="P673" s="1138"/>
      <c r="Q673" s="1138"/>
      <c r="R673" s="1138"/>
      <c r="S673" s="1138"/>
      <c r="T673" s="1138"/>
      <c r="U673" s="1138"/>
      <c r="V673" s="1138"/>
      <c r="W673" s="1138"/>
    </row>
    <row r="674">
      <c r="A674" s="1138"/>
      <c r="B674" s="1138"/>
      <c r="C674" s="1138"/>
      <c r="D674" s="1147"/>
      <c r="E674" s="1138"/>
      <c r="F674" s="1147"/>
      <c r="G674" s="1147"/>
      <c r="H674" s="1138"/>
      <c r="I674" s="1138"/>
      <c r="J674" s="1138"/>
      <c r="K674" s="1138"/>
      <c r="L674" s="1138"/>
      <c r="M674" s="1138"/>
      <c r="N674" s="1138"/>
      <c r="O674" s="1138"/>
      <c r="P674" s="1138"/>
      <c r="Q674" s="1138"/>
      <c r="R674" s="1138"/>
      <c r="S674" s="1138"/>
      <c r="T674" s="1138"/>
      <c r="U674" s="1138"/>
      <c r="V674" s="1138"/>
      <c r="W674" s="1138"/>
    </row>
    <row r="675">
      <c r="A675" s="1138"/>
      <c r="B675" s="1138"/>
      <c r="C675" s="1138"/>
      <c r="D675" s="1147"/>
      <c r="E675" s="822">
        <v>6283149.0</v>
      </c>
      <c r="F675" s="1147"/>
      <c r="G675" s="1147"/>
      <c r="H675" s="1138"/>
      <c r="I675" s="1138"/>
      <c r="J675" s="1138"/>
      <c r="K675" s="1138"/>
      <c r="L675" s="1138"/>
      <c r="M675" s="1138"/>
      <c r="N675" s="1138"/>
      <c r="O675" s="1138"/>
      <c r="P675" s="1138"/>
      <c r="Q675" s="1138"/>
      <c r="R675" s="1138"/>
      <c r="S675" s="1138"/>
      <c r="T675" s="1138"/>
      <c r="U675" s="1138"/>
      <c r="V675" s="1138"/>
      <c r="W675" s="1138"/>
    </row>
    <row r="676">
      <c r="A676" s="1138"/>
      <c r="B676" s="1138"/>
      <c r="C676" s="1138"/>
      <c r="D676" s="1147"/>
      <c r="F676" s="1147"/>
      <c r="G676" s="1147"/>
      <c r="H676" s="1138"/>
      <c r="I676" s="1138"/>
      <c r="J676" s="1138"/>
      <c r="K676" s="1138"/>
      <c r="L676" s="1138"/>
      <c r="M676" s="1138"/>
      <c r="N676" s="1138"/>
      <c r="O676" s="1138"/>
      <c r="P676" s="1138"/>
      <c r="Q676" s="1138"/>
      <c r="R676" s="1138"/>
      <c r="S676" s="1138"/>
      <c r="T676" s="1138"/>
      <c r="U676" s="1138"/>
      <c r="V676" s="1138"/>
      <c r="W676" s="1138"/>
    </row>
    <row r="677">
      <c r="A677" s="1148" t="s">
        <v>6975</v>
      </c>
      <c r="B677" s="1138"/>
      <c r="C677" s="1138"/>
      <c r="D677" s="1285"/>
      <c r="E677" s="1138"/>
      <c r="F677" s="1147"/>
      <c r="G677" s="1147"/>
      <c r="H677" s="1138"/>
      <c r="I677" s="1138"/>
      <c r="J677" s="1138"/>
      <c r="K677" s="1138"/>
      <c r="L677" s="1138"/>
      <c r="M677" s="1138"/>
      <c r="N677" s="1138"/>
      <c r="O677" s="1138"/>
      <c r="P677" s="1138"/>
      <c r="Q677" s="1138"/>
      <c r="R677" s="1138"/>
      <c r="S677" s="1138"/>
      <c r="T677" s="1138"/>
      <c r="U677" s="1138"/>
      <c r="V677" s="1138"/>
      <c r="W677" s="1138"/>
    </row>
    <row r="678">
      <c r="A678" s="1180" t="s">
        <v>1</v>
      </c>
      <c r="B678" s="1295" t="s">
        <v>6936</v>
      </c>
      <c r="C678" s="1301" t="s">
        <v>6950</v>
      </c>
      <c r="D678" s="1286" t="s">
        <v>6938</v>
      </c>
      <c r="E678" s="1180" t="s">
        <v>6939</v>
      </c>
      <c r="F678" s="1179" t="s">
        <v>6940</v>
      </c>
      <c r="G678" s="1147"/>
      <c r="H678" s="1138"/>
      <c r="I678" s="1138"/>
      <c r="J678" s="1138"/>
      <c r="K678" s="1138"/>
      <c r="L678" s="1138"/>
      <c r="M678" s="1138"/>
      <c r="N678" s="1138"/>
      <c r="O678" s="1138"/>
      <c r="P678" s="1138"/>
      <c r="Q678" s="1138"/>
      <c r="R678" s="1138"/>
      <c r="S678" s="1138"/>
      <c r="T678" s="1138"/>
      <c r="U678" s="1138"/>
      <c r="V678" s="1138"/>
      <c r="W678" s="1138"/>
    </row>
    <row r="679">
      <c r="A679" s="1168" t="s">
        <v>10</v>
      </c>
      <c r="B679" s="1261">
        <v>5163783.25</v>
      </c>
      <c r="C679" s="1261">
        <v>8.8582603348E8</v>
      </c>
      <c r="D679" s="1187">
        <v>1140000.0</v>
      </c>
      <c r="E679" s="1261">
        <f t="shared" ref="E679:E686" si="75">F679-D679</f>
        <v>963400</v>
      </c>
      <c r="F679" s="1302">
        <v>2103400.0</v>
      </c>
      <c r="G679" s="1147"/>
      <c r="H679" s="1138"/>
      <c r="I679" s="1138"/>
      <c r="J679" s="1138"/>
      <c r="K679" s="1138"/>
      <c r="L679" s="1138"/>
      <c r="M679" s="1138"/>
      <c r="N679" s="1138"/>
      <c r="O679" s="1138"/>
      <c r="P679" s="1138"/>
      <c r="Q679" s="1138"/>
      <c r="R679" s="1138"/>
      <c r="S679" s="1138"/>
      <c r="T679" s="1138"/>
      <c r="U679" s="1138"/>
      <c r="V679" s="1138"/>
      <c r="W679" s="1138"/>
    </row>
    <row r="680">
      <c r="A680" s="1168" t="s">
        <v>24</v>
      </c>
      <c r="B680" s="1261">
        <v>1.41585584E7</v>
      </c>
      <c r="C680" s="1261">
        <v>6.3978569846E8</v>
      </c>
      <c r="D680" s="1190">
        <v>379475.0</v>
      </c>
      <c r="E680" s="1261">
        <f t="shared" si="75"/>
        <v>3000</v>
      </c>
      <c r="F680" s="1187">
        <v>382475.0</v>
      </c>
      <c r="G680" s="1147"/>
      <c r="H680" s="1138"/>
      <c r="I680" s="1138"/>
      <c r="J680" s="1138"/>
      <c r="K680" s="1138"/>
      <c r="L680" s="1138"/>
      <c r="M680" s="1138"/>
      <c r="N680" s="1138"/>
      <c r="O680" s="1138"/>
      <c r="P680" s="1138"/>
      <c r="Q680" s="1138"/>
      <c r="R680" s="1138"/>
      <c r="S680" s="1138"/>
      <c r="T680" s="1138"/>
      <c r="U680" s="1138"/>
      <c r="V680" s="1138"/>
      <c r="W680" s="1138"/>
    </row>
    <row r="681">
      <c r="A681" s="1168" t="s">
        <v>12</v>
      </c>
      <c r="B681" s="1261">
        <v>6130133.279999998</v>
      </c>
      <c r="C681" s="1187">
        <v>2.6967882611E8</v>
      </c>
      <c r="D681" s="1187">
        <v>1334128.0</v>
      </c>
      <c r="E681" s="1261">
        <f t="shared" si="75"/>
        <v>198128</v>
      </c>
      <c r="F681" s="1187">
        <v>1532256.0</v>
      </c>
      <c r="G681" s="1303"/>
      <c r="H681" s="1138"/>
      <c r="I681" s="1138"/>
      <c r="J681" s="1138"/>
      <c r="K681" s="1138"/>
      <c r="L681" s="1138"/>
      <c r="M681" s="1138"/>
      <c r="N681" s="1138"/>
      <c r="O681" s="1138"/>
      <c r="P681" s="1138"/>
      <c r="Q681" s="1138"/>
      <c r="R681" s="1138"/>
      <c r="S681" s="1138"/>
      <c r="T681" s="1138"/>
      <c r="U681" s="1138"/>
      <c r="V681" s="1138"/>
      <c r="W681" s="1138"/>
    </row>
    <row r="682">
      <c r="A682" s="1168" t="s">
        <v>13</v>
      </c>
      <c r="B682" s="1261">
        <v>4750956.840000001</v>
      </c>
      <c r="C682" s="1187">
        <v>1.2060503717E8</v>
      </c>
      <c r="D682" s="1184">
        <v>307028.0</v>
      </c>
      <c r="E682" s="1261">
        <f t="shared" si="75"/>
        <v>0</v>
      </c>
      <c r="F682" s="1184">
        <v>307028.0</v>
      </c>
      <c r="G682" s="1147"/>
      <c r="H682" s="1138"/>
      <c r="I682" s="1138"/>
      <c r="J682" s="1138"/>
      <c r="K682" s="1138"/>
      <c r="L682" s="1138"/>
      <c r="M682" s="1138"/>
      <c r="N682" s="1138"/>
      <c r="O682" s="1138"/>
      <c r="P682" s="1138"/>
      <c r="Q682" s="1138"/>
      <c r="R682" s="1138"/>
      <c r="S682" s="1138"/>
      <c r="T682" s="1138"/>
      <c r="U682" s="1138"/>
      <c r="V682" s="1138"/>
      <c r="W682" s="1138"/>
    </row>
    <row r="683">
      <c r="A683" s="1168" t="s">
        <v>14</v>
      </c>
      <c r="B683" s="1261">
        <v>1085105.41</v>
      </c>
      <c r="C683" s="1184">
        <v>1.7171012567E8</v>
      </c>
      <c r="D683" s="1187">
        <v>38800.0</v>
      </c>
      <c r="E683" s="1261">
        <f t="shared" si="75"/>
        <v>14365</v>
      </c>
      <c r="F683" s="1187">
        <v>53165.0</v>
      </c>
      <c r="G683" s="1147"/>
      <c r="H683" s="1138"/>
      <c r="I683" s="1138"/>
      <c r="J683" s="1138"/>
      <c r="K683" s="1138"/>
      <c r="L683" s="1138"/>
      <c r="M683" s="1138"/>
      <c r="N683" s="1138"/>
      <c r="O683" s="1138"/>
      <c r="P683" s="1138"/>
      <c r="Q683" s="1138"/>
      <c r="R683" s="1138"/>
      <c r="S683" s="1138"/>
      <c r="T683" s="1138"/>
      <c r="U683" s="1138"/>
      <c r="V683" s="1138"/>
      <c r="W683" s="1138"/>
    </row>
    <row r="684">
      <c r="A684" s="1168" t="s">
        <v>15</v>
      </c>
      <c r="B684" s="1261">
        <v>126080.0</v>
      </c>
      <c r="C684" s="1261">
        <v>1.794595016E7</v>
      </c>
      <c r="D684" s="1187">
        <v>13000.0</v>
      </c>
      <c r="E684" s="1261">
        <f t="shared" si="75"/>
        <v>0</v>
      </c>
      <c r="F684" s="1187">
        <v>13000.0</v>
      </c>
      <c r="G684" s="1147"/>
      <c r="H684" s="1138"/>
      <c r="I684" s="1138"/>
      <c r="J684" s="1138"/>
      <c r="K684" s="1138"/>
      <c r="L684" s="1138"/>
      <c r="M684" s="1138"/>
      <c r="N684" s="1138"/>
      <c r="O684" s="1138"/>
      <c r="P684" s="1138"/>
      <c r="Q684" s="1138"/>
      <c r="R684" s="1138"/>
      <c r="S684" s="1138"/>
      <c r="T684" s="1138"/>
      <c r="U684" s="1138"/>
      <c r="V684" s="1138"/>
      <c r="W684" s="1138"/>
    </row>
    <row r="685">
      <c r="A685" s="1168" t="s">
        <v>16</v>
      </c>
      <c r="B685" s="1261">
        <v>266495.0</v>
      </c>
      <c r="C685" s="1261">
        <v>1.537561275E7</v>
      </c>
      <c r="D685" s="1304">
        <v>0.0</v>
      </c>
      <c r="E685" s="1261">
        <f t="shared" si="75"/>
        <v>0</v>
      </c>
      <c r="F685" s="1302">
        <v>0.0</v>
      </c>
      <c r="G685" s="1147"/>
      <c r="H685" s="1138"/>
      <c r="I685" s="1138"/>
      <c r="J685" s="1138"/>
      <c r="K685" s="1138"/>
      <c r="L685" s="1138"/>
      <c r="M685" s="1138"/>
      <c r="N685" s="1138"/>
      <c r="O685" s="1138"/>
      <c r="P685" s="1138"/>
      <c r="Q685" s="1138"/>
      <c r="R685" s="1138"/>
      <c r="S685" s="1138"/>
      <c r="T685" s="1138"/>
      <c r="U685" s="1138"/>
      <c r="V685" s="1138"/>
      <c r="W685" s="1138"/>
    </row>
    <row r="686">
      <c r="A686" s="1168" t="s">
        <v>17</v>
      </c>
      <c r="B686" s="1261">
        <v>1762673.0</v>
      </c>
      <c r="C686" s="1183">
        <v>2.0924864343E8</v>
      </c>
      <c r="D686" s="668">
        <v>697818.0</v>
      </c>
      <c r="E686" s="1261">
        <f t="shared" si="75"/>
        <v>0</v>
      </c>
      <c r="F686" s="668">
        <v>697818.0</v>
      </c>
      <c r="G686" s="1147"/>
      <c r="H686" s="1138"/>
      <c r="I686" s="1138"/>
      <c r="J686" s="1138"/>
      <c r="K686" s="1138"/>
      <c r="L686" s="1138"/>
      <c r="M686" s="1138"/>
      <c r="N686" s="1138"/>
      <c r="O686" s="1138"/>
      <c r="P686" s="1138"/>
      <c r="Q686" s="1138"/>
      <c r="R686" s="1138"/>
      <c r="S686" s="1138"/>
      <c r="T686" s="1138"/>
      <c r="U686" s="1138"/>
      <c r="V686" s="1138"/>
      <c r="W686" s="1138"/>
    </row>
    <row r="687">
      <c r="A687" s="1168" t="s">
        <v>18</v>
      </c>
      <c r="B687" s="1261">
        <v>2138276.68</v>
      </c>
      <c r="C687" s="1187">
        <v>9.779443585E7</v>
      </c>
      <c r="D687" s="1183">
        <v>0.0</v>
      </c>
      <c r="E687" s="1187">
        <v>0.0</v>
      </c>
      <c r="F687" s="1187">
        <f>D687+E687</f>
        <v>0</v>
      </c>
      <c r="G687" s="1303"/>
      <c r="H687" s="1138"/>
      <c r="I687" s="1138"/>
      <c r="J687" s="1138"/>
      <c r="K687" s="1138"/>
      <c r="L687" s="1138"/>
      <c r="M687" s="1138"/>
      <c r="N687" s="1138"/>
      <c r="O687" s="1138"/>
      <c r="P687" s="1138"/>
      <c r="Q687" s="1138"/>
      <c r="R687" s="1138"/>
      <c r="S687" s="1138"/>
      <c r="T687" s="1138"/>
      <c r="U687" s="1138"/>
      <c r="V687" s="1138"/>
      <c r="W687" s="1138"/>
    </row>
    <row r="688">
      <c r="A688" s="1168" t="s">
        <v>19</v>
      </c>
      <c r="B688" s="1261">
        <v>395971.0</v>
      </c>
      <c r="C688" s="1306">
        <v>8552134.44</v>
      </c>
      <c r="D688" s="852">
        <v>25690.0</v>
      </c>
      <c r="E688" s="1261">
        <f t="shared" ref="E688:E694" si="76">F688-D688</f>
        <v>0</v>
      </c>
      <c r="F688" s="852">
        <v>25690.0</v>
      </c>
      <c r="G688" s="1147"/>
      <c r="H688" s="1138"/>
      <c r="I688" s="1138"/>
      <c r="J688" s="1138"/>
      <c r="K688" s="1138"/>
      <c r="L688" s="1138"/>
      <c r="M688" s="1138"/>
      <c r="N688" s="1138"/>
      <c r="O688" s="1138"/>
      <c r="P688" s="1138"/>
      <c r="Q688" s="1138"/>
      <c r="R688" s="1138"/>
      <c r="S688" s="1138"/>
      <c r="T688" s="1138"/>
      <c r="U688" s="1138"/>
      <c r="V688" s="1138"/>
      <c r="W688" s="1138"/>
    </row>
    <row r="689">
      <c r="A689" s="1168" t="s">
        <v>20</v>
      </c>
      <c r="B689" s="1261">
        <v>551207.79</v>
      </c>
      <c r="C689" s="1306">
        <v>6.827151238E7</v>
      </c>
      <c r="D689" s="1183">
        <v>32250.0</v>
      </c>
      <c r="E689" s="1261">
        <f t="shared" si="76"/>
        <v>15163</v>
      </c>
      <c r="F689" s="1187">
        <v>47413.0</v>
      </c>
      <c r="G689" s="1147"/>
      <c r="H689" s="1138"/>
      <c r="I689" s="1138"/>
      <c r="J689" s="1138"/>
      <c r="K689" s="1138"/>
      <c r="L689" s="1138"/>
      <c r="M689" s="1138"/>
      <c r="N689" s="1138"/>
      <c r="O689" s="1138"/>
      <c r="P689" s="1138"/>
      <c r="Q689" s="1138"/>
      <c r="R689" s="1138"/>
      <c r="S689" s="1138"/>
      <c r="T689" s="1138"/>
      <c r="U689" s="1138"/>
      <c r="V689" s="1138"/>
      <c r="W689" s="1138"/>
    </row>
    <row r="690">
      <c r="A690" s="1168" t="s">
        <v>21</v>
      </c>
      <c r="B690" s="1261">
        <v>79309.0</v>
      </c>
      <c r="C690" s="1306">
        <v>2178917.1</v>
      </c>
      <c r="D690" s="1302">
        <v>0.0</v>
      </c>
      <c r="E690" s="1261">
        <f t="shared" si="76"/>
        <v>0</v>
      </c>
      <c r="F690" s="1308">
        <v>0.0</v>
      </c>
      <c r="G690" s="1147"/>
      <c r="H690" s="1138"/>
      <c r="I690" s="1138"/>
      <c r="J690" s="1138"/>
      <c r="K690" s="1138"/>
      <c r="L690" s="1138"/>
      <c r="M690" s="1138"/>
      <c r="N690" s="1138"/>
      <c r="O690" s="1138"/>
      <c r="P690" s="1138"/>
      <c r="Q690" s="1138"/>
      <c r="R690" s="1138"/>
      <c r="S690" s="1138"/>
      <c r="T690" s="1138"/>
      <c r="U690" s="1138"/>
      <c r="V690" s="1138"/>
      <c r="W690" s="1138"/>
    </row>
    <row r="691">
      <c r="A691" s="1171" t="s">
        <v>22</v>
      </c>
      <c r="B691" s="1261">
        <v>793927.97</v>
      </c>
      <c r="C691" s="1261">
        <v>1033742.27</v>
      </c>
      <c r="D691" s="1302">
        <v>52300.0</v>
      </c>
      <c r="E691" s="1261">
        <f t="shared" si="76"/>
        <v>0</v>
      </c>
      <c r="F691" s="1315">
        <v>52300.0</v>
      </c>
      <c r="G691" s="1147"/>
      <c r="H691" s="1138"/>
      <c r="I691" s="1138"/>
      <c r="J691" s="1138"/>
      <c r="K691" s="1138"/>
      <c r="L691" s="1138"/>
      <c r="M691" s="1138"/>
      <c r="N691" s="1138"/>
      <c r="O691" s="1138"/>
      <c r="P691" s="1138"/>
      <c r="Q691" s="1138"/>
      <c r="R691" s="1138"/>
      <c r="S691" s="1138"/>
      <c r="T691" s="1138"/>
      <c r="U691" s="1138"/>
      <c r="V691" s="1138"/>
      <c r="W691" s="1138"/>
    </row>
    <row r="692">
      <c r="A692" s="1309" t="s">
        <v>32</v>
      </c>
      <c r="B692" s="1316">
        <v>1800000.0</v>
      </c>
      <c r="C692" s="1311"/>
      <c r="D692" s="1312"/>
      <c r="E692" s="1261">
        <f t="shared" si="76"/>
        <v>0</v>
      </c>
      <c r="F692" s="1312"/>
      <c r="G692" s="1147"/>
      <c r="H692" s="1138"/>
      <c r="I692" s="1138"/>
      <c r="J692" s="1138"/>
      <c r="K692" s="1138"/>
      <c r="L692" s="1138"/>
      <c r="M692" s="1138"/>
      <c r="N692" s="1138"/>
      <c r="O692" s="1138"/>
      <c r="P692" s="1138"/>
      <c r="Q692" s="1138"/>
      <c r="R692" s="1138"/>
      <c r="S692" s="1138"/>
      <c r="T692" s="1138"/>
      <c r="U692" s="1138"/>
      <c r="V692" s="1138"/>
      <c r="W692" s="1138"/>
    </row>
    <row r="693">
      <c r="A693" s="1309" t="s">
        <v>31</v>
      </c>
      <c r="B693" s="1183">
        <v>1200000.0</v>
      </c>
      <c r="C693" s="1313"/>
      <c r="D693" s="1312"/>
      <c r="E693" s="1261">
        <f t="shared" si="76"/>
        <v>0</v>
      </c>
      <c r="F693" s="1312"/>
      <c r="G693" s="1147"/>
      <c r="H693" s="1138"/>
      <c r="I693" s="1138"/>
      <c r="J693" s="1138"/>
      <c r="K693" s="1138"/>
      <c r="L693" s="1138"/>
      <c r="M693" s="1138"/>
      <c r="N693" s="1138"/>
      <c r="O693" s="1138"/>
      <c r="P693" s="1138"/>
      <c r="Q693" s="1138"/>
      <c r="R693" s="1138"/>
      <c r="S693" s="1138"/>
      <c r="T693" s="1138"/>
      <c r="U693" s="1138"/>
      <c r="V693" s="1138"/>
      <c r="W693" s="1138"/>
    </row>
    <row r="694">
      <c r="A694" s="1314" t="s">
        <v>6967</v>
      </c>
      <c r="B694" s="1294">
        <v>4.040247762E7</v>
      </c>
      <c r="C694" s="1294">
        <f>SUM(C678:C693)</f>
        <v>2508006669</v>
      </c>
      <c r="D694" s="1195">
        <v>4072322.0</v>
      </c>
      <c r="E694" s="1317">
        <f t="shared" si="76"/>
        <v>1220056</v>
      </c>
      <c r="F694" s="1195">
        <v>5292378.0</v>
      </c>
      <c r="G694" s="1147"/>
      <c r="H694" s="1138"/>
      <c r="I694" s="1138"/>
      <c r="J694" s="1138"/>
      <c r="K694" s="1138"/>
      <c r="L694" s="1138"/>
      <c r="M694" s="1138"/>
      <c r="N694" s="1138"/>
      <c r="O694" s="1138"/>
      <c r="P694" s="1138"/>
      <c r="Q694" s="1138"/>
      <c r="R694" s="1138"/>
      <c r="S694" s="1138"/>
      <c r="T694" s="1138"/>
      <c r="U694" s="1138"/>
      <c r="V694" s="1138"/>
      <c r="W694" s="1138"/>
    </row>
    <row r="695">
      <c r="A695" s="1138"/>
      <c r="B695" s="1138"/>
      <c r="C695" s="1138"/>
      <c r="D695" s="1147"/>
      <c r="E695" s="1138"/>
      <c r="F695" s="1147"/>
      <c r="G695" s="1147"/>
      <c r="H695" s="1138"/>
      <c r="I695" s="1138"/>
      <c r="J695" s="1138"/>
      <c r="K695" s="1138"/>
      <c r="L695" s="1138"/>
      <c r="M695" s="1138"/>
      <c r="N695" s="1138"/>
      <c r="O695" s="1138"/>
      <c r="P695" s="1138"/>
      <c r="Q695" s="1138"/>
      <c r="R695" s="1138"/>
      <c r="S695" s="1138"/>
      <c r="T695" s="1138"/>
      <c r="U695" s="1138"/>
      <c r="V695" s="1138"/>
      <c r="W695" s="1138"/>
    </row>
    <row r="696">
      <c r="A696" s="1138"/>
      <c r="B696" s="1138"/>
      <c r="C696" s="1138"/>
      <c r="D696" s="1147"/>
      <c r="E696" s="1138"/>
      <c r="F696" s="1147"/>
      <c r="G696" s="1147"/>
      <c r="H696" s="1138"/>
      <c r="I696" s="1138"/>
      <c r="J696" s="1138"/>
      <c r="K696" s="1138"/>
      <c r="L696" s="1138"/>
      <c r="M696" s="1138"/>
      <c r="N696" s="1138"/>
      <c r="O696" s="1138"/>
      <c r="P696" s="1138"/>
      <c r="Q696" s="1138"/>
      <c r="R696" s="1138"/>
      <c r="S696" s="1138"/>
      <c r="T696" s="1138"/>
      <c r="U696" s="1138"/>
      <c r="V696" s="1138"/>
      <c r="W696" s="1138"/>
    </row>
    <row r="697">
      <c r="A697" s="1138"/>
      <c r="B697" s="1138"/>
      <c r="C697" s="1138"/>
      <c r="D697" s="1147"/>
      <c r="E697" s="1138"/>
      <c r="F697" s="1303"/>
      <c r="G697" s="1147"/>
      <c r="H697" s="1138"/>
      <c r="I697" s="1138"/>
      <c r="J697" s="1138"/>
      <c r="K697" s="1138"/>
      <c r="L697" s="1138"/>
      <c r="M697" s="1138"/>
      <c r="N697" s="1138"/>
      <c r="O697" s="1138"/>
      <c r="P697" s="1138"/>
      <c r="Q697" s="1138"/>
      <c r="R697" s="1138"/>
      <c r="S697" s="1138"/>
      <c r="T697" s="1138"/>
      <c r="U697" s="1138"/>
      <c r="V697" s="1138"/>
      <c r="W697" s="1138"/>
    </row>
    <row r="698">
      <c r="A698" s="1148" t="s">
        <v>6976</v>
      </c>
      <c r="B698" s="1138"/>
      <c r="C698" s="1138"/>
      <c r="D698" s="1285"/>
      <c r="E698" s="1138"/>
      <c r="F698" s="1147"/>
      <c r="G698" s="1147"/>
      <c r="H698" s="1138"/>
      <c r="I698" s="1138"/>
      <c r="J698" s="1138"/>
      <c r="K698" s="1138"/>
      <c r="L698" s="1138"/>
      <c r="M698" s="1138"/>
      <c r="N698" s="1138"/>
      <c r="O698" s="1138"/>
      <c r="P698" s="1138"/>
      <c r="Q698" s="1138"/>
      <c r="R698" s="1138"/>
      <c r="S698" s="1138"/>
      <c r="T698" s="1138"/>
      <c r="U698" s="1138"/>
      <c r="V698" s="1138"/>
      <c r="W698" s="1138"/>
    </row>
    <row r="699">
      <c r="A699" s="1180" t="s">
        <v>1</v>
      </c>
      <c r="B699" s="1295" t="s">
        <v>6936</v>
      </c>
      <c r="C699" s="1301" t="s">
        <v>6950</v>
      </c>
      <c r="D699" s="1286" t="s">
        <v>6938</v>
      </c>
      <c r="E699" s="1180" t="s">
        <v>6939</v>
      </c>
      <c r="F699" s="1179" t="s">
        <v>6940</v>
      </c>
      <c r="G699" s="1147"/>
      <c r="H699" s="1138"/>
      <c r="I699" s="1138"/>
      <c r="J699" s="1138"/>
      <c r="K699" s="1138"/>
      <c r="L699" s="1138"/>
      <c r="M699" s="1138"/>
      <c r="N699" s="1138"/>
      <c r="O699" s="1138"/>
      <c r="P699" s="1138"/>
      <c r="Q699" s="1138"/>
      <c r="R699" s="1138"/>
      <c r="S699" s="1138"/>
      <c r="T699" s="1138"/>
      <c r="U699" s="1138"/>
      <c r="V699" s="1138"/>
      <c r="W699" s="1138"/>
    </row>
    <row r="700">
      <c r="A700" s="1168" t="s">
        <v>10</v>
      </c>
      <c r="B700" s="1261">
        <v>3129566.5</v>
      </c>
      <c r="C700" s="8">
        <v>8.8582603348E8</v>
      </c>
      <c r="D700" s="1187">
        <v>10000.0</v>
      </c>
      <c r="E700" s="1187">
        <f t="shared" ref="E700:E715" si="77">F700-D700</f>
        <v>0</v>
      </c>
      <c r="F700" s="1302">
        <v>10000.0</v>
      </c>
      <c r="G700" s="1147"/>
      <c r="H700" s="1138"/>
      <c r="I700" s="1138"/>
      <c r="J700" s="1138"/>
      <c r="K700" s="1138"/>
      <c r="L700" s="1138"/>
      <c r="M700" s="1138"/>
      <c r="N700" s="1138"/>
      <c r="O700" s="1138"/>
      <c r="P700" s="1138"/>
      <c r="Q700" s="1138"/>
      <c r="R700" s="1138"/>
      <c r="S700" s="1138"/>
      <c r="T700" s="1138"/>
      <c r="U700" s="1138"/>
      <c r="V700" s="1138"/>
      <c r="W700" s="1138"/>
    </row>
    <row r="701">
      <c r="A701" s="1168" t="s">
        <v>24</v>
      </c>
      <c r="B701" s="1261">
        <v>4384224.1899999995</v>
      </c>
      <c r="C701" s="8">
        <v>6.3978569846E8</v>
      </c>
      <c r="D701" s="1190">
        <v>600870.0</v>
      </c>
      <c r="E701" s="1187">
        <f t="shared" si="77"/>
        <v>210000</v>
      </c>
      <c r="F701" s="1187">
        <v>810870.0</v>
      </c>
      <c r="G701" s="1147"/>
      <c r="H701" s="1138"/>
      <c r="I701" s="1138"/>
      <c r="J701" s="1138"/>
      <c r="K701" s="1138"/>
      <c r="L701" s="1138"/>
      <c r="M701" s="1138"/>
      <c r="N701" s="1138"/>
      <c r="O701" s="1138"/>
      <c r="P701" s="1138"/>
      <c r="Q701" s="1138"/>
      <c r="R701" s="1138"/>
      <c r="S701" s="1138"/>
      <c r="T701" s="1138"/>
      <c r="U701" s="1138"/>
      <c r="V701" s="1138"/>
      <c r="W701" s="1138"/>
    </row>
    <row r="702">
      <c r="A702" s="1168" t="s">
        <v>12</v>
      </c>
      <c r="B702" s="1261">
        <v>4875941.119999998</v>
      </c>
      <c r="C702" s="32">
        <v>2.6967882611E8</v>
      </c>
      <c r="D702" s="1187">
        <v>1392805.0</v>
      </c>
      <c r="E702" s="1187">
        <f t="shared" si="77"/>
        <v>89000</v>
      </c>
      <c r="F702" s="1187">
        <v>1481805.0</v>
      </c>
      <c r="G702" s="1318">
        <v>1481805.0</v>
      </c>
      <c r="H702" s="1138"/>
      <c r="I702" s="1138"/>
      <c r="J702" s="1138"/>
      <c r="K702" s="1138"/>
      <c r="L702" s="1138"/>
      <c r="M702" s="1138"/>
      <c r="N702" s="1138"/>
      <c r="O702" s="1138"/>
      <c r="P702" s="1138"/>
      <c r="Q702" s="1138"/>
      <c r="R702" s="1138"/>
      <c r="S702" s="1138"/>
      <c r="T702" s="1138"/>
      <c r="U702" s="1138"/>
      <c r="V702" s="1138"/>
      <c r="W702" s="1138"/>
    </row>
    <row r="703">
      <c r="A703" s="1168" t="s">
        <v>13</v>
      </c>
      <c r="B703" s="1261">
        <v>4062066.8900000006</v>
      </c>
      <c r="C703" s="32">
        <v>1.2059147349E8</v>
      </c>
      <c r="D703" s="1184">
        <v>11500.0</v>
      </c>
      <c r="E703" s="1187">
        <f t="shared" si="77"/>
        <v>0</v>
      </c>
      <c r="F703" s="1184">
        <v>11500.0</v>
      </c>
      <c r="G703" s="1147"/>
      <c r="H703" s="1138"/>
      <c r="I703" s="1138"/>
      <c r="J703" s="1138"/>
      <c r="K703" s="1138"/>
      <c r="L703" s="1138"/>
      <c r="M703" s="1138"/>
      <c r="N703" s="1138"/>
      <c r="O703" s="1138"/>
      <c r="P703" s="1138"/>
      <c r="Q703" s="1138"/>
      <c r="R703" s="1138"/>
      <c r="S703" s="1138"/>
      <c r="T703" s="1138"/>
      <c r="U703" s="1138"/>
      <c r="V703" s="1138"/>
      <c r="W703" s="1138"/>
    </row>
    <row r="704">
      <c r="A704" s="1168" t="s">
        <v>14</v>
      </c>
      <c r="B704" s="1261">
        <v>1294022.41</v>
      </c>
      <c r="C704" s="1184">
        <v>1.7171012567E8</v>
      </c>
      <c r="D704" s="1187">
        <v>0.0</v>
      </c>
      <c r="E704" s="1187">
        <f t="shared" si="77"/>
        <v>0</v>
      </c>
      <c r="F704" s="1187">
        <v>0.0</v>
      </c>
      <c r="G704" s="1147"/>
      <c r="H704" s="1138"/>
      <c r="I704" s="1138"/>
      <c r="J704" s="1138"/>
      <c r="K704" s="1138"/>
      <c r="L704" s="1138"/>
      <c r="M704" s="1138"/>
      <c r="N704" s="1138"/>
      <c r="O704" s="1138"/>
      <c r="P704" s="1138"/>
      <c r="Q704" s="1138"/>
      <c r="R704" s="1138"/>
      <c r="S704" s="1138"/>
      <c r="T704" s="1138"/>
      <c r="U704" s="1138"/>
      <c r="V704" s="1138"/>
      <c r="W704" s="1138"/>
    </row>
    <row r="705">
      <c r="A705" s="1168" t="s">
        <v>15</v>
      </c>
      <c r="B705" s="1261">
        <v>113080.0</v>
      </c>
      <c r="C705" s="1261">
        <v>1.794595016E7</v>
      </c>
      <c r="D705" s="1187">
        <v>10000.0</v>
      </c>
      <c r="E705" s="1187">
        <f t="shared" si="77"/>
        <v>34757</v>
      </c>
      <c r="F705" s="1187">
        <v>44757.0</v>
      </c>
      <c r="G705" s="1147"/>
      <c r="H705" s="1138"/>
      <c r="I705" s="1138"/>
      <c r="J705" s="1138"/>
      <c r="K705" s="1138"/>
      <c r="L705" s="1138"/>
      <c r="M705" s="1138"/>
      <c r="N705" s="1138"/>
      <c r="O705" s="1138"/>
      <c r="P705" s="1138"/>
      <c r="Q705" s="1138"/>
      <c r="R705" s="1138"/>
      <c r="S705" s="1138"/>
      <c r="T705" s="1138"/>
      <c r="U705" s="1138"/>
      <c r="V705" s="1138"/>
      <c r="W705" s="1138"/>
    </row>
    <row r="706">
      <c r="A706" s="1168" t="s">
        <v>16</v>
      </c>
      <c r="B706" s="1261">
        <v>299908.0</v>
      </c>
      <c r="C706" s="1261">
        <v>1.537561275E7</v>
      </c>
      <c r="D706" s="1304">
        <v>0.0</v>
      </c>
      <c r="E706" s="1187">
        <f t="shared" si="77"/>
        <v>0</v>
      </c>
      <c r="F706" s="1302">
        <v>0.0</v>
      </c>
      <c r="G706" s="1147"/>
      <c r="H706" s="1138"/>
      <c r="I706" s="1138"/>
      <c r="J706" s="1138"/>
      <c r="K706" s="1138"/>
      <c r="L706" s="1138"/>
      <c r="M706" s="1138"/>
      <c r="N706" s="1138"/>
      <c r="O706" s="1138"/>
      <c r="P706" s="1138"/>
      <c r="Q706" s="1138"/>
      <c r="R706" s="1138"/>
      <c r="S706" s="1138"/>
      <c r="T706" s="1138"/>
      <c r="U706" s="1138"/>
      <c r="V706" s="1138"/>
      <c r="W706" s="1138"/>
    </row>
    <row r="707">
      <c r="A707" s="1168" t="s">
        <v>17</v>
      </c>
      <c r="B707" s="1261">
        <v>1136400.27</v>
      </c>
      <c r="C707" s="32">
        <v>2.1011789376E8</v>
      </c>
      <c r="D707" s="668">
        <v>626551.0</v>
      </c>
      <c r="E707" s="1187">
        <f t="shared" si="77"/>
        <v>53949</v>
      </c>
      <c r="F707" s="679">
        <v>680500.0</v>
      </c>
      <c r="G707" s="1147"/>
      <c r="H707" s="1138"/>
      <c r="I707" s="1138"/>
      <c r="J707" s="1138"/>
      <c r="K707" s="1138"/>
      <c r="L707" s="1138"/>
      <c r="M707" s="1138"/>
      <c r="N707" s="1138"/>
      <c r="O707" s="1138"/>
      <c r="P707" s="1138"/>
      <c r="Q707" s="1138"/>
      <c r="R707" s="1138"/>
      <c r="S707" s="1138"/>
      <c r="T707" s="1138"/>
      <c r="U707" s="1138"/>
      <c r="V707" s="1138"/>
      <c r="W707" s="1138"/>
    </row>
    <row r="708">
      <c r="A708" s="1168" t="s">
        <v>18</v>
      </c>
      <c r="B708" s="1261">
        <v>1332701.6800000002</v>
      </c>
      <c r="C708" s="32">
        <v>9.779443585E7</v>
      </c>
      <c r="D708" s="1183">
        <v>0.0</v>
      </c>
      <c r="E708" s="1187">
        <f t="shared" si="77"/>
        <v>0</v>
      </c>
      <c r="F708" s="1187">
        <v>0.0</v>
      </c>
      <c r="G708" s="1147"/>
      <c r="H708" s="1138"/>
      <c r="I708" s="1138"/>
      <c r="J708" s="1138"/>
      <c r="K708" s="1138"/>
      <c r="L708" s="1138"/>
      <c r="M708" s="1138"/>
      <c r="N708" s="1138"/>
      <c r="O708" s="1138"/>
      <c r="P708" s="1138"/>
      <c r="Q708" s="1138"/>
      <c r="R708" s="1138"/>
      <c r="S708" s="1138"/>
      <c r="T708" s="1138"/>
      <c r="U708" s="1138"/>
      <c r="V708" s="1138"/>
      <c r="W708" s="1138"/>
    </row>
    <row r="709">
      <c r="A709" s="1168" t="s">
        <v>19</v>
      </c>
      <c r="B709" s="1261">
        <v>416976.0</v>
      </c>
      <c r="C709" s="8">
        <v>8552134.44</v>
      </c>
      <c r="D709" s="852">
        <v>42000.0</v>
      </c>
      <c r="E709" s="1187">
        <f t="shared" si="77"/>
        <v>0</v>
      </c>
      <c r="F709" s="852">
        <v>42000.0</v>
      </c>
      <c r="G709" s="1147"/>
      <c r="H709" s="1138"/>
      <c r="I709" s="1138"/>
      <c r="J709" s="1138"/>
      <c r="K709" s="1138"/>
      <c r="L709" s="1138"/>
      <c r="M709" s="1138"/>
      <c r="N709" s="1138"/>
      <c r="O709" s="1138"/>
      <c r="P709" s="1138"/>
      <c r="Q709" s="1138"/>
      <c r="R709" s="1138"/>
      <c r="S709" s="1138"/>
      <c r="T709" s="1138"/>
      <c r="U709" s="1138"/>
      <c r="V709" s="1138"/>
      <c r="W709" s="1138"/>
    </row>
    <row r="710">
      <c r="A710" s="1168" t="s">
        <v>20</v>
      </c>
      <c r="B710" s="1261">
        <v>450745.79</v>
      </c>
      <c r="C710" s="1319">
        <v>6.827151238E7</v>
      </c>
      <c r="D710" s="1183">
        <v>22900.0</v>
      </c>
      <c r="E710" s="1187">
        <f t="shared" si="77"/>
        <v>4000</v>
      </c>
      <c r="F710" s="1187">
        <v>26900.0</v>
      </c>
      <c r="G710" s="1147"/>
      <c r="H710" s="1138"/>
      <c r="I710" s="1138"/>
      <c r="J710" s="1138"/>
      <c r="K710" s="1138"/>
      <c r="L710" s="1138"/>
      <c r="M710" s="1138"/>
      <c r="N710" s="1138"/>
      <c r="O710" s="1138"/>
      <c r="P710" s="1138"/>
      <c r="Q710" s="1138"/>
      <c r="R710" s="1138"/>
      <c r="S710" s="1138"/>
      <c r="T710" s="1138"/>
      <c r="U710" s="1138"/>
      <c r="V710" s="1138"/>
      <c r="W710" s="1138"/>
    </row>
    <row r="711">
      <c r="A711" s="1168" t="s">
        <v>21</v>
      </c>
      <c r="B711" s="1261">
        <v>0.0</v>
      </c>
      <c r="C711" s="44">
        <v>2178917.1</v>
      </c>
      <c r="D711" s="1302"/>
      <c r="E711" s="1187">
        <f t="shared" si="77"/>
        <v>0</v>
      </c>
      <c r="F711" s="1308"/>
      <c r="G711" s="1147"/>
      <c r="H711" s="1138"/>
      <c r="I711" s="1138"/>
      <c r="J711" s="1138"/>
      <c r="K711" s="1138"/>
      <c r="L711" s="1138"/>
      <c r="M711" s="1138"/>
      <c r="N711" s="1138"/>
      <c r="O711" s="1138"/>
      <c r="P711" s="1138"/>
      <c r="Q711" s="1138"/>
      <c r="R711" s="1138"/>
      <c r="S711" s="1138"/>
      <c r="T711" s="1138"/>
      <c r="U711" s="1138"/>
      <c r="V711" s="1138"/>
      <c r="W711" s="1138"/>
    </row>
    <row r="712">
      <c r="A712" s="1171" t="s">
        <v>22</v>
      </c>
      <c r="B712" s="1261">
        <v>743927.3199999998</v>
      </c>
      <c r="C712" s="44">
        <v>1033742.27</v>
      </c>
      <c r="D712" s="1302"/>
      <c r="E712" s="1187">
        <f t="shared" si="77"/>
        <v>0</v>
      </c>
      <c r="F712" s="1315"/>
      <c r="G712" s="1147"/>
      <c r="H712" s="1138"/>
      <c r="I712" s="1138"/>
      <c r="J712" s="1138"/>
      <c r="K712" s="1138"/>
      <c r="L712" s="1138"/>
      <c r="M712" s="1138"/>
      <c r="N712" s="1138"/>
      <c r="O712" s="1138"/>
      <c r="P712" s="1138"/>
      <c r="Q712" s="1138"/>
      <c r="R712" s="1138"/>
      <c r="S712" s="1138"/>
      <c r="T712" s="1138"/>
      <c r="U712" s="1138"/>
      <c r="V712" s="1138"/>
      <c r="W712" s="1138"/>
    </row>
    <row r="713">
      <c r="A713" s="1309" t="s">
        <v>32</v>
      </c>
      <c r="B713" s="1316">
        <v>1150000.0</v>
      </c>
      <c r="C713" s="73"/>
      <c r="D713" s="1312"/>
      <c r="E713" s="1187">
        <f t="shared" si="77"/>
        <v>0</v>
      </c>
      <c r="F713" s="1312"/>
      <c r="G713" s="1147"/>
      <c r="H713" s="1138"/>
      <c r="I713" s="1138"/>
      <c r="J713" s="1138"/>
      <c r="K713" s="1138"/>
      <c r="L713" s="1138"/>
      <c r="M713" s="1138"/>
      <c r="N713" s="1138"/>
      <c r="O713" s="1138"/>
      <c r="P713" s="1138"/>
      <c r="Q713" s="1138"/>
      <c r="R713" s="1138"/>
      <c r="S713" s="1138"/>
      <c r="T713" s="1138"/>
      <c r="U713" s="1138"/>
      <c r="V713" s="1138"/>
      <c r="W713" s="1138"/>
    </row>
    <row r="714">
      <c r="A714" s="1309" t="s">
        <v>31</v>
      </c>
      <c r="B714" s="1183">
        <v>0.0</v>
      </c>
      <c r="C714" s="73"/>
      <c r="D714" s="1312"/>
      <c r="E714" s="1187">
        <f t="shared" si="77"/>
        <v>0</v>
      </c>
      <c r="F714" s="1312"/>
      <c r="G714" s="1147"/>
      <c r="H714" s="1138"/>
      <c r="I714" s="1138"/>
      <c r="J714" s="1138"/>
      <c r="K714" s="1138"/>
      <c r="L714" s="1138"/>
      <c r="M714" s="1138"/>
      <c r="N714" s="1138"/>
      <c r="O714" s="1138"/>
      <c r="P714" s="1138"/>
      <c r="Q714" s="1138"/>
      <c r="R714" s="1138"/>
      <c r="S714" s="1138"/>
      <c r="T714" s="1138"/>
      <c r="U714" s="1138"/>
      <c r="V714" s="1138"/>
      <c r="W714" s="1138"/>
    </row>
    <row r="715">
      <c r="A715" s="1314" t="s">
        <v>6967</v>
      </c>
      <c r="B715" s="1294">
        <v>2.3389560169999998E7</v>
      </c>
      <c r="C715" s="1320">
        <f>SUM(C699:C714)</f>
        <v>2508862356</v>
      </c>
      <c r="D715" s="1195">
        <v>2716626.0</v>
      </c>
      <c r="E715" s="1321">
        <f t="shared" si="77"/>
        <v>391706</v>
      </c>
      <c r="F715" s="1195">
        <v>3108332.0</v>
      </c>
      <c r="G715" s="1147"/>
      <c r="H715" s="1138"/>
      <c r="I715" s="1138"/>
      <c r="J715" s="1138"/>
      <c r="K715" s="1138"/>
      <c r="L715" s="1138"/>
      <c r="M715" s="1138"/>
      <c r="N715" s="1138"/>
      <c r="O715" s="1138"/>
      <c r="P715" s="1138"/>
      <c r="Q715" s="1138"/>
      <c r="R715" s="1138"/>
      <c r="S715" s="1138"/>
      <c r="T715" s="1138"/>
      <c r="U715" s="1138"/>
      <c r="V715" s="1138"/>
      <c r="W715" s="1138"/>
    </row>
    <row r="716">
      <c r="A716" s="1138"/>
      <c r="B716" s="1138"/>
      <c r="C716" s="1138"/>
      <c r="D716" s="1147"/>
      <c r="E716" s="1138"/>
      <c r="F716" s="1147"/>
      <c r="G716" s="1147"/>
      <c r="H716" s="1138"/>
      <c r="I716" s="1138"/>
      <c r="J716" s="1138"/>
      <c r="K716" s="1138"/>
      <c r="L716" s="1138"/>
      <c r="M716" s="1138"/>
      <c r="N716" s="1138"/>
      <c r="O716" s="1138"/>
      <c r="P716" s="1138"/>
      <c r="Q716" s="1138"/>
      <c r="R716" s="1138"/>
      <c r="S716" s="1138"/>
      <c r="T716" s="1138"/>
      <c r="U716" s="1138"/>
      <c r="V716" s="1138"/>
      <c r="W716" s="1138"/>
    </row>
    <row r="717">
      <c r="A717" s="1138"/>
      <c r="B717" s="1138"/>
      <c r="C717" s="1138"/>
      <c r="D717" s="1147"/>
      <c r="E717" s="1138"/>
      <c r="F717" s="1147"/>
      <c r="G717" s="1147"/>
      <c r="H717" s="1138"/>
      <c r="I717" s="1138"/>
      <c r="J717" s="1138"/>
      <c r="K717" s="1138"/>
      <c r="L717" s="1138"/>
      <c r="M717" s="1138"/>
      <c r="N717" s="1138"/>
      <c r="O717" s="1138"/>
      <c r="P717" s="1138"/>
      <c r="Q717" s="1138"/>
      <c r="R717" s="1138"/>
      <c r="S717" s="1138"/>
      <c r="T717" s="1138"/>
      <c r="U717" s="1138"/>
      <c r="V717" s="1138"/>
      <c r="W717" s="1138"/>
    </row>
    <row r="718">
      <c r="A718" s="1148" t="s">
        <v>6977</v>
      </c>
      <c r="B718" s="1138"/>
      <c r="C718" s="1138"/>
      <c r="D718" s="1285"/>
      <c r="E718" s="1138"/>
      <c r="F718" s="1147"/>
      <c r="G718" s="1147"/>
      <c r="H718" s="1138"/>
      <c r="I718" s="1138"/>
      <c r="J718" s="1138"/>
      <c r="K718" s="1138"/>
      <c r="L718" s="1138"/>
      <c r="M718" s="1138"/>
      <c r="N718" s="1138"/>
      <c r="O718" s="1138"/>
      <c r="P718" s="1138"/>
      <c r="Q718" s="1138"/>
      <c r="R718" s="1138"/>
      <c r="S718" s="1138"/>
      <c r="T718" s="1138"/>
      <c r="U718" s="1138"/>
      <c r="V718" s="1138"/>
      <c r="W718" s="1138"/>
    </row>
    <row r="719">
      <c r="A719" s="1180" t="s">
        <v>1</v>
      </c>
      <c r="B719" s="1295" t="s">
        <v>6936</v>
      </c>
      <c r="C719" s="1301" t="s">
        <v>6950</v>
      </c>
      <c r="D719" s="1286" t="s">
        <v>6938</v>
      </c>
      <c r="E719" s="1180" t="s">
        <v>6939</v>
      </c>
      <c r="F719" s="1179" t="s">
        <v>6940</v>
      </c>
      <c r="G719" s="1147"/>
      <c r="H719" s="1138"/>
      <c r="I719" s="1138"/>
      <c r="J719" s="1138"/>
      <c r="K719" s="1138"/>
      <c r="L719" s="1138"/>
      <c r="M719" s="1138"/>
      <c r="N719" s="1138"/>
      <c r="O719" s="1138"/>
      <c r="P719" s="1138"/>
      <c r="Q719" s="1138"/>
      <c r="R719" s="1138"/>
      <c r="S719" s="1138"/>
      <c r="T719" s="1138"/>
      <c r="U719" s="1138"/>
      <c r="V719" s="1138"/>
      <c r="W719" s="1138"/>
    </row>
    <row r="720">
      <c r="A720" s="1168" t="s">
        <v>10</v>
      </c>
      <c r="B720" s="1261">
        <v>7758698.75</v>
      </c>
      <c r="C720" s="32">
        <v>8.8697343277E8</v>
      </c>
      <c r="D720" s="32">
        <v>1940544.0</v>
      </c>
      <c r="E720" s="1187">
        <f t="shared" ref="E720:E722" si="78">F720-D720</f>
        <v>38500</v>
      </c>
      <c r="F720" s="1302">
        <v>1979044.0</v>
      </c>
      <c r="G720" s="1147"/>
      <c r="H720" s="1138"/>
      <c r="I720" s="1138"/>
      <c r="J720" s="1138"/>
      <c r="K720" s="1138"/>
      <c r="L720" s="1138"/>
      <c r="M720" s="1138"/>
      <c r="N720" s="1138"/>
      <c r="O720" s="1138"/>
      <c r="P720" s="1138"/>
      <c r="Q720" s="1138"/>
      <c r="R720" s="1138"/>
      <c r="S720" s="1138"/>
      <c r="T720" s="1138"/>
      <c r="U720" s="1138"/>
      <c r="V720" s="1138"/>
      <c r="W720" s="1138"/>
    </row>
    <row r="721">
      <c r="A721" s="1168" t="s">
        <v>24</v>
      </c>
      <c r="B721" s="1261">
        <v>1.149545064E7</v>
      </c>
      <c r="C721" s="8">
        <v>6.3978569846E8</v>
      </c>
      <c r="D721" s="32">
        <v>1770023.0</v>
      </c>
      <c r="E721" s="1187">
        <f t="shared" si="78"/>
        <v>225567</v>
      </c>
      <c r="F721" s="1187">
        <v>1995590.0</v>
      </c>
      <c r="G721" s="1303">
        <v>1945590.0</v>
      </c>
      <c r="H721" s="1138"/>
      <c r="I721" s="1138"/>
      <c r="J721" s="1138"/>
      <c r="K721" s="1138"/>
      <c r="L721" s="1138"/>
      <c r="M721" s="1138"/>
      <c r="N721" s="1138"/>
      <c r="O721" s="1138"/>
      <c r="P721" s="1138"/>
      <c r="Q721" s="1138"/>
      <c r="R721" s="1138"/>
      <c r="S721" s="1138"/>
      <c r="T721" s="1138"/>
      <c r="U721" s="1138"/>
      <c r="V721" s="1138"/>
      <c r="W721" s="1138"/>
    </row>
    <row r="722" ht="14.25" customHeight="1">
      <c r="A722" s="1168" t="s">
        <v>12</v>
      </c>
      <c r="B722" s="1261">
        <v>5181013.58</v>
      </c>
      <c r="C722" s="32">
        <f>287553251.96-F722</f>
        <v>283518843</v>
      </c>
      <c r="D722" s="32">
        <v>3618618.0</v>
      </c>
      <c r="E722" s="1187">
        <f t="shared" si="78"/>
        <v>415791</v>
      </c>
      <c r="F722" s="1187">
        <v>4034409.0</v>
      </c>
      <c r="G722" s="1303">
        <v>4034409.0</v>
      </c>
      <c r="H722" s="1138"/>
      <c r="I722" s="1138"/>
      <c r="J722" s="1138"/>
      <c r="K722" s="1138"/>
      <c r="L722" s="1138"/>
      <c r="M722" s="1138"/>
      <c r="N722" s="1138"/>
      <c r="O722" s="1138"/>
      <c r="P722" s="1138"/>
      <c r="Q722" s="1138"/>
      <c r="R722" s="1138"/>
      <c r="S722" s="1138"/>
      <c r="T722" s="1138"/>
      <c r="U722" s="1138"/>
      <c r="V722" s="1138"/>
      <c r="W722" s="1138"/>
    </row>
    <row r="723">
      <c r="A723" s="1168" t="s">
        <v>13</v>
      </c>
      <c r="B723" s="1261">
        <v>4512822.8</v>
      </c>
      <c r="C723" s="32">
        <v>1.2143187383E8</v>
      </c>
      <c r="D723" s="8">
        <v>386223.0</v>
      </c>
      <c r="E723" s="1187">
        <v>14000.0</v>
      </c>
      <c r="F723" s="32">
        <v>400223.0</v>
      </c>
      <c r="G723" s="1303">
        <v>400223.0</v>
      </c>
      <c r="H723" s="1138"/>
      <c r="I723" s="1138"/>
      <c r="J723" s="1138"/>
      <c r="K723" s="1138"/>
      <c r="L723" s="1138"/>
      <c r="M723" s="1138"/>
      <c r="N723" s="1138"/>
      <c r="O723" s="1138"/>
      <c r="P723" s="1138"/>
      <c r="Q723" s="1138"/>
      <c r="R723" s="1138"/>
      <c r="S723" s="1138"/>
      <c r="T723" s="1138"/>
      <c r="U723" s="1138"/>
      <c r="V723" s="1138"/>
      <c r="W723" s="1138"/>
    </row>
    <row r="724">
      <c r="A724" s="1168" t="s">
        <v>14</v>
      </c>
      <c r="B724" s="1261">
        <v>2153876.41</v>
      </c>
      <c r="C724" s="1183">
        <v>1.7331825549E8</v>
      </c>
      <c r="D724" s="32">
        <v>39924.0</v>
      </c>
      <c r="E724" s="1187">
        <f>F724-D724</f>
        <v>0</v>
      </c>
      <c r="F724" s="1187">
        <v>39924.0</v>
      </c>
      <c r="G724" s="1147"/>
      <c r="H724" s="1138"/>
      <c r="I724" s="1138"/>
      <c r="J724" s="1138"/>
      <c r="K724" s="1138"/>
      <c r="L724" s="1138"/>
      <c r="M724" s="1138"/>
      <c r="N724" s="1138"/>
      <c r="O724" s="1138"/>
      <c r="P724" s="1138"/>
      <c r="Q724" s="1138"/>
      <c r="R724" s="1138"/>
      <c r="S724" s="1138"/>
      <c r="T724" s="1138"/>
      <c r="U724" s="1138"/>
      <c r="V724" s="1138"/>
      <c r="W724" s="1138"/>
    </row>
    <row r="725">
      <c r="A725" s="1168" t="s">
        <v>15</v>
      </c>
      <c r="B725" s="1261">
        <v>118400.0</v>
      </c>
      <c r="C725" s="1187">
        <v>1.7974236E7</v>
      </c>
      <c r="D725" s="32">
        <v>13800.0</v>
      </c>
      <c r="E725" s="1187">
        <v>6000.0</v>
      </c>
      <c r="F725" s="1187">
        <f>D725+E725</f>
        <v>19800</v>
      </c>
      <c r="G725" s="1147"/>
      <c r="H725" s="1138"/>
      <c r="I725" s="1138"/>
      <c r="J725" s="1138"/>
      <c r="K725" s="1138"/>
      <c r="L725" s="1138"/>
      <c r="M725" s="1138"/>
      <c r="N725" s="1138"/>
      <c r="O725" s="1138"/>
      <c r="P725" s="1138"/>
      <c r="Q725" s="1138"/>
      <c r="R725" s="1138"/>
      <c r="S725" s="1138"/>
      <c r="T725" s="1138"/>
      <c r="U725" s="1138"/>
      <c r="V725" s="1138"/>
      <c r="W725" s="1138"/>
    </row>
    <row r="726">
      <c r="A726" s="1168" t="s">
        <v>16</v>
      </c>
      <c r="B726" s="1261">
        <v>356048.8</v>
      </c>
      <c r="C726" s="1187">
        <v>1.529696212E7</v>
      </c>
      <c r="D726" s="32">
        <v>10000.0</v>
      </c>
      <c r="E726" s="1187">
        <v>0.0</v>
      </c>
      <c r="F726" s="1302">
        <f>D726-E726</f>
        <v>10000</v>
      </c>
      <c r="G726" s="1147"/>
      <c r="H726" s="1138"/>
      <c r="I726" s="1138"/>
      <c r="J726" s="1138"/>
      <c r="K726" s="1138"/>
      <c r="L726" s="1138"/>
      <c r="M726" s="1138"/>
      <c r="N726" s="1138"/>
      <c r="O726" s="1138"/>
      <c r="P726" s="1138"/>
      <c r="Q726" s="1138"/>
      <c r="R726" s="1138"/>
      <c r="S726" s="1138"/>
      <c r="T726" s="1138"/>
      <c r="U726" s="1138"/>
      <c r="V726" s="1138"/>
      <c r="W726" s="1138"/>
    </row>
    <row r="727">
      <c r="A727" s="1168" t="s">
        <v>17</v>
      </c>
      <c r="B727" s="1261">
        <v>1405256.7200000002</v>
      </c>
      <c r="C727" s="32">
        <v>2.0918954765E8</v>
      </c>
      <c r="D727" s="442">
        <v>232944.0</v>
      </c>
      <c r="E727" s="1187">
        <v>0.0</v>
      </c>
      <c r="F727" s="679">
        <v>232944.0</v>
      </c>
      <c r="G727" s="1303">
        <v>232944.0</v>
      </c>
      <c r="H727" s="1138"/>
      <c r="I727" s="1138"/>
      <c r="J727" s="1138"/>
      <c r="K727" s="1138"/>
      <c r="L727" s="1138"/>
      <c r="M727" s="1138"/>
      <c r="N727" s="1138"/>
      <c r="O727" s="1138"/>
      <c r="P727" s="1138"/>
      <c r="Q727" s="1138"/>
      <c r="R727" s="1138"/>
      <c r="S727" s="1138"/>
      <c r="T727" s="1138"/>
      <c r="U727" s="1138"/>
      <c r="V727" s="1138"/>
      <c r="W727" s="1138"/>
    </row>
    <row r="728">
      <c r="A728" s="1168" t="s">
        <v>18</v>
      </c>
      <c r="B728" s="1261">
        <v>1316401.6800000002</v>
      </c>
      <c r="C728" s="32">
        <v>9.783213982E7</v>
      </c>
      <c r="D728" s="32">
        <v>27000.0</v>
      </c>
      <c r="E728" s="1187">
        <v>0.0</v>
      </c>
      <c r="F728" s="1187">
        <v>27000.0</v>
      </c>
      <c r="G728" s="1147"/>
      <c r="H728" s="1138"/>
      <c r="I728" s="1138"/>
      <c r="J728" s="1138"/>
      <c r="K728" s="1138"/>
      <c r="L728" s="1138"/>
      <c r="M728" s="1138"/>
      <c r="N728" s="1138"/>
      <c r="O728" s="1138"/>
      <c r="P728" s="1138"/>
      <c r="Q728" s="1138"/>
      <c r="R728" s="1138"/>
      <c r="S728" s="1138"/>
      <c r="T728" s="1138"/>
      <c r="U728" s="1138"/>
      <c r="V728" s="1138"/>
      <c r="W728" s="1138"/>
    </row>
    <row r="729">
      <c r="A729" s="1168" t="s">
        <v>19</v>
      </c>
      <c r="B729" s="1261">
        <v>396473.0</v>
      </c>
      <c r="C729" s="32">
        <v>8721623.62</v>
      </c>
      <c r="D729" s="32">
        <v>0.0</v>
      </c>
      <c r="E729" s="1187">
        <v>0.0</v>
      </c>
      <c r="F729" s="852">
        <v>0.0</v>
      </c>
      <c r="G729" s="1147"/>
      <c r="H729" s="1138"/>
      <c r="I729" s="1138"/>
      <c r="J729" s="1138"/>
      <c r="K729" s="1138"/>
      <c r="L729" s="1138"/>
      <c r="M729" s="1138"/>
      <c r="N729" s="1138"/>
      <c r="O729" s="1138"/>
      <c r="P729" s="1138"/>
      <c r="Q729" s="1138"/>
      <c r="R729" s="1138"/>
      <c r="S729" s="1138"/>
      <c r="T729" s="1138"/>
      <c r="U729" s="1138"/>
      <c r="V729" s="1138"/>
      <c r="W729" s="1138"/>
    </row>
    <row r="730">
      <c r="A730" s="1168" t="s">
        <v>20</v>
      </c>
      <c r="B730" s="1261">
        <v>1426074.79</v>
      </c>
      <c r="C730" s="1322">
        <v>7.158729651E7</v>
      </c>
      <c r="D730" s="32">
        <v>1179010.0</v>
      </c>
      <c r="E730" s="1187">
        <f>F730-D730</f>
        <v>95427</v>
      </c>
      <c r="F730" s="1187">
        <v>1274437.0</v>
      </c>
      <c r="G730" s="1147"/>
      <c r="H730" s="1138"/>
      <c r="I730" s="1138"/>
      <c r="J730" s="1138"/>
      <c r="K730" s="1138"/>
      <c r="L730" s="1138"/>
      <c r="M730" s="1138"/>
      <c r="N730" s="1138"/>
      <c r="O730" s="1138"/>
      <c r="P730" s="1138"/>
      <c r="Q730" s="1138"/>
      <c r="R730" s="1138"/>
      <c r="S730" s="1138"/>
      <c r="T730" s="1138"/>
      <c r="U730" s="1138"/>
      <c r="V730" s="1138"/>
      <c r="W730" s="1138"/>
    </row>
    <row r="731">
      <c r="A731" s="1168" t="s">
        <v>21</v>
      </c>
      <c r="B731" s="1261">
        <v>79309.0</v>
      </c>
      <c r="C731" s="77">
        <v>2071620.41</v>
      </c>
      <c r="D731" s="44"/>
      <c r="E731" s="1187"/>
      <c r="F731" s="1308"/>
      <c r="G731" s="1147"/>
      <c r="H731" s="1138"/>
      <c r="I731" s="1138"/>
      <c r="J731" s="1138"/>
      <c r="K731" s="1138"/>
      <c r="L731" s="1138"/>
      <c r="M731" s="1138"/>
      <c r="N731" s="1138"/>
      <c r="O731" s="1138"/>
      <c r="P731" s="1138"/>
      <c r="Q731" s="1138"/>
      <c r="R731" s="1138"/>
      <c r="S731" s="1138"/>
      <c r="T731" s="1138"/>
      <c r="U731" s="1138"/>
      <c r="V731" s="1138"/>
      <c r="W731" s="1138"/>
    </row>
    <row r="732">
      <c r="A732" s="1171" t="s">
        <v>22</v>
      </c>
      <c r="B732" s="1261">
        <v>805784.47</v>
      </c>
      <c r="C732" s="77">
        <v>946331.74</v>
      </c>
      <c r="D732" s="77">
        <v>110000.0</v>
      </c>
      <c r="E732" s="1187">
        <v>0.0</v>
      </c>
      <c r="F732" s="1315">
        <v>110000.0</v>
      </c>
      <c r="G732" s="1147"/>
      <c r="H732" s="1138"/>
      <c r="I732" s="1138"/>
      <c r="J732" s="1138"/>
      <c r="K732" s="1138"/>
      <c r="L732" s="1138"/>
      <c r="M732" s="1138"/>
      <c r="N732" s="1138"/>
      <c r="O732" s="1138"/>
      <c r="P732" s="1138"/>
      <c r="Q732" s="1138"/>
      <c r="R732" s="1138"/>
      <c r="S732" s="1138"/>
      <c r="T732" s="1138"/>
      <c r="U732" s="1138"/>
      <c r="V732" s="1138"/>
      <c r="W732" s="1138"/>
    </row>
    <row r="733">
      <c r="A733" s="1309" t="s">
        <v>32</v>
      </c>
      <c r="B733" s="1316">
        <v>4150000.0</v>
      </c>
      <c r="C733" s="73"/>
      <c r="D733" s="73"/>
      <c r="E733" s="1187"/>
      <c r="F733" s="1312"/>
      <c r="G733" s="1147"/>
      <c r="H733" s="1138"/>
      <c r="I733" s="1138"/>
      <c r="J733" s="1138"/>
      <c r="K733" s="1138"/>
      <c r="L733" s="1138"/>
      <c r="M733" s="1138"/>
      <c r="N733" s="1138"/>
      <c r="O733" s="1138"/>
      <c r="P733" s="1138"/>
      <c r="Q733" s="1138"/>
      <c r="R733" s="1138"/>
      <c r="S733" s="1138"/>
      <c r="T733" s="1138"/>
      <c r="U733" s="1138"/>
      <c r="V733" s="1138"/>
      <c r="W733" s="1138"/>
    </row>
    <row r="734">
      <c r="A734" s="1309" t="s">
        <v>31</v>
      </c>
      <c r="B734" s="1183">
        <v>1000000.0</v>
      </c>
      <c r="C734" s="73"/>
      <c r="D734" s="73"/>
      <c r="E734" s="1187"/>
      <c r="F734" s="1312"/>
      <c r="G734" s="1147"/>
      <c r="H734" s="1138"/>
      <c r="I734" s="1138"/>
      <c r="J734" s="1138"/>
      <c r="K734" s="1138"/>
      <c r="L734" s="1138"/>
      <c r="M734" s="1138"/>
      <c r="N734" s="1138"/>
      <c r="O734" s="1138"/>
      <c r="P734" s="1138"/>
      <c r="Q734" s="1138"/>
      <c r="R734" s="1138"/>
      <c r="S734" s="1138"/>
      <c r="T734" s="1138"/>
      <c r="U734" s="1138"/>
      <c r="V734" s="1138"/>
      <c r="W734" s="1138"/>
    </row>
    <row r="735">
      <c r="A735" s="1314" t="s">
        <v>6967</v>
      </c>
      <c r="B735" s="1195">
        <v>4.215561064E7</v>
      </c>
      <c r="C735" s="1323">
        <f t="shared" ref="C735:F735" si="79">SUM(C720:C734)</f>
        <v>2528647861</v>
      </c>
      <c r="D735" s="1323">
        <f t="shared" si="79"/>
        <v>9328086</v>
      </c>
      <c r="E735" s="1323">
        <f t="shared" si="79"/>
        <v>795285</v>
      </c>
      <c r="F735" s="1323">
        <f t="shared" si="79"/>
        <v>10123371</v>
      </c>
      <c r="G735" s="1147"/>
      <c r="H735" s="1138"/>
      <c r="I735" s="1138"/>
      <c r="J735" s="1138"/>
      <c r="K735" s="1138"/>
      <c r="L735" s="1138"/>
      <c r="M735" s="1138"/>
      <c r="N735" s="1138"/>
      <c r="O735" s="1138"/>
      <c r="P735" s="1138"/>
      <c r="Q735" s="1138"/>
      <c r="R735" s="1138"/>
      <c r="S735" s="1138"/>
      <c r="T735" s="1138"/>
      <c r="U735" s="1138"/>
      <c r="V735" s="1138"/>
      <c r="W735" s="1138"/>
    </row>
    <row r="736">
      <c r="A736" s="1138"/>
      <c r="B736" s="1138"/>
      <c r="C736" s="1138"/>
      <c r="D736" s="1147"/>
      <c r="E736" s="1138"/>
      <c r="F736" s="1147"/>
      <c r="G736" s="1147"/>
      <c r="H736" s="1138"/>
      <c r="I736" s="1138"/>
      <c r="J736" s="1138"/>
      <c r="K736" s="1138"/>
      <c r="L736" s="1138"/>
      <c r="M736" s="1138"/>
      <c r="N736" s="1138"/>
      <c r="O736" s="1138"/>
      <c r="P736" s="1138"/>
      <c r="Q736" s="1138"/>
      <c r="R736" s="1138"/>
      <c r="S736" s="1138"/>
      <c r="T736" s="1138"/>
      <c r="U736" s="1138"/>
      <c r="V736" s="1138"/>
      <c r="W736" s="1138"/>
    </row>
    <row r="737">
      <c r="A737" s="1138"/>
      <c r="B737" s="1138"/>
      <c r="C737" s="1138"/>
      <c r="D737" s="1147"/>
      <c r="E737" s="1138"/>
      <c r="F737" s="1147"/>
      <c r="G737" s="1147"/>
      <c r="H737" s="1138"/>
      <c r="I737" s="1138"/>
      <c r="J737" s="1138"/>
      <c r="K737" s="1138"/>
      <c r="L737" s="1138"/>
      <c r="M737" s="1138"/>
      <c r="N737" s="1138"/>
      <c r="O737" s="1138"/>
      <c r="P737" s="1138"/>
      <c r="Q737" s="1138"/>
      <c r="R737" s="1138"/>
      <c r="S737" s="1138"/>
      <c r="T737" s="1138"/>
      <c r="U737" s="1138"/>
      <c r="V737" s="1138"/>
      <c r="W737" s="1138"/>
    </row>
    <row r="738">
      <c r="A738" s="1138"/>
      <c r="B738" s="1138"/>
      <c r="C738" s="1138"/>
      <c r="D738" s="1147"/>
      <c r="E738" s="1138"/>
      <c r="F738" s="1303">
        <v>1.0071871E7</v>
      </c>
      <c r="G738" s="1147"/>
      <c r="H738" s="1138"/>
      <c r="I738" s="1138"/>
      <c r="J738" s="1138"/>
      <c r="K738" s="1138"/>
      <c r="L738" s="1138"/>
      <c r="M738" s="1138"/>
      <c r="N738" s="1138"/>
      <c r="O738" s="1138"/>
      <c r="P738" s="1138"/>
      <c r="Q738" s="1138"/>
      <c r="R738" s="1138"/>
      <c r="S738" s="1138"/>
      <c r="T738" s="1138"/>
      <c r="U738" s="1138"/>
      <c r="V738" s="1138"/>
      <c r="W738" s="1138"/>
    </row>
    <row r="739">
      <c r="A739" s="1138"/>
      <c r="B739" s="1138"/>
      <c r="C739" s="1138"/>
      <c r="D739" s="1147"/>
      <c r="E739" s="1138"/>
      <c r="F739" s="1147"/>
      <c r="G739" s="1147"/>
      <c r="H739" s="1138"/>
      <c r="I739" s="1138"/>
      <c r="J739" s="1138"/>
      <c r="K739" s="1138"/>
      <c r="L739" s="1138"/>
      <c r="M739" s="1138"/>
      <c r="N739" s="1138"/>
      <c r="O739" s="1138"/>
      <c r="P739" s="1138"/>
      <c r="Q739" s="1138"/>
      <c r="R739" s="1138"/>
      <c r="S739" s="1138"/>
      <c r="T739" s="1138"/>
      <c r="U739" s="1138"/>
      <c r="V739" s="1138"/>
      <c r="W739" s="1138"/>
    </row>
    <row r="740">
      <c r="A740" s="1148" t="s">
        <v>6978</v>
      </c>
      <c r="B740" s="1138"/>
      <c r="C740" s="1138"/>
      <c r="D740" s="1285"/>
      <c r="E740" s="1138"/>
      <c r="F740" s="1147"/>
      <c r="G740" s="1147"/>
      <c r="H740" s="1138"/>
      <c r="I740" s="1138"/>
      <c r="J740" s="1138"/>
      <c r="K740" s="1138"/>
      <c r="L740" s="1138"/>
      <c r="M740" s="1138"/>
      <c r="N740" s="1138"/>
      <c r="O740" s="1138"/>
      <c r="P740" s="1138"/>
      <c r="Q740" s="1138"/>
      <c r="R740" s="1138"/>
      <c r="S740" s="1138"/>
      <c r="T740" s="1138"/>
      <c r="U740" s="1138"/>
      <c r="V740" s="1138"/>
      <c r="W740" s="1138"/>
    </row>
    <row r="741">
      <c r="A741" s="1180" t="s">
        <v>1</v>
      </c>
      <c r="B741" s="1295" t="s">
        <v>6936</v>
      </c>
      <c r="C741" s="1301" t="s">
        <v>6950</v>
      </c>
      <c r="D741" s="1286" t="s">
        <v>6938</v>
      </c>
      <c r="E741" s="1180" t="s">
        <v>6939</v>
      </c>
      <c r="F741" s="1179" t="s">
        <v>6940</v>
      </c>
      <c r="G741" s="1147"/>
      <c r="H741" s="1138"/>
      <c r="I741" s="1138"/>
      <c r="J741" s="1138"/>
      <c r="K741" s="1138"/>
      <c r="L741" s="1138"/>
      <c r="M741" s="1138"/>
      <c r="N741" s="1138"/>
      <c r="O741" s="1138"/>
      <c r="P741" s="1138"/>
      <c r="Q741" s="1138"/>
      <c r="R741" s="1138"/>
      <c r="S741" s="1138"/>
      <c r="T741" s="1138"/>
      <c r="U741" s="1138"/>
      <c r="V741" s="1138"/>
      <c r="W741" s="1138"/>
    </row>
    <row r="742">
      <c r="A742" s="1168" t="s">
        <v>10</v>
      </c>
      <c r="B742" s="1261">
        <v>8181928.88</v>
      </c>
      <c r="C742" s="32">
        <v>8.8697343277E8</v>
      </c>
      <c r="D742" s="32">
        <v>2245454.0</v>
      </c>
      <c r="E742" s="1187">
        <f t="shared" ref="E742:E757" si="80">F742-D742</f>
        <v>63253</v>
      </c>
      <c r="F742" s="1315">
        <v>2308707.0</v>
      </c>
      <c r="G742" s="1147"/>
      <c r="H742" s="1138"/>
      <c r="I742" s="1138"/>
      <c r="J742" s="1138"/>
      <c r="K742" s="1138"/>
      <c r="L742" s="1138"/>
      <c r="M742" s="1138"/>
      <c r="N742" s="1138"/>
      <c r="O742" s="1138"/>
      <c r="P742" s="1138"/>
      <c r="Q742" s="1138"/>
      <c r="R742" s="1138"/>
      <c r="S742" s="1138"/>
      <c r="T742" s="1138"/>
      <c r="U742" s="1138"/>
      <c r="V742" s="1138"/>
      <c r="W742" s="1138"/>
    </row>
    <row r="743">
      <c r="A743" s="1168" t="s">
        <v>24</v>
      </c>
      <c r="B743" s="1261">
        <v>1.0433912469999999E7</v>
      </c>
      <c r="C743" s="8">
        <v>6.3978569846E8</v>
      </c>
      <c r="D743" s="32">
        <v>1678128.0</v>
      </c>
      <c r="E743" s="1187">
        <f t="shared" si="80"/>
        <v>51467</v>
      </c>
      <c r="F743" s="1187">
        <v>1729595.0</v>
      </c>
      <c r="G743" s="1318"/>
      <c r="H743" s="1138"/>
      <c r="I743" s="1138"/>
      <c r="J743" s="1138"/>
      <c r="K743" s="1138"/>
      <c r="L743" s="1138"/>
      <c r="M743" s="1138"/>
      <c r="N743" s="1138"/>
      <c r="O743" s="1138"/>
      <c r="P743" s="1138"/>
      <c r="Q743" s="1138"/>
      <c r="R743" s="1138"/>
      <c r="S743" s="1138"/>
      <c r="T743" s="1138"/>
      <c r="U743" s="1138"/>
      <c r="V743" s="1138"/>
      <c r="W743" s="1138"/>
    </row>
    <row r="744">
      <c r="A744" s="1168" t="s">
        <v>12</v>
      </c>
      <c r="B744" s="1261">
        <v>4078787.14</v>
      </c>
      <c r="C744" s="32">
        <v>2.8630381891E8</v>
      </c>
      <c r="D744" s="32">
        <v>1243100.0</v>
      </c>
      <c r="E744" s="1187">
        <f t="shared" si="80"/>
        <v>267187</v>
      </c>
      <c r="F744" s="1187">
        <v>1510287.0</v>
      </c>
      <c r="G744" s="1147"/>
      <c r="H744" s="1138"/>
      <c r="I744" s="1138"/>
      <c r="J744" s="1138"/>
      <c r="K744" s="1138"/>
      <c r="L744" s="1138"/>
      <c r="M744" s="1138"/>
      <c r="N744" s="1138"/>
      <c r="O744" s="1138"/>
      <c r="P744" s="1138"/>
      <c r="Q744" s="1138"/>
      <c r="R744" s="1138"/>
      <c r="S744" s="1138"/>
      <c r="T744" s="1138"/>
      <c r="U744" s="1138"/>
      <c r="V744" s="1138"/>
      <c r="W744" s="1138"/>
    </row>
    <row r="745">
      <c r="A745" s="1168" t="s">
        <v>13</v>
      </c>
      <c r="B745" s="1261">
        <v>7581443.840000001</v>
      </c>
      <c r="C745" s="32">
        <v>1.2246700089E8</v>
      </c>
      <c r="D745" s="8">
        <v>768813.0</v>
      </c>
      <c r="E745" s="1187">
        <f t="shared" si="80"/>
        <v>357380</v>
      </c>
      <c r="F745" s="32">
        <v>1126193.0</v>
      </c>
      <c r="G745" s="1318"/>
      <c r="H745" s="1138"/>
      <c r="I745" s="1138"/>
      <c r="J745" s="1138"/>
      <c r="K745" s="1138"/>
      <c r="L745" s="1138"/>
      <c r="M745" s="1138"/>
      <c r="N745" s="1138"/>
      <c r="O745" s="1138"/>
      <c r="P745" s="1138"/>
      <c r="Q745" s="1138"/>
      <c r="R745" s="1138"/>
      <c r="S745" s="1138"/>
      <c r="T745" s="1138"/>
      <c r="U745" s="1138"/>
      <c r="V745" s="1138"/>
      <c r="W745" s="1138"/>
    </row>
    <row r="746">
      <c r="A746" s="1168" t="s">
        <v>14</v>
      </c>
      <c r="B746" s="1261">
        <v>1997345.0</v>
      </c>
      <c r="C746" s="1183">
        <v>1.7331825549E8</v>
      </c>
      <c r="D746" s="32">
        <v>103930.0</v>
      </c>
      <c r="E746" s="1187">
        <f t="shared" si="80"/>
        <v>71540.55</v>
      </c>
      <c r="F746" s="1187">
        <v>175470.55</v>
      </c>
      <c r="G746" s="1147"/>
      <c r="H746" s="1138"/>
      <c r="I746" s="1138"/>
      <c r="J746" s="1138"/>
      <c r="K746" s="1138"/>
      <c r="L746" s="1138"/>
      <c r="M746" s="1138"/>
      <c r="N746" s="1138"/>
      <c r="O746" s="1138"/>
      <c r="P746" s="1138"/>
      <c r="Q746" s="1138"/>
      <c r="R746" s="1138"/>
      <c r="S746" s="1138"/>
      <c r="T746" s="1138"/>
      <c r="U746" s="1138"/>
      <c r="V746" s="1138"/>
      <c r="W746" s="1138"/>
    </row>
    <row r="747">
      <c r="A747" s="1168" t="s">
        <v>15</v>
      </c>
      <c r="B747" s="1261">
        <v>145800.0</v>
      </c>
      <c r="C747" s="1187">
        <v>1.7974236E7</v>
      </c>
      <c r="D747" s="32">
        <v>63067.0</v>
      </c>
      <c r="E747" s="1187">
        <f t="shared" si="80"/>
        <v>18292</v>
      </c>
      <c r="F747" s="1187">
        <v>81359.0</v>
      </c>
      <c r="G747" s="1147"/>
      <c r="H747" s="1138"/>
      <c r="I747" s="1138"/>
      <c r="J747" s="1138"/>
      <c r="K747" s="1138"/>
      <c r="L747" s="1138"/>
      <c r="M747" s="1138"/>
      <c r="N747" s="1138"/>
      <c r="O747" s="1138"/>
      <c r="P747" s="1138"/>
      <c r="Q747" s="1138"/>
      <c r="R747" s="1138"/>
      <c r="S747" s="1138"/>
      <c r="T747" s="1138"/>
      <c r="U747" s="1138"/>
      <c r="V747" s="1138"/>
      <c r="W747" s="1138"/>
    </row>
    <row r="748">
      <c r="A748" s="1168" t="s">
        <v>16</v>
      </c>
      <c r="B748" s="1261">
        <v>208395.0</v>
      </c>
      <c r="C748" s="1187">
        <v>1.529696212E7</v>
      </c>
      <c r="D748" s="32">
        <v>44000.0</v>
      </c>
      <c r="E748" s="1187">
        <f t="shared" si="80"/>
        <v>0</v>
      </c>
      <c r="F748" s="1302">
        <v>44000.0</v>
      </c>
      <c r="G748" s="1147"/>
      <c r="H748" s="1138"/>
      <c r="I748" s="1138"/>
      <c r="J748" s="1138"/>
      <c r="K748" s="1138"/>
      <c r="L748" s="1138"/>
      <c r="M748" s="1138"/>
      <c r="N748" s="1138"/>
      <c r="O748" s="1138"/>
      <c r="P748" s="1138"/>
      <c r="Q748" s="1138"/>
      <c r="R748" s="1138"/>
      <c r="S748" s="1138"/>
      <c r="T748" s="1138"/>
      <c r="U748" s="1138"/>
      <c r="V748" s="1138"/>
      <c r="W748" s="1138"/>
    </row>
    <row r="749">
      <c r="A749" s="1168" t="s">
        <v>17</v>
      </c>
      <c r="B749" s="1261">
        <v>1369024.27</v>
      </c>
      <c r="C749" s="32">
        <v>2.0930405414E8</v>
      </c>
      <c r="D749" s="430">
        <v>82800.0</v>
      </c>
      <c r="E749" s="1187">
        <f t="shared" si="80"/>
        <v>24541</v>
      </c>
      <c r="F749" s="679">
        <v>107341.0</v>
      </c>
      <c r="G749" s="1318"/>
      <c r="H749" s="1138"/>
      <c r="I749" s="1138"/>
      <c r="J749" s="1138"/>
      <c r="K749" s="1138"/>
      <c r="L749" s="1138"/>
      <c r="M749" s="1138"/>
      <c r="N749" s="1138"/>
      <c r="O749" s="1138"/>
      <c r="P749" s="1138"/>
      <c r="Q749" s="1138"/>
      <c r="R749" s="1138"/>
      <c r="S749" s="1138"/>
      <c r="T749" s="1138"/>
      <c r="U749" s="1138"/>
      <c r="V749" s="1138"/>
      <c r="W749" s="1138"/>
    </row>
    <row r="750">
      <c r="A750" s="1168" t="s">
        <v>18</v>
      </c>
      <c r="B750" s="1261">
        <v>1415106.6800000002</v>
      </c>
      <c r="C750" s="32">
        <v>9.737652658E7</v>
      </c>
      <c r="D750" s="32">
        <v>150900.0</v>
      </c>
      <c r="E750" s="1187">
        <f t="shared" si="80"/>
        <v>79643.8</v>
      </c>
      <c r="F750" s="1187">
        <v>230543.8</v>
      </c>
      <c r="G750" s="1147"/>
      <c r="H750" s="1138"/>
      <c r="I750" s="1138"/>
      <c r="J750" s="1138"/>
      <c r="K750" s="1138"/>
      <c r="L750" s="1138"/>
      <c r="M750" s="1138"/>
      <c r="N750" s="1138"/>
      <c r="O750" s="1138"/>
      <c r="P750" s="1138"/>
      <c r="Q750" s="1138"/>
      <c r="R750" s="1138"/>
      <c r="S750" s="1138"/>
      <c r="T750" s="1138"/>
      <c r="U750" s="1138"/>
      <c r="V750" s="1138"/>
      <c r="W750" s="1138"/>
    </row>
    <row r="751">
      <c r="A751" s="1168" t="s">
        <v>19</v>
      </c>
      <c r="B751" s="1261">
        <v>386473.0</v>
      </c>
      <c r="C751" s="32">
        <v>8721623.62</v>
      </c>
      <c r="D751" s="32">
        <v>0.0</v>
      </c>
      <c r="E751" s="1187">
        <f t="shared" si="80"/>
        <v>18679.85</v>
      </c>
      <c r="F751" s="1234">
        <v>18679.85</v>
      </c>
      <c r="G751" s="1147"/>
      <c r="H751" s="1138"/>
      <c r="I751" s="1138"/>
      <c r="J751" s="1138"/>
      <c r="K751" s="1138"/>
      <c r="L751" s="1138"/>
      <c r="M751" s="1138"/>
      <c r="N751" s="1138"/>
      <c r="O751" s="1138"/>
      <c r="P751" s="1138"/>
      <c r="Q751" s="1138"/>
      <c r="R751" s="1138"/>
      <c r="S751" s="1138"/>
      <c r="T751" s="1138"/>
      <c r="U751" s="1138"/>
      <c r="V751" s="1138"/>
      <c r="W751" s="1138"/>
    </row>
    <row r="752">
      <c r="A752" s="1168" t="s">
        <v>20</v>
      </c>
      <c r="B752" s="1261">
        <v>2476392.0</v>
      </c>
      <c r="C752" s="1322">
        <v>7.158729651E7</v>
      </c>
      <c r="D752" s="32">
        <v>2150072.0</v>
      </c>
      <c r="E752" s="1187">
        <f t="shared" si="80"/>
        <v>100985</v>
      </c>
      <c r="F752" s="1187">
        <v>2251057.0</v>
      </c>
      <c r="G752" s="1318"/>
      <c r="H752" s="1138"/>
      <c r="I752" s="1138"/>
      <c r="J752" s="1138"/>
      <c r="K752" s="1138"/>
      <c r="L752" s="1138"/>
      <c r="M752" s="1138"/>
      <c r="N752" s="1138"/>
      <c r="O752" s="1138"/>
      <c r="P752" s="1138"/>
      <c r="Q752" s="1138"/>
      <c r="R752" s="1138"/>
      <c r="S752" s="1138"/>
      <c r="T752" s="1138"/>
      <c r="U752" s="1138"/>
      <c r="V752" s="1138"/>
      <c r="W752" s="1138"/>
    </row>
    <row r="753">
      <c r="A753" s="1168" t="s">
        <v>21</v>
      </c>
      <c r="B753" s="1261">
        <v>128783.0</v>
      </c>
      <c r="C753" s="77">
        <v>2071620.41</v>
      </c>
      <c r="D753" s="77">
        <v>0.0</v>
      </c>
      <c r="E753" s="1187">
        <f t="shared" si="80"/>
        <v>0</v>
      </c>
      <c r="F753" s="1308">
        <v>0.0</v>
      </c>
      <c r="G753" s="1147"/>
      <c r="H753" s="1138"/>
      <c r="I753" s="1138"/>
      <c r="J753" s="1138"/>
      <c r="K753" s="1138"/>
      <c r="L753" s="1138"/>
      <c r="M753" s="1138"/>
      <c r="N753" s="1138"/>
      <c r="O753" s="1138"/>
      <c r="P753" s="1138"/>
      <c r="Q753" s="1138"/>
      <c r="R753" s="1138"/>
      <c r="S753" s="1138"/>
      <c r="T753" s="1138"/>
      <c r="U753" s="1138"/>
      <c r="V753" s="1138"/>
      <c r="W753" s="1138"/>
    </row>
    <row r="754">
      <c r="A754" s="1171" t="s">
        <v>22</v>
      </c>
      <c r="B754" s="1261">
        <v>364213.4</v>
      </c>
      <c r="C754" s="77">
        <v>946331.74</v>
      </c>
      <c r="D754" s="77">
        <v>21100.0</v>
      </c>
      <c r="E754" s="1187">
        <f t="shared" si="80"/>
        <v>0</v>
      </c>
      <c r="F754" s="1324">
        <v>21100.0</v>
      </c>
      <c r="G754" s="1147"/>
      <c r="H754" s="1138"/>
      <c r="I754" s="1138"/>
      <c r="J754" s="1138"/>
      <c r="K754" s="1138"/>
      <c r="L754" s="1138"/>
      <c r="M754" s="1138"/>
      <c r="N754" s="1138"/>
      <c r="O754" s="1138"/>
      <c r="P754" s="1138"/>
      <c r="Q754" s="1138"/>
      <c r="R754" s="1138"/>
      <c r="S754" s="1138"/>
      <c r="T754" s="1138"/>
      <c r="U754" s="1138"/>
      <c r="V754" s="1138"/>
      <c r="W754" s="1138"/>
    </row>
    <row r="755">
      <c r="A755" s="1309" t="s">
        <v>32</v>
      </c>
      <c r="B755" s="1316">
        <v>4150000.0</v>
      </c>
      <c r="C755" s="73"/>
      <c r="D755" s="73"/>
      <c r="E755" s="1187">
        <f t="shared" si="80"/>
        <v>0</v>
      </c>
      <c r="F755" s="1312"/>
      <c r="G755" s="1147"/>
      <c r="H755" s="1138"/>
      <c r="I755" s="1138"/>
      <c r="J755" s="1138"/>
      <c r="K755" s="1138"/>
      <c r="L755" s="1138"/>
      <c r="M755" s="1138"/>
      <c r="N755" s="1138"/>
      <c r="O755" s="1138"/>
      <c r="P755" s="1138"/>
      <c r="Q755" s="1138"/>
      <c r="R755" s="1138"/>
      <c r="S755" s="1138"/>
      <c r="T755" s="1138"/>
      <c r="U755" s="1138"/>
      <c r="V755" s="1138"/>
      <c r="W755" s="1138"/>
    </row>
    <row r="756">
      <c r="A756" s="1309" t="s">
        <v>31</v>
      </c>
      <c r="B756" s="1183">
        <v>1000000.0</v>
      </c>
      <c r="C756" s="73"/>
      <c r="D756" s="73"/>
      <c r="E756" s="1187">
        <f t="shared" si="80"/>
        <v>0</v>
      </c>
      <c r="F756" s="1312"/>
      <c r="G756" s="1147"/>
      <c r="H756" s="1138"/>
      <c r="I756" s="1138"/>
      <c r="J756" s="1138"/>
      <c r="K756" s="1138"/>
      <c r="L756" s="1138"/>
      <c r="M756" s="1138"/>
      <c r="N756" s="1138"/>
      <c r="O756" s="1138"/>
      <c r="P756" s="1138"/>
      <c r="Q756" s="1138"/>
      <c r="R756" s="1138"/>
      <c r="S756" s="1138"/>
      <c r="T756" s="1138"/>
      <c r="U756" s="1138"/>
      <c r="V756" s="1138"/>
      <c r="W756" s="1138"/>
    </row>
    <row r="757">
      <c r="A757" s="1314" t="s">
        <v>6967</v>
      </c>
      <c r="B757" s="1265">
        <f t="shared" ref="B757:C757" si="81">SUM(B742:B756)</f>
        <v>43917604.68</v>
      </c>
      <c r="C757" s="1195">
        <f t="shared" si="81"/>
        <v>2532126858</v>
      </c>
      <c r="D757" s="1195">
        <v>8551364.0</v>
      </c>
      <c r="E757" s="1265">
        <f t="shared" si="80"/>
        <v>1052969.2</v>
      </c>
      <c r="F757" s="1195">
        <v>9604333.2</v>
      </c>
      <c r="G757" s="1147"/>
      <c r="H757" s="1138"/>
      <c r="I757" s="1138"/>
      <c r="J757" s="1138"/>
      <c r="K757" s="1138"/>
      <c r="L757" s="1138"/>
      <c r="M757" s="1138"/>
      <c r="N757" s="1138"/>
      <c r="O757" s="1138"/>
      <c r="P757" s="1138"/>
      <c r="Q757" s="1138"/>
      <c r="R757" s="1138"/>
      <c r="S757" s="1138"/>
      <c r="T757" s="1138"/>
      <c r="U757" s="1138"/>
      <c r="V757" s="1138"/>
      <c r="W757" s="1138"/>
    </row>
    <row r="758">
      <c r="A758" s="1138"/>
      <c r="B758" s="1138"/>
      <c r="C758" s="1138"/>
      <c r="D758" s="1147"/>
      <c r="E758" s="1138"/>
      <c r="F758" s="1147"/>
      <c r="G758" s="1147"/>
      <c r="H758" s="1138"/>
      <c r="I758" s="1138"/>
      <c r="J758" s="1138"/>
      <c r="K758" s="1138"/>
      <c r="L758" s="1138"/>
      <c r="M758" s="1138"/>
      <c r="N758" s="1138"/>
      <c r="O758" s="1138"/>
      <c r="P758" s="1138"/>
      <c r="Q758" s="1138"/>
      <c r="R758" s="1138"/>
      <c r="S758" s="1138"/>
      <c r="T758" s="1138"/>
      <c r="U758" s="1138"/>
      <c r="V758" s="1138"/>
      <c r="W758" s="1138"/>
    </row>
    <row r="759">
      <c r="A759" s="1138"/>
      <c r="B759" s="1138"/>
      <c r="C759" s="1138"/>
      <c r="D759" s="1147"/>
      <c r="E759" s="1138"/>
      <c r="F759" s="1325">
        <v>9604333.2</v>
      </c>
      <c r="G759" s="1147"/>
      <c r="H759" s="1138"/>
      <c r="I759" s="1138"/>
      <c r="J759" s="1138"/>
      <c r="K759" s="1138"/>
      <c r="L759" s="1138"/>
      <c r="M759" s="1138"/>
      <c r="N759" s="1138"/>
      <c r="O759" s="1138"/>
      <c r="P759" s="1138"/>
      <c r="Q759" s="1138"/>
      <c r="R759" s="1138"/>
      <c r="S759" s="1138"/>
      <c r="T759" s="1138"/>
      <c r="U759" s="1138"/>
      <c r="V759" s="1138"/>
      <c r="W759" s="1138"/>
    </row>
    <row r="760">
      <c r="A760" s="1148" t="s">
        <v>6979</v>
      </c>
      <c r="B760" s="1138"/>
      <c r="C760" s="1138"/>
      <c r="D760" s="1285"/>
      <c r="E760" s="1138"/>
      <c r="F760" s="1147"/>
      <c r="G760" s="1147"/>
      <c r="H760" s="1138"/>
      <c r="I760" s="1138"/>
      <c r="J760" s="1138"/>
      <c r="K760" s="1138"/>
      <c r="L760" s="1138"/>
      <c r="M760" s="1138"/>
      <c r="N760" s="1138"/>
      <c r="O760" s="1138"/>
      <c r="P760" s="1138"/>
      <c r="Q760" s="1138"/>
      <c r="R760" s="1138"/>
      <c r="S760" s="1138"/>
      <c r="T760" s="1138"/>
      <c r="U760" s="1138"/>
      <c r="V760" s="1138"/>
      <c r="W760" s="1138"/>
    </row>
    <row r="761">
      <c r="A761" s="1180" t="s">
        <v>1</v>
      </c>
      <c r="B761" s="1295" t="s">
        <v>6936</v>
      </c>
      <c r="C761" s="1301" t="s">
        <v>6950</v>
      </c>
      <c r="D761" s="1286" t="s">
        <v>6938</v>
      </c>
      <c r="E761" s="1180" t="s">
        <v>6939</v>
      </c>
      <c r="F761" s="1179" t="s">
        <v>6940</v>
      </c>
      <c r="G761" s="1147"/>
      <c r="H761" s="1138"/>
      <c r="I761" s="1138"/>
      <c r="J761" s="1138"/>
      <c r="K761" s="1138"/>
      <c r="L761" s="1138"/>
      <c r="M761" s="1138"/>
      <c r="N761" s="1138"/>
      <c r="O761" s="1138"/>
      <c r="P761" s="1138"/>
      <c r="Q761" s="1138"/>
      <c r="R761" s="1138"/>
      <c r="S761" s="1138"/>
      <c r="T761" s="1138"/>
      <c r="U761" s="1138"/>
      <c r="V761" s="1138"/>
      <c r="W761" s="1138"/>
    </row>
    <row r="762">
      <c r="A762" s="1168" t="s">
        <v>10</v>
      </c>
      <c r="B762" s="1261">
        <v>7758698.75</v>
      </c>
      <c r="C762" s="32">
        <v>8.8697343277E8</v>
      </c>
      <c r="D762" s="8">
        <v>1920380.0</v>
      </c>
      <c r="E762" s="1187">
        <f t="shared" ref="E762:E776" si="82">F762-D762</f>
        <v>44149</v>
      </c>
      <c r="F762" s="1315">
        <v>1964529.0</v>
      </c>
      <c r="G762" s="1147"/>
      <c r="H762" s="1138"/>
      <c r="I762" s="1138"/>
      <c r="J762" s="1138"/>
      <c r="K762" s="1138"/>
      <c r="L762" s="1138"/>
      <c r="M762" s="1138"/>
      <c r="N762" s="1138"/>
      <c r="O762" s="1138"/>
      <c r="P762" s="1138"/>
      <c r="Q762" s="1138"/>
      <c r="R762" s="1138"/>
      <c r="S762" s="1138"/>
      <c r="T762" s="1138"/>
      <c r="U762" s="1138"/>
      <c r="V762" s="1138"/>
      <c r="W762" s="1138"/>
    </row>
    <row r="763">
      <c r="A763" s="1168" t="s">
        <v>24</v>
      </c>
      <c r="B763" s="1261">
        <v>1.153455064E7</v>
      </c>
      <c r="C763" s="8">
        <v>6.3978569846E8</v>
      </c>
      <c r="D763" s="32">
        <v>283602.0</v>
      </c>
      <c r="E763" s="1187">
        <f t="shared" si="82"/>
        <v>272386</v>
      </c>
      <c r="F763" s="1187">
        <v>555988.0</v>
      </c>
      <c r="G763" s="1147"/>
      <c r="H763" s="1138"/>
      <c r="I763" s="1138"/>
      <c r="J763" s="1326">
        <v>24540.0</v>
      </c>
      <c r="K763" s="1138"/>
      <c r="L763" s="1138"/>
      <c r="M763" s="1138"/>
      <c r="N763" s="1138"/>
      <c r="O763" s="1138"/>
      <c r="P763" s="1138"/>
      <c r="Q763" s="1138"/>
      <c r="R763" s="1138"/>
      <c r="S763" s="1138"/>
      <c r="T763" s="1138"/>
      <c r="U763" s="1138"/>
      <c r="V763" s="1138"/>
      <c r="W763" s="1138"/>
    </row>
    <row r="764">
      <c r="A764" s="1168" t="s">
        <v>12</v>
      </c>
      <c r="B764" s="1261">
        <v>5181013.58</v>
      </c>
      <c r="C764" s="32">
        <v>2.8630381891E8</v>
      </c>
      <c r="D764" s="1237">
        <f>D762+D763</f>
        <v>2203982</v>
      </c>
      <c r="E764" s="1187">
        <f t="shared" si="82"/>
        <v>909204</v>
      </c>
      <c r="F764" s="1187">
        <v>3113186.0</v>
      </c>
      <c r="G764" s="1147"/>
      <c r="H764" s="1138"/>
      <c r="I764" s="1138"/>
      <c r="J764" s="1138"/>
      <c r="K764" s="1138"/>
      <c r="L764" s="1138"/>
      <c r="M764" s="1138"/>
      <c r="N764" s="1138"/>
      <c r="O764" s="1138"/>
      <c r="P764" s="1138"/>
      <c r="Q764" s="1138"/>
      <c r="R764" s="1138"/>
      <c r="S764" s="1138"/>
      <c r="T764" s="1138"/>
      <c r="U764" s="1138"/>
      <c r="V764" s="1138"/>
      <c r="W764" s="1138"/>
    </row>
    <row r="765">
      <c r="A765" s="1168" t="s">
        <v>13</v>
      </c>
      <c r="B765" s="1261">
        <v>4512822.8</v>
      </c>
      <c r="C765" s="32">
        <v>1.2246700089E8</v>
      </c>
      <c r="D765" s="32">
        <v>93164.0</v>
      </c>
      <c r="E765" s="1187">
        <f t="shared" si="82"/>
        <v>342892</v>
      </c>
      <c r="F765" s="32">
        <v>436056.0</v>
      </c>
      <c r="G765" s="1147"/>
      <c r="H765" s="1327">
        <v>1202496.0</v>
      </c>
      <c r="I765" s="1138"/>
      <c r="J765" s="1138"/>
      <c r="K765" s="1138"/>
      <c r="L765" s="1138"/>
      <c r="M765" s="1138"/>
      <c r="N765" s="1138"/>
      <c r="O765" s="1138"/>
      <c r="P765" s="1138"/>
      <c r="Q765" s="1138"/>
      <c r="R765" s="1138"/>
      <c r="S765" s="1138"/>
      <c r="T765" s="1138"/>
      <c r="U765" s="1138"/>
      <c r="V765" s="1138"/>
      <c r="W765" s="1138"/>
    </row>
    <row r="766">
      <c r="A766" s="1168" t="s">
        <v>14</v>
      </c>
      <c r="B766" s="1261">
        <v>2153876.41</v>
      </c>
      <c r="C766" s="1183">
        <v>1.7331825549E8</v>
      </c>
      <c r="D766" s="8">
        <v>301700.0</v>
      </c>
      <c r="E766" s="1187">
        <f t="shared" si="82"/>
        <v>119132</v>
      </c>
      <c r="F766" s="1187">
        <v>420832.0</v>
      </c>
      <c r="G766" s="1147"/>
      <c r="H766" s="8">
        <v>2070000.0</v>
      </c>
      <c r="I766" s="1138"/>
      <c r="J766" s="1138"/>
      <c r="K766" s="1138"/>
      <c r="L766" s="1138"/>
      <c r="M766" s="1138"/>
      <c r="N766" s="1138"/>
      <c r="O766" s="1138"/>
      <c r="P766" s="1138"/>
      <c r="Q766" s="1138"/>
      <c r="R766" s="1138"/>
      <c r="S766" s="1138"/>
      <c r="T766" s="1138"/>
      <c r="U766" s="1138"/>
      <c r="V766" s="1138"/>
      <c r="W766" s="1138"/>
    </row>
    <row r="767">
      <c r="A767" s="1168" t="s">
        <v>15</v>
      </c>
      <c r="B767" s="1261">
        <v>118400.0</v>
      </c>
      <c r="C767" s="1187">
        <v>1.7974236E7</v>
      </c>
      <c r="D767" s="32">
        <v>27000.0</v>
      </c>
      <c r="E767" s="1187">
        <f t="shared" si="82"/>
        <v>0</v>
      </c>
      <c r="F767" s="1187">
        <v>27000.0</v>
      </c>
      <c r="G767" s="1147"/>
      <c r="H767" s="1237">
        <f>H765+H766</f>
        <v>3272496</v>
      </c>
      <c r="I767" s="1138"/>
      <c r="J767" s="1138"/>
      <c r="K767" s="1138"/>
      <c r="L767" s="1138"/>
      <c r="M767" s="1138"/>
      <c r="N767" s="1138"/>
      <c r="O767" s="1138"/>
      <c r="P767" s="1138"/>
      <c r="Q767" s="1138"/>
      <c r="R767" s="1138"/>
      <c r="S767" s="1138"/>
      <c r="T767" s="1138"/>
      <c r="U767" s="1138"/>
      <c r="V767" s="1138"/>
      <c r="W767" s="1138"/>
    </row>
    <row r="768">
      <c r="A768" s="1168" t="s">
        <v>16</v>
      </c>
      <c r="B768" s="1261">
        <v>356048.8</v>
      </c>
      <c r="C768" s="1187">
        <v>1.529696212E7</v>
      </c>
      <c r="D768" s="32">
        <v>157540.0</v>
      </c>
      <c r="E768" s="1187">
        <f t="shared" si="82"/>
        <v>0</v>
      </c>
      <c r="F768" s="1302">
        <v>157540.0</v>
      </c>
      <c r="G768" s="1147"/>
      <c r="H768" s="1138"/>
      <c r="I768" s="1138"/>
      <c r="J768" s="1138"/>
      <c r="K768" s="1138"/>
      <c r="L768" s="1138"/>
      <c r="M768" s="1138"/>
      <c r="N768" s="1138"/>
      <c r="O768" s="1138"/>
      <c r="P768" s="1138"/>
      <c r="Q768" s="1138"/>
      <c r="R768" s="1138"/>
      <c r="S768" s="1138"/>
      <c r="T768" s="1138"/>
      <c r="U768" s="1138"/>
      <c r="V768" s="1138"/>
      <c r="W768" s="1138"/>
    </row>
    <row r="769">
      <c r="A769" s="1168" t="s">
        <v>17</v>
      </c>
      <c r="B769" s="1261">
        <v>1405256.7200000002</v>
      </c>
      <c r="C769" s="32">
        <v>2.0930405414E8</v>
      </c>
      <c r="D769" s="8">
        <v>41467.0</v>
      </c>
      <c r="E769" s="1187">
        <f t="shared" si="82"/>
        <v>49894</v>
      </c>
      <c r="F769" s="679">
        <v>91361.0</v>
      </c>
      <c r="G769" s="1147"/>
      <c r="H769" s="1138"/>
      <c r="I769" s="1138"/>
      <c r="J769" s="1138"/>
      <c r="K769" s="1138"/>
      <c r="L769" s="1138"/>
      <c r="M769" s="1138"/>
      <c r="N769" s="1138"/>
      <c r="O769" s="1138"/>
      <c r="P769" s="1138"/>
      <c r="Q769" s="1138"/>
      <c r="R769" s="1138"/>
      <c r="S769" s="1138"/>
      <c r="T769" s="1138"/>
      <c r="U769" s="1138"/>
      <c r="V769" s="1138"/>
      <c r="W769" s="1138"/>
    </row>
    <row r="770">
      <c r="A770" s="1168" t="s">
        <v>18</v>
      </c>
      <c r="B770" s="1261">
        <v>1316401.6800000002</v>
      </c>
      <c r="C770" s="32">
        <v>9.737652658E7</v>
      </c>
      <c r="D770" s="32">
        <v>0.0</v>
      </c>
      <c r="E770" s="1187">
        <f t="shared" si="82"/>
        <v>146168.8</v>
      </c>
      <c r="F770" s="1187">
        <v>146168.8</v>
      </c>
      <c r="G770" s="1147"/>
      <c r="H770" s="1138"/>
      <c r="I770" s="1138"/>
      <c r="J770" s="1138"/>
      <c r="K770" s="1138"/>
      <c r="L770" s="1138"/>
      <c r="M770" s="1138"/>
      <c r="N770" s="1138"/>
      <c r="O770" s="1138"/>
      <c r="P770" s="1138"/>
      <c r="Q770" s="1138"/>
      <c r="R770" s="1138"/>
      <c r="S770" s="1138"/>
      <c r="T770" s="1138"/>
      <c r="U770" s="1138"/>
      <c r="V770" s="1138"/>
      <c r="W770" s="1138"/>
    </row>
    <row r="771">
      <c r="A771" s="1168" t="s">
        <v>19</v>
      </c>
      <c r="B771" s="1261">
        <v>396473.0</v>
      </c>
      <c r="C771" s="32">
        <v>8721623.62</v>
      </c>
      <c r="D771" s="32">
        <v>0.0</v>
      </c>
      <c r="E771" s="1187">
        <f t="shared" si="82"/>
        <v>24540</v>
      </c>
      <c r="F771" s="1234">
        <v>24540.0</v>
      </c>
      <c r="G771" s="1147"/>
      <c r="H771" s="1303">
        <v>24540.0</v>
      </c>
      <c r="I771" s="1138"/>
      <c r="J771" s="1138"/>
      <c r="K771" s="1138"/>
      <c r="L771" s="1138"/>
      <c r="M771" s="1138"/>
      <c r="N771" s="1138"/>
      <c r="O771" s="1138"/>
      <c r="P771" s="1138"/>
      <c r="Q771" s="1138"/>
      <c r="R771" s="1138"/>
      <c r="S771" s="1138"/>
      <c r="T771" s="1138"/>
      <c r="U771" s="1138"/>
      <c r="V771" s="1138"/>
      <c r="W771" s="1138"/>
    </row>
    <row r="772">
      <c r="A772" s="1168" t="s">
        <v>20</v>
      </c>
      <c r="B772" s="1261">
        <v>1426074.79</v>
      </c>
      <c r="C772" s="1322">
        <v>7.158729651E7</v>
      </c>
      <c r="D772" s="8">
        <v>236917.0</v>
      </c>
      <c r="E772" s="1187">
        <f t="shared" si="82"/>
        <v>397475</v>
      </c>
      <c r="F772" s="1187">
        <v>634392.0</v>
      </c>
      <c r="G772" s="1147"/>
      <c r="H772" s="1138"/>
      <c r="I772" s="1138"/>
      <c r="J772" s="1138"/>
      <c r="K772" s="1138"/>
      <c r="L772" s="1138"/>
      <c r="M772" s="1138"/>
      <c r="N772" s="1138"/>
      <c r="O772" s="1138"/>
      <c r="P772" s="1138"/>
      <c r="Q772" s="1138"/>
      <c r="R772" s="1138"/>
      <c r="S772" s="1138"/>
      <c r="T772" s="1138"/>
      <c r="U772" s="1138"/>
      <c r="V772" s="1138"/>
      <c r="W772" s="1138"/>
    </row>
    <row r="773">
      <c r="A773" s="1168" t="s">
        <v>21</v>
      </c>
      <c r="B773" s="1261">
        <v>79309.0</v>
      </c>
      <c r="C773" s="77">
        <v>2071620.41</v>
      </c>
      <c r="D773" s="77">
        <v>0.0</v>
      </c>
      <c r="E773" s="1187">
        <f t="shared" si="82"/>
        <v>0</v>
      </c>
      <c r="F773" s="1308">
        <v>0.0</v>
      </c>
      <c r="G773" s="1147"/>
      <c r="H773" s="1138"/>
      <c r="I773" s="1138"/>
      <c r="J773" s="1138"/>
      <c r="K773" s="1138"/>
      <c r="L773" s="1138"/>
      <c r="M773" s="1138"/>
      <c r="N773" s="1138"/>
      <c r="O773" s="1138"/>
      <c r="P773" s="1138"/>
      <c r="Q773" s="1138"/>
      <c r="R773" s="1138"/>
      <c r="S773" s="1138"/>
      <c r="T773" s="1138"/>
      <c r="U773" s="1138"/>
      <c r="V773" s="1138"/>
      <c r="W773" s="1138"/>
    </row>
    <row r="774">
      <c r="A774" s="1171" t="s">
        <v>22</v>
      </c>
      <c r="B774" s="1261">
        <v>805784.47</v>
      </c>
      <c r="C774" s="77">
        <v>946331.74</v>
      </c>
      <c r="D774" s="77">
        <v>0.0</v>
      </c>
      <c r="E774" s="1187">
        <f t="shared" si="82"/>
        <v>64360</v>
      </c>
      <c r="F774" s="1324">
        <v>64360.0</v>
      </c>
      <c r="G774" s="1147"/>
      <c r="H774" s="1138"/>
      <c r="I774" s="1138"/>
      <c r="J774" s="1138"/>
      <c r="K774" s="1138"/>
      <c r="L774" s="1138"/>
      <c r="M774" s="1138"/>
      <c r="N774" s="1138"/>
      <c r="O774" s="1138"/>
      <c r="P774" s="1138"/>
      <c r="Q774" s="1138"/>
      <c r="R774" s="1138"/>
      <c r="S774" s="1138"/>
      <c r="T774" s="1138"/>
      <c r="U774" s="1138"/>
      <c r="V774" s="1138"/>
      <c r="W774" s="1138"/>
    </row>
    <row r="775">
      <c r="A775" s="1309" t="s">
        <v>32</v>
      </c>
      <c r="B775" s="1316">
        <v>4150000.0</v>
      </c>
      <c r="C775" s="73"/>
      <c r="D775" s="73"/>
      <c r="E775" s="1187">
        <f t="shared" si="82"/>
        <v>0</v>
      </c>
      <c r="F775" s="1312"/>
      <c r="G775" s="1147"/>
      <c r="H775" s="1138"/>
      <c r="I775" s="1138"/>
      <c r="J775" s="1138"/>
      <c r="K775" s="1138"/>
      <c r="L775" s="1138"/>
      <c r="M775" s="1138"/>
      <c r="N775" s="1138"/>
      <c r="O775" s="1138"/>
      <c r="P775" s="1138"/>
      <c r="Q775" s="1138"/>
      <c r="R775" s="1138"/>
      <c r="S775" s="1138"/>
      <c r="T775" s="1138"/>
      <c r="U775" s="1138"/>
      <c r="V775" s="1138"/>
      <c r="W775" s="1138"/>
    </row>
    <row r="776">
      <c r="A776" s="1309" t="s">
        <v>31</v>
      </c>
      <c r="B776" s="1183">
        <v>1000000.0</v>
      </c>
      <c r="C776" s="73"/>
      <c r="D776" s="73"/>
      <c r="E776" s="1187">
        <f t="shared" si="82"/>
        <v>0</v>
      </c>
      <c r="F776" s="1312"/>
      <c r="G776" s="1147"/>
      <c r="H776" s="1138"/>
      <c r="I776" s="1138"/>
      <c r="J776" s="1138"/>
      <c r="K776" s="1138"/>
      <c r="L776" s="1138"/>
      <c r="M776" s="1138"/>
      <c r="N776" s="1138"/>
      <c r="O776" s="1138"/>
      <c r="P776" s="1138"/>
      <c r="Q776" s="1138"/>
      <c r="R776" s="1138"/>
      <c r="S776" s="1138"/>
      <c r="T776" s="1138"/>
      <c r="U776" s="1138"/>
      <c r="V776" s="1138"/>
      <c r="W776" s="1138"/>
    </row>
    <row r="777">
      <c r="A777" s="1314" t="s">
        <v>6967</v>
      </c>
      <c r="B777" s="1195">
        <v>4.219471064E7</v>
      </c>
      <c r="C777" s="1195">
        <f t="shared" ref="C777:F777" si="83">C762+C763+C764+C765+C766+C767+C768+C769+C770+C771+C772+C773+C774+C775+C776</f>
        <v>2532126858</v>
      </c>
      <c r="D777" s="1195">
        <f t="shared" si="83"/>
        <v>5265752</v>
      </c>
      <c r="E777" s="1195">
        <f t="shared" si="83"/>
        <v>2370200.8</v>
      </c>
      <c r="F777" s="1195">
        <f t="shared" si="83"/>
        <v>7635952.8</v>
      </c>
      <c r="G777" s="1147"/>
      <c r="H777" s="1138"/>
      <c r="I777" s="1138"/>
      <c r="J777" s="1138"/>
      <c r="K777" s="1138"/>
      <c r="L777" s="1138"/>
      <c r="M777" s="1138"/>
      <c r="N777" s="1138"/>
      <c r="O777" s="1138"/>
      <c r="P777" s="1138"/>
      <c r="Q777" s="1138"/>
      <c r="R777" s="1138"/>
      <c r="S777" s="1138"/>
      <c r="T777" s="1138"/>
      <c r="U777" s="1138"/>
      <c r="V777" s="1138"/>
      <c r="W777" s="1138"/>
    </row>
    <row r="778">
      <c r="A778" s="1138"/>
      <c r="B778" s="1138"/>
      <c r="C778" s="1138"/>
      <c r="D778" s="1147"/>
      <c r="E778" s="1138"/>
      <c r="F778" s="1147"/>
      <c r="G778" s="1147"/>
      <c r="H778" s="1138"/>
      <c r="I778" s="1138"/>
      <c r="J778" s="1138"/>
      <c r="K778" s="1138"/>
      <c r="L778" s="1138"/>
      <c r="M778" s="1138"/>
      <c r="N778" s="1138"/>
      <c r="O778" s="1138"/>
      <c r="P778" s="1138"/>
      <c r="Q778" s="1138"/>
      <c r="R778" s="1138"/>
      <c r="S778" s="1138"/>
      <c r="T778" s="1138"/>
      <c r="U778" s="1138"/>
      <c r="V778" s="1138"/>
      <c r="W778" s="1138"/>
    </row>
    <row r="779">
      <c r="A779" s="1138"/>
      <c r="B779" s="1138"/>
      <c r="C779" s="1138"/>
      <c r="D779" s="1147"/>
      <c r="E779" s="1138"/>
      <c r="F779" s="1147"/>
      <c r="G779" s="1147"/>
      <c r="H779" s="1138"/>
      <c r="I779" s="1138"/>
      <c r="J779" s="1138"/>
      <c r="K779" s="1138"/>
      <c r="L779" s="1138"/>
      <c r="M779" s="1138"/>
      <c r="N779" s="1138"/>
      <c r="O779" s="1138"/>
      <c r="P779" s="1138"/>
      <c r="Q779" s="1138"/>
      <c r="R779" s="1138"/>
      <c r="S779" s="1138"/>
      <c r="T779" s="1138"/>
      <c r="U779" s="1138"/>
      <c r="V779" s="1138"/>
      <c r="W779" s="1138"/>
    </row>
    <row r="780">
      <c r="A780" s="1138"/>
      <c r="B780" s="1138"/>
      <c r="C780" s="1138"/>
      <c r="D780" s="1147"/>
      <c r="E780" s="1138"/>
      <c r="F780" s="1147"/>
      <c r="G780" s="1147"/>
      <c r="H780" s="1138"/>
      <c r="I780" s="1138"/>
      <c r="J780" s="1138"/>
      <c r="K780" s="1138"/>
      <c r="L780" s="1138"/>
      <c r="M780" s="1138"/>
      <c r="N780" s="1138"/>
      <c r="O780" s="1138"/>
      <c r="P780" s="1138"/>
      <c r="Q780" s="1138"/>
      <c r="R780" s="1138"/>
      <c r="S780" s="1138"/>
      <c r="T780" s="1138"/>
      <c r="U780" s="1138"/>
      <c r="V780" s="1138"/>
      <c r="W780" s="1138"/>
    </row>
    <row r="781">
      <c r="A781" s="1148" t="s">
        <v>6980</v>
      </c>
      <c r="B781" s="1138"/>
      <c r="C781" s="1138"/>
      <c r="D781" s="1285"/>
      <c r="E781" s="1138"/>
      <c r="F781" s="1147"/>
      <c r="G781" s="1147"/>
      <c r="H781" s="1138"/>
      <c r="I781" s="1138"/>
      <c r="J781" s="1138"/>
      <c r="K781" s="1138"/>
      <c r="L781" s="1138"/>
      <c r="M781" s="1138"/>
      <c r="N781" s="1138"/>
      <c r="O781" s="1138"/>
      <c r="P781" s="1138"/>
      <c r="Q781" s="1138"/>
      <c r="R781" s="1138"/>
      <c r="S781" s="1138"/>
      <c r="T781" s="1138"/>
      <c r="U781" s="1138"/>
      <c r="V781" s="1138"/>
      <c r="W781" s="1138"/>
    </row>
    <row r="782">
      <c r="A782" s="1180" t="s">
        <v>1</v>
      </c>
      <c r="B782" s="1295" t="s">
        <v>6936</v>
      </c>
      <c r="C782" s="1301" t="s">
        <v>6950</v>
      </c>
      <c r="D782" s="1286" t="s">
        <v>6938</v>
      </c>
      <c r="E782" s="1180" t="s">
        <v>6939</v>
      </c>
      <c r="F782" s="1179" t="s">
        <v>6940</v>
      </c>
      <c r="G782" s="1147"/>
      <c r="H782" s="1138"/>
      <c r="I782" s="1138"/>
      <c r="J782" s="1138"/>
      <c r="K782" s="1138"/>
      <c r="L782" s="1138"/>
      <c r="M782" s="1138"/>
      <c r="N782" s="1138"/>
      <c r="O782" s="1138"/>
      <c r="P782" s="1138"/>
      <c r="Q782" s="1138"/>
      <c r="R782" s="1138"/>
      <c r="S782" s="1138"/>
      <c r="T782" s="1138"/>
      <c r="U782" s="1138"/>
      <c r="V782" s="1138"/>
      <c r="W782" s="1138"/>
    </row>
    <row r="783">
      <c r="A783" s="1168" t="s">
        <v>10</v>
      </c>
      <c r="B783" s="1261">
        <v>5991440.430000001</v>
      </c>
      <c r="C783" s="32">
        <v>8.6746022399E8</v>
      </c>
      <c r="D783" s="32">
        <v>2075000.0</v>
      </c>
      <c r="E783" s="1187">
        <f t="shared" ref="E783:E785" si="84">F783-D783</f>
        <v>294916</v>
      </c>
      <c r="F783" s="1234">
        <v>2369916.0</v>
      </c>
      <c r="G783" s="1303">
        <v>2369916.0</v>
      </c>
      <c r="H783" s="1138"/>
      <c r="I783" s="1138"/>
      <c r="J783" s="1138"/>
      <c r="K783" s="1138"/>
      <c r="L783" s="1138"/>
      <c r="M783" s="1138"/>
      <c r="N783" s="1138"/>
      <c r="O783" s="1138"/>
      <c r="P783" s="1138"/>
      <c r="Q783" s="1138"/>
      <c r="R783" s="1138"/>
      <c r="S783" s="1138"/>
      <c r="T783" s="1138"/>
      <c r="U783" s="1138"/>
      <c r="V783" s="1138"/>
      <c r="W783" s="1138"/>
    </row>
    <row r="784">
      <c r="A784" s="1168" t="s">
        <v>24</v>
      </c>
      <c r="B784" s="1261">
        <v>1.113801396E7</v>
      </c>
      <c r="C784" s="32">
        <v>6.42944209E8</v>
      </c>
      <c r="D784" s="1328">
        <v>53496.0</v>
      </c>
      <c r="E784" s="1187">
        <f t="shared" si="84"/>
        <v>1619679</v>
      </c>
      <c r="F784" s="1329">
        <v>1673175.0</v>
      </c>
      <c r="G784" s="1303">
        <v>1673175.0</v>
      </c>
      <c r="H784" s="1138"/>
      <c r="I784" s="1138"/>
      <c r="J784" s="1138"/>
      <c r="K784" s="1138"/>
      <c r="L784" s="1138"/>
      <c r="M784" s="1138"/>
      <c r="N784" s="1138"/>
      <c r="O784" s="1138"/>
      <c r="P784" s="1138"/>
      <c r="Q784" s="1138"/>
      <c r="R784" s="1138"/>
      <c r="S784" s="1138"/>
      <c r="T784" s="1138"/>
      <c r="U784" s="1138"/>
      <c r="V784" s="1138"/>
      <c r="W784" s="1138"/>
    </row>
    <row r="785">
      <c r="A785" s="1168" t="s">
        <v>12</v>
      </c>
      <c r="B785" s="1261">
        <v>3750467.2399999998</v>
      </c>
      <c r="C785" s="32">
        <v>2.6866571061E8</v>
      </c>
      <c r="D785" s="1202">
        <v>728163.0</v>
      </c>
      <c r="E785" s="1187">
        <f t="shared" si="84"/>
        <v>226093</v>
      </c>
      <c r="F785" s="1187">
        <v>954256.0</v>
      </c>
      <c r="G785" s="1303">
        <v>954256.0</v>
      </c>
      <c r="H785" s="1138"/>
      <c r="I785" s="1138"/>
      <c r="J785" s="1138"/>
      <c r="K785" s="1138"/>
      <c r="L785" s="1138"/>
      <c r="M785" s="1138"/>
      <c r="N785" s="1138"/>
      <c r="O785" s="1138"/>
      <c r="P785" s="1138"/>
      <c r="Q785" s="1138"/>
      <c r="R785" s="1138"/>
      <c r="S785" s="1138"/>
      <c r="T785" s="1138"/>
      <c r="U785" s="1138"/>
      <c r="V785" s="1138"/>
      <c r="W785" s="1138"/>
    </row>
    <row r="786">
      <c r="A786" s="1168" t="s">
        <v>13</v>
      </c>
      <c r="B786" s="1261">
        <v>7451484.670000001</v>
      </c>
      <c r="C786" s="32" t="s">
        <v>6981</v>
      </c>
      <c r="D786" s="32">
        <f>SUM(KITENGELA!G1251:G1270)</f>
        <v>660000</v>
      </c>
      <c r="E786" s="1187">
        <v>0.0</v>
      </c>
      <c r="F786" s="32">
        <v>660000.0</v>
      </c>
      <c r="G786" s="1147"/>
      <c r="H786" s="1138"/>
      <c r="I786" s="1138"/>
      <c r="J786" s="1138"/>
      <c r="K786" s="1138"/>
      <c r="L786" s="1138"/>
      <c r="M786" s="1138"/>
      <c r="N786" s="1138"/>
      <c r="O786" s="1138"/>
      <c r="P786" s="1138"/>
      <c r="Q786" s="1138"/>
      <c r="R786" s="1138"/>
      <c r="S786" s="1138"/>
      <c r="T786" s="1138"/>
      <c r="U786" s="1138"/>
      <c r="V786" s="1138"/>
      <c r="W786" s="1138"/>
    </row>
    <row r="787">
      <c r="A787" s="1168" t="s">
        <v>14</v>
      </c>
      <c r="B787" s="1261">
        <v>1499704.0</v>
      </c>
      <c r="C787" s="1183">
        <v>1.7331825549E8</v>
      </c>
      <c r="D787" s="32">
        <v>6000.0</v>
      </c>
      <c r="E787" s="1187">
        <f>F787-D787</f>
        <v>0</v>
      </c>
      <c r="F787" s="1187">
        <v>6000.0</v>
      </c>
      <c r="G787" s="1147"/>
      <c r="H787" s="1138"/>
      <c r="I787" s="1138"/>
      <c r="J787" s="1138"/>
      <c r="K787" s="1138"/>
      <c r="L787" s="1138"/>
      <c r="M787" s="1138"/>
      <c r="N787" s="1138"/>
      <c r="O787" s="1138"/>
      <c r="P787" s="1138"/>
      <c r="Q787" s="1138"/>
      <c r="R787" s="1138"/>
      <c r="S787" s="1138"/>
      <c r="T787" s="1138"/>
      <c r="U787" s="1138"/>
      <c r="V787" s="1138"/>
      <c r="W787" s="1138"/>
    </row>
    <row r="788">
      <c r="A788" s="1168" t="s">
        <v>15</v>
      </c>
      <c r="B788" s="1261">
        <v>81000.0</v>
      </c>
      <c r="C788" s="1187">
        <v>1.7974236E7</v>
      </c>
      <c r="D788" s="8">
        <v>18500.0</v>
      </c>
      <c r="E788" s="1187">
        <v>6000.0</v>
      </c>
      <c r="F788" s="1187">
        <v>24500.0</v>
      </c>
      <c r="G788" s="1147"/>
      <c r="H788" s="1138"/>
      <c r="I788" s="1138"/>
      <c r="J788" s="1138"/>
      <c r="K788" s="1138"/>
      <c r="L788" s="1138"/>
      <c r="M788" s="1138"/>
      <c r="N788" s="1138"/>
      <c r="O788" s="1138"/>
      <c r="P788" s="1138"/>
      <c r="Q788" s="1138"/>
      <c r="R788" s="1138"/>
      <c r="S788" s="1138"/>
      <c r="T788" s="1138"/>
      <c r="U788" s="1138"/>
      <c r="V788" s="1138"/>
      <c r="W788" s="1138"/>
    </row>
    <row r="789">
      <c r="A789" s="1168" t="s">
        <v>16</v>
      </c>
      <c r="B789" s="1261">
        <v>287000.0</v>
      </c>
      <c r="C789" s="1187">
        <v>1.529696212E7</v>
      </c>
      <c r="D789" s="32">
        <v>0.0</v>
      </c>
      <c r="E789" s="1187">
        <v>0.0</v>
      </c>
      <c r="F789" s="1302">
        <v>0.0</v>
      </c>
      <c r="G789" s="1147"/>
      <c r="H789" s="1138"/>
      <c r="I789" s="1138"/>
      <c r="J789" s="1138"/>
      <c r="K789" s="1138"/>
      <c r="L789" s="1138"/>
      <c r="M789" s="1138"/>
      <c r="N789" s="1138"/>
      <c r="O789" s="1138"/>
      <c r="P789" s="1138"/>
      <c r="Q789" s="1138"/>
      <c r="R789" s="1138"/>
      <c r="S789" s="1138"/>
      <c r="T789" s="1138"/>
      <c r="U789" s="1138"/>
      <c r="V789" s="1138"/>
      <c r="W789" s="1138"/>
    </row>
    <row r="790">
      <c r="A790" s="1168" t="s">
        <v>17</v>
      </c>
      <c r="B790" s="1261">
        <v>1858859.4800000002</v>
      </c>
      <c r="C790" s="32">
        <v>2.1062700025E8</v>
      </c>
      <c r="D790" s="32">
        <v>199542.0</v>
      </c>
      <c r="E790" s="1187">
        <f>F790-D790</f>
        <v>2750</v>
      </c>
      <c r="F790" s="679">
        <v>202292.0</v>
      </c>
      <c r="G790" s="1147"/>
      <c r="H790" s="1138"/>
      <c r="I790" s="1138"/>
      <c r="J790" s="1138"/>
      <c r="K790" s="1138"/>
      <c r="L790" s="1138"/>
      <c r="M790" s="1138"/>
      <c r="N790" s="1138"/>
      <c r="O790" s="1138"/>
      <c r="P790" s="1138"/>
      <c r="Q790" s="1138"/>
      <c r="R790" s="1138"/>
      <c r="S790" s="1138"/>
      <c r="T790" s="1138"/>
      <c r="U790" s="1138"/>
      <c r="V790" s="1138"/>
      <c r="W790" s="1138"/>
    </row>
    <row r="791">
      <c r="A791" s="1168" t="s">
        <v>18</v>
      </c>
      <c r="B791" s="1261">
        <v>1485515.6</v>
      </c>
      <c r="C791" s="32">
        <v>9.779996918E7</v>
      </c>
      <c r="D791" s="32">
        <v>186300.0</v>
      </c>
      <c r="E791" s="1187">
        <v>0.0</v>
      </c>
      <c r="F791" s="1187">
        <f>D791+E791</f>
        <v>186300</v>
      </c>
      <c r="G791" s="1147"/>
      <c r="H791" s="1138"/>
      <c r="I791" s="1138"/>
      <c r="J791" s="1138"/>
      <c r="K791" s="1138"/>
      <c r="L791" s="1138"/>
      <c r="M791" s="1138"/>
      <c r="N791" s="1138"/>
      <c r="O791" s="1138"/>
      <c r="P791" s="1138"/>
      <c r="Q791" s="1138"/>
      <c r="R791" s="1138"/>
      <c r="S791" s="1138"/>
      <c r="T791" s="1138"/>
      <c r="U791" s="1138"/>
      <c r="V791" s="1138"/>
      <c r="W791" s="1138"/>
    </row>
    <row r="792">
      <c r="A792" s="1168" t="s">
        <v>19</v>
      </c>
      <c r="B792" s="1261">
        <v>539556.0</v>
      </c>
      <c r="C792" s="32">
        <v>8825201.58</v>
      </c>
      <c r="D792" s="32">
        <v>0.0</v>
      </c>
      <c r="E792" s="1187">
        <v>0.0</v>
      </c>
      <c r="F792" s="1234">
        <v>0.0</v>
      </c>
      <c r="G792" s="1147"/>
      <c r="H792" s="1138"/>
      <c r="I792" s="1138"/>
      <c r="J792" s="1138"/>
      <c r="K792" s="1138"/>
      <c r="L792" s="1138"/>
      <c r="M792" s="1138"/>
      <c r="N792" s="1138"/>
      <c r="O792" s="1138"/>
      <c r="P792" s="1138"/>
      <c r="Q792" s="1138"/>
      <c r="R792" s="1138"/>
      <c r="S792" s="1138"/>
      <c r="T792" s="1138"/>
      <c r="U792" s="1138"/>
      <c r="V792" s="1138"/>
      <c r="W792" s="1138"/>
    </row>
    <row r="793">
      <c r="A793" s="1168" t="s">
        <v>20</v>
      </c>
      <c r="B793" s="1261">
        <v>1092582.0</v>
      </c>
      <c r="C793" s="1322">
        <v>7.158729651E7</v>
      </c>
      <c r="D793" s="32">
        <v>698992.0</v>
      </c>
      <c r="E793" s="1187">
        <f>F793-D793</f>
        <v>2559756</v>
      </c>
      <c r="F793" s="1187">
        <v>3258748.0</v>
      </c>
      <c r="G793" s="1303">
        <v>3258748.0</v>
      </c>
      <c r="H793" s="1138"/>
      <c r="I793" s="1138"/>
      <c r="J793" s="1138"/>
      <c r="K793" s="1138"/>
      <c r="L793" s="1138"/>
      <c r="M793" s="1138"/>
      <c r="N793" s="1138"/>
      <c r="O793" s="1138"/>
      <c r="P793" s="1138"/>
      <c r="Q793" s="1138"/>
      <c r="R793" s="1138"/>
      <c r="S793" s="1138"/>
      <c r="T793" s="1138"/>
      <c r="U793" s="1138"/>
      <c r="V793" s="1138"/>
      <c r="W793" s="1138"/>
    </row>
    <row r="794">
      <c r="A794" s="1168" t="s">
        <v>21</v>
      </c>
      <c r="B794" s="1261">
        <v>57988.0</v>
      </c>
      <c r="C794" s="77">
        <v>2314901.41</v>
      </c>
      <c r="D794" s="77">
        <v>0.0</v>
      </c>
      <c r="E794" s="1187">
        <v>0.0</v>
      </c>
      <c r="F794" s="1308">
        <v>0.0</v>
      </c>
      <c r="G794" s="1147"/>
      <c r="H794" s="1138"/>
      <c r="I794" s="1138"/>
      <c r="J794" s="1138"/>
      <c r="K794" s="1138"/>
      <c r="L794" s="1138"/>
      <c r="M794" s="1138"/>
      <c r="N794" s="1138"/>
      <c r="O794" s="1138"/>
      <c r="P794" s="1138"/>
      <c r="Q794" s="1138"/>
      <c r="R794" s="1138"/>
      <c r="S794" s="1138"/>
      <c r="T794" s="1138"/>
      <c r="U794" s="1138"/>
      <c r="V794" s="1138"/>
      <c r="W794" s="1138"/>
    </row>
    <row r="795">
      <c r="A795" s="1171" t="s">
        <v>22</v>
      </c>
      <c r="B795" s="1261">
        <v>640816.54</v>
      </c>
      <c r="C795" s="77">
        <v>927987.6</v>
      </c>
      <c r="D795" s="77"/>
      <c r="E795" s="1187"/>
      <c r="F795" s="1324"/>
      <c r="G795" s="1147"/>
      <c r="H795" s="1138"/>
      <c r="I795" s="1138"/>
      <c r="J795" s="1138"/>
      <c r="K795" s="1138"/>
      <c r="L795" s="1138"/>
      <c r="M795" s="1138"/>
      <c r="N795" s="1138"/>
      <c r="O795" s="1138"/>
      <c r="P795" s="1138"/>
      <c r="Q795" s="1138"/>
      <c r="R795" s="1138"/>
      <c r="S795" s="1138"/>
      <c r="T795" s="1138"/>
      <c r="U795" s="1138"/>
      <c r="V795" s="1138"/>
      <c r="W795" s="1138"/>
    </row>
    <row r="796">
      <c r="A796" s="1309" t="s">
        <v>32</v>
      </c>
      <c r="B796" s="1316">
        <v>3050000.0</v>
      </c>
      <c r="C796" s="73"/>
      <c r="D796" s="73"/>
      <c r="E796" s="1187"/>
      <c r="F796" s="1312"/>
      <c r="G796" s="1147"/>
      <c r="H796" s="1138"/>
      <c r="I796" s="1138"/>
      <c r="J796" s="1138"/>
      <c r="K796" s="1138"/>
      <c r="L796" s="1138"/>
      <c r="M796" s="1138"/>
      <c r="N796" s="1138"/>
      <c r="O796" s="1138"/>
      <c r="P796" s="1138"/>
      <c r="Q796" s="1138"/>
      <c r="R796" s="1138"/>
      <c r="S796" s="1138"/>
      <c r="T796" s="1138"/>
      <c r="U796" s="1138"/>
      <c r="V796" s="1138"/>
      <c r="W796" s="1138"/>
    </row>
    <row r="797">
      <c r="A797" s="1309" t="s">
        <v>31</v>
      </c>
      <c r="B797" s="1183">
        <v>1500000.0</v>
      </c>
      <c r="C797" s="73"/>
      <c r="D797" s="73"/>
      <c r="E797" s="1187"/>
      <c r="F797" s="1312"/>
      <c r="G797" s="1147"/>
      <c r="H797" s="1138"/>
      <c r="I797" s="1138"/>
      <c r="J797" s="1138"/>
      <c r="K797" s="1138"/>
      <c r="L797" s="1138"/>
      <c r="M797" s="1138"/>
      <c r="N797" s="1138"/>
      <c r="O797" s="1138"/>
      <c r="P797" s="1138"/>
      <c r="Q797" s="1138"/>
      <c r="R797" s="1138"/>
      <c r="S797" s="1138"/>
      <c r="T797" s="1138"/>
      <c r="U797" s="1138"/>
      <c r="V797" s="1138"/>
      <c r="W797" s="1138"/>
    </row>
    <row r="798">
      <c r="A798" s="1314" t="s">
        <v>6967</v>
      </c>
      <c r="B798" s="1195">
        <v>4.042442792E7</v>
      </c>
      <c r="C798" s="1195">
        <f t="shared" ref="C798:F798" si="85">SUM(C782:C797)</f>
        <v>2377741954</v>
      </c>
      <c r="D798" s="1195">
        <f t="shared" si="85"/>
        <v>4625993</v>
      </c>
      <c r="E798" s="1195">
        <f t="shared" si="85"/>
        <v>4709194</v>
      </c>
      <c r="F798" s="1195">
        <f t="shared" si="85"/>
        <v>9335187</v>
      </c>
      <c r="G798" s="1147"/>
      <c r="H798" s="1138"/>
      <c r="I798" s="1138"/>
      <c r="J798" s="1138"/>
      <c r="K798" s="1138"/>
      <c r="L798" s="1138"/>
      <c r="M798" s="1138"/>
      <c r="N798" s="1138"/>
      <c r="O798" s="1138"/>
      <c r="P798" s="1138"/>
      <c r="Q798" s="1138"/>
      <c r="R798" s="1138"/>
      <c r="S798" s="1138"/>
      <c r="T798" s="1138"/>
      <c r="U798" s="1138"/>
      <c r="V798" s="1138"/>
      <c r="W798" s="1138"/>
    </row>
    <row r="799">
      <c r="A799" s="1138"/>
      <c r="B799" s="1138"/>
      <c r="C799" s="1138"/>
      <c r="D799" s="1147"/>
      <c r="E799" s="1138"/>
      <c r="F799" s="1147"/>
      <c r="G799" s="1147"/>
      <c r="H799" s="1138"/>
      <c r="I799" s="1138"/>
      <c r="J799" s="1138"/>
      <c r="K799" s="1138"/>
      <c r="L799" s="1138"/>
      <c r="M799" s="1138"/>
      <c r="N799" s="1138"/>
      <c r="O799" s="1138"/>
      <c r="P799" s="1138"/>
      <c r="Q799" s="1138"/>
      <c r="R799" s="1138"/>
      <c r="S799" s="1138"/>
      <c r="T799" s="1138"/>
      <c r="U799" s="1138"/>
      <c r="V799" s="1138"/>
      <c r="W799" s="1138"/>
    </row>
    <row r="800">
      <c r="A800" s="1138"/>
      <c r="B800" s="1138"/>
      <c r="C800" s="1138"/>
      <c r="D800" s="1147"/>
      <c r="E800" s="1138"/>
      <c r="F800" s="1147"/>
      <c r="G800" s="1147"/>
      <c r="H800" s="1138"/>
      <c r="I800" s="1138"/>
      <c r="J800" s="1138"/>
      <c r="K800" s="1138"/>
      <c r="L800" s="1138"/>
      <c r="M800" s="1138"/>
      <c r="N800" s="1138"/>
      <c r="O800" s="1138"/>
      <c r="P800" s="1138"/>
      <c r="Q800" s="1138"/>
      <c r="R800" s="1138"/>
      <c r="S800" s="1138"/>
      <c r="T800" s="1138"/>
      <c r="U800" s="1138"/>
      <c r="V800" s="1138"/>
      <c r="W800" s="1138"/>
    </row>
    <row r="801">
      <c r="A801" s="1148" t="s">
        <v>2047</v>
      </c>
      <c r="B801" s="1138"/>
      <c r="C801" s="1138"/>
      <c r="D801" s="1285"/>
      <c r="E801" s="1138"/>
      <c r="F801" s="1147"/>
      <c r="G801" s="1147"/>
      <c r="H801" s="1138"/>
      <c r="I801" s="1138"/>
      <c r="J801" s="1138"/>
      <c r="K801" s="1138"/>
      <c r="L801" s="1138"/>
      <c r="M801" s="1138"/>
      <c r="N801" s="1138"/>
      <c r="O801" s="1138"/>
      <c r="P801" s="1138"/>
      <c r="Q801" s="1138"/>
      <c r="R801" s="1138"/>
      <c r="S801" s="1138"/>
      <c r="T801" s="1138"/>
      <c r="U801" s="1138"/>
      <c r="V801" s="1138"/>
      <c r="W801" s="1138"/>
    </row>
    <row r="802">
      <c r="A802" s="1180" t="s">
        <v>1</v>
      </c>
      <c r="B802" s="1295" t="s">
        <v>6936</v>
      </c>
      <c r="C802" s="1301" t="s">
        <v>6950</v>
      </c>
      <c r="D802" s="1286" t="s">
        <v>6938</v>
      </c>
      <c r="E802" s="1180" t="s">
        <v>6939</v>
      </c>
      <c r="F802" s="1179" t="s">
        <v>6940</v>
      </c>
      <c r="G802" s="1147"/>
      <c r="H802" s="1138"/>
      <c r="I802" s="1138"/>
      <c r="J802" s="1138"/>
      <c r="K802" s="1138"/>
      <c r="L802" s="1138"/>
      <c r="M802" s="1138"/>
      <c r="N802" s="1138"/>
      <c r="O802" s="1138"/>
      <c r="P802" s="1138"/>
      <c r="Q802" s="1138"/>
      <c r="R802" s="1138"/>
      <c r="S802" s="1138"/>
      <c r="T802" s="1138"/>
      <c r="U802" s="1138"/>
      <c r="V802" s="1138"/>
      <c r="W802" s="1138"/>
    </row>
    <row r="803">
      <c r="A803" s="1168" t="s">
        <v>10</v>
      </c>
      <c r="B803" s="1261">
        <v>4031712.85</v>
      </c>
      <c r="C803" s="32">
        <v>8.6746022399E8</v>
      </c>
      <c r="D803" s="32">
        <v>101000.0</v>
      </c>
      <c r="E803" s="1187">
        <v>93478.0</v>
      </c>
      <c r="F803" s="1234">
        <v>194478.0</v>
      </c>
      <c r="G803" s="1147"/>
      <c r="H803" s="1138"/>
      <c r="I803" s="1138"/>
      <c r="J803" s="1138"/>
      <c r="K803" s="1138"/>
      <c r="L803" s="1138"/>
      <c r="M803" s="1138"/>
      <c r="N803" s="1138"/>
      <c r="O803" s="1138"/>
      <c r="P803" s="1138"/>
      <c r="Q803" s="1138"/>
      <c r="R803" s="1138"/>
      <c r="S803" s="1138"/>
      <c r="T803" s="1138"/>
      <c r="U803" s="1138"/>
      <c r="V803" s="1138"/>
      <c r="W803" s="1138"/>
    </row>
    <row r="804">
      <c r="A804" s="1168" t="s">
        <v>24</v>
      </c>
      <c r="B804" s="1261">
        <v>1.4088811240000002E7</v>
      </c>
      <c r="C804" s="32">
        <v>6.4178805699E8</v>
      </c>
      <c r="D804" s="32">
        <v>5445564.0</v>
      </c>
      <c r="E804" s="1187">
        <v>95032.0</v>
      </c>
      <c r="F804" s="1187">
        <v>5540596.0</v>
      </c>
      <c r="G804" s="1202">
        <v>5540596.0</v>
      </c>
      <c r="H804" s="1138"/>
      <c r="I804" s="1138"/>
      <c r="J804" s="1138"/>
      <c r="K804" s="1138"/>
      <c r="L804" s="1138"/>
      <c r="M804" s="1138"/>
      <c r="N804" s="1138"/>
      <c r="O804" s="1138"/>
      <c r="P804" s="1138"/>
      <c r="Q804" s="1138"/>
      <c r="R804" s="1138"/>
      <c r="S804" s="1138"/>
      <c r="T804" s="1138"/>
      <c r="U804" s="1138"/>
      <c r="V804" s="1138"/>
      <c r="W804" s="1138"/>
    </row>
    <row r="805">
      <c r="A805" s="1168" t="s">
        <v>12</v>
      </c>
      <c r="B805" s="1261">
        <v>4417310.89</v>
      </c>
      <c r="C805" s="32">
        <v>2.6866571061E8</v>
      </c>
      <c r="D805" s="1139">
        <v>1663603.0</v>
      </c>
      <c r="E805" s="1187">
        <v>159623.0</v>
      </c>
      <c r="F805" s="1187">
        <v>1823226.0</v>
      </c>
      <c r="G805" s="1147"/>
      <c r="H805" s="1138"/>
      <c r="I805" s="1138"/>
      <c r="J805" s="1138"/>
      <c r="K805" s="1138"/>
      <c r="L805" s="1138"/>
      <c r="M805" s="1138"/>
      <c r="N805" s="1138"/>
      <c r="O805" s="1138"/>
      <c r="P805" s="1138"/>
      <c r="Q805" s="1138"/>
      <c r="R805" s="1138"/>
      <c r="S805" s="1138"/>
      <c r="T805" s="1138"/>
      <c r="U805" s="1138"/>
      <c r="V805" s="1138"/>
      <c r="W805" s="1138"/>
    </row>
    <row r="806">
      <c r="A806" s="1168" t="s">
        <v>13</v>
      </c>
      <c r="B806" s="1261">
        <v>7165114.15</v>
      </c>
      <c r="C806" s="32">
        <v>1.232888285E8</v>
      </c>
      <c r="D806" s="32">
        <v>488000.0</v>
      </c>
      <c r="E806" s="1187">
        <v>27510.0</v>
      </c>
      <c r="F806" s="32">
        <v>515510.0</v>
      </c>
      <c r="G806" s="1147"/>
      <c r="H806" s="1138"/>
      <c r="I806" s="1138"/>
      <c r="J806" s="1138"/>
      <c r="K806" s="1138"/>
      <c r="L806" s="1138"/>
      <c r="M806" s="1138"/>
      <c r="N806" s="1138"/>
      <c r="O806" s="1138"/>
      <c r="P806" s="1138"/>
      <c r="Q806" s="1138"/>
      <c r="R806" s="1138"/>
      <c r="S806" s="1138"/>
      <c r="T806" s="1138"/>
      <c r="U806" s="1138"/>
      <c r="V806" s="1138"/>
      <c r="W806" s="1138"/>
    </row>
    <row r="807">
      <c r="A807" s="1168" t="s">
        <v>14</v>
      </c>
      <c r="B807" s="1261">
        <v>1441424.0</v>
      </c>
      <c r="C807" s="1183">
        <v>1.7362109104E8</v>
      </c>
      <c r="D807" s="32">
        <v>125405.0</v>
      </c>
      <c r="E807" s="1187">
        <v>33160.0</v>
      </c>
      <c r="F807" s="1187">
        <v>158565.0</v>
      </c>
      <c r="G807" s="1147"/>
      <c r="H807" s="1138"/>
      <c r="I807" s="1138"/>
      <c r="J807" s="1138"/>
      <c r="K807" s="1138"/>
      <c r="L807" s="1138"/>
      <c r="M807" s="1138"/>
      <c r="N807" s="1138"/>
      <c r="O807" s="1138"/>
      <c r="P807" s="1138"/>
      <c r="Q807" s="1138"/>
      <c r="R807" s="1138"/>
      <c r="S807" s="1138"/>
      <c r="T807" s="1138"/>
      <c r="U807" s="1138"/>
      <c r="V807" s="1138"/>
      <c r="W807" s="1138"/>
    </row>
    <row r="808">
      <c r="A808" s="1168" t="s">
        <v>15</v>
      </c>
      <c r="B808" s="1261">
        <v>100000.0</v>
      </c>
      <c r="C808" s="1187">
        <v>1.778284408E7</v>
      </c>
      <c r="D808" s="32">
        <v>22000.0</v>
      </c>
      <c r="E808" s="1187">
        <v>716495.0</v>
      </c>
      <c r="F808" s="1187">
        <v>738495.0</v>
      </c>
      <c r="G808" s="1147"/>
      <c r="H808" s="1138"/>
      <c r="I808" s="1138"/>
      <c r="J808" s="1138"/>
      <c r="K808" s="1138"/>
      <c r="L808" s="1138"/>
      <c r="M808" s="1138"/>
      <c r="N808" s="1138"/>
      <c r="O808" s="1138"/>
      <c r="P808" s="1138"/>
      <c r="Q808" s="1138"/>
      <c r="R808" s="1138"/>
      <c r="S808" s="1138"/>
      <c r="T808" s="1138"/>
      <c r="U808" s="1138"/>
      <c r="V808" s="1138"/>
      <c r="W808" s="1138"/>
    </row>
    <row r="809">
      <c r="A809" s="1168" t="s">
        <v>16</v>
      </c>
      <c r="B809" s="1261">
        <v>247845.0</v>
      </c>
      <c r="C809" s="1187">
        <v>1.543705561E7</v>
      </c>
      <c r="D809" s="32">
        <v>92000.0</v>
      </c>
      <c r="E809" s="1187">
        <v>6046.0</v>
      </c>
      <c r="F809" s="1302">
        <v>98046.0</v>
      </c>
      <c r="G809" s="1147"/>
      <c r="H809" s="1138"/>
      <c r="I809" s="1138"/>
      <c r="J809" s="1138"/>
      <c r="K809" s="1138"/>
      <c r="L809" s="1138"/>
      <c r="M809" s="1138"/>
      <c r="N809" s="1138"/>
      <c r="O809" s="1138"/>
      <c r="P809" s="1138"/>
      <c r="Q809" s="1138"/>
      <c r="R809" s="1138"/>
      <c r="S809" s="1138"/>
      <c r="T809" s="1138"/>
      <c r="U809" s="1138"/>
      <c r="V809" s="1138"/>
      <c r="W809" s="1138"/>
    </row>
    <row r="810">
      <c r="A810" s="1168" t="s">
        <v>17</v>
      </c>
      <c r="B810" s="1261">
        <v>2701698.76</v>
      </c>
      <c r="C810" s="32">
        <v>2.0863402E8</v>
      </c>
      <c r="D810" s="32">
        <v>4237938.0</v>
      </c>
      <c r="E810" s="1187">
        <v>85026.0</v>
      </c>
      <c r="F810" s="679">
        <v>4322964.0</v>
      </c>
      <c r="G810" s="1303">
        <v>4322964.0</v>
      </c>
      <c r="H810" s="1138"/>
      <c r="I810" s="1138"/>
      <c r="J810" s="1138"/>
      <c r="K810" s="1138"/>
      <c r="L810" s="1138"/>
      <c r="M810" s="1138"/>
      <c r="N810" s="1138"/>
      <c r="O810" s="1138"/>
      <c r="P810" s="1138"/>
      <c r="Q810" s="1138"/>
      <c r="R810" s="1138"/>
      <c r="S810" s="1138"/>
      <c r="T810" s="1138"/>
      <c r="U810" s="1138"/>
      <c r="V810" s="1138"/>
      <c r="W810" s="1138"/>
    </row>
    <row r="811">
      <c r="A811" s="1168" t="s">
        <v>18</v>
      </c>
      <c r="B811" s="1261">
        <v>1566736.0</v>
      </c>
      <c r="C811" s="32">
        <v>9.817571249E7</v>
      </c>
      <c r="D811" s="32">
        <v>89700.0</v>
      </c>
      <c r="E811" s="1187">
        <v>5000.0</v>
      </c>
      <c r="F811" s="1187">
        <v>94700.0</v>
      </c>
      <c r="G811" s="1303">
        <v>94700.0</v>
      </c>
      <c r="H811" s="1138"/>
      <c r="I811" s="1138"/>
      <c r="J811" s="1138"/>
      <c r="K811" s="1138"/>
      <c r="L811" s="1138"/>
      <c r="M811" s="1138"/>
      <c r="N811" s="1138"/>
      <c r="O811" s="1138"/>
      <c r="P811" s="1138"/>
      <c r="Q811" s="1138"/>
      <c r="R811" s="1138"/>
      <c r="S811" s="1138"/>
      <c r="T811" s="1138"/>
      <c r="U811" s="1138"/>
      <c r="V811" s="1138"/>
      <c r="W811" s="1138"/>
    </row>
    <row r="812">
      <c r="A812" s="1168" t="s">
        <v>19</v>
      </c>
      <c r="B812" s="1261">
        <v>611237.0</v>
      </c>
      <c r="C812" s="32">
        <v>8825201.58</v>
      </c>
      <c r="D812" s="32">
        <v>144050.0</v>
      </c>
      <c r="E812" s="1187">
        <v>34700.0</v>
      </c>
      <c r="F812" s="1234">
        <v>178750.0</v>
      </c>
      <c r="G812" s="1147"/>
      <c r="H812" s="1138"/>
      <c r="I812" s="1138"/>
      <c r="J812" s="1138"/>
      <c r="K812" s="1138"/>
      <c r="L812" s="1138"/>
      <c r="M812" s="1138"/>
      <c r="N812" s="1138"/>
      <c r="O812" s="1138"/>
      <c r="P812" s="1138"/>
      <c r="Q812" s="1138"/>
      <c r="R812" s="1138"/>
      <c r="S812" s="1138"/>
      <c r="T812" s="1138"/>
      <c r="U812" s="1138"/>
      <c r="V812" s="1138"/>
      <c r="W812" s="1138"/>
    </row>
    <row r="813">
      <c r="A813" s="1168" t="s">
        <v>20</v>
      </c>
      <c r="B813" s="1261">
        <v>752106.0</v>
      </c>
      <c r="C813" s="1322">
        <v>7.128124862E7</v>
      </c>
      <c r="D813" s="32">
        <v>0.0</v>
      </c>
      <c r="E813" s="1187">
        <v>365767.83</v>
      </c>
      <c r="F813" s="1187">
        <v>365767.83</v>
      </c>
      <c r="G813" s="1147"/>
      <c r="H813" s="1138"/>
      <c r="I813" s="1138"/>
      <c r="J813" s="1138"/>
      <c r="K813" s="1138"/>
      <c r="L813" s="1138"/>
      <c r="M813" s="1138"/>
      <c r="N813" s="1138"/>
      <c r="O813" s="1138"/>
      <c r="P813" s="1138"/>
      <c r="Q813" s="1138"/>
      <c r="R813" s="1138"/>
      <c r="S813" s="1138"/>
      <c r="T813" s="1138"/>
      <c r="U813" s="1138"/>
      <c r="V813" s="1138"/>
      <c r="W813" s="1138"/>
    </row>
    <row r="814">
      <c r="A814" s="1168" t="s">
        <v>21</v>
      </c>
      <c r="B814" s="1261">
        <v>247059.0</v>
      </c>
      <c r="C814" s="77">
        <v>2314901.41</v>
      </c>
      <c r="D814" s="77">
        <v>0.0</v>
      </c>
      <c r="E814" s="1187">
        <v>0.0</v>
      </c>
      <c r="F814" s="1308">
        <v>0.0</v>
      </c>
      <c r="G814" s="1147"/>
      <c r="H814" s="1138"/>
      <c r="I814" s="1138"/>
      <c r="J814" s="1138"/>
      <c r="K814" s="1138"/>
      <c r="L814" s="1138"/>
      <c r="M814" s="1138"/>
      <c r="N814" s="1138"/>
      <c r="O814" s="1138"/>
      <c r="P814" s="1138"/>
      <c r="Q814" s="1138"/>
      <c r="R814" s="1138"/>
      <c r="S814" s="1138"/>
      <c r="T814" s="1138"/>
      <c r="U814" s="1138"/>
      <c r="V814" s="1138"/>
      <c r="W814" s="1138"/>
    </row>
    <row r="815">
      <c r="A815" s="1171" t="s">
        <v>22</v>
      </c>
      <c r="B815" s="1261">
        <v>626483.54</v>
      </c>
      <c r="C815" s="77">
        <v>927987.6</v>
      </c>
      <c r="D815" s="77"/>
      <c r="E815" s="1187">
        <v>0.0</v>
      </c>
      <c r="F815" s="1324">
        <v>0.0</v>
      </c>
      <c r="G815" s="1147"/>
      <c r="H815" s="1138"/>
      <c r="I815" s="1138"/>
      <c r="J815" s="1138"/>
      <c r="K815" s="1138"/>
      <c r="L815" s="1138"/>
      <c r="M815" s="1138"/>
      <c r="N815" s="1138"/>
      <c r="O815" s="1138"/>
      <c r="P815" s="1138"/>
      <c r="Q815" s="1138"/>
      <c r="R815" s="1138"/>
      <c r="S815" s="1138"/>
      <c r="T815" s="1138"/>
      <c r="U815" s="1138"/>
      <c r="V815" s="1138"/>
      <c r="W815" s="1138"/>
    </row>
    <row r="816">
      <c r="A816" s="1309" t="s">
        <v>32</v>
      </c>
      <c r="B816" s="1316">
        <v>2750000.0</v>
      </c>
      <c r="C816" s="73"/>
      <c r="D816" s="73"/>
      <c r="E816" s="1187"/>
      <c r="F816" s="1312"/>
      <c r="G816" s="1147"/>
      <c r="H816" s="1138"/>
      <c r="I816" s="1138"/>
      <c r="J816" s="1138"/>
      <c r="K816" s="1138"/>
      <c r="L816" s="1138"/>
      <c r="M816" s="1138"/>
      <c r="N816" s="1138"/>
      <c r="O816" s="1138"/>
      <c r="P816" s="1138"/>
      <c r="Q816" s="1138"/>
      <c r="R816" s="1138"/>
      <c r="S816" s="1138"/>
      <c r="T816" s="1138"/>
      <c r="U816" s="1138"/>
      <c r="V816" s="1138"/>
      <c r="W816" s="1138"/>
    </row>
    <row r="817">
      <c r="A817" s="1309" t="s">
        <v>31</v>
      </c>
      <c r="B817" s="1183">
        <v>1500000.0</v>
      </c>
      <c r="C817" s="73"/>
      <c r="D817" s="73"/>
      <c r="E817" s="1187"/>
      <c r="F817" s="1312"/>
      <c r="G817" s="1147"/>
      <c r="H817" s="1138"/>
      <c r="I817" s="1138"/>
      <c r="J817" s="1138"/>
      <c r="K817" s="1138"/>
      <c r="L817" s="1138"/>
      <c r="M817" s="1138"/>
      <c r="N817" s="1138"/>
      <c r="O817" s="1138"/>
      <c r="P817" s="1138"/>
      <c r="Q817" s="1138"/>
      <c r="R817" s="1138"/>
      <c r="S817" s="1138"/>
      <c r="T817" s="1138"/>
      <c r="U817" s="1138"/>
      <c r="V817" s="1138"/>
      <c r="W817" s="1138"/>
    </row>
    <row r="818">
      <c r="A818" s="1314" t="s">
        <v>6967</v>
      </c>
      <c r="B818" s="1195">
        <v>4.224753843E7</v>
      </c>
      <c r="C818" s="1195">
        <f t="shared" ref="C818:F818" si="86">SUM(C802:C817)</f>
        <v>2498202883</v>
      </c>
      <c r="D818" s="1195">
        <f t="shared" si="86"/>
        <v>12409260</v>
      </c>
      <c r="E818" s="1195">
        <f t="shared" si="86"/>
        <v>1621837.83</v>
      </c>
      <c r="F818" s="1195">
        <f t="shared" si="86"/>
        <v>14031097.83</v>
      </c>
      <c r="G818" s="1147"/>
      <c r="H818" s="1138"/>
      <c r="I818" s="1138"/>
      <c r="J818" s="1138"/>
      <c r="K818" s="1138"/>
      <c r="L818" s="1138"/>
      <c r="M818" s="1138"/>
      <c r="N818" s="1138"/>
      <c r="O818" s="1138"/>
      <c r="P818" s="1138"/>
      <c r="Q818" s="1138"/>
      <c r="R818" s="1138"/>
      <c r="S818" s="1138"/>
      <c r="T818" s="1138"/>
      <c r="U818" s="1138"/>
      <c r="V818" s="1138"/>
      <c r="W818" s="1138"/>
    </row>
    <row r="819">
      <c r="A819" s="1138"/>
      <c r="B819" s="1138"/>
      <c r="C819" s="1138"/>
      <c r="D819" s="1147"/>
      <c r="E819" s="1138"/>
      <c r="F819" s="1147"/>
      <c r="G819" s="1147"/>
      <c r="H819" s="1138"/>
      <c r="I819" s="1138"/>
      <c r="J819" s="1138"/>
      <c r="K819" s="1138"/>
      <c r="L819" s="1138"/>
      <c r="M819" s="1138"/>
      <c r="N819" s="1138"/>
      <c r="O819" s="1138"/>
      <c r="P819" s="1138"/>
      <c r="Q819" s="1138"/>
      <c r="R819" s="1138"/>
      <c r="S819" s="1138"/>
      <c r="T819" s="1138"/>
      <c r="U819" s="1138"/>
      <c r="V819" s="1138"/>
      <c r="W819" s="1138"/>
    </row>
    <row r="820">
      <c r="A820" s="1138"/>
      <c r="B820" s="1138"/>
      <c r="C820" s="1138"/>
      <c r="D820" s="1147"/>
      <c r="E820" s="1138"/>
      <c r="F820" s="1303">
        <v>1.403109783E7</v>
      </c>
      <c r="G820" s="1147"/>
      <c r="H820" s="1138"/>
      <c r="I820" s="1138"/>
      <c r="J820" s="1138"/>
      <c r="K820" s="1138"/>
      <c r="L820" s="1138"/>
      <c r="M820" s="1138"/>
      <c r="N820" s="1138"/>
      <c r="O820" s="1138"/>
      <c r="P820" s="1138"/>
      <c r="Q820" s="1138"/>
      <c r="R820" s="1138"/>
      <c r="S820" s="1138"/>
      <c r="T820" s="1138"/>
      <c r="U820" s="1138"/>
      <c r="V820" s="1138"/>
      <c r="W820" s="1138"/>
    </row>
    <row r="821">
      <c r="A821" s="1209" t="s">
        <v>2081</v>
      </c>
      <c r="B821" s="1138"/>
      <c r="C821" s="1138"/>
      <c r="D821" s="1147"/>
      <c r="E821" s="1138"/>
      <c r="F821" s="1147"/>
      <c r="G821" s="1147"/>
      <c r="H821" s="1138"/>
      <c r="I821" s="1138"/>
      <c r="J821" s="1138"/>
      <c r="K821" s="1138"/>
      <c r="L821" s="1138"/>
      <c r="M821" s="1138"/>
      <c r="N821" s="1138"/>
      <c r="O821" s="1138"/>
      <c r="P821" s="1138"/>
      <c r="Q821" s="1138"/>
      <c r="R821" s="1138"/>
      <c r="S821" s="1138"/>
      <c r="T821" s="1138"/>
      <c r="U821" s="1138"/>
      <c r="V821" s="1138"/>
      <c r="W821" s="1138"/>
    </row>
    <row r="822">
      <c r="A822" s="1180" t="s">
        <v>1</v>
      </c>
      <c r="B822" s="1295" t="s">
        <v>6936</v>
      </c>
      <c r="C822" s="1301" t="s">
        <v>6950</v>
      </c>
      <c r="D822" s="1286" t="s">
        <v>6938</v>
      </c>
      <c r="E822" s="1180" t="s">
        <v>6939</v>
      </c>
      <c r="F822" s="1179" t="s">
        <v>6940</v>
      </c>
      <c r="G822" s="1147"/>
      <c r="H822" s="1138"/>
      <c r="I822" s="1138"/>
      <c r="J822" s="1138"/>
      <c r="K822" s="1138"/>
      <c r="L822" s="1138"/>
      <c r="M822" s="1138"/>
      <c r="N822" s="1138"/>
      <c r="O822" s="1138"/>
      <c r="P822" s="1138"/>
      <c r="Q822" s="1138"/>
      <c r="R822" s="1138"/>
      <c r="S822" s="1138"/>
      <c r="T822" s="1138"/>
      <c r="U822" s="1138"/>
      <c r="V822" s="1138"/>
      <c r="W822" s="1138"/>
    </row>
    <row r="823">
      <c r="A823" s="1168" t="s">
        <v>10</v>
      </c>
      <c r="B823" s="8">
        <v>3061815.18</v>
      </c>
      <c r="C823" s="32">
        <v>8.6834815984E8</v>
      </c>
      <c r="D823" s="32">
        <v>120000.0</v>
      </c>
      <c r="E823" s="1187">
        <v>0.0</v>
      </c>
      <c r="F823" s="1234">
        <v>120000.0</v>
      </c>
      <c r="G823" s="1147"/>
      <c r="H823" s="1138"/>
      <c r="I823" s="1138"/>
      <c r="J823" s="1138"/>
      <c r="K823" s="1138"/>
      <c r="L823" s="1138"/>
      <c r="M823" s="1138"/>
      <c r="N823" s="1138"/>
      <c r="O823" s="1138"/>
      <c r="P823" s="1138"/>
      <c r="Q823" s="1138"/>
      <c r="R823" s="1138"/>
      <c r="S823" s="1138"/>
      <c r="T823" s="1138"/>
      <c r="U823" s="1138"/>
      <c r="V823" s="1138"/>
      <c r="W823" s="1138"/>
    </row>
    <row r="824">
      <c r="A824" s="1168" t="s">
        <v>24</v>
      </c>
      <c r="B824" s="84">
        <v>5573930.73</v>
      </c>
      <c r="C824" s="32">
        <v>6.4178805699E8</v>
      </c>
      <c r="D824" s="8">
        <v>1666527.0</v>
      </c>
      <c r="E824" s="1187">
        <f t="shared" ref="E824:E825" si="87">F824-D824</f>
        <v>280000</v>
      </c>
      <c r="F824" s="1187">
        <v>1946527.0</v>
      </c>
      <c r="G824" s="1147"/>
      <c r="H824" s="1138"/>
      <c r="I824" s="1138"/>
      <c r="J824" s="1138"/>
      <c r="K824" s="1138"/>
      <c r="L824" s="1138"/>
      <c r="M824" s="1138"/>
      <c r="N824" s="1138"/>
      <c r="O824" s="1138"/>
      <c r="P824" s="1138"/>
      <c r="Q824" s="1138"/>
      <c r="R824" s="1138"/>
      <c r="S824" s="1138"/>
      <c r="T824" s="1138"/>
      <c r="U824" s="1138"/>
      <c r="V824" s="1138"/>
      <c r="W824" s="1138"/>
    </row>
    <row r="825">
      <c r="A825" s="1168" t="s">
        <v>12</v>
      </c>
      <c r="B825" s="8">
        <v>3473272.8899999997</v>
      </c>
      <c r="C825" s="32">
        <v>2.6402859494E8</v>
      </c>
      <c r="D825" s="1143">
        <v>1169900.0</v>
      </c>
      <c r="E825" s="1187">
        <f t="shared" si="87"/>
        <v>33000</v>
      </c>
      <c r="F825" s="1187">
        <v>1202900.0</v>
      </c>
      <c r="G825" s="1147"/>
      <c r="H825" s="1138"/>
      <c r="I825" s="1138"/>
      <c r="J825" s="1138"/>
      <c r="K825" s="1138"/>
      <c r="L825" s="1138"/>
      <c r="M825" s="1138"/>
      <c r="N825" s="1138"/>
      <c r="O825" s="1138"/>
      <c r="P825" s="1138"/>
      <c r="Q825" s="1138"/>
      <c r="R825" s="1138"/>
      <c r="S825" s="1138"/>
      <c r="T825" s="1138"/>
      <c r="U825" s="1138"/>
      <c r="V825" s="1138"/>
      <c r="W825" s="1138"/>
    </row>
    <row r="826">
      <c r="A826" s="1168" t="s">
        <v>13</v>
      </c>
      <c r="B826" s="8">
        <v>305681.47</v>
      </c>
      <c r="C826" s="32">
        <v>1.232888285E8</v>
      </c>
      <c r="D826" s="32">
        <v>0.0</v>
      </c>
      <c r="E826" s="1315">
        <v>50841.0</v>
      </c>
      <c r="F826" s="1315">
        <v>50841.0</v>
      </c>
      <c r="G826" s="1147"/>
      <c r="H826" s="1138"/>
      <c r="I826" s="1138"/>
      <c r="J826" s="1138"/>
      <c r="K826" s="1138"/>
      <c r="L826" s="1138"/>
      <c r="M826" s="1138"/>
      <c r="N826" s="1138"/>
      <c r="O826" s="1138"/>
      <c r="P826" s="1138"/>
      <c r="Q826" s="1138"/>
      <c r="R826" s="1138"/>
      <c r="S826" s="1138"/>
      <c r="T826" s="1138"/>
      <c r="U826" s="1138"/>
      <c r="V826" s="1138"/>
      <c r="W826" s="1138"/>
    </row>
    <row r="827">
      <c r="A827" s="1168" t="s">
        <v>14</v>
      </c>
      <c r="B827" s="8">
        <v>1441424.0</v>
      </c>
      <c r="C827" s="1183">
        <v>1.7362109104E8</v>
      </c>
      <c r="D827" s="32">
        <v>63333.0</v>
      </c>
      <c r="E827" s="1187">
        <v>0.0</v>
      </c>
      <c r="F827" s="1187">
        <v>63333.0</v>
      </c>
      <c r="G827" s="1147"/>
      <c r="H827" s="1138"/>
      <c r="I827" s="1138"/>
      <c r="J827" s="1138"/>
      <c r="K827" s="1138"/>
      <c r="L827" s="1138"/>
      <c r="M827" s="1138"/>
      <c r="N827" s="1138"/>
      <c r="O827" s="1138"/>
      <c r="P827" s="1138"/>
      <c r="Q827" s="1138"/>
      <c r="R827" s="1138"/>
      <c r="S827" s="1138"/>
      <c r="T827" s="1138"/>
      <c r="U827" s="1138"/>
      <c r="V827" s="1138"/>
      <c r="W827" s="1138"/>
    </row>
    <row r="828">
      <c r="A828" s="1168" t="s">
        <v>15</v>
      </c>
      <c r="B828" s="8">
        <v>141000.0</v>
      </c>
      <c r="C828" s="1187">
        <v>1.778284408E7</v>
      </c>
      <c r="D828" s="32">
        <v>48670.0</v>
      </c>
      <c r="E828" s="1187">
        <v>17.0</v>
      </c>
      <c r="F828" s="1187">
        <v>48687.0</v>
      </c>
      <c r="G828" s="1147"/>
      <c r="H828" s="1138"/>
      <c r="I828" s="1138"/>
      <c r="J828" s="1138"/>
      <c r="K828" s="1138"/>
      <c r="L828" s="1138"/>
      <c r="M828" s="1138"/>
      <c r="N828" s="1138"/>
      <c r="O828" s="1138"/>
      <c r="P828" s="1138"/>
      <c r="Q828" s="1138"/>
      <c r="R828" s="1138"/>
      <c r="S828" s="1138"/>
      <c r="T828" s="1138"/>
      <c r="U828" s="1138"/>
      <c r="V828" s="1138"/>
      <c r="W828" s="1138"/>
    </row>
    <row r="829">
      <c r="A829" s="1168" t="s">
        <v>16</v>
      </c>
      <c r="B829" s="8">
        <v>297000.0</v>
      </c>
      <c r="C829" s="1187">
        <v>1.543705561E7</v>
      </c>
      <c r="D829" s="32">
        <v>0.0</v>
      </c>
      <c r="E829" s="1187">
        <v>0.0</v>
      </c>
      <c r="F829" s="1302">
        <v>0.0</v>
      </c>
      <c r="G829" s="1147"/>
      <c r="H829" s="1138"/>
      <c r="I829" s="1138"/>
      <c r="J829" s="1138"/>
      <c r="K829" s="1138"/>
      <c r="L829" s="1138"/>
      <c r="M829" s="1138"/>
      <c r="N829" s="1138"/>
      <c r="O829" s="1138"/>
      <c r="P829" s="1138"/>
      <c r="Q829" s="1138"/>
      <c r="R829" s="1138"/>
      <c r="S829" s="1138"/>
      <c r="T829" s="1138"/>
      <c r="U829" s="1138"/>
      <c r="V829" s="1138"/>
      <c r="W829" s="1138"/>
    </row>
    <row r="830">
      <c r="A830" s="1168" t="s">
        <v>17</v>
      </c>
      <c r="B830" s="8">
        <v>1011973.4</v>
      </c>
      <c r="C830" s="32">
        <v>2.0699598853E8</v>
      </c>
      <c r="D830" s="32">
        <v>1773384.0</v>
      </c>
      <c r="E830" s="1187">
        <v>0.0</v>
      </c>
      <c r="F830" s="679">
        <v>1773384.0</v>
      </c>
      <c r="G830" s="1147"/>
      <c r="H830" s="1138"/>
      <c r="I830" s="1138"/>
      <c r="J830" s="1138"/>
      <c r="K830" s="1138"/>
      <c r="L830" s="1138"/>
      <c r="M830" s="1138"/>
      <c r="N830" s="1138"/>
      <c r="O830" s="1138"/>
      <c r="P830" s="1138"/>
      <c r="Q830" s="1138"/>
      <c r="R830" s="1138"/>
      <c r="S830" s="1138"/>
      <c r="T830" s="1138"/>
      <c r="U830" s="1138"/>
      <c r="V830" s="1138"/>
      <c r="W830" s="1138"/>
    </row>
    <row r="831">
      <c r="A831" s="1168" t="s">
        <v>18</v>
      </c>
      <c r="B831" s="8">
        <v>1459876.0</v>
      </c>
      <c r="C831" s="32">
        <v>9.818075099E7</v>
      </c>
      <c r="D831" s="32">
        <v>815.0</v>
      </c>
      <c r="E831" s="1187">
        <v>0.0</v>
      </c>
      <c r="F831" s="1187">
        <v>815.0</v>
      </c>
      <c r="G831" s="1147"/>
      <c r="H831" s="1138"/>
      <c r="I831" s="1138"/>
      <c r="J831" s="1138"/>
      <c r="K831" s="1138"/>
      <c r="L831" s="1138"/>
      <c r="M831" s="1138"/>
      <c r="N831" s="1138"/>
      <c r="O831" s="1138"/>
      <c r="P831" s="1138"/>
      <c r="Q831" s="1138"/>
      <c r="R831" s="1138"/>
      <c r="S831" s="1138"/>
      <c r="T831" s="1138"/>
      <c r="U831" s="1138"/>
      <c r="V831" s="1138"/>
      <c r="W831" s="1138"/>
    </row>
    <row r="832">
      <c r="A832" s="1168" t="s">
        <v>19</v>
      </c>
      <c r="B832" s="8">
        <v>553187.0</v>
      </c>
      <c r="C832" s="32">
        <v>8825201.58</v>
      </c>
      <c r="D832" s="32">
        <v>0.0</v>
      </c>
      <c r="E832" s="1187">
        <v>0.0</v>
      </c>
      <c r="F832" s="1234">
        <v>0.0</v>
      </c>
      <c r="G832" s="1147"/>
      <c r="H832" s="1138"/>
      <c r="I832" s="1138"/>
      <c r="J832" s="1138"/>
      <c r="K832" s="1138"/>
      <c r="L832" s="1138"/>
      <c r="M832" s="1138"/>
      <c r="N832" s="1138"/>
      <c r="O832" s="1138"/>
      <c r="P832" s="1138"/>
      <c r="Q832" s="1138"/>
      <c r="R832" s="1138"/>
      <c r="S832" s="1138"/>
      <c r="T832" s="1138"/>
      <c r="U832" s="1138"/>
      <c r="V832" s="1138"/>
      <c r="W832" s="1138"/>
    </row>
    <row r="833">
      <c r="A833" s="1168" t="s">
        <v>20</v>
      </c>
      <c r="B833" s="8">
        <v>281065.0</v>
      </c>
      <c r="C833" s="1322">
        <v>7.120102269E7</v>
      </c>
      <c r="D833" s="32">
        <v>73481.0</v>
      </c>
      <c r="E833" s="1187">
        <f>F833-D833</f>
        <v>261933</v>
      </c>
      <c r="F833" s="1187">
        <v>335414.0</v>
      </c>
      <c r="G833" s="1147"/>
      <c r="H833" s="1138"/>
      <c r="I833" s="1138"/>
      <c r="J833" s="1138"/>
      <c r="K833" s="1138"/>
      <c r="L833" s="1138"/>
      <c r="M833" s="1138"/>
      <c r="N833" s="1138"/>
      <c r="O833" s="1138"/>
      <c r="P833" s="1138"/>
      <c r="Q833" s="1138"/>
      <c r="R833" s="1138"/>
      <c r="S833" s="1138"/>
      <c r="T833" s="1138"/>
      <c r="U833" s="1138"/>
      <c r="V833" s="1138"/>
      <c r="W833" s="1138"/>
    </row>
    <row r="834">
      <c r="A834" s="1168" t="s">
        <v>21</v>
      </c>
      <c r="B834" s="44">
        <v>107500.0</v>
      </c>
      <c r="C834" s="77">
        <v>2314901.41</v>
      </c>
      <c r="D834" s="77">
        <v>52000.0</v>
      </c>
      <c r="E834" s="1187">
        <v>0.0</v>
      </c>
      <c r="F834" s="1308">
        <v>52000.0</v>
      </c>
      <c r="G834" s="1147"/>
      <c r="H834" s="1138"/>
      <c r="I834" s="1138"/>
      <c r="J834" s="1138"/>
      <c r="K834" s="1138"/>
      <c r="L834" s="1138"/>
      <c r="M834" s="1138"/>
      <c r="N834" s="1138"/>
      <c r="O834" s="1138"/>
      <c r="P834" s="1138"/>
      <c r="Q834" s="1138"/>
      <c r="R834" s="1138"/>
      <c r="S834" s="1138"/>
      <c r="T834" s="1138"/>
      <c r="U834" s="1138"/>
      <c r="V834" s="1138"/>
      <c r="W834" s="1138"/>
    </row>
    <row r="835">
      <c r="A835" s="1171" t="s">
        <v>22</v>
      </c>
      <c r="B835" s="44">
        <v>627607.9</v>
      </c>
      <c r="C835" s="77">
        <v>927987.6</v>
      </c>
      <c r="D835" s="77"/>
      <c r="E835" s="1187"/>
      <c r="F835" s="1324"/>
      <c r="G835" s="1147"/>
      <c r="H835" s="1138"/>
      <c r="I835" s="1138"/>
      <c r="J835" s="1138"/>
      <c r="K835" s="1138"/>
      <c r="L835" s="1138"/>
      <c r="M835" s="1138"/>
      <c r="N835" s="1138"/>
      <c r="O835" s="1138"/>
      <c r="P835" s="1138"/>
      <c r="Q835" s="1138"/>
      <c r="R835" s="1138"/>
      <c r="S835" s="1138"/>
      <c r="T835" s="1138"/>
      <c r="U835" s="1138"/>
      <c r="V835" s="1138"/>
      <c r="W835" s="1138"/>
    </row>
    <row r="836">
      <c r="A836" s="1309" t="s">
        <v>32</v>
      </c>
      <c r="B836" s="73">
        <v>2750000.0</v>
      </c>
      <c r="C836" s="73"/>
      <c r="D836" s="73"/>
      <c r="E836" s="1187"/>
      <c r="F836" s="1312"/>
      <c r="G836" s="1147"/>
      <c r="H836" s="1138"/>
      <c r="I836" s="1138"/>
      <c r="J836" s="1138"/>
      <c r="K836" s="1138"/>
      <c r="L836" s="1138"/>
      <c r="M836" s="1138"/>
      <c r="N836" s="1138"/>
      <c r="O836" s="1138"/>
      <c r="P836" s="1138"/>
      <c r="Q836" s="1138"/>
      <c r="R836" s="1138"/>
      <c r="S836" s="1138"/>
      <c r="T836" s="1138"/>
      <c r="U836" s="1138"/>
      <c r="V836" s="1138"/>
      <c r="W836" s="1138"/>
    </row>
    <row r="837">
      <c r="A837" s="1309" t="s">
        <v>31</v>
      </c>
      <c r="B837" s="73">
        <v>0.0</v>
      </c>
      <c r="C837" s="73"/>
      <c r="D837" s="73"/>
      <c r="E837" s="1187"/>
      <c r="F837" s="1312"/>
      <c r="G837" s="1147"/>
      <c r="H837" s="1138"/>
      <c r="I837" s="1138"/>
      <c r="J837" s="1138"/>
      <c r="K837" s="1138"/>
      <c r="L837" s="1138"/>
      <c r="M837" s="1138"/>
      <c r="N837" s="1138"/>
      <c r="O837" s="1138"/>
      <c r="P837" s="1138"/>
      <c r="Q837" s="1138"/>
      <c r="R837" s="1138"/>
      <c r="S837" s="1138"/>
      <c r="T837" s="1138"/>
      <c r="U837" s="1138"/>
      <c r="V837" s="1138"/>
      <c r="W837" s="1138"/>
    </row>
    <row r="838">
      <c r="A838" s="1314" t="s">
        <v>6967</v>
      </c>
      <c r="B838" s="1195">
        <f t="shared" ref="B838:F838" si="88">B823+B824+B825+B826+B827+B828+B829+B830+B831+B832+B833+B834+B835+B836+B837</f>
        <v>21085333.57</v>
      </c>
      <c r="C838" s="1195">
        <f t="shared" si="88"/>
        <v>2492740484</v>
      </c>
      <c r="D838" s="1195">
        <f t="shared" si="88"/>
        <v>4968110</v>
      </c>
      <c r="E838" s="1195">
        <f t="shared" si="88"/>
        <v>625791</v>
      </c>
      <c r="F838" s="1195">
        <f t="shared" si="88"/>
        <v>5593901</v>
      </c>
      <c r="G838" s="1147"/>
      <c r="H838" s="1138"/>
      <c r="I838" s="1138"/>
      <c r="J838" s="1138"/>
      <c r="K838" s="1138"/>
      <c r="L838" s="1138"/>
      <c r="M838" s="1138"/>
      <c r="N838" s="1138"/>
      <c r="O838" s="1138"/>
      <c r="P838" s="1138"/>
      <c r="Q838" s="1138"/>
      <c r="R838" s="1138"/>
      <c r="S838" s="1138"/>
      <c r="T838" s="1138"/>
      <c r="U838" s="1138"/>
      <c r="V838" s="1138"/>
      <c r="W838" s="1138"/>
    </row>
    <row r="839">
      <c r="A839" s="1138"/>
      <c r="B839" s="1138"/>
      <c r="C839" s="1138"/>
      <c r="D839" s="1147"/>
      <c r="E839" s="1138"/>
      <c r="F839" s="1147"/>
      <c r="G839" s="1147"/>
      <c r="H839" s="1138"/>
      <c r="I839" s="1138"/>
      <c r="J839" s="1138"/>
      <c r="K839" s="1138"/>
      <c r="L839" s="1138"/>
      <c r="M839" s="1138"/>
      <c r="N839" s="1138"/>
      <c r="O839" s="1138"/>
      <c r="P839" s="1138"/>
      <c r="Q839" s="1138"/>
      <c r="R839" s="1138"/>
      <c r="S839" s="1138"/>
      <c r="T839" s="1138"/>
      <c r="U839" s="1138"/>
      <c r="V839" s="1138"/>
      <c r="W839" s="1138"/>
    </row>
    <row r="840">
      <c r="A840" s="1138"/>
      <c r="B840" s="1138"/>
      <c r="C840" s="1138"/>
      <c r="D840" s="1147"/>
      <c r="E840" s="1138"/>
      <c r="F840" s="1147"/>
      <c r="G840" s="1147"/>
      <c r="H840" s="1138"/>
      <c r="I840" s="1138"/>
      <c r="J840" s="1138"/>
      <c r="K840" s="1138"/>
      <c r="L840" s="1138"/>
      <c r="M840" s="1138"/>
      <c r="N840" s="1138"/>
      <c r="O840" s="1138"/>
      <c r="P840" s="1138"/>
      <c r="Q840" s="1138"/>
      <c r="R840" s="1138"/>
      <c r="S840" s="1138"/>
      <c r="T840" s="1138"/>
      <c r="U840" s="1138"/>
      <c r="V840" s="1138"/>
      <c r="W840" s="1138"/>
    </row>
    <row r="841">
      <c r="A841" s="1138"/>
      <c r="B841" s="1138"/>
      <c r="C841" s="1138"/>
      <c r="D841" s="1147"/>
      <c r="E841" s="1138"/>
      <c r="F841" s="1147"/>
      <c r="G841" s="1147"/>
      <c r="H841" s="1138"/>
      <c r="I841" s="1138"/>
      <c r="J841" s="1138"/>
      <c r="K841" s="1138"/>
      <c r="L841" s="1138"/>
      <c r="M841" s="1138"/>
      <c r="N841" s="1138"/>
      <c r="O841" s="1138"/>
      <c r="P841" s="1138"/>
      <c r="Q841" s="1138"/>
      <c r="R841" s="1138"/>
      <c r="S841" s="1138"/>
      <c r="T841" s="1138"/>
      <c r="U841" s="1138"/>
      <c r="V841" s="1138"/>
      <c r="W841" s="1138"/>
    </row>
    <row r="842">
      <c r="A842" s="1138"/>
      <c r="B842" s="1138"/>
      <c r="C842" s="1138"/>
      <c r="D842" s="1147"/>
      <c r="E842" s="1138"/>
      <c r="F842" s="1318">
        <v>5593901.0</v>
      </c>
      <c r="G842" s="1147"/>
      <c r="H842" s="1138"/>
      <c r="I842" s="1138"/>
      <c r="J842" s="1138"/>
      <c r="K842" s="1138"/>
      <c r="L842" s="1138"/>
      <c r="M842" s="1138"/>
      <c r="N842" s="1138"/>
      <c r="O842" s="1138"/>
      <c r="P842" s="1138"/>
      <c r="Q842" s="1138"/>
      <c r="R842" s="1138"/>
      <c r="S842" s="1138"/>
      <c r="T842" s="1138"/>
      <c r="U842" s="1138"/>
      <c r="V842" s="1138"/>
      <c r="W842" s="1138"/>
    </row>
    <row r="843">
      <c r="A843" s="1138"/>
      <c r="B843" s="1138"/>
      <c r="C843" s="1138"/>
      <c r="D843" s="1147"/>
      <c r="E843" s="1138"/>
      <c r="F843" s="1147"/>
      <c r="G843" s="1147"/>
      <c r="H843" s="1138"/>
      <c r="I843" s="1138"/>
      <c r="J843" s="1138"/>
      <c r="K843" s="1138"/>
      <c r="L843" s="1138"/>
      <c r="M843" s="1138"/>
      <c r="N843" s="1138"/>
      <c r="O843" s="1138"/>
      <c r="P843" s="1138"/>
      <c r="Q843" s="1138"/>
      <c r="R843" s="1138"/>
      <c r="S843" s="1138"/>
      <c r="T843" s="1138"/>
      <c r="U843" s="1138"/>
      <c r="V843" s="1138"/>
      <c r="W843" s="1138"/>
    </row>
    <row r="844">
      <c r="A844" s="1138"/>
      <c r="B844" s="1138"/>
      <c r="C844" s="1138"/>
      <c r="D844" s="1147"/>
      <c r="E844" s="1138"/>
      <c r="F844" s="1147"/>
      <c r="G844" s="1147"/>
      <c r="H844" s="1138"/>
      <c r="I844" s="1138"/>
      <c r="J844" s="1138"/>
      <c r="K844" s="1138"/>
      <c r="L844" s="1138"/>
      <c r="M844" s="1138"/>
      <c r="N844" s="1138"/>
      <c r="O844" s="1138"/>
      <c r="P844" s="1138"/>
      <c r="Q844" s="1138"/>
      <c r="R844" s="1138"/>
      <c r="S844" s="1138"/>
      <c r="T844" s="1138"/>
      <c r="U844" s="1138"/>
      <c r="V844" s="1138"/>
      <c r="W844" s="1138"/>
    </row>
    <row r="845">
      <c r="A845" s="1138"/>
      <c r="B845" s="1138"/>
      <c r="C845" s="1138"/>
      <c r="D845" s="1147"/>
      <c r="E845" s="1138"/>
      <c r="F845" s="1147"/>
      <c r="G845" s="1147"/>
      <c r="H845" s="1138"/>
      <c r="I845" s="1138"/>
      <c r="J845" s="1138"/>
      <c r="K845" s="1138"/>
      <c r="L845" s="1138"/>
      <c r="M845" s="1138"/>
      <c r="N845" s="1138"/>
      <c r="O845" s="1138"/>
      <c r="P845" s="1138"/>
      <c r="Q845" s="1138"/>
      <c r="R845" s="1138"/>
      <c r="S845" s="1138"/>
      <c r="T845" s="1138"/>
      <c r="U845" s="1138"/>
      <c r="V845" s="1138"/>
      <c r="W845" s="1138"/>
    </row>
    <row r="846">
      <c r="A846" s="1138"/>
      <c r="B846" s="1138"/>
      <c r="C846" s="1138"/>
      <c r="D846" s="1147"/>
      <c r="E846" s="1138"/>
      <c r="F846" s="1147"/>
      <c r="G846" s="1147"/>
      <c r="H846" s="1138"/>
      <c r="I846" s="1138"/>
      <c r="J846" s="1138"/>
      <c r="K846" s="1138"/>
      <c r="L846" s="1138"/>
      <c r="M846" s="1138"/>
      <c r="N846" s="1138"/>
      <c r="O846" s="1138"/>
      <c r="P846" s="1138"/>
      <c r="Q846" s="1138"/>
      <c r="R846" s="1138"/>
      <c r="S846" s="1138"/>
      <c r="T846" s="1138"/>
      <c r="U846" s="1138"/>
      <c r="V846" s="1138"/>
      <c r="W846" s="1138"/>
    </row>
    <row r="847">
      <c r="A847" s="1138"/>
      <c r="B847" s="1138"/>
      <c r="C847" s="1138"/>
      <c r="D847" s="1147"/>
      <c r="E847" s="1138"/>
      <c r="F847" s="1147"/>
      <c r="G847" s="1147"/>
      <c r="H847" s="1138"/>
      <c r="I847" s="1138"/>
      <c r="J847" s="1138"/>
      <c r="K847" s="1138"/>
      <c r="L847" s="1138"/>
      <c r="M847" s="1138"/>
      <c r="N847" s="1138"/>
      <c r="O847" s="1138"/>
      <c r="P847" s="1138"/>
      <c r="Q847" s="1138"/>
      <c r="R847" s="1138"/>
      <c r="S847" s="1138"/>
      <c r="T847" s="1138"/>
      <c r="U847" s="1138"/>
      <c r="V847" s="1138"/>
      <c r="W847" s="1138"/>
    </row>
    <row r="848">
      <c r="A848" s="1138"/>
      <c r="B848" s="1138"/>
      <c r="C848" s="1138"/>
      <c r="D848" s="1147"/>
      <c r="E848" s="1138"/>
      <c r="F848" s="1147"/>
      <c r="G848" s="1147"/>
      <c r="H848" s="1138"/>
      <c r="I848" s="1138"/>
      <c r="J848" s="1138"/>
      <c r="K848" s="1138"/>
      <c r="L848" s="1138"/>
      <c r="M848" s="1138"/>
      <c r="N848" s="1138"/>
      <c r="O848" s="1138"/>
      <c r="P848" s="1138"/>
      <c r="Q848" s="1138"/>
      <c r="R848" s="1138"/>
      <c r="S848" s="1138"/>
      <c r="T848" s="1138"/>
      <c r="U848" s="1138"/>
      <c r="V848" s="1138"/>
      <c r="W848" s="1138"/>
    </row>
    <row r="849">
      <c r="A849" s="1138"/>
      <c r="B849" s="1138"/>
      <c r="C849" s="1138"/>
      <c r="D849" s="1147"/>
      <c r="E849" s="1138"/>
      <c r="F849" s="1147"/>
      <c r="G849" s="1147"/>
      <c r="H849" s="1138"/>
      <c r="I849" s="1138"/>
      <c r="J849" s="1138"/>
      <c r="K849" s="1138"/>
      <c r="L849" s="1138"/>
      <c r="M849" s="1138"/>
      <c r="N849" s="1138"/>
      <c r="O849" s="1138"/>
      <c r="P849" s="1138"/>
      <c r="Q849" s="1138"/>
      <c r="R849" s="1138"/>
      <c r="S849" s="1138"/>
      <c r="T849" s="1138"/>
      <c r="U849" s="1138"/>
      <c r="V849" s="1138"/>
      <c r="W849" s="1138"/>
    </row>
    <row r="850">
      <c r="A850" s="1138"/>
      <c r="B850" s="1138"/>
      <c r="C850" s="1138"/>
      <c r="D850" s="1147"/>
      <c r="E850" s="1138"/>
      <c r="F850" s="1147"/>
      <c r="G850" s="1147"/>
      <c r="H850" s="1138"/>
      <c r="I850" s="1138"/>
      <c r="J850" s="1138"/>
      <c r="K850" s="1138"/>
      <c r="L850" s="1138"/>
      <c r="M850" s="1138"/>
      <c r="N850" s="1138"/>
      <c r="O850" s="1138"/>
      <c r="P850" s="1138"/>
      <c r="Q850" s="1138"/>
      <c r="R850" s="1138"/>
      <c r="S850" s="1138"/>
      <c r="T850" s="1138"/>
      <c r="U850" s="1138"/>
      <c r="V850" s="1138"/>
      <c r="W850" s="1138"/>
    </row>
    <row r="851">
      <c r="A851" s="1138"/>
      <c r="B851" s="1138"/>
      <c r="C851" s="1138"/>
      <c r="D851" s="1147"/>
      <c r="E851" s="1138"/>
      <c r="F851" s="1147"/>
      <c r="G851" s="1147"/>
      <c r="H851" s="1138"/>
      <c r="I851" s="1138"/>
      <c r="J851" s="1138"/>
      <c r="K851" s="1138"/>
      <c r="L851" s="1138"/>
      <c r="M851" s="1138"/>
      <c r="N851" s="1138"/>
      <c r="O851" s="1138"/>
      <c r="P851" s="1138"/>
      <c r="Q851" s="1138"/>
      <c r="R851" s="1138"/>
      <c r="S851" s="1138"/>
      <c r="T851" s="1138"/>
      <c r="U851" s="1138"/>
      <c r="V851" s="1138"/>
      <c r="W851" s="1138"/>
    </row>
    <row r="852">
      <c r="A852" s="1138"/>
      <c r="B852" s="1138"/>
      <c r="C852" s="1138"/>
      <c r="D852" s="1147"/>
      <c r="E852" s="1138"/>
      <c r="F852" s="1147"/>
      <c r="G852" s="1147"/>
      <c r="H852" s="1138"/>
      <c r="I852" s="1138"/>
      <c r="J852" s="1138"/>
      <c r="K852" s="1138"/>
      <c r="L852" s="1138"/>
      <c r="M852" s="1138"/>
      <c r="N852" s="1138"/>
      <c r="O852" s="1138"/>
      <c r="P852" s="1138"/>
      <c r="Q852" s="1138"/>
      <c r="R852" s="1138"/>
      <c r="S852" s="1138"/>
      <c r="T852" s="1138"/>
      <c r="U852" s="1138"/>
      <c r="V852" s="1138"/>
      <c r="W852" s="1138"/>
    </row>
    <row r="853">
      <c r="A853" s="1138"/>
      <c r="B853" s="1138"/>
      <c r="C853" s="1138"/>
      <c r="D853" s="1147"/>
      <c r="E853" s="1138"/>
      <c r="F853" s="1147"/>
      <c r="G853" s="1147"/>
      <c r="H853" s="1138"/>
      <c r="I853" s="1138"/>
      <c r="J853" s="1138"/>
      <c r="K853" s="1138"/>
      <c r="L853" s="1138"/>
      <c r="M853" s="1138"/>
      <c r="N853" s="1138"/>
      <c r="O853" s="1138"/>
      <c r="P853" s="1138"/>
      <c r="Q853" s="1138"/>
      <c r="R853" s="1138"/>
      <c r="S853" s="1138"/>
      <c r="T853" s="1138"/>
      <c r="U853" s="1138"/>
      <c r="V853" s="1138"/>
      <c r="W853" s="1138"/>
    </row>
    <row r="854">
      <c r="A854" s="1138"/>
      <c r="B854" s="1138"/>
      <c r="C854" s="1138"/>
      <c r="D854" s="1147"/>
      <c r="E854" s="1138"/>
      <c r="F854" s="1147"/>
      <c r="G854" s="1147"/>
      <c r="H854" s="1138"/>
      <c r="I854" s="1138"/>
      <c r="J854" s="1138"/>
      <c r="K854" s="1138"/>
      <c r="L854" s="1138"/>
      <c r="M854" s="1138"/>
      <c r="N854" s="1138"/>
      <c r="O854" s="1138"/>
      <c r="P854" s="1138"/>
      <c r="Q854" s="1138"/>
      <c r="R854" s="1138"/>
      <c r="S854" s="1138"/>
      <c r="T854" s="1138"/>
      <c r="U854" s="1138"/>
      <c r="V854" s="1138"/>
      <c r="W854" s="1138"/>
    </row>
    <row r="855">
      <c r="A855" s="1138"/>
      <c r="B855" s="1138"/>
      <c r="C855" s="1138"/>
      <c r="D855" s="1147"/>
      <c r="E855" s="1138"/>
      <c r="F855" s="1147"/>
      <c r="G855" s="1147"/>
      <c r="H855" s="1138"/>
      <c r="I855" s="1138"/>
      <c r="J855" s="1138"/>
      <c r="K855" s="1138"/>
      <c r="L855" s="1138"/>
      <c r="M855" s="1138"/>
      <c r="N855" s="1138"/>
      <c r="O855" s="1138"/>
      <c r="P855" s="1138"/>
      <c r="Q855" s="1138"/>
      <c r="R855" s="1138"/>
      <c r="S855" s="1138"/>
      <c r="T855" s="1138"/>
      <c r="U855" s="1138"/>
      <c r="V855" s="1138"/>
      <c r="W855" s="1138"/>
    </row>
    <row r="856">
      <c r="A856" s="1138"/>
      <c r="B856" s="1138"/>
      <c r="C856" s="1138"/>
      <c r="D856" s="1147"/>
      <c r="E856" s="1138"/>
      <c r="F856" s="1147"/>
      <c r="G856" s="1147"/>
      <c r="H856" s="1138"/>
      <c r="I856" s="1138"/>
      <c r="J856" s="1138"/>
      <c r="K856" s="1138"/>
      <c r="L856" s="1138"/>
      <c r="M856" s="1138"/>
      <c r="N856" s="1138"/>
      <c r="O856" s="1138"/>
      <c r="P856" s="1138"/>
      <c r="Q856" s="1138"/>
      <c r="R856" s="1138"/>
      <c r="S856" s="1138"/>
      <c r="T856" s="1138"/>
      <c r="U856" s="1138"/>
      <c r="V856" s="1138"/>
      <c r="W856" s="1138"/>
    </row>
    <row r="857">
      <c r="A857" s="1138"/>
      <c r="B857" s="1138"/>
      <c r="C857" s="1138"/>
      <c r="D857" s="1147"/>
      <c r="E857" s="1138"/>
      <c r="F857" s="1147"/>
      <c r="G857" s="1147"/>
      <c r="H857" s="1138"/>
      <c r="I857" s="1138"/>
      <c r="J857" s="1138"/>
      <c r="K857" s="1138"/>
      <c r="L857" s="1138"/>
      <c r="M857" s="1138"/>
      <c r="N857" s="1138"/>
      <c r="O857" s="1138"/>
      <c r="P857" s="1138"/>
      <c r="Q857" s="1138"/>
      <c r="R857" s="1138"/>
      <c r="S857" s="1138"/>
      <c r="T857" s="1138"/>
      <c r="U857" s="1138"/>
      <c r="V857" s="1138"/>
      <c r="W857" s="1138"/>
    </row>
    <row r="858">
      <c r="A858" s="1138"/>
      <c r="B858" s="1138"/>
      <c r="C858" s="1138"/>
      <c r="D858" s="1147"/>
      <c r="E858" s="1138"/>
      <c r="F858" s="1147"/>
      <c r="G858" s="1147"/>
      <c r="H858" s="1138"/>
      <c r="I858" s="1138"/>
      <c r="J858" s="1138"/>
      <c r="K858" s="1138"/>
      <c r="L858" s="1138"/>
      <c r="M858" s="1138"/>
      <c r="N858" s="1138"/>
      <c r="O858" s="1138"/>
      <c r="P858" s="1138"/>
      <c r="Q858" s="1138"/>
      <c r="R858" s="1138"/>
      <c r="S858" s="1138"/>
      <c r="T858" s="1138"/>
      <c r="U858" s="1138"/>
      <c r="V858" s="1138"/>
      <c r="W858" s="1138"/>
    </row>
    <row r="859">
      <c r="A859" s="1138"/>
      <c r="B859" s="1138"/>
      <c r="C859" s="1138"/>
      <c r="D859" s="1147"/>
      <c r="E859" s="1138"/>
      <c r="F859" s="1147"/>
      <c r="G859" s="1147"/>
      <c r="H859" s="1138"/>
      <c r="I859" s="1138"/>
      <c r="J859" s="1138"/>
      <c r="K859" s="1138"/>
      <c r="L859" s="1138"/>
      <c r="M859" s="1138"/>
      <c r="N859" s="1138"/>
      <c r="O859" s="1138"/>
      <c r="P859" s="1138"/>
      <c r="Q859" s="1138"/>
      <c r="R859" s="1138"/>
      <c r="S859" s="1138"/>
      <c r="T859" s="1138"/>
      <c r="U859" s="1138"/>
      <c r="V859" s="1138"/>
      <c r="W859" s="1138"/>
    </row>
    <row r="860">
      <c r="A860" s="1138"/>
      <c r="B860" s="1138"/>
      <c r="C860" s="1138"/>
      <c r="D860" s="1147"/>
      <c r="E860" s="1138"/>
      <c r="F860" s="1147"/>
      <c r="G860" s="1147"/>
      <c r="H860" s="1138"/>
      <c r="I860" s="1138"/>
      <c r="J860" s="1138"/>
      <c r="K860" s="1138"/>
      <c r="L860" s="1138"/>
      <c r="M860" s="1138"/>
      <c r="N860" s="1138"/>
      <c r="O860" s="1138"/>
      <c r="P860" s="1138"/>
      <c r="Q860" s="1138"/>
      <c r="R860" s="1138"/>
      <c r="S860" s="1138"/>
      <c r="T860" s="1138"/>
      <c r="U860" s="1138"/>
      <c r="V860" s="1138"/>
      <c r="W860" s="1138"/>
    </row>
    <row r="861">
      <c r="A861" s="1138"/>
      <c r="B861" s="1138"/>
      <c r="C861" s="1138"/>
      <c r="D861" s="1147"/>
      <c r="E861" s="1138"/>
      <c r="F861" s="1147"/>
      <c r="G861" s="1147"/>
      <c r="H861" s="1138"/>
      <c r="I861" s="1138"/>
      <c r="J861" s="1138"/>
      <c r="K861" s="1138"/>
      <c r="L861" s="1138"/>
      <c r="M861" s="1138"/>
      <c r="N861" s="1138"/>
      <c r="O861" s="1138"/>
      <c r="P861" s="1138"/>
      <c r="Q861" s="1138"/>
      <c r="R861" s="1138"/>
      <c r="S861" s="1138"/>
      <c r="T861" s="1138"/>
      <c r="U861" s="1138"/>
      <c r="V861" s="1138"/>
      <c r="W861" s="1138"/>
    </row>
    <row r="862">
      <c r="A862" s="1138"/>
      <c r="B862" s="1138"/>
      <c r="C862" s="1138"/>
      <c r="D862" s="1147"/>
      <c r="E862" s="1138"/>
      <c r="F862" s="1147"/>
      <c r="G862" s="1147"/>
      <c r="H862" s="1138"/>
      <c r="I862" s="1138"/>
      <c r="J862" s="1138"/>
      <c r="K862" s="1138"/>
      <c r="L862" s="1138"/>
      <c r="M862" s="1138"/>
      <c r="N862" s="1138"/>
      <c r="O862" s="1138"/>
      <c r="P862" s="1138"/>
      <c r="Q862" s="1138"/>
      <c r="R862" s="1138"/>
      <c r="S862" s="1138"/>
      <c r="T862" s="1138"/>
      <c r="U862" s="1138"/>
      <c r="V862" s="1138"/>
      <c r="W862" s="1138"/>
    </row>
    <row r="863">
      <c r="A863" s="1138"/>
      <c r="B863" s="1138"/>
      <c r="C863" s="1138"/>
      <c r="D863" s="1147"/>
      <c r="E863" s="1138"/>
      <c r="F863" s="1147"/>
      <c r="G863" s="1147"/>
      <c r="H863" s="1138"/>
      <c r="I863" s="1138"/>
      <c r="J863" s="1138"/>
      <c r="K863" s="1138"/>
      <c r="L863" s="1138"/>
      <c r="M863" s="1138"/>
      <c r="N863" s="1138"/>
      <c r="O863" s="1138"/>
      <c r="P863" s="1138"/>
      <c r="Q863" s="1138"/>
      <c r="R863" s="1138"/>
      <c r="S863" s="1138"/>
      <c r="T863" s="1138"/>
      <c r="U863" s="1138"/>
      <c r="V863" s="1138"/>
      <c r="W863" s="1138"/>
    </row>
    <row r="864">
      <c r="A864" s="1138"/>
      <c r="B864" s="1138"/>
      <c r="C864" s="1138"/>
      <c r="D864" s="1147"/>
      <c r="E864" s="1138"/>
      <c r="F864" s="1147"/>
      <c r="G864" s="1147"/>
      <c r="H864" s="1138"/>
      <c r="I864" s="1138"/>
      <c r="J864" s="1138"/>
      <c r="K864" s="1138"/>
      <c r="L864" s="1138"/>
      <c r="M864" s="1138"/>
      <c r="N864" s="1138"/>
      <c r="O864" s="1138"/>
      <c r="P864" s="1138"/>
      <c r="Q864" s="1138"/>
      <c r="R864" s="1138"/>
      <c r="S864" s="1138"/>
      <c r="T864" s="1138"/>
      <c r="U864" s="1138"/>
      <c r="V864" s="1138"/>
      <c r="W864" s="1138"/>
    </row>
    <row r="865">
      <c r="A865" s="1138"/>
      <c r="B865" s="1138"/>
      <c r="C865" s="1138"/>
      <c r="D865" s="1147"/>
      <c r="E865" s="1138"/>
      <c r="F865" s="1147"/>
      <c r="G865" s="1147"/>
      <c r="H865" s="1138"/>
      <c r="I865" s="1138"/>
      <c r="J865" s="1138"/>
      <c r="K865" s="1138"/>
      <c r="L865" s="1138"/>
      <c r="M865" s="1138"/>
      <c r="N865" s="1138"/>
      <c r="O865" s="1138"/>
      <c r="P865" s="1138"/>
      <c r="Q865" s="1138"/>
      <c r="R865" s="1138"/>
      <c r="S865" s="1138"/>
      <c r="T865" s="1138"/>
      <c r="U865" s="1138"/>
      <c r="V865" s="1138"/>
      <c r="W865" s="1138"/>
    </row>
    <row r="866">
      <c r="A866" s="1138"/>
      <c r="B866" s="1138"/>
      <c r="C866" s="1138"/>
      <c r="D866" s="1147"/>
      <c r="E866" s="1138"/>
      <c r="F866" s="1147"/>
      <c r="G866" s="1147"/>
      <c r="H866" s="1138"/>
      <c r="I866" s="1138"/>
      <c r="J866" s="1138"/>
      <c r="K866" s="1138"/>
      <c r="L866" s="1138"/>
      <c r="M866" s="1138"/>
      <c r="N866" s="1138"/>
      <c r="O866" s="1138"/>
      <c r="P866" s="1138"/>
      <c r="Q866" s="1138"/>
      <c r="R866" s="1138"/>
      <c r="S866" s="1138"/>
      <c r="T866" s="1138"/>
      <c r="U866" s="1138"/>
      <c r="V866" s="1138"/>
      <c r="W866" s="1138"/>
    </row>
    <row r="867">
      <c r="A867" s="1138"/>
      <c r="B867" s="1138"/>
      <c r="C867" s="1138"/>
      <c r="D867" s="1147"/>
      <c r="E867" s="1138"/>
      <c r="F867" s="1147"/>
      <c r="G867" s="1147"/>
      <c r="H867" s="1138"/>
      <c r="I867" s="1138"/>
      <c r="J867" s="1138"/>
      <c r="K867" s="1138"/>
      <c r="L867" s="1138"/>
      <c r="M867" s="1138"/>
      <c r="N867" s="1138"/>
      <c r="O867" s="1138"/>
      <c r="P867" s="1138"/>
      <c r="Q867" s="1138"/>
      <c r="R867" s="1138"/>
      <c r="S867" s="1138"/>
      <c r="T867" s="1138"/>
      <c r="U867" s="1138"/>
      <c r="V867" s="1138"/>
      <c r="W867" s="1138"/>
    </row>
    <row r="868">
      <c r="A868" s="1138"/>
      <c r="B868" s="1138"/>
      <c r="C868" s="1138"/>
      <c r="D868" s="1147"/>
      <c r="E868" s="1138"/>
      <c r="F868" s="1147"/>
      <c r="G868" s="1147"/>
      <c r="H868" s="1138"/>
      <c r="I868" s="1138"/>
      <c r="J868" s="1138"/>
      <c r="K868" s="1138"/>
      <c r="L868" s="1138"/>
      <c r="M868" s="1138"/>
      <c r="N868" s="1138"/>
      <c r="O868" s="1138"/>
      <c r="P868" s="1138"/>
      <c r="Q868" s="1138"/>
      <c r="R868" s="1138"/>
      <c r="S868" s="1138"/>
      <c r="T868" s="1138"/>
      <c r="U868" s="1138"/>
      <c r="V868" s="1138"/>
      <c r="W868" s="1138"/>
    </row>
    <row r="869">
      <c r="A869" s="1138"/>
      <c r="B869" s="1138"/>
      <c r="C869" s="1138"/>
      <c r="D869" s="1147"/>
      <c r="E869" s="1138"/>
      <c r="F869" s="1147"/>
      <c r="G869" s="1147"/>
      <c r="H869" s="1138"/>
      <c r="I869" s="1138"/>
      <c r="J869" s="1138"/>
      <c r="K869" s="1138"/>
      <c r="L869" s="1138"/>
      <c r="M869" s="1138"/>
      <c r="N869" s="1138"/>
      <c r="O869" s="1138"/>
      <c r="P869" s="1138"/>
      <c r="Q869" s="1138"/>
      <c r="R869" s="1138"/>
      <c r="S869" s="1138"/>
      <c r="T869" s="1138"/>
      <c r="U869" s="1138"/>
      <c r="V869" s="1138"/>
      <c r="W869" s="1138"/>
    </row>
    <row r="870">
      <c r="A870" s="1138"/>
      <c r="B870" s="1138"/>
      <c r="C870" s="1138"/>
      <c r="D870" s="1147"/>
      <c r="E870" s="1138"/>
      <c r="F870" s="1147"/>
      <c r="G870" s="1147"/>
      <c r="H870" s="1138"/>
      <c r="I870" s="1138"/>
      <c r="J870" s="1138"/>
      <c r="K870" s="1138"/>
      <c r="L870" s="1138"/>
      <c r="M870" s="1138"/>
      <c r="N870" s="1138"/>
      <c r="O870" s="1138"/>
      <c r="P870" s="1138"/>
      <c r="Q870" s="1138"/>
      <c r="R870" s="1138"/>
      <c r="S870" s="1138"/>
      <c r="T870" s="1138"/>
      <c r="U870" s="1138"/>
      <c r="V870" s="1138"/>
      <c r="W870" s="1138"/>
    </row>
    <row r="871">
      <c r="A871" s="1138"/>
      <c r="B871" s="1138"/>
      <c r="C871" s="1138"/>
      <c r="D871" s="1147"/>
      <c r="E871" s="1138"/>
      <c r="F871" s="1147"/>
      <c r="G871" s="1147"/>
      <c r="H871" s="1138"/>
      <c r="I871" s="1138"/>
      <c r="J871" s="1138"/>
      <c r="K871" s="1138"/>
      <c r="L871" s="1138"/>
      <c r="M871" s="1138"/>
      <c r="N871" s="1138"/>
      <c r="O871" s="1138"/>
      <c r="P871" s="1138"/>
      <c r="Q871" s="1138"/>
      <c r="R871" s="1138"/>
      <c r="S871" s="1138"/>
      <c r="T871" s="1138"/>
      <c r="U871" s="1138"/>
      <c r="V871" s="1138"/>
      <c r="W871" s="1138"/>
    </row>
    <row r="872">
      <c r="A872" s="1138"/>
      <c r="B872" s="1138"/>
      <c r="C872" s="1138"/>
      <c r="D872" s="1147"/>
      <c r="E872" s="1138"/>
      <c r="F872" s="1147"/>
      <c r="G872" s="1147"/>
      <c r="H872" s="1138"/>
      <c r="I872" s="1138"/>
      <c r="J872" s="1138"/>
      <c r="K872" s="1138"/>
      <c r="L872" s="1138"/>
      <c r="M872" s="1138"/>
      <c r="N872" s="1138"/>
      <c r="O872" s="1138"/>
      <c r="P872" s="1138"/>
      <c r="Q872" s="1138"/>
      <c r="R872" s="1138"/>
      <c r="S872" s="1138"/>
      <c r="T872" s="1138"/>
      <c r="U872" s="1138"/>
      <c r="V872" s="1138"/>
      <c r="W872" s="1138"/>
    </row>
    <row r="873">
      <c r="A873" s="1138"/>
      <c r="B873" s="1138"/>
      <c r="C873" s="1138"/>
      <c r="D873" s="1147"/>
      <c r="E873" s="1138"/>
      <c r="F873" s="1147"/>
      <c r="G873" s="1147"/>
      <c r="H873" s="1138"/>
      <c r="I873" s="1138"/>
      <c r="J873" s="1138"/>
      <c r="K873" s="1138"/>
      <c r="L873" s="1138"/>
      <c r="M873" s="1138"/>
      <c r="N873" s="1138"/>
      <c r="O873" s="1138"/>
      <c r="P873" s="1138"/>
      <c r="Q873" s="1138"/>
      <c r="R873" s="1138"/>
      <c r="S873" s="1138"/>
      <c r="T873" s="1138"/>
      <c r="U873" s="1138"/>
      <c r="V873" s="1138"/>
      <c r="W873" s="1138"/>
    </row>
    <row r="874">
      <c r="A874" s="1138"/>
      <c r="B874" s="1138"/>
      <c r="C874" s="1138"/>
      <c r="D874" s="1147"/>
      <c r="E874" s="1138"/>
      <c r="F874" s="1147"/>
      <c r="G874" s="1147"/>
      <c r="H874" s="1138"/>
      <c r="I874" s="1138"/>
      <c r="J874" s="1138"/>
      <c r="K874" s="1138"/>
      <c r="L874" s="1138"/>
      <c r="M874" s="1138"/>
      <c r="N874" s="1138"/>
      <c r="O874" s="1138"/>
      <c r="P874" s="1138"/>
      <c r="Q874" s="1138"/>
      <c r="R874" s="1138"/>
      <c r="S874" s="1138"/>
      <c r="T874" s="1138"/>
      <c r="U874" s="1138"/>
      <c r="V874" s="1138"/>
      <c r="W874" s="1138"/>
    </row>
    <row r="875">
      <c r="A875" s="1138"/>
      <c r="B875" s="1138"/>
      <c r="C875" s="1138"/>
      <c r="D875" s="1147"/>
      <c r="E875" s="1138"/>
      <c r="F875" s="1147"/>
      <c r="G875" s="1147"/>
      <c r="H875" s="1138"/>
      <c r="I875" s="1138"/>
      <c r="J875" s="1138"/>
      <c r="K875" s="1138"/>
      <c r="L875" s="1138"/>
      <c r="M875" s="1138"/>
      <c r="N875" s="1138"/>
      <c r="O875" s="1138"/>
      <c r="P875" s="1138"/>
      <c r="Q875" s="1138"/>
      <c r="R875" s="1138"/>
      <c r="S875" s="1138"/>
      <c r="T875" s="1138"/>
      <c r="U875" s="1138"/>
      <c r="V875" s="1138"/>
      <c r="W875" s="1138"/>
    </row>
    <row r="876">
      <c r="A876" s="1138"/>
      <c r="B876" s="1138"/>
      <c r="C876" s="1138"/>
      <c r="D876" s="1147"/>
      <c r="E876" s="1138"/>
      <c r="F876" s="1147"/>
      <c r="G876" s="1147"/>
      <c r="H876" s="1138"/>
      <c r="I876" s="1138"/>
      <c r="J876" s="1138"/>
      <c r="K876" s="1138"/>
      <c r="L876" s="1138"/>
      <c r="M876" s="1138"/>
      <c r="N876" s="1138"/>
      <c r="O876" s="1138"/>
      <c r="P876" s="1138"/>
      <c r="Q876" s="1138"/>
      <c r="R876" s="1138"/>
      <c r="S876" s="1138"/>
      <c r="T876" s="1138"/>
      <c r="U876" s="1138"/>
      <c r="V876" s="1138"/>
      <c r="W876" s="1138"/>
    </row>
    <row r="877">
      <c r="A877" s="1138"/>
      <c r="B877" s="1138"/>
      <c r="C877" s="1138"/>
      <c r="D877" s="1147"/>
      <c r="E877" s="1138"/>
      <c r="F877" s="1147"/>
      <c r="G877" s="1147"/>
      <c r="H877" s="1138"/>
      <c r="I877" s="1138"/>
      <c r="J877" s="1138"/>
      <c r="K877" s="1138"/>
      <c r="L877" s="1138"/>
      <c r="M877" s="1138"/>
      <c r="N877" s="1138"/>
      <c r="O877" s="1138"/>
      <c r="P877" s="1138"/>
      <c r="Q877" s="1138"/>
      <c r="R877" s="1138"/>
      <c r="S877" s="1138"/>
      <c r="T877" s="1138"/>
      <c r="U877" s="1138"/>
      <c r="V877" s="1138"/>
      <c r="W877" s="1138"/>
    </row>
    <row r="878">
      <c r="A878" s="1138"/>
      <c r="B878" s="1138"/>
      <c r="C878" s="1138"/>
      <c r="D878" s="1147"/>
      <c r="E878" s="1138"/>
      <c r="F878" s="1147"/>
      <c r="G878" s="1147"/>
      <c r="H878" s="1138"/>
      <c r="I878" s="1138"/>
      <c r="J878" s="1138"/>
      <c r="K878" s="1138"/>
      <c r="L878" s="1138"/>
      <c r="M878" s="1138"/>
      <c r="N878" s="1138"/>
      <c r="O878" s="1138"/>
      <c r="P878" s="1138"/>
      <c r="Q878" s="1138"/>
      <c r="R878" s="1138"/>
      <c r="S878" s="1138"/>
      <c r="T878" s="1138"/>
      <c r="U878" s="1138"/>
      <c r="V878" s="1138"/>
      <c r="W878" s="1138"/>
    </row>
    <row r="879">
      <c r="A879" s="1138"/>
      <c r="B879" s="1138"/>
      <c r="C879" s="1138"/>
      <c r="D879" s="1147"/>
      <c r="E879" s="1138"/>
      <c r="F879" s="1147"/>
      <c r="G879" s="1147"/>
      <c r="H879" s="1138"/>
      <c r="I879" s="1138"/>
      <c r="J879" s="1138"/>
      <c r="K879" s="1138"/>
      <c r="L879" s="1138"/>
      <c r="M879" s="1138"/>
      <c r="N879" s="1138"/>
      <c r="O879" s="1138"/>
      <c r="P879" s="1138"/>
      <c r="Q879" s="1138"/>
      <c r="R879" s="1138"/>
      <c r="S879" s="1138"/>
      <c r="T879" s="1138"/>
      <c r="U879" s="1138"/>
      <c r="V879" s="1138"/>
      <c r="W879" s="1138"/>
    </row>
    <row r="880">
      <c r="A880" s="1138"/>
      <c r="B880" s="1138"/>
      <c r="C880" s="1138"/>
      <c r="D880" s="1147"/>
      <c r="E880" s="1138"/>
      <c r="F880" s="1147"/>
      <c r="G880" s="1147"/>
      <c r="H880" s="1138"/>
      <c r="I880" s="1138"/>
      <c r="J880" s="1138"/>
      <c r="K880" s="1138"/>
      <c r="L880" s="1138"/>
      <c r="M880" s="1138"/>
      <c r="N880" s="1138"/>
      <c r="O880" s="1138"/>
      <c r="P880" s="1138"/>
      <c r="Q880" s="1138"/>
      <c r="R880" s="1138"/>
      <c r="S880" s="1138"/>
      <c r="T880" s="1138"/>
      <c r="U880" s="1138"/>
      <c r="V880" s="1138"/>
      <c r="W880" s="1138"/>
    </row>
    <row r="881">
      <c r="A881" s="1138"/>
      <c r="B881" s="1138"/>
      <c r="C881" s="1138"/>
      <c r="D881" s="1147"/>
      <c r="E881" s="1138"/>
      <c r="F881" s="1147"/>
      <c r="G881" s="1147"/>
      <c r="H881" s="1138"/>
      <c r="I881" s="1138"/>
      <c r="J881" s="1138"/>
      <c r="K881" s="1138"/>
      <c r="L881" s="1138"/>
      <c r="M881" s="1138"/>
      <c r="N881" s="1138"/>
      <c r="O881" s="1138"/>
      <c r="P881" s="1138"/>
      <c r="Q881" s="1138"/>
      <c r="R881" s="1138"/>
      <c r="S881" s="1138"/>
      <c r="T881" s="1138"/>
      <c r="U881" s="1138"/>
      <c r="V881" s="1138"/>
      <c r="W881" s="1138"/>
    </row>
    <row r="882">
      <c r="A882" s="1138"/>
      <c r="B882" s="1138"/>
      <c r="C882" s="1138"/>
      <c r="D882" s="1147"/>
      <c r="E882" s="1138"/>
      <c r="F882" s="1147"/>
      <c r="G882" s="1147"/>
      <c r="H882" s="1138"/>
      <c r="I882" s="1138"/>
      <c r="J882" s="1138"/>
      <c r="K882" s="1138"/>
      <c r="L882" s="1138"/>
      <c r="M882" s="1138"/>
      <c r="N882" s="1138"/>
      <c r="O882" s="1138"/>
      <c r="P882" s="1138"/>
      <c r="Q882" s="1138"/>
      <c r="R882" s="1138"/>
      <c r="S882" s="1138"/>
      <c r="T882" s="1138"/>
      <c r="U882" s="1138"/>
      <c r="V882" s="1138"/>
      <c r="W882" s="1138"/>
    </row>
    <row r="883">
      <c r="A883" s="1138"/>
      <c r="B883" s="1138"/>
      <c r="C883" s="1138"/>
      <c r="D883" s="1147"/>
      <c r="E883" s="1138"/>
      <c r="F883" s="1147"/>
      <c r="G883" s="1147"/>
      <c r="H883" s="1138"/>
      <c r="I883" s="1138"/>
      <c r="J883" s="1138"/>
      <c r="K883" s="1138"/>
      <c r="L883" s="1138"/>
      <c r="M883" s="1138"/>
      <c r="N883" s="1138"/>
      <c r="O883" s="1138"/>
      <c r="P883" s="1138"/>
      <c r="Q883" s="1138"/>
      <c r="R883" s="1138"/>
      <c r="S883" s="1138"/>
      <c r="T883" s="1138"/>
      <c r="U883" s="1138"/>
      <c r="V883" s="1138"/>
      <c r="W883" s="1138"/>
    </row>
    <row r="884">
      <c r="A884" s="1138"/>
      <c r="B884" s="1138"/>
      <c r="C884" s="1138"/>
      <c r="D884" s="1147"/>
      <c r="E884" s="1138"/>
      <c r="F884" s="1147"/>
      <c r="G884" s="1147"/>
      <c r="H884" s="1138"/>
      <c r="I884" s="1138"/>
      <c r="J884" s="1138"/>
      <c r="K884" s="1138"/>
      <c r="L884" s="1138"/>
      <c r="M884" s="1138"/>
      <c r="N884" s="1138"/>
      <c r="O884" s="1138"/>
      <c r="P884" s="1138"/>
      <c r="Q884" s="1138"/>
      <c r="R884" s="1138"/>
      <c r="S884" s="1138"/>
      <c r="T884" s="1138"/>
      <c r="U884" s="1138"/>
      <c r="V884" s="1138"/>
      <c r="W884" s="1138"/>
    </row>
    <row r="885">
      <c r="A885" s="1138"/>
      <c r="B885" s="1138"/>
      <c r="C885" s="1138"/>
      <c r="D885" s="1147"/>
      <c r="E885" s="1138"/>
      <c r="F885" s="1147"/>
      <c r="G885" s="1147"/>
      <c r="H885" s="1138"/>
      <c r="I885" s="1138"/>
      <c r="J885" s="1138"/>
      <c r="K885" s="1138"/>
      <c r="L885" s="1138"/>
      <c r="M885" s="1138"/>
      <c r="N885" s="1138"/>
      <c r="O885" s="1138"/>
      <c r="P885" s="1138"/>
      <c r="Q885" s="1138"/>
      <c r="R885" s="1138"/>
      <c r="S885" s="1138"/>
      <c r="T885" s="1138"/>
      <c r="U885" s="1138"/>
      <c r="V885" s="1138"/>
      <c r="W885" s="1138"/>
    </row>
    <row r="886">
      <c r="A886" s="1138"/>
      <c r="B886" s="1138"/>
      <c r="C886" s="1138"/>
      <c r="D886" s="1147"/>
      <c r="E886" s="1138"/>
      <c r="F886" s="1147"/>
      <c r="G886" s="1147"/>
      <c r="H886" s="1138"/>
      <c r="I886" s="1138"/>
      <c r="J886" s="1138"/>
      <c r="K886" s="1138"/>
      <c r="L886" s="1138"/>
      <c r="M886" s="1138"/>
      <c r="N886" s="1138"/>
      <c r="O886" s="1138"/>
      <c r="P886" s="1138"/>
      <c r="Q886" s="1138"/>
      <c r="R886" s="1138"/>
      <c r="S886" s="1138"/>
      <c r="T886" s="1138"/>
      <c r="U886" s="1138"/>
      <c r="V886" s="1138"/>
      <c r="W886" s="1138"/>
    </row>
    <row r="887">
      <c r="A887" s="1138"/>
      <c r="B887" s="1138"/>
      <c r="C887" s="1138"/>
      <c r="D887" s="1147"/>
      <c r="E887" s="1138"/>
      <c r="F887" s="1147"/>
      <c r="G887" s="1147"/>
      <c r="H887" s="1138"/>
      <c r="I887" s="1138"/>
      <c r="J887" s="1138"/>
      <c r="K887" s="1138"/>
      <c r="L887" s="1138"/>
      <c r="M887" s="1138"/>
      <c r="N887" s="1138"/>
      <c r="O887" s="1138"/>
      <c r="P887" s="1138"/>
      <c r="Q887" s="1138"/>
      <c r="R887" s="1138"/>
      <c r="S887" s="1138"/>
      <c r="T887" s="1138"/>
      <c r="U887" s="1138"/>
      <c r="V887" s="1138"/>
      <c r="W887" s="1138"/>
    </row>
    <row r="888">
      <c r="A888" s="1138"/>
      <c r="B888" s="1138"/>
      <c r="C888" s="1138"/>
      <c r="D888" s="1147"/>
      <c r="E888" s="1138"/>
      <c r="F888" s="1147"/>
      <c r="G888" s="1147"/>
      <c r="H888" s="1138"/>
      <c r="I888" s="1138"/>
      <c r="J888" s="1138"/>
      <c r="K888" s="1138"/>
      <c r="L888" s="1138"/>
      <c r="M888" s="1138"/>
      <c r="N888" s="1138"/>
      <c r="O888" s="1138"/>
      <c r="P888" s="1138"/>
      <c r="Q888" s="1138"/>
      <c r="R888" s="1138"/>
      <c r="S888" s="1138"/>
      <c r="T888" s="1138"/>
      <c r="U888" s="1138"/>
      <c r="V888" s="1138"/>
      <c r="W888" s="1138"/>
    </row>
    <row r="889">
      <c r="A889" s="1138"/>
      <c r="B889" s="1138"/>
      <c r="C889" s="1138"/>
      <c r="D889" s="1147"/>
      <c r="E889" s="1138"/>
      <c r="F889" s="1147"/>
      <c r="G889" s="1147"/>
      <c r="H889" s="1138"/>
      <c r="I889" s="1138"/>
      <c r="J889" s="1138"/>
      <c r="K889" s="1138"/>
      <c r="L889" s="1138"/>
      <c r="M889" s="1138"/>
      <c r="N889" s="1138"/>
      <c r="O889" s="1138"/>
      <c r="P889" s="1138"/>
      <c r="Q889" s="1138"/>
      <c r="R889" s="1138"/>
      <c r="S889" s="1138"/>
      <c r="T889" s="1138"/>
      <c r="U889" s="1138"/>
      <c r="V889" s="1138"/>
      <c r="W889" s="1138"/>
    </row>
    <row r="890">
      <c r="A890" s="1138"/>
      <c r="B890" s="1138"/>
      <c r="C890" s="1138"/>
      <c r="D890" s="1147"/>
      <c r="E890" s="1138"/>
      <c r="F890" s="1147"/>
      <c r="G890" s="1147"/>
      <c r="H890" s="1138"/>
      <c r="I890" s="1138"/>
      <c r="J890" s="1138"/>
      <c r="K890" s="1138"/>
      <c r="L890" s="1138"/>
      <c r="M890" s="1138"/>
      <c r="N890" s="1138"/>
      <c r="O890" s="1138"/>
      <c r="P890" s="1138"/>
      <c r="Q890" s="1138"/>
      <c r="R890" s="1138"/>
      <c r="S890" s="1138"/>
      <c r="T890" s="1138"/>
      <c r="U890" s="1138"/>
      <c r="V890" s="1138"/>
      <c r="W890" s="1138"/>
    </row>
    <row r="891">
      <c r="A891" s="1138"/>
      <c r="B891" s="1138"/>
      <c r="C891" s="1138"/>
      <c r="D891" s="1147"/>
      <c r="E891" s="1138"/>
      <c r="F891" s="1147"/>
      <c r="G891" s="1147"/>
      <c r="H891" s="1138"/>
      <c r="I891" s="1138"/>
      <c r="J891" s="1138"/>
      <c r="K891" s="1138"/>
      <c r="L891" s="1138"/>
      <c r="M891" s="1138"/>
      <c r="N891" s="1138"/>
      <c r="O891" s="1138"/>
      <c r="P891" s="1138"/>
      <c r="Q891" s="1138"/>
      <c r="R891" s="1138"/>
      <c r="S891" s="1138"/>
      <c r="T891" s="1138"/>
      <c r="U891" s="1138"/>
      <c r="V891" s="1138"/>
      <c r="W891" s="1138"/>
    </row>
    <row r="892">
      <c r="A892" s="1138"/>
      <c r="B892" s="1138"/>
      <c r="C892" s="1138"/>
      <c r="D892" s="1147"/>
      <c r="E892" s="1138"/>
      <c r="F892" s="1147"/>
      <c r="G892" s="1147"/>
      <c r="H892" s="1138"/>
      <c r="I892" s="1138"/>
      <c r="J892" s="1138"/>
      <c r="K892" s="1138"/>
      <c r="L892" s="1138"/>
      <c r="M892" s="1138"/>
      <c r="N892" s="1138"/>
      <c r="O892" s="1138"/>
      <c r="P892" s="1138"/>
      <c r="Q892" s="1138"/>
      <c r="R892" s="1138"/>
      <c r="S892" s="1138"/>
      <c r="T892" s="1138"/>
      <c r="U892" s="1138"/>
      <c r="V892" s="1138"/>
      <c r="W892" s="1138"/>
    </row>
    <row r="893">
      <c r="A893" s="1138"/>
      <c r="B893" s="1138"/>
      <c r="C893" s="1138"/>
      <c r="D893" s="1147"/>
      <c r="E893" s="1138"/>
      <c r="F893" s="1147"/>
      <c r="G893" s="1147"/>
      <c r="H893" s="1138"/>
      <c r="I893" s="1138"/>
      <c r="J893" s="1138"/>
      <c r="K893" s="1138"/>
      <c r="L893" s="1138"/>
      <c r="M893" s="1138"/>
      <c r="N893" s="1138"/>
      <c r="O893" s="1138"/>
      <c r="P893" s="1138"/>
      <c r="Q893" s="1138"/>
      <c r="R893" s="1138"/>
      <c r="S893" s="1138"/>
      <c r="T893" s="1138"/>
      <c r="U893" s="1138"/>
      <c r="V893" s="1138"/>
      <c r="W893" s="1138"/>
    </row>
    <row r="894">
      <c r="A894" s="1138"/>
      <c r="B894" s="1138"/>
      <c r="C894" s="1138"/>
      <c r="D894" s="1147"/>
      <c r="E894" s="1138"/>
      <c r="F894" s="1147"/>
      <c r="G894" s="1147"/>
      <c r="H894" s="1138"/>
      <c r="I894" s="1138"/>
      <c r="J894" s="1138"/>
      <c r="K894" s="1138"/>
      <c r="L894" s="1138"/>
      <c r="M894" s="1138"/>
      <c r="N894" s="1138"/>
      <c r="O894" s="1138"/>
      <c r="P894" s="1138"/>
      <c r="Q894" s="1138"/>
      <c r="R894" s="1138"/>
      <c r="S894" s="1138"/>
      <c r="T894" s="1138"/>
      <c r="U894" s="1138"/>
      <c r="V894" s="1138"/>
      <c r="W894" s="1138"/>
    </row>
    <row r="895">
      <c r="A895" s="1138"/>
      <c r="B895" s="1138"/>
      <c r="C895" s="1138"/>
      <c r="D895" s="1147"/>
      <c r="E895" s="1138"/>
      <c r="F895" s="1147"/>
      <c r="G895" s="1147"/>
      <c r="H895" s="1138"/>
      <c r="I895" s="1138"/>
      <c r="J895" s="1138"/>
      <c r="K895" s="1138"/>
      <c r="L895" s="1138"/>
      <c r="M895" s="1138"/>
      <c r="N895" s="1138"/>
      <c r="O895" s="1138"/>
      <c r="P895" s="1138"/>
      <c r="Q895" s="1138"/>
      <c r="R895" s="1138"/>
      <c r="S895" s="1138"/>
      <c r="T895" s="1138"/>
      <c r="U895" s="1138"/>
      <c r="V895" s="1138"/>
      <c r="W895" s="1138"/>
    </row>
    <row r="896">
      <c r="A896" s="1138"/>
      <c r="B896" s="1138"/>
      <c r="C896" s="1138"/>
      <c r="D896" s="1147"/>
      <c r="E896" s="1138"/>
      <c r="F896" s="1147"/>
      <c r="G896" s="1147"/>
      <c r="H896" s="1138"/>
      <c r="I896" s="1138"/>
      <c r="J896" s="1138"/>
      <c r="K896" s="1138"/>
      <c r="L896" s="1138"/>
      <c r="M896" s="1138"/>
      <c r="N896" s="1138"/>
      <c r="O896" s="1138"/>
      <c r="P896" s="1138"/>
      <c r="Q896" s="1138"/>
      <c r="R896" s="1138"/>
      <c r="S896" s="1138"/>
      <c r="T896" s="1138"/>
      <c r="U896" s="1138"/>
      <c r="V896" s="1138"/>
      <c r="W896" s="1138"/>
    </row>
    <row r="897">
      <c r="A897" s="1138"/>
      <c r="B897" s="1138"/>
      <c r="C897" s="1138"/>
      <c r="D897" s="1147"/>
      <c r="E897" s="1138"/>
      <c r="F897" s="1147"/>
      <c r="G897" s="1147"/>
      <c r="H897" s="1138"/>
      <c r="I897" s="1138"/>
      <c r="J897" s="1138"/>
      <c r="K897" s="1138"/>
      <c r="L897" s="1138"/>
      <c r="M897" s="1138"/>
      <c r="N897" s="1138"/>
      <c r="O897" s="1138"/>
      <c r="P897" s="1138"/>
      <c r="Q897" s="1138"/>
      <c r="R897" s="1138"/>
      <c r="S897" s="1138"/>
      <c r="T897" s="1138"/>
      <c r="U897" s="1138"/>
      <c r="V897" s="1138"/>
      <c r="W897" s="113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A2" s="1330">
        <v>7100683.57</v>
      </c>
    </row>
    <row r="3">
      <c r="A3" s="1330">
        <v>7180028.1</v>
      </c>
    </row>
    <row r="4">
      <c r="A4" s="1330">
        <v>3781371.77</v>
      </c>
    </row>
    <row r="5">
      <c r="A5" s="1330">
        <v>5274444.419999999</v>
      </c>
    </row>
    <row r="6">
      <c r="A6" s="1330">
        <v>717526.0</v>
      </c>
    </row>
    <row r="7">
      <c r="A7" s="1330">
        <v>540000.0</v>
      </c>
    </row>
    <row r="8">
      <c r="A8" s="1330">
        <v>163734.0</v>
      </c>
    </row>
    <row r="9">
      <c r="A9" s="1330">
        <v>1761821.37</v>
      </c>
    </row>
    <row r="10">
      <c r="A10" s="1330">
        <v>1622896.85</v>
      </c>
    </row>
    <row r="11">
      <c r="A11" s="1330">
        <v>272340.97</v>
      </c>
    </row>
    <row r="12">
      <c r="A12" s="1330">
        <v>1218846.0</v>
      </c>
    </row>
    <row r="13">
      <c r="A13" s="1330">
        <v>63000.0</v>
      </c>
    </row>
    <row r="14">
      <c r="A14" s="1330">
        <v>178960.0</v>
      </c>
    </row>
    <row r="15">
      <c r="A15" s="1330">
        <v>2.987565305E7</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32.0"/>
    <col customWidth="1" min="7" max="7" width="19.14"/>
  </cols>
  <sheetData>
    <row r="1">
      <c r="A1" s="1331" t="s">
        <v>6982</v>
      </c>
      <c r="B1" s="1332" t="s">
        <v>6983</v>
      </c>
      <c r="C1" s="1332" t="s">
        <v>3075</v>
      </c>
      <c r="D1" s="1332" t="s">
        <v>2</v>
      </c>
      <c r="E1" s="1332" t="s">
        <v>49</v>
      </c>
      <c r="F1" s="1332" t="s">
        <v>6984</v>
      </c>
      <c r="G1" s="1332" t="s">
        <v>6985</v>
      </c>
      <c r="H1" s="1332" t="s">
        <v>1</v>
      </c>
      <c r="I1" s="1332" t="s">
        <v>38</v>
      </c>
    </row>
    <row r="2">
      <c r="A2" s="1333">
        <v>18487.0</v>
      </c>
      <c r="B2" s="1334" t="s">
        <v>6986</v>
      </c>
      <c r="C2" s="1334" t="s">
        <v>6987</v>
      </c>
      <c r="D2" s="1335">
        <v>300000.0</v>
      </c>
      <c r="E2" s="1334" t="s">
        <v>54</v>
      </c>
      <c r="F2" s="1334" t="s">
        <v>6988</v>
      </c>
      <c r="G2" s="1334" t="s">
        <v>3579</v>
      </c>
      <c r="H2" s="1334" t="s">
        <v>6989</v>
      </c>
      <c r="I2" s="1336">
        <v>45633.0</v>
      </c>
      <c r="J2" s="1337"/>
      <c r="K2" s="1337"/>
      <c r="L2" s="1337"/>
      <c r="M2" s="1337"/>
      <c r="N2" s="1337"/>
      <c r="O2" s="1337"/>
      <c r="P2" s="1337"/>
      <c r="Q2" s="1337"/>
      <c r="R2" s="1337"/>
      <c r="S2" s="1337"/>
      <c r="T2" s="1337"/>
      <c r="U2" s="1337"/>
      <c r="V2" s="1337"/>
      <c r="W2" s="1337"/>
      <c r="X2" s="1337"/>
      <c r="Y2" s="1337"/>
      <c r="Z2" s="1337"/>
    </row>
    <row r="3">
      <c r="A3" s="1338">
        <v>26313.0</v>
      </c>
      <c r="B3" s="395" t="s">
        <v>4112</v>
      </c>
      <c r="C3" s="395" t="s">
        <v>4113</v>
      </c>
      <c r="D3" s="666">
        <v>241642.0</v>
      </c>
      <c r="E3" s="395" t="s">
        <v>54</v>
      </c>
      <c r="F3" s="395" t="s">
        <v>6988</v>
      </c>
      <c r="G3" s="395" t="s">
        <v>4114</v>
      </c>
      <c r="H3" s="395" t="s">
        <v>6990</v>
      </c>
      <c r="I3" s="1339">
        <v>45633.0</v>
      </c>
    </row>
    <row r="4">
      <c r="A4" s="1338">
        <v>26812.0</v>
      </c>
      <c r="B4" s="395" t="s">
        <v>802</v>
      </c>
      <c r="C4" s="395" t="s">
        <v>6991</v>
      </c>
      <c r="D4" s="666">
        <v>647350.0</v>
      </c>
      <c r="E4" s="395" t="s">
        <v>54</v>
      </c>
      <c r="F4" s="395" t="s">
        <v>6988</v>
      </c>
      <c r="G4" s="395" t="s">
        <v>4114</v>
      </c>
      <c r="H4" s="395" t="s">
        <v>6992</v>
      </c>
      <c r="I4" s="1339">
        <v>45633.0</v>
      </c>
    </row>
    <row r="5">
      <c r="A5" s="1333">
        <v>26698.0</v>
      </c>
      <c r="B5" s="1334" t="s">
        <v>6993</v>
      </c>
      <c r="C5" s="1334" t="s">
        <v>1467</v>
      </c>
      <c r="D5" s="1335">
        <v>5000000.0</v>
      </c>
      <c r="E5" s="1334" t="s">
        <v>75</v>
      </c>
      <c r="F5" s="1334" t="s">
        <v>6988</v>
      </c>
      <c r="G5" s="1334" t="s">
        <v>4114</v>
      </c>
      <c r="H5" s="1334" t="s">
        <v>6992</v>
      </c>
      <c r="I5" s="1336">
        <v>45633.0</v>
      </c>
    </row>
    <row r="6">
      <c r="A6" s="1338">
        <v>26600.0</v>
      </c>
      <c r="B6" s="395" t="s">
        <v>2498</v>
      </c>
      <c r="C6" s="395" t="s">
        <v>2519</v>
      </c>
      <c r="D6" s="666">
        <v>429402.0</v>
      </c>
      <c r="E6" s="395" t="s">
        <v>75</v>
      </c>
      <c r="F6" s="395" t="s">
        <v>6988</v>
      </c>
      <c r="G6" s="395" t="s">
        <v>2469</v>
      </c>
      <c r="H6" s="395" t="s">
        <v>6994</v>
      </c>
      <c r="I6" s="1339">
        <v>45633.0</v>
      </c>
    </row>
    <row r="7">
      <c r="A7" s="1338">
        <v>26168.0</v>
      </c>
      <c r="B7" s="395" t="s">
        <v>2471</v>
      </c>
      <c r="C7" s="395" t="s">
        <v>2472</v>
      </c>
      <c r="D7" s="666">
        <v>50000.0</v>
      </c>
      <c r="E7" s="395" t="s">
        <v>54</v>
      </c>
      <c r="F7" s="395" t="s">
        <v>6988</v>
      </c>
      <c r="G7" s="395" t="s">
        <v>2469</v>
      </c>
      <c r="H7" s="395" t="s">
        <v>6994</v>
      </c>
      <c r="I7" s="1339">
        <v>45633.0</v>
      </c>
    </row>
    <row r="8">
      <c r="A8" s="1338">
        <v>23386.0</v>
      </c>
      <c r="B8" s="395" t="s">
        <v>2467</v>
      </c>
      <c r="C8" s="395" t="s">
        <v>2468</v>
      </c>
      <c r="D8" s="666">
        <v>30000.0</v>
      </c>
      <c r="E8" s="395" t="s">
        <v>54</v>
      </c>
      <c r="F8" s="395" t="s">
        <v>6988</v>
      </c>
      <c r="G8" s="395" t="s">
        <v>2469</v>
      </c>
      <c r="H8" s="395" t="s">
        <v>6994</v>
      </c>
      <c r="I8" s="1339">
        <v>45633.0</v>
      </c>
    </row>
    <row r="9">
      <c r="A9" s="1338">
        <v>25611.0</v>
      </c>
      <c r="B9" s="395" t="s">
        <v>6995</v>
      </c>
      <c r="C9" s="395" t="s">
        <v>6996</v>
      </c>
      <c r="D9" s="666">
        <v>400000.0</v>
      </c>
      <c r="E9" s="395" t="s">
        <v>54</v>
      </c>
      <c r="F9" s="395" t="s">
        <v>6988</v>
      </c>
      <c r="G9" s="395" t="s">
        <v>2469</v>
      </c>
      <c r="H9" s="395" t="s">
        <v>6997</v>
      </c>
      <c r="I9" s="1339">
        <v>45633.0</v>
      </c>
    </row>
    <row r="10">
      <c r="A10" s="1340">
        <v>25562.0</v>
      </c>
      <c r="B10" s="1334" t="s">
        <v>1181</v>
      </c>
      <c r="C10" s="1334" t="s">
        <v>6998</v>
      </c>
      <c r="D10" s="1335">
        <v>1001990.26</v>
      </c>
      <c r="E10" s="1334" t="s">
        <v>54</v>
      </c>
      <c r="F10" s="1334" t="s">
        <v>6988</v>
      </c>
      <c r="G10" s="1334" t="s">
        <v>110</v>
      </c>
      <c r="H10" s="1334" t="s">
        <v>6992</v>
      </c>
      <c r="I10" s="1336">
        <v>45633.0</v>
      </c>
    </row>
    <row r="11">
      <c r="A11" s="1340">
        <v>25331.0</v>
      </c>
      <c r="B11" s="1334" t="s">
        <v>729</v>
      </c>
      <c r="C11" s="1334" t="s">
        <v>6999</v>
      </c>
      <c r="D11" s="1335">
        <v>100000.0</v>
      </c>
      <c r="E11" s="1334" t="s">
        <v>54</v>
      </c>
      <c r="F11" s="1334" t="s">
        <v>6988</v>
      </c>
      <c r="G11" s="1334" t="s">
        <v>110</v>
      </c>
      <c r="H11" s="1334" t="s">
        <v>6992</v>
      </c>
      <c r="I11" s="1336">
        <v>45633.0</v>
      </c>
    </row>
    <row r="12">
      <c r="A12" s="1338">
        <v>13431.0</v>
      </c>
      <c r="B12" s="395" t="s">
        <v>886</v>
      </c>
      <c r="C12" s="395" t="s">
        <v>884</v>
      </c>
      <c r="D12" s="666">
        <v>100000.0</v>
      </c>
      <c r="E12" s="395" t="s">
        <v>54</v>
      </c>
      <c r="F12" s="395" t="s">
        <v>6988</v>
      </c>
      <c r="G12" s="395" t="s">
        <v>273</v>
      </c>
      <c r="H12" s="395" t="s">
        <v>6992</v>
      </c>
      <c r="I12" s="1339">
        <v>45633.0</v>
      </c>
    </row>
    <row r="13">
      <c r="A13" s="1338">
        <v>11013.0</v>
      </c>
      <c r="B13" s="395" t="s">
        <v>254</v>
      </c>
      <c r="C13" s="395" t="s">
        <v>7000</v>
      </c>
      <c r="D13" s="666">
        <v>200000.0</v>
      </c>
      <c r="E13" s="395" t="s">
        <v>59</v>
      </c>
      <c r="F13" s="395" t="s">
        <v>6988</v>
      </c>
      <c r="G13" s="395" t="s">
        <v>273</v>
      </c>
      <c r="H13" s="395" t="s">
        <v>6997</v>
      </c>
      <c r="I13" s="1339">
        <v>45633.0</v>
      </c>
    </row>
    <row r="14">
      <c r="A14" s="1338">
        <v>23888.0</v>
      </c>
      <c r="B14" s="395" t="s">
        <v>7001</v>
      </c>
      <c r="C14" s="395" t="s">
        <v>7002</v>
      </c>
      <c r="D14" s="666">
        <v>800000.0</v>
      </c>
      <c r="E14" s="395" t="s">
        <v>59</v>
      </c>
      <c r="F14" s="395" t="s">
        <v>6988</v>
      </c>
      <c r="G14" s="395" t="s">
        <v>199</v>
      </c>
      <c r="H14" s="395" t="s">
        <v>6992</v>
      </c>
      <c r="I14" s="1339">
        <v>45633.0</v>
      </c>
    </row>
    <row r="15">
      <c r="A15" s="1338">
        <v>21247.0</v>
      </c>
      <c r="B15" s="395" t="s">
        <v>7003</v>
      </c>
      <c r="C15" s="395" t="s">
        <v>7004</v>
      </c>
      <c r="D15" s="666">
        <v>500000.0</v>
      </c>
      <c r="E15" s="395" t="s">
        <v>54</v>
      </c>
      <c r="F15" s="395" t="s">
        <v>6988</v>
      </c>
      <c r="G15" s="395" t="s">
        <v>114</v>
      </c>
      <c r="H15" s="395" t="s">
        <v>7005</v>
      </c>
      <c r="I15" s="1339">
        <v>45633.0</v>
      </c>
    </row>
    <row r="16">
      <c r="A16" s="1338">
        <v>26086.0</v>
      </c>
      <c r="B16" s="395" t="s">
        <v>7006</v>
      </c>
      <c r="C16" s="395" t="s">
        <v>7007</v>
      </c>
      <c r="D16" s="666">
        <v>110000.0</v>
      </c>
      <c r="E16" s="395" t="s">
        <v>54</v>
      </c>
      <c r="F16" s="395" t="s">
        <v>7008</v>
      </c>
      <c r="G16" s="395" t="s">
        <v>114</v>
      </c>
      <c r="H16" s="395" t="s">
        <v>7009</v>
      </c>
      <c r="I16" s="1339">
        <v>45633.0</v>
      </c>
    </row>
    <row r="17">
      <c r="A17" s="1338">
        <v>23908.0</v>
      </c>
      <c r="B17" s="395" t="s">
        <v>5682</v>
      </c>
      <c r="C17" s="395" t="s">
        <v>5683</v>
      </c>
      <c r="D17" s="666">
        <v>500000.0</v>
      </c>
      <c r="E17" s="395" t="s">
        <v>54</v>
      </c>
      <c r="F17" s="395" t="s">
        <v>6988</v>
      </c>
      <c r="G17" s="395" t="s">
        <v>2165</v>
      </c>
      <c r="H17" s="395" t="s">
        <v>7009</v>
      </c>
      <c r="I17" s="1339">
        <v>45633.0</v>
      </c>
    </row>
    <row r="18">
      <c r="A18" s="1338">
        <v>23679.0</v>
      </c>
      <c r="B18" s="395" t="s">
        <v>7010</v>
      </c>
      <c r="C18" s="395" t="s">
        <v>7011</v>
      </c>
      <c r="D18" s="666">
        <v>1000000.0</v>
      </c>
      <c r="E18" s="395" t="s">
        <v>54</v>
      </c>
      <c r="F18" s="395" t="s">
        <v>6988</v>
      </c>
      <c r="G18" s="395" t="s">
        <v>2165</v>
      </c>
      <c r="H18" s="395" t="s">
        <v>7009</v>
      </c>
      <c r="I18" s="1339">
        <v>45633.0</v>
      </c>
    </row>
    <row r="19">
      <c r="A19" s="1338">
        <v>21132.0</v>
      </c>
      <c r="B19" s="395" t="s">
        <v>2163</v>
      </c>
      <c r="C19" s="395" t="s">
        <v>2164</v>
      </c>
      <c r="D19" s="666">
        <v>250000.0</v>
      </c>
      <c r="E19" s="395" t="s">
        <v>59</v>
      </c>
      <c r="F19" s="395" t="s">
        <v>7012</v>
      </c>
      <c r="G19" s="395" t="s">
        <v>199</v>
      </c>
      <c r="H19" s="395" t="s">
        <v>7013</v>
      </c>
      <c r="I19" s="1339">
        <v>45633.0</v>
      </c>
    </row>
    <row r="20">
      <c r="A20" s="1341">
        <v>24155.0</v>
      </c>
      <c r="B20" s="395" t="s">
        <v>4547</v>
      </c>
      <c r="C20" s="395" t="s">
        <v>4836</v>
      </c>
      <c r="D20" s="1342">
        <v>423557.99</v>
      </c>
      <c r="E20" s="395" t="s">
        <v>59</v>
      </c>
      <c r="F20" s="395" t="s">
        <v>6988</v>
      </c>
      <c r="G20" s="395" t="s">
        <v>578</v>
      </c>
      <c r="H20" s="395" t="s">
        <v>7014</v>
      </c>
      <c r="I20" s="1339">
        <v>45633.0</v>
      </c>
    </row>
    <row r="21">
      <c r="A21" s="1341">
        <v>25824.0</v>
      </c>
      <c r="B21" s="395" t="s">
        <v>4781</v>
      </c>
      <c r="C21" s="395" t="s">
        <v>4827</v>
      </c>
      <c r="D21" s="1343">
        <v>124881.32</v>
      </c>
      <c r="E21" s="395" t="s">
        <v>54</v>
      </c>
      <c r="F21" s="395" t="s">
        <v>6988</v>
      </c>
      <c r="G21" s="395" t="s">
        <v>578</v>
      </c>
      <c r="H21" s="395" t="s">
        <v>7014</v>
      </c>
      <c r="I21" s="1339">
        <v>45633.0</v>
      </c>
    </row>
    <row r="22">
      <c r="A22" s="1341">
        <v>25965.0</v>
      </c>
      <c r="B22" s="395" t="s">
        <v>5033</v>
      </c>
      <c r="C22" s="395" t="s">
        <v>7015</v>
      </c>
      <c r="D22" s="1343">
        <v>95916.84</v>
      </c>
      <c r="E22" s="395" t="s">
        <v>54</v>
      </c>
      <c r="F22" s="395" t="s">
        <v>6988</v>
      </c>
      <c r="G22" s="395" t="s">
        <v>578</v>
      </c>
      <c r="H22" s="395" t="s">
        <v>7014</v>
      </c>
      <c r="I22" s="1339">
        <v>45633.0</v>
      </c>
    </row>
    <row r="23">
      <c r="A23" s="1341">
        <v>25139.0</v>
      </c>
      <c r="B23" s="395" t="s">
        <v>111</v>
      </c>
      <c r="C23" s="395" t="s">
        <v>112</v>
      </c>
      <c r="D23" s="666">
        <v>12000.0</v>
      </c>
      <c r="E23" s="395" t="s">
        <v>54</v>
      </c>
      <c r="F23" s="395" t="s">
        <v>6988</v>
      </c>
      <c r="G23" s="395" t="s">
        <v>114</v>
      </c>
      <c r="H23" s="395" t="s">
        <v>7016</v>
      </c>
      <c r="I23" s="1339">
        <v>45633.0</v>
      </c>
    </row>
    <row r="24">
      <c r="A24" s="1341">
        <v>24557.0</v>
      </c>
      <c r="B24" s="395" t="s">
        <v>5042</v>
      </c>
      <c r="C24" s="395" t="s">
        <v>7017</v>
      </c>
      <c r="D24" s="666">
        <v>165907.12</v>
      </c>
      <c r="E24" s="395" t="s">
        <v>54</v>
      </c>
      <c r="F24" s="395" t="s">
        <v>6988</v>
      </c>
      <c r="G24" s="395" t="s">
        <v>578</v>
      </c>
      <c r="H24" s="395" t="s">
        <v>7014</v>
      </c>
      <c r="I24" s="1339">
        <v>45633.0</v>
      </c>
    </row>
    <row r="25">
      <c r="A25" s="1341">
        <v>17152.0</v>
      </c>
      <c r="B25" s="395" t="s">
        <v>5040</v>
      </c>
      <c r="C25" s="395" t="s">
        <v>5041</v>
      </c>
      <c r="D25" s="666">
        <v>27800.0</v>
      </c>
      <c r="E25" s="395" t="s">
        <v>54</v>
      </c>
      <c r="F25" s="395" t="s">
        <v>6988</v>
      </c>
      <c r="G25" s="395" t="s">
        <v>578</v>
      </c>
      <c r="H25" s="395" t="s">
        <v>7014</v>
      </c>
      <c r="I25" s="1339">
        <v>45633.0</v>
      </c>
    </row>
    <row r="26">
      <c r="A26" s="1341">
        <v>26379.0</v>
      </c>
      <c r="B26" s="395" t="s">
        <v>2474</v>
      </c>
      <c r="C26" s="395" t="s">
        <v>2475</v>
      </c>
      <c r="D26" s="666">
        <v>65000.0</v>
      </c>
      <c r="E26" s="395" t="s">
        <v>54</v>
      </c>
      <c r="F26" s="395" t="s">
        <v>6988</v>
      </c>
      <c r="G26" s="395" t="s">
        <v>114</v>
      </c>
      <c r="H26" s="395" t="s">
        <v>6994</v>
      </c>
      <c r="I26" s="1339">
        <v>45633.0</v>
      </c>
    </row>
    <row r="27">
      <c r="A27" s="1338">
        <v>10104.0</v>
      </c>
      <c r="B27" s="395" t="s">
        <v>127</v>
      </c>
      <c r="C27" s="395" t="s">
        <v>128</v>
      </c>
      <c r="D27" s="666">
        <v>500000.0</v>
      </c>
      <c r="E27" s="395" t="s">
        <v>54</v>
      </c>
      <c r="F27" s="395" t="s">
        <v>6988</v>
      </c>
      <c r="G27" s="395" t="s">
        <v>199</v>
      </c>
      <c r="H27" s="395" t="s">
        <v>7016</v>
      </c>
      <c r="I27" s="1339">
        <v>45633.0</v>
      </c>
    </row>
    <row r="28">
      <c r="A28" s="1341">
        <v>23735.0</v>
      </c>
      <c r="B28" s="395" t="s">
        <v>7018</v>
      </c>
      <c r="C28" s="395" t="s">
        <v>7019</v>
      </c>
      <c r="D28" s="666">
        <v>1200000.0</v>
      </c>
      <c r="E28" s="395" t="s">
        <v>59</v>
      </c>
      <c r="F28" s="395" t="s">
        <v>6988</v>
      </c>
      <c r="G28" s="395" t="s">
        <v>578</v>
      </c>
      <c r="H28" s="395" t="s">
        <v>7014</v>
      </c>
      <c r="I28" s="1339">
        <v>45633.0</v>
      </c>
    </row>
    <row r="29">
      <c r="A29" s="1333">
        <v>10816.0</v>
      </c>
      <c r="B29" s="1334" t="s">
        <v>7020</v>
      </c>
      <c r="C29" s="1334" t="s">
        <v>7021</v>
      </c>
      <c r="D29" s="1335">
        <v>203000.0</v>
      </c>
      <c r="E29" s="1334" t="s">
        <v>59</v>
      </c>
      <c r="F29" s="1334" t="s">
        <v>6988</v>
      </c>
      <c r="G29" s="1334" t="s">
        <v>3579</v>
      </c>
      <c r="H29" s="1334" t="s">
        <v>6989</v>
      </c>
      <c r="I29" s="1336">
        <v>45633.0</v>
      </c>
      <c r="J29" s="1344" t="s">
        <v>710</v>
      </c>
      <c r="K29" s="1337"/>
      <c r="L29" s="1337"/>
      <c r="M29" s="1337"/>
      <c r="N29" s="1337"/>
      <c r="O29" s="1337"/>
      <c r="P29" s="1337"/>
      <c r="Q29" s="1337"/>
      <c r="R29" s="1337"/>
      <c r="S29" s="1337"/>
      <c r="T29" s="1337"/>
      <c r="U29" s="1337"/>
      <c r="V29" s="1337"/>
      <c r="W29" s="1337"/>
      <c r="X29" s="1337"/>
      <c r="Y29" s="1337"/>
      <c r="Z29" s="1337"/>
    </row>
    <row r="30">
      <c r="A30" s="1338">
        <v>22603.0</v>
      </c>
      <c r="B30" s="395" t="s">
        <v>5822</v>
      </c>
      <c r="C30" s="395" t="s">
        <v>7022</v>
      </c>
      <c r="D30" s="666">
        <v>100000.0</v>
      </c>
      <c r="E30" s="395" t="s">
        <v>59</v>
      </c>
      <c r="F30" s="395" t="s">
        <v>6988</v>
      </c>
      <c r="G30" s="395" t="s">
        <v>2165</v>
      </c>
      <c r="H30" s="395" t="s">
        <v>7009</v>
      </c>
      <c r="I30" s="1339">
        <v>45633.0</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2024-07-09T03:55:44Z</dcterms:created>
  <dc:creator>MCL JENKINS</dc:creator>
</cp:coreProperties>
</file>